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990" tabRatio="600" firstSheet="0" activeTab="0" autoFilterDateGrouping="1"/>
  </bookViews>
  <sheets>
    <sheet name="Sheet" sheetId="1" state="visible" r:id="rId1"/>
  </sheets>
  <definedNames>
    <definedName name="_xlnm._FilterDatabase" localSheetId="0" hidden="1">'Sheet'!$A$1:$X$8762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color theme="10"/>
      <sz val="12"/>
      <scheme val="minor"/>
    </font>
  </fonts>
  <fills count="9">
    <fill>
      <patternFill/>
    </fill>
    <fill>
      <patternFill patternType="gray125"/>
    </fill>
    <fill>
      <patternFill patternType="solid">
        <fgColor rgb="FF91BF4D"/>
        <bgColor rgb="FF91BF4D"/>
      </patternFill>
    </fill>
    <fill>
      <patternFill patternType="solid">
        <fgColor rgb="FFFFFF89"/>
        <bgColor indexed="64"/>
      </patternFill>
    </fill>
    <fill>
      <patternFill patternType="solid">
        <fgColor rgb="FFFFFF89"/>
        <bgColor rgb="FF91BF4D"/>
      </patternFill>
    </fill>
    <fill>
      <patternFill patternType="solid">
        <fgColor theme="6" tint="0.5999938962981048"/>
        <bgColor rgb="FF91BF4D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1499984740745262"/>
        <bgColor rgb="FF91BF4D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pivotButton="0" quotePrefix="0" xfId="0"/>
    <xf numFmtId="0" fontId="1" fillId="2" borderId="0" pivotButton="0" quotePrefix="0" xfId="0"/>
    <xf numFmtId="0" fontId="2" fillId="0" borderId="0" pivotButton="0" quotePrefix="0" xfId="1"/>
    <xf numFmtId="4" fontId="1" fillId="2" borderId="0" pivotButton="0" quotePrefix="0" xfId="0"/>
    <xf numFmtId="0" fontId="1" fillId="3" borderId="0" pivotButton="0" quotePrefix="0" xfId="0"/>
    <xf numFmtId="0" fontId="1" fillId="4" borderId="0" pivotButton="0" quotePrefix="0" xfId="0"/>
    <xf numFmtId="0" fontId="0" fillId="3" borderId="0" pivotButton="0" quotePrefix="0" xfId="0"/>
    <xf numFmtId="0" fontId="1" fillId="5" borderId="0" pivotButton="0" quotePrefix="0" xfId="0"/>
    <xf numFmtId="4" fontId="1" fillId="5" borderId="0" pivotButton="0" quotePrefix="0" xfId="0"/>
    <xf numFmtId="0" fontId="0" fillId="6" borderId="0" pivotButton="0" quotePrefix="0" xfId="0"/>
    <xf numFmtId="16" fontId="0" fillId="0" borderId="0" pivotButton="0" quotePrefix="0" xfId="0"/>
    <xf numFmtId="0" fontId="2" fillId="7" borderId="0" pivotButton="0" quotePrefix="0" xfId="1"/>
    <xf numFmtId="0" fontId="0" fillId="7" borderId="0" pivotButton="0" quotePrefix="0" xfId="0"/>
    <xf numFmtId="0" fontId="1" fillId="8" borderId="0" pivotButton="0" quotePrefix="0" xfId="0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X8762"/>
  <sheetViews>
    <sheetView tabSelected="1" workbookViewId="0">
      <pane ySplit="1" topLeftCell="A1384" activePane="bottomLeft" state="frozen"/>
      <selection pane="bottomLeft" activeCell="J1389" sqref="J1389"/>
    </sheetView>
  </sheetViews>
  <sheetFormatPr baseColWidth="8" defaultRowHeight="87" customHeight="1"/>
  <cols>
    <col width="25.42578125" customWidth="1" min="3" max="3"/>
    <col width="28.28515625" customWidth="1" min="4" max="4"/>
    <col width="25.7109375" customWidth="1" min="7" max="8"/>
    <col width="11.85546875" customWidth="1" min="9" max="9"/>
    <col width="11" customWidth="1" min="10" max="10"/>
    <col width="9.140625" customWidth="1" style="9" min="14" max="14"/>
  </cols>
  <sheetData>
    <row r="1" ht="39.75" customFormat="1" customHeight="1" s="6">
      <c r="A1" s="4" t="inlineStr">
        <is>
          <t>am I missing something</t>
        </is>
      </c>
      <c r="B1" s="4" t="inlineStr">
        <is>
          <t>canonicalUrl</t>
        </is>
      </c>
      <c r="C1" s="4" t="inlineStr">
        <is>
          <t>name</t>
        </is>
      </c>
      <c r="D1" s="4" t="inlineStr">
        <is>
          <t>Amazon Product Title</t>
        </is>
      </c>
      <c r="E1" s="4" t="inlineStr">
        <is>
          <t>Amazon Product URL</t>
        </is>
      </c>
      <c r="F1" s="4" t="inlineStr">
        <is>
          <t>ASIN</t>
        </is>
      </c>
      <c r="G1" s="4" t="inlineStr">
        <is>
          <t>Source Image</t>
        </is>
      </c>
      <c r="H1" s="4" t="inlineStr">
        <is>
          <t>Amazon Image</t>
        </is>
      </c>
      <c r="I1" s="4" t="inlineStr">
        <is>
          <t>Qualified?</t>
        </is>
      </c>
      <c r="J1" s="4" t="inlineStr">
        <is>
          <t>Notes</t>
        </is>
      </c>
      <c r="K1" s="4" t="inlineStr">
        <is>
          <t>offers/0/price</t>
        </is>
      </c>
      <c r="L1" s="4" t="inlineStr">
        <is>
          <t>Amazon Price</t>
        </is>
      </c>
      <c r="M1" s="5" t="inlineStr">
        <is>
          <t>ROI</t>
        </is>
      </c>
      <c r="N1" s="7" t="inlineStr">
        <is>
          <t>roi</t>
        </is>
      </c>
      <c r="O1" s="4" t="inlineStr">
        <is>
          <t>Rating</t>
        </is>
      </c>
      <c r="P1" s="4" t="inlineStr">
        <is>
          <t>ReviewCount</t>
        </is>
      </c>
      <c r="Q1" s="4" t="inlineStr">
        <is>
          <t>offerCount</t>
        </is>
      </c>
      <c r="R1" s="4" t="inlineStr">
        <is>
          <t>offers/0/availability</t>
        </is>
      </c>
      <c r="S1" s="4" t="inlineStr">
        <is>
          <t>offers/0/regularPrice</t>
        </is>
      </c>
      <c r="T1" s="4" t="inlineStr">
        <is>
          <t>sku</t>
        </is>
      </c>
      <c r="U1" s="4" t="inlineStr">
        <is>
          <t>Match?</t>
        </is>
      </c>
      <c r="V1" s="4" t="inlineStr">
        <is>
          <t>Qualified?</t>
        </is>
      </c>
      <c r="W1" s="4" t="inlineStr">
        <is>
          <t>Approved</t>
        </is>
      </c>
      <c r="X1" s="4" t="inlineStr">
        <is>
          <t>Notes</t>
        </is>
      </c>
    </row>
    <row r="2" ht="87" customHeight="1">
      <c r="A2" s="2" t="inlineStr">
        <is>
          <t>s</t>
        </is>
      </c>
      <c r="B2" s="2">
        <f>HYPERLINK("https://ads.midwayusa.com/product/1007073487", "https://ads.midwayusa.com/product/1007073487")</f>
        <v/>
      </c>
      <c r="C2" t="inlineStr">
        <is>
          <t>Grace USA Roll Pin Punch Set 7-Piece Steel</t>
        </is>
      </c>
      <c r="D2" t="inlineStr">
        <is>
          <t>Grace USA 27pc Gunsmith Steel &amp; Brass Roll Pin Spring Punch Set with Bench Block - GRSBRP27SBB, Multi</t>
        </is>
      </c>
      <c r="E2" s="2">
        <f>HYPERLINK("https://www.amazon.com/Grace-USA-Gunsmith-Steel-Spring/dp/B06ZYK5KXD/ref=sr_1_6?keywords=Grace+USA+Roll+Pin+Punch+Set+7-Piece+Steel&amp;qid=1694734413&amp;sr=8-6", "https://www.amazon.com/Grace-USA-Gunsmith-Steel-Spring/dp/B06ZYK5KXD/ref=sr_1_6?keywords=Grace+USA+Roll+Pin+Punch+Set+7-Piece+Steel&amp;qid=1694734413&amp;sr=8-6")</f>
        <v/>
      </c>
      <c r="F2" t="inlineStr">
        <is>
          <t>B06ZYK5KXD</t>
        </is>
      </c>
      <c r="G2">
        <f>_xlfn.IMAGE("https://media.mwstatic.com/product-images/src/Primary/363/363683.jpg?imwidth=680")</f>
        <v/>
      </c>
      <c r="H2">
        <f>_xlfn.IMAGE("https://m.media-amazon.com/images/I/813eqzt-bsL._AC_UL320_.jpg")</f>
        <v/>
      </c>
      <c r="K2" t="inlineStr">
        <is>
          <t>3.0</t>
        </is>
      </c>
      <c r="L2" t="n">
        <v>154.99</v>
      </c>
      <c r="M2" s="1" t="inlineStr">
        <is>
          <t>5,066.33%</t>
        </is>
      </c>
      <c r="N2" s="8" t="n">
        <v>5066.33</v>
      </c>
      <c r="O2" t="n">
        <v>4.6</v>
      </c>
      <c r="P2" t="n">
        <v>14</v>
      </c>
      <c r="R2" t="inlineStr">
        <is>
          <t>InStock</t>
        </is>
      </c>
      <c r="S2" t="inlineStr">
        <is>
          <t>29.99</t>
        </is>
      </c>
      <c r="T2" t="inlineStr">
        <is>
          <t>363683</t>
        </is>
      </c>
    </row>
    <row r="3" ht="87" customHeight="1">
      <c r="A3" s="2">
        <f>HYPERLINK("https://ads.midwayusa.com/product/1007073487?pid=363683", "https://ads.midwayusa.com/product/1007073487?pid=363683")</f>
        <v/>
      </c>
      <c r="B3" s="2">
        <f>HYPERLINK("https://ads.midwayusa.com/product/1007073487", "https://ads.midwayusa.com/product/1007073487")</f>
        <v/>
      </c>
      <c r="C3" t="inlineStr">
        <is>
          <t>Grace USA Roll Pin Punch Set 7-Piece Steel</t>
        </is>
      </c>
      <c r="D3" t="inlineStr">
        <is>
          <t>Grace USA GRRS12 Professional Steel Roll Pin Punch Set with Vinyl Pouch, Gunsmith Tools &amp; Accessories, 12 Piece, Black</t>
        </is>
      </c>
      <c r="E3" s="2">
        <f>HYPERLINK("https://www.amazon.com/Grace-USA-GRRS12-Professional-Accessories/dp/B06ZXZ81RF/ref=sr_1_5?keywords=Grace+USA+Roll+Pin+Punch+Set+7-Piece+Steel&amp;qid=1694734413&amp;sr=8-5", "https://www.amazon.com/Grace-USA-GRRS12-Professional-Accessories/dp/B06ZXZ81RF/ref=sr_1_5?keywords=Grace+USA+Roll+Pin+Punch+Set+7-Piece+Steel&amp;qid=1694734413&amp;sr=8-5")</f>
        <v/>
      </c>
      <c r="F3" t="inlineStr">
        <is>
          <t>B06ZXZ81RF</t>
        </is>
      </c>
      <c r="G3">
        <f>_xlfn.IMAGE("https://media.mwstatic.com/product-images/src/Primary/363/363683.jpg?imwidth=680")</f>
        <v/>
      </c>
      <c r="H3">
        <f>_xlfn.IMAGE("https://m.media-amazon.com/images/I/81oeZw9AMHL._AC_UL320_.jpg")</f>
        <v/>
      </c>
      <c r="K3" t="inlineStr">
        <is>
          <t>3.0</t>
        </is>
      </c>
      <c r="L3" t="n">
        <v>74.47</v>
      </c>
      <c r="M3" s="1" t="inlineStr">
        <is>
          <t>2,382.33%</t>
        </is>
      </c>
      <c r="N3" s="8" t="n">
        <v>2382.33</v>
      </c>
      <c r="O3" t="n">
        <v>4.6</v>
      </c>
      <c r="P3" t="n">
        <v>44</v>
      </c>
      <c r="R3" t="inlineStr">
        <is>
          <t>InStock</t>
        </is>
      </c>
      <c r="S3" t="inlineStr">
        <is>
          <t>29.99</t>
        </is>
      </c>
      <c r="T3" t="inlineStr">
        <is>
          <t>363683</t>
        </is>
      </c>
    </row>
    <row r="4" ht="87" customHeight="1">
      <c r="A4" s="2">
        <f>HYPERLINK("https://ads.midwayusa.com/product/1007073487?pid=363683", "https://ads.midwayusa.com/product/1007073487?pid=363683")</f>
        <v/>
      </c>
      <c r="B4" s="2">
        <f>HYPERLINK("https://ads.midwayusa.com/product/1007073487", "https://ads.midwayusa.com/product/1007073487")</f>
        <v/>
      </c>
      <c r="C4" t="inlineStr">
        <is>
          <t>Grace USA Roll Pin Punch Set 7-Piece Steel</t>
        </is>
      </c>
      <c r="D4" t="inlineStr">
        <is>
          <t>Grace USA BRP-8 - Gun Care Brass Roll Pin Punch Set - BRP8 - Gunsmithing - Brass Roll Pin Punches - 8 piece - Gunsmith Tools &amp; Accessories, Gold</t>
        </is>
      </c>
      <c r="E4" s="2">
        <f>HYPERLINK("https://www.amazon.com/Grace-USA-Gunsmithing-Gunsmith-Accessories/dp/B00CAM4YTO/ref=sr_1_12?keywords=Grace+USA+Roll+Pin+Punch+Set+7-Piece+Steel&amp;qid=1694734413&amp;sr=8-12", "https://www.amazon.com/Grace-USA-Gunsmithing-Gunsmith-Accessories/dp/B00CAM4YTO/ref=sr_1_12?keywords=Grace+USA+Roll+Pin+Punch+Set+7-Piece+Steel&amp;qid=1694734413&amp;sr=8-12")</f>
        <v/>
      </c>
      <c r="F4" t="inlineStr">
        <is>
          <t>B00CAM4YTO</t>
        </is>
      </c>
      <c r="G4">
        <f>_xlfn.IMAGE("https://media.mwstatic.com/product-images/src/Primary/363/363683.jpg?imwidth=680")</f>
        <v/>
      </c>
      <c r="H4">
        <f>_xlfn.IMAGE("https://m.media-amazon.com/images/I/816VuBXzB8L._AC_UL320_.jpg")</f>
        <v/>
      </c>
      <c r="K4" t="inlineStr">
        <is>
          <t>3.0</t>
        </is>
      </c>
      <c r="L4" t="n">
        <v>39.26</v>
      </c>
      <c r="M4" s="1" t="inlineStr">
        <is>
          <t>1,208.67%</t>
        </is>
      </c>
      <c r="N4" s="8" t="n">
        <v>1208.67</v>
      </c>
      <c r="O4" t="n">
        <v>4.6</v>
      </c>
      <c r="P4" t="n">
        <v>92</v>
      </c>
      <c r="R4" t="inlineStr">
        <is>
          <t>InStock</t>
        </is>
      </c>
      <c r="S4" t="inlineStr">
        <is>
          <t>29.99</t>
        </is>
      </c>
      <c r="T4" t="inlineStr">
        <is>
          <t>363683</t>
        </is>
      </c>
    </row>
    <row r="5" ht="87" customHeight="1">
      <c r="A5" s="2">
        <f>HYPERLINK("https://ads.midwayusa.com/product/1007073487?pid=363683", "https://ads.midwayusa.com/product/1007073487?pid=363683")</f>
        <v/>
      </c>
      <c r="B5" s="2">
        <f>HYPERLINK("https://ads.midwayusa.com/product/1007073487", "https://ads.midwayusa.com/product/1007073487")</f>
        <v/>
      </c>
      <c r="C5" t="inlineStr">
        <is>
          <t>Grace USA Roll Pin Punch Set 7-Piece Steel</t>
        </is>
      </c>
      <c r="D5" t="inlineStr">
        <is>
          <t>Grace USA Gun Care Steel Punch Set, Gunsmith Tools &amp; Accessories, 7 Piece Set, Made in USA</t>
        </is>
      </c>
      <c r="E5" s="2">
        <f>HYPERLINK("https://www.amazon.com/Grace-USA-Steel-Gunsmith-Accessories/dp/B007WADLBQ/ref=sr_1_3?keywords=Grace+USA+Roll+Pin+Punch+Set+7-Piece+Steel&amp;qid=1694734413&amp;sr=8-3", "https://www.amazon.com/Grace-USA-Steel-Gunsmith-Accessories/dp/B007WADLBQ/ref=sr_1_3?keywords=Grace+USA+Roll+Pin+Punch+Set+7-Piece+Steel&amp;qid=1694734413&amp;sr=8-3")</f>
        <v/>
      </c>
      <c r="F5" t="inlineStr">
        <is>
          <t>B007WADLBQ</t>
        </is>
      </c>
      <c r="G5">
        <f>_xlfn.IMAGE("https://media.mwstatic.com/product-images/src/Primary/363/363683.jpg?imwidth=680")</f>
        <v/>
      </c>
      <c r="H5">
        <f>_xlfn.IMAGE("https://m.media-amazon.com/images/I/81PQxA9Ct4L._AC_UL320_.jpg")</f>
        <v/>
      </c>
      <c r="K5" t="inlineStr">
        <is>
          <t>3.0</t>
        </is>
      </c>
      <c r="L5" t="n">
        <v>34.84</v>
      </c>
      <c r="M5" s="1" t="inlineStr">
        <is>
          <t>1,061.33%</t>
        </is>
      </c>
      <c r="N5" s="8" t="n">
        <v>1061.33</v>
      </c>
      <c r="O5" t="n">
        <v>4.8</v>
      </c>
      <c r="P5" t="n">
        <v>149</v>
      </c>
      <c r="R5" t="inlineStr">
        <is>
          <t>InStock</t>
        </is>
      </c>
      <c r="S5" t="inlineStr">
        <is>
          <t>29.99</t>
        </is>
      </c>
      <c r="T5" t="inlineStr">
        <is>
          <t>363683</t>
        </is>
      </c>
    </row>
    <row r="6" ht="87" customHeight="1">
      <c r="A6" s="2">
        <f>HYPERLINK("https://ads.midwayusa.com/product/1007073487?pid=363683", "https://ads.midwayusa.com/product/1007073487?pid=363683")</f>
        <v/>
      </c>
      <c r="B6" s="2">
        <f>HYPERLINK("https://ads.midwayusa.com/product/1007073487", "https://ads.midwayusa.com/product/1007073487")</f>
        <v/>
      </c>
      <c r="C6" t="inlineStr">
        <is>
          <t>Grace USA Roll Pin Punch Set 7-Piece Steel</t>
        </is>
      </c>
      <c r="D6" t="inlineStr">
        <is>
          <t>Grace USA 7 Piece Steel Roll Spring Punch Set, Drive Pins In or Out, Ideal for Gunsmiths, Heat Treated Steel, Hex Stock, 7 Sizes, Made in USA Steel Roll Set , RS-7</t>
        </is>
      </c>
      <c r="E6" s="2">
        <f>HYPERLINK("https://www.amazon.com/Grace-USA-Gunsmithing-Gunsmith-Accessories/dp/B007WADKN0/ref=sr_1_7?keywords=Grace+USA+Roll+Pin+Punch+Set+7-Piece+Steel&amp;qid=1694734413&amp;sr=8-7", "https://www.amazon.com/Grace-USA-Gunsmithing-Gunsmith-Accessories/dp/B007WADKN0/ref=sr_1_7?keywords=Grace+USA+Roll+Pin+Punch+Set+7-Piece+Steel&amp;qid=1694734413&amp;sr=8-7")</f>
        <v/>
      </c>
      <c r="F6" t="inlineStr">
        <is>
          <t>B007WADKN0</t>
        </is>
      </c>
      <c r="G6">
        <f>_xlfn.IMAGE("https://media.mwstatic.com/product-images/src/Primary/363/363683.jpg?imwidth=680")</f>
        <v/>
      </c>
      <c r="H6">
        <f>_xlfn.IMAGE("https://m.media-amazon.com/images/I/81tmST05U6L._AC_UL320_.jpg")</f>
        <v/>
      </c>
      <c r="K6" t="inlineStr">
        <is>
          <t>3.0</t>
        </is>
      </c>
      <c r="L6" t="n">
        <v>29.99</v>
      </c>
      <c r="M6" s="1" t="inlineStr">
        <is>
          <t>899.67%</t>
        </is>
      </c>
      <c r="N6" s="7" t="n">
        <v>899.67</v>
      </c>
      <c r="O6" t="n">
        <v>4.7</v>
      </c>
      <c r="P6" t="n">
        <v>756</v>
      </c>
      <c r="R6" t="inlineStr">
        <is>
          <t>InStock</t>
        </is>
      </c>
      <c r="S6" t="inlineStr">
        <is>
          <t>29.99</t>
        </is>
      </c>
      <c r="T6" t="inlineStr">
        <is>
          <t>363683</t>
        </is>
      </c>
    </row>
    <row r="7" ht="87" customHeight="1">
      <c r="A7" s="2">
        <f>HYPERLINK("https://ads.midwayusa.com/product/1007073487?pid=363683", "https://ads.midwayusa.com/product/1007073487?pid=363683")</f>
        <v/>
      </c>
      <c r="B7" s="2">
        <f>HYPERLINK("https://ads.midwayusa.com/product/1007073487", "https://ads.midwayusa.com/product/1007073487")</f>
        <v/>
      </c>
      <c r="C7" t="inlineStr">
        <is>
          <t>Grace USA Roll Pin Punch Set 7-Piece Steel</t>
        </is>
      </c>
      <c r="D7" t="inlineStr">
        <is>
          <t>Grace USA - Steel Roll Spring Punch Set - SRS7 - Gunsmithing - Steel Punches - 7 piece - Gunsmith Tools &amp; Accessories, Black, Short Steel Roll Set</t>
        </is>
      </c>
      <c r="E7" s="2">
        <f>HYPERLINK("https://www.amazon.com/Grace-USA-Gunsmithing-Gunsmith-Accessories/dp/B00H407C1O/ref=sr_1_1?keywords=Grace+USA+Roll+Pin+Punch+Set+7-Piece+Steel&amp;qid=1694734413&amp;sr=8-1", "https://www.amazon.com/Grace-USA-Gunsmithing-Gunsmith-Accessories/dp/B00H407C1O/ref=sr_1_1?keywords=Grace+USA+Roll+Pin+Punch+Set+7-Piece+Steel&amp;qid=1694734413&amp;sr=8-1")</f>
        <v/>
      </c>
      <c r="F7" t="inlineStr">
        <is>
          <t>B00H407C1O</t>
        </is>
      </c>
      <c r="G7">
        <f>_xlfn.IMAGE("https://media.mwstatic.com/product-images/src/Primary/363/363683.jpg?imwidth=680")</f>
        <v/>
      </c>
      <c r="H7">
        <f>_xlfn.IMAGE("https://m.media-amazon.com/images/I/714ALMuKhQL._AC_UL320_.jpg")</f>
        <v/>
      </c>
      <c r="K7" t="inlineStr">
        <is>
          <t>3.0</t>
        </is>
      </c>
      <c r="L7" t="n">
        <v>29.97</v>
      </c>
      <c r="M7" s="1" t="inlineStr">
        <is>
          <t>899.00%</t>
        </is>
      </c>
      <c r="N7" s="7" t="n">
        <v>899</v>
      </c>
      <c r="O7" t="n">
        <v>4.7</v>
      </c>
      <c r="P7" t="n">
        <v>303</v>
      </c>
      <c r="R7" t="inlineStr">
        <is>
          <t>InStock</t>
        </is>
      </c>
      <c r="S7" t="inlineStr">
        <is>
          <t>29.99</t>
        </is>
      </c>
      <c r="T7" t="inlineStr">
        <is>
          <t>363683</t>
        </is>
      </c>
    </row>
    <row r="8" ht="87" customHeight="1">
      <c r="A8" s="2">
        <f>HYPERLINK("https://ads.midwayusa.com/product/102371904?pid=890690", "https://ads.midwayusa.com/product/102371904?pid=890690")</f>
        <v/>
      </c>
      <c r="B8" s="2">
        <f>HYPERLINK("https://ads.midwayusa.com/product/102371904", "https://ads.midwayusa.com/product/102371904")</f>
        <v/>
      </c>
      <c r="C8" t="inlineStr">
        <is>
          <t>SOG Terminus XR Folding Knife D2 Steel</t>
        </is>
      </c>
      <c r="D8" t="inlineStr">
        <is>
          <t>SOG High-Performance Duty S35VN Steel Ambidextrous Carry EDC 3.9" Sharp Blade Seal XR - USA Made Folding Knife, black</t>
        </is>
      </c>
      <c r="E8" s="2">
        <f>HYPERLINK("https://www.amazon.com/SOG-High-Performance-S35VN-Steel-Ambidextrous/dp/B08KH6V61B/ref=sr_1_11?keywords=SOG+Terminus+XR+Folding+Knife+D2+Steel&amp;qid=1694734414&amp;sr=8-11", "https://www.amazon.com/SOG-High-Performance-S35VN-Steel-Ambidextrous/dp/B08KH6V61B/ref=sr_1_11?keywords=SOG+Terminus+XR+Folding+Knife+D2+Steel&amp;qid=1694734414&amp;sr=8-11")</f>
        <v/>
      </c>
      <c r="F8" t="inlineStr">
        <is>
          <t>B08KH6V61B</t>
        </is>
      </c>
      <c r="G8">
        <f>_xlfn.IMAGE("https://media.mwstatic.com/product-images/src/Primary/890/890690.jpg?imwidth=680")</f>
        <v/>
      </c>
      <c r="H8">
        <f>_xlfn.IMAGE("https://m.media-amazon.com/images/I/41Q3hjdyYWL._AC_UL320_.jpg")</f>
        <v/>
      </c>
      <c r="K8" t="inlineStr">
        <is>
          <t>17.99</t>
        </is>
      </c>
      <c r="L8" t="n">
        <v>159.82</v>
      </c>
      <c r="M8" s="1" t="inlineStr">
        <is>
          <t>788.38%</t>
        </is>
      </c>
      <c r="N8" s="7" t="n">
        <v>788.38</v>
      </c>
      <c r="O8" t="n">
        <v>4.7</v>
      </c>
      <c r="P8" t="n">
        <v>117</v>
      </c>
      <c r="R8" t="inlineStr">
        <is>
          <t>InStock</t>
        </is>
      </c>
      <c r="S8" t="inlineStr">
        <is>
          <t>66.95</t>
        </is>
      </c>
      <c r="T8" t="inlineStr">
        <is>
          <t>890690</t>
        </is>
      </c>
    </row>
    <row r="9" ht="87" customHeight="1">
      <c r="A9" s="2">
        <f>HYPERLINK("https://ads.midwayusa.com/product/102633417?pid=886482", "https://ads.midwayusa.com/product/102633417?pid=886482")</f>
        <v/>
      </c>
      <c r="B9" s="2">
        <f>HYPERLINK("https://ads.midwayusa.com/product/102633417", "https://ads.midwayusa.com/product/102633417")</f>
        <v/>
      </c>
      <c r="C9" t="inlineStr">
        <is>
          <t>Zeiss Terra ED Binocular 8x 25mm Demo</t>
        </is>
      </c>
      <c r="D9" t="inlineStr">
        <is>
          <t>ZEISS Terra ED Binoculars 8x42 Waterproof, and Fast Focusing with Coated Glass for Optimal Clarity in all Weather Conditions for Bird Watching, Hunting, Sightseeing, Green</t>
        </is>
      </c>
      <c r="E9" s="2">
        <f>HYPERLINK("https://www.amazon.com/Zeiss-Terra-Black-Green-Binoculars/dp/B06XB45N9K/ref=sr_1_4?keywords=Zeiss+Terra+ED+Binocular+8x+25mm+Demo&amp;qid=1694734413&amp;sr=8-4", "https://www.amazon.com/Zeiss-Terra-Black-Green-Binoculars/dp/B06XB45N9K/ref=sr_1_4?keywords=Zeiss+Terra+ED+Binocular+8x+25mm+Demo&amp;qid=1694734413&amp;sr=8-4")</f>
        <v/>
      </c>
      <c r="F9" t="inlineStr">
        <is>
          <t>B06XB45N9K</t>
        </is>
      </c>
      <c r="G9">
        <f>_xlfn.IMAGE("https://media.mwstatic.com/product-images/src/Primary/490/490958.jpg?imwidth=680")</f>
        <v/>
      </c>
      <c r="H9">
        <f>_xlfn.IMAGE("https://m.media-amazon.com/images/I/51QOdSfS3zL._AC_UY218_.jpg")</f>
        <v/>
      </c>
      <c r="K9" t="inlineStr">
        <is>
          <t>60.0</t>
        </is>
      </c>
      <c r="L9" t="n">
        <v>499.99</v>
      </c>
      <c r="M9" s="1" t="inlineStr">
        <is>
          <t>733.32%</t>
        </is>
      </c>
      <c r="N9" s="7" t="n">
        <v>733.3200000000001</v>
      </c>
      <c r="O9" t="n">
        <v>4.7</v>
      </c>
      <c r="P9" t="n">
        <v>94</v>
      </c>
      <c r="R9" t="inlineStr">
        <is>
          <t>InStock</t>
        </is>
      </c>
      <c r="S9" t="inlineStr">
        <is>
          <t>399.99</t>
        </is>
      </c>
      <c r="T9" t="inlineStr">
        <is>
          <t>886482</t>
        </is>
      </c>
    </row>
    <row r="10" ht="87" customHeight="1">
      <c r="A10" s="2">
        <f>HYPERLINK("https://ads.midwayusa.com/product/1007073487?pid=363683", "https://ads.midwayusa.com/product/1007073487?pid=363683")</f>
        <v/>
      </c>
      <c r="B10" s="2">
        <f>HYPERLINK("https://ads.midwayusa.com/product/1007073487", "https://ads.midwayusa.com/product/1007073487")</f>
        <v/>
      </c>
      <c r="C10" t="inlineStr">
        <is>
          <t>Grace USA Roll Pin Punch Set 7-Piece Steel</t>
        </is>
      </c>
      <c r="D10" t="inlineStr">
        <is>
          <t>Grace USA Starter Short Pin Punch Set, Gunsmith, Hunting, Machinists, DIY Tools, Hardened Steel, Pin Punch Set, Punch Set, 5 Piece Set</t>
        </is>
      </c>
      <c r="E10" s="2">
        <f>HYPERLINK("https://www.amazon.com/Grace-USA-Starter-Gunsmith-Accessories/dp/B06XNNX4SH/ref=sr_1_2?keywords=Grace+USA+Roll+Pin+Punch+Set+7-Piece+Steel&amp;qid=1694734413&amp;sr=8-2", "https://www.amazon.com/Grace-USA-Starter-Gunsmith-Accessories/dp/B06XNNX4SH/ref=sr_1_2?keywords=Grace+USA+Roll+Pin+Punch+Set+7-Piece+Steel&amp;qid=1694734413&amp;sr=8-2")</f>
        <v/>
      </c>
      <c r="F10" t="inlineStr">
        <is>
          <t>B06XNNX4SH</t>
        </is>
      </c>
      <c r="G10">
        <f>_xlfn.IMAGE("https://media.mwstatic.com/product-images/src/Primary/363/363683.jpg?imwidth=680")</f>
        <v/>
      </c>
      <c r="H10">
        <f>_xlfn.IMAGE("https://m.media-amazon.com/images/I/81CQ+Bv0RGL._AC_UL320_.jpg")</f>
        <v/>
      </c>
      <c r="K10" t="inlineStr">
        <is>
          <t>3.0</t>
        </is>
      </c>
      <c r="L10" t="n">
        <v>24.24</v>
      </c>
      <c r="M10" s="1" t="inlineStr">
        <is>
          <t>708.00%</t>
        </is>
      </c>
      <c r="N10" s="7" t="n">
        <v>708</v>
      </c>
      <c r="O10" t="n">
        <v>4.6</v>
      </c>
      <c r="P10" t="n">
        <v>107</v>
      </c>
      <c r="R10" t="inlineStr">
        <is>
          <t>InStock</t>
        </is>
      </c>
      <c r="S10" t="inlineStr">
        <is>
          <t>29.99</t>
        </is>
      </c>
      <c r="T10" t="inlineStr">
        <is>
          <t>363683</t>
        </is>
      </c>
    </row>
    <row r="11" ht="87" customHeight="1">
      <c r="A11" s="2">
        <f>HYPERLINK("https://ads.midwayusa.com/product/1026334245?pid=718695", "https://ads.midwayusa.com/product/1026334245?pid=718695")</f>
        <v/>
      </c>
      <c r="B11" s="2">
        <f>HYPERLINK("https://ads.midwayusa.com/product/1026334245", "https://ads.midwayusa.com/product/1026334245")</f>
        <v/>
      </c>
      <c r="C11" t="inlineStr">
        <is>
          <t>Zeiss Terra ED Binocular 8x 25mm Refurb</t>
        </is>
      </c>
      <c r="D11" t="inlineStr">
        <is>
          <t>ZEISS Terra ED Binoculars 8x42 Waterproof, and Fast Focusing with Coated Glass for Optimal Clarity in All Weather Conditions for Bird Watching, Hunting, Sightseeing, Grey</t>
        </is>
      </c>
      <c r="E11" s="2">
        <f>HYPERLINK("https://www.amazon.com/ZEISS-Binoculars-Waterproof-Conditions-Sightseeing/dp/B01N7UD2U0/ref=sr_1_4?keywords=Zeiss+Terra+ED+Binocular+8x+25mm+Refurb&amp;qid=1694734413&amp;sr=8-4", "https://www.amazon.com/ZEISS-Binoculars-Waterproof-Conditions-Sightseeing/dp/B01N7UD2U0/ref=sr_1_4?keywords=Zeiss+Terra+ED+Binocular+8x+25mm+Refurb&amp;qid=1694734413&amp;sr=8-4")</f>
        <v/>
      </c>
      <c r="F11" t="inlineStr">
        <is>
          <t>B01N7UD2U0</t>
        </is>
      </c>
      <c r="G11">
        <f>_xlfn.IMAGE("https://media.mwstatic.com/product-images/src/Primary/490/490958.jpg?imwidth=680")</f>
        <v/>
      </c>
      <c r="H11">
        <f>_xlfn.IMAGE("https://m.media-amazon.com/images/I/51lf6zN4UfL._AC_UY218_.jpg")</f>
        <v/>
      </c>
      <c r="K11" t="inlineStr">
        <is>
          <t>60.0</t>
        </is>
      </c>
      <c r="L11" t="n">
        <v>440</v>
      </c>
      <c r="M11" s="1" t="inlineStr">
        <is>
          <t>633.33%</t>
        </is>
      </c>
      <c r="N11" s="7" t="n">
        <v>633.33</v>
      </c>
      <c r="O11" t="n">
        <v>4.8</v>
      </c>
      <c r="P11" t="n">
        <v>50</v>
      </c>
      <c r="R11" t="inlineStr">
        <is>
          <t>InStock</t>
        </is>
      </c>
      <c r="S11" t="inlineStr">
        <is>
          <t>399.99</t>
        </is>
      </c>
      <c r="T11" t="inlineStr">
        <is>
          <t>718695</t>
        </is>
      </c>
    </row>
    <row r="12" hidden="1" ht="15.75" customHeight="1">
      <c r="A12" s="2">
        <f>HYPERLINK("https://ads.midwayusa.com/product/102371904?pid=890690", "https://ads.midwayusa.com/product/102371904?pid=890690")</f>
        <v/>
      </c>
      <c r="B12" s="2">
        <f>HYPERLINK("https://ads.midwayusa.com/product/102371904", "https://ads.midwayusa.com/product/102371904")</f>
        <v/>
      </c>
      <c r="C12" t="inlineStr">
        <is>
          <t>SOG Terminus XR Folding Knife D2 Steel</t>
        </is>
      </c>
      <c r="D12" t="inlineStr">
        <is>
          <t>SOG Everyday Carry EDC Ambidextrous S35VN Steel 2.9" Sharp Blade Terminus SJ LTE Folding Knife</t>
        </is>
      </c>
      <c r="E12" s="2">
        <f>HYPERLINK("https://www.amazon.com/SOG-Everyday-Ambidextrous-Terminus-Folding/dp/B09SGJGD2F/ref=sr_1_13?keywords=SOG+Terminus+XR+Folding+Knife+D2+Steel&amp;qid=1694734414&amp;sr=8-13", "https://www.amazon.com/SOG-Everyday-Ambidextrous-Terminus-Folding/dp/B09SGJGD2F/ref=sr_1_13?keywords=SOG+Terminus+XR+Folding+Knife+D2+Steel&amp;qid=1694734414&amp;sr=8-13")</f>
        <v/>
      </c>
      <c r="F12" t="inlineStr">
        <is>
          <t>B09SGJGD2F</t>
        </is>
      </c>
      <c r="G12">
        <f>_xludf.IMAGE("https://media.mwstatic.com/product-images/src/Primary/890/890690.jpg?imwidth=680")</f>
        <v/>
      </c>
      <c r="H12">
        <f>_xludf.IMAGE("https://m.media-amazon.com/images/I/41Y-0Q9FdyL._AC_UL320_.jpg")</f>
        <v/>
      </c>
      <c r="K12" t="inlineStr">
        <is>
          <t>17.99</t>
        </is>
      </c>
      <c r="L12" t="n">
        <v>125.09</v>
      </c>
      <c r="M12" s="1" t="inlineStr">
        <is>
          <t>595.33%</t>
        </is>
      </c>
      <c r="N12" s="1" t="n">
        <v>509</v>
      </c>
      <c r="O12" t="n">
        <v>2.8</v>
      </c>
      <c r="P12" t="n">
        <v>3</v>
      </c>
      <c r="R12" t="inlineStr">
        <is>
          <t>InStock</t>
        </is>
      </c>
      <c r="S12" t="inlineStr">
        <is>
          <t>66.95</t>
        </is>
      </c>
      <c r="T12" t="inlineStr">
        <is>
          <t>890690</t>
        </is>
      </c>
    </row>
    <row r="13" ht="87" customHeight="1">
      <c r="A13" s="2">
        <f>HYPERLINK("https://ads.midwayusa.com/product/1007073487?pid=363683", "https://ads.midwayusa.com/product/1007073487?pid=363683")</f>
        <v/>
      </c>
      <c r="B13" s="2">
        <f>HYPERLINK("https://ads.midwayusa.com/product/1007073487", "https://ads.midwayusa.com/product/1007073487")</f>
        <v/>
      </c>
      <c r="C13" t="inlineStr">
        <is>
          <t>Grace USA Roll Pin Punch Set 7-Piece Steel</t>
        </is>
      </c>
      <c r="D13" t="inlineStr">
        <is>
          <t>Performance Tool W7559 9 Piece Roll Pin Punch Set with Storage Pouch - Heat Treated Steel, Knurled Grip, Reverse Taper Tip, Multiple Pin Sizes</t>
        </is>
      </c>
      <c r="E13" s="2">
        <f>HYPERLINK("https://www.amazon.com/Performance-Tool-W7559-Roll-Punch/dp/B072HJRTZF/ref=sr_1_23?keywords=Grace+USA+Roll+Pin+Punch+Set+7-Piece+Steel&amp;qid=1694734413&amp;sr=8-23", "https://www.amazon.com/Performance-Tool-W7559-Roll-Punch/dp/B072HJRTZF/ref=sr_1_23?keywords=Grace+USA+Roll+Pin+Punch+Set+7-Piece+Steel&amp;qid=1694734413&amp;sr=8-23")</f>
        <v/>
      </c>
      <c r="F13" t="inlineStr">
        <is>
          <t>B072HJRTZF</t>
        </is>
      </c>
      <c r="G13">
        <f>_xlfn.IMAGE("https://media.mwstatic.com/product-images/src/Primary/363/363683.jpg?imwidth=680")</f>
        <v/>
      </c>
      <c r="H13">
        <f>_xlfn.IMAGE("https://m.media-amazon.com/images/I/81+sZCOiYfL._AC_UL320_.jpg")</f>
        <v/>
      </c>
      <c r="K13" t="inlineStr">
        <is>
          <t>3.0</t>
        </is>
      </c>
      <c r="L13" t="n">
        <v>18.27</v>
      </c>
      <c r="M13" s="1" t="inlineStr">
        <is>
          <t>509.00%</t>
        </is>
      </c>
      <c r="N13" s="7" t="n">
        <v>466.67</v>
      </c>
      <c r="O13" t="n">
        <v>4.3</v>
      </c>
      <c r="P13" t="n">
        <v>41</v>
      </c>
      <c r="R13" t="inlineStr">
        <is>
          <t>InStock</t>
        </is>
      </c>
      <c r="S13" t="inlineStr">
        <is>
          <t>29.99</t>
        </is>
      </c>
      <c r="T13" t="inlineStr">
        <is>
          <t>363683</t>
        </is>
      </c>
    </row>
    <row r="14" ht="87" customHeight="1">
      <c r="A14" s="2">
        <f>HYPERLINK("https://ads.midwayusa.com/product/1026334245?pid=718695", "https://ads.midwayusa.com/product/1026334245?pid=718695")</f>
        <v/>
      </c>
      <c r="B14" s="2">
        <f>HYPERLINK("https://ads.midwayusa.com/product/1026334245", "https://ads.midwayusa.com/product/1026334245")</f>
        <v/>
      </c>
      <c r="C14" t="inlineStr">
        <is>
          <t>Zeiss Terra ED Binocular 8x 25mm Refurb</t>
        </is>
      </c>
      <c r="D14" t="inlineStr">
        <is>
          <t>ZEISS Terra ED Binoculars 8x32 Waterproof, and Fast Focusing with Coated Glass for Optimal Clarity in All Weather Conditions for Bird Watching, Hunting, Sightseeing, Green</t>
        </is>
      </c>
      <c r="E14" s="2">
        <f>HYPERLINK("https://www.amazon.com/ZEISS-Binoculars-Waterproof-Conditions-Sightseeing/dp/B083JD12Z8/ref=sr_1_1?keywords=Zeiss+Terra+ED+Binocular+8x+25mm+Refurb&amp;qid=1694734413&amp;sr=8-1", "https://www.amazon.com/ZEISS-Binoculars-Waterproof-Conditions-Sightseeing/dp/B083JD12Z8/ref=sr_1_1?keywords=Zeiss+Terra+ED+Binocular+8x+25mm+Refurb&amp;qid=1694734413&amp;sr=8-1")</f>
        <v/>
      </c>
      <c r="F14" t="inlineStr">
        <is>
          <t>B083JD12Z8</t>
        </is>
      </c>
      <c r="G14">
        <f>_xlfn.IMAGE("https://media.mwstatic.com/product-images/src/Primary/490/490958.jpg?imwidth=680")</f>
        <v/>
      </c>
      <c r="H14">
        <f>_xlfn.IMAGE("https://m.media-amazon.com/images/I/51HClP1kdlS._AC_UY218_.jpg")</f>
        <v/>
      </c>
      <c r="K14" t="inlineStr">
        <is>
          <t>60.0</t>
        </is>
      </c>
      <c r="L14" t="n">
        <v>340</v>
      </c>
      <c r="M14" s="1" t="inlineStr">
        <is>
          <t>466.67%</t>
        </is>
      </c>
      <c r="N14" s="7" t="n">
        <v>466.67</v>
      </c>
      <c r="O14" t="n">
        <v>4.1</v>
      </c>
      <c r="P14" t="n">
        <v>7</v>
      </c>
      <c r="R14" t="inlineStr">
        <is>
          <t>InStock</t>
        </is>
      </c>
      <c r="S14" t="inlineStr">
        <is>
          <t>399.99</t>
        </is>
      </c>
      <c r="T14" t="inlineStr">
        <is>
          <t>718695</t>
        </is>
      </c>
    </row>
    <row r="15" ht="87" customHeight="1">
      <c r="A15" s="2">
        <f>HYPERLINK("https://ads.midwayusa.com/product/102633417?pid=886482", "https://ads.midwayusa.com/product/102633417?pid=886482")</f>
        <v/>
      </c>
      <c r="B15" s="2">
        <f>HYPERLINK("https://ads.midwayusa.com/product/102633417", "https://ads.midwayusa.com/product/102633417")</f>
        <v/>
      </c>
      <c r="C15" t="inlineStr">
        <is>
          <t>Zeiss Terra ED Binocular 8x 25mm Demo</t>
        </is>
      </c>
      <c r="D15" t="inlineStr">
        <is>
          <t>ZEISS Terra ED Binoculars 8x32 Waterproof, and Fast Focusing with Coated Glass for Optimal Clarity in All Weather Conditions for Bird Watching, Hunting, Sightseeing, Green</t>
        </is>
      </c>
      <c r="E15" s="2">
        <f>HYPERLINK("https://www.amazon.com/ZEISS-Binoculars-Waterproof-Conditions-Sightseeing/dp/B083JD12Z8/ref=sr_1_3?keywords=Zeiss+Terra+ED+Binocular+8x+25mm+Demo&amp;qid=1694734413&amp;sr=8-3", "https://www.amazon.com/ZEISS-Binoculars-Waterproof-Conditions-Sightseeing/dp/B083JD12Z8/ref=sr_1_3?keywords=Zeiss+Terra+ED+Binocular+8x+25mm+Demo&amp;qid=1694734413&amp;sr=8-3")</f>
        <v/>
      </c>
      <c r="F15" t="inlineStr">
        <is>
          <t>B083JD12Z8</t>
        </is>
      </c>
      <c r="G15">
        <f>_xlfn.IMAGE("https://media.mwstatic.com/product-images/src/Primary/490/490958.jpg?imwidth=680")</f>
        <v/>
      </c>
      <c r="H15">
        <f>_xlfn.IMAGE("https://m.media-amazon.com/images/I/51HClP1kdlS._AC_UY218_.jpg")</f>
        <v/>
      </c>
      <c r="K15" t="inlineStr">
        <is>
          <t>60.0</t>
        </is>
      </c>
      <c r="L15" t="n">
        <v>340</v>
      </c>
      <c r="M15" s="1" t="inlineStr">
        <is>
          <t>466.67%</t>
        </is>
      </c>
      <c r="N15" s="7" t="n">
        <v>455.06</v>
      </c>
      <c r="O15" t="n">
        <v>4.1</v>
      </c>
      <c r="P15" t="n">
        <v>7</v>
      </c>
      <c r="R15" t="inlineStr">
        <is>
          <t>InStock</t>
        </is>
      </c>
      <c r="S15" t="inlineStr">
        <is>
          <t>399.99</t>
        </is>
      </c>
      <c r="T15" t="inlineStr">
        <is>
          <t>886482</t>
        </is>
      </c>
    </row>
    <row r="16" ht="87" customHeight="1">
      <c r="A16" s="2">
        <f>HYPERLINK("https://ads.midwayusa.com/product/1017102050?pid=183372", "https://ads.midwayusa.com/product/1017102050?pid=183372")</f>
        <v/>
      </c>
      <c r="B16" s="2">
        <f>HYPERLINK("https://ads.midwayusa.com/product/1017102050", "https://ads.midwayusa.com/product/1017102050")</f>
        <v/>
      </c>
      <c r="C16" t="inlineStr">
        <is>
          <t>SOG MacV Multi-Tool Black Steel</t>
        </is>
      </c>
      <c r="D16" t="inlineStr">
        <is>
          <t>SOG PowerLock Oxide Stainless Steel Folding Knife 18 Multi Tool Pliers with Screwdrivers, Crimper, Can Opener, Gripper, and Cutter, Black</t>
        </is>
      </c>
      <c r="E16" s="2">
        <f>HYPERLINK("https://www.amazon.com/SOG-PowerLock-EOD-Black-Oxide-Nylon-Sheath-CP/dp/B01DT4WW7C/ref=sr_1_3?keywords=SOG+MacV+Multi-Tool+Black+Steel&amp;qid=1694734418&amp;sr=8-3", "https://www.amazon.com/SOG-PowerLock-EOD-Black-Oxide-Nylon-Sheath-CP/dp/B01DT4WW7C/ref=sr_1_3?keywords=SOG+MacV+Multi-Tool+Black+Steel&amp;qid=1694734418&amp;sr=8-3")</f>
        <v/>
      </c>
      <c r="F16" t="inlineStr">
        <is>
          <t>B01DT4WW7C</t>
        </is>
      </c>
      <c r="G16">
        <f>_xlfn.IMAGE("https://media.mwstatic.com/product-images/src/Primary/183/183372.jpg?imwidth=680")</f>
        <v/>
      </c>
      <c r="H16">
        <f>_xlfn.IMAGE("https://m.media-amazon.com/images/I/61Q5PhfdrQL._AC_UL320_.jpg")</f>
        <v/>
      </c>
      <c r="K16" t="inlineStr">
        <is>
          <t>11.86</t>
        </is>
      </c>
      <c r="L16" t="n">
        <v>65.83</v>
      </c>
      <c r="M16" s="1" t="inlineStr">
        <is>
          <t>455.06%</t>
        </is>
      </c>
      <c r="N16" s="7" t="n">
        <v>453</v>
      </c>
      <c r="O16" t="n">
        <v>4.3</v>
      </c>
      <c r="P16" t="n">
        <v>5</v>
      </c>
      <c r="R16" t="inlineStr">
        <is>
          <t>InStock</t>
        </is>
      </c>
      <c r="S16" t="inlineStr">
        <is>
          <t>18.95</t>
        </is>
      </c>
      <c r="T16" t="inlineStr">
        <is>
          <t>183372</t>
        </is>
      </c>
    </row>
    <row r="17" ht="87" customHeight="1">
      <c r="A17" s="2">
        <f>HYPERLINK("https://ads.midwayusa.com/product/1007073487?pid=363683", "https://ads.midwayusa.com/product/1007073487?pid=363683")</f>
        <v/>
      </c>
      <c r="B17" s="2">
        <f>HYPERLINK("https://ads.midwayusa.com/product/1007073487", "https://ads.midwayusa.com/product/1007073487")</f>
        <v/>
      </c>
      <c r="C17" t="inlineStr">
        <is>
          <t>Grace USA Roll Pin Punch Set 7-Piece Steel</t>
        </is>
      </c>
      <c r="D17" t="inlineStr">
        <is>
          <t>JEGS Roll Pin Punch Set | 9 Pieces | Drop Forged Steel | Includes Storage Pouch | Pin Sizes: 1/16, 5/64, 3/32, 1/8, 5/32, 3/16, 7/32, 1/4 &amp; 5/16 inch</t>
        </is>
      </c>
      <c r="E17" s="2">
        <f>HYPERLINK("https://www.amazon.com/JEGS-Performance-Products-W7559-Punch/dp/B075XP6CCS/ref=sr_1_30?keywords=Grace+USA+Roll+Pin+Punch+Set+7-Piece+Steel&amp;qid=1694734413&amp;sr=8-30", "https://www.amazon.com/JEGS-Performance-Products-W7559-Punch/dp/B075XP6CCS/ref=sr_1_30?keywords=Grace+USA+Roll+Pin+Punch+Set+7-Piece+Steel&amp;qid=1694734413&amp;sr=8-30")</f>
        <v/>
      </c>
      <c r="F17" t="inlineStr">
        <is>
          <t>B075XP6CCS</t>
        </is>
      </c>
      <c r="G17">
        <f>_xlfn.IMAGE("https://media.mwstatic.com/product-images/src/Primary/363/363683.jpg?imwidth=680")</f>
        <v/>
      </c>
      <c r="H17">
        <f>_xlfn.IMAGE("https://m.media-amazon.com/images/I/61l+rQuqYHL._AC_UL320_.jpg")</f>
        <v/>
      </c>
      <c r="K17" t="inlineStr">
        <is>
          <t>3.0</t>
        </is>
      </c>
      <c r="L17" t="n">
        <v>16.59</v>
      </c>
      <c r="M17" s="1" t="inlineStr">
        <is>
          <t>453.00%</t>
        </is>
      </c>
      <c r="N17" s="7" t="n">
        <v>440.05</v>
      </c>
      <c r="O17" t="n">
        <v>4.8</v>
      </c>
      <c r="P17" t="n">
        <v>5</v>
      </c>
      <c r="R17" t="inlineStr">
        <is>
          <t>InStock</t>
        </is>
      </c>
      <c r="S17" t="inlineStr">
        <is>
          <t>29.99</t>
        </is>
      </c>
      <c r="T17" t="inlineStr">
        <is>
          <t>363683</t>
        </is>
      </c>
    </row>
    <row r="18" ht="87" customHeight="1">
      <c r="A18" s="2">
        <f>HYPERLINK("https://ads.midwayusa.com/product/1017102050?pid=183372", "https://ads.midwayusa.com/product/1017102050?pid=183372")</f>
        <v/>
      </c>
      <c r="B18" s="2">
        <f>HYPERLINK("https://ads.midwayusa.com/product/1017102050", "https://ads.midwayusa.com/product/1017102050")</f>
        <v/>
      </c>
      <c r="C18" t="inlineStr">
        <is>
          <t>SOG MacV Multi-Tool Black Steel</t>
        </is>
      </c>
      <c r="D18" t="inlineStr">
        <is>
          <t>SOG PowerLock Multi-Tool- Compound Leverage Technology with EOD Crimper Device, 420 Stainless Steel Body, 18 Lightweight Specialty Tools (B61N-CP) , Black</t>
        </is>
      </c>
      <c r="E18" s="2">
        <f>HYPERLINK("https://www.amazon.com/SOG-Multitool-Pliers-Pocket-Tool/dp/B000JD08ZU/ref=sr_1_4?keywords=SOG+MacV+Multi-Tool+Black+Steel&amp;qid=1694734418&amp;sr=8-4", "https://www.amazon.com/SOG-Multitool-Pliers-Pocket-Tool/dp/B000JD08ZU/ref=sr_1_4?keywords=SOG+MacV+Multi-Tool+Black+Steel&amp;qid=1694734418&amp;sr=8-4")</f>
        <v/>
      </c>
      <c r="F18" t="inlineStr">
        <is>
          <t>B000JD08ZU</t>
        </is>
      </c>
      <c r="G18">
        <f>_xlfn.IMAGE("https://media.mwstatic.com/product-images/src/Primary/183/183372.jpg?imwidth=680")</f>
        <v/>
      </c>
      <c r="H18">
        <f>_xlfn.IMAGE("https://m.media-amazon.com/images/I/71pJSIRL2VL._AC_UL320_.jpg")</f>
        <v/>
      </c>
      <c r="K18" t="inlineStr">
        <is>
          <t>11.86</t>
        </is>
      </c>
      <c r="L18" t="n">
        <v>64.05</v>
      </c>
      <c r="M18" s="1" t="inlineStr">
        <is>
          <t>440.05%</t>
        </is>
      </c>
      <c r="N18" s="7" t="n">
        <v>401.61</v>
      </c>
      <c r="O18" t="n">
        <v>4.6</v>
      </c>
      <c r="P18" t="n">
        <v>924</v>
      </c>
      <c r="R18" t="inlineStr">
        <is>
          <t>InStock</t>
        </is>
      </c>
      <c r="S18" t="inlineStr">
        <is>
          <t>18.95</t>
        </is>
      </c>
      <c r="T18" t="inlineStr">
        <is>
          <t>183372</t>
        </is>
      </c>
    </row>
    <row r="19" ht="87" customHeight="1">
      <c r="A19" s="2">
        <f>HYPERLINK("https://ads.midwayusa.com/product/102371904?pid=890690", "https://ads.midwayusa.com/product/102371904?pid=890690")</f>
        <v/>
      </c>
      <c r="B19" s="2">
        <f>HYPERLINK("https://ads.midwayusa.com/product/102371904", "https://ads.midwayusa.com/product/102371904")</f>
        <v/>
      </c>
      <c r="C19" t="inlineStr">
        <is>
          <t>SOG Terminus XR Folding Knife D2 Steel</t>
        </is>
      </c>
      <c r="D19" t="inlineStr">
        <is>
          <t>SOG Urban Next Generation Gentleman's Stainless Steel Ambidextrous Carry EDC 2.8" Sharp Blade Ultra XR Carbon &amp; Gold Folding Knife</t>
        </is>
      </c>
      <c r="E19" s="2">
        <f>HYPERLINK("https://www.amazon.com/SOG-Ultra-XR-Carbon-Gold/dp/B08CWZW63X/ref=sr_1_12?keywords=SOG+Terminus+XR+Folding+Knife+D2+Steel&amp;qid=1694734414&amp;sr=8-12", "https://www.amazon.com/SOG-Ultra-XR-Carbon-Gold/dp/B08CWZW63X/ref=sr_1_12?keywords=SOG+Terminus+XR+Folding+Knife+D2+Steel&amp;qid=1694734414&amp;sr=8-12")</f>
        <v/>
      </c>
      <c r="F19" t="inlineStr">
        <is>
          <t>B08CWZW63X</t>
        </is>
      </c>
      <c r="G19">
        <f>_xlfn.IMAGE("https://media.mwstatic.com/product-images/src/Primary/890/890690.jpg?imwidth=680")</f>
        <v/>
      </c>
      <c r="H19">
        <f>_xlfn.IMAGE("https://m.media-amazon.com/images/I/41vNIvwBkNL._AC_UL320_.jpg")</f>
        <v/>
      </c>
      <c r="K19" t="inlineStr">
        <is>
          <t>17.99</t>
        </is>
      </c>
      <c r="L19" t="n">
        <v>90.23999999999999</v>
      </c>
      <c r="M19" s="1" t="inlineStr">
        <is>
          <t>401.61%</t>
        </is>
      </c>
      <c r="N19" s="7" t="n">
        <v>332.21</v>
      </c>
      <c r="O19" t="n">
        <v>4.4</v>
      </c>
      <c r="P19" t="n">
        <v>52</v>
      </c>
      <c r="R19" t="inlineStr">
        <is>
          <t>InStock</t>
        </is>
      </c>
      <c r="S19" t="inlineStr">
        <is>
          <t>66.95</t>
        </is>
      </c>
      <c r="T19" t="inlineStr">
        <is>
          <t>890690</t>
        </is>
      </c>
    </row>
    <row r="20" ht="87" customHeight="1">
      <c r="A20" s="2">
        <f>HYPERLINK("https://ads.midwayusa.com/product/1017102050?pid=183372", "https://ads.midwayusa.com/product/1017102050?pid=183372")</f>
        <v/>
      </c>
      <c r="B20" s="2">
        <f>HYPERLINK("https://ads.midwayusa.com/product/1017102050", "https://ads.midwayusa.com/product/1017102050")</f>
        <v/>
      </c>
      <c r="C20" t="inlineStr">
        <is>
          <t>SOG MacV Multi-Tool Black Steel</t>
        </is>
      </c>
      <c r="D20" t="inlineStr">
        <is>
          <t>SOG PowerAccess Multi-Tool EDC Utility Tool, One-Handed Open, 18 Lightweight Speciality Tools, Stainless 5CR15MOV Steel Construction-Black (PA1002-CP)</t>
        </is>
      </c>
      <c r="E20" s="2">
        <f>HYPERLINK("https://www.amazon.com/SOG-PA1002CP-PowerAccess-Multi-Tool-Black/dp/B08RQVMF92/ref=sr_1_6?keywords=SOG+MacV+Multi-Tool+Black+Steel&amp;qid=1694734418&amp;sr=8-6", "https://www.amazon.com/SOG-PA1002CP-PowerAccess-Multi-Tool-Black/dp/B08RQVMF92/ref=sr_1_6?keywords=SOG+MacV+Multi-Tool+Black+Steel&amp;qid=1694734418&amp;sr=8-6")</f>
        <v/>
      </c>
      <c r="F20" t="inlineStr">
        <is>
          <t>B08RQVMF92</t>
        </is>
      </c>
      <c r="G20">
        <f>_xlfn.IMAGE("https://media.mwstatic.com/product-images/src/Primary/183/183372.jpg?imwidth=680")</f>
        <v/>
      </c>
      <c r="H20">
        <f>_xlfn.IMAGE("https://m.media-amazon.com/images/I/615QyPQFcYL._AC_UL320_.jpg")</f>
        <v/>
      </c>
      <c r="K20" t="inlineStr">
        <is>
          <t>11.86</t>
        </is>
      </c>
      <c r="L20" t="n">
        <v>51.26</v>
      </c>
      <c r="M20" s="1" t="inlineStr">
        <is>
          <t>332.21%</t>
        </is>
      </c>
      <c r="N20" s="7" t="n">
        <v>326.3</v>
      </c>
      <c r="O20" t="n">
        <v>4.4</v>
      </c>
      <c r="P20" t="n">
        <v>154</v>
      </c>
      <c r="R20" t="inlineStr">
        <is>
          <t>InStock</t>
        </is>
      </c>
      <c r="S20" t="inlineStr">
        <is>
          <t>18.95</t>
        </is>
      </c>
      <c r="T20" t="inlineStr">
        <is>
          <t>183372</t>
        </is>
      </c>
    </row>
    <row r="21" ht="87" customHeight="1">
      <c r="A21" s="2">
        <f>HYPERLINK("https://ads.midwayusa.com/product/1024124655?pid=991337", "https://ads.midwayusa.com/product/1024124655?pid=991337")</f>
        <v/>
      </c>
      <c r="B21" s="2">
        <f>HYPERLINK("https://ads.midwayusa.com/product/1024124655", "https://ads.midwayusa.com/product/1024124655")</f>
        <v/>
      </c>
      <c r="C21" t="inlineStr">
        <is>
          <t>SOG Altair XR Folding Knife</t>
        </is>
      </c>
      <c r="D21" t="inlineStr">
        <is>
          <t>SOG High-Performance Duty S35VN Steel Ambidextrous Carry EDC 3.9" Sharp Blade Seal XR - USA Made Folding Knife, black</t>
        </is>
      </c>
      <c r="E21" s="2">
        <f>HYPERLINK("https://www.amazon.com/SOG-High-Performance-S35VN-Steel-Ambidextrous/dp/B08KH6V61B/ref=sr_1_7?keywords=SOG+Altair+XR+Folding+Knife&amp;qid=1694734413&amp;sr=8-7", "https://www.amazon.com/SOG-High-Performance-S35VN-Steel-Ambidextrous/dp/B08KH6V61B/ref=sr_1_7?keywords=SOG+Altair+XR+Folding+Knife&amp;qid=1694734413&amp;sr=8-7")</f>
        <v/>
      </c>
      <c r="F21" t="inlineStr">
        <is>
          <t>B08KH6V61B</t>
        </is>
      </c>
      <c r="G21">
        <f>_xlfn.IMAGE("https://media.mwstatic.com/product-images/src/Primary/991/991337.jpg?imwidth=680")</f>
        <v/>
      </c>
      <c r="H21">
        <f>_xlfn.IMAGE("https://m.media-amazon.com/images/I/41Q3hjdyYWL._AC_UL320_.jpg")</f>
        <v/>
      </c>
      <c r="K21" t="inlineStr">
        <is>
          <t>37.49</t>
        </is>
      </c>
      <c r="L21" t="n">
        <v>159.82</v>
      </c>
      <c r="M21" s="1" t="inlineStr">
        <is>
          <t>326.30%</t>
        </is>
      </c>
      <c r="N21" s="7" t="n">
        <v>313.31</v>
      </c>
      <c r="O21" t="n">
        <v>4.7</v>
      </c>
      <c r="P21" t="n">
        <v>117</v>
      </c>
      <c r="R21" t="inlineStr">
        <is>
          <t>InStock</t>
        </is>
      </c>
      <c r="S21" t="inlineStr">
        <is>
          <t>138.95</t>
        </is>
      </c>
      <c r="T21" t="inlineStr">
        <is>
          <t>991337</t>
        </is>
      </c>
    </row>
    <row r="22" ht="87" customHeight="1">
      <c r="A22" s="2">
        <f>HYPERLINK("https://ads.midwayusa.com/product/1019881370?pid=864198", "https://ads.midwayusa.com/product/1019881370?pid=864198")</f>
        <v/>
      </c>
      <c r="B22" s="2">
        <f>HYPERLINK("https://ads.midwayusa.com/product/1019881370", "https://ads.midwayusa.com/product/1019881370")</f>
        <v/>
      </c>
      <c r="C22" t="inlineStr">
        <is>
          <t>Walker's Xcel 500 Bluetooth Electronic Earmuffs (NRR 26dB)</t>
        </is>
      </c>
      <c r="D22" t="inlineStr">
        <is>
          <t>Walker's XCEL 500BT Electronic Active Shooting Hearing Protection &amp; Enhancement Earmuffs w/ 4 Listening Modes &amp; Bluetooth Connectivity, Gray (2 Pack)</t>
        </is>
      </c>
      <c r="E22" s="2">
        <f>HYPERLINK("https://www.amazon.com/Walkers-Bluetooth-Cancelling-Protection-Ear-Muffs/dp/B07JJCD7TM/ref=sr_1_7?keywords=Walker%27s+Xcel+500+Bluetooth+Electronic+Earmuffs+%28NRR+26dB%29&amp;qid=1694734413&amp;sr=8-7", "https://www.amazon.com/Walkers-Bluetooth-Cancelling-Protection-Ear-Muffs/dp/B07JJCD7TM/ref=sr_1_7?keywords=Walker%27s+Xcel+500+Bluetooth+Electronic+Earmuffs+%28NRR+26dB%29&amp;qid=1694734413&amp;sr=8-7")</f>
        <v/>
      </c>
      <c r="F22" t="inlineStr">
        <is>
          <t>B07JJCD7TM</t>
        </is>
      </c>
      <c r="G22">
        <f>_xlfn.IMAGE("https://media.mwstatic.com/product-images/src/Primary/864/864198.jpg?imwidth=680")</f>
        <v/>
      </c>
      <c r="H22">
        <f>_xlfn.IMAGE("https://m.media-amazon.com/images/I/71u8ubCtC0L._AC_UL320_.jpg")</f>
        <v/>
      </c>
      <c r="K22" t="inlineStr">
        <is>
          <t>45.0</t>
        </is>
      </c>
      <c r="L22" t="n">
        <v>185.99</v>
      </c>
      <c r="M22" s="1" t="inlineStr">
        <is>
          <t>313.31%</t>
        </is>
      </c>
      <c r="N22" s="7" t="n">
        <v>286.55</v>
      </c>
      <c r="O22" t="n">
        <v>4.4</v>
      </c>
      <c r="P22" t="n">
        <v>82</v>
      </c>
      <c r="R22" t="inlineStr">
        <is>
          <t>InStock</t>
        </is>
      </c>
      <c r="S22" t="inlineStr">
        <is>
          <t>119.99</t>
        </is>
      </c>
      <c r="T22" t="inlineStr">
        <is>
          <t>864198</t>
        </is>
      </c>
    </row>
    <row r="23" ht="87" customHeight="1">
      <c r="A23" s="2">
        <f>HYPERLINK("https://ads.midwayusa.com/product/102371904?pid=890690", "https://ads.midwayusa.com/product/102371904?pid=890690")</f>
        <v/>
      </c>
      <c r="B23" s="2">
        <f>HYPERLINK("https://ads.midwayusa.com/product/102371904", "https://ads.midwayusa.com/product/102371904")</f>
        <v/>
      </c>
      <c r="C23" t="inlineStr">
        <is>
          <t>SOG Terminus XR Folding Knife D2 Steel</t>
        </is>
      </c>
      <c r="D23" t="inlineStr">
        <is>
          <t>SOG Aegis at Tanto Outdoor Pocket Folding Opening Knife, Ambidextrous at-XR Lock with Ergonomic Handle, Heat-Treated D2 Steel Blade, Built-in Blade Locking Safety and Spine-Mounted Safety System</t>
        </is>
      </c>
      <c r="E23" s="2">
        <f>HYPERLINK("https://www.amazon.com/SOG-Outdoor-Ambidextrous-Ergonomic-Spine-Mounted/dp/B09P8X9TSH/ref=sr_1_4?keywords=SOG+Terminus+XR+Folding+Knife+D2+Steel&amp;qid=1694734414&amp;sr=8-4", "https://www.amazon.com/SOG-Outdoor-Ambidextrous-Ergonomic-Spine-Mounted/dp/B09P8X9TSH/ref=sr_1_4?keywords=SOG+Terminus+XR+Folding+Knife+D2+Steel&amp;qid=1694734414&amp;sr=8-4")</f>
        <v/>
      </c>
      <c r="F23" t="inlineStr">
        <is>
          <t>B09P8X9TSH</t>
        </is>
      </c>
      <c r="G23">
        <f>_xlfn.IMAGE("https://media.mwstatic.com/product-images/src/Primary/890/890690.jpg?imwidth=680")</f>
        <v/>
      </c>
      <c r="H23">
        <f>_xlfn.IMAGE("https://m.media-amazon.com/images/I/413wASzBUWL._AC_UL320_.jpg")</f>
        <v/>
      </c>
      <c r="K23" t="inlineStr">
        <is>
          <t>17.99</t>
        </is>
      </c>
      <c r="L23" t="n">
        <v>69.54000000000001</v>
      </c>
      <c r="M23" s="1" t="inlineStr">
        <is>
          <t>286.55%</t>
        </is>
      </c>
      <c r="N23" s="7" t="n">
        <v>172.98</v>
      </c>
      <c r="O23" t="n">
        <v>4.5</v>
      </c>
      <c r="P23" t="n">
        <v>20</v>
      </c>
      <c r="R23" t="inlineStr">
        <is>
          <t>InStock</t>
        </is>
      </c>
      <c r="S23" t="inlineStr">
        <is>
          <t>66.95</t>
        </is>
      </c>
      <c r="T23" t="inlineStr">
        <is>
          <t>890690</t>
        </is>
      </c>
    </row>
    <row r="24" hidden="1" ht="15.75" customHeight="1">
      <c r="A24" s="2">
        <f>HYPERLINK("https://ads.midwayusa.com/product/102371904?pid=890690", "https://ads.midwayusa.com/product/102371904?pid=890690")</f>
        <v/>
      </c>
      <c r="B24" s="2">
        <f>HYPERLINK("https://ads.midwayusa.com/product/102371904", "https://ads.midwayusa.com/product/102371904")</f>
        <v/>
      </c>
      <c r="C24" t="inlineStr">
        <is>
          <t>SOG Terminus XR Folding Knife D2 Steel</t>
        </is>
      </c>
      <c r="D24" t="inlineStr">
        <is>
          <t>SOG Everyday Carry EDC Ambidextrous D2 Stainless Steel 3.45" Sharp Blade Flash at Petrol Green Folding Knife</t>
        </is>
      </c>
      <c r="E24" s="2">
        <f>HYPERLINK("https://www.amazon.com/SOG-Everyday-Ambidextrous-Stainless-Folding/dp/B09SGKNN6V/ref=sr_1_15?keywords=SOG+Terminus+XR+Folding+Knife+D2+Steel&amp;qid=1694734414&amp;sr=8-15", "https://www.amazon.com/SOG-Everyday-Ambidextrous-Stainless-Folding/dp/B09SGKNN6V/ref=sr_1_15?keywords=SOG+Terminus+XR+Folding+Knife+D2+Steel&amp;qid=1694734414&amp;sr=8-15")</f>
        <v/>
      </c>
      <c r="F24" t="inlineStr">
        <is>
          <t>B09SGKNN6V</t>
        </is>
      </c>
      <c r="G24">
        <f>_xludf.IMAGE("https://media.mwstatic.com/product-images/src/Primary/890/890690.jpg?imwidth=680")</f>
        <v/>
      </c>
      <c r="H24">
        <f>_xludf.IMAGE("https://m.media-amazon.com/images/I/41iWVWagfpL._AC_UL320_.jpg")</f>
        <v/>
      </c>
      <c r="K24" t="inlineStr">
        <is>
          <t>17.99</t>
        </is>
      </c>
      <c r="L24" t="n">
        <v>63.92</v>
      </c>
      <c r="M24" s="1" t="inlineStr">
        <is>
          <t>255.31%</t>
        </is>
      </c>
      <c r="N24" s="1" t="n">
        <v>158.03</v>
      </c>
      <c r="O24" t="n">
        <v>1</v>
      </c>
      <c r="P24" t="n">
        <v>1</v>
      </c>
      <c r="R24" t="inlineStr">
        <is>
          <t>InStock</t>
        </is>
      </c>
      <c r="S24" t="inlineStr">
        <is>
          <t>66.95</t>
        </is>
      </c>
      <c r="T24" t="inlineStr">
        <is>
          <t>890690</t>
        </is>
      </c>
    </row>
    <row r="25" ht="87" customHeight="1">
      <c r="A25" s="2">
        <f>HYPERLINK("https://ads.midwayusa.com/product/102371904?pid=890690", "https://ads.midwayusa.com/product/102371904?pid=890690")</f>
        <v/>
      </c>
      <c r="B25" s="2">
        <f>HYPERLINK("https://ads.midwayusa.com/product/102371904", "https://ads.midwayusa.com/product/102371904")</f>
        <v/>
      </c>
      <c r="C25" t="inlineStr">
        <is>
          <t>SOG Terminus XR Folding Knife D2 Steel</t>
        </is>
      </c>
      <c r="D25" t="inlineStr">
        <is>
          <t>SOG Hunting High Carbon Steel Ambidextrous Carry EDC 2.95' Sharp Blade Terminus XR OD Green Folding Knife</t>
        </is>
      </c>
      <c r="E25" s="2">
        <f>HYPERLINK("https://www.amazon.com/SOG-SOGTM1022BX-Terminus-G10-Green/dp/B0817DMXLG/ref=sr_1_1?keywords=SOG+Terminus+XR+Folding+Knife+D2+Steel&amp;qid=1694734414&amp;sr=8-1", "https://www.amazon.com/SOG-SOGTM1022BX-Terminus-G10-Green/dp/B0817DMXLG/ref=sr_1_1?keywords=SOG+Terminus+XR+Folding+Knife+D2+Steel&amp;qid=1694734414&amp;sr=8-1")</f>
        <v/>
      </c>
      <c r="F25" t="inlineStr">
        <is>
          <t>B0817DMXLG</t>
        </is>
      </c>
      <c r="G25">
        <f>_xlfn.IMAGE("https://media.mwstatic.com/product-images/src/Primary/890/890690.jpg?imwidth=680")</f>
        <v/>
      </c>
      <c r="H25">
        <f>_xlfn.IMAGE("https://m.media-amazon.com/images/I/41ZGCRPGZvL._AC_UL320_.jpg")</f>
        <v/>
      </c>
      <c r="K25" t="inlineStr">
        <is>
          <t>17.99</t>
        </is>
      </c>
      <c r="L25" t="n">
        <v>49.11</v>
      </c>
      <c r="M25" s="1" t="inlineStr">
        <is>
          <t>172.98%</t>
        </is>
      </c>
      <c r="N25" s="7" t="n">
        <v>140.7</v>
      </c>
      <c r="O25" t="n">
        <v>4.5</v>
      </c>
      <c r="P25" t="n">
        <v>150</v>
      </c>
      <c r="R25" t="inlineStr">
        <is>
          <t>InStock</t>
        </is>
      </c>
      <c r="S25" t="inlineStr">
        <is>
          <t>66.95</t>
        </is>
      </c>
      <c r="T25" t="inlineStr">
        <is>
          <t>890690</t>
        </is>
      </c>
    </row>
    <row r="26" ht="87" customHeight="1">
      <c r="A26" s="2">
        <f>HYPERLINK("https://ads.midwayusa.com/product/102371904?pid=890690", "https://ads.midwayusa.com/product/102371904?pid=890690")</f>
        <v/>
      </c>
      <c r="B26" s="2">
        <f>HYPERLINK("https://ads.midwayusa.com/product/102371904", "https://ads.midwayusa.com/product/102371904")</f>
        <v/>
      </c>
      <c r="C26" t="inlineStr">
        <is>
          <t>SOG Terminus XR Folding Knife D2 Steel</t>
        </is>
      </c>
      <c r="D26" t="inlineStr">
        <is>
          <t>SOG Terminus XR G10 Folding Pocket Knife- Ambidextrous EDC Knife with Adjustable Belt Clip, G10 Handle, and Stonewashed Hardware- Crimson (TM1023-CP)</t>
        </is>
      </c>
      <c r="E26" s="2">
        <f>HYPERLINK("https://www.amazon.com/SOG-Ambidextrous-Adjustable-Stonewashed-Hardware/dp/B08RQJL1TB/ref=sr_1_2?keywords=SOG+Terminus+XR+Folding+Knife+D2+Steel&amp;qid=1694734414&amp;sr=8-2", "https://www.amazon.com/SOG-Ambidextrous-Adjustable-Stonewashed-Hardware/dp/B08RQJL1TB/ref=sr_1_2?keywords=SOG+Terminus+XR+Folding+Knife+D2+Steel&amp;qid=1694734414&amp;sr=8-2")</f>
        <v/>
      </c>
      <c r="F26" t="inlineStr">
        <is>
          <t>B08RQJL1TB</t>
        </is>
      </c>
      <c r="G26">
        <f>_xlfn.IMAGE("https://media.mwstatic.com/product-images/src/Primary/890/890690.jpg?imwidth=680")</f>
        <v/>
      </c>
      <c r="H26">
        <f>_xlfn.IMAGE("https://m.media-amazon.com/images/I/516CF3pU4DL._AC_UL320_.jpg")</f>
        <v/>
      </c>
      <c r="K26" t="inlineStr">
        <is>
          <t>17.99</t>
        </is>
      </c>
      <c r="L26" t="n">
        <v>46.42</v>
      </c>
      <c r="M26" s="1" t="inlineStr">
        <is>
          <t>158.03%</t>
        </is>
      </c>
      <c r="N26" s="7" t="n">
        <v>133.12</v>
      </c>
      <c r="O26" t="n">
        <v>4.3</v>
      </c>
      <c r="P26" t="n">
        <v>287</v>
      </c>
      <c r="R26" t="inlineStr">
        <is>
          <t>InStock</t>
        </is>
      </c>
      <c r="S26" t="inlineStr">
        <is>
          <t>66.95</t>
        </is>
      </c>
      <c r="T26" t="inlineStr">
        <is>
          <t>890690</t>
        </is>
      </c>
    </row>
    <row r="27" ht="87" customHeight="1">
      <c r="A27" s="2">
        <f>HYPERLINK("https://ads.midwayusa.com/product/1024124655?pid=991337", "https://ads.midwayusa.com/product/1024124655?pid=991337")</f>
        <v/>
      </c>
      <c r="B27" s="2">
        <f>HYPERLINK("https://ads.midwayusa.com/product/1024124655", "https://ads.midwayusa.com/product/1024124655")</f>
        <v/>
      </c>
      <c r="C27" t="inlineStr">
        <is>
          <t>SOG Altair XR Folding Knife</t>
        </is>
      </c>
      <c r="D27" t="inlineStr">
        <is>
          <t>SOG Urban Next Generation Gentleman's Stainless Steel Ambidextrous Carry EDC 2.8" Sharp Blade Ultra XR Carbon &amp; Gold Folding Knife</t>
        </is>
      </c>
      <c r="E27" s="2">
        <f>HYPERLINK("https://www.amazon.com/SOG-Ultra-XR-Carbon-Gold/dp/B08CWZW63X/ref=sr_1_4?keywords=SOG+Altair+XR+Folding+Knife&amp;qid=1694734413&amp;sr=8-4", "https://www.amazon.com/SOG-Ultra-XR-Carbon-Gold/dp/B08CWZW63X/ref=sr_1_4?keywords=SOG+Altair+XR+Folding+Knife&amp;qid=1694734413&amp;sr=8-4")</f>
        <v/>
      </c>
      <c r="F27" t="inlineStr">
        <is>
          <t>B08CWZW63X</t>
        </is>
      </c>
      <c r="G27">
        <f>_xlfn.IMAGE("https://media.mwstatic.com/product-images/src/Primary/991/991337.jpg?imwidth=680")</f>
        <v/>
      </c>
      <c r="H27">
        <f>_xlfn.IMAGE("https://m.media-amazon.com/images/I/41vNIvwBkNL._AC_UL320_.jpg")</f>
        <v/>
      </c>
      <c r="K27" t="inlineStr">
        <is>
          <t>37.49</t>
        </is>
      </c>
      <c r="L27" t="n">
        <v>90.23999999999999</v>
      </c>
      <c r="M27" s="1" t="inlineStr">
        <is>
          <t>140.70%</t>
        </is>
      </c>
      <c r="N27" s="7" t="n">
        <v>100.2</v>
      </c>
      <c r="O27" t="n">
        <v>4.4</v>
      </c>
      <c r="P27" t="n">
        <v>52</v>
      </c>
      <c r="R27" t="inlineStr">
        <is>
          <t>InStock</t>
        </is>
      </c>
      <c r="S27" t="inlineStr">
        <is>
          <t>138.95</t>
        </is>
      </c>
      <c r="T27" t="inlineStr">
        <is>
          <t>991337</t>
        </is>
      </c>
    </row>
    <row r="28" ht="87" customHeight="1">
      <c r="A28" s="2">
        <f>HYPERLINK("https://ads.midwayusa.com/product/1024683877?pid=340967", "https://ads.midwayusa.com/product/1024683877?pid=340967")</f>
        <v/>
      </c>
      <c r="B28" s="2">
        <f>HYPERLINK("https://ads.midwayusa.com/product/1024683877", "https://ads.midwayusa.com/product/1024683877")</f>
        <v/>
      </c>
      <c r="C28" t="inlineStr">
        <is>
          <t>SOG Powerpint Multi-Tool</t>
        </is>
      </c>
      <c r="D28" t="inlineStr">
        <is>
          <t>SOG PA3001-CP PowerAccess Assist Multi-Tool, Stonewashed</t>
        </is>
      </c>
      <c r="E28" s="2">
        <f>HYPERLINK("https://www.amazon.com/SOG-PA3001-CP-PowerAccess-Multi-Tool-Stonewashed/dp/B08RQ7MW2N/ref=sr_1_17?keywords=SOG+Powerpint+Multi-Tool&amp;qid=1694734414&amp;sr=8-17", "https://www.amazon.com/SOG-PA3001-CP-PowerAccess-Multi-Tool-Stonewashed/dp/B08RQ7MW2N/ref=sr_1_17?keywords=SOG+Powerpint+Multi-Tool&amp;qid=1694734414&amp;sr=8-17")</f>
        <v/>
      </c>
      <c r="F28" t="inlineStr">
        <is>
          <t>B08RQ7MW2N</t>
        </is>
      </c>
      <c r="G28">
        <f>_xlfn.IMAGE("https://media.mwstatic.com/product-images/src/Primary/340/340967.jpg?imwidth=680")</f>
        <v/>
      </c>
      <c r="H28">
        <f>_xlfn.IMAGE("https://m.media-amazon.com/images/I/41W4B9KnqJL._AC_UL320_.jpg")</f>
        <v/>
      </c>
      <c r="K28" t="inlineStr">
        <is>
          <t>34.96</t>
        </is>
      </c>
      <c r="L28" t="n">
        <v>81.5</v>
      </c>
      <c r="M28" s="1" t="inlineStr">
        <is>
          <t>133.12%</t>
        </is>
      </c>
      <c r="N28" s="7" t="n">
        <v>100.09</v>
      </c>
      <c r="O28" t="n">
        <v>4.5</v>
      </c>
      <c r="P28" t="n">
        <v>135</v>
      </c>
      <c r="R28" t="inlineStr">
        <is>
          <t>InStock</t>
        </is>
      </c>
      <c r="S28" t="inlineStr">
        <is>
          <t>55.95</t>
        </is>
      </c>
      <c r="T28" t="inlineStr">
        <is>
          <t>340967</t>
        </is>
      </c>
    </row>
    <row r="29" ht="87" customHeight="1">
      <c r="A29" s="2">
        <f>HYPERLINK("https://ads.midwayusa.com/product/1024683877?pid=340967", "https://ads.midwayusa.com/product/1024683877?pid=340967")</f>
        <v/>
      </c>
      <c r="B29" s="2">
        <f>HYPERLINK("https://ads.midwayusa.com/product/1024683877", "https://ads.midwayusa.com/product/1024683877")</f>
        <v/>
      </c>
      <c r="C29" t="inlineStr">
        <is>
          <t>SOG Powerpint Multi-Tool</t>
        </is>
      </c>
      <c r="D29" t="inlineStr">
        <is>
          <t>SOG Multitool Tactical Pen - Baton Q1 TSA Approved Travel Accessories, Multitool Pen with Travel Scissors, EDC Gear (ID1001-CP), 4 Tool</t>
        </is>
      </c>
      <c r="E29" s="2">
        <f>HYPERLINK("https://www.amazon.com/SOG-Multitool-Pocket-Tool-Screwdriver/dp/B01N3BL2TN/ref=sr_1_23?keywords=SOG+Powerpint+Multi-Tool&amp;qid=1694734414&amp;sr=8-23", "https://www.amazon.com/SOG-Multitool-Pocket-Tool-Screwdriver/dp/B01N3BL2TN/ref=sr_1_23?keywords=SOG+Powerpint+Multi-Tool&amp;qid=1694734414&amp;sr=8-23")</f>
        <v/>
      </c>
      <c r="F29" t="inlineStr">
        <is>
          <t>B01N3BL2TN</t>
        </is>
      </c>
      <c r="G29">
        <f>_xlfn.IMAGE("https://media.mwstatic.com/product-images/src/Primary/340/340967.jpg?imwidth=680")</f>
        <v/>
      </c>
      <c r="H29">
        <f>_xlfn.IMAGE("https://m.media-amazon.com/images/I/71Q+FG6K8+L._AC_UL320_.jpg")</f>
        <v/>
      </c>
      <c r="K29" t="inlineStr">
        <is>
          <t>34.96</t>
        </is>
      </c>
      <c r="L29" t="n">
        <v>69.98999999999999</v>
      </c>
      <c r="M29" s="1" t="inlineStr">
        <is>
          <t>100.20%</t>
        </is>
      </c>
      <c r="N29" s="7" t="n">
        <v>99.92</v>
      </c>
      <c r="O29" t="n">
        <v>4.5</v>
      </c>
      <c r="P29" t="n">
        <v>2098</v>
      </c>
      <c r="R29" t="inlineStr">
        <is>
          <t>InStock</t>
        </is>
      </c>
      <c r="S29" t="inlineStr">
        <is>
          <t>55.95</t>
        </is>
      </c>
      <c r="T29" t="inlineStr">
        <is>
          <t>340967</t>
        </is>
      </c>
    </row>
    <row r="30" ht="87" customHeight="1">
      <c r="A30" s="2">
        <f>HYPERLINK("https://ads.midwayusa.com/product/1024683877?pid=340967", "https://ads.midwayusa.com/product/1024683877?pid=340967")</f>
        <v/>
      </c>
      <c r="B30" s="2">
        <f>HYPERLINK("https://ads.midwayusa.com/product/1024683877", "https://ads.midwayusa.com/product/1024683877")</f>
        <v/>
      </c>
      <c r="C30" t="inlineStr">
        <is>
          <t>SOG Powerpint Multi-Tool</t>
        </is>
      </c>
      <c r="D30" t="inlineStr">
        <is>
          <t>SOG Everyday Daily Solution EDC CRYO D2 Steel Compact Pocket Size 7 in 1 Flash MT Multi-Tool</t>
        </is>
      </c>
      <c r="E30" s="2">
        <f>HYPERLINK("https://www.amazon.com/SOG-Everyday-Solution-Compact-Multi-Tool/dp/B09P8WL5L5/ref=sr_1_20?keywords=SOG+Powerpint+Multi-Tool&amp;qid=1694734414&amp;sr=8-20", "https://www.amazon.com/SOG-Everyday-Solution-Compact-Multi-Tool/dp/B09P8WL5L5/ref=sr_1_20?keywords=SOG+Powerpint+Multi-Tool&amp;qid=1694734414&amp;sr=8-20")</f>
        <v/>
      </c>
      <c r="F30" t="inlineStr">
        <is>
          <t>B09P8WL5L5</t>
        </is>
      </c>
      <c r="G30">
        <f>_xlfn.IMAGE("https://media.mwstatic.com/product-images/src/Primary/340/340967.jpg?imwidth=680")</f>
        <v/>
      </c>
      <c r="H30">
        <f>_xlfn.IMAGE("https://m.media-amazon.com/images/I/41zR3x2HzbL._AC_UL320_.jpg")</f>
        <v/>
      </c>
      <c r="K30" t="inlineStr">
        <is>
          <t>34.96</t>
        </is>
      </c>
      <c r="L30" t="n">
        <v>69.95</v>
      </c>
      <c r="M30" s="1" t="inlineStr">
        <is>
          <t>100.09%</t>
        </is>
      </c>
      <c r="N30" s="7" t="n">
        <v>90.56</v>
      </c>
      <c r="O30" t="n">
        <v>4.2</v>
      </c>
      <c r="P30" t="n">
        <v>46</v>
      </c>
      <c r="R30" t="inlineStr">
        <is>
          <t>InStock</t>
        </is>
      </c>
      <c r="S30" t="inlineStr">
        <is>
          <t>55.95</t>
        </is>
      </c>
      <c r="T30" t="inlineStr">
        <is>
          <t>340967</t>
        </is>
      </c>
    </row>
    <row r="31" ht="87" customHeight="1">
      <c r="A31" s="2">
        <f>HYPERLINK("https://ads.midwayusa.com/product/1024124655?pid=991337", "https://ads.midwayusa.com/product/1024124655?pid=991337")</f>
        <v/>
      </c>
      <c r="B31" s="2">
        <f>HYPERLINK("https://ads.midwayusa.com/product/1024124655", "https://ads.midwayusa.com/product/1024124655")</f>
        <v/>
      </c>
      <c r="C31" t="inlineStr">
        <is>
          <t>SOG Altair XR Folding Knife</t>
        </is>
      </c>
      <c r="D31" t="inlineStr">
        <is>
          <t>SOG Flash at-XR Mk3 Partially Serrated Folding Knife - Civic Cyan</t>
        </is>
      </c>
      <c r="E31" s="2">
        <f>HYPERLINK("https://www.amazon.com/SOG-Flash-Partially-Serrated-Folding/dp/B08VBS29B2/ref=sr_1_42?keywords=SOG+Altair+XR+Folding+Knife&amp;qid=1694734413&amp;sr=8-42", "https://www.amazon.com/SOG-Flash-Partially-Serrated-Folding/dp/B08VBS29B2/ref=sr_1_42?keywords=SOG+Altair+XR+Folding+Knife&amp;qid=1694734413&amp;sr=8-42")</f>
        <v/>
      </c>
      <c r="F31" t="inlineStr">
        <is>
          <t>B08VBS29B2</t>
        </is>
      </c>
      <c r="G31">
        <f>_xlfn.IMAGE("https://media.mwstatic.com/product-images/src/Primary/991/991337.jpg?imwidth=680")</f>
        <v/>
      </c>
      <c r="H31">
        <f>_xlfn.IMAGE("https://m.media-amazon.com/images/I/51cvmnCADsL._AC_UL320_.jpg")</f>
        <v/>
      </c>
      <c r="K31" t="inlineStr">
        <is>
          <t>37.49</t>
        </is>
      </c>
      <c r="L31" t="n">
        <v>74.95</v>
      </c>
      <c r="M31" s="1" t="inlineStr">
        <is>
          <t>99.92%</t>
        </is>
      </c>
      <c r="N31" s="7" t="n">
        <v>88.3</v>
      </c>
      <c r="O31" t="n">
        <v>4.5</v>
      </c>
      <c r="P31" t="n">
        <v>17</v>
      </c>
      <c r="R31" t="inlineStr">
        <is>
          <t>InStock</t>
        </is>
      </c>
      <c r="S31" t="inlineStr">
        <is>
          <t>138.95</t>
        </is>
      </c>
      <c r="T31" t="inlineStr">
        <is>
          <t>991337</t>
        </is>
      </c>
    </row>
    <row r="32" ht="87" customHeight="1">
      <c r="A32" s="2">
        <f>HYPERLINK("https://ads.midwayusa.com/product/1024124655?pid=991337", "https://ads.midwayusa.com/product/1024124655?pid=991337")</f>
        <v/>
      </c>
      <c r="B32" s="2">
        <f>HYPERLINK("https://ads.midwayusa.com/product/1024124655", "https://ads.midwayusa.com/product/1024124655")</f>
        <v/>
      </c>
      <c r="C32" t="inlineStr">
        <is>
          <t>SOG Altair XR Folding Knife</t>
        </is>
      </c>
      <c r="D32" t="inlineStr">
        <is>
          <t>SOG Flash at-XR Mk3 Partially Serrated Folding Knife Black Out</t>
        </is>
      </c>
      <c r="E32" s="2">
        <f>HYPERLINK("https://www.amazon.com/SOG-Flash-Partially-Serrated-Folding/dp/B08MXDTGVX/ref=sr_1_14?keywords=SOG+Altair+XR+Folding+Knife&amp;qid=1694734413&amp;sr=8-14", "https://www.amazon.com/SOG-Flash-Partially-Serrated-Folding/dp/B08MXDTGVX/ref=sr_1_14?keywords=SOG+Altair+XR+Folding+Knife&amp;qid=1694734413&amp;sr=8-14")</f>
        <v/>
      </c>
      <c r="F32" t="inlineStr">
        <is>
          <t>B08MXDTGVX</t>
        </is>
      </c>
      <c r="G32">
        <f>_xlfn.IMAGE("https://media.mwstatic.com/product-images/src/Primary/991/991337.jpg?imwidth=680")</f>
        <v/>
      </c>
      <c r="H32">
        <f>_xlfn.IMAGE("https://m.media-amazon.com/images/I/51W1URGRH9L._AC_UL320_.jpg")</f>
        <v/>
      </c>
      <c r="K32" t="inlineStr">
        <is>
          <t>37.49</t>
        </is>
      </c>
      <c r="L32" t="n">
        <v>71.44</v>
      </c>
      <c r="M32" s="1" t="inlineStr">
        <is>
          <t>90.56%</t>
        </is>
      </c>
      <c r="N32" s="7" t="n">
        <v>85.48999999999999</v>
      </c>
      <c r="O32" t="n">
        <v>4.7</v>
      </c>
      <c r="P32" t="n">
        <v>33</v>
      </c>
      <c r="R32" t="inlineStr">
        <is>
          <t>InStock</t>
        </is>
      </c>
      <c r="S32" t="inlineStr">
        <is>
          <t>138.95</t>
        </is>
      </c>
      <c r="T32" t="inlineStr">
        <is>
          <t>991337</t>
        </is>
      </c>
    </row>
    <row r="33" ht="87" customHeight="1">
      <c r="A33" s="2">
        <f>HYPERLINK("https://ads.midwayusa.com/product/1024683877?pid=340967", "https://ads.midwayusa.com/product/1024683877?pid=340967")</f>
        <v/>
      </c>
      <c r="B33" s="2">
        <f>HYPERLINK("https://ads.midwayusa.com/product/1024683877", "https://ads.midwayusa.com/product/1024683877")</f>
        <v/>
      </c>
      <c r="C33" t="inlineStr">
        <is>
          <t>SOG Powerpint Multi-Tool</t>
        </is>
      </c>
      <c r="D33" t="inlineStr">
        <is>
          <t>SOG PowerLock Oxide Stainless Steel Folding Knife 18 Multi Tool Pliers with Screwdrivers, Crimper, Can Opener, Gripper, and Cutter, Black</t>
        </is>
      </c>
      <c r="E33" s="2">
        <f>HYPERLINK("https://www.amazon.com/SOG-PowerLock-EOD-Black-Oxide-Nylon-Sheath-CP/dp/B01DT4WW7C/ref=sr_1_7?keywords=SOG+Powerpint+Multi-Tool&amp;qid=1694734414&amp;sr=8-7", "https://www.amazon.com/SOG-PowerLock-EOD-Black-Oxide-Nylon-Sheath-CP/dp/B01DT4WW7C/ref=sr_1_7?keywords=SOG+Powerpint+Multi-Tool&amp;qid=1694734414&amp;sr=8-7")</f>
        <v/>
      </c>
      <c r="F33" t="inlineStr">
        <is>
          <t>B01DT4WW7C</t>
        </is>
      </c>
      <c r="G33">
        <f>_xlfn.IMAGE("https://media.mwstatic.com/product-images/src/Primary/340/340967.jpg?imwidth=680")</f>
        <v/>
      </c>
      <c r="H33">
        <f>_xlfn.IMAGE("https://m.media-amazon.com/images/I/61Q5PhfdrQL._AC_UL320_.jpg")</f>
        <v/>
      </c>
      <c r="K33" t="inlineStr">
        <is>
          <t>34.96</t>
        </is>
      </c>
      <c r="L33" t="n">
        <v>65.83</v>
      </c>
      <c r="M33" s="1" t="inlineStr">
        <is>
          <t>88.30%</t>
        </is>
      </c>
      <c r="N33" s="7" t="n">
        <v>82.67</v>
      </c>
      <c r="O33" t="n">
        <v>4.3</v>
      </c>
      <c r="P33" t="n">
        <v>5</v>
      </c>
      <c r="R33" t="inlineStr">
        <is>
          <t>InStock</t>
        </is>
      </c>
      <c r="S33" t="inlineStr">
        <is>
          <t>55.95</t>
        </is>
      </c>
      <c r="T33" t="inlineStr">
        <is>
          <t>340967</t>
        </is>
      </c>
    </row>
    <row r="34" ht="87" customHeight="1">
      <c r="A34" s="2">
        <f>HYPERLINK("https://ads.midwayusa.com/product/1024124655?pid=991337", "https://ads.midwayusa.com/product/1024124655?pid=991337")</f>
        <v/>
      </c>
      <c r="B34" s="2">
        <f>HYPERLINK("https://ads.midwayusa.com/product/1024124655", "https://ads.midwayusa.com/product/1024124655")</f>
        <v/>
      </c>
      <c r="C34" t="inlineStr">
        <is>
          <t>SOG Altair XR Folding Knife</t>
        </is>
      </c>
      <c r="D34" t="inlineStr">
        <is>
          <t>SOG Aegis at Tanto Outdoor Pocket Folding Opening Knife, Ambidextrous at-XR Lock with Ergonomic Handle, Heat-Treated D2 Steel Blade, Built-in Blade Locking Safety and Spine-Mounted Safety System</t>
        </is>
      </c>
      <c r="E34" s="2">
        <f>HYPERLINK("https://www.amazon.com/SOG-Outdoor-Ambidextrous-Ergonomic-Spine-Mounted/dp/B09P8X9TSH/ref=sr_1_12?keywords=SOG+Altair+XR+Folding+Knife&amp;qid=1694734413&amp;sr=8-12", "https://www.amazon.com/SOG-Outdoor-Ambidextrous-Ergonomic-Spine-Mounted/dp/B09P8X9TSH/ref=sr_1_12?keywords=SOG+Altair+XR+Folding+Knife&amp;qid=1694734413&amp;sr=8-12")</f>
        <v/>
      </c>
      <c r="F34" t="inlineStr">
        <is>
          <t>B09P8X9TSH</t>
        </is>
      </c>
      <c r="G34">
        <f>_xlfn.IMAGE("https://media.mwstatic.com/product-images/src/Primary/991/991337.jpg?imwidth=680")</f>
        <v/>
      </c>
      <c r="H34">
        <f>_xlfn.IMAGE("https://m.media-amazon.com/images/I/413wASzBUWL._AC_UL320_.jpg")</f>
        <v/>
      </c>
      <c r="K34" t="inlineStr">
        <is>
          <t>37.49</t>
        </is>
      </c>
      <c r="L34" t="n">
        <v>69.54000000000001</v>
      </c>
      <c r="M34" s="1" t="inlineStr">
        <is>
          <t>85.49%</t>
        </is>
      </c>
      <c r="N34" s="7" t="n">
        <v>82.64</v>
      </c>
      <c r="O34" t="n">
        <v>4.5</v>
      </c>
      <c r="P34" t="n">
        <v>20</v>
      </c>
      <c r="R34" t="inlineStr">
        <is>
          <t>InStock</t>
        </is>
      </c>
      <c r="S34" t="inlineStr">
        <is>
          <t>138.95</t>
        </is>
      </c>
      <c r="T34" t="inlineStr">
        <is>
          <t>991337</t>
        </is>
      </c>
    </row>
    <row r="35" ht="87" customHeight="1">
      <c r="A35" s="2">
        <f>HYPERLINK("https://ads.midwayusa.com/product/1024683877?pid=340967", "https://ads.midwayusa.com/product/1024683877?pid=340967")</f>
        <v/>
      </c>
      <c r="B35" s="2">
        <f>HYPERLINK("https://ads.midwayusa.com/product/1024683877", "https://ads.midwayusa.com/product/1024683877")</f>
        <v/>
      </c>
      <c r="C35" t="inlineStr">
        <is>
          <t>SOG Powerpint Multi-Tool</t>
        </is>
      </c>
      <c r="D35" t="inlineStr">
        <is>
          <t>SOG ParaShears- Multi-Tool for Precise Work in Medical Applications with 11 Specialty Tools and Smooth Cutting-Red (23-125-02-43)</t>
        </is>
      </c>
      <c r="E35" s="2">
        <f>HYPERLINK("https://www.amazon.com/SOG-Knives-para-Shears-Red/dp/B08L1JBPVP/ref=sr_1_18?keywords=SOG+Powerpint+Multi-Tool&amp;qid=1694734414&amp;sr=8-18", "https://www.amazon.com/SOG-Knives-para-Shears-Red/dp/B08L1JBPVP/ref=sr_1_18?keywords=SOG+Powerpint+Multi-Tool&amp;qid=1694734414&amp;sr=8-18")</f>
        <v/>
      </c>
      <c r="F35" t="inlineStr">
        <is>
          <t>B08L1JBPVP</t>
        </is>
      </c>
      <c r="G35">
        <f>_xlfn.IMAGE("https://media.mwstatic.com/product-images/src/Primary/340/340967.jpg?imwidth=680")</f>
        <v/>
      </c>
      <c r="H35">
        <f>_xlfn.IMAGE("https://m.media-amazon.com/images/I/51D0PHLa+0L._AC_UL320_.jpg")</f>
        <v/>
      </c>
      <c r="K35" t="inlineStr">
        <is>
          <t>34.96</t>
        </is>
      </c>
      <c r="L35" t="n">
        <v>63.86</v>
      </c>
      <c r="M35" s="1" t="inlineStr">
        <is>
          <t>82.67%</t>
        </is>
      </c>
      <c r="N35" s="7" t="n">
        <v>79.41</v>
      </c>
      <c r="O35" t="n">
        <v>4.4</v>
      </c>
      <c r="P35" t="n">
        <v>34</v>
      </c>
      <c r="R35" t="inlineStr">
        <is>
          <t>InStock</t>
        </is>
      </c>
      <c r="S35" t="inlineStr">
        <is>
          <t>55.95</t>
        </is>
      </c>
      <c r="T35" t="inlineStr">
        <is>
          <t>340967</t>
        </is>
      </c>
    </row>
    <row r="36" ht="87" customHeight="1">
      <c r="A36" s="2">
        <f>HYPERLINK("https://ads.midwayusa.com/product/1024124655?pid=991337", "https://ads.midwayusa.com/product/1024124655?pid=991337")</f>
        <v/>
      </c>
      <c r="B36" s="2">
        <f>HYPERLINK("https://ads.midwayusa.com/product/1024124655", "https://ads.midwayusa.com/product/1024124655")</f>
        <v/>
      </c>
      <c r="C36" t="inlineStr">
        <is>
          <t>SOG Altair XR Folding Knife</t>
        </is>
      </c>
      <c r="D36" t="inlineStr">
        <is>
          <t>SOG Flash at-XR Mk3 Partially Serrated Folding Knife - Urban Grey</t>
        </is>
      </c>
      <c r="E36" s="2">
        <f>HYPERLINK("https://www.amazon.com/SOG-Flash-Partially-Serrated-Folding/dp/B08VC42W6Y/ref=sr_1_15?keywords=SOG+Altair+XR+Folding+Knife&amp;qid=1694734413&amp;sr=8-15", "https://www.amazon.com/SOG-Flash-Partially-Serrated-Folding/dp/B08VC42W6Y/ref=sr_1_15?keywords=SOG+Altair+XR+Folding+Knife&amp;qid=1694734413&amp;sr=8-15")</f>
        <v/>
      </c>
      <c r="F36" t="inlineStr">
        <is>
          <t>B08VC42W6Y</t>
        </is>
      </c>
      <c r="G36">
        <f>_xlfn.IMAGE("https://media.mwstatic.com/product-images/src/Primary/991/991337.jpg?imwidth=680")</f>
        <v/>
      </c>
      <c r="H36">
        <f>_xlfn.IMAGE("https://m.media-amazon.com/images/I/51kvoZmzVTL._AC_UL320_.jpg")</f>
        <v/>
      </c>
      <c r="K36" t="inlineStr">
        <is>
          <t>37.49</t>
        </is>
      </c>
      <c r="L36" t="n">
        <v>68.47</v>
      </c>
      <c r="M36" s="1" t="inlineStr">
        <is>
          <t>82.64%</t>
        </is>
      </c>
      <c r="N36" s="7" t="n">
        <v>66.08</v>
      </c>
      <c r="O36" t="n">
        <v>4.5</v>
      </c>
      <c r="P36" t="n">
        <v>38</v>
      </c>
      <c r="R36" t="inlineStr">
        <is>
          <t>InStock</t>
        </is>
      </c>
      <c r="S36" t="inlineStr">
        <is>
          <t>138.95</t>
        </is>
      </c>
      <c r="T36" t="inlineStr">
        <is>
          <t>991337</t>
        </is>
      </c>
    </row>
    <row r="37" ht="87" customHeight="1">
      <c r="A37" s="2">
        <f>HYPERLINK("https://ads.midwayusa.com/product/1024683877?pid=340967", "https://ads.midwayusa.com/product/1024683877?pid=340967")</f>
        <v/>
      </c>
      <c r="B37" s="2">
        <f>HYPERLINK("https://ads.midwayusa.com/product/1024683877", "https://ads.midwayusa.com/product/1024683877")</f>
        <v/>
      </c>
      <c r="C37" t="inlineStr">
        <is>
          <t>SOG Powerpint Multi-Tool</t>
        </is>
      </c>
      <c r="D37" t="inlineStr">
        <is>
          <t>SOG Multitool - Powerlock Heavy Duty Multitool Pliers, Electrician Wire Cutter Multi Tool w/Ballistic Nylon Multitool Sheath with Clip (S62N-CP)</t>
        </is>
      </c>
      <c r="E37" s="2">
        <f>HYPERLINK("https://www.amazon.com/SOG-Multitool-Powerlock-Electrician-Ballistic/dp/B000F27P4C/ref=sr_1_13?keywords=SOG+Powerpint+Multi-Tool&amp;qid=1694734414&amp;sr=8-13", "https://www.amazon.com/SOG-Multitool-Powerlock-Electrician-Ballistic/dp/B000F27P4C/ref=sr_1_13?keywords=SOG+Powerpint+Multi-Tool&amp;qid=1694734414&amp;sr=8-13")</f>
        <v/>
      </c>
      <c r="F37" t="inlineStr">
        <is>
          <t>B000F27P4C</t>
        </is>
      </c>
      <c r="G37">
        <f>_xlfn.IMAGE("https://media.mwstatic.com/product-images/src/Primary/340/340967.jpg?imwidth=680")</f>
        <v/>
      </c>
      <c r="H37">
        <f>_xlfn.IMAGE("https://m.media-amazon.com/images/I/61gZjZ-SIrL._AC_UL320_.jpg")</f>
        <v/>
      </c>
      <c r="K37" t="inlineStr">
        <is>
          <t>34.96</t>
        </is>
      </c>
      <c r="L37" t="n">
        <v>62.72</v>
      </c>
      <c r="M37" s="1" t="inlineStr">
        <is>
          <t>79.41%</t>
        </is>
      </c>
      <c r="N37" s="7" t="n">
        <v>60.13</v>
      </c>
      <c r="O37" t="n">
        <v>4.7</v>
      </c>
      <c r="P37" t="n">
        <v>694</v>
      </c>
      <c r="R37" t="inlineStr">
        <is>
          <t>InStock</t>
        </is>
      </c>
      <c r="S37" t="inlineStr">
        <is>
          <t>55.95</t>
        </is>
      </c>
      <c r="T37" t="inlineStr">
        <is>
          <t>340967</t>
        </is>
      </c>
    </row>
    <row r="38" ht="87" customHeight="1">
      <c r="A38" s="2">
        <f>HYPERLINK("https://ads.midwayusa.com/product/1024683877?pid=340967", "https://ads.midwayusa.com/product/1024683877?pid=340967")</f>
        <v/>
      </c>
      <c r="B38" s="2">
        <f>HYPERLINK("https://ads.midwayusa.com/product/1024683877", "https://ads.midwayusa.com/product/1024683877")</f>
        <v/>
      </c>
      <c r="C38" t="inlineStr">
        <is>
          <t>SOG Powerpint Multi-Tool</t>
        </is>
      </c>
      <c r="D38" t="inlineStr">
        <is>
          <t>SOG PA2002-CP PowerAccess Deluxe Multi-Tool, Black</t>
        </is>
      </c>
      <c r="E38" s="2">
        <f>HYPERLINK("https://www.amazon.com/SOG-PA2002-CP-PowerAccess-Deluxe-Multi-Tool/dp/B08RQZ6996/ref=sr_1_3?keywords=SOG+Powerpint+Multi-Tool&amp;qid=1694734414&amp;sr=8-3", "https://www.amazon.com/SOG-PA2002-CP-PowerAccess-Deluxe-Multi-Tool/dp/B08RQZ6996/ref=sr_1_3?keywords=SOG+Powerpint+Multi-Tool&amp;qid=1694734414&amp;sr=8-3")</f>
        <v/>
      </c>
      <c r="F38" t="inlineStr">
        <is>
          <t>B08RQZ6996</t>
        </is>
      </c>
      <c r="G38">
        <f>_xlfn.IMAGE("https://media.mwstatic.com/product-images/src/Primary/340/340967.jpg?imwidth=680")</f>
        <v/>
      </c>
      <c r="H38">
        <f>_xlfn.IMAGE("https://m.media-amazon.com/images/I/51EJBSDyt8L._AC_UL320_.jpg")</f>
        <v/>
      </c>
      <c r="K38" t="inlineStr">
        <is>
          <t>34.96</t>
        </is>
      </c>
      <c r="L38" t="n">
        <v>58.06</v>
      </c>
      <c r="M38" s="1" t="inlineStr">
        <is>
          <t>66.08%</t>
        </is>
      </c>
      <c r="N38" s="7" t="n">
        <v>59.12</v>
      </c>
      <c r="O38" t="n">
        <v>4.3</v>
      </c>
      <c r="P38" t="n">
        <v>295</v>
      </c>
      <c r="R38" t="inlineStr">
        <is>
          <t>InStock</t>
        </is>
      </c>
      <c r="S38" t="inlineStr">
        <is>
          <t>55.95</t>
        </is>
      </c>
      <c r="T38" t="inlineStr">
        <is>
          <t>340967</t>
        </is>
      </c>
    </row>
    <row r="39" ht="87" customHeight="1">
      <c r="A39" s="2">
        <f>HYPERLINK("https://ads.midwayusa.com/product/1024683877?pid=340967", "https://ads.midwayusa.com/product/1024683877?pid=340967")</f>
        <v/>
      </c>
      <c r="B39" s="2">
        <f>HYPERLINK("https://ads.midwayusa.com/product/1024683877", "https://ads.midwayusa.com/product/1024683877")</f>
        <v/>
      </c>
      <c r="C39" t="inlineStr">
        <is>
          <t>SOG Powerpint Multi-Tool</t>
        </is>
      </c>
      <c r="D39" t="inlineStr">
        <is>
          <t>SOG Multitool Pliers - PowerAssist Multi Tool Pocket Knife and Utility Tool Set w/ 16 Lightweight Specialty Tools and EDC Sheath</t>
        </is>
      </c>
      <c r="E39" s="2">
        <f>HYPERLINK("https://www.amazon.com/SOG-Multitool-Pliers-PowerAssist-Lightweight/dp/B001DZX7C4/ref=sr_1_14?keywords=SOG+Powerpint+Multi-Tool&amp;qid=1694734414&amp;sr=8-14", "https://www.amazon.com/SOG-Multitool-Pliers-PowerAssist-Lightweight/dp/B001DZX7C4/ref=sr_1_14?keywords=SOG+Powerpint+Multi-Tool&amp;qid=1694734414&amp;sr=8-14")</f>
        <v/>
      </c>
      <c r="F39" t="inlineStr">
        <is>
          <t>B001DZX7C4</t>
        </is>
      </c>
      <c r="G39">
        <f>_xlfn.IMAGE("https://media.mwstatic.com/product-images/src/Primary/340/340967.jpg?imwidth=680")</f>
        <v/>
      </c>
      <c r="H39">
        <f>_xlfn.IMAGE("https://m.media-amazon.com/images/I/71Og2uZYnjL._AC_UL320_.jpg")</f>
        <v/>
      </c>
      <c r="K39" t="inlineStr">
        <is>
          <t>34.96</t>
        </is>
      </c>
      <c r="L39" t="n">
        <v>55.98</v>
      </c>
      <c r="M39" s="1" t="inlineStr">
        <is>
          <t>60.13%</t>
        </is>
      </c>
      <c r="N39" s="7" t="n">
        <v>56.64</v>
      </c>
      <c r="O39" t="n">
        <v>4.5</v>
      </c>
      <c r="P39" t="n">
        <v>1276</v>
      </c>
      <c r="R39" t="inlineStr">
        <is>
          <t>InStock</t>
        </is>
      </c>
      <c r="S39" t="inlineStr">
        <is>
          <t>55.95</t>
        </is>
      </c>
      <c r="T39" t="inlineStr">
        <is>
          <t>340967</t>
        </is>
      </c>
    </row>
    <row r="40" ht="87" customHeight="1">
      <c r="A40" s="2">
        <f>HYPERLINK("https://ads.midwayusa.com/product/1024683877?pid=340967", "https://ads.midwayusa.com/product/1024683877?pid=340967")</f>
        <v/>
      </c>
      <c r="B40" s="2">
        <f>HYPERLINK("https://ads.midwayusa.com/product/1024683877", "https://ads.midwayusa.com/product/1024683877")</f>
        <v/>
      </c>
      <c r="C40" t="inlineStr">
        <is>
          <t>SOG Powerpint Multi-Tool</t>
        </is>
      </c>
      <c r="D40" t="inlineStr">
        <is>
          <t>SOG PowerLite Mini Utility Multi-Tool w/ 19 Lightweight Tools, Compact 5 Inch Long Utility Tool with Knife, Screwdriver, Hex Bit Holder (PL1002-CP) , Black</t>
        </is>
      </c>
      <c r="E40" s="2">
        <f>HYPERLINK("https://www.amazon.com/SOG-PL1002-CP-PowerLitre-Multi-Tool-Black/dp/B08RQHG7TL/ref=sr_1_6?keywords=SOG+Powerpint+Multi-Tool&amp;qid=1694734414&amp;sr=8-6", "https://www.amazon.com/SOG-PL1002-CP-PowerLitre-Multi-Tool-Black/dp/B08RQHG7TL/ref=sr_1_6?keywords=SOG+Powerpint+Multi-Tool&amp;qid=1694734414&amp;sr=8-6")</f>
        <v/>
      </c>
      <c r="F40" t="inlineStr">
        <is>
          <t>B08RQHG7TL</t>
        </is>
      </c>
      <c r="G40">
        <f>_xlfn.IMAGE("https://media.mwstatic.com/product-images/src/Primary/340/340967.jpg?imwidth=680")</f>
        <v/>
      </c>
      <c r="H40">
        <f>_xlfn.IMAGE("https://m.media-amazon.com/images/I/51MF2NPUQpL._AC_UL320_.jpg")</f>
        <v/>
      </c>
      <c r="K40" t="inlineStr">
        <is>
          <t>34.96</t>
        </is>
      </c>
      <c r="L40" t="n">
        <v>55.63</v>
      </c>
      <c r="M40" s="1" t="inlineStr">
        <is>
          <t>59.12%</t>
        </is>
      </c>
      <c r="N40" s="7" t="n">
        <v>51.14</v>
      </c>
      <c r="O40" t="n">
        <v>4.2</v>
      </c>
      <c r="P40" t="n">
        <v>62</v>
      </c>
      <c r="R40" t="inlineStr">
        <is>
          <t>InStock</t>
        </is>
      </c>
      <c r="S40" t="inlineStr">
        <is>
          <t>55.95</t>
        </is>
      </c>
      <c r="T40" t="inlineStr">
        <is>
          <t>340967</t>
        </is>
      </c>
    </row>
    <row r="41" ht="87" customHeight="1">
      <c r="A41" s="2">
        <f>HYPERLINK("https://ads.midwayusa.com/product/1024683877?pid=340967", "https://ads.midwayusa.com/product/1024683877?pid=340967")</f>
        <v/>
      </c>
      <c r="B41" s="2">
        <f>HYPERLINK("https://ads.midwayusa.com/product/1024683877", "https://ads.midwayusa.com/product/1024683877")</f>
        <v/>
      </c>
      <c r="C41" t="inlineStr">
        <is>
          <t>SOG Powerpint Multi-Tool</t>
        </is>
      </c>
      <c r="D41" t="inlineStr">
        <is>
          <t>SOG Multitool Belt Buckle - Sync I EDC Multi Tool Gadgets for Men, Pliers, Knife and 11 Survival Tools and Gadgets in Mini Tool Belt EDC Kit (SN1001-CP)</t>
        </is>
      </c>
      <c r="E41" s="2">
        <f>HYPERLINK("https://www.amazon.com/SOG-Multitool-Belt-Buckle-SN1001-CP/dp/B01N3BKZNG/ref=sr_1_11?keywords=SOG+Powerpint+Multi-Tool&amp;qid=1694734414&amp;sr=8-11", "https://www.amazon.com/SOG-Multitool-Belt-Buckle-SN1001-CP/dp/B01N3BKZNG/ref=sr_1_11?keywords=SOG+Powerpint+Multi-Tool&amp;qid=1694734414&amp;sr=8-11")</f>
        <v/>
      </c>
      <c r="F41" t="inlineStr">
        <is>
          <t>B01N3BKZNG</t>
        </is>
      </c>
      <c r="G41">
        <f>_xlfn.IMAGE("https://media.mwstatic.com/product-images/src/Primary/340/340967.jpg?imwidth=680")</f>
        <v/>
      </c>
      <c r="H41">
        <f>_xlfn.IMAGE("https://m.media-amazon.com/images/I/5146eml5aXL._AC_UL320_.jpg")</f>
        <v/>
      </c>
      <c r="K41" t="inlineStr">
        <is>
          <t>34.96</t>
        </is>
      </c>
      <c r="L41" t="n">
        <v>54.76</v>
      </c>
      <c r="M41" s="1" t="inlineStr">
        <is>
          <t>56.64%</t>
        </is>
      </c>
      <c r="N41" s="7" t="n">
        <v>45.85</v>
      </c>
      <c r="O41" t="n">
        <v>4.3</v>
      </c>
      <c r="P41" t="n">
        <v>296</v>
      </c>
      <c r="R41" t="inlineStr">
        <is>
          <t>InStock</t>
        </is>
      </c>
      <c r="S41" t="inlineStr">
        <is>
          <t>55.95</t>
        </is>
      </c>
      <c r="T41" t="inlineStr">
        <is>
          <t>340967</t>
        </is>
      </c>
    </row>
    <row r="42" ht="87" customHeight="1">
      <c r="A42" s="2">
        <f>HYPERLINK("https://ads.midwayusa.com/product/1024683877?pid=340967", "https://ads.midwayusa.com/product/1024683877?pid=340967")</f>
        <v/>
      </c>
      <c r="B42" s="2">
        <f>HYPERLINK("https://ads.midwayusa.com/product/1024683877", "https://ads.midwayusa.com/product/1024683877")</f>
        <v/>
      </c>
      <c r="C42" t="inlineStr">
        <is>
          <t>SOG Powerpint Multi-Tool</t>
        </is>
      </c>
      <c r="D42" t="inlineStr">
        <is>
          <t>SOG PowerLite Mini Multi-Tool- Utility Tool w/ 19 Specialty Tools, Compact 5 Inch Long Utility Tool w/ Knife, Screwdriver, Hex Bit Holder (PL1001-CP), Multi-color</t>
        </is>
      </c>
      <c r="E42" s="2">
        <f>HYPERLINK("https://www.amazon.com/SOG-Multitool-Pocket-Tool-PowerLitre/dp/B077LYZ951/ref=sr_1_9?keywords=SOG+Powerpint+Multi-Tool&amp;qid=1694734414&amp;sr=8-9", "https://www.amazon.com/SOG-Multitool-Pocket-Tool-PowerLitre/dp/B077LYZ951/ref=sr_1_9?keywords=SOG+Powerpint+Multi-Tool&amp;qid=1694734414&amp;sr=8-9")</f>
        <v/>
      </c>
      <c r="F42" t="inlineStr">
        <is>
          <t>B077LYZ951</t>
        </is>
      </c>
      <c r="G42">
        <f>_xlfn.IMAGE("https://media.mwstatic.com/product-images/src/Primary/340/340967.jpg?imwidth=680")</f>
        <v/>
      </c>
      <c r="H42">
        <f>_xlfn.IMAGE("https://m.media-amazon.com/images/I/51BRIo96BIL._AC_UL320_.jpg")</f>
        <v/>
      </c>
      <c r="K42" t="inlineStr">
        <is>
          <t>34.96</t>
        </is>
      </c>
      <c r="L42" t="n">
        <v>52.84</v>
      </c>
      <c r="M42" s="1" t="inlineStr">
        <is>
          <t>51.14%</t>
        </is>
      </c>
      <c r="N42" s="7" t="n">
        <v>44.45</v>
      </c>
      <c r="O42" t="n">
        <v>4.5</v>
      </c>
      <c r="P42" t="n">
        <v>139</v>
      </c>
      <c r="R42" t="inlineStr">
        <is>
          <t>InStock</t>
        </is>
      </c>
      <c r="S42" t="inlineStr">
        <is>
          <t>55.95</t>
        </is>
      </c>
      <c r="T42" t="inlineStr">
        <is>
          <t>340967</t>
        </is>
      </c>
    </row>
    <row r="43" ht="87" customHeight="1">
      <c r="A43" s="2">
        <f>HYPERLINK("https://ads.midwayusa.com/product/1024683877?pid=340967", "https://ads.midwayusa.com/product/1024683877?pid=340967")</f>
        <v/>
      </c>
      <c r="B43" s="2">
        <f>HYPERLINK("https://ads.midwayusa.com/product/1024683877", "https://ads.midwayusa.com/product/1024683877")</f>
        <v/>
      </c>
      <c r="C43" t="inlineStr">
        <is>
          <t>SOG Powerpint Multi-Tool</t>
        </is>
      </c>
      <c r="D43" t="inlineStr">
        <is>
          <t>SOG PowerAccess Multi-Tool EDC Utility Tool, One-Handed Open, 18 Lightweight Speciality Tools, Stainless 5CR15MOV Steel Construction-Black (PA1002-CP)</t>
        </is>
      </c>
      <c r="E43" s="2">
        <f>HYPERLINK("https://www.amazon.com/SOG-PA1002CP-PowerAccess-Multi-Tool-Black/dp/B08RQVMF92/ref=sr_1_8?keywords=SOG+Powerpint+Multi-Tool&amp;qid=1694734414&amp;sr=8-8", "https://www.amazon.com/SOG-PA1002CP-PowerAccess-Multi-Tool-Black/dp/B08RQVMF92/ref=sr_1_8?keywords=SOG+Powerpint+Multi-Tool&amp;qid=1694734414&amp;sr=8-8")</f>
        <v/>
      </c>
      <c r="F43" t="inlineStr">
        <is>
          <t>B08RQVMF92</t>
        </is>
      </c>
      <c r="G43">
        <f>_xlfn.IMAGE("https://media.mwstatic.com/product-images/src/Primary/340/340967.jpg?imwidth=680")</f>
        <v/>
      </c>
      <c r="H43">
        <f>_xlfn.IMAGE("https://m.media-amazon.com/images/I/615QyPQFcYL._AC_UL320_.jpg")</f>
        <v/>
      </c>
      <c r="K43" t="inlineStr">
        <is>
          <t>34.96</t>
        </is>
      </c>
      <c r="L43" t="n">
        <v>50.99</v>
      </c>
      <c r="M43" s="1" t="inlineStr">
        <is>
          <t>45.85%</t>
        </is>
      </c>
      <c r="N43" s="7" t="n">
        <v>42.99</v>
      </c>
      <c r="O43" t="n">
        <v>4.4</v>
      </c>
      <c r="P43" t="n">
        <v>154</v>
      </c>
      <c r="R43" t="inlineStr">
        <is>
          <t>InStock</t>
        </is>
      </c>
      <c r="S43" t="inlineStr">
        <is>
          <t>55.95</t>
        </is>
      </c>
      <c r="T43" t="inlineStr">
        <is>
          <t>340967</t>
        </is>
      </c>
    </row>
    <row r="44" ht="87" customHeight="1">
      <c r="A44" s="2">
        <f>HYPERLINK("https://ads.midwayusa.com/product/1024683877?pid=340967", "https://ads.midwayusa.com/product/1024683877?pid=340967")</f>
        <v/>
      </c>
      <c r="B44" s="2">
        <f>HYPERLINK("https://ads.midwayusa.com/product/1024683877", "https://ads.midwayusa.com/product/1024683877")</f>
        <v/>
      </c>
      <c r="C44" t="inlineStr">
        <is>
          <t>SOG Powerpint Multi-Tool</t>
        </is>
      </c>
      <c r="D44" t="inlineStr">
        <is>
          <t>SOG PowerAccess Multi-Tool Pliers with 2.4 inch Folding Knife - Lightweight EDC Utility Tool w/ 18 Multi-Purpose Tools, One-Handed Open (PA1001-CP)</t>
        </is>
      </c>
      <c r="E44" s="2">
        <f>HYPERLINK("https://www.amazon.com/SOG-PowerAccess-Multi-Tool-Construction-PA1001-CP/dp/B01LXP7BA6/ref=sr_1_5?keywords=SOG+Powerpint+Multi-Tool&amp;qid=1694734414&amp;sr=8-5", "https://www.amazon.com/SOG-PowerAccess-Multi-Tool-Construction-PA1001-CP/dp/B01LXP7BA6/ref=sr_1_5?keywords=SOG+Powerpint+Multi-Tool&amp;qid=1694734414&amp;sr=8-5")</f>
        <v/>
      </c>
      <c r="F44" t="inlineStr">
        <is>
          <t>B01LXP7BA6</t>
        </is>
      </c>
      <c r="G44">
        <f>_xlfn.IMAGE("https://media.mwstatic.com/product-images/src/Primary/340/340967.jpg?imwidth=680")</f>
        <v/>
      </c>
      <c r="H44">
        <f>_xlfn.IMAGE("https://m.media-amazon.com/images/I/81PbRZFzB3L._AC_UL320_.jpg")</f>
        <v/>
      </c>
      <c r="K44" t="inlineStr">
        <is>
          <t>34.96</t>
        </is>
      </c>
      <c r="L44" t="n">
        <v>50.5</v>
      </c>
      <c r="M44" s="1" t="inlineStr">
        <is>
          <t>44.45%</t>
        </is>
      </c>
      <c r="N44" s="7" t="n">
        <v>42.99</v>
      </c>
      <c r="O44" t="n">
        <v>4.4</v>
      </c>
      <c r="P44" t="n">
        <v>495</v>
      </c>
      <c r="R44" t="inlineStr">
        <is>
          <t>InStock</t>
        </is>
      </c>
      <c r="S44" t="inlineStr">
        <is>
          <t>55.95</t>
        </is>
      </c>
      <c r="T44" t="inlineStr">
        <is>
          <t>340967</t>
        </is>
      </c>
    </row>
    <row r="45" ht="87" customHeight="1">
      <c r="A45" s="2">
        <f>HYPERLINK("https://ads.midwayusa.com/product/1024683877?pid=340967", "https://ads.midwayusa.com/product/1024683877?pid=340967")</f>
        <v/>
      </c>
      <c r="B45" s="2">
        <f>HYPERLINK("https://ads.midwayusa.com/product/1024683877", "https://ads.midwayusa.com/product/1024683877")</f>
        <v/>
      </c>
      <c r="C45" t="inlineStr">
        <is>
          <t>SOG Powerpint Multi-Tool</t>
        </is>
      </c>
      <c r="D45" t="inlineStr">
        <is>
          <t>1791 EDC Pouch, Leather EDC Pocket Organizer for Belts fits Multitool, Knife, Keys and Small Flashlight - Compatible with Full Size Leatherman, Gerber, SOG Multitools - Burgandy</t>
        </is>
      </c>
      <c r="E45" s="2">
        <f>HYPERLINK("https://www.amazon.com/1791-EDC-Organizer-Multitool-Flashlight/dp/B0BLHSRPRL/ref=sr_1_47?keywords=SOG+Powerpint+Multi-Tool&amp;qid=1694734414&amp;sr=8-47", "https://www.amazon.com/1791-EDC-Organizer-Multitool-Flashlight/dp/B0BLHSRPRL/ref=sr_1_47?keywords=SOG+Powerpint+Multi-Tool&amp;qid=1694734414&amp;sr=8-47")</f>
        <v/>
      </c>
      <c r="F45" t="inlineStr">
        <is>
          <t>B0BLHSRPRL</t>
        </is>
      </c>
      <c r="G45">
        <f>_xlfn.IMAGE("https://media.mwstatic.com/product-images/src/Primary/340/340967.jpg?imwidth=680")</f>
        <v/>
      </c>
      <c r="H45">
        <f>_xlfn.IMAGE("https://m.media-amazon.com/images/I/71T3exYD1UL._AC_UL320_.jpg")</f>
        <v/>
      </c>
      <c r="K45" t="inlineStr">
        <is>
          <t>34.96</t>
        </is>
      </c>
      <c r="L45" t="n">
        <v>49.99</v>
      </c>
      <c r="M45" s="1" t="inlineStr">
        <is>
          <t>42.99%</t>
        </is>
      </c>
      <c r="N45" s="7" t="n">
        <v>30.99</v>
      </c>
      <c r="O45" t="n">
        <v>4.4</v>
      </c>
      <c r="P45" t="n">
        <v>35</v>
      </c>
      <c r="R45" t="inlineStr">
        <is>
          <t>InStock</t>
        </is>
      </c>
      <c r="S45" t="inlineStr">
        <is>
          <t>55.95</t>
        </is>
      </c>
      <c r="T45" t="inlineStr">
        <is>
          <t>340967</t>
        </is>
      </c>
    </row>
    <row r="46" hidden="1" ht="15.75" customHeight="1">
      <c r="A46" s="2">
        <f>HYPERLINK("https://ads.midwayusa.com/product/1024683877?pid=340967", "https://ads.midwayusa.com/product/1024683877?pid=340967")</f>
        <v/>
      </c>
      <c r="B46" s="2">
        <f>HYPERLINK("https://ads.midwayusa.com/product/1024683877", "https://ads.midwayusa.com/product/1024683877")</f>
        <v/>
      </c>
      <c r="C46" t="inlineStr">
        <is>
          <t>SOG Powerpint Multi-Tool</t>
        </is>
      </c>
      <c r="D46" t="inlineStr">
        <is>
          <t>SOG Aegis MT/Black +MOSS Multitool</t>
        </is>
      </c>
      <c r="E46" s="2">
        <f>HYPERLINK("https://www.amazon.com/SOG-Aegis-Black-MOSS-Multitool/dp/B0C1LJRWNY/ref=sr_1_42?keywords=SOG+Powerpint+Multi-Tool&amp;qid=1694734414&amp;sr=8-42", "https://www.amazon.com/SOG-Aegis-Black-MOSS-Multitool/dp/B0C1LJRWNY/ref=sr_1_42?keywords=SOG+Powerpint+Multi-Tool&amp;qid=1694734414&amp;sr=8-42")</f>
        <v/>
      </c>
      <c r="F46" t="inlineStr">
        <is>
          <t>B0C1LJRWNY</t>
        </is>
      </c>
      <c r="G46">
        <f>_xludf.IMAGE("https://media.mwstatic.com/product-images/src/Primary/340/340967.jpg?imwidth=680")</f>
        <v/>
      </c>
      <c r="H46">
        <f>_xludf.IMAGE("https://m.media-amazon.com/images/I/51dAlKQkiIL._AC_UL320_.jpg")</f>
        <v/>
      </c>
      <c r="K46" t="inlineStr">
        <is>
          <t>34.96</t>
        </is>
      </c>
      <c r="L46" t="n">
        <v>49.99</v>
      </c>
      <c r="M46" s="1" t="inlineStr">
        <is>
          <t>42.99%</t>
        </is>
      </c>
      <c r="N46" s="1" t="n">
        <v>28.58</v>
      </c>
      <c r="O46" t="n">
        <v>3.7</v>
      </c>
      <c r="P46" t="n">
        <v>3</v>
      </c>
      <c r="R46" t="inlineStr">
        <is>
          <t>InStock</t>
        </is>
      </c>
      <c r="S46" t="inlineStr">
        <is>
          <t>55.95</t>
        </is>
      </c>
      <c r="T46" t="inlineStr">
        <is>
          <t>340967</t>
        </is>
      </c>
    </row>
    <row r="47" ht="87" customHeight="1">
      <c r="A47" s="2">
        <f>HYPERLINK("https://ads.midwayusa.com/product/1024683877?pid=340967", "https://ads.midwayusa.com/product/1024683877?pid=340967")</f>
        <v/>
      </c>
      <c r="B47" s="2">
        <f>HYPERLINK("https://ads.midwayusa.com/product/1024683877", "https://ads.midwayusa.com/product/1024683877")</f>
        <v/>
      </c>
      <c r="C47" t="inlineStr">
        <is>
          <t>SOG Powerpint Multi-Tool</t>
        </is>
      </c>
      <c r="D47" t="inlineStr">
        <is>
          <t>SOG PowerAccess Deluxe Multi-Tool- EDC Utility Tool, 21 Lightweight Specialty Tools, Stainless 5CR15MOV Steel Construction w/ Nylon Sheath (PA2001-CP)</t>
        </is>
      </c>
      <c r="E47" s="2">
        <f>HYPERLINK("https://www.amazon.com/SOG-Multitool-Pliers-Pocket-Tool/dp/B077M3GMJT/ref=sr_1_4?keywords=SOG+Powerpint+Multi-Tool&amp;qid=1694734414&amp;sr=8-4", "https://www.amazon.com/SOG-Multitool-Pliers-Pocket-Tool/dp/B077M3GMJT/ref=sr_1_4?keywords=SOG+Powerpint+Multi-Tool&amp;qid=1694734414&amp;sr=8-4")</f>
        <v/>
      </c>
      <c r="F47" t="inlineStr">
        <is>
          <t>B077M3GMJT</t>
        </is>
      </c>
      <c r="G47">
        <f>_xlfn.IMAGE("https://media.mwstatic.com/product-images/src/Primary/340/340967.jpg?imwidth=680")</f>
        <v/>
      </c>
      <c r="H47">
        <f>_xlfn.IMAGE("https://m.media-amazon.com/images/I/61vfYq4kY3L._AC_UL320_.jpg")</f>
        <v/>
      </c>
      <c r="K47" t="inlineStr">
        <is>
          <t>34.96</t>
        </is>
      </c>
      <c r="L47" t="n">
        <v>49.99</v>
      </c>
      <c r="M47" s="1" t="inlineStr">
        <is>
          <t>42.99%</t>
        </is>
      </c>
      <c r="N47" s="7" t="n">
        <v>22.83</v>
      </c>
      <c r="O47" t="n">
        <v>4.5</v>
      </c>
      <c r="P47" t="n">
        <v>445</v>
      </c>
      <c r="R47" t="inlineStr">
        <is>
          <t>InStock</t>
        </is>
      </c>
      <c r="S47" t="inlineStr">
        <is>
          <t>55.95</t>
        </is>
      </c>
      <c r="T47" t="inlineStr">
        <is>
          <t>340967</t>
        </is>
      </c>
    </row>
    <row r="48" ht="87" customHeight="1">
      <c r="A48" s="2">
        <f>HYPERLINK("https://ads.midwayusa.com/product/1024124655?pid=991337", "https://ads.midwayusa.com/product/1024124655?pid=991337")</f>
        <v/>
      </c>
      <c r="B48" s="2">
        <f>HYPERLINK("https://ads.midwayusa.com/product/1024124655", "https://ads.midwayusa.com/product/1024124655")</f>
        <v/>
      </c>
      <c r="C48" t="inlineStr">
        <is>
          <t>SOG Altair XR Folding Knife</t>
        </is>
      </c>
      <c r="D48" t="inlineStr">
        <is>
          <t>SOG Hunting High Carbon Steel Ambidextrous Carry EDC 2.95' Sharp Blade Terminus XR OD Green Folding Knife</t>
        </is>
      </c>
      <c r="E48" s="2">
        <f>HYPERLINK("https://www.amazon.com/SOG-SOGTM1022BX-Terminus-G10-Green/dp/B0817DMXLG/ref=sr_1_5?keywords=SOG+Altair+XR+Folding+Knife&amp;qid=1694734413&amp;sr=8-5", "https://www.amazon.com/SOG-SOGTM1022BX-Terminus-G10-Green/dp/B0817DMXLG/ref=sr_1_5?keywords=SOG+Altair+XR+Folding+Knife&amp;qid=1694734413&amp;sr=8-5")</f>
        <v/>
      </c>
      <c r="F48" t="inlineStr">
        <is>
          <t>B0817DMXLG</t>
        </is>
      </c>
      <c r="G48">
        <f>_xlfn.IMAGE("https://media.mwstatic.com/product-images/src/Primary/991/991337.jpg?imwidth=680")</f>
        <v/>
      </c>
      <c r="H48">
        <f>_xlfn.IMAGE("https://m.media-amazon.com/images/I/41ZGCRPGZvL._AC_UL320_.jpg")</f>
        <v/>
      </c>
      <c r="K48" t="inlineStr">
        <is>
          <t>37.49</t>
        </is>
      </c>
      <c r="L48" t="n">
        <v>49.11</v>
      </c>
      <c r="M48" s="1" t="inlineStr">
        <is>
          <t>30.99%</t>
        </is>
      </c>
      <c r="N48" s="7" t="n">
        <v>21.1</v>
      </c>
      <c r="O48" t="n">
        <v>4.5</v>
      </c>
      <c r="P48" t="n">
        <v>150</v>
      </c>
      <c r="R48" t="inlineStr">
        <is>
          <t>InStock</t>
        </is>
      </c>
      <c r="S48" t="inlineStr">
        <is>
          <t>138.95</t>
        </is>
      </c>
      <c r="T48" t="inlineStr">
        <is>
          <t>991337</t>
        </is>
      </c>
    </row>
    <row r="49" ht="87" customHeight="1">
      <c r="A49" s="2">
        <f>HYPERLINK("https://ads.midwayusa.com/product/1024683877?pid=340967", "https://ads.midwayusa.com/product/1024683877?pid=340967")</f>
        <v/>
      </c>
      <c r="B49" s="2">
        <f>HYPERLINK("https://ads.midwayusa.com/product/1024683877", "https://ads.midwayusa.com/product/1024683877")</f>
        <v/>
      </c>
      <c r="C49" t="inlineStr">
        <is>
          <t>SOG Powerpint Multi-Tool</t>
        </is>
      </c>
      <c r="D49" t="inlineStr">
        <is>
          <t>SOG PowerPint Mini Multi-Tool-Utility Tool with Compound Leverage Smooth Open, 18 Lightweight Specialty Tools, Stainless Steel Blade-Black (PP1002-CP)</t>
        </is>
      </c>
      <c r="E49" s="2">
        <f>HYPERLINK("https://www.amazon.com/SOG-PP1002-CP-PowerPint-Multi-Tool-Black/dp/B08RQJWKP5/ref=sr_1_2?keywords=SOG+Powerpint+Multi-Tool&amp;qid=1694734414&amp;sr=8-2", "https://www.amazon.com/SOG-PP1002-CP-PowerPint-Multi-Tool-Black/dp/B08RQJWKP5/ref=sr_1_2?keywords=SOG+Powerpint+Multi-Tool&amp;qid=1694734414&amp;sr=8-2")</f>
        <v/>
      </c>
      <c r="F49" t="inlineStr">
        <is>
          <t>B08RQJWKP5</t>
        </is>
      </c>
      <c r="G49">
        <f>_xlfn.IMAGE("https://media.mwstatic.com/product-images/src/Primary/340/340967.jpg?imwidth=680")</f>
        <v/>
      </c>
      <c r="H49">
        <f>_xlfn.IMAGE("https://m.media-amazon.com/images/I/6164KVLGM+L._AC_UL320_.jpg")</f>
        <v/>
      </c>
      <c r="K49" t="inlineStr">
        <is>
          <t>34.96</t>
        </is>
      </c>
      <c r="L49" t="n">
        <v>44.95</v>
      </c>
      <c r="M49" s="1" t="inlineStr">
        <is>
          <t>28.58%</t>
        </is>
      </c>
      <c r="N49" s="7" t="n">
        <v>20.2</v>
      </c>
      <c r="O49" t="n">
        <v>4.5</v>
      </c>
      <c r="P49" t="n">
        <v>325</v>
      </c>
      <c r="R49" t="inlineStr">
        <is>
          <t>InStock</t>
        </is>
      </c>
      <c r="S49" t="inlineStr">
        <is>
          <t>55.95</t>
        </is>
      </c>
      <c r="T49" t="inlineStr">
        <is>
          <t>340967</t>
        </is>
      </c>
    </row>
    <row r="50" ht="87" customHeight="1">
      <c r="A50" s="2">
        <f>HYPERLINK("https://ads.midwayusa.com/product/1024683877?pid=340967", "https://ads.midwayusa.com/product/1024683877?pid=340967")</f>
        <v/>
      </c>
      <c r="B50" s="2">
        <f>HYPERLINK("https://ads.midwayusa.com/product/1024683877", "https://ads.midwayusa.com/product/1024683877")</f>
        <v/>
      </c>
      <c r="C50" t="inlineStr">
        <is>
          <t>SOG Powerpint Multi-Tool</t>
        </is>
      </c>
      <c r="D50" t="inlineStr">
        <is>
          <t>SOG Multitool Pliers Pocket Knife – PowerPint EDC Tool and Compact Lightweight Multi Tool w/ 18 Multitools in Multi-Purpose Tool (PP1001-CP)</t>
        </is>
      </c>
      <c r="E50" s="2">
        <f>HYPERLINK("https://www.amazon.com/SOG-Multitool-Pliers-Pocket-Knife/dp/B077LYXB6B/ref=sr_1_1?keywords=SOG+Powerpint+Multi-Tool&amp;qid=1694734414&amp;sr=8-1", "https://www.amazon.com/SOG-Multitool-Pliers-Pocket-Knife/dp/B077LYXB6B/ref=sr_1_1?keywords=SOG+Powerpint+Multi-Tool&amp;qid=1694734414&amp;sr=8-1")</f>
        <v/>
      </c>
      <c r="F50" t="inlineStr">
        <is>
          <t>B077LYXB6B</t>
        </is>
      </c>
      <c r="G50">
        <f>_xlfn.IMAGE("https://media.mwstatic.com/product-images/src/Primary/340/340967.jpg?imwidth=680")</f>
        <v/>
      </c>
      <c r="H50">
        <f>_xlfn.IMAGE("https://m.media-amazon.com/images/I/61BROJKRJCL._AC_UL320_.jpg")</f>
        <v/>
      </c>
      <c r="K50" t="inlineStr">
        <is>
          <t>34.96</t>
        </is>
      </c>
      <c r="L50" t="n">
        <v>42.94</v>
      </c>
      <c r="M50" s="1" t="inlineStr">
        <is>
          <t>22.83%</t>
        </is>
      </c>
      <c r="N50" s="7" t="n">
        <v>20.2</v>
      </c>
      <c r="O50" t="n">
        <v>4.5</v>
      </c>
      <c r="P50" t="n">
        <v>998</v>
      </c>
      <c r="R50" t="inlineStr">
        <is>
          <t>InStock</t>
        </is>
      </c>
      <c r="S50" t="inlineStr">
        <is>
          <t>55.95</t>
        </is>
      </c>
      <c r="T50" t="inlineStr">
        <is>
          <t>340967</t>
        </is>
      </c>
    </row>
    <row r="51" ht="87" customHeight="1">
      <c r="A51" s="2">
        <f>HYPERLINK("https://ads.midwayusa.com/product/1024124655?pid=991337", "https://ads.midwayusa.com/product/1024124655?pid=991337")</f>
        <v/>
      </c>
      <c r="B51" s="2">
        <f>HYPERLINK("https://ads.midwayusa.com/product/1024124655", "https://ads.midwayusa.com/product/1024124655")</f>
        <v/>
      </c>
      <c r="C51" t="inlineStr">
        <is>
          <t>SOG Altair XR Folding Knife</t>
        </is>
      </c>
      <c r="D51" t="inlineStr">
        <is>
          <t>SOG Terminus XR G10 Folding Pocket Knife- Ambidextrous EDC Knife with Adjustable Belt Clip, G10 Handle, and Stonewashed Hardware- Crimson (TM1023-CP)</t>
        </is>
      </c>
      <c r="E51" s="2">
        <f>HYPERLINK("https://www.amazon.com/SOG-Ambidextrous-Adjustable-Stonewashed-Hardware/dp/B08RQJL1TB/ref=sr_1_3?keywords=SOG+Altair+XR+Folding+Knife&amp;qid=1694734413&amp;sr=8-3", "https://www.amazon.com/SOG-Ambidextrous-Adjustable-Stonewashed-Hardware/dp/B08RQJL1TB/ref=sr_1_3?keywords=SOG+Altair+XR+Folding+Knife&amp;qid=1694734413&amp;sr=8-3")</f>
        <v/>
      </c>
      <c r="F51" t="inlineStr">
        <is>
          <t>B08RQJL1TB</t>
        </is>
      </c>
      <c r="G51">
        <f>_xlfn.IMAGE("https://media.mwstatic.com/product-images/src/Primary/991/991337.jpg?imwidth=680")</f>
        <v/>
      </c>
      <c r="H51">
        <f>_xlfn.IMAGE("https://m.media-amazon.com/images/I/516CF3pU4DL._AC_UL320_.jpg")</f>
        <v/>
      </c>
      <c r="K51" t="inlineStr">
        <is>
          <t>37.49</t>
        </is>
      </c>
      <c r="L51" t="n">
        <v>45.4</v>
      </c>
      <c r="M51" s="1" t="inlineStr">
        <is>
          <t>21.10%</t>
        </is>
      </c>
      <c r="N51" s="7" t="n">
        <v>14.39</v>
      </c>
      <c r="O51" t="n">
        <v>4.3</v>
      </c>
      <c r="P51" t="n">
        <v>287</v>
      </c>
      <c r="R51" t="inlineStr">
        <is>
          <t>InStock</t>
        </is>
      </c>
      <c r="S51" t="inlineStr">
        <is>
          <t>138.95</t>
        </is>
      </c>
      <c r="T51" t="inlineStr">
        <is>
          <t>991337</t>
        </is>
      </c>
    </row>
    <row r="52" ht="87" customHeight="1">
      <c r="A52" s="2">
        <f>HYPERLINK("https://ads.midwayusa.com/product/1025124079?pid=704824", "https://ads.midwayusa.com/product/1025124079?pid=704824")</f>
        <v/>
      </c>
      <c r="B52" s="2">
        <f>HYPERLINK("https://ads.midwayusa.com/product/1025124079", "https://ads.midwayusa.com/product/1025124079")</f>
        <v/>
      </c>
      <c r="C52" t="inlineStr">
        <is>
          <t>SOG Rapid Rescue Glass Breaker &amp; Seatbelt Cutter</t>
        </is>
      </c>
      <c r="D52" t="inlineStr">
        <is>
          <t>StatGear SuperVizor XT Auto Emergency Rescue Escape Tool - Seatbelt Cutter &amp; Window Glass Breaker Hammer Survival - Mounts Right to Your Sun-Visor! Pack of 2</t>
        </is>
      </c>
      <c r="E52" s="2">
        <f>HYPERLINK("https://www.amazon.com/StatGear-SuperVizor-Auto-Escape-Tool/dp/B01CMVW5AM/ref=sr_1_5?keywords=SOG+Rapid+Rescue+Glass+Breaker+%26+Seatbelt+Cutter&amp;qid=1694734413&amp;sr=8-5", "https://www.amazon.com/StatGear-SuperVizor-Auto-Escape-Tool/dp/B01CMVW5AM/ref=sr_1_5?keywords=SOG+Rapid+Rescue+Glass+Breaker+%26+Seatbelt+Cutter&amp;qid=1694734413&amp;sr=8-5")</f>
        <v/>
      </c>
      <c r="F52" t="inlineStr">
        <is>
          <t>B01CMVW5AM</t>
        </is>
      </c>
      <c r="G52">
        <f>_xlfn.IMAGE("https://media.mwstatic.com/product-images/src/Primary/704/704824.jpg?imwidth=680")</f>
        <v/>
      </c>
      <c r="H52">
        <f>_xlfn.IMAGE("https://m.media-amazon.com/images/I/61ZrfX60DCL._AC_UL320_.jpg")</f>
        <v/>
      </c>
      <c r="K52" t="inlineStr">
        <is>
          <t>24.95</t>
        </is>
      </c>
      <c r="L52" t="n">
        <v>29.99</v>
      </c>
      <c r="M52" s="1" t="inlineStr">
        <is>
          <t>20.20%</t>
        </is>
      </c>
      <c r="N52" s="7" t="n">
        <v>12.63</v>
      </c>
      <c r="O52" t="n">
        <v>4.7</v>
      </c>
      <c r="P52" t="n">
        <v>2493</v>
      </c>
      <c r="R52" t="inlineStr">
        <is>
          <t>InStock</t>
        </is>
      </c>
      <c r="S52" t="inlineStr">
        <is>
          <t>27.95</t>
        </is>
      </c>
      <c r="T52" t="inlineStr">
        <is>
          <t>704824</t>
        </is>
      </c>
    </row>
    <row r="53" ht="87" customHeight="1">
      <c r="A53" s="2">
        <f>HYPERLINK("https://ads.midwayusa.com/product/1025124079?pid=704824", "https://ads.midwayusa.com/product/1025124079?pid=704824")</f>
        <v/>
      </c>
      <c r="B53" s="2">
        <f>HYPERLINK("https://ads.midwayusa.com/product/1025124079", "https://ads.midwayusa.com/product/1025124079")</f>
        <v/>
      </c>
      <c r="C53" t="inlineStr">
        <is>
          <t>SOG Rapid Rescue Glass Breaker &amp; Seatbelt Cutter</t>
        </is>
      </c>
      <c r="D53" t="inlineStr">
        <is>
          <t>StatGear SuperVizor XT Auto Emergency Rescue Escape Tool - Seatbelt Cutter &amp; Window Glass Breaker Hammer Survival - Mounts Right to Your Sun-Visor! Pack of 2</t>
        </is>
      </c>
      <c r="E53" s="2">
        <f>HYPERLINK("https://www.amazon.com/StatGear-SuperVizor-Emergency-Rescue-Escape/dp/B01CMVW5SE/ref=sr_1_7?keywords=SOG+Rapid+Rescue+Glass+Breaker+%26+Seatbelt+Cutter&amp;qid=1694734413&amp;sr=8-7", "https://www.amazon.com/StatGear-SuperVizor-Emergency-Rescue-Escape/dp/B01CMVW5SE/ref=sr_1_7?keywords=SOG+Rapid+Rescue+Glass+Breaker+%26+Seatbelt+Cutter&amp;qid=1694734413&amp;sr=8-7")</f>
        <v/>
      </c>
      <c r="F53" t="inlineStr">
        <is>
          <t>B01CMVW5SE</t>
        </is>
      </c>
      <c r="G53">
        <f>_xlfn.IMAGE("https://media.mwstatic.com/product-images/src/Primary/704/704824.jpg?imwidth=680")</f>
        <v/>
      </c>
      <c r="H53">
        <f>_xlfn.IMAGE("https://m.media-amazon.com/images/I/41okE2no+DL._AC_UL320_.jpg")</f>
        <v/>
      </c>
      <c r="K53" t="inlineStr">
        <is>
          <t>24.95</t>
        </is>
      </c>
      <c r="L53" t="n">
        <v>29.99</v>
      </c>
      <c r="M53" s="1" t="inlineStr">
        <is>
          <t>20.20%</t>
        </is>
      </c>
      <c r="N53" s="7" t="n">
        <v>-14.24</v>
      </c>
      <c r="O53" t="n">
        <v>4.6</v>
      </c>
      <c r="P53" t="n">
        <v>492</v>
      </c>
      <c r="R53" t="inlineStr">
        <is>
          <t>InStock</t>
        </is>
      </c>
      <c r="S53" t="inlineStr">
        <is>
          <t>27.95</t>
        </is>
      </c>
      <c r="T53" t="inlineStr">
        <is>
          <t>704824</t>
        </is>
      </c>
    </row>
    <row r="54" hidden="1" ht="15.75" customHeight="1">
      <c r="A54" s="2">
        <f>HYPERLINK("https://ads.midwayusa.com/product/1024683877?pid=340967", "https://ads.midwayusa.com/product/1024683877?pid=340967")</f>
        <v/>
      </c>
      <c r="B54" s="2">
        <f>HYPERLINK("https://ads.midwayusa.com/product/1024683877", "https://ads.midwayusa.com/product/1024683877")</f>
        <v/>
      </c>
      <c r="C54" t="inlineStr">
        <is>
          <t>SOG Powerpint Multi-Tool</t>
        </is>
      </c>
      <c r="D54" t="inlineStr">
        <is>
          <t>SOG Aegis MT/Indigo + Acid Multitool</t>
        </is>
      </c>
      <c r="E54" s="2">
        <f>HYPERLINK("https://www.amazon.com/SOG-Aegis-Indigo-Acid-Multitool/dp/B0C1L8LJ2L/ref=sr_1_32?keywords=SOG+Powerpint+Multi-Tool&amp;qid=1694734414&amp;sr=8-32", "https://www.amazon.com/SOG-Aegis-Indigo-Acid-Multitool/dp/B0C1L8LJ2L/ref=sr_1_32?keywords=SOG+Powerpint+Multi-Tool&amp;qid=1694734414&amp;sr=8-32")</f>
        <v/>
      </c>
      <c r="F54" t="inlineStr">
        <is>
          <t>B0C1L8LJ2L</t>
        </is>
      </c>
      <c r="G54">
        <f>_xludf.IMAGE("https://media.mwstatic.com/product-images/src/Primary/340/340967.jpg?imwidth=680")</f>
        <v/>
      </c>
      <c r="H54">
        <f>_xludf.IMAGE("https://m.media-amazon.com/images/I/51CNsVDP85L._AC_UL320_.jpg")</f>
        <v/>
      </c>
      <c r="K54" t="inlineStr">
        <is>
          <t>34.96</t>
        </is>
      </c>
      <c r="L54" t="n">
        <v>41.01</v>
      </c>
      <c r="M54" s="1" t="inlineStr">
        <is>
          <t>17.31%</t>
        </is>
      </c>
      <c r="N54" s="1" t="n">
        <v>-15.02</v>
      </c>
      <c r="O54" t="n">
        <v>4</v>
      </c>
      <c r="P54" t="n">
        <v>1</v>
      </c>
      <c r="R54" t="inlineStr">
        <is>
          <t>InStock</t>
        </is>
      </c>
      <c r="S54" t="inlineStr">
        <is>
          <t>55.95</t>
        </is>
      </c>
      <c r="T54" t="inlineStr">
        <is>
          <t>340967</t>
        </is>
      </c>
    </row>
    <row r="55" ht="87" customHeight="1">
      <c r="A55" s="2">
        <f>HYPERLINK("https://ads.midwayusa.com/product/1024683877?pid=340967", "https://ads.midwayusa.com/product/1024683877?pid=340967")</f>
        <v/>
      </c>
      <c r="B55" s="2">
        <f>HYPERLINK("https://ads.midwayusa.com/product/1024683877", "https://ads.midwayusa.com/product/1024683877")</f>
        <v/>
      </c>
      <c r="C55" t="inlineStr">
        <is>
          <t>SOG Powerpint Multi-Tool</t>
        </is>
      </c>
      <c r="D55" t="inlineStr">
        <is>
          <t>Multitool Sheath by 1791 EDC for Pocket Size Multitool, Knife or Flashlight. Compatible with Pocket Size Leatherman, Gerber, SOG Multitools.</t>
        </is>
      </c>
      <c r="E55" s="2">
        <f>HYPERLINK("https://www.amazon.com/1791-EDC-flashlight-Compatible-Multitools/dp/B0BLHWC8X4/ref=sr_1_48?keywords=SOG+Powerpint+Multi-Tool&amp;qid=1694734414&amp;sr=8-48", "https://www.amazon.com/1791-EDC-flashlight-Compatible-Multitools/dp/B0BLHWC8X4/ref=sr_1_48?keywords=SOG+Powerpint+Multi-Tool&amp;qid=1694734414&amp;sr=8-48")</f>
        <v/>
      </c>
      <c r="F55" t="inlineStr">
        <is>
          <t>B0BLHWC8X4</t>
        </is>
      </c>
      <c r="G55">
        <f>_xlfn.IMAGE("https://media.mwstatic.com/product-images/src/Primary/340/340967.jpg?imwidth=680")</f>
        <v/>
      </c>
      <c r="H55">
        <f>_xlfn.IMAGE("https://m.media-amazon.com/images/I/71oqxBMS-UL._AC_UL320_.jpg")</f>
        <v/>
      </c>
      <c r="K55" t="inlineStr">
        <is>
          <t>34.96</t>
        </is>
      </c>
      <c r="L55" t="n">
        <v>39.99</v>
      </c>
      <c r="M55" s="1" t="inlineStr">
        <is>
          <t>14.39%</t>
        </is>
      </c>
      <c r="N55" s="7" t="n">
        <v>-18.76</v>
      </c>
      <c r="O55" t="n">
        <v>4.2</v>
      </c>
      <c r="P55" t="n">
        <v>42</v>
      </c>
      <c r="R55" t="inlineStr">
        <is>
          <t>InStock</t>
        </is>
      </c>
      <c r="S55" t="inlineStr">
        <is>
          <t>55.95</t>
        </is>
      </c>
      <c r="T55" t="inlineStr">
        <is>
          <t>340967</t>
        </is>
      </c>
    </row>
    <row r="56" ht="87" customHeight="1">
      <c r="A56" s="2">
        <f>HYPERLINK("https://ads.midwayusa.com/product/102521607?pid=725423", "https://ads.midwayusa.com/product/102521607?pid=725423")</f>
        <v/>
      </c>
      <c r="B56" s="2">
        <f>HYPERLINK("https://ads.midwayusa.com/product/102521607", "https://ads.midwayusa.com/product/102521607")</f>
        <v/>
      </c>
      <c r="C56" t="inlineStr">
        <is>
          <t>SOG Cash Card Folding Knife</t>
        </is>
      </c>
      <c r="D56" t="inlineStr">
        <is>
          <t>SOG Cash Card Money Clip Pocket Knife- 2.75 Inch Blade EDC Knife with Clip for Pocket, Money or Card Holder, Stainless Steel Handle with Built-In Lanyard Hole (EZ1-CP), Onesize, Satin Polished</t>
        </is>
      </c>
      <c r="E56" s="2">
        <f>HYPERLINK("https://www.amazon.com/SOG-Stainless-Lanyard-EZ1-CP-Polished/dp/B015QYHML4/ref=sr_1_1?keywords=SOG+Cash+Card+Folding+Knife&amp;qid=1694734413&amp;sr=8-1", "https://www.amazon.com/SOG-Stainless-Lanyard-EZ1-CP-Polished/dp/B015QYHML4/ref=sr_1_1?keywords=SOG+Cash+Card+Folding+Knife&amp;qid=1694734413&amp;sr=8-1")</f>
        <v/>
      </c>
      <c r="F56" t="inlineStr">
        <is>
          <t>B015QYHML4</t>
        </is>
      </c>
      <c r="G56">
        <f>_xlfn.IMAGE("https://media.mwstatic.com/product-images/src/Primary/725/725423.jpg?imwidth=680")</f>
        <v/>
      </c>
      <c r="H56">
        <f>_xlfn.IMAGE("https://m.media-amazon.com/images/I/814cTXk0MPL._AC_UL320_.jpg")</f>
        <v/>
      </c>
      <c r="K56" t="inlineStr">
        <is>
          <t>24.46</t>
        </is>
      </c>
      <c r="L56" t="n">
        <v>27.55</v>
      </c>
      <c r="M56" s="1" t="inlineStr">
        <is>
          <t>12.63%</t>
        </is>
      </c>
      <c r="N56" s="7" t="n">
        <v>-29.92</v>
      </c>
      <c r="O56" t="n">
        <v>4.7</v>
      </c>
      <c r="P56" t="n">
        <v>1096</v>
      </c>
      <c r="R56" t="inlineStr">
        <is>
          <t>InStock</t>
        </is>
      </c>
      <c r="S56" t="inlineStr">
        <is>
          <t>38.95</t>
        </is>
      </c>
      <c r="T56" t="inlineStr">
        <is>
          <t>725423</t>
        </is>
      </c>
    </row>
    <row r="57" ht="87" customHeight="1">
      <c r="A57" s="2">
        <f>HYPERLINK("https://ads.midwayusa.com/product/1024683877?pid=340967", "https://ads.midwayusa.com/product/1024683877?pid=340967")</f>
        <v/>
      </c>
      <c r="B57" s="2">
        <f>HYPERLINK("https://ads.midwayusa.com/product/1024683877", "https://ads.midwayusa.com/product/1024683877")</f>
        <v/>
      </c>
      <c r="C57" t="inlineStr">
        <is>
          <t>SOG Powerpint Multi-Tool</t>
        </is>
      </c>
      <c r="D57" t="inlineStr">
        <is>
          <t>Clip &amp; Carry Kydex Multitool Sheath for SOG POWERLOCK ~ Made in USA (Multi-Tool not Included) Multi Tool Holder Holster</t>
        </is>
      </c>
      <c r="E57" s="2">
        <f>HYPERLINK("https://www.amazon.com/Clip-Carry-Multitool-POWERLOCK-Multi-tool/dp/B092W4D7KJ/ref=sr_1_16?keywords=SOG+Powerpint+Multi-Tool&amp;qid=1694734414&amp;sr=8-16", "https://www.amazon.com/Clip-Carry-Multitool-POWERLOCK-Multi-tool/dp/B092W4D7KJ/ref=sr_1_16?keywords=SOG+Powerpint+Multi-Tool&amp;qid=1694734414&amp;sr=8-16")</f>
        <v/>
      </c>
      <c r="F57" t="inlineStr">
        <is>
          <t>B092W4D7KJ</t>
        </is>
      </c>
      <c r="G57">
        <f>_xlfn.IMAGE("https://media.mwstatic.com/product-images/src/Primary/340/340967.jpg?imwidth=680")</f>
        <v/>
      </c>
      <c r="H57">
        <f>_xlfn.IMAGE("https://m.media-amazon.com/images/I/71px9om3bVL._AC_UL320_.jpg")</f>
        <v/>
      </c>
      <c r="K57" t="inlineStr">
        <is>
          <t>34.96</t>
        </is>
      </c>
      <c r="L57" t="n">
        <v>29.98</v>
      </c>
      <c r="M57" s="1" t="inlineStr">
        <is>
          <t>-14.24%</t>
        </is>
      </c>
      <c r="N57" s="7" t="n">
        <v>-39.93</v>
      </c>
      <c r="O57" t="n">
        <v>4.7</v>
      </c>
      <c r="P57" t="n">
        <v>50</v>
      </c>
      <c r="R57" t="inlineStr">
        <is>
          <t>InStock</t>
        </is>
      </c>
      <c r="S57" t="inlineStr">
        <is>
          <t>55.95</t>
        </is>
      </c>
      <c r="T57" t="inlineStr">
        <is>
          <t>340967</t>
        </is>
      </c>
    </row>
    <row r="58" ht="87" customHeight="1">
      <c r="A58" s="2">
        <f>HYPERLINK("https://ads.midwayusa.com/product/1024683877?pid=340967", "https://ads.midwayusa.com/product/1024683877?pid=340967")</f>
        <v/>
      </c>
      <c r="B58" s="2">
        <f>HYPERLINK("https://ads.midwayusa.com/product/1024683877", "https://ads.midwayusa.com/product/1024683877")</f>
        <v/>
      </c>
      <c r="C58" t="inlineStr">
        <is>
          <t>SOG Powerpint Multi-Tool</t>
        </is>
      </c>
      <c r="D58" t="inlineStr">
        <is>
          <t>American Bench Craft Riveted Leather Multi Tool Case fits SOG PowerLock and PowerAssist - Leather Sheath (Black)</t>
        </is>
      </c>
      <c r="E58" s="2">
        <f>HYPERLINK("https://www.amazon.com/American-Bench-Craft-PowerLock-PowerAssist/dp/B07KQ8WP1N/ref=sr_1_15?keywords=SOG+Powerpint+Multi-Tool&amp;qid=1694734414&amp;sr=8-15", "https://www.amazon.com/American-Bench-Craft-PowerLock-PowerAssist/dp/B07KQ8WP1N/ref=sr_1_15?keywords=SOG+Powerpint+Multi-Tool&amp;qid=1694734414&amp;sr=8-15")</f>
        <v/>
      </c>
      <c r="F58" t="inlineStr">
        <is>
          <t>B07KQ8WP1N</t>
        </is>
      </c>
      <c r="G58">
        <f>_xlfn.IMAGE("https://media.mwstatic.com/product-images/src/Primary/340/340967.jpg?imwidth=680")</f>
        <v/>
      </c>
      <c r="H58">
        <f>_xlfn.IMAGE("https://m.media-amazon.com/images/I/81dIofYfCsL._AC_UL320_.jpg")</f>
        <v/>
      </c>
      <c r="K58" t="inlineStr">
        <is>
          <t>34.96</t>
        </is>
      </c>
      <c r="L58" t="n">
        <v>29.71</v>
      </c>
      <c r="M58" s="1" t="inlineStr">
        <is>
          <t>-15.02%</t>
        </is>
      </c>
      <c r="N58" s="7" t="n">
        <v>-39.93</v>
      </c>
      <c r="O58" t="n">
        <v>4.6</v>
      </c>
      <c r="P58" t="n">
        <v>132</v>
      </c>
      <c r="R58" t="inlineStr">
        <is>
          <t>InStock</t>
        </is>
      </c>
      <c r="S58" t="inlineStr">
        <is>
          <t>55.95</t>
        </is>
      </c>
      <c r="T58" t="inlineStr">
        <is>
          <t>340967</t>
        </is>
      </c>
    </row>
    <row r="59" ht="87" customHeight="1">
      <c r="A59" s="2">
        <f>HYPERLINK("https://ads.midwayusa.com/product/101924174?pid=889627", "https://ads.midwayusa.com/product/101924174?pid=889627")</f>
        <v/>
      </c>
      <c r="B59" s="2">
        <f>HYPERLINK("https://ads.midwayusa.com/product/101924174", "https://ads.midwayusa.com/product/101924174")</f>
        <v/>
      </c>
      <c r="C59" t="inlineStr">
        <is>
          <t>Browning Endeavor -20 Degree Sleeping Bag</t>
        </is>
      </c>
      <c r="D59" t="inlineStr">
        <is>
          <t>Browning Rambler -20 Degree Sleeping Bag</t>
        </is>
      </c>
      <c r="E59" s="2">
        <f>HYPERLINK("https://www.amazon.com/Browning-Rambler-20-Degree-Sleeping/dp/B09RC3XH41/ref=sr_1_4?keywords=Browning+Endeavor+-20+Degree+Sleeping+Bag&amp;qid=1694734413&amp;sr=8-4", "https://www.amazon.com/Browning-Rambler-20-Degree-Sleeping/dp/B09RC3XH41/ref=sr_1_4?keywords=Browning+Endeavor+-20+Degree+Sleeping+Bag&amp;qid=1694734413&amp;sr=8-4")</f>
        <v/>
      </c>
      <c r="F59" t="inlineStr">
        <is>
          <t>B09RC3XH41</t>
        </is>
      </c>
      <c r="G59">
        <f>_xlfn.IMAGE("https://media.mwstatic.com/product-images/src/Primary/889/889627.jpg?imwidth=680")</f>
        <v/>
      </c>
      <c r="H59">
        <f>_xlfn.IMAGE("https://m.media-amazon.com/images/I/71wrkXv6+fL._AC_UY218_.jpg")</f>
        <v/>
      </c>
      <c r="K59" t="inlineStr">
        <is>
          <t>160.0</t>
        </is>
      </c>
      <c r="L59" t="n">
        <v>129.99</v>
      </c>
      <c r="M59" s="1" t="inlineStr">
        <is>
          <t>-18.76%</t>
        </is>
      </c>
      <c r="N59" s="7" t="n">
        <v>-39.93</v>
      </c>
      <c r="O59" t="n">
        <v>5</v>
      </c>
      <c r="P59" t="n">
        <v>1</v>
      </c>
      <c r="R59" t="inlineStr">
        <is>
          <t>InStock</t>
        </is>
      </c>
      <c r="S59" t="inlineStr">
        <is>
          <t>219.99</t>
        </is>
      </c>
      <c r="T59" t="inlineStr">
        <is>
          <t>889627</t>
        </is>
      </c>
    </row>
    <row r="60" hidden="1" ht="15.75" customHeight="1">
      <c r="A60" s="2">
        <f>HYPERLINK("https://ads.midwayusa.com/product/1024683877?pid=340967", "https://ads.midwayusa.com/product/1024683877?pid=340967")</f>
        <v/>
      </c>
      <c r="B60" s="2">
        <f>HYPERLINK("https://ads.midwayusa.com/product/1024683877", "https://ads.midwayusa.com/product/1024683877")</f>
        <v/>
      </c>
      <c r="C60" t="inlineStr">
        <is>
          <t>SOG Powerpint Multi-Tool</t>
        </is>
      </c>
      <c r="D60" t="inlineStr">
        <is>
          <t>1791 EDC Multitool Case, American Leather, Multitool Pouch for Belts, Multitool Sheath with Snap, Compatible with Heavy Duty Leatherman, SOG and Gerber Multitools - Easy Slide Holster</t>
        </is>
      </c>
      <c r="E60" s="2">
        <f>HYPERLINK("https://www.amazon.com/1791-EDC-Compatible-Leatherman-Multitools/dp/B0BP8DSPKK/ref=sr_1_45?keywords=SOG+Powerpint+Multi-Tool&amp;qid=1694734414&amp;sr=8-45", "https://www.amazon.com/1791-EDC-Compatible-Leatherman-Multitools/dp/B0BP8DSPKK/ref=sr_1_45?keywords=SOG+Powerpint+Multi-Tool&amp;qid=1694734414&amp;sr=8-45")</f>
        <v/>
      </c>
      <c r="F60" t="inlineStr">
        <is>
          <t>B0BP8DSPKK</t>
        </is>
      </c>
      <c r="G60">
        <f>_xludf.IMAGE("https://media.mwstatic.com/product-images/src/Primary/340/340967.jpg?imwidth=680")</f>
        <v/>
      </c>
      <c r="H60">
        <f>_xludf.IMAGE("https://m.media-amazon.com/images/I/61+y2Koga+L._AC_UL320_.jpg")</f>
        <v/>
      </c>
      <c r="K60" t="inlineStr">
        <is>
          <t>34.96</t>
        </is>
      </c>
      <c r="L60" t="n">
        <v>24.99</v>
      </c>
      <c r="M60" s="1" t="inlineStr">
        <is>
          <t>-28.52%</t>
        </is>
      </c>
      <c r="N60" s="1" t="n">
        <v>-46.61</v>
      </c>
      <c r="O60" t="n">
        <v>3.9</v>
      </c>
      <c r="P60" t="n">
        <v>67</v>
      </c>
      <c r="R60" t="inlineStr">
        <is>
          <t>InStock</t>
        </is>
      </c>
      <c r="S60" t="inlineStr">
        <is>
          <t>55.95</t>
        </is>
      </c>
      <c r="T60" t="inlineStr">
        <is>
          <t>340967</t>
        </is>
      </c>
    </row>
    <row r="61" ht="87" customHeight="1">
      <c r="A61" s="2">
        <f>HYPERLINK("https://ads.midwayusa.com/product/1015495620?pid=186697", "https://ads.midwayusa.com/product/1015495620?pid=186697")</f>
        <v/>
      </c>
      <c r="B61" s="2">
        <f>HYPERLINK("https://ads.midwayusa.com/product/1015495620", "https://ads.midwayusa.com/product/1015495620")</f>
        <v/>
      </c>
      <c r="C61" t="inlineStr">
        <is>
          <t>SOG Entrenching Tool High Carbon Steel Black</t>
        </is>
      </c>
      <c r="D61" t="inlineStr">
        <is>
          <t>ZENHOSIT Folding Survival Shovel, Portable Camping Shovel with Axe, High Carbon Steel Entrenching Tool Tri-fold Handle Shovel with Tactical Shovel Carry Case for Camping, Hiking, Digging</t>
        </is>
      </c>
      <c r="E61" s="2">
        <f>HYPERLINK("https://www.amazon.com/ZENHOSIT-Survival-Portable-Flashlight-Entrenching/dp/B09NQGLVBZ/ref=sr_1_8?keywords=SOG+Entrenching+Tool+High+Carbon+Steel+Black&amp;qid=1694734414&amp;sr=8-8", "https://www.amazon.com/ZENHOSIT-Survival-Portable-Flashlight-Entrenching/dp/B09NQGLVBZ/ref=sr_1_8?keywords=SOG+Entrenching+Tool+High+Carbon+Steel+Black&amp;qid=1694734414&amp;sr=8-8")</f>
        <v/>
      </c>
      <c r="F61" t="inlineStr">
        <is>
          <t>B09NQGLVBZ</t>
        </is>
      </c>
      <c r="G61">
        <f>_xlfn.IMAGE("https://media.mwstatic.com/product-images/src/Primary/186/186697.jpg?imwidth=680")</f>
        <v/>
      </c>
      <c r="H61">
        <f>_xlfn.IMAGE("https://m.media-amazon.com/images/I/719CI87kQwL._AC_UL320_.jpg")</f>
        <v/>
      </c>
      <c r="K61" t="inlineStr">
        <is>
          <t>29.95</t>
        </is>
      </c>
      <c r="L61" t="n">
        <v>20.99</v>
      </c>
      <c r="M61" s="1" t="inlineStr">
        <is>
          <t>-29.92%</t>
        </is>
      </c>
      <c r="N61" s="7" t="n">
        <v>-46.61</v>
      </c>
      <c r="O61" t="n">
        <v>4.4</v>
      </c>
      <c r="P61" t="n">
        <v>75</v>
      </c>
      <c r="R61" t="inlineStr">
        <is>
          <t>InStock</t>
        </is>
      </c>
      <c r="S61" t="inlineStr">
        <is>
          <t>32.95</t>
        </is>
      </c>
      <c r="T61" t="inlineStr">
        <is>
          <t>186697</t>
        </is>
      </c>
    </row>
    <row r="62" ht="87" customHeight="1">
      <c r="A62" s="2">
        <f>HYPERLINK("https://ads.midwayusa.com/product/1015495620?pid=186697", "https://ads.midwayusa.com/product/1015495620?pid=186697")</f>
        <v/>
      </c>
      <c r="B62" s="2">
        <f>HYPERLINK("https://ads.midwayusa.com/product/1015495620", "https://ads.midwayusa.com/product/1015495620")</f>
        <v/>
      </c>
      <c r="C62" t="inlineStr">
        <is>
          <t>SOG Entrenching Tool High Carbon Steel Black</t>
        </is>
      </c>
      <c r="D62" t="inlineStr">
        <is>
          <t>Gold Armour Military Folding Camping Shovel, High Carbon Steel Survival Shovel Entrenching Tool Handle with Carrying Pouch</t>
        </is>
      </c>
      <c r="E62" s="2">
        <f>HYPERLINK("https://www.amazon.com/Gold-Armour-Military-Survival-Entrenching/dp/B08XBB755D/ref=sr_1_4?keywords=SOG+Entrenching+Tool+High+Carbon+Steel+Black&amp;qid=1694734414&amp;sr=8-4", "https://www.amazon.com/Gold-Armour-Military-Survival-Entrenching/dp/B08XBB755D/ref=sr_1_4?keywords=SOG+Entrenching+Tool+High+Carbon+Steel+Black&amp;qid=1694734414&amp;sr=8-4")</f>
        <v/>
      </c>
      <c r="F62" t="inlineStr">
        <is>
          <t>B08XBB755D</t>
        </is>
      </c>
      <c r="G62">
        <f>_xlfn.IMAGE("https://media.mwstatic.com/product-images/src/Primary/186/186697.jpg?imwidth=680")</f>
        <v/>
      </c>
      <c r="H62">
        <f>_xlfn.IMAGE("https://m.media-amazon.com/images/I/51s+vkeAD2S._AC_UL320_.jpg")</f>
        <v/>
      </c>
      <c r="K62" t="inlineStr">
        <is>
          <t>29.95</t>
        </is>
      </c>
      <c r="L62" t="n">
        <v>17.99</v>
      </c>
      <c r="M62" s="1" t="inlineStr">
        <is>
          <t>-39.93%</t>
        </is>
      </c>
      <c r="N62" s="7" t="n">
        <v>543.17</v>
      </c>
      <c r="O62" t="n">
        <v>4.5</v>
      </c>
      <c r="P62" t="n">
        <v>43</v>
      </c>
      <c r="R62" t="inlineStr">
        <is>
          <t>InStock</t>
        </is>
      </c>
      <c r="S62" t="inlineStr">
        <is>
          <t>32.95</t>
        </is>
      </c>
      <c r="T62" t="inlineStr">
        <is>
          <t>186697</t>
        </is>
      </c>
    </row>
    <row r="63" ht="87" customHeight="1">
      <c r="A63" s="2">
        <f>HYPERLINK("https://ads.midwayusa.com/product/1015495620?pid=186697", "https://ads.midwayusa.com/product/1015495620?pid=186697")</f>
        <v/>
      </c>
      <c r="B63" s="2">
        <f>HYPERLINK("https://ads.midwayusa.com/product/1015495620", "https://ads.midwayusa.com/product/1015495620")</f>
        <v/>
      </c>
      <c r="C63" t="inlineStr">
        <is>
          <t>SOG Entrenching Tool High Carbon Steel Black</t>
        </is>
      </c>
      <c r="D63" t="inlineStr">
        <is>
          <t>REDCAMP Military Folding Camping Shovel，High Carbon Steel Entrenching Tool Tri-fold Handle Shovel with Cover</t>
        </is>
      </c>
      <c r="E63" s="2">
        <f>HYPERLINK("https://www.amazon.com/REDCAMP-Military-Shovel%EF%BC%8CHigh-Entrenching-Tri-fold/dp/B0814VBNGK/ref=sr_1_3?keywords=SOG+Entrenching+Tool+High+Carbon+Steel+Black&amp;qid=1694734414&amp;sr=8-3", "https://www.amazon.com/REDCAMP-Military-Shovel%EF%BC%8CHigh-Entrenching-Tri-fold/dp/B0814VBNGK/ref=sr_1_3?keywords=SOG+Entrenching+Tool+High+Carbon+Steel+Black&amp;qid=1694734414&amp;sr=8-3")</f>
        <v/>
      </c>
      <c r="F63" t="inlineStr">
        <is>
          <t>B0814VBNGK</t>
        </is>
      </c>
      <c r="G63">
        <f>_xlfn.IMAGE("https://media.mwstatic.com/product-images/src/Primary/186/186697.jpg?imwidth=680")</f>
        <v/>
      </c>
      <c r="H63">
        <f>_xlfn.IMAGE("https://m.media-amazon.com/images/I/61N6SmkBMRL._AC_UL320_.jpg")</f>
        <v/>
      </c>
      <c r="K63" t="inlineStr">
        <is>
          <t>29.95</t>
        </is>
      </c>
      <c r="L63" t="n">
        <v>17.99</v>
      </c>
      <c r="M63" s="1" t="inlineStr">
        <is>
          <t>-39.93%</t>
        </is>
      </c>
      <c r="N63" s="7" t="n">
        <v>526.3</v>
      </c>
      <c r="O63" t="n">
        <v>4.6</v>
      </c>
      <c r="P63" t="n">
        <v>5883</v>
      </c>
      <c r="R63" t="inlineStr">
        <is>
          <t>InStock</t>
        </is>
      </c>
      <c r="S63" t="inlineStr">
        <is>
          <t>32.95</t>
        </is>
      </c>
      <c r="T63" t="inlineStr">
        <is>
          <t>186697</t>
        </is>
      </c>
    </row>
    <row r="64" ht="87" customHeight="1">
      <c r="A64" s="2">
        <f>HYPERLINK("https://ads.midwayusa.com/product/1015495620?pid=186697", "https://ads.midwayusa.com/product/1015495620?pid=186697")</f>
        <v/>
      </c>
      <c r="B64" s="2">
        <f>HYPERLINK("https://ads.midwayusa.com/product/1015495620", "https://ads.midwayusa.com/product/1015495620")</f>
        <v/>
      </c>
      <c r="C64" t="inlineStr">
        <is>
          <t>SOG Entrenching Tool High Carbon Steel Black</t>
        </is>
      </c>
      <c r="D64" t="inlineStr">
        <is>
          <t>MTB Military Folding Shovel Camping Shovel,High Carbon Steel Entrenching Tool w/Wood Saw Edge and Tactical Carry Case, 22.8 Inch, Black</t>
        </is>
      </c>
      <c r="E64" s="2">
        <f>HYPERLINK("https://www.amazon.com/MTB-Military-Folding-Entrenching-Tactical/dp/B08K77WV99/ref=sr_1_5?keywords=SOG+Entrenching+Tool+High+Carbon+Steel+Black&amp;qid=1694734414&amp;sr=8-5", "https://www.amazon.com/MTB-Military-Folding-Entrenching-Tactical/dp/B08K77WV99/ref=sr_1_5?keywords=SOG+Entrenching+Tool+High+Carbon+Steel+Black&amp;qid=1694734414&amp;sr=8-5")</f>
        <v/>
      </c>
      <c r="F64" t="inlineStr">
        <is>
          <t>B08K77WV99</t>
        </is>
      </c>
      <c r="G64">
        <f>_xlfn.IMAGE("https://media.mwstatic.com/product-images/src/Primary/186/186697.jpg?imwidth=680")</f>
        <v/>
      </c>
      <c r="H64">
        <f>_xlfn.IMAGE("https://m.media-amazon.com/images/I/619ySpLQ3RL._AC_UL320_.jpg")</f>
        <v/>
      </c>
      <c r="K64" t="inlineStr">
        <is>
          <t>29.95</t>
        </is>
      </c>
      <c r="L64" t="n">
        <v>17.99</v>
      </c>
      <c r="M64" s="1" t="inlineStr">
        <is>
          <t>-39.93%</t>
        </is>
      </c>
      <c r="N64" s="7" t="n">
        <v>288.12</v>
      </c>
      <c r="O64" t="n">
        <v>4.4</v>
      </c>
      <c r="P64" t="n">
        <v>178</v>
      </c>
      <c r="R64" t="inlineStr">
        <is>
          <t>InStock</t>
        </is>
      </c>
      <c r="S64" t="inlineStr">
        <is>
          <t>32.95</t>
        </is>
      </c>
      <c r="T64" t="inlineStr">
        <is>
          <t>186697</t>
        </is>
      </c>
    </row>
    <row r="65" ht="87" customHeight="1">
      <c r="A65" s="2">
        <f>HYPERLINK("https://ads.midwayusa.com/product/1015495620?pid=186697", "https://ads.midwayusa.com/product/1015495620?pid=186697")</f>
        <v/>
      </c>
      <c r="B65" s="2">
        <f>HYPERLINK("https://ads.midwayusa.com/product/1015495620", "https://ads.midwayusa.com/product/1015495620")</f>
        <v/>
      </c>
      <c r="C65" t="inlineStr">
        <is>
          <t>SOG Entrenching Tool High Carbon Steel Black</t>
        </is>
      </c>
      <c r="D65" t="inlineStr">
        <is>
          <t>DARTMOOR Mini Folding Shovel High Carbon Steel, Portable Lightweight Outdoor Tactical Survival Foldable Mini Shovel, Entrenching Tool, Camping, Hiking, Digging, Backpacking, Car Emergency</t>
        </is>
      </c>
      <c r="E65" s="2">
        <f>HYPERLINK("https://www.amazon.com/CO-Z-Portable-Lightweight-Backpacking-Emergency/dp/B075WV7FBK/ref=sr_1_6?keywords=SOG+Entrenching+Tool+High+Carbon+Steel+Black&amp;qid=1694734414&amp;sr=8-6", "https://www.amazon.com/CO-Z-Portable-Lightweight-Backpacking-Emergency/dp/B075WV7FBK/ref=sr_1_6?keywords=SOG+Entrenching+Tool+High+Carbon+Steel+Black&amp;qid=1694734414&amp;sr=8-6")</f>
        <v/>
      </c>
      <c r="F65" t="inlineStr">
        <is>
          <t>B075WV7FBK</t>
        </is>
      </c>
      <c r="G65">
        <f>_xlfn.IMAGE("https://media.mwstatic.com/product-images/src/Primary/186/186697.jpg?imwidth=680")</f>
        <v/>
      </c>
      <c r="H65">
        <f>_xlfn.IMAGE("https://m.media-amazon.com/images/I/71YWmqwJXaL._AC_UL320_.jpg")</f>
        <v/>
      </c>
      <c r="K65" t="inlineStr">
        <is>
          <t>29.95</t>
        </is>
      </c>
      <c r="L65" t="n">
        <v>15.99</v>
      </c>
      <c r="M65" s="1" t="inlineStr">
        <is>
          <t>-46.61%</t>
        </is>
      </c>
      <c r="N65" s="7" t="n">
        <v>214.9</v>
      </c>
      <c r="O65" t="n">
        <v>4.4</v>
      </c>
      <c r="P65" t="n">
        <v>2043</v>
      </c>
      <c r="R65" t="inlineStr">
        <is>
          <t>InStock</t>
        </is>
      </c>
      <c r="S65" t="inlineStr">
        <is>
          <t>32.95</t>
        </is>
      </c>
      <c r="T65" t="inlineStr">
        <is>
          <t>186697</t>
        </is>
      </c>
    </row>
    <row r="66" ht="87" customHeight="1">
      <c r="A66" s="2">
        <f>HYPERLINK("https://ads.midwayusa.com/product/1015495620?pid=186697", "https://ads.midwayusa.com/product/1015495620?pid=186697")</f>
        <v/>
      </c>
      <c r="B66" s="2">
        <f>HYPERLINK("https://ads.midwayusa.com/product/1015495620", "https://ads.midwayusa.com/product/1015495620")</f>
        <v/>
      </c>
      <c r="C66" t="inlineStr">
        <is>
          <t>SOG Entrenching Tool High Carbon Steel Black</t>
        </is>
      </c>
      <c r="D66" t="inlineStr">
        <is>
          <t>Yeacool Folding Shovel, 18.1'' Camping Shovel w/Pick, Entrenching Tool Military, Survival Foldable Spade, High Carbon Steel, with Carry Bag, for Digging, Metal Detecting, Backpacking and Car Emergency</t>
        </is>
      </c>
      <c r="E66" s="2">
        <f>HYPERLINK("https://www.amazon.com/Yeacool-Trenching-Shovel%EF%BC%8CFoldable-Detecting%EF%BC%8CBackpacking-Emergency/dp/B08BN8LJ1W/ref=sr_1_9?keywords=SOG+Entrenching+Tool+High+Carbon+Steel+Black&amp;qid=1694734414&amp;sr=8-9", "https://www.amazon.com/Yeacool-Trenching-Shovel%EF%BC%8CFoldable-Detecting%EF%BC%8CBackpacking-Emergency/dp/B08BN8LJ1W/ref=sr_1_9?keywords=SOG+Entrenching+Tool+High+Carbon+Steel+Black&amp;qid=1694734414&amp;sr=8-9")</f>
        <v/>
      </c>
      <c r="F66" t="inlineStr">
        <is>
          <t>B08BN8LJ1W</t>
        </is>
      </c>
      <c r="G66">
        <f>_xlfn.IMAGE("https://media.mwstatic.com/product-images/src/Primary/186/186697.jpg?imwidth=680")</f>
        <v/>
      </c>
      <c r="H66">
        <f>_xlfn.IMAGE("https://m.media-amazon.com/images/I/71-NUV+poJL._AC_UL320_.jpg")</f>
        <v/>
      </c>
      <c r="K66" t="inlineStr">
        <is>
          <t>29.95</t>
        </is>
      </c>
      <c r="L66" t="n">
        <v>15.99</v>
      </c>
      <c r="M66" s="1" t="inlineStr">
        <is>
          <t>-46.61%</t>
        </is>
      </c>
      <c r="N66" s="7" t="n">
        <v>187.6</v>
      </c>
      <c r="O66" t="n">
        <v>4.5</v>
      </c>
      <c r="P66" t="n">
        <v>167</v>
      </c>
      <c r="R66" t="inlineStr">
        <is>
          <t>InStock</t>
        </is>
      </c>
      <c r="S66" t="inlineStr">
        <is>
          <t>32.95</t>
        </is>
      </c>
      <c r="T66" t="inlineStr">
        <is>
          <t>186697</t>
        </is>
      </c>
    </row>
    <row r="67" ht="87" customHeight="1">
      <c r="A67" s="2">
        <f>HYPERLINK("https://edmondsonsupply.com/collections/hand-tools/products/hilmor-1839046", "https://edmondsonsupply.com/collections/hand-tools/products/hilmor-1839046")</f>
        <v/>
      </c>
      <c r="B67" s="2">
        <f>HYPERLINK("https://edmondsonsupply.com/products/hilmor-1839046", "https://edmondsonsupply.com/products/hilmor-1839046")</f>
        <v/>
      </c>
      <c r="C67" t="inlineStr">
        <is>
          <t>Hilmor 1839046 Service Wrench Hex Key Adapter</t>
        </is>
      </c>
      <c r="D67" t="inlineStr">
        <is>
          <t>Replacement for Yellow Jacket 60609 - Service Wrench Hex Key Adapter - 3/16" , 5/16"</t>
        </is>
      </c>
      <c r="E67" s="2">
        <f>HYPERLINK("https://www.amazon.com/Replacement-Yellow-Jacket-60609-Service/dp/B010GBZZPW/ref=sr_1_20?keywords=Hilmor+1839046+Service+Wrench+Hex+Key+Adapter&amp;qid=1694734424&amp;sr=8-20", "https://www.amazon.com/Replacement-Yellow-Jacket-60609-Service/dp/B010GBZZPW/ref=sr_1_20?keywords=Hilmor+1839046+Service+Wrench+Hex+Key+Adapter&amp;qid=1694734424&amp;sr=8-20")</f>
        <v/>
      </c>
      <c r="F67" t="inlineStr">
        <is>
          <t>B010GBZZPW</t>
        </is>
      </c>
      <c r="G67">
        <f>_xlfn.IMAGE("https://edmondsonsupply.com/cdn/shop/products/s-l500.jpg?v=1633030254")</f>
        <v/>
      </c>
      <c r="H67">
        <f>_xlfn.IMAGE("https://m.media-amazon.com/images/I/21OyKJYsZmL._AC_UL320_.jpg")</f>
        <v/>
      </c>
      <c r="K67" t="inlineStr">
        <is>
          <t>3.22</t>
        </is>
      </c>
      <c r="L67" t="n">
        <v>20.71</v>
      </c>
      <c r="M67" s="1" t="inlineStr">
        <is>
          <t>543.17%</t>
        </is>
      </c>
      <c r="N67" s="7" t="n">
        <v>125.11</v>
      </c>
      <c r="O67" t="n">
        <v>4.5</v>
      </c>
      <c r="P67" t="n">
        <v>53</v>
      </c>
      <c r="R67" t="inlineStr">
        <is>
          <t>InStock</t>
        </is>
      </c>
      <c r="S67" t="inlineStr">
        <is>
          <t>undefined</t>
        </is>
      </c>
      <c r="T67" t="inlineStr">
        <is>
          <t>4630002172004</t>
        </is>
      </c>
    </row>
    <row r="68" ht="87" customHeight="1">
      <c r="A68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68" s="2">
        <f>HYPERLINK("https://edmondsonsupply.com/products/klein-tools-65200-electricians-mini-ratchet-set-5-piece", "https://edmondsonsupply.com/products/klein-tools-65200-electricians-mini-ratchet-set-5-piece")</f>
        <v/>
      </c>
      <c r="C68" t="inlineStr">
        <is>
          <t>Klein Tools 65200 Slim-Profile Mini Ratchet Set, 5-Piece</t>
        </is>
      </c>
      <c r="D68" t="inlineStr">
        <is>
          <t>KNIPEX Tools - 2 Piece Mini Pliers Wrench Set (9K0080121US) &amp; Klein Tools 65200 Ratchet Set, 5-Piece Mini Ratchet Set with Phillips, Slotted, and Adapter for Other Socket Sizes, For Tight Spaces</t>
        </is>
      </c>
      <c r="E68" s="2">
        <f>HYPERLINK("https://www.amazon.com/KNIPEX-Tools-9K0080121US-Ratchet-Phillips/dp/B0C9ZYJDDN/ref=sr_1_7?keywords=Klein+Tools+65200+Slim-Profile+Mini+Ratchet+Set%2C+5-Piece&amp;qid=1694734424&amp;sr=8-7", "https://www.amazon.com/KNIPEX-Tools-9K0080121US-Ratchet-Phillips/dp/B0C9ZYJDDN/ref=sr_1_7?keywords=Klein+Tools+65200+Slim-Profile+Mini+Ratchet+Set%2C+5-Piece&amp;qid=1694734424&amp;sr=8-7")</f>
        <v/>
      </c>
      <c r="F68" t="inlineStr">
        <is>
          <t>B0C9ZYJDDN</t>
        </is>
      </c>
      <c r="G68">
        <f>_xlfn.IMAGE("https://edmondsonsupply.com/cdn/shop/products/65200.jpg?v=1633030630")</f>
        <v/>
      </c>
      <c r="H68">
        <f>_xlfn.IMAGE("https://m.media-amazon.com/images/I/516RxJHqDiL._AC_UL320_.jpg")</f>
        <v/>
      </c>
      <c r="K68" t="inlineStr">
        <is>
          <t>15.97</t>
        </is>
      </c>
      <c r="L68" t="n">
        <v>100.02</v>
      </c>
      <c r="M68" s="1" t="inlineStr">
        <is>
          <t>526.30%</t>
        </is>
      </c>
      <c r="N68" s="7" t="n">
        <v>117.7</v>
      </c>
      <c r="O68" t="n">
        <v>4.8</v>
      </c>
      <c r="P68" t="n">
        <v>1146</v>
      </c>
      <c r="R68" t="inlineStr">
        <is>
          <t>InStock</t>
        </is>
      </c>
      <c r="S68" t="inlineStr">
        <is>
          <t>20.96</t>
        </is>
      </c>
      <c r="T68" t="inlineStr">
        <is>
          <t>5694440964264</t>
        </is>
      </c>
    </row>
    <row r="69" hidden="1" ht="15.75" customHeight="1">
      <c r="A69" s="2">
        <f>HYPERLINK("https://edmondsonsupply.com/collections/hand-tools/products/hilmor-1839046", "https://edmondsonsupply.com/collections/hand-tools/products/hilmor-1839046")</f>
        <v/>
      </c>
      <c r="B69" s="2">
        <f>HYPERLINK("https://edmondsonsupply.com/products/hilmor-1839046", "https://edmondsonsupply.com/products/hilmor-1839046")</f>
        <v/>
      </c>
      <c r="C69" t="inlineStr">
        <is>
          <t>Hilmor 1839046 Service Wrench Hex Key Adapter</t>
        </is>
      </c>
      <c r="D69" t="inlineStr">
        <is>
          <t>Uniweld DHW316 Dual 3/16" &amp; 5/16" Hex Key Adapter for Service Ratcheting Wrench</t>
        </is>
      </c>
      <c r="E69" s="2">
        <f>HYPERLINK("https://www.amazon.com/Uniweld-DHW316/dp/B00ECC6DR6/ref=sr_1_3?keywords=Hilmor+1839046+Service+Wrench+Hex+Key+Adapter&amp;qid=1694734424&amp;sr=8-3", "https://www.amazon.com/Uniweld-DHW316/dp/B00ECC6DR6/ref=sr_1_3?keywords=Hilmor+1839046+Service+Wrench+Hex+Key+Adapter&amp;qid=1694734424&amp;sr=8-3")</f>
        <v/>
      </c>
      <c r="F69" t="inlineStr">
        <is>
          <t>B00ECC6DR6</t>
        </is>
      </c>
      <c r="G69">
        <f>_xludf.IMAGE("https://edmondsonsupply.com/cdn/shop/products/s-l500.jpg?v=1633030254")</f>
        <v/>
      </c>
      <c r="H69">
        <f>_xludf.IMAGE("https://m.media-amazon.com/images/I/61AUWm45d4L._AC_UL320_.jpg")</f>
        <v/>
      </c>
      <c r="K69" t="inlineStr">
        <is>
          <t>3.22</t>
        </is>
      </c>
      <c r="L69" t="n">
        <v>14.19</v>
      </c>
      <c r="M69" s="1" t="inlineStr">
        <is>
          <t>340.68%</t>
        </is>
      </c>
      <c r="N69" s="1" t="n">
        <v>108.41</v>
      </c>
      <c r="O69" t="n">
        <v>3.9</v>
      </c>
      <c r="P69" t="n">
        <v>26</v>
      </c>
      <c r="R69" t="inlineStr">
        <is>
          <t>InStock</t>
        </is>
      </c>
      <c r="S69" t="inlineStr">
        <is>
          <t>undefined</t>
        </is>
      </c>
      <c r="T69" t="inlineStr">
        <is>
          <t>4630002172004</t>
        </is>
      </c>
    </row>
    <row r="70" ht="87" customHeight="1">
      <c r="A70" s="2">
        <f>HYPERLINK("https://edmondsonsupply.com/collections/hand-tools/products/malco-mshc-2-inch-c-rhex-cleanable-reversible-magnetic-hex-driver-1-4-5-16", "https://edmondsonsupply.com/collections/hand-tools/products/malco-mshc-2-inch-c-rhex-cleanable-reversible-magnetic-hex-driver-1-4-5-16")</f>
        <v/>
      </c>
      <c r="B70" s="2">
        <f>HYPERLINK("https://edmondsonsupply.com/products/malco-mshc-2-inch-c-rhex-cleanable-reversible-magnetic-hex-driver-1-4-5-16", "https://edmondsonsupply.com/products/malco-mshc-2-inch-c-rhex-cleanable-reversible-magnetic-hex-driver-1-4-5-16")</f>
        <v/>
      </c>
      <c r="C70" t="inlineStr">
        <is>
          <t>Malco Tools MSHC 2-Inch C-Rhex Cleanable, Reversible Magnetic Hex Driver, 1/4" &amp; 5/16"</t>
        </is>
      </c>
      <c r="D70" t="inlineStr">
        <is>
          <t>Malco MSH2XLC2 C-RHEX® Building Construction Series Cleanable, Reversible Magnetic Hex Driver (1/4" &amp; 5/16")</t>
        </is>
      </c>
      <c r="E70" s="2">
        <f>HYPERLINK("https://www.amazon.com/Malco-MSH2XLC2-Construction-Cleanable-Reversible/dp/B0BX79N2BV/ref=sr_1_4?keywords=Malco+Tools+MSHC+2-Inch+C-Rhex+Cleanable%2C+Reversible+Magnetic+Hex+Driver%2C+1%2F4%22+%26+5%2F16%22&amp;qid=1694734428&amp;sr=8-4", "https://www.amazon.com/Malco-MSH2XLC2-Construction-Cleanable-Reversible/dp/B0BX79N2BV/ref=sr_1_4?keywords=Malco+Tools+MSHC+2-Inch+C-Rhex+Cleanable%2C+Reversible+Magnetic+Hex+Driver%2C+1%2F4%22+%26+5%2F16%22&amp;qid=1694734428&amp;sr=8-4")</f>
        <v/>
      </c>
      <c r="F70" t="inlineStr">
        <is>
          <t>B0BX79N2BV</t>
        </is>
      </c>
      <c r="G70">
        <f>_xlfn.IMAGE("https://edmondsonsupply.com/cdn/shop/products/Malco-MSHC-CRHEX-Slim-Design.jpg?v=1646614493")</f>
        <v/>
      </c>
      <c r="H70">
        <f>_xlfn.IMAGE("https://m.media-amazon.com/images/I/31odlSGS4kL._AC_UL320_.jpg")</f>
        <v/>
      </c>
      <c r="K70" t="inlineStr">
        <is>
          <t>5.89</t>
        </is>
      </c>
      <c r="L70" t="n">
        <v>22.86</v>
      </c>
      <c r="M70" s="1" t="inlineStr">
        <is>
          <t>288.12%</t>
        </is>
      </c>
      <c r="N70" s="7" t="n">
        <v>106.2</v>
      </c>
      <c r="O70" t="n">
        <v>5</v>
      </c>
      <c r="P70" t="n">
        <v>1</v>
      </c>
      <c r="R70" t="inlineStr">
        <is>
          <t>InStock</t>
        </is>
      </c>
      <c r="S70" t="inlineStr">
        <is>
          <t>undefined</t>
        </is>
      </c>
      <c r="T70" t="inlineStr">
        <is>
          <t>4102600753252</t>
        </is>
      </c>
    </row>
    <row r="71" ht="87" customHeight="1">
      <c r="A71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71" s="2">
        <f>HYPERLINK("https://edmondsonsupply.com/products/klein-tools-65200-electricians-mini-ratchet-set-5-piece", "https://edmondsonsupply.com/products/klein-tools-65200-electricians-mini-ratchet-set-5-piece")</f>
        <v/>
      </c>
      <c r="C71" t="inlineStr">
        <is>
          <t>Klein Tools 65200 Slim-Profile Mini Ratchet Set, 5-Piece</t>
        </is>
      </c>
      <c r="D71" t="inlineStr">
        <is>
          <t>Sunex 9732 44Pc 1/4" Dr Mini Dual Flex Head RATCHET W Socket &amp; Bit Set &amp; Klein Tools 65200 Ratchet Set, 5-Piece Mini Ratchet Set with Phillips, Slotted, and Adapter for Other Socket Sizes</t>
        </is>
      </c>
      <c r="E71" s="2">
        <f>HYPERLINK("https://www.amazon.com/Sunex-RATCHET-Tools-Ratchet-Phillips/dp/B0C5TJQVQ5/ref=sr_1_14?keywords=Klein+Tools+65200+Slim-Profile+Mini+Ratchet+Set%2C+5-Piece&amp;qid=1694734424&amp;sr=8-14", "https://www.amazon.com/Sunex-RATCHET-Tools-Ratchet-Phillips/dp/B0C5TJQVQ5/ref=sr_1_14?keywords=Klein+Tools+65200+Slim-Profile+Mini+Ratchet+Set%2C+5-Piece&amp;qid=1694734424&amp;sr=8-14")</f>
        <v/>
      </c>
      <c r="F71" t="inlineStr">
        <is>
          <t>B0C5TJQVQ5</t>
        </is>
      </c>
      <c r="G71">
        <f>_xlfn.IMAGE("https://edmondsonsupply.com/cdn/shop/products/65200.jpg?v=1633030630")</f>
        <v/>
      </c>
      <c r="H71">
        <f>_xlfn.IMAGE("https://m.media-amazon.com/images/I/512MIGy+pyL._AC_UL320_.jpg")</f>
        <v/>
      </c>
      <c r="K71" t="inlineStr">
        <is>
          <t>15.97</t>
        </is>
      </c>
      <c r="L71" t="n">
        <v>50.29</v>
      </c>
      <c r="M71" s="1" t="inlineStr">
        <is>
          <t>214.90%</t>
        </is>
      </c>
      <c r="N71" s="7" t="n">
        <v>97.33</v>
      </c>
      <c r="O71" t="n">
        <v>4.8</v>
      </c>
      <c r="P71" t="n">
        <v>1233</v>
      </c>
      <c r="R71" t="inlineStr">
        <is>
          <t>InStock</t>
        </is>
      </c>
      <c r="S71" t="inlineStr">
        <is>
          <t>20.96</t>
        </is>
      </c>
      <c r="T71" t="inlineStr">
        <is>
          <t>5694440964264</t>
        </is>
      </c>
    </row>
    <row r="72" hidden="1" ht="15.75" customHeight="1">
      <c r="A72" s="2">
        <f>HYPERLINK("https://edmondsonsupply.com/collections/hand-tools/products/hilmor-1839046", "https://edmondsonsupply.com/collections/hand-tools/products/hilmor-1839046")</f>
        <v/>
      </c>
      <c r="B72" s="2">
        <f>HYPERLINK("https://edmondsonsupply.com/products/hilmor-1839046", "https://edmondsonsupply.com/products/hilmor-1839046")</f>
        <v/>
      </c>
      <c r="C72" t="inlineStr">
        <is>
          <t>Hilmor 1839046 Service Wrench Hex Key Adapter</t>
        </is>
      </c>
      <c r="D72" t="inlineStr">
        <is>
          <t>Service Hex Key Adapter for Straight Service Ratcheting Wrench 2 Pack</t>
        </is>
      </c>
      <c r="E72" s="2">
        <f>HYPERLINK("https://www.amazon.com/Service-Adapter-Straight-Ratcheting-Wrench/dp/B09V7TNW1R/ref=sr_1_24?keywords=Hilmor+1839046+Service+Wrench+Hex+Key+Adapter&amp;qid=1694734424&amp;sr=8-24", "https://www.amazon.com/Service-Adapter-Straight-Ratcheting-Wrench/dp/B09V7TNW1R/ref=sr_1_24?keywords=Hilmor+1839046+Service+Wrench+Hex+Key+Adapter&amp;qid=1694734424&amp;sr=8-24")</f>
        <v/>
      </c>
      <c r="F72" t="inlineStr">
        <is>
          <t>B09V7TNW1R</t>
        </is>
      </c>
      <c r="G72">
        <f>_xludf.IMAGE("https://edmondsonsupply.com/cdn/shop/products/s-l500.jpg?v=1633030254")</f>
        <v/>
      </c>
      <c r="H72">
        <f>_xludf.IMAGE("https://m.media-amazon.com/images/I/41EVMXmEkgL._AC_UL320_.jpg")</f>
        <v/>
      </c>
      <c r="K72" t="inlineStr">
        <is>
          <t>3.22</t>
        </is>
      </c>
      <c r="L72" t="n">
        <v>9.99</v>
      </c>
      <c r="M72" s="1" t="inlineStr">
        <is>
          <t>210.25%</t>
        </is>
      </c>
      <c r="N72" s="1" t="n">
        <v>96.48999999999999</v>
      </c>
      <c r="O72" t="n">
        <v>4</v>
      </c>
      <c r="P72" t="n">
        <v>6</v>
      </c>
      <c r="R72" t="inlineStr">
        <is>
          <t>InStock</t>
        </is>
      </c>
      <c r="S72" t="inlineStr">
        <is>
          <t>undefined</t>
        </is>
      </c>
      <c r="T72" t="inlineStr">
        <is>
          <t>4630002172004</t>
        </is>
      </c>
    </row>
    <row r="73" ht="87" customHeight="1">
      <c r="A73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73" s="2">
        <f>HYPERLINK("https://edmondsonsupply.com/products/klein-tools-65200-electricians-mini-ratchet-set-5-piece", "https://edmondsonsupply.com/products/klein-tools-65200-electricians-mini-ratchet-set-5-piece")</f>
        <v/>
      </c>
      <c r="C73" t="inlineStr">
        <is>
          <t>Klein Tools 65200 Slim-Profile Mini Ratchet Set, 5-Piece</t>
        </is>
      </c>
      <c r="D73" t="inlineStr">
        <is>
          <t>Klein Tools 32717 Precision Screwdriver Set with Case &amp; 65200 Ratchet Set, 5-Piece Mini Ratchet Set with Phillips, Slotted, and Adapter for Other Socket Sizes, For Tight Spaces</t>
        </is>
      </c>
      <c r="E73" s="2">
        <f>HYPERLINK("https://www.amazon.com/Klein-Tools-Precision-Screwdriver-Phillips/dp/B0BK4M6YR9/ref=sr_1_6?keywords=Klein+Tools+65200+Slim-Profile+Mini+Ratchet+Set%2C+5-Piece&amp;qid=1694734424&amp;sr=8-6", "https://www.amazon.com/Klein-Tools-Precision-Screwdriver-Phillips/dp/B0BK4M6YR9/ref=sr_1_6?keywords=Klein+Tools+65200+Slim-Profile+Mini+Ratchet+Set%2C+5-Piece&amp;qid=1694734424&amp;sr=8-6")</f>
        <v/>
      </c>
      <c r="F73" t="inlineStr">
        <is>
          <t>B0BK4M6YR9</t>
        </is>
      </c>
      <c r="G73">
        <f>_xlfn.IMAGE("https://edmondsonsupply.com/cdn/shop/products/65200.jpg?v=1633030630")</f>
        <v/>
      </c>
      <c r="H73">
        <f>_xlfn.IMAGE("https://m.media-amazon.com/images/I/51dEfrYf+TL._AC_UL320_.jpg")</f>
        <v/>
      </c>
      <c r="K73" t="inlineStr">
        <is>
          <t>15.97</t>
        </is>
      </c>
      <c r="L73" t="n">
        <v>45.93</v>
      </c>
      <c r="M73" s="1" t="inlineStr">
        <is>
          <t>187.60%</t>
        </is>
      </c>
      <c r="N73" s="7" t="n">
        <v>83.16</v>
      </c>
      <c r="O73" t="n">
        <v>5</v>
      </c>
      <c r="P73" t="n">
        <v>5</v>
      </c>
      <c r="R73" t="inlineStr">
        <is>
          <t>InStock</t>
        </is>
      </c>
      <c r="S73" t="inlineStr">
        <is>
          <t>20.96</t>
        </is>
      </c>
      <c r="T73" t="inlineStr">
        <is>
          <t>5694440964264</t>
        </is>
      </c>
    </row>
    <row r="74" hidden="1" ht="15.75" customHeight="1">
      <c r="A74" s="2">
        <f>HYPERLINK("https://edmondsonsupply.com/collections/hand-tools/products/hilmor-1839046", "https://edmondsonsupply.com/collections/hand-tools/products/hilmor-1839046")</f>
        <v/>
      </c>
      <c r="B74" s="2">
        <f>HYPERLINK("https://edmondsonsupply.com/products/hilmor-1839046", "https://edmondsonsupply.com/products/hilmor-1839046")</f>
        <v/>
      </c>
      <c r="C74" t="inlineStr">
        <is>
          <t>Hilmor 1839046 Service Wrench Hex Key Adapter</t>
        </is>
      </c>
      <c r="D74" t="inlineStr">
        <is>
          <t>Chumia 2 Pieces HVAC service wrench 3/16 to 5/16 Repair Hex Key Adapter HVAC service tools air conditioning wrench HVAC service tools for HVAC Valve Opener Air Conditioning Equipment Repair</t>
        </is>
      </c>
      <c r="E74" s="2">
        <f>HYPERLINK("https://www.amazon.com/service-Adapter-conditioning-Conditioning-Equipment/dp/B09F2QDV9L/ref=sr_1_7?keywords=Hilmor+1839046+Service+Wrench+Hex+Key+Adapter&amp;qid=1694734424&amp;sr=8-7", "https://www.amazon.com/service-Adapter-conditioning-Conditioning-Equipment/dp/B09F2QDV9L/ref=sr_1_7?keywords=Hilmor+1839046+Service+Wrench+Hex+Key+Adapter&amp;qid=1694734424&amp;sr=8-7")</f>
        <v/>
      </c>
      <c r="F74" t="inlineStr">
        <is>
          <t>B09F2QDV9L</t>
        </is>
      </c>
      <c r="G74">
        <f>_xludf.IMAGE("https://edmondsonsupply.com/cdn/shop/products/s-l500.jpg?v=1633030254")</f>
        <v/>
      </c>
      <c r="H74">
        <f>_xludf.IMAGE("https://m.media-amazon.com/images/I/51yUeB2BhJL._AC_UL320_.jpg")</f>
        <v/>
      </c>
      <c r="K74" t="inlineStr">
        <is>
          <t>3.22</t>
        </is>
      </c>
      <c r="L74" t="n">
        <v>8.99</v>
      </c>
      <c r="M74" s="1" t="inlineStr">
        <is>
          <t>179.19%</t>
        </is>
      </c>
      <c r="N74" s="1" t="n">
        <v>82.03</v>
      </c>
      <c r="O74" t="n">
        <v>4.5</v>
      </c>
      <c r="P74" t="n">
        <v>64</v>
      </c>
      <c r="R74" t="inlineStr">
        <is>
          <t>InStock</t>
        </is>
      </c>
      <c r="S74" t="inlineStr">
        <is>
          <t>undefined</t>
        </is>
      </c>
      <c r="T74" t="inlineStr">
        <is>
          <t>4630002172004</t>
        </is>
      </c>
    </row>
    <row r="75" hidden="1" ht="15.75" customHeight="1">
      <c r="A75" s="2">
        <f>HYPERLINK("https://edmondsonsupply.com/collections/hand-tools/products/hilmor-1839046", "https://edmondsonsupply.com/collections/hand-tools/products/hilmor-1839046")</f>
        <v/>
      </c>
      <c r="B75" s="2">
        <f>HYPERLINK("https://edmondsonsupply.com/products/hilmor-1839046", "https://edmondsonsupply.com/products/hilmor-1839046")</f>
        <v/>
      </c>
      <c r="C75" t="inlineStr">
        <is>
          <t>Hilmor 1839046 Service Wrench Hex Key Adapter</t>
        </is>
      </c>
      <c r="D75" t="inlineStr">
        <is>
          <t>2 Pieces HVAC Service Wrench Set 3/16 to 5/16 Hex Key Tools Hex Key Adapter for Straight Metric for Fixing Air Conditioning Refrigeration Device</t>
        </is>
      </c>
      <c r="E75" s="2">
        <f>HYPERLINK("https://www.amazon.com/Service-Adapter-Straight-Conditioning-Refrigeration/dp/B098B2QD5X/ref=sr_1_28?keywords=Hilmor+1839046+Service+Wrench+Hex+Key+Adapter&amp;qid=1694734424&amp;sr=8-28", "https://www.amazon.com/Service-Adapter-Straight-Conditioning-Refrigeration/dp/B098B2QD5X/ref=sr_1_28?keywords=Hilmor+1839046+Service+Wrench+Hex+Key+Adapter&amp;qid=1694734424&amp;sr=8-28")</f>
        <v/>
      </c>
      <c r="F75" t="inlineStr">
        <is>
          <t>B098B2QD5X</t>
        </is>
      </c>
      <c r="G75">
        <f>_xludf.IMAGE("https://edmondsonsupply.com/cdn/shop/products/s-l500.jpg?v=1633030254")</f>
        <v/>
      </c>
      <c r="H75">
        <f>_xludf.IMAGE("https://m.media-amazon.com/images/I/61EFKZaECxL._AC_UL320_.jpg")</f>
        <v/>
      </c>
      <c r="K75" t="inlineStr">
        <is>
          <t>3.22</t>
        </is>
      </c>
      <c r="L75" t="n">
        <v>8.99</v>
      </c>
      <c r="M75" s="1" t="inlineStr">
        <is>
          <t>179.19%</t>
        </is>
      </c>
      <c r="N75" s="1" t="n">
        <v>75.63</v>
      </c>
      <c r="O75" t="n">
        <v>4.2</v>
      </c>
      <c r="P75" t="n">
        <v>32</v>
      </c>
      <c r="R75" t="inlineStr">
        <is>
          <t>InStock</t>
        </is>
      </c>
      <c r="S75" t="inlineStr">
        <is>
          <t>undefined</t>
        </is>
      </c>
      <c r="T75" t="inlineStr">
        <is>
          <t>4630002172004</t>
        </is>
      </c>
    </row>
    <row r="76" hidden="1" ht="15.75" customHeight="1">
      <c r="A76" s="2">
        <f>HYPERLINK("https://edmondsonsupply.com/collections/hand-tools/products/hilmor-1839046", "https://edmondsonsupply.com/collections/hand-tools/products/hilmor-1839046")</f>
        <v/>
      </c>
      <c r="B76" s="2">
        <f>HYPERLINK("https://edmondsonsupply.com/products/hilmor-1839046", "https://edmondsonsupply.com/products/hilmor-1839046")</f>
        <v/>
      </c>
      <c r="C76" t="inlineStr">
        <is>
          <t>Hilmor 1839046 Service Wrench Hex Key Adapter</t>
        </is>
      </c>
      <c r="D76" t="inlineStr">
        <is>
          <t>ANCIRS 2 Pack 3/16 to 5/16 Service Wrench Hex Key Adapter, Ratchet Wrench Hexagon Bit Adapter Kit, HVAC Valve Opener for Air Conditioning Refrigeration Equipment Repair</t>
        </is>
      </c>
      <c r="E76" s="2">
        <f>HYPERLINK("https://www.amazon.com/ANCIRS-Service-Conditioning-Refrigeration-Equipment/dp/B096K2D4JD/ref=sr_1_4?keywords=Hilmor+1839046+Service+Wrench+Hex+Key+Adapter&amp;qid=1694734424&amp;sr=8-4", "https://www.amazon.com/ANCIRS-Service-Conditioning-Refrigeration-Equipment/dp/B096K2D4JD/ref=sr_1_4?keywords=Hilmor+1839046+Service+Wrench+Hex+Key+Adapter&amp;qid=1694734424&amp;sr=8-4")</f>
        <v/>
      </c>
      <c r="F76" t="inlineStr">
        <is>
          <t>B096K2D4JD</t>
        </is>
      </c>
      <c r="G76">
        <f>_xludf.IMAGE("https://edmondsonsupply.com/cdn/shop/products/s-l500.jpg?v=1633030254")</f>
        <v/>
      </c>
      <c r="H76">
        <f>_xludf.IMAGE("https://m.media-amazon.com/images/I/51sBCijVjbS._AC_UL320_.jpg")</f>
        <v/>
      </c>
      <c r="K76" t="inlineStr">
        <is>
          <t>3.22</t>
        </is>
      </c>
      <c r="L76" t="n">
        <v>8.99</v>
      </c>
      <c r="M76" s="1" t="inlineStr">
        <is>
          <t>179.19%</t>
        </is>
      </c>
      <c r="N76" s="1" t="n">
        <v>75.02</v>
      </c>
      <c r="O76" t="n">
        <v>4.2</v>
      </c>
      <c r="P76" t="n">
        <v>158</v>
      </c>
      <c r="R76" t="inlineStr">
        <is>
          <t>InStock</t>
        </is>
      </c>
      <c r="S76" t="inlineStr">
        <is>
          <t>undefined</t>
        </is>
      </c>
      <c r="T76" t="inlineStr">
        <is>
          <t>4630002172004</t>
        </is>
      </c>
    </row>
    <row r="77" hidden="1" ht="15.75" customHeight="1">
      <c r="A77" s="2">
        <f>HYPERLINK("https://edmondsonsupply.com/collections/hand-tools/products/hilmor-1839046", "https://edmondsonsupply.com/collections/hand-tools/products/hilmor-1839046")</f>
        <v/>
      </c>
      <c r="B77" s="2">
        <f>HYPERLINK("https://edmondsonsupply.com/products/hilmor-1839046", "https://edmondsonsupply.com/products/hilmor-1839046")</f>
        <v/>
      </c>
      <c r="C77" t="inlineStr">
        <is>
          <t>Hilmor 1839046 Service Wrench Hex Key Adapter</t>
        </is>
      </c>
      <c r="D77" t="inlineStr">
        <is>
          <t>Hilmor Service Hex Key Adapter for Straight Service Ratcheting Wrench, 1839046</t>
        </is>
      </c>
      <c r="E77" s="2">
        <f>HYPERLINK("https://www.amazon.com/hilmor-1839046-Service-Hex-Adapter/dp/B00X9BP99O/ref=sr_1_1?keywords=Hilmor+1839046+Service+Wrench+Hex+Key+Adapter&amp;qid=1694734424&amp;sr=8-1", "https://www.amazon.com/hilmor-1839046-Service-Hex-Adapter/dp/B00X9BP99O/ref=sr_1_1?keywords=Hilmor+1839046+Service+Wrench+Hex+Key+Adapter&amp;qid=1694734424&amp;sr=8-1")</f>
        <v/>
      </c>
      <c r="F77" t="inlineStr">
        <is>
          <t>B00X9BP99O</t>
        </is>
      </c>
      <c r="G77">
        <f>_xludf.IMAGE("https://edmondsonsupply.com/cdn/shop/products/s-l500.jpg?v=1633030254")</f>
        <v/>
      </c>
      <c r="H77">
        <f>_xludf.IMAGE("https://m.media-amazon.com/images/I/51+6ggpNF6L._AC_UL320_.jpg")</f>
        <v/>
      </c>
      <c r="K77" t="inlineStr">
        <is>
          <t>3.22</t>
        </is>
      </c>
      <c r="L77" t="n">
        <v>8.630000000000001</v>
      </c>
      <c r="M77" s="1" t="inlineStr">
        <is>
          <t>168.01%</t>
        </is>
      </c>
      <c r="N77" s="1" t="n">
        <v>71.04000000000001</v>
      </c>
      <c r="O77" t="n">
        <v>4.6</v>
      </c>
      <c r="P77" t="n">
        <v>1248</v>
      </c>
      <c r="R77" t="inlineStr">
        <is>
          <t>InStock</t>
        </is>
      </c>
      <c r="S77" t="inlineStr">
        <is>
          <t>undefined</t>
        </is>
      </c>
      <c r="T77" t="inlineStr">
        <is>
          <t>4630002172004</t>
        </is>
      </c>
    </row>
    <row r="78" hidden="1" ht="15.75" customHeight="1">
      <c r="A78" s="2">
        <f>HYPERLINK("https://edmondsonsupply.com/collections/hand-tools/products/hilmor-1839046", "https://edmondsonsupply.com/collections/hand-tools/products/hilmor-1839046")</f>
        <v/>
      </c>
      <c r="B78" s="2">
        <f>HYPERLINK("https://edmondsonsupply.com/products/hilmor-1839046", "https://edmondsonsupply.com/products/hilmor-1839046")</f>
        <v/>
      </c>
      <c r="C78" t="inlineStr">
        <is>
          <t>Hilmor 1839046 Service Wrench Hex Key Adapter</t>
        </is>
      </c>
      <c r="D78" t="inlineStr">
        <is>
          <t>2Pcs Hex Key Adapter for HVAC Service Ratcheting Wrench, 1/4-Inch Square to 3/16 and 5/16-Inch Hex, For HVAC Compressor Service Valve, Rotalock Valves Open or Close</t>
        </is>
      </c>
      <c r="E78" s="2">
        <f>HYPERLINK("https://www.amazon.com/Adapter-Service-Ratcheting-Compressor-Rotalock/dp/B09F39WSSM/ref=sr_1_2?keywords=Hilmor+1839046+Service+Wrench+Hex+Key+Adapter&amp;qid=1694734424&amp;sr=8-2", "https://www.amazon.com/Adapter-Service-Ratcheting-Compressor-Rotalock/dp/B09F39WSSM/ref=sr_1_2?keywords=Hilmor+1839046+Service+Wrench+Hex+Key+Adapter&amp;qid=1694734424&amp;sr=8-2")</f>
        <v/>
      </c>
      <c r="F78" t="inlineStr">
        <is>
          <t>B09F39WSSM</t>
        </is>
      </c>
      <c r="G78">
        <f>_xludf.IMAGE("https://edmondsonsupply.com/cdn/shop/products/s-l500.jpg?v=1633030254")</f>
        <v/>
      </c>
      <c r="H78">
        <f>_xludf.IMAGE("https://m.media-amazon.com/images/I/61JzbGQt8cL._AC_UL320_.jpg")</f>
        <v/>
      </c>
      <c r="K78" t="inlineStr">
        <is>
          <t>3.22</t>
        </is>
      </c>
      <c r="L78" t="n">
        <v>7.99</v>
      </c>
      <c r="M78" s="1" t="inlineStr">
        <is>
          <t>148.14%</t>
        </is>
      </c>
      <c r="N78" s="1" t="n">
        <v>62.52</v>
      </c>
      <c r="O78" t="n">
        <v>4.3</v>
      </c>
      <c r="P78" t="n">
        <v>103</v>
      </c>
      <c r="R78" t="inlineStr">
        <is>
          <t>InStock</t>
        </is>
      </c>
      <c r="S78" t="inlineStr">
        <is>
          <t>undefined</t>
        </is>
      </c>
      <c r="T78" t="inlineStr">
        <is>
          <t>4630002172004</t>
        </is>
      </c>
    </row>
    <row r="79" hidden="1" ht="15.75" customHeight="1">
      <c r="A79" s="2">
        <f>HYPERLINK("https://edmondsonsupply.com/collections/hand-tools/products/malco-mshc-2-inch-c-rhex-cleanable-reversible-magnetic-hex-driver-1-4-5-16", "https://edmondsonsupply.com/collections/hand-tools/products/malco-mshc-2-inch-c-rhex-cleanable-reversible-magnetic-hex-driver-1-4-5-16")</f>
        <v/>
      </c>
      <c r="B79" s="2">
        <f>HYPERLINK("https://edmondsonsupply.com/products/malco-mshc-2-inch-c-rhex-cleanable-reversible-magnetic-hex-driver-1-4-5-16", "https://edmondsonsupply.com/products/malco-mshc-2-inch-c-rhex-cleanable-reversible-magnetic-hex-driver-1-4-5-16")</f>
        <v/>
      </c>
      <c r="C79" t="inlineStr">
        <is>
          <t>Malco Tools MSHC 2-Inch C-Rhex Cleanable, Reversible Magnetic Hex Driver, 1/4" &amp; 5/16"</t>
        </is>
      </c>
      <c r="D79" t="inlineStr">
        <is>
          <t>Malco MSHMLC2 C-RHEX® Building Construction Series Cleanable, Reversible Magnetic Hex Driver (1/4" &amp; 5/16")</t>
        </is>
      </c>
      <c r="E79" s="2">
        <f>HYPERLINK("https://www.amazon.com/Malco-MSHMLC2-Construction-Cleanable-Reversible/dp/B0BX77PFCY/ref=sr_1_2?keywords=Malco+Tools+MSHC+2-Inch+C-Rhex+Cleanable%2C+Reversible+Magnetic+Hex+Driver%2C+1%2F4%22+%26+5%2F16%22&amp;qid=1694734428&amp;sr=8-2", "https://www.amazon.com/Malco-MSHMLC2-Construction-Cleanable-Reversible/dp/B0BX77PFCY/ref=sr_1_2?keywords=Malco+Tools+MSHC+2-Inch+C-Rhex+Cleanable%2C+Reversible+Magnetic+Hex+Driver%2C+1%2F4%22+%26+5%2F16%22&amp;qid=1694734428&amp;sr=8-2")</f>
        <v/>
      </c>
      <c r="F79" t="inlineStr">
        <is>
          <t>B0BX77PFCY</t>
        </is>
      </c>
      <c r="G79">
        <f>_xludf.IMAGE("https://edmondsonsupply.com/cdn/shop/products/Malco-MSHC-CRHEX-Slim-Design.jpg?v=1646614493")</f>
        <v/>
      </c>
      <c r="H79">
        <f>_xludf.IMAGE("https://m.media-amazon.com/images/I/61SpFpw6GjL._AC_UL320_.jpg")</f>
        <v/>
      </c>
      <c r="K79" t="inlineStr">
        <is>
          <t>5.89</t>
        </is>
      </c>
      <c r="L79" t="n">
        <v>13.91</v>
      </c>
      <c r="M79" s="1" t="inlineStr">
        <is>
          <t>136.16%</t>
        </is>
      </c>
      <c r="N79" s="1" t="n">
        <v>62.52</v>
      </c>
      <c r="O79" t="n">
        <v>2.5</v>
      </c>
      <c r="P79" t="n">
        <v>3</v>
      </c>
      <c r="R79" t="inlineStr">
        <is>
          <t>InStock</t>
        </is>
      </c>
      <c r="S79" t="inlineStr">
        <is>
          <t>undefined</t>
        </is>
      </c>
      <c r="T79" t="inlineStr">
        <is>
          <t>4102600753252</t>
        </is>
      </c>
    </row>
    <row r="80" ht="87" customHeight="1">
      <c r="A80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80" s="2">
        <f>HYPERLINK("https://edmondsonsupply.com/products/klein-tools-65200-electricians-mini-ratchet-set-5-piece", "https://edmondsonsupply.com/products/klein-tools-65200-electricians-mini-ratchet-set-5-piece")</f>
        <v/>
      </c>
      <c r="C80" t="inlineStr">
        <is>
          <t>Klein Tools 65200 Slim-Profile Mini Ratchet Set, 5-Piece</t>
        </is>
      </c>
      <c r="D80" t="inlineStr">
        <is>
          <t>Klein Tools 65200 Ratchet Set, 5-Piece Mini Ratchet Set &amp; 7-in-1 Impact Flip Socket Set, 6 Hex Driver Sizes plus a 1/4-Inch Bit Holder 32907</t>
        </is>
      </c>
      <c r="E80" s="2">
        <f>HYPERLINK("https://www.amazon.com/Klein-Tools-Ratchet-5-Piece-Impact/dp/B0BNL31N8K/ref=sr_1_2?keywords=Klein+Tools+65200+Slim-Profile+Mini+Ratchet+Set%2C+5-Piece&amp;qid=1694734424&amp;sr=8-2", "https://www.amazon.com/Klein-Tools-Ratchet-5-Piece-Impact/dp/B0BNL31N8K/ref=sr_1_2?keywords=Klein+Tools+65200+Slim-Profile+Mini+Ratchet+Set%2C+5-Piece&amp;qid=1694734424&amp;sr=8-2")</f>
        <v/>
      </c>
      <c r="F80" t="inlineStr">
        <is>
          <t>B0BNL31N8K</t>
        </is>
      </c>
      <c r="G80">
        <f>_xlfn.IMAGE("https://edmondsonsupply.com/cdn/shop/products/65200.jpg?v=1633030630")</f>
        <v/>
      </c>
      <c r="H80">
        <f>_xlfn.IMAGE("https://m.media-amazon.com/images/I/41JD1cfUw6L._AC_UL320_.jpg")</f>
        <v/>
      </c>
      <c r="K80" t="inlineStr">
        <is>
          <t>15.97</t>
        </is>
      </c>
      <c r="L80" t="n">
        <v>35.95</v>
      </c>
      <c r="M80" s="1" t="inlineStr">
        <is>
          <t>125.11%</t>
        </is>
      </c>
      <c r="N80" s="7" t="n">
        <v>62.37</v>
      </c>
      <c r="O80" t="n">
        <v>4.9</v>
      </c>
      <c r="P80" t="n">
        <v>10</v>
      </c>
      <c r="R80" t="inlineStr">
        <is>
          <t>InStock</t>
        </is>
      </c>
      <c r="S80" t="inlineStr">
        <is>
          <t>20.96</t>
        </is>
      </c>
      <c r="T80" t="inlineStr">
        <is>
          <t>5694440964264</t>
        </is>
      </c>
    </row>
    <row r="81" ht="87" customHeight="1">
      <c r="A81" s="2">
        <f>HYPERLINK("https://edmondsonsupply.com/collections/hand-tools/products/midwest-mwt-ss6510l-special-hardness-offset-aviation-snip-left-cutting", "https://edmondsonsupply.com/collections/hand-tools/products/midwest-mwt-ss6510l-special-hardness-offset-aviation-snip-left-cutting")</f>
        <v/>
      </c>
      <c r="B81" s="2">
        <f>HYPERLINK("https://edmondsonsupply.com/products/midwest-mwt-ss6510l-special-hardness-offset-aviation-snip-left-cutting", "https://edmondsonsupply.com/products/midwest-mwt-ss6510l-special-hardness-offset-aviation-snip-left-cutting")</f>
        <v/>
      </c>
      <c r="C81" t="inlineStr">
        <is>
          <t>Midwest MWT-SS6510L Special Hardness Offset Aviation Snip - Left-Cutting</t>
        </is>
      </c>
      <c r="D81" t="inlineStr">
        <is>
          <t>MIDWEST Aviation Snip - Left and Right Cut Offset Stainless Steel Cutting Shears with Forged Blade &amp; KUSH'N-POWER Comfort Grips - MWT-SS6510C</t>
        </is>
      </c>
      <c r="E81" s="2">
        <f>HYPERLINK("https://www.amazon.com/MIDWEST-Aviation-Snip-Set-KUSHN-POWER/dp/B07RC7ZBK9/ref=sr_1_1?keywords=Midwest+MWT-SS6510L+Special+Hardness+Offset+Aviation+Snip+-+Left-Cutting&amp;qid=1694734424&amp;sr=8-1", "https://www.amazon.com/MIDWEST-Aviation-Snip-Set-KUSHN-POWER/dp/B07RC7ZBK9/ref=sr_1_1?keywords=Midwest+MWT-SS6510L+Special+Hardness+Offset+Aviation+Snip+-+Left-Cutting&amp;qid=1694734424&amp;sr=8-1")</f>
        <v/>
      </c>
      <c r="F81" t="inlineStr">
        <is>
          <t>B07RC7ZBK9</t>
        </is>
      </c>
      <c r="G81">
        <f>_xlfn.IMAGE("https://edmondsonsupply.com/cdn/shop/products/MWT-SS6510L.png?v=1587150385")</f>
        <v/>
      </c>
      <c r="H81">
        <f>_xlfn.IMAGE("https://m.media-amazon.com/images/I/71438hbSyHL._AC_UL320_.jpg")</f>
        <v/>
      </c>
      <c r="K81" t="inlineStr">
        <is>
          <t>32.15</t>
        </is>
      </c>
      <c r="L81" t="n">
        <v>69.98999999999999</v>
      </c>
      <c r="M81" s="1" t="inlineStr">
        <is>
          <t>117.70%</t>
        </is>
      </c>
      <c r="N81" s="7" t="n">
        <v>58.52</v>
      </c>
      <c r="O81" t="n">
        <v>4.4</v>
      </c>
      <c r="P81" t="n">
        <v>1128</v>
      </c>
      <c r="R81" t="inlineStr">
        <is>
          <t>OutOfStock</t>
        </is>
      </c>
      <c r="S81" t="inlineStr">
        <is>
          <t>47.17</t>
        </is>
      </c>
      <c r="T81" t="inlineStr">
        <is>
          <t>4421073272932</t>
        </is>
      </c>
    </row>
    <row r="82" hidden="1" ht="15.75" customHeight="1">
      <c r="A82" s="2">
        <f>HYPERLINK("https://edmondsonsupply.com/collections/hand-tools/products/hilmor-1839046", "https://edmondsonsupply.com/collections/hand-tools/products/hilmor-1839046")</f>
        <v/>
      </c>
      <c r="B82" s="2">
        <f>HYPERLINK("https://edmondsonsupply.com/products/hilmor-1839046", "https://edmondsonsupply.com/products/hilmor-1839046")</f>
        <v/>
      </c>
      <c r="C82" t="inlineStr">
        <is>
          <t>Hilmor 1839046 Service Wrench Hex Key Adapter</t>
        </is>
      </c>
      <c r="D82" t="inlineStr">
        <is>
          <t>Wisepick 2X Hex Key Adapter for Ratchet Wrench Service Wrench 3/16” 5/16” Hex Valve</t>
        </is>
      </c>
      <c r="E82" s="2">
        <f>HYPERLINK("https://www.amazon.com/Wisepick-Adapter-Ratchet-Wrench-Service/dp/B08L4GNB3D/ref=sr_1_19?keywords=Hilmor+1839046+Service+Wrench+Hex+Key+Adapter&amp;qid=1694734424&amp;sr=8-19", "https://www.amazon.com/Wisepick-Adapter-Ratchet-Wrench-Service/dp/B08L4GNB3D/ref=sr_1_19?keywords=Hilmor+1839046+Service+Wrench+Hex+Key+Adapter&amp;qid=1694734424&amp;sr=8-19")</f>
        <v/>
      </c>
      <c r="F82" t="inlineStr">
        <is>
          <t>B08L4GNB3D</t>
        </is>
      </c>
      <c r="G82">
        <f>_xludf.IMAGE("https://edmondsonsupply.com/cdn/shop/products/s-l500.jpg?v=1633030254")</f>
        <v/>
      </c>
      <c r="H82">
        <f>_xludf.IMAGE("https://m.media-amazon.com/images/I/61BlofhajEL._AC_UL320_.jpg")</f>
        <v/>
      </c>
      <c r="K82" t="inlineStr">
        <is>
          <t>3.22</t>
        </is>
      </c>
      <c r="L82" t="n">
        <v>6.98</v>
      </c>
      <c r="M82" s="1" t="inlineStr">
        <is>
          <t>116.77%</t>
        </is>
      </c>
      <c r="N82" s="1" t="n">
        <v>37.99</v>
      </c>
      <c r="O82" t="n">
        <v>4.5</v>
      </c>
      <c r="P82" t="n">
        <v>50</v>
      </c>
      <c r="R82" t="inlineStr">
        <is>
          <t>InStock</t>
        </is>
      </c>
      <c r="S82" t="inlineStr">
        <is>
          <t>undefined</t>
        </is>
      </c>
      <c r="T82" t="inlineStr">
        <is>
          <t>4630002172004</t>
        </is>
      </c>
    </row>
    <row r="83" ht="87" customHeight="1">
      <c r="A83" s="2">
        <f>HYPERLINK("https://edmondsonsupply.com/collections/hand-tools/products/midwest-mwt-6510ro-right-cutting-offset-aviation-snip-blackout-series", "https://edmondsonsupply.com/collections/hand-tools/products/midwest-mwt-6510ro-right-cutting-offset-aviation-snip-blackout-series")</f>
        <v/>
      </c>
      <c r="B83" s="2">
        <f>HYPERLINK("https://edmondsonsupply.com/products/midwest-mwt-6510ro-right-cutting-offset-aviation-snip-blackout-series", "https://edmondsonsupply.com/products/midwest-mwt-6510ro-right-cutting-offset-aviation-snip-blackout-series")</f>
        <v/>
      </c>
      <c r="C83" t="inlineStr">
        <is>
          <t>Midwest MWT-6510RO Right-Cutting Offset Aviation Snip - Blackout Series</t>
        </is>
      </c>
      <c r="D83" t="inlineStr">
        <is>
          <t>MIDWEST Aviation Snip Set - Left and Right Cut Offset Tin Cutting Shears with Forged Blade &amp; KUSH'N-POWER Comfort Grips - MWT-6510C</t>
        </is>
      </c>
      <c r="E83" s="2">
        <f>HYPERLINK("https://www.amazon.com/MIDWEST-Aviation-Snip-Set-KUSHN-POWER/dp/B00OCGQG3S/ref=sr_1_2?keywords=Midwest+MWT-6510RO+Right-Cutting+Offset+Aviation+Snip+-+Blackout+Series&amp;qid=1694734428&amp;sr=8-2", "https://www.amazon.com/MIDWEST-Aviation-Snip-Set-KUSHN-POWER/dp/B00OCGQG3S/ref=sr_1_2?keywords=Midwest+MWT-6510RO+Right-Cutting+Offset+Aviation+Snip+-+Blackout+Series&amp;qid=1694734428&amp;sr=8-2")</f>
        <v/>
      </c>
      <c r="F83" t="inlineStr">
        <is>
          <t>B00OCGQG3S</t>
        </is>
      </c>
      <c r="G83">
        <f>_xlfn.IMAGE("https://edmondsonsupply.com/cdn/shop/products/6510ro.jpg?v=1587142626")</f>
        <v/>
      </c>
      <c r="H83">
        <f>_xlfn.IMAGE("https://m.media-amazon.com/images/I/71J9tcnJ-SL._AC_UL320_.jpg")</f>
        <v/>
      </c>
      <c r="K83" t="inlineStr">
        <is>
          <t>30.31</t>
        </is>
      </c>
      <c r="L83" t="n">
        <v>63.17</v>
      </c>
      <c r="M83" s="1" t="inlineStr">
        <is>
          <t>108.41%</t>
        </is>
      </c>
      <c r="N83" s="7" t="n">
        <v>33.33</v>
      </c>
      <c r="O83" t="n">
        <v>4.7</v>
      </c>
      <c r="P83" t="n">
        <v>5991</v>
      </c>
      <c r="R83" t="inlineStr">
        <is>
          <t>InStock</t>
        </is>
      </c>
      <c r="S83" t="inlineStr">
        <is>
          <t>41.24</t>
        </is>
      </c>
      <c r="T83" t="inlineStr">
        <is>
          <t>4470025027684</t>
        </is>
      </c>
    </row>
    <row r="84" ht="87" customHeight="1">
      <c r="A84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84" s="2">
        <f>HYPERLINK("https://edmondsonsupply.com/products/klein-tools-65200-electricians-mini-ratchet-set-5-piece", "https://edmondsonsupply.com/products/klein-tools-65200-electricians-mini-ratchet-set-5-piece")</f>
        <v/>
      </c>
      <c r="C84" t="inlineStr">
        <is>
          <t>Klein Tools 65200 Slim-Profile Mini Ratchet Set, 5-Piece</t>
        </is>
      </c>
      <c r="D84" t="inlineStr">
        <is>
          <t>Klein Tools 65200 Ratchet Set, 5-Piece Mini Ratchet Set &amp; 32308 Multi-bit Stubby Screwdriver, Impact Rated 8-in-1 Adjustable Magnetic Tool with Phillips, Slotted, Square and Nut Driver</t>
        </is>
      </c>
      <c r="E84" s="2">
        <f>HYPERLINK("https://www.amazon.com/Klein-Tools-Multi-bit-Screwdriver-Adjustable/dp/B0BCT97D2B/ref=sr_1_3?keywords=Klein+Tools+65200+Slim-Profile+Mini+Ratchet+Set%2C+5-Piece&amp;qid=1694734424&amp;sr=8-3", "https://www.amazon.com/Klein-Tools-Multi-bit-Screwdriver-Adjustable/dp/B0BCT97D2B/ref=sr_1_3?keywords=Klein+Tools+65200+Slim-Profile+Mini+Ratchet+Set%2C+5-Piece&amp;qid=1694734424&amp;sr=8-3")</f>
        <v/>
      </c>
      <c r="F84" t="inlineStr">
        <is>
          <t>B0BCT97D2B</t>
        </is>
      </c>
      <c r="G84">
        <f>_xlfn.IMAGE("https://edmondsonsupply.com/cdn/shop/products/65200.jpg?v=1633030630")</f>
        <v/>
      </c>
      <c r="H84">
        <f>_xlfn.IMAGE("https://m.media-amazon.com/images/I/51FhukkqNXL._AC_UL320_.jpg")</f>
        <v/>
      </c>
      <c r="K84" t="inlineStr">
        <is>
          <t>15.97</t>
        </is>
      </c>
      <c r="L84" t="n">
        <v>32.93</v>
      </c>
      <c r="M84" s="1" t="inlineStr">
        <is>
          <t>106.20%</t>
        </is>
      </c>
      <c r="N84" s="7" t="n">
        <v>25.6</v>
      </c>
      <c r="O84" t="n">
        <v>5</v>
      </c>
      <c r="P84" t="n">
        <v>7</v>
      </c>
      <c r="R84" t="inlineStr">
        <is>
          <t>InStock</t>
        </is>
      </c>
      <c r="S84" t="inlineStr">
        <is>
          <t>20.96</t>
        </is>
      </c>
      <c r="T84" t="inlineStr">
        <is>
          <t>5694440964264</t>
        </is>
      </c>
    </row>
    <row r="85" ht="87" customHeight="1">
      <c r="A85" s="2">
        <f>HYPERLINK("https://edmondsonsupply.com/collections/hand-tools/products/midwest-mwt-ss6510l-special-hardness-offset-aviation-snip-left-cutting", "https://edmondsonsupply.com/collections/hand-tools/products/midwest-mwt-ss6510l-special-hardness-offset-aviation-snip-left-cutting")</f>
        <v/>
      </c>
      <c r="B85" s="2">
        <f>HYPERLINK("https://edmondsonsupply.com/products/midwest-mwt-ss6510l-special-hardness-offset-aviation-snip-left-cutting", "https://edmondsonsupply.com/products/midwest-mwt-ss6510l-special-hardness-offset-aviation-snip-left-cutting")</f>
        <v/>
      </c>
      <c r="C85" t="inlineStr">
        <is>
          <t>Midwest MWT-SS6510L Special Hardness Offset Aviation Snip - Left-Cutting</t>
        </is>
      </c>
      <c r="D85" t="inlineStr">
        <is>
          <t>Midwest Tools and Cutlery MWT-SS6510R Snips Forged Blade Special Hardness Offset Right Aviation Snip, Cuts Stainless Steel</t>
        </is>
      </c>
      <c r="E85" s="2">
        <f>HYPERLINK("https://www.amazon.com/Midwest-Tools-Cutlery-MWT-SS6510R-Stainless/dp/B01J7IOB64/ref=sr_1_7?keywords=Midwest+MWT-SS6510L+Special+Hardness+Offset+Aviation+Snip+-+Left-Cutting&amp;qid=1694734424&amp;sr=8-7", "https://www.amazon.com/Midwest-Tools-Cutlery-MWT-SS6510R-Stainless/dp/B01J7IOB64/ref=sr_1_7?keywords=Midwest+MWT-SS6510L+Special+Hardness+Offset+Aviation+Snip+-+Left-Cutting&amp;qid=1694734424&amp;sr=8-7")</f>
        <v/>
      </c>
      <c r="F85" t="inlineStr">
        <is>
          <t>B01J7IOB64</t>
        </is>
      </c>
      <c r="G85">
        <f>_xlfn.IMAGE("https://edmondsonsupply.com/cdn/shop/products/MWT-SS6510L.png?v=1587150385")</f>
        <v/>
      </c>
      <c r="H85">
        <f>_xlfn.IMAGE("https://m.media-amazon.com/images/I/61rvvPEnRIL._AC_UL320_.jpg")</f>
        <v/>
      </c>
      <c r="K85" t="inlineStr">
        <is>
          <t>32.15</t>
        </is>
      </c>
      <c r="L85" t="n">
        <v>63.44</v>
      </c>
      <c r="M85" s="1" t="inlineStr">
        <is>
          <t>97.33%</t>
        </is>
      </c>
      <c r="N85" s="7" t="n">
        <v>13.38</v>
      </c>
      <c r="O85" t="n">
        <v>4.4</v>
      </c>
      <c r="P85" t="n">
        <v>28</v>
      </c>
      <c r="R85" t="inlineStr">
        <is>
          <t>OutOfStock</t>
        </is>
      </c>
      <c r="S85" t="inlineStr">
        <is>
          <t>47.17</t>
        </is>
      </c>
      <c r="T85" t="inlineStr">
        <is>
          <t>4421073272932</t>
        </is>
      </c>
    </row>
    <row r="86" ht="87" customHeight="1">
      <c r="A86" s="2">
        <f>HYPERLINK("https://edmondsonsupply.com/collections/hand-tools/products/midwest-mwt-ss6510l-special-hardness-offset-aviation-snip-left-cutting", "https://edmondsonsupply.com/collections/hand-tools/products/midwest-mwt-ss6510l-special-hardness-offset-aviation-snip-left-cutting")</f>
        <v/>
      </c>
      <c r="B86" s="2">
        <f>HYPERLINK("https://edmondsonsupply.com/products/midwest-mwt-ss6510l-special-hardness-offset-aviation-snip-left-cutting", "https://edmondsonsupply.com/products/midwest-mwt-ss6510l-special-hardness-offset-aviation-snip-left-cutting")</f>
        <v/>
      </c>
      <c r="C86" t="inlineStr">
        <is>
          <t>Midwest MWT-SS6510L Special Hardness Offset Aviation Snip - Left-Cutting</t>
        </is>
      </c>
      <c r="D86" t="inlineStr">
        <is>
          <t>MIDWEST Aviation Snip Set - Left and Right Cut Offset Tin Cutting Shears with Forged Blade &amp; KUSH'N-POWER Comfort Grips - MWT-6510C</t>
        </is>
      </c>
      <c r="E86" s="2">
        <f>HYPERLINK("https://www.amazon.com/MIDWEST-Aviation-Snip-Set-KUSHN-POWER/dp/B00OCGQG3S/ref=sr_1_2?keywords=Midwest+MWT-SS6510L+Special+Hardness+Offset+Aviation+Snip+-+Left-Cutting&amp;qid=1694734424&amp;sr=8-2", "https://www.amazon.com/MIDWEST-Aviation-Snip-Set-KUSHN-POWER/dp/B00OCGQG3S/ref=sr_1_2?keywords=Midwest+MWT-SS6510L+Special+Hardness+Offset+Aviation+Snip+-+Left-Cutting&amp;qid=1694734424&amp;sr=8-2")</f>
        <v/>
      </c>
      <c r="F86" t="inlineStr">
        <is>
          <t>B00OCGQG3S</t>
        </is>
      </c>
      <c r="G86">
        <f>_xlfn.IMAGE("https://edmondsonsupply.com/cdn/shop/products/MWT-SS6510L.png?v=1587150385")</f>
        <v/>
      </c>
      <c r="H86">
        <f>_xlfn.IMAGE("https://m.media-amazon.com/images/I/71J9tcnJ-SL._AC_UL320_.jpg")</f>
        <v/>
      </c>
      <c r="K86" t="inlineStr">
        <is>
          <t>32.15</t>
        </is>
      </c>
      <c r="L86" t="n">
        <v>63.17</v>
      </c>
      <c r="M86" s="1" t="inlineStr">
        <is>
          <t>96.49%</t>
        </is>
      </c>
      <c r="N86" s="7" t="n">
        <v>9.93</v>
      </c>
      <c r="O86" t="n">
        <v>4.7</v>
      </c>
      <c r="P86" t="n">
        <v>5991</v>
      </c>
      <c r="R86" t="inlineStr">
        <is>
          <t>OutOfStock</t>
        </is>
      </c>
      <c r="S86" t="inlineStr">
        <is>
          <t>47.17</t>
        </is>
      </c>
      <c r="T86" t="inlineStr">
        <is>
          <t>4421073272932</t>
        </is>
      </c>
    </row>
    <row r="87" ht="87" customHeight="1">
      <c r="A87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87" s="2">
        <f>HYPERLINK("https://edmondsonsupply.com/products/klein-tools-65200-electricians-mini-ratchet-set-5-piece", "https://edmondsonsupply.com/products/klein-tools-65200-electricians-mini-ratchet-set-5-piece")</f>
        <v/>
      </c>
      <c r="C87" t="inlineStr">
        <is>
          <t>Klein Tools 65200 Slim-Profile Mini Ratchet Set, 5-Piece</t>
        </is>
      </c>
      <c r="D87" t="inlineStr">
        <is>
          <t>Klein Tools 32900 Impact Driver, 7-in-1 Impact Flip Socket Set with Handle, 6 Hex Driver Sizes plus a 1/4-Inch Bit Holder &amp; 65200 Ratchet Set, 5-Piece Mini Ratchet Set</t>
        </is>
      </c>
      <c r="E87" s="2">
        <f>HYPERLINK("https://www.amazon.com/Klein-Tools-Impact-Ratchet-5-Piece/dp/B0CB11QPXV/ref=sr_1_5?keywords=Klein+Tools+65200+Slim-Profile+Mini+Ratchet+Set%2C+5-Piece&amp;qid=1694734424&amp;sr=8-5", "https://www.amazon.com/Klein-Tools-Impact-Ratchet-5-Piece/dp/B0CB11QPXV/ref=sr_1_5?keywords=Klein+Tools+65200+Slim-Profile+Mini+Ratchet+Set%2C+5-Piece&amp;qid=1694734424&amp;sr=8-5")</f>
        <v/>
      </c>
      <c r="F87" t="inlineStr">
        <is>
          <t>B0CB11QPXV</t>
        </is>
      </c>
      <c r="G87">
        <f>_xlfn.IMAGE("https://edmondsonsupply.com/cdn/shop/products/65200.jpg?v=1633030630")</f>
        <v/>
      </c>
      <c r="H87">
        <f>_xlfn.IMAGE("https://m.media-amazon.com/images/I/519kYO93ctL._AC_UL320_.jpg")</f>
        <v/>
      </c>
      <c r="K87" t="inlineStr">
        <is>
          <t>15.97</t>
        </is>
      </c>
      <c r="L87" t="n">
        <v>29.25</v>
      </c>
      <c r="M87" s="1" t="inlineStr">
        <is>
          <t>83.16%</t>
        </is>
      </c>
      <c r="N87" s="7" t="n">
        <v>1.33</v>
      </c>
      <c r="O87" t="n">
        <v>4.7</v>
      </c>
      <c r="P87" t="n">
        <v>2468</v>
      </c>
      <c r="R87" t="inlineStr">
        <is>
          <t>InStock</t>
        </is>
      </c>
      <c r="S87" t="inlineStr">
        <is>
          <t>20.96</t>
        </is>
      </c>
      <c r="T87" t="inlineStr">
        <is>
          <t>5694440964264</t>
        </is>
      </c>
    </row>
    <row r="88" ht="87" customHeight="1">
      <c r="A88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88" s="2">
        <f>HYPERLINK("https://edmondsonsupply.com/products/klein-tools-65200-electricians-mini-ratchet-set-5-piece", "https://edmondsonsupply.com/products/klein-tools-65200-electricians-mini-ratchet-set-5-piece")</f>
        <v/>
      </c>
      <c r="C88" t="inlineStr">
        <is>
          <t>Klein Tools 65200 Slim-Profile Mini Ratchet Set, 5-Piece</t>
        </is>
      </c>
      <c r="D88" t="inlineStr">
        <is>
          <t>Klein Tools 60136 Kneeling Pads, Adult Mens Large Soft Thick Closed Cell Soft Foam Professional Tradesman Pro Pads with Handle,Black &amp; 65200 Ratchet Set, 5-Piece Mini Ratchet Set</t>
        </is>
      </c>
      <c r="E88" s="2">
        <f>HYPERLINK("https://www.amazon.com/Klein-Tools-Kneeling-Professional-Tradesman/dp/B0CB12SJNZ/ref=sr_1_22?keywords=Klein+Tools+65200+Slim-Profile+Mini+Ratchet+Set%2C+5-Piece&amp;qid=1694734424&amp;sr=8-22", "https://www.amazon.com/Klein-Tools-Kneeling-Professional-Tradesman/dp/B0CB12SJNZ/ref=sr_1_22?keywords=Klein+Tools+65200+Slim-Profile+Mini+Ratchet+Set%2C+5-Piece&amp;qid=1694734424&amp;sr=8-22")</f>
        <v/>
      </c>
      <c r="F88" t="inlineStr">
        <is>
          <t>B0CB12SJNZ</t>
        </is>
      </c>
      <c r="G88">
        <f>_xlfn.IMAGE("https://edmondsonsupply.com/cdn/shop/products/65200.jpg?v=1633030630")</f>
        <v/>
      </c>
      <c r="H88">
        <f>_xlfn.IMAGE("https://m.media-amazon.com/images/I/51uiBiWI0UL._AC_UL320_.jpg")</f>
        <v/>
      </c>
      <c r="K88" t="inlineStr">
        <is>
          <t>15.97</t>
        </is>
      </c>
      <c r="L88" t="n">
        <v>29.07</v>
      </c>
      <c r="M88" s="1" t="inlineStr">
        <is>
          <t>82.03%</t>
        </is>
      </c>
      <c r="N88" s="7" t="n">
        <v>-0.06</v>
      </c>
      <c r="O88" t="n">
        <v>4.8</v>
      </c>
      <c r="P88" t="n">
        <v>842</v>
      </c>
      <c r="R88" t="inlineStr">
        <is>
          <t>InStock</t>
        </is>
      </c>
      <c r="S88" t="inlineStr">
        <is>
          <t>20.96</t>
        </is>
      </c>
      <c r="T88" t="inlineStr">
        <is>
          <t>5694440964264</t>
        </is>
      </c>
    </row>
    <row r="89" ht="87" customHeight="1">
      <c r="A89" s="2">
        <f>HYPERLINK("https://edmondsonsupply.com/collections/hand-tools/products/midwest-mwt-6510lo-left-cutting-offset-aviation-snip-blackout-series", "https://edmondsonsupply.com/collections/hand-tools/products/midwest-mwt-6510lo-left-cutting-offset-aviation-snip-blackout-series")</f>
        <v/>
      </c>
      <c r="B89" s="2">
        <f>HYPERLINK("https://edmondsonsupply.com/products/midwest-mwt-6510lo-left-cutting-offset-aviation-snip-blackout-series", "https://edmondsonsupply.com/products/midwest-mwt-6510lo-left-cutting-offset-aviation-snip-blackout-series")</f>
        <v/>
      </c>
      <c r="C89" t="inlineStr">
        <is>
          <t>Midwest MWT-6510LO Left-Cutting Offset Aviation Snip - Blackout Series</t>
        </is>
      </c>
      <c r="D89" t="inlineStr">
        <is>
          <t>MIDWEST Aviation Snip - Left and Right Cut Offset Stainless Steel Cutting Shears with Forged Blade &amp; KUSH'N-POWER Comfort Grips - MWT-SS6510C</t>
        </is>
      </c>
      <c r="E89" s="2">
        <f>HYPERLINK("https://www.amazon.com/MIDWEST-Aviation-Snip-Set-KUSHN-POWER/dp/B07RC7ZBK9/ref=sr_1_4?keywords=Midwest+MWT-6510LO+Left-Cutting+Offset+Aviation+Snip+-+Blackout+Series&amp;qid=1694734424&amp;sr=8-4", "https://www.amazon.com/MIDWEST-Aviation-Snip-Set-KUSHN-POWER/dp/B07RC7ZBK9/ref=sr_1_4?keywords=Midwest+MWT-6510LO+Left-Cutting+Offset+Aviation+Snip+-+Blackout+Series&amp;qid=1694734424&amp;sr=8-4")</f>
        <v/>
      </c>
      <c r="F89" t="inlineStr">
        <is>
          <t>B07RC7ZBK9</t>
        </is>
      </c>
      <c r="G89">
        <f>_xlfn.IMAGE("https://edmondsonsupply.com/cdn/shop/products/mwt-6510lo.jpg?v=1587147580")</f>
        <v/>
      </c>
      <c r="H89">
        <f>_xlfn.IMAGE("https://m.media-amazon.com/images/I/71438hbSyHL._AC_UL320_.jpg")</f>
        <v/>
      </c>
      <c r="K89" t="inlineStr">
        <is>
          <t>39.85</t>
        </is>
      </c>
      <c r="L89" t="n">
        <v>69.98999999999999</v>
      </c>
      <c r="M89" s="1" t="inlineStr">
        <is>
          <t>75.63%</t>
        </is>
      </c>
      <c r="N89" s="7" t="n">
        <v>-15.31</v>
      </c>
      <c r="O89" t="n">
        <v>4.4</v>
      </c>
      <c r="P89" t="n">
        <v>1128</v>
      </c>
      <c r="R89" t="inlineStr">
        <is>
          <t>OutOfStock</t>
        </is>
      </c>
      <c r="S89" t="inlineStr">
        <is>
          <t>39.85</t>
        </is>
      </c>
      <c r="T89" t="inlineStr">
        <is>
          <t>4508644606052</t>
        </is>
      </c>
    </row>
    <row r="90" ht="87" customHeight="1">
      <c r="A90" s="2">
        <f>HYPERLINK("https://edmondsonsupply.com/collections/hand-tools/products/klein-tools-94155-american-legacy-lineman-pliers-and-klein-kurve%C2%AE-wire-stripper-cutter", "https://edmondsonsupply.com/collections/hand-tools/products/klein-tools-94155-american-legacy-lineman-pliers-and-klein-kurve%C2%AE-wire-stripper-cutter")</f>
        <v/>
      </c>
      <c r="B90" s="2">
        <f>HYPERLINK("https://edmondsonsupply.com/products/klein-tools-94155-american-legacy-lineman-pliers-and-klein-kurve%c2%ae-wire-stripper-cutter", "https://edmondsonsupply.com/products/klein-tools-94155-american-legacy-lineman-pliers-and-klein-kurve%c2%ae-wire-stripper-cutter")</f>
        <v/>
      </c>
      <c r="C90" t="inlineStr">
        <is>
          <t>Klein Tools 94155 American Legacy Lineman Pliers and Klein-Kurve® Wire Stripper / Cutter</t>
        </is>
      </c>
      <c r="D90" t="inlineStr">
        <is>
          <t>Klein Tools 80043 Heavy Duty Tool Set, Includes Lineman's Side-Cutting Pliers, Diagonal Cutters and Wire Stripper, 3-Piece</t>
        </is>
      </c>
      <c r="E90" s="2">
        <f>HYPERLINK("https://www.amazon.com/Linemans-Side-Cutting-Klein-Tools-80043/dp/B0977RM5G5/ref=sr_1_11?keywords=Klein+Tools+94155+American+Legacy+Lineman+Pliers+and+Klein-Kurve%C2%AE+Wire+Stripper+%2F+Cutter&amp;qid=1694734424&amp;sr=8-11", "https://www.amazon.com/Linemans-Side-Cutting-Klein-Tools-80043/dp/B0977RM5G5/ref=sr_1_11?keywords=Klein+Tools+94155+American+Legacy+Lineman+Pliers+and+Klein-Kurve%C2%AE+Wire+Stripper+%2F+Cutter&amp;qid=1694734424&amp;sr=8-11")</f>
        <v/>
      </c>
      <c r="F90" t="inlineStr">
        <is>
          <t>B0977RM5G5</t>
        </is>
      </c>
      <c r="G90">
        <f>_xlfn.IMAGE("https://edmondsonsupply.com/cdn/shop/products/94155.jpg?v=1674141590")</f>
        <v/>
      </c>
      <c r="H90">
        <f>_xlfn.IMAGE("https://m.media-amazon.com/images/I/51t8JGB+SAS._AC_UL320_.jpg")</f>
        <v/>
      </c>
      <c r="K90" t="inlineStr">
        <is>
          <t>39.99</t>
        </is>
      </c>
      <c r="L90" t="n">
        <v>69.98999999999999</v>
      </c>
      <c r="M90" s="1" t="inlineStr">
        <is>
          <t>75.02%</t>
        </is>
      </c>
      <c r="N90" s="7" t="n">
        <v>997.79</v>
      </c>
      <c r="O90" t="n">
        <v>4.8</v>
      </c>
      <c r="P90" t="n">
        <v>1451</v>
      </c>
      <c r="R90" t="inlineStr">
        <is>
          <t>InStock</t>
        </is>
      </c>
      <c r="S90" t="inlineStr">
        <is>
          <t>59.98</t>
        </is>
      </c>
      <c r="T90" t="inlineStr">
        <is>
          <t>7926859104472</t>
        </is>
      </c>
    </row>
    <row r="91" ht="87" customHeight="1">
      <c r="A91" s="2">
        <f>HYPERLINK("https://edmondsonsupply.com/collections/hand-tools/products/midwest-mwt-ss6510l-special-hardness-offset-aviation-snip-left-cutting", "https://edmondsonsupply.com/collections/hand-tools/products/midwest-mwt-ss6510l-special-hardness-offset-aviation-snip-left-cutting")</f>
        <v/>
      </c>
      <c r="B91" s="2">
        <f>HYPERLINK("https://edmondsonsupply.com/products/midwest-mwt-ss6510l-special-hardness-offset-aviation-snip-left-cutting", "https://edmondsonsupply.com/products/midwest-mwt-ss6510l-special-hardness-offset-aviation-snip-left-cutting")</f>
        <v/>
      </c>
      <c r="C91" t="inlineStr">
        <is>
          <t>Midwest MWT-SS6510L Special Hardness Offset Aviation Snip - Left-Cutting</t>
        </is>
      </c>
      <c r="D91" t="inlineStr">
        <is>
          <t>MIDWEST Blackout Series Aviation Snip - Left Cut Offset Tin Cutting Shears with Forged Blade &amp; KUSH'N-POWER Comfort Grips - MWT-6510LO</t>
        </is>
      </c>
      <c r="E91" s="2">
        <f>HYPERLINK("https://www.amazon.com/MIDWEST-Blackout-Aviation-Snip-KUSHN-POWER/dp/B00TJQL91U/ref=sr_1_3?keywords=Midwest+MWT-SS6510L+Special+Hardness+Offset+Aviation+Snip+-+Left-Cutting&amp;qid=1694734424&amp;sr=8-3", "https://www.amazon.com/MIDWEST-Blackout-Aviation-Snip-KUSHN-POWER/dp/B00TJQL91U/ref=sr_1_3?keywords=Midwest+MWT-SS6510L+Special+Hardness+Offset+Aviation+Snip+-+Left-Cutting&amp;qid=1694734424&amp;sr=8-3")</f>
        <v/>
      </c>
      <c r="F91" t="inlineStr">
        <is>
          <t>B00TJQL91U</t>
        </is>
      </c>
      <c r="G91">
        <f>_xlfn.IMAGE("https://edmondsonsupply.com/cdn/shop/products/MWT-SS6510L.png?v=1587150385")</f>
        <v/>
      </c>
      <c r="H91">
        <f>_xlfn.IMAGE("https://m.media-amazon.com/images/I/51OW3TahYsL._AC_UL320_.jpg")</f>
        <v/>
      </c>
      <c r="I91" t="n">
        <v>0</v>
      </c>
      <c r="J91" t="inlineStr">
        <is>
          <t>oos</t>
        </is>
      </c>
      <c r="K91" t="inlineStr">
        <is>
          <t>32.15</t>
        </is>
      </c>
      <c r="L91" t="n">
        <v>54.99</v>
      </c>
      <c r="M91" s="1" t="inlineStr">
        <is>
          <t>71.04%</t>
        </is>
      </c>
      <c r="N91" s="7" t="n">
        <v>997.7</v>
      </c>
      <c r="O91" t="n">
        <v>4.7</v>
      </c>
      <c r="P91" t="n">
        <v>1397</v>
      </c>
      <c r="R91" t="inlineStr">
        <is>
          <t>OutOfStock</t>
        </is>
      </c>
      <c r="S91" t="inlineStr">
        <is>
          <t>47.17</t>
        </is>
      </c>
      <c r="T91" t="inlineStr">
        <is>
          <t>4421073272932</t>
        </is>
      </c>
    </row>
    <row r="92" ht="87" customHeight="1">
      <c r="A92" s="2">
        <f>HYPERLINK("https://edmondsonsupply.com/collections/hand-tools/products/klein-tools-94156-american-legacy-diagonal-plier-and-klein-kurve%C2%AE-wire-stripper-cutter", "https://edmondsonsupply.com/collections/hand-tools/products/klein-tools-94156-american-legacy-diagonal-plier-and-klein-kurve%C2%AE-wire-stripper-cutter")</f>
        <v/>
      </c>
      <c r="B92" s="2">
        <f>HYPERLINK("https://edmondsonsupply.com/products/klein-tools-94156-american-legacy-diagonal-plier-and-klein-kurve%c2%ae-wire-stripper-cutter", "https://edmondsonsupply.com/products/klein-tools-94156-american-legacy-diagonal-plier-and-klein-kurve%c2%ae-wire-stripper-cutter")</f>
        <v/>
      </c>
      <c r="C92" t="inlineStr">
        <is>
          <t>Klein Tools 94156 American Legacy Diagonal Plier and Klein-Kurve® Wire Stripper / Cutter</t>
        </is>
      </c>
      <c r="D92" t="inlineStr">
        <is>
          <t>Klein Tools 80121 Stripper Plier Kit with Wire Strippers, Lineman Pliers and Diagonal Cutters, 3-Piece</t>
        </is>
      </c>
      <c r="E92" s="2">
        <f>HYPERLINK("https://www.amazon.com/Klein-Tools-80121-Stripper-Strippers/dp/B0BMN726NC/ref=sr_1_2?keywords=Klein+Tools+94156+American+Legacy+Diagonal+Plier+and+Klein-Kurve%C2%AE+Wire+Stripper+%2F+Cutter&amp;qid=1694734429&amp;sr=8-2", "https://www.amazon.com/Klein-Tools-80121-Stripper-Strippers/dp/B0BMN726NC/ref=sr_1_2?keywords=Klein+Tools+94156+American+Legacy+Diagonal+Plier+and+Klein-Kurve%C2%AE+Wire+Stripper+%2F+Cutter&amp;qid=1694734429&amp;sr=8-2")</f>
        <v/>
      </c>
      <c r="F92" t="inlineStr">
        <is>
          <t>B0BMN726NC</t>
        </is>
      </c>
      <c r="G92">
        <f>_xlfn.IMAGE("https://edmondsonsupply.com/cdn/shop/products/94156.jpg?v=1674142114")</f>
        <v/>
      </c>
      <c r="H92">
        <f>_xlfn.IMAGE("https://m.media-amazon.com/images/I/51BBSMLtwZL._AC_UL320_.jpg")</f>
        <v/>
      </c>
      <c r="K92" t="inlineStr">
        <is>
          <t>39.99</t>
        </is>
      </c>
      <c r="L92" t="n">
        <v>64.98999999999999</v>
      </c>
      <c r="M92" s="1" t="inlineStr">
        <is>
          <t>62.52%</t>
        </is>
      </c>
      <c r="N92" s="7" t="n">
        <v>750.55</v>
      </c>
      <c r="O92" t="n">
        <v>5</v>
      </c>
      <c r="P92" t="n">
        <v>8</v>
      </c>
      <c r="R92" t="inlineStr">
        <is>
          <t>InStock</t>
        </is>
      </c>
      <c r="S92" t="inlineStr">
        <is>
          <t>59.98</t>
        </is>
      </c>
      <c r="T92" t="inlineStr">
        <is>
          <t>7926866346200</t>
        </is>
      </c>
    </row>
    <row r="93" ht="87" customHeight="1">
      <c r="A93" s="2">
        <f>HYPERLINK("https://edmondsonsupply.com/collections/hand-tools/products/klein-tools-94155-american-legacy-lineman-pliers-and-klein-kurve%C2%AE-wire-stripper-cutter", "https://edmondsonsupply.com/collections/hand-tools/products/klein-tools-94155-american-legacy-lineman-pliers-and-klein-kurve%C2%AE-wire-stripper-cutter")</f>
        <v/>
      </c>
      <c r="B93" s="2">
        <f>HYPERLINK("https://edmondsonsupply.com/products/klein-tools-94155-american-legacy-lineman-pliers-and-klein-kurve%c2%ae-wire-stripper-cutter", "https://edmondsonsupply.com/products/klein-tools-94155-american-legacy-lineman-pliers-and-klein-kurve%c2%ae-wire-stripper-cutter")</f>
        <v/>
      </c>
      <c r="C93" t="inlineStr">
        <is>
          <t>Klein Tools 94155 American Legacy Lineman Pliers and Klein-Kurve® Wire Stripper / Cutter</t>
        </is>
      </c>
      <c r="D93" t="inlineStr">
        <is>
          <t>Klein Tools 80121 Stripper Plier Kit with Wire Strippers, Lineman Pliers and Diagonal Cutters, 3-Piece</t>
        </is>
      </c>
      <c r="E93" s="2">
        <f>HYPERLINK("https://www.amazon.com/Klein-Tools-80121-Stripper-Strippers/dp/B0BMN726NC/ref=sr_1_2?keywords=Klein+Tools+94155+American+Legacy+Lineman+Pliers+and+Klein-Kurve%C2%AE+Wire+Stripper+%2F+Cutter&amp;qid=1694734424&amp;sr=8-2", "https://www.amazon.com/Klein-Tools-80121-Stripper-Strippers/dp/B0BMN726NC/ref=sr_1_2?keywords=Klein+Tools+94155+American+Legacy+Lineman+Pliers+and+Klein-Kurve%C2%AE+Wire+Stripper+%2F+Cutter&amp;qid=1694734424&amp;sr=8-2")</f>
        <v/>
      </c>
      <c r="F93" t="inlineStr">
        <is>
          <t>B0BMN726NC</t>
        </is>
      </c>
      <c r="G93">
        <f>_xlfn.IMAGE("https://edmondsonsupply.com/cdn/shop/products/94155.jpg?v=1674141590")</f>
        <v/>
      </c>
      <c r="H93">
        <f>_xlfn.IMAGE("https://m.media-amazon.com/images/I/51BBSMLtwZL._AC_UL320_.jpg")</f>
        <v/>
      </c>
      <c r="K93" t="inlineStr">
        <is>
          <t>39.99</t>
        </is>
      </c>
      <c r="L93" t="n">
        <v>64.98999999999999</v>
      </c>
      <c r="M93" s="1" t="inlineStr">
        <is>
          <t>62.52%</t>
        </is>
      </c>
      <c r="N93" s="7" t="n">
        <v>706.64</v>
      </c>
      <c r="O93" t="n">
        <v>5</v>
      </c>
      <c r="P93" t="n">
        <v>8</v>
      </c>
      <c r="R93" t="inlineStr">
        <is>
          <t>InStock</t>
        </is>
      </c>
      <c r="S93" t="inlineStr">
        <is>
          <t>59.98</t>
        </is>
      </c>
      <c r="T93" t="inlineStr">
        <is>
          <t>7926859104472</t>
        </is>
      </c>
    </row>
    <row r="94" ht="87" customHeight="1">
      <c r="A94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94" s="2">
        <f>HYPERLINK("https://edmondsonsupply.com/products/klein-tools-65200-electricians-mini-ratchet-set-5-piece", "https://edmondsonsupply.com/products/klein-tools-65200-electricians-mini-ratchet-set-5-piece")</f>
        <v/>
      </c>
      <c r="C94" t="inlineStr">
        <is>
          <t>Klein Tools 65200 Slim-Profile Mini Ratchet Set, 5-Piece</t>
        </is>
      </c>
      <c r="D94" t="inlineStr">
        <is>
          <t>Klein Tools 65200 Ratchet Set, 5-Piece Mini Ratchet Set with Phillips, Slotted &amp; MAG2 Demagnetizer/Magnetizer for Screwdriver Bits and Tips, Makes Tools Magnetic with Powerful Rare-Earth Magnet</t>
        </is>
      </c>
      <c r="E94" s="2">
        <f>HYPERLINK("https://www.amazon.com/Klein-Tools-Demagnetizer-Magnetizer-Screwdriver/dp/B09Z917XB6/ref=sr_1_4?keywords=Klein+Tools+65200+Slim-Profile+Mini+Ratchet+Set%2C+5-Piece&amp;qid=1694734424&amp;sr=8-4", "https://www.amazon.com/Klein-Tools-Demagnetizer-Magnetizer-Screwdriver/dp/B09Z917XB6/ref=sr_1_4?keywords=Klein+Tools+65200+Slim-Profile+Mini+Ratchet+Set%2C+5-Piece&amp;qid=1694734424&amp;sr=8-4")</f>
        <v/>
      </c>
      <c r="F94" t="inlineStr">
        <is>
          <t>B09Z917XB6</t>
        </is>
      </c>
      <c r="G94">
        <f>_xlfn.IMAGE("https://edmondsonsupply.com/cdn/shop/products/65200.jpg?v=1633030630")</f>
        <v/>
      </c>
      <c r="H94">
        <f>_xlfn.IMAGE("https://m.media-amazon.com/images/I/41yfZTQhEVL._AC_UL320_.jpg")</f>
        <v/>
      </c>
      <c r="K94" t="inlineStr">
        <is>
          <t>15.97</t>
        </is>
      </c>
      <c r="L94" t="n">
        <v>25.93</v>
      </c>
      <c r="M94" s="1" t="inlineStr">
        <is>
          <t>62.37%</t>
        </is>
      </c>
      <c r="N94" s="7" t="n">
        <v>645.5599999999999</v>
      </c>
      <c r="O94" t="n">
        <v>4.9</v>
      </c>
      <c r="P94" t="n">
        <v>17</v>
      </c>
      <c r="R94" t="inlineStr">
        <is>
          <t>InStock</t>
        </is>
      </c>
      <c r="S94" t="inlineStr">
        <is>
          <t>20.96</t>
        </is>
      </c>
      <c r="T94" t="inlineStr">
        <is>
          <t>5694440964264</t>
        </is>
      </c>
    </row>
    <row r="95" ht="87" customHeight="1">
      <c r="A95" s="2">
        <f>HYPERLINK("https://edmondsonsupply.com/collections/hand-tools/products/midwest-mwt-6510lo-left-cutting-offset-aviation-snip-blackout-series", "https://edmondsonsupply.com/collections/hand-tools/products/midwest-mwt-6510lo-left-cutting-offset-aviation-snip-blackout-series")</f>
        <v/>
      </c>
      <c r="B95" s="2">
        <f>HYPERLINK("https://edmondsonsupply.com/products/midwest-mwt-6510lo-left-cutting-offset-aviation-snip-blackout-series", "https://edmondsonsupply.com/products/midwest-mwt-6510lo-left-cutting-offset-aviation-snip-blackout-series")</f>
        <v/>
      </c>
      <c r="C95" t="inlineStr">
        <is>
          <t>Midwest MWT-6510LO Left-Cutting Offset Aviation Snip - Blackout Series</t>
        </is>
      </c>
      <c r="D95" t="inlineStr">
        <is>
          <t>MIDWEST Aviation Snip Set - Left and Right Cut Offset Tin Cutting Shears with Forged Blade &amp; KUSH'N-POWER Comfort Grips - MWT-6510C</t>
        </is>
      </c>
      <c r="E95" s="2">
        <f>HYPERLINK("https://www.amazon.com/MIDWEST-Aviation-Snip-Set-KUSHN-POWER/dp/B00OCGQG3S/ref=sr_1_2?keywords=Midwest+MWT-6510LO+Left-Cutting+Offset+Aviation+Snip+-+Blackout+Series&amp;qid=1694734424&amp;sr=8-2", "https://www.amazon.com/MIDWEST-Aviation-Snip-Set-KUSHN-POWER/dp/B00OCGQG3S/ref=sr_1_2?keywords=Midwest+MWT-6510LO+Left-Cutting+Offset+Aviation+Snip+-+Blackout+Series&amp;qid=1694734424&amp;sr=8-2")</f>
        <v/>
      </c>
      <c r="F95" t="inlineStr">
        <is>
          <t>B00OCGQG3S</t>
        </is>
      </c>
      <c r="G95">
        <f>_xlfn.IMAGE("https://edmondsonsupply.com/cdn/shop/products/mwt-6510lo.jpg?v=1587147580")</f>
        <v/>
      </c>
      <c r="H95">
        <f>_xlfn.IMAGE("https://m.media-amazon.com/images/I/71J9tcnJ-SL._AC_UL320_.jpg")</f>
        <v/>
      </c>
      <c r="K95" t="inlineStr">
        <is>
          <t>39.85</t>
        </is>
      </c>
      <c r="L95" t="n">
        <v>63.17</v>
      </c>
      <c r="M95" s="1" t="inlineStr">
        <is>
          <t>58.52%</t>
        </is>
      </c>
      <c r="N95" s="7" t="n">
        <v>555.78</v>
      </c>
      <c r="O95" t="n">
        <v>4.7</v>
      </c>
      <c r="P95" t="n">
        <v>5991</v>
      </c>
      <c r="R95" t="inlineStr">
        <is>
          <t>OutOfStock</t>
        </is>
      </c>
      <c r="S95" t="inlineStr">
        <is>
          <t>39.85</t>
        </is>
      </c>
      <c r="T95" t="inlineStr">
        <is>
          <t>4508644606052</t>
        </is>
      </c>
    </row>
    <row r="96" ht="87" customHeight="1">
      <c r="A96" s="2">
        <f>HYPERLINK("https://edmondsonsupply.com/collections/hand-tools/products/midwest-mwt-6510lo-left-cutting-offset-aviation-snip-blackout-series", "https://edmondsonsupply.com/collections/hand-tools/products/midwest-mwt-6510lo-left-cutting-offset-aviation-snip-blackout-series")</f>
        <v/>
      </c>
      <c r="B96" s="2">
        <f>HYPERLINK("https://edmondsonsupply.com/products/midwest-mwt-6510lo-left-cutting-offset-aviation-snip-blackout-series", "https://edmondsonsupply.com/products/midwest-mwt-6510lo-left-cutting-offset-aviation-snip-blackout-series")</f>
        <v/>
      </c>
      <c r="C96" t="inlineStr">
        <is>
          <t>Midwest MWT-6510LO Left-Cutting Offset Aviation Snip - Blackout Series</t>
        </is>
      </c>
      <c r="D96" t="inlineStr">
        <is>
          <t>MIDWEST Blackout Series Aviation Snip - Left Cut Offset Tin Cutting Shears with Forged Blade &amp; KUSH'N-POWER Comfort Grips - MWT-6510LO</t>
        </is>
      </c>
      <c r="E96" s="2">
        <f>HYPERLINK("https://www.amazon.com/MIDWEST-Blackout-Aviation-Snip-KUSHN-POWER/dp/B00TJQL91U/ref=sr_1_1?keywords=Midwest+MWT-6510LO+Left-Cutting+Offset+Aviation+Snip+-+Blackout+Series&amp;qid=1694734424&amp;sr=8-1", "https://www.amazon.com/MIDWEST-Blackout-Aviation-Snip-KUSHN-POWER/dp/B00TJQL91U/ref=sr_1_1?keywords=Midwest+MWT-6510LO+Left-Cutting+Offset+Aviation+Snip+-+Blackout+Series&amp;qid=1694734424&amp;sr=8-1")</f>
        <v/>
      </c>
      <c r="F96" t="inlineStr">
        <is>
          <t>B00TJQL91U</t>
        </is>
      </c>
      <c r="G96">
        <f>_xlfn.IMAGE("https://edmondsonsupply.com/cdn/shop/products/mwt-6510lo.jpg?v=1587147580")</f>
        <v/>
      </c>
      <c r="H96">
        <f>_xlfn.IMAGE("https://m.media-amazon.com/images/I/51OW3TahYsL._AC_UL320_.jpg")</f>
        <v/>
      </c>
      <c r="I96" t="n">
        <v>0</v>
      </c>
      <c r="J96" t="inlineStr">
        <is>
          <t>oos</t>
        </is>
      </c>
      <c r="K96" t="inlineStr">
        <is>
          <t>39.85</t>
        </is>
      </c>
      <c r="L96" t="n">
        <v>54.99</v>
      </c>
      <c r="M96" s="1" t="inlineStr">
        <is>
          <t>37.99%</t>
        </is>
      </c>
      <c r="N96" s="7" t="n">
        <v>514.41</v>
      </c>
      <c r="O96" t="n">
        <v>4.7</v>
      </c>
      <c r="P96" t="n">
        <v>1397</v>
      </c>
      <c r="R96" t="inlineStr">
        <is>
          <t>OutOfStock</t>
        </is>
      </c>
      <c r="S96" t="inlineStr">
        <is>
          <t>39.85</t>
        </is>
      </c>
      <c r="T96" t="inlineStr">
        <is>
          <t>4508644606052</t>
        </is>
      </c>
    </row>
    <row r="97" ht="87" customHeight="1">
      <c r="A97" s="2">
        <f>HYPERLINK("https://edmondsonsupply.com/collections/hand-tools/products/jb-industries-shld-multi-the-shield", "https://edmondsonsupply.com/collections/hand-tools/products/jb-industries-shld-multi-the-shield")</f>
        <v/>
      </c>
      <c r="B97" s="2">
        <f>HYPERLINK("https://edmondsonsupply.com/products/jb-industries-shld-multi-the-shield", "https://edmondsonsupply.com/products/jb-industries-shld-multi-the-shield")</f>
        <v/>
      </c>
      <c r="C97" t="inlineStr">
        <is>
          <t>JB Industries SHLD-MULTI The Shield™ Universal Locking Cap Multi-Tool</t>
        </is>
      </c>
      <c r="D97" t="inlineStr">
        <is>
          <t>JB Industries SHLD-Multi Shield Locking Caps Replacement Multi-Key Tool</t>
        </is>
      </c>
      <c r="E97" s="2">
        <f>HYPERLINK("https://www.amazon.com/Industries-SHLD-Multi-Locking-Replacement-Multi-Key/dp/B07GRNN1DK/ref=sr_1_2?keywords=JB+Industries+SHLD-MULTI+The+Shield%E2%84%A2+Universal+Locking+Cap+Multi-Tool&amp;qid=1694734424&amp;sr=8-2", "https://www.amazon.com/Industries-SHLD-Multi-Locking-Replacement-Multi-Key/dp/B07GRNN1DK/ref=sr_1_2?keywords=JB+Industries+SHLD-MULTI+The+Shield%E2%84%A2+Universal+Locking+Cap+Multi-Tool&amp;qid=1694734424&amp;sr=8-2")</f>
        <v/>
      </c>
      <c r="F97" t="inlineStr">
        <is>
          <t>B07GRNN1DK</t>
        </is>
      </c>
      <c r="G97">
        <f>_xlfn.IMAGE("https://edmondsonsupply.com/cdn/shop/products/SHLD-MULTI-JB-Shield-Locking-Cap-Multi-Tool-Access-Valves-1024x1024-1.png?v=1650331009")</f>
        <v/>
      </c>
      <c r="H97">
        <f>_xlfn.IMAGE("https://m.media-amazon.com/images/I/41RP3bxn3ZL._AC_UL320_.jpg")</f>
        <v/>
      </c>
      <c r="K97" t="inlineStr">
        <is>
          <t>30.87</t>
        </is>
      </c>
      <c r="L97" t="n">
        <v>41.16</v>
      </c>
      <c r="M97" s="1" t="inlineStr">
        <is>
          <t>33.33%</t>
        </is>
      </c>
      <c r="N97" s="7" t="n">
        <v>497.87</v>
      </c>
      <c r="O97" t="n">
        <v>4.4</v>
      </c>
      <c r="P97" t="n">
        <v>162</v>
      </c>
      <c r="R97" t="inlineStr">
        <is>
          <t>InStock</t>
        </is>
      </c>
      <c r="S97" t="inlineStr">
        <is>
          <t>48.71</t>
        </is>
      </c>
      <c r="T97" t="inlineStr">
        <is>
          <t>4520783020132</t>
        </is>
      </c>
    </row>
    <row r="98" ht="87" customHeight="1">
      <c r="A98" s="2">
        <f>HYPERLINK("https://edmondsonsupply.com/collections/hand-tools/products/midwest-mwt-ss6510l-special-hardness-offset-aviation-snip-left-cutting", "https://edmondsonsupply.com/collections/hand-tools/products/midwest-mwt-ss6510l-special-hardness-offset-aviation-snip-left-cutting")</f>
        <v/>
      </c>
      <c r="B98" s="2">
        <f>HYPERLINK("https://edmondsonsupply.com/products/midwest-mwt-ss6510l-special-hardness-offset-aviation-snip-left-cutting", "https://edmondsonsupply.com/products/midwest-mwt-ss6510l-special-hardness-offset-aviation-snip-left-cutting")</f>
        <v/>
      </c>
      <c r="C98" t="inlineStr">
        <is>
          <t>Midwest MWT-SS6510L Special Hardness Offset Aviation Snip - Left-Cutting</t>
        </is>
      </c>
      <c r="D98" t="inlineStr">
        <is>
          <t>MIDWEST Tool and Cutlery Aviation Snip - Left Cut Offset Tin Cutting Shears with Forged Blade &amp; KUSH'N-POWER Comfort Grips - MWT-6510L</t>
        </is>
      </c>
      <c r="E98" s="2">
        <f>HYPERLINK("https://www.amazon.com/MIDWEST-Aviation-Snip-KUSHN-POWER-MWT-6510L/dp/B00OCGQFP2/ref=sr_1_4?keywords=Midwest+MWT-SS6510L+Special+Hardness+Offset+Aviation+Snip+-+Left-Cutting&amp;qid=1694734424&amp;sr=8-4", "https://www.amazon.com/MIDWEST-Aviation-Snip-KUSHN-POWER-MWT-6510L/dp/B00OCGQFP2/ref=sr_1_4?keywords=Midwest+MWT-SS6510L+Special+Hardness+Offset+Aviation+Snip+-+Left-Cutting&amp;qid=1694734424&amp;sr=8-4")</f>
        <v/>
      </c>
      <c r="F98" t="inlineStr">
        <is>
          <t>B00OCGQFP2</t>
        </is>
      </c>
      <c r="G98">
        <f>_xlfn.IMAGE("https://edmondsonsupply.com/cdn/shop/products/MWT-SS6510L.png?v=1587150385")</f>
        <v/>
      </c>
      <c r="H98">
        <f>_xlfn.IMAGE("https://m.media-amazon.com/images/I/71WhwcyI50L._AC_UL320_.jpg")</f>
        <v/>
      </c>
      <c r="K98" t="inlineStr">
        <is>
          <t>32.15</t>
        </is>
      </c>
      <c r="L98" t="n">
        <v>40.38</v>
      </c>
      <c r="M98" s="1" t="inlineStr">
        <is>
          <t>25.60%</t>
        </is>
      </c>
      <c r="N98" s="7" t="n">
        <v>416.43</v>
      </c>
      <c r="O98" t="n">
        <v>4.7</v>
      </c>
      <c r="P98" t="n">
        <v>2712</v>
      </c>
      <c r="R98" t="inlineStr">
        <is>
          <t>OutOfStock</t>
        </is>
      </c>
      <c r="S98" t="inlineStr">
        <is>
          <t>47.17</t>
        </is>
      </c>
      <c r="T98" t="inlineStr">
        <is>
          <t>4421073272932</t>
        </is>
      </c>
    </row>
    <row r="99" hidden="1" ht="15.75" customHeight="1">
      <c r="A99" s="2">
        <f>HYPERLINK("https://edmondsonsupply.com/collections/hand-tools/products/malco-mshc-2-inch-c-rhex-cleanable-reversible-magnetic-hex-driver-1-4-5-16", "https://edmondsonsupply.com/collections/hand-tools/products/malco-mshc-2-inch-c-rhex-cleanable-reversible-magnetic-hex-driver-1-4-5-16")</f>
        <v/>
      </c>
      <c r="B99" s="2">
        <f>HYPERLINK("https://edmondsonsupply.com/products/malco-mshc-2-inch-c-rhex-cleanable-reversible-magnetic-hex-driver-1-4-5-16", "https://edmondsonsupply.com/products/malco-mshc-2-inch-c-rhex-cleanable-reversible-magnetic-hex-driver-1-4-5-16")</f>
        <v/>
      </c>
      <c r="C99" t="inlineStr">
        <is>
          <t>Malco Tools MSHC 2-Inch C-Rhex Cleanable, Reversible Magnetic Hex Driver, 1/4" &amp; 5/16"</t>
        </is>
      </c>
      <c r="D99" t="inlineStr">
        <is>
          <t>Malco MSHC2 C-RHEX® Building Construction Series Cleanable, Reversible Magnetic Hex Driver (1/4" &amp; 5/16")</t>
        </is>
      </c>
      <c r="E99" s="2">
        <f>HYPERLINK("https://www.amazon.com/Malco-MSHC2-Construction-Cleanable-Reversible/dp/B0BX779Y8S/ref=sr_1_1?keywords=Malco+Tools+MSHC+2-Inch+C-Rhex+Cleanable%2C+Reversible+Magnetic+Hex+Driver%2C+1%2F4%22+%26+5%2F16%22&amp;qid=1694734428&amp;sr=8-1", "https://www.amazon.com/Malco-MSHC2-Construction-Cleanable-Reversible/dp/B0BX779Y8S/ref=sr_1_1?keywords=Malco+Tools+MSHC+2-Inch+C-Rhex+Cleanable%2C+Reversible+Magnetic+Hex+Driver%2C+1%2F4%22+%26+5%2F16%22&amp;qid=1694734428&amp;sr=8-1")</f>
        <v/>
      </c>
      <c r="F99" t="inlineStr">
        <is>
          <t>B0BX779Y8S</t>
        </is>
      </c>
      <c r="G99">
        <f>_xludf.IMAGE("https://edmondsonsupply.com/cdn/shop/products/Malco-MSHC-CRHEX-Slim-Design.jpg?v=1646614493")</f>
        <v/>
      </c>
      <c r="H99">
        <f>_xludf.IMAGE("https://m.media-amazon.com/images/I/61Iwy5K7S5L._AC_UL320_.jpg")</f>
        <v/>
      </c>
      <c r="K99" t="inlineStr">
        <is>
          <t>5.89</t>
        </is>
      </c>
      <c r="L99" t="n">
        <v>7.05</v>
      </c>
      <c r="M99" s="1" t="inlineStr">
        <is>
          <t>19.69%</t>
        </is>
      </c>
      <c r="N99" s="1" t="n">
        <v>382.41</v>
      </c>
      <c r="O99" t="n">
        <v>4.7</v>
      </c>
      <c r="P99" t="n">
        <v>39</v>
      </c>
      <c r="R99" t="inlineStr">
        <is>
          <t>InStock</t>
        </is>
      </c>
      <c r="S99" t="inlineStr">
        <is>
          <t>undefined</t>
        </is>
      </c>
      <c r="T99" t="inlineStr">
        <is>
          <t>4102600753252</t>
        </is>
      </c>
    </row>
    <row r="100" ht="87" customHeight="1">
      <c r="A100" s="2">
        <f>HYPERLINK("https://edmondsonsupply.com/collections/hand-tools/products/jb-industries-shld-multi-the-shield", "https://edmondsonsupply.com/collections/hand-tools/products/jb-industries-shld-multi-the-shield")</f>
        <v/>
      </c>
      <c r="B100" s="2">
        <f>HYPERLINK("https://edmondsonsupply.com/products/jb-industries-shld-multi-the-shield", "https://edmondsonsupply.com/products/jb-industries-shld-multi-the-shield")</f>
        <v/>
      </c>
      <c r="C100" t="inlineStr">
        <is>
          <t>JB Industries SHLD-MULTI The Shield™ Universal Locking Cap Multi-Tool</t>
        </is>
      </c>
      <c r="D100" t="inlineStr">
        <is>
          <t>JB Industries SHLD-Multi Shield Locking Caps Multi-Key Tool</t>
        </is>
      </c>
      <c r="E100" s="2">
        <f>HYPERLINK("https://www.amazon.com/JB-Industries-SHLD-Multi-Locking-Multi-Key/dp/B015UA7GUQ/ref=sr_1_1?keywords=JB+Industries+SHLD-MULTI+The+Shield%E2%84%A2+Universal+Locking+Cap+Multi-Tool&amp;qid=1694734424&amp;sr=8-1", "https://www.amazon.com/JB-Industries-SHLD-Multi-Locking-Multi-Key/dp/B015UA7GUQ/ref=sr_1_1?keywords=JB+Industries+SHLD-MULTI+The+Shield%E2%84%A2+Universal+Locking+Cap+Multi-Tool&amp;qid=1694734424&amp;sr=8-1")</f>
        <v/>
      </c>
      <c r="F100" t="inlineStr">
        <is>
          <t>B015UA7GUQ</t>
        </is>
      </c>
      <c r="G100">
        <f>_xlfn.IMAGE("https://edmondsonsupply.com/cdn/shop/products/SHLD-MULTI-JB-Shield-Locking-Cap-Multi-Tool-Access-Valves-1024x1024-1.png?v=1650331009")</f>
        <v/>
      </c>
      <c r="H100">
        <f>_xlfn.IMAGE("https://m.media-amazon.com/images/I/81lphpRAUNL._AC_UL320_.jpg")</f>
        <v/>
      </c>
      <c r="K100" t="inlineStr">
        <is>
          <t>30.87</t>
        </is>
      </c>
      <c r="L100" t="n">
        <v>35</v>
      </c>
      <c r="M100" s="1" t="inlineStr">
        <is>
          <t>13.38%</t>
        </is>
      </c>
      <c r="N100" s="7" t="n">
        <v>372.83</v>
      </c>
      <c r="O100" t="n">
        <v>4.5</v>
      </c>
      <c r="P100" t="n">
        <v>109</v>
      </c>
      <c r="R100" t="inlineStr">
        <is>
          <t>InStock</t>
        </is>
      </c>
      <c r="S100" t="inlineStr">
        <is>
          <t>48.71</t>
        </is>
      </c>
      <c r="T100" t="inlineStr">
        <is>
          <t>4520783020132</t>
        </is>
      </c>
    </row>
    <row r="101" ht="87" customHeight="1">
      <c r="A101" s="2">
        <f>HYPERLINK("https://edmondsonsupply.com/collections/hand-tools/products/midwest-mwt-6510ro-right-cutting-offset-aviation-snip-blackout-series", "https://edmondsonsupply.com/collections/hand-tools/products/midwest-mwt-6510ro-right-cutting-offset-aviation-snip-blackout-series")</f>
        <v/>
      </c>
      <c r="B101" s="2">
        <f>HYPERLINK("https://edmondsonsupply.com/products/midwest-mwt-6510ro-right-cutting-offset-aviation-snip-blackout-series", "https://edmondsonsupply.com/products/midwest-mwt-6510ro-right-cutting-offset-aviation-snip-blackout-series")</f>
        <v/>
      </c>
      <c r="C101" t="inlineStr">
        <is>
          <t>Midwest MWT-6510RO Right-Cutting Offset Aviation Snip - Blackout Series</t>
        </is>
      </c>
      <c r="D101" t="inlineStr">
        <is>
          <t>MIDWEST Aviation Snip - Right Cut Offset Stainless Steel Cutting Shears with Forged Blade &amp; KUSH'N-POWER Comfort Grips - MWT-SS6510R</t>
        </is>
      </c>
      <c r="E101" s="2">
        <f>HYPERLINK("https://www.amazon.com/MIDWEST-Aviation-Snip-KUSHN-POWER-MWT-SS6510R/dp/B00OMSVOZ6/ref=sr_1_5?keywords=Midwest+MWT-6510RO+Right-Cutting+Offset+Aviation+Snip+-+Blackout+Series&amp;qid=1694734428&amp;sr=8-5", "https://www.amazon.com/MIDWEST-Aviation-Snip-KUSHN-POWER-MWT-SS6510R/dp/B00OMSVOZ6/ref=sr_1_5?keywords=Midwest+MWT-6510RO+Right-Cutting+Offset+Aviation+Snip+-+Blackout+Series&amp;qid=1694734428&amp;sr=8-5")</f>
        <v/>
      </c>
      <c r="F101" t="inlineStr">
        <is>
          <t>B00OMSVOZ6</t>
        </is>
      </c>
      <c r="G101">
        <f>_xlfn.IMAGE("https://edmondsonsupply.com/cdn/shop/products/6510ro.jpg?v=1587142626")</f>
        <v/>
      </c>
      <c r="H101">
        <f>_xlfn.IMAGE("https://m.media-amazon.com/images/I/6111Xzz5-TL._AC_UL320_.jpg")</f>
        <v/>
      </c>
      <c r="K101" t="inlineStr">
        <is>
          <t>30.31</t>
        </is>
      </c>
      <c r="L101" t="n">
        <v>33.32</v>
      </c>
      <c r="M101" s="1" t="inlineStr">
        <is>
          <t>9.93%</t>
        </is>
      </c>
      <c r="N101" s="7" t="n">
        <v>367.57</v>
      </c>
      <c r="O101" t="n">
        <v>4.3</v>
      </c>
      <c r="P101" t="n">
        <v>99</v>
      </c>
      <c r="R101" t="inlineStr">
        <is>
          <t>InStock</t>
        </is>
      </c>
      <c r="S101" t="inlineStr">
        <is>
          <t>41.24</t>
        </is>
      </c>
      <c r="T101" t="inlineStr">
        <is>
          <t>4470025027684</t>
        </is>
      </c>
    </row>
    <row r="102" ht="87" customHeight="1">
      <c r="A102" s="2">
        <f>HYPERLINK("https://edmondsonsupply.com/collections/hand-tools/products/midwest-mwt-6510lo-left-cutting-offset-aviation-snip-blackout-series", "https://edmondsonsupply.com/collections/hand-tools/products/midwest-mwt-6510lo-left-cutting-offset-aviation-snip-blackout-series")</f>
        <v/>
      </c>
      <c r="B102" s="2">
        <f>HYPERLINK("https://edmondsonsupply.com/products/midwest-mwt-6510lo-left-cutting-offset-aviation-snip-blackout-series", "https://edmondsonsupply.com/products/midwest-mwt-6510lo-left-cutting-offset-aviation-snip-blackout-series")</f>
        <v/>
      </c>
      <c r="C102" t="inlineStr">
        <is>
          <t>Midwest MWT-6510LO Left-Cutting Offset Aviation Snip - Blackout Series</t>
        </is>
      </c>
      <c r="D102" t="inlineStr">
        <is>
          <t>MIDWEST Tool and Cutlery Aviation Snip - Left Cut Offset Tin Cutting Shears with Forged Blade &amp; KUSH'N-POWER Comfort Grips - MWT-6510L</t>
        </is>
      </c>
      <c r="E102" s="2">
        <f>HYPERLINK("https://www.amazon.com/MIDWEST-Aviation-Snip-KUSHN-POWER-MWT-6510L/dp/B00OCGQFP2/ref=sr_1_6?keywords=Midwest+MWT-6510LO+Left-Cutting+Offset+Aviation+Snip+-+Blackout+Series&amp;qid=1694734424&amp;sr=8-6", "https://www.amazon.com/MIDWEST-Aviation-Snip-KUSHN-POWER-MWT-6510L/dp/B00OCGQFP2/ref=sr_1_6?keywords=Midwest+MWT-6510LO+Left-Cutting+Offset+Aviation+Snip+-+Blackout+Series&amp;qid=1694734424&amp;sr=8-6")</f>
        <v/>
      </c>
      <c r="F102" t="inlineStr">
        <is>
          <t>B00OCGQFP2</t>
        </is>
      </c>
      <c r="G102">
        <f>_xlfn.IMAGE("https://edmondsonsupply.com/cdn/shop/products/mwt-6510lo.jpg?v=1587147580")</f>
        <v/>
      </c>
      <c r="H102">
        <f>_xlfn.IMAGE("https://m.media-amazon.com/images/I/71WhwcyI50L._AC_UL320_.jpg")</f>
        <v/>
      </c>
      <c r="K102" t="inlineStr">
        <is>
          <t>39.85</t>
        </is>
      </c>
      <c r="L102" t="n">
        <v>40.38</v>
      </c>
      <c r="M102" s="1" t="inlineStr">
        <is>
          <t>1.33%</t>
        </is>
      </c>
      <c r="N102" s="7" t="n">
        <v>300.12</v>
      </c>
      <c r="O102" t="n">
        <v>4.7</v>
      </c>
      <c r="P102" t="n">
        <v>2712</v>
      </c>
      <c r="R102" t="inlineStr">
        <is>
          <t>OutOfStock</t>
        </is>
      </c>
      <c r="S102" t="inlineStr">
        <is>
          <t>39.85</t>
        </is>
      </c>
      <c r="T102" t="inlineStr">
        <is>
          <t>4508644606052</t>
        </is>
      </c>
    </row>
    <row r="103" ht="87" customHeight="1">
      <c r="A103" s="2">
        <f>HYPERLINK("https://edmondsonsupply.com/collections/hand-tools/products/klein-tools-65200-electricians-mini-ratchet-set-5-piece", "https://edmondsonsupply.com/collections/hand-tools/products/klein-tools-65200-electricians-mini-ratchet-set-5-piece")</f>
        <v/>
      </c>
      <c r="B103" s="2">
        <f>HYPERLINK("https://edmondsonsupply.com/products/klein-tools-65200-electricians-mini-ratchet-set-5-piece", "https://edmondsonsupply.com/products/klein-tools-65200-electricians-mini-ratchet-set-5-piece")</f>
        <v/>
      </c>
      <c r="C103" t="inlineStr">
        <is>
          <t>Klein Tools 65200 Slim-Profile Mini Ratchet Set, 5-Piece</t>
        </is>
      </c>
      <c r="D103" t="inlineStr">
        <is>
          <t>Klein Tools 65200 Ratchet Set, 5-Piece Mini Ratchet Set with Phillips, Slotted, and Adapter for Other Socket Sizes, For Tight Spaces</t>
        </is>
      </c>
      <c r="E103" s="2">
        <f>HYPERLINK("https://www.amazon.com/Klein-Tools-65200-Ratchet-Phillips/dp/B08D6YDQNH/ref=sr_1_1?keywords=Klein+Tools+65200+Slim-Profile+Mini+Ratchet+Set%2C+5-Piece&amp;qid=1694734424&amp;sr=8-1", "https://www.amazon.com/Klein-Tools-65200-Ratchet-Phillips/dp/B08D6YDQNH/ref=sr_1_1?keywords=Klein+Tools+65200+Slim-Profile+Mini+Ratchet+Set%2C+5-Piece&amp;qid=1694734424&amp;sr=8-1")</f>
        <v/>
      </c>
      <c r="F103" t="inlineStr">
        <is>
          <t>B08D6YDQNH</t>
        </is>
      </c>
      <c r="G103">
        <f>_xlfn.IMAGE("https://edmondsonsupply.com/cdn/shop/products/65200.jpg?v=1633030630")</f>
        <v/>
      </c>
      <c r="H103">
        <f>_xlfn.IMAGE("https://m.media-amazon.com/images/I/61p7iM+Yn8L._AC_UL320_.jpg")</f>
        <v/>
      </c>
      <c r="K103" t="inlineStr">
        <is>
          <t>15.97</t>
        </is>
      </c>
      <c r="L103" t="n">
        <v>15.96</v>
      </c>
      <c r="M103" s="1" t="inlineStr">
        <is>
          <t>-0.06%</t>
        </is>
      </c>
      <c r="N103" s="7" t="n">
        <v>282.47</v>
      </c>
      <c r="O103" t="n">
        <v>4.7</v>
      </c>
      <c r="P103" t="n">
        <v>3954</v>
      </c>
      <c r="R103" t="inlineStr">
        <is>
          <t>InStock</t>
        </is>
      </c>
      <c r="S103" t="inlineStr">
        <is>
          <t>20.96</t>
        </is>
      </c>
      <c r="T103" t="inlineStr">
        <is>
          <t>5694440964264</t>
        </is>
      </c>
    </row>
    <row r="104" ht="87" customHeight="1">
      <c r="A104" s="2">
        <f>HYPERLINK("https://edmondsonsupply.com/collections/hand-tools/products/malco-tools-lp7wc-eagle-grip-7-curved-jaw-locking-pliers-w-wire-cutters", "https://edmondsonsupply.com/collections/hand-tools/products/malco-tools-lp7wc-eagle-grip-7-curved-jaw-locking-pliers-w-wire-cutters")</f>
        <v/>
      </c>
      <c r="B104" s="2">
        <f>HYPERLINK("https://edmondsonsupply.com/products/malco-tools-lp7wc-eagle-grip-7-curved-jaw-locking-pliers-w-wire-cutters", "https://edmondsonsupply.com/products/malco-tools-lp7wc-eagle-grip-7-curved-jaw-locking-pliers-w-wire-cutters")</f>
        <v/>
      </c>
      <c r="C104" t="inlineStr">
        <is>
          <t>Malco Tools LP7WC Eagle Grip 7″ Curved Jaw Locking Pliers W/Wire Cutters</t>
        </is>
      </c>
      <c r="D104" t="inlineStr">
        <is>
          <t>Malco Eagle Grip LP7WC 7 in. Curved Jaw Locking Pliers with Wire Cutter</t>
        </is>
      </c>
      <c r="E104" s="2">
        <f>HYPERLINK("https://www.amazon.com/Malco-LP7WC-Curved-Locking-Pliers/dp/B0924QSHLF/ref=sr_1_1?keywords=Malco+Tools+LP7WC+Eagle+Grip+7%E2%80%B3+Curved+Jaw+Locking+Pliers+W%2FWire+Cutters&amp;qid=1694734428&amp;sr=8-1", "https://www.amazon.com/Malco-LP7WC-Curved-Locking-Pliers/dp/B0924QSHLF/ref=sr_1_1?keywords=Malco+Tools+LP7WC+Eagle+Grip+7%E2%80%B3+Curved+Jaw+Locking+Pliers+W%2FWire+Cutters&amp;qid=1694734428&amp;sr=8-1")</f>
        <v/>
      </c>
      <c r="F104" t="inlineStr">
        <is>
          <t>B0924QSHLF</t>
        </is>
      </c>
      <c r="G104">
        <f>_xlfn.IMAGE("https://edmondsonsupply.com/cdn/shop/products/LP7WC-7-Inch-eagle-grip-locking-pliers-in-hand.jpg?v=1657306992")</f>
        <v/>
      </c>
      <c r="H104">
        <f>_xlfn.IMAGE("https://m.media-amazon.com/images/I/61fd64mFDpS._AC_UL320_.jpg")</f>
        <v/>
      </c>
      <c r="K104" t="inlineStr">
        <is>
          <t>48.99</t>
        </is>
      </c>
      <c r="L104" t="n">
        <v>41.49</v>
      </c>
      <c r="M104" s="1" t="inlineStr">
        <is>
          <t>-15.31%</t>
        </is>
      </c>
      <c r="N104" s="7" t="n">
        <v>260.17</v>
      </c>
      <c r="O104" t="n">
        <v>4.9</v>
      </c>
      <c r="P104" t="n">
        <v>423</v>
      </c>
      <c r="R104" t="inlineStr">
        <is>
          <t>InStock</t>
        </is>
      </c>
      <c r="S104" t="inlineStr">
        <is>
          <t>52.26</t>
        </is>
      </c>
      <c r="T104" t="inlineStr">
        <is>
          <t>7742414455000</t>
        </is>
      </c>
    </row>
    <row r="105" hidden="1" ht="15.75" customHeight="1">
      <c r="A105" s="2">
        <f>HYPERLINK("https://edmondsonsupply.com/collections/hand-tools/products/midwest-mwt-6510ro-right-cutting-offset-aviation-snip-blackout-series", "https://edmondsonsupply.com/collections/hand-tools/products/midwest-mwt-6510ro-right-cutting-offset-aviation-snip-blackout-series")</f>
        <v/>
      </c>
      <c r="B105" s="2">
        <f>HYPERLINK("https://edmondsonsupply.com/products/midwest-mwt-6510ro-right-cutting-offset-aviation-snip-blackout-series", "https://edmondsonsupply.com/products/midwest-mwt-6510ro-right-cutting-offset-aviation-snip-blackout-series")</f>
        <v/>
      </c>
      <c r="C105" t="inlineStr">
        <is>
          <t>Midwest MWT-6510RO Right-Cutting Offset Aviation Snip - Blackout Series</t>
        </is>
      </c>
      <c r="D105" t="inlineStr">
        <is>
          <t>MIDWEST Blackout Series Aviation Snip - Right Cut Regular Tin Cutting Shears with Forged Blade &amp; KUSH'N-POWER Comfort Grips - MWT-6716RO</t>
        </is>
      </c>
      <c r="E105" s="2">
        <f>HYPERLINK("https://www.amazon.com/MIDWEST-Blackout-Aviation-Snip-KUSHN-POWER/dp/B00TJQL8FW/ref=sr_1_3?keywords=Midwest+MWT-6510RO+Right-Cutting+Offset+Aviation+Snip+-+Blackout+Series&amp;qid=1694734428&amp;sr=8-3", "https://www.amazon.com/MIDWEST-Blackout-Aviation-Snip-KUSHN-POWER/dp/B00TJQL8FW/ref=sr_1_3?keywords=Midwest+MWT-6510RO+Right-Cutting+Offset+Aviation+Snip+-+Blackout+Series&amp;qid=1694734428&amp;sr=8-3")</f>
        <v/>
      </c>
      <c r="F105" t="inlineStr">
        <is>
          <t>B00TJQL8FW</t>
        </is>
      </c>
      <c r="G105">
        <f>_xludf.IMAGE("https://edmondsonsupply.com/cdn/shop/products/6510ro.jpg?v=1587142626")</f>
        <v/>
      </c>
      <c r="H105">
        <f>_xludf.IMAGE("https://m.media-amazon.com/images/I/61B4vp7eTTL._AC_UL320_.jpg")</f>
        <v/>
      </c>
      <c r="K105" t="inlineStr">
        <is>
          <t>30.31</t>
        </is>
      </c>
      <c r="L105" t="n">
        <v>21.6</v>
      </c>
      <c r="M105" s="1" t="inlineStr">
        <is>
          <t>-28.74%</t>
        </is>
      </c>
      <c r="N105" s="1" t="n">
        <v>241.73</v>
      </c>
      <c r="O105" t="n">
        <v>4</v>
      </c>
      <c r="P105" t="n">
        <v>52</v>
      </c>
      <c r="R105" t="inlineStr">
        <is>
          <t>InStock</t>
        </is>
      </c>
      <c r="S105" t="inlineStr">
        <is>
          <t>41.24</t>
        </is>
      </c>
      <c r="T105" t="inlineStr">
        <is>
          <t>4470025027684</t>
        </is>
      </c>
    </row>
    <row r="106" ht="87" customHeight="1">
      <c r="A106" s="2">
        <f>HYPERLINK("https://edmondsonsupply.com/collections/storage-organization/products/clc-1100-3", "https://edmondsonsupply.com/collections/storage-organization/products/clc-1100-3")</f>
        <v/>
      </c>
      <c r="B106" s="2">
        <f>HYPERLINK("https://edmondsonsupply.com/products/clc-1100-3", "https://edmondsonsupply.com/products/clc-1100-3")</f>
        <v/>
      </c>
      <c r="C106" t="inlineStr">
        <is>
          <t>CLC 1100 3 Multi-Purpose, Clip-on, Zippered Bags</t>
        </is>
      </c>
      <c r="D106" t="inlineStr">
        <is>
          <t>CLC Custom Leathercraft L255 Tech Gear 53 Pocket Lighted Back Pack, Black &amp; CLC 1100 Multi-Purpose Clip-on Zippered Poly Bags, 3 Pack</t>
        </is>
      </c>
      <c r="E106" s="2">
        <f>HYPERLINK("https://www.amazon.com/Custom-Leathercraft-Lighted-Multi-Purpose-Zippered/dp/B0B3DXHXHS/ref=sr_1_3?keywords=CLC+1100+3+Multi-Purpose%2C+Clip-on%2C+Zippered+Bags&amp;qid=1694734443&amp;sr=8-3", "https://www.amazon.com/Custom-Leathercraft-Lighted-Multi-Purpose-Zippered/dp/B0B3DXHXHS/ref=sr_1_3?keywords=CLC+1100+3+Multi-Purpose%2C+Clip-on%2C+Zippered+Bags&amp;qid=1694734443&amp;sr=8-3")</f>
        <v/>
      </c>
      <c r="F106" t="inlineStr">
        <is>
          <t>B0B3DXHXHS</t>
        </is>
      </c>
      <c r="G106">
        <f>_xlfn.IMAGE("https://edmondsonsupply.com/cdn/shop/products/1100_REV17_2.jpg?v=1633030333")</f>
        <v/>
      </c>
      <c r="H106">
        <f>_xlfn.IMAGE("https://m.media-amazon.com/images/I/51Q1Ss7kq9L._AC_UL320_.jpg")</f>
        <v/>
      </c>
      <c r="K106" t="inlineStr">
        <is>
          <t>11.75</t>
        </is>
      </c>
      <c r="L106" t="n">
        <v>128.99</v>
      </c>
      <c r="M106" s="1" t="inlineStr">
        <is>
          <t>997.79%</t>
        </is>
      </c>
      <c r="N106" s="7" t="n">
        <v>233.31</v>
      </c>
      <c r="O106" t="n">
        <v>4.5</v>
      </c>
      <c r="P106" t="n">
        <v>1372</v>
      </c>
      <c r="R106" t="inlineStr">
        <is>
          <t>InStock</t>
        </is>
      </c>
      <c r="S106" t="inlineStr">
        <is>
          <t>17.95</t>
        </is>
      </c>
      <c r="T106" t="inlineStr">
        <is>
          <t>5268012171432</t>
        </is>
      </c>
    </row>
    <row r="107" ht="87" customHeight="1">
      <c r="A107" s="2">
        <f>HYPERLINK("https://edmondsonsupply.com/collections/storage-organization/products/clc-1100-3", "https://edmondsonsupply.com/collections/storage-organization/products/clc-1100-3")</f>
        <v/>
      </c>
      <c r="B107" s="2">
        <f>HYPERLINK("https://edmondsonsupply.com/products/clc-1100-3", "https://edmondsonsupply.com/products/clc-1100-3")</f>
        <v/>
      </c>
      <c r="C107" t="inlineStr">
        <is>
          <t>CLC 1100 3 Multi-Purpose, Clip-on, Zippered Bags</t>
        </is>
      </c>
      <c r="D107" t="inlineStr">
        <is>
          <t>CLC Work Gear PB1133 38 Pocket Molded Base Tool Backpack &amp; 1100 Multi-Purpose Clip-on Zippered Poly Bags, 3 Pack</t>
        </is>
      </c>
      <c r="E107" s="2">
        <f>HYPERLINK("https://www.amazon.com/PB1133-Pocket-Backpack-Multi-Purpose-Zippered/dp/B09Z92LJFF/ref=sr_1_7?keywords=CLC+1100+3+Multi-Purpose%2C+Clip-on%2C+Zippered+Bags&amp;qid=1694734443&amp;sr=8-7", "https://www.amazon.com/PB1133-Pocket-Backpack-Multi-Purpose-Zippered/dp/B09Z92LJFF/ref=sr_1_7?keywords=CLC+1100+3+Multi-Purpose%2C+Clip-on%2C+Zippered+Bags&amp;qid=1694734443&amp;sr=8-7")</f>
        <v/>
      </c>
      <c r="F107" t="inlineStr">
        <is>
          <t>B09Z92LJFF</t>
        </is>
      </c>
      <c r="G107">
        <f>_xlfn.IMAGE("https://edmondsonsupply.com/cdn/shop/products/1100_REV17_2.jpg?v=1633030333")</f>
        <v/>
      </c>
      <c r="H107">
        <f>_xlfn.IMAGE("https://m.media-amazon.com/images/I/510j+91N6EL._AC_UL320_.jpg")</f>
        <v/>
      </c>
      <c r="K107" t="inlineStr">
        <is>
          <t>11.75</t>
        </is>
      </c>
      <c r="L107" t="n">
        <v>128.98</v>
      </c>
      <c r="M107" s="1" t="inlineStr">
        <is>
          <t>997.70%</t>
        </is>
      </c>
      <c r="N107" s="7" t="n">
        <v>223.68</v>
      </c>
      <c r="O107" t="n">
        <v>4.2</v>
      </c>
      <c r="P107" t="n">
        <v>4</v>
      </c>
      <c r="R107" t="inlineStr">
        <is>
          <t>InStock</t>
        </is>
      </c>
      <c r="S107" t="inlineStr">
        <is>
          <t>17.95</t>
        </is>
      </c>
      <c r="T107" t="inlineStr">
        <is>
          <t>5268012171432</t>
        </is>
      </c>
    </row>
    <row r="108" ht="87" customHeight="1">
      <c r="A108" s="2">
        <f>HYPERLINK("https://edmondsonsupply.com/collections/storage-organization/products/clc-1100-3", "https://edmondsonsupply.com/collections/storage-organization/products/clc-1100-3")</f>
        <v/>
      </c>
      <c r="B108" s="2">
        <f>HYPERLINK("https://edmondsonsupply.com/products/clc-1100-3", "https://edmondsonsupply.com/products/clc-1100-3")</f>
        <v/>
      </c>
      <c r="C108" t="inlineStr">
        <is>
          <t>CLC 1100 3 Multi-Purpose, Clip-on, Zippered Bags</t>
        </is>
      </c>
      <c r="D108" t="inlineStr">
        <is>
          <t>CLC Custom LeatherCraft 1539 Multi-Compartment 50 Pocket Tool Bag &amp; CLC Custom Leathercraft 1100 Multi-Purpose Clip-on Zippered Poly Bags, 3 Pack</t>
        </is>
      </c>
      <c r="E108" s="2">
        <f>HYPERLINK("https://www.amazon.com/Custom-LeatherCraft-Multi-Compartment-Leathercraft-Multi-Purpose/dp/B093Q4S183/ref=sr_1_6?keywords=CLC+1100+3+Multi-Purpose%2C+Clip-on%2C+Zippered+Bags&amp;qid=1694734443&amp;sr=8-6", "https://www.amazon.com/Custom-LeatherCraft-Multi-Compartment-Leathercraft-Multi-Purpose/dp/B093Q4S183/ref=sr_1_6?keywords=CLC+1100+3+Multi-Purpose%2C+Clip-on%2C+Zippered+Bags&amp;qid=1694734443&amp;sr=8-6")</f>
        <v/>
      </c>
      <c r="F108" t="inlineStr">
        <is>
          <t>B093Q4S183</t>
        </is>
      </c>
      <c r="G108">
        <f>_xlfn.IMAGE("https://edmondsonsupply.com/cdn/shop/products/1100_REV17_2.jpg?v=1633030333")</f>
        <v/>
      </c>
      <c r="H108">
        <f>_xlfn.IMAGE("https://m.media-amazon.com/images/I/41hBhRQDbtS._AC_UL320_.jpg")</f>
        <v/>
      </c>
      <c r="K108" t="inlineStr">
        <is>
          <t>11.75</t>
        </is>
      </c>
      <c r="L108" t="n">
        <v>99.94</v>
      </c>
      <c r="M108" s="1" t="inlineStr">
        <is>
          <t>750.55%</t>
        </is>
      </c>
      <c r="N108" s="7" t="n">
        <v>182.2</v>
      </c>
      <c r="O108" t="n">
        <v>4.7</v>
      </c>
      <c r="P108" t="n">
        <v>2571</v>
      </c>
      <c r="R108" t="inlineStr">
        <is>
          <t>InStock</t>
        </is>
      </c>
      <c r="S108" t="inlineStr">
        <is>
          <t>17.95</t>
        </is>
      </c>
      <c r="T108" t="inlineStr">
        <is>
          <t>5268012171432</t>
        </is>
      </c>
    </row>
    <row r="109" ht="87" customHeight="1">
      <c r="A109" s="2">
        <f>HYPERLINK("https://edmondsonsupply.com/collections/storage-organization/products/clc-1100-3", "https://edmondsonsupply.com/collections/storage-organization/products/clc-1100-3")</f>
        <v/>
      </c>
      <c r="B109" s="2">
        <f>HYPERLINK("https://edmondsonsupply.com/products/clc-1100-3", "https://edmondsonsupply.com/products/clc-1100-3")</f>
        <v/>
      </c>
      <c r="C109" t="inlineStr">
        <is>
          <t>CLC 1100 3 Multi-Purpose, Clip-on, Zippered Bags</t>
        </is>
      </c>
      <c r="D109" t="inlineStr">
        <is>
          <t>CLC WORK GEAR 1579 20 Inch, Open Top, Soft Sided Tool Box, 27 Pockets &amp; CLC Custom Leathercraft 1100 Multi-Purpose Clip-on Zippered Poly Bags, 3 Pack</t>
        </is>
      </c>
      <c r="E109" s="2">
        <f>HYPERLINK("https://www.amazon.com/Pockets-Custom-Leathercraft-Multi-Purpose-Zippered/dp/B09Z931QC2/ref=sr_1_9?keywords=CLC+1100+3+Multi-Purpose%2C+Clip-on%2C+Zippered+Bags&amp;qid=1694734443&amp;sr=8-9", "https://www.amazon.com/Pockets-Custom-Leathercraft-Multi-Purpose-Zippered/dp/B09Z931QC2/ref=sr_1_9?keywords=CLC+1100+3+Multi-Purpose%2C+Clip-on%2C+Zippered+Bags&amp;qid=1694734443&amp;sr=8-9")</f>
        <v/>
      </c>
      <c r="F109" t="inlineStr">
        <is>
          <t>B09Z931QC2</t>
        </is>
      </c>
      <c r="G109">
        <f>_xlfn.IMAGE("https://edmondsonsupply.com/cdn/shop/products/1100_REV17_2.jpg?v=1633030333")</f>
        <v/>
      </c>
      <c r="H109">
        <f>_xlfn.IMAGE("https://m.media-amazon.com/images/I/41tNKTffzhL._AC_UL320_.jpg")</f>
        <v/>
      </c>
      <c r="K109" t="inlineStr">
        <is>
          <t>11.75</t>
        </is>
      </c>
      <c r="L109" t="n">
        <v>94.78</v>
      </c>
      <c r="M109" s="1" t="inlineStr">
        <is>
          <t>706.64%</t>
        </is>
      </c>
      <c r="N109" s="7" t="n">
        <v>182.2</v>
      </c>
      <c r="O109" t="n">
        <v>4.8</v>
      </c>
      <c r="P109" t="n">
        <v>10</v>
      </c>
      <c r="R109" t="inlineStr">
        <is>
          <t>InStock</t>
        </is>
      </c>
      <c r="S109" t="inlineStr">
        <is>
          <t>17.95</t>
        </is>
      </c>
      <c r="T109" t="inlineStr">
        <is>
          <t>5268012171432</t>
        </is>
      </c>
    </row>
    <row r="110" ht="87" customHeight="1">
      <c r="A110" s="2">
        <f>HYPERLINK("https://edmondsonsupply.com/collections/storage-organization/products/klein-tools-5141-canvas-bag-4-pk-brown-black-gray-red", "https://edmondsonsupply.com/collections/storage-organization/products/klein-tools-5141-canvas-bag-4-pk-brown-black-gray-red")</f>
        <v/>
      </c>
      <c r="B110" s="2">
        <f>HYPERLINK("https://edmondsonsupply.com/products/klein-tools-5141-canvas-bag-4-pk-brown-black-gray-red", "https://edmondsonsupply.com/products/klein-tools-5141-canvas-bag-4-pk-brown-black-gray-red")</f>
        <v/>
      </c>
      <c r="C110" t="inlineStr">
        <is>
          <t>Klein Tools 5141 Zipper Bags, Canvas Tool Pouches Brown/Black/Gray/Red, 4-Pack</t>
        </is>
      </c>
      <c r="D110" t="inlineStr">
        <is>
          <t>Klein Tools 55473RTB Rolling Tool Bag &amp; 5141 Canvas Zipper Bag, Tool Pouch, Tool Bag, Utility Bag, Bank Deposit Bag, 12.5 x 7-Inch, Brown/Black/Gray/Red 4-Pack</t>
        </is>
      </c>
      <c r="E110" s="2">
        <f>HYPERLINK("https://www.amazon.com/Klein-Tools-55473RTB-Rolling-Utility/dp/B0BC868BJY/ref=sr_1_7?keywords=Klein+Tools+5141+Zipper+Bags%2C+Canvas+Tool+Pouches+Brown%2FBlack%2FGray%2FRed%2C+4-Pack&amp;qid=1694734445&amp;sr=8-7", "https://www.amazon.com/Klein-Tools-55473RTB-Rolling-Utility/dp/B0BC868BJY/ref=sr_1_7?keywords=Klein+Tools+5141+Zipper+Bags%2C+Canvas+Tool+Pouches+Brown%2FBlack%2FGray%2FRed%2C+4-Pack&amp;qid=1694734445&amp;sr=8-7")</f>
        <v/>
      </c>
      <c r="F110" t="inlineStr">
        <is>
          <t>B0BC868BJY</t>
        </is>
      </c>
      <c r="G110">
        <f>_xlfn.IMAGE("https://edmondsonsupply.com/cdn/shop/products/5141.jpg?v=1633030517")</f>
        <v/>
      </c>
      <c r="H110">
        <f>_xlfn.IMAGE("https://m.media-amazon.com/images/I/5136Of2hQEL._AC_UL320_.jpg")</f>
        <v/>
      </c>
      <c r="K110" t="inlineStr">
        <is>
          <t>39.97</t>
        </is>
      </c>
      <c r="L110" t="n">
        <v>298</v>
      </c>
      <c r="M110" s="1" t="inlineStr">
        <is>
          <t>645.56%</t>
        </is>
      </c>
      <c r="N110" s="7" t="n">
        <v>178.77</v>
      </c>
      <c r="O110" t="n">
        <v>5</v>
      </c>
      <c r="P110" t="n">
        <v>1</v>
      </c>
      <c r="R110" t="inlineStr">
        <is>
          <t>InStock</t>
        </is>
      </c>
      <c r="S110" t="inlineStr">
        <is>
          <t>60.56</t>
        </is>
      </c>
      <c r="T110" t="inlineStr">
        <is>
          <t>5397460156584</t>
        </is>
      </c>
    </row>
    <row r="111" ht="87" customHeight="1">
      <c r="A111" s="2">
        <f>HYPERLINK("https://edmondsonsupply.com/collections/storage-organization/products/klein-tools-58889", "https://edmondsonsupply.com/collections/storage-organization/products/klein-tools-58889")</f>
        <v/>
      </c>
      <c r="B111" s="2">
        <f>HYPERLINK("https://edmondsonsupply.com/products/klein-tools-58889", "https://edmondsonsupply.com/products/klein-tools-58889")</f>
        <v/>
      </c>
      <c r="C111" t="inlineStr">
        <is>
          <t>Klein Tools 58889 Padded Adjustable Shoulder Strap</t>
        </is>
      </c>
      <c r="D111" t="inlineStr">
        <is>
          <t>Klein Tools 55431 Tool Bag with Molded Bottom, Padded Shoulder Strap and Lighted Tool Storage with 31 Pockets</t>
        </is>
      </c>
      <c r="E111" s="2">
        <f>HYPERLINK("https://www.amazon.com/Shoulder-Handles-Klein-Tools-55431/dp/B00MJNWO82/ref=sr_1_8?keywords=Klein+Tools+58889+Padded+Adjustable+Shoulder+Strap&amp;qid=1694734450&amp;sr=8-8", "https://www.amazon.com/Shoulder-Handles-Klein-Tools-55431/dp/B00MJNWO82/ref=sr_1_8?keywords=Klein+Tools+58889+Padded+Adjustable+Shoulder+Strap&amp;qid=1694734450&amp;sr=8-8")</f>
        <v/>
      </c>
      <c r="F111" t="inlineStr">
        <is>
          <t>B00MJNWO82</t>
        </is>
      </c>
      <c r="G111">
        <f>_xlfn.IMAGE("https://edmondsonsupply.com/cdn/shop/products/58889.jpg?v=1665591140")</f>
        <v/>
      </c>
      <c r="H111">
        <f>_xlfn.IMAGE("https://m.media-amazon.com/images/I/71tbNRyKA9L._AC_UL320_.jpg")</f>
        <v/>
      </c>
      <c r="K111" t="inlineStr">
        <is>
          <t>15.99</t>
        </is>
      </c>
      <c r="L111" t="n">
        <v>104.86</v>
      </c>
      <c r="M111" s="1" t="inlineStr">
        <is>
          <t>555.78%</t>
        </is>
      </c>
      <c r="N111" s="7" t="n">
        <v>162.47</v>
      </c>
      <c r="O111" t="n">
        <v>4.6</v>
      </c>
      <c r="P111" t="n">
        <v>447</v>
      </c>
      <c r="R111" t="inlineStr">
        <is>
          <t>InStock</t>
        </is>
      </c>
      <c r="S111" t="inlineStr">
        <is>
          <t>24.22</t>
        </is>
      </c>
      <c r="T111" t="inlineStr">
        <is>
          <t>7849990357208</t>
        </is>
      </c>
    </row>
    <row r="112" ht="87" customHeight="1">
      <c r="A112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112" s="2">
        <f>HYPERLINK("https://edmondsonsupply.com/products/klein-tools-55560-camo-zipper-bags-2-pack", "https://edmondsonsupply.com/products/klein-tools-55560-camo-zipper-bags-2-pack")</f>
        <v/>
      </c>
      <c r="C112" t="inlineStr">
        <is>
          <t>Klein Tools 55560 Zipper Bags, Camo Tool Pouches, 2-Pack</t>
        </is>
      </c>
      <c r="D112" t="inlineStr">
        <is>
          <t>Klein Tools 80082 Backpack Recreation Kit with Camo Backpack, 2 Camouflage Zipper Bags and Stainless Steel Tanto Blade Pocket Knife, 4-Piece</t>
        </is>
      </c>
      <c r="E112" s="2">
        <f>HYPERLINK("https://www.amazon.com/Klein-Tools-80082-Recreation-4-Piece/dp/B0B97ZY235/ref=sr_1_22?keywords=Klein+Tools+55560+Zipper+Bags%2C+Camo+Tool+Pouches%2C+2-Pack&amp;qid=1694734466&amp;sr=8-22", "https://www.amazon.com/Klein-Tools-80082-Recreation-4-Piece/dp/B0B97ZY235/ref=sr_1_22?keywords=Klein+Tools+55560+Zipper+Bags%2C+Camo+Tool+Pouches%2C+2-Pack&amp;qid=1694734466&amp;sr=8-22")</f>
        <v/>
      </c>
      <c r="F112" t="inlineStr">
        <is>
          <t>B0B97ZY235</t>
        </is>
      </c>
      <c r="G112">
        <f>_xlfn.IMAGE("https://edmondsonsupply.com/cdn/shop/products/55560.jpg?v=1633030628")</f>
        <v/>
      </c>
      <c r="H112">
        <f>_xlfn.IMAGE("https://m.media-amazon.com/images/I/61O3gaR0tRL._AC_UL320_.jpg")</f>
        <v/>
      </c>
      <c r="K112" t="inlineStr">
        <is>
          <t>24.99</t>
        </is>
      </c>
      <c r="L112" t="n">
        <v>153.54</v>
      </c>
      <c r="M112" s="1" t="inlineStr">
        <is>
          <t>514.41%</t>
        </is>
      </c>
      <c r="N112" s="7" t="n">
        <v>151.83</v>
      </c>
      <c r="O112" t="n">
        <v>4.9</v>
      </c>
      <c r="P112" t="n">
        <v>24</v>
      </c>
      <c r="R112" t="inlineStr">
        <is>
          <t>InStock</t>
        </is>
      </c>
      <c r="S112" t="inlineStr">
        <is>
          <t>37.86</t>
        </is>
      </c>
      <c r="T112" t="inlineStr">
        <is>
          <t>5669841109160</t>
        </is>
      </c>
    </row>
    <row r="113" ht="87" customHeight="1">
      <c r="A113" s="2">
        <f>HYPERLINK("https://edmondsonsupply.com/collections/storage-organization/products/klein-tools-5141-canvas-bag-4-pk-brown-black-gray-red", "https://edmondsonsupply.com/collections/storage-organization/products/klein-tools-5141-canvas-bag-4-pk-brown-black-gray-red")</f>
        <v/>
      </c>
      <c r="B113" s="2">
        <f>HYPERLINK("https://edmondsonsupply.com/products/klein-tools-5141-canvas-bag-4-pk-brown-black-gray-red", "https://edmondsonsupply.com/products/klein-tools-5141-canvas-bag-4-pk-brown-black-gray-red")</f>
        <v/>
      </c>
      <c r="C113" t="inlineStr">
        <is>
          <t>Klein Tools 5141 Zipper Bags, Canvas Tool Pouches Brown/Black/Gray/Red, 4-Pack</t>
        </is>
      </c>
      <c r="D113" t="inlineStr">
        <is>
          <t>Klein Tools 55485 Tool Bag Backpack, Durable Electrician Backpack with 48 Pockets for Hand Tools &amp; 5141 Canvas Zipper Bag, Tool Pouch, Tool Bag, Utility Bag, 12.5 x 7-Inch, Brown/Black/Gray/Red 4-Pack</t>
        </is>
      </c>
      <c r="E113" s="2">
        <f>HYPERLINK("https://www.amazon.com/Klein-Tools-Backpack-Durable-Electrician/dp/B0BVGCG8DM/ref=sr_1_5?keywords=Klein+Tools+5141+Zipper+Bags%2C+Canvas+Tool+Pouches+Brown%2FBlack%2FGray%2FRed%2C+4-Pack&amp;qid=1694734445&amp;sr=8-5", "https://www.amazon.com/Klein-Tools-Backpack-Durable-Electrician/dp/B0BVGCG8DM/ref=sr_1_5?keywords=Klein+Tools+5141+Zipper+Bags%2C+Canvas+Tool+Pouches+Brown%2FBlack%2FGray%2FRed%2C+4-Pack&amp;qid=1694734445&amp;sr=8-5")</f>
        <v/>
      </c>
      <c r="F113" t="inlineStr">
        <is>
          <t>B0BVGCG8DM</t>
        </is>
      </c>
      <c r="G113">
        <f>_xlfn.IMAGE("https://edmondsonsupply.com/cdn/shop/products/5141.jpg?v=1633030517")</f>
        <v/>
      </c>
      <c r="H113">
        <f>_xlfn.IMAGE("https://m.media-amazon.com/images/I/516y6qytWIL._AC_UL320_.jpg")</f>
        <v/>
      </c>
      <c r="K113" t="inlineStr">
        <is>
          <t>39.97</t>
        </is>
      </c>
      <c r="L113" t="n">
        <v>238.97</v>
      </c>
      <c r="M113" s="1" t="inlineStr">
        <is>
          <t>497.87%</t>
        </is>
      </c>
      <c r="N113" s="7" t="n">
        <v>146.29</v>
      </c>
      <c r="O113" t="n">
        <v>5</v>
      </c>
      <c r="P113" t="n">
        <v>3</v>
      </c>
      <c r="R113" t="inlineStr">
        <is>
          <t>InStock</t>
        </is>
      </c>
      <c r="S113" t="inlineStr">
        <is>
          <t>60.56</t>
        </is>
      </c>
      <c r="T113" t="inlineStr">
        <is>
          <t>5397460156584</t>
        </is>
      </c>
    </row>
    <row r="114" ht="87" customHeight="1">
      <c r="A114" s="2">
        <f>HYPERLINK("https://edmondsonsupply.com/collections/storage-organization/products/fluke-c60-soft-carrying-case", "https://edmondsonsupply.com/collections/storage-organization/products/fluke-c60-soft-carrying-case")</f>
        <v/>
      </c>
      <c r="B114" s="2">
        <f>HYPERLINK("https://edmondsonsupply.com/products/fluke-c60-soft-carrying-case", "https://edmondsonsupply.com/products/fluke-c60-soft-carrying-case")</f>
        <v/>
      </c>
      <c r="C114" t="inlineStr">
        <is>
          <t>Fluke C60 Soft Carrying Case</t>
        </is>
      </c>
      <c r="D114" t="inlineStr">
        <is>
          <t>Fluke 117 Electricians True RMS Multimeter with Polyester Soft Carrying Case</t>
        </is>
      </c>
      <c r="E114" s="2">
        <f>HYPERLINK("https://www.amazon.com/Fluke-Electricians-Multimeter-Polyester-Carrying/dp/B01FJ79AOU/ref=sr_1_15?keywords=Fluke+C60+Soft+Carrying+Case&amp;qid=1694734460&amp;sr=8-15", "https://www.amazon.com/Fluke-Electricians-Multimeter-Polyester-Carrying/dp/B01FJ79AOU/ref=sr_1_15?keywords=Fluke+C60+Soft+Carrying+Case&amp;qid=1694734460&amp;sr=8-15")</f>
        <v/>
      </c>
      <c r="F114" t="inlineStr">
        <is>
          <t>B01FJ79AOU</t>
        </is>
      </c>
      <c r="G114">
        <f>_xlfn.IMAGE("https://edmondsonsupply.com/cdn/shop/products/c60.png?v=1633030926")</f>
        <v/>
      </c>
      <c r="H114">
        <f>_xlfn.IMAGE("https://m.media-amazon.com/images/I/51+QA3-3CcL._AC_UL320_.jpg")</f>
        <v/>
      </c>
      <c r="K114" t="inlineStr">
        <is>
          <t>49.49</t>
        </is>
      </c>
      <c r="L114" t="n">
        <v>255.58</v>
      </c>
      <c r="M114" s="1" t="inlineStr">
        <is>
          <t>416.43%</t>
        </is>
      </c>
      <c r="N114" s="7" t="n">
        <v>133.3</v>
      </c>
      <c r="O114" t="n">
        <v>5</v>
      </c>
      <c r="P114" t="n">
        <v>77</v>
      </c>
      <c r="R114" t="inlineStr">
        <is>
          <t>InStock</t>
        </is>
      </c>
      <c r="S114" t="inlineStr">
        <is>
          <t>54.99</t>
        </is>
      </c>
      <c r="T114" t="inlineStr">
        <is>
          <t>6544664723629</t>
        </is>
      </c>
    </row>
    <row r="115" ht="87" customHeight="1">
      <c r="A115" s="2">
        <f>HYPERLINK("https://edmondsonsupply.com/collections/storage-organization/products/rack-a-tiers-65300-ladder-mate", "https://edmondsonsupply.com/collections/storage-organization/products/rack-a-tiers-65300-ladder-mate")</f>
        <v/>
      </c>
      <c r="B115" s="2">
        <f>HYPERLINK("https://edmondsonsupply.com/products/rack-a-tiers-65300-ladder-mate", "https://edmondsonsupply.com/products/rack-a-tiers-65300-ladder-mate")</f>
        <v/>
      </c>
      <c r="C115" t="inlineStr">
        <is>
          <t>Rack-A-Tiers 65300 Ladder Mate</t>
        </is>
      </c>
      <c r="D115" t="inlineStr">
        <is>
          <t>Rack-A-Tiers Ladder Mate - Light and Robust Ladder Tray (65300) pack of 4</t>
        </is>
      </c>
      <c r="E115" s="2">
        <f>HYPERLINK("https://www.amazon.com/Rack-Tiers-Ladder-Mate-Robust/dp/B09XLRBG8D/ref=sr_1_3?keywords=Rack-A-Tiers+65300+Ladder+Mate&amp;qid=1694734442&amp;sr=8-3", "https://www.amazon.com/Rack-Tiers-Ladder-Mate-Robust/dp/B09XLRBG8D/ref=sr_1_3?keywords=Rack-A-Tiers+65300+Ladder+Mate&amp;qid=1694734442&amp;sr=8-3")</f>
        <v/>
      </c>
      <c r="F115" t="inlineStr">
        <is>
          <t>B09XLRBG8D</t>
        </is>
      </c>
      <c r="G115">
        <f>_xlfn.IMAGE("https://edmondsonsupply.com/cdn/shop/products/65300-Ladder-Mate.png?v=1633031066")</f>
        <v/>
      </c>
      <c r="H115">
        <f>_xlfn.IMAGE("https://m.media-amazon.com/images/I/41fRbR1BozL._AC_UL320_.jpg")</f>
        <v/>
      </c>
      <c r="K115" t="inlineStr">
        <is>
          <t>33.49</t>
        </is>
      </c>
      <c r="L115" t="n">
        <v>161.56</v>
      </c>
      <c r="M115" s="1" t="inlineStr">
        <is>
          <t>382.41%</t>
        </is>
      </c>
      <c r="N115" s="7" t="n">
        <v>129.18</v>
      </c>
      <c r="O115" t="n">
        <v>5</v>
      </c>
      <c r="P115" t="n">
        <v>2</v>
      </c>
      <c r="R115" t="inlineStr">
        <is>
          <t>InStock</t>
        </is>
      </c>
      <c r="S115" t="inlineStr">
        <is>
          <t>35.99</t>
        </is>
      </c>
      <c r="T115" t="inlineStr">
        <is>
          <t>6825688400045</t>
        </is>
      </c>
    </row>
    <row r="116" ht="87" customHeight="1">
      <c r="A116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116" s="2">
        <f>HYPERLINK("https://edmondsonsupply.com/products/milwaukee-48-22-8045-packout%e2%84%a2-tool-tray", "https://edmondsonsupply.com/products/milwaukee-48-22-8045-packout%e2%84%a2-tool-tray")</f>
        <v/>
      </c>
      <c r="C116" t="inlineStr">
        <is>
          <t>Milwaukee 48-22-8045 PACKOUT™ Tool Tray</t>
        </is>
      </c>
      <c r="D116" t="inlineStr">
        <is>
          <t>For Milwaukee 48-22-8429 PACKOUT XL Heavy Duty Tool Box w/Organizer Tray (D x W x H) 15.5 in x 21.8 in x 16.9 H</t>
        </is>
      </c>
      <c r="E116" s="2">
        <f>HYPERLINK("https://www.amazon.com/Milwaukee-48-22-8429-PACKOUT-Heavy-Organizer/dp/B0BXSCSPM2/ref=sr_1_19?keywords=Milwaukee+48-22-8045+PACKOUT%E2%84%A2+Tool+Tray&amp;qid=1694734444&amp;sr=8-19", "https://www.amazon.com/Milwaukee-48-22-8429-PACKOUT-Heavy-Organizer/dp/B0BXSCSPM2/ref=sr_1_19?keywords=Milwaukee+48-22-8045+PACKOUT%E2%84%A2+Tool+Tray&amp;qid=1694734444&amp;sr=8-19")</f>
        <v/>
      </c>
      <c r="F116" t="inlineStr">
        <is>
          <t>B0BXSCSPM2</t>
        </is>
      </c>
      <c r="G116">
        <f>_xlfn.IMAGE("https://edmondsonsupply.com/cdn/shop/files/48-22-8045_4.webp?v=1686230573")</f>
        <v/>
      </c>
      <c r="H116">
        <f>_xlfn.IMAGE("https://m.media-amazon.com/images/I/61T0oMhsdGL._AC_UL320_.jpg")</f>
        <v/>
      </c>
      <c r="K116" t="inlineStr">
        <is>
          <t>39.97</t>
        </is>
      </c>
      <c r="L116" t="n">
        <v>188.99</v>
      </c>
      <c r="M116" s="1" t="inlineStr">
        <is>
          <t>372.83%</t>
        </is>
      </c>
      <c r="N116" s="7" t="n">
        <v>126.63</v>
      </c>
      <c r="O116" t="n">
        <v>5</v>
      </c>
      <c r="P116" t="n">
        <v>1</v>
      </c>
      <c r="R116" t="inlineStr">
        <is>
          <t>InStock</t>
        </is>
      </c>
      <c r="S116" t="inlineStr">
        <is>
          <t>64.9</t>
        </is>
      </c>
      <c r="T116" t="inlineStr">
        <is>
          <t>8002611806424</t>
        </is>
      </c>
    </row>
    <row r="117" ht="87" customHeight="1">
      <c r="A117" s="2">
        <f>HYPERLINK("https://edmondsonsupply.com/collections/storage-organization/products/clc-1100-3", "https://edmondsonsupply.com/collections/storage-organization/products/clc-1100-3")</f>
        <v/>
      </c>
      <c r="B117" s="2">
        <f>HYPERLINK("https://edmondsonsupply.com/products/clc-1100-3", "https://edmondsonsupply.com/products/clc-1100-3")</f>
        <v/>
      </c>
      <c r="C117" t="inlineStr">
        <is>
          <t>CLC 1100 3 Multi-Purpose, Clip-on, Zippered Bags</t>
        </is>
      </c>
      <c r="D117" t="inlineStr">
        <is>
          <t>CLC Custom LeatherCraft 1529 16 In. Center Tray Tool Bag, 16 Pocket &amp; CLC 1100 Multi-Purpose Clip-on Zippered Poly Bags, 3 Pack</t>
        </is>
      </c>
      <c r="E117" s="2">
        <f>HYPERLINK("https://www.amazon.com/Custom-LeatherCraft-Center-Multi-Purpose-Zippered/dp/B0B3DYQ35F/ref=sr_1_4?keywords=CLC+1100+3+Multi-Purpose%2C+Clip-on%2C+Zippered+Bags&amp;qid=1694734443&amp;sr=8-4", "https://www.amazon.com/Custom-LeatherCraft-Center-Multi-Purpose-Zippered/dp/B0B3DYQ35F/ref=sr_1_4?keywords=CLC+1100+3+Multi-Purpose%2C+Clip-on%2C+Zippered+Bags&amp;qid=1694734443&amp;sr=8-4")</f>
        <v/>
      </c>
      <c r="F117" t="inlineStr">
        <is>
          <t>B0B3DYQ35F</t>
        </is>
      </c>
      <c r="G117">
        <f>_xlfn.IMAGE("https://edmondsonsupply.com/cdn/shop/products/1100_REV17_2.jpg?v=1633030333")</f>
        <v/>
      </c>
      <c r="H117">
        <f>_xlfn.IMAGE("https://m.media-amazon.com/images/I/41GPP4FSVAL._AC_UL320_.jpg")</f>
        <v/>
      </c>
      <c r="K117" t="inlineStr">
        <is>
          <t>11.75</t>
        </is>
      </c>
      <c r="L117" t="n">
        <v>54.94</v>
      </c>
      <c r="M117" s="1" t="inlineStr">
        <is>
          <t>367.57%</t>
        </is>
      </c>
      <c r="N117" s="7" t="n">
        <v>117.89</v>
      </c>
      <c r="O117" t="n">
        <v>4.5</v>
      </c>
      <c r="P117" t="n">
        <v>1801</v>
      </c>
      <c r="R117" t="inlineStr">
        <is>
          <t>InStock</t>
        </is>
      </c>
      <c r="S117" t="inlineStr">
        <is>
          <t>17.95</t>
        </is>
      </c>
      <c r="T117" t="inlineStr">
        <is>
          <t>5268012171432</t>
        </is>
      </c>
    </row>
    <row r="118" hidden="1" ht="15.75" customHeight="1">
      <c r="A118" s="2">
        <f>HYPERLINK("https://edmondsonsupply.com/collections/storage-organization/products/fluke-c60-soft-carrying-case", "https://edmondsonsupply.com/collections/storage-organization/products/fluke-c60-soft-carrying-case")</f>
        <v/>
      </c>
      <c r="B118" s="2">
        <f>HYPERLINK("https://edmondsonsupply.com/products/fluke-c60-soft-carrying-case", "https://edmondsonsupply.com/products/fluke-c60-soft-carrying-case")</f>
        <v/>
      </c>
      <c r="C118" t="inlineStr">
        <is>
          <t>Fluke C60 Soft Carrying Case</t>
        </is>
      </c>
      <c r="D118" t="inlineStr">
        <is>
          <t>Fluke C195 Polyester Soft Carrying Case</t>
        </is>
      </c>
      <c r="E118" s="2">
        <f>HYPERLINK("https://www.amazon.com/Fluke-C195-Polyester-Soft-Carrying/dp/B00011Q5S4/ref=sr_1_1?keywords=Fluke+C60+Soft+Carrying+Case&amp;qid=1694734460&amp;sr=8-1", "https://www.amazon.com/Fluke-C195-Polyester-Soft-Carrying/dp/B00011Q5S4/ref=sr_1_1?keywords=Fluke+C60+Soft+Carrying+Case&amp;qid=1694734460&amp;sr=8-1")</f>
        <v/>
      </c>
      <c r="F118" t="inlineStr">
        <is>
          <t>B00011Q5S4</t>
        </is>
      </c>
      <c r="G118">
        <f>_xludf.IMAGE("https://edmondsonsupply.com/cdn/shop/products/c60.png?v=1633030926")</f>
        <v/>
      </c>
      <c r="H118">
        <f>_xludf.IMAGE("https://m.media-amazon.com/images/I/51og3g7z-eL._AC_UL320_.jpg")</f>
        <v/>
      </c>
      <c r="K118" t="inlineStr">
        <is>
          <t>49.49</t>
        </is>
      </c>
      <c r="L118" t="n">
        <v>202.39</v>
      </c>
      <c r="M118" s="1" t="inlineStr">
        <is>
          <t>308.95%</t>
        </is>
      </c>
      <c r="N118" s="1" t="n">
        <v>114.3</v>
      </c>
      <c r="O118" t="n">
        <v>3</v>
      </c>
      <c r="P118" t="n">
        <v>2</v>
      </c>
      <c r="R118" t="inlineStr">
        <is>
          <t>InStock</t>
        </is>
      </c>
      <c r="S118" t="inlineStr">
        <is>
          <t>54.99</t>
        </is>
      </c>
      <c r="T118" t="inlineStr">
        <is>
          <t>6544664723629</t>
        </is>
      </c>
    </row>
    <row r="119" ht="87" customHeight="1">
      <c r="A119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119" s="2">
        <f>HYPERLINK("https://edmondsonsupply.com/products/klein-tools-55560-camo-zipper-bags-2-pack", "https://edmondsonsupply.com/products/klein-tools-55560-camo-zipper-bags-2-pack")</f>
        <v/>
      </c>
      <c r="C119" t="inlineStr">
        <is>
          <t>Klein Tools 55560 Zipper Bags, Camo Tool Pouches, 2-Pack</t>
        </is>
      </c>
      <c r="D119" t="inlineStr">
        <is>
          <t>Klein Tools 55421BP14CAMO Tool Bag Backpack &amp; Camo Bags are 12.5 and 10-Inch, 1680d Ballistic Weave Camouflage 2-Piece Klein Tools 55560</t>
        </is>
      </c>
      <c r="E119" s="2">
        <f>HYPERLINK("https://www.amazon.com/Klein-Tools-55421BP14CAMO-Ballistic-Camouflage/dp/B0BD3ZVKK7/ref=sr_1_15?keywords=Klein+Tools+55560+Zipper+Bags%2C+Camo+Tool+Pouches%2C+2-Pack&amp;qid=1694734466&amp;sr=8-15", "https://www.amazon.com/Klein-Tools-55421BP14CAMO-Ballistic-Camouflage/dp/B0BD3ZVKK7/ref=sr_1_15?keywords=Klein+Tools+55560+Zipper+Bags%2C+Camo+Tool+Pouches%2C+2-Pack&amp;qid=1694734466&amp;sr=8-15")</f>
        <v/>
      </c>
      <c r="F119" t="inlineStr">
        <is>
          <t>B0BD3ZVKK7</t>
        </is>
      </c>
      <c r="G119">
        <f>_xlfn.IMAGE("https://edmondsonsupply.com/cdn/shop/products/55560.jpg?v=1633030628")</f>
        <v/>
      </c>
      <c r="H119">
        <f>_xlfn.IMAGE("https://m.media-amazon.com/images/I/61DsylvKmzL._AC_UL320_.jpg")</f>
        <v/>
      </c>
      <c r="K119" t="inlineStr">
        <is>
          <t>24.99</t>
        </is>
      </c>
      <c r="L119" t="n">
        <v>99.98999999999999</v>
      </c>
      <c r="M119" s="1" t="inlineStr">
        <is>
          <t>300.12%</t>
        </is>
      </c>
      <c r="N119" s="7" t="n">
        <v>100.17</v>
      </c>
      <c r="O119" t="n">
        <v>4.4</v>
      </c>
      <c r="P119" t="n">
        <v>5</v>
      </c>
      <c r="R119" t="inlineStr">
        <is>
          <t>InStock</t>
        </is>
      </c>
      <c r="S119" t="inlineStr">
        <is>
          <t>37.86</t>
        </is>
      </c>
      <c r="T119" t="inlineStr">
        <is>
          <t>5669841109160</t>
        </is>
      </c>
    </row>
    <row r="120" hidden="1" ht="15.75" customHeight="1">
      <c r="A120" s="2">
        <f>HYPERLINK("https://edmondsonsupply.com/collections/storage-organization/products/veto-pro-pac-mb2-tool-bag", "https://edmondsonsupply.com/collections/storage-organization/products/veto-pro-pac-mb2-tool-bag")</f>
        <v/>
      </c>
      <c r="B120" s="2">
        <f>HYPERLINK("https://edmondsonsupply.com/products/veto-pro-pac-mb2-tool-bag", "https://edmondsonsupply.com/products/veto-pro-pac-mb2-tool-bag")</f>
        <v/>
      </c>
      <c r="C120" t="inlineStr">
        <is>
          <t>Veto Pro Pac MB Small Meter Tool Bag</t>
        </is>
      </c>
      <c r="D120" t="inlineStr">
        <is>
          <t>Veto Pro Pac MB4B (Gate Mouth Style Meter Bag)</t>
        </is>
      </c>
      <c r="E120" s="2">
        <f>HYPERLINK("https://www.amazon.com/Veto-MB4B-Mouth-Style-Meter/dp/B0CC3QRHQ2/ref=sr_1_11?keywords=Veto+Pro+Pac+MB+Small+Meter+Tool+Bag&amp;qid=1694734440&amp;sr=8-11", "https://www.amazon.com/Veto-MB4B-Mouth-Style-Meter/dp/B0CC3QRHQ2/ref=sr_1_11?keywords=Veto+Pro+Pac+MB+Small+Meter+Tool+Bag&amp;qid=1694734440&amp;sr=8-11")</f>
        <v/>
      </c>
      <c r="F120" t="inlineStr">
        <is>
          <t>B0CC3QRHQ2</t>
        </is>
      </c>
      <c r="G120">
        <f>_xludf.IMAGE("https://edmondsonsupply.com/cdn/shop/products/MB1.jpg?v=1623249770")</f>
        <v/>
      </c>
      <c r="H120">
        <f>_xludf.IMAGE("https://m.media-amazon.com/images/I/51BPUnHoqCL._AC_UL320_.jpg")</f>
        <v/>
      </c>
      <c r="K120" t="inlineStr">
        <is>
          <t>59.99</t>
        </is>
      </c>
      <c r="L120" t="n">
        <v>229.95</v>
      </c>
      <c r="M120" s="1" t="inlineStr">
        <is>
          <t>283.31%</t>
        </is>
      </c>
      <c r="N120" s="1" t="n">
        <v>100</v>
      </c>
      <c r="O120" t="n">
        <v>1</v>
      </c>
      <c r="P120" t="n">
        <v>1</v>
      </c>
      <c r="R120" t="inlineStr">
        <is>
          <t>InStock</t>
        </is>
      </c>
      <c r="S120" t="inlineStr">
        <is>
          <t>undefined</t>
        </is>
      </c>
      <c r="T120" t="inlineStr">
        <is>
          <t>3561699016804</t>
        </is>
      </c>
    </row>
    <row r="121" ht="87" customHeight="1">
      <c r="A121" s="2">
        <f>HYPERLINK("https://edmondsonsupply.com/collections/storage-organization/products/clc-1100-3", "https://edmondsonsupply.com/collections/storage-organization/products/clc-1100-3")</f>
        <v/>
      </c>
      <c r="B121" s="2">
        <f>HYPERLINK("https://edmondsonsupply.com/products/clc-1100-3", "https://edmondsonsupply.com/products/clc-1100-3")</f>
        <v/>
      </c>
      <c r="C121" t="inlineStr">
        <is>
          <t>CLC 1100 3 Multi-Purpose, Clip-on, Zippered Bags</t>
        </is>
      </c>
      <c r="D121" t="inlineStr">
        <is>
          <t>CLC Custom Leathercraft 1165 Large BigMouth Bag, 22 Pocket &amp; CLC 1100 Multi-Purpose Clip-on Zippered Poly Bags, 3 Pack</t>
        </is>
      </c>
      <c r="E121" s="2">
        <f>HYPERLINK("https://www.amazon.com/Custom-Leathercraft-BigMouth-Multi-Purpose-Zippered/dp/B0BFXQMPC7/ref=sr_1_2?keywords=CLC+1100+3+Multi-Purpose%2C+Clip-on%2C+Zippered+Bags&amp;qid=1694734443&amp;sr=8-2", "https://www.amazon.com/Custom-Leathercraft-BigMouth-Multi-Purpose-Zippered/dp/B0BFXQMPC7/ref=sr_1_2?keywords=CLC+1100+3+Multi-Purpose%2C+Clip-on%2C+Zippered+Bags&amp;qid=1694734443&amp;sr=8-2")</f>
        <v/>
      </c>
      <c r="F121" t="inlineStr">
        <is>
          <t>B0BFXQMPC7</t>
        </is>
      </c>
      <c r="G121">
        <f>_xlfn.IMAGE("https://edmondsonsupply.com/cdn/shop/products/1100_REV17_2.jpg?v=1633030333")</f>
        <v/>
      </c>
      <c r="H121">
        <f>_xlfn.IMAGE("https://m.media-amazon.com/images/I/41lqDxz+4NL._AC_UL320_.jpg")</f>
        <v/>
      </c>
      <c r="K121" t="inlineStr">
        <is>
          <t>11.75</t>
        </is>
      </c>
      <c r="L121" t="n">
        <v>44.94</v>
      </c>
      <c r="M121" s="1" t="inlineStr">
        <is>
          <t>282.47%</t>
        </is>
      </c>
      <c r="N121" s="7" t="n">
        <v>99.69</v>
      </c>
      <c r="O121" t="n">
        <v>4.7</v>
      </c>
      <c r="P121" t="n">
        <v>1486</v>
      </c>
      <c r="R121" t="inlineStr">
        <is>
          <t>InStock</t>
        </is>
      </c>
      <c r="S121" t="inlineStr">
        <is>
          <t>17.95</t>
        </is>
      </c>
      <c r="T121" t="inlineStr">
        <is>
          <t>5268012171432</t>
        </is>
      </c>
    </row>
    <row r="122" ht="87" customHeight="1">
      <c r="A122" s="2">
        <f>HYPERLINK("https://edmondsonsupply.com/collections/storage-organization/products/klein-tools-55559-stand-up-zipper-bags-7-inch-and-14-inch-2-pack", "https://edmondsonsupply.com/collections/storage-organization/products/klein-tools-55559-stand-up-zipper-bags-7-inch-and-14-inch-2-pack")</f>
        <v/>
      </c>
      <c r="B122" s="2">
        <f>HYPERLINK("https://edmondsonsupply.com/products/klein-tools-55559-stand-up-zipper-bags-7-inch-and-14-inch-2-pack", "https://edmondsonsupply.com/products/klein-tools-55559-stand-up-zipper-bags-7-inch-and-14-inch-2-pack")</f>
        <v/>
      </c>
      <c r="C122" t="inlineStr">
        <is>
          <t>Klein Tools 55559 Stand-up Zipper Bags, 7-Inch and 14-Inch, 2-Pack</t>
        </is>
      </c>
      <c r="D122" t="inlineStr">
        <is>
          <t>Klein Tools 5141 Canvas Zipper Bag, 12.5 x 7-Inch, Brown/Black/Gray/Red 4-Pack &amp; 55559 Stand-Up Zipper Bag Tool Pouch with Carabiners, 7-Inch Blue and 14-Inch Gray Utility Bags, 2-Pack</t>
        </is>
      </c>
      <c r="E122" s="2">
        <f>HYPERLINK("https://www.amazon.com/Klein-Tools-Stand-Up-Carabiners-14-Inch/dp/B0BKQ9CM13/ref=sr_1_3?keywords=Klein+Tools+55559+Stand-up+Zipper+Bags%2C+7-Inch+and+14-Inch%2C+2-Pack&amp;qid=1694734452&amp;sr=8-3", "https://www.amazon.com/Klein-Tools-Stand-Up-Carabiners-14-Inch/dp/B0BKQ9CM13/ref=sr_1_3?keywords=Klein+Tools+55559+Stand-up+Zipper+Bags%2C+7-Inch+and+14-Inch%2C+2-Pack&amp;qid=1694734452&amp;sr=8-3")</f>
        <v/>
      </c>
      <c r="F122" t="inlineStr">
        <is>
          <t>B0BKQ9CM13</t>
        </is>
      </c>
      <c r="G122">
        <f>_xlfn.IMAGE("https://edmondsonsupply.com/cdn/shop/products/55559.jpg?v=1666900727")</f>
        <v/>
      </c>
      <c r="H122">
        <f>_xlfn.IMAGE("https://m.media-amazon.com/images/I/416u4HXmGJL._AC_UL320_.jpg")</f>
        <v/>
      </c>
      <c r="K122" t="inlineStr">
        <is>
          <t>14.99</t>
        </is>
      </c>
      <c r="L122" t="n">
        <v>53.99</v>
      </c>
      <c r="M122" s="1" t="inlineStr">
        <is>
          <t>260.17%</t>
        </is>
      </c>
      <c r="N122" s="7" t="n">
        <v>93.63</v>
      </c>
      <c r="O122" t="n">
        <v>4.5</v>
      </c>
      <c r="P122" t="n">
        <v>2</v>
      </c>
      <c r="R122" t="inlineStr">
        <is>
          <t>InStock</t>
        </is>
      </c>
      <c r="S122" t="inlineStr">
        <is>
          <t>20.98</t>
        </is>
      </c>
      <c r="T122" t="inlineStr">
        <is>
          <t>7867902591192</t>
        </is>
      </c>
    </row>
    <row r="123" ht="87" customHeight="1">
      <c r="A123" s="2">
        <f>HYPERLINK("https://edmondsonsupply.com/collections/storage-organization/products/milwaukee-48-22-8426-packout%E2%84%A2-rolling-tool-box", "https://edmondsonsupply.com/collections/storage-organization/products/milwaukee-48-22-8426-packout%E2%84%A2-rolling-tool-box")</f>
        <v/>
      </c>
      <c r="B123" s="2">
        <f>HYPERLINK("https://edmondsonsupply.com/products/milwaukee-48-22-8426-packout%e2%84%a2-rolling-tool-box", "https://edmondsonsupply.com/products/milwaukee-48-22-8426-packout%e2%84%a2-rolling-tool-box")</f>
        <v/>
      </c>
      <c r="C123" t="inlineStr">
        <is>
          <t>Milwaukee 48-22-8426 PACKOUT™ Rolling Tool Box</t>
        </is>
      </c>
      <c r="D123" t="inlineStr">
        <is>
          <t>Rolling Tool Box - 48-22-8426,Large Tool Box - 48-22-8425,Standard Tool Box - 48-22-8424 For Milwaukee Packout Heavy Duty Polymer Tool Box Combo Kit</t>
        </is>
      </c>
      <c r="E123" s="2">
        <f>HYPERLINK("https://www.amazon.com/Rolling-Tool-Box-48-22-8426-48-22-8425/dp/B0BXWMBNC3/ref=sr_1_5?keywords=Milwaukee+48-22-8426+PACKOUT%E2%84%A2+Rolling+Tool+Box&amp;qid=1694734454&amp;sr=8-5", "https://www.amazon.com/Rolling-Tool-Box-48-22-8426-48-22-8425/dp/B0BXWMBNC3/ref=sr_1_5?keywords=Milwaukee+48-22-8426+PACKOUT%E2%84%A2+Rolling+Tool+Box&amp;qid=1694734454&amp;sr=8-5")</f>
        <v/>
      </c>
      <c r="F123" t="inlineStr">
        <is>
          <t>B0BXWMBNC3</t>
        </is>
      </c>
      <c r="G123">
        <f>_xlfn.IMAGE("https://edmondsonsupply.com/cdn/shop/products/48-22-8426_2.webp?v=1674148076")</f>
        <v/>
      </c>
      <c r="H123">
        <f>_xlfn.IMAGE("https://m.media-amazon.com/images/I/514-SWxuCsL._AC_UL320_.jpg")</f>
        <v/>
      </c>
      <c r="K123" t="inlineStr">
        <is>
          <t>139.0</t>
        </is>
      </c>
      <c r="L123" t="n">
        <v>475</v>
      </c>
      <c r="M123" s="1" t="inlineStr">
        <is>
          <t>241.73%</t>
        </is>
      </c>
      <c r="N123" s="7" t="n">
        <v>89.11</v>
      </c>
      <c r="O123" t="n">
        <v>5</v>
      </c>
      <c r="P123" t="n">
        <v>1</v>
      </c>
      <c r="R123" t="inlineStr">
        <is>
          <t>OutOfStock</t>
        </is>
      </c>
      <c r="S123" t="inlineStr">
        <is>
          <t>222.0</t>
        </is>
      </c>
      <c r="T123" t="inlineStr">
        <is>
          <t>7926919332056</t>
        </is>
      </c>
    </row>
    <row r="124" ht="87" customHeight="1">
      <c r="A124" s="2">
        <f>HYPERLINK("https://edmondsonsupply.com/collections/storage-organization/products/veto-pro-pac-mb2-tool-bag", "https://edmondsonsupply.com/collections/storage-organization/products/veto-pro-pac-mb2-tool-bag")</f>
        <v/>
      </c>
      <c r="B124" s="2">
        <f>HYPERLINK("https://edmondsonsupply.com/products/veto-pro-pac-mb2-tool-bag", "https://edmondsonsupply.com/products/veto-pro-pac-mb2-tool-bag")</f>
        <v/>
      </c>
      <c r="C124" t="inlineStr">
        <is>
          <t>Veto Pro Pac MB Small Meter Tool Bag</t>
        </is>
      </c>
      <c r="D124" t="inlineStr">
        <is>
          <t>Veto Pro Pac MB-MCT Compact Tool Bag with Rubber Base</t>
        </is>
      </c>
      <c r="E124" s="2">
        <f>HYPERLINK("https://www.amazon.com/Veto-MB-MCT-Compact-Tool-Rubber/dp/B07T15MWRG/ref=sr_1_3?keywords=Veto+Pro+Pac+MB+Small+Meter+Tool+Bag&amp;qid=1694734440&amp;sr=8-3", "https://www.amazon.com/Veto-MB-MCT-Compact-Tool-Rubber/dp/B07T15MWRG/ref=sr_1_3?keywords=Veto+Pro+Pac+MB+Small+Meter+Tool+Bag&amp;qid=1694734440&amp;sr=8-3")</f>
        <v/>
      </c>
      <c r="F124" t="inlineStr">
        <is>
          <t>B07T15MWRG</t>
        </is>
      </c>
      <c r="G124">
        <f>_xlfn.IMAGE("https://edmondsonsupply.com/cdn/shop/products/MB1.jpg?v=1623249770")</f>
        <v/>
      </c>
      <c r="H124">
        <f>_xlfn.IMAGE("https://m.media-amazon.com/images/I/41+Iz8Q1qUL._AC_UL320_.jpg")</f>
        <v/>
      </c>
      <c r="K124" t="inlineStr">
        <is>
          <t>59.99</t>
        </is>
      </c>
      <c r="L124" t="n">
        <v>199.95</v>
      </c>
      <c r="M124" s="1" t="inlineStr">
        <is>
          <t>233.31%</t>
        </is>
      </c>
      <c r="N124" s="7" t="n">
        <v>88.65000000000001</v>
      </c>
      <c r="O124" t="n">
        <v>4.9</v>
      </c>
      <c r="P124" t="n">
        <v>31</v>
      </c>
      <c r="R124" t="inlineStr">
        <is>
          <t>InStock</t>
        </is>
      </c>
      <c r="S124" t="inlineStr">
        <is>
          <t>undefined</t>
        </is>
      </c>
      <c r="T124" t="inlineStr">
        <is>
          <t>3561699016804</t>
        </is>
      </c>
    </row>
    <row r="125" ht="87" customHeight="1">
      <c r="A125" s="2">
        <f>HYPERLINK("https://edmondsonsupply.com/collections/storage-organization/products/fluke-c60-soft-carrying-case", "https://edmondsonsupply.com/collections/storage-organization/products/fluke-c60-soft-carrying-case")</f>
        <v/>
      </c>
      <c r="B125" s="2">
        <f>HYPERLINK("https://edmondsonsupply.com/products/fluke-c60-soft-carrying-case", "https://edmondsonsupply.com/products/fluke-c60-soft-carrying-case")</f>
        <v/>
      </c>
      <c r="C125" t="inlineStr">
        <is>
          <t>Fluke C60 Soft Carrying Case</t>
        </is>
      </c>
      <c r="D125" t="inlineStr">
        <is>
          <t>Fluke C120B Soft Carrying Case for 120B Series</t>
        </is>
      </c>
      <c r="E125" s="2">
        <f>HYPERLINK("https://www.amazon.com/Fluke-C120B-Soft-Carrying-Case/dp/B01C79ZGDM/ref=sr_1_32?keywords=Fluke+C60+Soft+Carrying+Case&amp;qid=1694734460&amp;sr=8-32", "https://www.amazon.com/Fluke-C120B-Soft-Carrying-Case/dp/B01C79ZGDM/ref=sr_1_32?keywords=Fluke+C60+Soft+Carrying+Case&amp;qid=1694734460&amp;sr=8-32")</f>
        <v/>
      </c>
      <c r="F125" t="inlineStr">
        <is>
          <t>B01C79ZGDM</t>
        </is>
      </c>
      <c r="G125">
        <f>_xlfn.IMAGE("https://edmondsonsupply.com/cdn/shop/products/c60.png?v=1633030926")</f>
        <v/>
      </c>
      <c r="H125">
        <f>_xlfn.IMAGE("https://m.media-amazon.com/images/I/91Jq7aBW4YL._AC_UL320_.jpg")</f>
        <v/>
      </c>
      <c r="K125" t="inlineStr">
        <is>
          <t>49.49</t>
        </is>
      </c>
      <c r="L125" t="n">
        <v>160.19</v>
      </c>
      <c r="M125" s="1" t="inlineStr">
        <is>
          <t>223.68%</t>
        </is>
      </c>
      <c r="N125" s="7" t="n">
        <v>79.95999999999999</v>
      </c>
      <c r="O125" t="n">
        <v>4.1</v>
      </c>
      <c r="P125" t="n">
        <v>5</v>
      </c>
      <c r="R125" t="inlineStr">
        <is>
          <t>InStock</t>
        </is>
      </c>
      <c r="S125" t="inlineStr">
        <is>
          <t>54.99</t>
        </is>
      </c>
      <c r="T125" t="inlineStr">
        <is>
          <t>6544664723629</t>
        </is>
      </c>
    </row>
    <row r="126" ht="87" customHeight="1">
      <c r="A126" s="2">
        <f>HYPERLINK("https://edmondsonsupply.com/collections/storage-organization/products/klein-tools-5539yel-canvas-zipper-bag-consumables-yellow", "https://edmondsonsupply.com/collections/storage-organization/products/klein-tools-5539yel-canvas-zipper-bag-consumables-yellow")</f>
        <v/>
      </c>
      <c r="B126" s="2">
        <f>HYPERLINK("https://edmondsonsupply.com/products/klein-tools-5539yel-canvas-zipper-bag-consumables-yellow", "https://edmondsonsupply.com/products/klein-tools-5539yel-canvas-zipper-bag-consumables-yellow")</f>
        <v/>
      </c>
      <c r="C126" t="inlineStr">
        <is>
          <t>Klein Tools 5539YEL Zipper Bag, Canvas Tool Pouch, 10-Inch, Yellow</t>
        </is>
      </c>
      <c r="D126" t="inlineStr">
        <is>
          <t>Klein Tools 5140 Canvas Zipper Bag, Tool Pouch, Tool Bag, Utility Bag, Bank Deposit Bag, 12.5 x 7-Inch, Olive/Orange/Blue/Yellow 4-Pack</t>
        </is>
      </c>
      <c r="E126" s="2">
        <f>HYPERLINK("https://www.amazon.com/Utility-12-5-Inch-Klein-Tools-5140/dp/B000MKDUKU/ref=sr_1_7?keywords=Klein+Tools+5539YEL+Zipper+Bag%2C+Canvas+Tool+Pouch%2C+10-Inch%2C+Yellow&amp;qid=1694734464&amp;sr=8-7", "https://www.amazon.com/Utility-12-5-Inch-Klein-Tools-5140/dp/B000MKDUKU/ref=sr_1_7?keywords=Klein+Tools+5539YEL+Zipper+Bag%2C+Canvas+Tool+Pouch%2C+10-Inch%2C+Yellow&amp;qid=1694734464&amp;sr=8-7")</f>
        <v/>
      </c>
      <c r="F126" t="inlineStr">
        <is>
          <t>B000MKDUKU</t>
        </is>
      </c>
      <c r="G126">
        <f>_xlfn.IMAGE("https://edmondsonsupply.com/cdn/shop/products/5539yel.jpg?v=1633030465")</f>
        <v/>
      </c>
      <c r="H126">
        <f>_xlfn.IMAGE("https://m.media-amazon.com/images/I/61ktyABBHQL._AC_UL320_.jpg")</f>
        <v/>
      </c>
      <c r="K126" t="inlineStr">
        <is>
          <t>13.99</t>
        </is>
      </c>
      <c r="L126" t="n">
        <v>39.48</v>
      </c>
      <c r="M126" s="1" t="inlineStr">
        <is>
          <t>182.20%</t>
        </is>
      </c>
      <c r="N126" s="7" t="n">
        <v>79.31</v>
      </c>
      <c r="O126" t="n">
        <v>4.8</v>
      </c>
      <c r="P126" t="n">
        <v>4463</v>
      </c>
      <c r="R126" t="inlineStr">
        <is>
          <t>InStock</t>
        </is>
      </c>
      <c r="S126" t="inlineStr">
        <is>
          <t>21.18</t>
        </is>
      </c>
      <c r="T126" t="inlineStr">
        <is>
          <t>5362277449896</t>
        </is>
      </c>
    </row>
    <row r="127" ht="87" customHeight="1">
      <c r="A127" s="2">
        <f>HYPERLINK("https://edmondsonsupply.com/collections/storage-organization/products/klein-tools-5539blu-canvas-zipper-bag-consumables-blue", "https://edmondsonsupply.com/collections/storage-organization/products/klein-tools-5539blu-canvas-zipper-bag-consumables-blue")</f>
        <v/>
      </c>
      <c r="B127" s="2">
        <f>HYPERLINK("https://edmondsonsupply.com/products/klein-tools-5539blu-canvas-zipper-bag-consumables-blue", "https://edmondsonsupply.com/products/klein-tools-5539blu-canvas-zipper-bag-consumables-blue")</f>
        <v/>
      </c>
      <c r="C127" t="inlineStr">
        <is>
          <t>Klein Tools 5539BLU Zipper Bag, Canvas Consumables Tool Pouch, Blue</t>
        </is>
      </c>
      <c r="D127" t="inlineStr">
        <is>
          <t>Klein Tools 5140 Canvas Zipper Bag, Tool Pouch, Tool Bag, Utility Bag, Bank Deposit Bag, 12.5 x 7-Inch, Olive/Orange/Blue/Yellow 4-Pack</t>
        </is>
      </c>
      <c r="E127" s="2">
        <f>HYPERLINK("https://www.amazon.com/Utility-12-5-Inch-Klein-Tools-5140/dp/B000MKDUKU/ref=sr_1_4?keywords=Klein+Tools+5539BLU+Zipper+Bag%2C+Canvas+Consumables+Tool+Pouch%2C+Blue&amp;qid=1694734463&amp;sr=8-4", "https://www.amazon.com/Utility-12-5-Inch-Klein-Tools-5140/dp/B000MKDUKU/ref=sr_1_4?keywords=Klein+Tools+5539BLU+Zipper+Bag%2C+Canvas+Consumables+Tool+Pouch%2C+Blue&amp;qid=1694734463&amp;sr=8-4")</f>
        <v/>
      </c>
      <c r="F127" t="inlineStr">
        <is>
          <t>B000MKDUKU</t>
        </is>
      </c>
      <c r="G127">
        <f>_xlfn.IMAGE("https://edmondsonsupply.com/cdn/shop/products/5539blu.jpg?v=1633030461")</f>
        <v/>
      </c>
      <c r="H127">
        <f>_xlfn.IMAGE("https://m.media-amazon.com/images/I/61ktyABBHQL._AC_UL320_.jpg")</f>
        <v/>
      </c>
      <c r="K127" t="inlineStr">
        <is>
          <t>13.99</t>
        </is>
      </c>
      <c r="L127" t="n">
        <v>39.48</v>
      </c>
      <c r="M127" s="1" t="inlineStr">
        <is>
          <t>182.20%</t>
        </is>
      </c>
      <c r="N127" s="7" t="n">
        <v>78.63</v>
      </c>
      <c r="O127" t="n">
        <v>4.8</v>
      </c>
      <c r="P127" t="n">
        <v>4463</v>
      </c>
      <c r="R127" t="inlineStr">
        <is>
          <t>InStock</t>
        </is>
      </c>
      <c r="S127" t="inlineStr">
        <is>
          <t>21.18</t>
        </is>
      </c>
      <c r="T127" t="inlineStr">
        <is>
          <t>5361914609832</t>
        </is>
      </c>
    </row>
    <row r="128" ht="87" customHeight="1">
      <c r="A128" s="2">
        <f>HYPERLINK("https://edmondsonsupply.com/collections/storage-organization/products/klein-tools-5539red-canvas-zipper-bag-consumables-red", "https://edmondsonsupply.com/collections/storage-organization/products/klein-tools-5539red-canvas-zipper-bag-consumables-red")</f>
        <v/>
      </c>
      <c r="B128" s="2">
        <f>HYPERLINK("https://edmondsonsupply.com/products/klein-tools-5539red-canvas-zipper-bag-consumables-red", "https://edmondsonsupply.com/products/klein-tools-5539red-canvas-zipper-bag-consumables-red")</f>
        <v/>
      </c>
      <c r="C128" t="inlineStr">
        <is>
          <t>Klein Tools 5539RED Zipper Bag, Canvas Tool Pouch, 10-Inch, Red</t>
        </is>
      </c>
      <c r="D128" t="inlineStr">
        <is>
          <t>Klein Tools 5141 Zipper Tool Bag, Canvas Tool Pouch / Utility Bag, Bank Deposit Bag, 12.5 x 7-Inch, Brown/Black/Gray/Red 4-Pack</t>
        </is>
      </c>
      <c r="E128" s="2">
        <f>HYPERLINK("https://www.amazon.com/Utility-Zipper-12-5-Inch-Klein-Tools/dp/B007V8RXVI/ref=sr_1_4?keywords=Klein+Tools+5539RED+Zipper+Bag%2C+Canvas+Tool+Pouch%2C+10-Inch%2C+Red&amp;qid=1694734464&amp;sr=8-4", "https://www.amazon.com/Utility-Zipper-12-5-Inch-Klein-Tools/dp/B007V8RXVI/ref=sr_1_4?keywords=Klein+Tools+5539RED+Zipper+Bag%2C+Canvas+Tool+Pouch%2C+10-Inch%2C+Red&amp;qid=1694734464&amp;sr=8-4")</f>
        <v/>
      </c>
      <c r="F128" t="inlineStr">
        <is>
          <t>B007V8RXVI</t>
        </is>
      </c>
      <c r="G128">
        <f>_xlfn.IMAGE("https://edmondsonsupply.com/cdn/shop/products/5539red.jpg?v=1633030465")</f>
        <v/>
      </c>
      <c r="H128">
        <f>_xlfn.IMAGE("https://m.media-amazon.com/images/I/61K2xaMr+oL._AC_UL320_.jpg")</f>
        <v/>
      </c>
      <c r="K128" t="inlineStr">
        <is>
          <t>13.99</t>
        </is>
      </c>
      <c r="L128" t="n">
        <v>39</v>
      </c>
      <c r="M128" s="1" t="inlineStr">
        <is>
          <t>178.77%</t>
        </is>
      </c>
      <c r="N128" s="7" t="n">
        <v>76.91</v>
      </c>
      <c r="O128" t="n">
        <v>4.8</v>
      </c>
      <c r="P128" t="n">
        <v>4463</v>
      </c>
      <c r="R128" t="inlineStr">
        <is>
          <t>InStock</t>
        </is>
      </c>
      <c r="S128" t="inlineStr">
        <is>
          <t>21.18</t>
        </is>
      </c>
      <c r="T128" t="inlineStr">
        <is>
          <t>5362272174248</t>
        </is>
      </c>
    </row>
    <row r="129" ht="87" customHeight="1">
      <c r="A129" s="2">
        <f>HYPERLINK("https://edmondsonsupply.com/collections/storage-organization/products/veto-pro-pac-mb2-blackout", "https://edmondsonsupply.com/collections/storage-organization/products/veto-pro-pac-mb2-blackout")</f>
        <v/>
      </c>
      <c r="B129" s="2">
        <f>HYPERLINK("https://edmondsonsupply.com/products/veto-pro-pac-mb2-blackout", "https://edmondsonsupply.com/products/veto-pro-pac-mb2-blackout")</f>
        <v/>
      </c>
      <c r="C129" t="inlineStr">
        <is>
          <t>Veto Pro Pac MB2 Blackout</t>
        </is>
      </c>
      <c r="D129" t="inlineStr">
        <is>
          <t>Veto Pro Pac TP-XD BLACKOUT</t>
        </is>
      </c>
      <c r="E129" s="2">
        <f>HYPERLINK("https://www.amazon.com/Veto-Pro-Pac-TP-XD-BLACKOUT/dp/B0B2YBQXNP/ref=sr_1_3?keywords=Veto+Pro+Pac+MB2+Blackout&amp;qid=1694734436&amp;sr=8-3", "https://www.amazon.com/Veto-Pro-Pac-TP-XD-BLACKOUT/dp/B0B2YBQXNP/ref=sr_1_3?keywords=Veto+Pro+Pac+MB2+Blackout&amp;qid=1694734436&amp;sr=8-3")</f>
        <v/>
      </c>
      <c r="F129" t="inlineStr">
        <is>
          <t>B0B2YBQXNP</t>
        </is>
      </c>
      <c r="G129">
        <f>_xlfn.IMAGE("https://edmondsonsupply.com/cdn/shop/products/mb2_398b8401-a942-46dd-b2fe-64feff432106.jpg?v=1633031045")</f>
        <v/>
      </c>
      <c r="H129">
        <f>_xlfn.IMAGE("https://m.media-amazon.com/images/I/51vvq1zbgwL._AC_UL320_.jpg")</f>
        <v/>
      </c>
      <c r="K129" t="inlineStr">
        <is>
          <t>79.99</t>
        </is>
      </c>
      <c r="L129" t="n">
        <v>209.95</v>
      </c>
      <c r="M129" s="1" t="inlineStr">
        <is>
          <t>162.47%</t>
        </is>
      </c>
      <c r="N129" s="7" t="n">
        <v>74.84999999999999</v>
      </c>
      <c r="O129" t="n">
        <v>4.5</v>
      </c>
      <c r="P129" t="n">
        <v>24</v>
      </c>
      <c r="R129" t="inlineStr">
        <is>
          <t>InStock</t>
        </is>
      </c>
      <c r="S129" t="inlineStr">
        <is>
          <t>undefined</t>
        </is>
      </c>
      <c r="T129" t="inlineStr">
        <is>
          <t>6765803405485</t>
        </is>
      </c>
    </row>
    <row r="130" ht="87" customHeight="1">
      <c r="A130" s="2">
        <f>HYPERLINK("https://edmondsonsupply.com/collections/storage-organization/products/veto-pro-pac-tp-lc-tool-pouch", "https://edmondsonsupply.com/collections/storage-organization/products/veto-pro-pac-tp-lc-tool-pouch")</f>
        <v/>
      </c>
      <c r="B130" s="2">
        <f>HYPERLINK("https://edmondsonsupply.com/products/veto-pro-pac-tp-lc-tool-pouch", "https://edmondsonsupply.com/products/veto-pro-pac-tp-lc-tool-pouch")</f>
        <v/>
      </c>
      <c r="C130" t="inlineStr">
        <is>
          <t>Veto Pro Pac TP-LC Tool Pouch</t>
        </is>
      </c>
      <c r="D130" t="inlineStr">
        <is>
          <t>Veto Pro Pac Wrencher-LC (Large, Open-Top Tool Bag)</t>
        </is>
      </c>
      <c r="E130" s="2">
        <f>HYPERLINK("https://www.amazon.com/Veto-Pro-Pac-Wrencher-LC-Open-Top/dp/B0BBPFQ447/ref=sr_1_23?keywords=Veto+Pro+Pac+TP-LC+Tool+Pouch&amp;qid=1694734452&amp;sr=8-23", "https://www.amazon.com/Veto-Pro-Pac-Wrencher-LC-Open-Top/dp/B0BBPFQ447/ref=sr_1_23?keywords=Veto+Pro+Pac+TP-LC+Tool+Pouch&amp;qid=1694734452&amp;sr=8-23")</f>
        <v/>
      </c>
      <c r="F130" t="inlineStr">
        <is>
          <t>B0BBPFQ447</t>
        </is>
      </c>
      <c r="G130">
        <f>_xlfn.IMAGE("https://edmondsonsupply.com/cdn/shop/products/TPLC.jpg?v=1648948141")</f>
        <v/>
      </c>
      <c r="H130">
        <f>_xlfn.IMAGE("https://m.media-amazon.com/images/I/61iZfeBF47L._AC_UL320_.jpg")</f>
        <v/>
      </c>
      <c r="K130" t="inlineStr">
        <is>
          <t>134.99</t>
        </is>
      </c>
      <c r="L130" t="n">
        <v>339.95</v>
      </c>
      <c r="M130" s="1" t="inlineStr">
        <is>
          <t>151.83%</t>
        </is>
      </c>
      <c r="N130" s="7" t="n">
        <v>74.05</v>
      </c>
      <c r="O130" t="n">
        <v>5</v>
      </c>
      <c r="P130" t="n">
        <v>1</v>
      </c>
      <c r="R130" t="inlineStr">
        <is>
          <t>InStock</t>
        </is>
      </c>
      <c r="S130" t="inlineStr">
        <is>
          <t>undefined</t>
        </is>
      </c>
      <c r="T130" t="inlineStr">
        <is>
          <t>7652194189528</t>
        </is>
      </c>
    </row>
    <row r="131" ht="87" customHeight="1">
      <c r="A131" s="2">
        <f>HYPERLINK("https://edmondsonsupply.com/collections/storage-organization/products/fluke-c60-soft-carrying-case", "https://edmondsonsupply.com/collections/storage-organization/products/fluke-c60-soft-carrying-case")</f>
        <v/>
      </c>
      <c r="B131" s="2">
        <f>HYPERLINK("https://edmondsonsupply.com/products/fluke-c60-soft-carrying-case", "https://edmondsonsupply.com/products/fluke-c60-soft-carrying-case")</f>
        <v/>
      </c>
      <c r="C131" t="inlineStr">
        <is>
          <t>Fluke C60 Soft Carrying Case</t>
        </is>
      </c>
      <c r="D131" t="inlineStr">
        <is>
          <t>Fluke C43 Soft Carrying Case</t>
        </is>
      </c>
      <c r="E131" s="2">
        <f>HYPERLINK("https://www.amazon.com/Fluke-C43-Soft-Carrying-Case/dp/B000LEFPR8/ref=sr_1_16?keywords=Fluke+C60+Soft+Carrying+Case&amp;qid=1694734460&amp;sr=8-16", "https://www.amazon.com/Fluke-C43-Soft-Carrying-Case/dp/B000LEFPR8/ref=sr_1_16?keywords=Fluke+C60+Soft+Carrying+Case&amp;qid=1694734460&amp;sr=8-16")</f>
        <v/>
      </c>
      <c r="F131" t="inlineStr">
        <is>
          <t>B000LEFPR8</t>
        </is>
      </c>
      <c r="G131">
        <f>_xlfn.IMAGE("https://edmondsonsupply.com/cdn/shop/products/c60.png?v=1633030926")</f>
        <v/>
      </c>
      <c r="H131">
        <f>_xlfn.IMAGE("https://m.media-amazon.com/images/I/71Rggg7q-VL._AC_UL320_.jpg")</f>
        <v/>
      </c>
      <c r="K131" t="inlineStr">
        <is>
          <t>49.49</t>
        </is>
      </c>
      <c r="L131" t="n">
        <v>121.89</v>
      </c>
      <c r="M131" s="1" t="inlineStr">
        <is>
          <t>146.29%</t>
        </is>
      </c>
      <c r="N131" s="7" t="n">
        <v>70.56999999999999</v>
      </c>
      <c r="O131" t="n">
        <v>5</v>
      </c>
      <c r="P131" t="n">
        <v>5</v>
      </c>
      <c r="R131" t="inlineStr">
        <is>
          <t>InStock</t>
        </is>
      </c>
      <c r="S131" t="inlineStr">
        <is>
          <t>54.99</t>
        </is>
      </c>
      <c r="T131" t="inlineStr">
        <is>
          <t>6544664723629</t>
        </is>
      </c>
    </row>
    <row r="132" hidden="1" ht="15.75" customHeight="1">
      <c r="A132" s="2">
        <f>HYPERLINK("https://edmondsonsupply.com/collections/storage-organization/products/malco-tools-tb1-soft-sided-tool-bag", "https://edmondsonsupply.com/collections/storage-organization/products/malco-tools-tb1-soft-sided-tool-bag")</f>
        <v/>
      </c>
      <c r="B132" s="2">
        <f>HYPERLINK("https://edmondsonsupply.com/products/malco-tools-tb1-soft-sided-tool-bag", "https://edmondsonsupply.com/products/malco-tools-tb1-soft-sided-tool-bag")</f>
        <v/>
      </c>
      <c r="C132" t="inlineStr">
        <is>
          <t>Malco Tools TB1 Soft Sided Tool Bag</t>
        </is>
      </c>
      <c r="D132" t="inlineStr">
        <is>
          <t>Malco TB1 Soft Sided Tool Bag, 18 Pocket</t>
        </is>
      </c>
      <c r="E132" s="2">
        <f>HYPERLINK("https://www.amazon.com/Malco-Soft-Sided-Tool-Pocket/dp/B0943Y3HYS/ref=sr_1_1?keywords=Malco+Tools+TB1+Soft+Sided+Tool+Bag&amp;qid=1694734458&amp;sr=8-1", "https://www.amazon.com/Malco-Soft-Sided-Tool-Pocket/dp/B0943Y3HYS/ref=sr_1_1?keywords=Malco+Tools+TB1+Soft+Sided+Tool+Bag&amp;qid=1694734458&amp;sr=8-1")</f>
        <v/>
      </c>
      <c r="F132" t="inlineStr">
        <is>
          <t>B0943Y3HYS</t>
        </is>
      </c>
      <c r="G132">
        <f>_xludf.IMAGE("https://edmondsonsupply.com/cdn/shop/products/TB1-catalog-2-440x440.jpg?v=1668089126")</f>
        <v/>
      </c>
      <c r="H132">
        <f>_xludf.IMAGE("https://m.media-amazon.com/images/I/31LWmbOibWS._AC_UL320_.jpg")</f>
        <v/>
      </c>
      <c r="K132" t="inlineStr">
        <is>
          <t>71.99</t>
        </is>
      </c>
      <c r="L132" t="n">
        <v>170.5</v>
      </c>
      <c r="M132" s="1" t="inlineStr">
        <is>
          <t>136.84%</t>
        </is>
      </c>
      <c r="N132" s="1" t="n">
        <v>70.34999999999999</v>
      </c>
      <c r="O132" t="n">
        <v>1</v>
      </c>
      <c r="P132" t="n">
        <v>1</v>
      </c>
      <c r="R132" t="inlineStr">
        <is>
          <t>InStock</t>
        </is>
      </c>
      <c r="S132" t="inlineStr">
        <is>
          <t>78.08</t>
        </is>
      </c>
      <c r="T132" t="inlineStr">
        <is>
          <t>7880639676632</t>
        </is>
      </c>
    </row>
    <row r="133" ht="87" customHeight="1">
      <c r="A133" s="2">
        <f>HYPERLINK("https://edmondsonsupply.com/collections/storage-organization/products/veto-pro-pac-tp4b-blackout", "https://edmondsonsupply.com/collections/storage-organization/products/veto-pro-pac-tp4b-blackout")</f>
        <v/>
      </c>
      <c r="B133" s="2">
        <f>HYPERLINK("https://edmondsonsupply.com/products/veto-pro-pac-tp4b-blackout", "https://edmondsonsupply.com/products/veto-pro-pac-tp4b-blackout")</f>
        <v/>
      </c>
      <c r="C133" t="inlineStr">
        <is>
          <t>Veto Pro Pac TP4B BLACKOUT</t>
        </is>
      </c>
      <c r="D133" t="inlineStr">
        <is>
          <t>Veto Pro Pac TP-XD BLACKOUT</t>
        </is>
      </c>
      <c r="E133" s="2">
        <f>HYPERLINK("https://www.amazon.com/Veto-Pro-Pac-TP-XD-BLACKOUT/dp/B0B2YBQXNP/ref=sr_1_5?keywords=Veto+Pro+Pac+TP4B+BLACKOUT&amp;qid=1694734452&amp;sr=8-5", "https://www.amazon.com/Veto-Pro-Pac-TP-XD-BLACKOUT/dp/B0B2YBQXNP/ref=sr_1_5?keywords=Veto+Pro+Pac+TP4B+BLACKOUT&amp;qid=1694734452&amp;sr=8-5")</f>
        <v/>
      </c>
      <c r="F133" t="inlineStr">
        <is>
          <t>B0B2YBQXNP</t>
        </is>
      </c>
      <c r="G133">
        <f>_xlfn.IMAGE("https://edmondsonsupply.com/cdn/shop/products/tpb4.jpg?v=1648946186")</f>
        <v/>
      </c>
      <c r="H133">
        <f>_xlfn.IMAGE("https://m.media-amazon.com/images/I/51vvq1zbgwL._AC_UL320_.jpg")</f>
        <v/>
      </c>
      <c r="K133" t="inlineStr">
        <is>
          <t>89.99</t>
        </is>
      </c>
      <c r="L133" t="n">
        <v>209.95</v>
      </c>
      <c r="M133" s="1" t="inlineStr">
        <is>
          <t>133.30%</t>
        </is>
      </c>
      <c r="N133" s="7" t="n">
        <v>69.98</v>
      </c>
      <c r="O133" t="n">
        <v>4.5</v>
      </c>
      <c r="P133" t="n">
        <v>24</v>
      </c>
      <c r="R133" t="inlineStr">
        <is>
          <t>InStock</t>
        </is>
      </c>
      <c r="S133" t="inlineStr">
        <is>
          <t>undefined</t>
        </is>
      </c>
      <c r="T133" t="inlineStr">
        <is>
          <t>7652181180632</t>
        </is>
      </c>
    </row>
    <row r="134" hidden="1" ht="15.75" customHeight="1">
      <c r="A134" s="2">
        <f>HYPERLINK("https://edmondsonsupply.com/collections/storage-organization/products/milwaukee-48-22-8422-packout%E2%84%A2-compact-tool-box", "https://edmondsonsupply.com/collections/storage-organization/products/milwaukee-48-22-8422-packout%E2%84%A2-compact-tool-box")</f>
        <v/>
      </c>
      <c r="B134" s="2">
        <f>HYPERLINK("https://edmondsonsupply.com/products/milwaukee-48-22-8422-packout%e2%84%a2-compact-tool-box", "https://edmondsonsupply.com/products/milwaukee-48-22-8422-packout%e2%84%a2-compact-tool-box")</f>
        <v/>
      </c>
      <c r="C134" t="inlineStr">
        <is>
          <t>Milwaukee 48-22-8422 PACKOUT™ Compact Tool Box</t>
        </is>
      </c>
      <c r="D134" t="inlineStr">
        <is>
          <t>Compatible with Milwaukee 48-22-8422 Heavy Duty Impact Resistant Compact Tool Box, IP65 Rated Weather Seal, 75lbs Weight Capacity</t>
        </is>
      </c>
      <c r="E134" s="2">
        <f>HYPERLINK("https://www.amazon.com/Compatible-Milwaukee-48-22-8422-Resistant-Capacity/dp/B0BNL9Q8YB/ref=sr_1_43?keywords=Milwaukee+48-22-8422+PACKOUT%E2%84%A2+Compact+Tool+Box&amp;qid=1694734440&amp;sr=8-43", "https://www.amazon.com/Compatible-Milwaukee-48-22-8422-Resistant-Capacity/dp/B0BNL9Q8YB/ref=sr_1_43?keywords=Milwaukee+48-22-8422+PACKOUT%E2%84%A2+Compact+Tool+Box&amp;qid=1694734440&amp;sr=8-43")</f>
        <v/>
      </c>
      <c r="F134" t="inlineStr">
        <is>
          <t>B0BNL9Q8YB</t>
        </is>
      </c>
      <c r="G134">
        <f>_xludf.IMAGE("https://edmondsonsupply.com/cdn/shop/files/48-22-8422_1.png?v=1694613197")</f>
        <v/>
      </c>
      <c r="H134">
        <f>_xludf.IMAGE("https://m.media-amazon.com/images/I/51Pd0wZObAL._AC_UL320_.jpg")</f>
        <v/>
      </c>
      <c r="K134" t="inlineStr">
        <is>
          <t>69.97</t>
        </is>
      </c>
      <c r="L134" t="n">
        <v>160.87</v>
      </c>
      <c r="M134" s="1" t="inlineStr">
        <is>
          <t>129.91%</t>
        </is>
      </c>
      <c r="N134" s="1" t="n">
        <v>69.3</v>
      </c>
      <c r="O134" t="n">
        <v>1</v>
      </c>
      <c r="P134" t="n">
        <v>1</v>
      </c>
      <c r="R134" t="inlineStr">
        <is>
          <t>InStock</t>
        </is>
      </c>
      <c r="S134" t="inlineStr">
        <is>
          <t>114.0</t>
        </is>
      </c>
      <c r="T134" t="inlineStr">
        <is>
          <t>8036836442328</t>
        </is>
      </c>
    </row>
    <row r="135" ht="87" customHeight="1">
      <c r="A135" s="2">
        <f>HYPERLINK("https://edmondsonsupply.com/collections/storage-organization/products/milwaukee-48-22-8432-packout%E2%84%A2-deep-organizer", "https://edmondsonsupply.com/collections/storage-organization/products/milwaukee-48-22-8432-packout%E2%84%A2-deep-organizer")</f>
        <v/>
      </c>
      <c r="B135" s="2">
        <f>HYPERLINK("https://edmondsonsupply.com/products/milwaukee-48-22-8432-packout%e2%84%a2-deep-organizer", "https://edmondsonsupply.com/products/milwaukee-48-22-8432-packout%e2%84%a2-deep-organizer")</f>
        <v/>
      </c>
      <c r="C135" t="inlineStr">
        <is>
          <t>Milwaukee 48-22-8432 PACKOUT™ Deep Organizer</t>
        </is>
      </c>
      <c r="D135" t="inlineStr">
        <is>
          <t>48-22-8432 fits Milwaukee Packout Deep Organizer w/ 50 lb Weight Capacity, IP65 rated protection, Reinforced hinge Includes 6 dividers, 3 large and 3 small dividers</t>
        </is>
      </c>
      <c r="E135" s="2">
        <f>HYPERLINK("https://www.amazon.com/48-22-8432-Milwaukee-Organizer-protection-Reinforced/dp/B0BRN4YDFR/ref=sr_1_8?keywords=Milwaukee+48-22-8432+PACKOUT%E2%84%A2+Deep+Organizer&amp;qid=1694734447&amp;sr=8-8", "https://www.amazon.com/48-22-8432-Milwaukee-Organizer-protection-Reinforced/dp/B0BRN4YDFR/ref=sr_1_8?keywords=Milwaukee+48-22-8432+PACKOUT%E2%84%A2+Deep+Organizer&amp;qid=1694734447&amp;sr=8-8")</f>
        <v/>
      </c>
      <c r="F135" t="inlineStr">
        <is>
          <t>B0BRN4YDFR</t>
        </is>
      </c>
      <c r="G135">
        <f>_xlfn.IMAGE("https://edmondsonsupply.com/cdn/shop/files/48-22-8432_1.webp?v=1686667970")</f>
        <v/>
      </c>
      <c r="H135">
        <f>_xlfn.IMAGE("https://m.media-amazon.com/images/I/71mouQmhBZL._AC_UL320_.jpg")</f>
        <v/>
      </c>
      <c r="K135" t="inlineStr">
        <is>
          <t>64.97</t>
        </is>
      </c>
      <c r="L135" t="n">
        <v>148.9</v>
      </c>
      <c r="M135" s="1" t="inlineStr">
        <is>
          <t>129.18%</t>
        </is>
      </c>
      <c r="N135" s="7" t="n">
        <v>67.75</v>
      </c>
      <c r="O135" t="n">
        <v>5</v>
      </c>
      <c r="P135" t="n">
        <v>5</v>
      </c>
      <c r="R135" t="inlineStr">
        <is>
          <t>OutOfStock</t>
        </is>
      </c>
      <c r="S135" t="inlineStr">
        <is>
          <t>108.0</t>
        </is>
      </c>
      <c r="T135" t="inlineStr">
        <is>
          <t>8005120655576</t>
        </is>
      </c>
    </row>
    <row r="136" ht="87" customHeight="1">
      <c r="A136" s="2">
        <f>HYPERLINK("https://edmondsonsupply.com/collections/storage-organization/products/veto-pro-pac-tp3-b-tool-bag", "https://edmondsonsupply.com/collections/storage-organization/products/veto-pro-pac-tp3-b-tool-bag")</f>
        <v/>
      </c>
      <c r="B136" s="2">
        <f>HYPERLINK("https://edmondsonsupply.com/products/veto-pro-pac-tp3-b-tool-bag", "https://edmondsonsupply.com/products/veto-pro-pac-tp3-b-tool-bag")</f>
        <v/>
      </c>
      <c r="C136" t="inlineStr">
        <is>
          <t>Veto Pro Pac TP3B Tool Pouch</t>
        </is>
      </c>
      <c r="D136" t="inlineStr">
        <is>
          <t>Veto Pro Pac TP-XL Extra Large Tool Pouch</t>
        </is>
      </c>
      <c r="E136" s="2">
        <f>HYPERLINK("https://www.amazon.com/Veto-TP-XL-Extra-Large-Pouch/dp/B07WDL7SD3/ref=sr_1_8?keywords=Veto+Pro+Pac+TP3B+Tool+Pouch&amp;qid=1694734456&amp;sr=8-8", "https://www.amazon.com/Veto-TP-XL-Extra-Large-Pouch/dp/B07WDL7SD3/ref=sr_1_8?keywords=Veto+Pro+Pac+TP3B+Tool+Pouch&amp;qid=1694734456&amp;sr=8-8")</f>
        <v/>
      </c>
      <c r="F136" t="inlineStr">
        <is>
          <t>B07WDL7SD3</t>
        </is>
      </c>
      <c r="G136">
        <f>_xlfn.IMAGE("https://edmondsonsupply.com/cdn/shop/products/tp3b.png?v=1633031041")</f>
        <v/>
      </c>
      <c r="H136">
        <f>_xlfn.IMAGE("https://m.media-amazon.com/images/I/91dIbPcb4XL._AC_UL320_.jpg")</f>
        <v/>
      </c>
      <c r="K136" t="inlineStr">
        <is>
          <t>74.99</t>
        </is>
      </c>
      <c r="L136" t="n">
        <v>169.95</v>
      </c>
      <c r="M136" s="1" t="inlineStr">
        <is>
          <t>126.63%</t>
        </is>
      </c>
      <c r="N136" s="7" t="n">
        <v>67.63</v>
      </c>
      <c r="O136" t="n">
        <v>4.9</v>
      </c>
      <c r="P136" t="n">
        <v>1131</v>
      </c>
      <c r="R136" t="inlineStr">
        <is>
          <t>InStock</t>
        </is>
      </c>
      <c r="S136" t="inlineStr">
        <is>
          <t>undefined</t>
        </is>
      </c>
      <c r="T136" t="inlineStr">
        <is>
          <t>6752204587181</t>
        </is>
      </c>
    </row>
    <row r="137" hidden="1" ht="15.75" customHeight="1">
      <c r="A137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137" s="2">
        <f>HYPERLINK("https://edmondsonsupply.com/products/milwaukee-48-22-8045-packout%e2%84%a2-tool-tray", "https://edmondsonsupply.com/products/milwaukee-48-22-8045-packout%e2%84%a2-tool-tray")</f>
        <v/>
      </c>
      <c r="C137" t="inlineStr">
        <is>
          <t>Milwaukee 48-22-8045 PACKOUT™ Tool Tray</t>
        </is>
      </c>
      <c r="D137" t="inlineStr">
        <is>
          <t>Compatible with Milwaukee 48-22-8045 Packout Tool Tray w/ 25 lbs. Weight Capacity, Quick-Adjust Dividers Creating Six Separate Storage Compartments, Dimensions: 11.7L x 19.8W x 5H in</t>
        </is>
      </c>
      <c r="E137" s="2">
        <f>HYPERLINK("https://www.amazon.com/Compatible-48-22-8045-Quick-Adjust-Compartments-Dimensions/dp/B0BKGBDJMW/ref=sr_1_1?keywords=Milwaukee+48-22-8045+PACKOUT%E2%84%A2+Tool+Tray&amp;qid=1694734444&amp;sr=8-1", "https://www.amazon.com/Compatible-48-22-8045-Quick-Adjust-Compartments-Dimensions/dp/B0BKGBDJMW/ref=sr_1_1?keywords=Milwaukee+48-22-8045+PACKOUT%E2%84%A2+Tool+Tray&amp;qid=1694734444&amp;sr=8-1")</f>
        <v/>
      </c>
      <c r="F137" t="inlineStr">
        <is>
          <t>B0BKGBDJMW</t>
        </is>
      </c>
      <c r="G137">
        <f>_xludf.IMAGE("https://edmondsonsupply.com/cdn/shop/files/48-22-8045_4.webp?v=1686230573")</f>
        <v/>
      </c>
      <c r="H137">
        <f>_xludf.IMAGE("https://m.media-amazon.com/images/I/51JDkp3VI+L._AC_UL320_.jpg")</f>
        <v/>
      </c>
      <c r="K137" t="inlineStr">
        <is>
          <t>39.97</t>
        </is>
      </c>
      <c r="L137" t="n">
        <v>88.47</v>
      </c>
      <c r="M137" s="1" t="inlineStr">
        <is>
          <t>121.34%</t>
        </is>
      </c>
      <c r="N137" s="1" t="n">
        <v>67.11</v>
      </c>
      <c r="O137" t="n">
        <v>3</v>
      </c>
      <c r="P137" t="n">
        <v>1</v>
      </c>
      <c r="R137" t="inlineStr">
        <is>
          <t>InStock</t>
        </is>
      </c>
      <c r="S137" t="inlineStr">
        <is>
          <t>64.9</t>
        </is>
      </c>
      <c r="T137" t="inlineStr">
        <is>
          <t>8002611806424</t>
        </is>
      </c>
    </row>
    <row r="138" ht="87" customHeight="1">
      <c r="A138" s="2">
        <f>HYPERLINK("https://edmondsonsupply.com/collections/storage-organization/products/klein-tools-5416octo-tool-bag-bull-pin-and-bolt-pouch-loop-connect-5-x-5-x-9-inch", "https://edmondsonsupply.com/collections/storage-organization/products/klein-tools-5416octo-tool-bag-bull-pin-and-bolt-pouch-loop-connect-5-x-5-x-9-inch")</f>
        <v/>
      </c>
      <c r="B138" s="2">
        <f>HYPERLINK("https://edmondsonsupply.com/products/klein-tools-5416octo-tool-bag-bull-pin-and-bolt-pouch-loop-connect-5-x-5-x-9-inch", "https://edmondsonsupply.com/products/klein-tools-5416octo-tool-bag-bull-pin-and-bolt-pouch-loop-connect-5-x-5-x-9-inch")</f>
        <v/>
      </c>
      <c r="C138" t="inlineStr">
        <is>
          <t>Klein Tools 5416OCTO Tool Bag, Bull-Pin and Bolt Pouch, Loop Connect, 5 x 5 x 9-Inch</t>
        </is>
      </c>
      <c r="D138" t="inlineStr">
        <is>
          <t>Klein Tools 5416TFR Tool Bag, Flame Resistant Canvas Bag for Bolt Storage, 5 x 10 x 9-Inch &amp; 3255 Bull Pin, Broad Head Bull Pin Resists Corrosion and Mushrooming, 1-1/4-Inch</t>
        </is>
      </c>
      <c r="E138" s="2">
        <f>HYPERLINK("https://www.amazon.com/Klein-Tools-Resistant-Corrosion-Mushrooming/dp/B093PYTVK3/ref=sr_1_8?keywords=Klein+Tools+5416OCTO+Tool+Bag%2C+Bull-Pin+and+Bolt+Pouch%2C+Loop+Connect%2C+5+x+5+x+9-Inch&amp;qid=1694734458&amp;sr=8-8", "https://www.amazon.com/Klein-Tools-Resistant-Corrosion-Mushrooming/dp/B093PYTVK3/ref=sr_1_8?keywords=Klein+Tools+5416OCTO+Tool+Bag%2C+Bull-Pin+and+Bolt+Pouch%2C+Loop+Connect%2C+5+x+5+x+9-Inch&amp;qid=1694734458&amp;sr=8-8")</f>
        <v/>
      </c>
      <c r="F138" t="inlineStr">
        <is>
          <t>B093PYTVK3</t>
        </is>
      </c>
      <c r="G138">
        <f>_xlfn.IMAGE("https://edmondsonsupply.com/cdn/shop/products/5416octo.jpg?v=1633030457")</f>
        <v/>
      </c>
      <c r="H138">
        <f>_xlfn.IMAGE("https://m.media-amazon.com/images/I/51QTKZXYEJS._AC_UL320_.jpg")</f>
        <v/>
      </c>
      <c r="K138" t="inlineStr">
        <is>
          <t>22.02</t>
        </is>
      </c>
      <c r="L138" t="n">
        <v>47.98</v>
      </c>
      <c r="M138" s="1" t="inlineStr">
        <is>
          <t>117.89%</t>
        </is>
      </c>
      <c r="N138" s="7" t="n">
        <v>66.70999999999999</v>
      </c>
      <c r="O138" t="n">
        <v>4.4</v>
      </c>
      <c r="P138" t="n">
        <v>58</v>
      </c>
      <c r="R138" t="inlineStr">
        <is>
          <t>InStock</t>
        </is>
      </c>
      <c r="S138" t="inlineStr">
        <is>
          <t>35.96</t>
        </is>
      </c>
      <c r="T138" t="inlineStr">
        <is>
          <t>5347272130728</t>
        </is>
      </c>
    </row>
    <row r="139" hidden="1" ht="15.75" customHeight="1">
      <c r="A139" s="2">
        <f>HYPERLINK("https://edmondsonsupply.com/collections/storage-organization/products/fluke-c60-soft-carrying-case", "https://edmondsonsupply.com/collections/storage-organization/products/fluke-c60-soft-carrying-case")</f>
        <v/>
      </c>
      <c r="B139" s="2">
        <f>HYPERLINK("https://edmondsonsupply.com/products/fluke-c60-soft-carrying-case", "https://edmondsonsupply.com/products/fluke-c60-soft-carrying-case")</f>
        <v/>
      </c>
      <c r="C139" t="inlineStr">
        <is>
          <t>Fluke C60 Soft Carrying Case</t>
        </is>
      </c>
      <c r="D139" t="inlineStr">
        <is>
          <t>Fluke C345 Polyester Soft Carrying Case</t>
        </is>
      </c>
      <c r="E139" s="2">
        <f>HYPERLINK("https://www.amazon.com/Fluke-C345-Polyester-Soft-Carrying/dp/B0046MHA38/ref=sr_1_11?keywords=Fluke+C60+Soft+Carrying+Case&amp;qid=1694734460&amp;sr=8-11", "https://www.amazon.com/Fluke-C345-Polyester-Soft-Carrying/dp/B0046MHA38/ref=sr_1_11?keywords=Fluke+C60+Soft+Carrying+Case&amp;qid=1694734460&amp;sr=8-11")</f>
        <v/>
      </c>
      <c r="F139" t="inlineStr">
        <is>
          <t>B0046MHA38</t>
        </is>
      </c>
      <c r="G139">
        <f>_xludf.IMAGE("https://edmondsonsupply.com/cdn/shop/products/c60.png?v=1633030926")</f>
        <v/>
      </c>
      <c r="H139">
        <f>_xludf.IMAGE("https://m.media-amazon.com/images/I/61mFrUt8qoL._AC_UL320_.jpg")</f>
        <v/>
      </c>
      <c r="K139" t="inlineStr">
        <is>
          <t>49.49</t>
        </is>
      </c>
      <c r="L139" t="n">
        <v>107.16</v>
      </c>
      <c r="M139" s="1" t="inlineStr">
        <is>
          <t>116.53%</t>
        </is>
      </c>
      <c r="N139" s="1" t="n">
        <v>66.70999999999999</v>
      </c>
      <c r="O139" t="n">
        <v>3.6</v>
      </c>
      <c r="P139" t="n">
        <v>8</v>
      </c>
      <c r="R139" t="inlineStr">
        <is>
          <t>InStock</t>
        </is>
      </c>
      <c r="S139" t="inlineStr">
        <is>
          <t>54.99</t>
        </is>
      </c>
      <c r="T139" t="inlineStr">
        <is>
          <t>6544664723629</t>
        </is>
      </c>
    </row>
    <row r="140" ht="87" customHeight="1">
      <c r="A140" s="2">
        <f>HYPERLINK("https://edmondsonsupply.com/collections/storage-organization/products/klein-tools-5539blu-canvas-zipper-bag-consumables-blue", "https://edmondsonsupply.com/collections/storage-organization/products/klein-tools-5539blu-canvas-zipper-bag-consumables-blue")</f>
        <v/>
      </c>
      <c r="B140" s="2">
        <f>HYPERLINK("https://edmondsonsupply.com/products/klein-tools-5539blu-canvas-zipper-bag-consumables-blue", "https://edmondsonsupply.com/products/klein-tools-5539blu-canvas-zipper-bag-consumables-blue")</f>
        <v/>
      </c>
      <c r="C140" t="inlineStr">
        <is>
          <t>Klein Tools 5539BLU Zipper Bag, Canvas Consumables Tool Pouch, Blue</t>
        </is>
      </c>
      <c r="D140" t="inlineStr">
        <is>
          <t>Klein Tools 55559 Stand-Up Zipper Bag Tool Pouch, 7-Inch Blue and 14-Inch Gray, 2-Pack &amp; 55470 Utility Bag, Stand-Up Zipper Tool Bags, Orange/Black, Gray/Black, 2-Pack</t>
        </is>
      </c>
      <c r="E140" s="2">
        <f>HYPERLINK("https://www.amazon.com/Klein-Tools-Stand-Up-14-Inch-Utility/dp/B0BNL5LYJJ/ref=sr_1_8?keywords=Klein+Tools+5539BLU+Zipper+Bag%2C+Canvas+Consumables+Tool+Pouch%2C+Blue&amp;qid=1694734463&amp;sr=8-8", "https://www.amazon.com/Klein-Tools-Stand-Up-14-Inch-Utility/dp/B0BNL5LYJJ/ref=sr_1_8?keywords=Klein+Tools+5539BLU+Zipper+Bag%2C+Canvas+Consumables+Tool+Pouch%2C+Blue&amp;qid=1694734463&amp;sr=8-8")</f>
        <v/>
      </c>
      <c r="F140" t="inlineStr">
        <is>
          <t>B0BNL5LYJJ</t>
        </is>
      </c>
      <c r="G140">
        <f>_xlfn.IMAGE("https://edmondsonsupply.com/cdn/shop/products/5539blu.jpg?v=1633030461")</f>
        <v/>
      </c>
      <c r="H140">
        <f>_xlfn.IMAGE("https://m.media-amazon.com/images/I/51YFgCm7c5L._AC_UL320_.jpg")</f>
        <v/>
      </c>
      <c r="K140" t="inlineStr">
        <is>
          <t>13.99</t>
        </is>
      </c>
      <c r="L140" t="n">
        <v>29.98</v>
      </c>
      <c r="M140" s="1" t="inlineStr">
        <is>
          <t>114.30%</t>
        </is>
      </c>
      <c r="N140" s="7" t="n">
        <v>66.09</v>
      </c>
      <c r="O140" t="n">
        <v>4.5</v>
      </c>
      <c r="P140" t="n">
        <v>2</v>
      </c>
      <c r="R140" t="inlineStr">
        <is>
          <t>InStock</t>
        </is>
      </c>
      <c r="S140" t="inlineStr">
        <is>
          <t>21.18</t>
        </is>
      </c>
      <c r="T140" t="inlineStr">
        <is>
          <t>5361914609832</t>
        </is>
      </c>
    </row>
    <row r="141" ht="87" customHeight="1">
      <c r="A141" s="2">
        <f>HYPERLINK("https://edmondsonsupply.com/collections/storage-organization/products/milwaukee-48-22-8435-packout%E2%84%A2-compact-organizer", "https://edmondsonsupply.com/collections/storage-organization/products/milwaukee-48-22-8435-packout%E2%84%A2-compact-organizer")</f>
        <v/>
      </c>
      <c r="B141" s="2">
        <f>HYPERLINK("https://edmondsonsupply.com/products/milwaukee-48-22-8435-packout%e2%84%a2-compact-organizer", "https://edmondsonsupply.com/products/milwaukee-48-22-8435-packout%e2%84%a2-compact-organizer")</f>
        <v/>
      </c>
      <c r="C141" t="inlineStr">
        <is>
          <t>Milwaukee 48-22-8435 PACKOUT™ Compact Organizer</t>
        </is>
      </c>
      <c r="D141" t="inlineStr">
        <is>
          <t>MFWNYVN for Milwaukee Tool 48-22-8435 Packout Compact Organizer w/5-Compartments Small Parts Organizer</t>
        </is>
      </c>
      <c r="E141" s="2">
        <f>HYPERLINK("https://www.amazon.com/MFWNYVN-Milwaukee-48-22-8435-Organizer-5-Compartments/dp/B0BZM6RSV5/ref=sr_1_1?keywords=Milwaukee+48-22-8435+PACKOUT%E2%84%A2+Compact+Organizer&amp;qid=1694734453&amp;sr=8-1", "https://www.amazon.com/MFWNYVN-Milwaukee-48-22-8435-Organizer-5-Compartments/dp/B0BZM6RSV5/ref=sr_1_1?keywords=Milwaukee+48-22-8435+PACKOUT%E2%84%A2+Compact+Organizer&amp;qid=1694734453&amp;sr=8-1")</f>
        <v/>
      </c>
      <c r="F141" t="inlineStr">
        <is>
          <t>B0BZM6RSV5</t>
        </is>
      </c>
      <c r="G141">
        <f>_xlfn.IMAGE("https://edmondsonsupply.com/cdn/shop/products/48-22-8435_1.png?v=1671723464")</f>
        <v/>
      </c>
      <c r="H141">
        <f>_xlfn.IMAGE("https://m.media-amazon.com/images/I/31NQWGp+VWL._AC_UL320_.jpg")</f>
        <v/>
      </c>
      <c r="I141" t="n">
        <v>0</v>
      </c>
      <c r="J141" t="inlineStr">
        <is>
          <t>1 seller</t>
        </is>
      </c>
      <c r="K141" t="inlineStr">
        <is>
          <t>34.97</t>
        </is>
      </c>
      <c r="L141" t="n">
        <v>70</v>
      </c>
      <c r="M141" s="1" t="inlineStr">
        <is>
          <t>100.17%</t>
        </is>
      </c>
      <c r="N141" s="7" t="n">
        <v>63.14</v>
      </c>
      <c r="O141" t="n">
        <v>5</v>
      </c>
      <c r="P141" t="n">
        <v>3</v>
      </c>
      <c r="R141" t="inlineStr">
        <is>
          <t>InStock</t>
        </is>
      </c>
      <c r="S141" t="inlineStr">
        <is>
          <t>58.0</t>
        </is>
      </c>
      <c r="T141" t="inlineStr">
        <is>
          <t>7910242877656</t>
        </is>
      </c>
    </row>
    <row r="142" ht="87" customHeight="1">
      <c r="A142" s="2">
        <f>HYPERLINK("https://edmondsonsupply.com/collections/storage-organization/products/klein-tools-55559-stand-up-zipper-bags-7-inch-and-14-inch-2-pack", "https://edmondsonsupply.com/collections/storage-organization/products/klein-tools-55559-stand-up-zipper-bags-7-inch-and-14-inch-2-pack")</f>
        <v/>
      </c>
      <c r="B142" s="2">
        <f>HYPERLINK("https://edmondsonsupply.com/products/klein-tools-55559-stand-up-zipper-bags-7-inch-and-14-inch-2-pack", "https://edmondsonsupply.com/products/klein-tools-55559-stand-up-zipper-bags-7-inch-and-14-inch-2-pack")</f>
        <v/>
      </c>
      <c r="C142" t="inlineStr">
        <is>
          <t>Klein Tools 55559 Stand-up Zipper Bags, 7-Inch and 14-Inch, 2-Pack</t>
        </is>
      </c>
      <c r="D142" t="inlineStr">
        <is>
          <t>Klein Tools 55559 Stand-Up Zipper Bag Tool Pouch, 7-Inch Blue and 14-Inch Gray, 2-Pack &amp; 55470 Utility Bag, Stand-Up Zipper Tool Bags, Orange/Black, Gray/Black, 2-Pack</t>
        </is>
      </c>
      <c r="E142" s="2">
        <f>HYPERLINK("https://www.amazon.com/Klein-Tools-Stand-Up-14-Inch-Utility/dp/B0BNL5LYJJ/ref=sr_1_2?keywords=Klein+Tools+55559+Stand-up+Zipper+Bags%2C+7-Inch+and+14-Inch%2C+2-Pack&amp;qid=1694734452&amp;sr=8-2", "https://www.amazon.com/Klein-Tools-Stand-Up-14-Inch-Utility/dp/B0BNL5LYJJ/ref=sr_1_2?keywords=Klein+Tools+55559+Stand-up+Zipper+Bags%2C+7-Inch+and+14-Inch%2C+2-Pack&amp;qid=1694734452&amp;sr=8-2")</f>
        <v/>
      </c>
      <c r="F142" t="inlineStr">
        <is>
          <t>B0BNL5LYJJ</t>
        </is>
      </c>
      <c r="G142">
        <f>_xlfn.IMAGE("https://edmondsonsupply.com/cdn/shop/products/55559.jpg?v=1666900727")</f>
        <v/>
      </c>
      <c r="H142">
        <f>_xlfn.IMAGE("https://m.media-amazon.com/images/I/51YFgCm7c5L._AC_UL320_.jpg")</f>
        <v/>
      </c>
      <c r="K142" t="inlineStr">
        <is>
          <t>14.99</t>
        </is>
      </c>
      <c r="L142" t="n">
        <v>29.98</v>
      </c>
      <c r="M142" s="1" t="inlineStr">
        <is>
          <t>100.00%</t>
        </is>
      </c>
      <c r="N142" s="7" t="n">
        <v>61.67</v>
      </c>
      <c r="O142" t="n">
        <v>4.5</v>
      </c>
      <c r="P142" t="n">
        <v>2</v>
      </c>
      <c r="R142" t="inlineStr">
        <is>
          <t>InStock</t>
        </is>
      </c>
      <c r="S142" t="inlineStr">
        <is>
          <t>20.98</t>
        </is>
      </c>
      <c r="T142" t="inlineStr">
        <is>
          <t>7867902591192</t>
        </is>
      </c>
    </row>
    <row r="143" ht="87" customHeight="1">
      <c r="A143" s="2">
        <f>HYPERLINK("https://edmondsonsupply.com/collections/storage-organization/products/fluke-c11xt-protective-eva-hard-tool-case", "https://edmondsonsupply.com/collections/storage-organization/products/fluke-c11xt-protective-eva-hard-tool-case")</f>
        <v/>
      </c>
      <c r="B143" s="2">
        <f>HYPERLINK("https://edmondsonsupply.com/products/fluke-c11xt-protective-eva-hard-tool-case", "https://edmondsonsupply.com/products/fluke-c11xt-protective-eva-hard-tool-case")</f>
        <v/>
      </c>
      <c r="C143" t="inlineStr">
        <is>
          <t>Fluke C11XT Protective EVA Hard Tool Case</t>
        </is>
      </c>
      <c r="D143" t="inlineStr">
        <is>
          <t>Fluke C37XT Protective EVA Hard Tool Carrying Case for 117/1587 FC/87V/87V Max/T5/T6/323/324/378FC and Many More</t>
        </is>
      </c>
      <c r="E143" s="2">
        <f>HYPERLINK("https://www.amazon.com/Fluke-C37XT-Protective-Carrying-378FC/dp/B09TG79CRT/ref=sr_1_2?keywords=Fluke+C11XT+Protective+EVA+Hard+Tool+Case&amp;qid=1694734435&amp;sr=8-2", "https://www.amazon.com/Fluke-C37XT-Protective-Carrying-378FC/dp/B09TG79CRT/ref=sr_1_2?keywords=Fluke+C11XT+Protective+EVA+Hard+Tool+Case&amp;qid=1694734435&amp;sr=8-2")</f>
        <v/>
      </c>
      <c r="F143" t="inlineStr">
        <is>
          <t>B09TG79CRT</t>
        </is>
      </c>
      <c r="G143">
        <f>_xlfn.IMAGE("https://edmondsonsupply.com/cdn/shop/products/F-c11xt_04a_w.jpg?v=1663190833")</f>
        <v/>
      </c>
      <c r="H143">
        <f>_xlfn.IMAGE("https://m.media-amazon.com/images/I/71d44jrMhPL._AC_UL320_.jpg")</f>
        <v/>
      </c>
      <c r="K143" t="inlineStr">
        <is>
          <t>35.99</t>
        </is>
      </c>
      <c r="L143" t="n">
        <v>71.87</v>
      </c>
      <c r="M143" s="1" t="inlineStr">
        <is>
          <t>99.69%</t>
        </is>
      </c>
      <c r="N143" s="7" t="n">
        <v>59.31</v>
      </c>
      <c r="O143" t="n">
        <v>4.4</v>
      </c>
      <c r="P143" t="n">
        <v>67</v>
      </c>
      <c r="R143" t="inlineStr">
        <is>
          <t>OutOfStock</t>
        </is>
      </c>
      <c r="S143" t="inlineStr">
        <is>
          <t>39.99</t>
        </is>
      </c>
      <c r="T143" t="inlineStr">
        <is>
          <t>7815620100312</t>
        </is>
      </c>
    </row>
    <row r="144" ht="87" customHeight="1">
      <c r="A144" s="2">
        <f>HYPERLINK("https://edmondsonsupply.com/collections/storage-organization/products/fieldpiece-anc4-medium-single-meter-case", "https://edmondsonsupply.com/collections/storage-organization/products/fieldpiece-anc4-medium-single-meter-case")</f>
        <v/>
      </c>
      <c r="B144" s="2">
        <f>HYPERLINK("https://edmondsonsupply.com/products/fieldpiece-anc4-medium-single-meter-case", "https://edmondsonsupply.com/products/fieldpiece-anc4-medium-single-meter-case")</f>
        <v/>
      </c>
      <c r="C144" t="inlineStr">
        <is>
          <t>Fieldpiece ANC4 - Medium Single Meter Case</t>
        </is>
      </c>
      <c r="D144" t="inlineStr">
        <is>
          <t>Fieldpiece ANC7 Large Single Meter Case</t>
        </is>
      </c>
      <c r="E144" s="2">
        <f>HYPERLINK("https://www.amazon.com/Fieldpiece-ANC7-Large-Single-Meter/dp/B0195UTHTK/ref=sr_1_2?keywords=Fieldpiece+ANC4+-+Medium+Single+Meter+Case&amp;qid=1694734439&amp;sr=8-2", "https://www.amazon.com/Fieldpiece-ANC7-Large-Single-Meter/dp/B0195UTHTK/ref=sr_1_2?keywords=Fieldpiece+ANC4+-+Medium+Single+Meter+Case&amp;qid=1694734439&amp;sr=8-2")</f>
        <v/>
      </c>
      <c r="F144" t="inlineStr">
        <is>
          <t>B0195UTHTK</t>
        </is>
      </c>
      <c r="G144">
        <f>_xlfn.IMAGE("https://edmondsonsupply.com/cdn/shop/products/ANC4-SRC-product-300dpi.jpg?v=1633030970")</f>
        <v/>
      </c>
      <c r="H144">
        <f>_xlfn.IMAGE("https://m.media-amazon.com/images/I/71jB9zXLBtL._AC_UL320_.jpg")</f>
        <v/>
      </c>
      <c r="K144" t="inlineStr">
        <is>
          <t>10.2</t>
        </is>
      </c>
      <c r="L144" t="n">
        <v>19.75</v>
      </c>
      <c r="M144" s="1" t="inlineStr">
        <is>
          <t>93.63%</t>
        </is>
      </c>
      <c r="N144" s="7" t="n">
        <v>52.34</v>
      </c>
      <c r="O144" t="n">
        <v>4.7</v>
      </c>
      <c r="P144" t="n">
        <v>223</v>
      </c>
      <c r="R144" t="inlineStr">
        <is>
          <t>InStock</t>
        </is>
      </c>
      <c r="S144" t="inlineStr">
        <is>
          <t>12.0</t>
        </is>
      </c>
      <c r="T144" t="inlineStr">
        <is>
          <t>6633591832749</t>
        </is>
      </c>
    </row>
    <row r="145" ht="87" customHeight="1">
      <c r="A145" s="2">
        <f>HYPERLINK("https://edmondsonsupply.com/collections/storage-organization/products/clc-ecp135", "https://edmondsonsupply.com/collections/storage-organization/products/clc-ecp135")</f>
        <v/>
      </c>
      <c r="B145" s="2">
        <f>HYPERLINK("https://edmondsonsupply.com/products/clc-ecp135", "https://edmondsonsupply.com/products/clc-ecp135")</f>
        <v/>
      </c>
      <c r="C145" t="inlineStr">
        <is>
          <t>CLC ECP135 E-Charge USB Charging Tool Backpack</t>
        </is>
      </c>
      <c r="D145" t="inlineStr">
        <is>
          <t>CLC Custom Leathercraft ECPL38 E-Charge Lighted USB Charging Tool Backpack, 36 Pocket,Black</t>
        </is>
      </c>
      <c r="E145" s="2">
        <f>HYPERLINK("https://www.amazon.com/Custom-Leathercraft-ECPL38-Charging-36-Pocket/dp/B01N4WKW6C/ref=sr_1_1?keywords=CLC+ECP135+E-Charge+USB+Charging+Tool+Backpack&amp;qid=1694734468&amp;sr=8-1", "https://www.amazon.com/Custom-Leathercraft-ECPL38-Charging-36-Pocket/dp/B01N4WKW6C/ref=sr_1_1?keywords=CLC+ECP135+E-Charge+USB+Charging+Tool+Backpack&amp;qid=1694734468&amp;sr=8-1")</f>
        <v/>
      </c>
      <c r="F145" t="inlineStr">
        <is>
          <t>B01N4WKW6C</t>
        </is>
      </c>
      <c r="G145">
        <f>_xlfn.IMAGE("https://edmondsonsupply.com/cdn/shop/products/ECP135_lg.jpg?v=1609787871")</f>
        <v/>
      </c>
      <c r="H145">
        <f>_xlfn.IMAGE("https://m.media-amazon.com/images/I/71fWlkgW1-L._AC_UL320_.jpg")</f>
        <v/>
      </c>
      <c r="K145" t="inlineStr">
        <is>
          <t>89.95</t>
        </is>
      </c>
      <c r="L145" t="n">
        <v>170.1</v>
      </c>
      <c r="M145" s="1" t="inlineStr">
        <is>
          <t>89.11%</t>
        </is>
      </c>
      <c r="N145" s="7" t="n">
        <v>51.83</v>
      </c>
      <c r="O145" t="n">
        <v>4.4</v>
      </c>
      <c r="P145" t="n">
        <v>299</v>
      </c>
      <c r="R145" t="inlineStr">
        <is>
          <t>InStock</t>
        </is>
      </c>
      <c r="S145" t="inlineStr">
        <is>
          <t>119.0</t>
        </is>
      </c>
      <c r="T145" t="inlineStr">
        <is>
          <t>5261393756328</t>
        </is>
      </c>
    </row>
    <row r="146" ht="87" customHeight="1">
      <c r="A146" s="2">
        <f>HYPERLINK("https://edmondsonsupply.com/collections/storage-organization/products/milwaukee-48-22-8422-packout%E2%84%A2-compact-tool-box", "https://edmondsonsupply.com/collections/storage-organization/products/milwaukee-48-22-8422-packout%E2%84%A2-compact-tool-box")</f>
        <v/>
      </c>
      <c r="B146" s="2">
        <f>HYPERLINK("https://edmondsonsupply.com/products/milwaukee-48-22-8422-packout%e2%84%a2-compact-tool-box", "https://edmondsonsupply.com/products/milwaukee-48-22-8422-packout%e2%84%a2-compact-tool-box")</f>
        <v/>
      </c>
      <c r="C146" t="inlineStr">
        <is>
          <t>Milwaukee 48-22-8422 PACKOUT™ Compact Tool Box</t>
        </is>
      </c>
      <c r="D146" t="inlineStr">
        <is>
          <t>MFWNYVN for Milwaukee 48-22-8422 PACKOUT 10 in. Compact Tool Box</t>
        </is>
      </c>
      <c r="E146" s="2">
        <f>HYPERLINK("https://www.amazon.com/MFWNYVN-Milwaukee-48-22-8422-PACKOUT-Compact/dp/B0BZMF2J37/ref=sr_1_3?keywords=Milwaukee+48-22-8422+PACKOUT%E2%84%A2+Compact+Tool+Box&amp;qid=1694734440&amp;sr=8-3", "https://www.amazon.com/MFWNYVN-Milwaukee-48-22-8422-PACKOUT-Compact/dp/B0BZMF2J37/ref=sr_1_3?keywords=Milwaukee+48-22-8422+PACKOUT%E2%84%A2+Compact+Tool+Box&amp;qid=1694734440&amp;sr=8-3")</f>
        <v/>
      </c>
      <c r="F146" t="inlineStr">
        <is>
          <t>B0BZMF2J37</t>
        </is>
      </c>
      <c r="G146">
        <f>_xlfn.IMAGE("https://edmondsonsupply.com/cdn/shop/files/48-22-8422_1.png?v=1694613197")</f>
        <v/>
      </c>
      <c r="H146">
        <f>_xlfn.IMAGE("https://m.media-amazon.com/images/I/514-hY-ldbL._AC_UL320_.jpg")</f>
        <v/>
      </c>
      <c r="I146" t="n">
        <v>0</v>
      </c>
      <c r="J146" t="inlineStr">
        <is>
          <t>low sales/1 seller</t>
        </is>
      </c>
      <c r="K146" t="inlineStr">
        <is>
          <t>69.97</t>
        </is>
      </c>
      <c r="L146" t="n">
        <v>132</v>
      </c>
      <c r="M146" s="1" t="inlineStr">
        <is>
          <t>88.65%</t>
        </is>
      </c>
      <c r="N146" s="7" t="n">
        <v>48.47</v>
      </c>
      <c r="O146" t="n">
        <v>5</v>
      </c>
      <c r="P146" t="n">
        <v>1</v>
      </c>
      <c r="R146" t="inlineStr">
        <is>
          <t>InStock</t>
        </is>
      </c>
      <c r="S146" t="inlineStr">
        <is>
          <t>114.0</t>
        </is>
      </c>
      <c r="T146" t="inlineStr">
        <is>
          <t>8036836442328</t>
        </is>
      </c>
    </row>
    <row r="147" hidden="1" ht="15.75" customHeight="1">
      <c r="A147" s="2">
        <f>HYPERLINK("https://edmondsonsupply.com/collections/storage-organization/products/klein-tools-5183-tradesman-pro%E2%84%A2-drill-pouch", "https://edmondsonsupply.com/collections/storage-organization/products/klein-tools-5183-tradesman-pro%E2%84%A2-drill-pouch")</f>
        <v/>
      </c>
      <c r="B147" s="2">
        <f>HYPERLINK("https://edmondsonsupply.com/products/klein-tools-5183-tradesman-pro%e2%84%a2-drill-pouch", "https://edmondsonsupply.com/products/klein-tools-5183-tradesman-pro%e2%84%a2-drill-pouch")</f>
        <v/>
      </c>
      <c r="C147" t="inlineStr">
        <is>
          <t>Klein Tools 5183 Tool Bag, Tradesman Pro™ Drill Pouch</t>
        </is>
      </c>
      <c r="D147" t="inlineStr">
        <is>
          <t>Klein Tools 5244 Tool Apron, Waist Size 32 to 53-In &amp; 5183 Tool Bag, Tradesman Pro Drill Pouch Made of 1680d Ballistic Weave, Drill Holster with Pockets for Tools and Drill Bits</t>
        </is>
      </c>
      <c r="E147" s="2">
        <f>HYPERLINK("https://www.amazon.com/Klein-Tools-Tradesman-Ballistic-Holster/dp/B0BHVQDH94/ref=sr_1_2?keywords=Klein+Tools+5183+Tool+Bag%2C+Tradesman+Pro%E2%84%A2+Drill+Pouch&amp;qid=1694734444&amp;sr=8-2", "https://www.amazon.com/Klein-Tools-Tradesman-Ballistic-Holster/dp/B0BHVQDH94/ref=sr_1_2?keywords=Klein+Tools+5183+Tool+Bag%2C+Tradesman+Pro%E2%84%A2+Drill+Pouch&amp;qid=1694734444&amp;sr=8-2")</f>
        <v/>
      </c>
      <c r="F147" t="inlineStr">
        <is>
          <t>B0BHVQDH94</t>
        </is>
      </c>
      <c r="G147">
        <f>_xludf.IMAGE("https://edmondsonsupply.com/cdn/shop/products/5183.jpg?v=1587145505")</f>
        <v/>
      </c>
      <c r="H147">
        <f>_xludf.IMAGE("https://m.media-amazon.com/images/I/41StAVR6AeL._AC_UL320_.jpg")</f>
        <v/>
      </c>
      <c r="K147" t="inlineStr">
        <is>
          <t>25.99</t>
        </is>
      </c>
      <c r="L147" t="n">
        <v>47.98</v>
      </c>
      <c r="M147" s="1" t="inlineStr">
        <is>
          <t>84.61%</t>
        </is>
      </c>
      <c r="N147" s="1" t="n">
        <v>47.84</v>
      </c>
      <c r="O147" t="n">
        <v>3</v>
      </c>
      <c r="P147" t="n">
        <v>1</v>
      </c>
      <c r="R147" t="inlineStr">
        <is>
          <t>InStock</t>
        </is>
      </c>
      <c r="S147" t="inlineStr">
        <is>
          <t>36.14</t>
        </is>
      </c>
      <c r="T147" t="inlineStr">
        <is>
          <t>4458694541412</t>
        </is>
      </c>
    </row>
    <row r="148" ht="87" customHeight="1">
      <c r="A148" s="2">
        <f>HYPERLINK("https://edmondsonsupply.com/collections/storage-organization/products/veto-pro-pac-tp3-b-tool-bag", "https://edmondsonsupply.com/collections/storage-organization/products/veto-pro-pac-tp3-b-tool-bag")</f>
        <v/>
      </c>
      <c r="B148" s="2">
        <f>HYPERLINK("https://edmondsonsupply.com/products/veto-pro-pac-tp3-b-tool-bag", "https://edmondsonsupply.com/products/veto-pro-pac-tp3-b-tool-bag")</f>
        <v/>
      </c>
      <c r="C148" t="inlineStr">
        <is>
          <t>Veto Pro Pac TP3B Tool Pouch</t>
        </is>
      </c>
      <c r="D148" t="inlineStr">
        <is>
          <t>Veto Pro Pac TP-LC (Compact, Zippered Service Tech Tool Pouch)</t>
        </is>
      </c>
      <c r="E148" s="2">
        <f>HYPERLINK("https://www.amazon.com/Veto-TP-LC-Compact-Zippered-Service/dp/B09TPZKBDP/ref=sr_1_5?keywords=Veto+Pro+Pac+TP3B+Tool+Pouch&amp;qid=1694734456&amp;sr=8-5", "https://www.amazon.com/Veto-TP-LC-Compact-Zippered-Service/dp/B09TPZKBDP/ref=sr_1_5?keywords=Veto+Pro+Pac+TP3B+Tool+Pouch&amp;qid=1694734456&amp;sr=8-5")</f>
        <v/>
      </c>
      <c r="F148" t="inlineStr">
        <is>
          <t>B09TPZKBDP</t>
        </is>
      </c>
      <c r="G148">
        <f>_xlfn.IMAGE("https://edmondsonsupply.com/cdn/shop/products/tp3b.png?v=1633031041")</f>
        <v/>
      </c>
      <c r="H148">
        <f>_xlfn.IMAGE("https://m.media-amazon.com/images/I/51b1SiebzcL._AC_UL320_.jpg")</f>
        <v/>
      </c>
      <c r="K148" t="inlineStr">
        <is>
          <t>74.99</t>
        </is>
      </c>
      <c r="L148" t="n">
        <v>134.95</v>
      </c>
      <c r="M148" s="1" t="inlineStr">
        <is>
          <t>79.96%</t>
        </is>
      </c>
      <c r="N148" s="7" t="n">
        <v>47.04</v>
      </c>
      <c r="O148" t="n">
        <v>4.8</v>
      </c>
      <c r="P148" t="n">
        <v>277</v>
      </c>
      <c r="R148" t="inlineStr">
        <is>
          <t>InStock</t>
        </is>
      </c>
      <c r="S148" t="inlineStr">
        <is>
          <t>undefined</t>
        </is>
      </c>
      <c r="T148" t="inlineStr">
        <is>
          <t>6752204587181</t>
        </is>
      </c>
    </row>
    <row r="149" ht="87" customHeight="1">
      <c r="A149" s="2">
        <f>HYPERLINK("https://edmondsonsupply.com/collections/storage-organization/products/fieldpiece-anc4-medium-single-meter-case", "https://edmondsonsupply.com/collections/storage-organization/products/fieldpiece-anc4-medium-single-meter-case")</f>
        <v/>
      </c>
      <c r="B149" s="2">
        <f>HYPERLINK("https://edmondsonsupply.com/products/fieldpiece-anc4-medium-single-meter-case", "https://edmondsonsupply.com/products/fieldpiece-anc4-medium-single-meter-case")</f>
        <v/>
      </c>
      <c r="C149" t="inlineStr">
        <is>
          <t>Fieldpiece ANC4 - Medium Single Meter Case</t>
        </is>
      </c>
      <c r="D149" t="inlineStr">
        <is>
          <t>Fieldpiece ANC4 Medium Single Meter Case</t>
        </is>
      </c>
      <c r="E149" s="2">
        <f>HYPERLINK("https://www.amazon.com/Fieldpiece-ANC4-Medium-Single-Meter/dp/B000TJX68U/ref=sr_1_1?keywords=Fieldpiece+ANC4+-+Medium+Single+Meter+Case&amp;qid=1694734439&amp;sr=8-1", "https://www.amazon.com/Fieldpiece-ANC4-Medium-Single-Meter/dp/B000TJX68U/ref=sr_1_1?keywords=Fieldpiece+ANC4+-+Medium+Single+Meter+Case&amp;qid=1694734439&amp;sr=8-1")</f>
        <v/>
      </c>
      <c r="F149" t="inlineStr">
        <is>
          <t>B000TJX68U</t>
        </is>
      </c>
      <c r="G149">
        <f>_xlfn.IMAGE("https://edmondsonsupply.com/cdn/shop/products/ANC4-SRC-product-300dpi.jpg?v=1633030970")</f>
        <v/>
      </c>
      <c r="H149">
        <f>_xlfn.IMAGE("https://m.media-amazon.com/images/I/41zQTaZ+QEL._AC_UL320_.jpg")</f>
        <v/>
      </c>
      <c r="K149" t="inlineStr">
        <is>
          <t>10.2</t>
        </is>
      </c>
      <c r="L149" t="n">
        <v>18.29</v>
      </c>
      <c r="M149" s="1" t="inlineStr">
        <is>
          <t>79.31%</t>
        </is>
      </c>
      <c r="N149" s="7" t="n">
        <v>45.96</v>
      </c>
      <c r="O149" t="n">
        <v>4.4</v>
      </c>
      <c r="P149" t="n">
        <v>45</v>
      </c>
      <c r="R149" t="inlineStr">
        <is>
          <t>InStock</t>
        </is>
      </c>
      <c r="S149" t="inlineStr">
        <is>
          <t>12.0</t>
        </is>
      </c>
      <c r="T149" t="inlineStr">
        <is>
          <t>6633591832749</t>
        </is>
      </c>
    </row>
    <row r="150" ht="87" customHeight="1">
      <c r="A150" s="2">
        <f>HYPERLINK("https://edmondsonsupply.com/collections/storage-organization/products/klein-tools-5539blu-canvas-zipper-bag-consumables-blue", "https://edmondsonsupply.com/collections/storage-organization/products/klein-tools-5539blu-canvas-zipper-bag-consumables-blue")</f>
        <v/>
      </c>
      <c r="B150" s="2">
        <f>HYPERLINK("https://edmondsonsupply.com/products/klein-tools-5539blu-canvas-zipper-bag-consumables-blue", "https://edmondsonsupply.com/products/klein-tools-5539blu-canvas-zipper-bag-consumables-blue")</f>
        <v/>
      </c>
      <c r="C150" t="inlineStr">
        <is>
          <t>Klein Tools 5539BLU Zipper Bag, Canvas Consumables Tool Pouch, Blue</t>
        </is>
      </c>
      <c r="D150" t="inlineStr">
        <is>
          <t>Klein Tools 55559 Stand-Up Zipper Bag Tool Pouch, 2-Pack &amp; 5139 Zipper Bag, Canvas Tool Pouch 12.5 x 7 x 4.25-Inch with Heavy Duty Brass Zipper Close, Natural</t>
        </is>
      </c>
      <c r="E150" s="2">
        <f>HYPERLINK("https://www.amazon.com/Klein-Tools-Stand-Up-4-25-Inch-Natural/dp/B0BR25QG1Q/ref=sr_1_6?keywords=Klein+Tools+5539BLU+Zipper+Bag%2C+Canvas+Consumables+Tool+Pouch%2C+Blue&amp;qid=1694734463&amp;sr=8-6", "https://www.amazon.com/Klein-Tools-Stand-Up-4-25-Inch-Natural/dp/B0BR25QG1Q/ref=sr_1_6?keywords=Klein+Tools+5539BLU+Zipper+Bag%2C+Canvas+Consumables+Tool+Pouch%2C+Blue&amp;qid=1694734463&amp;sr=8-6")</f>
        <v/>
      </c>
      <c r="F150" t="inlineStr">
        <is>
          <t>B0BR25QG1Q</t>
        </is>
      </c>
      <c r="G150">
        <f>_xlfn.IMAGE("https://edmondsonsupply.com/cdn/shop/products/5539blu.jpg?v=1633030461")</f>
        <v/>
      </c>
      <c r="H150">
        <f>_xlfn.IMAGE("https://m.media-amazon.com/images/I/51j3cDVxrVL._AC_UL320_.jpg")</f>
        <v/>
      </c>
      <c r="K150" t="inlineStr">
        <is>
          <t>13.99</t>
        </is>
      </c>
      <c r="L150" t="n">
        <v>24.99</v>
      </c>
      <c r="M150" s="1" t="inlineStr">
        <is>
          <t>78.63%</t>
        </is>
      </c>
      <c r="N150" s="7" t="n">
        <v>37.48</v>
      </c>
      <c r="O150" t="n">
        <v>5</v>
      </c>
      <c r="P150" t="n">
        <v>2</v>
      </c>
      <c r="R150" t="inlineStr">
        <is>
          <t>InStock</t>
        </is>
      </c>
      <c r="S150" t="inlineStr">
        <is>
          <t>21.18</t>
        </is>
      </c>
      <c r="T150" t="inlineStr">
        <is>
          <t>5361914609832</t>
        </is>
      </c>
    </row>
    <row r="151" ht="87" customHeight="1">
      <c r="A151" s="2">
        <f>HYPERLINK("https://edmondsonsupply.com/collections/storage-organization/products/klein-tools-5183-tradesman-pro%E2%84%A2-drill-pouch", "https://edmondsonsupply.com/collections/storage-organization/products/klein-tools-5183-tradesman-pro%E2%84%A2-drill-pouch")</f>
        <v/>
      </c>
      <c r="B151" s="2">
        <f>HYPERLINK("https://edmondsonsupply.com/products/klein-tools-5183-tradesman-pro%e2%84%a2-drill-pouch", "https://edmondsonsupply.com/products/klein-tools-5183-tradesman-pro%e2%84%a2-drill-pouch")</f>
        <v/>
      </c>
      <c r="C151" t="inlineStr">
        <is>
          <t>Klein Tools 5183 Tool Bag, Tradesman Pro™ Drill Pouch</t>
        </is>
      </c>
      <c r="D151" t="inlineStr">
        <is>
          <t>Klein Tools Tradesman Pro™ Maintenance Tool Pouch &amp; 5183 Tool Bag, Tradesman Pro Drill Pouch Made of 1680d Ballistic Weave, Drill Holster with Pockets for Tools and Drill Bits</t>
        </is>
      </c>
      <c r="E151" s="2">
        <f>HYPERLINK("https://www.amazon.com/Klein-Tools-Tradesman-Maintenance-Ballistic/dp/B0BGJ64ZZV/ref=sr_1_4?keywords=Klein+Tools+5183+Tool+Bag%2C+Tradesman+Pro%E2%84%A2+Drill+Pouch&amp;qid=1694734444&amp;sr=8-4", "https://www.amazon.com/Klein-Tools-Tradesman-Maintenance-Ballistic/dp/B0BGJ64ZZV/ref=sr_1_4?keywords=Klein+Tools+5183+Tool+Bag%2C+Tradesman+Pro%E2%84%A2+Drill+Pouch&amp;qid=1694734444&amp;sr=8-4")</f>
        <v/>
      </c>
      <c r="F151" t="inlineStr">
        <is>
          <t>B0BGJ64ZZV</t>
        </is>
      </c>
      <c r="G151">
        <f>_xlfn.IMAGE("https://edmondsonsupply.com/cdn/shop/products/5183.jpg?v=1587145505")</f>
        <v/>
      </c>
      <c r="H151">
        <f>_xlfn.IMAGE("https://m.media-amazon.com/images/I/51MhFcPcwgL._AC_UL320_.jpg")</f>
        <v/>
      </c>
      <c r="K151" t="inlineStr">
        <is>
          <t>25.99</t>
        </is>
      </c>
      <c r="L151" t="n">
        <v>45.98</v>
      </c>
      <c r="M151" s="1" t="inlineStr">
        <is>
          <t>76.91%</t>
        </is>
      </c>
      <c r="N151" s="7" t="n">
        <v>36.34</v>
      </c>
      <c r="O151" t="n">
        <v>4.6</v>
      </c>
      <c r="P151" t="n">
        <v>3</v>
      </c>
      <c r="R151" t="inlineStr">
        <is>
          <t>InStock</t>
        </is>
      </c>
      <c r="S151" t="inlineStr">
        <is>
          <t>36.14</t>
        </is>
      </c>
      <c r="T151" t="inlineStr">
        <is>
          <t>4458694541412</t>
        </is>
      </c>
    </row>
    <row r="152" hidden="1" ht="15.75" customHeight="1">
      <c r="A152" s="2">
        <f>HYPERLINK("https://edmondsonsupply.com/collections/storage-organization/products/milwaukee-48-22-8430-packout%E2%84%A2-organizer", "https://edmondsonsupply.com/collections/storage-organization/products/milwaukee-48-22-8430-packout%E2%84%A2-organizer")</f>
        <v/>
      </c>
      <c r="B152" s="2">
        <f>HYPERLINK("https://edmondsonsupply.com/products/milwaukee-48-22-8430-packout%e2%84%a2-organizer", "https://edmondsonsupply.com/products/milwaukee-48-22-8430-packout%e2%84%a2-organizer")</f>
        <v/>
      </c>
      <c r="C152" t="inlineStr">
        <is>
          <t>Milwaukee 48-22-8430 PACKOUT™ Organizer</t>
        </is>
      </c>
      <c r="D152" t="inlineStr">
        <is>
          <t>48-22-8430 for Milwaukee Tool Packout Organizer</t>
        </is>
      </c>
      <c r="E152" s="2">
        <f>HYPERLINK("https://www.amazon.com/48-22-8430-Milwaukee-Tool-Packout-Organizer/dp/B0C16HMS14/ref=sr_1_2?keywords=Milwaukee+48-22-8430+PACKOUT%E2%84%A2+Organizer&amp;qid=1694734444&amp;sr=8-2", "https://www.amazon.com/48-22-8430-Milwaukee-Tool-Packout-Organizer/dp/B0C16HMS14/ref=sr_1_2?keywords=Milwaukee+48-22-8430+PACKOUT%E2%84%A2+Organizer&amp;qid=1694734444&amp;sr=8-2")</f>
        <v/>
      </c>
      <c r="F152" t="inlineStr">
        <is>
          <t>B0C16HMS14</t>
        </is>
      </c>
      <c r="G152">
        <f>_xludf.IMAGE("https://edmondsonsupply.com/cdn/shop/files/48-22-8430_1.png?v=1686667521")</f>
        <v/>
      </c>
      <c r="H152">
        <f>_xludf.IMAGE("https://m.media-amazon.com/images/I/31E7ZbWtMqL._AC_UL320_.jpg")</f>
        <v/>
      </c>
      <c r="K152" t="inlineStr">
        <is>
          <t>49.97</t>
        </is>
      </c>
      <c r="L152" t="n">
        <v>87.98999999999999</v>
      </c>
      <c r="M152" s="1" t="inlineStr">
        <is>
          <t>76.09%</t>
        </is>
      </c>
      <c r="N152" s="1" t="n">
        <v>36.27</v>
      </c>
      <c r="O152" t="n">
        <v>3.7</v>
      </c>
      <c r="P152" t="n">
        <v>4</v>
      </c>
      <c r="R152" t="inlineStr">
        <is>
          <t>OutOfStock</t>
        </is>
      </c>
      <c r="S152" t="inlineStr">
        <is>
          <t>82.0</t>
        </is>
      </c>
      <c r="T152" t="inlineStr">
        <is>
          <t>8005119901912</t>
        </is>
      </c>
    </row>
    <row r="153" ht="87" customHeight="1">
      <c r="A153" s="2">
        <f>HYPERLINK("https://edmondsonsupply.com/collections/storage-organization/products/fieldpiece-anc11-sman-soft-case-black", "https://edmondsonsupply.com/collections/storage-organization/products/fieldpiece-anc11-sman-soft-case-black")</f>
        <v/>
      </c>
      <c r="B153" s="2">
        <f>HYPERLINK("https://edmondsonsupply.com/products/fieldpiece-anc11-sman-soft-case-black", "https://edmondsonsupply.com/products/fieldpiece-anc11-sman-soft-case-black")</f>
        <v/>
      </c>
      <c r="C153" t="inlineStr">
        <is>
          <t>Fieldpiece ANC11 Manifold Case</t>
        </is>
      </c>
      <c r="D153" t="inlineStr">
        <is>
          <t>Fieldpiece ANC11 - Padded Drawstring Case</t>
        </is>
      </c>
      <c r="E153" s="2">
        <f>HYPERLINK("https://www.amazon.com/Fieldpiece-ANC11-Padded-Drawstring-Case/dp/B08CMWRQ8V/ref=sr_1_1?keywords=Fieldpiece+ANC11+Manifold+Case&amp;qid=1694734436&amp;sr=8-1", "https://www.amazon.com/Fieldpiece-ANC11-Padded-Drawstring-Case/dp/B08CMWRQ8V/ref=sr_1_1?keywords=Fieldpiece+ANC11+Manifold+Case&amp;qid=1694734436&amp;sr=8-1")</f>
        <v/>
      </c>
      <c r="F153" t="inlineStr">
        <is>
          <t>B08CMWRQ8V</t>
        </is>
      </c>
      <c r="G153">
        <f>_xlfn.IMAGE("https://edmondsonsupply.com/cdn/shop/products/ANC11-SRC-Product-300dpi.jpg?v=1633030204")</f>
        <v/>
      </c>
      <c r="H153">
        <f>_xlfn.IMAGE("https://m.media-amazon.com/images/I/41cwlO2JZFL._AC_UL320_.jpg")</f>
        <v/>
      </c>
      <c r="I153" t="n">
        <v>10</v>
      </c>
      <c r="J153" t="inlineStr">
        <is>
          <t>though do you think its not thesame item?</t>
        </is>
      </c>
      <c r="K153" t="inlineStr">
        <is>
          <t>31.45</t>
        </is>
      </c>
      <c r="L153" t="n">
        <v>54.99</v>
      </c>
      <c r="M153" s="1" t="inlineStr">
        <is>
          <t>74.85%</t>
        </is>
      </c>
      <c r="N153" s="7" t="n">
        <v>36.1</v>
      </c>
      <c r="O153" t="n">
        <v>4.7</v>
      </c>
      <c r="P153" t="n">
        <v>48</v>
      </c>
      <c r="R153" t="inlineStr">
        <is>
          <t>InStock</t>
        </is>
      </c>
      <c r="S153" t="inlineStr">
        <is>
          <t>37.0</t>
        </is>
      </c>
      <c r="T153" t="inlineStr">
        <is>
          <t>4421344952420</t>
        </is>
      </c>
    </row>
    <row r="154" ht="87" customHeight="1">
      <c r="A154" s="2">
        <f>HYPERLINK("https://edmondsonsupply.com/collections/storage-organization/products/clc-1528-11", "https://edmondsonsupply.com/collections/storage-organization/products/clc-1528-11")</f>
        <v/>
      </c>
      <c r="B154" s="2">
        <f>HYPERLINK("https://edmondsonsupply.com/products/clc-1528-11", "https://edmondsonsupply.com/products/clc-1528-11")</f>
        <v/>
      </c>
      <c r="C154" t="inlineStr">
        <is>
          <t>CLC 1528 11" Electrical &amp; Maintenance Tool Carrier</t>
        </is>
      </c>
      <c r="D154" t="inlineStr">
        <is>
          <t>CLC WORK GEAR 1530 Electrical and Maintenance Tool Carrier, 43 Pocket &amp; CLC Custom LeatherCraft 1528 Large Electrical and Maintenance Tool Carrier, 22 Pocket, Black, 11" x 10" x 19"h</t>
        </is>
      </c>
      <c r="E154" s="2">
        <f>HYPERLINK("https://www.amazon.com/Electrical-Maintenance-Carrier-Custom-LeatherCraft/dp/B0BFXQS1YT/ref=sr_1_3?keywords=CLC+1528+11%22+Electrical+%26+Maintenance+Tool+Carrier&amp;qid=1694734444&amp;sr=8-3", "https://www.amazon.com/Electrical-Maintenance-Carrier-Custom-LeatherCraft/dp/B0BFXQS1YT/ref=sr_1_3?keywords=CLC+1528+11%22+Electrical+%26+Maintenance+Tool+Carrier&amp;qid=1694734444&amp;sr=8-3")</f>
        <v/>
      </c>
      <c r="F154" t="inlineStr">
        <is>
          <t>B0BFXQS1YT</t>
        </is>
      </c>
      <c r="G154">
        <f>_xlfn.IMAGE("https://edmondsonsupply.com/cdn/shop/products/clc-1528__1_321x_3x.progressive_bf390c4e-ab2d-4119-a706-a1ca10a9b643.jpg?v=1609778372")</f>
        <v/>
      </c>
      <c r="H154">
        <f>_xlfn.IMAGE("https://m.media-amazon.com/images/I/51Ev+6BezpL._AC_UL320_.jpg")</f>
        <v/>
      </c>
      <c r="K154" t="inlineStr">
        <is>
          <t>69.95</t>
        </is>
      </c>
      <c r="L154" t="n">
        <v>121.75</v>
      </c>
      <c r="M154" s="1" t="inlineStr">
        <is>
          <t>74.05%</t>
        </is>
      </c>
      <c r="N154" s="7" t="n">
        <v>35.08</v>
      </c>
      <c r="O154" t="n">
        <v>4.7</v>
      </c>
      <c r="P154" t="n">
        <v>1779</v>
      </c>
      <c r="R154" t="inlineStr">
        <is>
          <t>InStock</t>
        </is>
      </c>
      <c r="S154" t="inlineStr">
        <is>
          <t>94.95</t>
        </is>
      </c>
      <c r="T154" t="inlineStr">
        <is>
          <t>5267577110696</t>
        </is>
      </c>
    </row>
    <row r="155" ht="87" customHeight="1">
      <c r="A155" s="2">
        <f>HYPERLINK("https://edmondsonsupply.com/collections/storage-organization/products/veto-pro-pac-tech-lc-tool-bag", "https://edmondsonsupply.com/collections/storage-organization/products/veto-pro-pac-tech-lc-tool-bag")</f>
        <v/>
      </c>
      <c r="B155" s="2">
        <f>HYPERLINK("https://edmondsonsupply.com/products/veto-pro-pac-tech-lc-tool-bag", "https://edmondsonsupply.com/products/veto-pro-pac-tech-lc-tool-bag")</f>
        <v/>
      </c>
      <c r="C155" t="inlineStr">
        <is>
          <t>Veto Pro Pac TECH MC Compact Tool Bag</t>
        </is>
      </c>
      <c r="D155" t="inlineStr">
        <is>
          <t>Veto Pro Pac Tech Pac LT Tool Bag</t>
        </is>
      </c>
      <c r="E155" s="2">
        <f>HYPERLINK("https://www.amazon.com/VETO-PRO-PAC-Tech-Pac/dp/B00WZLTCHO/ref=sr_1_12?keywords=Veto+Pro+Pac+TECH+MC+Compact+Tool+Bag&amp;qid=1694734451&amp;sr=8-12", "https://www.amazon.com/VETO-PRO-PAC-Tech-Pac/dp/B00WZLTCHO/ref=sr_1_12?keywords=Veto+Pro+Pac+TECH+MC+Compact+Tool+Bag&amp;qid=1694734451&amp;sr=8-12")</f>
        <v/>
      </c>
      <c r="F155" t="inlineStr">
        <is>
          <t>B00WZLTCHO</t>
        </is>
      </c>
      <c r="G155">
        <f>_xlfn.IMAGE("https://edmondsonsupply.com/cdn/shop/products/MC1_87e0d14c-0e4f-4e1a-b23d-f796a6e88a52.jpg?v=1587147172")</f>
        <v/>
      </c>
      <c r="H155">
        <f>_xlfn.IMAGE("https://m.media-amazon.com/images/I/61uz-pihn8L._AC_UL320_.jpg")</f>
        <v/>
      </c>
      <c r="K155" t="inlineStr">
        <is>
          <t>169.99</t>
        </is>
      </c>
      <c r="L155" t="n">
        <v>289.95</v>
      </c>
      <c r="M155" s="1" t="inlineStr">
        <is>
          <t>70.57%</t>
        </is>
      </c>
      <c r="N155" s="7" t="n">
        <v>35.08</v>
      </c>
      <c r="O155" t="n">
        <v>4.7</v>
      </c>
      <c r="P155" t="n">
        <v>285</v>
      </c>
      <c r="R155" t="inlineStr">
        <is>
          <t>InStock</t>
        </is>
      </c>
      <c r="S155" t="inlineStr">
        <is>
          <t>undefined</t>
        </is>
      </c>
      <c r="T155" t="inlineStr">
        <is>
          <t>3561427468388</t>
        </is>
      </c>
    </row>
    <row r="156" ht="87" customHeight="1">
      <c r="A156" s="2">
        <f>HYPERLINK("https://edmondsonsupply.com/collections/storage-organization/products/veto-pro-pac-tp-lc-tool-pouch", "https://edmondsonsupply.com/collections/storage-organization/products/veto-pro-pac-tp-lc-tool-pouch")</f>
        <v/>
      </c>
      <c r="B156" s="2">
        <f>HYPERLINK("https://edmondsonsupply.com/products/veto-pro-pac-tp-lc-tool-pouch", "https://edmondsonsupply.com/products/veto-pro-pac-tp-lc-tool-pouch")</f>
        <v/>
      </c>
      <c r="C156" t="inlineStr">
        <is>
          <t>Veto Pro Pac TP-LC Tool Pouch</t>
        </is>
      </c>
      <c r="D156" t="inlineStr">
        <is>
          <t>Veto Pro Pac OT-LC Tool Bag</t>
        </is>
      </c>
      <c r="E156" s="2">
        <f>HYPERLINK("https://www.amazon.com/VETO-PRO-PAC-OT-LC-Tool/dp/B000VKSAQA/ref=sr_1_11?keywords=Veto+Pro+Pac+TP-LC+Tool+Pouch&amp;qid=1694734452&amp;sr=8-11", "https://www.amazon.com/VETO-PRO-PAC-OT-LC-Tool/dp/B000VKSAQA/ref=sr_1_11?keywords=Veto+Pro+Pac+TP-LC+Tool+Pouch&amp;qid=1694734452&amp;sr=8-11")</f>
        <v/>
      </c>
      <c r="F156" t="inlineStr">
        <is>
          <t>B000VKSAQA</t>
        </is>
      </c>
      <c r="G156">
        <f>_xlfn.IMAGE("https://edmondsonsupply.com/cdn/shop/products/TPLC.jpg?v=1648948141")</f>
        <v/>
      </c>
      <c r="H156">
        <f>_xlfn.IMAGE("https://m.media-amazon.com/images/I/61sY9UF2i5L._AC_UL320_.jpg")</f>
        <v/>
      </c>
      <c r="K156" t="inlineStr">
        <is>
          <t>134.99</t>
        </is>
      </c>
      <c r="L156" t="n">
        <v>229.95</v>
      </c>
      <c r="M156" s="1" t="inlineStr">
        <is>
          <t>70.35%</t>
        </is>
      </c>
      <c r="N156" s="7" t="n">
        <v>33.61</v>
      </c>
      <c r="O156" t="n">
        <v>4.7</v>
      </c>
      <c r="P156" t="n">
        <v>162</v>
      </c>
      <c r="R156" t="inlineStr">
        <is>
          <t>InStock</t>
        </is>
      </c>
      <c r="S156" t="inlineStr">
        <is>
          <t>undefined</t>
        </is>
      </c>
      <c r="T156" t="inlineStr">
        <is>
          <t>7652194189528</t>
        </is>
      </c>
    </row>
    <row r="157" ht="87" customHeight="1">
      <c r="A157" s="2">
        <f>HYPERLINK("https://edmondsonsupply.com/collections/storage-organization/products/veto-pro-pac-wrencher-mc", "https://edmondsonsupply.com/collections/storage-organization/products/veto-pro-pac-wrencher-mc")</f>
        <v/>
      </c>
      <c r="B157" s="2">
        <f>HYPERLINK("https://edmondsonsupply.com/products/veto-pro-pac-wrencher-mc", "https://edmondsonsupply.com/products/veto-pro-pac-wrencher-mc")</f>
        <v/>
      </c>
      <c r="C157" t="inlineStr">
        <is>
          <t>Veto Pro Pac Wrencher MC</t>
        </is>
      </c>
      <c r="D157" t="inlineStr">
        <is>
          <t>Veto Pro Pac Wrencher-LC (Large, Open-Top Tool Bag)</t>
        </is>
      </c>
      <c r="E157" s="2">
        <f>HYPERLINK("https://www.amazon.com/Veto-Pro-Pac-Wrencher-LC-Open-Top/dp/B0BBPFQ447/ref=sr_1_3?keywords=Veto+Pro+Pac+Wrencher+MC&amp;qid=1694734449&amp;sr=8-3", "https://www.amazon.com/Veto-Pro-Pac-Wrencher-LC-Open-Top/dp/B0BBPFQ447/ref=sr_1_3?keywords=Veto+Pro+Pac+Wrencher+MC&amp;qid=1694734449&amp;sr=8-3")</f>
        <v/>
      </c>
      <c r="F157" t="inlineStr">
        <is>
          <t>B0BBPFQ447</t>
        </is>
      </c>
      <c r="G157">
        <f>_xlfn.IMAGE("https://edmondsonsupply.com/cdn/shop/products/0001_WRENCHER-MC_32.jpg?v=1675795195")</f>
        <v/>
      </c>
      <c r="H157">
        <f>_xlfn.IMAGE("https://m.media-amazon.com/images/I/61iZfeBF47L._AC_UL320_.jpg")</f>
        <v/>
      </c>
      <c r="K157" t="inlineStr">
        <is>
          <t>199.99</t>
        </is>
      </c>
      <c r="L157" t="n">
        <v>339.95</v>
      </c>
      <c r="M157" s="1" t="inlineStr">
        <is>
          <t>69.98%</t>
        </is>
      </c>
      <c r="N157" s="7" t="n">
        <v>33.41</v>
      </c>
      <c r="O157" t="n">
        <v>5</v>
      </c>
      <c r="P157" t="n">
        <v>1</v>
      </c>
      <c r="R157" t="inlineStr">
        <is>
          <t>InStock</t>
        </is>
      </c>
      <c r="S157" t="inlineStr">
        <is>
          <t>undefined</t>
        </is>
      </c>
      <c r="T157" t="inlineStr">
        <is>
          <t>7940474208472</t>
        </is>
      </c>
    </row>
    <row r="158" ht="87" customHeight="1">
      <c r="A158" s="2">
        <f>HYPERLINK("https://edmondsonsupply.com/collections/storage-organization/products/klein-tools-5416octo-tool-bag-bull-pin-and-bolt-pouch-loop-connect-5-x-5-x-9-inch", "https://edmondsonsupply.com/collections/storage-organization/products/klein-tools-5416octo-tool-bag-bull-pin-and-bolt-pouch-loop-connect-5-x-5-x-9-inch")</f>
        <v/>
      </c>
      <c r="B158" s="2">
        <f>HYPERLINK("https://edmondsonsupply.com/products/klein-tools-5416octo-tool-bag-bull-pin-and-bolt-pouch-loop-connect-5-x-5-x-9-inch", "https://edmondsonsupply.com/products/klein-tools-5416octo-tool-bag-bull-pin-and-bolt-pouch-loop-connect-5-x-5-x-9-inch")</f>
        <v/>
      </c>
      <c r="C158" t="inlineStr">
        <is>
          <t>Klein Tools 5416OCTO Tool Bag, Bull-Pin and Bolt Pouch, Loop Connect, 5 x 5 x 9-Inch</t>
        </is>
      </c>
      <c r="D158" t="inlineStr">
        <is>
          <t>Klein Tools 5416T Tool Bag, Bull-Pin and Bolt Pouch, No. 4 Canvas with Tunnel Connection, 5 x 10 x 9-Inch &amp; 5459T Spud Wrench Holder Tunnel Connection</t>
        </is>
      </c>
      <c r="E158" s="2">
        <f>HYPERLINK("https://www.amazon.com/Klein-Tools-Bull-Pin-Canvas-Connection/dp/B0BFXN41G3/ref=sr_1_7?keywords=Klein+Tools+5416OCTO+Tool+Bag%2C+Bull-Pin+and+Bolt+Pouch%2C+Loop+Connect%2C+5+x+5+x+9-Inch&amp;qid=1694734458&amp;sr=8-7", "https://www.amazon.com/Klein-Tools-Bull-Pin-Canvas-Connection/dp/B0BFXN41G3/ref=sr_1_7?keywords=Klein+Tools+5416OCTO+Tool+Bag%2C+Bull-Pin+and+Bolt+Pouch%2C+Loop+Connect%2C+5+x+5+x+9-Inch&amp;qid=1694734458&amp;sr=8-7")</f>
        <v/>
      </c>
      <c r="F158" t="inlineStr">
        <is>
          <t>B0BFXN41G3</t>
        </is>
      </c>
      <c r="G158">
        <f>_xlfn.IMAGE("https://edmondsonsupply.com/cdn/shop/products/5416octo.jpg?v=1633030457")</f>
        <v/>
      </c>
      <c r="H158">
        <f>_xlfn.IMAGE("https://m.media-amazon.com/images/I/51SvuMGkytL._AC_UL320_.jpg")</f>
        <v/>
      </c>
      <c r="K158" t="inlineStr">
        <is>
          <t>22.02</t>
        </is>
      </c>
      <c r="L158" t="n">
        <v>37.28</v>
      </c>
      <c r="M158" s="1" t="inlineStr">
        <is>
          <t>69.30%</t>
        </is>
      </c>
      <c r="N158" s="7" t="n">
        <v>32.53</v>
      </c>
      <c r="O158" t="n">
        <v>4.8</v>
      </c>
      <c r="P158" t="n">
        <v>5</v>
      </c>
      <c r="R158" t="inlineStr">
        <is>
          <t>InStock</t>
        </is>
      </c>
      <c r="S158" t="inlineStr">
        <is>
          <t>35.96</t>
        </is>
      </c>
      <c r="T158" t="inlineStr">
        <is>
          <t>5347272130728</t>
        </is>
      </c>
    </row>
    <row r="159" hidden="1" ht="15.75" customHeight="1">
      <c r="A159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159" s="2">
        <f>HYPERLINK("https://edmondsonsupply.com/products/milwaukee-48-22-8442-packout%e2%84%a2-2-drawer-tool-box", "https://edmondsonsupply.com/products/milwaukee-48-22-8442-packout%e2%84%a2-2-drawer-tool-box")</f>
        <v/>
      </c>
      <c r="C159" t="inlineStr">
        <is>
          <t>Milwaukee 48-22-8442 PACKOUT™ 2-Drawer Tool Box</t>
        </is>
      </c>
      <c r="D159" t="inlineStr">
        <is>
          <t>For Milwaukee 48-22-8443 PACKOUT 3 Drawer Durable Tool Box w/ 50lbs Capacity Length 16.3 in Width 22.2 in Height 14.3 in</t>
        </is>
      </c>
      <c r="E159" s="2">
        <f>HYPERLINK("https://www.amazon.com/Milwaukee-48-22-8443-PACKOUT-Durable-Capacity/dp/B0BYHCVNBP/ref=sr_1_36?keywords=Milwaukee+48-22-8442+PACKOUT%E2%84%A2+2-Drawer+Tool+Box&amp;qid=1694734467&amp;sr=8-36", "https://www.amazon.com/Milwaukee-48-22-8443-PACKOUT-Durable-Capacity/dp/B0BYHCVNBP/ref=sr_1_36?keywords=Milwaukee+48-22-8442+PACKOUT%E2%84%A2+2-Drawer+Tool+Box&amp;qid=1694734467&amp;sr=8-36")</f>
        <v/>
      </c>
      <c r="F159" t="inlineStr">
        <is>
          <t>B0BYHCVNBP</t>
        </is>
      </c>
      <c r="G159">
        <f>_xludf.IMAGE("https://edmondsonsupply.com/cdn/shop/products/48-22-8442_2.webp?v=1675790677")</f>
        <v/>
      </c>
      <c r="H159">
        <f>_xludf.IMAGE("https://m.media-amazon.com/images/I/61+9eaCA7bL._AC_UL320_.jpg")</f>
        <v/>
      </c>
      <c r="K159" t="inlineStr">
        <is>
          <t>149.0</t>
        </is>
      </c>
      <c r="L159" t="n">
        <v>249.99</v>
      </c>
      <c r="M159" s="1" t="inlineStr">
        <is>
          <t>67.78%</t>
        </is>
      </c>
      <c r="N159" s="1" t="n">
        <v>28.55</v>
      </c>
      <c r="O159" t="n">
        <v>1</v>
      </c>
      <c r="P159" t="n">
        <v>2</v>
      </c>
      <c r="R159" t="inlineStr">
        <is>
          <t>InStock</t>
        </is>
      </c>
      <c r="S159" t="inlineStr">
        <is>
          <t>234.0</t>
        </is>
      </c>
      <c r="T159" t="inlineStr">
        <is>
          <t>7940460576984</t>
        </is>
      </c>
    </row>
    <row r="160" ht="87" customHeight="1">
      <c r="A160" s="2">
        <f>HYPERLINK("https://edmondsonsupply.com/collections/storage-organization/products/milwaukee-48-22-8432-packout%E2%84%A2-deep-organizer", "https://edmondsonsupply.com/collections/storage-organization/products/milwaukee-48-22-8432-packout%E2%84%A2-deep-organizer")</f>
        <v/>
      </c>
      <c r="B160" s="2">
        <f>HYPERLINK("https://edmondsonsupply.com/products/milwaukee-48-22-8432-packout%e2%84%a2-deep-organizer", "https://edmondsonsupply.com/products/milwaukee-48-22-8432-packout%e2%84%a2-deep-organizer")</f>
        <v/>
      </c>
      <c r="C160" t="inlineStr">
        <is>
          <t>Milwaukee 48-22-8432 PACKOUT™ Deep Organizer</t>
        </is>
      </c>
      <c r="D160" t="inlineStr">
        <is>
          <t>48-22-8432 For Milwaukee PACKOUT Deep Organizer w/ 50 lb Weight Capacity Length 15.2 in Width 19.7 in Height 7 in</t>
        </is>
      </c>
      <c r="E160" s="2">
        <f>HYPERLINK("https://www.amazon.com/48-22-8432-Milwaukee-PACKOUT-Organizer-Capacity/dp/B0BXS63FLD/ref=sr_1_2?keywords=Milwaukee+48-22-8432+PACKOUT%E2%84%A2+Deep+Organizer&amp;qid=1694734447&amp;sr=8-2", "https://www.amazon.com/48-22-8432-Milwaukee-PACKOUT-Organizer-Capacity/dp/B0BXS63FLD/ref=sr_1_2?keywords=Milwaukee+48-22-8432+PACKOUT%E2%84%A2+Deep+Organizer&amp;qid=1694734447&amp;sr=8-2")</f>
        <v/>
      </c>
      <c r="F160" t="inlineStr">
        <is>
          <t>B0BXS63FLD</t>
        </is>
      </c>
      <c r="G160">
        <f>_xlfn.IMAGE("https://edmondsonsupply.com/cdn/shop/files/48-22-8432_1.webp?v=1686667970")</f>
        <v/>
      </c>
      <c r="H160">
        <f>_xlfn.IMAGE("https://m.media-amazon.com/images/I/51kqo5VoH0L._AC_UL320_.jpg")</f>
        <v/>
      </c>
      <c r="K160" t="inlineStr">
        <is>
          <t>64.97</t>
        </is>
      </c>
      <c r="L160" t="n">
        <v>108.99</v>
      </c>
      <c r="M160" s="1" t="inlineStr">
        <is>
          <t>67.75%</t>
        </is>
      </c>
      <c r="N160" s="7" t="n">
        <v>25.93</v>
      </c>
      <c r="O160" t="n">
        <v>5</v>
      </c>
      <c r="P160" t="n">
        <v>1</v>
      </c>
      <c r="R160" t="inlineStr">
        <is>
          <t>OutOfStock</t>
        </is>
      </c>
      <c r="S160" t="inlineStr">
        <is>
          <t>108.0</t>
        </is>
      </c>
      <c r="T160" t="inlineStr">
        <is>
          <t>8005120655576</t>
        </is>
      </c>
    </row>
    <row r="161" ht="87" customHeight="1">
      <c r="A161" s="2">
        <f>HYPERLINK("https://edmondsonsupply.com/collections/storage-organization/products/veto-pro-pac-tech-lc-tool-bag", "https://edmondsonsupply.com/collections/storage-organization/products/veto-pro-pac-tech-lc-tool-bag")</f>
        <v/>
      </c>
      <c r="B161" s="2">
        <f>HYPERLINK("https://edmondsonsupply.com/products/veto-pro-pac-tech-lc-tool-bag", "https://edmondsonsupply.com/products/veto-pro-pac-tech-lc-tool-bag")</f>
        <v/>
      </c>
      <c r="C161" t="inlineStr">
        <is>
          <t>Veto Pro Pac TECH MC Compact Tool Bag</t>
        </is>
      </c>
      <c r="D161" t="inlineStr">
        <is>
          <t>Veto Pro Pac Tech Pac MC (Compact Tech Pac)</t>
        </is>
      </c>
      <c r="E161" s="2">
        <f>HYPERLINK("https://www.amazon.com/Veto-Pac-Tech-Hi-Viz-Yellow/dp/B09WZFNY6R/ref=sr_1_2?keywords=Veto+Pro+Pac+TECH+MC+Compact+Tool+Bag&amp;qid=1694734451&amp;sr=8-2", "https://www.amazon.com/Veto-Pac-Tech-Hi-Viz-Yellow/dp/B09WZFNY6R/ref=sr_1_2?keywords=Veto+Pro+Pac+TECH+MC+Compact+Tool+Bag&amp;qid=1694734451&amp;sr=8-2")</f>
        <v/>
      </c>
      <c r="F161" t="inlineStr">
        <is>
          <t>B09WZFNY6R</t>
        </is>
      </c>
      <c r="G161">
        <f>_xlfn.IMAGE("https://edmondsonsupply.com/cdn/shop/products/MC1_87e0d14c-0e4f-4e1a-b23d-f796a6e88a52.jpg?v=1587147172")</f>
        <v/>
      </c>
      <c r="H161">
        <f>_xlfn.IMAGE("https://m.media-amazon.com/images/I/51Vx4uBnI9L._AC_UL320_.jpg")</f>
        <v/>
      </c>
      <c r="K161" t="inlineStr">
        <is>
          <t>169.99</t>
        </is>
      </c>
      <c r="L161" t="n">
        <v>284.95</v>
      </c>
      <c r="M161" s="1" t="inlineStr">
        <is>
          <t>67.63%</t>
        </is>
      </c>
      <c r="N161" s="7" t="n">
        <v>25.9</v>
      </c>
      <c r="O161" t="n">
        <v>4.8</v>
      </c>
      <c r="P161" t="n">
        <v>361</v>
      </c>
      <c r="R161" t="inlineStr">
        <is>
          <t>InStock</t>
        </is>
      </c>
      <c r="S161" t="inlineStr">
        <is>
          <t>undefined</t>
        </is>
      </c>
      <c r="T161" t="inlineStr">
        <is>
          <t>3561427468388</t>
        </is>
      </c>
    </row>
    <row r="162" ht="87" customHeight="1">
      <c r="A162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162" s="2">
        <f>HYPERLINK("https://edmondsonsupply.com/products/milwaukee-48-22-8442-packout%e2%84%a2-2-drawer-tool-box", "https://edmondsonsupply.com/products/milwaukee-48-22-8442-packout%e2%84%a2-2-drawer-tool-box")</f>
        <v/>
      </c>
      <c r="C162" t="inlineStr">
        <is>
          <t>Milwaukee 48-22-8442 PACKOUT™ 2-Drawer Tool Box</t>
        </is>
      </c>
      <c r="D162" t="inlineStr">
        <is>
          <t>DXYLYX 48-22-8443 for Milwaukee PACKOUT 3 Drawer Durable Tool Box w/ 50lbs Capacity Length : 16.3 in Width : 22.2 in Height : 14.3 in</t>
        </is>
      </c>
      <c r="E162" s="2">
        <f>HYPERLINK("https://www.amazon.com/48-22-8443-Milwaukee-PACKOUT-Durable-Capacity/dp/B0BVZ13HBQ/ref=sr_1_39?keywords=Milwaukee+48-22-8442+PACKOUT%E2%84%A2+2-Drawer+Tool+Box&amp;qid=1694734467&amp;sr=8-39", "https://www.amazon.com/48-22-8443-Milwaukee-PACKOUT-Durable-Capacity/dp/B0BVZ13HBQ/ref=sr_1_39?keywords=Milwaukee+48-22-8442+PACKOUT%E2%84%A2+2-Drawer+Tool+Box&amp;qid=1694734467&amp;sr=8-39")</f>
        <v/>
      </c>
      <c r="F162" t="inlineStr">
        <is>
          <t>B0BVZ13HBQ</t>
        </is>
      </c>
      <c r="G162">
        <f>_xlfn.IMAGE("https://edmondsonsupply.com/cdn/shop/products/48-22-8442_2.webp?v=1675790677")</f>
        <v/>
      </c>
      <c r="H162">
        <f>_xlfn.IMAGE("https://m.media-amazon.com/images/I/51yIMRlyo8L._AC_UL320_.jpg")</f>
        <v/>
      </c>
      <c r="K162" t="inlineStr">
        <is>
          <t>149.0</t>
        </is>
      </c>
      <c r="L162" t="n">
        <v>249</v>
      </c>
      <c r="M162" s="1" t="inlineStr">
        <is>
          <t>67.11%</t>
        </is>
      </c>
      <c r="N162" s="7" t="n">
        <v>25.02</v>
      </c>
      <c r="O162" t="n">
        <v>5</v>
      </c>
      <c r="P162" t="n">
        <v>2</v>
      </c>
      <c r="R162" t="inlineStr">
        <is>
          <t>InStock</t>
        </is>
      </c>
      <c r="S162" t="inlineStr">
        <is>
          <t>234.0</t>
        </is>
      </c>
      <c r="T162" t="inlineStr">
        <is>
          <t>7940460576984</t>
        </is>
      </c>
    </row>
    <row r="163" ht="87" customHeight="1">
      <c r="A163" s="2">
        <f>HYPERLINK("https://edmondsonsupply.com/collections/storage-organization/products/klein-tools-55559-stand-up-zipper-bags-7-inch-and-14-inch-2-pack", "https://edmondsonsupply.com/collections/storage-organization/products/klein-tools-55559-stand-up-zipper-bags-7-inch-and-14-inch-2-pack")</f>
        <v/>
      </c>
      <c r="B163" s="2">
        <f>HYPERLINK("https://edmondsonsupply.com/products/klein-tools-55559-stand-up-zipper-bags-7-inch-and-14-inch-2-pack", "https://edmondsonsupply.com/products/klein-tools-55559-stand-up-zipper-bags-7-inch-and-14-inch-2-pack")</f>
        <v/>
      </c>
      <c r="C163" t="inlineStr">
        <is>
          <t>Klein Tools 55559 Stand-up Zipper Bags, 7-Inch and 14-Inch, 2-Pack</t>
        </is>
      </c>
      <c r="D163" t="inlineStr">
        <is>
          <t>Klein Tools 55470 Utility Bag, Stand-Up Zipper Tool Bags, Orange/Black, Gray/Black, 2-Pack &amp; 5139 Zipper Bag, Canvas Tool Pouch 12.5 x 7 x 4.25-Inch with Heavy Duty Brass Zipper Close, Natural</t>
        </is>
      </c>
      <c r="E163" s="2">
        <f>HYPERLINK("https://www.amazon.com/Klein-Tools-Utility-Stand-Up-4-25-Inch/dp/B09Z93CWZ3/ref=sr_1_16?keywords=Klein+Tools+55559+Stand-up+Zipper+Bags%2C+7-Inch+and+14-Inch%2C+2-Pack&amp;qid=1694734452&amp;sr=8-16", "https://www.amazon.com/Klein-Tools-Utility-Stand-Up-4-25-Inch/dp/B09Z93CWZ3/ref=sr_1_16?keywords=Klein+Tools+55559+Stand-up+Zipper+Bags%2C+7-Inch+and+14-Inch%2C+2-Pack&amp;qid=1694734452&amp;sr=8-16")</f>
        <v/>
      </c>
      <c r="F163" t="inlineStr">
        <is>
          <t>B09Z93CWZ3</t>
        </is>
      </c>
      <c r="G163">
        <f>_xlfn.IMAGE("https://edmondsonsupply.com/cdn/shop/products/55559.jpg?v=1666900727")</f>
        <v/>
      </c>
      <c r="H163">
        <f>_xlfn.IMAGE("https://m.media-amazon.com/images/I/51o5htzrb7L._AC_UL320_.jpg")</f>
        <v/>
      </c>
      <c r="K163" t="inlineStr">
        <is>
          <t>14.99</t>
        </is>
      </c>
      <c r="L163" t="n">
        <v>24.99</v>
      </c>
      <c r="M163" s="1" t="inlineStr">
        <is>
          <t>66.71%</t>
        </is>
      </c>
      <c r="N163" s="7" t="n">
        <v>24.59</v>
      </c>
      <c r="O163" t="n">
        <v>5</v>
      </c>
      <c r="P163" t="n">
        <v>3</v>
      </c>
      <c r="R163" t="inlineStr">
        <is>
          <t>InStock</t>
        </is>
      </c>
      <c r="S163" t="inlineStr">
        <is>
          <t>20.98</t>
        </is>
      </c>
      <c r="T163" t="inlineStr">
        <is>
          <t>7867902591192</t>
        </is>
      </c>
    </row>
    <row r="164" ht="87" customHeight="1">
      <c r="A164" s="2">
        <f>HYPERLINK("https://edmondsonsupply.com/collections/storage-organization/products/klein-tools-55559-stand-up-zipper-bags-7-inch-and-14-inch-2-pack", "https://edmondsonsupply.com/collections/storage-organization/products/klein-tools-55559-stand-up-zipper-bags-7-inch-and-14-inch-2-pack")</f>
        <v/>
      </c>
      <c r="B164" s="2">
        <f>HYPERLINK("https://edmondsonsupply.com/products/klein-tools-55559-stand-up-zipper-bags-7-inch-and-14-inch-2-pack", "https://edmondsonsupply.com/products/klein-tools-55559-stand-up-zipper-bags-7-inch-and-14-inch-2-pack")</f>
        <v/>
      </c>
      <c r="C164" t="inlineStr">
        <is>
          <t>Klein Tools 55559 Stand-up Zipper Bags, 7-Inch and 14-Inch, 2-Pack</t>
        </is>
      </c>
      <c r="D164" t="inlineStr">
        <is>
          <t>Klein Tools 55559 Stand-Up Zipper Bag Tool Pouch, 2-Pack &amp; 5139 Zipper Bag, Canvas Tool Pouch 12.5 x 7 x 4.25-Inch with Heavy Duty Brass Zipper Close, Natural</t>
        </is>
      </c>
      <c r="E164" s="2">
        <f>HYPERLINK("https://www.amazon.com/Klein-Tools-Stand-Up-4-25-Inch-Natural/dp/B0BR25QG1Q/ref=sr_1_5?keywords=Klein+Tools+55559+Stand-up+Zipper+Bags%2C+7-Inch+and+14-Inch%2C+2-Pack&amp;qid=1694734452&amp;sr=8-5", "https://www.amazon.com/Klein-Tools-Stand-Up-4-25-Inch-Natural/dp/B0BR25QG1Q/ref=sr_1_5?keywords=Klein+Tools+55559+Stand-up+Zipper+Bags%2C+7-Inch+and+14-Inch%2C+2-Pack&amp;qid=1694734452&amp;sr=8-5")</f>
        <v/>
      </c>
      <c r="F164" t="inlineStr">
        <is>
          <t>B0BR25QG1Q</t>
        </is>
      </c>
      <c r="G164">
        <f>_xlfn.IMAGE("https://edmondsonsupply.com/cdn/shop/products/55559.jpg?v=1666900727")</f>
        <v/>
      </c>
      <c r="H164">
        <f>_xlfn.IMAGE("https://m.media-amazon.com/images/I/51j3cDVxrVL._AC_UL320_.jpg")</f>
        <v/>
      </c>
      <c r="K164" t="inlineStr">
        <is>
          <t>14.99</t>
        </is>
      </c>
      <c r="L164" t="n">
        <v>24.99</v>
      </c>
      <c r="M164" s="1" t="inlineStr">
        <is>
          <t>66.71%</t>
        </is>
      </c>
      <c r="N164" s="7" t="n">
        <v>24.3</v>
      </c>
      <c r="O164" t="n">
        <v>5</v>
      </c>
      <c r="P164" t="n">
        <v>2</v>
      </c>
      <c r="R164" t="inlineStr">
        <is>
          <t>InStock</t>
        </is>
      </c>
      <c r="S164" t="inlineStr">
        <is>
          <t>20.98</t>
        </is>
      </c>
      <c r="T164" t="inlineStr">
        <is>
          <t>7867902591192</t>
        </is>
      </c>
    </row>
    <row r="165" ht="87" customHeight="1">
      <c r="A165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165" s="2">
        <f>HYPERLINK("https://edmondsonsupply.com/products/veto-pro-pac-tech-pac-mc-blackout", "https://edmondsonsupply.com/products/veto-pro-pac-tech-pac-mc-blackout")</f>
        <v/>
      </c>
      <c r="C165" t="inlineStr">
        <is>
          <t>Veto Pro Pac TECH PAC MC Blackout</t>
        </is>
      </c>
      <c r="D165" t="inlineStr">
        <is>
          <t>Veto Pro Pac TECH-XL WHEELER</t>
        </is>
      </c>
      <c r="E165" s="2">
        <f>HYPERLINK("https://www.amazon.com/Veto-Pro-Pac-TECH-XL-WHEELER/dp/B09ZCB7L65/ref=sr_1_21?keywords=Veto+Pro+Pac+TECH+PAC+MC+Blackout&amp;qid=1694734455&amp;sr=8-21", "https://www.amazon.com/Veto-Pro-Pac-TECH-XL-WHEELER/dp/B09ZCB7L65/ref=sr_1_21?keywords=Veto+Pro+Pac+TECH+PAC+MC+Blackout&amp;qid=1694734455&amp;sr=8-21")</f>
        <v/>
      </c>
      <c r="F165" t="inlineStr">
        <is>
          <t>B09ZCB7L65</t>
        </is>
      </c>
      <c r="G165">
        <f>_xlfn.IMAGE("https://edmondsonsupply.com/cdn/shop/products/tech1.png?v=1633031062")</f>
        <v/>
      </c>
      <c r="H165">
        <f>_xlfn.IMAGE("https://m.media-amazon.com/images/I/511rkEcpV0L._AC_UL320_.jpg")</f>
        <v/>
      </c>
      <c r="K165" t="inlineStr">
        <is>
          <t>294.99</t>
        </is>
      </c>
      <c r="L165" t="n">
        <v>489.95</v>
      </c>
      <c r="M165" s="1" t="inlineStr">
        <is>
          <t>66.09%</t>
        </is>
      </c>
      <c r="N165" s="7" t="n">
        <v>23.51</v>
      </c>
      <c r="O165" t="n">
        <v>4.6</v>
      </c>
      <c r="P165" t="n">
        <v>17</v>
      </c>
      <c r="R165" t="inlineStr">
        <is>
          <t>InStock</t>
        </is>
      </c>
      <c r="S165" t="inlineStr">
        <is>
          <t>undefined</t>
        </is>
      </c>
      <c r="T165" t="inlineStr">
        <is>
          <t>6821254496429</t>
        </is>
      </c>
    </row>
    <row r="166" hidden="1" ht="15.75" customHeight="1">
      <c r="A166" s="2">
        <f>HYPERLINK("https://edmondsonsupply.com/collections/storage-organization/products/milwaukee-48-22-8432-packout%E2%84%A2-deep-organizer", "https://edmondsonsupply.com/collections/storage-organization/products/milwaukee-48-22-8432-packout%E2%84%A2-deep-organizer")</f>
        <v/>
      </c>
      <c r="B166" s="2">
        <f>HYPERLINK("https://edmondsonsupply.com/products/milwaukee-48-22-8432-packout%e2%84%a2-deep-organizer", "https://edmondsonsupply.com/products/milwaukee-48-22-8432-packout%e2%84%a2-deep-organizer")</f>
        <v/>
      </c>
      <c r="C166" t="inlineStr">
        <is>
          <t>Milwaukee 48-22-8432 PACKOUT™ Deep Organizer</t>
        </is>
      </c>
      <c r="D166" t="inlineStr">
        <is>
          <t>GHFVNEQ 48-22-8432 for Milwaukee PACKOUT Deep Organizer 3 large &amp; 3 small dividers 50 lb. Weight Capacity</t>
        </is>
      </c>
      <c r="E166" s="2">
        <f>HYPERLINK("https://www.amazon.com/48-22-8432-Milwaukee-Organizer-dividers-Capacity/dp/B0BPM74GMX/ref=sr_1_5?keywords=Milwaukee+48-22-8432+PACKOUT%E2%84%A2+Deep+Organizer&amp;qid=1694734447&amp;sr=8-5", "https://www.amazon.com/48-22-8432-Milwaukee-Organizer-dividers-Capacity/dp/B0BPM74GMX/ref=sr_1_5?keywords=Milwaukee+48-22-8432+PACKOUT%E2%84%A2+Deep+Organizer&amp;qid=1694734447&amp;sr=8-5")</f>
        <v/>
      </c>
      <c r="F166" t="inlineStr">
        <is>
          <t>B0BPM74GMX</t>
        </is>
      </c>
      <c r="G166">
        <f>_xludf.IMAGE("https://edmondsonsupply.com/cdn/shop/files/48-22-8432_1.webp?v=1686667970")</f>
        <v/>
      </c>
      <c r="H166">
        <f>_xludf.IMAGE("https://m.media-amazon.com/images/I/51sPfn8O1uL._AC_UL320_.jpg")</f>
        <v/>
      </c>
      <c r="K166" t="inlineStr">
        <is>
          <t>64.97</t>
        </is>
      </c>
      <c r="L166" t="n">
        <v>106.99</v>
      </c>
      <c r="M166" s="1" t="inlineStr">
        <is>
          <t>64.68%</t>
        </is>
      </c>
      <c r="N166" s="1" t="n">
        <v>20.48</v>
      </c>
      <c r="O166" t="n">
        <v>3.8</v>
      </c>
      <c r="P166" t="n">
        <v>3</v>
      </c>
      <c r="R166" t="inlineStr">
        <is>
          <t>OutOfStock</t>
        </is>
      </c>
      <c r="S166" t="inlineStr">
        <is>
          <t>108.0</t>
        </is>
      </c>
      <c r="T166" t="inlineStr">
        <is>
          <t>8005120655576</t>
        </is>
      </c>
    </row>
    <row r="167" ht="87" customHeight="1">
      <c r="A167" s="2">
        <f>HYPERLINK("https://edmondsonsupply.com/collections/storage-organization/products/milwaukee-48-22-8432-packout%E2%84%A2-deep-organizer", "https://edmondsonsupply.com/collections/storage-organization/products/milwaukee-48-22-8432-packout%E2%84%A2-deep-organizer")</f>
        <v/>
      </c>
      <c r="B167" s="2">
        <f>HYPERLINK("https://edmondsonsupply.com/products/milwaukee-48-22-8432-packout%e2%84%a2-deep-organizer", "https://edmondsonsupply.com/products/milwaukee-48-22-8432-packout%e2%84%a2-deep-organizer")</f>
        <v/>
      </c>
      <c r="C167" t="inlineStr">
        <is>
          <t>Milwaukee 48-22-8432 PACKOUT™ Deep Organizer</t>
        </is>
      </c>
      <c r="D167" t="inlineStr">
        <is>
          <t>For Milwaukee 48-22-8432 PACKOUT 20 in. Deep Organizer with 6 Compartments</t>
        </is>
      </c>
      <c r="E167" s="2">
        <f>HYPERLINK("https://www.amazon.com/Milwaukee-48-22-8432-PACKOUT-Organizer-Compartments/dp/B0C5T4G43M/ref=sr_1_3?keywords=Milwaukee+48-22-8432+PACKOUT%E2%84%A2+Deep+Organizer&amp;qid=1694734447&amp;sr=8-3", "https://www.amazon.com/Milwaukee-48-22-8432-PACKOUT-Organizer-Compartments/dp/B0C5T4G43M/ref=sr_1_3?keywords=Milwaukee+48-22-8432+PACKOUT%E2%84%A2+Deep+Organizer&amp;qid=1694734447&amp;sr=8-3")</f>
        <v/>
      </c>
      <c r="F167" t="inlineStr">
        <is>
          <t>B0C5T4G43M</t>
        </is>
      </c>
      <c r="G167">
        <f>_xlfn.IMAGE("https://edmondsonsupply.com/cdn/shop/files/48-22-8432_1.webp?v=1686667970")</f>
        <v/>
      </c>
      <c r="H167">
        <f>_xlfn.IMAGE("https://m.media-amazon.com/images/I/51LWDwYHz-L._AC_UL320_.jpg")</f>
        <v/>
      </c>
      <c r="K167" t="inlineStr">
        <is>
          <t>64.97</t>
        </is>
      </c>
      <c r="L167" t="n">
        <v>105.99</v>
      </c>
      <c r="M167" s="1" t="inlineStr">
        <is>
          <t>63.14%</t>
        </is>
      </c>
      <c r="N167" s="7" t="n">
        <v>19.97</v>
      </c>
      <c r="O167" t="n">
        <v>5</v>
      </c>
      <c r="P167" t="n">
        <v>1</v>
      </c>
      <c r="R167" t="inlineStr">
        <is>
          <t>OutOfStock</t>
        </is>
      </c>
      <c r="S167" t="inlineStr">
        <is>
          <t>108.0</t>
        </is>
      </c>
      <c r="T167" t="inlineStr">
        <is>
          <t>8005120655576</t>
        </is>
      </c>
    </row>
    <row r="168" ht="87" customHeight="1">
      <c r="A168" s="2">
        <f>HYPERLINK("https://edmondsonsupply.com/collections/storage-organization/products/fluke-c60-soft-carrying-case", "https://edmondsonsupply.com/collections/storage-organization/products/fluke-c60-soft-carrying-case")</f>
        <v/>
      </c>
      <c r="B168" s="2">
        <f>HYPERLINK("https://edmondsonsupply.com/products/fluke-c60-soft-carrying-case", "https://edmondsonsupply.com/products/fluke-c60-soft-carrying-case")</f>
        <v/>
      </c>
      <c r="C168" t="inlineStr">
        <is>
          <t>Fluke C60 Soft Carrying Case</t>
        </is>
      </c>
      <c r="D168" t="inlineStr">
        <is>
          <t>Fluke C280 Accessory Soft Carrying Case</t>
        </is>
      </c>
      <c r="E168" s="2">
        <f>HYPERLINK("https://www.amazon.com/Fluke-C280-Accessory-Soft-Carrying/dp/B01MZ8U3WK/ref=sr_1_22?keywords=Fluke+C60+Soft+Carrying+Case&amp;qid=1694734460&amp;sr=8-22", "https://www.amazon.com/Fluke-C280-Accessory-Soft-Carrying/dp/B01MZ8U3WK/ref=sr_1_22?keywords=Fluke+C60+Soft+Carrying+Case&amp;qid=1694734460&amp;sr=8-22")</f>
        <v/>
      </c>
      <c r="F168" t="inlineStr">
        <is>
          <t>B01MZ8U3WK</t>
        </is>
      </c>
      <c r="G168">
        <f>_xlfn.IMAGE("https://edmondsonsupply.com/cdn/shop/products/c60.png?v=1633030926")</f>
        <v/>
      </c>
      <c r="H168">
        <f>_xlfn.IMAGE("https://m.media-amazon.com/images/I/41Z3nt3-B1L._AC_UL320_.jpg")</f>
        <v/>
      </c>
      <c r="K168" t="inlineStr">
        <is>
          <t>49.49</t>
        </is>
      </c>
      <c r="L168" t="n">
        <v>80.01000000000001</v>
      </c>
      <c r="M168" s="1" t="inlineStr">
        <is>
          <t>61.67%</t>
        </is>
      </c>
      <c r="N168" s="7" t="n">
        <v>17.99</v>
      </c>
      <c r="O168" t="n">
        <v>4.3</v>
      </c>
      <c r="P168" t="n">
        <v>95</v>
      </c>
      <c r="R168" t="inlineStr">
        <is>
          <t>InStock</t>
        </is>
      </c>
      <c r="S168" t="inlineStr">
        <is>
          <t>54.99</t>
        </is>
      </c>
      <c r="T168" t="inlineStr">
        <is>
          <t>6544664723629</t>
        </is>
      </c>
    </row>
    <row r="169" ht="87" customHeight="1">
      <c r="A169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169" s="2">
        <f>HYPERLINK("https://edmondsonsupply.com/products/veto-pro-pac-tech-pac-mc-blackout", "https://edmondsonsupply.com/products/veto-pro-pac-tech-pac-mc-blackout")</f>
        <v/>
      </c>
      <c r="C169" t="inlineStr">
        <is>
          <t>Veto Pro Pac TECH PAC MC Blackout</t>
        </is>
      </c>
      <c r="D169" t="inlineStr">
        <is>
          <t>Veto Pro Pac Tech-LCT Wheeler</t>
        </is>
      </c>
      <c r="E169" s="2">
        <f>HYPERLINK("https://www.amazon.com/Veto-Pro-Pac-Tech-LCT-Wheeler/dp/B0BN6VQSKJ/ref=sr_1_25?keywords=Veto+Pro+Pac+TECH+PAC+MC+Blackout&amp;qid=1694734455&amp;sr=8-25", "https://www.amazon.com/Veto-Pro-Pac-Tech-LCT-Wheeler/dp/B0BN6VQSKJ/ref=sr_1_25?keywords=Veto+Pro+Pac+TECH+PAC+MC+Blackout&amp;qid=1694734455&amp;sr=8-25")</f>
        <v/>
      </c>
      <c r="F169" t="inlineStr">
        <is>
          <t>B0BN6VQSKJ</t>
        </is>
      </c>
      <c r="G169">
        <f>_xlfn.IMAGE("https://edmondsonsupply.com/cdn/shop/products/tech1.png?v=1633031062")</f>
        <v/>
      </c>
      <c r="H169">
        <f>_xlfn.IMAGE("https://m.media-amazon.com/images/I/51i4hquPS0L._AC_UL320_.jpg")</f>
        <v/>
      </c>
      <c r="K169" t="inlineStr">
        <is>
          <t>294.99</t>
        </is>
      </c>
      <c r="L169" t="n">
        <v>469.95</v>
      </c>
      <c r="M169" s="1" t="inlineStr">
        <is>
          <t>59.31%</t>
        </is>
      </c>
      <c r="N169" s="7" t="n">
        <v>17.62</v>
      </c>
      <c r="O169" t="n">
        <v>5</v>
      </c>
      <c r="P169" t="n">
        <v>3</v>
      </c>
      <c r="R169" t="inlineStr">
        <is>
          <t>InStock</t>
        </is>
      </c>
      <c r="S169" t="inlineStr">
        <is>
          <t>undefined</t>
        </is>
      </c>
      <c r="T169" t="inlineStr">
        <is>
          <t>6821254496429</t>
        </is>
      </c>
    </row>
    <row r="170" hidden="1" ht="15.75" customHeight="1">
      <c r="A170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170" s="2">
        <f>HYPERLINK("https://edmondsonsupply.com/products/veto-pro-pac-tech-pac-mc-blackout", "https://edmondsonsupply.com/products/veto-pro-pac-tech-pac-mc-blackout")</f>
        <v/>
      </c>
      <c r="C170" t="inlineStr">
        <is>
          <t>Veto Pro Pac TECH PAC MC Blackout</t>
        </is>
      </c>
      <c r="D170" t="inlineStr">
        <is>
          <t>Veto Pro Pac Tech-LC Wheeler</t>
        </is>
      </c>
      <c r="E170" s="2">
        <f>HYPERLINK("https://www.amazon.com/Veto-Pro-Pac-Tech-LC-Wheeler/dp/B0BN6SXN13/ref=sr_1_33?keywords=Veto+Pro+Pac+TECH+PAC+MC+Blackout&amp;qid=1694734455&amp;sr=8-33", "https://www.amazon.com/Veto-Pro-Pac-Tech-LC-Wheeler/dp/B0BN6SXN13/ref=sr_1_33?keywords=Veto+Pro+Pac+TECH+PAC+MC+Blackout&amp;qid=1694734455&amp;sr=8-33")</f>
        <v/>
      </c>
      <c r="F170" t="inlineStr">
        <is>
          <t>B0BN6SXN13</t>
        </is>
      </c>
      <c r="G170">
        <f>_xludf.IMAGE("https://edmondsonsupply.com/cdn/shop/products/tech1.png?v=1633031062")</f>
        <v/>
      </c>
      <c r="H170">
        <f>_xludf.IMAGE("https://m.media-amazon.com/images/I/518A6go-+vL._AC_UL320_.jpg")</f>
        <v/>
      </c>
      <c r="K170" t="inlineStr">
        <is>
          <t>294.99</t>
        </is>
      </c>
      <c r="L170" t="n">
        <v>449.95</v>
      </c>
      <c r="M170" s="1" t="inlineStr">
        <is>
          <t>52.53%</t>
        </is>
      </c>
      <c r="N170" s="1" t="n">
        <v>17.62</v>
      </c>
      <c r="O170" t="n">
        <v>3</v>
      </c>
      <c r="P170" t="n">
        <v>1</v>
      </c>
      <c r="R170" t="inlineStr">
        <is>
          <t>InStock</t>
        </is>
      </c>
      <c r="S170" t="inlineStr">
        <is>
          <t>undefined</t>
        </is>
      </c>
      <c r="T170" t="inlineStr">
        <is>
          <t>6821254496429</t>
        </is>
      </c>
    </row>
    <row r="171" ht="87" customHeight="1">
      <c r="A171" s="2">
        <f>HYPERLINK("https://edmondsonsupply.com/collections/storage-organization/products/milwaukee-48-22-8301", "https://edmondsonsupply.com/collections/storage-organization/products/milwaukee-48-22-8301")</f>
        <v/>
      </c>
      <c r="B171" s="2">
        <f>HYPERLINK("https://edmondsonsupply.com/products/milwaukee-48-22-8301", "https://edmondsonsupply.com/products/milwaukee-48-22-8301")</f>
        <v/>
      </c>
      <c r="C171" t="inlineStr">
        <is>
          <t>Milwaukee 48-22-8301 PACKOUT™ Backpack</t>
        </is>
      </c>
      <c r="D171" t="inlineStr">
        <is>
          <t>48-22-8301 PACKOUT Backpack Fits for Milwaukee 48-Pocket Tear-Resistant Modular Storage</t>
        </is>
      </c>
      <c r="E171" s="2">
        <f>HYPERLINK("https://www.amazon.com/48-22-8301-PACKOUT-Backpack-Milwaukee-Tear-Resistant/dp/B0BXNRZLWR/ref=sr_1_1?keywords=Milwaukee+48-22-8301+PACKOUT%E2%84%A2+Backpack&amp;qid=1694734440&amp;sr=8-1", "https://www.amazon.com/48-22-8301-PACKOUT-Backpack-Milwaukee-Tear-Resistant/dp/B0BXNRZLWR/ref=sr_1_1?keywords=Milwaukee+48-22-8301+PACKOUT%E2%84%A2+Backpack&amp;qid=1694734440&amp;sr=8-1")</f>
        <v/>
      </c>
      <c r="F171" t="inlineStr">
        <is>
          <t>B0BXNRZLWR</t>
        </is>
      </c>
      <c r="G171">
        <f>_xlfn.IMAGE("https://edmondsonsupply.com/cdn/shop/products/48-22-8301_1.png?v=1587150030")</f>
        <v/>
      </c>
      <c r="H171">
        <f>_xlfn.IMAGE("https://m.media-amazon.com/images/I/71YLu+AwebL._AC_UL320_.jpg")</f>
        <v/>
      </c>
      <c r="K171" t="inlineStr">
        <is>
          <t>129.97</t>
        </is>
      </c>
      <c r="L171" t="n">
        <v>198</v>
      </c>
      <c r="M171" s="1" t="inlineStr">
        <is>
          <t>52.34%</t>
        </is>
      </c>
      <c r="N171" s="7" t="n">
        <v>17.4</v>
      </c>
      <c r="O171" t="n">
        <v>5</v>
      </c>
      <c r="P171" t="n">
        <v>1</v>
      </c>
      <c r="R171" t="inlineStr">
        <is>
          <t>InStock</t>
        </is>
      </c>
      <c r="S171" t="inlineStr">
        <is>
          <t>213.0</t>
        </is>
      </c>
      <c r="T171" t="inlineStr">
        <is>
          <t>4377330942052</t>
        </is>
      </c>
    </row>
    <row r="172" ht="87" customHeight="1">
      <c r="A172" s="2">
        <f>HYPERLINK("https://edmondsonsupply.com/collections/storage-organization/products/veto-pro-pac-tp-lc-tool-pouch", "https://edmondsonsupply.com/collections/storage-organization/products/veto-pro-pac-tp-lc-tool-pouch")</f>
        <v/>
      </c>
      <c r="B172" s="2">
        <f>HYPERLINK("https://edmondsonsupply.com/products/veto-pro-pac-tp-lc-tool-pouch", "https://edmondsonsupply.com/products/veto-pro-pac-tp-lc-tool-pouch")</f>
        <v/>
      </c>
      <c r="C172" t="inlineStr">
        <is>
          <t>Veto Pro Pac TP-LC Tool Pouch</t>
        </is>
      </c>
      <c r="D172" t="inlineStr">
        <is>
          <t>Veto Pro Pac Model LC Tool Bag</t>
        </is>
      </c>
      <c r="E172" s="2">
        <f>HYPERLINK("https://www.amazon.com/VETO-PRO-PAC-Model-LC/dp/B0002HC25M/ref=sr_1_16?keywords=Veto+Pro+Pac+TP-LC+Tool+Pouch&amp;qid=1694734452&amp;sr=8-16", "https://www.amazon.com/VETO-PRO-PAC-Model-LC/dp/B0002HC25M/ref=sr_1_16?keywords=Veto+Pro+Pac+TP-LC+Tool+Pouch&amp;qid=1694734452&amp;sr=8-16")</f>
        <v/>
      </c>
      <c r="F172" t="inlineStr">
        <is>
          <t>B0002HC25M</t>
        </is>
      </c>
      <c r="G172">
        <f>_xlfn.IMAGE("https://edmondsonsupply.com/cdn/shop/products/TPLC.jpg?v=1648948141")</f>
        <v/>
      </c>
      <c r="H172">
        <f>_xlfn.IMAGE("https://m.media-amazon.com/images/I/61yDlU4vGyL._AC_UL320_.jpg")</f>
        <v/>
      </c>
      <c r="K172" t="inlineStr">
        <is>
          <t>134.99</t>
        </is>
      </c>
      <c r="L172" t="n">
        <v>204.95</v>
      </c>
      <c r="M172" s="1" t="inlineStr">
        <is>
          <t>51.83%</t>
        </is>
      </c>
      <c r="N172" s="7" t="n">
        <v>16.65</v>
      </c>
      <c r="O172" t="n">
        <v>4.7</v>
      </c>
      <c r="P172" t="n">
        <v>276</v>
      </c>
      <c r="R172" t="inlineStr">
        <is>
          <t>InStock</t>
        </is>
      </c>
      <c r="S172" t="inlineStr">
        <is>
          <t>undefined</t>
        </is>
      </c>
      <c r="T172" t="inlineStr">
        <is>
          <t>7652194189528</t>
        </is>
      </c>
    </row>
    <row r="173" ht="87" customHeight="1">
      <c r="A173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173" s="2">
        <f>HYPERLINK("https://edmondsonsupply.com/products/veto-pro-pac-tech-pac-blackout-backpack", "https://edmondsonsupply.com/products/veto-pro-pac-tech-pac-blackout-backpack")</f>
        <v/>
      </c>
      <c r="C173" t="inlineStr">
        <is>
          <t>Veto Pro Pac TECH PAC Blackout Backpack</t>
        </is>
      </c>
      <c r="D173" t="inlineStr">
        <is>
          <t>Veto Pro Pac TECH-XL WHEELER</t>
        </is>
      </c>
      <c r="E173" s="2">
        <f>HYPERLINK("https://www.amazon.com/Veto-Pro-Pac-TECH-XL-WHEELER/dp/B09ZCB7L65/ref=sr_1_13?keywords=Veto+Pro+Pac+TECH+PAC+Blackout+Backpack&amp;qid=1694734435&amp;sr=8-13", "https://www.amazon.com/Veto-Pro-Pac-TECH-XL-WHEELER/dp/B09ZCB7L65/ref=sr_1_13?keywords=Veto+Pro+Pac+TECH+PAC+Blackout+Backpack&amp;qid=1694734435&amp;sr=8-13")</f>
        <v/>
      </c>
      <c r="F173" t="inlineStr">
        <is>
          <t>B09ZCB7L65</t>
        </is>
      </c>
      <c r="G173">
        <f>_xlfn.IMAGE("https://edmondsonsupply.com/cdn/shop/products/tech1.jpg?v=1633031041")</f>
        <v/>
      </c>
      <c r="H173">
        <f>_xlfn.IMAGE("https://m.media-amazon.com/images/I/511rkEcpV0L._AC_UL320_.jpg")</f>
        <v/>
      </c>
      <c r="K173" t="inlineStr">
        <is>
          <t>329.99</t>
        </is>
      </c>
      <c r="L173" t="n">
        <v>489.95</v>
      </c>
      <c r="M173" s="1" t="inlineStr">
        <is>
          <t>48.47%</t>
        </is>
      </c>
      <c r="N173" s="7" t="n">
        <v>15.24</v>
      </c>
      <c r="O173" t="n">
        <v>4.6</v>
      </c>
      <c r="P173" t="n">
        <v>17</v>
      </c>
      <c r="R173" t="inlineStr">
        <is>
          <t>InStock</t>
        </is>
      </c>
      <c r="S173" t="inlineStr">
        <is>
          <t>undefined</t>
        </is>
      </c>
      <c r="T173" t="inlineStr">
        <is>
          <t>6752226476205</t>
        </is>
      </c>
    </row>
    <row r="174" ht="87" customHeight="1">
      <c r="A174" s="2">
        <f>HYPERLINK("https://edmondsonsupply.com/collections/storage-organization/products/veto-pro-pac-wrencher-xxl", "https://edmondsonsupply.com/collections/storage-organization/products/veto-pro-pac-wrencher-xxl")</f>
        <v/>
      </c>
      <c r="B174" s="2">
        <f>HYPERLINK("https://edmondsonsupply.com/products/veto-pro-pac-wrencher-xxl", "https://edmondsonsupply.com/products/veto-pro-pac-wrencher-xxl")</f>
        <v/>
      </c>
      <c r="C174" t="inlineStr">
        <is>
          <t>Veto Pro Pac Wrencher XXL</t>
        </is>
      </c>
      <c r="D174" t="inlineStr">
        <is>
          <t>Veto Pro Pac Wrencher-LC (Large, Open-Top Tool Bag)</t>
        </is>
      </c>
      <c r="E174" s="2">
        <f>HYPERLINK("https://www.amazon.com/Veto-Pro-Pac-Wrencher-LC-Open-Top/dp/B0BBPFQ447/ref=sr_1_5?keywords=Veto+Pro+Pac+Wrencher+XXL&amp;qid=1694734449&amp;sr=8-5", "https://www.amazon.com/Veto-Pro-Pac-Wrencher-LC-Open-Top/dp/B0BBPFQ447/ref=sr_1_5?keywords=Veto+Pro+Pac+Wrencher+XXL&amp;qid=1694734449&amp;sr=8-5")</f>
        <v/>
      </c>
      <c r="F174" t="inlineStr">
        <is>
          <t>B0BBPFQ447</t>
        </is>
      </c>
      <c r="G174">
        <f>_xlfn.IMAGE("https://edmondsonsupply.com/cdn/shop/files/0003_WRENCHER-XXL_36.jpg?v=1684440775")</f>
        <v/>
      </c>
      <c r="H174">
        <f>_xlfn.IMAGE("https://m.media-amazon.com/images/I/61iZfeBF47L._AC_UL320_.jpg")</f>
        <v/>
      </c>
      <c r="K174" t="inlineStr">
        <is>
          <t>229.95</t>
        </is>
      </c>
      <c r="L174" t="n">
        <v>339.95</v>
      </c>
      <c r="M174" s="1" t="inlineStr">
        <is>
          <t>47.84%</t>
        </is>
      </c>
      <c r="N174" s="7" t="n">
        <v>14.82</v>
      </c>
      <c r="O174" t="n">
        <v>5</v>
      </c>
      <c r="P174" t="n">
        <v>1</v>
      </c>
      <c r="R174" t="inlineStr">
        <is>
          <t>InStock</t>
        </is>
      </c>
      <c r="S174" t="inlineStr">
        <is>
          <t>undefined</t>
        </is>
      </c>
      <c r="T174" t="inlineStr">
        <is>
          <t>7993760612568</t>
        </is>
      </c>
    </row>
    <row r="175" ht="87" customHeight="1">
      <c r="A175" s="2">
        <f>HYPERLINK("https://edmondsonsupply.com/collections/storage-organization/products/veto-pro-pac-tech-lc-tool-bag", "https://edmondsonsupply.com/collections/storage-organization/products/veto-pro-pac-tech-lc-tool-bag")</f>
        <v/>
      </c>
      <c r="B175" s="2">
        <f>HYPERLINK("https://edmondsonsupply.com/products/veto-pro-pac-tech-lc-tool-bag", "https://edmondsonsupply.com/products/veto-pro-pac-tech-lc-tool-bag")</f>
        <v/>
      </c>
      <c r="C175" t="inlineStr">
        <is>
          <t>Veto Pro Pac TECH MC Compact Tool Bag</t>
        </is>
      </c>
      <c r="D175" t="inlineStr">
        <is>
          <t>Veto Pro Pac Tech XL Tool Bag, 1-Pack,Black, Grey</t>
        </is>
      </c>
      <c r="E175" s="2">
        <f>HYPERLINK("https://www.amazon.com/Veto-Tech-XL-Tool-1-Pack/dp/B00DYRFEJI/ref=sr_1_9?keywords=Veto+Pro+Pac+TECH+MC+Compact+Tool+Bag&amp;qid=1694734451&amp;sr=8-9", "https://www.amazon.com/Veto-Tech-XL-Tool-1-Pack/dp/B00DYRFEJI/ref=sr_1_9?keywords=Veto+Pro+Pac+TECH+MC+Compact+Tool+Bag&amp;qid=1694734451&amp;sr=8-9")</f>
        <v/>
      </c>
      <c r="F175" t="inlineStr">
        <is>
          <t>B00DYRFEJI</t>
        </is>
      </c>
      <c r="G175">
        <f>_xlfn.IMAGE("https://edmondsonsupply.com/cdn/shop/products/MC1_87e0d14c-0e4f-4e1a-b23d-f796a6e88a52.jpg?v=1587147172")</f>
        <v/>
      </c>
      <c r="H175">
        <f>_xlfn.IMAGE("https://m.media-amazon.com/images/I/71suRnmtVZL._AC_UL320_.jpg")</f>
        <v/>
      </c>
      <c r="K175" t="inlineStr">
        <is>
          <t>169.99</t>
        </is>
      </c>
      <c r="L175" t="n">
        <v>249.95</v>
      </c>
      <c r="M175" s="1" t="inlineStr">
        <is>
          <t>47.04%</t>
        </is>
      </c>
      <c r="N175" s="7" t="n">
        <v>12.55</v>
      </c>
      <c r="O175" t="n">
        <v>4.8</v>
      </c>
      <c r="P175" t="n">
        <v>762</v>
      </c>
      <c r="R175" t="inlineStr">
        <is>
          <t>InStock</t>
        </is>
      </c>
      <c r="S175" t="inlineStr">
        <is>
          <t>undefined</t>
        </is>
      </c>
      <c r="T175" t="inlineStr">
        <is>
          <t>3561427468388</t>
        </is>
      </c>
    </row>
    <row r="176" ht="87" customHeight="1">
      <c r="A176" s="2">
        <f>HYPERLINK("https://edmondsonsupply.com/collections/storage-organization/products/fluke-c11xt-protective-eva-hard-tool-case", "https://edmondsonsupply.com/collections/storage-organization/products/fluke-c11xt-protective-eva-hard-tool-case")</f>
        <v/>
      </c>
      <c r="B176" s="2">
        <f>HYPERLINK("https://edmondsonsupply.com/products/fluke-c11xt-protective-eva-hard-tool-case", "https://edmondsonsupply.com/products/fluke-c11xt-protective-eva-hard-tool-case")</f>
        <v/>
      </c>
      <c r="C176" t="inlineStr">
        <is>
          <t>Fluke C11XT Protective EVA Hard Tool Case</t>
        </is>
      </c>
      <c r="D176" t="inlineStr">
        <is>
          <t>Fluke C11XT Protective EVA Hard Tool Carrying Case for 117/116/115/179/323/324/325 and Many More</t>
        </is>
      </c>
      <c r="E176" s="2">
        <f>HYPERLINK("https://www.amazon.com/Fluke-C11XT-Protective-Hard-Carrying/dp/B09TG9VDVH/ref=sr_1_1?keywords=Fluke+C11XT+Protective+EVA+Hard+Tool+Case&amp;qid=1694734435&amp;sr=8-1", "https://www.amazon.com/Fluke-C11XT-Protective-Hard-Carrying/dp/B09TG9VDVH/ref=sr_1_1?keywords=Fluke+C11XT+Protective+EVA+Hard+Tool+Case&amp;qid=1694734435&amp;sr=8-1")</f>
        <v/>
      </c>
      <c r="F176" t="inlineStr">
        <is>
          <t>B09TG9VDVH</t>
        </is>
      </c>
      <c r="G176">
        <f>_xlfn.IMAGE("https://edmondsonsupply.com/cdn/shop/products/F-c11xt_04a_w.jpg?v=1663190833")</f>
        <v/>
      </c>
      <c r="H176">
        <f>_xlfn.IMAGE("https://m.media-amazon.com/images/I/61mhFNHDU+L._AC_UL320_.jpg")</f>
        <v/>
      </c>
      <c r="K176" t="inlineStr">
        <is>
          <t>35.99</t>
        </is>
      </c>
      <c r="L176" t="n">
        <v>52.53</v>
      </c>
      <c r="M176" s="1" t="inlineStr">
        <is>
          <t>45.96%</t>
        </is>
      </c>
      <c r="N176" s="7" t="n">
        <v>11.85</v>
      </c>
      <c r="O176" t="n">
        <v>4.8</v>
      </c>
      <c r="P176" t="n">
        <v>78</v>
      </c>
      <c r="R176" t="inlineStr">
        <is>
          <t>OutOfStock</t>
        </is>
      </c>
      <c r="S176" t="inlineStr">
        <is>
          <t>39.99</t>
        </is>
      </c>
      <c r="T176" t="inlineStr">
        <is>
          <t>7815620100312</t>
        </is>
      </c>
    </row>
    <row r="177" ht="87" customHeight="1">
      <c r="A177" s="2">
        <f>HYPERLINK("https://edmondsonsupply.com/collections/storage-organization/products/veto-pro-pac-wrencher-mc", "https://edmondsonsupply.com/collections/storage-organization/products/veto-pro-pac-wrencher-mc")</f>
        <v/>
      </c>
      <c r="B177" s="2">
        <f>HYPERLINK("https://edmondsonsupply.com/products/veto-pro-pac-wrencher-mc", "https://edmondsonsupply.com/products/veto-pro-pac-wrencher-mc")</f>
        <v/>
      </c>
      <c r="C177" t="inlineStr">
        <is>
          <t>Veto Pro Pac Wrencher MC</t>
        </is>
      </c>
      <c r="D177" t="inlineStr">
        <is>
          <t>Veto Pro Pac Tech Pac MC (Compact Tech Pac)</t>
        </is>
      </c>
      <c r="E177" s="2">
        <f>HYPERLINK("https://www.amazon.com/Veto-Tech-Pac-MC-Compact/dp/B07NDMH2Q2/ref=sr_1_7?keywords=Veto+Pro+Pac+Wrencher+MC&amp;qid=1694734449&amp;sr=8-7", "https://www.amazon.com/Veto-Tech-Pac-MC-Compact/dp/B07NDMH2Q2/ref=sr_1_7?keywords=Veto+Pro+Pac+Wrencher+MC&amp;qid=1694734449&amp;sr=8-7")</f>
        <v/>
      </c>
      <c r="F177" t="inlineStr">
        <is>
          <t>B07NDMH2Q2</t>
        </is>
      </c>
      <c r="G177">
        <f>_xlfn.IMAGE("https://edmondsonsupply.com/cdn/shop/products/0001_WRENCHER-MC_32.jpg?v=1675795195")</f>
        <v/>
      </c>
      <c r="H177">
        <f>_xlfn.IMAGE("https://m.media-amazon.com/images/I/91toHmYP6AL._AC_UL320_.jpg")</f>
        <v/>
      </c>
      <c r="K177" t="inlineStr">
        <is>
          <t>199.99</t>
        </is>
      </c>
      <c r="L177" t="n">
        <v>274.95</v>
      </c>
      <c r="M177" s="1" t="inlineStr">
        <is>
          <t>37.48%</t>
        </is>
      </c>
      <c r="N177" s="7" t="n">
        <v>11.74</v>
      </c>
      <c r="O177" t="n">
        <v>4.8</v>
      </c>
      <c r="P177" t="n">
        <v>361</v>
      </c>
      <c r="R177" t="inlineStr">
        <is>
          <t>InStock</t>
        </is>
      </c>
      <c r="S177" t="inlineStr">
        <is>
          <t>undefined</t>
        </is>
      </c>
      <c r="T177" t="inlineStr">
        <is>
          <t>7940474208472</t>
        </is>
      </c>
    </row>
    <row r="178" ht="87" customHeight="1">
      <c r="A178" s="2">
        <f>HYPERLINK("https://edmondsonsupply.com/collections/storage-organization/products/clc-l255", "https://edmondsonsupply.com/collections/storage-organization/products/clc-l255")</f>
        <v/>
      </c>
      <c r="B178" s="2">
        <f>HYPERLINK("https://edmondsonsupply.com/products/clc-l255", "https://edmondsonsupply.com/products/clc-l255")</f>
        <v/>
      </c>
      <c r="C178" t="inlineStr">
        <is>
          <t>CLC L255 TECH GEAR 53 Pocket - Lighted Backpack</t>
        </is>
      </c>
      <c r="D178" t="inlineStr">
        <is>
          <t>CLC Custom Leather Craft L255 Tech Gear Lighted Backpack, 53 Compartments, 16" x 13"</t>
        </is>
      </c>
      <c r="E178" s="2">
        <f>HYPERLINK("https://www.amazon.com/CLC-Custom-Leather-Craft-Compartments/dp/B01KWILK76/ref=sr_1_2?keywords=CLC+L255+TECH+GEAR+53+Pocket+-+Lighted+Backpack&amp;qid=1694734464&amp;sr=8-2", "https://www.amazon.com/CLC-Custom-Leather-Craft-Compartments/dp/B01KWILK76/ref=sr_1_2?keywords=CLC+L255+TECH+GEAR+53+Pocket+-+Lighted+Backpack&amp;qid=1694734464&amp;sr=8-2")</f>
        <v/>
      </c>
      <c r="F178" t="inlineStr">
        <is>
          <t>B01KWILK76</t>
        </is>
      </c>
      <c r="G178">
        <f>_xlfn.IMAGE("https://edmondsonsupply.com/cdn/shop/products/L255.jpg?v=1609788641")</f>
        <v/>
      </c>
      <c r="H178">
        <f>_xlfn.IMAGE("https://m.media-amazon.com/images/I/614l79WAhZL._AC_UL320_.jpg")</f>
        <v/>
      </c>
      <c r="K178" t="inlineStr">
        <is>
          <t>119.0</t>
        </is>
      </c>
      <c r="L178" t="n">
        <v>162.25</v>
      </c>
      <c r="M178" s="1" t="inlineStr">
        <is>
          <t>36.34%</t>
        </is>
      </c>
      <c r="N178" s="7" t="n">
        <v>11.13</v>
      </c>
      <c r="O178" t="n">
        <v>5</v>
      </c>
      <c r="P178" t="n">
        <v>1</v>
      </c>
      <c r="R178" t="inlineStr">
        <is>
          <t>InStock</t>
        </is>
      </c>
      <c r="S178" t="inlineStr">
        <is>
          <t>159.0</t>
        </is>
      </c>
      <c r="T178" t="inlineStr">
        <is>
          <t>5267651985576</t>
        </is>
      </c>
    </row>
    <row r="179" ht="87" customHeight="1">
      <c r="A179" s="2">
        <f>HYPERLINK("https://edmondsonsupply.com/collections/storage-organization/products/fluke-c60-soft-carrying-case", "https://edmondsonsupply.com/collections/storage-organization/products/fluke-c60-soft-carrying-case")</f>
        <v/>
      </c>
      <c r="B179" s="2">
        <f>HYPERLINK("https://edmondsonsupply.com/products/fluke-c60-soft-carrying-case", "https://edmondsonsupply.com/products/fluke-c60-soft-carrying-case")</f>
        <v/>
      </c>
      <c r="C179" t="inlineStr">
        <is>
          <t>Fluke C60 Soft Carrying Case</t>
        </is>
      </c>
      <c r="D179" t="inlineStr">
        <is>
          <t>Fluke C23 Vinyl Soft Carrying Case</t>
        </is>
      </c>
      <c r="E179" s="2">
        <f>HYPERLINK("https://www.amazon.com/Fluke-C23-Vinyl-Soft-Carrying/dp/B000Q8SDUA/ref=sr_1_2?keywords=Fluke+C60+Soft+Carrying+Case&amp;qid=1694734460&amp;sr=8-2", "https://www.amazon.com/Fluke-C23-Vinyl-Soft-Carrying/dp/B000Q8SDUA/ref=sr_1_2?keywords=Fluke+C60+Soft+Carrying+Case&amp;qid=1694734460&amp;sr=8-2")</f>
        <v/>
      </c>
      <c r="F179" t="inlineStr">
        <is>
          <t>B000Q8SDUA</t>
        </is>
      </c>
      <c r="G179">
        <f>_xlfn.IMAGE("https://edmondsonsupply.com/cdn/shop/products/c60.png?v=1633030926")</f>
        <v/>
      </c>
      <c r="H179">
        <f>_xlfn.IMAGE("https://m.media-amazon.com/images/I/619hfrCzniL._AC_UL320_.jpg")</f>
        <v/>
      </c>
      <c r="K179" t="inlineStr">
        <is>
          <t>49.49</t>
        </is>
      </c>
      <c r="L179" t="n">
        <v>67.44</v>
      </c>
      <c r="M179" s="1" t="inlineStr">
        <is>
          <t>36.27%</t>
        </is>
      </c>
      <c r="N179" s="7" t="n">
        <v>10.18</v>
      </c>
      <c r="O179" t="n">
        <v>4.5</v>
      </c>
      <c r="P179" t="n">
        <v>12</v>
      </c>
      <c r="R179" t="inlineStr">
        <is>
          <t>InStock</t>
        </is>
      </c>
      <c r="S179" t="inlineStr">
        <is>
          <t>54.99</t>
        </is>
      </c>
      <c r="T179" t="inlineStr">
        <is>
          <t>6544664723629</t>
        </is>
      </c>
    </row>
    <row r="180" ht="87" customHeight="1">
      <c r="A180" s="2">
        <f>HYPERLINK("https://edmondsonsupply.com/collections/storage-organization/products/veto-pro-pac-wrencher-xl", "https://edmondsonsupply.com/collections/storage-organization/products/veto-pro-pac-wrencher-xl")</f>
        <v/>
      </c>
      <c r="B180" s="2">
        <f>HYPERLINK("https://edmondsonsupply.com/products/veto-pro-pac-wrencher-xl", "https://edmondsonsupply.com/products/veto-pro-pac-wrencher-xl")</f>
        <v/>
      </c>
      <c r="C180" t="inlineStr">
        <is>
          <t>Veto Pro Pac Wrencher XL</t>
        </is>
      </c>
      <c r="D180" t="inlineStr">
        <is>
          <t>Veto Pro Pac TECH-XL WHEELER</t>
        </is>
      </c>
      <c r="E180" s="2">
        <f>HYPERLINK("https://www.amazon.com/Veto-Pro-Pac-TECH-XL-WHEELER/dp/B09ZCB7L65/ref=sr_1_6?keywords=Veto+Pro+Pac+Wrencher+XL&amp;qid=1694734460&amp;sr=8-6", "https://www.amazon.com/Veto-Pro-Pac-TECH-XL-WHEELER/dp/B09ZCB7L65/ref=sr_1_6?keywords=Veto+Pro+Pac+Wrencher+XL&amp;qid=1694734460&amp;sr=8-6")</f>
        <v/>
      </c>
      <c r="F180" t="inlineStr">
        <is>
          <t>B09ZCB7L65</t>
        </is>
      </c>
      <c r="G180">
        <f>_xlfn.IMAGE("https://edmondsonsupply.com/cdn/shop/products/0006_WRENCHER-XL_11.jpg?v=1675796410")</f>
        <v/>
      </c>
      <c r="H180">
        <f>_xlfn.IMAGE("https://m.media-amazon.com/images/I/511rkEcpV0L._AC_UL320_.jpg")</f>
        <v/>
      </c>
      <c r="K180" t="inlineStr">
        <is>
          <t>359.99</t>
        </is>
      </c>
      <c r="L180" t="n">
        <v>489.95</v>
      </c>
      <c r="M180" s="1" t="inlineStr">
        <is>
          <t>36.10%</t>
        </is>
      </c>
      <c r="N180" s="7" t="n">
        <v>10.02</v>
      </c>
      <c r="O180" t="n">
        <v>4.6</v>
      </c>
      <c r="P180" t="n">
        <v>17</v>
      </c>
      <c r="R180" t="inlineStr">
        <is>
          <t>InStock</t>
        </is>
      </c>
      <c r="S180" t="inlineStr">
        <is>
          <t>undefined</t>
        </is>
      </c>
      <c r="T180" t="inlineStr">
        <is>
          <t>7940480139480</t>
        </is>
      </c>
    </row>
    <row r="181" ht="87" customHeight="1">
      <c r="A181" s="2">
        <f>HYPERLINK("https://edmondsonsupply.com/collections/storage-organization/products/klein-tools-5141-canvas-bag-4-pk-brown-black-gray-red", "https://edmondsonsupply.com/collections/storage-organization/products/klein-tools-5141-canvas-bag-4-pk-brown-black-gray-red")</f>
        <v/>
      </c>
      <c r="B181" s="2">
        <f>HYPERLINK("https://edmondsonsupply.com/products/klein-tools-5141-canvas-bag-4-pk-brown-black-gray-red", "https://edmondsonsupply.com/products/klein-tools-5141-canvas-bag-4-pk-brown-black-gray-red")</f>
        <v/>
      </c>
      <c r="C181" t="inlineStr">
        <is>
          <t>Klein Tools 5141 Zipper Bags, Canvas Tool Pouches Brown/Black/Gray/Red, 4-Pack</t>
        </is>
      </c>
      <c r="D181" t="inlineStr">
        <is>
          <t>Klein Tools 5141 Canvas Zipper Bag, 12.5 x 7-Inch, Brown/Black/Gray/Red 4-Pack &amp; 55470 Utility Bag, Stand-Up Zipper Tool Bags, Orange/Black, Gray/Black, 2-Pack</t>
        </is>
      </c>
      <c r="E181" s="2">
        <f>HYPERLINK("https://www.amazon.com/Klein-Tools-Canvas-Utility-Stand-Up/dp/B0BD3XVWR6/ref=sr_1_8?keywords=Klein+Tools+5141+Zipper+Bags%2C+Canvas+Tool+Pouches+Brown%2FBlack%2FGray%2FRed%2C+4-Pack&amp;qid=1694734445&amp;sr=8-8", "https://www.amazon.com/Klein-Tools-Canvas-Utility-Stand-Up/dp/B0BD3XVWR6/ref=sr_1_8?keywords=Klein+Tools+5141+Zipper+Bags%2C+Canvas+Tool+Pouches+Brown%2FBlack%2FGray%2FRed%2C+4-Pack&amp;qid=1694734445&amp;sr=8-8")</f>
        <v/>
      </c>
      <c r="F181" t="inlineStr">
        <is>
          <t>B0BD3XVWR6</t>
        </is>
      </c>
      <c r="G181">
        <f>_xlfn.IMAGE("https://edmondsonsupply.com/cdn/shop/products/5141.jpg?v=1633030517")</f>
        <v/>
      </c>
      <c r="H181">
        <f>_xlfn.IMAGE("https://m.media-amazon.com/images/I/51n7dZuAc6L._AC_UL320_.jpg")</f>
        <v/>
      </c>
      <c r="K181" t="inlineStr">
        <is>
          <t>39.97</t>
        </is>
      </c>
      <c r="L181" t="n">
        <v>53.99</v>
      </c>
      <c r="M181" s="1" t="inlineStr">
        <is>
          <t>35.08%</t>
        </is>
      </c>
      <c r="N181" s="7" t="n">
        <v>8.630000000000001</v>
      </c>
      <c r="O181" t="n">
        <v>5</v>
      </c>
      <c r="P181" t="n">
        <v>2</v>
      </c>
      <c r="R181" t="inlineStr">
        <is>
          <t>InStock</t>
        </is>
      </c>
      <c r="S181" t="inlineStr">
        <is>
          <t>60.56</t>
        </is>
      </c>
      <c r="T181" t="inlineStr">
        <is>
          <t>5397460156584</t>
        </is>
      </c>
    </row>
    <row r="182" ht="87" customHeight="1">
      <c r="A182" s="2">
        <f>HYPERLINK("https://edmondsonsupply.com/collections/storage-organization/products/klein-tools-5141-canvas-bag-4-pk-brown-black-gray-red", "https://edmondsonsupply.com/collections/storage-organization/products/klein-tools-5141-canvas-bag-4-pk-brown-black-gray-red")</f>
        <v/>
      </c>
      <c r="B182" s="2">
        <f>HYPERLINK("https://edmondsonsupply.com/products/klein-tools-5141-canvas-bag-4-pk-brown-black-gray-red", "https://edmondsonsupply.com/products/klein-tools-5141-canvas-bag-4-pk-brown-black-gray-red")</f>
        <v/>
      </c>
      <c r="C182" t="inlineStr">
        <is>
          <t>Klein Tools 5141 Zipper Bags, Canvas Tool Pouches Brown/Black/Gray/Red, 4-Pack</t>
        </is>
      </c>
      <c r="D182" t="inlineStr">
        <is>
          <t>Klein Tools 5141 Canvas Zipper Bag, 12.5 x 7-Inch, Brown/Black/Gray/Red 4-Pack &amp; 55559 Stand-Up Zipper Bag Tool Pouch with Carabiners, 7-Inch Blue and 14-Inch Gray Utility Bags, 2-Pack</t>
        </is>
      </c>
      <c r="E182" s="2">
        <f>HYPERLINK("https://www.amazon.com/Klein-Tools-Stand-Up-Carabiners-14-Inch/dp/B0BKQ9CM13/ref=sr_1_4?keywords=Klein+Tools+5141+Zipper+Bags%2C+Canvas+Tool+Pouches+Brown%2FBlack%2FGray%2FRed%2C+4-Pack&amp;qid=1694734445&amp;sr=8-4", "https://www.amazon.com/Klein-Tools-Stand-Up-Carabiners-14-Inch/dp/B0BKQ9CM13/ref=sr_1_4?keywords=Klein+Tools+5141+Zipper+Bags%2C+Canvas+Tool+Pouches+Brown%2FBlack%2FGray%2FRed%2C+4-Pack&amp;qid=1694734445&amp;sr=8-4")</f>
        <v/>
      </c>
      <c r="F182" t="inlineStr">
        <is>
          <t>B0BKQ9CM13</t>
        </is>
      </c>
      <c r="G182">
        <f>_xlfn.IMAGE("https://edmondsonsupply.com/cdn/shop/products/5141.jpg?v=1633030517")</f>
        <v/>
      </c>
      <c r="H182">
        <f>_xlfn.IMAGE("https://m.media-amazon.com/images/I/416u4HXmGJL._AC_UL320_.jpg")</f>
        <v/>
      </c>
      <c r="K182" t="inlineStr">
        <is>
          <t>39.97</t>
        </is>
      </c>
      <c r="L182" t="n">
        <v>53.99</v>
      </c>
      <c r="M182" s="1" t="inlineStr">
        <is>
          <t>35.08%</t>
        </is>
      </c>
      <c r="N182" s="7" t="n">
        <v>8.390000000000001</v>
      </c>
      <c r="O182" t="n">
        <v>4.5</v>
      </c>
      <c r="P182" t="n">
        <v>2</v>
      </c>
      <c r="R182" t="inlineStr">
        <is>
          <t>InStock</t>
        </is>
      </c>
      <c r="S182" t="inlineStr">
        <is>
          <t>60.56</t>
        </is>
      </c>
      <c r="T182" t="inlineStr">
        <is>
          <t>5397460156584</t>
        </is>
      </c>
    </row>
    <row r="183" ht="87" customHeight="1">
      <c r="A183" s="2">
        <f>HYPERLINK("https://edmondsonsupply.com/collections/storage-organization/products/fluke-c37xt-protective-eva-hard-tool-case", "https://edmondsonsupply.com/collections/storage-organization/products/fluke-c37xt-protective-eva-hard-tool-case")</f>
        <v/>
      </c>
      <c r="B183" s="2">
        <f>HYPERLINK("https://edmondsonsupply.com/products/fluke-c37xt-protective-eva-hard-tool-case", "https://edmondsonsupply.com/products/fluke-c37xt-protective-eva-hard-tool-case")</f>
        <v/>
      </c>
      <c r="C183" t="inlineStr">
        <is>
          <t>Fluke C37XT Protective EVA Hard Tool Case</t>
        </is>
      </c>
      <c r="D183" t="inlineStr">
        <is>
          <t>Fluke C37XT Protective EVA Hard Tool Carrying Case for 117/1587 FC/87V/87V Max/T5/T6/323/324/378FC and Many More</t>
        </is>
      </c>
      <c r="E183" s="2">
        <f>HYPERLINK("https://www.amazon.com/Fluke-C37XT-Protective-Carrying-378FC/dp/B09TG79CRT/ref=sr_1_1?keywords=Fluke+C37XT+Protective+EVA+Hard+Tool+Case&amp;qid=1694734450&amp;sr=8-1", "https://www.amazon.com/Fluke-C37XT-Protective-Carrying-378FC/dp/B09TG79CRT/ref=sr_1_1?keywords=Fluke+C37XT+Protective+EVA+Hard+Tool+Case&amp;qid=1694734450&amp;sr=8-1")</f>
        <v/>
      </c>
      <c r="F183" t="inlineStr">
        <is>
          <t>B09TG79CRT</t>
        </is>
      </c>
      <c r="G183">
        <f>_xlfn.IMAGE("https://edmondsonsupply.com/cdn/shop/products/F-c37xt_06a_w.webp?v=1665405653")</f>
        <v/>
      </c>
      <c r="H183">
        <f>_xlfn.IMAGE("https://m.media-amazon.com/images/I/71d44jrMhPL._AC_UL320_.jpg")</f>
        <v/>
      </c>
      <c r="K183" t="inlineStr">
        <is>
          <t>53.79</t>
        </is>
      </c>
      <c r="L183" t="n">
        <v>71.87</v>
      </c>
      <c r="M183" s="1" t="inlineStr">
        <is>
          <t>33.61%</t>
        </is>
      </c>
      <c r="N183" s="7" t="n">
        <v>6.4</v>
      </c>
      <c r="O183" t="n">
        <v>4.4</v>
      </c>
      <c r="P183" t="n">
        <v>67</v>
      </c>
      <c r="R183" t="inlineStr">
        <is>
          <t>InStock</t>
        </is>
      </c>
      <c r="S183" t="inlineStr">
        <is>
          <t>54.99</t>
        </is>
      </c>
      <c r="T183" t="inlineStr">
        <is>
          <t>7845839143128</t>
        </is>
      </c>
    </row>
    <row r="184" ht="87" customHeight="1">
      <c r="A184" s="2">
        <f>HYPERLINK("https://edmondsonsupply.com/collections/storage-organization/products/klein-tools-58888-12-pocket-tool-tote-with-shoulder-strap", "https://edmondsonsupply.com/collections/storage-organization/products/klein-tools-58888-12-pocket-tool-tote-with-shoulder-strap")</f>
        <v/>
      </c>
      <c r="B184" s="2">
        <f>HYPERLINK("https://edmondsonsupply.com/products/klein-tools-58888-12-pocket-tool-tote-with-shoulder-strap", "https://edmondsonsupply.com/products/klein-tools-58888-12-pocket-tool-tote-with-shoulder-strap")</f>
        <v/>
      </c>
      <c r="C184" t="inlineStr">
        <is>
          <t>Klein Tools 58888 12 Pocket Tool Tote with Shoulder Strap</t>
        </is>
      </c>
      <c r="D184" t="inlineStr">
        <is>
          <t>Klein Tools 55597 Tool Bag Backpack, Tradesman Pro Tool Organizer with 39 Pockets, Reflective Hi Viz, Padded Shoulder Straps, Molded Base</t>
        </is>
      </c>
      <c r="E184" s="2">
        <f>HYPERLINK("https://www.amazon.com/Electrician-Tradesman-Klein-Tools-55597/dp/B01N2KEYLV/ref=sr_1_10?keywords=Klein+Tools+58888+12+Pocket+Tool+Tote+with+Shoulder+Strap&amp;qid=1694734451&amp;sr=8-10", "https://www.amazon.com/Electrician-Tradesman-Klein-Tools-55597/dp/B01N2KEYLV/ref=sr_1_10?keywords=Klein+Tools+58888+12+Pocket+Tool+Tote+with+Shoulder+Strap&amp;qid=1694734451&amp;sr=8-10")</f>
        <v/>
      </c>
      <c r="F184" t="inlineStr">
        <is>
          <t>B01N2KEYLV</t>
        </is>
      </c>
      <c r="G184">
        <f>_xlfn.IMAGE("https://edmondsonsupply.com/cdn/shop/products/58888.jpg?v=1660004615")</f>
        <v/>
      </c>
      <c r="H184">
        <f>_xlfn.IMAGE("https://m.media-amazon.com/images/I/71Jhnj1-I+L._AC_UL320_.jpg")</f>
        <v/>
      </c>
      <c r="K184" t="inlineStr">
        <is>
          <t>82.99</t>
        </is>
      </c>
      <c r="L184" t="n">
        <v>110.72</v>
      </c>
      <c r="M184" s="1" t="inlineStr">
        <is>
          <t>33.41%</t>
        </is>
      </c>
      <c r="N184" s="7" t="n">
        <v>5.86</v>
      </c>
      <c r="O184" t="n">
        <v>4.7</v>
      </c>
      <c r="P184" t="n">
        <v>237</v>
      </c>
      <c r="R184" t="inlineStr">
        <is>
          <t>InStock</t>
        </is>
      </c>
      <c r="S184" t="inlineStr">
        <is>
          <t>135.44</t>
        </is>
      </c>
      <c r="T184" t="inlineStr">
        <is>
          <t>7776729333976</t>
        </is>
      </c>
    </row>
    <row r="185" ht="87" customHeight="1">
      <c r="A185" s="2">
        <f>HYPERLINK("https://edmondsonsupply.com/collections/storage-organization/products/klein-tools-58888-12-pocket-tool-tote-with-shoulder-strap", "https://edmondsonsupply.com/collections/storage-organization/products/klein-tools-58888-12-pocket-tool-tote-with-shoulder-strap")</f>
        <v/>
      </c>
      <c r="B185" s="2">
        <f>HYPERLINK("https://edmondsonsupply.com/products/klein-tools-58888-12-pocket-tool-tote-with-shoulder-strap", "https://edmondsonsupply.com/products/klein-tools-58888-12-pocket-tool-tote-with-shoulder-strap")</f>
        <v/>
      </c>
      <c r="C185" t="inlineStr">
        <is>
          <t>Klein Tools 58888 12 Pocket Tool Tote with Shoulder Strap</t>
        </is>
      </c>
      <c r="D185" t="inlineStr">
        <is>
          <t>Klein Tools 55598 Tradesman Pro High-Visibility Tool Bag with 42 Different Sized Pockets and Detatchable Shoulder Strap</t>
        </is>
      </c>
      <c r="E185" s="2">
        <f>HYPERLINK("https://www.amazon.com/Tradesman-High-Visibility-Klein-Tools-55598/dp/B01NCB4ZTN/ref=sr_1_9?keywords=Klein+Tools+58888+12+Pocket+Tool+Tote+with+Shoulder+Strap&amp;qid=1694734451&amp;sr=8-9", "https://www.amazon.com/Tradesman-High-Visibility-Klein-Tools-55598/dp/B01NCB4ZTN/ref=sr_1_9?keywords=Klein+Tools+58888+12+Pocket+Tool+Tote+with+Shoulder+Strap&amp;qid=1694734451&amp;sr=8-9")</f>
        <v/>
      </c>
      <c r="F185" t="inlineStr">
        <is>
          <t>B01NCB4ZTN</t>
        </is>
      </c>
      <c r="G185">
        <f>_xlfn.IMAGE("https://edmondsonsupply.com/cdn/shop/products/58888.jpg?v=1660004615")</f>
        <v/>
      </c>
      <c r="H185">
        <f>_xlfn.IMAGE("https://m.media-amazon.com/images/I/71VOyZPFAxL._AC_UL320_.jpg")</f>
        <v/>
      </c>
      <c r="K185" t="inlineStr">
        <is>
          <t>82.99</t>
        </is>
      </c>
      <c r="L185" t="n">
        <v>109.99</v>
      </c>
      <c r="M185" s="1" t="inlineStr">
        <is>
          <t>32.53%</t>
        </is>
      </c>
      <c r="N185" s="7" t="n">
        <v>5.44</v>
      </c>
      <c r="O185" t="n">
        <v>4.3</v>
      </c>
      <c r="P185" t="n">
        <v>72</v>
      </c>
      <c r="R185" t="inlineStr">
        <is>
          <t>InStock</t>
        </is>
      </c>
      <c r="S185" t="inlineStr">
        <is>
          <t>135.44</t>
        </is>
      </c>
      <c r="T185" t="inlineStr">
        <is>
          <t>7776729333976</t>
        </is>
      </c>
    </row>
    <row r="186" ht="87" customHeight="1">
      <c r="A186" s="2">
        <f>HYPERLINK("https://edmondsonsupply.com/collections/storage-organization/products/veto-pro-pac-tp-xxl-tool-pouch", "https://edmondsonsupply.com/collections/storage-organization/products/veto-pro-pac-tp-xxl-tool-pouch")</f>
        <v/>
      </c>
      <c r="B186" s="2">
        <f>HYPERLINK("https://edmondsonsupply.com/products/veto-pro-pac-tp-xxl-tool-pouch", "https://edmondsonsupply.com/products/veto-pro-pac-tp-xxl-tool-pouch")</f>
        <v/>
      </c>
      <c r="C186" t="inlineStr">
        <is>
          <t>Veto Pro Pac TP-XXL Tool Pouch</t>
        </is>
      </c>
      <c r="D186" t="inlineStr">
        <is>
          <t>Veto Pro Pac Model XXL-F Tool Bag</t>
        </is>
      </c>
      <c r="E186" s="2">
        <f>HYPERLINK("https://www.amazon.com/VETO-PRO-PAC-Model-XXL-F/dp/B0002HC2CK/ref=sr_1_3?keywords=Veto+Pro+Pac+TP-XXL+Tool+Pouch&amp;qid=1694734436&amp;sr=8-3", "https://www.amazon.com/VETO-PRO-PAC-Model-XXL-F/dp/B0002HC2CK/ref=sr_1_3?keywords=Veto+Pro+Pac+TP-XXL+Tool+Pouch&amp;qid=1694734436&amp;sr=8-3")</f>
        <v/>
      </c>
      <c r="F186" t="inlineStr">
        <is>
          <t>B0002HC2CK</t>
        </is>
      </c>
      <c r="G186">
        <f>_xlfn.IMAGE("https://edmondsonsupply.com/cdn/shop/products/01_TP-XXL.jpg?v=1633031173")</f>
        <v/>
      </c>
      <c r="H186">
        <f>_xlfn.IMAGE("https://m.media-amazon.com/images/I/61tR0YjGMkL._AC_UL320_.jpg")</f>
        <v/>
      </c>
      <c r="K186" t="inlineStr">
        <is>
          <t>209.99</t>
        </is>
      </c>
      <c r="L186" t="n">
        <v>269.95</v>
      </c>
      <c r="M186" s="1" t="inlineStr">
        <is>
          <t>28.55%</t>
        </is>
      </c>
      <c r="N186" s="7" t="n">
        <v>4.74</v>
      </c>
      <c r="O186" t="n">
        <v>4.5</v>
      </c>
      <c r="P186" t="n">
        <v>261</v>
      </c>
      <c r="R186" t="inlineStr">
        <is>
          <t>InStock</t>
        </is>
      </c>
      <c r="S186" t="inlineStr">
        <is>
          <t>undefined</t>
        </is>
      </c>
      <c r="T186" t="inlineStr">
        <is>
          <t>6917899321517</t>
        </is>
      </c>
    </row>
    <row r="187" hidden="1" ht="15.75" customHeight="1">
      <c r="A187" s="2">
        <f>HYPERLINK("https://edmondsonsupply.com/collections/storage-organization/products/fluke-c60-soft-carrying-case", "https://edmondsonsupply.com/collections/storage-organization/products/fluke-c60-soft-carrying-case")</f>
        <v/>
      </c>
      <c r="B187" s="2">
        <f>HYPERLINK("https://edmondsonsupply.com/products/fluke-c60-soft-carrying-case", "https://edmondsonsupply.com/products/fluke-c60-soft-carrying-case")</f>
        <v/>
      </c>
      <c r="C187" t="inlineStr">
        <is>
          <t>Fluke C60 Soft Carrying Case</t>
        </is>
      </c>
      <c r="D187" t="inlineStr">
        <is>
          <t>Fluke C280 Polyester Soft Carrying Case</t>
        </is>
      </c>
      <c r="E187" s="2">
        <f>HYPERLINK("https://www.amazon.com/Fluke-C280-Polyester-Soft-Carrying/dp/B0017QOXMM/ref=sr_1_19?keywords=Fluke+C60+Soft+Carrying+Case&amp;qid=1694734460&amp;sr=8-19", "https://www.amazon.com/Fluke-C280-Polyester-Soft-Carrying/dp/B0017QOXMM/ref=sr_1_19?keywords=Fluke+C60+Soft+Carrying+Case&amp;qid=1694734460&amp;sr=8-19")</f>
        <v/>
      </c>
      <c r="F187" t="inlineStr">
        <is>
          <t>B0017QOXMM</t>
        </is>
      </c>
      <c r="G187">
        <f>_xludf.IMAGE("https://edmondsonsupply.com/cdn/shop/products/c60.png?v=1633030926")</f>
        <v/>
      </c>
      <c r="H187">
        <f>_xludf.IMAGE("https://m.media-amazon.com/images/I/91d6IMcYxLL._AC_UL320_.jpg")</f>
        <v/>
      </c>
      <c r="K187" t="inlineStr">
        <is>
          <t>49.49</t>
        </is>
      </c>
      <c r="L187" t="n">
        <v>63.4</v>
      </c>
      <c r="M187" s="1" t="inlineStr">
        <is>
          <t>28.11%</t>
        </is>
      </c>
      <c r="N187" s="1" t="n">
        <v>3.32</v>
      </c>
      <c r="O187" t="n">
        <v>4</v>
      </c>
      <c r="P187" t="n">
        <v>36</v>
      </c>
      <c r="R187" t="inlineStr">
        <is>
          <t>InStock</t>
        </is>
      </c>
      <c r="S187" t="inlineStr">
        <is>
          <t>54.99</t>
        </is>
      </c>
      <c r="T187" t="inlineStr">
        <is>
          <t>6544664723629</t>
        </is>
      </c>
    </row>
    <row r="188" ht="87" customHeight="1">
      <c r="A188" s="2">
        <f>HYPERLINK("https://edmondsonsupply.com/collections/storage-organization/products/veto-pro-pac-ot-xl-extra-large-open-top-tool-bag", "https://edmondsonsupply.com/collections/storage-organization/products/veto-pro-pac-ot-xl-extra-large-open-top-tool-bag")</f>
        <v/>
      </c>
      <c r="B188" s="2">
        <f>HYPERLINK("https://edmondsonsupply.com/products/veto-pro-pac-ot-xl-extra-large-open-top-tool-bag", "https://edmondsonsupply.com/products/veto-pro-pac-ot-xl-extra-large-open-top-tool-bag")</f>
        <v/>
      </c>
      <c r="C188" t="inlineStr">
        <is>
          <t>Veto Pro Pac OT-XL Extra Large Open Top Tool Bag</t>
        </is>
      </c>
      <c r="D188" t="inlineStr">
        <is>
          <t>Veto Pro Pac Wrencher-LC (Large, Open-Top Tool Bag)</t>
        </is>
      </c>
      <c r="E188" s="2">
        <f>HYPERLINK("https://www.amazon.com/Veto-Pro-Pac-Wrencher-LC-Open-Top/dp/B0BBPFQ447/ref=sr_1_12?keywords=Veto+Pro+Pac+OT-XL+Extra+Large+Open+Top+Tool+Bag&amp;qid=1694734447&amp;sr=8-12", "https://www.amazon.com/Veto-Pro-Pac-Wrencher-LC-Open-Top/dp/B0BBPFQ447/ref=sr_1_12?keywords=Veto+Pro+Pac+OT-XL+Extra+Large+Open+Top+Tool+Bag&amp;qid=1694734447&amp;sr=8-12")</f>
        <v/>
      </c>
      <c r="F188" t="inlineStr">
        <is>
          <t>B0BBPFQ447</t>
        </is>
      </c>
      <c r="G188">
        <f>_xlfn.IMAGE("https://edmondsonsupply.com/cdn/shop/products/OTXL_600x830_0000_OT-XL_1.jpg?v=1649028209")</f>
        <v/>
      </c>
      <c r="H188">
        <f>_xlfn.IMAGE("https://m.media-amazon.com/images/I/61iZfeBF47L._AC_UL320_.jpg")</f>
        <v/>
      </c>
      <c r="K188" t="inlineStr">
        <is>
          <t>269.95</t>
        </is>
      </c>
      <c r="L188" t="n">
        <v>339.95</v>
      </c>
      <c r="M188" s="1" t="inlineStr">
        <is>
          <t>25.93%</t>
        </is>
      </c>
      <c r="N188" s="7" t="n">
        <v>0</v>
      </c>
      <c r="O188" t="n">
        <v>5</v>
      </c>
      <c r="P188" t="n">
        <v>1</v>
      </c>
      <c r="R188" t="inlineStr">
        <is>
          <t>InStock</t>
        </is>
      </c>
      <c r="S188" t="inlineStr">
        <is>
          <t>undefined</t>
        </is>
      </c>
      <c r="T188" t="inlineStr">
        <is>
          <t>7652911612120</t>
        </is>
      </c>
    </row>
    <row r="189" ht="87" customHeight="1">
      <c r="A189" s="2">
        <f>HYPERLINK("https://edmondsonsupply.com/collections/storage-organization/products/veto-pro-pac-tp-lc-tool-pouch", "https://edmondsonsupply.com/collections/storage-organization/products/veto-pro-pac-tp-lc-tool-pouch")</f>
        <v/>
      </c>
      <c r="B189" s="2">
        <f>HYPERLINK("https://edmondsonsupply.com/products/veto-pro-pac-tp-lc-tool-pouch", "https://edmondsonsupply.com/products/veto-pro-pac-tp-lc-tool-pouch")</f>
        <v/>
      </c>
      <c r="C189" t="inlineStr">
        <is>
          <t>Veto Pro Pac TP-LC Tool Pouch</t>
        </is>
      </c>
      <c r="D189" t="inlineStr">
        <is>
          <t>Veto Pro Pac TP-XL Extra Large Tool Pouch</t>
        </is>
      </c>
      <c r="E189" s="2">
        <f>HYPERLINK("https://www.amazon.com/Veto-TP-XL-Extra-Large-Pouch/dp/B07WDL7SD3/ref=sr_1_2?keywords=Veto+Pro+Pac+TP-LC+Tool+Pouch&amp;qid=1694734452&amp;sr=8-2", "https://www.amazon.com/Veto-TP-XL-Extra-Large-Pouch/dp/B07WDL7SD3/ref=sr_1_2?keywords=Veto+Pro+Pac+TP-LC+Tool+Pouch&amp;qid=1694734452&amp;sr=8-2")</f>
        <v/>
      </c>
      <c r="F189" t="inlineStr">
        <is>
          <t>B07WDL7SD3</t>
        </is>
      </c>
      <c r="G189">
        <f>_xlfn.IMAGE("https://edmondsonsupply.com/cdn/shop/products/TPLC.jpg?v=1648948141")</f>
        <v/>
      </c>
      <c r="H189">
        <f>_xlfn.IMAGE("https://m.media-amazon.com/images/I/91dIbPcb4XL._AC_UL320_.jpg")</f>
        <v/>
      </c>
      <c r="K189" t="inlineStr">
        <is>
          <t>134.99</t>
        </is>
      </c>
      <c r="L189" t="n">
        <v>169.95</v>
      </c>
      <c r="M189" s="1" t="inlineStr">
        <is>
          <t>25.90%</t>
        </is>
      </c>
      <c r="N189" s="7" t="n">
        <v>0</v>
      </c>
      <c r="O189" t="n">
        <v>4.9</v>
      </c>
      <c r="P189" t="n">
        <v>1131</v>
      </c>
      <c r="R189" t="inlineStr">
        <is>
          <t>InStock</t>
        </is>
      </c>
      <c r="S189" t="inlineStr">
        <is>
          <t>undefined</t>
        </is>
      </c>
      <c r="T189" t="inlineStr">
        <is>
          <t>7652194189528</t>
        </is>
      </c>
    </row>
    <row r="190" ht="87" customHeight="1">
      <c r="A190" s="2">
        <f>HYPERLINK("https://edmondsonsupply.com/collections/storage-organization/products/klein-tools-58888-12-pocket-tool-tote-with-shoulder-strap", "https://edmondsonsupply.com/collections/storage-organization/products/klein-tools-58888-12-pocket-tool-tote-with-shoulder-strap")</f>
        <v/>
      </c>
      <c r="B190" s="2">
        <f>HYPERLINK("https://edmondsonsupply.com/products/klein-tools-58888-12-pocket-tool-tote-with-shoulder-strap", "https://edmondsonsupply.com/products/klein-tools-58888-12-pocket-tool-tote-with-shoulder-strap")</f>
        <v/>
      </c>
      <c r="C190" t="inlineStr">
        <is>
          <t>Klein Tools 58888 12 Pocket Tool Tote with Shoulder Strap</t>
        </is>
      </c>
      <c r="D190" t="inlineStr">
        <is>
          <t>Klein Tools 55431 Tool Bag with Molded Bottom, Padded Shoulder Strap and Lighted Tool Storage with 31 Pockets</t>
        </is>
      </c>
      <c r="E190" s="2">
        <f>HYPERLINK("https://www.amazon.com/Shoulder-Handles-Klein-Tools-55431/dp/B00MJNWO82/ref=sr_1_5?keywords=Klein+Tools+58888+12+Pocket+Tool+Tote+with+Shoulder+Strap&amp;qid=1694734451&amp;sr=8-5", "https://www.amazon.com/Shoulder-Handles-Klein-Tools-55431/dp/B00MJNWO82/ref=sr_1_5?keywords=Klein+Tools+58888+12+Pocket+Tool+Tote+with+Shoulder+Strap&amp;qid=1694734451&amp;sr=8-5")</f>
        <v/>
      </c>
      <c r="F190" t="inlineStr">
        <is>
          <t>B00MJNWO82</t>
        </is>
      </c>
      <c r="G190">
        <f>_xlfn.IMAGE("https://edmondsonsupply.com/cdn/shop/products/58888.jpg?v=1660004615")</f>
        <v/>
      </c>
      <c r="H190">
        <f>_xlfn.IMAGE("https://m.media-amazon.com/images/I/71tbNRyKA9L._AC_UL320_.jpg")</f>
        <v/>
      </c>
      <c r="K190" t="inlineStr">
        <is>
          <t>82.99</t>
        </is>
      </c>
      <c r="L190" t="n">
        <v>103.75</v>
      </c>
      <c r="M190" s="1" t="inlineStr">
        <is>
          <t>25.02%</t>
        </is>
      </c>
      <c r="N190" s="7" t="n">
        <v>0</v>
      </c>
      <c r="O190" t="n">
        <v>4.6</v>
      </c>
      <c r="P190" t="n">
        <v>447</v>
      </c>
      <c r="R190" t="inlineStr">
        <is>
          <t>InStock</t>
        </is>
      </c>
      <c r="S190" t="inlineStr">
        <is>
          <t>135.44</t>
        </is>
      </c>
      <c r="T190" t="inlineStr">
        <is>
          <t>7776729333976</t>
        </is>
      </c>
    </row>
    <row r="191" ht="87" customHeight="1">
      <c r="A191" s="2">
        <f>HYPERLINK("https://edmondsonsupply.com/collections/storage-organization/products/fluke-c60-soft-carrying-case", "https://edmondsonsupply.com/collections/storage-organization/products/fluke-c60-soft-carrying-case")</f>
        <v/>
      </c>
      <c r="B191" s="2">
        <f>HYPERLINK("https://edmondsonsupply.com/products/fluke-c60-soft-carrying-case", "https://edmondsonsupply.com/products/fluke-c60-soft-carrying-case")</f>
        <v/>
      </c>
      <c r="C191" t="inlineStr">
        <is>
          <t>Fluke C60 Soft Carrying Case</t>
        </is>
      </c>
      <c r="D191" t="inlineStr">
        <is>
          <t>Fluke C116 Polyester Soft Carrying Case</t>
        </is>
      </c>
      <c r="E191" s="2">
        <f>HYPERLINK("https://www.amazon.com/Fluke-C116-Polyester-Soft-Carrying/dp/B0012WRD96/ref=sr_1_5?keywords=Fluke+C60+Soft+Carrying+Case&amp;qid=1694734460&amp;sr=8-5", "https://www.amazon.com/Fluke-C116-Polyester-Soft-Carrying/dp/B0012WRD96/ref=sr_1_5?keywords=Fluke+C60+Soft+Carrying+Case&amp;qid=1694734460&amp;sr=8-5")</f>
        <v/>
      </c>
      <c r="F191" t="inlineStr">
        <is>
          <t>B0012WRD96</t>
        </is>
      </c>
      <c r="G191">
        <f>_xlfn.IMAGE("https://edmondsonsupply.com/cdn/shop/products/c60.png?v=1633030926")</f>
        <v/>
      </c>
      <c r="H191">
        <f>_xlfn.IMAGE("https://m.media-amazon.com/images/I/7135NJiG3XL._AC_UL320_.jpg")</f>
        <v/>
      </c>
      <c r="K191" t="inlineStr">
        <is>
          <t>49.49</t>
        </is>
      </c>
      <c r="L191" t="n">
        <v>61.66</v>
      </c>
      <c r="M191" s="1" t="inlineStr">
        <is>
          <t>24.59%</t>
        </is>
      </c>
      <c r="N191" s="7" t="n">
        <v>0</v>
      </c>
      <c r="O191" t="n">
        <v>4.2</v>
      </c>
      <c r="P191" t="n">
        <v>30</v>
      </c>
      <c r="R191" t="inlineStr">
        <is>
          <t>InStock</t>
        </is>
      </c>
      <c r="S191" t="inlineStr">
        <is>
          <t>54.99</t>
        </is>
      </c>
      <c r="T191" t="inlineStr">
        <is>
          <t>6544664723629</t>
        </is>
      </c>
    </row>
    <row r="192" ht="87" customHeight="1">
      <c r="A192" s="2">
        <f>HYPERLINK("https://edmondsonsupply.com/collections/storage-organization/products/fieldpiece-anc9-scale-case", "https://edmondsonsupply.com/collections/storage-organization/products/fieldpiece-anc9-scale-case")</f>
        <v/>
      </c>
      <c r="B192" s="2">
        <f>HYPERLINK("https://edmondsonsupply.com/products/fieldpiece-anc9-scale-case", "https://edmondsonsupply.com/products/fieldpiece-anc9-scale-case")</f>
        <v/>
      </c>
      <c r="C192" t="inlineStr">
        <is>
          <t>Fieldpiece ANC9 - Padded Scale Case</t>
        </is>
      </c>
      <c r="D192" t="inlineStr">
        <is>
          <t>Fieldpiece ANC9 Scale Case</t>
        </is>
      </c>
      <c r="E192" s="2">
        <f>HYPERLINK("https://www.amazon.com/Fieldpiece-ANC9-Scale-Case/dp/B003U86VQG/ref=sr_1_1?keywords=Fieldpiece+ANC9+-+Padded+Scale+Case&amp;qid=1694734445&amp;sr=8-1", "https://www.amazon.com/Fieldpiece-ANC9-Scale-Case/dp/B003U86VQG/ref=sr_1_1?keywords=Fieldpiece+ANC9+-+Padded+Scale+Case&amp;qid=1694734445&amp;sr=8-1")</f>
        <v/>
      </c>
      <c r="F192" t="inlineStr">
        <is>
          <t>B003U86VQG</t>
        </is>
      </c>
      <c r="G192">
        <f>_xlfn.IMAGE("https://edmondsonsupply.com/cdn/shop/products/ANC9.png?v=1587149904")</f>
        <v/>
      </c>
      <c r="H192">
        <f>_xlfn.IMAGE("https://m.media-amazon.com/images/I/21sYP-pDbhL._AC_UL320_.jpg")</f>
        <v/>
      </c>
      <c r="K192" t="inlineStr">
        <is>
          <t>24.65</t>
        </is>
      </c>
      <c r="L192" t="n">
        <v>30.64</v>
      </c>
      <c r="M192" s="1" t="inlineStr">
        <is>
          <t>24.30%</t>
        </is>
      </c>
      <c r="N192" s="7" t="n">
        <v>0</v>
      </c>
      <c r="O192" t="n">
        <v>4.9</v>
      </c>
      <c r="P192" t="n">
        <v>66</v>
      </c>
      <c r="R192" t="inlineStr">
        <is>
          <t>InStock</t>
        </is>
      </c>
      <c r="S192" t="inlineStr">
        <is>
          <t>29.0</t>
        </is>
      </c>
      <c r="T192" t="inlineStr">
        <is>
          <t>3665795154020</t>
        </is>
      </c>
    </row>
    <row r="193" ht="87" customHeight="1">
      <c r="A193" s="2">
        <f>HYPERLINK("https://edmondsonsupply.com/collections/storage-organization/products/veto-pro-pac-tech-lc-tool-bag", "https://edmondsonsupply.com/collections/storage-organization/products/veto-pro-pac-tech-lc-tool-bag")</f>
        <v/>
      </c>
      <c r="B193" s="2">
        <f>HYPERLINK("https://edmondsonsupply.com/products/veto-pro-pac-tech-lc-tool-bag", "https://edmondsonsupply.com/products/veto-pro-pac-tech-lc-tool-bag")</f>
        <v/>
      </c>
      <c r="C193" t="inlineStr">
        <is>
          <t>Veto Pro Pac TECH MC Compact Tool Bag</t>
        </is>
      </c>
      <c r="D193" t="inlineStr">
        <is>
          <t>TECHOT-MC Veto Compact Open Top Tool Bag</t>
        </is>
      </c>
      <c r="E193" s="2">
        <f>HYPERLINK("https://www.amazon.com/TECHOT-MC-Veto-COMPACT-Open-Tool/dp/B07146M3QW/ref=sr_1_5?keywords=Veto+Pro+Pac+TECH+MC+Compact+Tool+Bag&amp;qid=1694734451&amp;sr=8-5", "https://www.amazon.com/TECHOT-MC-Veto-COMPACT-Open-Tool/dp/B07146M3QW/ref=sr_1_5?keywords=Veto+Pro+Pac+TECH+MC+Compact+Tool+Bag&amp;qid=1694734451&amp;sr=8-5")</f>
        <v/>
      </c>
      <c r="F193" t="inlineStr">
        <is>
          <t>B07146M3QW</t>
        </is>
      </c>
      <c r="G193">
        <f>_xlfn.IMAGE("https://edmondsonsupply.com/cdn/shop/products/MC1_87e0d14c-0e4f-4e1a-b23d-f796a6e88a52.jpg?v=1587147172")</f>
        <v/>
      </c>
      <c r="H193">
        <f>_xlfn.IMAGE("https://m.media-amazon.com/images/I/7164ViSBjML._AC_UL320_.jpg")</f>
        <v/>
      </c>
      <c r="K193" t="inlineStr">
        <is>
          <t>169.99</t>
        </is>
      </c>
      <c r="L193" t="n">
        <v>209.95</v>
      </c>
      <c r="M193" s="1" t="inlineStr">
        <is>
          <t>23.51%</t>
        </is>
      </c>
      <c r="N193" s="7" t="n">
        <v>0</v>
      </c>
      <c r="O193" t="n">
        <v>4.8</v>
      </c>
      <c r="P193" t="n">
        <v>702</v>
      </c>
      <c r="R193" t="inlineStr">
        <is>
          <t>InStock</t>
        </is>
      </c>
      <c r="S193" t="inlineStr">
        <is>
          <t>undefined</t>
        </is>
      </c>
      <c r="T193" t="inlineStr">
        <is>
          <t>3561427468388</t>
        </is>
      </c>
    </row>
    <row r="194" ht="87" customHeight="1">
      <c r="A194" s="2">
        <f>HYPERLINK("https://edmondsonsupply.com/collections/storage-organization/products/klein-tools-58888-12-pocket-tool-tote-with-shoulder-strap", "https://edmondsonsupply.com/collections/storage-organization/products/klein-tools-58888-12-pocket-tool-tote-with-shoulder-strap")</f>
        <v/>
      </c>
      <c r="B194" s="2">
        <f>HYPERLINK("https://edmondsonsupply.com/products/klein-tools-58888-12-pocket-tool-tote-with-shoulder-strap", "https://edmondsonsupply.com/products/klein-tools-58888-12-pocket-tool-tote-with-shoulder-strap")</f>
        <v/>
      </c>
      <c r="C194" t="inlineStr">
        <is>
          <t>Klein Tools 58888 12 Pocket Tool Tote with Shoulder Strap</t>
        </is>
      </c>
      <c r="D194" t="inlineStr">
        <is>
          <t>Klein Tools 510218SPBLK Tool Bag, Large 18-Inch Deluxe Canvas Tool Bag and Organizer with 13 Pockets and Shoulder Strap, Black</t>
        </is>
      </c>
      <c r="E194" s="2">
        <f>HYPERLINK("https://www.amazon.com/Klein-Tools-Deluxe-Canvas-18-Inch/dp/B07VB168TG/ref=sr_1_6?keywords=Klein+Tools+58888+12+Pocket+Tool+Tote+with+Shoulder+Strap&amp;qid=1694734451&amp;sr=8-6", "https://www.amazon.com/Klein-Tools-Deluxe-Canvas-18-Inch/dp/B07VB168TG/ref=sr_1_6?keywords=Klein+Tools+58888+12+Pocket+Tool+Tote+with+Shoulder+Strap&amp;qid=1694734451&amp;sr=8-6")</f>
        <v/>
      </c>
      <c r="F194" t="inlineStr">
        <is>
          <t>B07VB168TG</t>
        </is>
      </c>
      <c r="G194">
        <f>_xlfn.IMAGE("https://edmondsonsupply.com/cdn/shop/products/58888.jpg?v=1660004615")</f>
        <v/>
      </c>
      <c r="H194">
        <f>_xlfn.IMAGE("https://m.media-amazon.com/images/I/71FluabrW6L._AC_UL320_.jpg")</f>
        <v/>
      </c>
      <c r="K194" t="inlineStr">
        <is>
          <t>82.99</t>
        </is>
      </c>
      <c r="L194" t="n">
        <v>99.98999999999999</v>
      </c>
      <c r="M194" s="1" t="inlineStr">
        <is>
          <t>20.48%</t>
        </is>
      </c>
      <c r="N194" s="7" t="n">
        <v>0</v>
      </c>
      <c r="O194" t="n">
        <v>4.7</v>
      </c>
      <c r="P194" t="n">
        <v>657</v>
      </c>
      <c r="R194" t="inlineStr">
        <is>
          <t>InStock</t>
        </is>
      </c>
      <c r="S194" t="inlineStr">
        <is>
          <t>135.44</t>
        </is>
      </c>
      <c r="T194" t="inlineStr">
        <is>
          <t>7776729333976</t>
        </is>
      </c>
    </row>
    <row r="195" ht="87" customHeight="1">
      <c r="A195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195" s="2">
        <f>HYPERLINK("https://edmondsonsupply.com/products/klein-tools-55560-camo-zipper-bags-2-pack", "https://edmondsonsupply.com/products/klein-tools-55560-camo-zipper-bags-2-pack")</f>
        <v/>
      </c>
      <c r="C195" t="inlineStr">
        <is>
          <t>Klein Tools 55560 Zipper Bags, Camo Tool Pouches, 2-Pack</t>
        </is>
      </c>
      <c r="D195" t="inlineStr">
        <is>
          <t>Klein Tools 55559 Stand-Up Zipper Bag Tool Pouch, 7-Inch Blue and 14-Inch Gray, 2-Pack &amp; 55470 Utility Bag, Stand-Up Zipper Tool Bags, Orange/Black, Gray/Black, 2-Pack</t>
        </is>
      </c>
      <c r="E195" s="2">
        <f>HYPERLINK("https://www.amazon.com/Klein-Tools-Stand-Up-14-Inch-Utility/dp/B0BNL5LYJJ/ref=sr_1_12?keywords=Klein+Tools+55560+Zipper+Bags%2C+Camo+Tool+Pouches%2C+2-Pack&amp;qid=1694734466&amp;sr=8-12", "https://www.amazon.com/Klein-Tools-Stand-Up-14-Inch-Utility/dp/B0BNL5LYJJ/ref=sr_1_12?keywords=Klein+Tools+55560+Zipper+Bags%2C+Camo+Tool+Pouches%2C+2-Pack&amp;qid=1694734466&amp;sr=8-12")</f>
        <v/>
      </c>
      <c r="F195" t="inlineStr">
        <is>
          <t>B0BNL5LYJJ</t>
        </is>
      </c>
      <c r="G195">
        <f>_xlfn.IMAGE("https://edmondsonsupply.com/cdn/shop/products/55560.jpg?v=1633030628")</f>
        <v/>
      </c>
      <c r="H195">
        <f>_xlfn.IMAGE("https://m.media-amazon.com/images/I/51YFgCm7c5L._AC_UL320_.jpg")</f>
        <v/>
      </c>
      <c r="K195" t="inlineStr">
        <is>
          <t>24.99</t>
        </is>
      </c>
      <c r="L195" t="n">
        <v>29.98</v>
      </c>
      <c r="M195" s="1" t="inlineStr">
        <is>
          <t>19.97%</t>
        </is>
      </c>
      <c r="N195" s="7" t="n">
        <v>0</v>
      </c>
      <c r="O195" t="n">
        <v>4.5</v>
      </c>
      <c r="P195" t="n">
        <v>2</v>
      </c>
      <c r="R195" t="inlineStr">
        <is>
          <t>InStock</t>
        </is>
      </c>
      <c r="S195" t="inlineStr">
        <is>
          <t>37.86</t>
        </is>
      </c>
      <c r="T195" t="inlineStr">
        <is>
          <t>5669841109160</t>
        </is>
      </c>
    </row>
    <row r="196" ht="87" customHeight="1">
      <c r="A196" s="2">
        <f>HYPERLINK("https://edmondsonsupply.com/collections/storage-organization/products/copy-of-klein-tools-5539blu-canvas-zipper-bag-consumables-blue", "https://edmondsonsupply.com/collections/storage-organization/products/copy-of-klein-tools-5539blu-canvas-zipper-bag-consumables-blue")</f>
        <v/>
      </c>
      <c r="B196" s="2">
        <f>HYPERLINK("https://edmondsonsupply.com/products/copy-of-klein-tools-5539blu-canvas-zipper-bag-consumables-blue", "https://edmondsonsupply.com/products/copy-of-klein-tools-5539blu-canvas-zipper-bag-consumables-blue")</f>
        <v/>
      </c>
      <c r="C196" t="inlineStr">
        <is>
          <t>Klein Tools 5539NAT Zipper Bag, Canvas Tool Pouch, 10-Inch, Natural</t>
        </is>
      </c>
      <c r="D196" t="inlineStr">
        <is>
          <t>Klein Tools 55559 Stand-Up Zipper Bag Tool Pouch, 2-Pack &amp; 5139 Zipper Bag, Canvas Tool Pouch 12.5 x 7 x 4.25-Inch with Heavy Duty Brass Zipper Close, Natural</t>
        </is>
      </c>
      <c r="E196" s="2">
        <f>HYPERLINK("https://www.amazon.com/Klein-Tools-Stand-Up-4-25-Inch-Natural/dp/B0BR25QG1Q/ref=sr_1_5?keywords=Klein+Tools+5539NAT+Zipper+Bag%2C+Canvas+Tool+Pouch%2C+10-Inch%2C+Natural&amp;qid=1694734461&amp;sr=8-5", "https://www.amazon.com/Klein-Tools-Stand-Up-4-25-Inch-Natural/dp/B0BR25QG1Q/ref=sr_1_5?keywords=Klein+Tools+5539NAT+Zipper+Bag%2C+Canvas+Tool+Pouch%2C+10-Inch%2C+Natural&amp;qid=1694734461&amp;sr=8-5")</f>
        <v/>
      </c>
      <c r="F196" t="inlineStr">
        <is>
          <t>B0BR25QG1Q</t>
        </is>
      </c>
      <c r="G196">
        <f>_xlfn.IMAGE("https://edmondsonsupply.com/cdn/shop/products/5539nat.jpg?v=1633030464")</f>
        <v/>
      </c>
      <c r="H196">
        <f>_xlfn.IMAGE("https://m.media-amazon.com/images/I/51j3cDVxrVL._AC_UL320_.jpg")</f>
        <v/>
      </c>
      <c r="K196" t="inlineStr">
        <is>
          <t>21.18</t>
        </is>
      </c>
      <c r="L196" t="n">
        <v>24.99</v>
      </c>
      <c r="M196" s="1" t="inlineStr">
        <is>
          <t>17.99%</t>
        </is>
      </c>
      <c r="N196" s="7" t="n">
        <v>0</v>
      </c>
      <c r="O196" t="n">
        <v>5</v>
      </c>
      <c r="P196" t="n">
        <v>2</v>
      </c>
      <c r="R196" t="inlineStr">
        <is>
          <t>OutOfStock</t>
        </is>
      </c>
      <c r="S196" t="inlineStr">
        <is>
          <t>undefined</t>
        </is>
      </c>
      <c r="T196" t="inlineStr">
        <is>
          <t>5362260869288</t>
        </is>
      </c>
    </row>
    <row r="197" ht="87" customHeight="1">
      <c r="A197" s="2">
        <f>HYPERLINK("https://edmondsonsupply.com/collections/storage-organization/products/veto-pro-pac-tech-lc-tool-bag", "https://edmondsonsupply.com/collections/storage-organization/products/veto-pro-pac-tech-lc-tool-bag")</f>
        <v/>
      </c>
      <c r="B197" s="2">
        <f>HYPERLINK("https://edmondsonsupply.com/products/veto-pro-pac-tech-lc-tool-bag", "https://edmondsonsupply.com/products/veto-pro-pac-tech-lc-tool-bag")</f>
        <v/>
      </c>
      <c r="C197" t="inlineStr">
        <is>
          <t>Veto Pro Pac TECH MC Compact Tool Bag</t>
        </is>
      </c>
      <c r="D197" t="inlineStr">
        <is>
          <t>Veto Pro Pac MB-MCT Compact Tool Bag with Rubber Base</t>
        </is>
      </c>
      <c r="E197" s="2">
        <f>HYPERLINK("https://www.amazon.com/Veto-MB-MCT-Compact-Tool-Rubber/dp/B07T15MWRG/ref=sr_1_26?keywords=Veto+Pro+Pac+TECH+MC+Compact+Tool+Bag&amp;qid=1694734451&amp;sr=8-26", "https://www.amazon.com/Veto-MB-MCT-Compact-Tool-Rubber/dp/B07T15MWRG/ref=sr_1_26?keywords=Veto+Pro+Pac+TECH+MC+Compact+Tool+Bag&amp;qid=1694734451&amp;sr=8-26")</f>
        <v/>
      </c>
      <c r="F197" t="inlineStr">
        <is>
          <t>B07T15MWRG</t>
        </is>
      </c>
      <c r="G197">
        <f>_xlfn.IMAGE("https://edmondsonsupply.com/cdn/shop/products/MC1_87e0d14c-0e4f-4e1a-b23d-f796a6e88a52.jpg?v=1587147172")</f>
        <v/>
      </c>
      <c r="H197">
        <f>_xlfn.IMAGE("https://m.media-amazon.com/images/I/41+Iz8Q1qUL._AC_UL320_.jpg")</f>
        <v/>
      </c>
      <c r="K197" t="inlineStr">
        <is>
          <t>169.99</t>
        </is>
      </c>
      <c r="L197" t="n">
        <v>199.95</v>
      </c>
      <c r="M197" s="1" t="inlineStr">
        <is>
          <t>17.62%</t>
        </is>
      </c>
      <c r="N197" s="7" t="n">
        <v>0</v>
      </c>
      <c r="O197" t="n">
        <v>4.9</v>
      </c>
      <c r="P197" t="n">
        <v>31</v>
      </c>
      <c r="R197" t="inlineStr">
        <is>
          <t>InStock</t>
        </is>
      </c>
      <c r="S197" t="inlineStr">
        <is>
          <t>undefined</t>
        </is>
      </c>
      <c r="T197" t="inlineStr">
        <is>
          <t>3561427468388</t>
        </is>
      </c>
    </row>
    <row r="198" ht="87" customHeight="1">
      <c r="A198" s="2">
        <f>HYPERLINK("https://edmondsonsupply.com/collections/storage-organization/products/veto-pro-pac-tech-lc-tool-bag", "https://edmondsonsupply.com/collections/storage-organization/products/veto-pro-pac-tech-lc-tool-bag")</f>
        <v/>
      </c>
      <c r="B198" s="2">
        <f>HYPERLINK("https://edmondsonsupply.com/products/veto-pro-pac-tech-lc-tool-bag", "https://edmondsonsupply.com/products/veto-pro-pac-tech-lc-tool-bag")</f>
        <v/>
      </c>
      <c r="C198" t="inlineStr">
        <is>
          <t>Veto Pro Pac TECH MC Compact Tool Bag</t>
        </is>
      </c>
      <c r="D198" t="inlineStr">
        <is>
          <t>Veto Pro Pac Wrencher-MC (Medium Compact, Open-Top Tool Bag)</t>
        </is>
      </c>
      <c r="E198" s="2">
        <f>HYPERLINK("https://www.amazon.com/Veto-Wrencher-MC-Medium-Compact-Open-Top/dp/B0BBQ3R11H/ref=sr_1_15?keywords=Veto+Pro+Pac+TECH+MC+Compact+Tool+Bag&amp;qid=1694734451&amp;sr=8-15", "https://www.amazon.com/Veto-Wrencher-MC-Medium-Compact-Open-Top/dp/B0BBQ3R11H/ref=sr_1_15?keywords=Veto+Pro+Pac+TECH+MC+Compact+Tool+Bag&amp;qid=1694734451&amp;sr=8-15")</f>
        <v/>
      </c>
      <c r="F198" t="inlineStr">
        <is>
          <t>B0BBQ3R11H</t>
        </is>
      </c>
      <c r="G198">
        <f>_xlfn.IMAGE("https://edmondsonsupply.com/cdn/shop/products/MC1_87e0d14c-0e4f-4e1a-b23d-f796a6e88a52.jpg?v=1587147172")</f>
        <v/>
      </c>
      <c r="H198">
        <f>_xlfn.IMAGE("https://m.media-amazon.com/images/I/51xcXNSndtL._AC_UL320_.jpg")</f>
        <v/>
      </c>
      <c r="K198" t="inlineStr">
        <is>
          <t>169.99</t>
        </is>
      </c>
      <c r="L198" t="n">
        <v>199.95</v>
      </c>
      <c r="M198" s="1" t="inlineStr">
        <is>
          <t>17.62%</t>
        </is>
      </c>
      <c r="N198" s="7" t="n">
        <v>0</v>
      </c>
      <c r="O198" t="n">
        <v>5</v>
      </c>
      <c r="P198" t="n">
        <v>7</v>
      </c>
      <c r="R198" t="inlineStr">
        <is>
          <t>InStock</t>
        </is>
      </c>
      <c r="S198" t="inlineStr">
        <is>
          <t>undefined</t>
        </is>
      </c>
      <c r="T198" t="inlineStr">
        <is>
          <t>3561427468388</t>
        </is>
      </c>
    </row>
    <row r="199" ht="87" customHeight="1">
      <c r="A199" s="2">
        <f>HYPERLINK("https://edmondsonsupply.com/collections/storage-organization/products/veto-pro-pac-wrencher-xxl", "https://edmondsonsupply.com/collections/storage-organization/products/veto-pro-pac-wrencher-xxl")</f>
        <v/>
      </c>
      <c r="B199" s="2">
        <f>HYPERLINK("https://edmondsonsupply.com/products/veto-pro-pac-wrencher-xxl", "https://edmondsonsupply.com/products/veto-pro-pac-wrencher-xxl")</f>
        <v/>
      </c>
      <c r="C199" t="inlineStr">
        <is>
          <t>Veto Pro Pac Wrencher XXL</t>
        </is>
      </c>
      <c r="D199" t="inlineStr">
        <is>
          <t>Veto Pro Pac Model XXL-F Tool Bag</t>
        </is>
      </c>
      <c r="E199" s="2">
        <f>HYPERLINK("https://www.amazon.com/VETO-PRO-PAC-Model-XXL-F/dp/B0002HC2CK/ref=sr_1_7?keywords=Veto+Pro+Pac+Wrencher+XXL&amp;qid=1694734449&amp;sr=8-7", "https://www.amazon.com/VETO-PRO-PAC-Model-XXL-F/dp/B0002HC2CK/ref=sr_1_7?keywords=Veto+Pro+Pac+Wrencher+XXL&amp;qid=1694734449&amp;sr=8-7")</f>
        <v/>
      </c>
      <c r="F199" t="inlineStr">
        <is>
          <t>B0002HC2CK</t>
        </is>
      </c>
      <c r="G199">
        <f>_xlfn.IMAGE("https://edmondsonsupply.com/cdn/shop/files/0003_WRENCHER-XXL_36.jpg?v=1684440775")</f>
        <v/>
      </c>
      <c r="H199">
        <f>_xlfn.IMAGE("https://m.media-amazon.com/images/I/61tR0YjGMkL._AC_UL320_.jpg")</f>
        <v/>
      </c>
      <c r="K199" t="inlineStr">
        <is>
          <t>229.95</t>
        </is>
      </c>
      <c r="L199" t="n">
        <v>269.95</v>
      </c>
      <c r="M199" s="1" t="inlineStr">
        <is>
          <t>17.40%</t>
        </is>
      </c>
      <c r="N199" s="7" t="n">
        <v>0</v>
      </c>
      <c r="O199" t="n">
        <v>4.5</v>
      </c>
      <c r="P199" t="n">
        <v>261</v>
      </c>
      <c r="R199" t="inlineStr">
        <is>
          <t>InStock</t>
        </is>
      </c>
      <c r="S199" t="inlineStr">
        <is>
          <t>undefined</t>
        </is>
      </c>
      <c r="T199" t="inlineStr">
        <is>
          <t>7993760612568</t>
        </is>
      </c>
    </row>
    <row r="200" ht="87" customHeight="1">
      <c r="A200" s="2">
        <f>HYPERLINK("https://edmondsonsupply.com/collections/storage-organization/products/veto-pro-pac-tech-ot-sc-open-top-electrician-tool-bag", "https://edmondsonsupply.com/collections/storage-organization/products/veto-pro-pac-tech-ot-sc-open-top-electrician-tool-bag")</f>
        <v/>
      </c>
      <c r="B200" s="2">
        <f>HYPERLINK("https://edmondsonsupply.com/products/veto-pro-pac-tech-ot-sc-open-top-electrician-tool-bag", "https://edmondsonsupply.com/products/veto-pro-pac-tech-ot-sc-open-top-electrician-tool-bag")</f>
        <v/>
      </c>
      <c r="C200" t="inlineStr">
        <is>
          <t>Veto Pro Pac Tech OT-SC Open Top Electrician Tool Bag</t>
        </is>
      </c>
      <c r="D200" t="inlineStr">
        <is>
          <t>TECHOT-MC Veto Compact Open Top Tool Bag</t>
        </is>
      </c>
      <c r="E200" s="2">
        <f>HYPERLINK("https://www.amazon.com/TECHOT-MC-Veto-COMPACT-Open-Tool/dp/B07146M3QW/ref=sr_1_2?keywords=Veto+Pro+Pac+Tech+OT-SC+Open+Top+Electrician+Tool+Bag&amp;qid=1694734448&amp;sr=8-2", "https://www.amazon.com/TECHOT-MC-Veto-COMPACT-Open-Tool/dp/B07146M3QW/ref=sr_1_2?keywords=Veto+Pro+Pac+Tech+OT-SC+Open+Top+Electrician+Tool+Bag&amp;qid=1694734448&amp;sr=8-2")</f>
        <v/>
      </c>
      <c r="F200" t="inlineStr">
        <is>
          <t>B07146M3QW</t>
        </is>
      </c>
      <c r="G200">
        <f>_xlfn.IMAGE("https://edmondsonsupply.com/cdn/shop/products/0_707ca9f3-2e27-41c1-883d-1aec36a4e25a.jpg?v=1674835772")</f>
        <v/>
      </c>
      <c r="H200">
        <f>_xlfn.IMAGE("https://m.media-amazon.com/images/I/7164ViSBjML._AC_UL320_.jpg")</f>
        <v/>
      </c>
      <c r="K200" t="inlineStr">
        <is>
          <t>179.99</t>
        </is>
      </c>
      <c r="L200" t="n">
        <v>209.95</v>
      </c>
      <c r="M200" s="1" t="inlineStr">
        <is>
          <t>16.65%</t>
        </is>
      </c>
      <c r="N200" s="7" t="n">
        <v>0</v>
      </c>
      <c r="O200" t="n">
        <v>4.8</v>
      </c>
      <c r="P200" t="n">
        <v>702</v>
      </c>
      <c r="R200" t="inlineStr">
        <is>
          <t>InStock</t>
        </is>
      </c>
      <c r="S200" t="inlineStr">
        <is>
          <t>undefined</t>
        </is>
      </c>
      <c r="T200" t="inlineStr">
        <is>
          <t>7934929862872</t>
        </is>
      </c>
    </row>
    <row r="201" ht="87" customHeight="1">
      <c r="A201" s="2">
        <f>HYPERLINK("https://edmondsonsupply.com/collections/storage-organization/products/clc-1523-21-small-zip-top-utility-pouch", "https://edmondsonsupply.com/collections/storage-organization/products/clc-1523-21-small-zip-top-utility-pouch")</f>
        <v/>
      </c>
      <c r="B201" s="2">
        <f>HYPERLINK("https://edmondsonsupply.com/products/clc-1523-21-small-zip-top-utility-pouch", "https://edmondsonsupply.com/products/clc-1523-21-small-zip-top-utility-pouch")</f>
        <v/>
      </c>
      <c r="C201" t="inlineStr">
        <is>
          <t>CLC 1523 21 Small Ziptop™ Utility Pouch</t>
        </is>
      </c>
      <c r="D201" t="inlineStr">
        <is>
          <t>CLC Custom Leathercraft 1523 Ziptop Utility Pouch, Small</t>
        </is>
      </c>
      <c r="E201" s="2">
        <f>HYPERLINK("https://www.amazon.com/Custom-Leathercraft-1523-Ziptop-Utility/dp/B0047O3TYE/ref=sr_1_1?keywords=CLC+1523+21+Small+Ziptop%E2%84%A2+Utility+Pouch&amp;qid=1694734467&amp;sr=8-1", "https://www.amazon.com/Custom-Leathercraft-1523-Ziptop-Utility/dp/B0047O3TYE/ref=sr_1_1?keywords=CLC+1523+21+Small+Ziptop%E2%84%A2+Utility+Pouch&amp;qid=1694734467&amp;sr=8-1")</f>
        <v/>
      </c>
      <c r="F201" t="inlineStr">
        <is>
          <t>B0047O3TYE</t>
        </is>
      </c>
      <c r="G201">
        <f>_xlfn.IMAGE("https://edmondsonsupply.com/cdn/shop/products/1523.jpg?v=1633030333")</f>
        <v/>
      </c>
      <c r="H201">
        <f>_xlfn.IMAGE("https://m.media-amazon.com/images/I/81gcgjndIzL._AC_UL320_.jpg")</f>
        <v/>
      </c>
      <c r="K201" t="inlineStr">
        <is>
          <t>19.95</t>
        </is>
      </c>
      <c r="L201" t="n">
        <v>22.99</v>
      </c>
      <c r="M201" s="1" t="inlineStr">
        <is>
          <t>15.24%</t>
        </is>
      </c>
      <c r="N201" s="7" t="n">
        <v>0</v>
      </c>
      <c r="O201" t="n">
        <v>4.5</v>
      </c>
      <c r="P201" t="n">
        <v>1006</v>
      </c>
      <c r="R201" t="inlineStr">
        <is>
          <t>InStock</t>
        </is>
      </c>
      <c r="S201" t="inlineStr">
        <is>
          <t>32.95</t>
        </is>
      </c>
      <c r="T201" t="inlineStr">
        <is>
          <t>5267994607784</t>
        </is>
      </c>
    </row>
    <row r="202" ht="87" customHeight="1">
      <c r="A202" s="2">
        <f>HYPERLINK("https://edmondsonsupply.com/collections/storage-organization/products/veto-pro-pac-ot-xl-extra-large-open-top-tool-bag", "https://edmondsonsupply.com/collections/storage-organization/products/veto-pro-pac-ot-xl-extra-large-open-top-tool-bag")</f>
        <v/>
      </c>
      <c r="B202" s="2">
        <f>HYPERLINK("https://edmondsonsupply.com/products/veto-pro-pac-ot-xl-extra-large-open-top-tool-bag", "https://edmondsonsupply.com/products/veto-pro-pac-ot-xl-extra-large-open-top-tool-bag")</f>
        <v/>
      </c>
      <c r="C202" t="inlineStr">
        <is>
          <t>Veto Pro Pac OT-XL Extra Large Open Top Tool Bag</t>
        </is>
      </c>
      <c r="D202" t="inlineStr">
        <is>
          <t>Veto OT-XXL Extra Large Open Top Contractor’s Tool Bag</t>
        </is>
      </c>
      <c r="E202" s="2">
        <f>HYPERLINK("https://www.amazon.com/Veto-OT-XXL-Extra-Large-Contractors/dp/B09D23MY9J/ref=sr_1_9?keywords=Veto+Pro+Pac+OT-XL+Extra+Large+Open+Top+Tool+Bag&amp;qid=1694734447&amp;sr=8-9", "https://www.amazon.com/Veto-OT-XXL-Extra-Large-Contractors/dp/B09D23MY9J/ref=sr_1_9?keywords=Veto+Pro+Pac+OT-XL+Extra+Large+Open+Top+Tool+Bag&amp;qid=1694734447&amp;sr=8-9")</f>
        <v/>
      </c>
      <c r="F202" t="inlineStr">
        <is>
          <t>B09D23MY9J</t>
        </is>
      </c>
      <c r="G202">
        <f>_xlfn.IMAGE("https://edmondsonsupply.com/cdn/shop/products/OTXL_600x830_0000_OT-XL_1.jpg?v=1649028209")</f>
        <v/>
      </c>
      <c r="H202">
        <f>_xlfn.IMAGE("https://m.media-amazon.com/images/I/512D3qm30wL._AC_UL320_.jpg")</f>
        <v/>
      </c>
      <c r="K202" t="inlineStr">
        <is>
          <t>269.95</t>
        </is>
      </c>
      <c r="L202" t="n">
        <v>309.95</v>
      </c>
      <c r="M202" s="1" t="inlineStr">
        <is>
          <t>14.82%</t>
        </is>
      </c>
      <c r="N202" s="7" t="n">
        <v>0</v>
      </c>
      <c r="O202" t="n">
        <v>4.9</v>
      </c>
      <c r="P202" t="n">
        <v>20</v>
      </c>
      <c r="R202" t="inlineStr">
        <is>
          <t>InStock</t>
        </is>
      </c>
      <c r="S202" t="inlineStr">
        <is>
          <t>undefined</t>
        </is>
      </c>
      <c r="T202" t="inlineStr">
        <is>
          <t>7652911612120</t>
        </is>
      </c>
    </row>
    <row r="203" ht="87" customHeight="1">
      <c r="A203" s="2">
        <f>HYPERLINK("https://edmondsonsupply.com/collections/storage-organization/products/klein-tools-5141p-tool-bag-canvas-utility-bag-loop-connection-10-x-5-x-12-inch", "https://edmondsonsupply.com/collections/storage-organization/products/klein-tools-5141p-tool-bag-canvas-utility-bag-loop-connection-10-x-5-x-12-inch")</f>
        <v/>
      </c>
      <c r="B203" s="2">
        <f>HYPERLINK("https://edmondsonsupply.com/products/klein-tools-5141p-tool-bag-canvas-utility-bag-loop-connection-10-x-5-x-12-inch", "https://edmondsonsupply.com/products/klein-tools-5141p-tool-bag-canvas-utility-bag-loop-connection-10-x-5-x-12-inch")</f>
        <v/>
      </c>
      <c r="C203" t="inlineStr">
        <is>
          <t>Klein Tools 5141P Tool Bag, Canvas Utility Bag, Loop Connection, 10 x 5 x 12-Inch</t>
        </is>
      </c>
      <c r="D203" t="inlineStr">
        <is>
          <t>Klein Tools 5141 Zipper Tool Bag, Canvas Tool Pouch / Utility Bag, Bank Deposit Bag, 12.5 x 7-Inch, Brown/Black/Gray/Red 4-Pack</t>
        </is>
      </c>
      <c r="E203" s="2">
        <f>HYPERLINK("https://www.amazon.com/Utility-Zipper-12-5-Inch-Klein-Tools/dp/B007V8RXVI/ref=sr_1_11?keywords=Klein+Tools+5141P+Tool+Bag%2C+Canvas+Utility+Bag%2C+Loop+Connection%2C+10+x+5+x+12-Inch&amp;qid=1694734462&amp;sr=8-11", "https://www.amazon.com/Utility-Zipper-12-5-Inch-Klein-Tools/dp/B007V8RXVI/ref=sr_1_11?keywords=Klein+Tools+5141P+Tool+Bag%2C+Canvas+Utility+Bag%2C+Loop+Connection%2C+10+x+5+x+12-Inch&amp;qid=1694734462&amp;sr=8-11")</f>
        <v/>
      </c>
      <c r="F203" t="inlineStr">
        <is>
          <t>B007V8RXVI</t>
        </is>
      </c>
      <c r="G203">
        <f>_xlfn.IMAGE("https://edmondsonsupply.com/cdn/shop/products/5141-p.jpg?v=1633031061")</f>
        <v/>
      </c>
      <c r="H203">
        <f>_xlfn.IMAGE("https://m.media-amazon.com/images/I/61K2xaMr+oL._AC_UL320_.jpg")</f>
        <v/>
      </c>
      <c r="K203" t="inlineStr">
        <is>
          <t>34.65</t>
        </is>
      </c>
      <c r="L203" t="n">
        <v>39</v>
      </c>
      <c r="M203" s="1" t="inlineStr">
        <is>
          <t>12.55%</t>
        </is>
      </c>
      <c r="N203" s="7" t="n">
        <v>0</v>
      </c>
      <c r="O203" t="n">
        <v>4.8</v>
      </c>
      <c r="P203" t="n">
        <v>4463</v>
      </c>
      <c r="R203" t="inlineStr">
        <is>
          <t>InStock</t>
        </is>
      </c>
      <c r="S203" t="inlineStr">
        <is>
          <t>54.98</t>
        </is>
      </c>
      <c r="T203" t="inlineStr">
        <is>
          <t>6817822343341</t>
        </is>
      </c>
    </row>
    <row r="204" ht="87" customHeight="1">
      <c r="A204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204" s="2">
        <f>HYPERLINK("https://edmondsonsupply.com/products/veto-pro-pac-tech-pac-mc-blackout", "https://edmondsonsupply.com/products/veto-pro-pac-tech-pac-mc-blackout")</f>
        <v/>
      </c>
      <c r="C204" t="inlineStr">
        <is>
          <t>Veto Pro Pac TECH PAC MC Blackout</t>
        </is>
      </c>
      <c r="D204" t="inlineStr">
        <is>
          <t>Veto Pro Pac TECH PAC (Black)</t>
        </is>
      </c>
      <c r="E204" s="2">
        <f>HYPERLINK("https://www.amazon.com/Veto-Pro-Pac-TECH-Black/dp/B085FQLM4N/ref=sr_1_2?keywords=Veto+Pro+Pac+TECH+PAC+MC+Blackout&amp;qid=1694734455&amp;sr=8-2", "https://www.amazon.com/Veto-Pro-Pac-TECH-Black/dp/B085FQLM4N/ref=sr_1_2?keywords=Veto+Pro+Pac+TECH+PAC+MC+Blackout&amp;qid=1694734455&amp;sr=8-2")</f>
        <v/>
      </c>
      <c r="F204" t="inlineStr">
        <is>
          <t>B085FQLM4N</t>
        </is>
      </c>
      <c r="G204">
        <f>_xlfn.IMAGE("https://edmondsonsupply.com/cdn/shop/products/tech1.png?v=1633031062")</f>
        <v/>
      </c>
      <c r="H204">
        <f>_xlfn.IMAGE("https://m.media-amazon.com/images/I/91WcrOnbw2L._AC_UL320_.jpg")</f>
        <v/>
      </c>
      <c r="K204" t="inlineStr">
        <is>
          <t>294.99</t>
        </is>
      </c>
      <c r="L204" t="n">
        <v>329.95</v>
      </c>
      <c r="M204" s="1" t="inlineStr">
        <is>
          <t>11.85%</t>
        </is>
      </c>
      <c r="N204" s="7" t="n">
        <v>0</v>
      </c>
      <c r="O204" t="n">
        <v>4.8</v>
      </c>
      <c r="P204" t="n">
        <v>2263</v>
      </c>
      <c r="R204" t="inlineStr">
        <is>
          <t>InStock</t>
        </is>
      </c>
      <c r="S204" t="inlineStr">
        <is>
          <t>undefined</t>
        </is>
      </c>
      <c r="T204" t="inlineStr">
        <is>
          <t>6821254496429</t>
        </is>
      </c>
    </row>
    <row r="205" ht="87" customHeight="1">
      <c r="A205" s="2">
        <f>HYPERLINK("https://edmondsonsupply.com/collections/storage-organization/products/veto-pro-pac-tech-lc-tool-bag", "https://edmondsonsupply.com/collections/storage-organization/products/veto-pro-pac-tech-lc-tool-bag")</f>
        <v/>
      </c>
      <c r="B205" s="2">
        <f>HYPERLINK("https://edmondsonsupply.com/products/veto-pro-pac-tech-lc-tool-bag", "https://edmondsonsupply.com/products/veto-pro-pac-tech-lc-tool-bag")</f>
        <v/>
      </c>
      <c r="C205" t="inlineStr">
        <is>
          <t>Veto Pro Pac TECH MC Compact Tool Bag</t>
        </is>
      </c>
      <c r="D205" t="inlineStr">
        <is>
          <t>VETO PRO PAC TECH-MCT Tool Bag (Original)</t>
        </is>
      </c>
      <c r="E205" s="2">
        <f>HYPERLINK("https://www.amazon.com/VETO-PRO-PAC-TECH-MCT-Tool/dp/B01CENNFYS/ref=sr_1_3?keywords=Veto+Pro+Pac+TECH+MC+Compact+Tool+Bag&amp;qid=1694734451&amp;sr=8-3", "https://www.amazon.com/VETO-PRO-PAC-TECH-MCT-Tool/dp/B01CENNFYS/ref=sr_1_3?keywords=Veto+Pro+Pac+TECH+MC+Compact+Tool+Bag&amp;qid=1694734451&amp;sr=8-3")</f>
        <v/>
      </c>
      <c r="F205" t="inlineStr">
        <is>
          <t>B01CENNFYS</t>
        </is>
      </c>
      <c r="G205">
        <f>_xlfn.IMAGE("https://edmondsonsupply.com/cdn/shop/products/MC1_87e0d14c-0e4f-4e1a-b23d-f796a6e88a52.jpg?v=1587147172")</f>
        <v/>
      </c>
      <c r="H205">
        <f>_xlfn.IMAGE("https://m.media-amazon.com/images/I/61GanfvVX6L._AC_UL320_.jpg")</f>
        <v/>
      </c>
      <c r="K205" t="inlineStr">
        <is>
          <t>169.99</t>
        </is>
      </c>
      <c r="L205" t="n">
        <v>189.95</v>
      </c>
      <c r="M205" s="1" t="inlineStr">
        <is>
          <t>11.74%</t>
        </is>
      </c>
      <c r="N205" s="7" t="n">
        <v>0</v>
      </c>
      <c r="O205" t="n">
        <v>4.8</v>
      </c>
      <c r="P205" t="n">
        <v>2081</v>
      </c>
      <c r="R205" t="inlineStr">
        <is>
          <t>InStock</t>
        </is>
      </c>
      <c r="S205" t="inlineStr">
        <is>
          <t>undefined</t>
        </is>
      </c>
      <c r="T205" t="inlineStr">
        <is>
          <t>3561427468388</t>
        </is>
      </c>
    </row>
    <row r="206" ht="87" customHeight="1">
      <c r="A206" s="2">
        <f>HYPERLINK("https://edmondsonsupply.com/collections/storage-organization/products/fluke-c60-soft-carrying-case", "https://edmondsonsupply.com/collections/storage-organization/products/fluke-c60-soft-carrying-case")</f>
        <v/>
      </c>
      <c r="B206" s="2">
        <f>HYPERLINK("https://edmondsonsupply.com/products/fluke-c60-soft-carrying-case", "https://edmondsonsupply.com/products/fluke-c60-soft-carrying-case")</f>
        <v/>
      </c>
      <c r="C206" t="inlineStr">
        <is>
          <t>Fluke C60 Soft Carrying Case</t>
        </is>
      </c>
      <c r="D206" t="inlineStr">
        <is>
          <t>Fluke C115 Polyester Soft Carrying Case</t>
        </is>
      </c>
      <c r="E206" s="2">
        <f>HYPERLINK("https://www.amazon.com/Fluke-C115-Polyester-Soft-Carrying/dp/B003RYY5HA/ref=sr_1_9?keywords=Fluke+C60+Soft+Carrying+Case&amp;qid=1694734460&amp;sr=8-9", "https://www.amazon.com/Fluke-C115-Polyester-Soft-Carrying/dp/B003RYY5HA/ref=sr_1_9?keywords=Fluke+C60+Soft+Carrying+Case&amp;qid=1694734460&amp;sr=8-9")</f>
        <v/>
      </c>
      <c r="F206" t="inlineStr">
        <is>
          <t>B003RYY5HA</t>
        </is>
      </c>
      <c r="G206">
        <f>_xlfn.IMAGE("https://edmondsonsupply.com/cdn/shop/products/c60.png?v=1633030926")</f>
        <v/>
      </c>
      <c r="H206">
        <f>_xlfn.IMAGE("https://m.media-amazon.com/images/I/71e9pAiBFXL._AC_UL320_.jpg")</f>
        <v/>
      </c>
      <c r="K206" t="inlineStr">
        <is>
          <t>49.49</t>
        </is>
      </c>
      <c r="L206" t="n">
        <v>55</v>
      </c>
      <c r="M206" s="1" t="inlineStr">
        <is>
          <t>11.13%</t>
        </is>
      </c>
      <c r="N206" s="7" t="n">
        <v>-0.01</v>
      </c>
      <c r="O206" t="n">
        <v>4.6</v>
      </c>
      <c r="P206" t="n">
        <v>175</v>
      </c>
      <c r="R206" t="inlineStr">
        <is>
          <t>InStock</t>
        </is>
      </c>
      <c r="S206" t="inlineStr">
        <is>
          <t>54.99</t>
        </is>
      </c>
      <c r="T206" t="inlineStr">
        <is>
          <t>6544664723629</t>
        </is>
      </c>
    </row>
    <row r="207" ht="87" customHeight="1">
      <c r="A207" s="2">
        <f>HYPERLINK("https://edmondsonsupply.com/collections/storage-organization/products/fluke-c60-soft-carrying-case", "https://edmondsonsupply.com/collections/storage-organization/products/fluke-c60-soft-carrying-case")</f>
        <v/>
      </c>
      <c r="B207" s="2">
        <f>HYPERLINK("https://edmondsonsupply.com/products/fluke-c60-soft-carrying-case", "https://edmondsonsupply.com/products/fluke-c60-soft-carrying-case")</f>
        <v/>
      </c>
      <c r="C207" t="inlineStr">
        <is>
          <t>Fluke C60 Soft Carrying Case</t>
        </is>
      </c>
      <c r="D207" t="inlineStr">
        <is>
          <t>Fluke C150 Soft Carrying Case with Polyester, Including Belt Loop and Inner Storage Pocket</t>
        </is>
      </c>
      <c r="E207" s="2">
        <f>HYPERLINK("https://www.amazon.com/Fluke-C150-Zippered-Carrying-T5-1000/dp/B01C3ECK5S/ref=sr_1_7?keywords=Fluke+C60+Soft+Carrying+Case&amp;qid=1694734460&amp;sr=8-7", "https://www.amazon.com/Fluke-C150-Zippered-Carrying-T5-1000/dp/B01C3ECK5S/ref=sr_1_7?keywords=Fluke+C60+Soft+Carrying+Case&amp;qid=1694734460&amp;sr=8-7")</f>
        <v/>
      </c>
      <c r="F207" t="inlineStr">
        <is>
          <t>B01C3ECK5S</t>
        </is>
      </c>
      <c r="G207">
        <f>_xlfn.IMAGE("https://edmondsonsupply.com/cdn/shop/products/c60.png?v=1633030926")</f>
        <v/>
      </c>
      <c r="H207">
        <f>_xlfn.IMAGE("https://m.media-amazon.com/images/I/61l4A5eTrxL._AC_UL320_.jpg")</f>
        <v/>
      </c>
      <c r="K207" t="inlineStr">
        <is>
          <t>49.49</t>
        </is>
      </c>
      <c r="L207" t="n">
        <v>54.53</v>
      </c>
      <c r="M207" s="1" t="inlineStr">
        <is>
          <t>10.18%</t>
        </is>
      </c>
      <c r="N207" s="7" t="n">
        <v>-0.01</v>
      </c>
      <c r="O207" t="n">
        <v>4.6</v>
      </c>
      <c r="P207" t="n">
        <v>300</v>
      </c>
      <c r="R207" t="inlineStr">
        <is>
          <t>InStock</t>
        </is>
      </c>
      <c r="S207" t="inlineStr">
        <is>
          <t>54.99</t>
        </is>
      </c>
      <c r="T207" t="inlineStr">
        <is>
          <t>6544664723629</t>
        </is>
      </c>
    </row>
    <row r="208" ht="87" customHeight="1">
      <c r="A208" s="2">
        <f>HYPERLINK("https://edmondsonsupply.com/collections/storage-organization/products/klein-tools-55421bp-14-tradesman-pro%E2%84%A2-tool-bag-backpack-39-pockets-black-14-inch", "https://edmondsonsupply.com/collections/storage-organization/products/klein-tools-55421bp-14-tradesman-pro%E2%84%A2-tool-bag-backpack-39-pockets-black-14-inch")</f>
        <v/>
      </c>
      <c r="B208" s="2">
        <f>HYPERLINK("https://edmondsonsupply.com/products/klein-tools-55421bp-14-tradesman-pro%e2%84%a2-tool-bag-backpack-39-pockets-black-14-inch", "https://edmondsonsupply.com/products/klein-tools-55421bp-14-tradesman-pro%e2%84%a2-tool-bag-backpack-39-pockets-black-14-inch")</f>
        <v/>
      </c>
      <c r="C208" t="inlineStr">
        <is>
          <t>Klein Tools 55421BP-14 Tradesman Pro™ Tool Bag Backpack, 39 Pockets, Black, 14-Inch</t>
        </is>
      </c>
      <c r="D208" t="inlineStr">
        <is>
          <t>Klein Tools 55421BP14CAMO Tool Bag Backpack, Heavy Duty Tradesman Pro Tool Organizer / Tool Carrier has 39 Pockets, Molded Base, Camo Design</t>
        </is>
      </c>
      <c r="E208" s="2">
        <f>HYPERLINK("https://www.amazon.com/Electrician-Tradesman-Klein-Tools-55421BP14CAMO/dp/B00VX5P8XK/ref=sr_1_5?keywords=Klein+Tools+55421BP-14+Tradesman+Pro%E2%84%A2+Tool+Bag+Backpack%2C+39+Pockets%2C+Black%2C+14-Inch&amp;qid=1694734436&amp;sr=8-5", "https://www.amazon.com/Electrician-Tradesman-Klein-Tools-55421BP14CAMO/dp/B00VX5P8XK/ref=sr_1_5?keywords=Klein+Tools+55421BP-14+Tradesman+Pro%E2%84%A2+Tool+Bag+Backpack%2C+39+Pockets%2C+Black%2C+14-Inch&amp;qid=1694734436&amp;sr=8-5")</f>
        <v/>
      </c>
      <c r="F208" t="inlineStr">
        <is>
          <t>B00VX5P8XK</t>
        </is>
      </c>
      <c r="G208">
        <f>_xlfn.IMAGE("https://edmondsonsupply.com/cdn/shop/products/55421bp-14_photo.jpg?v=1660827337")</f>
        <v/>
      </c>
      <c r="H208">
        <f>_xlfn.IMAGE("https://m.media-amazon.com/images/I/71tSAVLDR+L._AC_UL320_.jpg")</f>
        <v/>
      </c>
      <c r="K208" t="inlineStr">
        <is>
          <t>99.97</t>
        </is>
      </c>
      <c r="L208" t="n">
        <v>109.99</v>
      </c>
      <c r="M208" s="1" t="inlineStr">
        <is>
          <t>10.02%</t>
        </is>
      </c>
      <c r="N208" s="7" t="n">
        <v>-0.01</v>
      </c>
      <c r="O208" t="n">
        <v>4.8</v>
      </c>
      <c r="P208" t="n">
        <v>1762</v>
      </c>
      <c r="R208" t="inlineStr">
        <is>
          <t>InStock</t>
        </is>
      </c>
      <c r="S208" t="inlineStr">
        <is>
          <t>157.98</t>
        </is>
      </c>
      <c r="T208" t="inlineStr">
        <is>
          <t>7784707686616</t>
        </is>
      </c>
    </row>
    <row r="209" ht="87" customHeight="1">
      <c r="A209" s="2">
        <f>HYPERLINK("https://edmondsonsupply.com/collections/storage-organization/products/klein-tools-58888-12-pocket-tool-tote-with-shoulder-strap", "https://edmondsonsupply.com/collections/storage-organization/products/klein-tools-58888-12-pocket-tool-tote-with-shoulder-strap")</f>
        <v/>
      </c>
      <c r="B209" s="2">
        <f>HYPERLINK("https://edmondsonsupply.com/products/klein-tools-58888-12-pocket-tool-tote-with-shoulder-strap", "https://edmondsonsupply.com/products/klein-tools-58888-12-pocket-tool-tote-with-shoulder-strap")</f>
        <v/>
      </c>
      <c r="C209" t="inlineStr">
        <is>
          <t>Klein Tools 58888 12 Pocket Tool Tote with Shoulder Strap</t>
        </is>
      </c>
      <c r="D209" t="inlineStr">
        <is>
          <t>Klein Tools 5541610-14 Tool Bag with Shoulder Strap Has 40 Pockets for Tool Storage and Orange Interior</t>
        </is>
      </c>
      <c r="E209" s="2">
        <f>HYPERLINK("https://www.amazon.com/Shoulder-Interior-Klein-Tools-5541610-14/dp/B00MS16CU6/ref=sr_1_3?keywords=Klein+Tools+58888+12+Pocket+Tool+Tote+with+Shoulder+Strap&amp;qid=1694734451&amp;sr=8-3", "https://www.amazon.com/Shoulder-Interior-Klein-Tools-5541610-14/dp/B00MS16CU6/ref=sr_1_3?keywords=Klein+Tools+58888+12+Pocket+Tool+Tote+with+Shoulder+Strap&amp;qid=1694734451&amp;sr=8-3")</f>
        <v/>
      </c>
      <c r="F209" t="inlineStr">
        <is>
          <t>B00MS16CU6</t>
        </is>
      </c>
      <c r="G209">
        <f>_xlfn.IMAGE("https://edmondsonsupply.com/cdn/shop/products/58888.jpg?v=1660004615")</f>
        <v/>
      </c>
      <c r="H209">
        <f>_xlfn.IMAGE("https://m.media-amazon.com/images/I/61ach47aWeL._AC_UL320_.jpg")</f>
        <v/>
      </c>
      <c r="K209" t="inlineStr">
        <is>
          <t>82.99</t>
        </is>
      </c>
      <c r="L209" t="n">
        <v>90.15000000000001</v>
      </c>
      <c r="M209" s="1" t="inlineStr">
        <is>
          <t>8.63%</t>
        </is>
      </c>
      <c r="N209" s="7" t="n">
        <v>-0.01</v>
      </c>
      <c r="O209" t="n">
        <v>4.8</v>
      </c>
      <c r="P209" t="n">
        <v>2931</v>
      </c>
      <c r="R209" t="inlineStr">
        <is>
          <t>InStock</t>
        </is>
      </c>
      <c r="S209" t="inlineStr">
        <is>
          <t>135.44</t>
        </is>
      </c>
      <c r="T209" t="inlineStr">
        <is>
          <t>7776729333976</t>
        </is>
      </c>
    </row>
    <row r="210" ht="87" customHeight="1">
      <c r="A210" s="2">
        <f>HYPERLINK("https://edmondsonsupply.com/collections/storage-organization/products/clc-pb1133-molded-rubber-bottom-tool-backpack", "https://edmondsonsupply.com/collections/storage-organization/products/clc-pb1133-molded-rubber-bottom-tool-backpack")</f>
        <v/>
      </c>
      <c r="B210" s="2">
        <f>HYPERLINK("https://edmondsonsupply.com/products/clc-pb1133-molded-rubber-bottom-tool-backpack", "https://edmondsonsupply.com/products/clc-pb1133-molded-rubber-bottom-tool-backpack")</f>
        <v/>
      </c>
      <c r="C210" t="inlineStr">
        <is>
          <t>CLC PB1133 Molded Rubber Bottom Tool Backpack</t>
        </is>
      </c>
      <c r="D210" t="inlineStr">
        <is>
          <t>CLC Work Gear PB1133 38 Pocket Molded Base Tool Backpack &amp; 1100 Multi-Purpose Clip-on Zippered Poly Bags, 3 Pack</t>
        </is>
      </c>
      <c r="E210" s="2">
        <f>HYPERLINK("https://www.amazon.com/PB1133-Pocket-Backpack-Multi-Purpose-Zippered/dp/B09Z92LJFF/ref=sr_1_1?keywords=CLC+PB1133+Molded+Rubber+Bottom+Tool+Backpack&amp;qid=1694734458&amp;sr=8-1", "https://www.amazon.com/PB1133-Pocket-Backpack-Multi-Purpose-Zippered/dp/B09Z92LJFF/ref=sr_1_1?keywords=CLC+PB1133+Molded+Rubber+Bottom+Tool+Backpack&amp;qid=1694734458&amp;sr=8-1")</f>
        <v/>
      </c>
      <c r="F210" t="inlineStr">
        <is>
          <t>B09Z92LJFF</t>
        </is>
      </c>
      <c r="G210">
        <f>_xlfn.IMAGE("https://edmondsonsupply.com/cdn/shop/products/PB1133.png?v=1633031051")</f>
        <v/>
      </c>
      <c r="H210">
        <f>_xlfn.IMAGE("https://m.media-amazon.com/images/I/510j+91N6EL._AC_UL320_.jpg")</f>
        <v/>
      </c>
      <c r="K210" t="inlineStr">
        <is>
          <t>119.0</t>
        </is>
      </c>
      <c r="L210" t="n">
        <v>128.98</v>
      </c>
      <c r="M210" s="1" t="inlineStr">
        <is>
          <t>8.39%</t>
        </is>
      </c>
      <c r="N210" s="7" t="n">
        <v>-0.01</v>
      </c>
      <c r="O210" t="n">
        <v>4.2</v>
      </c>
      <c r="P210" t="n">
        <v>4</v>
      </c>
      <c r="R210" t="inlineStr">
        <is>
          <t>InStock</t>
        </is>
      </c>
      <c r="S210" t="inlineStr">
        <is>
          <t>139.0</t>
        </is>
      </c>
      <c r="T210" t="inlineStr">
        <is>
          <t>6778833305773</t>
        </is>
      </c>
    </row>
    <row r="211" ht="87" customHeight="1">
      <c r="A211" s="2">
        <f>HYPERLINK("https://edmondsonsupply.com/collections/storage-organization/products/fieldpiece-bg36-inspection-tool-bag", "https://edmondsonsupply.com/collections/storage-organization/products/fieldpiece-bg36-inspection-tool-bag")</f>
        <v/>
      </c>
      <c r="B211" s="2">
        <f>HYPERLINK("https://edmondsonsupply.com/products/fieldpiece-bg36-inspection-tool-bag", "https://edmondsonsupply.com/products/fieldpiece-bg36-inspection-tool-bag")</f>
        <v/>
      </c>
      <c r="C211" t="inlineStr">
        <is>
          <t>Fieldpiece BG36 Inspection Tool Bag</t>
        </is>
      </c>
      <c r="D211" t="inlineStr">
        <is>
          <t>Fieldpiece BG36 Compact Inspection Tool Bag</t>
        </is>
      </c>
      <c r="E211" s="2">
        <f>HYPERLINK("https://www.amazon.com/Fieldpiece-BG36-COMPACT-Inspection-Tool/dp/B07BRQ2H4N/ref=sr_1_1?keywords=Fieldpiece+BG36+Inspection+Tool+Bag&amp;qid=1694734438&amp;sr=8-1", "https://www.amazon.com/Fieldpiece-BG36-COMPACT-Inspection-Tool/dp/B07BRQ2H4N/ref=sr_1_1?keywords=Fieldpiece+BG36+Inspection+Tool+Bag&amp;qid=1694734438&amp;sr=8-1")</f>
        <v/>
      </c>
      <c r="F211" t="inlineStr">
        <is>
          <t>B07BRQ2H4N</t>
        </is>
      </c>
      <c r="G211">
        <f>_xlfn.IMAGE("https://edmondsonsupply.com/cdn/shop/products/bg36.jpg?v=1623689286")</f>
        <v/>
      </c>
      <c r="H211">
        <f>_xlfn.IMAGE("https://m.media-amazon.com/images/I/61wWYEc8Y-L._AC_UL320_.jpg")</f>
        <v/>
      </c>
      <c r="K211" t="inlineStr">
        <is>
          <t>107.95</t>
        </is>
      </c>
      <c r="L211" t="n">
        <v>114.86</v>
      </c>
      <c r="M211" s="1" t="inlineStr">
        <is>
          <t>6.40%</t>
        </is>
      </c>
      <c r="N211" s="7" t="n">
        <v>-0.01</v>
      </c>
      <c r="O211" t="n">
        <v>4.5</v>
      </c>
      <c r="P211" t="n">
        <v>90</v>
      </c>
      <c r="R211" t="inlineStr">
        <is>
          <t>InStock</t>
        </is>
      </c>
      <c r="S211" t="inlineStr">
        <is>
          <t>127.0</t>
        </is>
      </c>
      <c r="T211" t="inlineStr">
        <is>
          <t>4286968594532</t>
        </is>
      </c>
    </row>
    <row r="212" ht="87" customHeight="1">
      <c r="A212" s="2">
        <f>HYPERLINK("https://edmondsonsupply.com/collections/storage-organization/products/veto-pro-pac-tech-lc-tool-bag", "https://edmondsonsupply.com/collections/storage-organization/products/veto-pro-pac-tech-lc-tool-bag")</f>
        <v/>
      </c>
      <c r="B212" s="2">
        <f>HYPERLINK("https://edmondsonsupply.com/products/veto-pro-pac-tech-lc-tool-bag", "https://edmondsonsupply.com/products/veto-pro-pac-tech-lc-tool-bag")</f>
        <v/>
      </c>
      <c r="C212" t="inlineStr">
        <is>
          <t>Veto Pro Pac TECH MC Compact Tool Bag</t>
        </is>
      </c>
      <c r="D212" t="inlineStr">
        <is>
          <t>Veto Pro Pac TECH OT-SC (Sub-Compact Open Top Electrician Tool Bag)</t>
        </is>
      </c>
      <c r="E212" s="2">
        <f>HYPERLINK("https://www.amazon.com/Veto-TECH-OT-SC-Sub-Compact-Electrician/dp/B09ZC63KFK/ref=sr_1_6?keywords=Veto+Pro+Pac+TECH+MC+Compact+Tool+Bag&amp;qid=1694734451&amp;sr=8-6", "https://www.amazon.com/Veto-TECH-OT-SC-Sub-Compact-Electrician/dp/B09ZC63KFK/ref=sr_1_6?keywords=Veto+Pro+Pac+TECH+MC+Compact+Tool+Bag&amp;qid=1694734451&amp;sr=8-6")</f>
        <v/>
      </c>
      <c r="F212" t="inlineStr">
        <is>
          <t>B09ZC63KFK</t>
        </is>
      </c>
      <c r="G212">
        <f>_xlfn.IMAGE("https://edmondsonsupply.com/cdn/shop/products/MC1_87e0d14c-0e4f-4e1a-b23d-f796a6e88a52.jpg?v=1587147172")</f>
        <v/>
      </c>
      <c r="H212">
        <f>_xlfn.IMAGE("https://m.media-amazon.com/images/I/51LTwfYG5eL._AC_UL320_.jpg")</f>
        <v/>
      </c>
      <c r="K212" t="inlineStr">
        <is>
          <t>169.99</t>
        </is>
      </c>
      <c r="L212" t="n">
        <v>179.95</v>
      </c>
      <c r="M212" s="1" t="inlineStr">
        <is>
          <t>5.86%</t>
        </is>
      </c>
      <c r="N212" s="7" t="n">
        <v>-0.02</v>
      </c>
      <c r="O212" t="n">
        <v>4.7</v>
      </c>
      <c r="P212" t="n">
        <v>21</v>
      </c>
      <c r="R212" t="inlineStr">
        <is>
          <t>InStock</t>
        </is>
      </c>
      <c r="S212" t="inlineStr">
        <is>
          <t>undefined</t>
        </is>
      </c>
      <c r="T212" t="inlineStr">
        <is>
          <t>3561427468388</t>
        </is>
      </c>
    </row>
    <row r="213" ht="87" customHeight="1">
      <c r="A213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213" s="2">
        <f>HYPERLINK("https://edmondsonsupply.com/products/veto-pro-pac-tech-pac-backpack-tool-bag-3", "https://edmondsonsupply.com/products/veto-pro-pac-tech-pac-backpack-tool-bag-3")</f>
        <v/>
      </c>
      <c r="C213" t="inlineStr">
        <is>
          <t>Veto Pro Pac TECH PAC MC Backpack Tool Bag</t>
        </is>
      </c>
      <c r="D213" t="inlineStr">
        <is>
          <t>Veto Pro Pac Tech Pac LT Tool Bag</t>
        </is>
      </c>
      <c r="E213" s="2">
        <f>HYPERLINK("https://www.amazon.com/VETO-PRO-PAC-Tech-Pac/dp/B00WZLTCHO/ref=sr_1_5?keywords=Veto+Pro+Pac+TECH+PAC+MC+Backpack+Tool+Bag&amp;qid=1694734443&amp;sr=8-5", "https://www.amazon.com/VETO-PRO-PAC-Tech-Pac/dp/B00WZLTCHO/ref=sr_1_5?keywords=Veto+Pro+Pac+TECH+PAC+MC+Backpack+Tool+Bag&amp;qid=1694734443&amp;sr=8-5")</f>
        <v/>
      </c>
      <c r="F213" t="inlineStr">
        <is>
          <t>B00WZLTCHO</t>
        </is>
      </c>
      <c r="G213">
        <f>_xlfn.IMAGE("https://edmondsonsupply.com/cdn/shop/products/MC2.jpg?v=1642553730")</f>
        <v/>
      </c>
      <c r="H213">
        <f>_xlfn.IMAGE("https://m.media-amazon.com/images/I/61uz-pihn8L._AC_UL320_.jpg")</f>
        <v/>
      </c>
      <c r="K213" t="inlineStr">
        <is>
          <t>274.99</t>
        </is>
      </c>
      <c r="L213" t="n">
        <v>289.95</v>
      </c>
      <c r="M213" s="1" t="inlineStr">
        <is>
          <t>5.44%</t>
        </is>
      </c>
      <c r="N213" s="7" t="n">
        <v>-0.02</v>
      </c>
      <c r="O213" t="n">
        <v>4.7</v>
      </c>
      <c r="P213" t="n">
        <v>285</v>
      </c>
      <c r="R213" t="inlineStr">
        <is>
          <t>InStock</t>
        </is>
      </c>
      <c r="S213" t="inlineStr">
        <is>
          <t>undefined</t>
        </is>
      </c>
      <c r="T213" t="inlineStr">
        <is>
          <t>3561063415908</t>
        </is>
      </c>
    </row>
    <row r="214" hidden="1" ht="15.75" customHeight="1">
      <c r="A214" s="2">
        <f>HYPERLINK("https://edmondsonsupply.com/collections/storage-organization/products/klein-tools-5114dsc-canvas-bucket-with-drawstring-close-17-inch", "https://edmondsonsupply.com/collections/storage-organization/products/klein-tools-5114dsc-canvas-bucket-with-drawstring-close-17-inch")</f>
        <v/>
      </c>
      <c r="B214" s="2">
        <f>HYPERLINK("https://edmondsonsupply.com/products/klein-tools-5114dsc-canvas-bucket-with-drawstring-close-17-inch", "https://edmondsonsupply.com/products/klein-tools-5114dsc-canvas-bucket-with-drawstring-close-17-inch")</f>
        <v/>
      </c>
      <c r="C214" t="inlineStr">
        <is>
          <t>Klein Tools 5114DSC Canvas Bucket with Drawstring Close, 17-Inch</t>
        </is>
      </c>
      <c r="D214" t="inlineStr">
        <is>
          <t>Klein Tools 5114DSC Canvas Bucket, Heavy Duty Drawstring Close Tool Bucket, 17-Inch with Leather Reinforced Bottoms, 100-Pound Load Rated</t>
        </is>
      </c>
      <c r="E214" s="2">
        <f>HYPERLINK("https://www.amazon.com/Klein-Tools-5114DSC-Drawstring-Reinforced/dp/B08BQ27XQB/ref=sr_1_1?keywords=Klein+Tools+5114DSC+Canvas+Bucket+with+Drawstring+Close%2C+17-Inch&amp;qid=1694734460&amp;sr=8-1", "https://www.amazon.com/Klein-Tools-5114DSC-Drawstring-Reinforced/dp/B08BQ27XQB/ref=sr_1_1?keywords=Klein+Tools+5114DSC+Canvas+Bucket+with+Drawstring+Close%2C+17-Inch&amp;qid=1694734460&amp;sr=8-1")</f>
        <v/>
      </c>
      <c r="F214" t="inlineStr">
        <is>
          <t>B08BQ27XQB</t>
        </is>
      </c>
      <c r="G214">
        <f>_xludf.IMAGE("https://edmondsonsupply.com/cdn/shop/products/5114dsc.jpg?v=1633030814")</f>
        <v/>
      </c>
      <c r="H214">
        <f>_xludf.IMAGE("https://m.media-amazon.com/images/I/51v3kR-RRnL._AC_UL320_.jpg")</f>
        <v/>
      </c>
      <c r="K214" t="inlineStr">
        <is>
          <t>107.99</t>
        </is>
      </c>
      <c r="L214" t="n">
        <v>113.45</v>
      </c>
      <c r="M214" s="1" t="inlineStr">
        <is>
          <t>5.06%</t>
        </is>
      </c>
      <c r="N214" s="1" t="n">
        <v>-0.02</v>
      </c>
      <c r="O214" t="n">
        <v>4</v>
      </c>
      <c r="P214" t="n">
        <v>5</v>
      </c>
      <c r="R214" t="inlineStr">
        <is>
          <t>InStock</t>
        </is>
      </c>
      <c r="S214" t="inlineStr">
        <is>
          <t>180.0</t>
        </is>
      </c>
      <c r="T214" t="inlineStr">
        <is>
          <t>6070874964141</t>
        </is>
      </c>
    </row>
    <row r="215" ht="87" customHeight="1">
      <c r="A215" s="2">
        <f>HYPERLINK("https://edmondsonsupply.com/collections/storage-organization/products/veto-pro-pac-tech-ot-mc-tool-tote", "https://edmondsonsupply.com/collections/storage-organization/products/veto-pro-pac-tech-ot-mc-tool-tote")</f>
        <v/>
      </c>
      <c r="B215" s="2">
        <f>HYPERLINK("https://edmondsonsupply.com/products/veto-pro-pac-tech-ot-mc-tool-tote", "https://edmondsonsupply.com/products/veto-pro-pac-tech-ot-mc-tool-tote")</f>
        <v/>
      </c>
      <c r="C215" t="inlineStr">
        <is>
          <t>Veto Pro Pac Tech OT-MC Tool Tote</t>
        </is>
      </c>
      <c r="D215" t="inlineStr">
        <is>
          <t>Veto Pro Pac Tech-TT (Tool Tote)</t>
        </is>
      </c>
      <c r="E215" s="2">
        <f>HYPERLINK("https://www.amazon.com/Veto-Pro-Tech-TT-Tool-Tote/dp/B0BKTVB3NT/ref=sr_1_4?keywords=Veto+Pro+Pac+Tech+OT-MC+Tool+Tote&amp;qid=1694734439&amp;sr=8-4", "https://www.amazon.com/Veto-Pro-Tech-TT-Tool-Tote/dp/B0BKTVB3NT/ref=sr_1_4?keywords=Veto+Pro+Pac+Tech+OT-MC+Tool+Tote&amp;qid=1694734439&amp;sr=8-4")</f>
        <v/>
      </c>
      <c r="F215" t="inlineStr">
        <is>
          <t>B0BKTVB3NT</t>
        </is>
      </c>
      <c r="G215">
        <f>_xlfn.IMAGE("https://edmondsonsupply.com/cdn/shop/products/otmc1_048af870-c580-47c1-b832-021ca8939d35.jpg?v=1587146037")</f>
        <v/>
      </c>
      <c r="H215">
        <f>_xlfn.IMAGE("https://m.media-amazon.com/images/I/51f43DVmcFL._AC_UL320_.jpg")</f>
        <v/>
      </c>
      <c r="K215" t="inlineStr">
        <is>
          <t>209.99</t>
        </is>
      </c>
      <c r="L215" t="n">
        <v>219.95</v>
      </c>
      <c r="M215" s="1" t="inlineStr">
        <is>
          <t>4.74%</t>
        </is>
      </c>
      <c r="N215" s="7" t="n">
        <v>-0.02</v>
      </c>
      <c r="O215" t="n">
        <v>5</v>
      </c>
      <c r="P215" t="n">
        <v>7</v>
      </c>
      <c r="R215" t="inlineStr">
        <is>
          <t>InStock</t>
        </is>
      </c>
      <c r="S215" t="inlineStr">
        <is>
          <t>undefined</t>
        </is>
      </c>
      <c r="T215" t="inlineStr">
        <is>
          <t>3561810952292</t>
        </is>
      </c>
    </row>
    <row r="216" ht="87" customHeight="1">
      <c r="A216" s="2">
        <f>HYPERLINK("https://edmondsonsupply.com/collections/storage-organization/products/veto-pro-pac-tf-xxl-extra-large-open-top-contractor-s-tool-bag", "https://edmondsonsupply.com/collections/storage-organization/products/veto-pro-pac-tf-xxl-extra-large-open-top-contractor-s-tool-bag")</f>
        <v/>
      </c>
      <c r="B216" s="2">
        <f>HYPERLINK("https://edmondsonsupply.com/products/veto-pro-pac-tf-xxl-extra-large-open-top-contractor-s-tool-bag", "https://edmondsonsupply.com/products/veto-pro-pac-tf-xxl-extra-large-open-top-contractor-s-tool-bag")</f>
        <v/>
      </c>
      <c r="C216" t="inlineStr">
        <is>
          <t>Veto Pro Pac TF-XXL Extra Large Open Top Contractor’s Tool Bag</t>
        </is>
      </c>
      <c r="D216" t="inlineStr">
        <is>
          <t>Veto OT-XXL Extra Large Open Top Contractor’s Tool Bag</t>
        </is>
      </c>
      <c r="E216" s="2">
        <f>HYPERLINK("https://www.amazon.com/Veto-OT-XXL-Extra-Large-Contractors/dp/B09D23MY9J/ref=sr_1_1?keywords=Veto+Pro+Pac+TF-XXL+Extra+Large+Open+Top+Contractor%E2%80%99s+Tool+Bag&amp;qid=1694734443&amp;sr=8-1", "https://www.amazon.com/Veto-OT-XXL-Extra-Large-Contractors/dp/B09D23MY9J/ref=sr_1_1?keywords=Veto+Pro+Pac+TF-XXL+Extra+Large+Open+Top+Contractor%E2%80%99s+Tool+Bag&amp;qid=1694734443&amp;sr=8-1")</f>
        <v/>
      </c>
      <c r="F216" t="inlineStr">
        <is>
          <t>B09D23MY9J</t>
        </is>
      </c>
      <c r="G216">
        <f>_xlfn.IMAGE("https://edmondsonsupply.com/cdn/shop/files/1_TF-XXL-2.jpg?v=1694608683")</f>
        <v/>
      </c>
      <c r="H216">
        <f>_xlfn.IMAGE("https://m.media-amazon.com/images/I/512D3qm30wL._AC_UL320_.jpg")</f>
        <v/>
      </c>
      <c r="K216" t="inlineStr">
        <is>
          <t>299.99</t>
        </is>
      </c>
      <c r="L216" t="n">
        <v>309.95</v>
      </c>
      <c r="M216" s="1" t="inlineStr">
        <is>
          <t>3.32%</t>
        </is>
      </c>
      <c r="N216" s="7" t="n">
        <v>-0.02</v>
      </c>
      <c r="O216" t="n">
        <v>4.9</v>
      </c>
      <c r="P216" t="n">
        <v>20</v>
      </c>
      <c r="R216" t="inlineStr">
        <is>
          <t>InStock</t>
        </is>
      </c>
      <c r="S216" t="inlineStr">
        <is>
          <t>undefined</t>
        </is>
      </c>
      <c r="T216" t="inlineStr">
        <is>
          <t>8036828348632</t>
        </is>
      </c>
    </row>
    <row r="217" ht="87" customHeight="1">
      <c r="A217" s="2">
        <f>HYPERLINK("https://edmondsonsupply.com/collections/storage-organization/products/dewalt-dgl573-41-pocket-lighted-technician-s-tool-bag", "https://edmondsonsupply.com/collections/storage-organization/products/dewalt-dgl573-41-pocket-lighted-technician-s-tool-bag")</f>
        <v/>
      </c>
      <c r="B217" s="2">
        <f>HYPERLINK("https://edmondsonsupply.com/products/dewalt-dgl573-41-pocket-lighted-technician-s-tool-bag", "https://edmondsonsupply.com/products/dewalt-dgl573-41-pocket-lighted-technician-s-tool-bag")</f>
        <v/>
      </c>
      <c r="C217" t="inlineStr">
        <is>
          <t>CLC DeWALT DGL573 41-Pocket Lighted Technician’s Tool Bag</t>
        </is>
      </c>
      <c r="D217" t="inlineStr">
        <is>
          <t>DEWALT DGL573 Lighted Technician's Tool Bag, 41 Pocket</t>
        </is>
      </c>
      <c r="E217" s="2">
        <f>HYPERLINK("https://www.amazon.com/DEWALT-DGL573-Lighted-Technicians-Tool/dp/B00QNTVV6Y/ref=sr_1_1?keywords=CLC+DeWALT+DGL573+41-Pocket+Lighted+Technician%E2%80%99s+Tool+Bag&amp;qid=1694734436&amp;sr=8-1", "https://www.amazon.com/DEWALT-DGL573-Lighted-Technicians-Tool/dp/B00QNTVV6Y/ref=sr_1_1?keywords=CLC+DeWALT+DGL573+41-Pocket+Lighted+Technician%E2%80%99s+Tool+Bag&amp;qid=1694734436&amp;sr=8-1")</f>
        <v/>
      </c>
      <c r="F217" t="inlineStr">
        <is>
          <t>B00QNTVV6Y</t>
        </is>
      </c>
      <c r="G217">
        <f>_xlfn.IMAGE("https://edmondsonsupply.com/cdn/shop/products/DGL573-1.png?v=1609787804")</f>
        <v/>
      </c>
      <c r="H217">
        <f>_xlfn.IMAGE("https://m.media-amazon.com/images/I/A1ffPzA9uNL._AC_UL320_.jpg")</f>
        <v/>
      </c>
      <c r="K217" t="inlineStr">
        <is>
          <t>84.95</t>
        </is>
      </c>
      <c r="L217" t="n">
        <v>84.95</v>
      </c>
      <c r="M217" s="1" t="inlineStr">
        <is>
          <t>0.00%</t>
        </is>
      </c>
      <c r="N217" s="7" t="n">
        <v>-0.02</v>
      </c>
      <c r="O217" t="n">
        <v>4.7</v>
      </c>
      <c r="P217" t="n">
        <v>2826</v>
      </c>
      <c r="R217" t="inlineStr">
        <is>
          <t>InStock</t>
        </is>
      </c>
      <c r="S217" t="inlineStr">
        <is>
          <t>119.0</t>
        </is>
      </c>
      <c r="T217" t="inlineStr">
        <is>
          <t>5264540958888</t>
        </is>
      </c>
    </row>
    <row r="218" ht="87" customHeight="1">
      <c r="A218" s="2">
        <f>HYPERLINK("https://edmondsonsupply.com/collections/storage-organization/products/klein-tools-55917-tradesman-pro%E2%84%A2-modular-drill-pouch-with-belt-clip", "https://edmondsonsupply.com/collections/storage-organization/products/klein-tools-55917-tradesman-pro%E2%84%A2-modular-drill-pouch-with-belt-clip")</f>
        <v/>
      </c>
      <c r="B218" s="2">
        <f>HYPERLINK("https://edmondsonsupply.com/products/klein-tools-55917-tradesman-pro%e2%84%a2-modular-drill-pouch-with-belt-clip", "https://edmondsonsupply.com/products/klein-tools-55917-tradesman-pro%e2%84%a2-modular-drill-pouch-with-belt-clip")</f>
        <v/>
      </c>
      <c r="C218" t="inlineStr">
        <is>
          <t>Klein Tools 55917 Tradesman Pro™ Modular Drill Pouch with Belt Clip</t>
        </is>
      </c>
      <c r="D218" t="inlineStr">
        <is>
          <t>Klein Tools 55917 Tool Pouch, Tradesman Pro Modular Drill Pouch with Belt Clip works with Klein Click Lock Modular Wall Rack and Tool Belts</t>
        </is>
      </c>
      <c r="E218" s="2">
        <f>HYPERLINK("https://www.amazon.com/Klein-Tools-55917-Tradesman-Modular/dp/B084X5633G/ref=sr_1_1?keywords=Klein+Tools+55917+Tradesman+Pro%E2%84%A2+Modular+Drill+Pouch+with+Belt+Clip&amp;qid=1694734439&amp;sr=8-1", "https://www.amazon.com/Klein-Tools-55917-Tradesman-Modular/dp/B084X5633G/ref=sr_1_1?keywords=Klein+Tools+55917+Tradesman+Pro%E2%84%A2+Modular+Drill+Pouch+with+Belt+Clip&amp;qid=1694734439&amp;sr=8-1")</f>
        <v/>
      </c>
      <c r="F218" t="inlineStr">
        <is>
          <t>B084X5633G</t>
        </is>
      </c>
      <c r="G218">
        <f>_xlfn.IMAGE("https://edmondsonsupply.com/cdn/shop/products/55917.jpg?v=1587143420")</f>
        <v/>
      </c>
      <c r="H218">
        <f>_xlfn.IMAGE("https://m.media-amazon.com/images/I/61kAia47weL._AC_UL320_.jpg")</f>
        <v/>
      </c>
      <c r="K218" t="inlineStr">
        <is>
          <t>34.99</t>
        </is>
      </c>
      <c r="L218" t="n">
        <v>34.99</v>
      </c>
      <c r="M218" s="1" t="inlineStr">
        <is>
          <t>0.00%</t>
        </is>
      </c>
      <c r="N218" s="7" t="n">
        <v>-0.03</v>
      </c>
      <c r="O218" t="n">
        <v>4.4</v>
      </c>
      <c r="P218" t="n">
        <v>633</v>
      </c>
      <c r="R218" t="inlineStr">
        <is>
          <t>InStock</t>
        </is>
      </c>
      <c r="S218" t="inlineStr">
        <is>
          <t>49.0</t>
        </is>
      </c>
      <c r="T218" t="inlineStr">
        <is>
          <t>4498954322020</t>
        </is>
      </c>
    </row>
    <row r="219" ht="87" customHeight="1">
      <c r="A219" s="2">
        <f>HYPERLINK("https://edmondsonsupply.com/collections/storage-organization/products/klein-tools-55914-tradesman-pro%E2%84%A2-modular-trimming-pouch-with-belt-clip", "https://edmondsonsupply.com/collections/storage-organization/products/klein-tools-55914-tradesman-pro%E2%84%A2-modular-trimming-pouch-with-belt-clip")</f>
        <v/>
      </c>
      <c r="B219" s="2">
        <f>HYPERLINK("https://edmondsonsupply.com/products/klein-tools-55914-tradesman-pro%e2%84%a2-modular-trimming-pouch-with-belt-clip", "https://edmondsonsupply.com/products/klein-tools-55914-tradesman-pro%e2%84%a2-modular-trimming-pouch-with-belt-clip")</f>
        <v/>
      </c>
      <c r="C219" t="inlineStr">
        <is>
          <t>Klein Tools 55914 Tradesman Pro™ Modular Trimming Pouch with Belt Clip</t>
        </is>
      </c>
      <c r="D219" t="inlineStr">
        <is>
          <t>Klein Tools 55914 Tool Pouch, Tradesman Pro Modular Trimming Pouch w/Belt Clip works with Klein Click Lock Modular Wall Rack and Tool Belts</t>
        </is>
      </c>
      <c r="E219" s="2">
        <f>HYPERLINK("https://www.amazon.com/Klein-Tools-55914-Tradesman-Trimming/dp/B084WXF7WF/ref=sr_1_1?keywords=Klein+Tools+55914+Tradesman+Pro%E2%84%A2+Modular+Trimming+Pouch+with+Belt+Clip&amp;qid=1694734441&amp;sr=8-1", "https://www.amazon.com/Klein-Tools-55914-Tradesman-Trimming/dp/B084WXF7WF/ref=sr_1_1?keywords=Klein+Tools+55914+Tradesman+Pro%E2%84%A2+Modular+Trimming+Pouch+with+Belt+Clip&amp;qid=1694734441&amp;sr=8-1")</f>
        <v/>
      </c>
      <c r="F219" t="inlineStr">
        <is>
          <t>B084WXF7WF</t>
        </is>
      </c>
      <c r="G219">
        <f>_xlfn.IMAGE("https://edmondsonsupply.com/cdn/shop/products/55914.jpg?v=1587145266")</f>
        <v/>
      </c>
      <c r="H219">
        <f>_xlfn.IMAGE("https://m.media-amazon.com/images/I/61gt9rhfciL._AC_UL320_.jpg")</f>
        <v/>
      </c>
      <c r="K219" t="inlineStr">
        <is>
          <t>29.99</t>
        </is>
      </c>
      <c r="L219" t="n">
        <v>29.99</v>
      </c>
      <c r="M219" s="1" t="inlineStr">
        <is>
          <t>0.00%</t>
        </is>
      </c>
      <c r="N219" s="7" t="n">
        <v>-0.04</v>
      </c>
      <c r="O219" t="n">
        <v>4.4</v>
      </c>
      <c r="P219" t="n">
        <v>633</v>
      </c>
      <c r="R219" t="inlineStr">
        <is>
          <t>InStock</t>
        </is>
      </c>
      <c r="S219" t="inlineStr">
        <is>
          <t>41.98</t>
        </is>
      </c>
      <c r="T219" t="inlineStr">
        <is>
          <t>4498949341284</t>
        </is>
      </c>
    </row>
    <row r="220" ht="87" customHeight="1">
      <c r="A220" s="2">
        <f>HYPERLINK("https://edmondsonsupply.com/collections/storage-organization/products/milwaukee-48-22-8435-packout%E2%84%A2-compact-organizer", "https://edmondsonsupply.com/collections/storage-organization/products/milwaukee-48-22-8435-packout%E2%84%A2-compact-organizer")</f>
        <v/>
      </c>
      <c r="B220" s="2">
        <f>HYPERLINK("https://edmondsonsupply.com/products/milwaukee-48-22-8435-packout%e2%84%a2-compact-organizer", "https://edmondsonsupply.com/products/milwaukee-48-22-8435-packout%e2%84%a2-compact-organizer")</f>
        <v/>
      </c>
      <c r="C220" t="inlineStr">
        <is>
          <t>Milwaukee 48-22-8435 PACKOUT™ Compact Organizer</t>
        </is>
      </c>
      <c r="D220" t="inlineStr">
        <is>
          <t>Milwaukee Electric Tool 48-22-8435 Pack out, 5 Compartment, Small Parts Organizer</t>
        </is>
      </c>
      <c r="E220" s="2">
        <f>HYPERLINK("https://www.amazon.com/Milwaukee-Electric-Tool-48-22-8435-Compartment/dp/B076NP9DCT/ref=sr_1_11?keywords=Milwaukee+48-22-8435+PACKOUT%E2%84%A2+Compact+Organizer&amp;qid=1694734453&amp;sr=8-11", "https://www.amazon.com/Milwaukee-Electric-Tool-48-22-8435-Compartment/dp/B076NP9DCT/ref=sr_1_11?keywords=Milwaukee+48-22-8435+PACKOUT%E2%84%A2+Compact+Organizer&amp;qid=1694734453&amp;sr=8-11")</f>
        <v/>
      </c>
      <c r="F220" t="inlineStr">
        <is>
          <t>B076NP9DCT</t>
        </is>
      </c>
      <c r="G220">
        <f>_xlfn.IMAGE("https://edmondsonsupply.com/cdn/shop/products/48-22-8435_1.png?v=1671723464")</f>
        <v/>
      </c>
      <c r="H220">
        <f>_xlfn.IMAGE("https://m.media-amazon.com/images/I/51nK5e0mnML._AC_UL320_.jpg")</f>
        <v/>
      </c>
      <c r="K220" t="inlineStr">
        <is>
          <t>34.97</t>
        </is>
      </c>
      <c r="L220" t="n">
        <v>34.97</v>
      </c>
      <c r="M220" s="1" t="inlineStr">
        <is>
          <t>0.00%</t>
        </is>
      </c>
      <c r="N220" s="7" t="n">
        <v>-0.04</v>
      </c>
      <c r="O220" t="n">
        <v>4.8</v>
      </c>
      <c r="P220" t="n">
        <v>547</v>
      </c>
      <c r="R220" t="inlineStr">
        <is>
          <t>InStock</t>
        </is>
      </c>
      <c r="S220" t="inlineStr">
        <is>
          <t>58.0</t>
        </is>
      </c>
      <c r="T220" t="inlineStr">
        <is>
          <t>7910242877656</t>
        </is>
      </c>
    </row>
    <row r="221" hidden="1" ht="15.75" customHeight="1">
      <c r="A221" s="2">
        <f>HYPERLINK("https://edmondsonsupply.com/collections/storage-organization/products/klein-tools-55559-stand-up-zipper-bags-7-inch-and-14-inch-2-pack", "https://edmondsonsupply.com/collections/storage-organization/products/klein-tools-55559-stand-up-zipper-bags-7-inch-and-14-inch-2-pack")</f>
        <v/>
      </c>
      <c r="B221" s="2">
        <f>HYPERLINK("https://edmondsonsupply.com/products/klein-tools-55559-stand-up-zipper-bags-7-inch-and-14-inch-2-pack", "https://edmondsonsupply.com/products/klein-tools-55559-stand-up-zipper-bags-7-inch-and-14-inch-2-pack")</f>
        <v/>
      </c>
      <c r="C221" t="inlineStr">
        <is>
          <t>Klein Tools 55559 Stand-up Zipper Bags, 7-Inch and 14-Inch, 2-Pack</t>
        </is>
      </c>
      <c r="D221" t="inlineStr">
        <is>
          <t>Klein Tools 55470 Utility Bag, Stand-Up Zipper Tool Bags, Tough 1680d Ballistic Weave, Reinforced Bottoms, Orange/Black, Gray/Black, 2-Pack</t>
        </is>
      </c>
      <c r="E221" s="2">
        <f>HYPERLINK("https://www.amazon.com/Utility-12-5-Inch-Klein-Tools-55470/dp/B075ZYW694/ref=sr_1_7?keywords=Klein+Tools+55559+Stand-up+Zipper+Bags%2C+7-Inch+and+14-Inch%2C+2-Pack&amp;qid=1694734452&amp;sr=8-7", "https://www.amazon.com/Utility-12-5-Inch-Klein-Tools-55470/dp/B075ZYW694/ref=sr_1_7?keywords=Klein+Tools+55559+Stand-up+Zipper+Bags%2C+7-Inch+and+14-Inch%2C+2-Pack&amp;qid=1694734452&amp;sr=8-7")</f>
        <v/>
      </c>
      <c r="F221" t="inlineStr">
        <is>
          <t>B075ZYW694</t>
        </is>
      </c>
      <c r="G221">
        <f>_xludf.IMAGE("https://edmondsonsupply.com/cdn/shop/products/55559.jpg?v=1666900727")</f>
        <v/>
      </c>
      <c r="H221">
        <f>_xludf.IMAGE("https://m.media-amazon.com/images/I/81mbAy3U-rL._AC_UL320_.jpg")</f>
        <v/>
      </c>
      <c r="K221" t="inlineStr">
        <is>
          <t>14.99</t>
        </is>
      </c>
      <c r="L221" t="n">
        <v>14.99</v>
      </c>
      <c r="M221" s="1" t="inlineStr">
        <is>
          <t>0.00%</t>
        </is>
      </c>
      <c r="N221" s="1" t="n">
        <v>-0.05</v>
      </c>
      <c r="O221" t="n">
        <v>4.7</v>
      </c>
      <c r="P221" t="n">
        <v>3467</v>
      </c>
      <c r="R221" t="inlineStr">
        <is>
          <t>InStock</t>
        </is>
      </c>
      <c r="S221" t="inlineStr">
        <is>
          <t>20.98</t>
        </is>
      </c>
      <c r="T221" t="inlineStr">
        <is>
          <t>7867902591192</t>
        </is>
      </c>
    </row>
    <row r="222" hidden="1" ht="15.75" customHeight="1">
      <c r="A222" s="2">
        <f>HYPERLINK("https://edmondsonsupply.com/collections/storage-organization/products/klein-tools-55559-stand-up-zipper-bags-7-inch-and-14-inch-2-pack", "https://edmondsonsupply.com/collections/storage-organization/products/klein-tools-55559-stand-up-zipper-bags-7-inch-and-14-inch-2-pack")</f>
        <v/>
      </c>
      <c r="B222" s="2">
        <f>HYPERLINK("https://edmondsonsupply.com/products/klein-tools-55559-stand-up-zipper-bags-7-inch-and-14-inch-2-pack", "https://edmondsonsupply.com/products/klein-tools-55559-stand-up-zipper-bags-7-inch-and-14-inch-2-pack")</f>
        <v/>
      </c>
      <c r="C222" t="inlineStr">
        <is>
          <t>Klein Tools 55559 Stand-up Zipper Bags, 7-Inch and 14-Inch, 2-Pack</t>
        </is>
      </c>
      <c r="D222" t="inlineStr">
        <is>
          <t>Klein Tools 55559 Stand-Up Zipper Bag Tool Pouch with Carabiners, 7-Inch Blue and 14-Inch Gray Utility Bags with Reinforced Bottom, 2-Pack</t>
        </is>
      </c>
      <c r="E222" s="2">
        <f>HYPERLINK("https://www.amazon.com/Klein-Tools-55559-Carabiners-Reinforced/dp/B0B11LN6SM/ref=sr_1_1?keywords=Klein+Tools+55559+Stand-up+Zipper+Bags%2C+7-Inch+and+14-Inch%2C+2-Pack&amp;qid=1694734452&amp;sr=8-1", "https://www.amazon.com/Klein-Tools-55559-Carabiners-Reinforced/dp/B0B11LN6SM/ref=sr_1_1?keywords=Klein+Tools+55559+Stand-up+Zipper+Bags%2C+7-Inch+and+14-Inch%2C+2-Pack&amp;qid=1694734452&amp;sr=8-1")</f>
        <v/>
      </c>
      <c r="F222" t="inlineStr">
        <is>
          <t>B0B11LN6SM</t>
        </is>
      </c>
      <c r="G222">
        <f>_xludf.IMAGE("https://edmondsonsupply.com/cdn/shop/products/55559.jpg?v=1666900727")</f>
        <v/>
      </c>
      <c r="H222">
        <f>_xludf.IMAGE("https://m.media-amazon.com/images/I/51wgn+HFuyL._AC_UL320_.jpg")</f>
        <v/>
      </c>
      <c r="K222" t="inlineStr">
        <is>
          <t>14.99</t>
        </is>
      </c>
      <c r="L222" t="n">
        <v>14.99</v>
      </c>
      <c r="M222" s="1" t="inlineStr">
        <is>
          <t>0.00%</t>
        </is>
      </c>
      <c r="N222" s="1" t="n">
        <v>-0.07000000000000001</v>
      </c>
      <c r="O222" t="n">
        <v>4.8</v>
      </c>
      <c r="P222" t="n">
        <v>624</v>
      </c>
      <c r="R222" t="inlineStr">
        <is>
          <t>InStock</t>
        </is>
      </c>
      <c r="S222" t="inlineStr">
        <is>
          <t>20.98</t>
        </is>
      </c>
      <c r="T222" t="inlineStr">
        <is>
          <t>7867902591192</t>
        </is>
      </c>
    </row>
    <row r="223" ht="87" customHeight="1">
      <c r="A223" s="2">
        <f>HYPERLINK("https://edmondsonsupply.com/collections/storage-organization/products/klein-tools-55421bp-14-tradesman-pro%E2%84%A2-tool-bag-backpack-39-pockets-black-14-inch", "https://edmondsonsupply.com/collections/storage-organization/products/klein-tools-55421bp-14-tradesman-pro%E2%84%A2-tool-bag-backpack-39-pockets-black-14-inch")</f>
        <v/>
      </c>
      <c r="B223" s="2">
        <f>HYPERLINK("https://edmondsonsupply.com/products/klein-tools-55421bp-14-tradesman-pro%e2%84%a2-tool-bag-backpack-39-pockets-black-14-inch", "https://edmondsonsupply.com/products/klein-tools-55421bp-14-tradesman-pro%e2%84%a2-tool-bag-backpack-39-pockets-black-14-inch")</f>
        <v/>
      </c>
      <c r="C223" t="inlineStr">
        <is>
          <t>Klein Tools 55421BP-14 Tradesman Pro™ Tool Bag Backpack, 39 Pockets, Black, 14-Inch</t>
        </is>
      </c>
      <c r="D223" t="inlineStr">
        <is>
          <t>Klein Tools 55421BP-14 Tool Bag Backpack, Heavy Duty Tradesman Pro Tool Organizer / Tool Carrier with 39 Pockets and Molded Base</t>
        </is>
      </c>
      <c r="E223" s="2">
        <f>HYPERLINK("https://www.amazon.com/Electrician-Tradesman-Klein-Tools-55421BP-14/dp/B00MK9UY0A/ref=sr_1_1?keywords=Klein+Tools+55421BP-14+Tradesman+Pro%E2%84%A2+Tool+Bag+Backpack%2C+39+Pockets%2C+Black%2C+14-Inch&amp;qid=1694734436&amp;sr=8-1", "https://www.amazon.com/Electrician-Tradesman-Klein-Tools-55421BP-14/dp/B00MK9UY0A/ref=sr_1_1?keywords=Klein+Tools+55421BP-14+Tradesman+Pro%E2%84%A2+Tool+Bag+Backpack%2C+39+Pockets%2C+Black%2C+14-Inch&amp;qid=1694734436&amp;sr=8-1")</f>
        <v/>
      </c>
      <c r="F223" t="inlineStr">
        <is>
          <t>B00MK9UY0A</t>
        </is>
      </c>
      <c r="G223">
        <f>_xlfn.IMAGE("https://edmondsonsupply.com/cdn/shop/products/55421bp-14_photo.jpg?v=1660827337")</f>
        <v/>
      </c>
      <c r="H223">
        <f>_xlfn.IMAGE("https://m.media-amazon.com/images/I/611s5jIgqGL._AC_UL320_.jpg")</f>
        <v/>
      </c>
      <c r="K223" t="inlineStr">
        <is>
          <t>99.97</t>
        </is>
      </c>
      <c r="L223" t="n">
        <v>99.97</v>
      </c>
      <c r="M223" s="1" t="inlineStr">
        <is>
          <t>0.00%</t>
        </is>
      </c>
      <c r="N223" s="7" t="n">
        <v>-0.49</v>
      </c>
      <c r="O223" t="n">
        <v>4.7</v>
      </c>
      <c r="P223" t="n">
        <v>4981</v>
      </c>
      <c r="R223" t="inlineStr">
        <is>
          <t>InStock</t>
        </is>
      </c>
      <c r="S223" t="inlineStr">
        <is>
          <t>157.98</t>
        </is>
      </c>
      <c r="T223" t="inlineStr">
        <is>
          <t>7784707686616</t>
        </is>
      </c>
    </row>
    <row r="224" ht="87" customHeight="1">
      <c r="A224" s="2">
        <f>HYPERLINK("https://edmondsonsupply.com/collections/storage-organization/products/klein-tools-55663-welding-helmet-replacement-pocket", "https://edmondsonsupply.com/collections/storage-organization/products/klein-tools-55663-welding-helmet-replacement-pocket")</f>
        <v/>
      </c>
      <c r="B224" s="2">
        <f>HYPERLINK("https://edmondsonsupply.com/products/klein-tools-55663-welding-helmet-replacement-pocket", "https://edmondsonsupply.com/products/klein-tools-55663-welding-helmet-replacement-pocket")</f>
        <v/>
      </c>
      <c r="C224" t="inlineStr">
        <is>
          <t>Klein Tools 55663 Welding Helmet Replacement Pocket</t>
        </is>
      </c>
      <c r="D224" t="inlineStr">
        <is>
          <t>Klein Tools 55663 Replacement Welding Helmet Pocket for the Tradesman Pro Ironworker and Welder Backpack</t>
        </is>
      </c>
      <c r="E224" s="2">
        <f>HYPERLINK("https://www.amazon.com/Klein-Tools-55663-Replacement-Ironworker/dp/B0BN4K6F2J/ref=sr_1_1?keywords=Klein+Tools+55663+Welding+Helmet+Replacement+Pocket&amp;qid=1694734448&amp;sr=8-1", "https://www.amazon.com/Klein-Tools-55663-Replacement-Ironworker/dp/B0BN4K6F2J/ref=sr_1_1?keywords=Klein+Tools+55663+Welding+Helmet+Replacement+Pocket&amp;qid=1694734448&amp;sr=8-1")</f>
        <v/>
      </c>
      <c r="F224" t="inlineStr">
        <is>
          <t>B0BN4K6F2J</t>
        </is>
      </c>
      <c r="G224">
        <f>_xlfn.IMAGE("https://edmondsonsupply.com/cdn/shop/products/55663.jpg?v=1674484517")</f>
        <v/>
      </c>
      <c r="H224">
        <f>_xlfn.IMAGE("https://m.media-amazon.com/images/I/71C2gpYNAIL._AC_UL320_.jpg")</f>
        <v/>
      </c>
      <c r="K224" t="inlineStr">
        <is>
          <t>24.99</t>
        </is>
      </c>
      <c r="L224" t="n">
        <v>24.99</v>
      </c>
      <c r="M224" s="1" t="inlineStr">
        <is>
          <t>0.00%</t>
        </is>
      </c>
      <c r="N224" s="7" t="n">
        <v>-0.75</v>
      </c>
      <c r="O224" t="n">
        <v>5</v>
      </c>
      <c r="P224" t="n">
        <v>1</v>
      </c>
      <c r="R224" t="inlineStr">
        <is>
          <t>InStock</t>
        </is>
      </c>
      <c r="S224" t="inlineStr">
        <is>
          <t>34.98</t>
        </is>
      </c>
      <c r="T224" t="inlineStr">
        <is>
          <t>7931835711704</t>
        </is>
      </c>
    </row>
    <row r="225" ht="87" customHeight="1">
      <c r="A225" s="2">
        <f>HYPERLINK("https://edmondsonsupply.com/collections/storage-organization/products/klein-tools-55604-rolling-tool-backpack", "https://edmondsonsupply.com/collections/storage-organization/products/klein-tools-55604-rolling-tool-backpack")</f>
        <v/>
      </c>
      <c r="B225" s="2">
        <f>HYPERLINK("https://edmondsonsupply.com/products/klein-tools-55604-rolling-tool-backpack", "https://edmondsonsupply.com/products/klein-tools-55604-rolling-tool-backpack")</f>
        <v/>
      </c>
      <c r="C225" t="inlineStr">
        <is>
          <t>Klein Tools 55604 Rolling Tool Backpack</t>
        </is>
      </c>
      <c r="D225" t="inlineStr">
        <is>
          <t>Klein Tools 55604 Rolling Tool Backpack, Tool Bag with 28 Pockets, Heavy Duty Retractable Handle, Large Tool Storage Interior, 3-Inch Wheels</t>
        </is>
      </c>
      <c r="E225" s="2">
        <f>HYPERLINK("https://www.amazon.com/Klein-Tools-55604-Backpack-Retractable/dp/B0BL1QZ9ZC/ref=sr_1_1?keywords=Klein+Tools+55604+Rolling+Tool+Backpack&amp;qid=1694734451&amp;sr=8-1", "https://www.amazon.com/Klein-Tools-55604-Backpack-Retractable/dp/B0BL1QZ9ZC/ref=sr_1_1?keywords=Klein+Tools+55604+Rolling+Tool+Backpack&amp;qid=1694734451&amp;sr=8-1")</f>
        <v/>
      </c>
      <c r="F225" t="inlineStr">
        <is>
          <t>B0BL1QZ9ZC</t>
        </is>
      </c>
      <c r="G225">
        <f>_xlfn.IMAGE("https://edmondsonsupply.com/cdn/shop/products/55604.jpg?v=1670945315")</f>
        <v/>
      </c>
      <c r="H225">
        <f>_xlfn.IMAGE("https://m.media-amazon.com/images/I/716S-Ncj30L._AC_UL320_.jpg")</f>
        <v/>
      </c>
      <c r="K225" t="inlineStr">
        <is>
          <t>199.99</t>
        </is>
      </c>
      <c r="L225" t="n">
        <v>199.99</v>
      </c>
      <c r="M225" s="1" t="inlineStr">
        <is>
          <t>0.00%</t>
        </is>
      </c>
      <c r="N225" s="7" t="n">
        <v>-0.85</v>
      </c>
      <c r="O225" t="n">
        <v>4.6</v>
      </c>
      <c r="P225" t="n">
        <v>44</v>
      </c>
      <c r="R225" t="inlineStr">
        <is>
          <t>InStock</t>
        </is>
      </c>
      <c r="S225" t="inlineStr">
        <is>
          <t>291.98</t>
        </is>
      </c>
      <c r="T225" t="inlineStr">
        <is>
          <t>7903972819160</t>
        </is>
      </c>
    </row>
    <row r="226" ht="87" customHeight="1">
      <c r="A226" s="2">
        <f>HYPERLINK("https://edmondsonsupply.com/collections/storage-organization/products/wild-river-wt3605", "https://edmondsonsupply.com/collections/storage-organization/products/wild-river-wt3605")</f>
        <v/>
      </c>
      <c r="B226" s="2">
        <f>HYPERLINK("https://edmondsonsupply.com/products/wild-river-wt3605", "https://edmondsonsupply.com/products/wild-river-wt3605")</f>
        <v/>
      </c>
      <c r="C226" t="inlineStr">
        <is>
          <t>CLC Wild River WT3605 Nomad XP Lighted Backpack with USB Charging System</t>
        </is>
      </c>
      <c r="D226" t="inlineStr">
        <is>
          <t>Wild River Nomad by CLC Custom LeatherCraft Tackle Tek Nomad XP Lighted Backpack with USB Charging System</t>
        </is>
      </c>
      <c r="E226" s="2">
        <f>HYPERLINK("https://www.amazon.com/Wild-River-Leathercraft-WT3605-Backpack/dp/B00JCCHUFU/ref=sr_1_1?keywords=CLC+Wild+River+WT3605+Nomad+XP+Lighted+Backpack+with+USB+Charging+System&amp;qid=1694734463&amp;sr=8-1", "https://www.amazon.com/Wild-River-Leathercraft-WT3605-Backpack/dp/B00JCCHUFU/ref=sr_1_1?keywords=CLC+Wild+River+WT3605+Nomad+XP+Lighted+Backpack+with+USB+Charging+System&amp;qid=1694734463&amp;sr=8-1")</f>
        <v/>
      </c>
      <c r="F226" t="inlineStr">
        <is>
          <t>B00JCCHUFU</t>
        </is>
      </c>
      <c r="G226">
        <f>_xlfn.IMAGE("https://edmondsonsupply.com/cdn/shop/products/WT3605_12.png?v=1609788863")</f>
        <v/>
      </c>
      <c r="H226">
        <f>_xlfn.IMAGE("https://m.media-amazon.com/images/I/91SWWpE2VqL._AC_UL320_.jpg")</f>
        <v/>
      </c>
      <c r="K226" t="inlineStr">
        <is>
          <t>229.0</t>
        </is>
      </c>
      <c r="L226" t="n">
        <v>229</v>
      </c>
      <c r="M226" s="1" t="inlineStr">
        <is>
          <t>0.00%</t>
        </is>
      </c>
      <c r="N226" s="7" t="n">
        <v>-1.36</v>
      </c>
      <c r="O226" t="n">
        <v>4.7</v>
      </c>
      <c r="P226" t="n">
        <v>162</v>
      </c>
      <c r="R226" t="inlineStr">
        <is>
          <t>InStock</t>
        </is>
      </c>
      <c r="S226" t="inlineStr">
        <is>
          <t>289.0</t>
        </is>
      </c>
      <c r="T226" t="inlineStr">
        <is>
          <t>5273535611048</t>
        </is>
      </c>
    </row>
    <row r="227" ht="87" customHeight="1">
      <c r="A227" s="2">
        <f>HYPERLINK("https://edmondsonsupply.com/collections/storage-organization/products/klein-tools-5539lcblu-canvas-bag-with-zipper-large-blue", "https://edmondsonsupply.com/collections/storage-organization/products/klein-tools-5539lcblu-canvas-bag-with-zipper-large-blue")</f>
        <v/>
      </c>
      <c r="B227" s="2">
        <f>HYPERLINK("https://edmondsonsupply.com/products/klein-tools-5539lcblu-canvas-bag-with-zipper-large-blue", "https://edmondsonsupply.com/products/klein-tools-5539lcblu-canvas-bag-with-zipper-large-blue")</f>
        <v/>
      </c>
      <c r="C227" t="inlineStr">
        <is>
          <t>Klein Tools 5539LBLU Zipper Bag, Large Canvas Tool Pouch, 18-Inch, Blue</t>
        </is>
      </c>
      <c r="D227" t="inlineStr">
        <is>
          <t>Klein Tools 5539LBLU Zipper Bag, Large 16-Inch Canvas Tool Pouch for Tool Storage with Brass Zipper, and Grommet for Hanging, Blue</t>
        </is>
      </c>
      <c r="E227" s="2">
        <f>HYPERLINK("https://www.amazon.com/Klein-Tools-5539LBLU-16-Inch-Organizer/dp/B07R95F119/ref=sr_1_1?keywords=Klein+Tools+5539LBLU+Zipper+Bag%2C+Large+Canvas+Tool+Pouch%2C+18-Inch%2C+Blue&amp;qid=1694734446&amp;sr=8-1", "https://www.amazon.com/Klein-Tools-5539LBLU-16-Inch-Organizer/dp/B07R95F119/ref=sr_1_1?keywords=Klein+Tools+5539LBLU+Zipper+Bag%2C+Large+Canvas+Tool+Pouch%2C+18-Inch%2C+Blue&amp;qid=1694734446&amp;sr=8-1")</f>
        <v/>
      </c>
      <c r="F227" t="inlineStr">
        <is>
          <t>B07R95F119</t>
        </is>
      </c>
      <c r="G227">
        <f>_xlfn.IMAGE("https://edmondsonsupply.com/cdn/shop/products/5539lblu.jpg?v=1587150873")</f>
        <v/>
      </c>
      <c r="H227">
        <f>_xlfn.IMAGE("https://m.media-amazon.com/images/I/51VTqMM6V5L._AC_UL320_.jpg")</f>
        <v/>
      </c>
      <c r="K227" t="inlineStr">
        <is>
          <t>19.99</t>
        </is>
      </c>
      <c r="L227" t="n">
        <v>19.99</v>
      </c>
      <c r="M227" s="1" t="inlineStr">
        <is>
          <t>0.00%</t>
        </is>
      </c>
      <c r="N227" s="7" t="n">
        <v>-1.39</v>
      </c>
      <c r="O227" t="n">
        <v>4.7</v>
      </c>
      <c r="P227" t="n">
        <v>595</v>
      </c>
      <c r="R227" t="inlineStr">
        <is>
          <t>InStock</t>
        </is>
      </c>
      <c r="S227" t="inlineStr">
        <is>
          <t>28.04</t>
        </is>
      </c>
      <c r="T227" t="inlineStr">
        <is>
          <t>3516627124324</t>
        </is>
      </c>
    </row>
    <row r="228" ht="87" customHeight="1">
      <c r="A228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228" s="2">
        <f>HYPERLINK("https://edmondsonsupply.com/products/klein-tools-55560-camo-zipper-bags-2-pack", "https://edmondsonsupply.com/products/klein-tools-55560-camo-zipper-bags-2-pack")</f>
        <v/>
      </c>
      <c r="C228" t="inlineStr">
        <is>
          <t>Klein Tools 55560 Zipper Bags, Camo Tool Pouches, 2-Pack</t>
        </is>
      </c>
      <c r="D228" t="inlineStr">
        <is>
          <t>Klein Tools 55470 Utility Bag, Stand-Up Zipper Tool Bags, Orange/Black, Gray/Black, 2-Pack &amp; 5139 Zipper Bag, Canvas Tool Pouch 12.5 x 7 x 4.25-Inch with Heavy Duty Brass Zipper Close, Natural</t>
        </is>
      </c>
      <c r="E228" s="2">
        <f>HYPERLINK("https://www.amazon.com/Klein-Tools-Utility-Stand-Up-4-25-Inch/dp/B09Z93CWZ3/ref=sr_1_18?keywords=Klein+Tools+55560+Zipper+Bags%2C+Camo+Tool+Pouches%2C+2-Pack&amp;qid=1694734466&amp;sr=8-18", "https://www.amazon.com/Klein-Tools-Utility-Stand-Up-4-25-Inch/dp/B09Z93CWZ3/ref=sr_1_18?keywords=Klein+Tools+55560+Zipper+Bags%2C+Camo+Tool+Pouches%2C+2-Pack&amp;qid=1694734466&amp;sr=8-18")</f>
        <v/>
      </c>
      <c r="F228" t="inlineStr">
        <is>
          <t>B09Z93CWZ3</t>
        </is>
      </c>
      <c r="G228">
        <f>_xlfn.IMAGE("https://edmondsonsupply.com/cdn/shop/products/55560.jpg?v=1633030628")</f>
        <v/>
      </c>
      <c r="H228">
        <f>_xlfn.IMAGE("https://m.media-amazon.com/images/I/51o5htzrb7L._AC_UL320_.jpg")</f>
        <v/>
      </c>
      <c r="K228" t="inlineStr">
        <is>
          <t>24.99</t>
        </is>
      </c>
      <c r="L228" t="n">
        <v>24.99</v>
      </c>
      <c r="M228" s="1" t="inlineStr">
        <is>
          <t>0.00%</t>
        </is>
      </c>
      <c r="N228" s="7" t="n">
        <v>-1.71</v>
      </c>
      <c r="O228" t="n">
        <v>5</v>
      </c>
      <c r="P228" t="n">
        <v>3</v>
      </c>
      <c r="R228" t="inlineStr">
        <is>
          <t>InStock</t>
        </is>
      </c>
      <c r="S228" t="inlineStr">
        <is>
          <t>37.86</t>
        </is>
      </c>
      <c r="T228" t="inlineStr">
        <is>
          <t>5669841109160</t>
        </is>
      </c>
    </row>
    <row r="229" ht="87" customHeight="1">
      <c r="A229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229" s="2">
        <f>HYPERLINK("https://edmondsonsupply.com/products/klein-tools-55560-camo-zipper-bags-2-pack", "https://edmondsonsupply.com/products/klein-tools-55560-camo-zipper-bags-2-pack")</f>
        <v/>
      </c>
      <c r="C229" t="inlineStr">
        <is>
          <t>Klein Tools 55560 Zipper Bags, Camo Tool Pouches, 2-Pack</t>
        </is>
      </c>
      <c r="D229" t="inlineStr">
        <is>
          <t>Zipper Bags, Camo Bags are 12.5 and 10-Inch, 1680d Ballistic Weave Camouflage 2-Piece Klein Tools 55560</t>
        </is>
      </c>
      <c r="E229" s="2">
        <f>HYPERLINK("https://www.amazon.com/Ballistic-Camouflage-Klein-Tools-55560/dp/B0163SGPC4/ref=sr_1_1?keywords=Klein+Tools+55560+Zipper+Bags%2C+Camo+Tool+Pouches%2C+2-Pack&amp;qid=1694734466&amp;sr=8-1", "https://www.amazon.com/Ballistic-Camouflage-Klein-Tools-55560/dp/B0163SGPC4/ref=sr_1_1?keywords=Klein+Tools+55560+Zipper+Bags%2C+Camo+Tool+Pouches%2C+2-Pack&amp;qid=1694734466&amp;sr=8-1")</f>
        <v/>
      </c>
      <c r="F229" t="inlineStr">
        <is>
          <t>B0163SGPC4</t>
        </is>
      </c>
      <c r="G229">
        <f>_xlfn.IMAGE("https://edmondsonsupply.com/cdn/shop/products/55560.jpg?v=1633030628")</f>
        <v/>
      </c>
      <c r="H229">
        <f>_xlfn.IMAGE("https://m.media-amazon.com/images/I/71cW9mP8LiL._AC_UL320_.jpg")</f>
        <v/>
      </c>
      <c r="K229" t="inlineStr">
        <is>
          <t>24.99</t>
        </is>
      </c>
      <c r="L229" t="n">
        <v>24.99</v>
      </c>
      <c r="M229" s="1" t="inlineStr">
        <is>
          <t>0.00%</t>
        </is>
      </c>
      <c r="N229" s="7" t="n">
        <v>-2.03</v>
      </c>
      <c r="O229" t="n">
        <v>4.9</v>
      </c>
      <c r="P229" t="n">
        <v>496</v>
      </c>
      <c r="R229" t="inlineStr">
        <is>
          <t>InStock</t>
        </is>
      </c>
      <c r="S229" t="inlineStr">
        <is>
          <t>37.86</t>
        </is>
      </c>
      <c r="T229" t="inlineStr">
        <is>
          <t>5669841109160</t>
        </is>
      </c>
    </row>
    <row r="230" ht="87" customHeight="1">
      <c r="A230" s="2">
        <f>HYPERLINK("https://edmondsonsupply.com/collections/storage-organization/products/klein-tools-5539lyel-canvas-bag-with-zipper-large-yellow", "https://edmondsonsupply.com/collections/storage-organization/products/klein-tools-5539lyel-canvas-bag-with-zipper-large-yellow")</f>
        <v/>
      </c>
      <c r="B230" s="2">
        <f>HYPERLINK("https://edmondsonsupply.com/products/klein-tools-5539lyel-canvas-bag-with-zipper-large-yellow", "https://edmondsonsupply.com/products/klein-tools-5539lyel-canvas-bag-with-zipper-large-yellow")</f>
        <v/>
      </c>
      <c r="C230" t="inlineStr">
        <is>
          <t>Klein Tools 5539LYEL Zipper Bag, Large Canvas Tool Pouch, 18-Inch, Yellow</t>
        </is>
      </c>
      <c r="D230" t="inlineStr">
        <is>
          <t>Klein Tools 5539LYEL Zipper Bag, Large 16-Inch Canvas Tool Pouch for Tool Storage with Brass Zipper, and Grommet for Hanging, Yellow</t>
        </is>
      </c>
      <c r="E230" s="2">
        <f>HYPERLINK("https://www.amazon.com/Klein-Tools-5539LYEL-16-Inch-Organizer/dp/B07RDSFV7H/ref=sr_1_1?keywords=Klein+Tools+5539LYEL+Zipper+Bag%2C+Large+Canvas+Tool+Pouch%2C+18-Inch%2C+Yellow&amp;qid=1694734441&amp;sr=8-1", "https://www.amazon.com/Klein-Tools-5539LYEL-16-Inch-Organizer/dp/B07RDSFV7H/ref=sr_1_1?keywords=Klein+Tools+5539LYEL+Zipper+Bag%2C+Large+Canvas+Tool+Pouch%2C+18-Inch%2C+Yellow&amp;qid=1694734441&amp;sr=8-1")</f>
        <v/>
      </c>
      <c r="F230" t="inlineStr">
        <is>
          <t>B07RDSFV7H</t>
        </is>
      </c>
      <c r="G230">
        <f>_xlfn.IMAGE("https://edmondsonsupply.com/cdn/shop/products/5539lyel.jpg?v=1587143705")</f>
        <v/>
      </c>
      <c r="H230">
        <f>_xlfn.IMAGE("https://m.media-amazon.com/images/I/51WhSCLJ4EL._AC_UL320_.jpg")</f>
        <v/>
      </c>
      <c r="K230" t="inlineStr">
        <is>
          <t>19.99</t>
        </is>
      </c>
      <c r="L230" t="n">
        <v>19.99</v>
      </c>
      <c r="M230" s="1" t="inlineStr">
        <is>
          <t>0.00%</t>
        </is>
      </c>
      <c r="N230" s="7" t="n">
        <v>-2.34</v>
      </c>
      <c r="O230" t="n">
        <v>4.7</v>
      </c>
      <c r="P230" t="n">
        <v>595</v>
      </c>
      <c r="R230" t="inlineStr">
        <is>
          <t>InStock</t>
        </is>
      </c>
      <c r="S230" t="inlineStr">
        <is>
          <t>28.04</t>
        </is>
      </c>
      <c r="T230" t="inlineStr">
        <is>
          <t>3518288822372</t>
        </is>
      </c>
    </row>
    <row r="231" ht="87" customHeight="1">
      <c r="A231" s="2">
        <f>HYPERLINK("https://edmondsonsupply.com/collections/storage-organization/products/clc-l255", "https://edmondsonsupply.com/collections/storage-organization/products/clc-l255")</f>
        <v/>
      </c>
      <c r="B231" s="2">
        <f>HYPERLINK("https://edmondsonsupply.com/products/clc-l255", "https://edmondsonsupply.com/products/clc-l255")</f>
        <v/>
      </c>
      <c r="C231" t="inlineStr">
        <is>
          <t>CLC L255 TECH GEAR 53 Pocket - Lighted Backpack</t>
        </is>
      </c>
      <c r="D231" t="inlineStr">
        <is>
          <t>CLC Custom Leathercraft L255 Tech Gear 53 Pocket Lighted Back Pack , Black</t>
        </is>
      </c>
      <c r="E231" s="2">
        <f>HYPERLINK("https://www.amazon.com/Custom-Leathercraft-L255-Pocket-Lighted/dp/B00JCCHVRC/ref=sr_1_1?keywords=CLC+L255+TECH+GEAR+53+Pocket+-+Lighted+Backpack&amp;qid=1694734464&amp;sr=8-1", "https://www.amazon.com/Custom-Leathercraft-L255-Pocket-Lighted/dp/B00JCCHVRC/ref=sr_1_1?keywords=CLC+L255+TECH+GEAR+53+Pocket+-+Lighted+Backpack&amp;qid=1694734464&amp;sr=8-1")</f>
        <v/>
      </c>
      <c r="F231" t="inlineStr">
        <is>
          <t>B00JCCHVRC</t>
        </is>
      </c>
      <c r="G231">
        <f>_xlfn.IMAGE("https://edmondsonsupply.com/cdn/shop/products/L255.jpg?v=1609788641")</f>
        <v/>
      </c>
      <c r="H231">
        <f>_xlfn.IMAGE("https://m.media-amazon.com/images/I/81bEnXcf7eL._AC_UL320_.jpg")</f>
        <v/>
      </c>
      <c r="K231" t="inlineStr">
        <is>
          <t>119.0</t>
        </is>
      </c>
      <c r="L231" t="n">
        <v>119</v>
      </c>
      <c r="M231" s="1" t="inlineStr">
        <is>
          <t>0.00%</t>
        </is>
      </c>
      <c r="N231" s="7" t="n">
        <v>-2.43</v>
      </c>
      <c r="O231" t="n">
        <v>4.5</v>
      </c>
      <c r="P231" t="n">
        <v>1372</v>
      </c>
      <c r="R231" t="inlineStr">
        <is>
          <t>InStock</t>
        </is>
      </c>
      <c r="S231" t="inlineStr">
        <is>
          <t>159.0</t>
        </is>
      </c>
      <c r="T231" t="inlineStr">
        <is>
          <t>5267651985576</t>
        </is>
      </c>
    </row>
    <row r="232" ht="87" customHeight="1">
      <c r="A232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232" s="2">
        <f>HYPERLINK("https://edmondsonsupply.com/products/milwaukee-48-22-8045-packout%e2%84%a2-tool-tray", "https://edmondsonsupply.com/products/milwaukee-48-22-8045-packout%e2%84%a2-tool-tray")</f>
        <v/>
      </c>
      <c r="C232" t="inlineStr">
        <is>
          <t>Milwaukee 48-22-8045 PACKOUT™ Tool Tray</t>
        </is>
      </c>
      <c r="D232" t="inlineStr">
        <is>
          <t>Milwaukee 48-22-8045 PACKOUT Tool Tray</t>
        </is>
      </c>
      <c r="E232" s="2">
        <f>HYPERLINK("https://www.amazon.com/Milwaukee-48-22-8045-PACKOUT-Tool-Tray/dp/B0BL868CRC/ref=sr_1_7?keywords=Milwaukee+48-22-8045+PACKOUT%E2%84%A2+Tool+Tray&amp;qid=1694734444&amp;sr=8-7", "https://www.amazon.com/Milwaukee-48-22-8045-PACKOUT-Tool-Tray/dp/B0BL868CRC/ref=sr_1_7?keywords=Milwaukee+48-22-8045+PACKOUT%E2%84%A2+Tool+Tray&amp;qid=1694734444&amp;sr=8-7")</f>
        <v/>
      </c>
      <c r="F232" t="inlineStr">
        <is>
          <t>B0BL868CRC</t>
        </is>
      </c>
      <c r="G232">
        <f>_xlfn.IMAGE("https://edmondsonsupply.com/cdn/shop/files/48-22-8045_4.webp?v=1686230573")</f>
        <v/>
      </c>
      <c r="H232">
        <f>_xlfn.IMAGE("https://m.media-amazon.com/images/I/61YqlKZZwJL._AC_UL320_.jpg")</f>
        <v/>
      </c>
      <c r="K232" t="inlineStr">
        <is>
          <t>39.97</t>
        </is>
      </c>
      <c r="L232" t="n">
        <v>39.97</v>
      </c>
      <c r="M232" s="1" t="inlineStr">
        <is>
          <t>0.00%</t>
        </is>
      </c>
      <c r="N232" s="7" t="n">
        <v>-2.43</v>
      </c>
      <c r="O232" t="n">
        <v>4.4</v>
      </c>
      <c r="P232" t="n">
        <v>9</v>
      </c>
      <c r="R232" t="inlineStr">
        <is>
          <t>InStock</t>
        </is>
      </c>
      <c r="S232" t="inlineStr">
        <is>
          <t>64.9</t>
        </is>
      </c>
      <c r="T232" t="inlineStr">
        <is>
          <t>8002611806424</t>
        </is>
      </c>
    </row>
    <row r="233" ht="87" customHeight="1">
      <c r="A233" s="2">
        <f>HYPERLINK("https://edmondsonsupply.com/collections/storage-organization/products/klein-tools-5183-tradesman-pro%E2%84%A2-drill-pouch", "https://edmondsonsupply.com/collections/storage-organization/products/klein-tools-5183-tradesman-pro%E2%84%A2-drill-pouch")</f>
        <v/>
      </c>
      <c r="B233" s="2">
        <f>HYPERLINK("https://edmondsonsupply.com/products/klein-tools-5183-tradesman-pro%e2%84%a2-drill-pouch", "https://edmondsonsupply.com/products/klein-tools-5183-tradesman-pro%e2%84%a2-drill-pouch")</f>
        <v/>
      </c>
      <c r="C233" t="inlineStr">
        <is>
          <t>Klein Tools 5183 Tool Bag, Tradesman Pro™ Drill Pouch</t>
        </is>
      </c>
      <c r="D233" t="inlineStr">
        <is>
          <t>Klein Tools 5183 Tool Bag, Tradesman Pro Drill Pouch Made of 1680d Ballistic Weave, Drill Holster with Pockets for Tools and Drill Bits</t>
        </is>
      </c>
      <c r="E233" s="2">
        <f>HYPERLINK("https://www.amazon.com/Tradesman-Drill-Klein-Tools-5183/dp/B00MJNFYRU/ref=sr_1_1?keywords=Klein+Tools+5183+Tool+Bag%2C+Tradesman+Pro%E2%84%A2+Drill+Pouch&amp;qid=1694734444&amp;sr=8-1", "https://www.amazon.com/Tradesman-Drill-Klein-Tools-5183/dp/B00MJNFYRU/ref=sr_1_1?keywords=Klein+Tools+5183+Tool+Bag%2C+Tradesman+Pro%E2%84%A2+Drill+Pouch&amp;qid=1694734444&amp;sr=8-1")</f>
        <v/>
      </c>
      <c r="F233" t="inlineStr">
        <is>
          <t>B00MJNFYRU</t>
        </is>
      </c>
      <c r="G233">
        <f>_xlfn.IMAGE("https://edmondsonsupply.com/cdn/shop/products/5183.jpg?v=1587145505")</f>
        <v/>
      </c>
      <c r="H233">
        <f>_xlfn.IMAGE("https://m.media-amazon.com/images/I/519CZFYpgDL._AC_UL320_.jpg")</f>
        <v/>
      </c>
      <c r="K233" t="inlineStr">
        <is>
          <t>25.99</t>
        </is>
      </c>
      <c r="L233" t="n">
        <v>25.99</v>
      </c>
      <c r="M233" s="1" t="inlineStr">
        <is>
          <t>0.00%</t>
        </is>
      </c>
      <c r="N233" s="7" t="n">
        <v>-3</v>
      </c>
      <c r="O233" t="n">
        <v>4.6</v>
      </c>
      <c r="P233" t="n">
        <v>828</v>
      </c>
      <c r="R233" t="inlineStr">
        <is>
          <t>InStock</t>
        </is>
      </c>
      <c r="S233" t="inlineStr">
        <is>
          <t>36.14</t>
        </is>
      </c>
      <c r="T233" t="inlineStr">
        <is>
          <t>4458694541412</t>
        </is>
      </c>
    </row>
    <row r="234" ht="87" customHeight="1">
      <c r="A234" s="2">
        <f>HYPERLINK("https://edmondsonsupply.com/collections/storage-organization/products/clc-pb1531-molded-plastic-bottom-electrical-hvac-tool-carrier", "https://edmondsonsupply.com/collections/storage-organization/products/clc-pb1531-molded-plastic-bottom-electrical-hvac-tool-carrier")</f>
        <v/>
      </c>
      <c r="B234" s="2">
        <f>HYPERLINK("https://edmondsonsupply.com/products/clc-pb1531-molded-plastic-bottom-electrical-hvac-tool-carrier", "https://edmondsonsupply.com/products/clc-pb1531-molded-plastic-bottom-electrical-hvac-tool-carrier")</f>
        <v/>
      </c>
      <c r="C234" t="inlineStr">
        <is>
          <t>CLC PB1531 Molded Plastic Bottom Electrical/HVAC Tool Carrier</t>
        </is>
      </c>
      <c r="D234" t="inlineStr">
        <is>
          <t>CLC Work Gear PB1531 13" Molded Base Electrical/HVAC Tool Carrier</t>
        </is>
      </c>
      <c r="E234" s="2">
        <f>HYPERLINK("https://www.amazon.com/Work-PB1531-Molded-Electrical-Carrier/dp/B099JPPB5S/ref=sr_1_1?keywords=CLC+PB1531+Molded+Plastic+Bottom+Electrical%2FHVAC+Tool+Carrier&amp;qid=1694734460&amp;sr=8-1", "https://www.amazon.com/Work-PB1531-Molded-Electrical-Carrier/dp/B099JPPB5S/ref=sr_1_1?keywords=CLC+PB1531+Molded+Plastic+Bottom+Electrical%2FHVAC+Tool+Carrier&amp;qid=1694734460&amp;sr=8-1")</f>
        <v/>
      </c>
      <c r="F234" t="inlineStr">
        <is>
          <t>B099JPPB5S</t>
        </is>
      </c>
      <c r="G234">
        <f>_xlfn.IMAGE("https://edmondsonsupply.com/cdn/shop/products/PB1531.png?v=1633031052")</f>
        <v/>
      </c>
      <c r="H234">
        <f>_xlfn.IMAGE("https://m.media-amazon.com/images/I/81bFPHq3MXS._AC_UL320_.jpg")</f>
        <v/>
      </c>
      <c r="K234" t="inlineStr">
        <is>
          <t>89.95</t>
        </is>
      </c>
      <c r="L234" t="n">
        <v>89.95</v>
      </c>
      <c r="M234" s="1" t="inlineStr">
        <is>
          <t>0.00%</t>
        </is>
      </c>
      <c r="N234" s="7" t="n">
        <v>-3.35</v>
      </c>
      <c r="O234" t="n">
        <v>4.4</v>
      </c>
      <c r="P234" t="n">
        <v>18</v>
      </c>
      <c r="R234" t="inlineStr">
        <is>
          <t>InStock</t>
        </is>
      </c>
      <c r="S234" t="inlineStr">
        <is>
          <t>119.0</t>
        </is>
      </c>
      <c r="T234" t="inlineStr">
        <is>
          <t>6781720232109</t>
        </is>
      </c>
    </row>
    <row r="235" ht="87" customHeight="1">
      <c r="A235" s="2">
        <f>HYPERLINK("https://edmondsonsupply.com/collections/storage-organization/products/clc-1509-21-pocket-zippered-professional-electricians-tool-pouch", "https://edmondsonsupply.com/collections/storage-organization/products/clc-1509-21-pocket-zippered-professional-electricians-tool-pouch")</f>
        <v/>
      </c>
      <c r="B235" s="2">
        <f>HYPERLINK("https://edmondsonsupply.com/products/clc-1509-21-pocket-zippered-professional-electricians-tool-pouch", "https://edmondsonsupply.com/products/clc-1509-21-pocket-zippered-professional-electricians-tool-pouch")</f>
        <v/>
      </c>
      <c r="C235" t="inlineStr">
        <is>
          <t>CLC 1509 21 Pocket Zippered Professional Electrician's Tool Pouch</t>
        </is>
      </c>
      <c r="D235" t="inlineStr">
        <is>
          <t>CLC Custom Leathercraft 1509 Zippered Professional Electricians Tool Pouch, 21 Pocket , Black</t>
        </is>
      </c>
      <c r="E235" s="2">
        <f>HYPERLINK("https://www.amazon.com/Custom-Leathercraft-1509-Professional-Electricians/dp/B0001ZI524/ref=sr_1_1?keywords=CLC+1509+21+Pocket+Zippered+Professional+Electricians+Tool+Pouch&amp;qid=1694734461&amp;sr=8-1", "https://www.amazon.com/Custom-Leathercraft-1509-Professional-Electricians/dp/B0001ZI524/ref=sr_1_1?keywords=CLC+1509+21+Pocket+Zippered+Professional+Electricians+Tool+Pouch&amp;qid=1694734461&amp;sr=8-1")</f>
        <v/>
      </c>
      <c r="F235" t="inlineStr">
        <is>
          <t>B0001ZI524</t>
        </is>
      </c>
      <c r="G235">
        <f>_xlfn.IMAGE("https://edmondsonsupply.com/cdn/shop/products/1509_REV17.jpg?v=1633030331")</f>
        <v/>
      </c>
      <c r="H235">
        <f>_xlfn.IMAGE("https://m.media-amazon.com/images/I/81VBCQX1UxL._AC_UL320_.jpg")</f>
        <v/>
      </c>
      <c r="K235" t="inlineStr">
        <is>
          <t>49.95</t>
        </is>
      </c>
      <c r="L235" t="n">
        <v>49.95</v>
      </c>
      <c r="M235" s="1" t="inlineStr">
        <is>
          <t>0.00%</t>
        </is>
      </c>
      <c r="N235" s="7" t="n">
        <v>-3.83</v>
      </c>
      <c r="O235" t="n">
        <v>4.6</v>
      </c>
      <c r="P235" t="n">
        <v>1842</v>
      </c>
      <c r="R235" t="inlineStr">
        <is>
          <t>InStock</t>
        </is>
      </c>
      <c r="S235" t="inlineStr">
        <is>
          <t>69.95</t>
        </is>
      </c>
      <c r="T235" t="inlineStr">
        <is>
          <t>5267903512744</t>
        </is>
      </c>
    </row>
    <row r="236" ht="87" customHeight="1">
      <c r="A236" s="2">
        <f>HYPERLINK("https://edmondsonsupply.com/collections/storage-organization/products/klein-tools-510212blk-tool-bag-black-canvas-12-inch", "https://edmondsonsupply.com/collections/storage-organization/products/klein-tools-510212blk-tool-bag-black-canvas-12-inch")</f>
        <v/>
      </c>
      <c r="B236" s="2">
        <f>HYPERLINK("https://edmondsonsupply.com/products/klein-tools-510212blk-tool-bag-black-canvas-12-inch", "https://edmondsonsupply.com/products/klein-tools-510212blk-tool-bag-black-canvas-12-inch")</f>
        <v/>
      </c>
      <c r="C236" t="inlineStr">
        <is>
          <t>Klein Tools 510212BLK Tool Bag, Black Canvas, 12-Inch</t>
        </is>
      </c>
      <c r="D236" t="inlineStr">
        <is>
          <t>Klein Tools 510212BLK Heavy Duty Black Canvas Tool Bag, Tool Tote, Multi-Purpose Bag with Wide Hinged Opening and Leather Handles, 12-Inch</t>
        </is>
      </c>
      <c r="E236" s="2">
        <f>HYPERLINK("https://www.amazon.com/Klein-Tools-5102-12-Natural-Multi-Purpose/dp/B09Q72FFBP/ref=sr_1_1?keywords=Klein+Tools+510212BLK+Tool+Bag%2C+Black+Canvas%2C+12-Inch&amp;qid=1694734454&amp;sr=8-1", "https://www.amazon.com/Klein-Tools-5102-12-Natural-Multi-Purpose/dp/B09Q72FFBP/ref=sr_1_1?keywords=Klein+Tools+510212BLK+Tool+Bag%2C+Black+Canvas%2C+12-Inch&amp;qid=1694734454&amp;sr=8-1")</f>
        <v/>
      </c>
      <c r="F236" t="inlineStr">
        <is>
          <t>B09Q72FFBP</t>
        </is>
      </c>
      <c r="G236">
        <f>_xlfn.IMAGE("https://edmondsonsupply.com/cdn/shop/products/510212blk.jpg?v=1666026613")</f>
        <v/>
      </c>
      <c r="H236">
        <f>_xlfn.IMAGE("https://m.media-amazon.com/images/I/61UTjwgtB-L._AC_UL320_.jpg")</f>
        <v/>
      </c>
      <c r="K236" t="inlineStr">
        <is>
          <t>69.99</t>
        </is>
      </c>
      <c r="L236" t="n">
        <v>69.98999999999999</v>
      </c>
      <c r="M236" s="1" t="inlineStr">
        <is>
          <t>0.00%</t>
        </is>
      </c>
      <c r="N236" s="7" t="n">
        <v>-4.63</v>
      </c>
      <c r="O236" t="n">
        <v>4.7</v>
      </c>
      <c r="P236" t="n">
        <v>27</v>
      </c>
      <c r="R236" t="inlineStr">
        <is>
          <t>InStock</t>
        </is>
      </c>
      <c r="S236" t="inlineStr">
        <is>
          <t>103.34</t>
        </is>
      </c>
      <c r="T236" t="inlineStr">
        <is>
          <t>7856656679128</t>
        </is>
      </c>
    </row>
    <row r="237" ht="87" customHeight="1">
      <c r="A237" s="2">
        <f>HYPERLINK("https://edmondsonsupply.com/collections/storage-organization/products/clc-pb1133-molded-rubber-bottom-tool-backpack", "https://edmondsonsupply.com/collections/storage-organization/products/clc-pb1133-molded-rubber-bottom-tool-backpack")</f>
        <v/>
      </c>
      <c r="B237" s="2">
        <f>HYPERLINK("https://edmondsonsupply.com/products/clc-pb1133-molded-rubber-bottom-tool-backpack", "https://edmondsonsupply.com/products/clc-pb1133-molded-rubber-bottom-tool-backpack")</f>
        <v/>
      </c>
      <c r="C237" t="inlineStr">
        <is>
          <t>CLC PB1133 Molded Rubber Bottom Tool Backpack</t>
        </is>
      </c>
      <c r="D237" t="inlineStr">
        <is>
          <t>CLC Work Gear PB1133 38 Pocket Molded Base Tool Backpack, Black/Blue</t>
        </is>
      </c>
      <c r="E237" s="2">
        <f>HYPERLINK("https://www.amazon.com/Work-PB1133-Pocket-Molded-Backpack/dp/B099J4QQQ8/ref=sr_1_2?keywords=CLC+PB1133+Molded+Rubber+Bottom+Tool+Backpack&amp;qid=1694734458&amp;sr=8-2", "https://www.amazon.com/Work-PB1133-Pocket-Molded-Backpack/dp/B099J4QQQ8/ref=sr_1_2?keywords=CLC+PB1133+Molded+Rubber+Bottom+Tool+Backpack&amp;qid=1694734458&amp;sr=8-2")</f>
        <v/>
      </c>
      <c r="F237" t="inlineStr">
        <is>
          <t>B099J4QQQ8</t>
        </is>
      </c>
      <c r="G237">
        <f>_xlfn.IMAGE("https://edmondsonsupply.com/cdn/shop/products/PB1133.png?v=1633031051")</f>
        <v/>
      </c>
      <c r="H237">
        <f>_xlfn.IMAGE("https://m.media-amazon.com/images/I/81em+t5wPbS._AC_UL320_.jpg")</f>
        <v/>
      </c>
      <c r="K237" t="inlineStr">
        <is>
          <t>119.0</t>
        </is>
      </c>
      <c r="L237" t="n">
        <v>118.99</v>
      </c>
      <c r="M237" s="1" t="inlineStr">
        <is>
          <t>-0.01%</t>
        </is>
      </c>
      <c r="N237" s="7" t="n">
        <v>-4.68</v>
      </c>
      <c r="O237" t="n">
        <v>4.6</v>
      </c>
      <c r="P237" t="n">
        <v>309</v>
      </c>
      <c r="R237" t="inlineStr">
        <is>
          <t>InStock</t>
        </is>
      </c>
      <c r="S237" t="inlineStr">
        <is>
          <t>139.0</t>
        </is>
      </c>
      <c r="T237" t="inlineStr">
        <is>
          <t>6778833305773</t>
        </is>
      </c>
    </row>
    <row r="238" ht="87" customHeight="1">
      <c r="A238" s="2">
        <f>HYPERLINK("https://edmondsonsupply.com/collections/storage-organization/products/veto-pro-pac-wrencher-lc", "https://edmondsonsupply.com/collections/storage-organization/products/veto-pro-pac-wrencher-lc")</f>
        <v/>
      </c>
      <c r="B238" s="2">
        <f>HYPERLINK("https://edmondsonsupply.com/products/veto-pro-pac-wrencher-lc", "https://edmondsonsupply.com/products/veto-pro-pac-wrencher-lc")</f>
        <v/>
      </c>
      <c r="C238" t="inlineStr">
        <is>
          <t>Veto Pro Pac Wrencher LC</t>
        </is>
      </c>
      <c r="D238" t="inlineStr">
        <is>
          <t>Veto Pro Pac Wrencher-LC (Large, Open-Top Tool Bag)</t>
        </is>
      </c>
      <c r="E238" s="2">
        <f>HYPERLINK("https://www.amazon.com/Veto-Pro-Pac-Wrencher-LC-Open-Top/dp/B0BBPFQ447/ref=sr_1_1?keywords=Veto+Pro+Pac+Wrencher+LC&amp;qid=1694734449&amp;sr=8-1", "https://www.amazon.com/Veto-Pro-Pac-Wrencher-LC-Open-Top/dp/B0BBPFQ447/ref=sr_1_1?keywords=Veto+Pro+Pac+Wrencher+LC&amp;qid=1694734449&amp;sr=8-1")</f>
        <v/>
      </c>
      <c r="F238" t="inlineStr">
        <is>
          <t>B0BBPFQ447</t>
        </is>
      </c>
      <c r="G238">
        <f>_xlfn.IMAGE("https://edmondsonsupply.com/cdn/shop/products/0004_WRENCHER-LC_16-1.jpg?v=1675796113")</f>
        <v/>
      </c>
      <c r="H238">
        <f>_xlfn.IMAGE("https://m.media-amazon.com/images/I/61iZfeBF47L._AC_UL320_.jpg")</f>
        <v/>
      </c>
      <c r="K238" t="inlineStr">
        <is>
          <t>339.99</t>
        </is>
      </c>
      <c r="L238" t="n">
        <v>339.95</v>
      </c>
      <c r="M238" s="1" t="inlineStr">
        <is>
          <t>-0.01%</t>
        </is>
      </c>
      <c r="N238" s="7" t="n">
        <v>-5.02</v>
      </c>
      <c r="O238" t="n">
        <v>5</v>
      </c>
      <c r="P238" t="n">
        <v>1</v>
      </c>
      <c r="R238" t="inlineStr">
        <is>
          <t>InStock</t>
        </is>
      </c>
      <c r="S238" t="inlineStr">
        <is>
          <t>undefined</t>
        </is>
      </c>
      <c r="T238" t="inlineStr">
        <is>
          <t>7940479123672</t>
        </is>
      </c>
    </row>
    <row r="239" ht="87" customHeight="1">
      <c r="A239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239" s="2">
        <f>HYPERLINK("https://edmondsonsupply.com/products/veto-pro-pac-tech-pac-blackout-backpack", "https://edmondsonsupply.com/products/veto-pro-pac-tech-pac-blackout-backpack")</f>
        <v/>
      </c>
      <c r="C239" t="inlineStr">
        <is>
          <t>Veto Pro Pac TECH PAC Blackout Backpack</t>
        </is>
      </c>
      <c r="D239" t="inlineStr">
        <is>
          <t>Veto Pro Pac TECH PAC (Black)</t>
        </is>
      </c>
      <c r="E239" s="2">
        <f>HYPERLINK("https://www.amazon.com/Veto-Pro-Pac-TECH-Black/dp/B085FQLM4N/ref=sr_1_1?keywords=Veto+Pro+Pac+TECH+PAC+Blackout+Backpack&amp;qid=1694734435&amp;sr=8-1", "https://www.amazon.com/Veto-Pro-Pac-TECH-Black/dp/B085FQLM4N/ref=sr_1_1?keywords=Veto+Pro+Pac+TECH+PAC+Blackout+Backpack&amp;qid=1694734435&amp;sr=8-1")</f>
        <v/>
      </c>
      <c r="F239" t="inlineStr">
        <is>
          <t>B085FQLM4N</t>
        </is>
      </c>
      <c r="G239">
        <f>_xlfn.IMAGE("https://edmondsonsupply.com/cdn/shop/products/tech1.jpg?v=1633031041")</f>
        <v/>
      </c>
      <c r="H239">
        <f>_xlfn.IMAGE("https://m.media-amazon.com/images/I/91WcrOnbw2L._AC_UL320_.jpg")</f>
        <v/>
      </c>
      <c r="K239" t="inlineStr">
        <is>
          <t>329.99</t>
        </is>
      </c>
      <c r="L239" t="n">
        <v>329.95</v>
      </c>
      <c r="M239" s="1" t="inlineStr">
        <is>
          <t>-0.01%</t>
        </is>
      </c>
      <c r="N239" s="7" t="n">
        <v>-5.57</v>
      </c>
      <c r="O239" t="n">
        <v>4.8</v>
      </c>
      <c r="P239" t="n">
        <v>2263</v>
      </c>
      <c r="R239" t="inlineStr">
        <is>
          <t>InStock</t>
        </is>
      </c>
      <c r="S239" t="inlineStr">
        <is>
          <t>undefined</t>
        </is>
      </c>
      <c r="T239" t="inlineStr">
        <is>
          <t>6752226476205</t>
        </is>
      </c>
    </row>
    <row r="240" ht="87" customHeight="1">
      <c r="A240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240" s="2">
        <f>HYPERLINK("https://edmondsonsupply.com/products/veto-pro-pac-tech-pac-mc-blackout", "https://edmondsonsupply.com/products/veto-pro-pac-tech-pac-mc-blackout")</f>
        <v/>
      </c>
      <c r="C240" t="inlineStr">
        <is>
          <t>Veto Pro Pac TECH PAC MC Blackout</t>
        </is>
      </c>
      <c r="D240" t="inlineStr">
        <is>
          <t>Veto Pro Pac Tech Pac MC (Compact Tech Pac)</t>
        </is>
      </c>
      <c r="E240" s="2">
        <f>HYPERLINK("https://www.amazon.com/Veto-Pro-Tech-Compact-Blackout/dp/B0931VCBYM/ref=sr_1_1?keywords=Veto+Pro+Pac+TECH+PAC+MC+Blackout&amp;qid=1694734455&amp;sr=8-1", "https://www.amazon.com/Veto-Pro-Tech-Compact-Blackout/dp/B0931VCBYM/ref=sr_1_1?keywords=Veto+Pro+Pac+TECH+PAC+MC+Blackout&amp;qid=1694734455&amp;sr=8-1")</f>
        <v/>
      </c>
      <c r="F240" t="inlineStr">
        <is>
          <t>B0931VCBYM</t>
        </is>
      </c>
      <c r="G240">
        <f>_xlfn.IMAGE("https://edmondsonsupply.com/cdn/shop/products/tech1.png?v=1633031062")</f>
        <v/>
      </c>
      <c r="H240">
        <f>_xlfn.IMAGE("https://m.media-amazon.com/images/I/51BIH+NmbOL._AC_UL320_.jpg")</f>
        <v/>
      </c>
      <c r="K240" t="inlineStr">
        <is>
          <t>294.99</t>
        </is>
      </c>
      <c r="L240" t="n">
        <v>294.95</v>
      </c>
      <c r="M240" s="1" t="inlineStr">
        <is>
          <t>-0.01%</t>
        </is>
      </c>
      <c r="N240" s="7" t="n">
        <v>-6.3</v>
      </c>
      <c r="O240" t="n">
        <v>4.8</v>
      </c>
      <c r="P240" t="n">
        <v>361</v>
      </c>
      <c r="R240" t="inlineStr">
        <is>
          <t>InStock</t>
        </is>
      </c>
      <c r="S240" t="inlineStr">
        <is>
          <t>undefined</t>
        </is>
      </c>
      <c r="T240" t="inlineStr">
        <is>
          <t>6821254496429</t>
        </is>
      </c>
    </row>
    <row r="241" ht="87" customHeight="1">
      <c r="A241" s="2">
        <f>HYPERLINK("https://edmondsonsupply.com/collections/storage-organization/products/veto-pro-pac-edc-pac-lcd-olive", "https://edmondsonsupply.com/collections/storage-organization/products/veto-pro-pac-edc-pac-lcd-olive")</f>
        <v/>
      </c>
      <c r="B241" s="2">
        <f>HYPERLINK("https://edmondsonsupply.com/products/veto-pro-pac-edc-pac-lcd-olive", "https://edmondsonsupply.com/products/veto-pro-pac-edc-pac-lcd-olive")</f>
        <v/>
      </c>
      <c r="C241" t="inlineStr">
        <is>
          <t>Veto Pro Pac EDC Pac LCD - Olive</t>
        </is>
      </c>
      <c r="D241" t="inlineStr">
        <is>
          <t>Veto Pro Pac EDC PAC LCB (Olive)</t>
        </is>
      </c>
      <c r="E241" s="2">
        <f>HYPERLINK("https://www.amazon.com/Veto-Pro-Pac-EDC-PAC/dp/B0C3JJL9W6/ref=sr_1_1?keywords=Veto+Pro+Pac+EDC+Pac+LCD+-+Olive&amp;qid=1694734437&amp;sr=8-1", "https://www.amazon.com/Veto-Pro-Pac-EDC-PAC/dp/B0C3JJL9W6/ref=sr_1_1?keywords=Veto+Pro+Pac+EDC+Pac+LCD+-+Olive&amp;qid=1694734437&amp;sr=8-1")</f>
        <v/>
      </c>
      <c r="F241" t="inlineStr">
        <is>
          <t>B0C3JJL9W6</t>
        </is>
      </c>
      <c r="G241">
        <f>_xlfn.IMAGE("https://edmondsonsupply.com/cdn/shop/files/EDC_600x830-1.jpg?v=1685736699")</f>
        <v/>
      </c>
      <c r="H241">
        <f>_xlfn.IMAGE("https://m.media-amazon.com/images/I/51PK6+w3REL._AC_UL320_.jpg")</f>
        <v/>
      </c>
      <c r="K241" t="inlineStr">
        <is>
          <t>279.99</t>
        </is>
      </c>
      <c r="L241" t="n">
        <v>279.95</v>
      </c>
      <c r="M241" s="1" t="inlineStr">
        <is>
          <t>-0.01%</t>
        </is>
      </c>
      <c r="N241" s="7" t="n">
        <v>-6.6</v>
      </c>
      <c r="O241" t="n">
        <v>5</v>
      </c>
      <c r="P241" t="n">
        <v>10</v>
      </c>
      <c r="R241" t="inlineStr">
        <is>
          <t>OutOfStock</t>
        </is>
      </c>
      <c r="S241" t="inlineStr">
        <is>
          <t>undefined</t>
        </is>
      </c>
      <c r="T241" t="inlineStr">
        <is>
          <t>7999693914328</t>
        </is>
      </c>
    </row>
    <row r="242" ht="87" customHeight="1">
      <c r="A242" s="2">
        <f>HYPERLINK("https://edmondsonsupply.com/collections/storage-organization/products/veto-pro-pac-edc-pac-lcb-carbon", "https://edmondsonsupply.com/collections/storage-organization/products/veto-pro-pac-edc-pac-lcb-carbon")</f>
        <v/>
      </c>
      <c r="B242" s="2">
        <f>HYPERLINK("https://edmondsonsupply.com/products/veto-pro-pac-edc-pac-lcb-carbon", "https://edmondsonsupply.com/products/veto-pro-pac-edc-pac-lcb-carbon")</f>
        <v/>
      </c>
      <c r="C242" t="inlineStr">
        <is>
          <t>Veto Pro Pac EDC Pac LCB - Carbon</t>
        </is>
      </c>
      <c r="D242" t="inlineStr">
        <is>
          <t>Veto Pro Pac EDC PAC LCB (Carbon)</t>
        </is>
      </c>
      <c r="E242" s="2">
        <f>HYPERLINK("https://www.amazon.com/Veto-Pro-Pac-EDC-PAC/dp/B0C3JJ9856/ref=sr_1_1?keywords=Veto+Pro+Pac+EDC+Pac+LCB+-+Carbon&amp;qid=1694734439&amp;sr=8-1", "https://www.amazon.com/Veto-Pro-Pac-EDC-PAC/dp/B0C3JJ9856/ref=sr_1_1?keywords=Veto+Pro+Pac+EDC+Pac+LCB+-+Carbon&amp;qid=1694734439&amp;sr=8-1")</f>
        <v/>
      </c>
      <c r="F242" t="inlineStr">
        <is>
          <t>B0C3JJ9856</t>
        </is>
      </c>
      <c r="G242">
        <f>_xlfn.IMAGE("https://edmondsonsupply.com/cdn/shop/files/EDC_600x830_0006_EDC-PAC-LCB_CARBON_0495.jpg?v=1686662437")</f>
        <v/>
      </c>
      <c r="H242">
        <f>_xlfn.IMAGE("https://m.media-amazon.com/images/I/51unSbrR5LL._AC_UL320_.jpg")</f>
        <v/>
      </c>
      <c r="K242" t="inlineStr">
        <is>
          <t>279.99</t>
        </is>
      </c>
      <c r="L242" t="n">
        <v>279.95</v>
      </c>
      <c r="M242" s="1" t="inlineStr">
        <is>
          <t>-0.01%</t>
        </is>
      </c>
      <c r="N242" s="7" t="n">
        <v>-6.87</v>
      </c>
      <c r="O242" t="n">
        <v>5</v>
      </c>
      <c r="P242" t="n">
        <v>10</v>
      </c>
      <c r="R242" t="inlineStr">
        <is>
          <t>OutOfStock</t>
        </is>
      </c>
      <c r="S242" t="inlineStr">
        <is>
          <t>undefined</t>
        </is>
      </c>
      <c r="T242" t="inlineStr">
        <is>
          <t>8005105746136</t>
        </is>
      </c>
    </row>
    <row r="243" ht="87" customHeight="1">
      <c r="A243" s="2">
        <f>HYPERLINK("https://edmondsonsupply.com/collections/storage-organization/products/clc-pb1563-16-molded-plastic-bottom-bigmouth-tote-tool-bag", "https://edmondsonsupply.com/collections/storage-organization/products/clc-pb1563-16-molded-plastic-bottom-bigmouth-tote-tool-bag")</f>
        <v/>
      </c>
      <c r="B243" s="2">
        <f>HYPERLINK("https://edmondsonsupply.com/products/clc-pb1563-16-molded-plastic-bottom-bigmouth-tote-tool-bag", "https://edmondsonsupply.com/products/clc-pb1563-16-molded-plastic-bottom-bigmouth-tote-tool-bag")</f>
        <v/>
      </c>
      <c r="C243" t="inlineStr">
        <is>
          <t>CLC PB1563 16” Molded Plastic Bottom Bigmouth Tote Tool Bag</t>
        </is>
      </c>
      <c r="D243" t="inlineStr">
        <is>
          <t>CLC Work Gear PB1563 16" Molded Base Bigmouth Tote Tool Bag</t>
        </is>
      </c>
      <c r="E243" s="2">
        <f>HYPERLINK("https://www.amazon.com/Work-Gear-PB1563-Molded-Bigmouth/dp/B099J8XP46/ref=sr_1_1?keywords=CLC+PB1563+16%E2%80%9D+Molded+Plastic+Bottom+Bigmouth+Tote+Tool+Bag&amp;qid=1694734457&amp;sr=8-1", "https://www.amazon.com/Work-Gear-PB1563-Molded-Bigmouth/dp/B099J8XP46/ref=sr_1_1?keywords=CLC+PB1563+16%E2%80%9D+Molded+Plastic+Bottom+Bigmouth+Tote+Tool+Bag&amp;qid=1694734457&amp;sr=8-1")</f>
        <v/>
      </c>
      <c r="F243" t="inlineStr">
        <is>
          <t>B099J8XP46</t>
        </is>
      </c>
      <c r="G243">
        <f>_xlfn.IMAGE("https://edmondsonsupply.com/cdn/shop/products/PB1563.jpg?v=1633031054")</f>
        <v/>
      </c>
      <c r="H243">
        <f>_xlfn.IMAGE("https://m.media-amazon.com/images/I/81yEesBuRLS._AC_UL320_.jpg")</f>
        <v/>
      </c>
      <c r="K243" t="inlineStr">
        <is>
          <t>59.95</t>
        </is>
      </c>
      <c r="L243" t="n">
        <v>59.94</v>
      </c>
      <c r="M243" s="1" t="inlineStr">
        <is>
          <t>-0.02%</t>
        </is>
      </c>
      <c r="N243" s="7" t="n">
        <v>-6.95</v>
      </c>
      <c r="O243" t="n">
        <v>4.6</v>
      </c>
      <c r="P243" t="n">
        <v>25</v>
      </c>
      <c r="R243" t="inlineStr">
        <is>
          <t>InStock</t>
        </is>
      </c>
      <c r="S243" t="inlineStr">
        <is>
          <t>69.95</t>
        </is>
      </c>
      <c r="T243" t="inlineStr">
        <is>
          <t>6781893673133</t>
        </is>
      </c>
    </row>
    <row r="244" ht="87" customHeight="1">
      <c r="A244" s="2">
        <f>HYPERLINK("https://edmondsonsupply.com/collections/storage-organization/products/veto-pro-pac-tech-ot-mc-tool-tote", "https://edmondsonsupply.com/collections/storage-organization/products/veto-pro-pac-tech-ot-mc-tool-tote")</f>
        <v/>
      </c>
      <c r="B244" s="2">
        <f>HYPERLINK("https://edmondsonsupply.com/products/veto-pro-pac-tech-ot-mc-tool-tote", "https://edmondsonsupply.com/products/veto-pro-pac-tech-ot-mc-tool-tote")</f>
        <v/>
      </c>
      <c r="C244" t="inlineStr">
        <is>
          <t>Veto Pro Pac Tech OT-MC Tool Tote</t>
        </is>
      </c>
      <c r="D244" t="inlineStr">
        <is>
          <t>TECHOT-MC Veto Compact Open Top Tool Bag</t>
        </is>
      </c>
      <c r="E244" s="2">
        <f>HYPERLINK("https://www.amazon.com/TECHOT-MC-Veto-COMPACT-Open-Tool/dp/B07146M3QW/ref=sr_1_1?keywords=Veto+Pro+Pac+Tech+OT-MC+Tool+Tote&amp;qid=1694734439&amp;sr=8-1", "https://www.amazon.com/TECHOT-MC-Veto-COMPACT-Open-Tool/dp/B07146M3QW/ref=sr_1_1?keywords=Veto+Pro+Pac+Tech+OT-MC+Tool+Tote&amp;qid=1694734439&amp;sr=8-1")</f>
        <v/>
      </c>
      <c r="F244" t="inlineStr">
        <is>
          <t>B07146M3QW</t>
        </is>
      </c>
      <c r="G244">
        <f>_xlfn.IMAGE("https://edmondsonsupply.com/cdn/shop/products/otmc1_048af870-c580-47c1-b832-021ca8939d35.jpg?v=1587146037")</f>
        <v/>
      </c>
      <c r="H244">
        <f>_xlfn.IMAGE("https://m.media-amazon.com/images/I/7164ViSBjML._AC_UL320_.jpg")</f>
        <v/>
      </c>
      <c r="K244" t="inlineStr">
        <is>
          <t>209.99</t>
        </is>
      </c>
      <c r="L244" t="n">
        <v>209.95</v>
      </c>
      <c r="M244" s="1" t="inlineStr">
        <is>
          <t>-0.02%</t>
        </is>
      </c>
      <c r="N244" s="7" t="n">
        <v>-7.96</v>
      </c>
      <c r="O244" t="n">
        <v>4.8</v>
      </c>
      <c r="P244" t="n">
        <v>702</v>
      </c>
      <c r="R244" t="inlineStr">
        <is>
          <t>InStock</t>
        </is>
      </c>
      <c r="S244" t="inlineStr">
        <is>
          <t>undefined</t>
        </is>
      </c>
      <c r="T244" t="inlineStr">
        <is>
          <t>3561810952292</t>
        </is>
      </c>
    </row>
    <row r="245" ht="87" customHeight="1">
      <c r="A245" s="2">
        <f>HYPERLINK("https://edmondsonsupply.com/collections/storage-organization/products/veto-pro-pac-tp-xd-blackout", "https://edmondsonsupply.com/collections/storage-organization/products/veto-pro-pac-tp-xd-blackout")</f>
        <v/>
      </c>
      <c r="B245" s="2">
        <f>HYPERLINK("https://edmondsonsupply.com/products/veto-pro-pac-tp-xd-blackout", "https://edmondsonsupply.com/products/veto-pro-pac-tp-xd-blackout")</f>
        <v/>
      </c>
      <c r="C245" t="inlineStr">
        <is>
          <t>Veto Pro Pac TP-XD BLACKOUT</t>
        </is>
      </c>
      <c r="D245" t="inlineStr">
        <is>
          <t>Veto Pro Pac TP-XD BLACKOUT</t>
        </is>
      </c>
      <c r="E245" s="2">
        <f>HYPERLINK("https://www.amazon.com/Veto-Pro-Pac-TP-XD-BLACKOUT/dp/B0B2YBQXNP/ref=sr_1_1?keywords=Veto+Pro+Pac+TP-XD+BLACKOUT&amp;qid=1694734447&amp;sr=8-1", "https://www.amazon.com/Veto-Pro-Pac-TP-XD-BLACKOUT/dp/B0B2YBQXNP/ref=sr_1_1?keywords=Veto+Pro+Pac+TP-XD+BLACKOUT&amp;qid=1694734447&amp;sr=8-1")</f>
        <v/>
      </c>
      <c r="F245" t="inlineStr">
        <is>
          <t>B0B2YBQXNP</t>
        </is>
      </c>
      <c r="G245">
        <f>_xlfn.IMAGE("https://edmondsonsupply.com/cdn/shop/products/TPXD-600x830_0015_TP-XD_Blackout_3.jpg?v=1675796760")</f>
        <v/>
      </c>
      <c r="H245">
        <f>_xlfn.IMAGE("https://m.media-amazon.com/images/I/51vvq1zbgwL._AC_UL320_.jpg")</f>
        <v/>
      </c>
      <c r="K245" t="inlineStr">
        <is>
          <t>209.99</t>
        </is>
      </c>
      <c r="L245" t="n">
        <v>209.95</v>
      </c>
      <c r="M245" s="1" t="inlineStr">
        <is>
          <t>-0.02%</t>
        </is>
      </c>
      <c r="N245" s="7" t="n">
        <v>-7.96</v>
      </c>
      <c r="O245" t="n">
        <v>4.5</v>
      </c>
      <c r="P245" t="n">
        <v>24</v>
      </c>
      <c r="R245" t="inlineStr">
        <is>
          <t>InStock</t>
        </is>
      </c>
      <c r="S245" t="inlineStr">
        <is>
          <t>undefined</t>
        </is>
      </c>
      <c r="T245" t="inlineStr">
        <is>
          <t>7940481745112</t>
        </is>
      </c>
    </row>
    <row r="246" ht="87" customHeight="1">
      <c r="A246" s="2">
        <f>HYPERLINK("https://edmondsonsupply.com/collections/storage-organization/products/veto-pro-pac-tp-xxl-tool-pouch", "https://edmondsonsupply.com/collections/storage-organization/products/veto-pro-pac-tp-xxl-tool-pouch")</f>
        <v/>
      </c>
      <c r="B246" s="2">
        <f>HYPERLINK("https://edmondsonsupply.com/products/veto-pro-pac-tp-xxl-tool-pouch", "https://edmondsonsupply.com/products/veto-pro-pac-tp-xxl-tool-pouch")</f>
        <v/>
      </c>
      <c r="C246" t="inlineStr">
        <is>
          <t>Veto Pro Pac TP-XXL Tool Pouch</t>
        </is>
      </c>
      <c r="D246" t="inlineStr">
        <is>
          <t>Veto Pro Pac TP-XXL (Original)</t>
        </is>
      </c>
      <c r="E246" s="2">
        <f>HYPERLINK("https://www.amazon.com/Veto-Pro-Pac-TP-XXL-Zippered/dp/B09Q4YNX94/ref=sr_1_1?keywords=Veto+Pro+Pac+TP-XXL+Tool+Pouch&amp;qid=1694734436&amp;sr=8-1", "https://www.amazon.com/Veto-Pro-Pac-TP-XXL-Zippered/dp/B09Q4YNX94/ref=sr_1_1?keywords=Veto+Pro+Pac+TP-XXL+Tool+Pouch&amp;qid=1694734436&amp;sr=8-1")</f>
        <v/>
      </c>
      <c r="F246" t="inlineStr">
        <is>
          <t>B09Q4YNX94</t>
        </is>
      </c>
      <c r="G246">
        <f>_xlfn.IMAGE("https://edmondsonsupply.com/cdn/shop/products/01_TP-XXL.jpg?v=1633031173")</f>
        <v/>
      </c>
      <c r="H246">
        <f>_xlfn.IMAGE("https://m.media-amazon.com/images/I/61c5N3ud9xL._AC_UL320_.jpg")</f>
        <v/>
      </c>
      <c r="K246" t="inlineStr">
        <is>
          <t>209.99</t>
        </is>
      </c>
      <c r="L246" t="n">
        <v>209.95</v>
      </c>
      <c r="M246" s="1" t="inlineStr">
        <is>
          <t>-0.02%</t>
        </is>
      </c>
      <c r="N246" s="7" t="n">
        <v>-8</v>
      </c>
      <c r="O246" t="n">
        <v>4.8</v>
      </c>
      <c r="P246" t="n">
        <v>468</v>
      </c>
      <c r="R246" t="inlineStr">
        <is>
          <t>InStock</t>
        </is>
      </c>
      <c r="S246" t="inlineStr">
        <is>
          <t>undefined</t>
        </is>
      </c>
      <c r="T246" t="inlineStr">
        <is>
          <t>6917899321517</t>
        </is>
      </c>
    </row>
    <row r="247" ht="87" customHeight="1">
      <c r="A247" s="2">
        <f>HYPERLINK("https://edmondsonsupply.com/collections/storage-organization/products/veto-pro-pac-wrencher-mc", "https://edmondsonsupply.com/collections/storage-organization/products/veto-pro-pac-wrencher-mc")</f>
        <v/>
      </c>
      <c r="B247" s="2">
        <f>HYPERLINK("https://edmondsonsupply.com/products/veto-pro-pac-wrencher-mc", "https://edmondsonsupply.com/products/veto-pro-pac-wrencher-mc")</f>
        <v/>
      </c>
      <c r="C247" t="inlineStr">
        <is>
          <t>Veto Pro Pac Wrencher MC</t>
        </is>
      </c>
      <c r="D247" t="inlineStr">
        <is>
          <t>Veto Pro Pac Wrencher-MC (Medium Compact, Open-Top Tool Bag)</t>
        </is>
      </c>
      <c r="E247" s="2">
        <f>HYPERLINK("https://www.amazon.com/Veto-Wrencher-MC-Medium-Compact-Open-Top/dp/B0BBQ3R11H/ref=sr_1_1?keywords=Veto+Pro+Pac+Wrencher+MC&amp;qid=1694734449&amp;sr=8-1", "https://www.amazon.com/Veto-Wrencher-MC-Medium-Compact-Open-Top/dp/B0BBQ3R11H/ref=sr_1_1?keywords=Veto+Pro+Pac+Wrencher+MC&amp;qid=1694734449&amp;sr=8-1")</f>
        <v/>
      </c>
      <c r="F247" t="inlineStr">
        <is>
          <t>B0BBQ3R11H</t>
        </is>
      </c>
      <c r="G247">
        <f>_xlfn.IMAGE("https://edmondsonsupply.com/cdn/shop/products/0001_WRENCHER-MC_32.jpg?v=1675795195")</f>
        <v/>
      </c>
      <c r="H247">
        <f>_xlfn.IMAGE("https://m.media-amazon.com/images/I/51xcXNSndtL._AC_UL320_.jpg")</f>
        <v/>
      </c>
      <c r="K247" t="inlineStr">
        <is>
          <t>199.99</t>
        </is>
      </c>
      <c r="L247" t="n">
        <v>199.95</v>
      </c>
      <c r="M247" s="1" t="inlineStr">
        <is>
          <t>-0.02%</t>
        </is>
      </c>
      <c r="N247" s="7" t="n">
        <v>-8</v>
      </c>
      <c r="O247" t="n">
        <v>5</v>
      </c>
      <c r="P247" t="n">
        <v>7</v>
      </c>
      <c r="R247" t="inlineStr">
        <is>
          <t>InStock</t>
        </is>
      </c>
      <c r="S247" t="inlineStr">
        <is>
          <t>undefined</t>
        </is>
      </c>
      <c r="T247" t="inlineStr">
        <is>
          <t>7940474208472</t>
        </is>
      </c>
    </row>
    <row r="248" ht="87" customHeight="1">
      <c r="A248" s="2">
        <f>HYPERLINK("https://edmondsonsupply.com/collections/storage-organization/products/veto-pro-pac-tech-ot-sc-open-top-electrician-tool-bag", "https://edmondsonsupply.com/collections/storage-organization/products/veto-pro-pac-tech-ot-sc-open-top-electrician-tool-bag")</f>
        <v/>
      </c>
      <c r="B248" s="2">
        <f>HYPERLINK("https://edmondsonsupply.com/products/veto-pro-pac-tech-ot-sc-open-top-electrician-tool-bag", "https://edmondsonsupply.com/products/veto-pro-pac-tech-ot-sc-open-top-electrician-tool-bag")</f>
        <v/>
      </c>
      <c r="C248" t="inlineStr">
        <is>
          <t>Veto Pro Pac Tech OT-SC Open Top Electrician Tool Bag</t>
        </is>
      </c>
      <c r="D248" t="inlineStr">
        <is>
          <t>Veto Pro Pac TECH OT-SC (Sub-Compact Open Top Electrician Tool Bag)</t>
        </is>
      </c>
      <c r="E248" s="2">
        <f>HYPERLINK("https://www.amazon.com/Veto-TECH-OT-SC-Sub-Compact-Electrician/dp/B09ZC63KFK/ref=sr_1_1?keywords=Veto+Pro+Pac+Tech+OT-SC+Open+Top+Electrician+Tool+Bag&amp;qid=1694734448&amp;sr=8-1", "https://www.amazon.com/Veto-TECH-OT-SC-Sub-Compact-Electrician/dp/B09ZC63KFK/ref=sr_1_1?keywords=Veto+Pro+Pac+Tech+OT-SC+Open+Top+Electrician+Tool+Bag&amp;qid=1694734448&amp;sr=8-1")</f>
        <v/>
      </c>
      <c r="F248" t="inlineStr">
        <is>
          <t>B09ZC63KFK</t>
        </is>
      </c>
      <c r="G248">
        <f>_xlfn.IMAGE("https://edmondsonsupply.com/cdn/shop/products/0_707ca9f3-2e27-41c1-883d-1aec36a4e25a.jpg?v=1674835772")</f>
        <v/>
      </c>
      <c r="H248">
        <f>_xlfn.IMAGE("https://m.media-amazon.com/images/I/51LTwfYG5eL._AC_UL320_.jpg")</f>
        <v/>
      </c>
      <c r="K248" t="inlineStr">
        <is>
          <t>179.99</t>
        </is>
      </c>
      <c r="L248" t="n">
        <v>179.95</v>
      </c>
      <c r="M248" s="1" t="inlineStr">
        <is>
          <t>-0.02%</t>
        </is>
      </c>
      <c r="N248" s="7" t="n">
        <v>-8.42</v>
      </c>
      <c r="O248" t="n">
        <v>4.7</v>
      </c>
      <c r="P248" t="n">
        <v>21</v>
      </c>
      <c r="R248" t="inlineStr">
        <is>
          <t>InStock</t>
        </is>
      </c>
      <c r="S248" t="inlineStr">
        <is>
          <t>undefined</t>
        </is>
      </c>
      <c r="T248" t="inlineStr">
        <is>
          <t>7934929862872</t>
        </is>
      </c>
    </row>
    <row r="249" ht="87" customHeight="1">
      <c r="A249" s="2">
        <f>HYPERLINK("https://edmondsonsupply.com/collections/storage-organization/products/veto-pro-pac-tp-lc-tool-pouch", "https://edmondsonsupply.com/collections/storage-organization/products/veto-pro-pac-tp-lc-tool-pouch")</f>
        <v/>
      </c>
      <c r="B249" s="2">
        <f>HYPERLINK("https://edmondsonsupply.com/products/veto-pro-pac-tp-lc-tool-pouch", "https://edmondsonsupply.com/products/veto-pro-pac-tp-lc-tool-pouch")</f>
        <v/>
      </c>
      <c r="C249" t="inlineStr">
        <is>
          <t>Veto Pro Pac TP-LC Tool Pouch</t>
        </is>
      </c>
      <c r="D249" t="inlineStr">
        <is>
          <t>Veto Pro Pac TP-LC (Compact, Zippered Service Tech Tool Pouch)</t>
        </is>
      </c>
      <c r="E249" s="2">
        <f>HYPERLINK("https://www.amazon.com/Veto-TP-LC-Compact-Zippered-Service/dp/B09TPZKBDP/ref=sr_1_1?keywords=Veto+Pro+Pac+TP-LC+Tool+Pouch&amp;qid=1694734452&amp;sr=8-1", "https://www.amazon.com/Veto-TP-LC-Compact-Zippered-Service/dp/B09TPZKBDP/ref=sr_1_1?keywords=Veto+Pro+Pac+TP-LC+Tool+Pouch&amp;qid=1694734452&amp;sr=8-1")</f>
        <v/>
      </c>
      <c r="F249" t="inlineStr">
        <is>
          <t>B09TPZKBDP</t>
        </is>
      </c>
      <c r="G249">
        <f>_xlfn.IMAGE("https://edmondsonsupply.com/cdn/shop/products/TPLC.jpg?v=1648948141")</f>
        <v/>
      </c>
      <c r="H249">
        <f>_xlfn.IMAGE("https://m.media-amazon.com/images/I/51b1SiebzcL._AC_UL320_.jpg")</f>
        <v/>
      </c>
      <c r="K249" t="inlineStr">
        <is>
          <t>134.99</t>
        </is>
      </c>
      <c r="L249" t="n">
        <v>134.95</v>
      </c>
      <c r="M249" s="1" t="inlineStr">
        <is>
          <t>-0.03%</t>
        </is>
      </c>
      <c r="N249" s="7" t="n">
        <v>-8.699999999999999</v>
      </c>
      <c r="O249" t="n">
        <v>4.8</v>
      </c>
      <c r="P249" t="n">
        <v>277</v>
      </c>
      <c r="R249" t="inlineStr">
        <is>
          <t>InStock</t>
        </is>
      </c>
      <c r="S249" t="inlineStr">
        <is>
          <t>undefined</t>
        </is>
      </c>
      <c r="T249" t="inlineStr">
        <is>
          <t>7652194189528</t>
        </is>
      </c>
    </row>
    <row r="250" ht="87" customHeight="1">
      <c r="A250" s="2">
        <f>HYPERLINK("https://edmondsonsupply.com/collections/storage-organization/products/veto-pro-pac-cp4-special-ops-kit", "https://edmondsonsupply.com/collections/storage-organization/products/veto-pro-pac-cp4-special-ops-kit")</f>
        <v/>
      </c>
      <c r="B250" s="2">
        <f>HYPERLINK("https://edmondsonsupply.com/products/veto-pro-pac-cp4-special-ops-kit", "https://edmondsonsupply.com/products/veto-pro-pac-cp4-special-ops-kit")</f>
        <v/>
      </c>
      <c r="C250" t="inlineStr">
        <is>
          <t>Veto Pro Pac CP4 SPECIAL OPS Kit</t>
        </is>
      </c>
      <c r="D250" t="inlineStr">
        <is>
          <t>Veto Pro Pac CP4 Cargo Bag (Special Ops)</t>
        </is>
      </c>
      <c r="E250" s="2">
        <f>HYPERLINK("https://www.amazon.com/Veto-CP4-Cargo-Special-Ops/dp/B09TRZKH1F/ref=sr_1_1?keywords=Veto+Pro+Pac+CP4+SPECIAL+OPS+Kit&amp;qid=1694734443&amp;sr=8-1", "https://www.amazon.com/Veto-CP4-Cargo-Special-Ops/dp/B09TRZKH1F/ref=sr_1_1?keywords=Veto+Pro+Pac+CP4+SPECIAL+OPS+Kit&amp;qid=1694734443&amp;sr=8-1")</f>
        <v/>
      </c>
      <c r="F250" t="inlineStr">
        <is>
          <t>B09TRZKH1F</t>
        </is>
      </c>
      <c r="G250">
        <f>_xlfn.IMAGE("https://edmondsonsupply.com/cdn/shop/products/cp4.jpg?v=1649027694")</f>
        <v/>
      </c>
      <c r="H250">
        <f>_xlfn.IMAGE("https://m.media-amazon.com/images/I/61X+e+hYiqL._AC_UL320_.jpg")</f>
        <v/>
      </c>
      <c r="K250" t="inlineStr">
        <is>
          <t>99.99</t>
        </is>
      </c>
      <c r="L250" t="n">
        <v>99.95</v>
      </c>
      <c r="M250" s="1" t="inlineStr">
        <is>
          <t>-0.04%</t>
        </is>
      </c>
      <c r="N250" s="7" t="n">
        <v>-9.109999999999999</v>
      </c>
      <c r="O250" t="n">
        <v>4.9</v>
      </c>
      <c r="P250" t="n">
        <v>14</v>
      </c>
      <c r="R250" t="inlineStr">
        <is>
          <t>InStock</t>
        </is>
      </c>
      <c r="S250" t="inlineStr">
        <is>
          <t>undefined</t>
        </is>
      </c>
      <c r="T250" t="inlineStr">
        <is>
          <t>7652906533080</t>
        </is>
      </c>
    </row>
    <row r="251" ht="87" customHeight="1">
      <c r="A251" s="2">
        <f>HYPERLINK("https://edmondsonsupply.com/collections/storage-organization/products/veto-pro-pac-tp5b-clip-on-service-tool-pouch", "https://edmondsonsupply.com/collections/storage-organization/products/veto-pro-pac-tp5b-clip-on-service-tool-pouch")</f>
        <v/>
      </c>
      <c r="B251" s="2">
        <f>HYPERLINK("https://edmondsonsupply.com/products/veto-pro-pac-tp5b-clip-on-service-tool-pouch", "https://edmondsonsupply.com/products/veto-pro-pac-tp5b-clip-on-service-tool-pouch")</f>
        <v/>
      </c>
      <c r="C251" t="inlineStr">
        <is>
          <t>Veto Pro Pac TP5B Clip-on Service Tool Pouch</t>
        </is>
      </c>
      <c r="D251" t="inlineStr">
        <is>
          <t>Veto TP5B Clip-on Service Tool Pouch</t>
        </is>
      </c>
      <c r="E251" s="2">
        <f>HYPERLINK("https://www.amazon.com/Veto-TP5B-Clip-Service-Pouch/dp/B086DWWVHW/ref=sr_1_1?keywords=Veto+Pro+Pac+TP5B+Clip-on+Service+Tool+Pouch&amp;qid=1694734435&amp;sr=8-1", "https://www.amazon.com/Veto-TP5B-Clip-Service-Pouch/dp/B086DWWVHW/ref=sr_1_1?keywords=Veto+Pro+Pac+TP5B+Clip-on+Service+Tool+Pouch&amp;qid=1694734435&amp;sr=8-1")</f>
        <v/>
      </c>
      <c r="F251" t="inlineStr">
        <is>
          <t>B086DWWVHW</t>
        </is>
      </c>
      <c r="G251">
        <f>_xlfn.IMAGE("https://edmondsonsupply.com/cdn/shop/products/TP5B.png?v=1633031040")</f>
        <v/>
      </c>
      <c r="H251">
        <f>_xlfn.IMAGE("https://m.media-amazon.com/images/I/81NLFUJPtPL._AC_UL320_.jpg")</f>
        <v/>
      </c>
      <c r="K251" t="inlineStr">
        <is>
          <t>94.99</t>
        </is>
      </c>
      <c r="L251" t="n">
        <v>94.95</v>
      </c>
      <c r="M251" s="1" t="inlineStr">
        <is>
          <t>-0.04%</t>
        </is>
      </c>
      <c r="N251" s="7" t="n">
        <v>-9.220000000000001</v>
      </c>
      <c r="O251" t="n">
        <v>4.8</v>
      </c>
      <c r="P251" t="n">
        <v>749</v>
      </c>
      <c r="R251" t="inlineStr">
        <is>
          <t>InStock</t>
        </is>
      </c>
      <c r="S251" t="inlineStr">
        <is>
          <t>undefined</t>
        </is>
      </c>
      <c r="T251" t="inlineStr">
        <is>
          <t>6747522072749</t>
        </is>
      </c>
    </row>
    <row r="252" ht="87" customHeight="1">
      <c r="A252" s="2">
        <f>HYPERLINK("https://edmondsonsupply.com/collections/storage-organization/products/veto-pro-pac-tp3-b-tool-bag", "https://edmondsonsupply.com/collections/storage-organization/products/veto-pro-pac-tp3-b-tool-bag")</f>
        <v/>
      </c>
      <c r="B252" s="2">
        <f>HYPERLINK("https://edmondsonsupply.com/products/veto-pro-pac-tp3-b-tool-bag", "https://edmondsonsupply.com/products/veto-pro-pac-tp3-b-tool-bag")</f>
        <v/>
      </c>
      <c r="C252" t="inlineStr">
        <is>
          <t>Veto Pro Pac TP3B Tool Pouch</t>
        </is>
      </c>
      <c r="D252" t="inlineStr">
        <is>
          <t>Veto Pro Pac MB2 Tool Pouch</t>
        </is>
      </c>
      <c r="E252" s="2">
        <f>HYPERLINK("https://www.amazon.com/VETO-PRO-MB2-Tall-Meter/dp/B00IPQ9C1E/ref=sr_1_9?keywords=Veto+Pro+Pac+TP3B+Tool+Pouch&amp;qid=1694734456&amp;sr=8-9", "https://www.amazon.com/VETO-PRO-MB2-Tall-Meter/dp/B00IPQ9C1E/ref=sr_1_9?keywords=Veto+Pro+Pac+TP3B+Tool+Pouch&amp;qid=1694734456&amp;sr=8-9")</f>
        <v/>
      </c>
      <c r="F252" t="inlineStr">
        <is>
          <t>B00IPQ9C1E</t>
        </is>
      </c>
      <c r="G252">
        <f>_xlfn.IMAGE("https://edmondsonsupply.com/cdn/shop/products/tp3b.png?v=1633031041")</f>
        <v/>
      </c>
      <c r="H252">
        <f>_xlfn.IMAGE("https://m.media-amazon.com/images/I/91Ha2uK69IL._AC_UL320_.jpg")</f>
        <v/>
      </c>
      <c r="K252" t="inlineStr">
        <is>
          <t>74.99</t>
        </is>
      </c>
      <c r="L252" t="n">
        <v>74.95</v>
      </c>
      <c r="M252" s="1" t="inlineStr">
        <is>
          <t>-0.05%</t>
        </is>
      </c>
      <c r="N252" s="7" t="n">
        <v>-9.539999999999999</v>
      </c>
      <c r="O252" t="n">
        <v>4.8</v>
      </c>
      <c r="P252" t="n">
        <v>1466</v>
      </c>
      <c r="R252" t="inlineStr">
        <is>
          <t>InStock</t>
        </is>
      </c>
      <c r="S252" t="inlineStr">
        <is>
          <t>undefined</t>
        </is>
      </c>
      <c r="T252" t="inlineStr">
        <is>
          <t>6752204587181</t>
        </is>
      </c>
    </row>
    <row r="253" ht="87" customHeight="1">
      <c r="A253" s="2">
        <f>HYPERLINK("https://edmondsonsupply.com/collections/storage-organization/products/veto-pro-pac-mb2-tool-bag", "https://edmondsonsupply.com/collections/storage-organization/products/veto-pro-pac-mb2-tool-bag")</f>
        <v/>
      </c>
      <c r="B253" s="2">
        <f>HYPERLINK("https://edmondsonsupply.com/products/veto-pro-pac-mb2-tool-bag", "https://edmondsonsupply.com/products/veto-pro-pac-mb2-tool-bag")</f>
        <v/>
      </c>
      <c r="C253" t="inlineStr">
        <is>
          <t>Veto Pro Pac MB Small Meter Tool Bag</t>
        </is>
      </c>
      <c r="D253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253" s="2">
        <f>HYPERLINK("https://www.amazon.com/PB4-Durable-Access-Perfect-Backpack/dp/B0146QVSN6/ref=sr_1_39?keywords=Veto+Pro+Pac+MB+Small+Meter+Tool+Bag&amp;qid=1694734440&amp;sr=8-39", "https://www.amazon.com/PB4-Durable-Access-Perfect-Backpack/dp/B0146QVSN6/ref=sr_1_39?keywords=Veto+Pro+Pac+MB+Small+Meter+Tool+Bag&amp;qid=1694734440&amp;sr=8-39")</f>
        <v/>
      </c>
      <c r="F253" t="inlineStr">
        <is>
          <t>B0146QVSN6</t>
        </is>
      </c>
      <c r="G253">
        <f>_xlfn.IMAGE("https://edmondsonsupply.com/cdn/shop/products/MB1.jpg?v=1623249770")</f>
        <v/>
      </c>
      <c r="H253">
        <f>_xlfn.IMAGE("https://m.media-amazon.com/images/I/51CMBYDtOXL._AC_UL320_.jpg")</f>
        <v/>
      </c>
      <c r="K253" t="inlineStr">
        <is>
          <t>59.99</t>
        </is>
      </c>
      <c r="L253" t="n">
        <v>59.95</v>
      </c>
      <c r="M253" s="1" t="inlineStr">
        <is>
          <t>-0.07%</t>
        </is>
      </c>
      <c r="N253" s="7" t="n">
        <v>-9.859999999999999</v>
      </c>
      <c r="O253" t="n">
        <v>4.7</v>
      </c>
      <c r="P253" t="n">
        <v>209</v>
      </c>
      <c r="R253" t="inlineStr">
        <is>
          <t>InStock</t>
        </is>
      </c>
      <c r="S253" t="inlineStr">
        <is>
          <t>undefined</t>
        </is>
      </c>
      <c r="T253" t="inlineStr">
        <is>
          <t>3561699016804</t>
        </is>
      </c>
    </row>
    <row r="254" ht="87" customHeight="1">
      <c r="A254" s="2">
        <f>HYPERLINK("https://edmondsonsupply.com/collections/storage-organization/products/klein-tools-55452rtb-tool-bag-tradesman-pro%E2%84%A2-rolling-tool-bag-24-pockets-19-inch", "https://edmondsonsupply.com/collections/storage-organization/products/klein-tools-55452rtb-tool-bag-tradesman-pro%E2%84%A2-rolling-tool-bag-24-pockets-19-inch")</f>
        <v/>
      </c>
      <c r="B254" s="2">
        <f>HYPERLINK("https://edmondsonsupply.com/products/klein-tools-55452rtb-tool-bag-tradesman-pro%e2%84%a2-rolling-tool-bag-24-pockets-19-inch", "https://edmondsonsupply.com/products/klein-tools-55452rtb-tool-bag-tradesman-pro%e2%84%a2-rolling-tool-bag-24-pockets-19-inch")</f>
        <v/>
      </c>
      <c r="C254" t="inlineStr">
        <is>
          <t>Klein Tools 55452RTB Tool Bag, Tradesman Pro™ Rolling Tool Bag, 24 Pockets, 19-Inch</t>
        </is>
      </c>
      <c r="D254" t="inlineStr">
        <is>
          <t>Klein Tools 55452RTB Tool Bag, Water Resistant Tool Storage Organizer Rolls on Rugged 6-Inch Wheels, 24 Pockets, Load Tested to 200-Pound</t>
        </is>
      </c>
      <c r="E254" s="2">
        <f>HYPERLINK("https://www.amazon.com/Klein-Tools-55452RTB-Rollling-Tradesman/dp/B00BZXA35I/ref=sr_1_1?keywords=Klein+Tools+55452RTB+Tool+Bag%2C+Tradesman+Pro%E2%84%A2+Rolling+Tool+Bag%2C+24+Pockets%2C+19-Inch&amp;qid=1694734459&amp;sr=8-1", "https://www.amazon.com/Klein-Tools-55452RTB-Rollling-Tradesman/dp/B00BZXA35I/ref=sr_1_1?keywords=Klein+Tools+55452RTB+Tool+Bag%2C+Tradesman+Pro%E2%84%A2+Rolling+Tool+Bag%2C+24+Pockets%2C+19-Inch&amp;qid=1694734459&amp;sr=8-1")</f>
        <v/>
      </c>
      <c r="F254" t="inlineStr">
        <is>
          <t>B00BZXA35I</t>
        </is>
      </c>
      <c r="G254">
        <f>_xlfn.IMAGE("https://edmondsonsupply.com/cdn/shop/files/55452rtb.jpg?v=1685713046")</f>
        <v/>
      </c>
      <c r="H254">
        <f>_xlfn.IMAGE("https://m.media-amazon.com/images/I/71VvMaXepmL._AC_UL320_.jpg")</f>
        <v/>
      </c>
      <c r="K254" t="inlineStr">
        <is>
          <t>199.97</t>
        </is>
      </c>
      <c r="L254" t="n">
        <v>199</v>
      </c>
      <c r="M254" s="1" t="inlineStr">
        <is>
          <t>-0.49%</t>
        </is>
      </c>
      <c r="N254" s="7" t="n">
        <v>-10</v>
      </c>
      <c r="O254" t="n">
        <v>4.5</v>
      </c>
      <c r="P254" t="n">
        <v>900</v>
      </c>
      <c r="R254" t="inlineStr">
        <is>
          <t>InStock</t>
        </is>
      </c>
      <c r="S254" t="inlineStr">
        <is>
          <t>302.96</t>
        </is>
      </c>
      <c r="T254" t="inlineStr">
        <is>
          <t>7539025117400</t>
        </is>
      </c>
    </row>
    <row r="255" ht="87" customHeight="1">
      <c r="A255" s="2">
        <f>HYPERLINK("https://edmondsonsupply.com/collections/storage-organization/products/milwaukee-48-22-8301", "https://edmondsonsupply.com/collections/storage-organization/products/milwaukee-48-22-8301")</f>
        <v/>
      </c>
      <c r="B255" s="2">
        <f>HYPERLINK("https://edmondsonsupply.com/products/milwaukee-48-22-8301", "https://edmondsonsupply.com/products/milwaukee-48-22-8301")</f>
        <v/>
      </c>
      <c r="C255" t="inlineStr">
        <is>
          <t>Milwaukee 48-22-8301 PACKOUT™ Backpack</t>
        </is>
      </c>
      <c r="D255" t="inlineStr">
        <is>
          <t>MILWAUKEE'S Tool Backpack,Red/Black,48 Total Pockets (48228301)</t>
        </is>
      </c>
      <c r="E255" s="2">
        <f>HYPERLINK("https://www.amazon.com/PACKOUT-Modular-Storage-Jobsite-Backpack/dp/B07L39YCS5/ref=sr_1_20?keywords=Milwaukee+48-22-8301+PACKOUT%E2%84%A2+Backpack&amp;qid=1694734440&amp;sr=8-20", "https://www.amazon.com/PACKOUT-Modular-Storage-Jobsite-Backpack/dp/B07L39YCS5/ref=sr_1_20?keywords=Milwaukee+48-22-8301+PACKOUT%E2%84%A2+Backpack&amp;qid=1694734440&amp;sr=8-20")</f>
        <v/>
      </c>
      <c r="F255" t="inlineStr">
        <is>
          <t>B07L39YCS5</t>
        </is>
      </c>
      <c r="G255">
        <f>_xlfn.IMAGE("https://edmondsonsupply.com/cdn/shop/products/48-22-8301_1.png?v=1587150030")</f>
        <v/>
      </c>
      <c r="H255">
        <f>_xlfn.IMAGE("https://m.media-amazon.com/images/I/61e+OdtrXpL._AC_UL320_.jpg")</f>
        <v/>
      </c>
      <c r="K255" t="inlineStr">
        <is>
          <t>129.97</t>
        </is>
      </c>
      <c r="L255" t="n">
        <v>129</v>
      </c>
      <c r="M255" s="1" t="inlineStr">
        <is>
          <t>-0.75%</t>
        </is>
      </c>
      <c r="N255" s="7" t="n">
        <v>-10</v>
      </c>
      <c r="O255" t="n">
        <v>4.7</v>
      </c>
      <c r="P255" t="n">
        <v>734</v>
      </c>
      <c r="R255" t="inlineStr">
        <is>
          <t>InStock</t>
        </is>
      </c>
      <c r="S255" t="inlineStr">
        <is>
          <t>213.0</t>
        </is>
      </c>
      <c r="T255" t="inlineStr">
        <is>
          <t>4377330942052</t>
        </is>
      </c>
    </row>
    <row r="256" ht="87" customHeight="1">
      <c r="A256" s="2">
        <f>HYPERLINK("https://edmondsonsupply.com/collections/storage-organization/products/klein-tools-55429-tradesman-pro%E2%84%A2-electricians-tool-belt-xl", "https://edmondsonsupply.com/collections/storage-organization/products/klein-tools-55429-tradesman-pro%E2%84%A2-electricians-tool-belt-xl")</f>
        <v/>
      </c>
      <c r="B256" s="2">
        <f>HYPERLINK("https://edmondsonsupply.com/products/klein-tools-55429-tradesman-pro%e2%84%a2-electricians-tool-belt-xl", "https://edmondsonsupply.com/products/klein-tools-55429-tradesman-pro%e2%84%a2-electricians-tool-belt-xl")</f>
        <v/>
      </c>
      <c r="C256" t="inlineStr">
        <is>
          <t>Klein Tools 55429 Tradesman Pro™ Electrician's Tool Belt, XL</t>
        </is>
      </c>
      <c r="D256" t="inlineStr">
        <is>
          <t>Klein Tools 55429 Tradesman Pro Electrician's Padded Tool Belt and Tool Pouch Combo for Long-wear Comfort and Durability Size XL</t>
        </is>
      </c>
      <c r="E256" s="2">
        <f>HYPERLINK("https://www.amazon.com/Tradesman-Electricians-Klein-Tools-55429/dp/B00BZXA3GC/ref=sr_1_1?keywords=Klein+Tools+55429+Tradesman+Pro%E2%84%A2+Electrician%27s+Tool+Belt%2C+XL&amp;qid=1694734457&amp;sr=8-1", "https://www.amazon.com/Tradesman-Electricians-Klein-Tools-55429/dp/B00BZXA3GC/ref=sr_1_1?keywords=Klein+Tools+55429+Tradesman+Pro%E2%84%A2+Electrician%27s+Tool+Belt%2C+XL&amp;qid=1694734457&amp;sr=8-1")</f>
        <v/>
      </c>
      <c r="F256" t="inlineStr">
        <is>
          <t>B00BZXA3GC</t>
        </is>
      </c>
      <c r="G256">
        <f>_xlfn.IMAGE("https://edmondsonsupply.com/cdn/shop/products/55429_b.jpg?v=1679415357")</f>
        <v/>
      </c>
      <c r="H256">
        <f>_xlfn.IMAGE("https://m.media-amazon.com/images/I/61hBX21HbTL._AC_UL320_.jpg")</f>
        <v/>
      </c>
      <c r="K256" t="inlineStr">
        <is>
          <t>115.99</t>
        </is>
      </c>
      <c r="L256" t="n">
        <v>115</v>
      </c>
      <c r="M256" s="1" t="inlineStr">
        <is>
          <t>-0.85%</t>
        </is>
      </c>
      <c r="N256" s="7" t="n">
        <v>-10.01</v>
      </c>
      <c r="O256" t="n">
        <v>4.3</v>
      </c>
      <c r="P256" t="n">
        <v>527</v>
      </c>
      <c r="R256" t="inlineStr">
        <is>
          <t>InStock</t>
        </is>
      </c>
      <c r="S256" t="inlineStr">
        <is>
          <t>166.76</t>
        </is>
      </c>
      <c r="T256" t="inlineStr">
        <is>
          <t>6848882868397</t>
        </is>
      </c>
    </row>
    <row r="257" ht="87" customHeight="1">
      <c r="A257" s="2">
        <f>HYPERLINK("https://edmondsonsupply.com/collections/storage-organization/products/klein-tools-58886-tool-tote-polyester-7-pocket-with-drain-holes", "https://edmondsonsupply.com/collections/storage-organization/products/klein-tools-58886-tool-tote-polyester-7-pocket-with-drain-holes")</f>
        <v/>
      </c>
      <c r="B257" s="2">
        <f>HYPERLINK("https://edmondsonsupply.com/products/klein-tools-58886-tool-tote-polyester-7-pocket-with-drain-holes", "https://edmondsonsupply.com/products/klein-tools-58886-tool-tote-polyester-7-pocket-with-drain-holes")</f>
        <v/>
      </c>
      <c r="C257" t="inlineStr">
        <is>
          <t>Klein Tools 58886 Tool Tote, Polyester, 7-Pocket with Drain Holes</t>
        </is>
      </c>
      <c r="D257" t="inlineStr">
        <is>
          <t>Tool Tote, Polyester, 7-Pocket with Drain Holes</t>
        </is>
      </c>
      <c r="E257" s="2">
        <f>HYPERLINK("https://www.amazon.com/Polyester-7-Pocket-Klein-Tools-58886/dp/B000MKKBDY/ref=sr_1_1?keywords=Klein+Tools+58886+Tool+Tote%2C+Polyester%2C+7-Pocket+with+Drain+Holes&amp;qid=1694734451&amp;sr=8-1", "https://www.amazon.com/Polyester-7-Pocket-Klein-Tools-58886/dp/B000MKKBDY/ref=sr_1_1?keywords=Klein+Tools+58886+Tool+Tote%2C+Polyester%2C+7-Pocket+with+Drain+Holes&amp;qid=1694734451&amp;sr=8-1")</f>
        <v/>
      </c>
      <c r="F257" t="inlineStr">
        <is>
          <t>B000MKKBDY</t>
        </is>
      </c>
      <c r="G257">
        <f>_xlfn.IMAGE("https://edmondsonsupply.com/cdn/shop/products/58886.jpg?v=1652145349")</f>
        <v/>
      </c>
      <c r="H257">
        <f>_xlfn.IMAGE("https://m.media-amazon.com/images/I/71R79CI0igL._AC_UL320_.jpg")</f>
        <v/>
      </c>
      <c r="K257" t="inlineStr">
        <is>
          <t>72.99</t>
        </is>
      </c>
      <c r="L257" t="n">
        <v>72</v>
      </c>
      <c r="M257" s="1" t="inlineStr">
        <is>
          <t>-1.36%</t>
        </is>
      </c>
      <c r="N257" s="7" t="n">
        <v>-10.01</v>
      </c>
      <c r="O257" t="n">
        <v>4.5</v>
      </c>
      <c r="P257" t="n">
        <v>63</v>
      </c>
      <c r="R257" t="inlineStr">
        <is>
          <t>InStock</t>
        </is>
      </c>
      <c r="S257" t="inlineStr">
        <is>
          <t>110.6</t>
        </is>
      </c>
      <c r="T257" t="inlineStr">
        <is>
          <t>7684484432088</t>
        </is>
      </c>
    </row>
    <row r="258" ht="87" customHeight="1">
      <c r="A258" s="2">
        <f>HYPERLINK("https://edmondsonsupply.com/collections/storage-organization/products/milwaukee-48-22-8422-packout%E2%84%A2-compact-tool-box", "https://edmondsonsupply.com/collections/storage-organization/products/milwaukee-48-22-8422-packout%E2%84%A2-compact-tool-box")</f>
        <v/>
      </c>
      <c r="B258" s="2">
        <f>HYPERLINK("https://edmondsonsupply.com/products/milwaukee-48-22-8422-packout%e2%84%a2-compact-tool-box", "https://edmondsonsupply.com/products/milwaukee-48-22-8422-packout%e2%84%a2-compact-tool-box")</f>
        <v/>
      </c>
      <c r="C258" t="inlineStr">
        <is>
          <t>Milwaukee 48-22-8422 PACKOUT™ Compact Tool Box</t>
        </is>
      </c>
      <c r="D258" t="inlineStr">
        <is>
          <t>MILWAUKEE'S 48-22-8422 PACKOUT Compact Tool Box (1)</t>
        </is>
      </c>
      <c r="E258" s="2">
        <f>HYPERLINK("https://www.amazon.com/Milwaukee-48-22-8422-PACKOUT-Compact-Tool/dp/B084DBGJQB/ref=sr_1_10?keywords=Milwaukee+48-22-8422+PACKOUT%E2%84%A2+Compact+Tool+Box&amp;qid=1694734440&amp;sr=8-10", "https://www.amazon.com/Milwaukee-48-22-8422-PACKOUT-Compact-Tool/dp/B084DBGJQB/ref=sr_1_10?keywords=Milwaukee+48-22-8422+PACKOUT%E2%84%A2+Compact+Tool+Box&amp;qid=1694734440&amp;sr=8-10")</f>
        <v/>
      </c>
      <c r="F258" t="inlineStr">
        <is>
          <t>B084DBGJQB</t>
        </is>
      </c>
      <c r="G258">
        <f>_xlfn.IMAGE("https://edmondsonsupply.com/cdn/shop/files/48-22-8422_1.png?v=1694613197")</f>
        <v/>
      </c>
      <c r="H258">
        <f>_xlfn.IMAGE("https://m.media-amazon.com/images/I/51R2LHBscQL._AC_UL320_.jpg")</f>
        <v/>
      </c>
      <c r="K258" t="inlineStr">
        <is>
          <t>69.97</t>
        </is>
      </c>
      <c r="L258" t="n">
        <v>69</v>
      </c>
      <c r="M258" s="1" t="inlineStr">
        <is>
          <t>-1.39%</t>
        </is>
      </c>
      <c r="N258" s="7" t="n">
        <v>-10.62</v>
      </c>
      <c r="O258" t="n">
        <v>4.8</v>
      </c>
      <c r="P258" t="n">
        <v>293</v>
      </c>
      <c r="R258" t="inlineStr">
        <is>
          <t>InStock</t>
        </is>
      </c>
      <c r="S258" t="inlineStr">
        <is>
          <t>114.0</t>
        </is>
      </c>
      <c r="T258" t="inlineStr">
        <is>
          <t>8036836442328</t>
        </is>
      </c>
    </row>
    <row r="259" ht="87" customHeight="1">
      <c r="A259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259" s="2">
        <f>HYPERLINK("https://edmondsonsupply.com/products/veto-pro-pac-tech-pac-mc-blackout", "https://edmondsonsupply.com/products/veto-pro-pac-tech-pac-mc-blackout")</f>
        <v/>
      </c>
      <c r="C259" t="inlineStr">
        <is>
          <t>Veto Pro Pac TECH PAC MC Blackout</t>
        </is>
      </c>
      <c r="D259" t="inlineStr">
        <is>
          <t>Veto Pro Pac Tech Pac LT Tool Bag</t>
        </is>
      </c>
      <c r="E259" s="2">
        <f>HYPERLINK("https://www.amazon.com/VETO-PRO-PAC-Tech-Pac/dp/B00WZLTCHO/ref=sr_1_13?keywords=Veto+Pro+Pac+TECH+PAC+MC+Blackout&amp;qid=1694734455&amp;sr=8-13", "https://www.amazon.com/VETO-PRO-PAC-Tech-Pac/dp/B00WZLTCHO/ref=sr_1_13?keywords=Veto+Pro+Pac+TECH+PAC+MC+Blackout&amp;qid=1694734455&amp;sr=8-13")</f>
        <v/>
      </c>
      <c r="F259" t="inlineStr">
        <is>
          <t>B00WZLTCHO</t>
        </is>
      </c>
      <c r="G259">
        <f>_xlfn.IMAGE("https://edmondsonsupply.com/cdn/shop/products/tech1.png?v=1633031062")</f>
        <v/>
      </c>
      <c r="H259">
        <f>_xlfn.IMAGE("https://m.media-amazon.com/images/I/61uz-pihn8L._AC_UL320_.jpg")</f>
        <v/>
      </c>
      <c r="K259" t="inlineStr">
        <is>
          <t>294.99</t>
        </is>
      </c>
      <c r="L259" t="n">
        <v>289.95</v>
      </c>
      <c r="M259" s="1" t="inlineStr">
        <is>
          <t>-1.71%</t>
        </is>
      </c>
      <c r="N259" s="7" t="n">
        <v>-10.65</v>
      </c>
      <c r="O259" t="n">
        <v>4.7</v>
      </c>
      <c r="P259" t="n">
        <v>285</v>
      </c>
      <c r="R259" t="inlineStr">
        <is>
          <t>InStock</t>
        </is>
      </c>
      <c r="S259" t="inlineStr">
        <is>
          <t>undefined</t>
        </is>
      </c>
      <c r="T259" t="inlineStr">
        <is>
          <t>6821254496429</t>
        </is>
      </c>
    </row>
    <row r="260" ht="87" customHeight="1">
      <c r="A260" s="2">
        <f>HYPERLINK("https://edmondsonsupply.com/collections/storage-organization/products/klein-tools-5142p-tool-bag-canvas-utility-bag-interior-pocket-9-x-8-x-10-inch", "https://edmondsonsupply.com/collections/storage-organization/products/klein-tools-5142p-tool-bag-canvas-utility-bag-interior-pocket-9-x-8-x-10-inch")</f>
        <v/>
      </c>
      <c r="B260" s="2">
        <f>HYPERLINK("https://edmondsonsupply.com/products/klein-tools-5142p-tool-bag-canvas-utility-bag-interior-pocket-9-x-8-x-10-inch", "https://edmondsonsupply.com/products/klein-tools-5142p-tool-bag-canvas-utility-bag-interior-pocket-9-x-8-x-10-inch")</f>
        <v/>
      </c>
      <c r="C260" t="inlineStr">
        <is>
          <t>Klein Tools 5142P Tool Bag, Canvas Utility Bag, Interior Pocket, 9 x 8 x 10-Inch</t>
        </is>
      </c>
      <c r="D260" t="inlineStr">
        <is>
          <t>Klein Tools 5142P Heavy Tool Bag, No. 8 Canvas Utility Bag with Interior Pocket and Reinforced Rope Top, 9 x 8 x 10-Inch</t>
        </is>
      </c>
      <c r="E260" s="2">
        <f>HYPERLINK("https://www.amazon.com/Klein-Tools-5142P-Utility-Interior/dp/B000936Q4W/ref=sr_1_1?keywords=Klein+Tools+5142P+Tool+Bag%2C+Canvas+Utility+Bag%2C+Interior+Pocket%2C+9+x+8+x+10-Inch&amp;qid=1694734465&amp;sr=8-1", "https://www.amazon.com/Klein-Tools-5142P-Utility-Interior/dp/B000936Q4W/ref=sr_1_1?keywords=Klein+Tools+5142P+Tool+Bag%2C+Canvas+Utility+Bag%2C+Interior+Pocket%2C+9+x+8+x+10-Inch&amp;qid=1694734465&amp;sr=8-1")</f>
        <v/>
      </c>
      <c r="F260" t="inlineStr">
        <is>
          <t>B000936Q4W</t>
        </is>
      </c>
      <c r="G260">
        <f>_xlfn.IMAGE("https://edmondsonsupply.com/cdn/shop/products/5142.jpg?v=1633030666")</f>
        <v/>
      </c>
      <c r="H260">
        <f>_xlfn.IMAGE("https://m.media-amazon.com/images/I/61y29EFLXIL._AC_UL320_.jpg")</f>
        <v/>
      </c>
      <c r="K260" t="inlineStr">
        <is>
          <t>32.94</t>
        </is>
      </c>
      <c r="L260" t="n">
        <v>32.27</v>
      </c>
      <c r="M260" s="1" t="inlineStr">
        <is>
          <t>-2.03%</t>
        </is>
      </c>
      <c r="N260" s="7" t="n">
        <v>-10.98</v>
      </c>
      <c r="O260" t="n">
        <v>4.8</v>
      </c>
      <c r="P260" t="n">
        <v>119</v>
      </c>
      <c r="R260" t="inlineStr">
        <is>
          <t>InStock</t>
        </is>
      </c>
      <c r="S260" t="inlineStr">
        <is>
          <t>53.28</t>
        </is>
      </c>
      <c r="T260" t="inlineStr">
        <is>
          <t>5782787391656</t>
        </is>
      </c>
    </row>
    <row r="261" ht="87" customHeight="1">
      <c r="A261" s="2">
        <f>HYPERLINK("https://edmondsonsupply.com/collections/storage-organization/products/fluke-c37xt-protective-eva-hard-tool-case", "https://edmondsonsupply.com/collections/storage-organization/products/fluke-c37xt-protective-eva-hard-tool-case")</f>
        <v/>
      </c>
      <c r="B261" s="2">
        <f>HYPERLINK("https://edmondsonsupply.com/products/fluke-c37xt-protective-eva-hard-tool-case", "https://edmondsonsupply.com/products/fluke-c37xt-protective-eva-hard-tool-case")</f>
        <v/>
      </c>
      <c r="C261" t="inlineStr">
        <is>
          <t>Fluke C37XT Protective EVA Hard Tool Case</t>
        </is>
      </c>
      <c r="D261" t="inlineStr">
        <is>
          <t>Fluke C11XT Protective EVA Hard Tool Carrying Case for 117/116/115/179/323/324/325 and Many More</t>
        </is>
      </c>
      <c r="E261" s="2">
        <f>HYPERLINK("https://www.amazon.com/Fluke-C11XT-Protective-Hard-Carrying/dp/B09TG9VDVH/ref=sr_1_3?keywords=Fluke+C37XT+Protective+EVA+Hard+Tool+Case&amp;qid=1694734450&amp;sr=8-3", "https://www.amazon.com/Fluke-C11XT-Protective-Hard-Carrying/dp/B09TG9VDVH/ref=sr_1_3?keywords=Fluke+C37XT+Protective+EVA+Hard+Tool+Case&amp;qid=1694734450&amp;sr=8-3")</f>
        <v/>
      </c>
      <c r="F261" t="inlineStr">
        <is>
          <t>B09TG9VDVH</t>
        </is>
      </c>
      <c r="G261">
        <f>_xlfn.IMAGE("https://edmondsonsupply.com/cdn/shop/products/F-c37xt_06a_w.webp?v=1665405653")</f>
        <v/>
      </c>
      <c r="H261">
        <f>_xlfn.IMAGE("https://m.media-amazon.com/images/I/61mhFNHDU+L._AC_UL320_.jpg")</f>
        <v/>
      </c>
      <c r="K261" t="inlineStr">
        <is>
          <t>53.79</t>
        </is>
      </c>
      <c r="L261" t="n">
        <v>52.53</v>
      </c>
      <c r="M261" s="1" t="inlineStr">
        <is>
          <t>-2.34%</t>
        </is>
      </c>
      <c r="N261" s="7" t="n">
        <v>-11.1</v>
      </c>
      <c r="O261" t="n">
        <v>4.8</v>
      </c>
      <c r="P261" t="n">
        <v>78</v>
      </c>
      <c r="R261" t="inlineStr">
        <is>
          <t>InStock</t>
        </is>
      </c>
      <c r="S261" t="inlineStr">
        <is>
          <t>54.99</t>
        </is>
      </c>
      <c r="T261" t="inlineStr">
        <is>
          <t>7845839143128</t>
        </is>
      </c>
    </row>
    <row r="262" ht="87" customHeight="1">
      <c r="A262" s="2">
        <f>HYPERLINK("https://edmondsonsupply.com/collections/storage-organization/products/klein-tools-5141-canvas-bag-4-pk-brown-black-gray-red", "https://edmondsonsupply.com/collections/storage-organization/products/klein-tools-5141-canvas-bag-4-pk-brown-black-gray-red")</f>
        <v/>
      </c>
      <c r="B262" s="2">
        <f>HYPERLINK("https://edmondsonsupply.com/products/klein-tools-5141-canvas-bag-4-pk-brown-black-gray-red", "https://edmondsonsupply.com/products/klein-tools-5141-canvas-bag-4-pk-brown-black-gray-red")</f>
        <v/>
      </c>
      <c r="C262" t="inlineStr">
        <is>
          <t>Klein Tools 5141 Zipper Bags, Canvas Tool Pouches Brown/Black/Gray/Red, 4-Pack</t>
        </is>
      </c>
      <c r="D262" t="inlineStr">
        <is>
          <t>Klein Tools 5141 Zipper Tool Bag, Canvas Tool Pouch / Utility Bag, Bank Deposit Bag, 12.5 x 7-Inch, Brown/Black/Gray/Red 4-Pack</t>
        </is>
      </c>
      <c r="E262" s="2">
        <f>HYPERLINK("https://www.amazon.com/Utility-Zipper-12-5-Inch-Klein-Tools/dp/B007V8RXVI/ref=sr_1_1?keywords=Klein+Tools+5141+Zipper+Bags%2C+Canvas+Tool+Pouches+Brown%2FBlack%2FGray%2FRed%2C+4-Pack&amp;qid=1694734445&amp;sr=8-1", "https://www.amazon.com/Utility-Zipper-12-5-Inch-Klein-Tools/dp/B007V8RXVI/ref=sr_1_1?keywords=Klein+Tools+5141+Zipper+Bags%2C+Canvas+Tool+Pouches+Brown%2FBlack%2FGray%2FRed%2C+4-Pack&amp;qid=1694734445&amp;sr=8-1")</f>
        <v/>
      </c>
      <c r="F262" t="inlineStr">
        <is>
          <t>B007V8RXVI</t>
        </is>
      </c>
      <c r="G262">
        <f>_xlfn.IMAGE("https://edmondsonsupply.com/cdn/shop/products/5141.jpg?v=1633030517")</f>
        <v/>
      </c>
      <c r="H262">
        <f>_xlfn.IMAGE("https://m.media-amazon.com/images/I/61K2xaMr+oL._AC_UL320_.jpg")</f>
        <v/>
      </c>
      <c r="K262" t="inlineStr">
        <is>
          <t>39.97</t>
        </is>
      </c>
      <c r="L262" t="n">
        <v>39</v>
      </c>
      <c r="M262" s="1" t="inlineStr">
        <is>
          <t>-2.43%</t>
        </is>
      </c>
      <c r="N262" s="7" t="n">
        <v>-12.13</v>
      </c>
      <c r="O262" t="n">
        <v>4.8</v>
      </c>
      <c r="P262" t="n">
        <v>4463</v>
      </c>
      <c r="R262" t="inlineStr">
        <is>
          <t>InStock</t>
        </is>
      </c>
      <c r="S262" t="inlineStr">
        <is>
          <t>60.56</t>
        </is>
      </c>
      <c r="T262" t="inlineStr">
        <is>
          <t>5397460156584</t>
        </is>
      </c>
    </row>
    <row r="263" ht="87" customHeight="1">
      <c r="A263" s="2">
        <f>HYPERLINK("https://edmondsonsupply.com/collections/storage-organization/products/klein-tools-5141-canvas-bag-4-pk-brown-black-gray-red", "https://edmondsonsupply.com/collections/storage-organization/products/klein-tools-5141-canvas-bag-4-pk-brown-black-gray-red")</f>
        <v/>
      </c>
      <c r="B263" s="2">
        <f>HYPERLINK("https://edmondsonsupply.com/products/klein-tools-5141-canvas-bag-4-pk-brown-black-gray-red", "https://edmondsonsupply.com/products/klein-tools-5141-canvas-bag-4-pk-brown-black-gray-red")</f>
        <v/>
      </c>
      <c r="C263" t="inlineStr">
        <is>
          <t>Klein Tools 5141 Zipper Bags, Canvas Tool Pouches Brown/Black/Gray/Red, 4-Pack</t>
        </is>
      </c>
      <c r="D263" t="inlineStr">
        <is>
          <t>Klein Tools 5141 Canvas Zipper Bag, Tool Pouch, Tool Bag, 12.5 x 7-Inch, Brown/Black/Gray/Red 4-Pack &amp; 5139 Zipper Bag, Canvas Tool Pouch 12.5 x 7 x 4.25-Inch with Heavy Duty Brass Zipper Close</t>
        </is>
      </c>
      <c r="E263" s="2">
        <f>HYPERLINK("https://www.amazon.com/Klein-Tools-Canvas-Zipper-4-25-Inch/dp/B09Z91GLFK/ref=sr_1_2?keywords=Klein+Tools+5141+Zipper+Bags%2C+Canvas+Tool+Pouches+Brown%2FBlack%2FGray%2FRed%2C+4-Pack&amp;qid=1694734445&amp;sr=8-2", "https://www.amazon.com/Klein-Tools-Canvas-Zipper-4-25-Inch/dp/B09Z91GLFK/ref=sr_1_2?keywords=Klein+Tools+5141+Zipper+Bags%2C+Canvas+Tool+Pouches+Brown%2FBlack%2FGray%2FRed%2C+4-Pack&amp;qid=1694734445&amp;sr=8-2")</f>
        <v/>
      </c>
      <c r="F263" t="inlineStr">
        <is>
          <t>B09Z91GLFK</t>
        </is>
      </c>
      <c r="G263">
        <f>_xlfn.IMAGE("https://edmondsonsupply.com/cdn/shop/products/5141.jpg?v=1633030517")</f>
        <v/>
      </c>
      <c r="H263">
        <f>_xlfn.IMAGE("https://m.media-amazon.com/images/I/51OmVOlxWvL._AC_UL320_.jpg")</f>
        <v/>
      </c>
      <c r="K263" t="inlineStr">
        <is>
          <t>39.97</t>
        </is>
      </c>
      <c r="L263" t="n">
        <v>39</v>
      </c>
      <c r="M263" s="1" t="inlineStr">
        <is>
          <t>-2.43%</t>
        </is>
      </c>
      <c r="N263" s="7" t="n">
        <v>-12.6</v>
      </c>
      <c r="O263" t="n">
        <v>4.9</v>
      </c>
      <c r="P263" t="n">
        <v>15</v>
      </c>
      <c r="R263" t="inlineStr">
        <is>
          <t>InStock</t>
        </is>
      </c>
      <c r="S263" t="inlineStr">
        <is>
          <t>60.56</t>
        </is>
      </c>
      <c r="T263" t="inlineStr">
        <is>
          <t>5397460156584</t>
        </is>
      </c>
    </row>
    <row r="264" hidden="1" ht="15.75" customHeight="1">
      <c r="A264" s="2">
        <f>HYPERLINK("https://edmondsonsupply.com/collections/storage-organization/products/klein-tools-5539red-canvas-zipper-bag-consumables-red", "https://edmondsonsupply.com/collections/storage-organization/products/klein-tools-5539red-canvas-zipper-bag-consumables-red")</f>
        <v/>
      </c>
      <c r="B264" s="2">
        <f>HYPERLINK("https://edmondsonsupply.com/products/klein-tools-5539red-canvas-zipper-bag-consumables-red", "https://edmondsonsupply.com/products/klein-tools-5539red-canvas-zipper-bag-consumables-red")</f>
        <v/>
      </c>
      <c r="C264" t="inlineStr">
        <is>
          <t>Klein Tools 5539RED Zipper Bag, Canvas Tool Pouch, 10-Inch, Red</t>
        </is>
      </c>
      <c r="D264" t="inlineStr">
        <is>
          <t>Klein Tools 5539RED Zipper Bag, Canvas Tool Pouch is 10-Inch Consumables Bag for Storing Parts, Brass Grommet for Easy Hanging, Red</t>
        </is>
      </c>
      <c r="E264" s="2">
        <f>HYPERLINK("https://www.amazon.com/Canvas-Consumables-Klein-Tools-5539RED/dp/B0069KD084/ref=sr_1_1?keywords=Klein+Tools+5539RED+Zipper+Bag%2C+Canvas+Tool+Pouch%2C+10-Inch%2C+Red&amp;qid=1694734464&amp;sr=8-1", "https://www.amazon.com/Canvas-Consumables-Klein-Tools-5539RED/dp/B0069KD084/ref=sr_1_1?keywords=Klein+Tools+5539RED+Zipper+Bag%2C+Canvas+Tool+Pouch%2C+10-Inch%2C+Red&amp;qid=1694734464&amp;sr=8-1")</f>
        <v/>
      </c>
      <c r="F264" t="inlineStr">
        <is>
          <t>B0069KD084</t>
        </is>
      </c>
      <c r="G264">
        <f>_xludf.IMAGE("https://edmondsonsupply.com/cdn/shop/products/5539red.jpg?v=1633030465")</f>
        <v/>
      </c>
      <c r="H264">
        <f>_xludf.IMAGE("https://m.media-amazon.com/images/I/71PEUQfmrVL._AC_UL320_.jpg")</f>
        <v/>
      </c>
      <c r="K264" t="inlineStr">
        <is>
          <t>13.99</t>
        </is>
      </c>
      <c r="L264" t="n">
        <v>13.65</v>
      </c>
      <c r="M264" s="1" t="inlineStr">
        <is>
          <t>-2.43%</t>
        </is>
      </c>
      <c r="N264" s="1" t="n">
        <v>-13.05</v>
      </c>
      <c r="O264" t="n">
        <v>4.7</v>
      </c>
      <c r="P264" t="n">
        <v>829</v>
      </c>
      <c r="R264" t="inlineStr">
        <is>
          <t>InStock</t>
        </is>
      </c>
      <c r="S264" t="inlineStr">
        <is>
          <t>21.18</t>
        </is>
      </c>
      <c r="T264" t="inlineStr">
        <is>
          <t>5362272174248</t>
        </is>
      </c>
    </row>
    <row r="265" ht="87" customHeight="1">
      <c r="A265" s="2">
        <f>HYPERLINK("https://edmondsonsupply.com/collections/storage-organization/products/klein-tools-58889", "https://edmondsonsupply.com/collections/storage-organization/products/klein-tools-58889")</f>
        <v/>
      </c>
      <c r="B265" s="2">
        <f>HYPERLINK("https://edmondsonsupply.com/products/klein-tools-58889", "https://edmondsonsupply.com/products/klein-tools-58889")</f>
        <v/>
      </c>
      <c r="C265" t="inlineStr">
        <is>
          <t>Klein Tools 58889 Padded Adjustable Shoulder Strap</t>
        </is>
      </c>
      <c r="D265" t="inlineStr">
        <is>
          <t>Klein Tools 58889 Padded Adjustable Shoulder Strap, 37 to 55-Inch, for Klein Tools Tool Tote and 5003 Series,Black</t>
        </is>
      </c>
      <c r="E265" s="2">
        <f>HYPERLINK("https://www.amazon.com/Adjustable-Shoulder-Klein-Tools-58889/dp/B0002RI6Y8/ref=sr_1_1?keywords=Klein+Tools+58889+Padded+Adjustable+Shoulder+Strap&amp;qid=1694734450&amp;sr=8-1", "https://www.amazon.com/Adjustable-Shoulder-Klein-Tools-58889/dp/B0002RI6Y8/ref=sr_1_1?keywords=Klein+Tools+58889+Padded+Adjustable+Shoulder+Strap&amp;qid=1694734450&amp;sr=8-1")</f>
        <v/>
      </c>
      <c r="F265" t="inlineStr">
        <is>
          <t>B0002RI6Y8</t>
        </is>
      </c>
      <c r="G265">
        <f>_xlfn.IMAGE("https://edmondsonsupply.com/cdn/shop/products/58889.jpg?v=1665591140")</f>
        <v/>
      </c>
      <c r="H265">
        <f>_xlfn.IMAGE("https://m.media-amazon.com/images/I/51FKcOazH2L._AC_UL320_.jpg")</f>
        <v/>
      </c>
      <c r="K265" t="inlineStr">
        <is>
          <t>15.99</t>
        </is>
      </c>
      <c r="L265" t="n">
        <v>15.51</v>
      </c>
      <c r="M265" s="1" t="inlineStr">
        <is>
          <t>-3.00%</t>
        </is>
      </c>
      <c r="N265" s="7" t="n">
        <v>-13.15</v>
      </c>
      <c r="O265" t="n">
        <v>4.7</v>
      </c>
      <c r="P265" t="n">
        <v>865</v>
      </c>
      <c r="R265" t="inlineStr">
        <is>
          <t>InStock</t>
        </is>
      </c>
      <c r="S265" t="inlineStr">
        <is>
          <t>24.22</t>
        </is>
      </c>
      <c r="T265" t="inlineStr">
        <is>
          <t>7849990357208</t>
        </is>
      </c>
    </row>
    <row r="266" ht="87" customHeight="1">
      <c r="A266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266" s="2">
        <f>HYPERLINK("https://edmondsonsupply.com/products/veto-pro-pac-tech-pac-backpack-tool-bag", "https://edmondsonsupply.com/products/veto-pro-pac-tech-pac-backpack-tool-bag")</f>
        <v/>
      </c>
      <c r="C266" t="inlineStr">
        <is>
          <t>Veto Pro Pac TECH PAC Backpack Tool Bag</t>
        </is>
      </c>
      <c r="D266" t="inlineStr">
        <is>
          <t>Veto Pro Pac Tech Pac LT Tool Bag</t>
        </is>
      </c>
      <c r="E266" s="2">
        <f>HYPERLINK("https://www.amazon.com/VETO-PRO-PAC-Tech-Pac/dp/B00WZLTCHO/ref=sr_1_3?keywords=Veto+Pro+Pac+TECH+PAC+Backpack+Tool+Bag&amp;qid=1694734435&amp;sr=8-3", "https://www.amazon.com/VETO-PRO-PAC-Tech-Pac/dp/B00WZLTCHO/ref=sr_1_3?keywords=Veto+Pro+Pac+TECH+PAC+Backpack+Tool+Bag&amp;qid=1694734435&amp;sr=8-3")</f>
        <v/>
      </c>
      <c r="F266" t="inlineStr">
        <is>
          <t>B00WZLTCHO</t>
        </is>
      </c>
      <c r="G266">
        <f>_xlfn.IMAGE("https://edmondsonsupply.com/cdn/shop/products/Veto_Tech_Pac.jpg?v=1587149981")</f>
        <v/>
      </c>
      <c r="H266">
        <f>_xlfn.IMAGE("https://m.media-amazon.com/images/I/61uz-pihn8L._AC_UL320_.jpg")</f>
        <v/>
      </c>
      <c r="K266" t="inlineStr">
        <is>
          <t>299.99</t>
        </is>
      </c>
      <c r="L266" t="n">
        <v>289.95</v>
      </c>
      <c r="M266" s="1" t="inlineStr">
        <is>
          <t>-3.35%</t>
        </is>
      </c>
      <c r="N266" s="7" t="n">
        <v>-13.65</v>
      </c>
      <c r="O266" t="n">
        <v>4.7</v>
      </c>
      <c r="P266" t="n">
        <v>285</v>
      </c>
      <c r="R266" t="inlineStr">
        <is>
          <t>InStock</t>
        </is>
      </c>
      <c r="S266" t="inlineStr">
        <is>
          <t>undefined</t>
        </is>
      </c>
      <c r="T266" t="inlineStr">
        <is>
          <t>3557476335716</t>
        </is>
      </c>
    </row>
    <row r="267" ht="87" customHeight="1">
      <c r="A267" s="2">
        <f>HYPERLINK("https://edmondsonsupply.com/collections/storage-organization/products/clc-wild-river-wct3604-nomad-lighted-camo-backpack", "https://edmondsonsupply.com/collections/storage-organization/products/clc-wild-river-wct3604-nomad-lighted-camo-backpack")</f>
        <v/>
      </c>
      <c r="B267" s="2">
        <f>HYPERLINK("https://edmondsonsupply.com/products/clc-wild-river-wct3604-nomad-lighted-camo-backpack", "https://edmondsonsupply.com/products/clc-wild-river-wct3604-nomad-lighted-camo-backpack")</f>
        <v/>
      </c>
      <c r="C267" t="inlineStr">
        <is>
          <t>CLC Wild River WCT604 Nomad Lighted Camo Backpack</t>
        </is>
      </c>
      <c r="D267" t="inlineStr">
        <is>
          <t>Wild River Nomad by CLC Custom LeatherCraft Tackle Tek Nomad XP Lighted Backpack with USB Charging System</t>
        </is>
      </c>
      <c r="E267" s="2">
        <f>HYPERLINK("https://www.amazon.com/Wild-River-Leathercraft-WN3605-Backpack/dp/B00JCCHUDM/ref=sr_1_4?keywords=CLC+Wild+River+WCT604+Nomad+Lighted+Camo+Backpack&amp;qid=1694734457&amp;sr=8-4", "https://www.amazon.com/Wild-River-Leathercraft-WN3605-Backpack/dp/B00JCCHUDM/ref=sr_1_4?keywords=CLC+Wild+River+WCT604+Nomad+Lighted+Camo+Backpack&amp;qid=1694734457&amp;sr=8-4")</f>
        <v/>
      </c>
      <c r="F267" t="inlineStr">
        <is>
          <t>B00JCCHUDM</t>
        </is>
      </c>
      <c r="G267">
        <f>_xlfn.IMAGE("https://edmondsonsupply.com/cdn/shop/products/604J.png?v=1633031084")</f>
        <v/>
      </c>
      <c r="H267">
        <f>_xlfn.IMAGE("https://m.media-amazon.com/images/I/91SWWpE2VqL._AC_UL320_.jpg")</f>
        <v/>
      </c>
      <c r="K267" t="inlineStr">
        <is>
          <t>199.95</t>
        </is>
      </c>
      <c r="L267" t="n">
        <v>192.29</v>
      </c>
      <c r="M267" s="1" t="inlineStr">
        <is>
          <t>-3.83%</t>
        </is>
      </c>
      <c r="N267" s="7" t="n">
        <v>-14.31</v>
      </c>
      <c r="O267" t="n">
        <v>4.7</v>
      </c>
      <c r="P267" t="n">
        <v>162</v>
      </c>
      <c r="R267" t="inlineStr">
        <is>
          <t>InStock</t>
        </is>
      </c>
      <c r="S267" t="inlineStr">
        <is>
          <t>249.0</t>
        </is>
      </c>
      <c r="T267" t="inlineStr">
        <is>
          <t>6831088337069</t>
        </is>
      </c>
    </row>
    <row r="268" ht="87" customHeight="1">
      <c r="A268" s="2">
        <f>HYPERLINK("https://edmondsonsupply.com/collections/storage-organization/products/klein-tools-5416octo-tool-bag-bull-pin-and-bolt-pouch-loop-connect-5-x-5-x-9-inch", "https://edmondsonsupply.com/collections/storage-organization/products/klein-tools-5416octo-tool-bag-bull-pin-and-bolt-pouch-loop-connect-5-x-5-x-9-inch")</f>
        <v/>
      </c>
      <c r="B268" s="2">
        <f>HYPERLINK("https://edmondsonsupply.com/products/klein-tools-5416octo-tool-bag-bull-pin-and-bolt-pouch-loop-connect-5-x-5-x-9-inch", "https://edmondsonsupply.com/products/klein-tools-5416octo-tool-bag-bull-pin-and-bolt-pouch-loop-connect-5-x-5-x-9-inch")</f>
        <v/>
      </c>
      <c r="C268" t="inlineStr">
        <is>
          <t>Klein Tools 5416OCTO Tool Bag, Bull-Pin and Bolt Pouch, Loop Connect, 5 x 5 x 9-Inch</t>
        </is>
      </c>
      <c r="D268" t="inlineStr">
        <is>
          <t>Klein Tools 5416OCTO Tool Bag, Bull-Pin and Bolt Pouch, No. 4 Canvas with Tunnel Connection, 5 x 5 x 9-Inch</t>
        </is>
      </c>
      <c r="E268" s="2">
        <f>HYPERLINK("https://www.amazon.com/Bull-Pin-Connection-Klein-Tools-5416OCTO/dp/B00Y6WMEZW/ref=sr_1_2?keywords=Klein+Tools+5416OCTO+Tool+Bag%2C+Bull-Pin+and+Bolt+Pouch%2C+Loop+Connect%2C+5+x+5+x+9-Inch&amp;qid=1694734458&amp;sr=8-2", "https://www.amazon.com/Bull-Pin-Connection-Klein-Tools-5416OCTO/dp/B00Y6WMEZW/ref=sr_1_2?keywords=Klein+Tools+5416OCTO+Tool+Bag%2C+Bull-Pin+and+Bolt+Pouch%2C+Loop+Connect%2C+5+x+5+x+9-Inch&amp;qid=1694734458&amp;sr=8-2")</f>
        <v/>
      </c>
      <c r="F268" t="inlineStr">
        <is>
          <t>B00Y6WMEZW</t>
        </is>
      </c>
      <c r="G268">
        <f>_xlfn.IMAGE("https://edmondsonsupply.com/cdn/shop/products/5416octo.jpg?v=1633030457")</f>
        <v/>
      </c>
      <c r="H268">
        <f>_xlfn.IMAGE("https://m.media-amazon.com/images/I/61SKfGzjXGL._AC_UL320_.jpg")</f>
        <v/>
      </c>
      <c r="K268" t="inlineStr">
        <is>
          <t>22.02</t>
        </is>
      </c>
      <c r="L268" t="n">
        <v>21</v>
      </c>
      <c r="M268" s="1" t="inlineStr">
        <is>
          <t>-4.63%</t>
        </is>
      </c>
      <c r="N268" s="7" t="n">
        <v>-14.73</v>
      </c>
      <c r="O268" t="n">
        <v>4.8</v>
      </c>
      <c r="P268" t="n">
        <v>513</v>
      </c>
      <c r="R268" t="inlineStr">
        <is>
          <t>InStock</t>
        </is>
      </c>
      <c r="S268" t="inlineStr">
        <is>
          <t>35.96</t>
        </is>
      </c>
      <c r="T268" t="inlineStr">
        <is>
          <t>5347272130728</t>
        </is>
      </c>
    </row>
    <row r="269" ht="87" customHeight="1">
      <c r="A269" s="2">
        <f>HYPERLINK("https://edmondsonsupply.com/collections/storage-organization/products/klein-tools-554158-14-tool-bag-tradesman-pro%E2%84%A2-tool-tote-20-pockets-8-inch", "https://edmondsonsupply.com/collections/storage-organization/products/klein-tools-554158-14-tool-bag-tradesman-pro%E2%84%A2-tool-tote-20-pockets-8-inch")</f>
        <v/>
      </c>
      <c r="B269" s="2">
        <f>HYPERLINK("https://edmondsonsupply.com/products/klein-tools-554158-14-tool-bag-tradesman-pro%e2%84%a2-tool-tote-20-pockets-8-inch", "https://edmondsonsupply.com/products/klein-tools-554158-14-tool-bag-tradesman-pro%e2%84%a2-tool-tote-20-pockets-8-inch")</f>
        <v/>
      </c>
      <c r="C269" t="inlineStr">
        <is>
          <t>Klein Tools 554158-14 Tool Bag, Tradesman Pro™ Tool Tote, 20 Pockets, 8-Inch</t>
        </is>
      </c>
      <c r="D269" t="inlineStr">
        <is>
          <t>Klein Tools 554158-14 Tool Bag, Tradesman Pro Tote with 20 Pockets Made of 1680d Ballistic Weave and a Fully Molded Bottom, 8-Inch</t>
        </is>
      </c>
      <c r="E269" s="2">
        <f>HYPERLINK("https://www.amazon.com/Tradesman-8-Inch-Klein-Tools-554158-14/dp/B00MVRGYC8/ref=sr_1_1?keywords=Klein+Tools+554158-14+Tool+Bag%2C+Tradesman+Pro%E2%84%A2+Tool+Tote%2C+20+Pockets%2C+8-Inch&amp;qid=1694734457&amp;sr=8-1", "https://www.amazon.com/Tradesman-8-Inch-Klein-Tools-554158-14/dp/B00MVRGYC8/ref=sr_1_1?keywords=Klein+Tools+554158-14+Tool+Bag%2C+Tradesman+Pro%E2%84%A2+Tool+Tote%2C+20+Pockets%2C+8-Inch&amp;qid=1694734457&amp;sr=8-1")</f>
        <v/>
      </c>
      <c r="F269" t="inlineStr">
        <is>
          <t>B00MVRGYC8</t>
        </is>
      </c>
      <c r="G269">
        <f>_xlfn.IMAGE("https://edmondsonsupply.com/cdn/shop/products/554158-14.jpg?v=1681746976")</f>
        <v/>
      </c>
      <c r="H269">
        <f>_xlfn.IMAGE("https://m.media-amazon.com/images/I/61d4kiOTLVL._AC_UL320_.jpg")</f>
        <v/>
      </c>
      <c r="K269" t="inlineStr">
        <is>
          <t>76.57</t>
        </is>
      </c>
      <c r="L269" t="n">
        <v>72.98999999999999</v>
      </c>
      <c r="M269" s="1" t="inlineStr">
        <is>
          <t>-4.68%</t>
        </is>
      </c>
      <c r="N269" s="7" t="n">
        <v>-14.99</v>
      </c>
      <c r="O269" t="n">
        <v>4.8</v>
      </c>
      <c r="P269" t="n">
        <v>441</v>
      </c>
      <c r="R269" t="inlineStr">
        <is>
          <t>InStock</t>
        </is>
      </c>
      <c r="S269" t="inlineStr">
        <is>
          <t>115.96</t>
        </is>
      </c>
      <c r="T269" t="inlineStr">
        <is>
          <t>7980653150424</t>
        </is>
      </c>
    </row>
    <row r="270" ht="87" customHeight="1">
      <c r="A270" s="2">
        <f>HYPERLINK("https://edmondsonsupply.com/collections/storage-organization/products/veto-pro-pac-wrencher-mc", "https://edmondsonsupply.com/collections/storage-organization/products/veto-pro-pac-wrencher-mc")</f>
        <v/>
      </c>
      <c r="B270" s="2">
        <f>HYPERLINK("https://edmondsonsupply.com/products/veto-pro-pac-wrencher-mc", "https://edmondsonsupply.com/products/veto-pro-pac-wrencher-mc")</f>
        <v/>
      </c>
      <c r="C270" t="inlineStr">
        <is>
          <t>Veto Pro Pac Wrencher MC</t>
        </is>
      </c>
      <c r="D270" t="inlineStr">
        <is>
          <t>VETO PRO PAC TECH-MCT Tool Bag (Original)</t>
        </is>
      </c>
      <c r="E270" s="2">
        <f>HYPERLINK("https://www.amazon.com/VETO-PRO-PAC-TECH-MCT-Tool/dp/B01CENNFYS/ref=sr_1_10?keywords=Veto+Pro+Pac+Wrencher+MC&amp;qid=1694734449&amp;sr=8-10", "https://www.amazon.com/VETO-PRO-PAC-TECH-MCT-Tool/dp/B01CENNFYS/ref=sr_1_10?keywords=Veto+Pro+Pac+Wrencher+MC&amp;qid=1694734449&amp;sr=8-10")</f>
        <v/>
      </c>
      <c r="F270" t="inlineStr">
        <is>
          <t>B01CENNFYS</t>
        </is>
      </c>
      <c r="G270">
        <f>_xlfn.IMAGE("https://edmondsonsupply.com/cdn/shop/products/0001_WRENCHER-MC_32.jpg?v=1675795195")</f>
        <v/>
      </c>
      <c r="H270">
        <f>_xlfn.IMAGE("https://m.media-amazon.com/images/I/61GanfvVX6L._AC_UL320_.jpg")</f>
        <v/>
      </c>
      <c r="K270" t="inlineStr">
        <is>
          <t>199.99</t>
        </is>
      </c>
      <c r="L270" t="n">
        <v>189.95</v>
      </c>
      <c r="M270" s="1" t="inlineStr">
        <is>
          <t>-5.02%</t>
        </is>
      </c>
      <c r="N270" s="7" t="n">
        <v>-15.02</v>
      </c>
      <c r="O270" t="n">
        <v>4.8</v>
      </c>
      <c r="P270" t="n">
        <v>2081</v>
      </c>
      <c r="R270" t="inlineStr">
        <is>
          <t>InStock</t>
        </is>
      </c>
      <c r="S270" t="inlineStr">
        <is>
          <t>undefined</t>
        </is>
      </c>
      <c r="T270" t="inlineStr">
        <is>
          <t>7940474208472</t>
        </is>
      </c>
    </row>
    <row r="271" ht="87" customHeight="1">
      <c r="A271" s="2">
        <f>HYPERLINK("https://edmondsonsupply.com/collections/storage-organization/products/veto-pro-pac-wrencher-xl", "https://edmondsonsupply.com/collections/storage-organization/products/veto-pro-pac-wrencher-xl")</f>
        <v/>
      </c>
      <c r="B271" s="2">
        <f>HYPERLINK("https://edmondsonsupply.com/products/veto-pro-pac-wrencher-xl", "https://edmondsonsupply.com/products/veto-pro-pac-wrencher-xl")</f>
        <v/>
      </c>
      <c r="C271" t="inlineStr">
        <is>
          <t>Veto Pro Pac Wrencher XL</t>
        </is>
      </c>
      <c r="D271" t="inlineStr">
        <is>
          <t>Veto Pro Pac Wrencher-LC (Large, Open-Top Tool Bag)</t>
        </is>
      </c>
      <c r="E271" s="2">
        <f>HYPERLINK("https://www.amazon.com/Veto-Pro-Pac-Wrencher-LC-Open-Top/dp/B0BBPFQ447/ref=sr_1_2?keywords=Veto+Pro+Pac+Wrencher+XL&amp;qid=1694734460&amp;sr=8-2", "https://www.amazon.com/Veto-Pro-Pac-Wrencher-LC-Open-Top/dp/B0BBPFQ447/ref=sr_1_2?keywords=Veto+Pro+Pac+Wrencher+XL&amp;qid=1694734460&amp;sr=8-2")</f>
        <v/>
      </c>
      <c r="F271" t="inlineStr">
        <is>
          <t>B0BBPFQ447</t>
        </is>
      </c>
      <c r="G271">
        <f>_xlfn.IMAGE("https://edmondsonsupply.com/cdn/shop/products/0006_WRENCHER-XL_11.jpg?v=1675796410")</f>
        <v/>
      </c>
      <c r="H271">
        <f>_xlfn.IMAGE("https://m.media-amazon.com/images/I/61iZfeBF47L._AC_UL320_.jpg")</f>
        <v/>
      </c>
      <c r="K271" t="inlineStr">
        <is>
          <t>359.99</t>
        </is>
      </c>
      <c r="L271" t="n">
        <v>339.95</v>
      </c>
      <c r="M271" s="1" t="inlineStr">
        <is>
          <t>-5.57%</t>
        </is>
      </c>
      <c r="N271" s="7" t="n">
        <v>-15.27</v>
      </c>
      <c r="O271" t="n">
        <v>5</v>
      </c>
      <c r="P271" t="n">
        <v>1</v>
      </c>
      <c r="R271" t="inlineStr">
        <is>
          <t>InStock</t>
        </is>
      </c>
      <c r="S271" t="inlineStr">
        <is>
          <t>undefined</t>
        </is>
      </c>
      <c r="T271" t="inlineStr">
        <is>
          <t>7940480139480</t>
        </is>
      </c>
    </row>
    <row r="272" ht="87" customHeight="1">
      <c r="A272" s="2">
        <f>HYPERLINK("https://edmondsonsupply.com/collections/storage-organization/products/veto-pro-pac-mb2-blackout", "https://edmondsonsupply.com/collections/storage-organization/products/veto-pro-pac-mb2-blackout")</f>
        <v/>
      </c>
      <c r="B272" s="2">
        <f>HYPERLINK("https://edmondsonsupply.com/products/veto-pro-pac-mb2-blackout", "https://edmondsonsupply.com/products/veto-pro-pac-mb2-blackout")</f>
        <v/>
      </c>
      <c r="C272" t="inlineStr">
        <is>
          <t>Veto Pro Pac MB2 Blackout</t>
        </is>
      </c>
      <c r="D272" t="inlineStr">
        <is>
          <t>Veto Pro Pac MB2 Tool Pouch</t>
        </is>
      </c>
      <c r="E272" s="2">
        <f>HYPERLINK("https://www.amazon.com/VETO-MB2-Blackout/dp/B0933KCZ5K/ref=sr_1_1?keywords=Veto+Pro+Pac+MB2+Blackout&amp;qid=1694734436&amp;sr=8-1", "https://www.amazon.com/VETO-MB2-Blackout/dp/B0933KCZ5K/ref=sr_1_1?keywords=Veto+Pro+Pac+MB2+Blackout&amp;qid=1694734436&amp;sr=8-1")</f>
        <v/>
      </c>
      <c r="F272" t="inlineStr">
        <is>
          <t>B0933KCZ5K</t>
        </is>
      </c>
      <c r="G272">
        <f>_xlfn.IMAGE("https://edmondsonsupply.com/cdn/shop/products/mb2_398b8401-a942-46dd-b2fe-64feff432106.jpg?v=1633031045")</f>
        <v/>
      </c>
      <c r="H272">
        <f>_xlfn.IMAGE("https://m.media-amazon.com/images/I/71BlioavBwL._AC_UL320_.jpg")</f>
        <v/>
      </c>
      <c r="K272" t="inlineStr">
        <is>
          <t>79.99</t>
        </is>
      </c>
      <c r="L272" t="n">
        <v>74.95</v>
      </c>
      <c r="M272" s="1" t="inlineStr">
        <is>
          <t>-6.30%</t>
        </is>
      </c>
      <c r="N272" s="7" t="n">
        <v>-15.29</v>
      </c>
      <c r="O272" t="n">
        <v>4.8</v>
      </c>
      <c r="P272" t="n">
        <v>1466</v>
      </c>
      <c r="R272" t="inlineStr">
        <is>
          <t>InStock</t>
        </is>
      </c>
      <c r="S272" t="inlineStr">
        <is>
          <t>undefined</t>
        </is>
      </c>
      <c r="T272" t="inlineStr">
        <is>
          <t>6765803405485</t>
        </is>
      </c>
    </row>
    <row r="273" ht="87" customHeight="1">
      <c r="A273" s="2">
        <f>HYPERLINK("https://edmondsonsupply.com/collections/storage-organization/products/clc-wild-river-wct3604-nomad-lighted-camo-backpack", "https://edmondsonsupply.com/collections/storage-organization/products/clc-wild-river-wct3604-nomad-lighted-camo-backpack")</f>
        <v/>
      </c>
      <c r="B273" s="2">
        <f>HYPERLINK("https://edmondsonsupply.com/products/clc-wild-river-wct3604-nomad-lighted-camo-backpack", "https://edmondsonsupply.com/products/clc-wild-river-wct3604-nomad-lighted-camo-backpack")</f>
        <v/>
      </c>
      <c r="C273" t="inlineStr">
        <is>
          <t>CLC Wild River WCT604 Nomad Lighted Camo Backpack</t>
        </is>
      </c>
      <c r="D273" t="inlineStr">
        <is>
          <t>Wild River Nomad CLC WCT604 Tackle Tek Nomad LED Lighted Camo Backpack, Mossy Oak</t>
        </is>
      </c>
      <c r="E273" s="2">
        <f>HYPERLINK("https://www.amazon.com/Wild-River-Leathercraft-WCT604-Backpack/dp/B00E9G8XUA/ref=sr_1_1?keywords=CLC+Wild+River+WCT604+Nomad+Lighted+Camo+Backpack&amp;qid=1694734457&amp;sr=8-1", "https://www.amazon.com/Wild-River-Leathercraft-WCT604-Backpack/dp/B00E9G8XUA/ref=sr_1_1?keywords=CLC+Wild+River+WCT604+Nomad+Lighted+Camo+Backpack&amp;qid=1694734457&amp;sr=8-1")</f>
        <v/>
      </c>
      <c r="F273" t="inlineStr">
        <is>
          <t>B00E9G8XUA</t>
        </is>
      </c>
      <c r="G273">
        <f>_xlfn.IMAGE("https://edmondsonsupply.com/cdn/shop/products/604J.png?v=1633031084")</f>
        <v/>
      </c>
      <c r="H273">
        <f>_xlfn.IMAGE("https://m.media-amazon.com/images/I/91XPczcfzgL._AC_UL320_.jpg")</f>
        <v/>
      </c>
      <c r="K273" t="inlineStr">
        <is>
          <t>199.95</t>
        </is>
      </c>
      <c r="L273" t="n">
        <v>186.75</v>
      </c>
      <c r="M273" s="1" t="inlineStr">
        <is>
          <t>-6.60%</t>
        </is>
      </c>
      <c r="N273" s="7" t="n">
        <v>-15.42</v>
      </c>
      <c r="O273" t="n">
        <v>4.8</v>
      </c>
      <c r="P273" t="n">
        <v>106</v>
      </c>
      <c r="R273" t="inlineStr">
        <is>
          <t>InStock</t>
        </is>
      </c>
      <c r="S273" t="inlineStr">
        <is>
          <t>249.0</t>
        </is>
      </c>
      <c r="T273" t="inlineStr">
        <is>
          <t>6831088337069</t>
        </is>
      </c>
    </row>
    <row r="274" ht="87" customHeight="1">
      <c r="A274" s="2">
        <f>HYPERLINK("https://edmondsonsupply.com/collections/storage-organization/products/klein-tools-5141p-tool-bag-canvas-utility-bag-loop-connection-10-x-5-x-12-inch", "https://edmondsonsupply.com/collections/storage-organization/products/klein-tools-5141p-tool-bag-canvas-utility-bag-loop-connection-10-x-5-x-12-inch")</f>
        <v/>
      </c>
      <c r="B274" s="2">
        <f>HYPERLINK("https://edmondsonsupply.com/products/klein-tools-5141p-tool-bag-canvas-utility-bag-loop-connection-10-x-5-x-12-inch", "https://edmondsonsupply.com/products/klein-tools-5141p-tool-bag-canvas-utility-bag-loop-connection-10-x-5-x-12-inch")</f>
        <v/>
      </c>
      <c r="C274" t="inlineStr">
        <is>
          <t>Klein Tools 5141P Tool Bag, Canvas Utility Bag, Loop Connection, 10 x 5 x 12-Inch</t>
        </is>
      </c>
      <c r="D274" t="inlineStr">
        <is>
          <t>Klein Tools 5142P Heavy Tool Bag, No. 8 Canvas Utility Bag with Interior Pocket and Reinforced Rope Top, 9 x 8 x 10-Inch</t>
        </is>
      </c>
      <c r="E274" s="2">
        <f>HYPERLINK("https://www.amazon.com/Klein-Tools-5142P-Utility-Interior/dp/B000936Q4W/ref=sr_1_7?keywords=Klein+Tools+5141P+Tool+Bag%2C+Canvas+Utility+Bag%2C+Loop+Connection%2C+10+x+5+x+12-Inch&amp;qid=1694734462&amp;sr=8-7", "https://www.amazon.com/Klein-Tools-5142P-Utility-Interior/dp/B000936Q4W/ref=sr_1_7?keywords=Klein+Tools+5141P+Tool+Bag%2C+Canvas+Utility+Bag%2C+Loop+Connection%2C+10+x+5+x+12-Inch&amp;qid=1694734462&amp;sr=8-7")</f>
        <v/>
      </c>
      <c r="F274" t="inlineStr">
        <is>
          <t>B000936Q4W</t>
        </is>
      </c>
      <c r="G274">
        <f>_xlfn.IMAGE("https://edmondsonsupply.com/cdn/shop/products/5141-p.jpg?v=1633031061")</f>
        <v/>
      </c>
      <c r="H274">
        <f>_xlfn.IMAGE("https://m.media-amazon.com/images/I/61y29EFLXIL._AC_UL320_.jpg")</f>
        <v/>
      </c>
      <c r="K274" t="inlineStr">
        <is>
          <t>34.65</t>
        </is>
      </c>
      <c r="L274" t="n">
        <v>32.27</v>
      </c>
      <c r="M274" s="1" t="inlineStr">
        <is>
          <t>-6.87%</t>
        </is>
      </c>
      <c r="N274" s="7" t="n">
        <v>-16.21</v>
      </c>
      <c r="O274" t="n">
        <v>4.8</v>
      </c>
      <c r="P274" t="n">
        <v>119</v>
      </c>
      <c r="R274" t="inlineStr">
        <is>
          <t>InStock</t>
        </is>
      </c>
      <c r="S274" t="inlineStr">
        <is>
          <t>54.98</t>
        </is>
      </c>
      <c r="T274" t="inlineStr">
        <is>
          <t>6817822343341</t>
        </is>
      </c>
    </row>
    <row r="275" ht="87" customHeight="1">
      <c r="A275" s="2">
        <f>HYPERLINK("https://edmondsonsupply.com/collections/storage-organization/products/clc-wild-river-wct3604-nomad-lighted-camo-backpack", "https://edmondsonsupply.com/collections/storage-organization/products/clc-wild-river-wct3604-nomad-lighted-camo-backpack")</f>
        <v/>
      </c>
      <c r="B275" s="2">
        <f>HYPERLINK("https://edmondsonsupply.com/products/clc-wild-river-wct3604-nomad-lighted-camo-backpack", "https://edmondsonsupply.com/products/clc-wild-river-wct3604-nomad-lighted-camo-backpack")</f>
        <v/>
      </c>
      <c r="C275" t="inlineStr">
        <is>
          <t>CLC Wild River WCT604 Nomad Lighted Camo Backpack</t>
        </is>
      </c>
      <c r="D275" t="inlineStr">
        <is>
          <t>Custom Leathercraft Wild River by CLC WT3604 Tackle Tek Nomad Lighted Backpack &amp; Four PT3600 Trays, Orange, Sand</t>
        </is>
      </c>
      <c r="E275" s="2">
        <f>HYPERLINK("https://www.amazon.com/WT3604-Tackle-Lighted-Backpack-PT3600/dp/B00A0PA46U/ref=sr_1_5?keywords=CLC+Wild+River+WCT604+Nomad+Lighted+Camo+Backpack&amp;qid=1694734457&amp;sr=8-5", "https://www.amazon.com/WT3604-Tackle-Lighted-Backpack-PT3600/dp/B00A0PA46U/ref=sr_1_5?keywords=CLC+Wild+River+WCT604+Nomad+Lighted+Camo+Backpack&amp;qid=1694734457&amp;sr=8-5")</f>
        <v/>
      </c>
      <c r="F275" t="inlineStr">
        <is>
          <t>B00A0PA46U</t>
        </is>
      </c>
      <c r="G275">
        <f>_xlfn.IMAGE("https://edmondsonsupply.com/cdn/shop/products/604J.png?v=1633031084")</f>
        <v/>
      </c>
      <c r="H275">
        <f>_xlfn.IMAGE("https://m.media-amazon.com/images/I/91naRlyQwiL._AC_UL320_.jpg")</f>
        <v/>
      </c>
      <c r="K275" t="inlineStr">
        <is>
          <t>199.95</t>
        </is>
      </c>
      <c r="L275" t="n">
        <v>186.05</v>
      </c>
      <c r="M275" s="1" t="inlineStr">
        <is>
          <t>-6.95%</t>
        </is>
      </c>
      <c r="N275" s="7" t="n">
        <v>-16.68</v>
      </c>
      <c r="O275" t="n">
        <v>4.6</v>
      </c>
      <c r="P275" t="n">
        <v>848</v>
      </c>
      <c r="R275" t="inlineStr">
        <is>
          <t>InStock</t>
        </is>
      </c>
      <c r="S275" t="inlineStr">
        <is>
          <t>249.0</t>
        </is>
      </c>
      <c r="T275" t="inlineStr">
        <is>
          <t>6831088337069</t>
        </is>
      </c>
    </row>
    <row r="276" ht="87" customHeight="1">
      <c r="A276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276" s="2">
        <f>HYPERLINK("https://edmondsonsupply.com/products/klein-tools-55560-camo-zipper-bags-2-pack", "https://edmondsonsupply.com/products/klein-tools-55560-camo-zipper-bags-2-pack")</f>
        <v/>
      </c>
      <c r="C276" t="inlineStr">
        <is>
          <t>Klein Tools 55560 Zipper Bags, Camo Tool Pouches, 2-Pack</t>
        </is>
      </c>
      <c r="D276" t="inlineStr">
        <is>
          <t>Klein Tools 55599 Zipper Bags, High Visibility Tool Pouches, Heavy-Duty 1680d Ballistic Weave, Black, Reflective Gray, Green Accents, 2-Pack</t>
        </is>
      </c>
      <c r="E276" s="2">
        <f>HYPERLINK("https://www.amazon.com/Visibility-Zipper-Klein-Tools-55599/dp/B01N674AXT/ref=sr_1_3?keywords=Klein+Tools+55560+Zipper+Bags%2C+Camo+Tool+Pouches%2C+2-Pack&amp;qid=1694734466&amp;sr=8-3", "https://www.amazon.com/Visibility-Zipper-Klein-Tools-55599/dp/B01N674AXT/ref=sr_1_3?keywords=Klein+Tools+55560+Zipper+Bags%2C+Camo+Tool+Pouches%2C+2-Pack&amp;qid=1694734466&amp;sr=8-3")</f>
        <v/>
      </c>
      <c r="F276" t="inlineStr">
        <is>
          <t>B01N674AXT</t>
        </is>
      </c>
      <c r="G276">
        <f>_xlfn.IMAGE("https://edmondsonsupply.com/cdn/shop/products/55560.jpg?v=1633030628")</f>
        <v/>
      </c>
      <c r="H276">
        <f>_xlfn.IMAGE("https://m.media-amazon.com/images/I/71DB02D9dUL._AC_UL320_.jpg")</f>
        <v/>
      </c>
      <c r="K276" t="inlineStr">
        <is>
          <t>24.99</t>
        </is>
      </c>
      <c r="L276" t="n">
        <v>23</v>
      </c>
      <c r="M276" s="1" t="inlineStr">
        <is>
          <t>-7.96%</t>
        </is>
      </c>
      <c r="N276" s="7" t="n">
        <v>-18.67</v>
      </c>
      <c r="O276" t="n">
        <v>4.8</v>
      </c>
      <c r="P276" t="n">
        <v>385</v>
      </c>
      <c r="R276" t="inlineStr">
        <is>
          <t>InStock</t>
        </is>
      </c>
      <c r="S276" t="inlineStr">
        <is>
          <t>37.86</t>
        </is>
      </c>
      <c r="T276" t="inlineStr">
        <is>
          <t>5669841109160</t>
        </is>
      </c>
    </row>
    <row r="277" ht="87" customHeight="1">
      <c r="A277" s="2">
        <f>HYPERLINK("https://edmondsonsupply.com/collections/storage-organization/products/klein-tools-55599-high-visibility-zipper-bags-2-pack", "https://edmondsonsupply.com/collections/storage-organization/products/klein-tools-55599-high-visibility-zipper-bags-2-pack")</f>
        <v/>
      </c>
      <c r="B277" s="2">
        <f>HYPERLINK("https://edmondsonsupply.com/products/klein-tools-55599-high-visibility-zipper-bags-2-pack", "https://edmondsonsupply.com/products/klein-tools-55599-high-visibility-zipper-bags-2-pack")</f>
        <v/>
      </c>
      <c r="C277" t="inlineStr">
        <is>
          <t>Klein Tools 55599 Zipper Bags, High Visibility Tool Pouches, 2-Pack</t>
        </is>
      </c>
      <c r="D277" t="inlineStr">
        <is>
          <t>Klein Tools 55599 Zipper Bags, High Visibility Tool Pouches, Heavy-Duty 1680d Ballistic Weave, Black, Reflective Gray, Green Accents, 2-Pack</t>
        </is>
      </c>
      <c r="E277" s="2">
        <f>HYPERLINK("https://www.amazon.com/Visibility-Zipper-Klein-Tools-55599/dp/B01N674AXT/ref=sr_1_1?keywords=Klein+Tools+55599+Zipper+Bags%2C+High+Visibility+Tool+Pouches%2C+2-Pack&amp;qid=1694734438&amp;sr=8-1", "https://www.amazon.com/Visibility-Zipper-Klein-Tools-55599/dp/B01N674AXT/ref=sr_1_1?keywords=Klein+Tools+55599+Zipper+Bags%2C+High+Visibility+Tool+Pouches%2C+2-Pack&amp;qid=1694734438&amp;sr=8-1")</f>
        <v/>
      </c>
      <c r="F277" t="inlineStr">
        <is>
          <t>B01N674AXT</t>
        </is>
      </c>
      <c r="G277">
        <f>_xlfn.IMAGE("https://edmondsonsupply.com/cdn/shop/products/55599.jpg?v=1587143455")</f>
        <v/>
      </c>
      <c r="H277">
        <f>_xlfn.IMAGE("https://m.media-amazon.com/images/I/71DB02D9dUL._AC_UL320_.jpg")</f>
        <v/>
      </c>
      <c r="K277" t="inlineStr">
        <is>
          <t>24.99</t>
        </is>
      </c>
      <c r="L277" t="n">
        <v>23</v>
      </c>
      <c r="M277" s="1" t="inlineStr">
        <is>
          <t>-7.96%</t>
        </is>
      </c>
      <c r="N277" s="7" t="n">
        <v>-19.07</v>
      </c>
      <c r="O277" t="n">
        <v>4.8</v>
      </c>
      <c r="P277" t="n">
        <v>385</v>
      </c>
      <c r="R277" t="inlineStr">
        <is>
          <t>InStock</t>
        </is>
      </c>
      <c r="S277" t="inlineStr">
        <is>
          <t>35.08</t>
        </is>
      </c>
      <c r="T277" t="inlineStr">
        <is>
          <t>3704494129252</t>
        </is>
      </c>
    </row>
    <row r="278" ht="87" customHeight="1">
      <c r="A278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278" s="2">
        <f>HYPERLINK("https://edmondsonsupply.com/products/wild-river-wt3604-nomad%c2%ae-lighted-backpack", "https://edmondsonsupply.com/products/wild-river-wt3604-nomad%c2%ae-lighted-backpack")</f>
        <v/>
      </c>
      <c r="C278" t="inlineStr">
        <is>
          <t>CLC Wild River WT3604 Nomad Lighted Backpack</t>
        </is>
      </c>
      <c r="D278" t="inlineStr">
        <is>
          <t>Wild River Nomad by CLC Custom LeatherCraft Tackle Tek Nomad XP Lighted Backpack with USB Charging System</t>
        </is>
      </c>
      <c r="E278" s="2">
        <f>HYPERLINK("https://www.amazon.com/Wild-River-Leathercraft-WN3605-Backpack/dp/B00JCCHUDM/ref=sr_1_5?keywords=CLC+Wild+River+WT3604+Nomad+Lighted+Backpack&amp;qid=1694734460&amp;sr=8-5", "https://www.amazon.com/Wild-River-Leathercraft-WN3605-Backpack/dp/B00JCCHUDM/ref=sr_1_5?keywords=CLC+Wild+River+WT3604+Nomad+Lighted+Backpack&amp;qid=1694734460&amp;sr=8-5")</f>
        <v/>
      </c>
      <c r="F278" t="inlineStr">
        <is>
          <t>B00JCCHUDM</t>
        </is>
      </c>
      <c r="G278">
        <f>_xlfn.IMAGE("https://edmondsonsupply.com/cdn/shop/products/WT3604_8_lg.png?v=1609788715")</f>
        <v/>
      </c>
      <c r="H278">
        <f>_xlfn.IMAGE("https://m.media-amazon.com/images/I/91SWWpE2VqL._AC_UL320_.jpg")</f>
        <v/>
      </c>
      <c r="K278" t="inlineStr">
        <is>
          <t>209.0</t>
        </is>
      </c>
      <c r="L278" t="n">
        <v>192.29</v>
      </c>
      <c r="M278" s="1" t="inlineStr">
        <is>
          <t>-8.00%</t>
        </is>
      </c>
      <c r="N278" s="7" t="n">
        <v>-20.06</v>
      </c>
      <c r="O278" t="n">
        <v>4.7</v>
      </c>
      <c r="P278" t="n">
        <v>162</v>
      </c>
      <c r="R278" t="inlineStr">
        <is>
          <t>InStock</t>
        </is>
      </c>
      <c r="S278" t="inlineStr">
        <is>
          <t>279.0</t>
        </is>
      </c>
      <c r="T278" t="inlineStr">
        <is>
          <t>5273624215720</t>
        </is>
      </c>
    </row>
    <row r="279" ht="87" customHeight="1">
      <c r="A279" s="2">
        <f>HYPERLINK("https://edmondsonsupply.com/collections/storage-organization/products/klein-tools-69408-tradesman-pro%E2%84%A2-carrying-case-large", "https://edmondsonsupply.com/collections/storage-organization/products/klein-tools-69408-tradesman-pro%E2%84%A2-carrying-case-large")</f>
        <v/>
      </c>
      <c r="B279" s="2">
        <f>HYPERLINK("https://edmondsonsupply.com/products/klein-tools-69408-tradesman-pro%e2%84%a2-carrying-case-large", "https://edmondsonsupply.com/products/klein-tools-69408-tradesman-pro%e2%84%a2-carrying-case-large")</f>
        <v/>
      </c>
      <c r="C279" t="inlineStr">
        <is>
          <t>Klein Tools 69408 Tradesman Pro™ Carrying Case, Large</t>
        </is>
      </c>
      <c r="D279" t="inlineStr">
        <is>
          <t>Klein Tools 69408 Tradesman Pro Carrying Case, Large</t>
        </is>
      </c>
      <c r="E279" s="2">
        <f>HYPERLINK("https://www.amazon.com/Tradesman-Carrying-Klein-Tools-69408/dp/B00FZEO8EK/ref=sr_1_1?keywords=Klein+Tools+69408+Tradesman+Pro%E2%84%A2+Carrying+Case%2C+Large&amp;qid=1694734468&amp;sr=8-1", "https://www.amazon.com/Tradesman-Carrying-Klein-Tools-69408/dp/B00FZEO8EK/ref=sr_1_1?keywords=Klein+Tools+69408+Tradesman+Pro%E2%84%A2+Carrying+Case%2C+Large&amp;qid=1694734468&amp;sr=8-1")</f>
        <v/>
      </c>
      <c r="F279" t="inlineStr">
        <is>
          <t>B00FZEO8EK</t>
        </is>
      </c>
      <c r="G279">
        <f>_xlfn.IMAGE("https://edmondsonsupply.com/cdn/shop/products/69408.jpg?v=1633030545")</f>
        <v/>
      </c>
      <c r="H279">
        <f>_xlfn.IMAGE("https://m.media-amazon.com/images/I/61e7dtjqz2L._AC_UL320_.jpg")</f>
        <v/>
      </c>
      <c r="K279" t="inlineStr">
        <is>
          <t>39.99</t>
        </is>
      </c>
      <c r="L279" t="n">
        <v>36.79</v>
      </c>
      <c r="M279" s="1" t="inlineStr">
        <is>
          <t>-8.00%</t>
        </is>
      </c>
      <c r="N279" s="7" t="n">
        <v>-20.06</v>
      </c>
      <c r="O279" t="n">
        <v>4.7</v>
      </c>
      <c r="P279" t="n">
        <v>191</v>
      </c>
      <c r="R279" t="inlineStr">
        <is>
          <t>InStock</t>
        </is>
      </c>
      <c r="S279" t="inlineStr">
        <is>
          <t>60.62</t>
        </is>
      </c>
      <c r="T279" t="inlineStr">
        <is>
          <t>5431479664808</t>
        </is>
      </c>
    </row>
    <row r="280" ht="87" customHeight="1">
      <c r="A280" s="2">
        <f>HYPERLINK("https://edmondsonsupply.com/collections/storage-organization/products/klein-tools-58888-12-pocket-tool-tote-with-shoulder-strap", "https://edmondsonsupply.com/collections/storage-organization/products/klein-tools-58888-12-pocket-tool-tote-with-shoulder-strap")</f>
        <v/>
      </c>
      <c r="B280" s="2">
        <f>HYPERLINK("https://edmondsonsupply.com/products/klein-tools-58888-12-pocket-tool-tote-with-shoulder-strap", "https://edmondsonsupply.com/products/klein-tools-58888-12-pocket-tool-tote-with-shoulder-strap")</f>
        <v/>
      </c>
      <c r="C280" t="inlineStr">
        <is>
          <t>Klein Tools 58888 12 Pocket Tool Tote with Shoulder Strap</t>
        </is>
      </c>
      <c r="D280" t="inlineStr">
        <is>
          <t>Klein Tools 5102-14SP Tool Bag with Detachable Shoulder Strap 14-Inch, 10 Inside Pockets for Hand Tool Organization</t>
        </is>
      </c>
      <c r="E280" s="2">
        <f>HYPERLINK("https://www.amazon.com/Detachable-Shoulder-Klein-Tools-5102-14SP/dp/B007V8ZIG0/ref=sr_1_4?keywords=Klein+Tools+58888+12+Pocket+Tool+Tote+with+Shoulder+Strap&amp;qid=1694734451&amp;sr=8-4", "https://www.amazon.com/Detachable-Shoulder-Klein-Tools-5102-14SP/dp/B007V8ZIG0/ref=sr_1_4?keywords=Klein+Tools+58888+12+Pocket+Tool+Tote+with+Shoulder+Strap&amp;qid=1694734451&amp;sr=8-4")</f>
        <v/>
      </c>
      <c r="F280" t="inlineStr">
        <is>
          <t>B007V8ZIG0</t>
        </is>
      </c>
      <c r="G280">
        <f>_xlfn.IMAGE("https://edmondsonsupply.com/cdn/shop/products/58888.jpg?v=1660004615")</f>
        <v/>
      </c>
      <c r="H280">
        <f>_xlfn.IMAGE("https://m.media-amazon.com/images/I/61IEFOdxt7L._AC_UL320_.jpg")</f>
        <v/>
      </c>
      <c r="K280" t="inlineStr">
        <is>
          <t>82.99</t>
        </is>
      </c>
      <c r="L280" t="n">
        <v>76</v>
      </c>
      <c r="M280" s="1" t="inlineStr">
        <is>
          <t>-8.42%</t>
        </is>
      </c>
      <c r="N280" s="7" t="n">
        <v>-20.61</v>
      </c>
      <c r="O280" t="n">
        <v>4.7</v>
      </c>
      <c r="P280" t="n">
        <v>640</v>
      </c>
      <c r="R280" t="inlineStr">
        <is>
          <t>InStock</t>
        </is>
      </c>
      <c r="S280" t="inlineStr">
        <is>
          <t>135.44</t>
        </is>
      </c>
      <c r="T280" t="inlineStr">
        <is>
          <t>7776729333976</t>
        </is>
      </c>
    </row>
    <row r="281" hidden="1" ht="15.75" customHeight="1">
      <c r="A281" s="2">
        <f>HYPERLINK("https://edmondsonsupply.com/collections/storage-organization/products/klein-tools-5539yel-canvas-zipper-bag-consumables-yellow", "https://edmondsonsupply.com/collections/storage-organization/products/klein-tools-5539yel-canvas-zipper-bag-consumables-yellow")</f>
        <v/>
      </c>
      <c r="B281" s="2">
        <f>HYPERLINK("https://edmondsonsupply.com/products/klein-tools-5539yel-canvas-zipper-bag-consumables-yellow", "https://edmondsonsupply.com/products/klein-tools-5539yel-canvas-zipper-bag-consumables-yellow")</f>
        <v/>
      </c>
      <c r="C281" t="inlineStr">
        <is>
          <t>Klein Tools 5539YEL Zipper Bag, Canvas Tool Pouch, 10-Inch, Yellow</t>
        </is>
      </c>
      <c r="D281" t="inlineStr">
        <is>
          <t>Klein Tools 5539YEL Zipper Bag, Canvas Tool Pouch is 10-Inch Consumables Bag for Storing Parts, Brass Grommet for Easy Hanging, Yellow</t>
        </is>
      </c>
      <c r="E281" s="2">
        <f>HYPERLINK("https://www.amazon.com/Canvas-Consumables-Klein-Tools-5539YEL/dp/B002G7ZU0U/ref=sr_1_1?keywords=Klein+Tools+5539YEL+Zipper+Bag%2C+Canvas+Tool+Pouch%2C+10-Inch%2C+Yellow&amp;qid=1694734464&amp;sr=8-1", "https://www.amazon.com/Canvas-Consumables-Klein-Tools-5539YEL/dp/B002G7ZU0U/ref=sr_1_1?keywords=Klein+Tools+5539YEL+Zipper+Bag%2C+Canvas+Tool+Pouch%2C+10-Inch%2C+Yellow&amp;qid=1694734464&amp;sr=8-1")</f>
        <v/>
      </c>
      <c r="F281" t="inlineStr">
        <is>
          <t>B002G7ZU0U</t>
        </is>
      </c>
      <c r="G281">
        <f>_xludf.IMAGE("https://edmondsonsupply.com/cdn/shop/products/5539yel.jpg?v=1633030465")</f>
        <v/>
      </c>
      <c r="H281">
        <f>_xludf.IMAGE("https://m.media-amazon.com/images/I/61YytMTLunL._AC_UL320_.jpg")</f>
        <v/>
      </c>
      <c r="K281" t="inlineStr">
        <is>
          <t>13.99</t>
        </is>
      </c>
      <c r="L281" t="n">
        <v>12.79</v>
      </c>
      <c r="M281" s="1" t="inlineStr">
        <is>
          <t>-8.58%</t>
        </is>
      </c>
      <c r="N281" s="1" t="n">
        <v>-20.8</v>
      </c>
      <c r="O281" t="n">
        <v>4.7</v>
      </c>
      <c r="P281" t="n">
        <v>829</v>
      </c>
      <c r="R281" t="inlineStr">
        <is>
          <t>InStock</t>
        </is>
      </c>
      <c r="S281" t="inlineStr">
        <is>
          <t>21.18</t>
        </is>
      </c>
      <c r="T281" t="inlineStr">
        <is>
          <t>5362277449896</t>
        </is>
      </c>
    </row>
    <row r="282" ht="87" customHeight="1">
      <c r="A282" s="2">
        <f>HYPERLINK("https://edmondsonsupply.com/collections/storage-organization/products/veto-pro-pac-wrencher-xxl", "https://edmondsonsupply.com/collections/storage-organization/products/veto-pro-pac-wrencher-xxl")</f>
        <v/>
      </c>
      <c r="B282" s="2">
        <f>HYPERLINK("https://edmondsonsupply.com/products/veto-pro-pac-wrencher-xxl", "https://edmondsonsupply.com/products/veto-pro-pac-wrencher-xxl")</f>
        <v/>
      </c>
      <c r="C282" t="inlineStr">
        <is>
          <t>Veto Pro Pac Wrencher XXL</t>
        </is>
      </c>
      <c r="D282" t="inlineStr">
        <is>
          <t>Veto Pro Pac TP-XXL (Original)</t>
        </is>
      </c>
      <c r="E282" s="2">
        <f>HYPERLINK("https://www.amazon.com/Veto-Pro-Pac-TP-XXL-Zippered/dp/B09Q4YNX94/ref=sr_1_2?keywords=Veto+Pro+Pac+Wrencher+XXL&amp;qid=1694734449&amp;sr=8-2", "https://www.amazon.com/Veto-Pro-Pac-TP-XXL-Zippered/dp/B09Q4YNX94/ref=sr_1_2?keywords=Veto+Pro+Pac+Wrencher+XXL&amp;qid=1694734449&amp;sr=8-2")</f>
        <v/>
      </c>
      <c r="F282" t="inlineStr">
        <is>
          <t>B09Q4YNX94</t>
        </is>
      </c>
      <c r="G282">
        <f>_xlfn.IMAGE("https://edmondsonsupply.com/cdn/shop/files/0003_WRENCHER-XXL_36.jpg?v=1684440775")</f>
        <v/>
      </c>
      <c r="H282">
        <f>_xlfn.IMAGE("https://m.media-amazon.com/images/I/61c5N3ud9xL._AC_UL320_.jpg")</f>
        <v/>
      </c>
      <c r="K282" t="inlineStr">
        <is>
          <t>229.95</t>
        </is>
      </c>
      <c r="L282" t="n">
        <v>209.95</v>
      </c>
      <c r="M282" s="1" t="inlineStr">
        <is>
          <t>-8.70%</t>
        </is>
      </c>
      <c r="N282" s="7" t="n">
        <v>-22.59</v>
      </c>
      <c r="O282" t="n">
        <v>4.8</v>
      </c>
      <c r="P282" t="n">
        <v>468</v>
      </c>
      <c r="R282" t="inlineStr">
        <is>
          <t>InStock</t>
        </is>
      </c>
      <c r="S282" t="inlineStr">
        <is>
          <t>undefined</t>
        </is>
      </c>
      <c r="T282" t="inlineStr">
        <is>
          <t>7993760612568</t>
        </is>
      </c>
    </row>
    <row r="283" ht="87" customHeight="1">
      <c r="A283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283" s="2">
        <f>HYPERLINK("https://edmondsonsupply.com/products/veto-pro-pac-tech-pac-backpack-tool-bag-3", "https://edmondsonsupply.com/products/veto-pro-pac-tech-pac-backpack-tool-bag-3")</f>
        <v/>
      </c>
      <c r="C283" t="inlineStr">
        <is>
          <t>Veto Pro Pac TECH PAC MC Backpack Tool Bag</t>
        </is>
      </c>
      <c r="D283" t="inlineStr">
        <is>
          <t>Veto Pro Pac Tech XL Tool Bag, 1-Pack,Black, Grey</t>
        </is>
      </c>
      <c r="E283" s="2">
        <f>HYPERLINK("https://www.amazon.com/Veto-Tech-XL-Tool-1-Pack/dp/B00DYRFEJI/ref=sr_1_7?keywords=Veto+Pro+Pac+TECH+PAC+MC+Backpack+Tool+Bag&amp;qid=1694734443&amp;sr=8-7", "https://www.amazon.com/Veto-Tech-XL-Tool-1-Pack/dp/B00DYRFEJI/ref=sr_1_7?keywords=Veto+Pro+Pac+TECH+PAC+MC+Backpack+Tool+Bag&amp;qid=1694734443&amp;sr=8-7")</f>
        <v/>
      </c>
      <c r="F283" t="inlineStr">
        <is>
          <t>B00DYRFEJI</t>
        </is>
      </c>
      <c r="G283">
        <f>_xlfn.IMAGE("https://edmondsonsupply.com/cdn/shop/products/MC2.jpg?v=1642553730")</f>
        <v/>
      </c>
      <c r="H283">
        <f>_xlfn.IMAGE("https://m.media-amazon.com/images/I/71suRnmtVZL._AC_UL320_.jpg")</f>
        <v/>
      </c>
      <c r="K283" t="inlineStr">
        <is>
          <t>274.99</t>
        </is>
      </c>
      <c r="L283" t="n">
        <v>249.95</v>
      </c>
      <c r="M283" s="1" t="inlineStr">
        <is>
          <t>-9.11%</t>
        </is>
      </c>
      <c r="N283" s="7" t="n">
        <v>-23.23</v>
      </c>
      <c r="O283" t="n">
        <v>4.8</v>
      </c>
      <c r="P283" t="n">
        <v>762</v>
      </c>
      <c r="R283" t="inlineStr">
        <is>
          <t>InStock</t>
        </is>
      </c>
      <c r="S283" t="inlineStr">
        <is>
          <t>undefined</t>
        </is>
      </c>
      <c r="T283" t="inlineStr">
        <is>
          <t>3561063415908</t>
        </is>
      </c>
    </row>
    <row r="284" ht="87" customHeight="1">
      <c r="A284" s="2">
        <f>HYPERLINK("https://edmondsonsupply.com/collections/storage-organization/products/klein-tools-5416octo-tool-bag-bull-pin-and-bolt-pouch-loop-connect-5-x-5-x-9-inch", "https://edmondsonsupply.com/collections/storage-organization/products/klein-tools-5416octo-tool-bag-bull-pin-and-bolt-pouch-loop-connect-5-x-5-x-9-inch")</f>
        <v/>
      </c>
      <c r="B284" s="2">
        <f>HYPERLINK("https://edmondsonsupply.com/products/klein-tools-5416octo-tool-bag-bull-pin-and-bolt-pouch-loop-connect-5-x-5-x-9-inch", "https://edmondsonsupply.com/products/klein-tools-5416octo-tool-bag-bull-pin-and-bolt-pouch-loop-connect-5-x-5-x-9-inch")</f>
        <v/>
      </c>
      <c r="C284" t="inlineStr">
        <is>
          <t>Klein Tools 5416OCTO Tool Bag, Bull-Pin and Bolt Pouch, Loop Connect, 5 x 5 x 9-Inch</t>
        </is>
      </c>
      <c r="D284" t="inlineStr">
        <is>
          <t>Klein Tools 5416TFR Tool Bag, Flame Resistant Canvas Bag for Bolt Storage with Double Reinforced Bottom and Tunnel Connect, 5 x 10 x 9-Inch</t>
        </is>
      </c>
      <c r="E284" s="2">
        <f>HYPERLINK("https://www.amazon.com/Resistant-Canvas-Klein-Tools-5416TFR/dp/B0116IFD6A/ref=sr_1_5?keywords=Klein+Tools+5416OCTO+Tool+Bag%2C+Bull-Pin+and+Bolt+Pouch%2C+Loop+Connect%2C+5+x+5+x+9-Inch&amp;qid=1694734458&amp;sr=8-5", "https://www.amazon.com/Resistant-Canvas-Klein-Tools-5416TFR/dp/B0116IFD6A/ref=sr_1_5?keywords=Klein+Tools+5416OCTO+Tool+Bag%2C+Bull-Pin+and+Bolt+Pouch%2C+Loop+Connect%2C+5+x+5+x+9-Inch&amp;qid=1694734458&amp;sr=8-5")</f>
        <v/>
      </c>
      <c r="F284" t="inlineStr">
        <is>
          <t>B0116IFD6A</t>
        </is>
      </c>
      <c r="G284">
        <f>_xlfn.IMAGE("https://edmondsonsupply.com/cdn/shop/products/5416octo.jpg?v=1633030457")</f>
        <v/>
      </c>
      <c r="H284">
        <f>_xlfn.IMAGE("https://m.media-amazon.com/images/I/71-H03ahZOL._AC_UL320_.jpg")</f>
        <v/>
      </c>
      <c r="K284" t="inlineStr">
        <is>
          <t>22.02</t>
        </is>
      </c>
      <c r="L284" t="n">
        <v>19.99</v>
      </c>
      <c r="M284" s="1" t="inlineStr">
        <is>
          <t>-9.22%</t>
        </is>
      </c>
      <c r="N284" s="7" t="n">
        <v>-23.35</v>
      </c>
      <c r="O284" t="n">
        <v>4.8</v>
      </c>
      <c r="P284" t="n">
        <v>7379</v>
      </c>
      <c r="R284" t="inlineStr">
        <is>
          <t>InStock</t>
        </is>
      </c>
      <c r="S284" t="inlineStr">
        <is>
          <t>35.96</t>
        </is>
      </c>
      <c r="T284" t="inlineStr">
        <is>
          <t>5347272130728</t>
        </is>
      </c>
    </row>
    <row r="285" ht="87" customHeight="1">
      <c r="A285" s="2">
        <f>HYPERLINK("https://edmondsonsupply.com/collections/storage-organization/products/veto-pro-pac-tech-ot-mc-tool-tote", "https://edmondsonsupply.com/collections/storage-organization/products/veto-pro-pac-tech-ot-mc-tool-tote")</f>
        <v/>
      </c>
      <c r="B285" s="2">
        <f>HYPERLINK("https://edmondsonsupply.com/products/veto-pro-pac-tech-ot-mc-tool-tote", "https://edmondsonsupply.com/products/veto-pro-pac-tech-ot-mc-tool-tote")</f>
        <v/>
      </c>
      <c r="C285" t="inlineStr">
        <is>
          <t>Veto Pro Pac Tech OT-MC Tool Tote</t>
        </is>
      </c>
      <c r="D285" t="inlineStr">
        <is>
          <t>VETO PRO PAC TECH-MCT Tool Bag (Original)</t>
        </is>
      </c>
      <c r="E285" s="2">
        <f>HYPERLINK("https://www.amazon.com/VETO-PRO-PAC-TECH-MCT-Tool/dp/B01CENNFYS/ref=sr_1_8?keywords=Veto+Pro+Pac+Tech+OT-MC+Tool+Tote&amp;qid=1694734439&amp;sr=8-8", "https://www.amazon.com/VETO-PRO-PAC-TECH-MCT-Tool/dp/B01CENNFYS/ref=sr_1_8?keywords=Veto+Pro+Pac+Tech+OT-MC+Tool+Tote&amp;qid=1694734439&amp;sr=8-8")</f>
        <v/>
      </c>
      <c r="F285" t="inlineStr">
        <is>
          <t>B01CENNFYS</t>
        </is>
      </c>
      <c r="G285">
        <f>_xlfn.IMAGE("https://edmondsonsupply.com/cdn/shop/products/otmc1_048af870-c580-47c1-b832-021ca8939d35.jpg?v=1587146037")</f>
        <v/>
      </c>
      <c r="H285">
        <f>_xlfn.IMAGE("https://m.media-amazon.com/images/I/61GanfvVX6L._AC_UL320_.jpg")</f>
        <v/>
      </c>
      <c r="K285" t="inlineStr">
        <is>
          <t>209.99</t>
        </is>
      </c>
      <c r="L285" t="n">
        <v>189.95</v>
      </c>
      <c r="M285" s="1" t="inlineStr">
        <is>
          <t>-9.54%</t>
        </is>
      </c>
      <c r="N285" s="7" t="n">
        <v>-23.65</v>
      </c>
      <c r="O285" t="n">
        <v>4.8</v>
      </c>
      <c r="P285" t="n">
        <v>2081</v>
      </c>
      <c r="R285" t="inlineStr">
        <is>
          <t>InStock</t>
        </is>
      </c>
      <c r="S285" t="inlineStr">
        <is>
          <t>undefined</t>
        </is>
      </c>
      <c r="T285" t="inlineStr">
        <is>
          <t>3561810952292</t>
        </is>
      </c>
    </row>
    <row r="286" ht="87" customHeight="1">
      <c r="A286" s="2">
        <f>HYPERLINK("https://edmondsonsupply.com/collections/storage-organization/products/clc-1134-44-pocket-deluxe-tool-backpack", "https://edmondsonsupply.com/collections/storage-organization/products/clc-1134-44-pocket-deluxe-tool-backpack")</f>
        <v/>
      </c>
      <c r="B286" s="2">
        <f>HYPERLINK("https://edmondsonsupply.com/products/clc-1134-44-pocket-deluxe-tool-backpack", "https://edmondsonsupply.com/products/clc-1134-44-pocket-deluxe-tool-backpack")</f>
        <v/>
      </c>
      <c r="C286" t="inlineStr">
        <is>
          <t>CLC 1134 44 Pocket Deluxe Tool Backpack</t>
        </is>
      </c>
      <c r="D286" t="inlineStr">
        <is>
          <t>CLC Work Gear 1134 Carpenter's Tool Backpack, 44 Pockets, Padded Back Support</t>
        </is>
      </c>
      <c r="E286" s="2">
        <f>HYPERLINK("https://www.amazon.com/Custom-Leathertcraft-1134-Carpenters-Backpack/dp/B0047O3PFC/ref=sr_1_5?keywords=CLC+1134+44+Pocket+Deluxe+Tool+Backpack&amp;qid=1694734463&amp;sr=8-5", "https://www.amazon.com/Custom-Leathertcraft-1134-Carpenters-Backpack/dp/B0047O3PFC/ref=sr_1_5?keywords=CLC+1134+44+Pocket+Deluxe+Tool+Backpack&amp;qid=1694734463&amp;sr=8-5")</f>
        <v/>
      </c>
      <c r="F286" t="inlineStr">
        <is>
          <t>B0047O3PFC</t>
        </is>
      </c>
      <c r="G286">
        <f>_xlfn.IMAGE("https://edmondsonsupply.com/cdn/shop/products/1134_A_REV17.jpg?v=1633030331")</f>
        <v/>
      </c>
      <c r="H286">
        <f>_xlfn.IMAGE("https://m.media-amazon.com/images/I/71P51k-7XIL._AC_UL320_.jpg")</f>
        <v/>
      </c>
      <c r="K286" t="inlineStr">
        <is>
          <t>99.95</t>
        </is>
      </c>
      <c r="L286" t="n">
        <v>90.09</v>
      </c>
      <c r="M286" s="1" t="inlineStr">
        <is>
          <t>-9.86%</t>
        </is>
      </c>
      <c r="N286" s="7" t="n">
        <v>-23.66</v>
      </c>
      <c r="O286" t="n">
        <v>4.6</v>
      </c>
      <c r="P286" t="n">
        <v>2199</v>
      </c>
      <c r="R286" t="inlineStr">
        <is>
          <t>InStock</t>
        </is>
      </c>
      <c r="S286" t="inlineStr">
        <is>
          <t>149.0</t>
        </is>
      </c>
      <c r="T286" t="inlineStr">
        <is>
          <t>5267885818024</t>
        </is>
      </c>
    </row>
    <row r="287" ht="87" customHeight="1">
      <c r="A287" s="2">
        <f>HYPERLINK("https://edmondsonsupply.com/collections/storage-organization/products/clc-ecpl38", "https://edmondsonsupply.com/collections/storage-organization/products/clc-ecpl38")</f>
        <v/>
      </c>
      <c r="B287" s="2">
        <f>HYPERLINK("https://edmondsonsupply.com/products/clc-ecpl38", "https://edmondsonsupply.com/products/clc-ecpl38")</f>
        <v/>
      </c>
      <c r="C287" t="inlineStr">
        <is>
          <t>CLC ECPL38 E-Charge Lighted USB Charging Tool Backpack</t>
        </is>
      </c>
      <c r="D287" t="inlineStr">
        <is>
          <t>CLC Custom Leathercraft ECPL38 E-Charge Lighted USB Charging Tool Backpack, 36 Pocket,Black</t>
        </is>
      </c>
      <c r="E287" s="2">
        <f>HYPERLINK("https://www.amazon.com/Custom-Leathercraft-ECPL38-Charging-36-Pocket/dp/B01N4WKW6C/ref=sr_1_1?keywords=CLC+ECPL38+E-Charge+Lighted+USB+Charging+Tool+Backpack&amp;qid=1694734465&amp;sr=8-1", "https://www.amazon.com/Custom-Leathercraft-ECPL38-Charging-36-Pocket/dp/B01N4WKW6C/ref=sr_1_1?keywords=CLC+ECPL38+E-Charge+Lighted+USB+Charging+Tool+Backpack&amp;qid=1694734465&amp;sr=8-1")</f>
        <v/>
      </c>
      <c r="F287" t="inlineStr">
        <is>
          <t>B01N4WKW6C</t>
        </is>
      </c>
      <c r="G287">
        <f>_xlfn.IMAGE("https://edmondsonsupply.com/cdn/shop/products/ECPL38_lg.jpg?v=1609787944")</f>
        <v/>
      </c>
      <c r="H287">
        <f>_xlfn.IMAGE("https://m.media-amazon.com/images/I/71fWlkgW1-L._AC_UL320_.jpg")</f>
        <v/>
      </c>
      <c r="K287" t="inlineStr">
        <is>
          <t>189.0</t>
        </is>
      </c>
      <c r="L287" t="n">
        <v>170.1</v>
      </c>
      <c r="M287" s="1" t="inlineStr">
        <is>
          <t>-10.00%</t>
        </is>
      </c>
      <c r="N287" s="7" t="n">
        <v>-24.26</v>
      </c>
      <c r="O287" t="n">
        <v>4.4</v>
      </c>
      <c r="P287" t="n">
        <v>299</v>
      </c>
      <c r="R287" t="inlineStr">
        <is>
          <t>InStock</t>
        </is>
      </c>
      <c r="S287" t="inlineStr">
        <is>
          <t>209.0</t>
        </is>
      </c>
      <c r="T287" t="inlineStr">
        <is>
          <t>5261250068648</t>
        </is>
      </c>
    </row>
    <row r="288" ht="87" customHeight="1">
      <c r="A288" s="2">
        <f>HYPERLINK("https://edmondsonsupply.com/collections/storage-organization/products/dewalt-dgcl33-33", "https://edmondsonsupply.com/collections/storage-organization/products/dewalt-dgcl33-33")</f>
        <v/>
      </c>
      <c r="B288" s="2">
        <f>HYPERLINK("https://edmondsonsupply.com/products/dewalt-dgcl33-33", "https://edmondsonsupply.com/products/dewalt-dgcl33-33")</f>
        <v/>
      </c>
      <c r="C288" t="inlineStr">
        <is>
          <t>CLC DeWALT DGCL33 33-Pocket Lighted USB Charging Tool Backpack</t>
        </is>
      </c>
      <c r="D288" t="inlineStr">
        <is>
          <t>CLC Custom Leathercraft ECPL38 E-Charge Lighted USB Charging Tool Backpack, 36 Pocket,Black</t>
        </is>
      </c>
      <c r="E288" s="2">
        <f>HYPERLINK("https://www.amazon.com/Custom-Leathercraft-ECPL38-Charging-36-Pocket/dp/B01N4WKW6C/ref=sr_1_3?keywords=CLC+DeWALT+DGCL33+33-Pocket+Lighted+USB+Charging+Tool+Backpack&amp;qid=1694734466&amp;sr=8-3", "https://www.amazon.com/Custom-Leathercraft-ECPL38-Charging-36-Pocket/dp/B01N4WKW6C/ref=sr_1_3?keywords=CLC+DeWALT+DGCL33+33-Pocket+Lighted+USB+Charging+Tool+Backpack&amp;qid=1694734466&amp;sr=8-3")</f>
        <v/>
      </c>
      <c r="F288" t="inlineStr">
        <is>
          <t>B01N4WKW6C</t>
        </is>
      </c>
      <c r="G288">
        <f>_xlfn.IMAGE("https://edmondsonsupply.com/cdn/shop/products/DGCL33-1.png?v=1609787600")</f>
        <v/>
      </c>
      <c r="H288">
        <f>_xlfn.IMAGE("https://m.media-amazon.com/images/I/71fWlkgW1-L._AC_UL320_.jpg")</f>
        <v/>
      </c>
      <c r="K288" t="inlineStr">
        <is>
          <t>189.0</t>
        </is>
      </c>
      <c r="L288" t="n">
        <v>170.1</v>
      </c>
      <c r="M288" s="1" t="inlineStr">
        <is>
          <t>-10.00%</t>
        </is>
      </c>
      <c r="N288" s="7" t="n">
        <v>-24.46</v>
      </c>
      <c r="O288" t="n">
        <v>4.4</v>
      </c>
      <c r="P288" t="n">
        <v>299</v>
      </c>
      <c r="R288" t="inlineStr">
        <is>
          <t>InStock</t>
        </is>
      </c>
      <c r="S288" t="inlineStr">
        <is>
          <t>219.0</t>
        </is>
      </c>
      <c r="T288" t="inlineStr">
        <is>
          <t>5261413712040</t>
        </is>
      </c>
    </row>
    <row r="289" ht="87" customHeight="1">
      <c r="A289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289" s="2">
        <f>HYPERLINK("https://edmondsonsupply.com/products/veto-pro-pac-tech-pac-backpack-tool-bag", "https://edmondsonsupply.com/products/veto-pro-pac-tech-pac-backpack-tool-bag")</f>
        <v/>
      </c>
      <c r="C289" t="inlineStr">
        <is>
          <t>Veto Pro Pac TECH PAC Backpack Tool Bag</t>
        </is>
      </c>
      <c r="D289" t="inlineStr">
        <is>
          <t>Veto Pro Pac OT-XL Tool Bag</t>
        </is>
      </c>
      <c r="E289" s="2">
        <f>HYPERLINK("https://www.amazon.com/VETO-PRO-PAC-OT-XL-Tool/dp/B000VKSAQK/ref=sr_1_28?keywords=Veto+Pro+Pac+TECH+PAC+Backpack+Tool+Bag&amp;qid=1694734435&amp;sr=8-28", "https://www.amazon.com/VETO-PRO-PAC-OT-XL-Tool/dp/B000VKSAQK/ref=sr_1_28?keywords=Veto+Pro+Pac+TECH+PAC+Backpack+Tool+Bag&amp;qid=1694734435&amp;sr=8-28")</f>
        <v/>
      </c>
      <c r="F289" t="inlineStr">
        <is>
          <t>B000VKSAQK</t>
        </is>
      </c>
      <c r="G289">
        <f>_xlfn.IMAGE("https://edmondsonsupply.com/cdn/shop/products/Veto_Tech_Pac.jpg?v=1587149981")</f>
        <v/>
      </c>
      <c r="H289">
        <f>_xlfn.IMAGE("https://m.media-amazon.com/images/I/61meVw9HeQL._AC_UL320_.jpg")</f>
        <v/>
      </c>
      <c r="K289" t="inlineStr">
        <is>
          <t>299.99</t>
        </is>
      </c>
      <c r="L289" t="n">
        <v>269.95</v>
      </c>
      <c r="M289" s="1" t="inlineStr">
        <is>
          <t>-10.01%</t>
        </is>
      </c>
      <c r="N289" s="7" t="n">
        <v>-25.01</v>
      </c>
      <c r="O289" t="n">
        <v>4.7</v>
      </c>
      <c r="P289" t="n">
        <v>281</v>
      </c>
      <c r="R289" t="inlineStr">
        <is>
          <t>InStock</t>
        </is>
      </c>
      <c r="S289" t="inlineStr">
        <is>
          <t>undefined</t>
        </is>
      </c>
      <c r="T289" t="inlineStr">
        <is>
          <t>3557476335716</t>
        </is>
      </c>
    </row>
    <row r="290" ht="87" customHeight="1">
      <c r="A290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290" s="2">
        <f>HYPERLINK("https://edmondsonsupply.com/products/veto-pro-pac-tech-pac-backpack-tool-bag", "https://edmondsonsupply.com/products/veto-pro-pac-tech-pac-backpack-tool-bag")</f>
        <v/>
      </c>
      <c r="C290" t="inlineStr">
        <is>
          <t>Veto Pro Pac TECH PAC Backpack Tool Bag</t>
        </is>
      </c>
      <c r="D290" t="inlineStr">
        <is>
          <t>Veto Pro Pac Model XXL-F Tool Bag</t>
        </is>
      </c>
      <c r="E290" s="2">
        <f>HYPERLINK("https://www.amazon.com/VETO-PRO-PAC-Model-XXL-F/dp/B0002HC2CK/ref=sr_1_18?keywords=Veto+Pro+Pac+TECH+PAC+Backpack+Tool+Bag&amp;qid=1694734435&amp;sr=8-18", "https://www.amazon.com/VETO-PRO-PAC-Model-XXL-F/dp/B0002HC2CK/ref=sr_1_18?keywords=Veto+Pro+Pac+TECH+PAC+Backpack+Tool+Bag&amp;qid=1694734435&amp;sr=8-18")</f>
        <v/>
      </c>
      <c r="F290" t="inlineStr">
        <is>
          <t>B0002HC2CK</t>
        </is>
      </c>
      <c r="G290">
        <f>_xlfn.IMAGE("https://edmondsonsupply.com/cdn/shop/products/Veto_Tech_Pac.jpg?v=1587149981")</f>
        <v/>
      </c>
      <c r="H290">
        <f>_xlfn.IMAGE("https://m.media-amazon.com/images/I/61tR0YjGMkL._AC_UL320_.jpg")</f>
        <v/>
      </c>
      <c r="K290" t="inlineStr">
        <is>
          <t>299.99</t>
        </is>
      </c>
      <c r="L290" t="n">
        <v>269.95</v>
      </c>
      <c r="M290" s="1" t="inlineStr">
        <is>
          <t>-10.01%</t>
        </is>
      </c>
      <c r="N290" s="7" t="n">
        <v>-25.01</v>
      </c>
      <c r="O290" t="n">
        <v>4.5</v>
      </c>
      <c r="P290" t="n">
        <v>261</v>
      </c>
      <c r="R290" t="inlineStr">
        <is>
          <t>InStock</t>
        </is>
      </c>
      <c r="S290" t="inlineStr">
        <is>
          <t>undefined</t>
        </is>
      </c>
      <c r="T290" t="inlineStr">
        <is>
          <t>3557476335716</t>
        </is>
      </c>
    </row>
    <row r="291" ht="87" customHeight="1">
      <c r="A291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291" s="2">
        <f>HYPERLINK("https://edmondsonsupply.com/products/veto-pro-pac-tech-pac-blackout-backpack", "https://edmondsonsupply.com/products/veto-pro-pac-tech-pac-blackout-backpack")</f>
        <v/>
      </c>
      <c r="C291" t="inlineStr">
        <is>
          <t>Veto Pro Pac TECH PAC Blackout Backpack</t>
        </is>
      </c>
      <c r="D291" t="inlineStr">
        <is>
          <t>Veto Pro Pac Tech Pac MC (Compact Tech Pac)</t>
        </is>
      </c>
      <c r="E291" s="2">
        <f>HYPERLINK("https://www.amazon.com/Veto-Pro-Tech-Compact-Blackout/dp/B0931VCBYM/ref=sr_1_2?keywords=Veto+Pro+Pac+TECH+PAC+Blackout+Backpack&amp;qid=1694734435&amp;sr=8-2", "https://www.amazon.com/Veto-Pro-Tech-Compact-Blackout/dp/B0931VCBYM/ref=sr_1_2?keywords=Veto+Pro+Pac+TECH+PAC+Blackout+Backpack&amp;qid=1694734435&amp;sr=8-2")</f>
        <v/>
      </c>
      <c r="F291" t="inlineStr">
        <is>
          <t>B0931VCBYM</t>
        </is>
      </c>
      <c r="G291">
        <f>_xlfn.IMAGE("https://edmondsonsupply.com/cdn/shop/products/tech1.jpg?v=1633031041")</f>
        <v/>
      </c>
      <c r="H291">
        <f>_xlfn.IMAGE("https://m.media-amazon.com/images/I/51BIH+NmbOL._AC_UL320_.jpg")</f>
        <v/>
      </c>
      <c r="K291" t="inlineStr">
        <is>
          <t>329.99</t>
        </is>
      </c>
      <c r="L291" t="n">
        <v>294.95</v>
      </c>
      <c r="M291" s="1" t="inlineStr">
        <is>
          <t>-10.62%</t>
        </is>
      </c>
      <c r="N291" s="7" t="n">
        <v>-25.44</v>
      </c>
      <c r="O291" t="n">
        <v>4.8</v>
      </c>
      <c r="P291" t="n">
        <v>361</v>
      </c>
      <c r="R291" t="inlineStr">
        <is>
          <t>InStock</t>
        </is>
      </c>
      <c r="S291" t="inlineStr">
        <is>
          <t>undefined</t>
        </is>
      </c>
      <c r="T291" t="inlineStr">
        <is>
          <t>6752226476205</t>
        </is>
      </c>
    </row>
    <row r="292" ht="87" customHeight="1">
      <c r="A292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292" s="2">
        <f>HYPERLINK("https://edmondsonsupply.com/products/wild-river-wt3604-nomad%c2%ae-lighted-backpack", "https://edmondsonsupply.com/products/wild-river-wt3604-nomad%c2%ae-lighted-backpack")</f>
        <v/>
      </c>
      <c r="C292" t="inlineStr">
        <is>
          <t>CLC Wild River WT3604 Nomad Lighted Backpack</t>
        </is>
      </c>
      <c r="D292" t="inlineStr">
        <is>
          <t>Wild River Nomad CLC WCT604 Tackle Tek Nomad LED Lighted Camo Backpack, Mossy Oak</t>
        </is>
      </c>
      <c r="E292" s="2">
        <f>HYPERLINK("https://www.amazon.com/Wild-River-Leathercraft-WCT604-Backpack/dp/B00E9G8XUA/ref=sr_1_6?keywords=CLC+Wild+River+WT3604+Nomad+Lighted+Backpack&amp;qid=1694734460&amp;sr=8-6", "https://www.amazon.com/Wild-River-Leathercraft-WCT604-Backpack/dp/B00E9G8XUA/ref=sr_1_6?keywords=CLC+Wild+River+WT3604+Nomad+Lighted+Backpack&amp;qid=1694734460&amp;sr=8-6")</f>
        <v/>
      </c>
      <c r="F292" t="inlineStr">
        <is>
          <t>B00E9G8XUA</t>
        </is>
      </c>
      <c r="G292">
        <f>_xlfn.IMAGE("https://edmondsonsupply.com/cdn/shop/products/WT3604_8_lg.png?v=1609788715")</f>
        <v/>
      </c>
      <c r="H292">
        <f>_xlfn.IMAGE("https://m.media-amazon.com/images/I/91XPczcfzgL._AC_UL320_.jpg")</f>
        <v/>
      </c>
      <c r="K292" t="inlineStr">
        <is>
          <t>209.0</t>
        </is>
      </c>
      <c r="L292" t="n">
        <v>186.75</v>
      </c>
      <c r="M292" s="1" t="inlineStr">
        <is>
          <t>-10.65%</t>
        </is>
      </c>
      <c r="N292" s="7" t="n">
        <v>-25.95</v>
      </c>
      <c r="O292" t="n">
        <v>4.8</v>
      </c>
      <c r="P292" t="n">
        <v>106</v>
      </c>
      <c r="R292" t="inlineStr">
        <is>
          <t>InStock</t>
        </is>
      </c>
      <c r="S292" t="inlineStr">
        <is>
          <t>279.0</t>
        </is>
      </c>
      <c r="T292" t="inlineStr">
        <is>
          <t>5273624215720</t>
        </is>
      </c>
    </row>
    <row r="293" ht="87" customHeight="1">
      <c r="A293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293" s="2">
        <f>HYPERLINK("https://edmondsonsupply.com/products/wild-river-wt3604-nomad%c2%ae-lighted-backpack", "https://edmondsonsupply.com/products/wild-river-wt3604-nomad%c2%ae-lighted-backpack")</f>
        <v/>
      </c>
      <c r="C293" t="inlineStr">
        <is>
          <t>CLC Wild River WT3604 Nomad Lighted Backpack</t>
        </is>
      </c>
      <c r="D293" t="inlineStr">
        <is>
          <t>Custom Leathercraft Wild River by CLC WT3604 Tackle Tek Nomad Lighted Backpack &amp; Four PT3600 Trays, Orange, Sand</t>
        </is>
      </c>
      <c r="E293" s="2">
        <f>HYPERLINK("https://www.amazon.com/WT3604-Tackle-Lighted-Backpack-PT3600/dp/B00A0PA46U/ref=sr_1_1?keywords=CLC+Wild+River+WT3604+Nomad+Lighted+Backpack&amp;qid=1694734460&amp;sr=8-1", "https://www.amazon.com/WT3604-Tackle-Lighted-Backpack-PT3600/dp/B00A0PA46U/ref=sr_1_1?keywords=CLC+Wild+River+WT3604+Nomad+Lighted+Backpack&amp;qid=1694734460&amp;sr=8-1")</f>
        <v/>
      </c>
      <c r="F293" t="inlineStr">
        <is>
          <t>B00A0PA46U</t>
        </is>
      </c>
      <c r="G293">
        <f>_xlfn.IMAGE("https://edmondsonsupply.com/cdn/shop/products/WT3604_8_lg.png?v=1609788715")</f>
        <v/>
      </c>
      <c r="H293">
        <f>_xlfn.IMAGE("https://m.media-amazon.com/images/I/91naRlyQwiL._AC_UL320_.jpg")</f>
        <v/>
      </c>
      <c r="K293" t="inlineStr">
        <is>
          <t>209.0</t>
        </is>
      </c>
      <c r="L293" t="n">
        <v>186.05</v>
      </c>
      <c r="M293" s="1" t="inlineStr">
        <is>
          <t>-10.98%</t>
        </is>
      </c>
      <c r="N293" s="7" t="n">
        <v>-26.21</v>
      </c>
      <c r="O293" t="n">
        <v>4.6</v>
      </c>
      <c r="P293" t="n">
        <v>848</v>
      </c>
      <c r="R293" t="inlineStr">
        <is>
          <t>InStock</t>
        </is>
      </c>
      <c r="S293" t="inlineStr">
        <is>
          <t>279.0</t>
        </is>
      </c>
      <c r="T293" t="inlineStr">
        <is>
          <t>5273624215720</t>
        </is>
      </c>
    </row>
    <row r="294" ht="87" customHeight="1">
      <c r="A294" s="2">
        <f>HYPERLINK("https://edmondsonsupply.com/collections/storage-organization/products/klein-tools-5165-10-pocket-tool-pouch-knife-snap", "https://edmondsonsupply.com/collections/storage-organization/products/klein-tools-5165-10-pocket-tool-pouch-knife-snap")</f>
        <v/>
      </c>
      <c r="B294" s="2">
        <f>HYPERLINK("https://edmondsonsupply.com/products/klein-tools-5165-10-pocket-tool-pouch-knife-snap", "https://edmondsonsupply.com/products/klein-tools-5165-10-pocket-tool-pouch-knife-snap")</f>
        <v/>
      </c>
      <c r="C294" t="inlineStr">
        <is>
          <t>Klein Tools 5165 10 Pocket Leather Tool Pouch with Knife Snap</t>
        </is>
      </c>
      <c r="D294" t="inlineStr">
        <is>
          <t>Klein Tools 5165 Pocket Tool Pouch with Knife Snap, 10 Pockets, Stitched and Riveted Leather, Fits Belts up to 2-Inch Wide</t>
        </is>
      </c>
      <c r="E294" s="2">
        <f>HYPERLINK("https://www.amazon.com/Pocket-Pouch-Klein-Tools-5165/dp/B000BU4CRG/ref=sr_1_2?keywords=Klein+Tools+5165+10+Pocket+Leather+Tool+Pouch+with+Knife+Snap&amp;qid=1694734440&amp;sr=8-2", "https://www.amazon.com/Pocket-Pouch-Klein-Tools-5165/dp/B000BU4CRG/ref=sr_1_2?keywords=Klein+Tools+5165+10+Pocket+Leather+Tool+Pouch+with+Knife+Snap&amp;qid=1694734440&amp;sr=8-2")</f>
        <v/>
      </c>
      <c r="F294" t="inlineStr">
        <is>
          <t>B000BU4CRG</t>
        </is>
      </c>
      <c r="G294">
        <f>_xlfn.IMAGE("https://edmondsonsupply.com/cdn/shop/products/5165.jpg?v=1587145507")</f>
        <v/>
      </c>
      <c r="H294">
        <f>_xlfn.IMAGE("https://m.media-amazon.com/images/I/51SVjpn5QEL._AC_UL320_.jpg")</f>
        <v/>
      </c>
      <c r="K294" t="inlineStr">
        <is>
          <t>62.99</t>
        </is>
      </c>
      <c r="L294" t="n">
        <v>56</v>
      </c>
      <c r="M294" s="1" t="inlineStr">
        <is>
          <t>-11.10%</t>
        </is>
      </c>
      <c r="N294" s="7" t="n">
        <v>-26.68</v>
      </c>
      <c r="O294" t="n">
        <v>4.5</v>
      </c>
      <c r="P294" t="n">
        <v>167</v>
      </c>
      <c r="R294" t="inlineStr">
        <is>
          <t>InStock</t>
        </is>
      </c>
      <c r="S294" t="inlineStr">
        <is>
          <t>90.92</t>
        </is>
      </c>
      <c r="T294" t="inlineStr">
        <is>
          <t>4421069373540</t>
        </is>
      </c>
    </row>
    <row r="295" ht="87" customHeight="1">
      <c r="A295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295" s="2">
        <f>HYPERLINK("https://edmondsonsupply.com/products/veto-pro-pac-tech-pac-blackout-backpack", "https://edmondsonsupply.com/products/veto-pro-pac-tech-pac-blackout-backpack")</f>
        <v/>
      </c>
      <c r="C295" t="inlineStr">
        <is>
          <t>Veto Pro Pac TECH PAC Blackout Backpack</t>
        </is>
      </c>
      <c r="D295" t="inlineStr">
        <is>
          <t>Veto Pro Pac Tech Pac LT Tool Bag</t>
        </is>
      </c>
      <c r="E295" s="2">
        <f>HYPERLINK("https://www.amazon.com/VETO-PRO-PAC-Tech-Pac/dp/B00WZLTCHO/ref=sr_1_8?keywords=Veto+Pro+Pac+TECH+PAC+Blackout+Backpack&amp;qid=1694734435&amp;sr=8-8", "https://www.amazon.com/VETO-PRO-PAC-Tech-Pac/dp/B00WZLTCHO/ref=sr_1_8?keywords=Veto+Pro+Pac+TECH+PAC+Blackout+Backpack&amp;qid=1694734435&amp;sr=8-8")</f>
        <v/>
      </c>
      <c r="F295" t="inlineStr">
        <is>
          <t>B00WZLTCHO</t>
        </is>
      </c>
      <c r="G295">
        <f>_xlfn.IMAGE("https://edmondsonsupply.com/cdn/shop/products/tech1.jpg?v=1633031041")</f>
        <v/>
      </c>
      <c r="H295">
        <f>_xlfn.IMAGE("https://m.media-amazon.com/images/I/61uz-pihn8L._AC_UL320_.jpg")</f>
        <v/>
      </c>
      <c r="K295" t="inlineStr">
        <is>
          <t>329.99</t>
        </is>
      </c>
      <c r="L295" t="n">
        <v>289.95</v>
      </c>
      <c r="M295" s="1" t="inlineStr">
        <is>
          <t>-12.13%</t>
        </is>
      </c>
      <c r="N295" s="7" t="n">
        <v>-27.29</v>
      </c>
      <c r="O295" t="n">
        <v>4.7</v>
      </c>
      <c r="P295" t="n">
        <v>285</v>
      </c>
      <c r="R295" t="inlineStr">
        <is>
          <t>InStock</t>
        </is>
      </c>
      <c r="S295" t="inlineStr">
        <is>
          <t>undefined</t>
        </is>
      </c>
      <c r="T295" t="inlineStr">
        <is>
          <t>6752226476205</t>
        </is>
      </c>
    </row>
    <row r="296" ht="87" customHeight="1">
      <c r="A296" s="2">
        <f>HYPERLINK("https://edmondsonsupply.com/collections/storage-organization/products/wild-river-wt3503-tackle-tek%E2%84%A2-recon-lighted-compact-backpack", "https://edmondsonsupply.com/collections/storage-organization/products/wild-river-wt3503-tackle-tek%E2%84%A2-recon-lighted-compact-backpack")</f>
        <v/>
      </c>
      <c r="B296" s="2">
        <f>HYPERLINK("https://edmondsonsupply.com/products/wild-river-wt3503-tackle-tek%e2%84%a2-recon-lighted-compact-backpack", "https://edmondsonsupply.com/products/wild-river-wt3503-tackle-tek%e2%84%a2-recon-lighted-compact-backpack")</f>
        <v/>
      </c>
      <c r="C296" t="inlineStr">
        <is>
          <t>CLC Wild River WT3503 Tackle Tek™ Recon – Lighted Compact Backpack</t>
        </is>
      </c>
      <c r="D296" t="inlineStr">
        <is>
          <t>Wild River by CLC 503 Tackle Tek Recon LED Lighted Camo Compact Backpack, Mossy Oak</t>
        </is>
      </c>
      <c r="E296" s="2">
        <f>HYPERLINK("https://www.amazon.com/WCN503-Lighted-Compact-Backpack-without/dp/B00F66Z2XS/ref=sr_1_3?keywords=CLC+Wild+River+WT3503+Tackle+Tek%E2%84%A2+Recon+%E2%80%93+Lighted+Compact+Backpack&amp;qid=1694734458&amp;sr=8-3", "https://www.amazon.com/WCN503-Lighted-Compact-Backpack-without/dp/B00F66Z2XS/ref=sr_1_3?keywords=CLC+Wild+River+WT3503+Tackle+Tek%E2%84%A2+Recon+%E2%80%93+Lighted+Compact+Backpack&amp;qid=1694734458&amp;sr=8-3")</f>
        <v/>
      </c>
      <c r="F296" t="inlineStr">
        <is>
          <t>B00F66Z2XS</t>
        </is>
      </c>
      <c r="G296">
        <f>_xlfn.IMAGE("https://edmondsonsupply.com/cdn/shop/products/WT3503.png?v=1633031080")</f>
        <v/>
      </c>
      <c r="H296">
        <f>_xlfn.IMAGE("https://m.media-amazon.com/images/I/61sk9VMPfKL._AC_UL320_.jpg")</f>
        <v/>
      </c>
      <c r="K296" t="inlineStr">
        <is>
          <t>149.0</t>
        </is>
      </c>
      <c r="L296" t="n">
        <v>130.23</v>
      </c>
      <c r="M296" s="1" t="inlineStr">
        <is>
          <t>-12.60%</t>
        </is>
      </c>
      <c r="N296" s="7" t="n">
        <v>-27.29</v>
      </c>
      <c r="O296" t="n">
        <v>5</v>
      </c>
      <c r="P296" t="n">
        <v>3</v>
      </c>
      <c r="R296" t="inlineStr">
        <is>
          <t>InStock</t>
        </is>
      </c>
      <c r="S296" t="inlineStr">
        <is>
          <t>199.0</t>
        </is>
      </c>
      <c r="T296" t="inlineStr">
        <is>
          <t>6830246101165</t>
        </is>
      </c>
    </row>
    <row r="297" ht="87" customHeight="1">
      <c r="A297" s="2">
        <f>HYPERLINK("https://edmondsonsupply.com/collections/storage-organization/products/veto-pro-pac-wrencher-xxl", "https://edmondsonsupply.com/collections/storage-organization/products/veto-pro-pac-wrencher-xxl")</f>
        <v/>
      </c>
      <c r="B297" s="2">
        <f>HYPERLINK("https://edmondsonsupply.com/products/veto-pro-pac-wrencher-xxl", "https://edmondsonsupply.com/products/veto-pro-pac-wrencher-xxl")</f>
        <v/>
      </c>
      <c r="C297" t="inlineStr">
        <is>
          <t>Veto Pro Pac Wrencher XXL</t>
        </is>
      </c>
      <c r="D297" t="inlineStr">
        <is>
          <t>Veto Pro Pac Wrencher-MC (Medium Compact, Open-Top Tool Bag)</t>
        </is>
      </c>
      <c r="E297" s="2">
        <f>HYPERLINK("https://www.amazon.com/Veto-Wrencher-MC-Medium-Compact-Open-Top/dp/B0BBQ3R11H/ref=sr_1_4?keywords=Veto+Pro+Pac+Wrencher+XXL&amp;qid=1694734449&amp;sr=8-4", "https://www.amazon.com/Veto-Wrencher-MC-Medium-Compact-Open-Top/dp/B0BBQ3R11H/ref=sr_1_4?keywords=Veto+Pro+Pac+Wrencher+XXL&amp;qid=1694734449&amp;sr=8-4")</f>
        <v/>
      </c>
      <c r="F297" t="inlineStr">
        <is>
          <t>B0BBQ3R11H</t>
        </is>
      </c>
      <c r="G297">
        <f>_xlfn.IMAGE("https://edmondsonsupply.com/cdn/shop/files/0003_WRENCHER-XXL_36.jpg?v=1684440775")</f>
        <v/>
      </c>
      <c r="H297">
        <f>_xlfn.IMAGE("https://m.media-amazon.com/images/I/51xcXNSndtL._AC_UL320_.jpg")</f>
        <v/>
      </c>
      <c r="K297" t="inlineStr">
        <is>
          <t>229.95</t>
        </is>
      </c>
      <c r="L297" t="n">
        <v>199.95</v>
      </c>
      <c r="M297" s="1" t="inlineStr">
        <is>
          <t>-13.05%</t>
        </is>
      </c>
      <c r="N297" s="7" t="n">
        <v>-27.51</v>
      </c>
      <c r="O297" t="n">
        <v>5</v>
      </c>
      <c r="P297" t="n">
        <v>7</v>
      </c>
      <c r="R297" t="inlineStr">
        <is>
          <t>InStock</t>
        </is>
      </c>
      <c r="S297" t="inlineStr">
        <is>
          <t>undefined</t>
        </is>
      </c>
      <c r="T297" t="inlineStr">
        <is>
          <t>7993760612568</t>
        </is>
      </c>
    </row>
    <row r="298" ht="87" customHeight="1">
      <c r="A298" s="2">
        <f>HYPERLINK("https://edmondsonsupply.com/collections/storage-organization/products/clc-wild-river-wct3503-tackle-tek%E2%84%A2-recon-lighted-camo-backpack", "https://edmondsonsupply.com/collections/storage-organization/products/clc-wild-river-wct3503-tackle-tek%E2%84%A2-recon-lighted-camo-backpack")</f>
        <v/>
      </c>
      <c r="B298" s="2">
        <f>HYPERLINK("https://edmondsonsupply.com/products/clc-wild-river-wct3503-tackle-tek%e2%84%a2-recon-lighted-camo-backpack", "https://edmondsonsupply.com/products/clc-wild-river-wct3503-tackle-tek%e2%84%a2-recon-lighted-camo-backpack")</f>
        <v/>
      </c>
      <c r="C298" t="inlineStr">
        <is>
          <t>CLC Wild River WCT503 Tackle Tek™ Recon – Lighted Camo Backpack</t>
        </is>
      </c>
      <c r="D298" t="inlineStr">
        <is>
          <t>Wild River by CLC 503 Tackle Tek Recon LED Lighted Camo Compact Backpack, Mossy Oak</t>
        </is>
      </c>
      <c r="E298" s="2">
        <f>HYPERLINK("https://www.amazon.com/WCN503-Lighted-Compact-Backpack-without/dp/B00F66Z2XS/ref=sr_1_1?keywords=CLC+Wild+River+WCT503+Tackle+Tek%E2%84%A2+Recon+%E2%80%93+Lighted+Camo+Backpack&amp;qid=1694734464&amp;sr=8-1", "https://www.amazon.com/WCN503-Lighted-Compact-Backpack-without/dp/B00F66Z2XS/ref=sr_1_1?keywords=CLC+Wild+River+WCT503+Tackle+Tek%E2%84%A2+Recon+%E2%80%93+Lighted+Camo+Backpack&amp;qid=1694734464&amp;sr=8-1")</f>
        <v/>
      </c>
      <c r="F298" t="inlineStr">
        <is>
          <t>B00F66Z2XS</t>
        </is>
      </c>
      <c r="G298">
        <f>_xlfn.IMAGE("https://edmondsonsupply.com/cdn/shop/products/3503.png?v=1633031082")</f>
        <v/>
      </c>
      <c r="H298">
        <f>_xlfn.IMAGE("https://m.media-amazon.com/images/I/61sk9VMPfKL._AC_UL320_.jpg")</f>
        <v/>
      </c>
      <c r="K298" t="inlineStr">
        <is>
          <t>149.95</t>
        </is>
      </c>
      <c r="L298" t="n">
        <v>130.23</v>
      </c>
      <c r="M298" s="1" t="inlineStr">
        <is>
          <t>-13.15%</t>
        </is>
      </c>
      <c r="N298" s="7" t="n">
        <v>-27.52</v>
      </c>
      <c r="O298" t="n">
        <v>5</v>
      </c>
      <c r="P298" t="n">
        <v>3</v>
      </c>
      <c r="R298" t="inlineStr">
        <is>
          <t>InStock</t>
        </is>
      </c>
      <c r="S298" t="inlineStr">
        <is>
          <t>199.0</t>
        </is>
      </c>
      <c r="T298" t="inlineStr">
        <is>
          <t>6831082373293</t>
        </is>
      </c>
    </row>
    <row r="299" ht="87" customHeight="1">
      <c r="A299" s="2">
        <f>HYPERLINK("https://edmondsonsupply.com/collections/storage-organization/products/klein-tools-5165-10-pocket-tool-pouch-knife-snap", "https://edmondsonsupply.com/collections/storage-organization/products/klein-tools-5165-10-pocket-tool-pouch-knife-snap")</f>
        <v/>
      </c>
      <c r="B299" s="2">
        <f>HYPERLINK("https://edmondsonsupply.com/products/klein-tools-5165-10-pocket-tool-pouch-knife-snap", "https://edmondsonsupply.com/products/klein-tools-5165-10-pocket-tool-pouch-knife-snap")</f>
        <v/>
      </c>
      <c r="C299" t="inlineStr">
        <is>
          <t>Klein Tools 5165 10 Pocket Leather Tool Pouch with Knife Snap</t>
        </is>
      </c>
      <c r="D299" t="inlineStr">
        <is>
          <t>Klein Tools 5118P5 Lineman Tool Pouch, 5-Pocket and Knife Snap, Durable Leather, 10-Inch x 11-Inch</t>
        </is>
      </c>
      <c r="E299" s="2">
        <f>HYPERLINK("https://www.amazon.com/Lineman-5-Pocket-Klein-Tools-5118P5/dp/B004M2RE06/ref=sr_1_3?keywords=Klein+Tools+5165+10+Pocket+Leather+Tool+Pouch+with+Knife+Snap&amp;qid=1694734440&amp;sr=8-3", "https://www.amazon.com/Lineman-5-Pocket-Klein-Tools-5118P5/dp/B004M2RE06/ref=sr_1_3?keywords=Klein+Tools+5165+10+Pocket+Leather+Tool+Pouch+with+Knife+Snap&amp;qid=1694734440&amp;sr=8-3")</f>
        <v/>
      </c>
      <c r="F299" t="inlineStr">
        <is>
          <t>B004M2RE06</t>
        </is>
      </c>
      <c r="G299">
        <f>_xlfn.IMAGE("https://edmondsonsupply.com/cdn/shop/products/5165.jpg?v=1587145507")</f>
        <v/>
      </c>
      <c r="H299">
        <f>_xlfn.IMAGE("https://m.media-amazon.com/images/I/71ayOfz4qBL._AC_UL320_.jpg")</f>
        <v/>
      </c>
      <c r="K299" t="inlineStr">
        <is>
          <t>62.99</t>
        </is>
      </c>
      <c r="L299" t="n">
        <v>54.39</v>
      </c>
      <c r="M299" s="1" t="inlineStr">
        <is>
          <t>-13.65%</t>
        </is>
      </c>
      <c r="N299" s="7" t="n">
        <v>-28.83</v>
      </c>
      <c r="O299" t="n">
        <v>4.4</v>
      </c>
      <c r="P299" t="n">
        <v>373</v>
      </c>
      <c r="R299" t="inlineStr">
        <is>
          <t>InStock</t>
        </is>
      </c>
      <c r="S299" t="inlineStr">
        <is>
          <t>90.92</t>
        </is>
      </c>
      <c r="T299" t="inlineStr">
        <is>
          <t>4421069373540</t>
        </is>
      </c>
    </row>
    <row r="300" ht="87" customHeight="1">
      <c r="A300" s="2">
        <f>HYPERLINK("https://edmondsonsupply.com/collections/storage-organization/products/veto-pro-pac-tech-ot-mc-tool-tote", "https://edmondsonsupply.com/collections/storage-organization/products/veto-pro-pac-tech-ot-mc-tool-tote")</f>
        <v/>
      </c>
      <c r="B300" s="2">
        <f>HYPERLINK("https://edmondsonsupply.com/products/veto-pro-pac-tech-ot-mc-tool-tote", "https://edmondsonsupply.com/products/veto-pro-pac-tech-ot-mc-tool-tote")</f>
        <v/>
      </c>
      <c r="C300" t="inlineStr">
        <is>
          <t>Veto Pro Pac Tech OT-MC Tool Tote</t>
        </is>
      </c>
      <c r="D300" t="inlineStr">
        <is>
          <t>Veto Pro Pac TECH OT-SC (Sub-Compact Open Top Electrician Tool Bag)</t>
        </is>
      </c>
      <c r="E300" s="2">
        <f>HYPERLINK("https://www.amazon.com/Veto-TECH-OT-SC-Sub-Compact-Electrician/dp/B09ZC63KFK/ref=sr_1_2?keywords=Veto+Pro+Pac+Tech+OT-MC+Tool+Tote&amp;qid=1694734439&amp;sr=8-2", "https://www.amazon.com/Veto-TECH-OT-SC-Sub-Compact-Electrician/dp/B09ZC63KFK/ref=sr_1_2?keywords=Veto+Pro+Pac+Tech+OT-MC+Tool+Tote&amp;qid=1694734439&amp;sr=8-2")</f>
        <v/>
      </c>
      <c r="F300" t="inlineStr">
        <is>
          <t>B09ZC63KFK</t>
        </is>
      </c>
      <c r="G300">
        <f>_xlfn.IMAGE("https://edmondsonsupply.com/cdn/shop/products/otmc1_048af870-c580-47c1-b832-021ca8939d35.jpg?v=1587146037")</f>
        <v/>
      </c>
      <c r="H300">
        <f>_xlfn.IMAGE("https://m.media-amazon.com/images/I/51LTwfYG5eL._AC_UL320_.jpg")</f>
        <v/>
      </c>
      <c r="K300" t="inlineStr">
        <is>
          <t>209.99</t>
        </is>
      </c>
      <c r="L300" t="n">
        <v>179.95</v>
      </c>
      <c r="M300" s="1" t="inlineStr">
        <is>
          <t>-14.31%</t>
        </is>
      </c>
      <c r="N300" s="7" t="n">
        <v>-28.83</v>
      </c>
      <c r="O300" t="n">
        <v>4.7</v>
      </c>
      <c r="P300" t="n">
        <v>21</v>
      </c>
      <c r="R300" t="inlineStr">
        <is>
          <t>InStock</t>
        </is>
      </c>
      <c r="S300" t="inlineStr">
        <is>
          <t>undefined</t>
        </is>
      </c>
      <c r="T300" t="inlineStr">
        <is>
          <t>3561810952292</t>
        </is>
      </c>
    </row>
    <row r="301" ht="87" customHeight="1">
      <c r="A301" s="2">
        <f>HYPERLINK("https://edmondsonsupply.com/collections/storage-organization/products/veto-pro-pac-tech-lc-tool-bag", "https://edmondsonsupply.com/collections/storage-organization/products/veto-pro-pac-tech-lc-tool-bag")</f>
        <v/>
      </c>
      <c r="B301" s="2">
        <f>HYPERLINK("https://edmondsonsupply.com/products/veto-pro-pac-tech-lc-tool-bag", "https://edmondsonsupply.com/products/veto-pro-pac-tech-lc-tool-bag")</f>
        <v/>
      </c>
      <c r="C301" t="inlineStr">
        <is>
          <t>Veto Pro Pac TECH MC Compact Tool Bag</t>
        </is>
      </c>
      <c r="D301" t="inlineStr">
        <is>
          <t>Veto Pro Pac MC Tool Bag (Original)</t>
        </is>
      </c>
      <c r="E301" s="2">
        <f>HYPERLINK("https://www.amazon.com/Veto-Pro-MC-Handling-Tools/dp/B00NLXNW3A/ref=sr_1_1?keywords=Veto+Pro+Pac+TECH+MC+Compact+Tool+Bag&amp;qid=1694734451&amp;sr=8-1", "https://www.amazon.com/Veto-Pro-MC-Handling-Tools/dp/B00NLXNW3A/ref=sr_1_1?keywords=Veto+Pro+Pac+TECH+MC+Compact+Tool+Bag&amp;qid=1694734451&amp;sr=8-1")</f>
        <v/>
      </c>
      <c r="F301" t="inlineStr">
        <is>
          <t>B00NLXNW3A</t>
        </is>
      </c>
      <c r="G301">
        <f>_xlfn.IMAGE("https://edmondsonsupply.com/cdn/shop/products/MC1_87e0d14c-0e4f-4e1a-b23d-f796a6e88a52.jpg?v=1587147172")</f>
        <v/>
      </c>
      <c r="H301">
        <f>_xlfn.IMAGE("https://m.media-amazon.com/images/I/71emJbrVHBL._AC_UL320_.jpg")</f>
        <v/>
      </c>
      <c r="K301" t="inlineStr">
        <is>
          <t>169.99</t>
        </is>
      </c>
      <c r="L301" t="n">
        <v>144.95</v>
      </c>
      <c r="M301" s="1" t="inlineStr">
        <is>
          <t>-14.73%</t>
        </is>
      </c>
      <c r="N301" s="7" t="n">
        <v>-28.99</v>
      </c>
      <c r="O301" t="n">
        <v>4.7</v>
      </c>
      <c r="P301" t="n">
        <v>839</v>
      </c>
      <c r="R301" t="inlineStr">
        <is>
          <t>InStock</t>
        </is>
      </c>
      <c r="S301" t="inlineStr">
        <is>
          <t>undefined</t>
        </is>
      </c>
      <c r="T301" t="inlineStr">
        <is>
          <t>3561427468388</t>
        </is>
      </c>
    </row>
    <row r="302" hidden="1" ht="15.75" customHeight="1">
      <c r="A302" s="2">
        <f>HYPERLINK("https://edmondsonsupply.com/collections/storage-organization/products/clc-1100-3", "https://edmondsonsupply.com/collections/storage-organization/products/clc-1100-3")</f>
        <v/>
      </c>
      <c r="B302" s="2">
        <f>HYPERLINK("https://edmondsonsupply.com/products/clc-1100-3", "https://edmondsonsupply.com/products/clc-1100-3")</f>
        <v/>
      </c>
      <c r="C302" t="inlineStr">
        <is>
          <t>CLC 1100 3 Multi-Purpose, Clip-on, Zippered Bags</t>
        </is>
      </c>
      <c r="D302" t="inlineStr">
        <is>
          <t>CLC Custom Leathercraft 1100 Multi-Purpose Clip-on Zippered Poly Bags, 3 Pack</t>
        </is>
      </c>
      <c r="E302" s="2">
        <f>HYPERLINK("https://www.amazon.com/Custom-Leathercraft-1100-Multi-Purpose-Zippered/dp/B0002YVBC0/ref=sr_1_1?keywords=CLC+1100+3+Multi-Purpose%2C+Clip-on%2C+Zippered+Bags&amp;qid=1694734443&amp;sr=8-1", "https://www.amazon.com/Custom-Leathercraft-1100-Multi-Purpose-Zippered/dp/B0002YVBC0/ref=sr_1_1?keywords=CLC+1100+3+Multi-Purpose%2C+Clip-on%2C+Zippered+Bags&amp;qid=1694734443&amp;sr=8-1")</f>
        <v/>
      </c>
      <c r="F302" t="inlineStr">
        <is>
          <t>B0002YVBC0</t>
        </is>
      </c>
      <c r="G302">
        <f>_xludf.IMAGE("https://edmondsonsupply.com/cdn/shop/products/1100_REV17_2.jpg?v=1633030333")</f>
        <v/>
      </c>
      <c r="H302">
        <f>_xludf.IMAGE("https://m.media-amazon.com/images/I/71gW8tFrwtL._AC_UL320_.jpg")</f>
        <v/>
      </c>
      <c r="K302" t="inlineStr">
        <is>
          <t>11.75</t>
        </is>
      </c>
      <c r="L302" t="n">
        <v>9.99</v>
      </c>
      <c r="M302" s="1" t="inlineStr">
        <is>
          <t>-14.98%</t>
        </is>
      </c>
      <c r="N302" s="1" t="n">
        <v>-29.18</v>
      </c>
      <c r="O302" t="n">
        <v>4.6</v>
      </c>
      <c r="P302" t="n">
        <v>5528</v>
      </c>
      <c r="R302" t="inlineStr">
        <is>
          <t>InStock</t>
        </is>
      </c>
      <c r="S302" t="inlineStr">
        <is>
          <t>17.95</t>
        </is>
      </c>
      <c r="T302" t="inlineStr">
        <is>
          <t>5268012171432</t>
        </is>
      </c>
    </row>
    <row r="303" ht="87" customHeight="1">
      <c r="A303" s="2">
        <f>HYPERLINK("https://edmondsonsupply.com/collections/storage-organization/products/clc-wild-river-wct3604-nomad-lighted-camo-backpack", "https://edmondsonsupply.com/collections/storage-organization/products/clc-wild-river-wct3604-nomad-lighted-camo-backpack")</f>
        <v/>
      </c>
      <c r="B303" s="2">
        <f>HYPERLINK("https://edmondsonsupply.com/products/clc-wild-river-wct3604-nomad-lighted-camo-backpack", "https://edmondsonsupply.com/products/clc-wild-river-wct3604-nomad-lighted-camo-backpack")</f>
        <v/>
      </c>
      <c r="C303" t="inlineStr">
        <is>
          <t>CLC Wild River WCT604 Nomad Lighted Camo Backpack</t>
        </is>
      </c>
      <c r="D303" t="inlineStr">
        <is>
          <t>Custom Leathercraft Wild River by CLC WN3604 Tackle Tek Nomad Lighted Backpack, Brown</t>
        </is>
      </c>
      <c r="E303" s="2">
        <f>HYPERLINK("https://www.amazon.com/River-WN3604-Tackle-Lighted-Backpack/dp/B00A7383QI/ref=sr_1_3?keywords=CLC+Wild+River+WCT604+Nomad+Lighted+Camo+Backpack&amp;qid=1694734457&amp;sr=8-3", "https://www.amazon.com/River-WN3604-Tackle-Lighted-Backpack/dp/B00A7383QI/ref=sr_1_3?keywords=CLC+Wild+River+WCT604+Nomad+Lighted+Camo+Backpack&amp;qid=1694734457&amp;sr=8-3")</f>
        <v/>
      </c>
      <c r="F303" t="inlineStr">
        <is>
          <t>B00A7383QI</t>
        </is>
      </c>
      <c r="G303">
        <f>_xlfn.IMAGE("https://edmondsonsupply.com/cdn/shop/products/604J.png?v=1633031084")</f>
        <v/>
      </c>
      <c r="H303">
        <f>_xlfn.IMAGE("https://m.media-amazon.com/images/I/715d-9Qk94L._AC_UL320_.jpg")</f>
        <v/>
      </c>
      <c r="K303" t="inlineStr">
        <is>
          <t>199.95</t>
        </is>
      </c>
      <c r="L303" t="n">
        <v>169.98</v>
      </c>
      <c r="M303" s="1" t="inlineStr">
        <is>
          <t>-14.99%</t>
        </is>
      </c>
      <c r="N303" s="7" t="n">
        <v>-29.75</v>
      </c>
      <c r="O303" t="n">
        <v>4.5</v>
      </c>
      <c r="P303" t="n">
        <v>64</v>
      </c>
      <c r="R303" t="inlineStr">
        <is>
          <t>InStock</t>
        </is>
      </c>
      <c r="S303" t="inlineStr">
        <is>
          <t>249.0</t>
        </is>
      </c>
      <c r="T303" t="inlineStr">
        <is>
          <t>6831088337069</t>
        </is>
      </c>
    </row>
    <row r="304" ht="87" customHeight="1">
      <c r="A304" s="2">
        <f>HYPERLINK("https://edmondsonsupply.com/collections/storage-organization/products/veto-pro-pac-wrencher-mc", "https://edmondsonsupply.com/collections/storage-organization/products/veto-pro-pac-wrencher-mc")</f>
        <v/>
      </c>
      <c r="B304" s="2">
        <f>HYPERLINK("https://edmondsonsupply.com/products/veto-pro-pac-wrencher-mc", "https://edmondsonsupply.com/products/veto-pro-pac-wrencher-mc")</f>
        <v/>
      </c>
      <c r="C304" t="inlineStr">
        <is>
          <t>Veto Pro Pac Wrencher MC</t>
        </is>
      </c>
      <c r="D304" t="inlineStr">
        <is>
          <t>Veto Pro Pac TECH-MC</t>
        </is>
      </c>
      <c r="E304" s="2">
        <f>HYPERLINK("https://www.amazon.com/VETO-PRO-PAC-Veto-TECH-MC/dp/B078HLH6YV/ref=sr_1_9?keywords=Veto+Pro+Pac+Wrencher+MC&amp;qid=1694734449&amp;sr=8-9", "https://www.amazon.com/VETO-PRO-PAC-Veto-TECH-MC/dp/B078HLH6YV/ref=sr_1_9?keywords=Veto+Pro+Pac+Wrencher+MC&amp;qid=1694734449&amp;sr=8-9")</f>
        <v/>
      </c>
      <c r="F304" t="inlineStr">
        <is>
          <t>B078HLH6YV</t>
        </is>
      </c>
      <c r="G304">
        <f>_xlfn.IMAGE("https://edmondsonsupply.com/cdn/shop/products/0001_WRENCHER-MC_32.jpg?v=1675795195")</f>
        <v/>
      </c>
      <c r="H304">
        <f>_xlfn.IMAGE("https://m.media-amazon.com/images/I/71IZAo4j11L._AC_UL320_.jpg")</f>
        <v/>
      </c>
      <c r="K304" t="inlineStr">
        <is>
          <t>199.99</t>
        </is>
      </c>
      <c r="L304" t="n">
        <v>169.95</v>
      </c>
      <c r="M304" s="1" t="inlineStr">
        <is>
          <t>-15.02%</t>
        </is>
      </c>
      <c r="N304" s="7" t="n">
        <v>-30.01</v>
      </c>
      <c r="O304" t="n">
        <v>4.8</v>
      </c>
      <c r="P304" t="n">
        <v>679</v>
      </c>
      <c r="R304" t="inlineStr">
        <is>
          <t>InStock</t>
        </is>
      </c>
      <c r="S304" t="inlineStr">
        <is>
          <t>undefined</t>
        </is>
      </c>
      <c r="T304" t="inlineStr">
        <is>
          <t>7940474208472</t>
        </is>
      </c>
    </row>
    <row r="305" ht="87" customHeight="1">
      <c r="A305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05" s="2">
        <f>HYPERLINK("https://edmondsonsupply.com/products/veto-pro-pac-tech-pac-mc-blackout", "https://edmondsonsupply.com/products/veto-pro-pac-tech-pac-mc-blackout")</f>
        <v/>
      </c>
      <c r="C305" t="inlineStr">
        <is>
          <t>Veto Pro Pac TECH PAC MC Blackout</t>
        </is>
      </c>
      <c r="D305" t="inlineStr">
        <is>
          <t>Veto Pro Pac Tech XL Tool Bag, 1-Pack,Black, Grey</t>
        </is>
      </c>
      <c r="E305" s="2">
        <f>HYPERLINK("https://www.amazon.com/Veto-Tech-XL-Tool-1-Pack/dp/B00DYRFEJI/ref=sr_1_14?keywords=Veto+Pro+Pac+TECH+PAC+MC+Blackout&amp;qid=1694734455&amp;sr=8-14", "https://www.amazon.com/Veto-Tech-XL-Tool-1-Pack/dp/B00DYRFEJI/ref=sr_1_14?keywords=Veto+Pro+Pac+TECH+PAC+MC+Blackout&amp;qid=1694734455&amp;sr=8-14")</f>
        <v/>
      </c>
      <c r="F305" t="inlineStr">
        <is>
          <t>B00DYRFEJI</t>
        </is>
      </c>
      <c r="G305">
        <f>_xlfn.IMAGE("https://edmondsonsupply.com/cdn/shop/products/tech1.png?v=1633031062")</f>
        <v/>
      </c>
      <c r="H305">
        <f>_xlfn.IMAGE("https://m.media-amazon.com/images/I/71suRnmtVZL._AC_UL320_.jpg")</f>
        <v/>
      </c>
      <c r="K305" t="inlineStr">
        <is>
          <t>294.99</t>
        </is>
      </c>
      <c r="L305" t="n">
        <v>249.95</v>
      </c>
      <c r="M305" s="1" t="inlineStr">
        <is>
          <t>-15.27%</t>
        </is>
      </c>
      <c r="N305" s="7" t="n">
        <v>-30.07</v>
      </c>
      <c r="O305" t="n">
        <v>4.8</v>
      </c>
      <c r="P305" t="n">
        <v>762</v>
      </c>
      <c r="R305" t="inlineStr">
        <is>
          <t>InStock</t>
        </is>
      </c>
      <c r="S305" t="inlineStr">
        <is>
          <t>undefined</t>
        </is>
      </c>
      <c r="T305" t="inlineStr">
        <is>
          <t>6821254496429</t>
        </is>
      </c>
    </row>
    <row r="306" ht="87" customHeight="1">
      <c r="A306" s="2">
        <f>HYPERLINK("https://edmondsonsupply.com/collections/storage-organization/products/veto-pro-pac-wrencher-xl", "https://edmondsonsupply.com/collections/storage-organization/products/veto-pro-pac-wrencher-xl")</f>
        <v/>
      </c>
      <c r="B306" s="2">
        <f>HYPERLINK("https://edmondsonsupply.com/products/veto-pro-pac-wrencher-xl", "https://edmondsonsupply.com/products/veto-pro-pac-wrencher-xl")</f>
        <v/>
      </c>
      <c r="C306" t="inlineStr">
        <is>
          <t>Veto Pro Pac Wrencher XL</t>
        </is>
      </c>
      <c r="D306" t="inlineStr">
        <is>
          <t>Veto Pro Pac Xlt Laptop-Tool Bag</t>
        </is>
      </c>
      <c r="E306" s="2">
        <f>HYPERLINK("https://www.amazon.com/Veto-Pro-Pac-Xlt-Laptop-Tool/dp/B006B6IZT0/ref=sr_1_17?keywords=Veto+Pro+Pac+Wrencher+XL&amp;qid=1694734460&amp;sr=8-17", "https://www.amazon.com/Veto-Pro-Pac-Xlt-Laptop-Tool/dp/B006B6IZT0/ref=sr_1_17?keywords=Veto+Pro+Pac+Wrencher+XL&amp;qid=1694734460&amp;sr=8-17")</f>
        <v/>
      </c>
      <c r="F306" t="inlineStr">
        <is>
          <t>B006B6IZT0</t>
        </is>
      </c>
      <c r="G306">
        <f>_xlfn.IMAGE("https://edmondsonsupply.com/cdn/shop/products/0006_WRENCHER-XL_11.jpg?v=1675796410")</f>
        <v/>
      </c>
      <c r="H306">
        <f>_xlfn.IMAGE("https://m.media-amazon.com/images/I/91ctCA+5GWL._AC_UL320_.jpg")</f>
        <v/>
      </c>
      <c r="K306" t="inlineStr">
        <is>
          <t>359.99</t>
        </is>
      </c>
      <c r="L306" t="n">
        <v>304.95</v>
      </c>
      <c r="M306" s="1" t="inlineStr">
        <is>
          <t>-15.29%</t>
        </is>
      </c>
      <c r="N306" s="7" t="n">
        <v>-30.57</v>
      </c>
      <c r="O306" t="n">
        <v>4.2</v>
      </c>
      <c r="P306" t="n">
        <v>68</v>
      </c>
      <c r="R306" t="inlineStr">
        <is>
          <t>InStock</t>
        </is>
      </c>
      <c r="S306" t="inlineStr">
        <is>
          <t>undefined</t>
        </is>
      </c>
      <c r="T306" t="inlineStr">
        <is>
          <t>7940480139480</t>
        </is>
      </c>
    </row>
    <row r="307" ht="87" customHeight="1">
      <c r="A307" s="2">
        <f>HYPERLINK("https://edmondsonsupply.com/collections/storage-organization/products/veto-pro-pac-kp-xl-vertical-pocket-panel", "https://edmondsonsupply.com/collections/storage-organization/products/veto-pro-pac-kp-xl-vertical-pocket-panel")</f>
        <v/>
      </c>
      <c r="B307" s="2">
        <f>HYPERLINK("https://edmondsonsupply.com/products/veto-pro-pac-kp-xl-vertical-pocket-panel", "https://edmondsonsupply.com/products/veto-pro-pac-kp-xl-vertical-pocket-panel")</f>
        <v/>
      </c>
      <c r="C307" t="inlineStr">
        <is>
          <t>Veto Pro Pac KP-XL Vertical Pocket Panel</t>
        </is>
      </c>
      <c r="D307" t="inlineStr">
        <is>
          <t>Veto Pro Pac KP-LC - Small Vertical Pocket Panel</t>
        </is>
      </c>
      <c r="E307" s="2">
        <f>HYPERLINK("https://www.amazon.com/Veto-Pro-Pac-KP-LC-Vertical/dp/B09F15BDGQ/ref=sr_1_1?keywords=Veto+Pro+Pac+KP-XL+Vertical+Pocket+Panel&amp;qid=1694734460&amp;sr=8-1", "https://www.amazon.com/Veto-Pro-Pac-KP-LC-Vertical/dp/B09F15BDGQ/ref=sr_1_1?keywords=Veto+Pro+Pac+KP-XL+Vertical+Pocket+Panel&amp;qid=1694734460&amp;sr=8-1")</f>
        <v/>
      </c>
      <c r="F307" t="inlineStr">
        <is>
          <t>B09F15BDGQ</t>
        </is>
      </c>
      <c r="G307">
        <f>_xlfn.IMAGE("https://edmondsonsupply.com/cdn/shop/products/KP-XL2.png?v=1633031039")</f>
        <v/>
      </c>
      <c r="H307">
        <f>_xlfn.IMAGE("https://m.media-amazon.com/images/I/41gocbflEPL._AC_UL320_.jpg")</f>
        <v/>
      </c>
      <c r="K307" t="inlineStr">
        <is>
          <t>129.99</t>
        </is>
      </c>
      <c r="L307" t="n">
        <v>109.95</v>
      </c>
      <c r="M307" s="1" t="inlineStr">
        <is>
          <t>-15.42%</t>
        </is>
      </c>
      <c r="N307" s="7" t="n">
        <v>-30.92</v>
      </c>
      <c r="O307" t="n">
        <v>5</v>
      </c>
      <c r="P307" t="n">
        <v>2</v>
      </c>
      <c r="R307" t="inlineStr">
        <is>
          <t>InStock</t>
        </is>
      </c>
      <c r="S307" t="inlineStr">
        <is>
          <t>undefined</t>
        </is>
      </c>
      <c r="T307" t="inlineStr">
        <is>
          <t>6747457028269</t>
        </is>
      </c>
    </row>
    <row r="308" ht="87" customHeight="1">
      <c r="A308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308" s="2">
        <f>HYPERLINK("https://edmondsonsupply.com/products/milwaukee-48-22-8045-packout%e2%84%a2-tool-tray", "https://edmondsonsupply.com/products/milwaukee-48-22-8045-packout%e2%84%a2-tool-tray")</f>
        <v/>
      </c>
      <c r="C308" t="inlineStr">
        <is>
          <t>Milwaukee 48-22-8045 PACKOUT™ Tool Tray</t>
        </is>
      </c>
      <c r="D308" t="inlineStr">
        <is>
          <t>Fortool 31-01-8424 Storage Bin Kit Fits For Milwaukee 48-22-8424 Medium Tool Box, Includes Parts Tray, Compartment Organizers &amp; Accessory Organizer</t>
        </is>
      </c>
      <c r="E308" s="2">
        <f>HYPERLINK("https://www.amazon.com/Fortool-31-01-8424-48-22-8424-Compartment-Organizers/dp/B09ZPZ22H1/ref=sr_1_42?keywords=Milwaukee+48-22-8045+PACKOUT%E2%84%A2+Tool+Tray&amp;qid=1694734444&amp;sr=8-42", "https://www.amazon.com/Fortool-31-01-8424-48-22-8424-Compartment-Organizers/dp/B09ZPZ22H1/ref=sr_1_42?keywords=Milwaukee+48-22-8045+PACKOUT%E2%84%A2+Tool+Tray&amp;qid=1694734444&amp;sr=8-42")</f>
        <v/>
      </c>
      <c r="F308" t="inlineStr">
        <is>
          <t>B09ZPZ22H1</t>
        </is>
      </c>
      <c r="G308">
        <f>_xlfn.IMAGE("https://edmondsonsupply.com/cdn/shop/files/48-22-8045_4.webp?v=1686230573")</f>
        <v/>
      </c>
      <c r="H308">
        <f>_xlfn.IMAGE("https://m.media-amazon.com/images/I/81094ZfoPYL._AC_UL320_.jpg")</f>
        <v/>
      </c>
      <c r="K308" t="inlineStr">
        <is>
          <t>39.97</t>
        </is>
      </c>
      <c r="L308" t="n">
        <v>33.49</v>
      </c>
      <c r="M308" s="1" t="inlineStr">
        <is>
          <t>-16.21%</t>
        </is>
      </c>
      <c r="N308" s="7" t="n">
        <v>-31.68</v>
      </c>
      <c r="O308" t="n">
        <v>5</v>
      </c>
      <c r="P308" t="n">
        <v>1</v>
      </c>
      <c r="R308" t="inlineStr">
        <is>
          <t>InStock</t>
        </is>
      </c>
      <c r="S308" t="inlineStr">
        <is>
          <t>64.9</t>
        </is>
      </c>
      <c r="T308" t="inlineStr">
        <is>
          <t>8002611806424</t>
        </is>
      </c>
    </row>
    <row r="309" ht="87" customHeight="1">
      <c r="A309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09" s="2">
        <f>HYPERLINK("https://edmondsonsupply.com/products/veto-pro-pac-tech-pac-backpack-tool-bag", "https://edmondsonsupply.com/products/veto-pro-pac-tech-pac-backpack-tool-bag")</f>
        <v/>
      </c>
      <c r="C309" t="inlineStr">
        <is>
          <t>Veto Pro Pac TECH PAC Backpack Tool Bag</t>
        </is>
      </c>
      <c r="D309" t="inlineStr">
        <is>
          <t>Veto Pro Pac Tech XL Tool Bag, 1-Pack,Black, Grey</t>
        </is>
      </c>
      <c r="E309" s="2">
        <f>HYPERLINK("https://www.amazon.com/Veto-Tech-XL-Tool-1-Pack/dp/B00DYRFEJI/ref=sr_1_5?keywords=Veto+Pro+Pac+TECH+PAC+Backpack+Tool+Bag&amp;qid=1694734435&amp;sr=8-5", "https://www.amazon.com/Veto-Tech-XL-Tool-1-Pack/dp/B00DYRFEJI/ref=sr_1_5?keywords=Veto+Pro+Pac+TECH+PAC+Backpack+Tool+Bag&amp;qid=1694734435&amp;sr=8-5")</f>
        <v/>
      </c>
      <c r="F309" t="inlineStr">
        <is>
          <t>B00DYRFEJI</t>
        </is>
      </c>
      <c r="G309">
        <f>_xlfn.IMAGE("https://edmondsonsupply.com/cdn/shop/products/Veto_Tech_Pac.jpg?v=1587149981")</f>
        <v/>
      </c>
      <c r="H309">
        <f>_xlfn.IMAGE("https://m.media-amazon.com/images/I/71suRnmtVZL._AC_UL320_.jpg")</f>
        <v/>
      </c>
      <c r="K309" t="inlineStr">
        <is>
          <t>299.99</t>
        </is>
      </c>
      <c r="L309" t="n">
        <v>249.95</v>
      </c>
      <c r="M309" s="1" t="inlineStr">
        <is>
          <t>-16.68%</t>
        </is>
      </c>
      <c r="N309" s="7" t="n">
        <v>-32.37</v>
      </c>
      <c r="O309" t="n">
        <v>4.8</v>
      </c>
      <c r="P309" t="n">
        <v>762</v>
      </c>
      <c r="R309" t="inlineStr">
        <is>
          <t>InStock</t>
        </is>
      </c>
      <c r="S309" t="inlineStr">
        <is>
          <t>undefined</t>
        </is>
      </c>
      <c r="T309" t="inlineStr">
        <is>
          <t>3557476335716</t>
        </is>
      </c>
    </row>
    <row r="310" ht="87" customHeight="1">
      <c r="A310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310" s="2">
        <f>HYPERLINK("https://edmondsonsupply.com/products/wild-river-wt3604-nomad%c2%ae-lighted-backpack", "https://edmondsonsupply.com/products/wild-river-wt3604-nomad%c2%ae-lighted-backpack")</f>
        <v/>
      </c>
      <c r="C310" t="inlineStr">
        <is>
          <t>CLC Wild River WT3604 Nomad Lighted Backpack</t>
        </is>
      </c>
      <c r="D310" t="inlineStr">
        <is>
          <t>Custom Leathercraft Wild River by CLC WN3604 Tackle Tek Nomad Lighted Backpack, Brown</t>
        </is>
      </c>
      <c r="E310" s="2">
        <f>HYPERLINK("https://www.amazon.com/River-WN3604-Tackle-Lighted-Backpack/dp/B00A7383QI/ref=sr_1_3?keywords=CLC+Wild+River+WT3604+Nomad+Lighted+Backpack&amp;qid=1694734460&amp;sr=8-3", "https://www.amazon.com/River-WN3604-Tackle-Lighted-Backpack/dp/B00A7383QI/ref=sr_1_3?keywords=CLC+Wild+River+WT3604+Nomad+Lighted+Backpack&amp;qid=1694734460&amp;sr=8-3")</f>
        <v/>
      </c>
      <c r="F310" t="inlineStr">
        <is>
          <t>B00A7383QI</t>
        </is>
      </c>
      <c r="G310">
        <f>_xlfn.IMAGE("https://edmondsonsupply.com/cdn/shop/products/WT3604_8_lg.png?v=1609788715")</f>
        <v/>
      </c>
      <c r="H310">
        <f>_xlfn.IMAGE("https://m.media-amazon.com/images/I/715d-9Qk94L._AC_UL320_.jpg")</f>
        <v/>
      </c>
      <c r="K310" t="inlineStr">
        <is>
          <t>209.0</t>
        </is>
      </c>
      <c r="L310" t="n">
        <v>169.98</v>
      </c>
      <c r="M310" s="1" t="inlineStr">
        <is>
          <t>-18.67%</t>
        </is>
      </c>
      <c r="N310" s="7" t="n">
        <v>-33.34</v>
      </c>
      <c r="O310" t="n">
        <v>4.5</v>
      </c>
      <c r="P310" t="n">
        <v>64</v>
      </c>
      <c r="R310" t="inlineStr">
        <is>
          <t>InStock</t>
        </is>
      </c>
      <c r="S310" t="inlineStr">
        <is>
          <t>279.0</t>
        </is>
      </c>
      <c r="T310" t="inlineStr">
        <is>
          <t>5273624215720</t>
        </is>
      </c>
    </row>
    <row r="311" ht="87" customHeight="1">
      <c r="A311" s="2">
        <f>HYPERLINK("https://edmondsonsupply.com/collections/storage-organization/products/veto-pro-pac-tp-xxl-tool-pouch", "https://edmondsonsupply.com/collections/storage-organization/products/veto-pro-pac-tp-xxl-tool-pouch")</f>
        <v/>
      </c>
      <c r="B311" s="2">
        <f>HYPERLINK("https://edmondsonsupply.com/products/veto-pro-pac-tp-xxl-tool-pouch", "https://edmondsonsupply.com/products/veto-pro-pac-tp-xxl-tool-pouch")</f>
        <v/>
      </c>
      <c r="C311" t="inlineStr">
        <is>
          <t>Veto Pro Pac TP-XXL Tool Pouch</t>
        </is>
      </c>
      <c r="D311" t="inlineStr">
        <is>
          <t>Veto Pro Pac TP-XL Extra Large Tool Pouch</t>
        </is>
      </c>
      <c r="E311" s="2">
        <f>HYPERLINK("https://www.amazon.com/Veto-TP-XL-Extra-Large-Pouch/dp/B07WDL7SD3/ref=sr_1_2?keywords=Veto+Pro+Pac+TP-XXL+Tool+Pouch&amp;qid=1694734436&amp;sr=8-2", "https://www.amazon.com/Veto-TP-XL-Extra-Large-Pouch/dp/B07WDL7SD3/ref=sr_1_2?keywords=Veto+Pro+Pac+TP-XXL+Tool+Pouch&amp;qid=1694734436&amp;sr=8-2")</f>
        <v/>
      </c>
      <c r="F311" t="inlineStr">
        <is>
          <t>B07WDL7SD3</t>
        </is>
      </c>
      <c r="G311">
        <f>_xlfn.IMAGE("https://edmondsonsupply.com/cdn/shop/products/01_TP-XXL.jpg?v=1633031173")</f>
        <v/>
      </c>
      <c r="H311">
        <f>_xlfn.IMAGE("https://m.media-amazon.com/images/I/91dIbPcb4XL._AC_UL320_.jpg")</f>
        <v/>
      </c>
      <c r="K311" t="inlineStr">
        <is>
          <t>209.99</t>
        </is>
      </c>
      <c r="L311" t="n">
        <v>169.95</v>
      </c>
      <c r="M311" s="1" t="inlineStr">
        <is>
          <t>-19.07%</t>
        </is>
      </c>
      <c r="N311" s="7" t="n">
        <v>-33.34</v>
      </c>
      <c r="O311" t="n">
        <v>4.9</v>
      </c>
      <c r="P311" t="n">
        <v>1131</v>
      </c>
      <c r="R311" t="inlineStr">
        <is>
          <t>InStock</t>
        </is>
      </c>
      <c r="S311" t="inlineStr">
        <is>
          <t>undefined</t>
        </is>
      </c>
      <c r="T311" t="inlineStr">
        <is>
          <t>6917899321517</t>
        </is>
      </c>
    </row>
    <row r="312" ht="87" customHeight="1">
      <c r="A312" s="2">
        <f>HYPERLINK("https://edmondsonsupply.com/collections/storage-organization/products/veto-pro-pac-tp3-b-tool-bag", "https://edmondsonsupply.com/collections/storage-organization/products/veto-pro-pac-tp3-b-tool-bag")</f>
        <v/>
      </c>
      <c r="B312" s="2">
        <f>HYPERLINK("https://edmondsonsupply.com/products/veto-pro-pac-tp3-b-tool-bag", "https://edmondsonsupply.com/products/veto-pro-pac-tp3-b-tool-bag")</f>
        <v/>
      </c>
      <c r="C312" t="inlineStr">
        <is>
          <t>Veto Pro Pac TP3B Tool Pouch</t>
        </is>
      </c>
      <c r="D312" t="inlineStr">
        <is>
          <t>Veto Pro Pac TP3 Tool Pouch</t>
        </is>
      </c>
      <c r="E312" s="2">
        <f>HYPERLINK("https://www.amazon.com/Veto-Pro-Pac-TP3-Pouch/dp/B008471T42/ref=sr_1_1?keywords=Veto+Pro+Pac+TP3B+Tool+Pouch&amp;qid=1694734456&amp;sr=8-1", "https://www.amazon.com/Veto-Pro-Pac-TP3-Pouch/dp/B008471T42/ref=sr_1_1?keywords=Veto+Pro+Pac+TP3B+Tool+Pouch&amp;qid=1694734456&amp;sr=8-1")</f>
        <v/>
      </c>
      <c r="F312" t="inlineStr">
        <is>
          <t>B008471T42</t>
        </is>
      </c>
      <c r="G312">
        <f>_xlfn.IMAGE("https://edmondsonsupply.com/cdn/shop/products/tp3b.png?v=1633031041")</f>
        <v/>
      </c>
      <c r="H312">
        <f>_xlfn.IMAGE("https://m.media-amazon.com/images/I/911jQmUqGIL._AC_UL320_.jpg")</f>
        <v/>
      </c>
      <c r="K312" t="inlineStr">
        <is>
          <t>74.99</t>
        </is>
      </c>
      <c r="L312" t="n">
        <v>59.95</v>
      </c>
      <c r="M312" s="1" t="inlineStr">
        <is>
          <t>-20.06%</t>
        </is>
      </c>
      <c r="N312" s="7" t="n">
        <v>-33.35</v>
      </c>
      <c r="O312" t="n">
        <v>4.7</v>
      </c>
      <c r="P312" t="n">
        <v>512</v>
      </c>
      <c r="R312" t="inlineStr">
        <is>
          <t>InStock</t>
        </is>
      </c>
      <c r="S312" t="inlineStr">
        <is>
          <t>undefined</t>
        </is>
      </c>
      <c r="T312" t="inlineStr">
        <is>
          <t>6752204587181</t>
        </is>
      </c>
    </row>
    <row r="313" ht="87" customHeight="1">
      <c r="A313" s="2">
        <f>HYPERLINK("https://edmondsonsupply.com/collections/storage-organization/products/veto-pro-pac-tp3-b-tool-bag", "https://edmondsonsupply.com/collections/storage-organization/products/veto-pro-pac-tp3-b-tool-bag")</f>
        <v/>
      </c>
      <c r="B313" s="2">
        <f>HYPERLINK("https://edmondsonsupply.com/products/veto-pro-pac-tp3-b-tool-bag", "https://edmondsonsupply.com/products/veto-pro-pac-tp3-b-tool-bag")</f>
        <v/>
      </c>
      <c r="C313" t="inlineStr">
        <is>
          <t>Veto Pro Pac TP3B Tool Pouch</t>
        </is>
      </c>
      <c r="D313" t="inlineStr">
        <is>
          <t>Veto Pro Pac MB Tool Pouch</t>
        </is>
      </c>
      <c r="E313" s="2">
        <f>HYPERLINK("https://www.amazon.com/Veto-Pro-Pac-MB-Pouch/dp/B008471S4I/ref=sr_1_4?keywords=Veto+Pro+Pac+TP3B+Tool+Pouch&amp;qid=1694734456&amp;sr=8-4", "https://www.amazon.com/Veto-Pro-Pac-MB-Pouch/dp/B008471S4I/ref=sr_1_4?keywords=Veto+Pro+Pac+TP3B+Tool+Pouch&amp;qid=1694734456&amp;sr=8-4")</f>
        <v/>
      </c>
      <c r="F313" t="inlineStr">
        <is>
          <t>B008471S4I</t>
        </is>
      </c>
      <c r="G313">
        <f>_xlfn.IMAGE("https://edmondsonsupply.com/cdn/shop/products/tp3b.png?v=1633031041")</f>
        <v/>
      </c>
      <c r="H313">
        <f>_xlfn.IMAGE("https://m.media-amazon.com/images/I/91BzQgD8ZJL._AC_UL320_.jpg")</f>
        <v/>
      </c>
      <c r="K313" t="inlineStr">
        <is>
          <t>74.99</t>
        </is>
      </c>
      <c r="L313" t="n">
        <v>59.95</v>
      </c>
      <c r="M313" s="1" t="inlineStr">
        <is>
          <t>-20.06%</t>
        </is>
      </c>
      <c r="N313" s="7" t="n">
        <v>-33.35</v>
      </c>
      <c r="O313" t="n">
        <v>4.8</v>
      </c>
      <c r="P313" t="n">
        <v>544</v>
      </c>
      <c r="R313" t="inlineStr">
        <is>
          <t>InStock</t>
        </is>
      </c>
      <c r="S313" t="inlineStr">
        <is>
          <t>undefined</t>
        </is>
      </c>
      <c r="T313" t="inlineStr">
        <is>
          <t>6752204587181</t>
        </is>
      </c>
    </row>
    <row r="314" ht="87" customHeight="1">
      <c r="A314" s="2">
        <f>HYPERLINK("https://edmondsonsupply.com/collections/storage-organization/products/veto-pro-pac-tech-lc-tool-bag", "https://edmondsonsupply.com/collections/storage-organization/products/veto-pro-pac-tech-lc-tool-bag")</f>
        <v/>
      </c>
      <c r="B314" s="2">
        <f>HYPERLINK("https://edmondsonsupply.com/products/veto-pro-pac-tech-lc-tool-bag", "https://edmondsonsupply.com/products/veto-pro-pac-tech-lc-tool-bag")</f>
        <v/>
      </c>
      <c r="C314" t="inlineStr">
        <is>
          <t>Veto Pro Pac TECH MC Compact Tool Bag</t>
        </is>
      </c>
      <c r="D314" t="inlineStr">
        <is>
          <t>Veto Pro Pac TP-LC (Compact, Zippered Service Tech Tool Pouch)</t>
        </is>
      </c>
      <c r="E314" s="2">
        <f>HYPERLINK("https://www.amazon.com/Veto-TP-LC-Compact-Zippered-Service/dp/B09TPZKBDP/ref=sr_1_8?keywords=Veto+Pro+Pac+TECH+MC+Compact+Tool+Bag&amp;qid=1694734451&amp;sr=8-8", "https://www.amazon.com/Veto-TP-LC-Compact-Zippered-Service/dp/B09TPZKBDP/ref=sr_1_8?keywords=Veto+Pro+Pac+TECH+MC+Compact+Tool+Bag&amp;qid=1694734451&amp;sr=8-8")</f>
        <v/>
      </c>
      <c r="F314" t="inlineStr">
        <is>
          <t>B09TPZKBDP</t>
        </is>
      </c>
      <c r="G314">
        <f>_xlfn.IMAGE("https://edmondsonsupply.com/cdn/shop/products/MC1_87e0d14c-0e4f-4e1a-b23d-f796a6e88a52.jpg?v=1587147172")</f>
        <v/>
      </c>
      <c r="H314">
        <f>_xlfn.IMAGE("https://m.media-amazon.com/images/I/51b1SiebzcL._AC_UL320_.jpg")</f>
        <v/>
      </c>
      <c r="K314" t="inlineStr">
        <is>
          <t>169.99</t>
        </is>
      </c>
      <c r="L314" t="n">
        <v>134.95</v>
      </c>
      <c r="M314" s="1" t="inlineStr">
        <is>
          <t>-20.61%</t>
        </is>
      </c>
      <c r="N314" s="7" t="n">
        <v>-34.22</v>
      </c>
      <c r="O314" t="n">
        <v>4.8</v>
      </c>
      <c r="P314" t="n">
        <v>277</v>
      </c>
      <c r="R314" t="inlineStr">
        <is>
          <t>InStock</t>
        </is>
      </c>
      <c r="S314" t="inlineStr">
        <is>
          <t>undefined</t>
        </is>
      </c>
      <c r="T314" t="inlineStr">
        <is>
          <t>3561427468388</t>
        </is>
      </c>
    </row>
    <row r="315" ht="87" customHeight="1">
      <c r="A315" s="2">
        <f>HYPERLINK("https://edmondsonsupply.com/collections/storage-organization/products/klein-tools-5416octo-tool-bag-bull-pin-and-bolt-pouch-loop-connect-5-x-5-x-9-inch", "https://edmondsonsupply.com/collections/storage-organization/products/klein-tools-5416octo-tool-bag-bull-pin-and-bolt-pouch-loop-connect-5-x-5-x-9-inch")</f>
        <v/>
      </c>
      <c r="B315" s="2">
        <f>HYPERLINK("https://edmondsonsupply.com/products/klein-tools-5416octo-tool-bag-bull-pin-and-bolt-pouch-loop-connect-5-x-5-x-9-inch", "https://edmondsonsupply.com/products/klein-tools-5416octo-tool-bag-bull-pin-and-bolt-pouch-loop-connect-5-x-5-x-9-inch")</f>
        <v/>
      </c>
      <c r="C315" t="inlineStr">
        <is>
          <t>Klein Tools 5416OCTO Tool Bag, Bull-Pin and Bolt Pouch, Loop Connect, 5 x 5 x 9-Inch</t>
        </is>
      </c>
      <c r="D315" t="inlineStr">
        <is>
          <t>Klein Tools 5416 Tool Pouch, Small Tool Bag for Bolt Storage with Bull Pin Loops and Belt Strap Connect, 5 x 10 x 9-Inch</t>
        </is>
      </c>
      <c r="E315" s="2">
        <f>HYPERLINK("https://www.amazon.com/Canvas-Storage-Klein-Tools-5416/dp/B0002RI6JS/ref=sr_1_1?keywords=Klein+Tools+5416OCTO+Tool+Bag%2C+Bull-Pin+and+Bolt+Pouch%2C+Loop+Connect%2C+5+x+5+x+9-Inch&amp;qid=1694734458&amp;sr=8-1", "https://www.amazon.com/Canvas-Storage-Klein-Tools-5416/dp/B0002RI6JS/ref=sr_1_1?keywords=Klein+Tools+5416OCTO+Tool+Bag%2C+Bull-Pin+and+Bolt+Pouch%2C+Loop+Connect%2C+5+x+5+x+9-Inch&amp;qid=1694734458&amp;sr=8-1")</f>
        <v/>
      </c>
      <c r="F315" t="inlineStr">
        <is>
          <t>B0002RI6JS</t>
        </is>
      </c>
      <c r="G315">
        <f>_xlfn.IMAGE("https://edmondsonsupply.com/cdn/shop/products/5416octo.jpg?v=1633030457")</f>
        <v/>
      </c>
      <c r="H315">
        <f>_xlfn.IMAGE("https://m.media-amazon.com/images/I/61w6J+DVn0L._AC_UL320_.jpg")</f>
        <v/>
      </c>
      <c r="K315" t="inlineStr">
        <is>
          <t>22.02</t>
        </is>
      </c>
      <c r="L315" t="n">
        <v>17.44</v>
      </c>
      <c r="M315" s="1" t="inlineStr">
        <is>
          <t>-20.80%</t>
        </is>
      </c>
      <c r="N315" s="7" t="n">
        <v>-34.56</v>
      </c>
      <c r="O315" t="n">
        <v>4.6</v>
      </c>
      <c r="P315" t="n">
        <v>901</v>
      </c>
      <c r="R315" t="inlineStr">
        <is>
          <t>InStock</t>
        </is>
      </c>
      <c r="S315" t="inlineStr">
        <is>
          <t>35.96</t>
        </is>
      </c>
      <c r="T315" t="inlineStr">
        <is>
          <t>5347272130728</t>
        </is>
      </c>
    </row>
    <row r="316" ht="87" customHeight="1">
      <c r="A316" s="2">
        <f>HYPERLINK("https://edmondsonsupply.com/collections/storage-organization/products/klein-tools-5142p-tool-bag-canvas-utility-bag-interior-pocket-9-x-8-x-10-inch", "https://edmondsonsupply.com/collections/storage-organization/products/klein-tools-5142p-tool-bag-canvas-utility-bag-interior-pocket-9-x-8-x-10-inch")</f>
        <v/>
      </c>
      <c r="B316" s="2">
        <f>HYPERLINK("https://edmondsonsupply.com/products/klein-tools-5142p-tool-bag-canvas-utility-bag-interior-pocket-9-x-8-x-10-inch", "https://edmondsonsupply.com/products/klein-tools-5142p-tool-bag-canvas-utility-bag-interior-pocket-9-x-8-x-10-inch")</f>
        <v/>
      </c>
      <c r="C316" t="inlineStr">
        <is>
          <t>Klein Tools 5142P Tool Bag, Canvas Utility Bag, Interior Pocket, 9 x 8 x 10-Inch</t>
        </is>
      </c>
      <c r="D316" t="inlineStr">
        <is>
          <t>Klein Tools 51A Tool Pouch, Utility Pouch for Carrying Nuts and Bolts, with Interior Pocket, No. 10 Canvas, 9 x 3.5 x 10-Inch</t>
        </is>
      </c>
      <c r="E316" s="2">
        <f>HYPERLINK("https://www.amazon.com/Carrying-Interior-Klein-Tools-51A/dp/B0061J57ZW/ref=sr_1_3?keywords=Klein+Tools+5142P+Tool+Bag%2C+Canvas+Utility+Bag%2C+Interior+Pocket%2C+9+x+8+x+10-Inch&amp;qid=1694734465&amp;sr=8-3", "https://www.amazon.com/Carrying-Interior-Klein-Tools-51A/dp/B0061J57ZW/ref=sr_1_3?keywords=Klein+Tools+5142P+Tool+Bag%2C+Canvas+Utility+Bag%2C+Interior+Pocket%2C+9+x+8+x+10-Inch&amp;qid=1694734465&amp;sr=8-3")</f>
        <v/>
      </c>
      <c r="F316" t="inlineStr">
        <is>
          <t>B0061J57ZW</t>
        </is>
      </c>
      <c r="G316">
        <f>_xlfn.IMAGE("https://edmondsonsupply.com/cdn/shop/products/5142.jpg?v=1633030666")</f>
        <v/>
      </c>
      <c r="H316">
        <f>_xlfn.IMAGE("https://m.media-amazon.com/images/I/61MP9qfvDML._AC_UL320_.jpg")</f>
        <v/>
      </c>
      <c r="K316" t="inlineStr">
        <is>
          <t>32.94</t>
        </is>
      </c>
      <c r="L316" t="n">
        <v>25.5</v>
      </c>
      <c r="M316" s="1" t="inlineStr">
        <is>
          <t>-22.59%</t>
        </is>
      </c>
      <c r="N316" s="7" t="n">
        <v>-35.41</v>
      </c>
      <c r="O316" t="n">
        <v>4.7</v>
      </c>
      <c r="P316" t="n">
        <v>1371</v>
      </c>
      <c r="R316" t="inlineStr">
        <is>
          <t>InStock</t>
        </is>
      </c>
      <c r="S316" t="inlineStr">
        <is>
          <t>53.28</t>
        </is>
      </c>
      <c r="T316" t="inlineStr">
        <is>
          <t>5782787391656</t>
        </is>
      </c>
    </row>
    <row r="317" ht="87" customHeight="1">
      <c r="A317" s="2">
        <f>HYPERLINK("https://edmondsonsupply.com/collections/storage-organization/products/dewalt-dgl523-57", "https://edmondsonsupply.com/collections/storage-organization/products/dewalt-dgl523-57")</f>
        <v/>
      </c>
      <c r="B317" s="2">
        <f>HYPERLINK("https://edmondsonsupply.com/products/dewalt-dgl523-57", "https://edmondsonsupply.com/products/dewalt-dgl523-57")</f>
        <v/>
      </c>
      <c r="C317" t="inlineStr">
        <is>
          <t>CLC DeWALT DGL523 57-Pocket Lighted Tool Backpack Bag</t>
        </is>
      </c>
      <c r="D317" t="inlineStr">
        <is>
          <t>DEWALT DGL523 Lighted Tool Backpack Bag, 57-Pockets, Black,yellow</t>
        </is>
      </c>
      <c r="E317" s="2">
        <f>HYPERLINK("https://www.amazon.com/DEWALT-DGL523-Lighted-Backpack-57-Pockets/dp/B00QNTVVOG/ref=sr_1_1?keywords=CLC+DeWALT+DGL523+57-Pocket+Lighted+Tool+Backpack+Bag&amp;qid=1694734449&amp;sr=8-1", "https://www.amazon.com/DEWALT-DGL523-Lighted-Backpack-57-Pockets/dp/B00QNTVVOG/ref=sr_1_1?keywords=CLC+DeWALT+DGL523+57-Pocket+Lighted+Tool+Backpack+Bag&amp;qid=1694734449&amp;sr=8-1")</f>
        <v/>
      </c>
      <c r="F317" t="inlineStr">
        <is>
          <t>B00QNTVVOG</t>
        </is>
      </c>
      <c r="G317">
        <f>_xlfn.IMAGE("https://edmondsonsupply.com/cdn/shop/products/DGL523-2.png?v=1671056065")</f>
        <v/>
      </c>
      <c r="H317">
        <f>_xlfn.IMAGE("https://m.media-amazon.com/images/I/91ecNgAjh0L._AC_UL320_.jpg")</f>
        <v/>
      </c>
      <c r="K317" t="inlineStr">
        <is>
          <t>129.0</t>
        </is>
      </c>
      <c r="L317" t="n">
        <v>99.03</v>
      </c>
      <c r="M317" s="1" t="inlineStr">
        <is>
          <t>-23.23%</t>
        </is>
      </c>
      <c r="N317" s="7" t="n">
        <v>-35.61</v>
      </c>
      <c r="O317" t="n">
        <v>4.7</v>
      </c>
      <c r="P317" t="n">
        <v>3755</v>
      </c>
      <c r="R317" t="inlineStr">
        <is>
          <t>InStock</t>
        </is>
      </c>
      <c r="S317" t="inlineStr">
        <is>
          <t>189.0</t>
        </is>
      </c>
      <c r="T317" t="inlineStr">
        <is>
          <t>5264512254120</t>
        </is>
      </c>
    </row>
    <row r="318" ht="87" customHeight="1">
      <c r="A318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18" s="2">
        <f>HYPERLINK("https://edmondsonsupply.com/products/veto-pro-pac-tech-pac-backpack-tool-bag", "https://edmondsonsupply.com/products/veto-pro-pac-tech-pac-backpack-tool-bag")</f>
        <v/>
      </c>
      <c r="C318" t="inlineStr">
        <is>
          <t>Veto Pro Pac TECH PAC Backpack Tool Bag</t>
        </is>
      </c>
      <c r="D318" t="inlineStr">
        <is>
          <t>Veto Pro Pac OT-LC Tool Bag</t>
        </is>
      </c>
      <c r="E318" s="2">
        <f>HYPERLINK("https://www.amazon.com/VETO-PRO-PAC-OT-LC-Tool/dp/B000VKSAQA/ref=sr_1_19?keywords=Veto+Pro+Pac+TECH+PAC+Backpack+Tool+Bag&amp;qid=1694734435&amp;sr=8-19", "https://www.amazon.com/VETO-PRO-PAC-OT-LC-Tool/dp/B000VKSAQA/ref=sr_1_19?keywords=Veto+Pro+Pac+TECH+PAC+Backpack+Tool+Bag&amp;qid=1694734435&amp;sr=8-19")</f>
        <v/>
      </c>
      <c r="F318" t="inlineStr">
        <is>
          <t>B000VKSAQA</t>
        </is>
      </c>
      <c r="G318">
        <f>_xlfn.IMAGE("https://edmondsonsupply.com/cdn/shop/products/Veto_Tech_Pac.jpg?v=1587149981")</f>
        <v/>
      </c>
      <c r="H318">
        <f>_xlfn.IMAGE("https://m.media-amazon.com/images/I/61sY9UF2i5L._AC_UL320_.jpg")</f>
        <v/>
      </c>
      <c r="K318" t="inlineStr">
        <is>
          <t>299.99</t>
        </is>
      </c>
      <c r="L318" t="n">
        <v>229.95</v>
      </c>
      <c r="M318" s="1" t="inlineStr">
        <is>
          <t>-23.35%</t>
        </is>
      </c>
      <c r="N318" s="7" t="n">
        <v>-35.74</v>
      </c>
      <c r="O318" t="n">
        <v>4.7</v>
      </c>
      <c r="P318" t="n">
        <v>162</v>
      </c>
      <c r="R318" t="inlineStr">
        <is>
          <t>InStock</t>
        </is>
      </c>
      <c r="S318" t="inlineStr">
        <is>
          <t>undefined</t>
        </is>
      </c>
      <c r="T318" t="inlineStr">
        <is>
          <t>3557476335716</t>
        </is>
      </c>
    </row>
    <row r="319" ht="87" customHeight="1">
      <c r="A319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19" s="2">
        <f>HYPERLINK("https://edmondsonsupply.com/products/veto-pro-pac-tech-pac-backpack-tool-bag-3", "https://edmondsonsupply.com/products/veto-pro-pac-tech-pac-backpack-tool-bag-3")</f>
        <v/>
      </c>
      <c r="C319" t="inlineStr">
        <is>
          <t>Veto Pro Pac TECH PAC MC Backpack Tool Bag</t>
        </is>
      </c>
      <c r="D319" t="inlineStr">
        <is>
          <t>TECHOT-MC Veto Compact Open Top Tool Bag</t>
        </is>
      </c>
      <c r="E319" s="2">
        <f>HYPERLINK("https://www.amazon.com/TECHOT-MC-Veto-COMPACT-Open-Tool/dp/B07146M3QW/ref=sr_1_8?keywords=Veto+Pro+Pac+TECH+PAC+MC+Backpack+Tool+Bag&amp;qid=1694734443&amp;sr=8-8", "https://www.amazon.com/TECHOT-MC-Veto-COMPACT-Open-Tool/dp/B07146M3QW/ref=sr_1_8?keywords=Veto+Pro+Pac+TECH+PAC+MC+Backpack+Tool+Bag&amp;qid=1694734443&amp;sr=8-8")</f>
        <v/>
      </c>
      <c r="F319" t="inlineStr">
        <is>
          <t>B07146M3QW</t>
        </is>
      </c>
      <c r="G319">
        <f>_xlfn.IMAGE("https://edmondsonsupply.com/cdn/shop/products/MC2.jpg?v=1642553730")</f>
        <v/>
      </c>
      <c r="H319">
        <f>_xlfn.IMAGE("https://m.media-amazon.com/images/I/7164ViSBjML._AC_UL320_.jpg")</f>
        <v/>
      </c>
      <c r="K319" t="inlineStr">
        <is>
          <t>274.99</t>
        </is>
      </c>
      <c r="L319" t="n">
        <v>209.95</v>
      </c>
      <c r="M319" s="1" t="inlineStr">
        <is>
          <t>-23.65%</t>
        </is>
      </c>
      <c r="N319" s="7" t="n">
        <v>-36.23</v>
      </c>
      <c r="O319" t="n">
        <v>4.8</v>
      </c>
      <c r="P319" t="n">
        <v>702</v>
      </c>
      <c r="R319" t="inlineStr">
        <is>
          <t>InStock</t>
        </is>
      </c>
      <c r="S319" t="inlineStr">
        <is>
          <t>undefined</t>
        </is>
      </c>
      <c r="T319" t="inlineStr">
        <is>
          <t>3561063415908</t>
        </is>
      </c>
    </row>
    <row r="320" ht="87" customHeight="1">
      <c r="A320" s="2">
        <f>HYPERLINK("https://edmondsonsupply.com/collections/storage-organization/products/fluke-c60-soft-carrying-case", "https://edmondsonsupply.com/collections/storage-organization/products/fluke-c60-soft-carrying-case")</f>
        <v/>
      </c>
      <c r="B320" s="2">
        <f>HYPERLINK("https://edmondsonsupply.com/products/fluke-c60-soft-carrying-case", "https://edmondsonsupply.com/products/fluke-c60-soft-carrying-case")</f>
        <v/>
      </c>
      <c r="C320" t="inlineStr">
        <is>
          <t>Fluke C60 Soft Carrying Case</t>
        </is>
      </c>
      <c r="D320" t="inlineStr">
        <is>
          <t>Fluke C35 Polyester Soft Carrying Case</t>
        </is>
      </c>
      <c r="E320" s="2">
        <f>HYPERLINK("https://www.amazon.com/Fluke-C35-Polyester-Soft-Carrying/dp/B0012WXSWC/ref=sr_1_4?keywords=Fluke+C60+Soft+Carrying+Case&amp;qid=1694734460&amp;sr=8-4", "https://www.amazon.com/Fluke-C35-Polyester-Soft-Carrying/dp/B0012WXSWC/ref=sr_1_4?keywords=Fluke+C60+Soft+Carrying+Case&amp;qid=1694734460&amp;sr=8-4")</f>
        <v/>
      </c>
      <c r="F320" t="inlineStr">
        <is>
          <t>B0012WXSWC</t>
        </is>
      </c>
      <c r="G320">
        <f>_xlfn.IMAGE("https://edmondsonsupply.com/cdn/shop/products/c60.png?v=1633030926")</f>
        <v/>
      </c>
      <c r="H320">
        <f>_xlfn.IMAGE("https://m.media-amazon.com/images/I/91lCMkhllEL._AC_UL320_.jpg")</f>
        <v/>
      </c>
      <c r="K320" t="inlineStr">
        <is>
          <t>49.49</t>
        </is>
      </c>
      <c r="L320" t="n">
        <v>37.78</v>
      </c>
      <c r="M320" s="1" t="inlineStr">
        <is>
          <t>-23.66%</t>
        </is>
      </c>
      <c r="N320" s="7" t="n">
        <v>-36.38</v>
      </c>
      <c r="O320" t="n">
        <v>4.7</v>
      </c>
      <c r="P320" t="n">
        <v>801</v>
      </c>
      <c r="R320" t="inlineStr">
        <is>
          <t>InStock</t>
        </is>
      </c>
      <c r="S320" t="inlineStr">
        <is>
          <t>54.99</t>
        </is>
      </c>
      <c r="T320" t="inlineStr">
        <is>
          <t>6544664723629</t>
        </is>
      </c>
    </row>
    <row r="321" ht="87" customHeight="1">
      <c r="A321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21" s="2">
        <f>HYPERLINK("https://edmondsonsupply.com/products/veto-pro-pac-tech-pac-blackout-backpack", "https://edmondsonsupply.com/products/veto-pro-pac-tech-pac-blackout-backpack")</f>
        <v/>
      </c>
      <c r="C321" t="inlineStr">
        <is>
          <t>Veto Pro Pac TECH PAC Blackout Backpack</t>
        </is>
      </c>
      <c r="D321" t="inlineStr">
        <is>
          <t>Veto Pro Pac Tech XL Tool Bag, 1-Pack,Black, Grey</t>
        </is>
      </c>
      <c r="E321" s="2">
        <f>HYPERLINK("https://www.amazon.com/Veto-Tech-XL-Tool-1-Pack/dp/B00DYRFEJI/ref=sr_1_9?keywords=Veto+Pro+Pac+TECH+PAC+Blackout+Backpack&amp;qid=1694734435&amp;sr=8-9", "https://www.amazon.com/Veto-Tech-XL-Tool-1-Pack/dp/B00DYRFEJI/ref=sr_1_9?keywords=Veto+Pro+Pac+TECH+PAC+Blackout+Backpack&amp;qid=1694734435&amp;sr=8-9")</f>
        <v/>
      </c>
      <c r="F321" t="inlineStr">
        <is>
          <t>B00DYRFEJI</t>
        </is>
      </c>
      <c r="G321">
        <f>_xlfn.IMAGE("https://edmondsonsupply.com/cdn/shop/products/tech1.jpg?v=1633031041")</f>
        <v/>
      </c>
      <c r="H321">
        <f>_xlfn.IMAGE("https://m.media-amazon.com/images/I/71suRnmtVZL._AC_UL320_.jpg")</f>
        <v/>
      </c>
      <c r="K321" t="inlineStr">
        <is>
          <t>329.99</t>
        </is>
      </c>
      <c r="L321" t="n">
        <v>249.95</v>
      </c>
      <c r="M321" s="1" t="inlineStr">
        <is>
          <t>-24.26%</t>
        </is>
      </c>
      <c r="N321" s="7" t="n">
        <v>-36.68</v>
      </c>
      <c r="O321" t="n">
        <v>4.8</v>
      </c>
      <c r="P321" t="n">
        <v>762</v>
      </c>
      <c r="R321" t="inlineStr">
        <is>
          <t>InStock</t>
        </is>
      </c>
      <c r="S321" t="inlineStr">
        <is>
          <t>undefined</t>
        </is>
      </c>
      <c r="T321" t="inlineStr">
        <is>
          <t>6752226476205</t>
        </is>
      </c>
    </row>
    <row r="322" ht="87" customHeight="1">
      <c r="A322" s="2">
        <f>HYPERLINK("https://edmondsonsupply.com/collections/storage-organization/products/clc-1524-medium-zip-top-utility-pouch", "https://edmondsonsupply.com/collections/storage-organization/products/clc-1524-medium-zip-top-utility-pouch")</f>
        <v/>
      </c>
      <c r="B322" s="2">
        <f>HYPERLINK("https://edmondsonsupply.com/products/clc-1524-medium-zip-top-utility-pouch", "https://edmondsonsupply.com/products/clc-1524-medium-zip-top-utility-pouch")</f>
        <v/>
      </c>
      <c r="C322" t="inlineStr">
        <is>
          <t>CLC 1524 Medium Zip Top Utility Pouch</t>
        </is>
      </c>
      <c r="D322" t="inlineStr">
        <is>
          <t>CLC Custom Leathercraft 1524 Ziptop Utility Pouch, Medium, Black, 11 Pockets</t>
        </is>
      </c>
      <c r="E322" s="2">
        <f>HYPERLINK("https://www.amazon.com/Custom-Leathercraft-1524-Ziptop-Utility/dp/B0047O3TZS/ref=sr_1_2?keywords=CLC+1524+Medium+Zip+Top+Utility+Pouch&amp;qid=1694734464&amp;sr=8-2", "https://www.amazon.com/Custom-Leathercraft-1524-Ziptop-Utility/dp/B0047O3TZS/ref=sr_1_2?keywords=CLC+1524+Medium+Zip+Top+Utility+Pouch&amp;qid=1694734464&amp;sr=8-2")</f>
        <v/>
      </c>
      <c r="F322" t="inlineStr">
        <is>
          <t>B0047O3TZS</t>
        </is>
      </c>
      <c r="G322">
        <f>_xlfn.IMAGE("https://edmondsonsupply.com/cdn/shop/products/1524.jpg?v=1633030333")</f>
        <v/>
      </c>
      <c r="H322">
        <f>_xlfn.IMAGE("https://m.media-amazon.com/images/I/91xpQi8ldnL._AC_UL320_.jpg")</f>
        <v/>
      </c>
      <c r="K322" t="inlineStr">
        <is>
          <t>34.95</t>
        </is>
      </c>
      <c r="L322" t="n">
        <v>26.4</v>
      </c>
      <c r="M322" s="1" t="inlineStr">
        <is>
          <t>-24.46%</t>
        </is>
      </c>
      <c r="N322" s="7" t="n">
        <v>-36.83</v>
      </c>
      <c r="O322" t="n">
        <v>4.6</v>
      </c>
      <c r="P322" t="n">
        <v>1153</v>
      </c>
      <c r="R322" t="inlineStr">
        <is>
          <t>OutOfStock</t>
        </is>
      </c>
      <c r="S322" t="inlineStr">
        <is>
          <t>undefined</t>
        </is>
      </c>
      <c r="T322" t="inlineStr">
        <is>
          <t>5268003553448</t>
        </is>
      </c>
    </row>
    <row r="323" ht="87" customHeight="1">
      <c r="A323" s="2">
        <f>HYPERLINK("https://edmondsonsupply.com/collections/storage-organization/products/veto-pro-pac-wrencher-xl", "https://edmondsonsupply.com/collections/storage-organization/products/veto-pro-pac-wrencher-xl")</f>
        <v/>
      </c>
      <c r="B323" s="2">
        <f>HYPERLINK("https://edmondsonsupply.com/products/veto-pro-pac-wrencher-xl", "https://edmondsonsupply.com/products/veto-pro-pac-wrencher-xl")</f>
        <v/>
      </c>
      <c r="C323" t="inlineStr">
        <is>
          <t>Veto Pro Pac Wrencher XL</t>
        </is>
      </c>
      <c r="D323" t="inlineStr">
        <is>
          <t>Veto Pro Pac Model XXL-F Tool Bag</t>
        </is>
      </c>
      <c r="E323" s="2">
        <f>HYPERLINK("https://www.amazon.com/VETO-PRO-PAC-Model-XXL-F/dp/B0002HC2CK/ref=sr_1_21?keywords=Veto+Pro+Pac+Wrencher+XL&amp;qid=1694734460&amp;sr=8-21", "https://www.amazon.com/VETO-PRO-PAC-Model-XXL-F/dp/B0002HC2CK/ref=sr_1_21?keywords=Veto+Pro+Pac+Wrencher+XL&amp;qid=1694734460&amp;sr=8-21")</f>
        <v/>
      </c>
      <c r="F323" t="inlineStr">
        <is>
          <t>B0002HC2CK</t>
        </is>
      </c>
      <c r="G323">
        <f>_xlfn.IMAGE("https://edmondsonsupply.com/cdn/shop/products/0006_WRENCHER-XL_11.jpg?v=1675796410")</f>
        <v/>
      </c>
      <c r="H323">
        <f>_xlfn.IMAGE("https://m.media-amazon.com/images/I/61tR0YjGMkL._AC_UL320_.jpg")</f>
        <v/>
      </c>
      <c r="K323" t="inlineStr">
        <is>
          <t>359.99</t>
        </is>
      </c>
      <c r="L323" t="n">
        <v>269.95</v>
      </c>
      <c r="M323" s="1" t="inlineStr">
        <is>
          <t>-25.01%</t>
        </is>
      </c>
      <c r="N323" s="7" t="n">
        <v>-37.51</v>
      </c>
      <c r="O323" t="n">
        <v>4.5</v>
      </c>
      <c r="P323" t="n">
        <v>261</v>
      </c>
      <c r="R323" t="inlineStr">
        <is>
          <t>InStock</t>
        </is>
      </c>
      <c r="S323" t="inlineStr">
        <is>
          <t>undefined</t>
        </is>
      </c>
      <c r="T323" t="inlineStr">
        <is>
          <t>7940480139480</t>
        </is>
      </c>
    </row>
    <row r="324" ht="87" customHeight="1">
      <c r="A324" s="2">
        <f>HYPERLINK("https://edmondsonsupply.com/collections/storage-organization/products/veto-pro-pac-wrencher-xl", "https://edmondsonsupply.com/collections/storage-organization/products/veto-pro-pac-wrencher-xl")</f>
        <v/>
      </c>
      <c r="B324" s="2">
        <f>HYPERLINK("https://edmondsonsupply.com/products/veto-pro-pac-wrencher-xl", "https://edmondsonsupply.com/products/veto-pro-pac-wrencher-xl")</f>
        <v/>
      </c>
      <c r="C324" t="inlineStr">
        <is>
          <t>Veto Pro Pac Wrencher XL</t>
        </is>
      </c>
      <c r="D324" t="inlineStr">
        <is>
          <t>Veto Pro Pac OT-XL Tool Bag</t>
        </is>
      </c>
      <c r="E324" s="2">
        <f>HYPERLINK("https://www.amazon.com/VETO-PRO-PAC-OT-XL-Tool/dp/B000VKSAQK/ref=sr_1_13?keywords=Veto+Pro+Pac+Wrencher+XL&amp;qid=1694734460&amp;sr=8-13", "https://www.amazon.com/VETO-PRO-PAC-OT-XL-Tool/dp/B000VKSAQK/ref=sr_1_13?keywords=Veto+Pro+Pac+Wrencher+XL&amp;qid=1694734460&amp;sr=8-13")</f>
        <v/>
      </c>
      <c r="F324" t="inlineStr">
        <is>
          <t>B000VKSAQK</t>
        </is>
      </c>
      <c r="G324">
        <f>_xlfn.IMAGE("https://edmondsonsupply.com/cdn/shop/products/0006_WRENCHER-XL_11.jpg?v=1675796410")</f>
        <v/>
      </c>
      <c r="H324">
        <f>_xlfn.IMAGE("https://m.media-amazon.com/images/I/61meVw9HeQL._AC_UL320_.jpg")</f>
        <v/>
      </c>
      <c r="K324" t="inlineStr">
        <is>
          <t>359.99</t>
        </is>
      </c>
      <c r="L324" t="n">
        <v>269.95</v>
      </c>
      <c r="M324" s="1" t="inlineStr">
        <is>
          <t>-25.01%</t>
        </is>
      </c>
      <c r="N324" s="7" t="n">
        <v>-37.51</v>
      </c>
      <c r="O324" t="n">
        <v>4.7</v>
      </c>
      <c r="P324" t="n">
        <v>281</v>
      </c>
      <c r="R324" t="inlineStr">
        <is>
          <t>InStock</t>
        </is>
      </c>
      <c r="S324" t="inlineStr">
        <is>
          <t>undefined</t>
        </is>
      </c>
      <c r="T324" t="inlineStr">
        <is>
          <t>7940480139480</t>
        </is>
      </c>
    </row>
    <row r="325" ht="87" customHeight="1">
      <c r="A325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25" s="2">
        <f>HYPERLINK("https://edmondsonsupply.com/products/veto-pro-pac-tech-pac-mc-blackout", "https://edmondsonsupply.com/products/veto-pro-pac-tech-pac-mc-blackout")</f>
        <v/>
      </c>
      <c r="C325" t="inlineStr">
        <is>
          <t>Veto Pro Pac TECH PAC MC Blackout</t>
        </is>
      </c>
      <c r="D325" t="inlineStr">
        <is>
          <t>Veto Pro Pac Tech-TT (Tool Tote)</t>
        </is>
      </c>
      <c r="E325" s="2">
        <f>HYPERLINK("https://www.amazon.com/Veto-Pro-Tech-TT-Tool-Tote/dp/B0BKTVB3NT/ref=sr_1_16?keywords=Veto+Pro+Pac+TECH+PAC+MC+Blackout&amp;qid=1694734455&amp;sr=8-16", "https://www.amazon.com/Veto-Pro-Tech-TT-Tool-Tote/dp/B0BKTVB3NT/ref=sr_1_16?keywords=Veto+Pro+Pac+TECH+PAC+MC+Blackout&amp;qid=1694734455&amp;sr=8-16")</f>
        <v/>
      </c>
      <c r="F325" t="inlineStr">
        <is>
          <t>B0BKTVB3NT</t>
        </is>
      </c>
      <c r="G325">
        <f>_xlfn.IMAGE("https://edmondsonsupply.com/cdn/shop/products/tech1.png?v=1633031062")</f>
        <v/>
      </c>
      <c r="H325">
        <f>_xlfn.IMAGE("https://m.media-amazon.com/images/I/51f43DVmcFL._AC_UL320_.jpg")</f>
        <v/>
      </c>
      <c r="K325" t="inlineStr">
        <is>
          <t>294.99</t>
        </is>
      </c>
      <c r="L325" t="n">
        <v>219.95</v>
      </c>
      <c r="M325" s="1" t="inlineStr">
        <is>
          <t>-25.44%</t>
        </is>
      </c>
      <c r="N325" s="7" t="n">
        <v>-38.21</v>
      </c>
      <c r="O325" t="n">
        <v>5</v>
      </c>
      <c r="P325" t="n">
        <v>7</v>
      </c>
      <c r="R325" t="inlineStr">
        <is>
          <t>InStock</t>
        </is>
      </c>
      <c r="S325" t="inlineStr">
        <is>
          <t>undefined</t>
        </is>
      </c>
      <c r="T325" t="inlineStr">
        <is>
          <t>6821254496429</t>
        </is>
      </c>
    </row>
    <row r="326" ht="87" customHeight="1">
      <c r="A326" s="2">
        <f>HYPERLINK("https://edmondsonsupply.com/collections/storage-organization/products/clc-1528-11", "https://edmondsonsupply.com/collections/storage-organization/products/clc-1528-11")</f>
        <v/>
      </c>
      <c r="B326" s="2">
        <f>HYPERLINK("https://edmondsonsupply.com/products/clc-1528-11", "https://edmondsonsupply.com/products/clc-1528-11")</f>
        <v/>
      </c>
      <c r="C326" t="inlineStr">
        <is>
          <t>CLC 1528 11" Electrical &amp; Maintenance Tool Carrier</t>
        </is>
      </c>
      <c r="D326" t="inlineStr">
        <is>
          <t>CLC Custom LeatherCraft 1528 Large Electrical and Maintenance Tool Carrier</t>
        </is>
      </c>
      <c r="E326" s="2">
        <f>HYPERLINK("https://www.amazon.com/Custom-LeatherCraft-1528-Electrical-Maintenance/dp/B0000DYVHS/ref=sr_1_1?keywords=CLC+1528+11%22+Electrical+%26+Maintenance+Tool+Carrier&amp;qid=1694734444&amp;sr=8-1", "https://www.amazon.com/Custom-LeatherCraft-1528-Electrical-Maintenance/dp/B0000DYVHS/ref=sr_1_1?keywords=CLC+1528+11%22+Electrical+%26+Maintenance+Tool+Carrier&amp;qid=1694734444&amp;sr=8-1")</f>
        <v/>
      </c>
      <c r="F326" t="inlineStr">
        <is>
          <t>B0000DYVHS</t>
        </is>
      </c>
      <c r="G326">
        <f>_xlfn.IMAGE("https://edmondsonsupply.com/cdn/shop/products/clc-1528__1_321x_3x.progressive_bf390c4e-ab2d-4119-a706-a1ca10a9b643.jpg?v=1609778372")</f>
        <v/>
      </c>
      <c r="H326">
        <f>_xlfn.IMAGE("https://m.media-amazon.com/images/I/814upkO6TBL._AC_UL320_.jpg")</f>
        <v/>
      </c>
      <c r="K326" t="inlineStr">
        <is>
          <t>69.95</t>
        </is>
      </c>
      <c r="L326" t="n">
        <v>51.8</v>
      </c>
      <c r="M326" s="1" t="inlineStr">
        <is>
          <t>-25.95%</t>
        </is>
      </c>
      <c r="N326" s="7" t="n">
        <v>-39</v>
      </c>
      <c r="O326" t="n">
        <v>4.7</v>
      </c>
      <c r="P326" t="n">
        <v>1540</v>
      </c>
      <c r="R326" t="inlineStr">
        <is>
          <t>InStock</t>
        </is>
      </c>
      <c r="S326" t="inlineStr">
        <is>
          <t>94.95</t>
        </is>
      </c>
      <c r="T326" t="inlineStr">
        <is>
          <t>5267577110696</t>
        </is>
      </c>
    </row>
    <row r="327" ht="87" customHeight="1">
      <c r="A327" s="2">
        <f>HYPERLINK("https://edmondsonsupply.com/collections/storage-organization/products/wild-river-wt3503-tackle-tek%E2%84%A2-recon-lighted-compact-backpack", "https://edmondsonsupply.com/collections/storage-organization/products/wild-river-wt3503-tackle-tek%E2%84%A2-recon-lighted-compact-backpack")</f>
        <v/>
      </c>
      <c r="B327" s="2">
        <f>HYPERLINK("https://edmondsonsupply.com/products/wild-river-wt3503-tackle-tek%e2%84%a2-recon-lighted-compact-backpack", "https://edmondsonsupply.com/products/wild-river-wt3503-tackle-tek%e2%84%a2-recon-lighted-compact-backpack")</f>
        <v/>
      </c>
      <c r="C327" t="inlineStr">
        <is>
          <t>CLC Wild River WT3503 Tackle Tek™ Recon – Lighted Compact Backpack</t>
        </is>
      </c>
      <c r="D327" t="inlineStr">
        <is>
          <t>Wild River by CLC WT3503 Tackle Tek Recon Lighted Compact Tackle Backpack &amp; Four PT3500 Trays, Clear, Water-Resistant Phone Storage,Beige</t>
        </is>
      </c>
      <c r="E327" s="2">
        <f>HYPERLINK("https://www.amazon.com/WT3503-Lighted-Compact-Backpack-Water-resistant/dp/B00A0PA4R4/ref=sr_1_1?keywords=CLC+Wild+River+WT3503+Tackle+Tek%E2%84%A2+Recon+%E2%80%93+Lighted+Compact+Backpack&amp;qid=1694734458&amp;sr=8-1", "https://www.amazon.com/WT3503-Lighted-Compact-Backpack-Water-resistant/dp/B00A0PA4R4/ref=sr_1_1?keywords=CLC+Wild+River+WT3503+Tackle+Tek%E2%84%A2+Recon+%E2%80%93+Lighted+Compact+Backpack&amp;qid=1694734458&amp;sr=8-1")</f>
        <v/>
      </c>
      <c r="F327" t="inlineStr">
        <is>
          <t>B00A0PA4R4</t>
        </is>
      </c>
      <c r="G327">
        <f>_xlfn.IMAGE("https://edmondsonsupply.com/cdn/shop/products/WT3503.png?v=1633031080")</f>
        <v/>
      </c>
      <c r="H327">
        <f>_xlfn.IMAGE("https://m.media-amazon.com/images/I/71Y7vz6sXRL._AC_UL320_.jpg")</f>
        <v/>
      </c>
      <c r="K327" t="inlineStr">
        <is>
          <t>149.0</t>
        </is>
      </c>
      <c r="L327" t="n">
        <v>109.95</v>
      </c>
      <c r="M327" s="1" t="inlineStr">
        <is>
          <t>-26.21%</t>
        </is>
      </c>
      <c r="N327" s="7" t="n">
        <v>-39.72</v>
      </c>
      <c r="O327" t="n">
        <v>4.5</v>
      </c>
      <c r="P327" t="n">
        <v>450</v>
      </c>
      <c r="R327" t="inlineStr">
        <is>
          <t>InStock</t>
        </is>
      </c>
      <c r="S327" t="inlineStr">
        <is>
          <t>199.0</t>
        </is>
      </c>
      <c r="T327" t="inlineStr">
        <is>
          <t>6830246101165</t>
        </is>
      </c>
    </row>
    <row r="328" ht="87" customHeight="1">
      <c r="A328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28" s="2">
        <f>HYPERLINK("https://edmondsonsupply.com/products/veto-pro-pac-tech-pac-backpack-tool-bag", "https://edmondsonsupply.com/products/veto-pro-pac-tech-pac-backpack-tool-bag")</f>
        <v/>
      </c>
      <c r="C328" t="inlineStr">
        <is>
          <t>Veto Pro Pac TECH PAC Backpack Tool Bag</t>
        </is>
      </c>
      <c r="D328" t="inlineStr">
        <is>
          <t>Veto Pro Pac Tech-TT (Tool Tote)</t>
        </is>
      </c>
      <c r="E328" s="2">
        <f>HYPERLINK("https://www.amazon.com/Veto-Pro-Tech-TT-Tool-Tote/dp/B0BKTVB3NT/ref=sr_1_8?keywords=Veto+Pro+Pac+TECH+PAC+Backpack+Tool+Bag&amp;qid=1694734435&amp;sr=8-8", "https://www.amazon.com/Veto-Pro-Tech-TT-Tool-Tote/dp/B0BKTVB3NT/ref=sr_1_8?keywords=Veto+Pro+Pac+TECH+PAC+Backpack+Tool+Bag&amp;qid=1694734435&amp;sr=8-8")</f>
        <v/>
      </c>
      <c r="F328" t="inlineStr">
        <is>
          <t>B0BKTVB3NT</t>
        </is>
      </c>
      <c r="G328">
        <f>_xlfn.IMAGE("https://edmondsonsupply.com/cdn/shop/products/Veto_Tech_Pac.jpg?v=1587149981")</f>
        <v/>
      </c>
      <c r="H328">
        <f>_xlfn.IMAGE("https://m.media-amazon.com/images/I/51f43DVmcFL._AC_UL320_.jpg")</f>
        <v/>
      </c>
      <c r="K328" t="inlineStr">
        <is>
          <t>299.99</t>
        </is>
      </c>
      <c r="L328" t="n">
        <v>219.95</v>
      </c>
      <c r="M328" s="1" t="inlineStr">
        <is>
          <t>-26.68%</t>
        </is>
      </c>
      <c r="N328" s="7" t="n">
        <v>-40.01</v>
      </c>
      <c r="O328" t="n">
        <v>5</v>
      </c>
      <c r="P328" t="n">
        <v>7</v>
      </c>
      <c r="R328" t="inlineStr">
        <is>
          <t>InStock</t>
        </is>
      </c>
      <c r="S328" t="inlineStr">
        <is>
          <t>undefined</t>
        </is>
      </c>
      <c r="T328" t="inlineStr">
        <is>
          <t>3557476335716</t>
        </is>
      </c>
    </row>
    <row r="329" ht="87" customHeight="1">
      <c r="A329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29" s="2">
        <f>HYPERLINK("https://edmondsonsupply.com/products/veto-pro-pac-tech-pac-backpack-tool-bag-3", "https://edmondsonsupply.com/products/veto-pro-pac-tech-pac-backpack-tool-bag-3")</f>
        <v/>
      </c>
      <c r="C329" t="inlineStr">
        <is>
          <t>Veto Pro Pac TECH PAC MC Backpack Tool Bag</t>
        </is>
      </c>
      <c r="D329" t="inlineStr">
        <is>
          <t>Veto Pro Pac Wrencher-MC (Medium Compact, Open-Top Tool Bag)</t>
        </is>
      </c>
      <c r="E329" s="2">
        <f>HYPERLINK("https://www.amazon.com/Veto-Wrencher-MC-Medium-Compact-Open-Top/dp/B0BBQ3R11H/ref=sr_1_19?keywords=Veto+Pro+Pac+TECH+PAC+MC+Backpack+Tool+Bag&amp;qid=1694734443&amp;sr=8-19", "https://www.amazon.com/Veto-Wrencher-MC-Medium-Compact-Open-Top/dp/B0BBQ3R11H/ref=sr_1_19?keywords=Veto+Pro+Pac+TECH+PAC+MC+Backpack+Tool+Bag&amp;qid=1694734443&amp;sr=8-19")</f>
        <v/>
      </c>
      <c r="F329" t="inlineStr">
        <is>
          <t>B0BBQ3R11H</t>
        </is>
      </c>
      <c r="G329">
        <f>_xlfn.IMAGE("https://edmondsonsupply.com/cdn/shop/products/MC2.jpg?v=1642553730")</f>
        <v/>
      </c>
      <c r="H329">
        <f>_xlfn.IMAGE("https://m.media-amazon.com/images/I/51xcXNSndtL._AC_UL320_.jpg")</f>
        <v/>
      </c>
      <c r="K329" t="inlineStr">
        <is>
          <t>274.99</t>
        </is>
      </c>
      <c r="L329" t="n">
        <v>199.95</v>
      </c>
      <c r="M329" s="1" t="inlineStr">
        <is>
          <t>-27.29%</t>
        </is>
      </c>
      <c r="N329" s="7" t="n">
        <v>-40.64</v>
      </c>
      <c r="O329" t="n">
        <v>5</v>
      </c>
      <c r="P329" t="n">
        <v>7</v>
      </c>
      <c r="R329" t="inlineStr">
        <is>
          <t>InStock</t>
        </is>
      </c>
      <c r="S329" t="inlineStr">
        <is>
          <t>undefined</t>
        </is>
      </c>
      <c r="T329" t="inlineStr">
        <is>
          <t>3561063415908</t>
        </is>
      </c>
    </row>
    <row r="330" ht="87" customHeight="1">
      <c r="A330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30" s="2">
        <f>HYPERLINK("https://edmondsonsupply.com/products/veto-pro-pac-tech-pac-backpack-tool-bag-3", "https://edmondsonsupply.com/products/veto-pro-pac-tech-pac-backpack-tool-bag-3")</f>
        <v/>
      </c>
      <c r="C330" t="inlineStr">
        <is>
          <t>Veto Pro Pac TECH PAC MC Backpack Tool Bag</t>
        </is>
      </c>
      <c r="D330" t="inlineStr">
        <is>
          <t>Veto Pro Pac MB-MCT Compact Tool Bag with Rubber Base</t>
        </is>
      </c>
      <c r="E330" s="2">
        <f>HYPERLINK("https://www.amazon.com/Veto-MB-MCT-Compact-Tool-Rubber/dp/B07T15MWRG/ref=sr_1_33?keywords=Veto+Pro+Pac+TECH+PAC+MC+Backpack+Tool+Bag&amp;qid=1694734443&amp;sr=8-33", "https://www.amazon.com/Veto-MB-MCT-Compact-Tool-Rubber/dp/B07T15MWRG/ref=sr_1_33?keywords=Veto+Pro+Pac+TECH+PAC+MC+Backpack+Tool+Bag&amp;qid=1694734443&amp;sr=8-33")</f>
        <v/>
      </c>
      <c r="F330" t="inlineStr">
        <is>
          <t>B07T15MWRG</t>
        </is>
      </c>
      <c r="G330">
        <f>_xlfn.IMAGE("https://edmondsonsupply.com/cdn/shop/products/MC2.jpg?v=1642553730")</f>
        <v/>
      </c>
      <c r="H330">
        <f>_xlfn.IMAGE("https://m.media-amazon.com/images/I/41+Iz8Q1qUL._AC_UL320_.jpg")</f>
        <v/>
      </c>
      <c r="K330" t="inlineStr">
        <is>
          <t>274.99</t>
        </is>
      </c>
      <c r="L330" t="n">
        <v>199.95</v>
      </c>
      <c r="M330" s="1" t="inlineStr">
        <is>
          <t>-27.29%</t>
        </is>
      </c>
      <c r="N330" s="7" t="n">
        <v>-41.15</v>
      </c>
      <c r="O330" t="n">
        <v>4.9</v>
      </c>
      <c r="P330" t="n">
        <v>31</v>
      </c>
      <c r="R330" t="inlineStr">
        <is>
          <t>InStock</t>
        </is>
      </c>
      <c r="S330" t="inlineStr">
        <is>
          <t>undefined</t>
        </is>
      </c>
      <c r="T330" t="inlineStr">
        <is>
          <t>3561063415908</t>
        </is>
      </c>
    </row>
    <row r="331" ht="87" customHeight="1">
      <c r="A331" s="2">
        <f>HYPERLINK("https://edmondsonsupply.com/collections/storage-organization/products/veto-pro-pac-tech-pac-wheeler-backpack-tool-bag", "https://edmondsonsupply.com/collections/storage-organization/products/veto-pro-pac-tech-pac-wheeler-backpack-tool-bag")</f>
        <v/>
      </c>
      <c r="B331" s="2">
        <f>HYPERLINK("https://edmondsonsupply.com/products/veto-pro-pac-tech-pac-wheeler-backpack-tool-bag", "https://edmondsonsupply.com/products/veto-pro-pac-tech-pac-wheeler-backpack-tool-bag")</f>
        <v/>
      </c>
      <c r="C331" t="inlineStr">
        <is>
          <t>Veto Pro Pac TECH PAC WHEELER Backpack Tool Bag</t>
        </is>
      </c>
      <c r="D331" t="inlineStr">
        <is>
          <t>Veto Pro Pac Tech Pac LT Tool Bag</t>
        </is>
      </c>
      <c r="E331" s="2">
        <f>HYPERLINK("https://www.amazon.com/VETO-PRO-PAC-Tech-Pac/dp/B00WZLTCHO/ref=sr_1_3?keywords=Veto+Pro+Pac+TECH+PAC+WHEELER+Backpack+Tool+Bag&amp;qid=1694734439&amp;sr=8-3", "https://www.amazon.com/VETO-PRO-PAC-Tech-Pac/dp/B00WZLTCHO/ref=sr_1_3?keywords=Veto+Pro+Pac+TECH+PAC+WHEELER+Backpack+Tool+Bag&amp;qid=1694734439&amp;sr=8-3")</f>
        <v/>
      </c>
      <c r="F331" t="inlineStr">
        <is>
          <t>B00WZLTCHO</t>
        </is>
      </c>
      <c r="G331">
        <f>_xlfn.IMAGE("https://edmondsonsupply.com/cdn/shop/products/01_TECH-PAC-WHEELER.jpg?v=1633031176")</f>
        <v/>
      </c>
      <c r="H331">
        <f>_xlfn.IMAGE("https://m.media-amazon.com/images/I/61uz-pihn8L._AC_UL320_.jpg")</f>
        <v/>
      </c>
      <c r="K331" t="inlineStr">
        <is>
          <t>399.99</t>
        </is>
      </c>
      <c r="L331" t="n">
        <v>289.95</v>
      </c>
      <c r="M331" s="1" t="inlineStr">
        <is>
          <t>-27.51%</t>
        </is>
      </c>
      <c r="N331" s="7" t="n">
        <v>-41.19</v>
      </c>
      <c r="O331" t="n">
        <v>4.7</v>
      </c>
      <c r="P331" t="n">
        <v>285</v>
      </c>
      <c r="R331" t="inlineStr">
        <is>
          <t>InStock</t>
        </is>
      </c>
      <c r="S331" t="inlineStr">
        <is>
          <t>undefined</t>
        </is>
      </c>
      <c r="T331" t="inlineStr">
        <is>
          <t>6917914984621</t>
        </is>
      </c>
    </row>
    <row r="332" ht="87" customHeight="1">
      <c r="A332" s="2">
        <f>HYPERLINK("https://edmondsonsupply.com/collections/storage-organization/products/veto-pro-pac-wrencher-mc", "https://edmondsonsupply.com/collections/storage-organization/products/veto-pro-pac-wrencher-mc")</f>
        <v/>
      </c>
      <c r="B332" s="2">
        <f>HYPERLINK("https://edmondsonsupply.com/products/veto-pro-pac-wrencher-mc", "https://edmondsonsupply.com/products/veto-pro-pac-wrencher-mc")</f>
        <v/>
      </c>
      <c r="C332" t="inlineStr">
        <is>
          <t>Veto Pro Pac Wrencher MC</t>
        </is>
      </c>
      <c r="D332" t="inlineStr">
        <is>
          <t>Veto Pro Pac MC Tool Bag (Original)</t>
        </is>
      </c>
      <c r="E332" s="2">
        <f>HYPERLINK("https://www.amazon.com/Veto-Pro-MC-Handling-Tools/dp/B00NLXNW3A/ref=sr_1_8?keywords=Veto+Pro+Pac+Wrencher+MC&amp;qid=1694734449&amp;sr=8-8", "https://www.amazon.com/Veto-Pro-MC-Handling-Tools/dp/B00NLXNW3A/ref=sr_1_8?keywords=Veto+Pro+Pac+Wrencher+MC&amp;qid=1694734449&amp;sr=8-8")</f>
        <v/>
      </c>
      <c r="F332" t="inlineStr">
        <is>
          <t>B00NLXNW3A</t>
        </is>
      </c>
      <c r="G332">
        <f>_xlfn.IMAGE("https://edmondsonsupply.com/cdn/shop/products/0001_WRENCHER-MC_32.jpg?v=1675795195")</f>
        <v/>
      </c>
      <c r="H332">
        <f>_xlfn.IMAGE("https://m.media-amazon.com/images/I/71emJbrVHBL._AC_UL320_.jpg")</f>
        <v/>
      </c>
      <c r="K332" t="inlineStr">
        <is>
          <t>199.99</t>
        </is>
      </c>
      <c r="L332" t="n">
        <v>144.95</v>
      </c>
      <c r="M332" s="1" t="inlineStr">
        <is>
          <t>-27.52%</t>
        </is>
      </c>
      <c r="N332" s="7" t="n">
        <v>-41.68</v>
      </c>
      <c r="O332" t="n">
        <v>4.7</v>
      </c>
      <c r="P332" t="n">
        <v>839</v>
      </c>
      <c r="R332" t="inlineStr">
        <is>
          <t>InStock</t>
        </is>
      </c>
      <c r="S332" t="inlineStr">
        <is>
          <t>undefined</t>
        </is>
      </c>
      <c r="T332" t="inlineStr">
        <is>
          <t>7940474208472</t>
        </is>
      </c>
    </row>
    <row r="333" ht="87" customHeight="1">
      <c r="A333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33" s="2">
        <f>HYPERLINK("https://edmondsonsupply.com/products/veto-pro-pac-tech-pac-mc-blackout", "https://edmondsonsupply.com/products/veto-pro-pac-tech-pac-mc-blackout")</f>
        <v/>
      </c>
      <c r="C333" t="inlineStr">
        <is>
          <t>Veto Pro Pac TECH PAC MC Blackout</t>
        </is>
      </c>
      <c r="D333" t="inlineStr">
        <is>
          <t>TECHOT-MC Veto Compact Open Top Tool Bag</t>
        </is>
      </c>
      <c r="E333" s="2">
        <f>HYPERLINK("https://www.amazon.com/TECHOT-MC-Veto-COMPACT-Open-Tool/dp/B07146M3QW/ref=sr_1_9?keywords=Veto+Pro+Pac+TECH+PAC+MC+Blackout&amp;qid=1694734455&amp;sr=8-9", "https://www.amazon.com/TECHOT-MC-Veto-COMPACT-Open-Tool/dp/B07146M3QW/ref=sr_1_9?keywords=Veto+Pro+Pac+TECH+PAC+MC+Blackout&amp;qid=1694734455&amp;sr=8-9")</f>
        <v/>
      </c>
      <c r="F333" t="inlineStr">
        <is>
          <t>B07146M3QW</t>
        </is>
      </c>
      <c r="G333">
        <f>_xlfn.IMAGE("https://edmondsonsupply.com/cdn/shop/products/tech1.png?v=1633031062")</f>
        <v/>
      </c>
      <c r="H333">
        <f>_xlfn.IMAGE("https://m.media-amazon.com/images/I/7164ViSBjML._AC_UL320_.jpg")</f>
        <v/>
      </c>
      <c r="K333" t="inlineStr">
        <is>
          <t>294.99</t>
        </is>
      </c>
      <c r="L333" t="n">
        <v>209.95</v>
      </c>
      <c r="M333" s="1" t="inlineStr">
        <is>
          <t>-28.83%</t>
        </is>
      </c>
      <c r="N333" s="7" t="n">
        <v>-42.39</v>
      </c>
      <c r="O333" t="n">
        <v>4.8</v>
      </c>
      <c r="P333" t="n">
        <v>702</v>
      </c>
      <c r="R333" t="inlineStr">
        <is>
          <t>InStock</t>
        </is>
      </c>
      <c r="S333" t="inlineStr">
        <is>
          <t>undefined</t>
        </is>
      </c>
      <c r="T333" t="inlineStr">
        <is>
          <t>6821254496429</t>
        </is>
      </c>
    </row>
    <row r="334" ht="87" customHeight="1">
      <c r="A334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34" s="2">
        <f>HYPERLINK("https://edmondsonsupply.com/products/veto-pro-pac-tech-pac-mc-blackout", "https://edmondsonsupply.com/products/veto-pro-pac-tech-pac-mc-blackout")</f>
        <v/>
      </c>
      <c r="C334" t="inlineStr">
        <is>
          <t>Veto Pro Pac TECH PAC MC Blackout</t>
        </is>
      </c>
      <c r="D334" t="inlineStr">
        <is>
          <t>Veto Pro Pac TP-XD BLACKOUT</t>
        </is>
      </c>
      <c r="E334" s="2">
        <f>HYPERLINK("https://www.amazon.com/Veto-Pro-Pac-TP-XD-BLACKOUT/dp/B0B2YBQXNP/ref=sr_1_8?keywords=Veto+Pro+Pac+TECH+PAC+MC+Blackout&amp;qid=1694734455&amp;sr=8-8", "https://www.amazon.com/Veto-Pro-Pac-TP-XD-BLACKOUT/dp/B0B2YBQXNP/ref=sr_1_8?keywords=Veto+Pro+Pac+TECH+PAC+MC+Blackout&amp;qid=1694734455&amp;sr=8-8")</f>
        <v/>
      </c>
      <c r="F334" t="inlineStr">
        <is>
          <t>B0B2YBQXNP</t>
        </is>
      </c>
      <c r="G334">
        <f>_xlfn.IMAGE("https://edmondsonsupply.com/cdn/shop/products/tech1.png?v=1633031062")</f>
        <v/>
      </c>
      <c r="H334">
        <f>_xlfn.IMAGE("https://m.media-amazon.com/images/I/51vvq1zbgwL._AC_UL320_.jpg")</f>
        <v/>
      </c>
      <c r="K334" t="inlineStr">
        <is>
          <t>294.99</t>
        </is>
      </c>
      <c r="L334" t="n">
        <v>209.95</v>
      </c>
      <c r="M334" s="1" t="inlineStr">
        <is>
          <t>-28.83%</t>
        </is>
      </c>
      <c r="N334" s="7" t="n">
        <v>-42.44</v>
      </c>
      <c r="O334" t="n">
        <v>4.5</v>
      </c>
      <c r="P334" t="n">
        <v>24</v>
      </c>
      <c r="R334" t="inlineStr">
        <is>
          <t>InStock</t>
        </is>
      </c>
      <c r="S334" t="inlineStr">
        <is>
          <t>undefined</t>
        </is>
      </c>
      <c r="T334" t="inlineStr">
        <is>
          <t>6821254496429</t>
        </is>
      </c>
    </row>
    <row r="335" ht="87" customHeight="1">
      <c r="A335" s="2">
        <f>HYPERLINK("https://edmondsonsupply.com/collections/storage-organization/products/wild-river-wt3503-tackle-tek%E2%84%A2-recon-lighted-compact-backpack", "https://edmondsonsupply.com/collections/storage-organization/products/wild-river-wt3503-tackle-tek%E2%84%A2-recon-lighted-compact-backpack")</f>
        <v/>
      </c>
      <c r="B335" s="2">
        <f>HYPERLINK("https://edmondsonsupply.com/products/wild-river-wt3503-tackle-tek%e2%84%a2-recon-lighted-compact-backpack", "https://edmondsonsupply.com/products/wild-river-wt3503-tackle-tek%e2%84%a2-recon-lighted-compact-backpack")</f>
        <v/>
      </c>
      <c r="C335" t="inlineStr">
        <is>
          <t>CLC Wild River WT3503 Tackle Tek™ Recon – Lighted Compact Backpack</t>
        </is>
      </c>
      <c r="D335" t="inlineStr">
        <is>
          <t>Custom Leathercraft Wild River by CLC WN3503 Tackle Tek Recon Lighted Compact Backpack, Trays Not Included</t>
        </is>
      </c>
      <c r="E335" s="2">
        <f>HYPERLINK("https://www.amazon.com/Custom-Leathercraft-WN3503-Backpack-Included/dp/B00A738C4Q/ref=sr_1_2?keywords=CLC+Wild+River+WT3503+Tackle+Tek%E2%84%A2+Recon+%E2%80%93+Lighted+Compact+Backpack&amp;qid=1694734458&amp;sr=8-2", "https://www.amazon.com/Custom-Leathercraft-WN3503-Backpack-Included/dp/B00A738C4Q/ref=sr_1_2?keywords=CLC+Wild+River+WT3503+Tackle+Tek%E2%84%A2+Recon+%E2%80%93+Lighted+Compact+Backpack&amp;qid=1694734458&amp;sr=8-2")</f>
        <v/>
      </c>
      <c r="F335" t="inlineStr">
        <is>
          <t>B00A738C4Q</t>
        </is>
      </c>
      <c r="G335">
        <f>_xlfn.IMAGE("https://edmondsonsupply.com/cdn/shop/products/WT3503.png?v=1633031080")</f>
        <v/>
      </c>
      <c r="H335">
        <f>_xlfn.IMAGE("https://m.media-amazon.com/images/I/71YFnZgCU2L._AC_UL320_.jpg")</f>
        <v/>
      </c>
      <c r="K335" t="inlineStr">
        <is>
          <t>149.0</t>
        </is>
      </c>
      <c r="L335" t="n">
        <v>105.81</v>
      </c>
      <c r="M335" s="1" t="inlineStr">
        <is>
          <t>-28.99%</t>
        </is>
      </c>
      <c r="N335" s="7" t="n">
        <v>-43.77</v>
      </c>
      <c r="O335" t="n">
        <v>4.1</v>
      </c>
      <c r="P335" t="n">
        <v>32</v>
      </c>
      <c r="R335" t="inlineStr">
        <is>
          <t>InStock</t>
        </is>
      </c>
      <c r="S335" t="inlineStr">
        <is>
          <t>199.0</t>
        </is>
      </c>
      <c r="T335" t="inlineStr">
        <is>
          <t>6830246101165</t>
        </is>
      </c>
    </row>
    <row r="336" ht="87" customHeight="1">
      <c r="A336" s="2">
        <f>HYPERLINK("https://edmondsonsupply.com/collections/storage-organization/products/veto-pro-pac-tp-xxl-blackout-tool-pouch", "https://edmondsonsupply.com/collections/storage-organization/products/veto-pro-pac-tp-xxl-blackout-tool-pouch")</f>
        <v/>
      </c>
      <c r="B336" s="2">
        <f>HYPERLINK("https://edmondsonsupply.com/products/veto-pro-pac-tp-xxl-blackout-tool-pouch", "https://edmondsonsupply.com/products/veto-pro-pac-tp-xxl-blackout-tool-pouch")</f>
        <v/>
      </c>
      <c r="C336" t="inlineStr">
        <is>
          <t>Veto Pro Pac TP-XXL Blackout Tool Pouch</t>
        </is>
      </c>
      <c r="D336" t="inlineStr">
        <is>
          <t>Veto Pro Pac TP-XL Extra Large Tool Pouch</t>
        </is>
      </c>
      <c r="E336" s="2">
        <f>HYPERLINK("https://www.amazon.com/Veto-TP-XL-Extra-Large-Pouch/dp/B07WDL7SD3/ref=sr_1_5?keywords=Veto+Pro+Pac+TP-XXL+Blackout+Tool+Pouch&amp;qid=1694734438&amp;sr=8-5", "https://www.amazon.com/Veto-TP-XL-Extra-Large-Pouch/dp/B07WDL7SD3/ref=sr_1_5?keywords=Veto+Pro+Pac+TP-XXL+Blackout+Tool+Pouch&amp;qid=1694734438&amp;sr=8-5")</f>
        <v/>
      </c>
      <c r="F336" t="inlineStr">
        <is>
          <t>B07WDL7SD3</t>
        </is>
      </c>
      <c r="G336">
        <f>_xlfn.IMAGE("https://edmondsonsupply.com/cdn/shop/files/TP-xxl_blackout_600x830_0000_TP-XXL_BLACKOUT_0379.jpg?v=1685736106")</f>
        <v/>
      </c>
      <c r="H336">
        <f>_xlfn.IMAGE("https://m.media-amazon.com/images/I/91dIbPcb4XL._AC_UL320_.jpg")</f>
        <v/>
      </c>
      <c r="K336" t="inlineStr">
        <is>
          <t>239.99</t>
        </is>
      </c>
      <c r="L336" t="n">
        <v>169.95</v>
      </c>
      <c r="M336" s="1" t="inlineStr">
        <is>
          <t>-29.18%</t>
        </is>
      </c>
      <c r="N336" s="7" t="n">
        <v>-44.28</v>
      </c>
      <c r="O336" t="n">
        <v>4.9</v>
      </c>
      <c r="P336" t="n">
        <v>1131</v>
      </c>
      <c r="R336" t="inlineStr">
        <is>
          <t>OutOfStock</t>
        </is>
      </c>
      <c r="S336" t="inlineStr">
        <is>
          <t>undefined</t>
        </is>
      </c>
      <c r="T336" t="inlineStr">
        <is>
          <t>7999688868056</t>
        </is>
      </c>
    </row>
    <row r="337" ht="87" customHeight="1">
      <c r="A337" s="2">
        <f>HYPERLINK("https://edmondsonsupply.com/collections/storage-organization/products/dewalt-dgcl33-33", "https://edmondsonsupply.com/collections/storage-organization/products/dewalt-dgcl33-33")</f>
        <v/>
      </c>
      <c r="B337" s="2">
        <f>HYPERLINK("https://edmondsonsupply.com/products/dewalt-dgcl33-33", "https://edmondsonsupply.com/products/dewalt-dgcl33-33")</f>
        <v/>
      </c>
      <c r="C337" t="inlineStr">
        <is>
          <t>CLC DeWALT DGCL33 33-Pocket Lighted USB Charging Tool Backpack</t>
        </is>
      </c>
      <c r="D337" t="inlineStr">
        <is>
          <t>DEWALT DGCL33 33-Pocket Lighted USB Charging Tool Backpack , Yellow</t>
        </is>
      </c>
      <c r="E337" s="2">
        <f>HYPERLINK("https://www.amazon.com/DEWALT-DGCL33-33-Pocket-Charging-Backpack/dp/B01JIPPI2M/ref=sr_1_1?keywords=CLC+DeWALT+DGCL33+33-Pocket+Lighted+USB+Charging+Tool+Backpack&amp;qid=1694734466&amp;sr=8-1", "https://www.amazon.com/DEWALT-DGCL33-33-Pocket-Charging-Backpack/dp/B01JIPPI2M/ref=sr_1_1?keywords=CLC+DeWALT+DGCL33+33-Pocket+Lighted+USB+Charging+Tool+Backpack&amp;qid=1694734466&amp;sr=8-1")</f>
        <v/>
      </c>
      <c r="F337" t="inlineStr">
        <is>
          <t>B01JIPPI2M</t>
        </is>
      </c>
      <c r="G337">
        <f>_xlfn.IMAGE("https://edmondsonsupply.com/cdn/shop/products/DGCL33-1.png?v=1609787600")</f>
        <v/>
      </c>
      <c r="H337">
        <f>_xlfn.IMAGE("https://m.media-amazon.com/images/I/81zdgKcBZoL._AC_UL320_.jpg")</f>
        <v/>
      </c>
      <c r="K337" t="inlineStr">
        <is>
          <t>189.0</t>
        </is>
      </c>
      <c r="L337" t="n">
        <v>132.77</v>
      </c>
      <c r="M337" s="1" t="inlineStr">
        <is>
          <t>-29.75%</t>
        </is>
      </c>
      <c r="N337" s="7" t="n">
        <v>-44.46</v>
      </c>
      <c r="O337" t="n">
        <v>4.7</v>
      </c>
      <c r="P337" t="n">
        <v>1774</v>
      </c>
      <c r="R337" t="inlineStr">
        <is>
          <t>InStock</t>
        </is>
      </c>
      <c r="S337" t="inlineStr">
        <is>
          <t>219.0</t>
        </is>
      </c>
      <c r="T337" t="inlineStr">
        <is>
          <t>5261413712040</t>
        </is>
      </c>
    </row>
    <row r="338" ht="87" customHeight="1">
      <c r="A338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38" s="2">
        <f>HYPERLINK("https://edmondsonsupply.com/products/veto-pro-pac-tech-pac-backpack-tool-bag", "https://edmondsonsupply.com/products/veto-pro-pac-tech-pac-backpack-tool-bag")</f>
        <v/>
      </c>
      <c r="C338" t="inlineStr">
        <is>
          <t>Veto Pro Pac TECH PAC Backpack Tool Bag</t>
        </is>
      </c>
      <c r="D338" t="inlineStr">
        <is>
          <t>TECHOT-MC Veto Compact Open Top Tool Bag</t>
        </is>
      </c>
      <c r="E338" s="2">
        <f>HYPERLINK("https://www.amazon.com/TECHOT-MC-Veto-COMPACT-Open-Tool/dp/B07146M3QW/ref=sr_1_25?keywords=Veto+Pro+Pac+TECH+PAC+Backpack+Tool+Bag&amp;qid=1694734435&amp;sr=8-25", "https://www.amazon.com/TECHOT-MC-Veto-COMPACT-Open-Tool/dp/B07146M3QW/ref=sr_1_25?keywords=Veto+Pro+Pac+TECH+PAC+Backpack+Tool+Bag&amp;qid=1694734435&amp;sr=8-25")</f>
        <v/>
      </c>
      <c r="F338" t="inlineStr">
        <is>
          <t>B07146M3QW</t>
        </is>
      </c>
      <c r="G338">
        <f>_xlfn.IMAGE("https://edmondsonsupply.com/cdn/shop/products/Veto_Tech_Pac.jpg?v=1587149981")</f>
        <v/>
      </c>
      <c r="H338">
        <f>_xlfn.IMAGE("https://m.media-amazon.com/images/I/7164ViSBjML._AC_UL320_.jpg")</f>
        <v/>
      </c>
      <c r="K338" t="inlineStr">
        <is>
          <t>299.99</t>
        </is>
      </c>
      <c r="L338" t="n">
        <v>209.95</v>
      </c>
      <c r="M338" s="1" t="inlineStr">
        <is>
          <t>-30.01%</t>
        </is>
      </c>
      <c r="N338" s="7" t="n">
        <v>-44.48</v>
      </c>
      <c r="O338" t="n">
        <v>4.8</v>
      </c>
      <c r="P338" t="n">
        <v>702</v>
      </c>
      <c r="R338" t="inlineStr">
        <is>
          <t>InStock</t>
        </is>
      </c>
      <c r="S338" t="inlineStr">
        <is>
          <t>undefined</t>
        </is>
      </c>
      <c r="T338" t="inlineStr">
        <is>
          <t>3557476335716</t>
        </is>
      </c>
    </row>
    <row r="339" ht="87" customHeight="1">
      <c r="A339" s="2">
        <f>HYPERLINK("https://edmondsonsupply.com/collections/storage-organization/products/klein-tools-5104octo-canvas-bucket-leather-bottom-connection-points-12-inch", "https://edmondsonsupply.com/collections/storage-organization/products/klein-tools-5104octo-canvas-bucket-leather-bottom-connection-points-12-inch")</f>
        <v/>
      </c>
      <c r="B339" s="2">
        <f>HYPERLINK("https://edmondsonsupply.com/products/klein-tools-5104octo-canvas-bucket-leather-bottom-connection-points-12-inch", "https://edmondsonsupply.com/products/klein-tools-5104octo-canvas-bucket-leather-bottom-connection-points-12-inch")</f>
        <v/>
      </c>
      <c r="C339" t="inlineStr">
        <is>
          <t>Klein Tools 5104OCTO Canvas Bucket, Leather Bottom, Connection Points, 12-Inch</t>
        </is>
      </c>
      <c r="D339" t="inlineStr">
        <is>
          <t>Klein Tools 5104 Canvas Bucket with Leather Bottom, 12-Inch Diameter, 1 Pocket, 100-Pound Load Rated Utility Bucket, Natural</t>
        </is>
      </c>
      <c r="E339" s="2">
        <f>HYPERLINK("https://www.amazon.com/Canvas-Leather-Klein-Tools-5104/dp/B0042T2R9M/ref=sr_1_2?keywords=Klein+Tools+5104OCTO+Canvas+Bucket%2C+Leather+Bottom%2C+Connection+Points%2C+12-Inch&amp;qid=1694734458&amp;sr=8-2", "https://www.amazon.com/Canvas-Leather-Klein-Tools-5104/dp/B0042T2R9M/ref=sr_1_2?keywords=Klein+Tools+5104OCTO+Canvas+Bucket%2C+Leather+Bottom%2C+Connection+Points%2C+12-Inch&amp;qid=1694734458&amp;sr=8-2")</f>
        <v/>
      </c>
      <c r="F339" t="inlineStr">
        <is>
          <t>B0042T2R9M</t>
        </is>
      </c>
      <c r="G339">
        <f>_xlfn.IMAGE("https://edmondsonsupply.com/cdn/shop/products/5104octo.jpg?v=1633030820")</f>
        <v/>
      </c>
      <c r="H339">
        <f>_xlfn.IMAGE("https://m.media-amazon.com/images/I/41TNuI4Ag2S._AC_UL320_.jpg")</f>
        <v/>
      </c>
      <c r="K339" t="inlineStr">
        <is>
          <t>101.04</t>
        </is>
      </c>
      <c r="L339" t="n">
        <v>70.66</v>
      </c>
      <c r="M339" s="1" t="inlineStr">
        <is>
          <t>-30.07%</t>
        </is>
      </c>
      <c r="N339" s="7" t="n">
        <v>-44.48</v>
      </c>
      <c r="O339" t="n">
        <v>4.8</v>
      </c>
      <c r="P339" t="n">
        <v>427</v>
      </c>
      <c r="R339" t="inlineStr">
        <is>
          <t>InStock</t>
        </is>
      </c>
      <c r="S339" t="inlineStr">
        <is>
          <t>164.96</t>
        </is>
      </c>
      <c r="T339" t="inlineStr">
        <is>
          <t>6080598180013</t>
        </is>
      </c>
    </row>
    <row r="340" ht="87" customHeight="1">
      <c r="A340" s="2">
        <f>HYPERLINK("https://edmondsonsupply.com/collections/storage-organization/products/veto-pro-pac-wrencher-xl", "https://edmondsonsupply.com/collections/storage-organization/products/veto-pro-pac-wrencher-xl")</f>
        <v/>
      </c>
      <c r="B340" s="2">
        <f>HYPERLINK("https://edmondsonsupply.com/products/veto-pro-pac-wrencher-xl", "https://edmondsonsupply.com/products/veto-pro-pac-wrencher-xl")</f>
        <v/>
      </c>
      <c r="C340" t="inlineStr">
        <is>
          <t>Veto Pro Pac Wrencher XL</t>
        </is>
      </c>
      <c r="D340" t="inlineStr">
        <is>
          <t>Veto Pro Pac Tech XL Tool Bag, 1-Pack,Black, Grey</t>
        </is>
      </c>
      <c r="E340" s="2">
        <f>HYPERLINK("https://www.amazon.com/Veto-Tech-XL-Tool-1-Pack/dp/B00DYRFEJI/ref=sr_1_7?keywords=Veto+Pro+Pac+Wrencher+XL&amp;qid=1694734460&amp;sr=8-7", "https://www.amazon.com/Veto-Tech-XL-Tool-1-Pack/dp/B00DYRFEJI/ref=sr_1_7?keywords=Veto+Pro+Pac+Wrencher+XL&amp;qid=1694734460&amp;sr=8-7")</f>
        <v/>
      </c>
      <c r="F340" t="inlineStr">
        <is>
          <t>B00DYRFEJI</t>
        </is>
      </c>
      <c r="G340">
        <f>_xlfn.IMAGE("https://edmondsonsupply.com/cdn/shop/products/0006_WRENCHER-XL_11.jpg?v=1675796410")</f>
        <v/>
      </c>
      <c r="H340">
        <f>_xlfn.IMAGE("https://m.media-amazon.com/images/I/71suRnmtVZL._AC_UL320_.jpg")</f>
        <v/>
      </c>
      <c r="K340" t="inlineStr">
        <is>
          <t>359.99</t>
        </is>
      </c>
      <c r="L340" t="n">
        <v>249.95</v>
      </c>
      <c r="M340" s="1" t="inlineStr">
        <is>
          <t>-30.57%</t>
        </is>
      </c>
      <c r="N340" s="7" t="n">
        <v>-44.98</v>
      </c>
      <c r="O340" t="n">
        <v>4.8</v>
      </c>
      <c r="P340" t="n">
        <v>762</v>
      </c>
      <c r="R340" t="inlineStr">
        <is>
          <t>InStock</t>
        </is>
      </c>
      <c r="S340" t="inlineStr">
        <is>
          <t>undefined</t>
        </is>
      </c>
      <c r="T340" t="inlineStr">
        <is>
          <t>7940480139480</t>
        </is>
      </c>
    </row>
    <row r="341" ht="87" customHeight="1">
      <c r="A341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41" s="2">
        <f>HYPERLINK("https://edmondsonsupply.com/products/veto-pro-pac-tech-pac-backpack-tool-bag-3", "https://edmondsonsupply.com/products/veto-pro-pac-tech-pac-backpack-tool-bag-3")</f>
        <v/>
      </c>
      <c r="C341" t="inlineStr">
        <is>
          <t>Veto Pro Pac TECH PAC MC Backpack Tool Bag</t>
        </is>
      </c>
      <c r="D341" t="inlineStr">
        <is>
          <t>VETO PRO PAC TECH-MCT Tool Bag (Original)</t>
        </is>
      </c>
      <c r="E341" s="2">
        <f>HYPERLINK("https://www.amazon.com/VETO-PRO-PAC-TECH-MCT-Tool/dp/B01CENNFYS/ref=sr_1_3?keywords=Veto+Pro+Pac+TECH+PAC+MC+Backpack+Tool+Bag&amp;qid=1694734443&amp;sr=8-3", "https://www.amazon.com/VETO-PRO-PAC-TECH-MCT-Tool/dp/B01CENNFYS/ref=sr_1_3?keywords=Veto+Pro+Pac+TECH+PAC+MC+Backpack+Tool+Bag&amp;qid=1694734443&amp;sr=8-3")</f>
        <v/>
      </c>
      <c r="F341" t="inlineStr">
        <is>
          <t>B01CENNFYS</t>
        </is>
      </c>
      <c r="G341">
        <f>_xlfn.IMAGE("https://edmondsonsupply.com/cdn/shop/products/MC2.jpg?v=1642553730")</f>
        <v/>
      </c>
      <c r="H341">
        <f>_xlfn.IMAGE("https://m.media-amazon.com/images/I/61GanfvVX6L._AC_UL320_.jpg")</f>
        <v/>
      </c>
      <c r="K341" t="inlineStr">
        <is>
          <t>274.99</t>
        </is>
      </c>
      <c r="L341" t="n">
        <v>189.95</v>
      </c>
      <c r="M341" s="1" t="inlineStr">
        <is>
          <t>-30.92%</t>
        </is>
      </c>
      <c r="N341" s="7" t="n">
        <v>-45.47</v>
      </c>
      <c r="O341" t="n">
        <v>4.8</v>
      </c>
      <c r="P341" t="n">
        <v>2081</v>
      </c>
      <c r="R341" t="inlineStr">
        <is>
          <t>InStock</t>
        </is>
      </c>
      <c r="S341" t="inlineStr">
        <is>
          <t>undefined</t>
        </is>
      </c>
      <c r="T341" t="inlineStr">
        <is>
          <t>3561063415908</t>
        </is>
      </c>
    </row>
    <row r="342" ht="87" customHeight="1">
      <c r="A342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42" s="2">
        <f>HYPERLINK("https://edmondsonsupply.com/products/veto-pro-pac-tech-pac-backpack-tool-bag", "https://edmondsonsupply.com/products/veto-pro-pac-tech-pac-backpack-tool-bag")</f>
        <v/>
      </c>
      <c r="C342" t="inlineStr">
        <is>
          <t>Veto Pro Pac TECH PAC Backpack Tool Bag</t>
        </is>
      </c>
      <c r="D342" t="inlineStr">
        <is>
          <t>Veto Pro Pac Model LC Tool Bag</t>
        </is>
      </c>
      <c r="E342" s="2">
        <f>HYPERLINK("https://www.amazon.com/VETO-PRO-PAC-Model-LC/dp/B0002HC25M/ref=sr_1_22?keywords=Veto+Pro+Pac+TECH+PAC+Backpack+Tool+Bag&amp;qid=1694734435&amp;sr=8-22", "https://www.amazon.com/VETO-PRO-PAC-Model-LC/dp/B0002HC25M/ref=sr_1_22?keywords=Veto+Pro+Pac+TECH+PAC+Backpack+Tool+Bag&amp;qid=1694734435&amp;sr=8-22")</f>
        <v/>
      </c>
      <c r="F342" t="inlineStr">
        <is>
          <t>B0002HC25M</t>
        </is>
      </c>
      <c r="G342">
        <f>_xlfn.IMAGE("https://edmondsonsupply.com/cdn/shop/products/Veto_Tech_Pac.jpg?v=1587149981")</f>
        <v/>
      </c>
      <c r="H342">
        <f>_xlfn.IMAGE("https://m.media-amazon.com/images/I/61yDlU4vGyL._AC_UL320_.jpg")</f>
        <v/>
      </c>
      <c r="K342" t="inlineStr">
        <is>
          <t>299.99</t>
        </is>
      </c>
      <c r="L342" t="n">
        <v>204.95</v>
      </c>
      <c r="M342" s="1" t="inlineStr">
        <is>
          <t>-31.68%</t>
        </is>
      </c>
      <c r="N342" s="7" t="n">
        <v>-45.85</v>
      </c>
      <c r="O342" t="n">
        <v>4.7</v>
      </c>
      <c r="P342" t="n">
        <v>276</v>
      </c>
      <c r="R342" t="inlineStr">
        <is>
          <t>InStock</t>
        </is>
      </c>
      <c r="S342" t="inlineStr">
        <is>
          <t>undefined</t>
        </is>
      </c>
      <c r="T342" t="inlineStr">
        <is>
          <t>3557476335716</t>
        </is>
      </c>
    </row>
    <row r="343" ht="87" customHeight="1">
      <c r="A343" s="2">
        <f>HYPERLINK("https://edmondsonsupply.com/collections/storage-organization/products/veto-pro-pac-wrencher-lc", "https://edmondsonsupply.com/collections/storage-organization/products/veto-pro-pac-wrencher-lc")</f>
        <v/>
      </c>
      <c r="B343" s="2">
        <f>HYPERLINK("https://edmondsonsupply.com/products/veto-pro-pac-wrencher-lc", "https://edmondsonsupply.com/products/veto-pro-pac-wrencher-lc")</f>
        <v/>
      </c>
      <c r="C343" t="inlineStr">
        <is>
          <t>Veto Pro Pac Wrencher LC</t>
        </is>
      </c>
      <c r="D343" t="inlineStr">
        <is>
          <t>Veto Pro Pac OT-LC Tool Bag</t>
        </is>
      </c>
      <c r="E343" s="2">
        <f>HYPERLINK("https://www.amazon.com/VETO-PRO-PAC-OT-LC-Tool/dp/B000VKSAQA/ref=sr_1_8?keywords=Veto+Pro+Pac+Wrencher+LC&amp;qid=1694734449&amp;sr=8-8", "https://www.amazon.com/VETO-PRO-PAC-OT-LC-Tool/dp/B000VKSAQA/ref=sr_1_8?keywords=Veto+Pro+Pac+Wrencher+LC&amp;qid=1694734449&amp;sr=8-8")</f>
        <v/>
      </c>
      <c r="F343" t="inlineStr">
        <is>
          <t>B000VKSAQA</t>
        </is>
      </c>
      <c r="G343">
        <f>_xlfn.IMAGE("https://edmondsonsupply.com/cdn/shop/products/0004_WRENCHER-LC_16-1.jpg?v=1675796113")</f>
        <v/>
      </c>
      <c r="H343">
        <f>_xlfn.IMAGE("https://m.media-amazon.com/images/I/61sY9UF2i5L._AC_UL320_.jpg")</f>
        <v/>
      </c>
      <c r="K343" t="inlineStr">
        <is>
          <t>339.99</t>
        </is>
      </c>
      <c r="L343" t="n">
        <v>229.95</v>
      </c>
      <c r="M343" s="1" t="inlineStr">
        <is>
          <t>-32.37%</t>
        </is>
      </c>
      <c r="N343" s="7" t="n">
        <v>-46.48</v>
      </c>
      <c r="O343" t="n">
        <v>4.7</v>
      </c>
      <c r="P343" t="n">
        <v>162</v>
      </c>
      <c r="R343" t="inlineStr">
        <is>
          <t>InStock</t>
        </is>
      </c>
      <c r="S343" t="inlineStr">
        <is>
          <t>undefined</t>
        </is>
      </c>
      <c r="T343" t="inlineStr">
        <is>
          <t>7940479123672</t>
        </is>
      </c>
    </row>
    <row r="344" ht="87" customHeight="1">
      <c r="A344" s="2">
        <f>HYPERLINK("https://edmondsonsupply.com/collections/storage-organization/products/veto-pro-pac-ot-xl-extra-large-open-top-tool-bag", "https://edmondsonsupply.com/collections/storage-organization/products/veto-pro-pac-ot-xl-extra-large-open-top-tool-bag")</f>
        <v/>
      </c>
      <c r="B344" s="2">
        <f>HYPERLINK("https://edmondsonsupply.com/products/veto-pro-pac-ot-xl-extra-large-open-top-tool-bag", "https://edmondsonsupply.com/products/veto-pro-pac-ot-xl-extra-large-open-top-tool-bag")</f>
        <v/>
      </c>
      <c r="C344" t="inlineStr">
        <is>
          <t>Veto Pro Pac OT-XL Extra Large Open Top Tool Bag</t>
        </is>
      </c>
      <c r="D344" t="inlineStr">
        <is>
          <t>Veto Pro Pac TECH OT-SC (Sub-Compact Open Top Electrician Tool Bag)</t>
        </is>
      </c>
      <c r="E344" s="2">
        <f>HYPERLINK("https://www.amazon.com/Veto-TECH-OT-SC-Sub-Compact-Electrician/dp/B09ZC63KFK/ref=sr_1_5?keywords=Veto+Pro+Pac+OT-XL+Extra+Large+Open+Top+Tool+Bag&amp;qid=1694734447&amp;sr=8-5", "https://www.amazon.com/Veto-TECH-OT-SC-Sub-Compact-Electrician/dp/B09ZC63KFK/ref=sr_1_5?keywords=Veto+Pro+Pac+OT-XL+Extra+Large+Open+Top+Tool+Bag&amp;qid=1694734447&amp;sr=8-5")</f>
        <v/>
      </c>
      <c r="F344" t="inlineStr">
        <is>
          <t>B09ZC63KFK</t>
        </is>
      </c>
      <c r="G344">
        <f>_xlfn.IMAGE("https://edmondsonsupply.com/cdn/shop/products/OTXL_600x830_0000_OT-XL_1.jpg?v=1649028209")</f>
        <v/>
      </c>
      <c r="H344">
        <f>_xlfn.IMAGE("https://m.media-amazon.com/images/I/51LTwfYG5eL._AC_UL320_.jpg")</f>
        <v/>
      </c>
      <c r="K344" t="inlineStr">
        <is>
          <t>269.95</t>
        </is>
      </c>
      <c r="L344" t="n">
        <v>179.95</v>
      </c>
      <c r="M344" s="1" t="inlineStr">
        <is>
          <t>-33.34%</t>
        </is>
      </c>
      <c r="N344" s="7" t="n">
        <v>-47.29</v>
      </c>
      <c r="O344" t="n">
        <v>4.7</v>
      </c>
      <c r="P344" t="n">
        <v>21</v>
      </c>
      <c r="R344" t="inlineStr">
        <is>
          <t>InStock</t>
        </is>
      </c>
      <c r="S344" t="inlineStr">
        <is>
          <t>undefined</t>
        </is>
      </c>
      <c r="T344" t="inlineStr">
        <is>
          <t>7652911612120</t>
        </is>
      </c>
    </row>
    <row r="345" ht="87" customHeight="1">
      <c r="A345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45" s="2">
        <f>HYPERLINK("https://edmondsonsupply.com/products/veto-pro-pac-tech-pac-backpack-tool-bag", "https://edmondsonsupply.com/products/veto-pro-pac-tech-pac-backpack-tool-bag")</f>
        <v/>
      </c>
      <c r="C345" t="inlineStr">
        <is>
          <t>Veto Pro Pac TECH PAC Backpack Tool Bag</t>
        </is>
      </c>
      <c r="D345" t="inlineStr">
        <is>
          <t>Klein Tools 55485 Tool Bag Backpack, Durable Electrician Backpack with 48 Pockets for Hand Tools, Waterproof Bottom, Removable Tool Carrier</t>
        </is>
      </c>
      <c r="E345" s="2">
        <f>HYPERLINK("https://www.amazon.com/Backpack-Tools-Electrician-Klein-55485/dp/B07BHF11GQ/ref=sr_1_30?keywords=Veto+Pro+Pac+TECH+PAC+Backpack+Tool+Bag&amp;qid=1694734435&amp;sr=8-30", "https://www.amazon.com/Backpack-Tools-Electrician-Klein-55485/dp/B07BHF11GQ/ref=sr_1_30?keywords=Veto+Pro+Pac+TECH+PAC+Backpack+Tool+Bag&amp;qid=1694734435&amp;sr=8-30")</f>
        <v/>
      </c>
      <c r="F345" t="inlineStr">
        <is>
          <t>B07BHF11GQ</t>
        </is>
      </c>
      <c r="G345">
        <f>_xlfn.IMAGE("https://edmondsonsupply.com/cdn/shop/products/Veto_Tech_Pac.jpg?v=1587149981")</f>
        <v/>
      </c>
      <c r="H345">
        <f>_xlfn.IMAGE("https://m.media-amazon.com/images/I/61wL03g9EKL._AC_UL320_.jpg")</f>
        <v/>
      </c>
      <c r="K345" t="inlineStr">
        <is>
          <t>299.99</t>
        </is>
      </c>
      <c r="L345" t="n">
        <v>199.97</v>
      </c>
      <c r="M345" s="1" t="inlineStr">
        <is>
          <t>-33.34%</t>
        </is>
      </c>
      <c r="N345" s="7" t="n">
        <v>-47.39</v>
      </c>
      <c r="O345" t="n">
        <v>4.7</v>
      </c>
      <c r="P345" t="n">
        <v>1973</v>
      </c>
      <c r="R345" t="inlineStr">
        <is>
          <t>InStock</t>
        </is>
      </c>
      <c r="S345" t="inlineStr">
        <is>
          <t>undefined</t>
        </is>
      </c>
      <c r="T345" t="inlineStr">
        <is>
          <t>3557476335716</t>
        </is>
      </c>
    </row>
    <row r="346" ht="87" customHeight="1">
      <c r="A346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46" s="2">
        <f>HYPERLINK("https://edmondsonsupply.com/products/veto-pro-pac-tech-pac-blackout-backpack", "https://edmondsonsupply.com/products/veto-pro-pac-tech-pac-blackout-backpack")</f>
        <v/>
      </c>
      <c r="C346" t="inlineStr">
        <is>
          <t>Veto Pro Pac TECH PAC Blackout Backpack</t>
        </is>
      </c>
      <c r="D346" t="inlineStr">
        <is>
          <t>Veto Pro Pac Tech-TT (Tool Tote)</t>
        </is>
      </c>
      <c r="E346" s="2">
        <f>HYPERLINK("https://www.amazon.com/Veto-Pro-Tech-TT-Tool-Tote/dp/B0BKTVB3NT/ref=sr_1_16?keywords=Veto+Pro+Pac+TECH+PAC+Blackout+Backpack&amp;qid=1694734435&amp;sr=8-16", "https://www.amazon.com/Veto-Pro-Tech-TT-Tool-Tote/dp/B0BKTVB3NT/ref=sr_1_16?keywords=Veto+Pro+Pac+TECH+PAC+Blackout+Backpack&amp;qid=1694734435&amp;sr=8-16")</f>
        <v/>
      </c>
      <c r="F346" t="inlineStr">
        <is>
          <t>B0BKTVB3NT</t>
        </is>
      </c>
      <c r="G346">
        <f>_xlfn.IMAGE("https://edmondsonsupply.com/cdn/shop/products/tech1.jpg?v=1633031041")</f>
        <v/>
      </c>
      <c r="H346">
        <f>_xlfn.IMAGE("https://m.media-amazon.com/images/I/51f43DVmcFL._AC_UL320_.jpg")</f>
        <v/>
      </c>
      <c r="K346" t="inlineStr">
        <is>
          <t>329.99</t>
        </is>
      </c>
      <c r="L346" t="n">
        <v>219.95</v>
      </c>
      <c r="M346" s="1" t="inlineStr">
        <is>
          <t>-33.35%</t>
        </is>
      </c>
      <c r="N346" s="7" t="n">
        <v>-48.5</v>
      </c>
      <c r="O346" t="n">
        <v>5</v>
      </c>
      <c r="P346" t="n">
        <v>7</v>
      </c>
      <c r="R346" t="inlineStr">
        <is>
          <t>InStock</t>
        </is>
      </c>
      <c r="S346" t="inlineStr">
        <is>
          <t>undefined</t>
        </is>
      </c>
      <c r="T346" t="inlineStr">
        <is>
          <t>6752226476205</t>
        </is>
      </c>
    </row>
    <row r="347" ht="87" customHeight="1">
      <c r="A347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47" s="2">
        <f>HYPERLINK("https://edmondsonsupply.com/products/veto-pro-pac-tech-pac-backpack-tool-bag", "https://edmondsonsupply.com/products/veto-pro-pac-tech-pac-backpack-tool-bag")</f>
        <v/>
      </c>
      <c r="C347" t="inlineStr">
        <is>
          <t>Veto Pro Pac TECH PAC Backpack Tool Bag</t>
        </is>
      </c>
      <c r="D347" t="inlineStr">
        <is>
          <t>Veto Pro Pac Wrencher-MC (Medium Compact, Open-Top Tool Bag)</t>
        </is>
      </c>
      <c r="E347" s="2">
        <f>HYPERLINK("https://www.amazon.com/Veto-Wrencher-MC-Medium-Compact-Open-Top/dp/B0BBQ3R11H/ref=sr_1_36?keywords=Veto+Pro+Pac+TECH+PAC+Backpack+Tool+Bag&amp;qid=1694734435&amp;sr=8-36", "https://www.amazon.com/Veto-Wrencher-MC-Medium-Compact-Open-Top/dp/B0BBQ3R11H/ref=sr_1_36?keywords=Veto+Pro+Pac+TECH+PAC+Backpack+Tool+Bag&amp;qid=1694734435&amp;sr=8-36")</f>
        <v/>
      </c>
      <c r="F347" t="inlineStr">
        <is>
          <t>B0BBQ3R11H</t>
        </is>
      </c>
      <c r="G347">
        <f>_xlfn.IMAGE("https://edmondsonsupply.com/cdn/shop/products/Veto_Tech_Pac.jpg?v=1587149981")</f>
        <v/>
      </c>
      <c r="H347">
        <f>_xlfn.IMAGE("https://m.media-amazon.com/images/I/51xcXNSndtL._AC_UL320_.jpg")</f>
        <v/>
      </c>
      <c r="K347" t="inlineStr">
        <is>
          <t>299.99</t>
        </is>
      </c>
      <c r="L347" t="n">
        <v>199.95</v>
      </c>
      <c r="M347" s="1" t="inlineStr">
        <is>
          <t>-33.35%</t>
        </is>
      </c>
      <c r="N347" s="7" t="n">
        <v>-49.2</v>
      </c>
      <c r="O347" t="n">
        <v>5</v>
      </c>
      <c r="P347" t="n">
        <v>7</v>
      </c>
      <c r="R347" t="inlineStr">
        <is>
          <t>InStock</t>
        </is>
      </c>
      <c r="S347" t="inlineStr">
        <is>
          <t>undefined</t>
        </is>
      </c>
      <c r="T347" t="inlineStr">
        <is>
          <t>3557476335716</t>
        </is>
      </c>
    </row>
    <row r="348" ht="87" customHeight="1">
      <c r="A348" s="2">
        <f>HYPERLINK("https://edmondsonsupply.com/collections/storage-organization/products/clc-1524-medium-zip-top-utility-pouch", "https://edmondsonsupply.com/collections/storage-organization/products/clc-1524-medium-zip-top-utility-pouch")</f>
        <v/>
      </c>
      <c r="B348" s="2">
        <f>HYPERLINK("https://edmondsonsupply.com/products/clc-1524-medium-zip-top-utility-pouch", "https://edmondsonsupply.com/products/clc-1524-medium-zip-top-utility-pouch")</f>
        <v/>
      </c>
      <c r="C348" t="inlineStr">
        <is>
          <t>CLC 1524 Medium Zip Top Utility Pouch</t>
        </is>
      </c>
      <c r="D348" t="inlineStr">
        <is>
          <t>CLC Custom Leathercraft 1523 Ziptop Utility Pouch, Small</t>
        </is>
      </c>
      <c r="E348" s="2">
        <f>HYPERLINK("https://www.amazon.com/Custom-Leathercraft-1523-Ziptop-Utility/dp/B0047O3TYE/ref=sr_1_3?keywords=CLC+1524+Medium+Zip+Top+Utility+Pouch&amp;qid=1694734464&amp;sr=8-3", "https://www.amazon.com/Custom-Leathercraft-1523-Ziptop-Utility/dp/B0047O3TYE/ref=sr_1_3?keywords=CLC+1524+Medium+Zip+Top+Utility+Pouch&amp;qid=1694734464&amp;sr=8-3")</f>
        <v/>
      </c>
      <c r="F348" t="inlineStr">
        <is>
          <t>B0047O3TYE</t>
        </is>
      </c>
      <c r="G348">
        <f>_xlfn.IMAGE("https://edmondsonsupply.com/cdn/shop/products/1524.jpg?v=1633030333")</f>
        <v/>
      </c>
      <c r="H348">
        <f>_xlfn.IMAGE("https://m.media-amazon.com/images/I/81gcgjndIzL._AC_UL320_.jpg")</f>
        <v/>
      </c>
      <c r="K348" t="inlineStr">
        <is>
          <t>34.95</t>
        </is>
      </c>
      <c r="L348" t="n">
        <v>22.99</v>
      </c>
      <c r="M348" s="1" t="inlineStr">
        <is>
          <t>-34.22%</t>
        </is>
      </c>
      <c r="N348" s="7" t="n">
        <v>-49.37</v>
      </c>
      <c r="O348" t="n">
        <v>4.5</v>
      </c>
      <c r="P348" t="n">
        <v>1006</v>
      </c>
      <c r="R348" t="inlineStr">
        <is>
          <t>OutOfStock</t>
        </is>
      </c>
      <c r="S348" t="inlineStr">
        <is>
          <t>undefined</t>
        </is>
      </c>
      <c r="T348" t="inlineStr">
        <is>
          <t>5268003553448</t>
        </is>
      </c>
    </row>
    <row r="349" ht="87" customHeight="1">
      <c r="A349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49" s="2">
        <f>HYPERLINK("https://edmondsonsupply.com/products/veto-pro-pac-tech-pac-backpack-tool-bag-3", "https://edmondsonsupply.com/products/veto-pro-pac-tech-pac-backpack-tool-bag-3")</f>
        <v/>
      </c>
      <c r="C349" t="inlineStr">
        <is>
          <t>Veto Pro Pac TECH PAC MC Backpack Tool Bag</t>
        </is>
      </c>
      <c r="D349" t="inlineStr">
        <is>
          <t>Veto Pro Pac TECH OT-SC (Sub-Compact Open Top Electrician Tool Bag)</t>
        </is>
      </c>
      <c r="E349" s="2">
        <f>HYPERLINK("https://www.amazon.com/Veto-TECH-OT-SC-Sub-Compact-Electrician/dp/B09ZC63KFK/ref=sr_1_6?keywords=Veto+Pro+Pac+TECH+PAC+MC+Backpack+Tool+Bag&amp;qid=1694734443&amp;sr=8-6", "https://www.amazon.com/Veto-TECH-OT-SC-Sub-Compact-Electrician/dp/B09ZC63KFK/ref=sr_1_6?keywords=Veto+Pro+Pac+TECH+PAC+MC+Backpack+Tool+Bag&amp;qid=1694734443&amp;sr=8-6")</f>
        <v/>
      </c>
      <c r="F349" t="inlineStr">
        <is>
          <t>B09ZC63KFK</t>
        </is>
      </c>
      <c r="G349">
        <f>_xlfn.IMAGE("https://edmondsonsupply.com/cdn/shop/products/MC2.jpg?v=1642553730")</f>
        <v/>
      </c>
      <c r="H349">
        <f>_xlfn.IMAGE("https://m.media-amazon.com/images/I/51LTwfYG5eL._AC_UL320_.jpg")</f>
        <v/>
      </c>
      <c r="K349" t="inlineStr">
        <is>
          <t>274.99</t>
        </is>
      </c>
      <c r="L349" t="n">
        <v>179.95</v>
      </c>
      <c r="M349" s="1" t="inlineStr">
        <is>
          <t>-34.56%</t>
        </is>
      </c>
      <c r="N349" s="7" t="n">
        <v>-50.86</v>
      </c>
      <c r="O349" t="n">
        <v>4.7</v>
      </c>
      <c r="P349" t="n">
        <v>21</v>
      </c>
      <c r="R349" t="inlineStr">
        <is>
          <t>InStock</t>
        </is>
      </c>
      <c r="S349" t="inlineStr">
        <is>
          <t>undefined</t>
        </is>
      </c>
      <c r="T349" t="inlineStr">
        <is>
          <t>3561063415908</t>
        </is>
      </c>
    </row>
    <row r="350" hidden="1" ht="15.75" customHeight="1">
      <c r="A350" s="2">
        <f>HYPERLINK("https://edmondsonsupply.com/collections/storage-organization/products/copy-of-klein-tools-5539blu-canvas-zipper-bag-consumables-blue", "https://edmondsonsupply.com/collections/storage-organization/products/copy-of-klein-tools-5539blu-canvas-zipper-bag-consumables-blue")</f>
        <v/>
      </c>
      <c r="B350" s="2">
        <f>HYPERLINK("https://edmondsonsupply.com/products/copy-of-klein-tools-5539blu-canvas-zipper-bag-consumables-blue", "https://edmondsonsupply.com/products/copy-of-klein-tools-5539blu-canvas-zipper-bag-consumables-blue")</f>
        <v/>
      </c>
      <c r="C350" t="inlineStr">
        <is>
          <t>Klein Tools 5539NAT Zipper Bag, Canvas Tool Pouch, 10-Inch, Natural</t>
        </is>
      </c>
      <c r="D350" t="inlineStr">
        <is>
          <t>Klein Tools 5539NAT Zipper Bag, Canvas Tool Pouch is 10-Inch Consumables Bag for Storing Parts, Brass Grommet for Easy Hanging, Natural</t>
        </is>
      </c>
      <c r="E350" s="2">
        <f>HYPERLINK("https://www.amazon.com/Consumables-Natural-Klein-Tools-5539NAT/dp/B002G6XV02/ref=sr_1_1?keywords=Klein+Tools+5539NAT+Zipper+Bag%2C+Canvas+Tool+Pouch%2C+10-Inch%2C+Natural&amp;qid=1694734461&amp;sr=8-1", "https://www.amazon.com/Consumables-Natural-Klein-Tools-5539NAT/dp/B002G6XV02/ref=sr_1_1?keywords=Klein+Tools+5539NAT+Zipper+Bag%2C+Canvas+Tool+Pouch%2C+10-Inch%2C+Natural&amp;qid=1694734461&amp;sr=8-1")</f>
        <v/>
      </c>
      <c r="F350" t="inlineStr">
        <is>
          <t>B002G6XV02</t>
        </is>
      </c>
      <c r="G350">
        <f>_xludf.IMAGE("https://edmondsonsupply.com/cdn/shop/products/5539nat.jpg?v=1633030464")</f>
        <v/>
      </c>
      <c r="H350">
        <f>_xludf.IMAGE("https://m.media-amazon.com/images/I/71XRJ6HEOwL._AC_UL320_.jpg")</f>
        <v/>
      </c>
      <c r="K350" t="inlineStr">
        <is>
          <t>21.18</t>
        </is>
      </c>
      <c r="L350" t="n">
        <v>13.85</v>
      </c>
      <c r="M350" s="1" t="inlineStr">
        <is>
          <t>-34.61%</t>
        </is>
      </c>
      <c r="N350" s="1" t="n">
        <v>-51.68</v>
      </c>
      <c r="O350" t="n">
        <v>4.7</v>
      </c>
      <c r="P350" t="n">
        <v>829</v>
      </c>
      <c r="R350" t="inlineStr">
        <is>
          <t>OutOfStock</t>
        </is>
      </c>
      <c r="S350" t="inlineStr">
        <is>
          <t>undefined</t>
        </is>
      </c>
      <c r="T350" t="inlineStr">
        <is>
          <t>5362260869288</t>
        </is>
      </c>
    </row>
    <row r="351" ht="87" customHeight="1">
      <c r="A351" s="2">
        <f>HYPERLINK("https://edmondsonsupply.com/collections/storage-organization/products/clc-wild-river-wct3604-nomad-lighted-camo-backpack", "https://edmondsonsupply.com/collections/storage-organization/products/clc-wild-river-wct3604-nomad-lighted-camo-backpack")</f>
        <v/>
      </c>
      <c r="B351" s="2">
        <f>HYPERLINK("https://edmondsonsupply.com/products/clc-wild-river-wct3604-nomad-lighted-camo-backpack", "https://edmondsonsupply.com/products/clc-wild-river-wct3604-nomad-lighted-camo-backpack")</f>
        <v/>
      </c>
      <c r="C351" t="inlineStr">
        <is>
          <t>CLC Wild River WCT604 Nomad Lighted Camo Backpack</t>
        </is>
      </c>
      <c r="D351" t="inlineStr">
        <is>
          <t>Wild River by CLC 503 Tackle Tek Recon LED Lighted Camo Compact Backpack, Mossy Oak</t>
        </is>
      </c>
      <c r="E351" s="2">
        <f>HYPERLINK("https://www.amazon.com/WCN503-Lighted-Compact-Backpack-without/dp/B00F66Z2XS/ref=sr_1_2?keywords=CLC+Wild+River+WCT604+Nomad+Lighted+Camo+Backpack&amp;qid=1694734457&amp;sr=8-2", "https://www.amazon.com/WCN503-Lighted-Compact-Backpack-without/dp/B00F66Z2XS/ref=sr_1_2?keywords=CLC+Wild+River+WCT604+Nomad+Lighted+Camo+Backpack&amp;qid=1694734457&amp;sr=8-2")</f>
        <v/>
      </c>
      <c r="F351" t="inlineStr">
        <is>
          <t>B00F66Z2XS</t>
        </is>
      </c>
      <c r="G351">
        <f>_xlfn.IMAGE("https://edmondsonsupply.com/cdn/shop/products/604J.png?v=1633031084")</f>
        <v/>
      </c>
      <c r="H351">
        <f>_xlfn.IMAGE("https://m.media-amazon.com/images/I/61sk9VMPfKL._AC_UL320_.jpg")</f>
        <v/>
      </c>
      <c r="K351" t="inlineStr">
        <is>
          <t>199.95</t>
        </is>
      </c>
      <c r="L351" t="n">
        <v>129.14</v>
      </c>
      <c r="M351" s="1" t="inlineStr">
        <is>
          <t>-35.41%</t>
        </is>
      </c>
      <c r="N351" s="7" t="n">
        <v>-52.51</v>
      </c>
      <c r="O351" t="n">
        <v>5</v>
      </c>
      <c r="P351" t="n">
        <v>3</v>
      </c>
      <c r="R351" t="inlineStr">
        <is>
          <t>InStock</t>
        </is>
      </c>
      <c r="S351" t="inlineStr">
        <is>
          <t>249.0</t>
        </is>
      </c>
      <c r="T351" t="inlineStr">
        <is>
          <t>6831088337069</t>
        </is>
      </c>
    </row>
    <row r="352" ht="87" customHeight="1">
      <c r="A352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52" s="2">
        <f>HYPERLINK("https://edmondsonsupply.com/products/veto-pro-pac-tech-pac-mc-blackout", "https://edmondsonsupply.com/products/veto-pro-pac-tech-pac-mc-blackout")</f>
        <v/>
      </c>
      <c r="C352" t="inlineStr">
        <is>
          <t>Veto Pro Pac TECH PAC MC Blackout</t>
        </is>
      </c>
      <c r="D352" t="inlineStr">
        <is>
          <t>VETO PRO PAC TECH-MCT (Hi-Viz Orange)</t>
        </is>
      </c>
      <c r="E352" s="2">
        <f>HYPERLINK("https://www.amazon.com/VETO-PRO-TECH-MCT-Hi-Viz-Orange/dp/B09MXGZ1RW/ref=sr_1_5?keywords=Veto+Pro+Pac+TECH+PAC+MC+Blackout&amp;qid=1694734455&amp;sr=8-5", "https://www.amazon.com/VETO-PRO-TECH-MCT-Hi-Viz-Orange/dp/B09MXGZ1RW/ref=sr_1_5?keywords=Veto+Pro+Pac+TECH+PAC+MC+Blackout&amp;qid=1694734455&amp;sr=8-5")</f>
        <v/>
      </c>
      <c r="F352" t="inlineStr">
        <is>
          <t>B09MXGZ1RW</t>
        </is>
      </c>
      <c r="G352">
        <f>_xlfn.IMAGE("https://edmondsonsupply.com/cdn/shop/products/tech1.png?v=1633031062")</f>
        <v/>
      </c>
      <c r="H352">
        <f>_xlfn.IMAGE("https://m.media-amazon.com/images/I/61Xs--pHQeL._AC_UL320_.jpg")</f>
        <v/>
      </c>
      <c r="K352" t="inlineStr">
        <is>
          <t>294.99</t>
        </is>
      </c>
      <c r="L352" t="n">
        <v>189.95</v>
      </c>
      <c r="M352" s="1" t="inlineStr">
        <is>
          <t>-35.61%</t>
        </is>
      </c>
      <c r="N352" s="7" t="n">
        <v>-52.79</v>
      </c>
      <c r="O352" t="n">
        <v>4.8</v>
      </c>
      <c r="P352" t="n">
        <v>2081</v>
      </c>
      <c r="R352" t="inlineStr">
        <is>
          <t>InStock</t>
        </is>
      </c>
      <c r="S352" t="inlineStr">
        <is>
          <t>undefined</t>
        </is>
      </c>
      <c r="T352" t="inlineStr">
        <is>
          <t>6821254496429</t>
        </is>
      </c>
    </row>
    <row r="353" ht="87" customHeight="1">
      <c r="A353" s="2">
        <f>HYPERLINK("https://edmondsonsupply.com/collections/storage-organization/products/veto-pro-pac-tp-xxl-tool-pouch", "https://edmondsonsupply.com/collections/storage-organization/products/veto-pro-pac-tp-xxl-tool-pouch")</f>
        <v/>
      </c>
      <c r="B353" s="2">
        <f>HYPERLINK("https://edmondsonsupply.com/products/veto-pro-pac-tp-xxl-tool-pouch", "https://edmondsonsupply.com/products/veto-pro-pac-tp-xxl-tool-pouch")</f>
        <v/>
      </c>
      <c r="C353" t="inlineStr">
        <is>
          <t>Veto Pro Pac TP-XXL Tool Pouch</t>
        </is>
      </c>
      <c r="D353" t="inlineStr">
        <is>
          <t>Veto Pro Pac TP-LC (Compact, Zippered Service Tech Tool Pouch)</t>
        </is>
      </c>
      <c r="E353" s="2">
        <f>HYPERLINK("https://www.amazon.com/Veto-TP-LC-Compact-Zippered-Service/dp/B09TPZKBDP/ref=sr_1_4?keywords=Veto+Pro+Pac+TP-XXL+Tool+Pouch&amp;qid=1694734436&amp;sr=8-4", "https://www.amazon.com/Veto-TP-LC-Compact-Zippered-Service/dp/B09TPZKBDP/ref=sr_1_4?keywords=Veto+Pro+Pac+TP-XXL+Tool+Pouch&amp;qid=1694734436&amp;sr=8-4")</f>
        <v/>
      </c>
      <c r="F353" t="inlineStr">
        <is>
          <t>B09TPZKBDP</t>
        </is>
      </c>
      <c r="G353">
        <f>_xlfn.IMAGE("https://edmondsonsupply.com/cdn/shop/products/01_TP-XXL.jpg?v=1633031173")</f>
        <v/>
      </c>
      <c r="H353">
        <f>_xlfn.IMAGE("https://m.media-amazon.com/images/I/51b1SiebzcL._AC_UL320_.jpg")</f>
        <v/>
      </c>
      <c r="K353" t="inlineStr">
        <is>
          <t>209.99</t>
        </is>
      </c>
      <c r="L353" t="n">
        <v>134.95</v>
      </c>
      <c r="M353" s="1" t="inlineStr">
        <is>
          <t>-35.74%</t>
        </is>
      </c>
      <c r="N353" s="7" t="n">
        <v>-54.25</v>
      </c>
      <c r="O353" t="n">
        <v>4.8</v>
      </c>
      <c r="P353" t="n">
        <v>277</v>
      </c>
      <c r="R353" t="inlineStr">
        <is>
          <t>InStock</t>
        </is>
      </c>
      <c r="S353" t="inlineStr">
        <is>
          <t>undefined</t>
        </is>
      </c>
      <c r="T353" t="inlineStr">
        <is>
          <t>6917899321517</t>
        </is>
      </c>
    </row>
    <row r="354" ht="87" customHeight="1">
      <c r="A354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354" s="2">
        <f>HYPERLINK("https://edmondsonsupply.com/products/milwaukee-48-22-8045-packout%e2%84%a2-tool-tray", "https://edmondsonsupply.com/products/milwaukee-48-22-8045-packout%e2%84%a2-tool-tray")</f>
        <v/>
      </c>
      <c r="C354" t="inlineStr">
        <is>
          <t>Milwaukee 48-22-8045 PACKOUT™ Tool Tray</t>
        </is>
      </c>
      <c r="D354" t="inlineStr">
        <is>
          <t>Fortool 31-01-8400 Storage Tray Replacement Tray For Milwaukee Large Tool Box 48-22-8425, 48-22-8426</t>
        </is>
      </c>
      <c r="E354" s="2">
        <f>HYPERLINK("https://www.amazon.com/Fortool-31-01-8400-Replacement-48-22-8425-48-22-8426/dp/B09TXP2NHK/ref=sr_1_20?keywords=Milwaukee+48-22-8045+PACKOUT%E2%84%A2+Tool+Tray&amp;qid=1694734444&amp;sr=8-20", "https://www.amazon.com/Fortool-31-01-8400-Replacement-48-22-8425-48-22-8426/dp/B09TXP2NHK/ref=sr_1_20?keywords=Milwaukee+48-22-8045+PACKOUT%E2%84%A2+Tool+Tray&amp;qid=1694734444&amp;sr=8-20")</f>
        <v/>
      </c>
      <c r="F354" t="inlineStr">
        <is>
          <t>B09TXP2NHK</t>
        </is>
      </c>
      <c r="G354">
        <f>_xlfn.IMAGE("https://edmondsonsupply.com/cdn/shop/files/48-22-8045_4.webp?v=1686230573")</f>
        <v/>
      </c>
      <c r="H354">
        <f>_xlfn.IMAGE("https://m.media-amazon.com/images/I/71rBfgXpbWL._AC_UL320_.jpg")</f>
        <v/>
      </c>
      <c r="K354" t="inlineStr">
        <is>
          <t>39.97</t>
        </is>
      </c>
      <c r="L354" t="n">
        <v>25.49</v>
      </c>
      <c r="M354" s="1" t="inlineStr">
        <is>
          <t>-36.23%</t>
        </is>
      </c>
      <c r="N354" s="7" t="n">
        <v>-55.01</v>
      </c>
      <c r="O354" t="n">
        <v>4.6</v>
      </c>
      <c r="P354" t="n">
        <v>23</v>
      </c>
      <c r="R354" t="inlineStr">
        <is>
          <t>InStock</t>
        </is>
      </c>
      <c r="S354" t="inlineStr">
        <is>
          <t>64.9</t>
        </is>
      </c>
      <c r="T354" t="inlineStr">
        <is>
          <t>8002611806424</t>
        </is>
      </c>
    </row>
    <row r="355" ht="87" customHeight="1">
      <c r="A355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55" s="2">
        <f>HYPERLINK("https://edmondsonsupply.com/products/veto-pro-pac-tech-pac-blackout-backpack", "https://edmondsonsupply.com/products/veto-pro-pac-tech-pac-blackout-backpack")</f>
        <v/>
      </c>
      <c r="C355" t="inlineStr">
        <is>
          <t>Veto Pro Pac TECH PAC Blackout Backpack</t>
        </is>
      </c>
      <c r="D355" t="inlineStr">
        <is>
          <t>Veto Pro Pac TP-XD BLACKOUT</t>
        </is>
      </c>
      <c r="E355" s="2">
        <f>HYPERLINK("https://www.amazon.com/Veto-Pro-Pac-TP-XD-BLACKOUT/dp/B0B2YBQXNP/ref=sr_1_6?keywords=Veto+Pro+Pac+TECH+PAC+Blackout+Backpack&amp;qid=1694734435&amp;sr=8-6", "https://www.amazon.com/Veto-Pro-Pac-TP-XD-BLACKOUT/dp/B0B2YBQXNP/ref=sr_1_6?keywords=Veto+Pro+Pac+TECH+PAC+Blackout+Backpack&amp;qid=1694734435&amp;sr=8-6")</f>
        <v/>
      </c>
      <c r="F355" t="inlineStr">
        <is>
          <t>B0B2YBQXNP</t>
        </is>
      </c>
      <c r="G355">
        <f>_xlfn.IMAGE("https://edmondsonsupply.com/cdn/shop/products/tech1.jpg?v=1633031041")</f>
        <v/>
      </c>
      <c r="H355">
        <f>_xlfn.IMAGE("https://m.media-amazon.com/images/I/51vvq1zbgwL._AC_UL320_.jpg")</f>
        <v/>
      </c>
      <c r="K355" t="inlineStr">
        <is>
          <t>329.99</t>
        </is>
      </c>
      <c r="L355" t="n">
        <v>209.95</v>
      </c>
      <c r="M355" s="1" t="inlineStr">
        <is>
          <t>-36.38%</t>
        </is>
      </c>
      <c r="N355" s="7" t="n">
        <v>-55.02</v>
      </c>
      <c r="O355" t="n">
        <v>4.5</v>
      </c>
      <c r="P355" t="n">
        <v>24</v>
      </c>
      <c r="R355" t="inlineStr">
        <is>
          <t>InStock</t>
        </is>
      </c>
      <c r="S355" t="inlineStr">
        <is>
          <t>undefined</t>
        </is>
      </c>
      <c r="T355" t="inlineStr">
        <is>
          <t>6752226476205</t>
        </is>
      </c>
    </row>
    <row r="356" ht="87" customHeight="1">
      <c r="A356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56" s="2">
        <f>HYPERLINK("https://edmondsonsupply.com/products/veto-pro-pac-tech-pac-backpack-tool-bag", "https://edmondsonsupply.com/products/veto-pro-pac-tech-pac-backpack-tool-bag")</f>
        <v/>
      </c>
      <c r="C356" t="inlineStr">
        <is>
          <t>Veto Pro Pac TECH PAC Backpack Tool Bag</t>
        </is>
      </c>
      <c r="D356" t="inlineStr">
        <is>
          <t>VETO PRO PAC TECH-MCT Tool Bag (Original)</t>
        </is>
      </c>
      <c r="E356" s="2">
        <f>HYPERLINK("https://www.amazon.com/VETO-PRO-PAC-TECH-MCT-Tool/dp/B01CENNFYS/ref=sr_1_2?keywords=Veto+Pro+Pac+TECH+PAC+Backpack+Tool+Bag&amp;qid=1694734435&amp;sr=8-2", "https://www.amazon.com/VETO-PRO-PAC-TECH-MCT-Tool/dp/B01CENNFYS/ref=sr_1_2?keywords=Veto+Pro+Pac+TECH+PAC+Backpack+Tool+Bag&amp;qid=1694734435&amp;sr=8-2")</f>
        <v/>
      </c>
      <c r="F356" t="inlineStr">
        <is>
          <t>B01CENNFYS</t>
        </is>
      </c>
      <c r="G356">
        <f>_xlfn.IMAGE("https://edmondsonsupply.com/cdn/shop/products/Veto_Tech_Pac.jpg?v=1587149981")</f>
        <v/>
      </c>
      <c r="H356">
        <f>_xlfn.IMAGE("https://m.media-amazon.com/images/I/61GanfvVX6L._AC_UL320_.jpg")</f>
        <v/>
      </c>
      <c r="K356" t="inlineStr">
        <is>
          <t>299.99</t>
        </is>
      </c>
      <c r="L356" t="n">
        <v>189.95</v>
      </c>
      <c r="M356" s="1" t="inlineStr">
        <is>
          <t>-36.68%</t>
        </is>
      </c>
      <c r="N356" s="7" t="n">
        <v>-55.59</v>
      </c>
      <c r="O356" t="n">
        <v>4.8</v>
      </c>
      <c r="P356" t="n">
        <v>2081</v>
      </c>
      <c r="R356" t="inlineStr">
        <is>
          <t>InStock</t>
        </is>
      </c>
      <c r="S356" t="inlineStr">
        <is>
          <t>undefined</t>
        </is>
      </c>
      <c r="T356" t="inlineStr">
        <is>
          <t>3557476335716</t>
        </is>
      </c>
    </row>
    <row r="357" hidden="1" ht="15.75" customHeight="1">
      <c r="A357" s="2">
        <f>HYPERLINK("https://edmondsonsupply.com/collections/storage-organization/products/milwaukee-48-22-8435-packout%E2%84%A2-compact-organizer", "https://edmondsonsupply.com/collections/storage-organization/products/milwaukee-48-22-8435-packout%E2%84%A2-compact-organizer")</f>
        <v/>
      </c>
      <c r="B357" s="2">
        <f>HYPERLINK("https://edmondsonsupply.com/products/milwaukee-48-22-8435-packout%e2%84%a2-compact-organizer", "https://edmondsonsupply.com/products/milwaukee-48-22-8435-packout%e2%84%a2-compact-organizer")</f>
        <v/>
      </c>
      <c r="C357" t="inlineStr">
        <is>
          <t>Milwaukee 48-22-8435 PACKOUT™ Compact Organizer</t>
        </is>
      </c>
      <c r="D357" t="inlineStr">
        <is>
          <t>Packout foam inserts 48-22-8435 Fits for Milwaukee Packout Compact Organizer (2 Pcs)</t>
        </is>
      </c>
      <c r="E357" s="2">
        <f>HYPERLINK("https://www.amazon.com/Packout-inserts-48-22-8435-Milwaukee-Organizer/dp/B0C6LRFVDN/ref=sr_1_5?keywords=Milwaukee+48-22-8435+PACKOUT%E2%84%A2+Compact+Organizer&amp;qid=1694734453&amp;sr=8-5", "https://www.amazon.com/Packout-inserts-48-22-8435-Milwaukee-Organizer/dp/B0C6LRFVDN/ref=sr_1_5?keywords=Milwaukee+48-22-8435+PACKOUT%E2%84%A2+Compact+Organizer&amp;qid=1694734453&amp;sr=8-5")</f>
        <v/>
      </c>
      <c r="F357" t="inlineStr">
        <is>
          <t>B0C6LRFVDN</t>
        </is>
      </c>
      <c r="G357">
        <f>_xludf.IMAGE("https://edmondsonsupply.com/cdn/shop/products/48-22-8435_1.png?v=1671723464")</f>
        <v/>
      </c>
      <c r="H357">
        <f>_xludf.IMAGE("https://m.media-amazon.com/images/I/81jGHifaq2L._AC_UL320_.jpg")</f>
        <v/>
      </c>
      <c r="K357" t="inlineStr">
        <is>
          <t>34.97</t>
        </is>
      </c>
      <c r="L357" t="n">
        <v>22.09</v>
      </c>
      <c r="M357" s="1" t="inlineStr">
        <is>
          <t>-36.83%</t>
        </is>
      </c>
      <c r="N357" s="1" t="n">
        <v>-55.59</v>
      </c>
      <c r="O357" t="n">
        <v>2.9</v>
      </c>
      <c r="P357" t="n">
        <v>9</v>
      </c>
      <c r="R357" t="inlineStr">
        <is>
          <t>InStock</t>
        </is>
      </c>
      <c r="S357" t="inlineStr">
        <is>
          <t>58.0</t>
        </is>
      </c>
      <c r="T357" t="inlineStr">
        <is>
          <t>7910242877656</t>
        </is>
      </c>
    </row>
    <row r="358" ht="87" customHeight="1">
      <c r="A358" s="2">
        <f>HYPERLINK("https://edmondsonsupply.com/collections/storage-organization/products/milwaukee-48-22-8435-packout%E2%84%A2-compact-organizer", "https://edmondsonsupply.com/collections/storage-organization/products/milwaukee-48-22-8435-packout%E2%84%A2-compact-organizer")</f>
        <v/>
      </c>
      <c r="B358" s="2">
        <f>HYPERLINK("https://edmondsonsupply.com/products/milwaukee-48-22-8435-packout%e2%84%a2-compact-organizer", "https://edmondsonsupply.com/products/milwaukee-48-22-8435-packout%e2%84%a2-compact-organizer")</f>
        <v/>
      </c>
      <c r="C358" t="inlineStr">
        <is>
          <t>Milwaukee 48-22-8435 PACKOUT™ Compact Organizer</t>
        </is>
      </c>
      <c r="D358" t="inlineStr">
        <is>
          <t>48-22-8435 Packout Foam Inserts for Milwaukee Packout Foam and Milwaukee Packout Compact Organizer(2pc foam)</t>
        </is>
      </c>
      <c r="E358" s="2">
        <f>HYPERLINK("https://www.amazon.com/48-22-8435-Packout-Inserts-Milwaukee-Organizer/dp/B0C6MY62Y5/ref=sr_1_4?keywords=Milwaukee+48-22-8435+PACKOUT%E2%84%A2+Compact+Organizer&amp;qid=1694734453&amp;sr=8-4", "https://www.amazon.com/48-22-8435-Packout-Inserts-Milwaukee-Organizer/dp/B0C6MY62Y5/ref=sr_1_4?keywords=Milwaukee+48-22-8435+PACKOUT%E2%84%A2+Compact+Organizer&amp;qid=1694734453&amp;sr=8-4")</f>
        <v/>
      </c>
      <c r="F358" t="inlineStr">
        <is>
          <t>B0C6MY62Y5</t>
        </is>
      </c>
      <c r="G358">
        <f>_xlfn.IMAGE("https://edmondsonsupply.com/cdn/shop/products/48-22-8435_1.png?v=1671723464")</f>
        <v/>
      </c>
      <c r="H358">
        <f>_xlfn.IMAGE("https://m.media-amazon.com/images/I/81V+RQwnZtL._AC_UL320_.jpg")</f>
        <v/>
      </c>
      <c r="K358" t="inlineStr">
        <is>
          <t>34.97</t>
        </is>
      </c>
      <c r="L358" t="n">
        <v>22.09</v>
      </c>
      <c r="M358" s="1" t="inlineStr">
        <is>
          <t>-36.83%</t>
        </is>
      </c>
      <c r="N358" s="7" t="n">
        <v>-59.1</v>
      </c>
      <c r="O358" t="n">
        <v>4.7</v>
      </c>
      <c r="P358" t="n">
        <v>8</v>
      </c>
      <c r="R358" t="inlineStr">
        <is>
          <t>InStock</t>
        </is>
      </c>
      <c r="S358" t="inlineStr">
        <is>
          <t>58.0</t>
        </is>
      </c>
      <c r="T358" t="inlineStr">
        <is>
          <t>7910242877656</t>
        </is>
      </c>
    </row>
    <row r="359" ht="87" customHeight="1">
      <c r="A359" s="2">
        <f>HYPERLINK("https://edmondsonsupply.com/collections/storage-organization/products/veto-pro-pac-tech-pac-wheeler-backpack-tool-bag", "https://edmondsonsupply.com/collections/storage-organization/products/veto-pro-pac-tech-pac-wheeler-backpack-tool-bag")</f>
        <v/>
      </c>
      <c r="B359" s="2">
        <f>HYPERLINK("https://edmondsonsupply.com/products/veto-pro-pac-tech-pac-wheeler-backpack-tool-bag", "https://edmondsonsupply.com/products/veto-pro-pac-tech-pac-wheeler-backpack-tool-bag")</f>
        <v/>
      </c>
      <c r="C359" t="inlineStr">
        <is>
          <t>Veto Pro Pac TECH PAC WHEELER Backpack Tool Bag</t>
        </is>
      </c>
      <c r="D359" t="inlineStr">
        <is>
          <t>Veto Pro Pac Tech XL Tool Bag, 1-Pack,Black, Grey</t>
        </is>
      </c>
      <c r="E359" s="2">
        <f>HYPERLINK("https://www.amazon.com/Veto-Tech-XL-Tool-1-Pack/dp/B00DYRFEJI/ref=sr_1_4?keywords=Veto+Pro+Pac+TECH+PAC+WHEELER+Backpack+Tool+Bag&amp;qid=1694734439&amp;sr=8-4", "https://www.amazon.com/Veto-Tech-XL-Tool-1-Pack/dp/B00DYRFEJI/ref=sr_1_4?keywords=Veto+Pro+Pac+TECH+PAC+WHEELER+Backpack+Tool+Bag&amp;qid=1694734439&amp;sr=8-4")</f>
        <v/>
      </c>
      <c r="F359" t="inlineStr">
        <is>
          <t>B00DYRFEJI</t>
        </is>
      </c>
      <c r="G359">
        <f>_xlfn.IMAGE("https://edmondsonsupply.com/cdn/shop/products/01_TECH-PAC-WHEELER.jpg?v=1633031176")</f>
        <v/>
      </c>
      <c r="H359">
        <f>_xlfn.IMAGE("https://m.media-amazon.com/images/I/71suRnmtVZL._AC_UL320_.jpg")</f>
        <v/>
      </c>
      <c r="K359" t="inlineStr">
        <is>
          <t>399.99</t>
        </is>
      </c>
      <c r="L359" t="n">
        <v>249.95</v>
      </c>
      <c r="M359" s="1" t="inlineStr">
        <is>
          <t>-37.51%</t>
        </is>
      </c>
      <c r="N359" s="7" t="n">
        <v>-60.31</v>
      </c>
      <c r="O359" t="n">
        <v>4.8</v>
      </c>
      <c r="P359" t="n">
        <v>762</v>
      </c>
      <c r="R359" t="inlineStr">
        <is>
          <t>InStock</t>
        </is>
      </c>
      <c r="S359" t="inlineStr">
        <is>
          <t>undefined</t>
        </is>
      </c>
      <c r="T359" t="inlineStr">
        <is>
          <t>6917914984621</t>
        </is>
      </c>
    </row>
    <row r="360" ht="87" customHeight="1">
      <c r="A360" s="2">
        <f>HYPERLINK("https://edmondsonsupply.com/collections/storage-organization/products/veto-pro-pac-wrencher-xl", "https://edmondsonsupply.com/collections/storage-organization/products/veto-pro-pac-wrencher-xl")</f>
        <v/>
      </c>
      <c r="B360" s="2">
        <f>HYPERLINK("https://edmondsonsupply.com/products/veto-pro-pac-wrencher-xl", "https://edmondsonsupply.com/products/veto-pro-pac-wrencher-xl")</f>
        <v/>
      </c>
      <c r="C360" t="inlineStr">
        <is>
          <t>Veto Pro Pac Wrencher XL</t>
        </is>
      </c>
      <c r="D360" t="inlineStr">
        <is>
          <t>Veto Pro Pac Model XL Tool Bag</t>
        </is>
      </c>
      <c r="E360" s="2">
        <f>HYPERLINK("https://www.amazon.com/VETO-PRO-PAC-Model-XL/dp/B00009K77K/ref=sr_1_9?keywords=Veto+Pro+Pac+Wrencher+XL&amp;qid=1694734460&amp;sr=8-9", "https://www.amazon.com/VETO-PRO-PAC-Model-XL/dp/B00009K77K/ref=sr_1_9?keywords=Veto+Pro+Pac+Wrencher+XL&amp;qid=1694734460&amp;sr=8-9")</f>
        <v/>
      </c>
      <c r="F360" t="inlineStr">
        <is>
          <t>B00009K77K</t>
        </is>
      </c>
      <c r="G360">
        <f>_xlfn.IMAGE("https://edmondsonsupply.com/cdn/shop/products/0006_WRENCHER-XL_11.jpg?v=1675796410")</f>
        <v/>
      </c>
      <c r="H360">
        <f>_xlfn.IMAGE("https://m.media-amazon.com/images/I/51WvtSPKVtS._AC_UL320_.jpg")</f>
        <v/>
      </c>
      <c r="K360" t="inlineStr">
        <is>
          <t>359.99</t>
        </is>
      </c>
      <c r="L360" t="n">
        <v>224.95</v>
      </c>
      <c r="M360" s="1" t="inlineStr">
        <is>
          <t>-37.51%</t>
        </is>
      </c>
      <c r="N360" s="7" t="n">
        <v>-62.54</v>
      </c>
      <c r="O360" t="n">
        <v>4.7</v>
      </c>
      <c r="P360" t="n">
        <v>343</v>
      </c>
      <c r="R360" t="inlineStr">
        <is>
          <t>InStock</t>
        </is>
      </c>
      <c r="S360" t="inlineStr">
        <is>
          <t>undefined</t>
        </is>
      </c>
      <c r="T360" t="inlineStr">
        <is>
          <t>7940480139480</t>
        </is>
      </c>
    </row>
    <row r="361" ht="87" customHeight="1">
      <c r="A361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361" s="2">
        <f>HYPERLINK("https://edmondsonsupply.com/products/wild-river-wt3604-nomad%c2%ae-lighted-backpack", "https://edmondsonsupply.com/products/wild-river-wt3604-nomad%c2%ae-lighted-backpack")</f>
        <v/>
      </c>
      <c r="C361" t="inlineStr">
        <is>
          <t>CLC Wild River WT3604 Nomad Lighted Backpack</t>
        </is>
      </c>
      <c r="D361" t="inlineStr">
        <is>
          <t>Wild River by CLC 503 Tackle Tek Recon LED Lighted Camo Compact Backpack, Mossy Oak</t>
        </is>
      </c>
      <c r="E361" s="2">
        <f>HYPERLINK("https://www.amazon.com/WCN503-Lighted-Compact-Backpack-without/dp/B00F66Z2XS/ref=sr_1_2?keywords=CLC+Wild+River+WT3604+Nomad+Lighted+Backpack&amp;qid=1694734460&amp;sr=8-2", "https://www.amazon.com/WCN503-Lighted-Compact-Backpack-without/dp/B00F66Z2XS/ref=sr_1_2?keywords=CLC+Wild+River+WT3604+Nomad+Lighted+Backpack&amp;qid=1694734460&amp;sr=8-2")</f>
        <v/>
      </c>
      <c r="F361" t="inlineStr">
        <is>
          <t>B00F66Z2XS</t>
        </is>
      </c>
      <c r="G361">
        <f>_xlfn.IMAGE("https://edmondsonsupply.com/cdn/shop/products/WT3604_8_lg.png?v=1609788715")</f>
        <v/>
      </c>
      <c r="H361">
        <f>_xlfn.IMAGE("https://m.media-amazon.com/images/I/61sk9VMPfKL._AC_UL320_.jpg")</f>
        <v/>
      </c>
      <c r="K361" t="inlineStr">
        <is>
          <t>209.0</t>
        </is>
      </c>
      <c r="L361" t="n">
        <v>129.14</v>
      </c>
      <c r="M361" s="1" t="inlineStr">
        <is>
          <t>-38.21%</t>
        </is>
      </c>
      <c r="N361" s="7" t="n">
        <v>-63.67</v>
      </c>
      <c r="O361" t="n">
        <v>5</v>
      </c>
      <c r="P361" t="n">
        <v>3</v>
      </c>
      <c r="R361" t="inlineStr">
        <is>
          <t>InStock</t>
        </is>
      </c>
      <c r="S361" t="inlineStr">
        <is>
          <t>279.0</t>
        </is>
      </c>
      <c r="T361" t="inlineStr">
        <is>
          <t>5273624215720</t>
        </is>
      </c>
    </row>
    <row r="362" ht="87" customHeight="1">
      <c r="A362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62" s="2">
        <f>HYPERLINK("https://edmondsonsupply.com/products/veto-pro-pac-tech-pac-mc-blackout", "https://edmondsonsupply.com/products/veto-pro-pac-tech-pac-mc-blackout")</f>
        <v/>
      </c>
      <c r="C362" t="inlineStr">
        <is>
          <t>Veto Pro Pac TECH PAC MC Blackout</t>
        </is>
      </c>
      <c r="D362" t="inlineStr">
        <is>
          <t>Veto Pro Pac TECH OT-SC (Sub-Compact Open Top Electrician Tool Bag)</t>
        </is>
      </c>
      <c r="E362" s="2">
        <f>HYPERLINK("https://www.amazon.com/Veto-TECH-OT-SC-Sub-Compact-Electrician/dp/B09ZC63KFK/ref=sr_1_11?keywords=Veto+Pro+Pac+TECH+PAC+MC+Blackout&amp;qid=1694734455&amp;sr=8-11", "https://www.amazon.com/Veto-TECH-OT-SC-Sub-Compact-Electrician/dp/B09ZC63KFK/ref=sr_1_11?keywords=Veto+Pro+Pac+TECH+PAC+MC+Blackout&amp;qid=1694734455&amp;sr=8-11")</f>
        <v/>
      </c>
      <c r="F362" t="inlineStr">
        <is>
          <t>B09ZC63KFK</t>
        </is>
      </c>
      <c r="G362">
        <f>_xlfn.IMAGE("https://edmondsonsupply.com/cdn/shop/products/tech1.png?v=1633031062")</f>
        <v/>
      </c>
      <c r="H362">
        <f>_xlfn.IMAGE("https://m.media-amazon.com/images/I/51LTwfYG5eL._AC_UL320_.jpg")</f>
        <v/>
      </c>
      <c r="K362" t="inlineStr">
        <is>
          <t>294.99</t>
        </is>
      </c>
      <c r="L362" t="n">
        <v>179.95</v>
      </c>
      <c r="M362" s="1" t="inlineStr">
        <is>
          <t>-39.00%</t>
        </is>
      </c>
      <c r="N362" s="7" t="n">
        <v>-63.9</v>
      </c>
      <c r="O362" t="n">
        <v>4.7</v>
      </c>
      <c r="P362" t="n">
        <v>21</v>
      </c>
      <c r="R362" t="inlineStr">
        <is>
          <t>InStock</t>
        </is>
      </c>
      <c r="S362" t="inlineStr">
        <is>
          <t>undefined</t>
        </is>
      </c>
      <c r="T362" t="inlineStr">
        <is>
          <t>6821254496429</t>
        </is>
      </c>
    </row>
    <row r="363" ht="87" customHeight="1">
      <c r="A363" s="2">
        <f>HYPERLINK("https://edmondsonsupply.com/collections/storage-organization/products/veto-pro-pac-wrencher-lc", "https://edmondsonsupply.com/collections/storage-organization/products/veto-pro-pac-wrencher-lc")</f>
        <v/>
      </c>
      <c r="B363" s="2">
        <f>HYPERLINK("https://edmondsonsupply.com/products/veto-pro-pac-wrencher-lc", "https://edmondsonsupply.com/products/veto-pro-pac-wrencher-lc")</f>
        <v/>
      </c>
      <c r="C363" t="inlineStr">
        <is>
          <t>Veto Pro Pac Wrencher LC</t>
        </is>
      </c>
      <c r="D363" t="inlineStr">
        <is>
          <t>Veto Pro Pac Model LC Tool Bag</t>
        </is>
      </c>
      <c r="E363" s="2">
        <f>HYPERLINK("https://www.amazon.com/VETO-PRO-PAC-Model-LC/dp/B0002HC25M/ref=sr_1_10?keywords=Veto+Pro+Pac+Wrencher+LC&amp;qid=1694734449&amp;sr=8-10", "https://www.amazon.com/VETO-PRO-PAC-Model-LC/dp/B0002HC25M/ref=sr_1_10?keywords=Veto+Pro+Pac+Wrencher+LC&amp;qid=1694734449&amp;sr=8-10")</f>
        <v/>
      </c>
      <c r="F363" t="inlineStr">
        <is>
          <t>B0002HC25M</t>
        </is>
      </c>
      <c r="G363">
        <f>_xlfn.IMAGE("https://edmondsonsupply.com/cdn/shop/products/0004_WRENCHER-LC_16-1.jpg?v=1675796113")</f>
        <v/>
      </c>
      <c r="H363">
        <f>_xlfn.IMAGE("https://m.media-amazon.com/images/I/61yDlU4vGyL._AC_UL320_.jpg")</f>
        <v/>
      </c>
      <c r="K363" t="inlineStr">
        <is>
          <t>339.99</t>
        </is>
      </c>
      <c r="L363" t="n">
        <v>204.95</v>
      </c>
      <c r="M363" s="1" t="inlineStr">
        <is>
          <t>-39.72%</t>
        </is>
      </c>
      <c r="N363" s="7" t="n">
        <v>-64.31</v>
      </c>
      <c r="O363" t="n">
        <v>4.7</v>
      </c>
      <c r="P363" t="n">
        <v>276</v>
      </c>
      <c r="R363" t="inlineStr">
        <is>
          <t>InStock</t>
        </is>
      </c>
      <c r="S363" t="inlineStr">
        <is>
          <t>undefined</t>
        </is>
      </c>
      <c r="T363" t="inlineStr">
        <is>
          <t>7940479123672</t>
        </is>
      </c>
    </row>
    <row r="364" ht="87" customHeight="1">
      <c r="A364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64" s="2">
        <f>HYPERLINK("https://edmondsonsupply.com/products/veto-pro-pac-tech-pac-backpack-tool-bag", "https://edmondsonsupply.com/products/veto-pro-pac-tech-pac-backpack-tool-bag")</f>
        <v/>
      </c>
      <c r="C364" t="inlineStr">
        <is>
          <t>Veto Pro Pac TECH PAC Backpack Tool Bag</t>
        </is>
      </c>
      <c r="D364" t="inlineStr">
        <is>
          <t>Veto Pro Pac TECH OT-SC (Sub-Compact Open Top Electrician Tool Bag)</t>
        </is>
      </c>
      <c r="E364" s="2">
        <f>HYPERLINK("https://www.amazon.com/Veto-TECH-OT-SC-Sub-Compact-Electrician/dp/B09ZC63KFK/ref=sr_1_9?keywords=Veto+Pro+Pac+TECH+PAC+Backpack+Tool+Bag&amp;qid=1694734435&amp;sr=8-9", "https://www.amazon.com/Veto-TECH-OT-SC-Sub-Compact-Electrician/dp/B09ZC63KFK/ref=sr_1_9?keywords=Veto+Pro+Pac+TECH+PAC+Backpack+Tool+Bag&amp;qid=1694734435&amp;sr=8-9")</f>
        <v/>
      </c>
      <c r="F364" t="inlineStr">
        <is>
          <t>B09ZC63KFK</t>
        </is>
      </c>
      <c r="G364">
        <f>_xlfn.IMAGE("https://edmondsonsupply.com/cdn/shop/products/Veto_Tech_Pac.jpg?v=1587149981")</f>
        <v/>
      </c>
      <c r="H364">
        <f>_xlfn.IMAGE("https://m.media-amazon.com/images/I/51LTwfYG5eL._AC_UL320_.jpg")</f>
        <v/>
      </c>
      <c r="K364" t="inlineStr">
        <is>
          <t>299.99</t>
        </is>
      </c>
      <c r="L364" t="n">
        <v>179.95</v>
      </c>
      <c r="M364" s="1" t="inlineStr">
        <is>
          <t>-40.01%</t>
        </is>
      </c>
      <c r="N364" s="7" t="n">
        <v>-64.31</v>
      </c>
      <c r="O364" t="n">
        <v>4.7</v>
      </c>
      <c r="P364" t="n">
        <v>21</v>
      </c>
      <c r="R364" t="inlineStr">
        <is>
          <t>InStock</t>
        </is>
      </c>
      <c r="S364" t="inlineStr">
        <is>
          <t>undefined</t>
        </is>
      </c>
      <c r="T364" t="inlineStr">
        <is>
          <t>3557476335716</t>
        </is>
      </c>
    </row>
    <row r="365" hidden="1" ht="15.75" customHeight="1">
      <c r="A365" s="2">
        <f>HYPERLINK("https://edmondsonsupply.com/collections/storage-organization/products/klein-tools-55560-camo-zipper-bags-2-pack", "https://edmondsonsupply.com/collections/storage-organization/products/klein-tools-55560-camo-zipper-bags-2-pack")</f>
        <v/>
      </c>
      <c r="B365" s="2">
        <f>HYPERLINK("https://edmondsonsupply.com/products/klein-tools-55560-camo-zipper-bags-2-pack", "https://edmondsonsupply.com/products/klein-tools-55560-camo-zipper-bags-2-pack")</f>
        <v/>
      </c>
      <c r="C365" t="inlineStr">
        <is>
          <t>Klein Tools 55560 Zipper Bags, Camo Tool Pouches, 2-Pack</t>
        </is>
      </c>
      <c r="D365" t="inlineStr">
        <is>
          <t>Klein Tools 55470 Utility Bag, Stand-Up Zipper Tool Bags, Tough 1680d Ballistic Weave, Reinforced Bottoms, Orange/Black, Gray/Black, 2-Pack</t>
        </is>
      </c>
      <c r="E365" s="2">
        <f>HYPERLINK("https://www.amazon.com/Utility-12-5-Inch-Klein-Tools-55470/dp/B075ZYW694/ref=sr_1_5?keywords=Klein+Tools+55560+Zipper+Bags%2C+Camo+Tool+Pouches%2C+2-Pack&amp;qid=1694734466&amp;sr=8-5", "https://www.amazon.com/Utility-12-5-Inch-Klein-Tools-55470/dp/B075ZYW694/ref=sr_1_5?keywords=Klein+Tools+55560+Zipper+Bags%2C+Camo+Tool+Pouches%2C+2-Pack&amp;qid=1694734466&amp;sr=8-5")</f>
        <v/>
      </c>
      <c r="F365" t="inlineStr">
        <is>
          <t>B075ZYW694</t>
        </is>
      </c>
      <c r="G365">
        <f>_xludf.IMAGE("https://edmondsonsupply.com/cdn/shop/products/55560.jpg?v=1633030628")</f>
        <v/>
      </c>
      <c r="H365">
        <f>_xludf.IMAGE("https://m.media-amazon.com/images/I/81mbAy3U-rL._AC_UL320_.jpg")</f>
        <v/>
      </c>
      <c r="K365" t="inlineStr">
        <is>
          <t>24.99</t>
        </is>
      </c>
      <c r="L365" t="n">
        <v>14.99</v>
      </c>
      <c r="M365" s="1" t="inlineStr">
        <is>
          <t>-40.02%</t>
        </is>
      </c>
      <c r="N365" s="1" t="n">
        <v>-65</v>
      </c>
      <c r="O365" t="n">
        <v>4.7</v>
      </c>
      <c r="P365" t="n">
        <v>3467</v>
      </c>
      <c r="R365" t="inlineStr">
        <is>
          <t>InStock</t>
        </is>
      </c>
      <c r="S365" t="inlineStr">
        <is>
          <t>37.86</t>
        </is>
      </c>
      <c r="T365" t="inlineStr">
        <is>
          <t>5669841109160</t>
        </is>
      </c>
    </row>
    <row r="366" ht="87" customHeight="1">
      <c r="A366" s="2">
        <f>HYPERLINK("https://edmondsonsupply.com/collections/storage-organization/products/veto-pro-pac-tech-pac-mc-special-ops-backpack-tool-bag", "https://edmondsonsupply.com/collections/storage-organization/products/veto-pro-pac-tech-pac-mc-special-ops-backpack-tool-bag")</f>
        <v/>
      </c>
      <c r="B366" s="2">
        <f>HYPERLINK("https://edmondsonsupply.com/products/veto-pro-pac-tech-pac-mc-special-ops-backpack-tool-bag", "https://edmondsonsupply.com/products/veto-pro-pac-tech-pac-mc-special-ops-backpack-tool-bag")</f>
        <v/>
      </c>
      <c r="C366" t="inlineStr">
        <is>
          <t>Veto Pro Pac TECH PAC MC Special Ops Backpack Tool Bag</t>
        </is>
      </c>
      <c r="D366" t="inlineStr">
        <is>
          <t>VETO PRO PAC TECH-MCT Tool Bag (Original)</t>
        </is>
      </c>
      <c r="E366" s="2">
        <f>HYPERLINK("https://www.amazon.com/VETO-PRO-PAC-TECH-MCT-Tool/dp/B01CENNFYS/ref=sr_1_5?keywords=Veto+Pro+Pac+TECH+PAC+MC+Special+Ops+Backpack+Tool+Bag&amp;qid=1694734449&amp;sr=8-5", "https://www.amazon.com/VETO-PRO-PAC-TECH-MCT-Tool/dp/B01CENNFYS/ref=sr_1_5?keywords=Veto+Pro+Pac+TECH+PAC+MC+Special+Ops+Backpack+Tool+Bag&amp;qid=1694734449&amp;sr=8-5")</f>
        <v/>
      </c>
      <c r="F366" t="inlineStr">
        <is>
          <t>B01CENNFYS</t>
        </is>
      </c>
      <c r="G366">
        <f>_xlfn.IMAGE("https://edmondsonsupply.com/cdn/shop/products/0.jpg?v=1674834361")</f>
        <v/>
      </c>
      <c r="H366">
        <f>_xlfn.IMAGE("https://m.media-amazon.com/images/I/61GanfvVX6L._AC_UL320_.jpg")</f>
        <v/>
      </c>
      <c r="K366" t="inlineStr">
        <is>
          <t>319.99</t>
        </is>
      </c>
      <c r="L366" t="n">
        <v>189.95</v>
      </c>
      <c r="M366" s="1" t="inlineStr">
        <is>
          <t>-40.64%</t>
        </is>
      </c>
      <c r="N366" s="7" t="n">
        <v>-68.77</v>
      </c>
      <c r="O366" t="n">
        <v>4.8</v>
      </c>
      <c r="P366" t="n">
        <v>2081</v>
      </c>
      <c r="R366" t="inlineStr">
        <is>
          <t>InStock</t>
        </is>
      </c>
      <c r="S366" t="inlineStr">
        <is>
          <t>undefined</t>
        </is>
      </c>
      <c r="T366" t="inlineStr">
        <is>
          <t>7934918426840</t>
        </is>
      </c>
    </row>
    <row r="367" ht="87" customHeight="1">
      <c r="A367" s="2">
        <f>HYPERLINK("https://edmondsonsupply.com/collections/storage-organization/products/klein-tools-5165-10-pocket-tool-pouch-knife-snap", "https://edmondsonsupply.com/collections/storage-organization/products/klein-tools-5165-10-pocket-tool-pouch-knife-snap")</f>
        <v/>
      </c>
      <c r="B367" s="2">
        <f>HYPERLINK("https://edmondsonsupply.com/products/klein-tools-5165-10-pocket-tool-pouch-knife-snap", "https://edmondsonsupply.com/products/klein-tools-5165-10-pocket-tool-pouch-knife-snap")</f>
        <v/>
      </c>
      <c r="C367" t="inlineStr">
        <is>
          <t>Klein Tools 5165 10 Pocket Leather Tool Pouch with Knife Snap</t>
        </is>
      </c>
      <c r="D367" t="inlineStr">
        <is>
          <t>Klein Tools S5118PRS Leather Tool Holder with 3 Pockets for Pliers, Folding Rule, Screwdriver and Knife Snap, Fits Belts up to 2-Inch Wide</t>
        </is>
      </c>
      <c r="E367" s="2">
        <f>HYPERLINK("https://www.amazon.com/Linemans-Pouch-Klein-Tools-S5118PRS/dp/B0002RIA30/ref=sr_1_7?keywords=Klein+Tools+5165+10+Pocket+Leather+Tool+Pouch+with+Knife+Snap&amp;qid=1694734440&amp;sr=8-7", "https://www.amazon.com/Linemans-Pouch-Klein-Tools-S5118PRS/dp/B0002RIA30/ref=sr_1_7?keywords=Klein+Tools+5165+10+Pocket+Leather+Tool+Pouch+with+Knife+Snap&amp;qid=1694734440&amp;sr=8-7")</f>
        <v/>
      </c>
      <c r="F367" t="inlineStr">
        <is>
          <t>B0002RIA30</t>
        </is>
      </c>
      <c r="G367">
        <f>_xlfn.IMAGE("https://edmondsonsupply.com/cdn/shop/products/5165.jpg?v=1587145507")</f>
        <v/>
      </c>
      <c r="H367">
        <f>_xlfn.IMAGE("https://m.media-amazon.com/images/I/51oBBMnS2PL._AC_UL320_.jpg")</f>
        <v/>
      </c>
      <c r="K367" t="inlineStr">
        <is>
          <t>62.99</t>
        </is>
      </c>
      <c r="L367" t="n">
        <v>37.07</v>
      </c>
      <c r="M367" s="1" t="inlineStr">
        <is>
          <t>-41.15%</t>
        </is>
      </c>
      <c r="N367" s="7" t="n">
        <v>-71.45</v>
      </c>
      <c r="O367" t="n">
        <v>4.5</v>
      </c>
      <c r="P367" t="n">
        <v>443</v>
      </c>
      <c r="R367" t="inlineStr">
        <is>
          <t>InStock</t>
        </is>
      </c>
      <c r="S367" t="inlineStr">
        <is>
          <t>90.92</t>
        </is>
      </c>
      <c r="T367" t="inlineStr">
        <is>
          <t>4421069373540</t>
        </is>
      </c>
    </row>
    <row r="368" ht="87" customHeight="1">
      <c r="A368" s="2">
        <f>HYPERLINK("https://edmondsonsupply.com/collections/storage-organization/products/veto-pro-pac-wrencher-lc", "https://edmondsonsupply.com/collections/storage-organization/products/veto-pro-pac-wrencher-lc")</f>
        <v/>
      </c>
      <c r="B368" s="2">
        <f>HYPERLINK("https://edmondsonsupply.com/products/veto-pro-pac-wrencher-lc", "https://edmondsonsupply.com/products/veto-pro-pac-wrencher-lc")</f>
        <v/>
      </c>
      <c r="C368" t="inlineStr">
        <is>
          <t>Veto Pro Pac Wrencher LC</t>
        </is>
      </c>
      <c r="D368" t="inlineStr">
        <is>
          <t>Veto Pro Pac Wrencher-MC (Medium Compact, Open-Top Tool Bag)</t>
        </is>
      </c>
      <c r="E368" s="2">
        <f>HYPERLINK("https://www.amazon.com/Veto-Wrencher-MC-Medium-Compact-Open-Top/dp/B0BBQ3R11H/ref=sr_1_2?keywords=Veto+Pro+Pac+Wrencher+LC&amp;qid=1694734449&amp;sr=8-2", "https://www.amazon.com/Veto-Wrencher-MC-Medium-Compact-Open-Top/dp/B0BBQ3R11H/ref=sr_1_2?keywords=Veto+Pro+Pac+Wrencher+LC&amp;qid=1694734449&amp;sr=8-2")</f>
        <v/>
      </c>
      <c r="F368" t="inlineStr">
        <is>
          <t>B0BBQ3R11H</t>
        </is>
      </c>
      <c r="G368">
        <f>_xlfn.IMAGE("https://edmondsonsupply.com/cdn/shop/products/0004_WRENCHER-LC_16-1.jpg?v=1675796113")</f>
        <v/>
      </c>
      <c r="H368">
        <f>_xlfn.IMAGE("https://m.media-amazon.com/images/I/51xcXNSndtL._AC_UL320_.jpg")</f>
        <v/>
      </c>
      <c r="K368" t="inlineStr">
        <is>
          <t>339.99</t>
        </is>
      </c>
      <c r="L368" t="n">
        <v>199.95</v>
      </c>
      <c r="M368" s="1" t="inlineStr">
        <is>
          <t>-41.19%</t>
        </is>
      </c>
      <c r="N368" s="7" t="n">
        <v>-71.45</v>
      </c>
      <c r="O368" t="n">
        <v>5</v>
      </c>
      <c r="P368" t="n">
        <v>7</v>
      </c>
      <c r="R368" t="inlineStr">
        <is>
          <t>InStock</t>
        </is>
      </c>
      <c r="S368" t="inlineStr">
        <is>
          <t>undefined</t>
        </is>
      </c>
      <c r="T368" t="inlineStr">
        <is>
          <t>7940479123672</t>
        </is>
      </c>
    </row>
    <row r="369" ht="87" customHeight="1">
      <c r="A369" s="2">
        <f>HYPERLINK("https://edmondsonsupply.com/collections/storage-organization/products/veto-pro-pac-wrencher-xl", "https://edmondsonsupply.com/collections/storage-organization/products/veto-pro-pac-wrencher-xl")</f>
        <v/>
      </c>
      <c r="B369" s="2">
        <f>HYPERLINK("https://edmondsonsupply.com/products/veto-pro-pac-wrencher-xl", "https://edmondsonsupply.com/products/veto-pro-pac-wrencher-xl")</f>
        <v/>
      </c>
      <c r="C369" t="inlineStr">
        <is>
          <t>Veto Pro Pac Wrencher XL</t>
        </is>
      </c>
      <c r="D369" t="inlineStr">
        <is>
          <t>Veto Pro Pac TP-XXL (Original)</t>
        </is>
      </c>
      <c r="E369" s="2">
        <f>HYPERLINK("https://www.amazon.com/Veto-Pro-Pac-TP-XXL-Zippered/dp/B09Q4YNX94/ref=sr_1_4?keywords=Veto+Pro+Pac+Wrencher+XL&amp;qid=1694734460&amp;sr=8-4", "https://www.amazon.com/Veto-Pro-Pac-TP-XXL-Zippered/dp/B09Q4YNX94/ref=sr_1_4?keywords=Veto+Pro+Pac+Wrencher+XL&amp;qid=1694734460&amp;sr=8-4")</f>
        <v/>
      </c>
      <c r="F369" t="inlineStr">
        <is>
          <t>B09Q4YNX94</t>
        </is>
      </c>
      <c r="G369">
        <f>_xlfn.IMAGE("https://edmondsonsupply.com/cdn/shop/products/0006_WRENCHER-XL_11.jpg?v=1675796410")</f>
        <v/>
      </c>
      <c r="H369">
        <f>_xlfn.IMAGE("https://m.media-amazon.com/images/I/61c5N3ud9xL._AC_UL320_.jpg")</f>
        <v/>
      </c>
      <c r="K369" t="inlineStr">
        <is>
          <t>359.99</t>
        </is>
      </c>
      <c r="L369" t="n">
        <v>209.95</v>
      </c>
      <c r="M369" s="1" t="inlineStr">
        <is>
          <t>-41.68%</t>
        </is>
      </c>
      <c r="N369" s="7" t="n">
        <v>-71.45</v>
      </c>
      <c r="O369" t="n">
        <v>4.8</v>
      </c>
      <c r="P369" t="n">
        <v>468</v>
      </c>
      <c r="R369" t="inlineStr">
        <is>
          <t>InStock</t>
        </is>
      </c>
      <c r="S369" t="inlineStr">
        <is>
          <t>undefined</t>
        </is>
      </c>
      <c r="T369" t="inlineStr">
        <is>
          <t>7940480139480</t>
        </is>
      </c>
    </row>
    <row r="370" ht="87" customHeight="1">
      <c r="A370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70" s="2">
        <f>HYPERLINK("https://edmondsonsupply.com/products/veto-pro-pac-tech-pac-mc-blackout", "https://edmondsonsupply.com/products/veto-pro-pac-tech-pac-mc-blackout")</f>
        <v/>
      </c>
      <c r="C370" t="inlineStr">
        <is>
          <t>Veto Pro Pac TECH PAC MC Blackout</t>
        </is>
      </c>
      <c r="D370" t="inlineStr">
        <is>
          <t>Veto Pro Pac TECH-MC</t>
        </is>
      </c>
      <c r="E370" s="2">
        <f>HYPERLINK("https://www.amazon.com/VETO-PRO-PAC-Veto-TECH-MC/dp/B078HLH6YV/ref=sr_1_3?keywords=Veto+Pro+Pac+TECH+PAC+MC+Blackout&amp;qid=1694734455&amp;sr=8-3", "https://www.amazon.com/VETO-PRO-PAC-Veto-TECH-MC/dp/B078HLH6YV/ref=sr_1_3?keywords=Veto+Pro+Pac+TECH+PAC+MC+Blackout&amp;qid=1694734455&amp;sr=8-3")</f>
        <v/>
      </c>
      <c r="F370" t="inlineStr">
        <is>
          <t>B078HLH6YV</t>
        </is>
      </c>
      <c r="G370">
        <f>_xlfn.IMAGE("https://edmondsonsupply.com/cdn/shop/products/tech1.png?v=1633031062")</f>
        <v/>
      </c>
      <c r="H370">
        <f>_xlfn.IMAGE("https://m.media-amazon.com/images/I/71IZAo4j11L._AC_UL320_.jpg")</f>
        <v/>
      </c>
      <c r="K370" t="inlineStr">
        <is>
          <t>294.99</t>
        </is>
      </c>
      <c r="L370" t="n">
        <v>169.95</v>
      </c>
      <c r="M370" s="1" t="inlineStr">
        <is>
          <t>-42.39%</t>
        </is>
      </c>
      <c r="N370" s="7" t="n">
        <v>-71.70999999999999</v>
      </c>
      <c r="O370" t="n">
        <v>4.8</v>
      </c>
      <c r="P370" t="n">
        <v>679</v>
      </c>
      <c r="R370" t="inlineStr">
        <is>
          <t>InStock</t>
        </is>
      </c>
      <c r="S370" t="inlineStr">
        <is>
          <t>undefined</t>
        </is>
      </c>
      <c r="T370" t="inlineStr">
        <is>
          <t>6821254496429</t>
        </is>
      </c>
    </row>
    <row r="371" ht="87" customHeight="1">
      <c r="A371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71" s="2">
        <f>HYPERLINK("https://edmondsonsupply.com/products/veto-pro-pac-tech-pac-blackout-backpack", "https://edmondsonsupply.com/products/veto-pro-pac-tech-pac-blackout-backpack")</f>
        <v/>
      </c>
      <c r="C371" t="inlineStr">
        <is>
          <t>Veto Pro Pac TECH PAC Blackout Backpack</t>
        </is>
      </c>
      <c r="D371" t="inlineStr">
        <is>
          <t>VETO PRO PAC TECH-MCT Tool Bag (Original)</t>
        </is>
      </c>
      <c r="E371" s="2">
        <f>HYPERLINK("https://www.amazon.com/VETO-PRO-PAC-TECH-MCT-Tool/dp/B01CENNFYS/ref=sr_1_5?keywords=Veto+Pro+Pac+TECH+PAC+Blackout+Backpack&amp;qid=1694734435&amp;sr=8-5", "https://www.amazon.com/VETO-PRO-PAC-TECH-MCT-Tool/dp/B01CENNFYS/ref=sr_1_5?keywords=Veto+Pro+Pac+TECH+PAC+Blackout+Backpack&amp;qid=1694734435&amp;sr=8-5")</f>
        <v/>
      </c>
      <c r="F371" t="inlineStr">
        <is>
          <t>B01CENNFYS</t>
        </is>
      </c>
      <c r="G371">
        <f>_xlfn.IMAGE("https://edmondsonsupply.com/cdn/shop/products/tech1.jpg?v=1633031041")</f>
        <v/>
      </c>
      <c r="H371">
        <f>_xlfn.IMAGE("https://m.media-amazon.com/images/I/61GanfvVX6L._AC_UL320_.jpg")</f>
        <v/>
      </c>
      <c r="K371" t="inlineStr">
        <is>
          <t>329.99</t>
        </is>
      </c>
      <c r="L371" t="n">
        <v>189.95</v>
      </c>
      <c r="M371" s="1" t="inlineStr">
        <is>
          <t>-42.44%</t>
        </is>
      </c>
      <c r="N371" s="7" t="n">
        <v>-74.59</v>
      </c>
      <c r="O371" t="n">
        <v>4.8</v>
      </c>
      <c r="P371" t="n">
        <v>2081</v>
      </c>
      <c r="R371" t="inlineStr">
        <is>
          <t>InStock</t>
        </is>
      </c>
      <c r="S371" t="inlineStr">
        <is>
          <t>undefined</t>
        </is>
      </c>
      <c r="T371" t="inlineStr">
        <is>
          <t>6752226476205</t>
        </is>
      </c>
    </row>
    <row r="372" ht="87" customHeight="1">
      <c r="A372" s="2">
        <f>HYPERLINK("https://edmondsonsupply.com/collections/storage-organization/products/veto-pro-pac-tp-xxl-blackout-tool-pouch", "https://edmondsonsupply.com/collections/storage-organization/products/veto-pro-pac-tp-xxl-blackout-tool-pouch")</f>
        <v/>
      </c>
      <c r="B372" s="2">
        <f>HYPERLINK("https://edmondsonsupply.com/products/veto-pro-pac-tp-xxl-blackout-tool-pouch", "https://edmondsonsupply.com/products/veto-pro-pac-tp-xxl-blackout-tool-pouch")</f>
        <v/>
      </c>
      <c r="C372" t="inlineStr">
        <is>
          <t>Veto Pro Pac TP-XXL Blackout Tool Pouch</t>
        </is>
      </c>
      <c r="D372" t="inlineStr">
        <is>
          <t>Veto Pro Pac TP-LC (Compact, Zippered Service Tech Tool Pouch)</t>
        </is>
      </c>
      <c r="E372" s="2">
        <f>HYPERLINK("https://www.amazon.com/Veto-TP-LC-Compact-Zippered-Service/dp/B09TPZKBDP/ref=sr_1_1?keywords=Veto+Pro+Pac+TP-XXL+Blackout+Tool+Pouch&amp;qid=1694734438&amp;sr=8-1", "https://www.amazon.com/Veto-TP-LC-Compact-Zippered-Service/dp/B09TPZKBDP/ref=sr_1_1?keywords=Veto+Pro+Pac+TP-XXL+Blackout+Tool+Pouch&amp;qid=1694734438&amp;sr=8-1")</f>
        <v/>
      </c>
      <c r="F372" t="inlineStr">
        <is>
          <t>B09TPZKBDP</t>
        </is>
      </c>
      <c r="G372">
        <f>_xlfn.IMAGE("https://edmondsonsupply.com/cdn/shop/files/TP-xxl_blackout_600x830_0000_TP-XXL_BLACKOUT_0379.jpg?v=1685736106")</f>
        <v/>
      </c>
      <c r="H372">
        <f>_xlfn.IMAGE("https://m.media-amazon.com/images/I/51b1SiebzcL._AC_UL320_.jpg")</f>
        <v/>
      </c>
      <c r="K372" t="inlineStr">
        <is>
          <t>239.99</t>
        </is>
      </c>
      <c r="L372" t="n">
        <v>134.95</v>
      </c>
      <c r="M372" s="1" t="inlineStr">
        <is>
          <t>-43.77%</t>
        </is>
      </c>
      <c r="N372" s="7" t="n">
        <v>-75.02</v>
      </c>
      <c r="O372" t="n">
        <v>4.8</v>
      </c>
      <c r="P372" t="n">
        <v>277</v>
      </c>
      <c r="R372" t="inlineStr">
        <is>
          <t>OutOfStock</t>
        </is>
      </c>
      <c r="S372" t="inlineStr">
        <is>
          <t>undefined</t>
        </is>
      </c>
      <c r="T372" t="inlineStr">
        <is>
          <t>7999688868056</t>
        </is>
      </c>
    </row>
    <row r="373" ht="87" customHeight="1">
      <c r="A373" s="2">
        <f>HYPERLINK("https://edmondsonsupply.com/collections/storage-organization/products/klein-tools-510212blk-tool-bag-black-canvas-12-inch", "https://edmondsonsupply.com/collections/storage-organization/products/klein-tools-510212blk-tool-bag-black-canvas-12-inch")</f>
        <v/>
      </c>
      <c r="B373" s="2">
        <f>HYPERLINK("https://edmondsonsupply.com/products/klein-tools-510212blk-tool-bag-black-canvas-12-inch", "https://edmondsonsupply.com/products/klein-tools-510212blk-tool-bag-black-canvas-12-inch")</f>
        <v/>
      </c>
      <c r="C373" t="inlineStr">
        <is>
          <t>Klein Tools 510212BLK Tool Bag, Black Canvas, 12-Inch</t>
        </is>
      </c>
      <c r="D373" t="inlineStr">
        <is>
          <t>Klein Tools 5141 Zipper Tool Bag, Canvas Tool Pouch / Utility Bag, Bank Deposit Bag, 12.5 x 7-Inch, Brown/Black/Gray/Red 4-Pack</t>
        </is>
      </c>
      <c r="E373" s="2">
        <f>HYPERLINK("https://www.amazon.com/Utility-Zipper-12-5-Inch-Klein-Tools/dp/B007V8RXVI/ref=sr_1_4?keywords=Klein+Tools+510212BLK+Tool+Bag%2C+Black+Canvas%2C+12-Inch&amp;qid=1694734454&amp;sr=8-4", "https://www.amazon.com/Utility-Zipper-12-5-Inch-Klein-Tools/dp/B007V8RXVI/ref=sr_1_4?keywords=Klein+Tools+510212BLK+Tool+Bag%2C+Black+Canvas%2C+12-Inch&amp;qid=1694734454&amp;sr=8-4")</f>
        <v/>
      </c>
      <c r="F373" t="inlineStr">
        <is>
          <t>B007V8RXVI</t>
        </is>
      </c>
      <c r="G373">
        <f>_xlfn.IMAGE("https://edmondsonsupply.com/cdn/shop/products/510212blk.jpg?v=1666026613")</f>
        <v/>
      </c>
      <c r="H373">
        <f>_xlfn.IMAGE("https://m.media-amazon.com/images/I/61K2xaMr+oL._AC_UL320_.jpg")</f>
        <v/>
      </c>
      <c r="K373" t="inlineStr">
        <is>
          <t>69.99</t>
        </is>
      </c>
      <c r="L373" t="n">
        <v>39</v>
      </c>
      <c r="M373" s="1" t="inlineStr">
        <is>
          <t>-44.28%</t>
        </is>
      </c>
      <c r="N373" s="7" t="n">
        <v>-75.02</v>
      </c>
      <c r="O373" t="n">
        <v>4.8</v>
      </c>
      <c r="P373" t="n">
        <v>4463</v>
      </c>
      <c r="R373" t="inlineStr">
        <is>
          <t>InStock</t>
        </is>
      </c>
      <c r="S373" t="inlineStr">
        <is>
          <t>103.34</t>
        </is>
      </c>
      <c r="T373" t="inlineStr">
        <is>
          <t>7856656679128</t>
        </is>
      </c>
    </row>
    <row r="374" ht="87" customHeight="1">
      <c r="A374" s="2">
        <f>HYPERLINK("https://edmondsonsupply.com/collections/storage-organization/products/veto-pro-pac-wrencher-xl", "https://edmondsonsupply.com/collections/storage-organization/products/veto-pro-pac-wrencher-xl")</f>
        <v/>
      </c>
      <c r="B374" s="2">
        <f>HYPERLINK("https://edmondsonsupply.com/products/veto-pro-pac-wrencher-xl", "https://edmondsonsupply.com/products/veto-pro-pac-wrencher-xl")</f>
        <v/>
      </c>
      <c r="C374" t="inlineStr">
        <is>
          <t>Veto Pro Pac Wrencher XL</t>
        </is>
      </c>
      <c r="D374" t="inlineStr">
        <is>
          <t>Veto Pro Pac Wrencher-MC (Medium Compact, Open-Top Tool Bag)</t>
        </is>
      </c>
      <c r="E374" s="2">
        <f>HYPERLINK("https://www.amazon.com/Veto-Wrencher-MC-Medium-Compact-Open-Top/dp/B0BBQ3R11H/ref=sr_1_3?keywords=Veto+Pro+Pac+Wrencher+XL&amp;qid=1694734460&amp;sr=8-3", "https://www.amazon.com/Veto-Wrencher-MC-Medium-Compact-Open-Top/dp/B0BBQ3R11H/ref=sr_1_3?keywords=Veto+Pro+Pac+Wrencher+XL&amp;qid=1694734460&amp;sr=8-3")</f>
        <v/>
      </c>
      <c r="F374" t="inlineStr">
        <is>
          <t>B0BBQ3R11H</t>
        </is>
      </c>
      <c r="G374">
        <f>_xlfn.IMAGE("https://edmondsonsupply.com/cdn/shop/products/0006_WRENCHER-XL_11.jpg?v=1675796410")</f>
        <v/>
      </c>
      <c r="H374">
        <f>_xlfn.IMAGE("https://m.media-amazon.com/images/I/51xcXNSndtL._AC_UL320_.jpg")</f>
        <v/>
      </c>
      <c r="K374" t="inlineStr">
        <is>
          <t>359.99</t>
        </is>
      </c>
      <c r="L374" t="n">
        <v>199.95</v>
      </c>
      <c r="M374" s="1" t="inlineStr">
        <is>
          <t>-44.46%</t>
        </is>
      </c>
      <c r="N374" s="7" t="n">
        <v>-75.58</v>
      </c>
      <c r="O374" t="n">
        <v>5</v>
      </c>
      <c r="P374" t="n">
        <v>7</v>
      </c>
      <c r="R374" t="inlineStr">
        <is>
          <t>InStock</t>
        </is>
      </c>
      <c r="S374" t="inlineStr">
        <is>
          <t>undefined</t>
        </is>
      </c>
      <c r="T374" t="inlineStr">
        <is>
          <t>7940480139480</t>
        </is>
      </c>
    </row>
    <row r="375" ht="87" customHeight="1">
      <c r="A375" s="2">
        <f>HYPERLINK("https://edmondsonsupply.com/collections/storage-organization/products/veto-pro-pac-tp-lc-tool-pouch", "https://edmondsonsupply.com/collections/storage-organization/products/veto-pro-pac-tp-lc-tool-pouch")</f>
        <v/>
      </c>
      <c r="B375" s="2">
        <f>HYPERLINK("https://edmondsonsupply.com/products/veto-pro-pac-tp-lc-tool-pouch", "https://edmondsonsupply.com/products/veto-pro-pac-tp-lc-tool-pouch")</f>
        <v/>
      </c>
      <c r="C375" t="inlineStr">
        <is>
          <t>Veto Pro Pac TP-LC Tool Pouch</t>
        </is>
      </c>
      <c r="D375" t="inlineStr">
        <is>
          <t>Veto Pro Pac MB2 Tool Pouch</t>
        </is>
      </c>
      <c r="E375" s="2">
        <f>HYPERLINK("https://www.amazon.com/VETO-PRO-MB2-Tall-Meter/dp/B00IPQ9C1E/ref=sr_1_14?keywords=Veto+Pro+Pac+TP-LC+Tool+Pouch&amp;qid=1694734452&amp;sr=8-14", "https://www.amazon.com/VETO-PRO-MB2-Tall-Meter/dp/B00IPQ9C1E/ref=sr_1_14?keywords=Veto+Pro+Pac+TP-LC+Tool+Pouch&amp;qid=1694734452&amp;sr=8-14")</f>
        <v/>
      </c>
      <c r="F375" t="inlineStr">
        <is>
          <t>B00IPQ9C1E</t>
        </is>
      </c>
      <c r="G375">
        <f>_xlfn.IMAGE("https://edmondsonsupply.com/cdn/shop/products/TPLC.jpg?v=1648948141")</f>
        <v/>
      </c>
      <c r="H375">
        <f>_xlfn.IMAGE("https://m.media-amazon.com/images/I/91Ha2uK69IL._AC_UL320_.jpg")</f>
        <v/>
      </c>
      <c r="K375" t="inlineStr">
        <is>
          <t>134.99</t>
        </is>
      </c>
      <c r="L375" t="n">
        <v>74.95</v>
      </c>
      <c r="M375" s="1" t="inlineStr">
        <is>
          <t>-44.48%</t>
        </is>
      </c>
      <c r="N375" s="7" t="n">
        <v>-76.58</v>
      </c>
      <c r="O375" t="n">
        <v>4.8</v>
      </c>
      <c r="P375" t="n">
        <v>1466</v>
      </c>
      <c r="R375" t="inlineStr">
        <is>
          <t>InStock</t>
        </is>
      </c>
      <c r="S375" t="inlineStr">
        <is>
          <t>undefined</t>
        </is>
      </c>
      <c r="T375" t="inlineStr">
        <is>
          <t>7652194189528</t>
        </is>
      </c>
    </row>
    <row r="376" ht="87" customHeight="1">
      <c r="A376" s="2">
        <f>HYPERLINK("https://edmondsonsupply.com/collections/storage-organization/products/veto-pro-pac-tp-lc-tool-pouch", "https://edmondsonsupply.com/collections/storage-organization/products/veto-pro-pac-tp-lc-tool-pouch")</f>
        <v/>
      </c>
      <c r="B376" s="2">
        <f>HYPERLINK("https://edmondsonsupply.com/products/veto-pro-pac-tp-lc-tool-pouch", "https://edmondsonsupply.com/products/veto-pro-pac-tp-lc-tool-pouch")</f>
        <v/>
      </c>
      <c r="C376" t="inlineStr">
        <is>
          <t>Veto Pro Pac TP-LC Tool Pouch</t>
        </is>
      </c>
      <c r="D376" t="inlineStr">
        <is>
          <t>VETO PRO PAC TP4 Technician Tool Pouch</t>
        </is>
      </c>
      <c r="E376" s="2">
        <f>HYPERLINK("https://www.amazon.com/VETO-TP4-Technician-Tool-Pouch/dp/B00EY8DZ42/ref=sr_1_8?keywords=Veto+Pro+Pac+TP-LC+Tool+Pouch&amp;qid=1694734452&amp;sr=8-8", "https://www.amazon.com/VETO-TP4-Technician-Tool-Pouch/dp/B00EY8DZ42/ref=sr_1_8?keywords=Veto+Pro+Pac+TP-LC+Tool+Pouch&amp;qid=1694734452&amp;sr=8-8")</f>
        <v/>
      </c>
      <c r="F376" t="inlineStr">
        <is>
          <t>B00EY8DZ42</t>
        </is>
      </c>
      <c r="G376">
        <f>_xlfn.IMAGE("https://edmondsonsupply.com/cdn/shop/products/TPLC.jpg?v=1648948141")</f>
        <v/>
      </c>
      <c r="H376">
        <f>_xlfn.IMAGE("https://m.media-amazon.com/images/I/61ppYqUQVHL._AC_UL320_.jpg")</f>
        <v/>
      </c>
      <c r="K376" t="inlineStr">
        <is>
          <t>134.99</t>
        </is>
      </c>
      <c r="L376" t="n">
        <v>74.95</v>
      </c>
      <c r="M376" s="1" t="inlineStr">
        <is>
          <t>-44.48%</t>
        </is>
      </c>
      <c r="N376" s="7" t="n">
        <v>-77.20999999999999</v>
      </c>
      <c r="O376" t="n">
        <v>4.7</v>
      </c>
      <c r="P376" t="n">
        <v>458</v>
      </c>
      <c r="R376" t="inlineStr">
        <is>
          <t>InStock</t>
        </is>
      </c>
      <c r="S376" t="inlineStr">
        <is>
          <t>undefined</t>
        </is>
      </c>
      <c r="T376" t="inlineStr">
        <is>
          <t>7652194189528</t>
        </is>
      </c>
    </row>
    <row r="377" ht="87" customHeight="1">
      <c r="A377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377" s="2">
        <f>HYPERLINK("https://edmondsonsupply.com/products/milwaukee-48-22-8045-packout%e2%84%a2-tool-tray", "https://edmondsonsupply.com/products/milwaukee-48-22-8045-packout%e2%84%a2-tool-tray")</f>
        <v/>
      </c>
      <c r="C377" t="inlineStr">
        <is>
          <t>Milwaukee 48-22-8045 PACKOUT™ Tool Tray</t>
        </is>
      </c>
      <c r="D377" t="inlineStr">
        <is>
          <t>31-01-8400 Packout Storage Tray For Milwaukee 48-22-8425，48-22-8426 22 In. Packout Tool Box</t>
        </is>
      </c>
      <c r="E377" s="2">
        <f>HYPERLINK("https://www.amazon.com/31-01-8400-Packout-Storage-Milwaukee-48-22-8425%EF%BC%8C48-22-8426/dp/B0C9R7H4QM/ref=sr_1_12?keywords=Milwaukee+48-22-8045+PACKOUT%E2%84%A2+Tool+Tray&amp;qid=1694734444&amp;sr=8-12", "https://www.amazon.com/31-01-8400-Packout-Storage-Milwaukee-48-22-8425%EF%BC%8C48-22-8426/dp/B0C9R7H4QM/ref=sr_1_12?keywords=Milwaukee+48-22-8045+PACKOUT%E2%84%A2+Tool+Tray&amp;qid=1694734444&amp;sr=8-12")</f>
        <v/>
      </c>
      <c r="F377" t="inlineStr">
        <is>
          <t>B0C9R7H4QM</t>
        </is>
      </c>
      <c r="G377">
        <f>_xlfn.IMAGE("https://edmondsonsupply.com/cdn/shop/files/48-22-8045_4.webp?v=1686230573")</f>
        <v/>
      </c>
      <c r="H377">
        <f>_xlfn.IMAGE("https://m.media-amazon.com/images/I/61GjJLMzVML._AC_UL320_.jpg")</f>
        <v/>
      </c>
      <c r="K377" t="inlineStr">
        <is>
          <t>39.97</t>
        </is>
      </c>
      <c r="L377" t="n">
        <v>21.99</v>
      </c>
      <c r="M377" s="1" t="inlineStr">
        <is>
          <t>-44.98%</t>
        </is>
      </c>
      <c r="N377" s="7" t="n">
        <v>-77.26000000000001</v>
      </c>
      <c r="O377" t="n">
        <v>4.4</v>
      </c>
      <c r="P377" t="n">
        <v>6</v>
      </c>
      <c r="R377" t="inlineStr">
        <is>
          <t>InStock</t>
        </is>
      </c>
      <c r="S377" t="inlineStr">
        <is>
          <t>64.9</t>
        </is>
      </c>
      <c r="T377" t="inlineStr">
        <is>
          <t>8002611806424</t>
        </is>
      </c>
    </row>
    <row r="378" ht="87" customHeight="1">
      <c r="A378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78" s="2">
        <f>HYPERLINK("https://edmondsonsupply.com/products/veto-pro-pac-tech-pac-blackout-backpack", "https://edmondsonsupply.com/products/veto-pro-pac-tech-pac-blackout-backpack")</f>
        <v/>
      </c>
      <c r="C378" t="inlineStr">
        <is>
          <t>Veto Pro Pac TECH PAC Blackout Backpack</t>
        </is>
      </c>
      <c r="D378" t="inlineStr">
        <is>
          <t>Veto Pro Pac TECH OT-SC (Sub-Compact Open Top Electrician Tool Bag)</t>
        </is>
      </c>
      <c r="E378" s="2">
        <f>HYPERLINK("https://www.amazon.com/Veto-TECH-OT-SC-Sub-Compact-Electrician/dp/B09ZC63KFK/ref=sr_1_12?keywords=Veto+Pro+Pac+TECH+PAC+Blackout+Backpack&amp;qid=1694734435&amp;sr=8-12", "https://www.amazon.com/Veto-TECH-OT-SC-Sub-Compact-Electrician/dp/B09ZC63KFK/ref=sr_1_12?keywords=Veto+Pro+Pac+TECH+PAC+Blackout+Backpack&amp;qid=1694734435&amp;sr=8-12")</f>
        <v/>
      </c>
      <c r="F378" t="inlineStr">
        <is>
          <t>B09ZC63KFK</t>
        </is>
      </c>
      <c r="G378">
        <f>_xlfn.IMAGE("https://edmondsonsupply.com/cdn/shop/products/tech1.jpg?v=1633031041")</f>
        <v/>
      </c>
      <c r="H378">
        <f>_xlfn.IMAGE("https://m.media-amazon.com/images/I/51LTwfYG5eL._AC_UL320_.jpg")</f>
        <v/>
      </c>
      <c r="K378" t="inlineStr">
        <is>
          <t>329.99</t>
        </is>
      </c>
      <c r="L378" t="n">
        <v>179.95</v>
      </c>
      <c r="M378" s="1" t="inlineStr">
        <is>
          <t>-45.47%</t>
        </is>
      </c>
      <c r="N378" s="7" t="n">
        <v>-77.29000000000001</v>
      </c>
      <c r="O378" t="n">
        <v>4.7</v>
      </c>
      <c r="P378" t="n">
        <v>21</v>
      </c>
      <c r="R378" t="inlineStr">
        <is>
          <t>InStock</t>
        </is>
      </c>
      <c r="S378" t="inlineStr">
        <is>
          <t>undefined</t>
        </is>
      </c>
      <c r="T378" t="inlineStr">
        <is>
          <t>6752226476205</t>
        </is>
      </c>
    </row>
    <row r="379" ht="87" customHeight="1">
      <c r="A379" s="2">
        <f>HYPERLINK("https://edmondsonsupply.com/collections/storage-organization/products/veto-pro-pac-wrencher-xl", "https://edmondsonsupply.com/collections/storage-organization/products/veto-pro-pac-wrencher-xl")</f>
        <v/>
      </c>
      <c r="B379" s="2">
        <f>HYPERLINK("https://edmondsonsupply.com/products/veto-pro-pac-wrencher-xl", "https://edmondsonsupply.com/products/veto-pro-pac-wrencher-xl")</f>
        <v/>
      </c>
      <c r="C379" t="inlineStr">
        <is>
          <t>Veto Pro Pac Wrencher XL</t>
        </is>
      </c>
      <c r="D379" t="inlineStr">
        <is>
          <t>Veto Pro Pac DR-XL</t>
        </is>
      </c>
      <c r="E379" s="2">
        <f>HYPERLINK("https://www.amazon.com/Veto-Pro-Pac-DR-XL/dp/B0791LGJ6J/ref=sr_1_10?keywords=Veto+Pro+Pac+Wrencher+XL&amp;qid=1694734460&amp;sr=8-10", "https://www.amazon.com/Veto-Pro-Pac-DR-XL/dp/B0791LGJ6J/ref=sr_1_10?keywords=Veto+Pro+Pac+Wrencher+XL&amp;qid=1694734460&amp;sr=8-10")</f>
        <v/>
      </c>
      <c r="F379" t="inlineStr">
        <is>
          <t>B0791LGJ6J</t>
        </is>
      </c>
      <c r="G379">
        <f>_xlfn.IMAGE("https://edmondsonsupply.com/cdn/shop/products/0006_WRENCHER-XL_11.jpg?v=1675796410")</f>
        <v/>
      </c>
      <c r="H379">
        <f>_xlfn.IMAGE("https://m.media-amazon.com/images/I/7139zFLUvjL._AC_UL320_.jpg")</f>
        <v/>
      </c>
      <c r="K379" t="inlineStr">
        <is>
          <t>359.99</t>
        </is>
      </c>
      <c r="L379" t="n">
        <v>194.95</v>
      </c>
      <c r="M379" s="1" t="inlineStr">
        <is>
          <t>-45.85%</t>
        </is>
      </c>
      <c r="N379" s="7" t="n">
        <v>-77.59</v>
      </c>
      <c r="O379" t="n">
        <v>4.5</v>
      </c>
      <c r="P379" t="n">
        <v>55</v>
      </c>
      <c r="R379" t="inlineStr">
        <is>
          <t>InStock</t>
        </is>
      </c>
      <c r="S379" t="inlineStr">
        <is>
          <t>undefined</t>
        </is>
      </c>
      <c r="T379" t="inlineStr">
        <is>
          <t>7940480139480</t>
        </is>
      </c>
    </row>
    <row r="380" ht="87" customHeight="1">
      <c r="A380" s="2">
        <f>HYPERLINK("https://edmondsonsupply.com/collections/storage-organization/products/milwaukee-48-22-8045-packout%E2%84%A2-tool-tray", "https://edmondsonsupply.com/collections/storage-organization/products/milwaukee-48-22-8045-packout%E2%84%A2-tool-tray")</f>
        <v/>
      </c>
      <c r="B380" s="2">
        <f>HYPERLINK("https://edmondsonsupply.com/products/milwaukee-48-22-8045-packout%e2%84%a2-tool-tray", "https://edmondsonsupply.com/products/milwaukee-48-22-8045-packout%e2%84%a2-tool-tray")</f>
        <v/>
      </c>
      <c r="C380" t="inlineStr">
        <is>
          <t>Milwaukee 48-22-8045 PACKOUT™ Tool Tray</t>
        </is>
      </c>
      <c r="D380" t="inlineStr">
        <is>
          <t>Follde 31-01-8400 Packout Storage Tray For Milwaukee Large Tool Box 48-22-8425, 48-22-8426</t>
        </is>
      </c>
      <c r="E380" s="2">
        <f>HYPERLINK("https://www.amazon.com/Follde-31-01-8400-Milwaukee-48-22-8425-48-22-8426/dp/B0C7PKR1NX/ref=sr_1_14?keywords=Milwaukee+48-22-8045+PACKOUT%E2%84%A2+Tool+Tray&amp;qid=1694734444&amp;sr=8-14", "https://www.amazon.com/Follde-31-01-8400-Milwaukee-48-22-8425-48-22-8426/dp/B0C7PKR1NX/ref=sr_1_14?keywords=Milwaukee+48-22-8045+PACKOUT%E2%84%A2+Tool+Tray&amp;qid=1694734444&amp;sr=8-14")</f>
        <v/>
      </c>
      <c r="F380" t="inlineStr">
        <is>
          <t>B0C7PKR1NX</t>
        </is>
      </c>
      <c r="G380">
        <f>_xlfn.IMAGE("https://edmondsonsupply.com/cdn/shop/files/48-22-8045_4.webp?v=1686230573")</f>
        <v/>
      </c>
      <c r="H380">
        <f>_xlfn.IMAGE("https://m.media-amazon.com/images/I/515v9ge4uIL._AC_UL320_.jpg")</f>
        <v/>
      </c>
      <c r="K380" t="inlineStr">
        <is>
          <t>39.97</t>
        </is>
      </c>
      <c r="L380" t="n">
        <v>21.39</v>
      </c>
      <c r="M380" s="1" t="inlineStr">
        <is>
          <t>-46.48%</t>
        </is>
      </c>
      <c r="N380" s="7" t="n">
        <v>-78.2</v>
      </c>
      <c r="O380" t="n">
        <v>4.8</v>
      </c>
      <c r="P380" t="n">
        <v>12</v>
      </c>
      <c r="R380" t="inlineStr">
        <is>
          <t>InStock</t>
        </is>
      </c>
      <c r="S380" t="inlineStr">
        <is>
          <t>64.9</t>
        </is>
      </c>
      <c r="T380" t="inlineStr">
        <is>
          <t>8002611806424</t>
        </is>
      </c>
    </row>
    <row r="381" ht="87" customHeight="1">
      <c r="A381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81" s="2">
        <f>HYPERLINK("https://edmondsonsupply.com/products/veto-pro-pac-tech-pac-backpack-tool-bag-3", "https://edmondsonsupply.com/products/veto-pro-pac-tech-pac-backpack-tool-bag-3")</f>
        <v/>
      </c>
      <c r="C381" t="inlineStr">
        <is>
          <t>Veto Pro Pac TECH PAC MC Backpack Tool Bag</t>
        </is>
      </c>
      <c r="D381" t="inlineStr">
        <is>
          <t>Veto Pro Pac MC Tool Bag (Original)</t>
        </is>
      </c>
      <c r="E381" s="2">
        <f>HYPERLINK("https://www.amazon.com/Veto-Pro-MC-Handling-Tools/dp/B00NLXNW3A/ref=sr_1_4?keywords=Veto+Pro+Pac+TECH+PAC+MC+Backpack+Tool+Bag&amp;qid=1694734443&amp;sr=8-4", "https://www.amazon.com/Veto-Pro-MC-Handling-Tools/dp/B00NLXNW3A/ref=sr_1_4?keywords=Veto+Pro+Pac+TECH+PAC+MC+Backpack+Tool+Bag&amp;qid=1694734443&amp;sr=8-4")</f>
        <v/>
      </c>
      <c r="F381" t="inlineStr">
        <is>
          <t>B00NLXNW3A</t>
        </is>
      </c>
      <c r="G381">
        <f>_xlfn.IMAGE("https://edmondsonsupply.com/cdn/shop/products/MC2.jpg?v=1642553730")</f>
        <v/>
      </c>
      <c r="H381">
        <f>_xlfn.IMAGE("https://m.media-amazon.com/images/I/71emJbrVHBL._AC_UL320_.jpg")</f>
        <v/>
      </c>
      <c r="K381" t="inlineStr">
        <is>
          <t>274.99</t>
        </is>
      </c>
      <c r="L381" t="n">
        <v>144.95</v>
      </c>
      <c r="M381" s="1" t="inlineStr">
        <is>
          <t>-47.29%</t>
        </is>
      </c>
      <c r="N381" s="7" t="n">
        <v>-80.02</v>
      </c>
      <c r="O381" t="n">
        <v>4.7</v>
      </c>
      <c r="P381" t="n">
        <v>839</v>
      </c>
      <c r="R381" t="inlineStr">
        <is>
          <t>InStock</t>
        </is>
      </c>
      <c r="S381" t="inlineStr">
        <is>
          <t>undefined</t>
        </is>
      </c>
      <c r="T381" t="inlineStr">
        <is>
          <t>3561063415908</t>
        </is>
      </c>
    </row>
    <row r="382" ht="87" customHeight="1">
      <c r="A382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382" s="2">
        <f>HYPERLINK("https://edmondsonsupply.com/products/wild-river-wt3604-nomad%c2%ae-lighted-backpack", "https://edmondsonsupply.com/products/wild-river-wt3604-nomad%c2%ae-lighted-backpack")</f>
        <v/>
      </c>
      <c r="C382" t="inlineStr">
        <is>
          <t>CLC Wild River WT3604 Nomad Lighted Backpack</t>
        </is>
      </c>
      <c r="D382" t="inlineStr">
        <is>
          <t>Wild River by CLC WT3503 Tackle Tek Recon Lighted Compact Tackle Backpack &amp; Four PT3500 Trays, Clear, Water-Resistant Phone Storage,Beige</t>
        </is>
      </c>
      <c r="E382" s="2">
        <f>HYPERLINK("https://www.amazon.com/WT3503-Lighted-Compact-Backpack-Water-resistant/dp/B00A0PA4R4/ref=sr_1_8?keywords=CLC+Wild+River+WT3604+Nomad+Lighted+Backpack&amp;qid=1694734460&amp;sr=8-8", "https://www.amazon.com/WT3503-Lighted-Compact-Backpack-Water-resistant/dp/B00A0PA4R4/ref=sr_1_8?keywords=CLC+Wild+River+WT3604+Nomad+Lighted+Backpack&amp;qid=1694734460&amp;sr=8-8")</f>
        <v/>
      </c>
      <c r="F382" t="inlineStr">
        <is>
          <t>B00A0PA4R4</t>
        </is>
      </c>
      <c r="G382">
        <f>_xlfn.IMAGE("https://edmondsonsupply.com/cdn/shop/products/WT3604_8_lg.png?v=1609788715")</f>
        <v/>
      </c>
      <c r="H382">
        <f>_xlfn.IMAGE("https://m.media-amazon.com/images/I/71Y7vz6sXRL._AC_UL320_.jpg")</f>
        <v/>
      </c>
      <c r="K382" t="inlineStr">
        <is>
          <t>209.0</t>
        </is>
      </c>
      <c r="L382" t="n">
        <v>109.95</v>
      </c>
      <c r="M382" s="1" t="inlineStr">
        <is>
          <t>-47.39%</t>
        </is>
      </c>
      <c r="N382" s="7" t="n">
        <v>-81.66</v>
      </c>
      <c r="O382" t="n">
        <v>4.5</v>
      </c>
      <c r="P382" t="n">
        <v>450</v>
      </c>
      <c r="R382" t="inlineStr">
        <is>
          <t>InStock</t>
        </is>
      </c>
      <c r="S382" t="inlineStr">
        <is>
          <t>279.0</t>
        </is>
      </c>
      <c r="T382" t="inlineStr">
        <is>
          <t>5273624215720</t>
        </is>
      </c>
    </row>
    <row r="383" ht="87" customHeight="1">
      <c r="A383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83" s="2">
        <f>HYPERLINK("https://edmondsonsupply.com/products/veto-pro-pac-tech-pac-blackout-backpack", "https://edmondsonsupply.com/products/veto-pro-pac-tech-pac-blackout-backpack")</f>
        <v/>
      </c>
      <c r="C383" t="inlineStr">
        <is>
          <t>Veto Pro Pac TECH PAC Blackout Backpack</t>
        </is>
      </c>
      <c r="D383" t="inlineStr">
        <is>
          <t>Veto Pro Pac TECH-MC</t>
        </is>
      </c>
      <c r="E383" s="2">
        <f>HYPERLINK("https://www.amazon.com/VETO-PRO-PAC-Veto-TECH-MC/dp/B078HLH6YV/ref=sr_1_3?keywords=Veto+Pro+Pac+TECH+PAC+Blackout+Backpack&amp;qid=1694734435&amp;sr=8-3", "https://www.amazon.com/VETO-PRO-PAC-Veto-TECH-MC/dp/B078HLH6YV/ref=sr_1_3?keywords=Veto+Pro+Pac+TECH+PAC+Blackout+Backpack&amp;qid=1694734435&amp;sr=8-3")</f>
        <v/>
      </c>
      <c r="F383" t="inlineStr">
        <is>
          <t>B078HLH6YV</t>
        </is>
      </c>
      <c r="G383">
        <f>_xlfn.IMAGE("https://edmondsonsupply.com/cdn/shop/products/tech1.jpg?v=1633031041")</f>
        <v/>
      </c>
      <c r="H383">
        <f>_xlfn.IMAGE("https://m.media-amazon.com/images/I/71IZAo4j11L._AC_UL320_.jpg")</f>
        <v/>
      </c>
      <c r="K383" t="inlineStr">
        <is>
          <t>329.99</t>
        </is>
      </c>
      <c r="L383" t="n">
        <v>169.95</v>
      </c>
      <c r="M383" s="1" t="inlineStr">
        <is>
          <t>-48.50%</t>
        </is>
      </c>
      <c r="N383" s="7" t="n">
        <v>-83.23</v>
      </c>
      <c r="O383" t="n">
        <v>4.8</v>
      </c>
      <c r="P383" t="n">
        <v>679</v>
      </c>
      <c r="R383" t="inlineStr">
        <is>
          <t>InStock</t>
        </is>
      </c>
      <c r="S383" t="inlineStr">
        <is>
          <t>undefined</t>
        </is>
      </c>
      <c r="T383" t="inlineStr">
        <is>
          <t>6752226476205</t>
        </is>
      </c>
    </row>
    <row r="384" ht="87" customHeight="1">
      <c r="A384" s="2">
        <f>HYPERLINK("https://edmondsonsupply.com/collections/storage-organization/products/klein-tools-5165-10-pocket-tool-pouch-knife-snap", "https://edmondsonsupply.com/collections/storage-organization/products/klein-tools-5165-10-pocket-tool-pouch-knife-snap")</f>
        <v/>
      </c>
      <c r="B384" s="2">
        <f>HYPERLINK("https://edmondsonsupply.com/products/klein-tools-5165-10-pocket-tool-pouch-knife-snap", "https://edmondsonsupply.com/products/klein-tools-5165-10-pocket-tool-pouch-knife-snap")</f>
        <v/>
      </c>
      <c r="C384" t="inlineStr">
        <is>
          <t>Klein Tools 5165 10 Pocket Leather Tool Pouch with Knife Snap</t>
        </is>
      </c>
      <c r="D384" t="inlineStr">
        <is>
          <t>Klein Tools 5126 Leather Tool Pouch with Knife Snap, 5-Pocket</t>
        </is>
      </c>
      <c r="E384" s="2">
        <f>HYPERLINK("https://www.amazon.com/Klein-Tools-5126-Leather-5-Pocket/dp/B0002RI620/ref=sr_1_4?keywords=Klein+Tools+5165+10+Pocket+Leather+Tool+Pouch+with+Knife+Snap&amp;qid=1694734440&amp;sr=8-4", "https://www.amazon.com/Klein-Tools-5126-Leather-5-Pocket/dp/B0002RI620/ref=sr_1_4?keywords=Klein+Tools+5165+10+Pocket+Leather+Tool+Pouch+with+Knife+Snap&amp;qid=1694734440&amp;sr=8-4")</f>
        <v/>
      </c>
      <c r="F384" t="inlineStr">
        <is>
          <t>B0002RI620</t>
        </is>
      </c>
      <c r="G384">
        <f>_xlfn.IMAGE("https://edmondsonsupply.com/cdn/shop/products/5165.jpg?v=1587145507")</f>
        <v/>
      </c>
      <c r="H384">
        <f>_xlfn.IMAGE("https://m.media-amazon.com/images/I/51nYBr7d-ML._AC_UL320_.jpg")</f>
        <v/>
      </c>
      <c r="K384" t="inlineStr">
        <is>
          <t>62.99</t>
        </is>
      </c>
      <c r="L384" t="n">
        <v>32</v>
      </c>
      <c r="M384" s="1" t="inlineStr">
        <is>
          <t>-49.20%</t>
        </is>
      </c>
      <c r="N384" s="7" t="n">
        <v>-84.18000000000001</v>
      </c>
      <c r="O384" t="n">
        <v>4.6</v>
      </c>
      <c r="P384" t="n">
        <v>1343</v>
      </c>
      <c r="R384" t="inlineStr">
        <is>
          <t>InStock</t>
        </is>
      </c>
      <c r="S384" t="inlineStr">
        <is>
          <t>90.92</t>
        </is>
      </c>
      <c r="T384" t="inlineStr">
        <is>
          <t>4421069373540</t>
        </is>
      </c>
    </row>
    <row r="385" ht="87" customHeight="1">
      <c r="A385" s="2">
        <f>HYPERLINK("https://edmondsonsupply.com/collections/storage-organization/products/wild-river-wt3604-nomad%C2%AE-lighted-backpack", "https://edmondsonsupply.com/collections/storage-organization/products/wild-river-wt3604-nomad%C2%AE-lighted-backpack")</f>
        <v/>
      </c>
      <c r="B385" s="2">
        <f>HYPERLINK("https://edmondsonsupply.com/products/wild-river-wt3604-nomad%c2%ae-lighted-backpack", "https://edmondsonsupply.com/products/wild-river-wt3604-nomad%c2%ae-lighted-backpack")</f>
        <v/>
      </c>
      <c r="C385" t="inlineStr">
        <is>
          <t>CLC Wild River WT3604 Nomad Lighted Backpack</t>
        </is>
      </c>
      <c r="D385" t="inlineStr">
        <is>
          <t>Custom Leathercraft Wild River by CLC WN3503 Tackle Tek Recon Lighted Compact Backpack, Trays Not Included</t>
        </is>
      </c>
      <c r="E385" s="2">
        <f>HYPERLINK("https://www.amazon.com/Custom-Leathercraft-WN3503-Backpack-Included/dp/B00A738C4Q/ref=sr_1_7?keywords=CLC+Wild+River+WT3604+Nomad+Lighted+Backpack&amp;qid=1694734460&amp;sr=8-7", "https://www.amazon.com/Custom-Leathercraft-WN3503-Backpack-Included/dp/B00A738C4Q/ref=sr_1_7?keywords=CLC+Wild+River+WT3604+Nomad+Lighted+Backpack&amp;qid=1694734460&amp;sr=8-7")</f>
        <v/>
      </c>
      <c r="F385" t="inlineStr">
        <is>
          <t>B00A738C4Q</t>
        </is>
      </c>
      <c r="G385">
        <f>_xlfn.IMAGE("https://edmondsonsupply.com/cdn/shop/products/WT3604_8_lg.png?v=1609788715")</f>
        <v/>
      </c>
      <c r="H385">
        <f>_xlfn.IMAGE("https://m.media-amazon.com/images/I/71YFnZgCU2L._AC_UL320_.jpg")</f>
        <v/>
      </c>
      <c r="K385" t="inlineStr">
        <is>
          <t>209.0</t>
        </is>
      </c>
      <c r="L385" t="n">
        <v>105.81</v>
      </c>
      <c r="M385" s="1" t="inlineStr">
        <is>
          <t>-49.37%</t>
        </is>
      </c>
      <c r="N385" s="7" t="n">
        <v>-84.3</v>
      </c>
      <c r="O385" t="n">
        <v>4.1</v>
      </c>
      <c r="P385" t="n">
        <v>32</v>
      </c>
      <c r="R385" t="inlineStr">
        <is>
          <t>InStock</t>
        </is>
      </c>
      <c r="S385" t="inlineStr">
        <is>
          <t>279.0</t>
        </is>
      </c>
      <c r="T385" t="inlineStr">
        <is>
          <t>5273624215720</t>
        </is>
      </c>
    </row>
    <row r="386" ht="87" customHeight="1">
      <c r="A386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86" s="2">
        <f>HYPERLINK("https://edmondsonsupply.com/products/veto-pro-pac-tech-pac-mc-blackout", "https://edmondsonsupply.com/products/veto-pro-pac-tech-pac-mc-blackout")</f>
        <v/>
      </c>
      <c r="C386" t="inlineStr">
        <is>
          <t>Veto Pro Pac TECH PAC MC Blackout</t>
        </is>
      </c>
      <c r="D386" t="inlineStr">
        <is>
          <t>Veto Pro Pac MC Tool Bag (Original)</t>
        </is>
      </c>
      <c r="E386" s="2">
        <f>HYPERLINK("https://www.amazon.com/Veto-Pro-MC-Handling-Tools/dp/B00NLXNW3A/ref=sr_1_6?keywords=Veto+Pro+Pac+TECH+PAC+MC+Blackout&amp;qid=1694734455&amp;sr=8-6", "https://www.amazon.com/Veto-Pro-MC-Handling-Tools/dp/B00NLXNW3A/ref=sr_1_6?keywords=Veto+Pro+Pac+TECH+PAC+MC+Blackout&amp;qid=1694734455&amp;sr=8-6")</f>
        <v/>
      </c>
      <c r="F386" t="inlineStr">
        <is>
          <t>B00NLXNW3A</t>
        </is>
      </c>
      <c r="G386">
        <f>_xlfn.IMAGE("https://edmondsonsupply.com/cdn/shop/products/tech1.png?v=1633031062")</f>
        <v/>
      </c>
      <c r="H386">
        <f>_xlfn.IMAGE("https://m.media-amazon.com/images/I/71emJbrVHBL._AC_UL320_.jpg")</f>
        <v/>
      </c>
      <c r="K386" t="inlineStr">
        <is>
          <t>294.99</t>
        </is>
      </c>
      <c r="L386" t="n">
        <v>144.95</v>
      </c>
      <c r="M386" s="1" t="inlineStr">
        <is>
          <t>-50.86%</t>
        </is>
      </c>
      <c r="N386" s="7" t="n">
        <v>-84.61</v>
      </c>
      <c r="O386" t="n">
        <v>4.7</v>
      </c>
      <c r="P386" t="n">
        <v>839</v>
      </c>
      <c r="R386" t="inlineStr">
        <is>
          <t>InStock</t>
        </is>
      </c>
      <c r="S386" t="inlineStr">
        <is>
          <t>undefined</t>
        </is>
      </c>
      <c r="T386" t="inlineStr">
        <is>
          <t>6821254496429</t>
        </is>
      </c>
    </row>
    <row r="387" ht="87" customHeight="1">
      <c r="A387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87" s="2">
        <f>HYPERLINK("https://edmondsonsupply.com/products/veto-pro-pac-tech-pac-backpack-tool-bag", "https://edmondsonsupply.com/products/veto-pro-pac-tech-pac-backpack-tool-bag")</f>
        <v/>
      </c>
      <c r="C387" t="inlineStr">
        <is>
          <t>Veto Pro Pac TECH PAC Backpack Tool Bag</t>
        </is>
      </c>
      <c r="D387" t="inlineStr">
        <is>
          <t>Veto Pro Pac MC Tool Bag (Original)</t>
        </is>
      </c>
      <c r="E387" s="2">
        <f>HYPERLINK("https://www.amazon.com/Veto-Pro-MC-Handling-Tools/dp/B00NLXNW3A/ref=sr_1_1?keywords=Veto+Pro+Pac+TECH+PAC+Backpack+Tool+Bag&amp;qid=1694734435&amp;sr=8-1", "https://www.amazon.com/Veto-Pro-MC-Handling-Tools/dp/B00NLXNW3A/ref=sr_1_1?keywords=Veto+Pro+Pac+TECH+PAC+Backpack+Tool+Bag&amp;qid=1694734435&amp;sr=8-1")</f>
        <v/>
      </c>
      <c r="F387" t="inlineStr">
        <is>
          <t>B00NLXNW3A</t>
        </is>
      </c>
      <c r="G387">
        <f>_xlfn.IMAGE("https://edmondsonsupply.com/cdn/shop/products/Veto_Tech_Pac.jpg?v=1587149981")</f>
        <v/>
      </c>
      <c r="H387">
        <f>_xlfn.IMAGE("https://m.media-amazon.com/images/I/71emJbrVHBL._AC_UL320_.jpg")</f>
        <v/>
      </c>
      <c r="K387" t="inlineStr">
        <is>
          <t>299.99</t>
        </is>
      </c>
      <c r="L387" t="n">
        <v>144.95</v>
      </c>
      <c r="M387" s="1" t="inlineStr">
        <is>
          <t>-51.68%</t>
        </is>
      </c>
      <c r="N387" s="7" t="n">
        <v>-85.01000000000001</v>
      </c>
      <c r="O387" t="n">
        <v>4.7</v>
      </c>
      <c r="P387" t="n">
        <v>839</v>
      </c>
      <c r="R387" t="inlineStr">
        <is>
          <t>InStock</t>
        </is>
      </c>
      <c r="S387" t="inlineStr">
        <is>
          <t>undefined</t>
        </is>
      </c>
      <c r="T387" t="inlineStr">
        <is>
          <t>3557476335716</t>
        </is>
      </c>
    </row>
    <row r="388" ht="87" customHeight="1">
      <c r="A388" s="2">
        <f>HYPERLINK("https://edmondsonsupply.com/collections/storage-organization/products/veto-pro-pac-tech-pac-wheeler-backpack-tool-bag", "https://edmondsonsupply.com/collections/storage-organization/products/veto-pro-pac-tech-pac-wheeler-backpack-tool-bag")</f>
        <v/>
      </c>
      <c r="B388" s="2">
        <f>HYPERLINK("https://edmondsonsupply.com/products/veto-pro-pac-tech-pac-wheeler-backpack-tool-bag", "https://edmondsonsupply.com/products/veto-pro-pac-tech-pac-wheeler-backpack-tool-bag")</f>
        <v/>
      </c>
      <c r="C388" t="inlineStr">
        <is>
          <t>Veto Pro Pac TECH PAC WHEELER Backpack Tool Bag</t>
        </is>
      </c>
      <c r="D388" t="inlineStr">
        <is>
          <t>VETO PRO PAC TECH-MCT Tool Bag (Original)</t>
        </is>
      </c>
      <c r="E388" s="2">
        <f>HYPERLINK("https://www.amazon.com/VETO-PRO-PAC-TECH-MCT-Tool/dp/B01CENNFYS/ref=sr_1_5?keywords=Veto+Pro+Pac+TECH+PAC+WHEELER+Backpack+Tool+Bag&amp;qid=1694734439&amp;sr=8-5", "https://www.amazon.com/VETO-PRO-PAC-TECH-MCT-Tool/dp/B01CENNFYS/ref=sr_1_5?keywords=Veto+Pro+Pac+TECH+PAC+WHEELER+Backpack+Tool+Bag&amp;qid=1694734439&amp;sr=8-5")</f>
        <v/>
      </c>
      <c r="F388" t="inlineStr">
        <is>
          <t>B01CENNFYS</t>
        </is>
      </c>
      <c r="G388">
        <f>_xlfn.IMAGE("https://edmondsonsupply.com/cdn/shop/products/01_TECH-PAC-WHEELER.jpg?v=1633031176")</f>
        <v/>
      </c>
      <c r="H388">
        <f>_xlfn.IMAGE("https://m.media-amazon.com/images/I/61GanfvVX6L._AC_UL320_.jpg")</f>
        <v/>
      </c>
      <c r="K388" t="inlineStr">
        <is>
          <t>399.99</t>
        </is>
      </c>
      <c r="L388" t="n">
        <v>189.95</v>
      </c>
      <c r="M388" s="1" t="inlineStr">
        <is>
          <t>-52.51%</t>
        </is>
      </c>
      <c r="N388" s="7" t="n">
        <v>-87.5</v>
      </c>
      <c r="O388" t="n">
        <v>4.8</v>
      </c>
      <c r="P388" t="n">
        <v>2081</v>
      </c>
      <c r="R388" t="inlineStr">
        <is>
          <t>InStock</t>
        </is>
      </c>
      <c r="S388" t="inlineStr">
        <is>
          <t>undefined</t>
        </is>
      </c>
      <c r="T388" t="inlineStr">
        <is>
          <t>6917914984621</t>
        </is>
      </c>
    </row>
    <row r="389" hidden="1" ht="15.75" customHeight="1">
      <c r="A389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389" s="2">
        <f>HYPERLINK("https://edmondsonsupply.com/products/veto-pro-pac-tech-pac-backpack-tool-bag-3", "https://edmondsonsupply.com/products/veto-pro-pac-tech-pac-backpack-tool-bag-3")</f>
        <v/>
      </c>
      <c r="C389" t="inlineStr">
        <is>
          <t>Veto Pro Pac TECH PAC MC Backpack Tool Bag</t>
        </is>
      </c>
      <c r="D389" t="inlineStr">
        <is>
          <t>Klein Tools 62805BPTECH Laptop Backpack Tool Bag, Tradesman Pro Extra-Large 28-Pocket Tech Tool Backpack with Molded Bottom, Charging Port</t>
        </is>
      </c>
      <c r="E389" s="2">
        <f>HYPERLINK("https://www.amazon.com/Klein-Tools-62805BPTECH-Tradesman-Extra-Large/dp/B0C7HMWCW6/ref=sr_1_28?keywords=Veto+Pro+Pac+TECH+PAC+MC+Backpack+Tool+Bag&amp;qid=1694734443&amp;sr=8-28", "https://www.amazon.com/Klein-Tools-62805BPTECH-Tradesman-Extra-Large/dp/B0C7HMWCW6/ref=sr_1_28?keywords=Veto+Pro+Pac+TECH+PAC+MC+Backpack+Tool+Bag&amp;qid=1694734443&amp;sr=8-28")</f>
        <v/>
      </c>
      <c r="F389" t="inlineStr">
        <is>
          <t>B0C7HMWCW6</t>
        </is>
      </c>
      <c r="G389">
        <f>_xludf.IMAGE("https://edmondsonsupply.com/cdn/shop/products/MC2.jpg?v=1642553730")</f>
        <v/>
      </c>
      <c r="H389">
        <f>_xludf.IMAGE("https://m.media-amazon.com/images/I/61VlhMDQGbL._AC_UL320_.jpg")</f>
        <v/>
      </c>
      <c r="K389" t="inlineStr">
        <is>
          <t>274.99</t>
        </is>
      </c>
      <c r="L389" t="n">
        <v>129.99</v>
      </c>
      <c r="M389" s="1" t="inlineStr">
        <is>
          <t>-52.73%</t>
        </is>
      </c>
      <c r="N389" s="3" t="n">
        <v>2412.06</v>
      </c>
      <c r="O389" t="n">
        <v>3.3</v>
      </c>
      <c r="P389" t="n">
        <v>3</v>
      </c>
      <c r="R389" t="inlineStr">
        <is>
          <t>InStock</t>
        </is>
      </c>
      <c r="S389" t="inlineStr">
        <is>
          <t>undefined</t>
        </is>
      </c>
      <c r="T389" t="inlineStr">
        <is>
          <t>3561063415908</t>
        </is>
      </c>
    </row>
    <row r="390" ht="87" customHeight="1">
      <c r="A390" s="2">
        <f>HYPERLINK("https://edmondsonsupply.com/collections/storage-organization/products/veto-pro-pac-wrencher-xl", "https://edmondsonsupply.com/collections/storage-organization/products/veto-pro-pac-wrencher-xl")</f>
        <v/>
      </c>
      <c r="B390" s="2">
        <f>HYPERLINK("https://edmondsonsupply.com/products/veto-pro-pac-wrencher-xl", "https://edmondsonsupply.com/products/veto-pro-pac-wrencher-xl")</f>
        <v/>
      </c>
      <c r="C390" t="inlineStr">
        <is>
          <t>Veto Pro Pac Wrencher XL</t>
        </is>
      </c>
      <c r="D390" t="inlineStr">
        <is>
          <t>Veto Pro Pac TP-XL Extra Large Tool Pouch</t>
        </is>
      </c>
      <c r="E390" s="2">
        <f>HYPERLINK("https://www.amazon.com/Veto-TP-XL-Extra-Large-Pouch/dp/B07WDL7SD3/ref=sr_1_5?keywords=Veto+Pro+Pac+Wrencher+XL&amp;qid=1694734460&amp;sr=8-5", "https://www.amazon.com/Veto-TP-XL-Extra-Large-Pouch/dp/B07WDL7SD3/ref=sr_1_5?keywords=Veto+Pro+Pac+Wrencher+XL&amp;qid=1694734460&amp;sr=8-5")</f>
        <v/>
      </c>
      <c r="F390" t="inlineStr">
        <is>
          <t>B07WDL7SD3</t>
        </is>
      </c>
      <c r="G390">
        <f>_xlfn.IMAGE("https://edmondsonsupply.com/cdn/shop/products/0006_WRENCHER-XL_11.jpg?v=1675796410")</f>
        <v/>
      </c>
      <c r="H390">
        <f>_xlfn.IMAGE("https://m.media-amazon.com/images/I/91dIbPcb4XL._AC_UL320_.jpg")</f>
        <v/>
      </c>
      <c r="K390" t="inlineStr">
        <is>
          <t>359.99</t>
        </is>
      </c>
      <c r="L390" t="n">
        <v>169.95</v>
      </c>
      <c r="M390" s="1" t="inlineStr">
        <is>
          <t>-52.79%</t>
        </is>
      </c>
      <c r="N390" s="7" t="n">
        <v>389.99</v>
      </c>
      <c r="O390" t="n">
        <v>4.9</v>
      </c>
      <c r="P390" t="n">
        <v>1131</v>
      </c>
      <c r="R390" t="inlineStr">
        <is>
          <t>InStock</t>
        </is>
      </c>
      <c r="S390" t="inlineStr">
        <is>
          <t>undefined</t>
        </is>
      </c>
      <c r="T390" t="inlineStr">
        <is>
          <t>7940480139480</t>
        </is>
      </c>
    </row>
    <row r="391" ht="87" customHeight="1">
      <c r="A391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391" s="2">
        <f>HYPERLINK("https://edmondsonsupply.com/products/veto-pro-pac-tech-pac-mc-blackout", "https://edmondsonsupply.com/products/veto-pro-pac-tech-pac-mc-blackout")</f>
        <v/>
      </c>
      <c r="C391" t="inlineStr">
        <is>
          <t>Veto Pro Pac TECH PAC MC Blackout</t>
        </is>
      </c>
      <c r="D391" t="inlineStr">
        <is>
          <t>Veto Pro Pac TP-LC (Compact, Zippered Service Tech Tool Pouch)</t>
        </is>
      </c>
      <c r="E391" s="2">
        <f>HYPERLINK("https://www.amazon.com/Veto-TP-LC-Compact-Zippered-Service/dp/B09TPZKBDP/ref=sr_1_10?keywords=Veto+Pro+Pac+TECH+PAC+MC+Blackout&amp;qid=1694734455&amp;sr=8-10", "https://www.amazon.com/Veto-TP-LC-Compact-Zippered-Service/dp/B09TPZKBDP/ref=sr_1_10?keywords=Veto+Pro+Pac+TECH+PAC+MC+Blackout&amp;qid=1694734455&amp;sr=8-10")</f>
        <v/>
      </c>
      <c r="F391" t="inlineStr">
        <is>
          <t>B09TPZKBDP</t>
        </is>
      </c>
      <c r="G391">
        <f>_xlfn.IMAGE("https://edmondsonsupply.com/cdn/shop/products/tech1.png?v=1633031062")</f>
        <v/>
      </c>
      <c r="H391">
        <f>_xlfn.IMAGE("https://m.media-amazon.com/images/I/51b1SiebzcL._AC_UL320_.jpg")</f>
        <v/>
      </c>
      <c r="K391" t="inlineStr">
        <is>
          <t>294.99</t>
        </is>
      </c>
      <c r="L391" t="n">
        <v>134.95</v>
      </c>
      <c r="M391" s="1" t="inlineStr">
        <is>
          <t>-54.25%</t>
        </is>
      </c>
      <c r="N391" s="7" t="n">
        <v>310.57</v>
      </c>
      <c r="O391" t="n">
        <v>4.8</v>
      </c>
      <c r="P391" t="n">
        <v>277</v>
      </c>
      <c r="R391" t="inlineStr">
        <is>
          <t>InStock</t>
        </is>
      </c>
      <c r="S391" t="inlineStr">
        <is>
          <t>undefined</t>
        </is>
      </c>
      <c r="T391" t="inlineStr">
        <is>
          <t>6821254496429</t>
        </is>
      </c>
    </row>
    <row r="392" ht="87" customHeight="1">
      <c r="A392" s="2">
        <f>HYPERLINK("https://edmondsonsupply.com/collections/storage-organization/products/veto-pro-pac-tech-pac-wheeler-backpack-tool-bag", "https://edmondsonsupply.com/collections/storage-organization/products/veto-pro-pac-tech-pac-wheeler-backpack-tool-bag")</f>
        <v/>
      </c>
      <c r="B392" s="2">
        <f>HYPERLINK("https://edmondsonsupply.com/products/veto-pro-pac-tech-pac-wheeler-backpack-tool-bag", "https://edmondsonsupply.com/products/veto-pro-pac-tech-pac-wheeler-backpack-tool-bag")</f>
        <v/>
      </c>
      <c r="C392" t="inlineStr">
        <is>
          <t>Veto Pro Pac TECH PAC WHEELER Backpack Tool Bag</t>
        </is>
      </c>
      <c r="D392" t="inlineStr">
        <is>
          <t>Veto Pro Pac TECH OT-SC (Sub-Compact Open Top Electrician Tool Bag)</t>
        </is>
      </c>
      <c r="E392" s="2">
        <f>HYPERLINK("https://www.amazon.com/Veto-TECH-OT-SC-Sub-Compact-Electrician/dp/B09ZC63KFK/ref=sr_1_6?keywords=Veto+Pro+Pac+TECH+PAC+WHEELER+Backpack+Tool+Bag&amp;qid=1694734439&amp;sr=8-6", "https://www.amazon.com/Veto-TECH-OT-SC-Sub-Compact-Electrician/dp/B09ZC63KFK/ref=sr_1_6?keywords=Veto+Pro+Pac+TECH+PAC+WHEELER+Backpack+Tool+Bag&amp;qid=1694734439&amp;sr=8-6")</f>
        <v/>
      </c>
      <c r="F392" t="inlineStr">
        <is>
          <t>B09ZC63KFK</t>
        </is>
      </c>
      <c r="G392">
        <f>_xlfn.IMAGE("https://edmondsonsupply.com/cdn/shop/products/01_TECH-PAC-WHEELER.jpg?v=1633031176")</f>
        <v/>
      </c>
      <c r="H392">
        <f>_xlfn.IMAGE("https://m.media-amazon.com/images/I/51LTwfYG5eL._AC_UL320_.jpg")</f>
        <v/>
      </c>
      <c r="K392" t="inlineStr">
        <is>
          <t>399.99</t>
        </is>
      </c>
      <c r="L392" t="n">
        <v>179.95</v>
      </c>
      <c r="M392" s="1" t="inlineStr">
        <is>
          <t>-55.01%</t>
        </is>
      </c>
      <c r="N392" s="7" t="n">
        <v>305.86</v>
      </c>
      <c r="O392" t="n">
        <v>4.7</v>
      </c>
      <c r="P392" t="n">
        <v>21</v>
      </c>
      <c r="R392" t="inlineStr">
        <is>
          <t>InStock</t>
        </is>
      </c>
      <c r="S392" t="inlineStr">
        <is>
          <t>undefined</t>
        </is>
      </c>
      <c r="T392" t="inlineStr">
        <is>
          <t>6917914984621</t>
        </is>
      </c>
    </row>
    <row r="393" ht="87" customHeight="1">
      <c r="A393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93" s="2">
        <f>HYPERLINK("https://edmondsonsupply.com/products/veto-pro-pac-tech-pac-backpack-tool-bag", "https://edmondsonsupply.com/products/veto-pro-pac-tech-pac-backpack-tool-bag")</f>
        <v/>
      </c>
      <c r="C393" t="inlineStr">
        <is>
          <t>Veto Pro Pac TECH PAC Backpack Tool Bag</t>
        </is>
      </c>
      <c r="D393" t="inlineStr">
        <is>
          <t>Veto Pro Pac TP-LC (Compact, Zippered Service Tech Tool Pouch)</t>
        </is>
      </c>
      <c r="E393" s="2">
        <f>HYPERLINK("https://www.amazon.com/Veto-TP-LC-Compact-Zippered-Service/dp/B09TPZKBDP/ref=sr_1_14?keywords=Veto+Pro+Pac+TECH+PAC+Backpack+Tool+Bag&amp;qid=1694734435&amp;sr=8-14", "https://www.amazon.com/Veto-TP-LC-Compact-Zippered-Service/dp/B09TPZKBDP/ref=sr_1_14?keywords=Veto+Pro+Pac+TECH+PAC+Backpack+Tool+Bag&amp;qid=1694734435&amp;sr=8-14")</f>
        <v/>
      </c>
      <c r="F393" t="inlineStr">
        <is>
          <t>B09TPZKBDP</t>
        </is>
      </c>
      <c r="G393">
        <f>_xlfn.IMAGE("https://edmondsonsupply.com/cdn/shop/products/Veto_Tech_Pac.jpg?v=1587149981")</f>
        <v/>
      </c>
      <c r="H393">
        <f>_xlfn.IMAGE("https://m.media-amazon.com/images/I/51b1SiebzcL._AC_UL320_.jpg")</f>
        <v/>
      </c>
      <c r="K393" t="inlineStr">
        <is>
          <t>299.99</t>
        </is>
      </c>
      <c r="L393" t="n">
        <v>134.95</v>
      </c>
      <c r="M393" s="1" t="inlineStr">
        <is>
          <t>-55.02%</t>
        </is>
      </c>
      <c r="N393" s="7" t="n">
        <v>300.27</v>
      </c>
      <c r="O393" t="n">
        <v>4.8</v>
      </c>
      <c r="P393" t="n">
        <v>277</v>
      </c>
      <c r="R393" t="inlineStr">
        <is>
          <t>InStock</t>
        </is>
      </c>
      <c r="S393" t="inlineStr">
        <is>
          <t>undefined</t>
        </is>
      </c>
      <c r="T393" t="inlineStr">
        <is>
          <t>3557476335716</t>
        </is>
      </c>
    </row>
    <row r="394" ht="87" customHeight="1">
      <c r="A394" s="2">
        <f>HYPERLINK("https://edmondsonsupply.com/collections/storage-organization/products/veto-pro-pac-tp-lc-tool-pouch", "https://edmondsonsupply.com/collections/storage-organization/products/veto-pro-pac-tp-lc-tool-pouch")</f>
        <v/>
      </c>
      <c r="B394" s="2">
        <f>HYPERLINK("https://edmondsonsupply.com/products/veto-pro-pac-tp-lc-tool-pouch", "https://edmondsonsupply.com/products/veto-pro-pac-tp-lc-tool-pouch")</f>
        <v/>
      </c>
      <c r="C394" t="inlineStr">
        <is>
          <t>Veto Pro Pac TP-LC Tool Pouch</t>
        </is>
      </c>
      <c r="D394" t="inlineStr">
        <is>
          <t>Veto Pro Pac TP3 Tool Pouch</t>
        </is>
      </c>
      <c r="E394" s="2">
        <f>HYPERLINK("https://www.amazon.com/Veto-Pro-Pac-TP3-Pouch/dp/B008471T42/ref=sr_1_5?keywords=Veto+Pro+Pac+TP-LC+Tool+Pouch&amp;qid=1694734452&amp;sr=8-5", "https://www.amazon.com/Veto-Pro-Pac-TP3-Pouch/dp/B008471T42/ref=sr_1_5?keywords=Veto+Pro+Pac+TP-LC+Tool+Pouch&amp;qid=1694734452&amp;sr=8-5")</f>
        <v/>
      </c>
      <c r="F394" t="inlineStr">
        <is>
          <t>B008471T42</t>
        </is>
      </c>
      <c r="G394">
        <f>_xlfn.IMAGE("https://edmondsonsupply.com/cdn/shop/products/TPLC.jpg?v=1648948141")</f>
        <v/>
      </c>
      <c r="H394">
        <f>_xlfn.IMAGE("https://m.media-amazon.com/images/I/911jQmUqGIL._AC_UL320_.jpg")</f>
        <v/>
      </c>
      <c r="K394" t="inlineStr">
        <is>
          <t>134.99</t>
        </is>
      </c>
      <c r="L394" t="n">
        <v>59.95</v>
      </c>
      <c r="M394" s="1" t="inlineStr">
        <is>
          <t>-55.59%</t>
        </is>
      </c>
      <c r="N394" s="7" t="n">
        <v>284.83</v>
      </c>
      <c r="O394" t="n">
        <v>4.7</v>
      </c>
      <c r="P394" t="n">
        <v>512</v>
      </c>
      <c r="R394" t="inlineStr">
        <is>
          <t>InStock</t>
        </is>
      </c>
      <c r="S394" t="inlineStr">
        <is>
          <t>undefined</t>
        </is>
      </c>
      <c r="T394" t="inlineStr">
        <is>
          <t>7652194189528</t>
        </is>
      </c>
    </row>
    <row r="395" ht="87" customHeight="1">
      <c r="A395" s="2">
        <f>HYPERLINK("https://edmondsonsupply.com/collections/storage-organization/products/veto-pro-pac-tp-lc-tool-pouch", "https://edmondsonsupply.com/collections/storage-organization/products/veto-pro-pac-tp-lc-tool-pouch")</f>
        <v/>
      </c>
      <c r="B395" s="2">
        <f>HYPERLINK("https://edmondsonsupply.com/products/veto-pro-pac-tp-lc-tool-pouch", "https://edmondsonsupply.com/products/veto-pro-pac-tp-lc-tool-pouch")</f>
        <v/>
      </c>
      <c r="C395" t="inlineStr">
        <is>
          <t>Veto Pro Pac TP-LC Tool Pouch</t>
        </is>
      </c>
      <c r="D395" t="inlineStr">
        <is>
          <t>Veto Pro Pac MB Tool Pouch</t>
        </is>
      </c>
      <c r="E395" s="2">
        <f>HYPERLINK("https://www.amazon.com/Veto-Pro-Pac-MB-Pouch/dp/B008471S4I/ref=sr_1_7?keywords=Veto+Pro+Pac+TP-LC+Tool+Pouch&amp;qid=1694734452&amp;sr=8-7", "https://www.amazon.com/Veto-Pro-Pac-MB-Pouch/dp/B008471S4I/ref=sr_1_7?keywords=Veto+Pro+Pac+TP-LC+Tool+Pouch&amp;qid=1694734452&amp;sr=8-7")</f>
        <v/>
      </c>
      <c r="F395" t="inlineStr">
        <is>
          <t>B008471S4I</t>
        </is>
      </c>
      <c r="G395">
        <f>_xlfn.IMAGE("https://edmondsonsupply.com/cdn/shop/products/TPLC.jpg?v=1648948141")</f>
        <v/>
      </c>
      <c r="H395">
        <f>_xlfn.IMAGE("https://m.media-amazon.com/images/I/91BzQgD8ZJL._AC_UL320_.jpg")</f>
        <v/>
      </c>
      <c r="K395" t="inlineStr">
        <is>
          <t>134.99</t>
        </is>
      </c>
      <c r="L395" t="n">
        <v>59.95</v>
      </c>
      <c r="M395" s="1" t="inlineStr">
        <is>
          <t>-55.59%</t>
        </is>
      </c>
      <c r="N395" s="7" t="n">
        <v>259.99</v>
      </c>
      <c r="O395" t="n">
        <v>4.8</v>
      </c>
      <c r="P395" t="n">
        <v>544</v>
      </c>
      <c r="R395" t="inlineStr">
        <is>
          <t>InStock</t>
        </is>
      </c>
      <c r="S395" t="inlineStr">
        <is>
          <t>undefined</t>
        </is>
      </c>
      <c r="T395" t="inlineStr">
        <is>
          <t>7652194189528</t>
        </is>
      </c>
    </row>
    <row r="396" hidden="1" ht="15.75" customHeight="1">
      <c r="A396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396" s="2">
        <f>HYPERLINK("https://edmondsonsupply.com/products/veto-pro-pac-tech-pac-backpack-tool-bag", "https://edmondsonsupply.com/products/veto-pro-pac-tech-pac-backpack-tool-bag")</f>
        <v/>
      </c>
      <c r="C396" t="inlineStr">
        <is>
          <t>Veto Pro Pac TECH PAC Backpack Tool Bag</t>
        </is>
      </c>
      <c r="D396" t="inlineStr">
        <is>
          <t>Klein Tools 62805BPTECH Laptop Backpack Tool Bag, Tradesman Pro Extra-Large 28-Pocket Tech Tool Backpack with Molded Bottom, Charging Port</t>
        </is>
      </c>
      <c r="E396" s="2">
        <f>HYPERLINK("https://www.amazon.com/Klein-Tools-62805BPTECH-Tradesman-Extra-Large/dp/B0C7HMWCW6/ref=sr_1_24?keywords=Veto+Pro+Pac+TECH+PAC+Backpack+Tool+Bag&amp;qid=1694734435&amp;sr=8-24", "https://www.amazon.com/Klein-Tools-62805BPTECH-Tradesman-Extra-Large/dp/B0C7HMWCW6/ref=sr_1_24?keywords=Veto+Pro+Pac+TECH+PAC+Backpack+Tool+Bag&amp;qid=1694734435&amp;sr=8-24")</f>
        <v/>
      </c>
      <c r="F396" t="inlineStr">
        <is>
          <t>B0C7HMWCW6</t>
        </is>
      </c>
      <c r="G396">
        <f>_xludf.IMAGE("https://edmondsonsupply.com/cdn/shop/products/Veto_Tech_Pac.jpg?v=1587149981")</f>
        <v/>
      </c>
      <c r="H396">
        <f>_xludf.IMAGE("https://m.media-amazon.com/images/I/61VlhMDQGbL._AC_UL320_.jpg")</f>
        <v/>
      </c>
      <c r="K396" t="inlineStr">
        <is>
          <t>299.99</t>
        </is>
      </c>
      <c r="L396" t="n">
        <v>129.99</v>
      </c>
      <c r="M396" s="1" t="inlineStr">
        <is>
          <t>-56.67%</t>
        </is>
      </c>
      <c r="N396" s="1" t="n">
        <v>253.11</v>
      </c>
      <c r="O396" t="n">
        <v>3.3</v>
      </c>
      <c r="P396" t="n">
        <v>3</v>
      </c>
      <c r="R396" t="inlineStr">
        <is>
          <t>InStock</t>
        </is>
      </c>
      <c r="S396" t="inlineStr">
        <is>
          <t>undefined</t>
        </is>
      </c>
      <c r="T396" t="inlineStr">
        <is>
          <t>3557476335716</t>
        </is>
      </c>
    </row>
    <row r="397" ht="87" customHeight="1">
      <c r="A397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397" s="2">
        <f>HYPERLINK("https://edmondsonsupply.com/products/veto-pro-pac-tech-pac-blackout-backpack", "https://edmondsonsupply.com/products/veto-pro-pac-tech-pac-blackout-backpack")</f>
        <v/>
      </c>
      <c r="C397" t="inlineStr">
        <is>
          <t>Veto Pro Pac TECH PAC Blackout Backpack</t>
        </is>
      </c>
      <c r="D397" t="inlineStr">
        <is>
          <t>Veto Pro Pac TP-LC (Compact, Zippered Service Tech Tool Pouch)</t>
        </is>
      </c>
      <c r="E397" s="2">
        <f>HYPERLINK("https://www.amazon.com/Veto-TP-LC-Compact-Zippered-Service/dp/B09TPZKBDP/ref=sr_1_7?keywords=Veto+Pro+Pac+TECH+PAC+Blackout+Backpack&amp;qid=1694734435&amp;sr=8-7", "https://www.amazon.com/Veto-TP-LC-Compact-Zippered-Service/dp/B09TPZKBDP/ref=sr_1_7?keywords=Veto+Pro+Pac+TECH+PAC+Blackout+Backpack&amp;qid=1694734435&amp;sr=8-7")</f>
        <v/>
      </c>
      <c r="F397" t="inlineStr">
        <is>
          <t>B09TPZKBDP</t>
        </is>
      </c>
      <c r="G397">
        <f>_xlfn.IMAGE("https://edmondsonsupply.com/cdn/shop/products/tech1.jpg?v=1633031041")</f>
        <v/>
      </c>
      <c r="H397">
        <f>_xlfn.IMAGE("https://m.media-amazon.com/images/I/51b1SiebzcL._AC_UL320_.jpg")</f>
        <v/>
      </c>
      <c r="K397" t="inlineStr">
        <is>
          <t>329.99</t>
        </is>
      </c>
      <c r="L397" t="n">
        <v>134.95</v>
      </c>
      <c r="M397" s="1" t="inlineStr">
        <is>
          <t>-59.10%</t>
        </is>
      </c>
      <c r="N397" s="7" t="n">
        <v>233.49</v>
      </c>
      <c r="O397" t="n">
        <v>4.8</v>
      </c>
      <c r="P397" t="n">
        <v>277</v>
      </c>
      <c r="R397" t="inlineStr">
        <is>
          <t>InStock</t>
        </is>
      </c>
      <c r="S397" t="inlineStr">
        <is>
          <t>undefined</t>
        </is>
      </c>
      <c r="T397" t="inlineStr">
        <is>
          <t>6752226476205</t>
        </is>
      </c>
    </row>
    <row r="398" ht="87" customHeight="1">
      <c r="A398" s="2">
        <f>HYPERLINK("https://edmondsonsupply.com/collections/storage-organization/products/veto-pro-pac-wrencher-lc", "https://edmondsonsupply.com/collections/storage-organization/products/veto-pro-pac-wrencher-lc")</f>
        <v/>
      </c>
      <c r="B398" s="2">
        <f>HYPERLINK("https://edmondsonsupply.com/products/veto-pro-pac-wrencher-lc", "https://edmondsonsupply.com/products/veto-pro-pac-wrencher-lc")</f>
        <v/>
      </c>
      <c r="C398" t="inlineStr">
        <is>
          <t>Veto Pro Pac Wrencher LC</t>
        </is>
      </c>
      <c r="D398" t="inlineStr">
        <is>
          <t>Veto Pro Pac TP-LC (Compact, Zippered Service Tech Tool Pouch)</t>
        </is>
      </c>
      <c r="E398" s="2">
        <f>HYPERLINK("https://www.amazon.com/Veto-TP-LC-Compact-Zippered-Service/dp/B09TPZKBDP/ref=sr_1_5?keywords=Veto+Pro+Pac+Wrencher+LC&amp;qid=1694734449&amp;sr=8-5", "https://www.amazon.com/Veto-TP-LC-Compact-Zippered-Service/dp/B09TPZKBDP/ref=sr_1_5?keywords=Veto+Pro+Pac+Wrencher+LC&amp;qid=1694734449&amp;sr=8-5")</f>
        <v/>
      </c>
      <c r="F398" t="inlineStr">
        <is>
          <t>B09TPZKBDP</t>
        </is>
      </c>
      <c r="G398">
        <f>_xlfn.IMAGE("https://edmondsonsupply.com/cdn/shop/products/0004_WRENCHER-LC_16-1.jpg?v=1675796113")</f>
        <v/>
      </c>
      <c r="H398">
        <f>_xlfn.IMAGE("https://m.media-amazon.com/images/I/51b1SiebzcL._AC_UL320_.jpg")</f>
        <v/>
      </c>
      <c r="K398" t="inlineStr">
        <is>
          <t>339.99</t>
        </is>
      </c>
      <c r="L398" t="n">
        <v>134.95</v>
      </c>
      <c r="M398" s="1" t="inlineStr">
        <is>
          <t>-60.31%</t>
        </is>
      </c>
      <c r="N398" s="7" t="n">
        <v>212.63</v>
      </c>
      <c r="O398" t="n">
        <v>4.8</v>
      </c>
      <c r="P398" t="n">
        <v>277</v>
      </c>
      <c r="R398" t="inlineStr">
        <is>
          <t>InStock</t>
        </is>
      </c>
      <c r="S398" t="inlineStr">
        <is>
          <t>undefined</t>
        </is>
      </c>
      <c r="T398" t="inlineStr">
        <is>
          <t>7940479123672</t>
        </is>
      </c>
    </row>
    <row r="399" ht="87" customHeight="1">
      <c r="A399" s="2">
        <f>HYPERLINK("https://edmondsonsupply.com/collections/storage-organization/products/klein-tools-510212blk-tool-bag-black-canvas-12-inch", "https://edmondsonsupply.com/collections/storage-organization/products/klein-tools-510212blk-tool-bag-black-canvas-12-inch")</f>
        <v/>
      </c>
      <c r="B399" s="2">
        <f>HYPERLINK("https://edmondsonsupply.com/products/klein-tools-510212blk-tool-bag-black-canvas-12-inch", "https://edmondsonsupply.com/products/klein-tools-510212blk-tool-bag-black-canvas-12-inch")</f>
        <v/>
      </c>
      <c r="C399" t="inlineStr">
        <is>
          <t>Klein Tools 510212BLK Tool Bag, Black Canvas, 12-Inch</t>
        </is>
      </c>
      <c r="D399" t="inlineStr">
        <is>
          <t>Klein Tools 5416TCP Tool Bag, Extra Tall Top Closing Bolt Bag with 3-Inch Drawstring, Heavy-Duty No. 4 Canvas, 5 x 12 x 9-Inch</t>
        </is>
      </c>
      <c r="E399" s="2">
        <f>HYPERLINK("https://www.amazon.com/Extra-Closing-Klein-Tools-5416TCP/dp/B008IRAM1O/ref=sr_1_22?keywords=Klein+Tools+510212BLK+Tool+Bag%2C+Black+Canvas%2C+12-Inch&amp;qid=1694734454&amp;sr=8-22", "https://www.amazon.com/Extra-Closing-Klein-Tools-5416TCP/dp/B008IRAM1O/ref=sr_1_22?keywords=Klein+Tools+510212BLK+Tool+Bag%2C+Black+Canvas%2C+12-Inch&amp;qid=1694734454&amp;sr=8-22")</f>
        <v/>
      </c>
      <c r="F399" t="inlineStr">
        <is>
          <t>B008IRAM1O</t>
        </is>
      </c>
      <c r="G399">
        <f>_xlfn.IMAGE("https://edmondsonsupply.com/cdn/shop/products/510212blk.jpg?v=1666026613")</f>
        <v/>
      </c>
      <c r="H399">
        <f>_xlfn.IMAGE("https://m.media-amazon.com/images/I/61zwtJ6VufL._AC_UL320_.jpg")</f>
        <v/>
      </c>
      <c r="K399" t="inlineStr">
        <is>
          <t>69.99</t>
        </is>
      </c>
      <c r="L399" t="n">
        <v>26.22</v>
      </c>
      <c r="M399" s="1" t="inlineStr">
        <is>
          <t>-62.54%</t>
        </is>
      </c>
      <c r="N399" s="7" t="n">
        <v>186.46</v>
      </c>
      <c r="O399" t="n">
        <v>4.7</v>
      </c>
      <c r="P399" t="n">
        <v>324</v>
      </c>
      <c r="R399" t="inlineStr">
        <is>
          <t>InStock</t>
        </is>
      </c>
      <c r="S399" t="inlineStr">
        <is>
          <t>103.34</t>
        </is>
      </c>
      <c r="T399" t="inlineStr">
        <is>
          <t>7856656679128</t>
        </is>
      </c>
    </row>
    <row r="400" ht="87" customHeight="1">
      <c r="A400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400" s="2">
        <f>HYPERLINK("https://edmondsonsupply.com/products/veto-pro-pac-tech-pac-backpack-tool-bag", "https://edmondsonsupply.com/products/veto-pro-pac-tech-pac-backpack-tool-bag")</f>
        <v/>
      </c>
      <c r="C400" t="inlineStr">
        <is>
          <t>Veto Pro Pac TECH PAC Backpack Tool Bag</t>
        </is>
      </c>
      <c r="D400" t="inlineStr">
        <is>
          <t>Klein Tools 80038 Backpack Tool Kit, Tradesman Pro Backpack, Zipper Tool Bags, and Magnetizer, 4-Piece</t>
        </is>
      </c>
      <c r="E400" s="2">
        <f>HYPERLINK("https://www.amazon.com/Klein-Tools-80038-Tradesman-Magnetizer/dp/B098MR874X/ref=sr_1_31?keywords=Veto+Pro+Pac+TECH+PAC+Backpack+Tool+Bag&amp;qid=1694734435&amp;sr=8-31", "https://www.amazon.com/Klein-Tools-80038-Tradesman-Magnetizer/dp/B098MR874X/ref=sr_1_31?keywords=Veto+Pro+Pac+TECH+PAC+Backpack+Tool+Bag&amp;qid=1694734435&amp;sr=8-31")</f>
        <v/>
      </c>
      <c r="F400" t="inlineStr">
        <is>
          <t>B098MR874X</t>
        </is>
      </c>
      <c r="G400">
        <f>_xlfn.IMAGE("https://edmondsonsupply.com/cdn/shop/products/Veto_Tech_Pac.jpg?v=1587149981")</f>
        <v/>
      </c>
      <c r="H400">
        <f>_xlfn.IMAGE("https://m.media-amazon.com/images/I/619wo7ALIgS._AC_UL320_.jpg")</f>
        <v/>
      </c>
      <c r="K400" t="inlineStr">
        <is>
          <t>299.99</t>
        </is>
      </c>
      <c r="L400" t="n">
        <v>109</v>
      </c>
      <c r="M400" s="1" t="inlineStr">
        <is>
          <t>-63.67%</t>
        </is>
      </c>
      <c r="N400" s="7" t="n">
        <v>183.29</v>
      </c>
      <c r="O400" t="n">
        <v>4.7</v>
      </c>
      <c r="P400" t="n">
        <v>553</v>
      </c>
      <c r="R400" t="inlineStr">
        <is>
          <t>InStock</t>
        </is>
      </c>
      <c r="S400" t="inlineStr">
        <is>
          <t>undefined</t>
        </is>
      </c>
      <c r="T400" t="inlineStr">
        <is>
          <t>3557476335716</t>
        </is>
      </c>
    </row>
    <row r="401" ht="87" customHeight="1">
      <c r="A401" s="2">
        <f>HYPERLINK("https://edmondsonsupply.com/collections/storage-organization/products/veto-pro-pac-wrencher-xl", "https://edmondsonsupply.com/collections/storage-organization/products/veto-pro-pac-wrencher-xl")</f>
        <v/>
      </c>
      <c r="B401" s="2">
        <f>HYPERLINK("https://edmondsonsupply.com/products/veto-pro-pac-wrencher-xl", "https://edmondsonsupply.com/products/veto-pro-pac-wrencher-xl")</f>
        <v/>
      </c>
      <c r="C401" t="inlineStr">
        <is>
          <t>Veto Pro Pac Wrencher XL</t>
        </is>
      </c>
      <c r="D401" t="inlineStr">
        <is>
          <t>Veto Pro Pac KP-XL Wall/Van Organizer</t>
        </is>
      </c>
      <c r="E401" s="2">
        <f>HYPERLINK("https://www.amazon.com/Veto-Pro-KP-XL-Wall-Organizer/dp/B07YL7JD47/ref=sr_1_12?keywords=Veto+Pro+Pac+Wrencher+XL&amp;qid=1694734460&amp;sr=8-12", "https://www.amazon.com/Veto-Pro-KP-XL-Wall-Organizer/dp/B07YL7JD47/ref=sr_1_12?keywords=Veto+Pro+Pac+Wrencher+XL&amp;qid=1694734460&amp;sr=8-12")</f>
        <v/>
      </c>
      <c r="F401" t="inlineStr">
        <is>
          <t>B07YL7JD47</t>
        </is>
      </c>
      <c r="G401">
        <f>_xlfn.IMAGE("https://edmondsonsupply.com/cdn/shop/products/0006_WRENCHER-XL_11.jpg?v=1675796410")</f>
        <v/>
      </c>
      <c r="H401">
        <f>_xlfn.IMAGE("https://m.media-amazon.com/images/I/61xmR6+2L8L._AC_UL320_.jpg")</f>
        <v/>
      </c>
      <c r="K401" t="inlineStr">
        <is>
          <t>359.99</t>
        </is>
      </c>
      <c r="L401" t="n">
        <v>129.95</v>
      </c>
      <c r="M401" s="1" t="inlineStr">
        <is>
          <t>-63.90%</t>
        </is>
      </c>
      <c r="N401" s="7" t="n">
        <v>177.42</v>
      </c>
      <c r="O401" t="n">
        <v>4.8</v>
      </c>
      <c r="P401" t="n">
        <v>54</v>
      </c>
      <c r="R401" t="inlineStr">
        <is>
          <t>InStock</t>
        </is>
      </c>
      <c r="S401" t="inlineStr">
        <is>
          <t>undefined</t>
        </is>
      </c>
      <c r="T401" t="inlineStr">
        <is>
          <t>7940480139480</t>
        </is>
      </c>
    </row>
    <row r="402" hidden="1" ht="15.75" customHeight="1">
      <c r="A402" s="2">
        <f>HYPERLINK("https://edmondsonsupply.com/collections/storage-organization/products/fluke-c11xt-protective-eva-hard-tool-case", "https://edmondsonsupply.com/collections/storage-organization/products/fluke-c11xt-protective-eva-hard-tool-case")</f>
        <v/>
      </c>
      <c r="B402" s="2">
        <f>HYPERLINK("https://edmondsonsupply.com/products/fluke-c11xt-protective-eva-hard-tool-case", "https://edmondsonsupply.com/products/fluke-c11xt-protective-eva-hard-tool-case")</f>
        <v/>
      </c>
      <c r="C402" t="inlineStr">
        <is>
          <t>Fluke C11XT Protective EVA Hard Tool Case</t>
        </is>
      </c>
      <c r="D402" t="inlineStr">
        <is>
          <t>LTGEM EVA Hard Carrying Case for Fluke 1AC/2AC Alert Voltage Tester- Protective Storage Bag</t>
        </is>
      </c>
      <c r="E402" s="2">
        <f>HYPERLINK("https://www.amazon.com/LTGEM-Fluke-Alert-Voltage-Tester/dp/B08DNGV8QF/ref=sr_1_7?keywords=Fluke+C11XT+Protective+EVA+Hard+Tool+Case&amp;qid=1694734435&amp;sr=8-7", "https://www.amazon.com/LTGEM-Fluke-Alert-Voltage-Tester/dp/B08DNGV8QF/ref=sr_1_7?keywords=Fluke+C11XT+Protective+EVA+Hard+Tool+Case&amp;qid=1694734435&amp;sr=8-7")</f>
        <v/>
      </c>
      <c r="F402" t="inlineStr">
        <is>
          <t>B08DNGV8QF</t>
        </is>
      </c>
      <c r="G402">
        <f>_xludf.IMAGE("https://edmondsonsupply.com/cdn/shop/products/F-c11xt_04a_w.jpg?v=1663190833")</f>
        <v/>
      </c>
      <c r="H402">
        <f>_xludf.IMAGE("https://m.media-amazon.com/images/I/718DM7qSE0L._AC_UL320_.jpg")</f>
        <v/>
      </c>
      <c r="K402" t="inlineStr">
        <is>
          <t>35.99</t>
        </is>
      </c>
      <c r="L402" t="n">
        <v>12.99</v>
      </c>
      <c r="M402" s="1" t="inlineStr">
        <is>
          <t>-63.91%</t>
        </is>
      </c>
      <c r="N402" s="1" t="n">
        <v>177.06</v>
      </c>
      <c r="O402" t="n">
        <v>4.6</v>
      </c>
      <c r="P402" t="n">
        <v>75</v>
      </c>
      <c r="R402" t="inlineStr">
        <is>
          <t>OutOfStock</t>
        </is>
      </c>
      <c r="S402" t="inlineStr">
        <is>
          <t>39.99</t>
        </is>
      </c>
      <c r="T402" t="inlineStr">
        <is>
          <t>7815620100312</t>
        </is>
      </c>
    </row>
    <row r="403" hidden="1" ht="15.75" customHeight="1">
      <c r="A403" s="2">
        <f>HYPERLINK("https://edmondsonsupply.com/collections/storage-organization/products/milwaukee-48-22-8435-packout%E2%84%A2-compact-organizer", "https://edmondsonsupply.com/collections/storage-organization/products/milwaukee-48-22-8435-packout%E2%84%A2-compact-organizer")</f>
        <v/>
      </c>
      <c r="B403" s="2">
        <f>HYPERLINK("https://edmondsonsupply.com/products/milwaukee-48-22-8435-packout%e2%84%a2-compact-organizer", "https://edmondsonsupply.com/products/milwaukee-48-22-8435-packout%e2%84%a2-compact-organizer")</f>
        <v/>
      </c>
      <c r="C403" t="inlineStr">
        <is>
          <t>Milwaukee 48-22-8435 PACKOUT™ Compact Organizer</t>
        </is>
      </c>
      <c r="D403" t="inlineStr">
        <is>
          <t>Kaizen Foam Insert for Milwaukee PACKOUT Compact Organizer 48-22-8435 (Black Foam), (57KFI-MILW-8435)</t>
        </is>
      </c>
      <c r="E403" s="2">
        <f>HYPERLINK("https://www.amazon.com/Milwaukee-PACKOUT-Organizer-48-22-8435-57KFI-MILW-8435/dp/B0B5FQ7NGJ/ref=sr_1_2?keywords=Milwaukee+48-22-8435+PACKOUT%E2%84%A2+Compact+Organizer&amp;qid=1694734453&amp;sr=8-2", "https://www.amazon.com/Milwaukee-PACKOUT-Organizer-48-22-8435-57KFI-MILW-8435/dp/B0B5FQ7NGJ/ref=sr_1_2?keywords=Milwaukee+48-22-8435+PACKOUT%E2%84%A2+Compact+Organizer&amp;qid=1694734453&amp;sr=8-2")</f>
        <v/>
      </c>
      <c r="F403" t="inlineStr">
        <is>
          <t>B0B5FQ7NGJ</t>
        </is>
      </c>
      <c r="G403">
        <f>_xludf.IMAGE("https://edmondsonsupply.com/cdn/shop/products/48-22-8435_1.png?v=1671723464")</f>
        <v/>
      </c>
      <c r="H403">
        <f>_xludf.IMAGE("https://m.media-amazon.com/images/I/810IfuEI8RL._AC_UL320_.jpg")</f>
        <v/>
      </c>
      <c r="K403" t="inlineStr">
        <is>
          <t>34.97</t>
        </is>
      </c>
      <c r="L403" t="n">
        <v>12.5</v>
      </c>
      <c r="M403" s="1" t="inlineStr">
        <is>
          <t>-64.26%</t>
        </is>
      </c>
      <c r="N403" s="1" t="n">
        <v>177.06</v>
      </c>
      <c r="O403" t="n">
        <v>4.5</v>
      </c>
      <c r="P403" t="n">
        <v>70</v>
      </c>
      <c r="R403" t="inlineStr">
        <is>
          <t>InStock</t>
        </is>
      </c>
      <c r="S403" t="inlineStr">
        <is>
          <t>58.0</t>
        </is>
      </c>
      <c r="T403" t="inlineStr">
        <is>
          <t>7910242877656</t>
        </is>
      </c>
    </row>
    <row r="404" ht="87" customHeight="1">
      <c r="A404" s="2">
        <f>HYPERLINK("https://edmondsonsupply.com/collections/storage-organization/products/veto-pro-pac-tp-xxl-tool-pouch", "https://edmondsonsupply.com/collections/storage-organization/products/veto-pro-pac-tp-xxl-tool-pouch")</f>
        <v/>
      </c>
      <c r="B404" s="2">
        <f>HYPERLINK("https://edmondsonsupply.com/products/veto-pro-pac-tp-xxl-tool-pouch", "https://edmondsonsupply.com/products/veto-pro-pac-tp-xxl-tool-pouch")</f>
        <v/>
      </c>
      <c r="C404" t="inlineStr">
        <is>
          <t>Veto Pro Pac TP-XXL Tool Pouch</t>
        </is>
      </c>
      <c r="D404" t="inlineStr">
        <is>
          <t>VETO PRO PAC TP4 Technician Tool Pouch</t>
        </is>
      </c>
      <c r="E404" s="2">
        <f>HYPERLINK("https://www.amazon.com/VETO-TP4-Technician-Tool-Pouch/dp/B00EY8DZ42/ref=sr_1_14?keywords=Veto+Pro+Pac+TP-XXL+Tool+Pouch&amp;qid=1694734436&amp;sr=8-14", "https://www.amazon.com/VETO-TP4-Technician-Tool-Pouch/dp/B00EY8DZ42/ref=sr_1_14?keywords=Veto+Pro+Pac+TP-XXL+Tool+Pouch&amp;qid=1694734436&amp;sr=8-14")</f>
        <v/>
      </c>
      <c r="F404" t="inlineStr">
        <is>
          <t>B00EY8DZ42</t>
        </is>
      </c>
      <c r="G404">
        <f>_xlfn.IMAGE("https://edmondsonsupply.com/cdn/shop/products/01_TP-XXL.jpg?v=1633031173")</f>
        <v/>
      </c>
      <c r="H404">
        <f>_xlfn.IMAGE("https://m.media-amazon.com/images/I/61ppYqUQVHL._AC_UL320_.jpg")</f>
        <v/>
      </c>
      <c r="K404" t="inlineStr">
        <is>
          <t>209.99</t>
        </is>
      </c>
      <c r="L404" t="n">
        <v>74.95</v>
      </c>
      <c r="M404" s="1" t="inlineStr">
        <is>
          <t>-64.31%</t>
        </is>
      </c>
      <c r="N404" s="7" t="n">
        <v>169.93</v>
      </c>
      <c r="O404" t="n">
        <v>4.7</v>
      </c>
      <c r="P404" t="n">
        <v>458</v>
      </c>
      <c r="R404" t="inlineStr">
        <is>
          <t>InStock</t>
        </is>
      </c>
      <c r="S404" t="inlineStr">
        <is>
          <t>undefined</t>
        </is>
      </c>
      <c r="T404" t="inlineStr">
        <is>
          <t>6917899321517</t>
        </is>
      </c>
    </row>
    <row r="405" ht="87" customHeight="1">
      <c r="A405" s="2">
        <f>HYPERLINK("https://edmondsonsupply.com/collections/storage-organization/products/veto-pro-pac-tp-xxl-tool-pouch", "https://edmondsonsupply.com/collections/storage-organization/products/veto-pro-pac-tp-xxl-tool-pouch")</f>
        <v/>
      </c>
      <c r="B405" s="2">
        <f>HYPERLINK("https://edmondsonsupply.com/products/veto-pro-pac-tp-xxl-tool-pouch", "https://edmondsonsupply.com/products/veto-pro-pac-tp-xxl-tool-pouch")</f>
        <v/>
      </c>
      <c r="C405" t="inlineStr">
        <is>
          <t>Veto Pro Pac TP-XXL Tool Pouch</t>
        </is>
      </c>
      <c r="D405" t="inlineStr">
        <is>
          <t>Veto Pro Pac MB2 Tool Pouch</t>
        </is>
      </c>
      <c r="E405" s="2">
        <f>HYPERLINK("https://www.amazon.com/VETO-PRO-MB2-Tall-Meter/dp/B00IPQ9C1E/ref=sr_1_18?keywords=Veto+Pro+Pac+TP-XXL+Tool+Pouch&amp;qid=1694734436&amp;sr=8-18", "https://www.amazon.com/VETO-PRO-MB2-Tall-Meter/dp/B00IPQ9C1E/ref=sr_1_18?keywords=Veto+Pro+Pac+TP-XXL+Tool+Pouch&amp;qid=1694734436&amp;sr=8-18")</f>
        <v/>
      </c>
      <c r="F405" t="inlineStr">
        <is>
          <t>B00IPQ9C1E</t>
        </is>
      </c>
      <c r="G405">
        <f>_xlfn.IMAGE("https://edmondsonsupply.com/cdn/shop/products/01_TP-XXL.jpg?v=1633031173")</f>
        <v/>
      </c>
      <c r="H405">
        <f>_xlfn.IMAGE("https://m.media-amazon.com/images/I/91Ha2uK69IL._AC_UL320_.jpg")</f>
        <v/>
      </c>
      <c r="K405" t="inlineStr">
        <is>
          <t>209.99</t>
        </is>
      </c>
      <c r="L405" t="n">
        <v>74.95</v>
      </c>
      <c r="M405" s="1" t="inlineStr">
        <is>
          <t>-64.31%</t>
        </is>
      </c>
      <c r="N405" s="7" t="n">
        <v>153.96</v>
      </c>
      <c r="O405" t="n">
        <v>4.8</v>
      </c>
      <c r="P405" t="n">
        <v>1466</v>
      </c>
      <c r="R405" t="inlineStr">
        <is>
          <t>InStock</t>
        </is>
      </c>
      <c r="S405" t="inlineStr">
        <is>
          <t>undefined</t>
        </is>
      </c>
      <c r="T405" t="inlineStr">
        <is>
          <t>6917899321517</t>
        </is>
      </c>
    </row>
    <row r="406" ht="87" customHeight="1">
      <c r="A406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406" s="2">
        <f>HYPERLINK("https://edmondsonsupply.com/products/veto-pro-pac-tech-pac-backpack-tool-bag", "https://edmondsonsupply.com/products/veto-pro-pac-tech-pac-backpack-tool-bag")</f>
        <v/>
      </c>
      <c r="C406" t="inlineStr">
        <is>
          <t>Veto Pro Pac TECH PAC Backpack Tool Bag</t>
        </is>
      </c>
      <c r="D406" t="inlineStr">
        <is>
          <t>Klein Tools 55482 Tool Bag Backpack, Heavy Duty Tradesman Pro Tool Organizer with 21 Pockets and Large Interior, Water Resistant</t>
        </is>
      </c>
      <c r="E406" s="2">
        <f>HYPERLINK("https://www.amazon.com/Klein-Tools-55482-Tradesman-Organizer/dp/B081BRL966/ref=sr_1_42?keywords=Veto+Pro+Pac+TECH+PAC+Backpack+Tool+Bag&amp;qid=1694734435&amp;sr=8-42", "https://www.amazon.com/Klein-Tools-55482-Tradesman-Organizer/dp/B081BRL966/ref=sr_1_42?keywords=Veto+Pro+Pac+TECH+PAC+Backpack+Tool+Bag&amp;qid=1694734435&amp;sr=8-42")</f>
        <v/>
      </c>
      <c r="F406" t="inlineStr">
        <is>
          <t>B081BRL966</t>
        </is>
      </c>
      <c r="G406">
        <f>_xlfn.IMAGE("https://edmondsonsupply.com/cdn/shop/products/Veto_Tech_Pac.jpg?v=1587149981")</f>
        <v/>
      </c>
      <c r="H406">
        <f>_xlfn.IMAGE("https://m.media-amazon.com/images/I/71mMNJTARZL._AC_UL320_.jpg")</f>
        <v/>
      </c>
      <c r="K406" t="inlineStr">
        <is>
          <t>299.99</t>
        </is>
      </c>
      <c r="L406" t="n">
        <v>104.99</v>
      </c>
      <c r="M406" s="1" t="inlineStr">
        <is>
          <t>-65.00%</t>
        </is>
      </c>
      <c r="N406" s="7" t="n">
        <v>153.96</v>
      </c>
      <c r="O406" t="n">
        <v>4.8</v>
      </c>
      <c r="P406" t="n">
        <v>1672</v>
      </c>
      <c r="R406" t="inlineStr">
        <is>
          <t>InStock</t>
        </is>
      </c>
      <c r="S406" t="inlineStr">
        <is>
          <t>undefined</t>
        </is>
      </c>
      <c r="T406" t="inlineStr">
        <is>
          <t>3557476335716</t>
        </is>
      </c>
    </row>
    <row r="407" ht="87" customHeight="1">
      <c r="A407" s="2">
        <f>HYPERLINK("https://edmondsonsupply.com/collections/storage-organization/products/veto-pro-pac-tp-xxl-blackout-tool-pouch", "https://edmondsonsupply.com/collections/storage-organization/products/veto-pro-pac-tp-xxl-blackout-tool-pouch")</f>
        <v/>
      </c>
      <c r="B407" s="2">
        <f>HYPERLINK("https://edmondsonsupply.com/products/veto-pro-pac-tp-xxl-blackout-tool-pouch", "https://edmondsonsupply.com/products/veto-pro-pac-tp-xxl-blackout-tool-pouch")</f>
        <v/>
      </c>
      <c r="C407" t="inlineStr">
        <is>
          <t>Veto Pro Pac TP-XXL Blackout Tool Pouch</t>
        </is>
      </c>
      <c r="D407" t="inlineStr">
        <is>
          <t>VETO PRO PAC TP4 Technician Tool Pouch</t>
        </is>
      </c>
      <c r="E407" s="2">
        <f>HYPERLINK("https://www.amazon.com/VETO-TP4-Technician-Tool-Pouch/dp/B00EY8DZ42/ref=sr_1_7?keywords=Veto+Pro+Pac+TP-XXL+Blackout+Tool+Pouch&amp;qid=1694734438&amp;sr=8-7", "https://www.amazon.com/VETO-TP4-Technician-Tool-Pouch/dp/B00EY8DZ42/ref=sr_1_7?keywords=Veto+Pro+Pac+TP-XXL+Blackout+Tool+Pouch&amp;qid=1694734438&amp;sr=8-7")</f>
        <v/>
      </c>
      <c r="F407" t="inlineStr">
        <is>
          <t>B00EY8DZ42</t>
        </is>
      </c>
      <c r="G407">
        <f>_xlfn.IMAGE("https://edmondsonsupply.com/cdn/shop/files/TP-xxl_blackout_600x830_0000_TP-XXL_BLACKOUT_0379.jpg?v=1685736106")</f>
        <v/>
      </c>
      <c r="H407">
        <f>_xlfn.IMAGE("https://m.media-amazon.com/images/I/61ppYqUQVHL._AC_UL320_.jpg")</f>
        <v/>
      </c>
      <c r="K407" t="inlineStr">
        <is>
          <t>239.99</t>
        </is>
      </c>
      <c r="L407" t="n">
        <v>74.95</v>
      </c>
      <c r="M407" s="1" t="inlineStr">
        <is>
          <t>-68.77%</t>
        </is>
      </c>
      <c r="N407" s="7" t="n">
        <v>149.7</v>
      </c>
      <c r="O407" t="n">
        <v>4.7</v>
      </c>
      <c r="P407" t="n">
        <v>458</v>
      </c>
      <c r="R407" t="inlineStr">
        <is>
          <t>OutOfStock</t>
        </is>
      </c>
      <c r="S407" t="inlineStr">
        <is>
          <t>undefined</t>
        </is>
      </c>
      <c r="T407" t="inlineStr">
        <is>
          <t>7999688868056</t>
        </is>
      </c>
    </row>
    <row r="408" ht="87" customHeight="1">
      <c r="A408" s="2">
        <f>HYPERLINK("https://edmondsonsupply.com/collections/storage-organization/products/veto-pro-pac-tp-xxl-tool-pouch", "https://edmondsonsupply.com/collections/storage-organization/products/veto-pro-pac-tp-xxl-tool-pouch")</f>
        <v/>
      </c>
      <c r="B408" s="2">
        <f>HYPERLINK("https://edmondsonsupply.com/products/veto-pro-pac-tp-xxl-tool-pouch", "https://edmondsonsupply.com/products/veto-pro-pac-tp-xxl-tool-pouch")</f>
        <v/>
      </c>
      <c r="C408" t="inlineStr">
        <is>
          <t>Veto Pro Pac TP-XXL Tool Pouch</t>
        </is>
      </c>
      <c r="D408" t="inlineStr">
        <is>
          <t>Veto Pro Pac MB Tool Pouch</t>
        </is>
      </c>
      <c r="E408" s="2">
        <f>HYPERLINK("https://www.amazon.com/Veto-Pro-Pac-MB-Pouch/dp/B008471S4I/ref=sr_1_7?keywords=Veto+Pro+Pac+TP-XXL+Tool+Pouch&amp;qid=1694734436&amp;sr=8-7", "https://www.amazon.com/Veto-Pro-Pac-MB-Pouch/dp/B008471S4I/ref=sr_1_7?keywords=Veto+Pro+Pac+TP-XXL+Tool+Pouch&amp;qid=1694734436&amp;sr=8-7")</f>
        <v/>
      </c>
      <c r="F408" t="inlineStr">
        <is>
          <t>B008471S4I</t>
        </is>
      </c>
      <c r="G408">
        <f>_xlfn.IMAGE("https://edmondsonsupply.com/cdn/shop/products/01_TP-XXL.jpg?v=1633031173")</f>
        <v/>
      </c>
      <c r="H408">
        <f>_xlfn.IMAGE("https://m.media-amazon.com/images/I/91BzQgD8ZJL._AC_UL320_.jpg")</f>
        <v/>
      </c>
      <c r="K408" t="inlineStr">
        <is>
          <t>209.99</t>
        </is>
      </c>
      <c r="L408" t="n">
        <v>59.95</v>
      </c>
      <c r="M408" s="1" t="inlineStr">
        <is>
          <t>-71.45%</t>
        </is>
      </c>
      <c r="N408" s="7" t="n">
        <v>140.09</v>
      </c>
      <c r="O408" t="n">
        <v>4.8</v>
      </c>
      <c r="P408" t="n">
        <v>544</v>
      </c>
      <c r="R408" t="inlineStr">
        <is>
          <t>InStock</t>
        </is>
      </c>
      <c r="S408" t="inlineStr">
        <is>
          <t>undefined</t>
        </is>
      </c>
      <c r="T408" t="inlineStr">
        <is>
          <t>6917899321517</t>
        </is>
      </c>
    </row>
    <row r="409" ht="87" customHeight="1">
      <c r="A409" s="2">
        <f>HYPERLINK("https://edmondsonsupply.com/collections/storage-organization/products/veto-pro-pac-tp-xxl-tool-pouch", "https://edmondsonsupply.com/collections/storage-organization/products/veto-pro-pac-tp-xxl-tool-pouch")</f>
        <v/>
      </c>
      <c r="B409" s="2">
        <f>HYPERLINK("https://edmondsonsupply.com/products/veto-pro-pac-tp-xxl-tool-pouch", "https://edmondsonsupply.com/products/veto-pro-pac-tp-xxl-tool-pouch")</f>
        <v/>
      </c>
      <c r="C409" t="inlineStr">
        <is>
          <t>Veto Pro Pac TP-XXL Tool Pouch</t>
        </is>
      </c>
      <c r="D409" t="inlineStr">
        <is>
          <t>Veto Pro Pac TP3 Tool Pouch</t>
        </is>
      </c>
      <c r="E409" s="2">
        <f>HYPERLINK("https://www.amazon.com/Veto-Pro-Pac-TP3-Pouch/dp/B008471T42/ref=sr_1_8?keywords=Veto+Pro+Pac+TP-XXL+Tool+Pouch&amp;qid=1694734436&amp;sr=8-8", "https://www.amazon.com/Veto-Pro-Pac-TP3-Pouch/dp/B008471T42/ref=sr_1_8?keywords=Veto+Pro+Pac+TP-XXL+Tool+Pouch&amp;qid=1694734436&amp;sr=8-8")</f>
        <v/>
      </c>
      <c r="F409" t="inlineStr">
        <is>
          <t>B008471T42</t>
        </is>
      </c>
      <c r="G409">
        <f>_xlfn.IMAGE("https://edmondsonsupply.com/cdn/shop/products/01_TP-XXL.jpg?v=1633031173")</f>
        <v/>
      </c>
      <c r="H409">
        <f>_xlfn.IMAGE("https://m.media-amazon.com/images/I/911jQmUqGIL._AC_UL320_.jpg")</f>
        <v/>
      </c>
      <c r="K409" t="inlineStr">
        <is>
          <t>209.99</t>
        </is>
      </c>
      <c r="L409" t="n">
        <v>59.95</v>
      </c>
      <c r="M409" s="1" t="inlineStr">
        <is>
          <t>-71.45%</t>
        </is>
      </c>
      <c r="N409" s="7" t="n">
        <v>140.09</v>
      </c>
      <c r="O409" t="n">
        <v>4.7</v>
      </c>
      <c r="P409" t="n">
        <v>512</v>
      </c>
      <c r="R409" t="inlineStr">
        <is>
          <t>InStock</t>
        </is>
      </c>
      <c r="S409" t="inlineStr">
        <is>
          <t>undefined</t>
        </is>
      </c>
      <c r="T409" t="inlineStr">
        <is>
          <t>6917899321517</t>
        </is>
      </c>
    </row>
    <row r="410" ht="87" customHeight="1">
      <c r="A410" s="2">
        <f>HYPERLINK("https://edmondsonsupply.com/collections/storage-organization/products/veto-pro-pac-tech-ot-mc-tool-tote", "https://edmondsonsupply.com/collections/storage-organization/products/veto-pro-pac-tech-ot-mc-tool-tote")</f>
        <v/>
      </c>
      <c r="B410" s="2">
        <f>HYPERLINK("https://edmondsonsupply.com/products/veto-pro-pac-tech-ot-mc-tool-tote", "https://edmondsonsupply.com/products/veto-pro-pac-tech-ot-mc-tool-tote")</f>
        <v/>
      </c>
      <c r="C410" t="inlineStr">
        <is>
          <t>Veto Pro Pac Tech OT-MC Tool Tote</t>
        </is>
      </c>
      <c r="D410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410" s="2">
        <f>HYPERLINK("https://www.amazon.com/PB4-Durable-Access-Perfect-Backpack/dp/B0146QVSN6/ref=sr_1_20?keywords=Veto+Pro+Pac+Tech+OT-MC+Tool+Tote&amp;qid=1694734439&amp;sr=8-20", "https://www.amazon.com/PB4-Durable-Access-Perfect-Backpack/dp/B0146QVSN6/ref=sr_1_20?keywords=Veto+Pro+Pac+Tech+OT-MC+Tool+Tote&amp;qid=1694734439&amp;sr=8-20")</f>
        <v/>
      </c>
      <c r="F410" t="inlineStr">
        <is>
          <t>B0146QVSN6</t>
        </is>
      </c>
      <c r="G410">
        <f>_xlfn.IMAGE("https://edmondsonsupply.com/cdn/shop/products/otmc1_048af870-c580-47c1-b832-021ca8939d35.jpg?v=1587146037")</f>
        <v/>
      </c>
      <c r="H410">
        <f>_xlfn.IMAGE("https://m.media-amazon.com/images/I/51CMBYDtOXL._AC_UL320_.jpg")</f>
        <v/>
      </c>
      <c r="K410" t="inlineStr">
        <is>
          <t>209.99</t>
        </is>
      </c>
      <c r="L410" t="n">
        <v>59.95</v>
      </c>
      <c r="M410" s="1" t="inlineStr">
        <is>
          <t>-71.45%</t>
        </is>
      </c>
      <c r="N410" s="7" t="n">
        <v>133.37</v>
      </c>
      <c r="O410" t="n">
        <v>4.7</v>
      </c>
      <c r="P410" t="n">
        <v>209</v>
      </c>
      <c r="R410" t="inlineStr">
        <is>
          <t>InStock</t>
        </is>
      </c>
      <c r="S410" t="inlineStr">
        <is>
          <t>undefined</t>
        </is>
      </c>
      <c r="T410" t="inlineStr">
        <is>
          <t>3561810952292</t>
        </is>
      </c>
    </row>
    <row r="411" hidden="1" ht="15.75" customHeight="1">
      <c r="A411" s="2">
        <f>HYPERLINK("https://edmondsonsupply.com/collections/storage-organization/products/milwaukee-48-22-8435-packout%E2%84%A2-compact-organizer", "https://edmondsonsupply.com/collections/storage-organization/products/milwaukee-48-22-8435-packout%E2%84%A2-compact-organizer")</f>
        <v/>
      </c>
      <c r="B411" s="2">
        <f>HYPERLINK("https://edmondsonsupply.com/products/milwaukee-48-22-8435-packout%e2%84%a2-compact-organizer", "https://edmondsonsupply.com/products/milwaukee-48-22-8435-packout%e2%84%a2-compact-organizer")</f>
        <v/>
      </c>
      <c r="C411" t="inlineStr">
        <is>
          <t>Milwaukee 48-22-8435 PACKOUT™ Compact Organizer</t>
        </is>
      </c>
      <c r="D411" t="inlineStr">
        <is>
          <t>30mm Kaizen Foam Insert for Milwaukee PACKOUT™ Compact Organizer 48-22-8435</t>
        </is>
      </c>
      <c r="E411" s="2">
        <f>HYPERLINK("https://www.amazon.com/Milwaukee-PACKOUTTM-Compact-Organizer-48-22-8435/dp/B0B5W5MLYX/ref=sr_1_6?keywords=Milwaukee+48-22-8435+PACKOUT%E2%84%A2+Compact+Organizer&amp;qid=1694734453&amp;sr=8-6", "https://www.amazon.com/Milwaukee-PACKOUTTM-Compact-Organizer-48-22-8435/dp/B0B5W5MLYX/ref=sr_1_6?keywords=Milwaukee+48-22-8435+PACKOUT%E2%84%A2+Compact+Organizer&amp;qid=1694734453&amp;sr=8-6")</f>
        <v/>
      </c>
      <c r="F411" t="inlineStr">
        <is>
          <t>B0B5W5MLYX</t>
        </is>
      </c>
      <c r="G411">
        <f>_xludf.IMAGE("https://edmondsonsupply.com/cdn/shop/products/48-22-8435_1.png?v=1671723464")</f>
        <v/>
      </c>
      <c r="H411">
        <f>_xludf.IMAGE("https://m.media-amazon.com/images/I/81-z03G15XL._AC_UL320_.jpg")</f>
        <v/>
      </c>
      <c r="K411" t="inlineStr">
        <is>
          <t>34.97</t>
        </is>
      </c>
      <c r="L411" t="n">
        <v>9.949999999999999</v>
      </c>
      <c r="M411" s="1" t="inlineStr">
        <is>
          <t>-71.55%</t>
        </is>
      </c>
      <c r="N411" s="1" t="n">
        <v>131.49</v>
      </c>
      <c r="O411" t="n">
        <v>3.9</v>
      </c>
      <c r="P411" t="n">
        <v>17</v>
      </c>
      <c r="R411" t="inlineStr">
        <is>
          <t>InStock</t>
        </is>
      </c>
      <c r="S411" t="inlineStr">
        <is>
          <t>58.0</t>
        </is>
      </c>
      <c r="T411" t="inlineStr">
        <is>
          <t>7910242877656</t>
        </is>
      </c>
    </row>
    <row r="412" ht="87" customHeight="1">
      <c r="A412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412" s="2">
        <f>HYPERLINK("https://edmondsonsupply.com/products/veto-pro-pac-tech-pac-backpack-tool-bag", "https://edmondsonsupply.com/products/veto-pro-pac-tech-pac-backpack-tool-bag")</f>
        <v/>
      </c>
      <c r="C412" t="inlineStr">
        <is>
          <t>Veto Pro Pac TECH PAC Backpack Tool Bag</t>
        </is>
      </c>
      <c r="D412" t="inlineStr">
        <is>
          <t>70Pockets Tool backpack, Hard-Based Electrician backpack, Electrician backpack tool bag, Technician backpack, Backpack tool bag, Tool bag backpack, Tool backpack for electricians,Tool backpack for men</t>
        </is>
      </c>
      <c r="E412" s="2">
        <f>HYPERLINK("https://www.amazon.com/70Pockets-Hard-Based-Electrician-Technician-electricians/dp/B0C76P4R6X/ref=sr_1_37?keywords=Veto+Pro+Pac+TECH+PAC+Backpack+Tool+Bag&amp;qid=1694734435&amp;sr=8-37", "https://www.amazon.com/70Pockets-Hard-Based-Electrician-Technician-electricians/dp/B0C76P4R6X/ref=sr_1_37?keywords=Veto+Pro+Pac+TECH+PAC+Backpack+Tool+Bag&amp;qid=1694734435&amp;sr=8-37")</f>
        <v/>
      </c>
      <c r="F412" t="inlineStr">
        <is>
          <t>B0C76P4R6X</t>
        </is>
      </c>
      <c r="G412">
        <f>_xlfn.IMAGE("https://edmondsonsupply.com/cdn/shop/products/Veto_Tech_Pac.jpg?v=1587149981")</f>
        <v/>
      </c>
      <c r="H412">
        <f>_xlfn.IMAGE("https://m.media-amazon.com/images/I/91wfG69AUUL._AC_UL320_.jpg")</f>
        <v/>
      </c>
      <c r="K412" t="inlineStr">
        <is>
          <t>299.99</t>
        </is>
      </c>
      <c r="L412" t="n">
        <v>84.88</v>
      </c>
      <c r="M412" s="1" t="inlineStr">
        <is>
          <t>-71.71%</t>
        </is>
      </c>
      <c r="N412" s="7" t="n">
        <v>125.08</v>
      </c>
      <c r="O412" t="n">
        <v>5</v>
      </c>
      <c r="P412" t="n">
        <v>1</v>
      </c>
      <c r="R412" t="inlineStr">
        <is>
          <t>InStock</t>
        </is>
      </c>
      <c r="S412" t="inlineStr">
        <is>
          <t>undefined</t>
        </is>
      </c>
      <c r="T412" t="inlineStr">
        <is>
          <t>3557476335716</t>
        </is>
      </c>
    </row>
    <row r="413" ht="87" customHeight="1">
      <c r="A413" s="2">
        <f>HYPERLINK("https://edmondsonsupply.com/collections/storage-organization/products/veto-pro-pac-tech-pac-mc-blackout", "https://edmondsonsupply.com/collections/storage-organization/products/veto-pro-pac-tech-pac-mc-blackout")</f>
        <v/>
      </c>
      <c r="B413" s="2">
        <f>HYPERLINK("https://edmondsonsupply.com/products/veto-pro-pac-tech-pac-mc-blackout", "https://edmondsonsupply.com/products/veto-pro-pac-tech-pac-mc-blackout")</f>
        <v/>
      </c>
      <c r="C413" t="inlineStr">
        <is>
          <t>Veto Pro Pac TECH PAC MC Blackout</t>
        </is>
      </c>
      <c r="D413" t="inlineStr">
        <is>
          <t>VETO PRO PAC TP4 Technician Tool Pouch</t>
        </is>
      </c>
      <c r="E413" s="2">
        <f>HYPERLINK("https://www.amazon.com/VETO-TP4-Technician-Tool-Pouch/dp/B00EY8DZ42/ref=sr_1_34?keywords=Veto+Pro+Pac+TECH+PAC+MC+Blackout&amp;qid=1694734455&amp;sr=8-34", "https://www.amazon.com/VETO-TP4-Technician-Tool-Pouch/dp/B00EY8DZ42/ref=sr_1_34?keywords=Veto+Pro+Pac+TECH+PAC+MC+Blackout&amp;qid=1694734455&amp;sr=8-34")</f>
        <v/>
      </c>
      <c r="F413" t="inlineStr">
        <is>
          <t>B00EY8DZ42</t>
        </is>
      </c>
      <c r="G413">
        <f>_xlfn.IMAGE("https://edmondsonsupply.com/cdn/shop/products/tech1.png?v=1633031062")</f>
        <v/>
      </c>
      <c r="H413">
        <f>_xlfn.IMAGE("https://m.media-amazon.com/images/I/61ppYqUQVHL._AC_UL320_.jpg")</f>
        <v/>
      </c>
      <c r="K413" t="inlineStr">
        <is>
          <t>294.99</t>
        </is>
      </c>
      <c r="L413" t="n">
        <v>74.95</v>
      </c>
      <c r="M413" s="1" t="inlineStr">
        <is>
          <t>-74.59%</t>
        </is>
      </c>
      <c r="N413" s="7" t="n">
        <v>125.08</v>
      </c>
      <c r="O413" t="n">
        <v>4.7</v>
      </c>
      <c r="P413" t="n">
        <v>458</v>
      </c>
      <c r="R413" t="inlineStr">
        <is>
          <t>InStock</t>
        </is>
      </c>
      <c r="S413" t="inlineStr">
        <is>
          <t>undefined</t>
        </is>
      </c>
      <c r="T413" t="inlineStr">
        <is>
          <t>6821254496429</t>
        </is>
      </c>
    </row>
    <row r="414" ht="87" customHeight="1">
      <c r="A414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414" s="2">
        <f>HYPERLINK("https://edmondsonsupply.com/products/veto-pro-pac-tech-pac-backpack-tool-bag", "https://edmondsonsupply.com/products/veto-pro-pac-tech-pac-backpack-tool-bag")</f>
        <v/>
      </c>
      <c r="C414" t="inlineStr">
        <is>
          <t>Veto Pro Pac TECH PAC Backpack Tool Bag</t>
        </is>
      </c>
      <c r="D414" t="inlineStr">
        <is>
          <t>VETO PRO PAC TP4 Technician Tool Pouch</t>
        </is>
      </c>
      <c r="E414" s="2">
        <f>HYPERLINK("https://www.amazon.com/VETO-TP4-Technician-Tool-Pouch/dp/B00EY8DZ42/ref=sr_1_34?keywords=Veto+Pro+Pac+TECH+PAC+Backpack+Tool+Bag&amp;qid=1694734435&amp;sr=8-34", "https://www.amazon.com/VETO-TP4-Technician-Tool-Pouch/dp/B00EY8DZ42/ref=sr_1_34?keywords=Veto+Pro+Pac+TECH+PAC+Backpack+Tool+Bag&amp;qid=1694734435&amp;sr=8-34")</f>
        <v/>
      </c>
      <c r="F414" t="inlineStr">
        <is>
          <t>B00EY8DZ42</t>
        </is>
      </c>
      <c r="G414">
        <f>_xlfn.IMAGE("https://edmondsonsupply.com/cdn/shop/products/Veto_Tech_Pac.jpg?v=1587149981")</f>
        <v/>
      </c>
      <c r="H414">
        <f>_xlfn.IMAGE("https://m.media-amazon.com/images/I/61ppYqUQVHL._AC_UL320_.jpg")</f>
        <v/>
      </c>
      <c r="K414" t="inlineStr">
        <is>
          <t>299.99</t>
        </is>
      </c>
      <c r="L414" t="n">
        <v>74.95</v>
      </c>
      <c r="M414" s="1" t="inlineStr">
        <is>
          <t>-75.02%</t>
        </is>
      </c>
      <c r="N414" s="7" t="n">
        <v>123.56</v>
      </c>
      <c r="O414" t="n">
        <v>4.7</v>
      </c>
      <c r="P414" t="n">
        <v>458</v>
      </c>
      <c r="R414" t="inlineStr">
        <is>
          <t>InStock</t>
        </is>
      </c>
      <c r="S414" t="inlineStr">
        <is>
          <t>undefined</t>
        </is>
      </c>
      <c r="T414" t="inlineStr">
        <is>
          <t>3557476335716</t>
        </is>
      </c>
    </row>
    <row r="415" ht="87" customHeight="1">
      <c r="A415" s="2">
        <f>HYPERLINK("https://edmondsonsupply.com/collections/storage-organization/products/veto-pro-pac-tp-xxl-blackout-tool-pouch", "https://edmondsonsupply.com/collections/storage-organization/products/veto-pro-pac-tp-xxl-blackout-tool-pouch")</f>
        <v/>
      </c>
      <c r="B415" s="2">
        <f>HYPERLINK("https://edmondsonsupply.com/products/veto-pro-pac-tp-xxl-blackout-tool-pouch", "https://edmondsonsupply.com/products/veto-pro-pac-tp-xxl-blackout-tool-pouch")</f>
        <v/>
      </c>
      <c r="C415" t="inlineStr">
        <is>
          <t>Veto Pro Pac TP-XXL Blackout Tool Pouch</t>
        </is>
      </c>
      <c r="D415" t="inlineStr">
        <is>
          <t>Veto Pro Pac TP3 Tool Pouch</t>
        </is>
      </c>
      <c r="E415" s="2">
        <f>HYPERLINK("https://www.amazon.com/Veto-Pro-Pac-TP3-Pouch/dp/B008471T42/ref=sr_1_3?keywords=Veto+Pro+Pac+TP-XXL+Blackout+Tool+Pouch&amp;qid=1694734438&amp;sr=8-3", "https://www.amazon.com/Veto-Pro-Pac-TP3-Pouch/dp/B008471T42/ref=sr_1_3?keywords=Veto+Pro+Pac+TP-XXL+Blackout+Tool+Pouch&amp;qid=1694734438&amp;sr=8-3")</f>
        <v/>
      </c>
      <c r="F415" t="inlineStr">
        <is>
          <t>B008471T42</t>
        </is>
      </c>
      <c r="G415">
        <f>_xlfn.IMAGE("https://edmondsonsupply.com/cdn/shop/files/TP-xxl_blackout_600x830_0000_TP-XXL_BLACKOUT_0379.jpg?v=1685736106")</f>
        <v/>
      </c>
      <c r="H415">
        <f>_xlfn.IMAGE("https://m.media-amazon.com/images/I/911jQmUqGIL._AC_UL320_.jpg")</f>
        <v/>
      </c>
      <c r="K415" t="inlineStr">
        <is>
          <t>239.99</t>
        </is>
      </c>
      <c r="L415" t="n">
        <v>59.95</v>
      </c>
      <c r="M415" s="1" t="inlineStr">
        <is>
          <t>-75.02%</t>
        </is>
      </c>
      <c r="N415" s="7" t="n">
        <v>122.24</v>
      </c>
      <c r="O415" t="n">
        <v>4.7</v>
      </c>
      <c r="P415" t="n">
        <v>512</v>
      </c>
      <c r="R415" t="inlineStr">
        <is>
          <t>OutOfStock</t>
        </is>
      </c>
      <c r="S415" t="inlineStr">
        <is>
          <t>undefined</t>
        </is>
      </c>
      <c r="T415" t="inlineStr">
        <is>
          <t>7999688868056</t>
        </is>
      </c>
    </row>
    <row r="416" ht="87" customHeight="1">
      <c r="A416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16" s="2">
        <f>HYPERLINK("https://edmondsonsupply.com/products/milwaukee-48-22-8442-packout%e2%84%a2-2-drawer-tool-box", "https://edmondsonsupply.com/products/milwaukee-48-22-8442-packout%e2%84%a2-2-drawer-tool-box")</f>
        <v/>
      </c>
      <c r="C416" t="inlineStr">
        <is>
          <t>Milwaukee 48-22-8442 PACKOUT™ 2-Drawer Tool Box</t>
        </is>
      </c>
      <c r="D416" t="inlineStr">
        <is>
          <t>48-22-8451 packout foam inserts for Milwaukee packout Drawer foam tool box inserts（2 pcs）</t>
        </is>
      </c>
      <c r="E416" s="2">
        <f>HYPERLINK("https://www.amazon.com/48-22-8451-packout-inserts-Milwaukee-inserts%EF%BC%882/dp/B0BY7ZWM3Z/ref=sr_1_28?keywords=Milwaukee+48-22-8442+PACKOUT%E2%84%A2+2-Drawer+Tool+Box&amp;qid=1694734467&amp;sr=8-28", "https://www.amazon.com/48-22-8451-packout-inserts-Milwaukee-inserts%EF%BC%882/dp/B0BY7ZWM3Z/ref=sr_1_28?keywords=Milwaukee+48-22-8442+PACKOUT%E2%84%A2+2-Drawer+Tool+Box&amp;qid=1694734467&amp;sr=8-28")</f>
        <v/>
      </c>
      <c r="F416" t="inlineStr">
        <is>
          <t>B0BY7ZWM3Z</t>
        </is>
      </c>
      <c r="G416">
        <f>_xlfn.IMAGE("https://edmondsonsupply.com/cdn/shop/products/48-22-8442_2.webp?v=1675790677")</f>
        <v/>
      </c>
      <c r="H416">
        <f>_xlfn.IMAGE("https://m.media-amazon.com/images/I/61kbP2jdYzL._AC_UL320_.jpg")</f>
        <v/>
      </c>
      <c r="K416" t="inlineStr">
        <is>
          <t>149.0</t>
        </is>
      </c>
      <c r="L416" t="n">
        <v>36.39</v>
      </c>
      <c r="M416" s="1" t="inlineStr">
        <is>
          <t>-75.58%</t>
        </is>
      </c>
      <c r="N416" s="7" t="n">
        <v>116.61</v>
      </c>
      <c r="O416" t="n">
        <v>4.3</v>
      </c>
      <c r="P416" t="n">
        <v>22</v>
      </c>
      <c r="R416" t="inlineStr">
        <is>
          <t>InStock</t>
        </is>
      </c>
      <c r="S416" t="inlineStr">
        <is>
          <t>234.0</t>
        </is>
      </c>
      <c r="T416" t="inlineStr">
        <is>
          <t>7940460576984</t>
        </is>
      </c>
    </row>
    <row r="417" hidden="1" ht="15.75" customHeight="1">
      <c r="A417" s="2">
        <f>HYPERLINK("https://edmondsonsupply.com/collections/storage-organization/products/fluke-c37xt-protective-eva-hard-tool-case", "https://edmondsonsupply.com/collections/storage-organization/products/fluke-c37xt-protective-eva-hard-tool-case")</f>
        <v/>
      </c>
      <c r="B417" s="2">
        <f>HYPERLINK("https://edmondsonsupply.com/products/fluke-c37xt-protective-eva-hard-tool-case", "https://edmondsonsupply.com/products/fluke-c37xt-protective-eva-hard-tool-case")</f>
        <v/>
      </c>
      <c r="C417" t="inlineStr">
        <is>
          <t>Fluke C37XT Protective EVA Hard Tool Case</t>
        </is>
      </c>
      <c r="D417" t="inlineStr">
        <is>
          <t>LTGEM EVA Hard Carrying Case for Fluke 1AC/2AC Alert Voltage Tester- Protective Storage Bag</t>
        </is>
      </c>
      <c r="E417" s="2">
        <f>HYPERLINK("https://www.amazon.com/LTGEM-Fluke-Alert-Voltage-Tester/dp/B08DNGV8QF/ref=sr_1_4?keywords=Fluke+C37XT+Protective+EVA+Hard+Tool+Case&amp;qid=1694734450&amp;sr=8-4", "https://www.amazon.com/LTGEM-Fluke-Alert-Voltage-Tester/dp/B08DNGV8QF/ref=sr_1_4?keywords=Fluke+C37XT+Protective+EVA+Hard+Tool+Case&amp;qid=1694734450&amp;sr=8-4")</f>
        <v/>
      </c>
      <c r="F417" t="inlineStr">
        <is>
          <t>B08DNGV8QF</t>
        </is>
      </c>
      <c r="G417">
        <f>_xludf.IMAGE("https://edmondsonsupply.com/cdn/shop/products/F-c37xt_06a_w.webp?v=1665405653")</f>
        <v/>
      </c>
      <c r="H417">
        <f>_xludf.IMAGE("https://m.media-amazon.com/images/I/718DM7qSE0L._AC_UL320_.jpg")</f>
        <v/>
      </c>
      <c r="K417" t="inlineStr">
        <is>
          <t>53.79</t>
        </is>
      </c>
      <c r="L417" t="n">
        <v>12.99</v>
      </c>
      <c r="M417" s="1" t="inlineStr">
        <is>
          <t>-75.85%</t>
        </is>
      </c>
      <c r="N417" s="1" t="n">
        <v>101.3</v>
      </c>
      <c r="O417" t="n">
        <v>4.6</v>
      </c>
      <c r="P417" t="n">
        <v>75</v>
      </c>
      <c r="R417" t="inlineStr">
        <is>
          <t>InStock</t>
        </is>
      </c>
      <c r="S417" t="inlineStr">
        <is>
          <t>54.99</t>
        </is>
      </c>
      <c r="T417" t="inlineStr">
        <is>
          <t>7845839143128</t>
        </is>
      </c>
    </row>
    <row r="418" ht="87" customHeight="1">
      <c r="A418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18" s="2">
        <f>HYPERLINK("https://edmondsonsupply.com/products/milwaukee-48-22-8442-packout%e2%84%a2-2-drawer-tool-box", "https://edmondsonsupply.com/products/milwaukee-48-22-8442-packout%e2%84%a2-2-drawer-tool-box")</f>
        <v/>
      </c>
      <c r="C418" t="inlineStr">
        <is>
          <t>Milwaukee 48-22-8442 PACKOUT™ 2-Drawer Tool Box</t>
        </is>
      </c>
      <c r="D418" t="inlineStr">
        <is>
          <t>Ediorxeo 3PK - 48-22-8473 for Milwaukee Drawer Dividers Packout 3-Drawer Tool Box</t>
        </is>
      </c>
      <c r="E418" s="2">
        <f>HYPERLINK("https://www.amazon.com/Ediorxeo-48-22-8473-Milwaukee-Dividers-3-Drawer/dp/B0B9JMMMSS/ref=sr_1_31?keywords=Milwaukee+48-22-8442+PACKOUT%E2%84%A2+2-Drawer+Tool+Box&amp;qid=1694734467&amp;sr=8-31", "https://www.amazon.com/Ediorxeo-48-22-8473-Milwaukee-Dividers-3-Drawer/dp/B0B9JMMMSS/ref=sr_1_31?keywords=Milwaukee+48-22-8442+PACKOUT%E2%84%A2+2-Drawer+Tool+Box&amp;qid=1694734467&amp;sr=8-31")</f>
        <v/>
      </c>
      <c r="F418" t="inlineStr">
        <is>
          <t>B0B9JMMMSS</t>
        </is>
      </c>
      <c r="G418">
        <f>_xlfn.IMAGE("https://edmondsonsupply.com/cdn/shop/products/48-22-8442_2.webp?v=1675790677")</f>
        <v/>
      </c>
      <c r="H418">
        <f>_xlfn.IMAGE("https://m.media-amazon.com/images/I/619n8E28Z5L._AC_UL320_.jpg")</f>
        <v/>
      </c>
      <c r="K418" t="inlineStr">
        <is>
          <t>149.0</t>
        </is>
      </c>
      <c r="L418" t="n">
        <v>34.9</v>
      </c>
      <c r="M418" s="1" t="inlineStr">
        <is>
          <t>-76.58%</t>
        </is>
      </c>
      <c r="N418" s="7" t="n">
        <v>94.83</v>
      </c>
      <c r="O418" t="n">
        <v>4.3</v>
      </c>
      <c r="P418" t="n">
        <v>21</v>
      </c>
      <c r="R418" t="inlineStr">
        <is>
          <t>InStock</t>
        </is>
      </c>
      <c r="S418" t="inlineStr">
        <is>
          <t>234.0</t>
        </is>
      </c>
      <c r="T418" t="inlineStr">
        <is>
          <t>7940460576984</t>
        </is>
      </c>
    </row>
    <row r="419" ht="87" customHeight="1">
      <c r="A419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19" s="2">
        <f>HYPERLINK("https://edmondsonsupply.com/products/milwaukee-48-22-8442-packout%e2%84%a2-2-drawer-tool-box", "https://edmondsonsupply.com/products/milwaukee-48-22-8442-packout%e2%84%a2-2-drawer-tool-box")</f>
        <v/>
      </c>
      <c r="C419" t="inlineStr">
        <is>
          <t>Milwaukee 48-22-8442 PACKOUT™ 2-Drawer Tool Box</t>
        </is>
      </c>
      <c r="D419" t="inlineStr">
        <is>
          <t>Foam Custom Tool Drawer Inserts 48-22-8452 For Packout Drawer Tool Boxes|Fits Milwaukee 48-22-8442 Packout Foam Inserts</t>
        </is>
      </c>
      <c r="E419" s="2">
        <f>HYPERLINK("https://www.amazon.com/Custom-Inserts-48-22-8452-Packout-Milwaukee/dp/B0BRMSHYFF/ref=sr_1_7?keywords=Milwaukee+48-22-8442+PACKOUT%E2%84%A2+2-Drawer+Tool+Box&amp;qid=1694734467&amp;sr=8-7", "https://www.amazon.com/Custom-Inserts-48-22-8452-Packout-Milwaukee/dp/B0BRMSHYFF/ref=sr_1_7?keywords=Milwaukee+48-22-8442+PACKOUT%E2%84%A2+2-Drawer+Tool+Box&amp;qid=1694734467&amp;sr=8-7")</f>
        <v/>
      </c>
      <c r="F419" t="inlineStr">
        <is>
          <t>B0BRMSHYFF</t>
        </is>
      </c>
      <c r="G419">
        <f>_xlfn.IMAGE("https://edmondsonsupply.com/cdn/shop/products/48-22-8442_2.webp?v=1675790677")</f>
        <v/>
      </c>
      <c r="H419">
        <f>_xlfn.IMAGE("https://m.media-amazon.com/images/I/81k-3Qp4g3L._AC_UL320_.jpg")</f>
        <v/>
      </c>
      <c r="K419" t="inlineStr">
        <is>
          <t>149.0</t>
        </is>
      </c>
      <c r="L419" t="n">
        <v>33.96</v>
      </c>
      <c r="M419" s="1" t="inlineStr">
        <is>
          <t>-77.21%</t>
        </is>
      </c>
      <c r="N419" s="7" t="n">
        <v>92.41</v>
      </c>
      <c r="O419" t="n">
        <v>4.8</v>
      </c>
      <c r="P419" t="n">
        <v>8</v>
      </c>
      <c r="R419" t="inlineStr">
        <is>
          <t>InStock</t>
        </is>
      </c>
      <c r="S419" t="inlineStr">
        <is>
          <t>234.0</t>
        </is>
      </c>
      <c r="T419" t="inlineStr">
        <is>
          <t>7940460576984</t>
        </is>
      </c>
    </row>
    <row r="420" ht="87" customHeight="1">
      <c r="A420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20" s="2">
        <f>HYPERLINK("https://edmondsonsupply.com/products/milwaukee-48-22-8442-packout%e2%84%a2-2-drawer-tool-box", "https://edmondsonsupply.com/products/milwaukee-48-22-8442-packout%e2%84%a2-2-drawer-tool-box")</f>
        <v/>
      </c>
      <c r="C420" t="inlineStr">
        <is>
          <t>Milwaukee 48-22-8442 PACKOUT™ 2-Drawer Tool Box</t>
        </is>
      </c>
      <c r="D420" t="inlineStr">
        <is>
          <t>Packout Foam Inserts 48-22-8452 fits for Milwaukee Packout Drawer Tool Boxes48-22-8442 and 48-22-8443|Foam Custom Tool Drawer Inserts</t>
        </is>
      </c>
      <c r="E420" s="2">
        <f>HYPERLINK("https://www.amazon.com/48-22-8452-Custom-Inserts-Packout-Milwaukee/dp/B0BRN73CTQ/ref=sr_1_24?keywords=Milwaukee+48-22-8442+PACKOUT%E2%84%A2+2-Drawer+Tool+Box&amp;qid=1694734467&amp;sr=8-24", "https://www.amazon.com/48-22-8452-Custom-Inserts-Packout-Milwaukee/dp/B0BRN73CTQ/ref=sr_1_24?keywords=Milwaukee+48-22-8442+PACKOUT%E2%84%A2+2-Drawer+Tool+Box&amp;qid=1694734467&amp;sr=8-24")</f>
        <v/>
      </c>
      <c r="F420" t="inlineStr">
        <is>
          <t>B0BRN73CTQ</t>
        </is>
      </c>
      <c r="G420">
        <f>_xlfn.IMAGE("https://edmondsonsupply.com/cdn/shop/products/48-22-8442_2.webp?v=1675790677")</f>
        <v/>
      </c>
      <c r="H420">
        <f>_xlfn.IMAGE("https://m.media-amazon.com/images/I/61a44mU0JqL._AC_UL320_.jpg")</f>
        <v/>
      </c>
      <c r="K420" t="inlineStr">
        <is>
          <t>149.0</t>
        </is>
      </c>
      <c r="L420" t="n">
        <v>33.89</v>
      </c>
      <c r="M420" s="1" t="inlineStr">
        <is>
          <t>-77.26%</t>
        </is>
      </c>
      <c r="N420" s="7" t="n">
        <v>90.97</v>
      </c>
      <c r="O420" t="n">
        <v>4.4</v>
      </c>
      <c r="P420" t="n">
        <v>9</v>
      </c>
      <c r="R420" t="inlineStr">
        <is>
          <t>InStock</t>
        </is>
      </c>
      <c r="S420" t="inlineStr">
        <is>
          <t>234.0</t>
        </is>
      </c>
      <c r="T420" t="inlineStr">
        <is>
          <t>7940460576984</t>
        </is>
      </c>
    </row>
    <row r="421" ht="87" customHeight="1">
      <c r="A421" s="2">
        <f>HYPERLINK("https://edmondsonsupply.com/collections/storage-organization/products/veto-pro-pac-tech-pac-blackout-backpack", "https://edmondsonsupply.com/collections/storage-organization/products/veto-pro-pac-tech-pac-blackout-backpack")</f>
        <v/>
      </c>
      <c r="B421" s="2">
        <f>HYPERLINK("https://edmondsonsupply.com/products/veto-pro-pac-tech-pac-blackout-backpack", "https://edmondsonsupply.com/products/veto-pro-pac-tech-pac-blackout-backpack")</f>
        <v/>
      </c>
      <c r="C421" t="inlineStr">
        <is>
          <t>Veto Pro Pac TECH PAC Blackout Backpack</t>
        </is>
      </c>
      <c r="D421" t="inlineStr">
        <is>
          <t>VETO PRO PAC TP4 Technician Tool Pouch</t>
        </is>
      </c>
      <c r="E421" s="2">
        <f>HYPERLINK("https://www.amazon.com/VETO-TP4-Technician-Tool-Pouch/dp/B00EY8DZ42/ref=sr_1_27?keywords=Veto+Pro+Pac+TECH+PAC+Blackout+Backpack&amp;qid=1694734435&amp;sr=8-27", "https://www.amazon.com/VETO-TP4-Technician-Tool-Pouch/dp/B00EY8DZ42/ref=sr_1_27?keywords=Veto+Pro+Pac+TECH+PAC+Blackout+Backpack&amp;qid=1694734435&amp;sr=8-27")</f>
        <v/>
      </c>
      <c r="F421" t="inlineStr">
        <is>
          <t>B00EY8DZ42</t>
        </is>
      </c>
      <c r="G421">
        <f>_xlfn.IMAGE("https://edmondsonsupply.com/cdn/shop/products/tech1.jpg?v=1633031041")</f>
        <v/>
      </c>
      <c r="H421">
        <f>_xlfn.IMAGE("https://m.media-amazon.com/images/I/61ppYqUQVHL._AC_UL320_.jpg")</f>
        <v/>
      </c>
      <c r="K421" t="inlineStr">
        <is>
          <t>329.99</t>
        </is>
      </c>
      <c r="L421" t="n">
        <v>74.95</v>
      </c>
      <c r="M421" s="1" t="inlineStr">
        <is>
          <t>-77.29%</t>
        </is>
      </c>
      <c r="N421" s="7" t="n">
        <v>90.97</v>
      </c>
      <c r="O421" t="n">
        <v>4.7</v>
      </c>
      <c r="P421" t="n">
        <v>458</v>
      </c>
      <c r="R421" t="inlineStr">
        <is>
          <t>InStock</t>
        </is>
      </c>
      <c r="S421" t="inlineStr">
        <is>
          <t>undefined</t>
        </is>
      </c>
      <c r="T421" t="inlineStr">
        <is>
          <t>6752226476205</t>
        </is>
      </c>
    </row>
    <row r="422" ht="87" customHeight="1">
      <c r="A422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22" s="2">
        <f>HYPERLINK("https://edmondsonsupply.com/products/milwaukee-48-22-8442-packout%e2%84%a2-2-drawer-tool-box", "https://edmondsonsupply.com/products/milwaukee-48-22-8442-packout%e2%84%a2-2-drawer-tool-box")</f>
        <v/>
      </c>
      <c r="C422" t="inlineStr">
        <is>
          <t>Milwaukee 48-22-8442 PACKOUT™ 2-Drawer Tool Box</t>
        </is>
      </c>
      <c r="D422" t="inlineStr">
        <is>
          <t>48-22-8452 packout foam inserts for Milwaukee packout Drawer foam tool box inserts (BLACK)</t>
        </is>
      </c>
      <c r="E422" s="2">
        <f>HYPERLINK("https://www.amazon.com/48-22-8452-packout-foam-inserts-Milwaukee/dp/B0BYS69XLH/ref=sr_1_25?keywords=Milwaukee+48-22-8442+PACKOUT%E2%84%A2+2-Drawer+Tool+Box&amp;qid=1694734467&amp;sr=8-25", "https://www.amazon.com/48-22-8452-packout-foam-inserts-Milwaukee/dp/B0BYS69XLH/ref=sr_1_25?keywords=Milwaukee+48-22-8442+PACKOUT%E2%84%A2+2-Drawer+Tool+Box&amp;qid=1694734467&amp;sr=8-25")</f>
        <v/>
      </c>
      <c r="F422" t="inlineStr">
        <is>
          <t>B0BYS69XLH</t>
        </is>
      </c>
      <c r="G422">
        <f>_xlfn.IMAGE("https://edmondsonsupply.com/cdn/shop/products/48-22-8442_2.webp?v=1675790677")</f>
        <v/>
      </c>
      <c r="H422">
        <f>_xlfn.IMAGE("https://m.media-amazon.com/images/I/61aiyNgIssL._AC_UL320_.jpg")</f>
        <v/>
      </c>
      <c r="K422" t="inlineStr">
        <is>
          <t>149.0</t>
        </is>
      </c>
      <c r="L422" t="n">
        <v>33.39</v>
      </c>
      <c r="M422" s="1" t="inlineStr">
        <is>
          <t>-77.59%</t>
        </is>
      </c>
      <c r="N422" s="7" t="n">
        <v>88.93000000000001</v>
      </c>
      <c r="O422" t="n">
        <v>4.2</v>
      </c>
      <c r="P422" t="n">
        <v>37</v>
      </c>
      <c r="R422" t="inlineStr">
        <is>
          <t>InStock</t>
        </is>
      </c>
      <c r="S422" t="inlineStr">
        <is>
          <t>234.0</t>
        </is>
      </c>
      <c r="T422" t="inlineStr">
        <is>
          <t>7940460576984</t>
        </is>
      </c>
    </row>
    <row r="423" ht="87" customHeight="1">
      <c r="A423" s="2">
        <f>HYPERLINK("https://edmondsonsupply.com/collections/storage-organization/products/veto-pro-pac-tech-pac-backpack-tool-bag-3", "https://edmondsonsupply.com/collections/storage-organization/products/veto-pro-pac-tech-pac-backpack-tool-bag-3")</f>
        <v/>
      </c>
      <c r="B423" s="2">
        <f>HYPERLINK("https://edmondsonsupply.com/products/veto-pro-pac-tech-pac-backpack-tool-bag-3", "https://edmondsonsupply.com/products/veto-pro-pac-tech-pac-backpack-tool-bag-3")</f>
        <v/>
      </c>
      <c r="C423" t="inlineStr">
        <is>
          <t>Veto Pro Pac TECH PAC MC Backpack Tool Bag</t>
        </is>
      </c>
      <c r="D423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423" s="2">
        <f>HYPERLINK("https://www.amazon.com/PB4-Durable-Access-Perfect-Backpack/dp/B0146QVSN6/ref=sr_1_35?keywords=Veto+Pro+Pac+TECH+PAC+MC+Backpack+Tool+Bag&amp;qid=1694734443&amp;sr=8-35", "https://www.amazon.com/PB4-Durable-Access-Perfect-Backpack/dp/B0146QVSN6/ref=sr_1_35?keywords=Veto+Pro+Pac+TECH+PAC+MC+Backpack+Tool+Bag&amp;qid=1694734443&amp;sr=8-35")</f>
        <v/>
      </c>
      <c r="F423" t="inlineStr">
        <is>
          <t>B0146QVSN6</t>
        </is>
      </c>
      <c r="G423">
        <f>_xlfn.IMAGE("https://edmondsonsupply.com/cdn/shop/products/MC2.jpg?v=1642553730")</f>
        <v/>
      </c>
      <c r="H423">
        <f>_xlfn.IMAGE("https://m.media-amazon.com/images/I/51CMBYDtOXL._AC_UL320_.jpg")</f>
        <v/>
      </c>
      <c r="K423" t="inlineStr">
        <is>
          <t>274.99</t>
        </is>
      </c>
      <c r="L423" t="n">
        <v>59.95</v>
      </c>
      <c r="M423" s="1" t="inlineStr">
        <is>
          <t>-78.20%</t>
        </is>
      </c>
      <c r="N423" s="7" t="n">
        <v>84.2</v>
      </c>
      <c r="O423" t="n">
        <v>4.7</v>
      </c>
      <c r="P423" t="n">
        <v>209</v>
      </c>
      <c r="R423" t="inlineStr">
        <is>
          <t>InStock</t>
        </is>
      </c>
      <c r="S423" t="inlineStr">
        <is>
          <t>undefined</t>
        </is>
      </c>
      <c r="T423" t="inlineStr">
        <is>
          <t>3561063415908</t>
        </is>
      </c>
    </row>
    <row r="424" hidden="1" ht="15.75" customHeight="1">
      <c r="A424" s="2">
        <f>HYPERLINK("https://edmondsonsupply.com/collections/storage-organization/products/fluke-c60-soft-carrying-case", "https://edmondsonsupply.com/collections/storage-organization/products/fluke-c60-soft-carrying-case")</f>
        <v/>
      </c>
      <c r="B424" s="2">
        <f>HYPERLINK("https://edmondsonsupply.com/products/fluke-c60-soft-carrying-case", "https://edmondsonsupply.com/products/fluke-c60-soft-carrying-case")</f>
        <v/>
      </c>
      <c r="C424" t="inlineStr">
        <is>
          <t>Fluke C60 Soft Carrying Case</t>
        </is>
      </c>
      <c r="D424" t="inlineStr">
        <is>
          <t>KingSung Zippered Soft Tool Carrying Case for Fluke 117/116/115/114/113 Digital Multimeter 62 Max and Many More, with Smooth Zipper and Thick Wrist Strap, Built-in Shock-Proof Cotton, Single-Layer</t>
        </is>
      </c>
      <c r="E424" s="2">
        <f>HYPERLINK("https://www.amazon.com/KingSung-Zippered-Multimeter-Shock-Proof-Single-Layer/dp/B0B7HW73BH/ref=sr_1_13?keywords=Fluke+C60+Soft+Carrying+Case&amp;qid=1694734460&amp;sr=8-13", "https://www.amazon.com/KingSung-Zippered-Multimeter-Shock-Proof-Single-Layer/dp/B0B7HW73BH/ref=sr_1_13?keywords=Fluke+C60+Soft+Carrying+Case&amp;qid=1694734460&amp;sr=8-13")</f>
        <v/>
      </c>
      <c r="F424" t="inlineStr">
        <is>
          <t>B0B7HW73BH</t>
        </is>
      </c>
      <c r="G424">
        <f>_xludf.IMAGE("https://edmondsonsupply.com/cdn/shop/products/c60.png?v=1633030926")</f>
        <v/>
      </c>
      <c r="H424">
        <f>_xludf.IMAGE("https://m.media-amazon.com/images/I/81t9HZxI6YL._AC_UL320_.jpg")</f>
        <v/>
      </c>
      <c r="K424" t="inlineStr">
        <is>
          <t>49.49</t>
        </is>
      </c>
      <c r="L424" t="n">
        <v>9.99</v>
      </c>
      <c r="M424" s="1" t="inlineStr">
        <is>
          <t>-79.81%</t>
        </is>
      </c>
      <c r="N424" s="1" t="n">
        <v>83.29000000000001</v>
      </c>
      <c r="O424" t="n">
        <v>4.4</v>
      </c>
      <c r="P424" t="n">
        <v>39</v>
      </c>
      <c r="R424" t="inlineStr">
        <is>
          <t>InStock</t>
        </is>
      </c>
      <c r="S424" t="inlineStr">
        <is>
          <t>54.99</t>
        </is>
      </c>
      <c r="T424" t="inlineStr">
        <is>
          <t>6544664723629</t>
        </is>
      </c>
    </row>
    <row r="425" ht="87" customHeight="1">
      <c r="A425" s="2">
        <f>HYPERLINK("https://edmondsonsupply.com/collections/storage-organization/products/veto-pro-pac-tech-pac-backpack-tool-bag", "https://edmondsonsupply.com/collections/storage-organization/products/veto-pro-pac-tech-pac-backpack-tool-bag")</f>
        <v/>
      </c>
      <c r="B425" s="2">
        <f>HYPERLINK("https://edmondsonsupply.com/products/veto-pro-pac-tech-pac-backpack-tool-bag", "https://edmondsonsupply.com/products/veto-pro-pac-tech-pac-backpack-tool-bag")</f>
        <v/>
      </c>
      <c r="C425" t="inlineStr">
        <is>
          <t>Veto Pro Pac TECH PAC Backpack Tool Bag</t>
        </is>
      </c>
      <c r="D425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425" s="2">
        <f>HYPERLINK("https://www.amazon.com/PB4-Durable-Access-Perfect-Backpack/dp/B0146QVSN6/ref=sr_1_40?keywords=Veto+Pro+Pac+TECH+PAC+Backpack+Tool+Bag&amp;qid=1694734435&amp;sr=8-40", "https://www.amazon.com/PB4-Durable-Access-Perfect-Backpack/dp/B0146QVSN6/ref=sr_1_40?keywords=Veto+Pro+Pac+TECH+PAC+Backpack+Tool+Bag&amp;qid=1694734435&amp;sr=8-40")</f>
        <v/>
      </c>
      <c r="F425" t="inlineStr">
        <is>
          <t>B0146QVSN6</t>
        </is>
      </c>
      <c r="G425">
        <f>_xlfn.IMAGE("https://edmondsonsupply.com/cdn/shop/products/Veto_Tech_Pac.jpg?v=1587149981")</f>
        <v/>
      </c>
      <c r="H425">
        <f>_xlfn.IMAGE("https://m.media-amazon.com/images/I/51CMBYDtOXL._AC_UL320_.jpg")</f>
        <v/>
      </c>
      <c r="K425" t="inlineStr">
        <is>
          <t>299.99</t>
        </is>
      </c>
      <c r="L425" t="n">
        <v>59.95</v>
      </c>
      <c r="M425" s="1" t="inlineStr">
        <is>
          <t>-80.02%</t>
        </is>
      </c>
      <c r="N425" s="7" t="n">
        <v>77.86</v>
      </c>
      <c r="O425" t="n">
        <v>4.7</v>
      </c>
      <c r="P425" t="n">
        <v>209</v>
      </c>
      <c r="R425" t="inlineStr">
        <is>
          <t>InStock</t>
        </is>
      </c>
      <c r="S425" t="inlineStr">
        <is>
          <t>undefined</t>
        </is>
      </c>
      <c r="T425" t="inlineStr">
        <is>
          <t>3557476335716</t>
        </is>
      </c>
    </row>
    <row r="426" ht="87" customHeight="1">
      <c r="A426" s="2">
        <f>HYPERLINK("https://edmondsonsupply.com/collections/storage-organization/products/milwaukee-48-22-8426-packout%E2%84%A2-rolling-tool-box", "https://edmondsonsupply.com/collections/storage-organization/products/milwaukee-48-22-8426-packout%E2%84%A2-rolling-tool-box")</f>
        <v/>
      </c>
      <c r="B426" s="2">
        <f>HYPERLINK("https://edmondsonsupply.com/products/milwaukee-48-22-8426-packout%e2%84%a2-rolling-tool-box", "https://edmondsonsupply.com/products/milwaukee-48-22-8426-packout%e2%84%a2-rolling-tool-box")</f>
        <v/>
      </c>
      <c r="C426" t="inlineStr">
        <is>
          <t>Milwaukee 48-22-8426 PACKOUT™ Rolling Tool Box</t>
        </is>
      </c>
      <c r="D426" t="inlineStr">
        <is>
          <t>Fortool 31-01-8400 Storage Tray Replacement Tray For Milwaukee Large Tool Box 48-22-8425, 48-22-8426</t>
        </is>
      </c>
      <c r="E426" s="2">
        <f>HYPERLINK("https://www.amazon.com/Fortool-31-01-8400-Replacement-48-22-8425-48-22-8426/dp/B09TXP2NHK/ref=sr_1_36?keywords=Milwaukee+48-22-8426+PACKOUT%E2%84%A2+Rolling+Tool+Box&amp;qid=1694734454&amp;sr=8-36", "https://www.amazon.com/Fortool-31-01-8400-Replacement-48-22-8425-48-22-8426/dp/B09TXP2NHK/ref=sr_1_36?keywords=Milwaukee+48-22-8426+PACKOUT%E2%84%A2+Rolling+Tool+Box&amp;qid=1694734454&amp;sr=8-36")</f>
        <v/>
      </c>
      <c r="F426" t="inlineStr">
        <is>
          <t>B09TXP2NHK</t>
        </is>
      </c>
      <c r="G426">
        <f>_xlfn.IMAGE("https://edmondsonsupply.com/cdn/shop/products/48-22-8426_2.webp?v=1674148076")</f>
        <v/>
      </c>
      <c r="H426">
        <f>_xlfn.IMAGE("https://m.media-amazon.com/images/I/71rBfgXpbWL._AC_UL320_.jpg")</f>
        <v/>
      </c>
      <c r="K426" t="inlineStr">
        <is>
          <t>139.0</t>
        </is>
      </c>
      <c r="L426" t="n">
        <v>25.49</v>
      </c>
      <c r="M426" s="1" t="inlineStr">
        <is>
          <t>-81.66%</t>
        </is>
      </c>
      <c r="N426" s="7" t="n">
        <v>77.75</v>
      </c>
      <c r="O426" t="n">
        <v>4.6</v>
      </c>
      <c r="P426" t="n">
        <v>23</v>
      </c>
      <c r="R426" t="inlineStr">
        <is>
          <t>OutOfStock</t>
        </is>
      </c>
      <c r="S426" t="inlineStr">
        <is>
          <t>222.0</t>
        </is>
      </c>
      <c r="T426" t="inlineStr">
        <is>
          <t>7926919332056</t>
        </is>
      </c>
    </row>
    <row r="427" hidden="1" ht="15.75" customHeight="1">
      <c r="A427" s="2">
        <f>HYPERLINK("https://edmondsonsupply.com/collections/storage-organization/products/klein-tools-510212blk-tool-bag-black-canvas-12-inch", "https://edmondsonsupply.com/collections/storage-organization/products/klein-tools-510212blk-tool-bag-black-canvas-12-inch")</f>
        <v/>
      </c>
      <c r="B427" s="2">
        <f>HYPERLINK("https://edmondsonsupply.com/products/klein-tools-510212blk-tool-bag-black-canvas-12-inch", "https://edmondsonsupply.com/products/klein-tools-510212blk-tool-bag-black-canvas-12-inch")</f>
        <v/>
      </c>
      <c r="C427" t="inlineStr">
        <is>
          <t>Klein Tools 510212BLK Tool Bag, Black Canvas, 12-Inch</t>
        </is>
      </c>
      <c r="D427" t="inlineStr">
        <is>
          <t>Klein Tools 5139PAD Zipper Bag, Cordura Nylon Tool Pouch with Layered Padding for Protection and Zipper Close, 12-1/2-Inch, Black</t>
        </is>
      </c>
      <c r="E427" s="2">
        <f>HYPERLINK("https://www.amazon.com/Padded-Zipper-Klein-Tools-5139PAD/dp/B002G72PMG/ref=sr_1_23?keywords=Klein+Tools+510212BLK+Tool+Bag%2C+Black+Canvas%2C+12-Inch&amp;qid=1694734454&amp;sr=8-23", "https://www.amazon.com/Padded-Zipper-Klein-Tools-5139PAD/dp/B002G72PMG/ref=sr_1_23?keywords=Klein+Tools+510212BLK+Tool+Bag%2C+Black+Canvas%2C+12-Inch&amp;qid=1694734454&amp;sr=8-23")</f>
        <v/>
      </c>
      <c r="F427" t="inlineStr">
        <is>
          <t>B002G72PMG</t>
        </is>
      </c>
      <c r="G427">
        <f>_xludf.IMAGE("https://edmondsonsupply.com/cdn/shop/products/510212blk.jpg?v=1666026613")</f>
        <v/>
      </c>
      <c r="H427">
        <f>_xludf.IMAGE("https://m.media-amazon.com/images/I/91ES5ZFIrYL._AC_UL320_.jpg")</f>
        <v/>
      </c>
      <c r="K427" t="inlineStr">
        <is>
          <t>69.99</t>
        </is>
      </c>
      <c r="L427" t="n">
        <v>12</v>
      </c>
      <c r="M427" s="1" t="inlineStr">
        <is>
          <t>-82.85%</t>
        </is>
      </c>
      <c r="N427" s="1" t="n">
        <v>68.2</v>
      </c>
      <c r="O427" t="n">
        <v>4.7</v>
      </c>
      <c r="P427" t="n">
        <v>401</v>
      </c>
      <c r="R427" t="inlineStr">
        <is>
          <t>InStock</t>
        </is>
      </c>
      <c r="S427" t="inlineStr">
        <is>
          <t>103.34</t>
        </is>
      </c>
      <c r="T427" t="inlineStr">
        <is>
          <t>7856656679128</t>
        </is>
      </c>
    </row>
    <row r="428" ht="87" customHeight="1">
      <c r="A428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28" s="2">
        <f>HYPERLINK("https://edmondsonsupply.com/products/milwaukee-48-22-8442-packout%e2%84%a2-2-drawer-tool-box", "https://edmondsonsupply.com/products/milwaukee-48-22-8442-packout%e2%84%a2-2-drawer-tool-box")</f>
        <v/>
      </c>
      <c r="C428" t="inlineStr">
        <is>
          <t>Milwaukee 48-22-8442 PACKOUT™ 2-Drawer Tool Box</t>
        </is>
      </c>
      <c r="D428" t="inlineStr">
        <is>
          <t>48-22-8472 Drawer Dividers For Milwaukee Packout 2-Drawer Tool Box</t>
        </is>
      </c>
      <c r="E428" s="2">
        <f>HYPERLINK("https://www.amazon.com/48-22-8472-Dividers-Milwaukee-Packout-2-Drawer/dp/B0BPNWTD8G/ref=sr_1_34?keywords=Milwaukee+48-22-8442+PACKOUT%E2%84%A2+2-Drawer+Tool+Box&amp;qid=1694734467&amp;sr=8-34", "https://www.amazon.com/48-22-8472-Dividers-Milwaukee-Packout-2-Drawer/dp/B0BPNWTD8G/ref=sr_1_34?keywords=Milwaukee+48-22-8442+PACKOUT%E2%84%A2+2-Drawer+Tool+Box&amp;qid=1694734467&amp;sr=8-34")</f>
        <v/>
      </c>
      <c r="F428" t="inlineStr">
        <is>
          <t>B0BPNWTD8G</t>
        </is>
      </c>
      <c r="G428">
        <f>_xlfn.IMAGE("https://edmondsonsupply.com/cdn/shop/products/48-22-8442_2.webp?v=1675790677")</f>
        <v/>
      </c>
      <c r="H428">
        <f>_xlfn.IMAGE("https://m.media-amazon.com/images/I/51Cnok0LPVL._AC_UL320_.jpg")</f>
        <v/>
      </c>
      <c r="K428" t="inlineStr">
        <is>
          <t>149.0</t>
        </is>
      </c>
      <c r="L428" t="n">
        <v>24.99</v>
      </c>
      <c r="M428" s="1" t="inlineStr">
        <is>
          <t>-83.23%</t>
        </is>
      </c>
      <c r="N428" s="7" t="n">
        <v>66.69</v>
      </c>
      <c r="O428" t="n">
        <v>4.1</v>
      </c>
      <c r="P428" t="n">
        <v>4</v>
      </c>
      <c r="R428" t="inlineStr">
        <is>
          <t>InStock</t>
        </is>
      </c>
      <c r="S428" t="inlineStr">
        <is>
          <t>234.0</t>
        </is>
      </c>
      <c r="T428" t="inlineStr">
        <is>
          <t>7940460576984</t>
        </is>
      </c>
    </row>
    <row r="429" ht="87" customHeight="1">
      <c r="A429" s="2">
        <f>HYPERLINK("https://edmondsonsupply.com/collections/storage-organization/products/milwaukee-48-22-8426-packout%E2%84%A2-rolling-tool-box", "https://edmondsonsupply.com/collections/storage-organization/products/milwaukee-48-22-8426-packout%E2%84%A2-rolling-tool-box")</f>
        <v/>
      </c>
      <c r="B429" s="2">
        <f>HYPERLINK("https://edmondsonsupply.com/products/milwaukee-48-22-8426-packout%e2%84%a2-rolling-tool-box", "https://edmondsonsupply.com/products/milwaukee-48-22-8426-packout%e2%84%a2-rolling-tool-box")</f>
        <v/>
      </c>
      <c r="C429" t="inlineStr">
        <is>
          <t>Milwaukee 48-22-8426 PACKOUT™ Rolling Tool Box</t>
        </is>
      </c>
      <c r="D429" t="inlineStr">
        <is>
          <t>31-01-8400 Packout Storage Tray For Milwaukee 48-22-8425，48-22-8426 22 In. Packout Tool Box</t>
        </is>
      </c>
      <c r="E429" s="2">
        <f>HYPERLINK("https://www.amazon.com/31-01-8400-Packout-Storage-Milwaukee-48-22-8425%EF%BC%8C48-22-8426/dp/B0C9R7H4QM/ref=sr_1_16?keywords=Milwaukee+48-22-8426+PACKOUT%E2%84%A2+Rolling+Tool+Box&amp;qid=1694734454&amp;sr=8-16", "https://www.amazon.com/31-01-8400-Packout-Storage-Milwaukee-48-22-8425%EF%BC%8C48-22-8426/dp/B0C9R7H4QM/ref=sr_1_16?keywords=Milwaukee+48-22-8426+PACKOUT%E2%84%A2+Rolling+Tool+Box&amp;qid=1694734454&amp;sr=8-16")</f>
        <v/>
      </c>
      <c r="F429" t="inlineStr">
        <is>
          <t>B0C9R7H4QM</t>
        </is>
      </c>
      <c r="G429">
        <f>_xlfn.IMAGE("https://edmondsonsupply.com/cdn/shop/products/48-22-8426_2.webp?v=1674148076")</f>
        <v/>
      </c>
      <c r="H429">
        <f>_xlfn.IMAGE("https://m.media-amazon.com/images/I/61GjJLMzVML._AC_UL320_.jpg")</f>
        <v/>
      </c>
      <c r="K429" t="inlineStr">
        <is>
          <t>139.0</t>
        </is>
      </c>
      <c r="L429" t="n">
        <v>21.99</v>
      </c>
      <c r="M429" s="1" t="inlineStr">
        <is>
          <t>-84.18%</t>
        </is>
      </c>
      <c r="N429" s="7" t="n">
        <v>66.67</v>
      </c>
      <c r="O429" t="n">
        <v>4.4</v>
      </c>
      <c r="P429" t="n">
        <v>6</v>
      </c>
      <c r="R429" t="inlineStr">
        <is>
          <t>OutOfStock</t>
        </is>
      </c>
      <c r="S429" t="inlineStr">
        <is>
          <t>222.0</t>
        </is>
      </c>
      <c r="T429" t="inlineStr">
        <is>
          <t>7926919332056</t>
        </is>
      </c>
    </row>
    <row r="430" hidden="1" ht="15.75" customHeight="1">
      <c r="A430" s="2">
        <f>HYPERLINK("https://edmondsonsupply.com/collections/storage-organization/products/klein-tools-510212blk-tool-bag-black-canvas-12-inch", "https://edmondsonsupply.com/collections/storage-organization/products/klein-tools-510212blk-tool-bag-black-canvas-12-inch")</f>
        <v/>
      </c>
      <c r="B430" s="2">
        <f>HYPERLINK("https://edmondsonsupply.com/products/klein-tools-510212blk-tool-bag-black-canvas-12-inch", "https://edmondsonsupply.com/products/klein-tools-510212blk-tool-bag-black-canvas-12-inch")</f>
        <v/>
      </c>
      <c r="C430" t="inlineStr">
        <is>
          <t>Klein Tools 510212BLK Tool Bag, Black Canvas, 12-Inch</t>
        </is>
      </c>
      <c r="D430" t="inlineStr">
        <is>
          <t>Klein Tools 5139B Zipper Bag, Cordura Nylon Tool Pouch with Heavy-Duty Nylon Zipper Close, 12-1/2-Inch, Black</t>
        </is>
      </c>
      <c r="E430" s="2">
        <f>HYPERLINK("https://www.amazon.com/Klein-Tools-5139B-Cordura-Ballistic/dp/B000OQSS6S/ref=sr_1_13?keywords=Klein+Tools+510212BLK+Tool+Bag%2C+Black+Canvas%2C+12-Inch&amp;qid=1694734454&amp;sr=8-13", "https://www.amazon.com/Klein-Tools-5139B-Cordura-Ballistic/dp/B000OQSS6S/ref=sr_1_13?keywords=Klein+Tools+510212BLK+Tool+Bag%2C+Black+Canvas%2C+12-Inch&amp;qid=1694734454&amp;sr=8-13")</f>
        <v/>
      </c>
      <c r="F430" t="inlineStr">
        <is>
          <t>B000OQSS6S</t>
        </is>
      </c>
      <c r="G430">
        <f>_xludf.IMAGE("https://edmondsonsupply.com/cdn/shop/products/510212blk.jpg?v=1666026613")</f>
        <v/>
      </c>
      <c r="H430">
        <f>_xludf.IMAGE("https://m.media-amazon.com/images/I/61oItU6FQmL._AC_UL320_.jpg")</f>
        <v/>
      </c>
      <c r="K430" t="inlineStr">
        <is>
          <t>69.99</t>
        </is>
      </c>
      <c r="L430" t="n">
        <v>10.99</v>
      </c>
      <c r="M430" s="1" t="inlineStr">
        <is>
          <t>-84.30%</t>
        </is>
      </c>
      <c r="N430" s="1" t="n">
        <v>66.66</v>
      </c>
      <c r="O430" t="n">
        <v>4.8</v>
      </c>
      <c r="P430" t="n">
        <v>2708</v>
      </c>
      <c r="R430" t="inlineStr">
        <is>
          <t>InStock</t>
        </is>
      </c>
      <c r="S430" t="inlineStr">
        <is>
          <t>103.34</t>
        </is>
      </c>
      <c r="T430" t="inlineStr">
        <is>
          <t>7856656679128</t>
        </is>
      </c>
    </row>
    <row r="431" ht="87" customHeight="1">
      <c r="A431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31" s="2">
        <f>HYPERLINK("https://edmondsonsupply.com/products/milwaukee-48-22-8442-packout%e2%84%a2-2-drawer-tool-box", "https://edmondsonsupply.com/products/milwaukee-48-22-8442-packout%e2%84%a2-2-drawer-tool-box")</f>
        <v/>
      </c>
      <c r="C431" t="inlineStr">
        <is>
          <t>Milwaukee 48-22-8442 PACKOUT™ 2-Drawer Tool Box</t>
        </is>
      </c>
      <c r="D431" t="inlineStr">
        <is>
          <t>48-22-8473 packout dividers for Milwaukee packout 3 Drawer dividers Tool Box (Black)</t>
        </is>
      </c>
      <c r="E431" s="2">
        <f>HYPERLINK("https://www.amazon.com/48-22-8473-packout-dividers-Milwaukee-Drawer/dp/B0BYJ7B98H/ref=sr_1_26?keywords=Milwaukee+48-22-8442+PACKOUT%E2%84%A2+2-Drawer+Tool+Box&amp;qid=1694734467&amp;sr=8-26", "https://www.amazon.com/48-22-8473-packout-dividers-Milwaukee-Drawer/dp/B0BYJ7B98H/ref=sr_1_26?keywords=Milwaukee+48-22-8442+PACKOUT%E2%84%A2+2-Drawer+Tool+Box&amp;qid=1694734467&amp;sr=8-26")</f>
        <v/>
      </c>
      <c r="F431" t="inlineStr">
        <is>
          <t>B0BYJ7B98H</t>
        </is>
      </c>
      <c r="G431">
        <f>_xlfn.IMAGE("https://edmondsonsupply.com/cdn/shop/products/48-22-8442_2.webp?v=1675790677")</f>
        <v/>
      </c>
      <c r="H431">
        <f>_xlfn.IMAGE("https://m.media-amazon.com/images/I/61At33EJdtL._AC_UL320_.jpg")</f>
        <v/>
      </c>
      <c r="K431" t="inlineStr">
        <is>
          <t>149.0</t>
        </is>
      </c>
      <c r="L431" t="n">
        <v>23.39</v>
      </c>
      <c r="M431" s="1" t="inlineStr">
        <is>
          <t>-84.30%</t>
        </is>
      </c>
      <c r="N431" s="7" t="n">
        <v>64.84</v>
      </c>
      <c r="O431" t="n">
        <v>4.2</v>
      </c>
      <c r="P431" t="n">
        <v>48</v>
      </c>
      <c r="R431" t="inlineStr">
        <is>
          <t>InStock</t>
        </is>
      </c>
      <c r="S431" t="inlineStr">
        <is>
          <t>234.0</t>
        </is>
      </c>
      <c r="T431" t="inlineStr">
        <is>
          <t>7940460576984</t>
        </is>
      </c>
    </row>
    <row r="432" ht="87" customHeight="1">
      <c r="A432" s="2">
        <f>HYPERLINK("https://edmondsonsupply.com/collections/storage-organization/products/milwaukee-48-22-8426-packout%E2%84%A2-rolling-tool-box", "https://edmondsonsupply.com/collections/storage-organization/products/milwaukee-48-22-8426-packout%E2%84%A2-rolling-tool-box")</f>
        <v/>
      </c>
      <c r="B432" s="2">
        <f>HYPERLINK("https://edmondsonsupply.com/products/milwaukee-48-22-8426-packout%e2%84%a2-rolling-tool-box", "https://edmondsonsupply.com/products/milwaukee-48-22-8426-packout%e2%84%a2-rolling-tool-box")</f>
        <v/>
      </c>
      <c r="C432" t="inlineStr">
        <is>
          <t>Milwaukee 48-22-8426 PACKOUT™ Rolling Tool Box</t>
        </is>
      </c>
      <c r="D432" t="inlineStr">
        <is>
          <t>Follde 31-01-8400 Packout Storage Tray For Milwaukee Large Tool Box 48-22-8425, 48-22-8426</t>
        </is>
      </c>
      <c r="E432" s="2">
        <f>HYPERLINK("https://www.amazon.com/Follde-31-01-8400-Milwaukee-48-22-8425-48-22-8426/dp/B0C7PKR1NX/ref=sr_1_17?keywords=Milwaukee+48-22-8426+PACKOUT%E2%84%A2+Rolling+Tool+Box&amp;qid=1694734454&amp;sr=8-17", "https://www.amazon.com/Follde-31-01-8400-Milwaukee-48-22-8425-48-22-8426/dp/B0C7PKR1NX/ref=sr_1_17?keywords=Milwaukee+48-22-8426+PACKOUT%E2%84%A2+Rolling+Tool+Box&amp;qid=1694734454&amp;sr=8-17")</f>
        <v/>
      </c>
      <c r="F432" t="inlineStr">
        <is>
          <t>B0C7PKR1NX</t>
        </is>
      </c>
      <c r="G432">
        <f>_xlfn.IMAGE("https://edmondsonsupply.com/cdn/shop/products/48-22-8426_2.webp?v=1674148076")</f>
        <v/>
      </c>
      <c r="H432">
        <f>_xlfn.IMAGE("https://m.media-amazon.com/images/I/515v9ge4uIL._AC_UL320_.jpg")</f>
        <v/>
      </c>
      <c r="K432" t="inlineStr">
        <is>
          <t>139.0</t>
        </is>
      </c>
      <c r="L432" t="n">
        <v>21.39</v>
      </c>
      <c r="M432" s="1" t="inlineStr">
        <is>
          <t>-84.61%</t>
        </is>
      </c>
      <c r="N432" s="7" t="n">
        <v>64.72</v>
      </c>
      <c r="O432" t="n">
        <v>4.8</v>
      </c>
      <c r="P432" t="n">
        <v>12</v>
      </c>
      <c r="R432" t="inlineStr">
        <is>
          <t>OutOfStock</t>
        </is>
      </c>
      <c r="S432" t="inlineStr">
        <is>
          <t>222.0</t>
        </is>
      </c>
      <c r="T432" t="inlineStr">
        <is>
          <t>7926919332056</t>
        </is>
      </c>
    </row>
    <row r="433" ht="87" customHeight="1">
      <c r="A433" s="2">
        <f>HYPERLINK("https://edmondsonsupply.com/collections/storage-organization/products/veto-pro-pac-tech-pac-wheeler-backpack-tool-bag", "https://edmondsonsupply.com/collections/storage-organization/products/veto-pro-pac-tech-pac-wheeler-backpack-tool-bag")</f>
        <v/>
      </c>
      <c r="B433" s="2">
        <f>HYPERLINK("https://edmondsonsupply.com/products/veto-pro-pac-tech-pac-wheeler-backpack-tool-bag", "https://edmondsonsupply.com/products/veto-pro-pac-tech-pac-wheeler-backpack-tool-bag")</f>
        <v/>
      </c>
      <c r="C433" t="inlineStr">
        <is>
          <t>Veto Pro Pac TECH PAC WHEELER Backpack Tool Bag</t>
        </is>
      </c>
      <c r="D433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433" s="2">
        <f>HYPERLINK("https://www.amazon.com/PB4-Durable-Access-Perfect-Backpack/dp/B0146QVSN6/ref=sr_1_30?keywords=Veto+Pro+Pac+TECH+PAC+WHEELER+Backpack+Tool+Bag&amp;qid=1694734439&amp;sr=8-30", "https://www.amazon.com/PB4-Durable-Access-Perfect-Backpack/dp/B0146QVSN6/ref=sr_1_30?keywords=Veto+Pro+Pac+TECH+PAC+WHEELER+Backpack+Tool+Bag&amp;qid=1694734439&amp;sr=8-30")</f>
        <v/>
      </c>
      <c r="F433" t="inlineStr">
        <is>
          <t>B0146QVSN6</t>
        </is>
      </c>
      <c r="G433">
        <f>_xlfn.IMAGE("https://edmondsonsupply.com/cdn/shop/products/01_TECH-PAC-WHEELER.jpg?v=1633031176")</f>
        <v/>
      </c>
      <c r="H433">
        <f>_xlfn.IMAGE("https://m.media-amazon.com/images/I/51CMBYDtOXL._AC_UL320_.jpg")</f>
        <v/>
      </c>
      <c r="K433" t="inlineStr">
        <is>
          <t>399.99</t>
        </is>
      </c>
      <c r="L433" t="n">
        <v>59.95</v>
      </c>
      <c r="M433" s="1" t="inlineStr">
        <is>
          <t>-85.01%</t>
        </is>
      </c>
      <c r="N433" s="7" t="n">
        <v>64.72</v>
      </c>
      <c r="O433" t="n">
        <v>4.7</v>
      </c>
      <c r="P433" t="n">
        <v>209</v>
      </c>
      <c r="R433" t="inlineStr">
        <is>
          <t>InStock</t>
        </is>
      </c>
      <c r="S433" t="inlineStr">
        <is>
          <t>undefined</t>
        </is>
      </c>
      <c r="T433" t="inlineStr">
        <is>
          <t>6917914984621</t>
        </is>
      </c>
    </row>
    <row r="434" hidden="1" ht="15.75" customHeight="1">
      <c r="A434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34" s="2">
        <f>HYPERLINK("https://edmondsonsupply.com/products/milwaukee-48-22-8442-packout%e2%84%a2-2-drawer-tool-box", "https://edmondsonsupply.com/products/milwaukee-48-22-8442-packout%e2%84%a2-2-drawer-tool-box")</f>
        <v/>
      </c>
      <c r="C434" t="inlineStr">
        <is>
          <t>Milwaukee 48-22-8442 PACKOUT™ 2-Drawer Tool Box</t>
        </is>
      </c>
      <c r="D434" t="inlineStr">
        <is>
          <t>48-22-8472 Dividers Compatible with Milwaukee Packout 2-Drawer Tool Box, 8-Pieces Drawers Dividers Set - 2 Long Dividers &amp; 6 Short Dividers</t>
        </is>
      </c>
      <c r="E434" s="2">
        <f>HYPERLINK("https://www.amazon.com/48-22-8472-Dividers-Compatible-Milwaukee-2-Drawer/dp/B0C1RWQ43Q/ref=sr_1_10?keywords=Milwaukee+48-22-8442+PACKOUT%E2%84%A2+2-Drawer+Tool+Box&amp;qid=1694734467&amp;sr=8-10", "https://www.amazon.com/48-22-8472-Dividers-Compatible-Milwaukee-2-Drawer/dp/B0C1RWQ43Q/ref=sr_1_10?keywords=Milwaukee+48-22-8442+PACKOUT%E2%84%A2+2-Drawer+Tool+Box&amp;qid=1694734467&amp;sr=8-10")</f>
        <v/>
      </c>
      <c r="F434" t="inlineStr">
        <is>
          <t>B0C1RWQ43Q</t>
        </is>
      </c>
      <c r="G434">
        <f>_xludf.IMAGE("https://edmondsonsupply.com/cdn/shop/products/48-22-8442_2.webp?v=1675790677")</f>
        <v/>
      </c>
      <c r="H434">
        <f>_xludf.IMAGE("https://m.media-amazon.com/images/I/61-3yJrHBsL._AC_UL320_.jpg")</f>
        <v/>
      </c>
      <c r="K434" t="inlineStr">
        <is>
          <t>149.0</t>
        </is>
      </c>
      <c r="L434" t="n">
        <v>20.69</v>
      </c>
      <c r="M434" s="1" t="inlineStr">
        <is>
          <t>-86.11%</t>
        </is>
      </c>
      <c r="N434" s="1" t="n">
        <v>62.44</v>
      </c>
      <c r="O434" t="n">
        <v>3</v>
      </c>
      <c r="P434" t="n">
        <v>2</v>
      </c>
      <c r="R434" t="inlineStr">
        <is>
          <t>InStock</t>
        </is>
      </c>
      <c r="S434" t="inlineStr">
        <is>
          <t>234.0</t>
        </is>
      </c>
      <c r="T434" t="inlineStr">
        <is>
          <t>7940460576984</t>
        </is>
      </c>
    </row>
    <row r="435" hidden="1" ht="15.75" customHeight="1">
      <c r="A435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35" s="2">
        <f>HYPERLINK("https://edmondsonsupply.com/products/milwaukee-48-22-8442-packout%e2%84%a2-2-drawer-tool-box", "https://edmondsonsupply.com/products/milwaukee-48-22-8442-packout%e2%84%a2-2-drawer-tool-box")</f>
        <v/>
      </c>
      <c r="C435" t="inlineStr">
        <is>
          <t>Milwaukee 48-22-8442 PACKOUT™ 2-Drawer Tool Box</t>
        </is>
      </c>
      <c r="D435" t="inlineStr">
        <is>
          <t>48-22-8472 Drawer Dividers for Milwaukee Packout 2-Drawer|for Milwaukee Packout Dividers|Tool Box Dividers</t>
        </is>
      </c>
      <c r="E435" s="2">
        <f>HYPERLINK("https://www.amazon.com/48-22-8472-Dividers-Milwaukee-Packout-2-Drawer/dp/B0BZHWN82V/ref=sr_1_8?keywords=Milwaukee+48-22-8442+PACKOUT%E2%84%A2+2-Drawer+Tool+Box&amp;qid=1694734467&amp;sr=8-8", "https://www.amazon.com/48-22-8472-Dividers-Milwaukee-Packout-2-Drawer/dp/B0BZHWN82V/ref=sr_1_8?keywords=Milwaukee+48-22-8442+PACKOUT%E2%84%A2+2-Drawer+Tool+Box&amp;qid=1694734467&amp;sr=8-8")</f>
        <v/>
      </c>
      <c r="F435" t="inlineStr">
        <is>
          <t>B0BZHWN82V</t>
        </is>
      </c>
      <c r="G435">
        <f>_xludf.IMAGE("https://edmondsonsupply.com/cdn/shop/products/48-22-8442_2.webp?v=1675790677")</f>
        <v/>
      </c>
      <c r="H435">
        <f>_xludf.IMAGE("https://m.media-amazon.com/images/I/51onRVKTIjL._AC_UL320_.jpg")</f>
        <v/>
      </c>
      <c r="K435" t="inlineStr">
        <is>
          <t>149.0</t>
        </is>
      </c>
      <c r="L435" t="n">
        <v>19.59</v>
      </c>
      <c r="M435" s="1" t="inlineStr">
        <is>
          <t>-86.85%</t>
        </is>
      </c>
      <c r="N435" s="1" t="n">
        <v>61.59</v>
      </c>
      <c r="O435" t="n">
        <v>3.8</v>
      </c>
      <c r="P435" t="n">
        <v>12</v>
      </c>
      <c r="R435" t="inlineStr">
        <is>
          <t>InStock</t>
        </is>
      </c>
      <c r="S435" t="inlineStr">
        <is>
          <t>234.0</t>
        </is>
      </c>
      <c r="T435" t="inlineStr">
        <is>
          <t>7940460576984</t>
        </is>
      </c>
    </row>
    <row r="436" hidden="1" ht="15.75" customHeight="1">
      <c r="A436" s="2">
        <f>HYPERLINK("https://edmondsonsupply.com/collections/storage-organization/products/milwaukee-48-22-8442-packout%E2%84%A2-2-drawer-tool-box", "https://edmondsonsupply.com/collections/storage-organization/products/milwaukee-48-22-8442-packout%E2%84%A2-2-drawer-tool-box")</f>
        <v/>
      </c>
      <c r="B436" s="2">
        <f>HYPERLINK("https://edmondsonsupply.com/products/milwaukee-48-22-8442-packout%e2%84%a2-2-drawer-tool-box", "https://edmondsonsupply.com/products/milwaukee-48-22-8442-packout%e2%84%a2-2-drawer-tool-box")</f>
        <v/>
      </c>
      <c r="C436" t="inlineStr">
        <is>
          <t>Milwaukee 48-22-8442 PACKOUT™ 2-Drawer Tool Box</t>
        </is>
      </c>
      <c r="D436" t="inlineStr">
        <is>
          <t>48-22-8472 Dackout Dividers For Milwaukee Packout 2 Drawer Dividers Tool Box (Black)</t>
        </is>
      </c>
      <c r="E436" s="2">
        <f>HYPERLINK("https://www.amazon.com/48-22-8472-Dackout-Dividers-Milwaukee-Packout/dp/B0BYJ5MZHR/ref=sr_1_3?keywords=Milwaukee+48-22-8442+PACKOUT%E2%84%A2+2-Drawer+Tool+Box&amp;qid=1694734467&amp;sr=8-3", "https://www.amazon.com/48-22-8472-Dackout-Dividers-Milwaukee-Packout/dp/B0BYJ5MZHR/ref=sr_1_3?keywords=Milwaukee+48-22-8442+PACKOUT%E2%84%A2+2-Drawer+Tool+Box&amp;qid=1694734467&amp;sr=8-3")</f>
        <v/>
      </c>
      <c r="F436" t="inlineStr">
        <is>
          <t>B0BYJ5MZHR</t>
        </is>
      </c>
      <c r="G436">
        <f>_xludf.IMAGE("https://edmondsonsupply.com/cdn/shop/products/48-22-8442_2.webp?v=1675790677")</f>
        <v/>
      </c>
      <c r="H436">
        <f>_xludf.IMAGE("https://m.media-amazon.com/images/I/51edGTf4y-L._AC_UL320_.jpg")</f>
        <v/>
      </c>
      <c r="K436" t="inlineStr">
        <is>
          <t>149.0</t>
        </is>
      </c>
      <c r="L436" t="n">
        <v>19.59</v>
      </c>
      <c r="M436" s="1" t="inlineStr">
        <is>
          <t>-86.85%</t>
        </is>
      </c>
      <c r="N436" s="1" t="n">
        <v>61.59</v>
      </c>
      <c r="O436" t="n">
        <v>3.8</v>
      </c>
      <c r="P436" t="n">
        <v>20</v>
      </c>
      <c r="R436" t="inlineStr">
        <is>
          <t>InStock</t>
        </is>
      </c>
      <c r="S436" t="inlineStr">
        <is>
          <t>234.0</t>
        </is>
      </c>
      <c r="T436" t="inlineStr">
        <is>
          <t>7940460576984</t>
        </is>
      </c>
    </row>
    <row r="437" ht="87" customHeight="1">
      <c r="A437" s="2">
        <f>HYPERLINK("https://edmondsonsupply.com/collections/storage-organization/products/klein-tools-55665-tradesman-pro%E2%84%A2-ironworker-and-welder-backpack", "https://edmondsonsupply.com/collections/storage-organization/products/klein-tools-55665-tradesman-pro%E2%84%A2-ironworker-and-welder-backpack")</f>
        <v/>
      </c>
      <c r="B437" s="2">
        <f>HYPERLINK("https://edmondsonsupply.com/products/klein-tools-55665-tradesman-pro%e2%84%a2-ironworker-and-welder-backpack", "https://edmondsonsupply.com/products/klein-tools-55665-tradesman-pro%e2%84%a2-ironworker-and-welder-backpack")</f>
        <v/>
      </c>
      <c r="C437" t="inlineStr">
        <is>
          <t>Klein Tools 55665 Tradesman Pro™ Ironworker and Welder Backpack</t>
        </is>
      </c>
      <c r="D437" t="inlineStr">
        <is>
          <t>Klein Tools 55663 Replacement Welding Helmet Pocket for the Tradesman Pro Ironworker and Welder Backpack</t>
        </is>
      </c>
      <c r="E437" s="2">
        <f>HYPERLINK("https://www.amazon.com/Klein-Tools-55663-Replacement-Ironworker/dp/B0BN4K6F2J/ref=sr_1_2?keywords=Klein+Tools+55665+Tradesman+Pro%E2%84%A2+Ironworker+and+Welder+Backpack&amp;qid=1694734449&amp;sr=8-2", "https://www.amazon.com/Klein-Tools-55663-Replacement-Ironworker/dp/B0BN4K6F2J/ref=sr_1_2?keywords=Klein+Tools+55665+Tradesman+Pro%E2%84%A2+Ironworker+and+Welder+Backpack&amp;qid=1694734449&amp;sr=8-2")</f>
        <v/>
      </c>
      <c r="F437" t="inlineStr">
        <is>
          <t>B0BN4K6F2J</t>
        </is>
      </c>
      <c r="G437">
        <f>_xlfn.IMAGE("https://edmondsonsupply.com/cdn/shop/products/55665.jpg?v=1674485350")</f>
        <v/>
      </c>
      <c r="H437">
        <f>_xlfn.IMAGE("https://m.media-amazon.com/images/I/71C2gpYNAIL._AC_UL320_.jpg")</f>
        <v/>
      </c>
      <c r="K437" t="inlineStr">
        <is>
          <t>199.99</t>
        </is>
      </c>
      <c r="L437" t="n">
        <v>24.99</v>
      </c>
      <c r="M437" s="1" t="inlineStr">
        <is>
          <t>-87.50%</t>
        </is>
      </c>
      <c r="N437" s="7" t="n">
        <v>61.59</v>
      </c>
      <c r="O437" t="n">
        <v>5</v>
      </c>
      <c r="P437" t="n">
        <v>1</v>
      </c>
      <c r="R437" t="inlineStr">
        <is>
          <t>InStock</t>
        </is>
      </c>
      <c r="S437" t="inlineStr">
        <is>
          <t>299.98</t>
        </is>
      </c>
      <c r="T437" t="inlineStr">
        <is>
          <t>7931840561368</t>
        </is>
      </c>
    </row>
    <row r="438" hidden="1" ht="15.75" customHeight="1">
      <c r="A438" s="2">
        <f>HYPERLINK("https://edmondsonsupply.com/collections/storage-organization/products/milwaukee-48-22-8426-packout%E2%84%A2-rolling-tool-box", "https://edmondsonsupply.com/collections/storage-organization/products/milwaukee-48-22-8426-packout%E2%84%A2-rolling-tool-box")</f>
        <v/>
      </c>
      <c r="B438" s="2">
        <f>HYPERLINK("https://edmondsonsupply.com/products/milwaukee-48-22-8426-packout%e2%84%a2-rolling-tool-box", "https://edmondsonsupply.com/products/milwaukee-48-22-8426-packout%e2%84%a2-rolling-tool-box")</f>
        <v/>
      </c>
      <c r="C438" t="inlineStr">
        <is>
          <t>Milwaukee 48-22-8426 PACKOUT™ Rolling Tool Box</t>
        </is>
      </c>
      <c r="D438" t="inlineStr">
        <is>
          <t>Packout Handle Release Pins Kit Quick and Convenient Tool Box Handle Removal Fits for Milwaukee Packout 48-22-8426 Rolling Tool Box 2 Packs</t>
        </is>
      </c>
      <c r="E438" s="2">
        <f>HYPERLINK("https://www.amazon.com/Packout-Release-Convenient-Milwaukee-48-22-8426/dp/B0C7GVHF2Y/ref=sr_1_1?keywords=Milwaukee+48-22-8426+PACKOUT%E2%84%A2+Rolling+Tool+Box&amp;qid=1694734454&amp;sr=8-1", "https://www.amazon.com/Packout-Release-Convenient-Milwaukee-48-22-8426/dp/B0C7GVHF2Y/ref=sr_1_1?keywords=Milwaukee+48-22-8426+PACKOUT%E2%84%A2+Rolling+Tool+Box&amp;qid=1694734454&amp;sr=8-1")</f>
        <v/>
      </c>
      <c r="F438" t="inlineStr">
        <is>
          <t>B0C7GVHF2Y</t>
        </is>
      </c>
      <c r="G438">
        <f>_xludf.IMAGE("https://edmondsonsupply.com/cdn/shop/products/48-22-8426_2.webp?v=1674148076")</f>
        <v/>
      </c>
      <c r="H438">
        <f>_xludf.IMAGE("https://m.media-amazon.com/images/I/612K3qDPYRL._AC_UL320_.jpg")</f>
        <v/>
      </c>
      <c r="K438" t="inlineStr">
        <is>
          <t>139.0</t>
        </is>
      </c>
      <c r="L438" t="n">
        <v>13.55</v>
      </c>
      <c r="M438" s="1" t="inlineStr">
        <is>
          <t>-90.25%</t>
        </is>
      </c>
      <c r="N438" s="1" t="n">
        <v>57.43</v>
      </c>
      <c r="O438" t="n">
        <v>3.8</v>
      </c>
      <c r="P438" t="n">
        <v>5</v>
      </c>
      <c r="R438" t="inlineStr">
        <is>
          <t>OutOfStock</t>
        </is>
      </c>
      <c r="S438" t="inlineStr">
        <is>
          <t>222.0</t>
        </is>
      </c>
      <c r="T438" t="inlineStr">
        <is>
          <t>7926919332056</t>
        </is>
      </c>
    </row>
    <row r="439" ht="87" customHeight="1">
      <c r="A439" s="2">
        <f>HYPERLINK("https://edmondsonsupply.com/collections/personal-protection-safety/products/klein-tools-60177-breakaway-lanyard-for-safety-glasses", "https://edmondsonsupply.com/collections/personal-protection-safety/products/klein-tools-60177-breakaway-lanyard-for-safety-glasses")</f>
        <v/>
      </c>
      <c r="B439" s="2">
        <f>HYPERLINK("https://edmondsonsupply.com/products/klein-tools-60177-breakaway-lanyard-for-safety-glasses", "https://edmondsonsupply.com/products/klein-tools-60177-breakaway-lanyard-for-safety-glasses")</f>
        <v/>
      </c>
      <c r="C439" t="inlineStr">
        <is>
          <t>Klein Tools 60177 Breakaway Lanyard for Safety Glasses</t>
        </is>
      </c>
      <c r="D439" t="inlineStr">
        <is>
          <t>Klein Tools 80055 Safety Glasses Kit, Professional Safety Glasses with Full Frame, Gray Lens and Breakaway Lanyard, 8-Piece</t>
        </is>
      </c>
      <c r="E439" s="2">
        <f>HYPERLINK("https://www.amazon.com/Klein-80055-Glasses-Professional-Breakaway/dp/B09HR9RV4H/ref=sr_1_2?keywords=Klein+Tools+60177+Breakaway+Lanyard+for+Safety+Glasses&amp;qid=1694734487&amp;sr=8-2", "https://www.amazon.com/Klein-80055-Glasses-Professional-Breakaway/dp/B09HR9RV4H/ref=sr_1_2?keywords=Klein+Tools+60177+Breakaway+Lanyard+for+Safety+Glasses&amp;qid=1694734487&amp;sr=8-2")</f>
        <v/>
      </c>
      <c r="F439" t="inlineStr">
        <is>
          <t>B09HR9RV4H</t>
        </is>
      </c>
      <c r="G439">
        <f>_xlfn.IMAGE("https://edmondsonsupply.com/cdn/shop/products/60177.jpg?v=1633030858")</f>
        <v/>
      </c>
      <c r="H439">
        <f>_xlfn.IMAGE("https://m.media-amazon.com/images/I/61L5l7dmmiL._AC_UL320_.jpg")</f>
        <v/>
      </c>
      <c r="K439" t="inlineStr">
        <is>
          <t>1.99</t>
        </is>
      </c>
      <c r="L439" t="n">
        <v>49.99</v>
      </c>
      <c r="M439" s="1" t="inlineStr">
        <is>
          <t>2,412.06%</t>
        </is>
      </c>
      <c r="N439" s="7" t="n">
        <v>54.32</v>
      </c>
      <c r="O439" t="n">
        <v>4.5</v>
      </c>
      <c r="P439" t="n">
        <v>13</v>
      </c>
      <c r="R439" t="inlineStr">
        <is>
          <t>InStock</t>
        </is>
      </c>
      <c r="S439" t="inlineStr">
        <is>
          <t>2.68</t>
        </is>
      </c>
      <c r="T439" t="inlineStr">
        <is>
          <t>6104982454445</t>
        </is>
      </c>
    </row>
    <row r="440" ht="87" customHeight="1">
      <c r="A440" s="2">
        <f>HYPERLINK("https://edmondsonsupply.com/collections/personal-protection-safety/products/klein-tools-56062-rechargeable-headlamp-and-worklight-300-lumens-all-day-runtime", "https://edmondsonsupply.com/collections/personal-protection-safety/products/klein-tools-56062-rechargeable-headlamp-and-worklight-300-lumens-all-day-runtime")</f>
        <v/>
      </c>
      <c r="B440" s="2">
        <f>HYPERLINK("https://edmondsonsupply.com/products/klein-tools-56062-rechargeable-headlamp-and-worklight-300-lumens-all-day-runtime", "https://edmondsonsupply.com/products/klein-tools-56062-rechargeable-headlamp-and-worklight-300-lumens-all-day-runtime")</f>
        <v/>
      </c>
      <c r="C440" t="inlineStr">
        <is>
          <t>Klein Tools 56062 Rechargeable Headlamp and Worklight, 300 Lumens All-Day Runtime</t>
        </is>
      </c>
      <c r="D440" t="inlineStr">
        <is>
          <t>Klein Tools 60347 Hard Hat &amp; 56062 Rechargeable LED Headlamp/Worklight for Klein Hardhats, 300 Lumens, All-Day Runtime, 3 Modes, for Work and Outdoors</t>
        </is>
      </c>
      <c r="E440" s="2">
        <f>HYPERLINK("https://www.amazon.com/Klein-Tools-Rechargeable-Headlamp-Worklight/dp/B09T6ZC141/ref=sr_1_2?keywords=Klein+Tools+56062+Rechargeable+Headlamp+and+Worklight%2C+300+Lumens+All-Day+Runtime&amp;qid=1694734507&amp;sr=8-2", "https://www.amazon.com/Klein-Tools-Rechargeable-Headlamp-Worklight/dp/B09T6ZC141/ref=sr_1_2?keywords=Klein+Tools+56062+Rechargeable+Headlamp+and+Worklight%2C+300+Lumens+All-Day+Runtime&amp;qid=1694734507&amp;sr=8-2")</f>
        <v/>
      </c>
      <c r="F440" t="inlineStr">
        <is>
          <t>B09T6ZC141</t>
        </is>
      </c>
      <c r="G440">
        <f>_xlfn.IMAGE("https://edmondsonsupply.com/cdn/shop/products/56062.jpg?v=1633030735")</f>
        <v/>
      </c>
      <c r="H440">
        <f>_xlfn.IMAGE("https://m.media-amazon.com/images/I/51KgvagWX0L._AC_UL320_.jpg")</f>
        <v/>
      </c>
      <c r="K440" t="inlineStr">
        <is>
          <t>29.97</t>
        </is>
      </c>
      <c r="L440" t="n">
        <v>146.85</v>
      </c>
      <c r="M440" s="1" t="inlineStr">
        <is>
          <t>389.99%</t>
        </is>
      </c>
      <c r="N440" s="7" t="n">
        <v>54.32</v>
      </c>
      <c r="O440" t="n">
        <v>4.7</v>
      </c>
      <c r="P440" t="n">
        <v>4</v>
      </c>
      <c r="R440" t="inlineStr">
        <is>
          <t>InStock</t>
        </is>
      </c>
      <c r="S440" t="inlineStr">
        <is>
          <t>42.0</t>
        </is>
      </c>
      <c r="T440" t="inlineStr">
        <is>
          <t>5877807218856</t>
        </is>
      </c>
    </row>
    <row r="441" ht="87" customHeight="1">
      <c r="A441" s="2">
        <f>HYPERLINK("https://edmondsonsupply.com/collections/personal-protection-safety/products/klein-tools-29025-modular-battery-for-klein-tools-cat-no-60155-hard-hat-cooling-fan", "https://edmondsonsupply.com/collections/personal-protection-safety/products/klein-tools-29025-modular-battery-for-klein-tools-cat-no-60155-hard-hat-cooling-fan")</f>
        <v/>
      </c>
      <c r="B441" s="2">
        <f>HYPERLINK("https://edmondsonsupply.com/products/klein-tools-29025-modular-battery-for-klein-tools-cat-no-60155-hard-hat-cooling-fan", "https://edmondsonsupply.com/products/klein-tools-29025-modular-battery-for-klein-tools-cat-no-60155-hard-hat-cooling-fan")</f>
        <v/>
      </c>
      <c r="C441" t="inlineStr">
        <is>
          <t>Klein Tools 29025 Modular Battery for Klein Tools Cat. No. 60155 Hard Hat Cooling Fan</t>
        </is>
      </c>
      <c r="D441" t="inlineStr">
        <is>
          <t>Klein Tools 60347 Hard Hat, Vented Full Brim, Class C &amp; 29025 Rechargeable Lithium-ion Portable Battery to Power Klein Tools Hard Hat Cooling Fan Cat. No. 60155</t>
        </is>
      </c>
      <c r="E441" s="2">
        <f>HYPERLINK("https://www.amazon.com/Klein-Tools-Rechargeable-Lithium-ion-Portable/dp/B0B56RS25Q/ref=sr_1_2?keywords=Klein+Tools+29025+Modular+Battery+for+Klein+Tools+Cat.+No.+60155+Hard+Hat+Cooling+Fan&amp;qid=1694734485&amp;sr=8-2", "https://www.amazon.com/Klein-Tools-Rechargeable-Lithium-ion-Portable/dp/B0B56RS25Q/ref=sr_1_2?keywords=Klein+Tools+29025+Modular+Battery+for+Klein+Tools+Cat.+No.+60155+Hard+Hat+Cooling+Fan&amp;qid=1694734485&amp;sr=8-2")</f>
        <v/>
      </c>
      <c r="F441" t="inlineStr">
        <is>
          <t>B0B56RS25Q</t>
        </is>
      </c>
      <c r="G441">
        <f>_xlfn.IMAGE("https://edmondsonsupply.com/cdn/shop/products/29025.jpg?v=1664802987")</f>
        <v/>
      </c>
      <c r="H441">
        <f>_xlfn.IMAGE("https://m.media-amazon.com/images/I/512adTKjRAL._AC_UL320_.jpg")</f>
        <v/>
      </c>
      <c r="K441" t="inlineStr">
        <is>
          <t>36.99</t>
        </is>
      </c>
      <c r="L441" t="n">
        <v>151.87</v>
      </c>
      <c r="M441" s="1" t="inlineStr">
        <is>
          <t>310.57%</t>
        </is>
      </c>
      <c r="N441" s="7" t="n">
        <v>50.96</v>
      </c>
      <c r="O441" t="n">
        <v>4.2</v>
      </c>
      <c r="P441" t="n">
        <v>10</v>
      </c>
      <c r="R441" t="inlineStr">
        <is>
          <t>InStock</t>
        </is>
      </c>
      <c r="S441" t="inlineStr">
        <is>
          <t>51.78</t>
        </is>
      </c>
      <c r="T441" t="inlineStr">
        <is>
          <t>7837556965592</t>
        </is>
      </c>
    </row>
    <row r="442" ht="87" customHeight="1">
      <c r="A442" s="2">
        <f>HYPERLINK("https://edmondsonsupply.com/collections/personal-protection-safety/products/klein-tools-56063-rechargeable-safety-lamp-with-magnet", "https://edmondsonsupply.com/collections/personal-protection-safety/products/klein-tools-56063-rechargeable-safety-lamp-with-magnet")</f>
        <v/>
      </c>
      <c r="B442" s="2">
        <f>HYPERLINK("https://edmondsonsupply.com/products/klein-tools-56063-rechargeable-safety-lamp-with-magnet", "https://edmondsonsupply.com/products/klein-tools-56063-rechargeable-safety-lamp-with-magnet")</f>
        <v/>
      </c>
      <c r="C442" t="inlineStr">
        <is>
          <t>Klein Tools 56063 Rechargeable Safety Lamp with Magnet</t>
        </is>
      </c>
      <c r="D442" t="inlineStr">
        <is>
          <t>Klein Tools 60517 Safety Helmet, Vented Class C with Rechargeable Lamp and Chin Strap, Premium KARBN Pattern, Adjustable Vents &amp; Visor Gray Tinted</t>
        </is>
      </c>
      <c r="E442" s="2">
        <f>HYPERLINK("https://www.amazon.com/Klein-Tools-Rechargeable-Premium-Adjustable/dp/B0BNL4G1WF/ref=sr_1_9?keywords=Klein+Tools+56063+Rechargeable+Safety+Lamp+with+Magnet&amp;qid=1694734484&amp;sr=8-9", "https://www.amazon.com/Klein-Tools-Rechargeable-Premium-Adjustable/dp/B0BNL4G1WF/ref=sr_1_9?keywords=Klein+Tools+56063+Rechargeable+Safety+Lamp+with+Magnet&amp;qid=1694734484&amp;sr=8-9")</f>
        <v/>
      </c>
      <c r="F442" t="inlineStr">
        <is>
          <t>B0BNL4G1WF</t>
        </is>
      </c>
      <c r="G442">
        <f>_xlfn.IMAGE("https://edmondsonsupply.com/cdn/shop/products/56063_c.jpg?v=1664458608")</f>
        <v/>
      </c>
      <c r="H442">
        <f>_xlfn.IMAGE("https://m.media-amazon.com/images/I/51IjpueDtTL._AC_UL320_.jpg")</f>
        <v/>
      </c>
      <c r="K442" t="inlineStr">
        <is>
          <t>34.49</t>
        </is>
      </c>
      <c r="L442" t="n">
        <v>139.98</v>
      </c>
      <c r="M442" s="1" t="inlineStr">
        <is>
          <t>305.86%</t>
        </is>
      </c>
      <c r="N442" s="7" t="n">
        <v>48.16</v>
      </c>
      <c r="O442" t="n">
        <v>5</v>
      </c>
      <c r="P442" t="n">
        <v>4</v>
      </c>
      <c r="R442" t="inlineStr">
        <is>
          <t>InStock</t>
        </is>
      </c>
      <c r="S442" t="inlineStr">
        <is>
          <t>48.3</t>
        </is>
      </c>
      <c r="T442" t="inlineStr">
        <is>
          <t>7833437012184</t>
        </is>
      </c>
    </row>
    <row r="443" ht="87" customHeight="1">
      <c r="A443" s="2">
        <f>HYPERLINK("https://edmondsonsupply.com/collections/personal-protection-safety/products/klein-tools-56062-rechargeable-headlamp-and-worklight-300-lumens-all-day-runtime", "https://edmondsonsupply.com/collections/personal-protection-safety/products/klein-tools-56062-rechargeable-headlamp-and-worklight-300-lumens-all-day-runtime")</f>
        <v/>
      </c>
      <c r="B443" s="2">
        <f>HYPERLINK("https://edmondsonsupply.com/products/klein-tools-56062-rechargeable-headlamp-and-worklight-300-lumens-all-day-runtime", "https://edmondsonsupply.com/products/klein-tools-56062-rechargeable-headlamp-and-worklight-300-lumens-all-day-runtime")</f>
        <v/>
      </c>
      <c r="C443" t="inlineStr">
        <is>
          <t>Klein Tools 56062 Rechargeable Headlamp and Worklight, 300 Lumens All-Day Runtime</t>
        </is>
      </c>
      <c r="D443" t="inlineStr">
        <is>
          <t>Klein Tools 60346 Hard Hat, Non-Vented Full Brim &amp; 56062 Rechargeable LED Headlamp/Worklight for Klein Hardhats, 300 Lumens, All-Day Runtime, 3 Modes, for Work and Outdoors</t>
        </is>
      </c>
      <c r="E443" s="2">
        <f>HYPERLINK("https://www.amazon.com/Klein-Tools-Non-Vented-Rechargeable-Worklight/dp/B0B7N7H112/ref=sr_1_9?keywords=Klein+Tools+56062+Rechargeable+Headlamp+and+Worklight%2C+300+Lumens+All-Day+Runtime&amp;qid=1694734507&amp;sr=8-9", "https://www.amazon.com/Klein-Tools-Non-Vented-Rechargeable-Worklight/dp/B0B7N7H112/ref=sr_1_9?keywords=Klein+Tools+56062+Rechargeable+Headlamp+and+Worklight%2C+300+Lumens+All-Day+Runtime&amp;qid=1694734507&amp;sr=8-9")</f>
        <v/>
      </c>
      <c r="F443" t="inlineStr">
        <is>
          <t>B0B7N7H112</t>
        </is>
      </c>
      <c r="G443">
        <f>_xlfn.IMAGE("https://edmondsonsupply.com/cdn/shop/products/56062.jpg?v=1633030735")</f>
        <v/>
      </c>
      <c r="H443">
        <f>_xlfn.IMAGE("https://m.media-amazon.com/images/I/51d4Q8xFr9L._AC_UL320_.jpg")</f>
        <v/>
      </c>
      <c r="K443" t="inlineStr">
        <is>
          <t>29.97</t>
        </is>
      </c>
      <c r="L443" t="n">
        <v>119.96</v>
      </c>
      <c r="M443" s="1" t="inlineStr">
        <is>
          <t>300.27%</t>
        </is>
      </c>
      <c r="N443" s="7" t="n">
        <v>48.14</v>
      </c>
      <c r="O443" t="n">
        <v>4.6</v>
      </c>
      <c r="P443" t="n">
        <v>2</v>
      </c>
      <c r="R443" t="inlineStr">
        <is>
          <t>InStock</t>
        </is>
      </c>
      <c r="S443" t="inlineStr">
        <is>
          <t>42.0</t>
        </is>
      </c>
      <c r="T443" t="inlineStr">
        <is>
          <t>5877807218856</t>
        </is>
      </c>
    </row>
    <row r="444" ht="87" customHeight="1">
      <c r="A444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444" s="2">
        <f>HYPERLINK("https://edmondsonsupply.com/products/klein-tools-60162-professional-safety-glasses-gray-lens", "https://edmondsonsupply.com/products/klein-tools-60162-professional-safety-glasses-gray-lens")</f>
        <v/>
      </c>
      <c r="C444" t="inlineStr">
        <is>
          <t>Klein Tools 60162 Professional Safety Glasses, Gray Lens</t>
        </is>
      </c>
      <c r="D444" t="inlineStr">
        <is>
          <t>Klein Tools 80055 Safety Glasses Kit, Professional Safety Glasses with Full Frame, Gray Lens and Breakaway Lanyard, 8-Piece</t>
        </is>
      </c>
      <c r="E444" s="2">
        <f>HYPERLINK("https://www.amazon.com/Klein-80055-Glasses-Professional-Breakaway/dp/B09HR9RV4H/ref=sr_1_4?keywords=Klein+Tools+60162+Professional+Safety+Glasses%2C+Gray+Lens&amp;qid=1694734505&amp;sr=8-4", "https://www.amazon.com/Klein-80055-Glasses-Professional-Breakaway/dp/B09HR9RV4H/ref=sr_1_4?keywords=Klein+Tools+60162+Professional+Safety+Glasses%2C+Gray+Lens&amp;qid=1694734505&amp;sr=8-4")</f>
        <v/>
      </c>
      <c r="F444" t="inlineStr">
        <is>
          <t>B09HR9RV4H</t>
        </is>
      </c>
      <c r="G444">
        <f>_xlfn.IMAGE("https://edmondsonsupply.com/cdn/shop/products/60162.jpg?v=1633030847")</f>
        <v/>
      </c>
      <c r="H444">
        <f>_xlfn.IMAGE("https://m.media-amazon.com/images/I/61L5l7dmmiL._AC_UL320_.jpg")</f>
        <v/>
      </c>
      <c r="K444" t="inlineStr">
        <is>
          <t>12.99</t>
        </is>
      </c>
      <c r="L444" t="n">
        <v>49.99</v>
      </c>
      <c r="M444" s="1" t="inlineStr">
        <is>
          <t>284.83%</t>
        </is>
      </c>
      <c r="N444" s="7" t="n">
        <v>48.03</v>
      </c>
      <c r="O444" t="n">
        <v>4.5</v>
      </c>
      <c r="P444" t="n">
        <v>13</v>
      </c>
      <c r="R444" t="inlineStr">
        <is>
          <t>InStock</t>
        </is>
      </c>
      <c r="S444" t="inlineStr">
        <is>
          <t>18.0</t>
        </is>
      </c>
      <c r="T444" t="inlineStr">
        <is>
          <t>6092128747693</t>
        </is>
      </c>
    </row>
    <row r="445" ht="87" customHeight="1">
      <c r="A445" s="2">
        <f>HYPERLINK("https://edmondsonsupply.com/collections/personal-protection-safety/products/milwaukee-48-73-2041-performance-safety-glasses-with-gaskets-clear", "https://edmondsonsupply.com/collections/personal-protection-safety/products/milwaukee-48-73-2041-performance-safety-glasses-with-gaskets-clear")</f>
        <v/>
      </c>
      <c r="B445" s="2">
        <f>HYPERLINK("https://edmondsonsupply.com/products/milwaukee-48-73-2041-performance-safety-glasses-with-gaskets-clear", "https://edmondsonsupply.com/products/milwaukee-48-73-2041-performance-safety-glasses-with-gaskets-clear")</f>
        <v/>
      </c>
      <c r="C445" t="inlineStr">
        <is>
          <t>Milwaukee 48-73-2041 Performance Safety Glasses with Gaskets, Clear</t>
        </is>
      </c>
      <c r="D445" t="inlineStr">
        <is>
          <t>Milwaukee 48-73-2040 Clear High Performance Safety Glasses with Gasket</t>
        </is>
      </c>
      <c r="E445" s="2">
        <f>HYPERLINK("https://www.amazon.com/Milwaukee-48-73-2040-Performance-Safety-Glasses/dp/B09ZPZJR4V/ref=sr_1_2?keywords=Milwaukee+48-73-2041+Performance+Safety+Glasses+with+Gaskets%2C+Clear&amp;qid=1694734515&amp;sr=8-2", "https://www.amazon.com/Milwaukee-48-73-2040-Performance-Safety-Glasses/dp/B09ZPZJR4V/ref=sr_1_2?keywords=Milwaukee+48-73-2041+Performance+Safety+Glasses+with+Gaskets%2C+Clear&amp;qid=1694734515&amp;sr=8-2")</f>
        <v/>
      </c>
      <c r="F445" t="inlineStr">
        <is>
          <t>B09ZPZJR4V</t>
        </is>
      </c>
      <c r="G445">
        <f>_xlfn.IMAGE("https://edmondsonsupply.com/cdn/shop/products/48-73-2040_7.png?v=1587150340")</f>
        <v/>
      </c>
      <c r="H445">
        <f>_xlfn.IMAGE("https://m.media-amazon.com/images/I/81CjI-mgKUL._AC_UL320_.jpg")</f>
        <v/>
      </c>
      <c r="K445" t="inlineStr">
        <is>
          <t>29.97</t>
        </is>
      </c>
      <c r="L445" t="n">
        <v>107.89</v>
      </c>
      <c r="M445" s="1" t="inlineStr">
        <is>
          <t>259.99%</t>
        </is>
      </c>
      <c r="N445" s="7" t="n">
        <v>44.39</v>
      </c>
      <c r="O445" t="n">
        <v>4.7</v>
      </c>
      <c r="P445" t="n">
        <v>6</v>
      </c>
      <c r="R445" t="inlineStr">
        <is>
          <t>OutOfStock</t>
        </is>
      </c>
      <c r="S445" t="inlineStr">
        <is>
          <t>37.4</t>
        </is>
      </c>
      <c r="T445" t="inlineStr">
        <is>
          <t>4486297780324</t>
        </is>
      </c>
    </row>
    <row r="446" ht="87" customHeight="1">
      <c r="A446" s="2">
        <f>HYPERLINK("https://edmondsonsupply.com/collections/personal-protection-safety/products/klein-tools-60245-p100-half-mask-respirator-replacement-filter", "https://edmondsonsupply.com/collections/personal-protection-safety/products/klein-tools-60245-p100-half-mask-respirator-replacement-filter")</f>
        <v/>
      </c>
      <c r="B446" s="2">
        <f>HYPERLINK("https://edmondsonsupply.com/products/klein-tools-60245-p100-half-mask-respirator-replacement-filter", "https://edmondsonsupply.com/products/klein-tools-60245-p100-half-mask-respirator-replacement-filter")</f>
        <v/>
      </c>
      <c r="C446" t="inlineStr">
        <is>
          <t>Klein Tools 60245 P100 Half-Mask Respirator Replacement Filter</t>
        </is>
      </c>
      <c r="D446" t="inlineStr">
        <is>
          <t>Klein Tools 80044 Face Mask, P100 Half-Mask Respirator Kit with P100 Mask and Replacement Filters For Dust, Metal Fumes, and Mists, Size M/L</t>
        </is>
      </c>
      <c r="E446" s="2">
        <f>HYPERLINK("https://www.amazon.com/Klein-80044-Half-Mask-Respirator-Replacement/dp/B09FW2FRX8/ref=sr_1_1?keywords=Klein+Tools+60245+P100+Half-Mask+Respirator+Replacement+Filter&amp;qid=1694734498&amp;sr=8-1", "https://www.amazon.com/Klein-80044-Half-Mask-Respirator-Replacement/dp/B09FW2FRX8/ref=sr_1_1?keywords=Klein+Tools+60245+P100+Half-Mask+Respirator+Replacement+Filter&amp;qid=1694734498&amp;sr=8-1")</f>
        <v/>
      </c>
      <c r="F446" t="inlineStr">
        <is>
          <t>B09FW2FRX8</t>
        </is>
      </c>
      <c r="G446">
        <f>_xlfn.IMAGE("https://edmondsonsupply.com/cdn/shop/products/60245_0999043a-829a-4bfc-9587-43bf26330e2f.jpg?v=1661863973")</f>
        <v/>
      </c>
      <c r="H446">
        <f>_xlfn.IMAGE("https://m.media-amazon.com/images/I/61kQgRHQL4L._AC_UL320_.jpg")</f>
        <v/>
      </c>
      <c r="K446" t="inlineStr">
        <is>
          <t>13.99</t>
        </is>
      </c>
      <c r="L446" t="n">
        <v>49.4</v>
      </c>
      <c r="M446" s="1" t="inlineStr">
        <is>
          <t>253.11%</t>
        </is>
      </c>
      <c r="N446" s="7" t="n">
        <v>44.39</v>
      </c>
      <c r="O446" t="n">
        <v>4.4</v>
      </c>
      <c r="P446" t="n">
        <v>19</v>
      </c>
      <c r="R446" t="inlineStr">
        <is>
          <t>OutOfStock</t>
        </is>
      </c>
      <c r="S446" t="inlineStr">
        <is>
          <t>20.0</t>
        </is>
      </c>
      <c r="T446" t="inlineStr">
        <is>
          <t>7797345157336</t>
        </is>
      </c>
    </row>
    <row r="447" ht="87" customHeight="1">
      <c r="A447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447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447" t="inlineStr">
        <is>
          <t>Klein Tools 60163 Professional Safety Glasses, Full Frame, Clear Lens</t>
        </is>
      </c>
      <c r="D447" t="inlineStr">
        <is>
          <t>Klein Tools 80055 Safety Glasses Kit, Professional Safety Glasses with Full Frame, Gray Lens and Breakaway Lanyard, 8-Piece</t>
        </is>
      </c>
      <c r="E447" s="2">
        <f>HYPERLINK("https://www.amazon.com/Klein-80055-Glasses-Professional-Breakaway/dp/B09HR9RV4H/ref=sr_1_6?keywords=Klein+Tools+60163+Professional+Safety+Glasses%2C+Full+Frame%2C+Clear+Lens&amp;qid=1694734507&amp;sr=8-6", "https://www.amazon.com/Klein-80055-Glasses-Professional-Breakaway/dp/B09HR9RV4H/ref=sr_1_6?keywords=Klein+Tools+60163+Professional+Safety+Glasses%2C+Full+Frame%2C+Clear+Lens&amp;qid=1694734507&amp;sr=8-6")</f>
        <v/>
      </c>
      <c r="F447" t="inlineStr">
        <is>
          <t>B09HR9RV4H</t>
        </is>
      </c>
      <c r="G447">
        <f>_xlfn.IMAGE("https://edmondsonsupply.com/cdn/shop/products/60163.jpg?v=1633030848")</f>
        <v/>
      </c>
      <c r="H447">
        <f>_xlfn.IMAGE("https://m.media-amazon.com/images/I/61L5l7dmmiL._AC_UL320_.jpg")</f>
        <v/>
      </c>
      <c r="K447" t="inlineStr">
        <is>
          <t>14.99</t>
        </is>
      </c>
      <c r="L447" t="n">
        <v>49.99</v>
      </c>
      <c r="M447" s="1" t="inlineStr">
        <is>
          <t>233.49%</t>
        </is>
      </c>
      <c r="N447" s="7" t="n">
        <v>43.77</v>
      </c>
      <c r="O447" t="n">
        <v>4.5</v>
      </c>
      <c r="P447" t="n">
        <v>13</v>
      </c>
      <c r="R447" t="inlineStr">
        <is>
          <t>InStock</t>
        </is>
      </c>
      <c r="S447" t="inlineStr">
        <is>
          <t>20.98</t>
        </is>
      </c>
      <c r="T447" t="inlineStr">
        <is>
          <t>6094353039533</t>
        </is>
      </c>
    </row>
    <row r="448" hidden="1" ht="15.75" customHeight="1">
      <c r="A448" s="2">
        <f>HYPERLINK("https://edmondsonsupply.com/collections/personal-protection-safety/products/klein-tools-60177-breakaway-lanyard-for-safety-glasses", "https://edmondsonsupply.com/collections/personal-protection-safety/products/klein-tools-60177-breakaway-lanyard-for-safety-glasses")</f>
        <v/>
      </c>
      <c r="B448" s="2">
        <f>HYPERLINK("https://edmondsonsupply.com/products/klein-tools-60177-breakaway-lanyard-for-safety-glasses", "https://edmondsonsupply.com/products/klein-tools-60177-breakaway-lanyard-for-safety-glasses")</f>
        <v/>
      </c>
      <c r="C448" t="inlineStr">
        <is>
          <t>Klein Tools 60177 Breakaway Lanyard for Safety Glasses</t>
        </is>
      </c>
      <c r="D448" t="inlineStr">
        <is>
          <t>Klein Tools 60177 Eyewear Lanyard, Breakaway Safety Glasses Neck Cord, 27-Inch, Black, 2.25 Foot (Pack of 1)</t>
        </is>
      </c>
      <c r="E448" s="2">
        <f>HYPERLINK("https://www.amazon.com/Klein-Tools-60177-Eyewear-Breakaway/dp/B08B71M22H/ref=sr_1_1?keywords=Klein+Tools+60177+Breakaway+Lanyard+for+Safety+Glasses&amp;qid=1694734487&amp;sr=8-1", "https://www.amazon.com/Klein-Tools-60177-Eyewear-Breakaway/dp/B08B71M22H/ref=sr_1_1?keywords=Klein+Tools+60177+Breakaway+Lanyard+for+Safety+Glasses&amp;qid=1694734487&amp;sr=8-1")</f>
        <v/>
      </c>
      <c r="F448" t="inlineStr">
        <is>
          <t>B08B71M22H</t>
        </is>
      </c>
      <c r="G448">
        <f>_xludf.IMAGE("https://edmondsonsupply.com/cdn/shop/products/60177.jpg?v=1633030858")</f>
        <v/>
      </c>
      <c r="H448">
        <f>_xludf.IMAGE("https://m.media-amazon.com/images/I/51mD0Lun+QL._AC_UL320_.jpg")</f>
        <v/>
      </c>
      <c r="K448" t="inlineStr">
        <is>
          <t>1.99</t>
        </is>
      </c>
      <c r="L448" t="n">
        <v>6.33</v>
      </c>
      <c r="M448" s="1" t="inlineStr">
        <is>
          <t>218.09%</t>
        </is>
      </c>
      <c r="N448" s="1" t="n">
        <v>41.69</v>
      </c>
      <c r="O448" t="n">
        <v>3.8</v>
      </c>
      <c r="P448" t="n">
        <v>169</v>
      </c>
      <c r="R448" t="inlineStr">
        <is>
          <t>InStock</t>
        </is>
      </c>
      <c r="S448" t="inlineStr">
        <is>
          <t>2.68</t>
        </is>
      </c>
      <c r="T448" t="inlineStr">
        <is>
          <t>6104982454445</t>
        </is>
      </c>
    </row>
    <row r="449" ht="87" customHeight="1">
      <c r="A449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449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449" t="inlineStr">
        <is>
          <t>Klein Tools 60471 Professional Full-Frame Gasket Safety Glasses, Gray Lens</t>
        </is>
      </c>
      <c r="D449" t="inlineStr">
        <is>
          <t>Klein Tools 80055 Safety Glasses Kit, Professional Safety Glasses with Full Frame, Gray Lens and Breakaway Lanyard, 8-Piece</t>
        </is>
      </c>
      <c r="E449" s="2">
        <f>HYPERLINK("https://www.amazon.com/Klein-80055-Glasses-Professional-Breakaway/dp/B09HR9RV4H/ref=sr_1_4?keywords=Klein+Tools+60471+Professional+Full-Frame+Gasket+Safety+Glasses%2C+Gray+Lens&amp;qid=1694734489&amp;sr=8-4", "https://www.amazon.com/Klein-80055-Glasses-Professional-Breakaway/dp/B09HR9RV4H/ref=sr_1_4?keywords=Klein+Tools+60471+Professional+Full-Frame+Gasket+Safety+Glasses%2C+Gray+Lens&amp;qid=1694734489&amp;sr=8-4")</f>
        <v/>
      </c>
      <c r="F449" t="inlineStr">
        <is>
          <t>B09HR9RV4H</t>
        </is>
      </c>
      <c r="G449">
        <f>_xlfn.IMAGE("https://edmondsonsupply.com/cdn/shop/products/60471.jpg?v=1663257501")</f>
        <v/>
      </c>
      <c r="H449">
        <f>_xlfn.IMAGE("https://m.media-amazon.com/images/I/61L5l7dmmiL._AC_UL320_.jpg")</f>
        <v/>
      </c>
      <c r="K449" t="inlineStr">
        <is>
          <t>15.99</t>
        </is>
      </c>
      <c r="L449" t="n">
        <v>49.99</v>
      </c>
      <c r="M449" s="1" t="inlineStr">
        <is>
          <t>212.63%</t>
        </is>
      </c>
      <c r="N449" s="7" t="n">
        <v>40.67</v>
      </c>
      <c r="O449" t="n">
        <v>4.5</v>
      </c>
      <c r="P449" t="n">
        <v>13</v>
      </c>
      <c r="R449" t="inlineStr">
        <is>
          <t>InStock</t>
        </is>
      </c>
      <c r="S449" t="inlineStr">
        <is>
          <t>21.98</t>
        </is>
      </c>
      <c r="T449" t="inlineStr">
        <is>
          <t>7817587785944</t>
        </is>
      </c>
    </row>
    <row r="450" ht="87" customHeight="1">
      <c r="A450" s="2">
        <f>HYPERLINK("https://edmondsonsupply.com/collections/personal-protection-safety/products/klein-tools-60345-hard-hat-premium-karbn%E2%84%A2-pattern-non-vented-full-brim-class-e", "https://edmondsonsupply.com/collections/personal-protection-safety/products/klein-tools-60345-hard-hat-premium-karbn%E2%84%A2-pattern-non-vented-full-brim-class-e")</f>
        <v/>
      </c>
      <c r="B450" s="2">
        <f>HYPERLINK("https://edmondsonsupply.com/products/klein-tools-60345-hard-hat-premium-karbn%e2%84%a2-pattern-non-vented-full-brim-class-e", "https://edmondsonsupply.com/products/klein-tools-60345-hard-hat-premium-karbn%e2%84%a2-pattern-non-vented-full-brim-class-e")</f>
        <v/>
      </c>
      <c r="C450" t="inlineStr">
        <is>
          <t>Klein Tools 60345 Hard Hat, Premium KARBN™ Pattern, Non-Vented Full Brim, Class E</t>
        </is>
      </c>
      <c r="D450" t="inlineStr">
        <is>
          <t>Klein Tools 60407 Hard Hat, White &amp; 60347 Hard Hat, Vented Full Brim, Class C, Premium KARBN Pattern, Rechargeable Lamp, Padded Sweat-Wicking Sweatband, Top Pad</t>
        </is>
      </c>
      <c r="E450" s="2">
        <f>HYPERLINK("https://www.amazon.com/Klein-Tools-Rechargeable-Sweat-Wicking-Sweatband/dp/B0BNL94L4X/ref=sr_1_13?keywords=Klein+Tools+60345+Hard+Hat%2C+Premium+KARBN%E2%84%A2+Pattern%2C+Non-Vented+Full+Brim%2C+Class+E&amp;qid=1694734496&amp;sr=8-13", "https://www.amazon.com/Klein-Tools-Rechargeable-Sweat-Wicking-Sweatband/dp/B0BNL94L4X/ref=sr_1_13?keywords=Klein+Tools+60345+Hard+Hat%2C+Premium+KARBN%E2%84%A2+Pattern%2C+Non-Vented+Full+Brim%2C+Class+E&amp;qid=1694734496&amp;sr=8-13")</f>
        <v/>
      </c>
      <c r="F450" t="inlineStr">
        <is>
          <t>B0BNL94L4X</t>
        </is>
      </c>
      <c r="G450">
        <f>_xlfn.IMAGE("https://edmondsonsupply.com/cdn/shop/products/60345.jpg?v=1660171739")</f>
        <v/>
      </c>
      <c r="H450">
        <f>_xlfn.IMAGE("https://m.media-amazon.com/images/I/51A8iWc37VL._AC_UL320_.jpg")</f>
        <v/>
      </c>
      <c r="K450" t="inlineStr">
        <is>
          <t>59.99</t>
        </is>
      </c>
      <c r="L450" t="n">
        <v>171.85</v>
      </c>
      <c r="M450" s="1" t="inlineStr">
        <is>
          <t>186.46%</t>
        </is>
      </c>
      <c r="N450" s="7" t="n">
        <v>40.54</v>
      </c>
      <c r="O450" t="n">
        <v>4.7</v>
      </c>
      <c r="P450" t="n">
        <v>4</v>
      </c>
      <c r="R450" t="inlineStr">
        <is>
          <t>InStock</t>
        </is>
      </c>
      <c r="S450" t="inlineStr">
        <is>
          <t>81.02</t>
        </is>
      </c>
      <c r="T450" t="inlineStr">
        <is>
          <t>7778045493464</t>
        </is>
      </c>
    </row>
    <row r="451" ht="87" customHeight="1">
      <c r="A451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451" s="2">
        <f>HYPERLINK("https://edmondsonsupply.com/products/klein-tools-60345-hard-hat-earmuffs-full-brim-style", "https://edmondsonsupply.com/products/klein-tools-60345-hard-hat-earmuffs-full-brim-style")</f>
        <v/>
      </c>
      <c r="C451" t="inlineStr">
        <is>
          <t>Klein Tools 60502 Hard Hat Earmuffs, Full Brim Style</t>
        </is>
      </c>
      <c r="D451" t="inlineStr">
        <is>
          <t>Klein Tools 60407 Vented Full Brim Hard Hat with Rechargeable Headlamp and Klein Tools 60502 Earmuffs for Full Brim Style - Ultimate Job Site Protection and Comfort</t>
        </is>
      </c>
      <c r="E451" s="2">
        <f>HYPERLINK("https://www.amazon.com/Klein-Tools-Rechargeable-Headlamp-Earmuffs/dp/B0C1PYTDR6/ref=sr_1_2?keywords=Klein+Tools+60502+Hard+Hat+Earmuffs%2C+Full+Brim+Style&amp;qid=1694734480&amp;sr=8-2", "https://www.amazon.com/Klein-Tools-Rechargeable-Headlamp-Earmuffs/dp/B0C1PYTDR6/ref=sr_1_2?keywords=Klein+Tools+60502+Hard+Hat+Earmuffs%2C+Full+Brim+Style&amp;qid=1694734480&amp;sr=8-2")</f>
        <v/>
      </c>
      <c r="F451" t="inlineStr">
        <is>
          <t>B0C1PYTDR6</t>
        </is>
      </c>
      <c r="G451">
        <f>_xlfn.IMAGE("https://edmondsonsupply.com/cdn/shop/products/60502.jpg?v=1674486730")</f>
        <v/>
      </c>
      <c r="H451">
        <f>_xlfn.IMAGE("https://m.media-amazon.com/images/I/416L7EyyxQL._AC_UL320_.jpg")</f>
        <v/>
      </c>
      <c r="K451" t="inlineStr">
        <is>
          <t>29.99</t>
        </is>
      </c>
      <c r="L451" t="n">
        <v>84.95999999999999</v>
      </c>
      <c r="M451" s="1" t="inlineStr">
        <is>
          <t>183.29%</t>
        </is>
      </c>
      <c r="N451" s="7" t="n">
        <v>40.04</v>
      </c>
      <c r="O451" t="n">
        <v>5</v>
      </c>
      <c r="P451" t="n">
        <v>1</v>
      </c>
      <c r="R451" t="inlineStr">
        <is>
          <t>InStock</t>
        </is>
      </c>
      <c r="S451" t="inlineStr">
        <is>
          <t>41.98</t>
        </is>
      </c>
      <c r="T451" t="inlineStr">
        <is>
          <t>7931874869464</t>
        </is>
      </c>
    </row>
    <row r="452" ht="87" customHeight="1">
      <c r="A452" s="2">
        <f>HYPERLINK("https://edmondsonsupply.com/collections/personal-protection-safety/products/hellberg-safety-classic-pop-headband-hearing-protection", "https://edmondsonsupply.com/collections/personal-protection-safety/products/hellberg-safety-classic-pop-headband-hearing-protection")</f>
        <v/>
      </c>
      <c r="B452" s="2">
        <f>HYPERLINK("https://edmondsonsupply.com/products/hellberg-safety-classic-pop-headband-hearing-protection", "https://edmondsonsupply.com/products/hellberg-safety-classic-pop-headband-hearing-protection")</f>
        <v/>
      </c>
      <c r="C452" t="inlineStr">
        <is>
          <t>Hellberg Safety Classic PoP Headband Hearing Protection</t>
        </is>
      </c>
      <c r="D452" t="inlineStr">
        <is>
          <t>Hellberg Safety 41002-001 Secure 2 Headband Hearing Protection, 26 dB NRR, Level 2 Protection for Medium to High Noise, Best Choice for High Frequency Noise</t>
        </is>
      </c>
      <c r="E452" s="2">
        <f>HYPERLINK("https://www.amazon.com/Hellberg-Safety-41002-001-Protection-Frequency/dp/B017DJJXOE/ref=sr_1_2?keywords=Hellberg+Safety+Classic+PoP+Headband+Hearing+Protection&amp;qid=1694734498&amp;sr=8-2", "https://www.amazon.com/Hellberg-Safety-41002-001-Protection-Frequency/dp/B017DJJXOE/ref=sr_1_2?keywords=Hellberg+Safety+Classic+PoP+Headband+Hearing+Protection&amp;qid=1694734498&amp;sr=8-2")</f>
        <v/>
      </c>
      <c r="F452" t="inlineStr">
        <is>
          <t>B017DJJXOE</t>
        </is>
      </c>
      <c r="G452">
        <f>_xlfn.IMAGE("https://edmondsonsupply.com/cdn/shop/products/11001-001_Original_637469062196500000.jpg?v=1635631686")</f>
        <v/>
      </c>
      <c r="H452">
        <f>_xlfn.IMAGE("https://m.media-amazon.com/images/I/716bzdxEJHL._AC_UL320_.jpg")</f>
        <v/>
      </c>
      <c r="K452" t="inlineStr">
        <is>
          <t>12.93</t>
        </is>
      </c>
      <c r="L452" t="n">
        <v>35.87</v>
      </c>
      <c r="M452" s="1" t="inlineStr">
        <is>
          <t>177.42%</t>
        </is>
      </c>
      <c r="N452" s="7" t="n">
        <v>40.03</v>
      </c>
      <c r="O452" t="n">
        <v>4.5</v>
      </c>
      <c r="P452" t="n">
        <v>52</v>
      </c>
      <c r="R452" t="inlineStr">
        <is>
          <t>InStock</t>
        </is>
      </c>
      <c r="S452" t="inlineStr">
        <is>
          <t>16.99</t>
        </is>
      </c>
      <c r="T452" t="inlineStr">
        <is>
          <t>7355795472600</t>
        </is>
      </c>
    </row>
    <row r="453" ht="87" customHeight="1">
      <c r="A453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453" s="2">
        <f>HYPERLINK("https://edmondsonsupply.com/products/klein-tools-60162-professional-safety-glasses-gray-lens", "https://edmondsonsupply.com/products/klein-tools-60162-professional-safety-glasses-gray-lens")</f>
        <v/>
      </c>
      <c r="C453" t="inlineStr">
        <is>
          <t>Klein Tools 60162 Professional Safety Glasses, Gray Lens</t>
        </is>
      </c>
      <c r="D453" t="inlineStr">
        <is>
          <t>Klein Tools 60539 Safety Glasses, Professional PPE Protective Eyewear, Full Frame, Scratch Resistant and Anti-Fog, Polarized Lens</t>
        </is>
      </c>
      <c r="E453" s="2">
        <f>HYPERLINK("https://www.amazon.com/Klein-Tools-60539-Professional-Protective/dp/B0BLQ6F4MQ/ref=sr_1_9?keywords=Klein+Tools+60162+Professional+Safety+Glasses%2C+Gray+Lens&amp;qid=1694734505&amp;sr=8-9", "https://www.amazon.com/Klein-Tools-60539-Professional-Protective/dp/B0BLQ6F4MQ/ref=sr_1_9?keywords=Klein+Tools+60162+Professional+Safety+Glasses%2C+Gray+Lens&amp;qid=1694734505&amp;sr=8-9")</f>
        <v/>
      </c>
      <c r="F453" t="inlineStr">
        <is>
          <t>B0BLQ6F4MQ</t>
        </is>
      </c>
      <c r="G453">
        <f>_xlfn.IMAGE("https://edmondsonsupply.com/cdn/shop/products/60162.jpg?v=1633030847")</f>
        <v/>
      </c>
      <c r="H453">
        <f>_xlfn.IMAGE("https://m.media-amazon.com/images/I/41z93jotzdL._AC_UL320_.jpg")</f>
        <v/>
      </c>
      <c r="K453" t="inlineStr">
        <is>
          <t>12.99</t>
        </is>
      </c>
      <c r="L453" t="n">
        <v>35.99</v>
      </c>
      <c r="M453" s="1" t="inlineStr">
        <is>
          <t>177.06%</t>
        </is>
      </c>
      <c r="N453" s="7" t="n">
        <v>40.03</v>
      </c>
      <c r="O453" t="n">
        <v>4.4</v>
      </c>
      <c r="P453" t="n">
        <v>11</v>
      </c>
      <c r="R453" t="inlineStr">
        <is>
          <t>InStock</t>
        </is>
      </c>
      <c r="S453" t="inlineStr">
        <is>
          <t>18.0</t>
        </is>
      </c>
      <c r="T453" t="inlineStr">
        <is>
          <t>6092128747693</t>
        </is>
      </c>
    </row>
    <row r="454" ht="87" customHeight="1">
      <c r="A454" s="2">
        <f>HYPERLINK("https://edmondsonsupply.com/collections/personal-protection-safety/products/klein-tools-60161-professional-safety-glasses-clear-lens", "https://edmondsonsupply.com/collections/personal-protection-safety/products/klein-tools-60161-professional-safety-glasses-clear-lens")</f>
        <v/>
      </c>
      <c r="B454" s="2">
        <f>HYPERLINK("https://edmondsonsupply.com/products/klein-tools-60161-professional-safety-glasses-clear-lens", "https://edmondsonsupply.com/products/klein-tools-60161-professional-safety-glasses-clear-lens")</f>
        <v/>
      </c>
      <c r="C454" t="inlineStr">
        <is>
          <t>Klein Tools 60161 Professional Safety Glasses, Clear Lens</t>
        </is>
      </c>
      <c r="D454" t="inlineStr">
        <is>
          <t>Klein Tools 60539 Safety Glasses, Professional PPE Protective Eyewear, Full Frame, Scratch Resistant and Anti-Fog, Polarized Lens</t>
        </is>
      </c>
      <c r="E454" s="2">
        <f>HYPERLINK("https://www.amazon.com/Klein-Tools-60539-Professional-Protective/dp/B0BLQ6F4MQ/ref=sr_1_10?keywords=Klein+Tools+60161+Professional+Safety+Glasses%2C+Clear+Lens&amp;qid=1694734510&amp;sr=8-10", "https://www.amazon.com/Klein-Tools-60539-Professional-Protective/dp/B0BLQ6F4MQ/ref=sr_1_10?keywords=Klein+Tools+60161+Professional+Safety+Glasses%2C+Clear+Lens&amp;qid=1694734510&amp;sr=8-10")</f>
        <v/>
      </c>
      <c r="F454" t="inlineStr">
        <is>
          <t>B0BLQ6F4MQ</t>
        </is>
      </c>
      <c r="G454">
        <f>_xlfn.IMAGE("https://edmondsonsupply.com/cdn/shop/products/60161.jpg?v=1633030845")</f>
        <v/>
      </c>
      <c r="H454">
        <f>_xlfn.IMAGE("https://m.media-amazon.com/images/I/41z93jotzdL._AC_UL320_.jpg")</f>
        <v/>
      </c>
      <c r="K454" t="inlineStr">
        <is>
          <t>12.99</t>
        </is>
      </c>
      <c r="L454" t="n">
        <v>35.99</v>
      </c>
      <c r="M454" s="1" t="inlineStr">
        <is>
          <t>177.06%</t>
        </is>
      </c>
      <c r="N454" s="7" t="n">
        <v>39.59</v>
      </c>
      <c r="O454" t="n">
        <v>4.4</v>
      </c>
      <c r="P454" t="n">
        <v>11</v>
      </c>
      <c r="R454" t="inlineStr">
        <is>
          <t>InStock</t>
        </is>
      </c>
      <c r="S454" t="inlineStr">
        <is>
          <t>18.0</t>
        </is>
      </c>
      <c r="T454" t="inlineStr">
        <is>
          <t>6092105285805</t>
        </is>
      </c>
    </row>
    <row r="455" ht="87" customHeight="1">
      <c r="A455" s="2">
        <f>HYPERLINK("https://edmondsonsupply.com/collections/personal-protection-safety/products/milwaukee-48-73-2046-performance-safety-glasses-with-gaskets-polarized", "https://edmondsonsupply.com/collections/personal-protection-safety/products/milwaukee-48-73-2046-performance-safety-glasses-with-gaskets-polarized")</f>
        <v/>
      </c>
      <c r="B455" s="2">
        <f>HYPERLINK("https://edmondsonsupply.com/products/milwaukee-48-73-2046-performance-safety-glasses-with-gaskets-polarized", "https://edmondsonsupply.com/products/milwaukee-48-73-2046-performance-safety-glasses-with-gaskets-polarized")</f>
        <v/>
      </c>
      <c r="C455" t="inlineStr">
        <is>
          <t>Milwaukee 48-73-2046 Performance Safety Glasses with Gaskets, Polarized</t>
        </is>
      </c>
      <c r="D455" t="inlineStr">
        <is>
          <t>Milwaukee 48-73-2040 Clear High Performance Safety Glasses with Gasket</t>
        </is>
      </c>
      <c r="E455" s="2">
        <f>HYPERLINK("https://www.amazon.com/Milwaukee-48-73-2040-Performance-Safety-Glasses/dp/B09ZPZJR4V/ref=sr_1_2?keywords=Milwaukee+48-73-2046+Performance+Safety+Glasses+with+Gaskets%2C+Polarized&amp;qid=1694734528&amp;sr=8-2", "https://www.amazon.com/Milwaukee-48-73-2040-Performance-Safety-Glasses/dp/B09ZPZJR4V/ref=sr_1_2?keywords=Milwaukee+48-73-2046+Performance+Safety+Glasses+with+Gaskets%2C+Polarized&amp;qid=1694734528&amp;sr=8-2")</f>
        <v/>
      </c>
      <c r="F455" t="inlineStr">
        <is>
          <t>B09ZPZJR4V</t>
        </is>
      </c>
      <c r="G455">
        <f>_xlfn.IMAGE("https://edmondsonsupply.com/cdn/shop/products/48-73-2045_7.png?v=1587147326")</f>
        <v/>
      </c>
      <c r="H455">
        <f>_xlfn.IMAGE("https://m.media-amazon.com/images/I/81CjI-mgKUL._AC_UL320_.jpg")</f>
        <v/>
      </c>
      <c r="K455" t="inlineStr">
        <is>
          <t>39.97</t>
        </is>
      </c>
      <c r="L455" t="n">
        <v>107.89</v>
      </c>
      <c r="M455" s="1" t="inlineStr">
        <is>
          <t>169.93%</t>
        </is>
      </c>
      <c r="N455" s="7" t="n">
        <v>34.19</v>
      </c>
      <c r="O455" t="n">
        <v>4.7</v>
      </c>
      <c r="P455" t="n">
        <v>6</v>
      </c>
      <c r="R455" t="inlineStr">
        <is>
          <t>InStock</t>
        </is>
      </c>
      <c r="S455" t="inlineStr">
        <is>
          <t>49.5</t>
        </is>
      </c>
      <c r="T455" t="inlineStr">
        <is>
          <t>4475028799588</t>
        </is>
      </c>
    </row>
    <row r="456" ht="87" customHeight="1">
      <c r="A456" s="2">
        <f>HYPERLINK("https://edmondsonsupply.com/collections/personal-protection-safety/products/klein-tools-60269-safety-vest-high-visibility-reflective-vest-m-l", "https://edmondsonsupply.com/collections/personal-protection-safety/products/klein-tools-60269-safety-vest-high-visibility-reflective-vest-m-l")</f>
        <v/>
      </c>
      <c r="B456" s="2">
        <f>HYPERLINK("https://edmondsonsupply.com/products/klein-tools-60269-safety-vest-high-visibility-reflective-vest-m-l", "https://edmondsonsupply.com/products/klein-tools-60269-safety-vest-high-visibility-reflective-vest-m-l")</f>
        <v/>
      </c>
      <c r="C456" t="inlineStr">
        <is>
          <t>Klein Tools 60269 Safety Vest, High-Visibility Reflective Vest, M/L</t>
        </is>
      </c>
      <c r="D456" t="inlineStr">
        <is>
          <t>Dib Safety Reflective Vest Heavy Duty, High Visibility Two Tone Engineer Vest, Made with 3M Tape, Padded Collar, Retractable ID Pocket, Yellow XL</t>
        </is>
      </c>
      <c r="E456" s="2">
        <f>HYPERLINK("https://www.amazon.com/Dib-Safety-Reflective-Visibility-Retractable/dp/B0B1CCGWBG/ref=sr_1_22?keywords=Klein+Tools+60269+Safety+Vest%2C+High-Visibility+Reflective+Vest%2C+M%2FL&amp;qid=1694734515&amp;sr=8-22", "https://www.amazon.com/Dib-Safety-Reflective-Visibility-Retractable/dp/B0B1CCGWBG/ref=sr_1_22?keywords=Klein+Tools+60269+Safety+Vest%2C+High-Visibility+Reflective+Vest%2C+M%2FL&amp;qid=1694734515&amp;sr=8-22")</f>
        <v/>
      </c>
      <c r="F456" t="inlineStr">
        <is>
          <t>B0B1CCGWBG</t>
        </is>
      </c>
      <c r="G456">
        <f>_xlfn.IMAGE("https://edmondsonsupply.com/cdn/shop/products/60269.jpg?v=1633030615")</f>
        <v/>
      </c>
      <c r="H456">
        <f>_xlfn.IMAGE("https://m.media-amazon.com/images/I/61byT54po5L._AC_UL320_.jpg")</f>
        <v/>
      </c>
      <c r="K456" t="inlineStr">
        <is>
          <t>12.99</t>
        </is>
      </c>
      <c r="L456" t="n">
        <v>32.99</v>
      </c>
      <c r="M456" s="1" t="inlineStr">
        <is>
          <t>153.96%</t>
        </is>
      </c>
      <c r="N456" s="7" t="n">
        <v>31.27</v>
      </c>
      <c r="O456" t="n">
        <v>4.6</v>
      </c>
      <c r="P456" t="n">
        <v>3238</v>
      </c>
      <c r="R456" t="inlineStr">
        <is>
          <t>InStock</t>
        </is>
      </c>
      <c r="S456" t="inlineStr">
        <is>
          <t>14.0</t>
        </is>
      </c>
      <c r="T456" t="inlineStr">
        <is>
          <t>5647343976616</t>
        </is>
      </c>
    </row>
    <row r="457" ht="87" customHeight="1">
      <c r="A457" s="2">
        <f>HYPERLINK("https://edmondsonsupply.com/collections/personal-protection-safety/products/klein-tools-60268-safety-vest-high-visibility-reflective-vest-xl", "https://edmondsonsupply.com/collections/personal-protection-safety/products/klein-tools-60268-safety-vest-high-visibility-reflective-vest-xl")</f>
        <v/>
      </c>
      <c r="B457" s="2">
        <f>HYPERLINK("https://edmondsonsupply.com/products/klein-tools-60268-safety-vest-high-visibility-reflective-vest-xl", "https://edmondsonsupply.com/products/klein-tools-60268-safety-vest-high-visibility-reflective-vest-xl")</f>
        <v/>
      </c>
      <c r="C457" t="inlineStr">
        <is>
          <t>Klein Tools 60268 Safety Vest, High-Visibility Reflective Vest, XL</t>
        </is>
      </c>
      <c r="D457" t="inlineStr">
        <is>
          <t>Dib Safety Reflective Vest Heavy Duty, High Visibility Two Tone Engineer Vest, Made with 3M Tape, Padded Collar, Retractable ID Pocket, Yellow XL</t>
        </is>
      </c>
      <c r="E457" s="2">
        <f>HYPERLINK("https://www.amazon.com/Dib-Safety-Reflective-Visibility-Retractable/dp/B0B1CCGWBG/ref=sr_1_4?keywords=Klein+Tools+60268+Safety+Vest%2C+High-Visibility+Reflective+Vest%2C+XL&amp;qid=1694734511&amp;sr=8-4", "https://www.amazon.com/Dib-Safety-Reflective-Visibility-Retractable/dp/B0B1CCGWBG/ref=sr_1_4?keywords=Klein+Tools+60268+Safety+Vest%2C+High-Visibility+Reflective+Vest%2C+XL&amp;qid=1694734511&amp;sr=8-4")</f>
        <v/>
      </c>
      <c r="F457" t="inlineStr">
        <is>
          <t>B0B1CCGWBG</t>
        </is>
      </c>
      <c r="G457">
        <f>_xlfn.IMAGE("https://edmondsonsupply.com/cdn/shop/products/60269_666bd473-3a48-44df-be76-72b410ea4070.jpg?v=1633030721")</f>
        <v/>
      </c>
      <c r="H457">
        <f>_xlfn.IMAGE("https://m.media-amazon.com/images/I/61byT54po5L._AC_UL320_.jpg")</f>
        <v/>
      </c>
      <c r="K457" t="inlineStr">
        <is>
          <t>12.99</t>
        </is>
      </c>
      <c r="L457" t="n">
        <v>32.99</v>
      </c>
      <c r="M457" s="1" t="inlineStr">
        <is>
          <t>153.96%</t>
        </is>
      </c>
      <c r="N457" s="7" t="n">
        <v>31.27</v>
      </c>
      <c r="O457" t="n">
        <v>4.6</v>
      </c>
      <c r="P457" t="n">
        <v>3238</v>
      </c>
      <c r="R457" t="inlineStr">
        <is>
          <t>InStock</t>
        </is>
      </c>
      <c r="S457" t="inlineStr">
        <is>
          <t>18.2</t>
        </is>
      </c>
      <c r="T457" t="inlineStr">
        <is>
          <t>5862990086312</t>
        </is>
      </c>
    </row>
    <row r="458" ht="87" customHeight="1">
      <c r="A458" s="2">
        <f>HYPERLINK("https://edmondsonsupply.com/collections/personal-protection-safety/products/milwaukee-48-22-8731-demolition-gloves-medium", "https://edmondsonsupply.com/collections/personal-protection-safety/products/milwaukee-48-22-8731-demolition-gloves-medium")</f>
        <v/>
      </c>
      <c r="B458" s="2">
        <f>HYPERLINK("https://edmondsonsupply.com/products/milwaukee-48-22-8731-demolition-gloves-medium", "https://edmondsonsupply.com/products/milwaukee-48-22-8731-demolition-gloves-medium")</f>
        <v/>
      </c>
      <c r="C458" t="inlineStr">
        <is>
          <t>Milwaukee 48-22-8731 Demolition Gloves, Medium</t>
        </is>
      </c>
      <c r="D458" t="inlineStr">
        <is>
          <t>Milwaukee Demolition Glove Size 8 (Medium) 48-22-9731, Black/Red/Grey</t>
        </is>
      </c>
      <c r="E458" s="2">
        <f>HYPERLINK("https://www.amazon.com/Milwaukee-Demolition-Glove-Medium-48-22-9731/dp/B01G4AC3QI/ref=sr_1_1?keywords=Milwaukee+48-22-8731+Demolition+Gloves%2C+Medium&amp;qid=1694734518&amp;sr=8-1", "https://www.amazon.com/Milwaukee-Demolition-Glove-Medium-48-22-9731/dp/B01G4AC3QI/ref=sr_1_1?keywords=Milwaukee+48-22-8731+Demolition+Gloves%2C+Medium&amp;qid=1694734518&amp;sr=8-1")</f>
        <v/>
      </c>
      <c r="F458" t="inlineStr">
        <is>
          <t>B01G4AC3QI</t>
        </is>
      </c>
      <c r="G458">
        <f>_xlfn.IMAGE("https://edmondsonsupply.com/cdn/shop/products/48-22-8732_A.png?v=1587144555")</f>
        <v/>
      </c>
      <c r="H458">
        <f>_xlfn.IMAGE("https://m.media-amazon.com/images/I/61IZVrH3a+L._AC_UL320_.jpg")</f>
        <v/>
      </c>
      <c r="K458" t="inlineStr">
        <is>
          <t>24.97</t>
        </is>
      </c>
      <c r="L458" t="n">
        <v>62.35</v>
      </c>
      <c r="M458" s="1" t="inlineStr">
        <is>
          <t>149.70%</t>
        </is>
      </c>
      <c r="N458" s="7" t="n">
        <v>31.27</v>
      </c>
      <c r="O458" t="n">
        <v>4.3</v>
      </c>
      <c r="P458" t="n">
        <v>145</v>
      </c>
      <c r="R458" t="inlineStr">
        <is>
          <t>InStock</t>
        </is>
      </c>
      <c r="S458" t="inlineStr">
        <is>
          <t>37.9</t>
        </is>
      </c>
      <c r="T458" t="inlineStr">
        <is>
          <t>4433517150308</t>
        </is>
      </c>
    </row>
    <row r="459" ht="87" customHeight="1">
      <c r="A459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459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459" t="inlineStr">
        <is>
          <t>Klein Tools 60163 Professional Safety Glasses, Full Frame, Clear Lens</t>
        </is>
      </c>
      <c r="D459" t="inlineStr">
        <is>
          <t>Klein Tools 60539 Safety Glasses, Professional PPE Protective Eyewear, Full Frame, Scratch Resistant and Anti-Fog, Polarized Lens</t>
        </is>
      </c>
      <c r="E459" s="2">
        <f>HYPERLINK("https://www.amazon.com/Klein-Tools-60539-Professional-Protective/dp/B0BLQ6F4MQ/ref=sr_1_10?keywords=Klein+Tools+60163+Professional+Safety+Glasses%2C+Full+Frame%2C+Clear+Lens&amp;qid=1694734507&amp;sr=8-10", "https://www.amazon.com/Klein-Tools-60539-Professional-Protective/dp/B0BLQ6F4MQ/ref=sr_1_10?keywords=Klein+Tools+60163+Professional+Safety+Glasses%2C+Full+Frame%2C+Clear+Lens&amp;qid=1694734507&amp;sr=8-10")</f>
        <v/>
      </c>
      <c r="F459" t="inlineStr">
        <is>
          <t>B0BLQ6F4MQ</t>
        </is>
      </c>
      <c r="G459">
        <f>_xlfn.IMAGE("https://edmondsonsupply.com/cdn/shop/products/60163.jpg?v=1633030848")</f>
        <v/>
      </c>
      <c r="H459">
        <f>_xlfn.IMAGE("https://m.media-amazon.com/images/I/41z93jotzdL._AC_UL320_.jpg")</f>
        <v/>
      </c>
      <c r="K459" t="inlineStr">
        <is>
          <t>14.99</t>
        </is>
      </c>
      <c r="L459" t="n">
        <v>35.99</v>
      </c>
      <c r="M459" s="1" t="inlineStr">
        <is>
          <t>140.09%</t>
        </is>
      </c>
      <c r="N459" s="7" t="n">
        <v>30.15</v>
      </c>
      <c r="O459" t="n">
        <v>4.4</v>
      </c>
      <c r="P459" t="n">
        <v>11</v>
      </c>
      <c r="R459" t="inlineStr">
        <is>
          <t>InStock</t>
        </is>
      </c>
      <c r="S459" t="inlineStr">
        <is>
          <t>20.98</t>
        </is>
      </c>
      <c r="T459" t="inlineStr">
        <is>
          <t>6094353039533</t>
        </is>
      </c>
    </row>
    <row r="460" ht="87" customHeight="1">
      <c r="A460" s="2">
        <f>HYPERLINK("https://edmondsonsupply.com/collections/personal-protection-safety/products/klein-tools-60537-professional-safety-glasses-full-frame-indoor-outdoor-lens", "https://edmondsonsupply.com/collections/personal-protection-safety/products/klein-tools-60537-professional-safety-glasses-full-frame-indoor-outdoor-lens")</f>
        <v/>
      </c>
      <c r="B460" s="2">
        <f>HYPERLINK("https://edmondsonsupply.com/products/klein-tools-60537-professional-safety-glasses-full-frame-indoor-outdoor-lens", "https://edmondsonsupply.com/products/klein-tools-60537-professional-safety-glasses-full-frame-indoor-outdoor-lens")</f>
        <v/>
      </c>
      <c r="C460" t="inlineStr">
        <is>
          <t>Klein Tools 60537 Professional Safety Glasses, Full-Frame, Indoor/Outdoor Lens</t>
        </is>
      </c>
      <c r="D460" t="inlineStr">
        <is>
          <t>Klein Tools 60539 Safety Glasses, Professional PPE Protective Eyewear, Full Frame, Scratch Resistant and Anti-Fog, Polarized Lens</t>
        </is>
      </c>
      <c r="E460" s="2">
        <f>HYPERLINK("https://www.amazon.com/Klein-Tools-60539-Professional-Protective/dp/B0BLQ6F4MQ/ref=sr_1_3?keywords=Klein+Tools+60537+Professional+Safety+Glasses%2C+Full-Frame%2C+Indoor%2FOutdoor+Lens&amp;qid=1694734483&amp;sr=8-3", "https://www.amazon.com/Klein-Tools-60539-Professional-Protective/dp/B0BLQ6F4MQ/ref=sr_1_3?keywords=Klein+Tools+60537+Professional+Safety+Glasses%2C+Full-Frame%2C+Indoor%2FOutdoor+Lens&amp;qid=1694734483&amp;sr=8-3")</f>
        <v/>
      </c>
      <c r="F460" t="inlineStr">
        <is>
          <t>B0BLQ6F4MQ</t>
        </is>
      </c>
      <c r="G460">
        <f>_xlfn.IMAGE("https://edmondsonsupply.com/cdn/shop/products/60537.jpg?v=1670947087")</f>
        <v/>
      </c>
      <c r="H460">
        <f>_xlfn.IMAGE("https://m.media-amazon.com/images/I/41z93jotzdL._AC_UL320_.jpg")</f>
        <v/>
      </c>
      <c r="K460" t="inlineStr">
        <is>
          <t>14.99</t>
        </is>
      </c>
      <c r="L460" t="n">
        <v>35.99</v>
      </c>
      <c r="M460" s="1" t="inlineStr">
        <is>
          <t>140.09%</t>
        </is>
      </c>
      <c r="N460" s="7" t="n">
        <v>29.88</v>
      </c>
      <c r="O460" t="n">
        <v>4.4</v>
      </c>
      <c r="P460" t="n">
        <v>11</v>
      </c>
      <c r="R460" t="inlineStr">
        <is>
          <t>InStock</t>
        </is>
      </c>
      <c r="S460" t="inlineStr">
        <is>
          <t>20.98</t>
        </is>
      </c>
      <c r="T460" t="inlineStr">
        <is>
          <t>7903997493464</t>
        </is>
      </c>
    </row>
    <row r="461" ht="87" customHeight="1">
      <c r="A461" s="2">
        <f>HYPERLINK("https://edmondsonsupply.com/collections/personal-protection-safety/products/klein-tools-56062-rechargeable-headlamp-and-worklight-300-lumens-all-day-runtime", "https://edmondsonsupply.com/collections/personal-protection-safety/products/klein-tools-56062-rechargeable-headlamp-and-worklight-300-lumens-all-day-runtime")</f>
        <v/>
      </c>
      <c r="B461" s="2">
        <f>HYPERLINK("https://edmondsonsupply.com/products/klein-tools-56062-rechargeable-headlamp-and-worklight-300-lumens-all-day-runtime", "https://edmondsonsupply.com/products/klein-tools-56062-rechargeable-headlamp-and-worklight-300-lumens-all-day-runtime")</f>
        <v/>
      </c>
      <c r="C461" t="inlineStr">
        <is>
          <t>Klein Tools 56062 Rechargeable Headlamp and Worklight, 300 Lumens All-Day Runtime</t>
        </is>
      </c>
      <c r="D461" t="inlineStr">
        <is>
          <t>Recharge Headlamp Fabric Strap 400 Lumens All Day Runtime &amp; 56062 Rechargeable LED Headlamp/Worklight for Klein Hardhats, 300 Lumens</t>
        </is>
      </c>
      <c r="E461" s="2">
        <f>HYPERLINK("https://www.amazon.com/Recharge-Headlamp-Rechargeable-Worklight-Klein/dp/B0C3BC48GJ/ref=sr_1_6?keywords=Klein+Tools+56062+Rechargeable+Headlamp+and+Worklight%2C+300+Lumens+All-Day+Runtime&amp;qid=1694734507&amp;sr=8-6", "https://www.amazon.com/Recharge-Headlamp-Rechargeable-Worklight-Klein/dp/B0C3BC48GJ/ref=sr_1_6?keywords=Klein+Tools+56062+Rechargeable+Headlamp+and+Worklight%2C+300+Lumens+All-Day+Runtime&amp;qid=1694734507&amp;sr=8-6")</f>
        <v/>
      </c>
      <c r="F461" t="inlineStr">
        <is>
          <t>B0C3BC48GJ</t>
        </is>
      </c>
      <c r="G461">
        <f>_xlfn.IMAGE("https://edmondsonsupply.com/cdn/shop/products/56062.jpg?v=1633030735")</f>
        <v/>
      </c>
      <c r="H461">
        <f>_xlfn.IMAGE("https://m.media-amazon.com/images/I/51S63TXCcVL._AC_UL320_.jpg")</f>
        <v/>
      </c>
      <c r="K461" t="inlineStr">
        <is>
          <t>29.97</t>
        </is>
      </c>
      <c r="L461" t="n">
        <v>69.94</v>
      </c>
      <c r="M461" s="1" t="inlineStr">
        <is>
          <t>133.37%</t>
        </is>
      </c>
      <c r="N461" s="7" t="n">
        <v>29.88</v>
      </c>
      <c r="O461" t="n">
        <v>4.6</v>
      </c>
      <c r="P461" t="n">
        <v>842</v>
      </c>
      <c r="R461" t="inlineStr">
        <is>
          <t>InStock</t>
        </is>
      </c>
      <c r="S461" t="inlineStr">
        <is>
          <t>42.0</t>
        </is>
      </c>
      <c r="T461" t="inlineStr">
        <is>
          <t>5877807218856</t>
        </is>
      </c>
    </row>
    <row r="462" ht="87" customHeight="1">
      <c r="A462" s="2">
        <f>HYPERLINK("https://edmondsonsupply.com/collections/personal-protection-safety/products/klein-tools-60345-hard-hat-premium-karbn%E2%84%A2-pattern-non-vented-full-brim-class-e", "https://edmondsonsupply.com/collections/personal-protection-safety/products/klein-tools-60345-hard-hat-premium-karbn%E2%84%A2-pattern-non-vented-full-brim-class-e")</f>
        <v/>
      </c>
      <c r="B462" s="2">
        <f>HYPERLINK("https://edmondsonsupply.com/products/klein-tools-60345-hard-hat-premium-karbn%e2%84%a2-pattern-non-vented-full-brim-class-e", "https://edmondsonsupply.com/products/klein-tools-60345-hard-hat-premium-karbn%e2%84%a2-pattern-non-vented-full-brim-class-e")</f>
        <v/>
      </c>
      <c r="C462" t="inlineStr">
        <is>
          <t>Klein Tools 60345 Hard Hat, Premium KARBN™ Pattern, Non-Vented Full Brim, Class E</t>
        </is>
      </c>
      <c r="D462" t="inlineStr">
        <is>
          <t>Klein Tools 60347 Hard Hat, Vented Full Brim, Class C, Premium KARBN Pattern, Rechargeable Lamp, Padded Sweat-Wicking Sweatband, Top Pad &amp; KHHSWTBND2 Hard Hat Sweatband Replacement, 3-Pack, Blue</t>
        </is>
      </c>
      <c r="E462" s="2">
        <f>HYPERLINK("https://www.amazon.com/Klein-Tools-Rechargeable-Sweat-Wicking-Replacement/dp/B0BFXRMN4S/ref=sr_1_18?keywords=Klein+Tools+60345+Hard+Hat%2C+Premium+KARBN%E2%84%A2+Pattern%2C+Non-Vented+Full+Brim%2C+Class+E&amp;qid=1694734496&amp;sr=8-18", "https://www.amazon.com/Klein-Tools-Rechargeable-Sweat-Wicking-Replacement/dp/B0BFXRMN4S/ref=sr_1_18?keywords=Klein+Tools+60345+Hard+Hat%2C+Premium+KARBN%E2%84%A2+Pattern%2C+Non-Vented+Full+Brim%2C+Class+E&amp;qid=1694734496&amp;sr=8-18")</f>
        <v/>
      </c>
      <c r="F462" t="inlineStr">
        <is>
          <t>B0BFXRMN4S</t>
        </is>
      </c>
      <c r="G462">
        <f>_xlfn.IMAGE("https://edmondsonsupply.com/cdn/shop/products/60345.jpg?v=1660171739")</f>
        <v/>
      </c>
      <c r="H462">
        <f>_xlfn.IMAGE("https://m.media-amazon.com/images/I/51cPFv+dtgL._AC_UL320_.jpg")</f>
        <v/>
      </c>
      <c r="K462" t="inlineStr">
        <is>
          <t>59.99</t>
        </is>
      </c>
      <c r="L462" t="n">
        <v>138.87</v>
      </c>
      <c r="M462" s="1" t="inlineStr">
        <is>
          <t>131.49%</t>
        </is>
      </c>
      <c r="N462" s="7" t="n">
        <v>28.34</v>
      </c>
      <c r="O462" t="n">
        <v>4.5</v>
      </c>
      <c r="P462" t="n">
        <v>9</v>
      </c>
      <c r="R462" t="inlineStr">
        <is>
          <t>InStock</t>
        </is>
      </c>
      <c r="S462" t="inlineStr">
        <is>
          <t>81.02</t>
        </is>
      </c>
      <c r="T462" t="inlineStr">
        <is>
          <t>7778045493464</t>
        </is>
      </c>
    </row>
    <row r="463" hidden="1" ht="15.75" customHeight="1">
      <c r="A463" s="2">
        <f>HYPERLINK("https://edmondsonsupply.com/collections/personal-protection-safety/products/klein-tools-60269-safety-vest-high-visibility-reflective-vest-m-l", "https://edmondsonsupply.com/collections/personal-protection-safety/products/klein-tools-60269-safety-vest-high-visibility-reflective-vest-m-l")</f>
        <v/>
      </c>
      <c r="B463" s="2">
        <f>HYPERLINK("https://edmondsonsupply.com/products/klein-tools-60269-safety-vest-high-visibility-reflective-vest-m-l", "https://edmondsonsupply.com/products/klein-tools-60269-safety-vest-high-visibility-reflective-vest-m-l")</f>
        <v/>
      </c>
      <c r="C463" t="inlineStr">
        <is>
          <t>Klein Tools 60269 Safety Vest, High-Visibility Reflective Vest, M/L</t>
        </is>
      </c>
      <c r="D463" t="inlineStr">
        <is>
          <t>Vero1992 (F Safety Vest For Men's, High Visibility Vest With Pockets and Zipper, Engineer Reflective Safety Vest,</t>
        </is>
      </c>
      <c r="E463" s="2">
        <f>HYPERLINK("https://www.amazon.com/Vero1992-Professional-Surveyors-Visibility-Reflective/dp/B07RSMMLMN/ref=sr_1_37?keywords=Klein+Tools+60269+Safety+Vest%2C+High-Visibility+Reflective+Vest%2C+M%2FL&amp;qid=1694734515&amp;sr=8-37", "https://www.amazon.com/Vero1992-Professional-Surveyors-Visibility-Reflective/dp/B07RSMMLMN/ref=sr_1_37?keywords=Klein+Tools+60269+Safety+Vest%2C+High-Visibility+Reflective+Vest%2C+M%2FL&amp;qid=1694734515&amp;sr=8-37")</f>
        <v/>
      </c>
      <c r="F463" t="inlineStr">
        <is>
          <t>B07RSMMLMN</t>
        </is>
      </c>
      <c r="G463">
        <f>_xludf.IMAGE("https://edmondsonsupply.com/cdn/shop/products/60269.jpg?v=1633030615")</f>
        <v/>
      </c>
      <c r="H463">
        <f>_xludf.IMAGE("https://m.media-amazon.com/images/I/71jS1HXxobL._AC_UL320_.jpg")</f>
        <v/>
      </c>
      <c r="K463" t="inlineStr">
        <is>
          <t>12.99</t>
        </is>
      </c>
      <c r="L463" t="n">
        <v>29.99</v>
      </c>
      <c r="M463" s="1" t="inlineStr">
        <is>
          <t>130.87%</t>
        </is>
      </c>
      <c r="N463" s="1" t="n">
        <v>27.79</v>
      </c>
      <c r="O463" t="n">
        <v>4</v>
      </c>
      <c r="P463" t="n">
        <v>323</v>
      </c>
      <c r="R463" t="inlineStr">
        <is>
          <t>InStock</t>
        </is>
      </c>
      <c r="S463" t="inlineStr">
        <is>
          <t>14.0</t>
        </is>
      </c>
      <c r="T463" t="inlineStr">
        <is>
          <t>5647343976616</t>
        </is>
      </c>
    </row>
    <row r="464" ht="87" customHeight="1">
      <c r="A464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464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464" t="inlineStr">
        <is>
          <t>Klein Tools 60470 Professional Full-Frame Gasket Safety Glasses, Clear Lens</t>
        </is>
      </c>
      <c r="D464" t="inlineStr">
        <is>
          <t>Klein Tools 60539 Safety Glasses, Professional PPE Protective Eyewear, Full Frame, Scratch Resistant and Anti-Fog, Polarized Lens</t>
        </is>
      </c>
      <c r="E464" s="2">
        <f>HYPERLINK("https://www.amazon.com/Klein-Tools-60539-Professional-Protective/dp/B0BLQ6F4MQ/ref=sr_1_10?keywords=Klein+Tools+60470+Professional+Full-Frame+Gasket+Safety+Glasses%2C+Clear+Lens&amp;qid=1694734484&amp;sr=8-10", "https://www.amazon.com/Klein-Tools-60539-Professional-Protective/dp/B0BLQ6F4MQ/ref=sr_1_10?keywords=Klein+Tools+60470+Professional+Full-Frame+Gasket+Safety+Glasses%2C+Clear+Lens&amp;qid=1694734484&amp;sr=8-10")</f>
        <v/>
      </c>
      <c r="F464" t="inlineStr">
        <is>
          <t>B0BLQ6F4MQ</t>
        </is>
      </c>
      <c r="G464">
        <f>_xlfn.IMAGE("https://edmondsonsupply.com/cdn/shop/products/60470.jpg?v=1663260659")</f>
        <v/>
      </c>
      <c r="H464">
        <f>_xlfn.IMAGE("https://m.media-amazon.com/images/I/41z93jotzdL._AC_UL320_.jpg")</f>
        <v/>
      </c>
      <c r="K464" t="inlineStr">
        <is>
          <t>15.99</t>
        </is>
      </c>
      <c r="L464" t="n">
        <v>35.99</v>
      </c>
      <c r="M464" s="1" t="inlineStr">
        <is>
          <t>125.08%</t>
        </is>
      </c>
      <c r="N464" s="7" t="n">
        <v>27.48</v>
      </c>
      <c r="O464" t="n">
        <v>4.4</v>
      </c>
      <c r="P464" t="n">
        <v>11</v>
      </c>
      <c r="R464" t="inlineStr">
        <is>
          <t>InStock</t>
        </is>
      </c>
      <c r="S464" t="inlineStr">
        <is>
          <t>21.98</t>
        </is>
      </c>
      <c r="T464" t="inlineStr">
        <is>
          <t>7817690677464</t>
        </is>
      </c>
    </row>
    <row r="465" ht="87" customHeight="1">
      <c r="A465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465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465" t="inlineStr">
        <is>
          <t>Klein Tools 60471 Professional Full-Frame Gasket Safety Glasses, Gray Lens</t>
        </is>
      </c>
      <c r="D465" t="inlineStr">
        <is>
          <t>Klein Tools 60539 Safety Glasses, Professional PPE Protective Eyewear, Full Frame, Scratch Resistant and Anti-Fog, Polarized Lens</t>
        </is>
      </c>
      <c r="E465" s="2">
        <f>HYPERLINK("https://www.amazon.com/Klein-Tools-60539-Professional-Protective/dp/B0BLQ6F4MQ/ref=sr_1_7?keywords=Klein+Tools+60471+Professional+Full-Frame+Gasket+Safety+Glasses%2C+Gray+Lens&amp;qid=1694734489&amp;sr=8-7", "https://www.amazon.com/Klein-Tools-60539-Professional-Protective/dp/B0BLQ6F4MQ/ref=sr_1_7?keywords=Klein+Tools+60471+Professional+Full-Frame+Gasket+Safety+Glasses%2C+Gray+Lens&amp;qid=1694734489&amp;sr=8-7")</f>
        <v/>
      </c>
      <c r="F465" t="inlineStr">
        <is>
          <t>B0BLQ6F4MQ</t>
        </is>
      </c>
      <c r="G465">
        <f>_xlfn.IMAGE("https://edmondsonsupply.com/cdn/shop/products/60471.jpg?v=1663257501")</f>
        <v/>
      </c>
      <c r="H465">
        <f>_xlfn.IMAGE("https://m.media-amazon.com/images/I/41z93jotzdL._AC_UL320_.jpg")</f>
        <v/>
      </c>
      <c r="K465" t="inlineStr">
        <is>
          <t>15.99</t>
        </is>
      </c>
      <c r="L465" t="n">
        <v>35.99</v>
      </c>
      <c r="M465" s="1" t="inlineStr">
        <is>
          <t>125.08%</t>
        </is>
      </c>
      <c r="N465" s="7" t="n">
        <v>25.94</v>
      </c>
      <c r="O465" t="n">
        <v>4.4</v>
      </c>
      <c r="P465" t="n">
        <v>11</v>
      </c>
      <c r="R465" t="inlineStr">
        <is>
          <t>InStock</t>
        </is>
      </c>
      <c r="S465" t="inlineStr">
        <is>
          <t>21.98</t>
        </is>
      </c>
      <c r="T465" t="inlineStr">
        <is>
          <t>7817587785944</t>
        </is>
      </c>
    </row>
    <row r="466" ht="87" customHeight="1">
      <c r="A466" s="2">
        <f>HYPERLINK("https://edmondsonsupply.com/collections/personal-protection-safety/products/milwaukee-48-73-2041-performance-safety-glasses-with-gaskets-clear", "https://edmondsonsupply.com/collections/personal-protection-safety/products/milwaukee-48-73-2041-performance-safety-glasses-with-gaskets-clear")</f>
        <v/>
      </c>
      <c r="B466" s="2">
        <f>HYPERLINK("https://edmondsonsupply.com/products/milwaukee-48-73-2041-performance-safety-glasses-with-gaskets-clear", "https://edmondsonsupply.com/products/milwaukee-48-73-2041-performance-safety-glasses-with-gaskets-clear")</f>
        <v/>
      </c>
      <c r="C466" t="inlineStr">
        <is>
          <t>Milwaukee 48-73-2041 Performance Safety Glasses with Gaskets, Clear</t>
        </is>
      </c>
      <c r="D466" t="inlineStr">
        <is>
          <t>Milwaukee 48-73-2020 Clear High Performance Safety Glasses</t>
        </is>
      </c>
      <c r="E466" s="2">
        <f>HYPERLINK("https://www.amazon.com/Milwaukee-48-73-2020-Performance-Safety-Glasses/dp/B09ZPZZZTK/ref=sr_1_3?keywords=Milwaukee+48-73-2041+Performance+Safety+Glasses+with+Gaskets%2C+Clear&amp;qid=1694734515&amp;sr=8-3", "https://www.amazon.com/Milwaukee-48-73-2020-Performance-Safety-Glasses/dp/B09ZPZZZTK/ref=sr_1_3?keywords=Milwaukee+48-73-2041+Performance+Safety+Glasses+with+Gaskets%2C+Clear&amp;qid=1694734515&amp;sr=8-3")</f>
        <v/>
      </c>
      <c r="F466" t="inlineStr">
        <is>
          <t>B09ZPZZZTK</t>
        </is>
      </c>
      <c r="G466">
        <f>_xlfn.IMAGE("https://edmondsonsupply.com/cdn/shop/products/48-73-2040_7.png?v=1587150340")</f>
        <v/>
      </c>
      <c r="H466">
        <f>_xlfn.IMAGE("https://m.media-amazon.com/images/I/81Y0JbnAWrL._AC_UL320_.jpg")</f>
        <v/>
      </c>
      <c r="K466" t="inlineStr">
        <is>
          <t>29.97</t>
        </is>
      </c>
      <c r="L466" t="n">
        <v>67</v>
      </c>
      <c r="M466" s="1" t="inlineStr">
        <is>
          <t>123.56%</t>
        </is>
      </c>
      <c r="N466" s="7" t="n">
        <v>25.01</v>
      </c>
      <c r="O466" t="n">
        <v>4.7</v>
      </c>
      <c r="P466" t="n">
        <v>4</v>
      </c>
      <c r="R466" t="inlineStr">
        <is>
          <t>OutOfStock</t>
        </is>
      </c>
      <c r="S466" t="inlineStr">
        <is>
          <t>37.4</t>
        </is>
      </c>
      <c r="T466" t="inlineStr">
        <is>
          <t>4486297780324</t>
        </is>
      </c>
    </row>
    <row r="467" ht="87" customHeight="1">
      <c r="A467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467" s="2">
        <f>HYPERLINK("https://edmondsonsupply.com/products/klein-tools-60345-hard-hat-earmuffs-full-brim-style", "https://edmondsonsupply.com/products/klein-tools-60345-hard-hat-earmuffs-full-brim-style")</f>
        <v/>
      </c>
      <c r="C467" t="inlineStr">
        <is>
          <t>Klein Tools 60502 Hard Hat Earmuffs, Full Brim Style</t>
        </is>
      </c>
      <c r="D467" t="inlineStr">
        <is>
          <t>Klein Tools 60401 Hard Hat, Vented, Full Brim Style, Padded, Self-Wicking Odor-Resistant Sweatband, White &amp; 60181 Cooling Helmet Liner, Under Hard Hat Cap with Mesh Fabric at Crown</t>
        </is>
      </c>
      <c r="E467" s="2">
        <f>HYPERLINK("https://www.amazon.com/Klein-Tools-Self-Wicking-Odor-Resistant-Sweatband/dp/B0BGJ5GTKV/ref=sr_1_24?keywords=Klein+Tools+60502+Hard+Hat+Earmuffs%2C+Full+Brim+Style&amp;qid=1694734480&amp;sr=8-24", "https://www.amazon.com/Klein-Tools-Self-Wicking-Odor-Resistant-Sweatband/dp/B0BGJ5GTKV/ref=sr_1_24?keywords=Klein+Tools+60502+Hard+Hat+Earmuffs%2C+Full+Brim+Style&amp;qid=1694734480&amp;sr=8-24")</f>
        <v/>
      </c>
      <c r="F467" t="inlineStr">
        <is>
          <t>B0BGJ5GTKV</t>
        </is>
      </c>
      <c r="G467">
        <f>_xlfn.IMAGE("https://edmondsonsupply.com/cdn/shop/products/60502.jpg?v=1674486730")</f>
        <v/>
      </c>
      <c r="H467">
        <f>_xlfn.IMAGE("https://m.media-amazon.com/images/I/41lJ1V88-+L._AC_UL320_.jpg")</f>
        <v/>
      </c>
      <c r="K467" t="inlineStr">
        <is>
          <t>29.99</t>
        </is>
      </c>
      <c r="L467" t="n">
        <v>66.65000000000001</v>
      </c>
      <c r="M467" s="1" t="inlineStr">
        <is>
          <t>122.24%</t>
        </is>
      </c>
      <c r="N467" s="7" t="n">
        <v>24.96</v>
      </c>
      <c r="O467" t="n">
        <v>5</v>
      </c>
      <c r="P467" t="n">
        <v>1</v>
      </c>
      <c r="R467" t="inlineStr">
        <is>
          <t>InStock</t>
        </is>
      </c>
      <c r="S467" t="inlineStr">
        <is>
          <t>41.98</t>
        </is>
      </c>
      <c r="T467" t="inlineStr">
        <is>
          <t>7931874869464</t>
        </is>
      </c>
    </row>
    <row r="468" ht="87" customHeight="1">
      <c r="A468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468" s="2">
        <f>HYPERLINK("https://edmondsonsupply.com/products/klein-tools-60345-hard-hat-earmuffs-full-brim-style", "https://edmondsonsupply.com/products/klein-tools-60345-hard-hat-earmuffs-full-brim-style")</f>
        <v/>
      </c>
      <c r="C468" t="inlineStr">
        <is>
          <t>Klein Tools 60502 Hard Hat Earmuffs, Full Brim Style</t>
        </is>
      </c>
      <c r="D468" t="inlineStr">
        <is>
          <t>Klein Tools 60407 Hard Hat, Light, Vented Full Brim Style, Padded, Self-Wicking Odor-Resistant Sweatband, White &amp; 60181 Cooling Helmet Liner, Under Hard Hat Cap with Mesh Fabric at Crown</t>
        </is>
      </c>
      <c r="E468" s="2">
        <f>HYPERLINK("https://www.amazon.com/Klein-Tools-Self-Wicking-Odor-Resistant-Sweatband/dp/B0B68NYYM7/ref=sr_1_13?keywords=Klein+Tools+60502+Hard+Hat+Earmuffs%2C+Full+Brim+Style&amp;qid=1694734480&amp;sr=8-13", "https://www.amazon.com/Klein-Tools-Self-Wicking-Odor-Resistant-Sweatband/dp/B0B68NYYM7/ref=sr_1_13?keywords=Klein+Tools+60502+Hard+Hat+Earmuffs%2C+Full+Brim+Style&amp;qid=1694734480&amp;sr=8-13")</f>
        <v/>
      </c>
      <c r="F468" t="inlineStr">
        <is>
          <t>B0B68NYYM7</t>
        </is>
      </c>
      <c r="G468">
        <f>_xlfn.IMAGE("https://edmondsonsupply.com/cdn/shop/products/60502.jpg?v=1674486730")</f>
        <v/>
      </c>
      <c r="H468">
        <f>_xlfn.IMAGE("https://m.media-amazon.com/images/I/41IulVK0+jL._AC_UL320_.jpg")</f>
        <v/>
      </c>
      <c r="K468" t="inlineStr">
        <is>
          <t>29.99</t>
        </is>
      </c>
      <c r="L468" t="n">
        <v>64.95999999999999</v>
      </c>
      <c r="M468" s="1" t="inlineStr">
        <is>
          <t>116.61%</t>
        </is>
      </c>
      <c r="N468" s="7" t="n">
        <v>24.96</v>
      </c>
      <c r="O468" t="n">
        <v>4.5</v>
      </c>
      <c r="P468" t="n">
        <v>15</v>
      </c>
      <c r="R468" t="inlineStr">
        <is>
          <t>InStock</t>
        </is>
      </c>
      <c r="S468" t="inlineStr">
        <is>
          <t>41.98</t>
        </is>
      </c>
      <c r="T468" t="inlineStr">
        <is>
          <t>7931874869464</t>
        </is>
      </c>
    </row>
    <row r="469" ht="87" customHeight="1">
      <c r="A469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469" s="2">
        <f>HYPERLINK("https://edmondsonsupply.com/products/klein-tools-60345-hard-hat-earmuffs-full-brim-style", "https://edmondsonsupply.com/products/klein-tools-60345-hard-hat-earmuffs-full-brim-style")</f>
        <v/>
      </c>
      <c r="C469" t="inlineStr">
        <is>
          <t>Klein Tools 60502 Hard Hat Earmuffs, Full Brim Style</t>
        </is>
      </c>
      <c r="D469" t="inlineStr">
        <is>
          <t>Klein Tools 60407RL Hard Hat, Rechargeable Headlamp, Vented, Full Brim Style, Padded Self-Wicking Odor-Resistant Sweatband, White, Large</t>
        </is>
      </c>
      <c r="E469" s="2">
        <f>HYPERLINK("https://www.amazon.com/Klein-Tools-60407RL-Rechargeable-Odor-Resistant/dp/B08DDTV9M3/ref=sr_1_7?keywords=Klein+Tools+60502+Hard+Hat+Earmuffs%2C+Full+Brim+Style&amp;qid=1694734480&amp;sr=8-7", "https://www.amazon.com/Klein-Tools-60407RL-Rechargeable-Odor-Resistant/dp/B08DDTV9M3/ref=sr_1_7?keywords=Klein+Tools+60502+Hard+Hat+Earmuffs%2C+Full+Brim+Style&amp;qid=1694734480&amp;sr=8-7")</f>
        <v/>
      </c>
      <c r="F469" t="inlineStr">
        <is>
          <t>B08DDTV9M3</t>
        </is>
      </c>
      <c r="G469">
        <f>_xlfn.IMAGE("https://edmondsonsupply.com/cdn/shop/products/60502.jpg?v=1674486730")</f>
        <v/>
      </c>
      <c r="H469">
        <f>_xlfn.IMAGE("https://m.media-amazon.com/images/I/61w2MM+yDgL._AC_UL320_.jpg")</f>
        <v/>
      </c>
      <c r="K469" t="inlineStr">
        <is>
          <t>29.99</t>
        </is>
      </c>
      <c r="L469" t="n">
        <v>60.37</v>
      </c>
      <c r="M469" s="1" t="inlineStr">
        <is>
          <t>101.30%</t>
        </is>
      </c>
      <c r="N469" s="7" t="n">
        <v>23.09</v>
      </c>
      <c r="O469" t="n">
        <v>4.7</v>
      </c>
      <c r="P469" t="n">
        <v>1575</v>
      </c>
      <c r="R469" t="inlineStr">
        <is>
          <t>InStock</t>
        </is>
      </c>
      <c r="S469" t="inlineStr">
        <is>
          <t>41.98</t>
        </is>
      </c>
      <c r="T469" t="inlineStr">
        <is>
          <t>7931874869464</t>
        </is>
      </c>
    </row>
    <row r="470" hidden="1" ht="15.75" customHeight="1">
      <c r="A470" s="2">
        <f>HYPERLINK("https://edmondsonsupply.com/collections/personal-protection-safety/products/klein-tools-60492-lightweight-knee-pad-sleeves-m-l", "https://edmondsonsupply.com/collections/personal-protection-safety/products/klein-tools-60492-lightweight-knee-pad-sleeves-m-l")</f>
        <v/>
      </c>
      <c r="B470" s="2">
        <f>HYPERLINK("https://edmondsonsupply.com/products/klein-tools-60492-lightweight-knee-pad-sleeves-m-l", "https://edmondsonsupply.com/products/klein-tools-60492-lightweight-knee-pad-sleeves-m-l")</f>
        <v/>
      </c>
      <c r="C470" t="inlineStr">
        <is>
          <t>Klein Tools 60492 Lightweight Knee Pad Sleeves, M/L</t>
        </is>
      </c>
      <c r="D470" t="inlineStr">
        <is>
          <t>Klein Tools 60615 Knee Pad, Heavy Duty Padded Knee Sleeves, Breathable Mesh Back, Elastic Cuff with Slip-Resistant Silicone, S/M, Black</t>
        </is>
      </c>
      <c r="E470" s="2">
        <f>HYPERLINK("https://www.amazon.com/Klein-Tools-60615-Breathable-Slip-Resistant/dp/B0BWB8VW7J/ref=sr_1_3?keywords=Klein+Tools+60492+Lightweight+Knee+Pad+Sleeves%2C+M%2FL&amp;qid=1694734486&amp;sr=8-3", "https://www.amazon.com/Klein-Tools-60615-Breathable-Slip-Resistant/dp/B0BWB8VW7J/ref=sr_1_3?keywords=Klein+Tools+60492+Lightweight+Knee+Pad+Sleeves%2C+M%2FL&amp;qid=1694734486&amp;sr=8-3")</f>
        <v/>
      </c>
      <c r="F470" t="inlineStr">
        <is>
          <t>B0BWB8VW7J</t>
        </is>
      </c>
      <c r="G470">
        <f>_xludf.IMAGE("https://edmondsonsupply.com/cdn/shop/products/60492_60592_photo.jpg?v=1663255234")</f>
        <v/>
      </c>
      <c r="H470">
        <f>_xludf.IMAGE("https://m.media-amazon.com/images/I/61FKkSJ3xeL._AC_UL320_.jpg")</f>
        <v/>
      </c>
      <c r="K470" t="inlineStr">
        <is>
          <t>19.97</t>
        </is>
      </c>
      <c r="L470" t="n">
        <v>39.99</v>
      </c>
      <c r="M470" s="1" t="inlineStr">
        <is>
          <t>100.25%</t>
        </is>
      </c>
      <c r="N470" s="1" t="n">
        <v>20.01</v>
      </c>
      <c r="O470" t="n">
        <v>4</v>
      </c>
      <c r="P470" t="n">
        <v>18</v>
      </c>
      <c r="R470" t="inlineStr">
        <is>
          <t>InStock</t>
        </is>
      </c>
      <c r="S470" t="inlineStr">
        <is>
          <t>27.98</t>
        </is>
      </c>
      <c r="T470" t="inlineStr">
        <is>
          <t>7817560293592</t>
        </is>
      </c>
    </row>
    <row r="471" hidden="1" ht="15.75" customHeight="1">
      <c r="A471" s="2">
        <f>HYPERLINK("https://edmondsonsupply.com/collections/personal-protection-safety/products/klein-tools-60614-lightweight-knee-pad-sleeves-s-m", "https://edmondsonsupply.com/collections/personal-protection-safety/products/klein-tools-60614-lightweight-knee-pad-sleeves-s-m")</f>
        <v/>
      </c>
      <c r="B471" s="2">
        <f>HYPERLINK("https://edmondsonsupply.com/products/klein-tools-60614-lightweight-knee-pad-sleeves-s-m", "https://edmondsonsupply.com/products/klein-tools-60614-lightweight-knee-pad-sleeves-s-m")</f>
        <v/>
      </c>
      <c r="C471" t="inlineStr">
        <is>
          <t>Klein Tools 60614 Lightweight Knee Pad Sleeves, S/M</t>
        </is>
      </c>
      <c r="D471" t="inlineStr">
        <is>
          <t>Klein Tools 60615 Knee Pad, Heavy Duty Padded Knee Sleeves, Breathable Mesh Back, Elastic Cuff with Slip-Resistant Silicone, S/M, Black</t>
        </is>
      </c>
      <c r="E471" s="2">
        <f>HYPERLINK("https://www.amazon.com/Klein-Tools-60615-Breathable-Slip-Resistant/dp/B0BWB8VW7J/ref=sr_1_2?keywords=Klein+Tools+60614+Lightweight+Knee+Pad+Sleeves%2C+S%2FM&amp;qid=1694734481&amp;sr=8-2", "https://www.amazon.com/Klein-Tools-60615-Breathable-Slip-Resistant/dp/B0BWB8VW7J/ref=sr_1_2?keywords=Klein+Tools+60614+Lightweight+Knee+Pad+Sleeves%2C+S%2FM&amp;qid=1694734481&amp;sr=8-2")</f>
        <v/>
      </c>
      <c r="F471" t="inlineStr">
        <is>
          <t>B0BWB8VW7J</t>
        </is>
      </c>
      <c r="G471">
        <f>_xludf.IMAGE("https://edmondsonsupply.com/cdn/shop/products/60492_60592_photo_4859ff57-33ad-45f9-87df-8dc6b9372281.jpg?v=1681742927")</f>
        <v/>
      </c>
      <c r="H471">
        <f>_xludf.IMAGE("https://m.media-amazon.com/images/I/61FKkSJ3xeL._AC_UL320_.jpg")</f>
        <v/>
      </c>
      <c r="K471" t="inlineStr">
        <is>
          <t>19.99</t>
        </is>
      </c>
      <c r="L471" t="n">
        <v>39.99</v>
      </c>
      <c r="M471" s="1" t="inlineStr">
        <is>
          <t>100.05%</t>
        </is>
      </c>
      <c r="N471" s="1" t="n">
        <v>19.94</v>
      </c>
      <c r="O471" t="n">
        <v>4</v>
      </c>
      <c r="P471" t="n">
        <v>18</v>
      </c>
      <c r="R471" t="inlineStr">
        <is>
          <t>InStock</t>
        </is>
      </c>
      <c r="S471" t="inlineStr">
        <is>
          <t>27.98</t>
        </is>
      </c>
      <c r="T471" t="inlineStr">
        <is>
          <t>7980637356248</t>
        </is>
      </c>
    </row>
    <row r="472" ht="87" customHeight="1">
      <c r="A472" s="2">
        <f>HYPERLINK("https://edmondsonsupply.com/collections/personal-protection-safety/products/klein-tools-60345-hard-hat-premium-karbn%E2%84%A2-pattern-non-vented-full-brim-class-e", "https://edmondsonsupply.com/collections/personal-protection-safety/products/klein-tools-60345-hard-hat-premium-karbn%E2%84%A2-pattern-non-vented-full-brim-class-e")</f>
        <v/>
      </c>
      <c r="B472" s="2">
        <f>HYPERLINK("https://edmondsonsupply.com/products/klein-tools-60345-hard-hat-premium-karbn%e2%84%a2-pattern-non-vented-full-brim-class-e", "https://edmondsonsupply.com/products/klein-tools-60345-hard-hat-premium-karbn%e2%84%a2-pattern-non-vented-full-brim-class-e")</f>
        <v/>
      </c>
      <c r="C472" t="inlineStr">
        <is>
          <t>Klein Tools 60345 Hard Hat, Premium KARBN™ Pattern, Non-Vented Full Brim, Class E</t>
        </is>
      </c>
      <c r="D472" t="inlineStr">
        <is>
          <t>Klein Tools 60347 Hard Hat, Vented Full Brim, Class C, Premium KARBN Pattern, Rechargeable Lamp, Padded Sweat-Wicking Sweatband, Top Pad</t>
        </is>
      </c>
      <c r="E472" s="2">
        <f>HYPERLINK("https://www.amazon.com/Klein-Tools-60347-Rechargeable-Sweat-Wicking/dp/B08SYM9K52/ref=sr_1_9?keywords=Klein+Tools+60345+Hard+Hat%2C+Premium+KARBN%E2%84%A2+Pattern%2C+Non-Vented+Full+Brim%2C+Class+E&amp;qid=1694734496&amp;sr=8-9", "https://www.amazon.com/Klein-Tools-60347-Rechargeable-Sweat-Wicking/dp/B08SYM9K52/ref=sr_1_9?keywords=Klein+Tools+60345+Hard+Hat%2C+Premium+KARBN%E2%84%A2+Pattern%2C+Non-Vented+Full+Brim%2C+Class+E&amp;qid=1694734496&amp;sr=8-9")</f>
        <v/>
      </c>
      <c r="F472" t="inlineStr">
        <is>
          <t>B08SYM9K52</t>
        </is>
      </c>
      <c r="G472">
        <f>_xlfn.IMAGE("https://edmondsonsupply.com/cdn/shop/products/60345.jpg?v=1660171739")</f>
        <v/>
      </c>
      <c r="H472">
        <f>_xlfn.IMAGE("https://m.media-amazon.com/images/I/61pIVbITWkL._AC_UL320_.jpg")</f>
        <v/>
      </c>
      <c r="K472" t="inlineStr">
        <is>
          <t>59.99</t>
        </is>
      </c>
      <c r="L472" t="n">
        <v>116.88</v>
      </c>
      <c r="M472" s="1" t="inlineStr">
        <is>
          <t>94.83%</t>
        </is>
      </c>
      <c r="N472" s="7" t="n">
        <v>19.94</v>
      </c>
      <c r="O472" t="n">
        <v>4.7</v>
      </c>
      <c r="P472" t="n">
        <v>2538</v>
      </c>
      <c r="R472" t="inlineStr">
        <is>
          <t>InStock</t>
        </is>
      </c>
      <c r="S472" t="inlineStr">
        <is>
          <t>81.02</t>
        </is>
      </c>
      <c r="T472" t="inlineStr">
        <is>
          <t>7778045493464</t>
        </is>
      </c>
    </row>
    <row r="473" ht="87" customHeight="1">
      <c r="A473" s="2">
        <f>HYPERLINK("https://edmondsonsupply.com/collections/personal-protection-safety/products/klein-tools-60184-lightweight-gel-knee-pads", "https://edmondsonsupply.com/collections/personal-protection-safety/products/klein-tools-60184-lightweight-gel-knee-pads")</f>
        <v/>
      </c>
      <c r="B473" s="2">
        <f>HYPERLINK("https://edmondsonsupply.com/products/klein-tools-60184-lightweight-gel-knee-pads", "https://edmondsonsupply.com/products/klein-tools-60184-lightweight-gel-knee-pads")</f>
        <v/>
      </c>
      <c r="C473" t="inlineStr">
        <is>
          <t>Klein Tools 60184 Lightweight Gel Knee Pads</t>
        </is>
      </c>
      <c r="D473" t="inlineStr">
        <is>
          <t>Klein Tools 60491 Hinged Knee Pads, Heavy Duty Gel Foam Protective Knee Pads with Quick-Fasten Buckle and Thigh Strap, Black</t>
        </is>
      </c>
      <c r="E473" s="2">
        <f>HYPERLINK("https://www.amazon.com/Klein-Tools-60491-Protective-Quick-Fasten/dp/B0BHXBMBHP/ref=sr_1_2?keywords=Klein+Tools+60184+Lightweight+Gel+Knee+Pads&amp;qid=1694734480&amp;sr=8-2", "https://www.amazon.com/Klein-Tools-60491-Protective-Quick-Fasten/dp/B0BHXBMBHP/ref=sr_1_2?keywords=Klein+Tools+60184+Lightweight+Gel+Knee+Pads&amp;qid=1694734480&amp;sr=8-2")</f>
        <v/>
      </c>
      <c r="F473" t="inlineStr">
        <is>
          <t>B0BHXBMBHP</t>
        </is>
      </c>
      <c r="G473">
        <f>_xlfn.IMAGE("https://edmondsonsupply.com/cdn/shop/products/60184.jpg?v=1633030246")</f>
        <v/>
      </c>
      <c r="H473">
        <f>_xlfn.IMAGE("https://m.media-amazon.com/images/I/718i4PDcjnL._AC_UL320_.jpg")</f>
        <v/>
      </c>
      <c r="K473" t="inlineStr">
        <is>
          <t>25.97</t>
        </is>
      </c>
      <c r="L473" t="n">
        <v>49.97</v>
      </c>
      <c r="M473" s="1" t="inlineStr">
        <is>
          <t>92.41%</t>
        </is>
      </c>
      <c r="N473" s="7" t="n">
        <v>17.29</v>
      </c>
      <c r="O473" t="n">
        <v>4.4</v>
      </c>
      <c r="P473" t="n">
        <v>286</v>
      </c>
      <c r="R473" t="inlineStr">
        <is>
          <t>InStock</t>
        </is>
      </c>
      <c r="S473" t="inlineStr">
        <is>
          <t>36.04</t>
        </is>
      </c>
      <c r="T473" t="inlineStr">
        <is>
          <t>4610179170404</t>
        </is>
      </c>
    </row>
    <row r="474" ht="87" customHeight="1">
      <c r="A474" s="2">
        <f>HYPERLINK("https://edmondsonsupply.com/collections/personal-protection-safety/products/klein-tools-60347-hard-hat-premium-karbn%E2%84%A2-pattern-vented-full-brim-class-c-lamp", "https://edmondsonsupply.com/collections/personal-protection-safety/products/klein-tools-60347-hard-hat-premium-karbn%E2%84%A2-pattern-vented-full-brim-class-c-lamp")</f>
        <v/>
      </c>
      <c r="B474" s="2">
        <f>HYPERLINK("https://edmondsonsupply.com/products/klein-tools-60347-hard-hat-premium-karbn%e2%84%a2-pattern-vented-full-brim-class-c-lamp", "https://edmondsonsupply.com/products/klein-tools-60347-hard-hat-premium-karbn%e2%84%a2-pattern-vented-full-brim-class-c-lamp")</f>
        <v/>
      </c>
      <c r="C474" t="inlineStr">
        <is>
          <t>Klein Tools 60347 Hard Hat, Premium KARBN™ Pattern, Vented Full Brim, Class C, Lamp</t>
        </is>
      </c>
      <c r="D474" t="inlineStr">
        <is>
          <t>Klein Tools 60407 Hard Hat, White &amp; 60347 Hard Hat, Vented Full Brim, Class C, Premium KARBN Pattern, Rechargeable Lamp, Padded Sweat-Wicking Sweatband, Top Pad</t>
        </is>
      </c>
      <c r="E474" s="2">
        <f>HYPERLINK("https://www.amazon.com/Klein-Tools-Rechargeable-Sweat-Wicking-Sweatband/dp/B0BNL94L4X/ref=sr_1_3?keywords=Klein+Tools+60347+Hard+Hat%2C+Premium+KARBN%E2%84%A2+Pattern%2C+Vented+Full+Brim%2C+Class+C%2C+Lamp&amp;qid=1694734491&amp;sr=8-3", "https://www.amazon.com/Klein-Tools-Rechargeable-Sweat-Wicking-Sweatband/dp/B0BNL94L4X/ref=sr_1_3?keywords=Klein+Tools+60347+Hard+Hat%2C+Premium+KARBN%E2%84%A2+Pattern%2C+Vented+Full+Brim%2C+Class+C%2C+Lamp&amp;qid=1694734491&amp;sr=8-3")</f>
        <v/>
      </c>
      <c r="F474" t="inlineStr">
        <is>
          <t>B0BNL94L4X</t>
        </is>
      </c>
      <c r="G474">
        <f>_xlfn.IMAGE("https://edmondsonsupply.com/cdn/shop/products/60347.jpg?v=1659454043")</f>
        <v/>
      </c>
      <c r="H474">
        <f>_xlfn.IMAGE("https://m.media-amazon.com/images/I/51A8iWc37VL._AC_UL320_.jpg")</f>
        <v/>
      </c>
      <c r="K474" t="inlineStr">
        <is>
          <t>89.99</t>
        </is>
      </c>
      <c r="L474" t="n">
        <v>171.85</v>
      </c>
      <c r="M474" s="1" t="inlineStr">
        <is>
          <t>90.97%</t>
        </is>
      </c>
      <c r="N474" s="7" t="n">
        <v>16.67</v>
      </c>
      <c r="O474" t="n">
        <v>4.7</v>
      </c>
      <c r="P474" t="n">
        <v>4</v>
      </c>
      <c r="R474" t="inlineStr">
        <is>
          <t>OutOfStock</t>
        </is>
      </c>
      <c r="S474" t="inlineStr">
        <is>
          <t>123.76</t>
        </is>
      </c>
      <c r="T474" t="inlineStr">
        <is>
          <t>7769755975896</t>
        </is>
      </c>
    </row>
    <row r="475" ht="87" customHeight="1">
      <c r="A475" s="2">
        <f>HYPERLINK("https://edmondsonsupply.com/collections/personal-protection-safety/products/klein-tools-60346-hard-hat-premium-karbn%E2%84%A2-pattern-non-vented-full-brim-class-e-lamp", "https://edmondsonsupply.com/collections/personal-protection-safety/products/klein-tools-60346-hard-hat-premium-karbn%E2%84%A2-pattern-non-vented-full-brim-class-e-lamp")</f>
        <v/>
      </c>
      <c r="B475" s="2">
        <f>HYPERLINK("https://edmondsonsupply.com/products/klein-tools-60346-hard-hat-premium-karbn%e2%84%a2-pattern-non-vented-full-brim-class-e-lamp", "https://edmondsonsupply.com/products/klein-tools-60346-hard-hat-premium-karbn%e2%84%a2-pattern-non-vented-full-brim-class-e-lamp")</f>
        <v/>
      </c>
      <c r="C475" t="inlineStr">
        <is>
          <t>Klein Tools 60346 Hard Hat, Premium KARBN™ Pattern, Non-Vented Full Brim, Class E, Lamp</t>
        </is>
      </c>
      <c r="D475" t="inlineStr">
        <is>
          <t>Klein Tools 60407 Hard Hat, White &amp; 60347 Hard Hat, Vented Full Brim, Class C, Premium KARBN Pattern, Rechargeable Lamp, Padded Sweat-Wicking Sweatband, Top Pad</t>
        </is>
      </c>
      <c r="E475" s="2">
        <f>HYPERLINK("https://www.amazon.com/Klein-Tools-Rechargeable-Sweat-Wicking-Sweatband/dp/B0BNL94L4X/ref=sr_1_11?keywords=Klein+Tools+60346+Hard+Hat%2C+Premium+KARBN%E2%84%A2+Pattern%2C+Non-Vented+Full+Brim%2C+Class+E%2C+Lamp&amp;qid=1694734486&amp;sr=8-11", "https://www.amazon.com/Klein-Tools-Rechargeable-Sweat-Wicking-Sweatband/dp/B0BNL94L4X/ref=sr_1_11?keywords=Klein+Tools+60346+Hard+Hat%2C+Premium+KARBN%E2%84%A2+Pattern%2C+Non-Vented+Full+Brim%2C+Class+E%2C+Lamp&amp;qid=1694734486&amp;sr=8-11")</f>
        <v/>
      </c>
      <c r="F475" t="inlineStr">
        <is>
          <t>B0BNL94L4X</t>
        </is>
      </c>
      <c r="G475">
        <f>_xlfn.IMAGE("https://edmondsonsupply.com/cdn/shop/products/60346.jpg?v=1660168162")</f>
        <v/>
      </c>
      <c r="H475">
        <f>_xlfn.IMAGE("https://m.media-amazon.com/images/I/51A8iWc37VL._AC_UL320_.jpg")</f>
        <v/>
      </c>
      <c r="K475" t="inlineStr">
        <is>
          <t>89.99</t>
        </is>
      </c>
      <c r="L475" t="n">
        <v>171.85</v>
      </c>
      <c r="M475" s="1" t="inlineStr">
        <is>
          <t>90.97%</t>
        </is>
      </c>
      <c r="N475" s="7" t="n">
        <v>12.89</v>
      </c>
      <c r="O475" t="n">
        <v>4.7</v>
      </c>
      <c r="P475" t="n">
        <v>4</v>
      </c>
      <c r="R475" t="inlineStr">
        <is>
          <t>InStock</t>
        </is>
      </c>
      <c r="S475" t="inlineStr">
        <is>
          <t>123.76</t>
        </is>
      </c>
      <c r="T475" t="inlineStr">
        <is>
          <t>7778030321880</t>
        </is>
      </c>
    </row>
    <row r="476" ht="87" customHeight="1">
      <c r="A476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476" s="2">
        <f>HYPERLINK("https://edmondsonsupply.com/products/klein-tools-60345-hard-hat-earmuffs-full-brim-style", "https://edmondsonsupply.com/products/klein-tools-60345-hard-hat-earmuffs-full-brim-style")</f>
        <v/>
      </c>
      <c r="C476" t="inlineStr">
        <is>
          <t>Klein Tools 60502 Hard Hat Earmuffs, Full Brim Style</t>
        </is>
      </c>
      <c r="D476" t="inlineStr">
        <is>
          <t>Klein Tools 60401 Hard Hat, Vented, Full Brim Style, Padded, Self-Wicking Odor-Resistant Sweatband, White Large</t>
        </is>
      </c>
      <c r="E476" s="2">
        <f>HYPERLINK("https://www.amazon.com/Klein-Tools-Hard-Vented-Style/dp/B07TPQ9JM5/ref=sr_1_6?keywords=Klein+Tools+60502+Hard+Hat+Earmuffs%2C+Full+Brim+Style&amp;qid=1694734480&amp;sr=8-6", "https://www.amazon.com/Klein-Tools-Hard-Vented-Style/dp/B07TPQ9JM5/ref=sr_1_6?keywords=Klein+Tools+60502+Hard+Hat+Earmuffs%2C+Full+Brim+Style&amp;qid=1694734480&amp;sr=8-6")</f>
        <v/>
      </c>
      <c r="F476" t="inlineStr">
        <is>
          <t>B07TPQ9JM5</t>
        </is>
      </c>
      <c r="G476">
        <f>_xlfn.IMAGE("https://edmondsonsupply.com/cdn/shop/products/60502.jpg?v=1674486730")</f>
        <v/>
      </c>
      <c r="H476">
        <f>_xlfn.IMAGE("https://m.media-amazon.com/images/I/61+jjIbExZL._AC_UL320_.jpg")</f>
        <v/>
      </c>
      <c r="K476" t="inlineStr">
        <is>
          <t>29.99</t>
        </is>
      </c>
      <c r="L476" t="n">
        <v>56.66</v>
      </c>
      <c r="M476" s="1" t="inlineStr">
        <is>
          <t>88.93%</t>
        </is>
      </c>
      <c r="N476" s="7" t="n">
        <v>12.85</v>
      </c>
      <c r="O476" t="n">
        <v>4.7</v>
      </c>
      <c r="P476" t="n">
        <v>627</v>
      </c>
      <c r="R476" t="inlineStr">
        <is>
          <t>InStock</t>
        </is>
      </c>
      <c r="S476" t="inlineStr">
        <is>
          <t>41.98</t>
        </is>
      </c>
      <c r="T476" t="inlineStr">
        <is>
          <t>7931874869464</t>
        </is>
      </c>
    </row>
    <row r="477" ht="87" customHeight="1">
      <c r="A477" s="2">
        <f>HYPERLINK("https://edmondsonsupply.com/collections/personal-protection-safety/products/klein-tools-60159-standard-safety-glasses-clear-lens", "https://edmondsonsupply.com/collections/personal-protection-safety/products/klein-tools-60159-standard-safety-glasses-clear-lens")</f>
        <v/>
      </c>
      <c r="B477" s="2">
        <f>HYPERLINK("https://edmondsonsupply.com/products/klein-tools-60159-standard-safety-glasses-clear-lens", "https://edmondsonsupply.com/products/klein-tools-60159-standard-safety-glasses-clear-lens")</f>
        <v/>
      </c>
      <c r="C477" t="inlineStr">
        <is>
          <t>Klein Tools 60159 Standard Safety Glasses, Clear Lens</t>
        </is>
      </c>
      <c r="D477" t="inlineStr">
        <is>
          <t>Klein Tools 60161 Safety Glasses, Professional PPE Protective Eyewear with Semi Frame, Scratch Resistant and Anti-Fog, Clear Lens</t>
        </is>
      </c>
      <c r="E477" s="2">
        <f>HYPERLINK("https://www.amazon.com/Klein-60161-Professional-Protective-Resistant/dp/B08B496F57/ref=sr_1_4?keywords=Klein+Tools+60159+Standard+Safety+Glasses%2C+Clear+Lens&amp;qid=1694734512&amp;sr=8-4", "https://www.amazon.com/Klein-60161-Professional-Protective-Resistant/dp/B08B496F57/ref=sr_1_4?keywords=Klein+Tools+60159+Standard+Safety+Glasses%2C+Clear+Lens&amp;qid=1694734512&amp;sr=8-4")</f>
        <v/>
      </c>
      <c r="F477" t="inlineStr">
        <is>
          <t>B08B496F57</t>
        </is>
      </c>
      <c r="G477">
        <f>_xlfn.IMAGE("https://edmondsonsupply.com/cdn/shop/products/60159.jpg?v=1633030842")</f>
        <v/>
      </c>
      <c r="H477">
        <f>_xlfn.IMAGE("https://m.media-amazon.com/images/I/515pVZPvJ0L._AC_UL320_.jpg")</f>
        <v/>
      </c>
      <c r="K477" t="inlineStr">
        <is>
          <t>8.99</t>
        </is>
      </c>
      <c r="L477" t="n">
        <v>16.56</v>
      </c>
      <c r="M477" s="1" t="inlineStr">
        <is>
          <t>84.20%</t>
        </is>
      </c>
      <c r="N477" s="7" t="n">
        <v>11.25</v>
      </c>
      <c r="O477" t="n">
        <v>4.4</v>
      </c>
      <c r="P477" t="n">
        <v>371</v>
      </c>
      <c r="R477" t="inlineStr">
        <is>
          <t>InStock</t>
        </is>
      </c>
      <c r="S477" t="inlineStr">
        <is>
          <t>12.6</t>
        </is>
      </c>
      <c r="T477" t="inlineStr">
        <is>
          <t>6091658428589</t>
        </is>
      </c>
    </row>
    <row r="478" ht="87" customHeight="1">
      <c r="A478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478" s="2">
        <f>HYPERLINK("https://edmondsonsupply.com/products/klein-tools-60345-hard-hat-earmuffs-full-brim-style", "https://edmondsonsupply.com/products/klein-tools-60345-hard-hat-earmuffs-full-brim-style")</f>
        <v/>
      </c>
      <c r="C478" t="inlineStr">
        <is>
          <t>Klein Tools 60502 Hard Hat Earmuffs, Full Brim Style</t>
        </is>
      </c>
      <c r="D478" t="inlineStr">
        <is>
          <t>Klein Tools 60407 Hard Hat, Light, Vented Full Brim Style, Padded, Self-Wicking Odor-Resistant Sweatband, White</t>
        </is>
      </c>
      <c r="E478" s="2">
        <f>HYPERLINK("https://www.amazon.com/Klein-Tools-Hard-Vented-Headlamp/dp/B07TMHXCM1/ref=sr_1_8?keywords=Klein+Tools+60502+Hard+Hat+Earmuffs%2C+Full+Brim+Style&amp;qid=1694734480&amp;sr=8-8", "https://www.amazon.com/Klein-Tools-Hard-Vented-Headlamp/dp/B07TMHXCM1/ref=sr_1_8?keywords=Klein+Tools+60502+Hard+Hat+Earmuffs%2C+Full+Brim+Style&amp;qid=1694734480&amp;sr=8-8")</f>
        <v/>
      </c>
      <c r="F478" t="inlineStr">
        <is>
          <t>B07TMHXCM1</t>
        </is>
      </c>
      <c r="G478">
        <f>_xlfn.IMAGE("https://edmondsonsupply.com/cdn/shop/products/60502.jpg?v=1674486730")</f>
        <v/>
      </c>
      <c r="H478">
        <f>_xlfn.IMAGE("https://m.media-amazon.com/images/I/61vXMK50bWL._AC_UL320_.jpg")</f>
        <v/>
      </c>
      <c r="K478" t="inlineStr">
        <is>
          <t>29.99</t>
        </is>
      </c>
      <c r="L478" t="n">
        <v>54.97</v>
      </c>
      <c r="M478" s="1" t="inlineStr">
        <is>
          <t>83.29%</t>
        </is>
      </c>
      <c r="N478" s="7" t="n">
        <v>11.1</v>
      </c>
      <c r="O478" t="n">
        <v>4.7</v>
      </c>
      <c r="P478" t="n">
        <v>3617</v>
      </c>
      <c r="R478" t="inlineStr">
        <is>
          <t>InStock</t>
        </is>
      </c>
      <c r="S478" t="inlineStr">
        <is>
          <t>41.98</t>
        </is>
      </c>
      <c r="T478" t="inlineStr">
        <is>
          <t>7931874869464</t>
        </is>
      </c>
    </row>
    <row r="479" ht="87" customHeight="1">
      <c r="A479" s="2">
        <f>HYPERLINK("https://edmondsonsupply.com/collections/personal-protection-safety/products/klein-tools-60160-standard-safety-glasses-gray-lens", "https://edmondsonsupply.com/collections/personal-protection-safety/products/klein-tools-60160-standard-safety-glasses-gray-lens")</f>
        <v/>
      </c>
      <c r="B479" s="2">
        <f>HYPERLINK("https://edmondsonsupply.com/products/klein-tools-60160-standard-safety-glasses-gray-lens", "https://edmondsonsupply.com/products/klein-tools-60160-standard-safety-glasses-gray-lens")</f>
        <v/>
      </c>
      <c r="C479" t="inlineStr">
        <is>
          <t>Klein Tools 60160 Standard Safety Glasses, Gray Lens</t>
        </is>
      </c>
      <c r="D479" t="inlineStr">
        <is>
          <t>Klein Tools 60471 Safety Glasses, ANSI Z87.1+ Pro Full Frame Gasket Safety Glasses, Gray Lens, UV Protection, Anti-Fog, Scratch Resistant</t>
        </is>
      </c>
      <c r="E479" s="2">
        <f>HYPERLINK("https://www.amazon.com/Klein-60471-Protection-Anti-Fog-Resistant/dp/B0B69LNT2Y/ref=sr_1_3?keywords=Klein+Tools+60160+Standard+Safety+Glasses%2C+Gray+Lens&amp;qid=1694734511&amp;sr=8-3", "https://www.amazon.com/Klein-60471-Protection-Anti-Fog-Resistant/dp/B0B69LNT2Y/ref=sr_1_3?keywords=Klein+Tools+60160+Standard+Safety+Glasses%2C+Gray+Lens&amp;qid=1694734511&amp;sr=8-3")</f>
        <v/>
      </c>
      <c r="F479" t="inlineStr">
        <is>
          <t>B0B69LNT2Y</t>
        </is>
      </c>
      <c r="G479">
        <f>_xlfn.IMAGE("https://edmondsonsupply.com/cdn/shop/products/60160.jpg?v=1633030843")</f>
        <v/>
      </c>
      <c r="H479">
        <f>_xlfn.IMAGE("https://m.media-amazon.com/images/I/51z-a2tdJlL._AC_UL320_.jpg")</f>
        <v/>
      </c>
      <c r="K479" t="inlineStr">
        <is>
          <t>8.99</t>
        </is>
      </c>
      <c r="L479" t="n">
        <v>15.99</v>
      </c>
      <c r="M479" s="1" t="inlineStr">
        <is>
          <t>77.86%</t>
        </is>
      </c>
      <c r="N479" s="7" t="n">
        <v>11.1</v>
      </c>
      <c r="O479" t="n">
        <v>4.4</v>
      </c>
      <c r="P479" t="n">
        <v>49</v>
      </c>
      <c r="R479" t="inlineStr">
        <is>
          <t>InStock</t>
        </is>
      </c>
      <c r="S479" t="inlineStr">
        <is>
          <t>12.6</t>
        </is>
      </c>
      <c r="T479" t="inlineStr">
        <is>
          <t>6091953111213</t>
        </is>
      </c>
    </row>
    <row r="480" hidden="1" ht="15.75" customHeight="1">
      <c r="A480" s="2">
        <f>HYPERLINK("https://edmondsonsupply.com/collections/personal-protection-safety/products/klein-tools-60159-standard-safety-glasses-clear-lens", "https://edmondsonsupply.com/collections/personal-protection-safety/products/klein-tools-60159-standard-safety-glasses-clear-lens")</f>
        <v/>
      </c>
      <c r="B480" s="2">
        <f>HYPERLINK("https://edmondsonsupply.com/products/klein-tools-60159-standard-safety-glasses-clear-lens", "https://edmondsonsupply.com/products/klein-tools-60159-standard-safety-glasses-clear-lens")</f>
        <v/>
      </c>
      <c r="C480" t="inlineStr">
        <is>
          <t>Klein Tools 60159 Standard Safety Glasses, Clear Lens</t>
        </is>
      </c>
      <c r="D480" t="inlineStr">
        <is>
          <t>Klein Tools 60470 Safety Glasses, ANSI Z87.1+ Pro Full Frame Gasket Safety Glasses, Clear Lenses, UV Protection, Anti-Fog, Scratch Resistant, Black/Orange</t>
        </is>
      </c>
      <c r="E480" s="2">
        <f>HYPERLINK("https://www.amazon.com/Klein-60470-Protection-Anti-Fog-Resistant/dp/B0B69KPRPF/ref=sr_1_2?keywords=Klein+Tools+60159+Standard+Safety+Glasses%2C+Clear+Lens&amp;qid=1694734512&amp;sr=8-2", "https://www.amazon.com/Klein-60470-Protection-Anti-Fog-Resistant/dp/B0B69KPRPF/ref=sr_1_2?keywords=Klein+Tools+60159+Standard+Safety+Glasses%2C+Clear+Lens&amp;qid=1694734512&amp;sr=8-2")</f>
        <v/>
      </c>
      <c r="F480" t="inlineStr">
        <is>
          <t>B0B69KPRPF</t>
        </is>
      </c>
      <c r="G480">
        <f>_xludf.IMAGE("https://edmondsonsupply.com/cdn/shop/products/60159.jpg?v=1633030842")</f>
        <v/>
      </c>
      <c r="H480">
        <f>_xludf.IMAGE("https://m.media-amazon.com/images/I/51TkfiRMYgL._AC_UL320_.jpg")</f>
        <v/>
      </c>
      <c r="K480" t="inlineStr">
        <is>
          <t>8.99</t>
        </is>
      </c>
      <c r="L480" t="n">
        <v>15.99</v>
      </c>
      <c r="M480" s="1" t="inlineStr">
        <is>
          <t>77.86%</t>
        </is>
      </c>
      <c r="N480" s="1" t="n">
        <v>10.74</v>
      </c>
      <c r="O480" t="n">
        <v>4</v>
      </c>
      <c r="P480" t="n">
        <v>29</v>
      </c>
      <c r="R480" t="inlineStr">
        <is>
          <t>InStock</t>
        </is>
      </c>
      <c r="S480" t="inlineStr">
        <is>
          <t>12.6</t>
        </is>
      </c>
      <c r="T480" t="inlineStr">
        <is>
          <t>6091658428589</t>
        </is>
      </c>
    </row>
    <row r="481" ht="87" customHeight="1">
      <c r="A481" s="2">
        <f>HYPERLINK("https://edmondsonsupply.com/collections/personal-protection-safety/products/klein-tools-56220-led-headlamp-flashlight-with-strap-for-hard-hat", "https://edmondsonsupply.com/collections/personal-protection-safety/products/klein-tools-56220-led-headlamp-flashlight-with-strap-for-hard-hat")</f>
        <v/>
      </c>
      <c r="B481" s="2">
        <f>HYPERLINK("https://edmondsonsupply.com/products/klein-tools-56220-led-headlamp-flashlight-with-strap-for-hard-hat", "https://edmondsonsupply.com/products/klein-tools-56220-led-headlamp-flashlight-with-strap-for-hard-hat")</f>
        <v/>
      </c>
      <c r="C481" t="inlineStr">
        <is>
          <t>Klein Tools 56220 LED Headlamp with Silicone Hard Hat Strap</t>
        </is>
      </c>
      <c r="D481" t="inlineStr">
        <is>
          <t>Klein Tools 56064 Rechargeable Auto-Off LED Headlamp, Silicone Strap, 400 LMS, All-Day Runtime, for Work, Running, Outdoor Hiking, Camping &amp; Headlamp Bracket with Fabric Strap</t>
        </is>
      </c>
      <c r="E481" s="2">
        <f>HYPERLINK("https://www.amazon.com/Klein-Tools-Rechargeable-Auto-Off-Headlamp/dp/B09Z932C3Z/ref=sr_1_10?keywords=Klein+Tools+56220+LED+Headlamp+with+Silicone+Hard+Hat+Strap&amp;qid=1694734480&amp;sr=8-10", "https://www.amazon.com/Klein-Tools-Rechargeable-Auto-Off-Headlamp/dp/B09Z932C3Z/ref=sr_1_10?keywords=Klein+Tools+56220+LED+Headlamp+with+Silicone+Hard+Hat+Strap&amp;qid=1694734480&amp;sr=8-10")</f>
        <v/>
      </c>
      <c r="F481" t="inlineStr">
        <is>
          <t>B09Z932C3Z</t>
        </is>
      </c>
      <c r="G481">
        <f>_xlfn.IMAGE("https://edmondsonsupply.com/cdn/shop/files/56220_874194e8-71d5-41d8-a579-6dec47b3f455.jpg?v=1687356671")</f>
        <v/>
      </c>
      <c r="H481">
        <f>_xlfn.IMAGE("https://m.media-amazon.com/images/I/51-nHtYlwEL._AC_UL320_.jpg")</f>
        <v/>
      </c>
      <c r="K481" t="inlineStr">
        <is>
          <t>26.97</t>
        </is>
      </c>
      <c r="L481" t="n">
        <v>47.94</v>
      </c>
      <c r="M481" s="1" t="inlineStr">
        <is>
          <t>77.75%</t>
        </is>
      </c>
      <c r="N481" s="7" t="n">
        <v>10.47</v>
      </c>
      <c r="O481" t="n">
        <v>5</v>
      </c>
      <c r="P481" t="n">
        <v>1</v>
      </c>
      <c r="R481" t="inlineStr">
        <is>
          <t>InStock</t>
        </is>
      </c>
      <c r="S481" t="inlineStr">
        <is>
          <t>37.8</t>
        </is>
      </c>
      <c r="T481" t="inlineStr">
        <is>
          <t>4167511605348</t>
        </is>
      </c>
    </row>
    <row r="482" hidden="1" ht="15.75" customHeight="1">
      <c r="A482" s="2">
        <f>HYPERLINK("https://edmondsonsupply.com/collections/personal-protection-safety/products/milwaukee-48-22-8732-demolition-gloves-large", "https://edmondsonsupply.com/collections/personal-protection-safety/products/milwaukee-48-22-8732-demolition-gloves-large")</f>
        <v/>
      </c>
      <c r="B482" s="2">
        <f>HYPERLINK("https://edmondsonsupply.com/products/milwaukee-48-22-8732-demolition-gloves-large", "https://edmondsonsupply.com/products/milwaukee-48-22-8732-demolition-gloves-large")</f>
        <v/>
      </c>
      <c r="C482" t="inlineStr">
        <is>
          <t>Milwaukee 48-22-8732 Demolition Gloves, Large</t>
        </is>
      </c>
      <c r="D482" t="inlineStr">
        <is>
          <t>Milwaukee 0 0 Demolition Glove Size 11 (XX-Large) 48-22-9734, Red</t>
        </is>
      </c>
      <c r="E482" s="2">
        <f>HYPERLINK("https://www.amazon.com/Milwaukee-Demolition-Glove-XX-Large-48-22-9734/dp/B01G4AC6TM/ref=sr_1_3?keywords=Milwaukee+48-22-8732+Demolition+Gloves%2C+Large&amp;qid=1694734533&amp;sr=8-3", "https://www.amazon.com/Milwaukee-Demolition-Glove-XX-Large-48-22-9734/dp/B01G4AC6TM/ref=sr_1_3?keywords=Milwaukee+48-22-8732+Demolition+Gloves%2C+Large&amp;qid=1694734533&amp;sr=8-3")</f>
        <v/>
      </c>
      <c r="F482" t="inlineStr">
        <is>
          <t>B01G4AC6TM</t>
        </is>
      </c>
      <c r="G482">
        <f>_xludf.IMAGE("https://edmondsonsupply.com/cdn/shop/products/48-22-8732_A_3bfe7555-9162-400a-8a46-4ac8d4a27ffc.png?v=1587146162")</f>
        <v/>
      </c>
      <c r="H482">
        <f>_xludf.IMAGE("https://m.media-amazon.com/images/I/71WPYRRsHSL._AC_UL320_.jpg")</f>
        <v/>
      </c>
      <c r="K482" t="inlineStr">
        <is>
          <t>24.97</t>
        </is>
      </c>
      <c r="L482" t="n">
        <v>43</v>
      </c>
      <c r="M482" s="1" t="inlineStr">
        <is>
          <t>72.21%</t>
        </is>
      </c>
      <c r="N482" s="1" t="n">
        <v>8.539999999999999</v>
      </c>
      <c r="O482" t="n">
        <v>3.6</v>
      </c>
      <c r="P482" t="n">
        <v>15</v>
      </c>
      <c r="R482" t="inlineStr">
        <is>
          <t>InStock</t>
        </is>
      </c>
      <c r="S482" t="inlineStr">
        <is>
          <t>37.9</t>
        </is>
      </c>
      <c r="T482" t="inlineStr">
        <is>
          <t>4433519149156</t>
        </is>
      </c>
    </row>
    <row r="483" ht="87" customHeight="1">
      <c r="A483" s="2">
        <f>HYPERLINK("https://edmondsonsupply.com/collections/personal-protection-safety/products/milwaukee-48-22-8732-demolition-gloves-large", "https://edmondsonsupply.com/collections/personal-protection-safety/products/milwaukee-48-22-8732-demolition-gloves-large")</f>
        <v/>
      </c>
      <c r="B483" s="2">
        <f>HYPERLINK("https://edmondsonsupply.com/products/milwaukee-48-22-8732-demolition-gloves-large", "https://edmondsonsupply.com/products/milwaukee-48-22-8732-demolition-gloves-large")</f>
        <v/>
      </c>
      <c r="C483" t="inlineStr">
        <is>
          <t>Milwaukee 48-22-8732 Demolition Gloves, Large</t>
        </is>
      </c>
      <c r="D483" t="inlineStr">
        <is>
          <t>Milwaukee Demolition Glove Size 10 (X-Large) 48-22-9733, Black/Red/Grey</t>
        </is>
      </c>
      <c r="E483" s="2">
        <f>HYPERLINK("https://www.amazon.com/Milwaukee-Demolition-Glove-X-Large-48-22-9733/dp/B01G4AC5H0/ref=sr_1_9?keywords=Milwaukee+48-22-8732+Demolition+Gloves%2C+Large&amp;qid=1694734533&amp;sr=8-9", "https://www.amazon.com/Milwaukee-Demolition-Glove-X-Large-48-22-9733/dp/B01G4AC5H0/ref=sr_1_9?keywords=Milwaukee+48-22-8732+Demolition+Gloves%2C+Large&amp;qid=1694734533&amp;sr=8-9")</f>
        <v/>
      </c>
      <c r="F483" t="inlineStr">
        <is>
          <t>B01G4AC5H0</t>
        </is>
      </c>
      <c r="G483">
        <f>_xlfn.IMAGE("https://edmondsonsupply.com/cdn/shop/products/48-22-8732_A_3bfe7555-9162-400a-8a46-4ac8d4a27ffc.png?v=1587146162")</f>
        <v/>
      </c>
      <c r="H483">
        <f>_xlfn.IMAGE("https://m.media-amazon.com/images/I/81BLdZBq2EL._AC_UL320_.jpg")</f>
        <v/>
      </c>
      <c r="K483" t="inlineStr">
        <is>
          <t>24.97</t>
        </is>
      </c>
      <c r="L483" t="n">
        <v>42</v>
      </c>
      <c r="M483" s="1" t="inlineStr">
        <is>
          <t>68.20%</t>
        </is>
      </c>
      <c r="N483" s="7" t="n">
        <v>5</v>
      </c>
      <c r="O483" t="n">
        <v>4.5</v>
      </c>
      <c r="P483" t="n">
        <v>149</v>
      </c>
      <c r="R483" t="inlineStr">
        <is>
          <t>InStock</t>
        </is>
      </c>
      <c r="S483" t="inlineStr">
        <is>
          <t>37.9</t>
        </is>
      </c>
      <c r="T483" t="inlineStr">
        <is>
          <t>4433519149156</t>
        </is>
      </c>
    </row>
    <row r="484" hidden="1" ht="15.75" customHeight="1">
      <c r="A484" s="2">
        <f>HYPERLINK("https://edmondsonsupply.com/collections/personal-protection-safety/products/klein-tools-60159-standard-safety-glasses-clear-lens", "https://edmondsonsupply.com/collections/personal-protection-safety/products/klein-tools-60159-standard-safety-glasses-clear-lens")</f>
        <v/>
      </c>
      <c r="B484" s="2">
        <f>HYPERLINK("https://edmondsonsupply.com/products/klein-tools-60159-standard-safety-glasses-clear-lens", "https://edmondsonsupply.com/products/klein-tools-60159-standard-safety-glasses-clear-lens")</f>
        <v/>
      </c>
      <c r="C484" t="inlineStr">
        <is>
          <t>Klein Tools 60159 Standard Safety Glasses, Clear Lens</t>
        </is>
      </c>
      <c r="D484" t="inlineStr">
        <is>
          <t>Klein Tools 60163 Safety Glasses, Professional PPE Protective Eyewear with Full Frame, Scratch Resistant and Anti-Fog, Clear Lens , 5.6 x 4 inch</t>
        </is>
      </c>
      <c r="E484" s="2">
        <f>HYPERLINK("https://www.amazon.com/Klein-60163-Professional-Protective-Resistant/dp/B08B48CZ5V/ref=sr_1_3?keywords=Klein+Tools+60159+Standard+Safety+Glasses%2C+Clear+Lens&amp;qid=1694734512&amp;sr=8-3", "https://www.amazon.com/Klein-60163-Professional-Protective-Resistant/dp/B08B48CZ5V/ref=sr_1_3?keywords=Klein+Tools+60159+Standard+Safety+Glasses%2C+Clear+Lens&amp;qid=1694734512&amp;sr=8-3")</f>
        <v/>
      </c>
      <c r="F484" t="inlineStr">
        <is>
          <t>B08B48CZ5V</t>
        </is>
      </c>
      <c r="G484">
        <f>_xludf.IMAGE("https://edmondsonsupply.com/cdn/shop/products/60159.jpg?v=1633030842")</f>
        <v/>
      </c>
      <c r="H484">
        <f>_xludf.IMAGE("https://m.media-amazon.com/images/I/41IY8K6EFLL._AC_UL320_.jpg")</f>
        <v/>
      </c>
      <c r="K484" t="inlineStr">
        <is>
          <t>8.99</t>
        </is>
      </c>
      <c r="L484" t="n">
        <v>14.99</v>
      </c>
      <c r="M484" s="1" t="inlineStr">
        <is>
          <t>66.74%</t>
        </is>
      </c>
      <c r="N484" s="1" t="n">
        <v>3.56</v>
      </c>
      <c r="O484" t="n">
        <v>4.4</v>
      </c>
      <c r="P484" t="n">
        <v>196</v>
      </c>
      <c r="R484" t="inlineStr">
        <is>
          <t>InStock</t>
        </is>
      </c>
      <c r="S484" t="inlineStr">
        <is>
          <t>12.6</t>
        </is>
      </c>
      <c r="T484" t="inlineStr">
        <is>
          <t>6091658428589</t>
        </is>
      </c>
    </row>
    <row r="485" hidden="1" ht="15.75" customHeight="1">
      <c r="A485" s="2">
        <f>HYPERLINK("https://edmondsonsupply.com/collections/personal-protection-safety/products/klein-tools-60160-standard-safety-glasses-gray-lens", "https://edmondsonsupply.com/collections/personal-protection-safety/products/klein-tools-60160-standard-safety-glasses-gray-lens")</f>
        <v/>
      </c>
      <c r="B485" s="2">
        <f>HYPERLINK("https://edmondsonsupply.com/products/klein-tools-60160-standard-safety-glasses-gray-lens", "https://edmondsonsupply.com/products/klein-tools-60160-standard-safety-glasses-gray-lens")</f>
        <v/>
      </c>
      <c r="C485" t="inlineStr">
        <is>
          <t>Klein Tools 60160 Standard Safety Glasses, Gray Lens</t>
        </is>
      </c>
      <c r="D485" t="inlineStr">
        <is>
          <t>Klein Tools 60164 Safety Glasses, Professional PPE Protective Eyewear with Full Frame, Scratch Resistant and Anti-Fog, Gray Lens 5.6 x 4 inch</t>
        </is>
      </c>
      <c r="E485" s="2">
        <f>HYPERLINK("https://www.amazon.com/Klein-60164-Professional-Protective-Resistant/dp/B08B4BNSHM/ref=sr_1_4?keywords=Klein+Tools+60160+Standard+Safety+Glasses%2C+Gray+Lens&amp;qid=1694734511&amp;sr=8-4", "https://www.amazon.com/Klein-60164-Professional-Protective-Resistant/dp/B08B4BNSHM/ref=sr_1_4?keywords=Klein+Tools+60160+Standard+Safety+Glasses%2C+Gray+Lens&amp;qid=1694734511&amp;sr=8-4")</f>
        <v/>
      </c>
      <c r="F485" t="inlineStr">
        <is>
          <t>B08B4BNSHM</t>
        </is>
      </c>
      <c r="G485">
        <f>_xludf.IMAGE("https://edmondsonsupply.com/cdn/shop/products/60160.jpg?v=1633030843")</f>
        <v/>
      </c>
      <c r="H485">
        <f>_xludf.IMAGE("https://m.media-amazon.com/images/I/41bNrH9NnFL._AC_UL320_.jpg")</f>
        <v/>
      </c>
      <c r="K485" t="inlineStr">
        <is>
          <t>8.99</t>
        </is>
      </c>
      <c r="L485" t="n">
        <v>14.99</v>
      </c>
      <c r="M485" s="1" t="inlineStr">
        <is>
          <t>66.74%</t>
        </is>
      </c>
      <c r="N485" s="1" t="n">
        <v>3.5</v>
      </c>
      <c r="O485" t="n">
        <v>4.4</v>
      </c>
      <c r="P485" t="n">
        <v>459</v>
      </c>
      <c r="R485" t="inlineStr">
        <is>
          <t>InStock</t>
        </is>
      </c>
      <c r="S485" t="inlineStr">
        <is>
          <t>12.6</t>
        </is>
      </c>
      <c r="T485" t="inlineStr">
        <is>
          <t>6091953111213</t>
        </is>
      </c>
    </row>
    <row r="486" ht="87" customHeight="1">
      <c r="A486" s="2">
        <f>HYPERLINK("https://edmondsonsupply.com/collections/personal-protection-safety/products/klein-tools-60539-professional-safety-glasses-full-frame-polarized-lens", "https://edmondsonsupply.com/collections/personal-protection-safety/products/klein-tools-60539-professional-safety-glasses-full-frame-polarized-lens")</f>
        <v/>
      </c>
      <c r="B486" s="2">
        <f>HYPERLINK("https://edmondsonsupply.com/products/klein-tools-60539-professional-safety-glasses-full-frame-polarized-lens", "https://edmondsonsupply.com/products/klein-tools-60539-professional-safety-glasses-full-frame-polarized-lens")</f>
        <v/>
      </c>
      <c r="C486" t="inlineStr">
        <is>
          <t>Klein Tools 60539 Professional Safety Glasses, Full Frame, Polarized Lens</t>
        </is>
      </c>
      <c r="D486" t="inlineStr">
        <is>
          <t>Klein Tools 80055 Safety Glasses Kit, Professional Safety Glasses with Full Frame, Gray Lens and Breakaway Lanyard, 8-Piece</t>
        </is>
      </c>
      <c r="E486" s="2">
        <f>HYPERLINK("https://www.amazon.com/Klein-80055-Glasses-Professional-Breakaway/dp/B09HR9RV4H/ref=sr_1_4?keywords=Klein+Tools+60539+Professional+Safety+Glasses%2C+Full+Frame%2C+Polarized+Lens&amp;qid=1694734488&amp;sr=8-4", "https://www.amazon.com/Klein-80055-Glasses-Professional-Breakaway/dp/B09HR9RV4H/ref=sr_1_4?keywords=Klein+Tools+60539+Professional+Safety+Glasses%2C+Full+Frame%2C+Polarized+Lens&amp;qid=1694734488&amp;sr=8-4")</f>
        <v/>
      </c>
      <c r="F486" t="inlineStr">
        <is>
          <t>B09HR9RV4H</t>
        </is>
      </c>
      <c r="G486">
        <f>_xlfn.IMAGE("https://edmondsonsupply.com/cdn/shop/products/60539.jpg?v=1670948006")</f>
        <v/>
      </c>
      <c r="H486">
        <f>_xlfn.IMAGE("https://m.media-amazon.com/images/I/61L5l7dmmiL._AC_UL320_.jpg")</f>
        <v/>
      </c>
      <c r="K486" t="inlineStr">
        <is>
          <t>29.99</t>
        </is>
      </c>
      <c r="L486" t="n">
        <v>49.99</v>
      </c>
      <c r="M486" s="1" t="inlineStr">
        <is>
          <t>66.69%</t>
        </is>
      </c>
      <c r="N486" s="7" t="n">
        <v>0.63</v>
      </c>
      <c r="O486" t="n">
        <v>4.5</v>
      </c>
      <c r="P486" t="n">
        <v>13</v>
      </c>
      <c r="R486" t="inlineStr">
        <is>
          <t>InStock</t>
        </is>
      </c>
      <c r="S486" t="inlineStr">
        <is>
          <t>41.98</t>
        </is>
      </c>
      <c r="T486" t="inlineStr">
        <is>
          <t>7904008536280</t>
        </is>
      </c>
    </row>
    <row r="487" ht="87" customHeight="1">
      <c r="A487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487" s="2">
        <f>HYPERLINK("https://edmondsonsupply.com/products/klein-tools-60100-hard-hat-non-vented-cap-style-white", "https://edmondsonsupply.com/products/klein-tools-60100-hard-hat-non-vented-cap-style-white")</f>
        <v/>
      </c>
      <c r="C487" t="inlineStr">
        <is>
          <t>Klein Tools 60100 Hard Hat, Non-Vented, Cap Style, White</t>
        </is>
      </c>
      <c r="D487" t="inlineStr">
        <is>
          <t>Klein Tools 60401 Hard Hat, Vented, Full Brim Style, Padded, Self-Wicking Odor-Resistant Sweatband, White &amp; 60181 Cooling Helmet Liner, Under Hard Hat Cap with Mesh Fabric at Crown</t>
        </is>
      </c>
      <c r="E487" s="2">
        <f>HYPERLINK("https://www.amazon.com/Klein-Tools-Self-Wicking-Odor-Resistant-Sweatband/dp/B0BGJ5GTKV/ref=sr_1_12?keywords=Klein+Tools+60100+Hard+Hat%2C+Non-Vented%2C+Cap+Style%2C+White&amp;qid=1694734495&amp;sr=8-12", "https://www.amazon.com/Klein-Tools-Self-Wicking-Odor-Resistant-Sweatband/dp/B0BGJ5GTKV/ref=sr_1_12?keywords=Klein+Tools+60100+Hard+Hat%2C+Non-Vented%2C+Cap+Style%2C+White&amp;qid=1694734495&amp;sr=8-12")</f>
        <v/>
      </c>
      <c r="F487" t="inlineStr">
        <is>
          <t>B0BGJ5GTKV</t>
        </is>
      </c>
      <c r="G487">
        <f>_xlfn.IMAGE("https://edmondsonsupply.com/cdn/shop/products/60100_c.jpg?v=1648166061")</f>
        <v/>
      </c>
      <c r="H487">
        <f>_xlfn.IMAGE("https://m.media-amazon.com/images/I/41lJ1V88-+L._AC_UL320_.jpg")</f>
        <v/>
      </c>
      <c r="K487" t="inlineStr">
        <is>
          <t>39.99</t>
        </is>
      </c>
      <c r="L487" t="n">
        <v>66.65000000000001</v>
      </c>
      <c r="M487" s="1" t="inlineStr">
        <is>
          <t>66.67%</t>
        </is>
      </c>
      <c r="N487" s="7" t="n">
        <v>0.08</v>
      </c>
      <c r="O487" t="n">
        <v>5</v>
      </c>
      <c r="P487" t="n">
        <v>1</v>
      </c>
      <c r="R487" t="inlineStr">
        <is>
          <t>OutOfStock</t>
        </is>
      </c>
      <c r="S487" t="inlineStr">
        <is>
          <t>55.44</t>
        </is>
      </c>
      <c r="T487" t="inlineStr">
        <is>
          <t>7643170406616</t>
        </is>
      </c>
    </row>
    <row r="488" ht="87" customHeight="1">
      <c r="A488" s="2">
        <f>HYPERLINK("https://edmondsonsupply.com/collections/personal-protection-safety/products/klein-tools-60345-hard-hat-premium-karbn%E2%84%A2-pattern-non-vented-full-brim-class-e", "https://edmondsonsupply.com/collections/personal-protection-safety/products/klein-tools-60345-hard-hat-premium-karbn%E2%84%A2-pattern-non-vented-full-brim-class-e")</f>
        <v/>
      </c>
      <c r="B488" s="2">
        <f>HYPERLINK("https://edmondsonsupply.com/products/klein-tools-60345-hard-hat-premium-karbn%e2%84%a2-pattern-non-vented-full-brim-class-e", "https://edmondsonsupply.com/products/klein-tools-60345-hard-hat-premium-karbn%e2%84%a2-pattern-non-vented-full-brim-class-e")</f>
        <v/>
      </c>
      <c r="C488" t="inlineStr">
        <is>
          <t>Klein Tools 60345 Hard Hat, Premium KARBN™ Pattern, Non-Vented Full Brim, Class E</t>
        </is>
      </c>
      <c r="D488" t="inlineStr">
        <is>
          <t>Klein Tools 60346 Hard Hat, Non-Vented Full Brim, Class E, Premium KARBN Pattern &amp; 60181 Cooling Helmet Liner, Under Hard Hat Cap with Mesh Fabric at Crown</t>
        </is>
      </c>
      <c r="E488" s="2">
        <f>HYPERLINK("https://www.amazon.com/Klein-Tools-Non-Vented-Premium-Pattern/dp/B09Z8ZC2TJ/ref=sr_1_3?keywords=Klein+Tools+60345+Hard+Hat%2C+Premium+KARBN%E2%84%A2+Pattern%2C+Non-Vented+Full+Brim%2C+Class+E&amp;qid=1694734496&amp;sr=8-3", "https://www.amazon.com/Klein-Tools-Non-Vented-Premium-Pattern/dp/B09Z8ZC2TJ/ref=sr_1_3?keywords=Klein+Tools+60345+Hard+Hat%2C+Premium+KARBN%E2%84%A2+Pattern%2C+Non-Vented+Full+Brim%2C+Class+E&amp;qid=1694734496&amp;sr=8-3")</f>
        <v/>
      </c>
      <c r="F488" t="inlineStr">
        <is>
          <t>B09Z8ZC2TJ</t>
        </is>
      </c>
      <c r="G488">
        <f>_xlfn.IMAGE("https://edmondsonsupply.com/cdn/shop/products/60345.jpg?v=1660171739")</f>
        <v/>
      </c>
      <c r="H488">
        <f>_xlfn.IMAGE("https://m.media-amazon.com/images/I/51OeMTIeiuL._AC_UL320_.jpg")</f>
        <v/>
      </c>
      <c r="K488" t="inlineStr">
        <is>
          <t>59.99</t>
        </is>
      </c>
      <c r="L488" t="n">
        <v>99.98</v>
      </c>
      <c r="M488" s="1" t="inlineStr">
        <is>
          <t>66.66%</t>
        </is>
      </c>
      <c r="N488" s="7" t="n">
        <v>0</v>
      </c>
      <c r="O488" t="n">
        <v>4.7</v>
      </c>
      <c r="P488" t="n">
        <v>8</v>
      </c>
      <c r="R488" t="inlineStr">
        <is>
          <t>InStock</t>
        </is>
      </c>
      <c r="S488" t="inlineStr">
        <is>
          <t>81.02</t>
        </is>
      </c>
      <c r="T488" t="inlineStr">
        <is>
          <t>7778045493464</t>
        </is>
      </c>
    </row>
    <row r="489" ht="87" customHeight="1">
      <c r="A489" s="2">
        <f>HYPERLINK("https://edmondsonsupply.com/collections/personal-protection-safety/products/klein-tools-40227-journeyman-leather-utility-gloves-large", "https://edmondsonsupply.com/collections/personal-protection-safety/products/klein-tools-40227-journeyman-leather-utility-gloves-large")</f>
        <v/>
      </c>
      <c r="B489" s="2">
        <f>HYPERLINK("https://edmondsonsupply.com/products/klein-tools-40227-journeyman-leather-utility-gloves-large", "https://edmondsonsupply.com/products/klein-tools-40227-journeyman-leather-utility-gloves-large")</f>
        <v/>
      </c>
      <c r="C489" t="inlineStr">
        <is>
          <t>Klein Tools 40227 Journeyman Leather Utility Gloves, Large</t>
        </is>
      </c>
      <c r="D489" t="inlineStr">
        <is>
          <t>Klein Tools 40221 Journeyman Leather Gloves, Large</t>
        </is>
      </c>
      <c r="E489" s="2">
        <f>HYPERLINK("https://www.amazon.com/Journeyman-Leather-Klein-Tools-40221/dp/B00KWJ98QG/ref=sr_1_4?keywords=Klein+Tools+40227+Journeyman+Leather+Utility+Gloves%2C+Large&amp;qid=1694734528&amp;sr=8-4", "https://www.amazon.com/Journeyman-Leather-Klein-Tools-40221/dp/B00KWJ98QG/ref=sr_1_4?keywords=Klein+Tools+40227+Journeyman+Leather+Utility+Gloves%2C+Large&amp;qid=1694734528&amp;sr=8-4")</f>
        <v/>
      </c>
      <c r="F489" t="inlineStr">
        <is>
          <t>B00KWJ98QG</t>
        </is>
      </c>
      <c r="G489">
        <f>_xlfn.IMAGE("https://edmondsonsupply.com/cdn/shop/products/40227.jpg?v=1633030298")</f>
        <v/>
      </c>
      <c r="H489">
        <f>_xlfn.IMAGE("https://m.media-amazon.com/images/I/61e9r7Pq+oL._AC_UL320_.jpg")</f>
        <v/>
      </c>
      <c r="K489" t="inlineStr">
        <is>
          <t>26.99</t>
        </is>
      </c>
      <c r="L489" t="n">
        <v>44.49</v>
      </c>
      <c r="M489" s="1" t="inlineStr">
        <is>
          <t>64.84%</t>
        </is>
      </c>
      <c r="N489" s="7" t="n">
        <v>0</v>
      </c>
      <c r="O489" t="n">
        <v>4.4</v>
      </c>
      <c r="P489" t="n">
        <v>46</v>
      </c>
      <c r="R489" t="inlineStr">
        <is>
          <t>InStock</t>
        </is>
      </c>
      <c r="S489" t="inlineStr">
        <is>
          <t>39.12</t>
        </is>
      </c>
      <c r="T489" t="inlineStr">
        <is>
          <t>5240629723304</t>
        </is>
      </c>
    </row>
    <row r="490" ht="87" customHeight="1">
      <c r="A490" s="2">
        <f>HYPERLINK("https://edmondsonsupply.com/collections/personal-protection-safety/products/klein-tools-60246-p100-half-mask-respirator-s-m", "https://edmondsonsupply.com/collections/personal-protection-safety/products/klein-tools-60246-p100-half-mask-respirator-s-m")</f>
        <v/>
      </c>
      <c r="B490" s="2">
        <f>HYPERLINK("https://edmondsonsupply.com/products/klein-tools-60246-p100-half-mask-respirator-s-m", "https://edmondsonsupply.com/products/klein-tools-60246-p100-half-mask-respirator-s-m")</f>
        <v/>
      </c>
      <c r="C490" t="inlineStr">
        <is>
          <t>Klein Tools 60246 P100 Half-Mask Respirator, S/M</t>
        </is>
      </c>
      <c r="D490" t="inlineStr">
        <is>
          <t>Klein Tools 80044 Face Mask, P100 Half-Mask Respirator Kit with P100 Mask and Replacement Filters For Dust, Metal Fumes, and Mists, Size M/L</t>
        </is>
      </c>
      <c r="E490" s="2">
        <f>HYPERLINK("https://www.amazon.com/Klein-80044-Half-Mask-Respirator-Replacement/dp/B09FW2FRX8/ref=sr_1_2?keywords=Klein+Tools+60246+P100+Half-Mask+Respirator%2C+S%2FM&amp;qid=1694734476&amp;sr=8-2", "https://www.amazon.com/Klein-80044-Half-Mask-Respirator-Replacement/dp/B09FW2FRX8/ref=sr_1_2?keywords=Klein+Tools+60246+P100+Half-Mask+Respirator%2C+S%2FM&amp;qid=1694734476&amp;sr=8-2")</f>
        <v/>
      </c>
      <c r="F490" t="inlineStr">
        <is>
          <t>B09FW2FRX8</t>
        </is>
      </c>
      <c r="G490">
        <f>_xlfn.IMAGE("https://edmondsonsupply.com/cdn/shop/products/60246.jpg?v=1661862728")</f>
        <v/>
      </c>
      <c r="H490">
        <f>_xlfn.IMAGE("https://m.media-amazon.com/images/I/61kQgRHQL4L._AC_UL320_.jpg")</f>
        <v/>
      </c>
      <c r="K490" t="inlineStr">
        <is>
          <t>29.99</t>
        </is>
      </c>
      <c r="L490" t="n">
        <v>49.4</v>
      </c>
      <c r="M490" s="1" t="inlineStr">
        <is>
          <t>64.72%</t>
        </is>
      </c>
      <c r="N490" s="7" t="n">
        <v>0</v>
      </c>
      <c r="O490" t="n">
        <v>4.4</v>
      </c>
      <c r="P490" t="n">
        <v>19</v>
      </c>
      <c r="R490" t="inlineStr">
        <is>
          <t>InStock</t>
        </is>
      </c>
      <c r="S490" t="inlineStr">
        <is>
          <t>43.5</t>
        </is>
      </c>
      <c r="T490" t="inlineStr">
        <is>
          <t>7797322383576</t>
        </is>
      </c>
    </row>
    <row r="491" ht="87" customHeight="1">
      <c r="A491" s="2">
        <f>HYPERLINK("https://edmondsonsupply.com/collections/personal-protection-safety/products/klein-tools-60244-p100-half-mask-respirator-m-l", "https://edmondsonsupply.com/collections/personal-protection-safety/products/klein-tools-60244-p100-half-mask-respirator-m-l")</f>
        <v/>
      </c>
      <c r="B491" s="2">
        <f>HYPERLINK("https://edmondsonsupply.com/products/klein-tools-60244-p100-half-mask-respirator-m-l", "https://edmondsonsupply.com/products/klein-tools-60244-p100-half-mask-respirator-m-l")</f>
        <v/>
      </c>
      <c r="C491" t="inlineStr">
        <is>
          <t>Klein Tools 60244 P100 Half-Mask Respirator, M/L</t>
        </is>
      </c>
      <c r="D491" t="inlineStr">
        <is>
          <t>Klein Tools 80044 Face Mask, P100 Half-Mask Respirator Kit with P100 Mask and Replacement Filters For Dust, Metal Fumes, and Mists, Size M/L</t>
        </is>
      </c>
      <c r="E491" s="2">
        <f>HYPERLINK("https://www.amazon.com/Klein-80044-Half-Mask-Respirator-Replacement/dp/B09FW2FRX8/ref=sr_1_3?keywords=Klein+Tools+60244+P100+Half-Mask+Respirator%2C+M%2FL&amp;qid=1694734495&amp;sr=8-3", "https://www.amazon.com/Klein-80044-Half-Mask-Respirator-Replacement/dp/B09FW2FRX8/ref=sr_1_3?keywords=Klein+Tools+60244+P100+Half-Mask+Respirator%2C+M%2FL&amp;qid=1694734495&amp;sr=8-3")</f>
        <v/>
      </c>
      <c r="F491" t="inlineStr">
        <is>
          <t>B09FW2FRX8</t>
        </is>
      </c>
      <c r="G491">
        <f>_xlfn.IMAGE("https://edmondsonsupply.com/cdn/shop/products/60246_7e68115f-7e07-4587-a48b-41d81558644a.jpg?v=1661864149")</f>
        <v/>
      </c>
      <c r="H491">
        <f>_xlfn.IMAGE("https://m.media-amazon.com/images/I/61kQgRHQL4L._AC_UL320_.jpg")</f>
        <v/>
      </c>
      <c r="K491" t="inlineStr">
        <is>
          <t>29.99</t>
        </is>
      </c>
      <c r="L491" t="n">
        <v>49.4</v>
      </c>
      <c r="M491" s="1" t="inlineStr">
        <is>
          <t>64.72%</t>
        </is>
      </c>
      <c r="N491" s="7" t="n">
        <v>0</v>
      </c>
      <c r="O491" t="n">
        <v>4.4</v>
      </c>
      <c r="P491" t="n">
        <v>19</v>
      </c>
      <c r="R491" t="inlineStr">
        <is>
          <t>InStock</t>
        </is>
      </c>
      <c r="S491" t="inlineStr">
        <is>
          <t>43.5</t>
        </is>
      </c>
      <c r="T491" t="inlineStr">
        <is>
          <t>7797350039768</t>
        </is>
      </c>
    </row>
    <row r="492" ht="87" customHeight="1">
      <c r="A492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492" s="2">
        <f>HYPERLINK("https://edmondsonsupply.com/products/klein-tools-60100-hard-hat-non-vented-cap-style-white", "https://edmondsonsupply.com/products/klein-tools-60100-hard-hat-non-vented-cap-style-white")</f>
        <v/>
      </c>
      <c r="C492" t="inlineStr">
        <is>
          <t>Klein Tools 60100 Hard Hat, Non-Vented, Cap Style, White</t>
        </is>
      </c>
      <c r="D492" t="inlineStr">
        <is>
          <t>Klein Tools 60407 Hard Hat, Light, Vented Full Brim Style, Padded, Self-Wicking Odor-Resistant Sweatband, White &amp; 60181 Cooling Helmet Liner, Under Hard Hat Cap with Mesh Fabric at Crown</t>
        </is>
      </c>
      <c r="E492" s="2">
        <f>HYPERLINK("https://www.amazon.com/Klein-Tools-Self-Wicking-Odor-Resistant-Sweatband/dp/B0B68NYYM7/ref=sr_1_8?keywords=Klein+Tools+60100+Hard+Hat%2C+Non-Vented%2C+Cap+Style%2C+White&amp;qid=1694734495&amp;sr=8-8", "https://www.amazon.com/Klein-Tools-Self-Wicking-Odor-Resistant-Sweatband/dp/B0B68NYYM7/ref=sr_1_8?keywords=Klein+Tools+60100+Hard+Hat%2C+Non-Vented%2C+Cap+Style%2C+White&amp;qid=1694734495&amp;sr=8-8")</f>
        <v/>
      </c>
      <c r="F492" t="inlineStr">
        <is>
          <t>B0B68NYYM7</t>
        </is>
      </c>
      <c r="G492">
        <f>_xlfn.IMAGE("https://edmondsonsupply.com/cdn/shop/products/60100_c.jpg?v=1648166061")</f>
        <v/>
      </c>
      <c r="H492">
        <f>_xlfn.IMAGE("https://m.media-amazon.com/images/I/41IulVK0+jL._AC_UL320_.jpg")</f>
        <v/>
      </c>
      <c r="K492" t="inlineStr">
        <is>
          <t>39.99</t>
        </is>
      </c>
      <c r="L492" t="n">
        <v>64.95999999999999</v>
      </c>
      <c r="M492" s="1" t="inlineStr">
        <is>
          <t>62.44%</t>
        </is>
      </c>
      <c r="N492" s="7" t="n">
        <v>0</v>
      </c>
      <c r="O492" t="n">
        <v>4.5</v>
      </c>
      <c r="P492" t="n">
        <v>15</v>
      </c>
      <c r="R492" t="inlineStr">
        <is>
          <t>OutOfStock</t>
        </is>
      </c>
      <c r="S492" t="inlineStr">
        <is>
          <t>55.44</t>
        </is>
      </c>
      <c r="T492" t="inlineStr">
        <is>
          <t>7643170406616</t>
        </is>
      </c>
    </row>
    <row r="493" ht="87" customHeight="1">
      <c r="A493" s="2">
        <f>HYPERLINK("https://edmondsonsupply.com/collections/personal-protection-safety/products/klein-tools-60161-professional-safety-glasses-clear-lens", "https://edmondsonsupply.com/collections/personal-protection-safety/products/klein-tools-60161-professional-safety-glasses-clear-lens")</f>
        <v/>
      </c>
      <c r="B493" s="2">
        <f>HYPERLINK("https://edmondsonsupply.com/products/klein-tools-60161-professional-safety-glasses-clear-lens", "https://edmondsonsupply.com/products/klein-tools-60161-professional-safety-glasses-clear-lens")</f>
        <v/>
      </c>
      <c r="C493" t="inlineStr">
        <is>
          <t>Klein Tools 60161 Professional Safety Glasses, Clear Lens</t>
        </is>
      </c>
      <c r="D493" t="inlineStr">
        <is>
          <t>Klein Tools 60537 Safety Glasses, Professional PPE Protective Eyewear with Full Frame, Scratch Resistant and Anti-Fog, Indoor/Outdoor Lens</t>
        </is>
      </c>
      <c r="E493" s="2">
        <f>HYPERLINK("https://www.amazon.com/Klein-Tools-60537-Professional-Protective/dp/B0BLQM26TJ/ref=sr_1_9?keywords=Klein+Tools+60161+Professional+Safety+Glasses%2C+Clear+Lens&amp;qid=1694734510&amp;sr=8-9", "https://www.amazon.com/Klein-Tools-60537-Professional-Protective/dp/B0BLQM26TJ/ref=sr_1_9?keywords=Klein+Tools+60161+Professional+Safety+Glasses%2C+Clear+Lens&amp;qid=1694734510&amp;sr=8-9")</f>
        <v/>
      </c>
      <c r="F493" t="inlineStr">
        <is>
          <t>B0BLQM26TJ</t>
        </is>
      </c>
      <c r="G493">
        <f>_xlfn.IMAGE("https://edmondsonsupply.com/cdn/shop/products/60161.jpg?v=1633030845")</f>
        <v/>
      </c>
      <c r="H493">
        <f>_xlfn.IMAGE("https://m.media-amazon.com/images/I/41ZbdEu2lCL._AC_UL320_.jpg")</f>
        <v/>
      </c>
      <c r="K493" t="inlineStr">
        <is>
          <t>12.99</t>
        </is>
      </c>
      <c r="L493" t="n">
        <v>20.99</v>
      </c>
      <c r="M493" s="1" t="inlineStr">
        <is>
          <t>61.59%</t>
        </is>
      </c>
      <c r="N493" s="7" t="n">
        <v>0</v>
      </c>
      <c r="O493" t="n">
        <v>4.5</v>
      </c>
      <c r="P493" t="n">
        <v>14</v>
      </c>
      <c r="R493" t="inlineStr">
        <is>
          <t>InStock</t>
        </is>
      </c>
      <c r="S493" t="inlineStr">
        <is>
          <t>18.0</t>
        </is>
      </c>
      <c r="T493" t="inlineStr">
        <is>
          <t>6092105285805</t>
        </is>
      </c>
    </row>
    <row r="494" ht="87" customHeight="1">
      <c r="A494" s="2">
        <f>HYPERLINK("https://edmondsonsupply.com/collections/personal-protection-safety/products/klein-tools-60536-professional-safety-glasses-indoor-outdoor-lens", "https://edmondsonsupply.com/collections/personal-protection-safety/products/klein-tools-60536-professional-safety-glasses-indoor-outdoor-lens")</f>
        <v/>
      </c>
      <c r="B494" s="2">
        <f>HYPERLINK("https://edmondsonsupply.com/products/klein-tools-60536-professional-safety-glasses-indoor-outdoor-lens", "https://edmondsonsupply.com/products/klein-tools-60536-professional-safety-glasses-indoor-outdoor-lens")</f>
        <v/>
      </c>
      <c r="C494" t="inlineStr">
        <is>
          <t>Klein Tools 60536 Professional Safety Glasses, Indoor/Outdoor Lens</t>
        </is>
      </c>
      <c r="D494" t="inlineStr">
        <is>
          <t>Klein Tools 60537 Safety Glasses, Professional PPE Protective Eyewear with Full Frame, Scratch Resistant and Anti-Fog, Indoor/Outdoor Lens</t>
        </is>
      </c>
      <c r="E494" s="2">
        <f>HYPERLINK("https://www.amazon.com/Klein-Tools-60537-Professional-Protective/dp/B0BLQM26TJ/ref=sr_1_2?keywords=Klein+Tools+60536+Professional+Safety+Glasses%2C+Indoor%2FOutdoor+Lens&amp;qid=1694734482&amp;sr=8-2", "https://www.amazon.com/Klein-Tools-60537-Professional-Protective/dp/B0BLQM26TJ/ref=sr_1_2?keywords=Klein+Tools+60536+Professional+Safety+Glasses%2C+Indoor%2FOutdoor+Lens&amp;qid=1694734482&amp;sr=8-2")</f>
        <v/>
      </c>
      <c r="F494" t="inlineStr">
        <is>
          <t>B0BLQM26TJ</t>
        </is>
      </c>
      <c r="G494">
        <f>_xlfn.IMAGE("https://edmondsonsupply.com/cdn/shop/products/60536.jpg?v=1670946435")</f>
        <v/>
      </c>
      <c r="H494">
        <f>_xlfn.IMAGE("https://m.media-amazon.com/images/I/41ZbdEu2lCL._AC_UL320_.jpg")</f>
        <v/>
      </c>
      <c r="K494" t="inlineStr">
        <is>
          <t>12.99</t>
        </is>
      </c>
      <c r="L494" t="n">
        <v>20.99</v>
      </c>
      <c r="M494" s="1" t="inlineStr">
        <is>
          <t>61.59%</t>
        </is>
      </c>
      <c r="N494" s="7" t="n">
        <v>0</v>
      </c>
      <c r="O494" t="n">
        <v>4.5</v>
      </c>
      <c r="P494" t="n">
        <v>14</v>
      </c>
      <c r="R494" t="inlineStr">
        <is>
          <t>InStock</t>
        </is>
      </c>
      <c r="S494" t="inlineStr">
        <is>
          <t>18.0</t>
        </is>
      </c>
      <c r="T494" t="inlineStr">
        <is>
          <t>7903989563608</t>
        </is>
      </c>
    </row>
    <row r="495" ht="87" customHeight="1">
      <c r="A495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495" s="2">
        <f>HYPERLINK("https://edmondsonsupply.com/products/klein-tools-60162-professional-safety-glasses-gray-lens", "https://edmondsonsupply.com/products/klein-tools-60162-professional-safety-glasses-gray-lens")</f>
        <v/>
      </c>
      <c r="C495" t="inlineStr">
        <is>
          <t>Klein Tools 60162 Professional Safety Glasses, Gray Lens</t>
        </is>
      </c>
      <c r="D495" t="inlineStr">
        <is>
          <t>Klein Tools 60537 Safety Glasses, Professional PPE Protective Eyewear with Full Frame, Scratch Resistant and Anti-Fog, Indoor/Outdoor Lens</t>
        </is>
      </c>
      <c r="E495" s="2">
        <f>HYPERLINK("https://www.amazon.com/Klein-Tools-60537-Professional-Protective/dp/B0BLQM26TJ/ref=sr_1_11?keywords=Klein+Tools+60162+Professional+Safety+Glasses%2C+Gray+Lens&amp;qid=1694734505&amp;sr=8-11", "https://www.amazon.com/Klein-Tools-60537-Professional-Protective/dp/B0BLQM26TJ/ref=sr_1_11?keywords=Klein+Tools+60162+Professional+Safety+Glasses%2C+Gray+Lens&amp;qid=1694734505&amp;sr=8-11")</f>
        <v/>
      </c>
      <c r="F495" t="inlineStr">
        <is>
          <t>B0BLQM26TJ</t>
        </is>
      </c>
      <c r="G495">
        <f>_xlfn.IMAGE("https://edmondsonsupply.com/cdn/shop/products/60162.jpg?v=1633030847")</f>
        <v/>
      </c>
      <c r="H495">
        <f>_xlfn.IMAGE("https://m.media-amazon.com/images/I/41ZbdEu2lCL._AC_UL320_.jpg")</f>
        <v/>
      </c>
      <c r="K495" t="inlineStr">
        <is>
          <t>12.99</t>
        </is>
      </c>
      <c r="L495" t="n">
        <v>20.99</v>
      </c>
      <c r="M495" s="1" t="inlineStr">
        <is>
          <t>61.59%</t>
        </is>
      </c>
      <c r="N495" s="7" t="n">
        <v>0</v>
      </c>
      <c r="O495" t="n">
        <v>4.5</v>
      </c>
      <c r="P495" t="n">
        <v>14</v>
      </c>
      <c r="R495" t="inlineStr">
        <is>
          <t>InStock</t>
        </is>
      </c>
      <c r="S495" t="inlineStr">
        <is>
          <t>18.0</t>
        </is>
      </c>
      <c r="T495" t="inlineStr">
        <is>
          <t>6092128747693</t>
        </is>
      </c>
    </row>
    <row r="496" ht="87" customHeight="1">
      <c r="A496" s="2">
        <f>HYPERLINK("https://edmondsonsupply.com/collections/personal-protection-safety/products/hellberg-safety-secure-1-headband-hearing-protection", "https://edmondsonsupply.com/collections/personal-protection-safety/products/hellberg-safety-secure-1-headband-hearing-protection")</f>
        <v/>
      </c>
      <c r="B496" s="2">
        <f>HYPERLINK("https://edmondsonsupply.com/products/hellberg-safety-secure-1-headband-hearing-protection", "https://edmondsonsupply.com/products/hellberg-safety-secure-1-headband-hearing-protection")</f>
        <v/>
      </c>
      <c r="C496" t="inlineStr">
        <is>
          <t>Hellberg Safety Secure 1 Headband Hearing Protection</t>
        </is>
      </c>
      <c r="D496" t="inlineStr">
        <is>
          <t>Hellberg Safety 42003-001 Secure 3 Helmet Mount Hearing Protection, 27 dB NRR, Level 3 Protection for High to Very High Noise, Red</t>
        </is>
      </c>
      <c r="E496" s="2">
        <f>HYPERLINK("https://www.amazon.com/Hellberg-Safety-42003-001-Hearing-Protection/dp/B017DJJY02/ref=sr_1_7?keywords=Hellberg+Safety+Secure+1+Headband+Hearing+Protection&amp;qid=1694734499&amp;sr=8-7", "https://www.amazon.com/Hellberg-Safety-42003-001-Hearing-Protection/dp/B017DJJY02/ref=sr_1_7?keywords=Hellberg+Safety+Secure+1+Headband+Hearing+Protection&amp;qid=1694734499&amp;sr=8-7")</f>
        <v/>
      </c>
      <c r="F496" t="inlineStr">
        <is>
          <t>B017DJJY02</t>
        </is>
      </c>
      <c r="G496">
        <f>_xlfn.IMAGE("https://edmondsonsupply.com/cdn/shop/products/41001-001_Original_637469216954400000.jpg?v=1635625313")</f>
        <v/>
      </c>
      <c r="H496">
        <f>_xlfn.IMAGE("https://m.media-amazon.com/images/I/51w8Q2seNJL._AC_UL320_.jpg")</f>
        <v/>
      </c>
      <c r="K496" t="inlineStr">
        <is>
          <t>24.95</t>
        </is>
      </c>
      <c r="L496" t="n">
        <v>39.28</v>
      </c>
      <c r="M496" s="1" t="inlineStr">
        <is>
          <t>57.43%</t>
        </is>
      </c>
      <c r="N496" s="7" t="n">
        <v>0</v>
      </c>
      <c r="O496" t="n">
        <v>5</v>
      </c>
      <c r="P496" t="n">
        <v>3</v>
      </c>
      <c r="R496" t="inlineStr">
        <is>
          <t>InStock</t>
        </is>
      </c>
      <c r="S496" t="inlineStr">
        <is>
          <t>27.95</t>
        </is>
      </c>
      <c r="T496" t="inlineStr">
        <is>
          <t>7355683635416</t>
        </is>
      </c>
    </row>
    <row r="497" hidden="1" ht="15.75" customHeight="1">
      <c r="A497" s="2">
        <f>HYPERLINK("https://edmondsonsupply.com/collections/personal-protection-safety/products/edge-eyewear-sr116-reclus-black-frame-smoke-lens-safety-glasses", "https://edmondsonsupply.com/collections/personal-protection-safety/products/edge-eyewear-sr116-reclus-black-frame-smoke-lens-safety-glasses")</f>
        <v/>
      </c>
      <c r="B497" s="2">
        <f>HYPERLINK("https://edmondsonsupply.com/products/edge-eyewear-sr116-reclus-black-frame-smoke-lens-safety-glasses", "https://edmondsonsupply.com/products/edge-eyewear-sr116-reclus-black-frame-smoke-lens-safety-glasses")</f>
        <v/>
      </c>
      <c r="C497" t="inlineStr">
        <is>
          <t>Edge Eyewear SR116 Reclus - Black Frame/Smoke Lens, Safety Glasses</t>
        </is>
      </c>
      <c r="D497" t="inlineStr">
        <is>
          <t>Edge Eyewear Reclus Wrap-Around Safety Glasses (Black Frame, Polarized Smoke Lens) Premium Polarized Tinted Anti-Scratch Non-Slip UV400 Protection Glasses for All Day Comfort</t>
        </is>
      </c>
      <c r="E497" s="2">
        <f>HYPERLINK("https://www.amazon.com/TSR216-Polarized-Wrap-Around-Anti-Scratch-Compliant/dp/B08FXW56MB/ref=sr_1_2?keywords=Edge+Eyewear+SR116+Reclus+-+Black+Frame%2FSmoke+Lens%2C+Safety+Glasses&amp;qid=1694734504&amp;sr=8-2", "https://www.amazon.com/TSR216-Polarized-Wrap-Around-Anti-Scratch-Compliant/dp/B08FXW56MB/ref=sr_1_2?keywords=Edge+Eyewear+SR116+Reclus+-+Black+Frame%2FSmoke+Lens%2C+Safety+Glasses&amp;qid=1694734504&amp;sr=8-2")</f>
        <v/>
      </c>
      <c r="F497" t="inlineStr">
        <is>
          <t>B08FXW56MB</t>
        </is>
      </c>
      <c r="G497">
        <f>_xludf.IMAGE("https://edmondsonsupply.com/cdn/shop/products/SR116_1512x_cc8649c7-14e6-4c1c-9513-7dd61f5f7eb9.png?v=1633030940")</f>
        <v/>
      </c>
      <c r="H497">
        <f>_xludf.IMAGE("https://m.media-amazon.com/images/I/615MbbmlDXL._AC_UL320_.jpg")</f>
        <v/>
      </c>
      <c r="K497" t="inlineStr">
        <is>
          <t>16.47</t>
        </is>
      </c>
      <c r="L497" t="n">
        <v>25.72</v>
      </c>
      <c r="M497" s="1" t="inlineStr">
        <is>
          <t>56.16%</t>
        </is>
      </c>
      <c r="N497" s="1" t="n">
        <v>0</v>
      </c>
      <c r="O497" t="n">
        <v>3.8</v>
      </c>
      <c r="P497" t="n">
        <v>7</v>
      </c>
      <c r="R497" t="inlineStr">
        <is>
          <t>InStock</t>
        </is>
      </c>
      <c r="S497" t="inlineStr">
        <is>
          <t>18.3</t>
        </is>
      </c>
      <c r="T497" t="inlineStr">
        <is>
          <t>6572908085421</t>
        </is>
      </c>
    </row>
    <row r="498" ht="87" customHeight="1">
      <c r="A498" s="2">
        <f>HYPERLINK("https://edmondsonsupply.com/collections/personal-protection-safety/products/klein-tools-60347-hard-hat-premium-karbn%E2%84%A2-pattern-vented-full-brim-class-c-lamp", "https://edmondsonsupply.com/collections/personal-protection-safety/products/klein-tools-60347-hard-hat-premium-karbn%E2%84%A2-pattern-vented-full-brim-class-c-lamp")</f>
        <v/>
      </c>
      <c r="B498" s="2">
        <f>HYPERLINK("https://edmondsonsupply.com/products/klein-tools-60347-hard-hat-premium-karbn%e2%84%a2-pattern-vented-full-brim-class-c-lamp", "https://edmondsonsupply.com/products/klein-tools-60347-hard-hat-premium-karbn%e2%84%a2-pattern-vented-full-brim-class-c-lamp")</f>
        <v/>
      </c>
      <c r="C498" t="inlineStr">
        <is>
          <t>Klein Tools 60347 Hard Hat, Premium KARBN™ Pattern, Vented Full Brim, Class C, Lamp</t>
        </is>
      </c>
      <c r="D498" t="inlineStr">
        <is>
          <t>Klein Tools 60347 Hard Hat, Vented Full Brim, Class C, Premium KARBN Pattern, Rechargeable Lamp, Padded Sweat-Wicking Sweatband, Top Pad &amp; KHHSWTBND2 Hard Hat Sweatband Replacement, 3-Pack, Blue</t>
        </is>
      </c>
      <c r="E498" s="2">
        <f>HYPERLINK("https://www.amazon.com/Klein-Tools-Rechargeable-Sweat-Wicking-Replacement/dp/B0BFXRMN4S/ref=sr_1_2?keywords=Klein+Tools+60347+Hard+Hat%2C+Premium+KARBN%E2%84%A2+Pattern%2C+Vented+Full+Brim%2C+Class+C%2C+Lamp&amp;qid=1694734491&amp;sr=8-2", "https://www.amazon.com/Klein-Tools-Rechargeable-Sweat-Wicking-Replacement/dp/B0BFXRMN4S/ref=sr_1_2?keywords=Klein+Tools+60347+Hard+Hat%2C+Premium+KARBN%E2%84%A2+Pattern%2C+Vented+Full+Brim%2C+Class+C%2C+Lamp&amp;qid=1694734491&amp;sr=8-2")</f>
        <v/>
      </c>
      <c r="F498" t="inlineStr">
        <is>
          <t>B0BFXRMN4S</t>
        </is>
      </c>
      <c r="G498">
        <f>_xlfn.IMAGE("https://edmondsonsupply.com/cdn/shop/products/60347.jpg?v=1659454043")</f>
        <v/>
      </c>
      <c r="H498">
        <f>_xlfn.IMAGE("https://m.media-amazon.com/images/I/51cPFv+dtgL._AC_UL320_.jpg")</f>
        <v/>
      </c>
      <c r="K498" t="inlineStr">
        <is>
          <t>89.99</t>
        </is>
      </c>
      <c r="L498" t="n">
        <v>138.87</v>
      </c>
      <c r="M498" s="1" t="inlineStr">
        <is>
          <t>54.32%</t>
        </is>
      </c>
      <c r="N498" s="7" t="n">
        <v>0</v>
      </c>
      <c r="O498" t="n">
        <v>4.5</v>
      </c>
      <c r="P498" t="n">
        <v>9</v>
      </c>
      <c r="R498" t="inlineStr">
        <is>
          <t>OutOfStock</t>
        </is>
      </c>
      <c r="S498" t="inlineStr">
        <is>
          <t>123.76</t>
        </is>
      </c>
      <c r="T498" t="inlineStr">
        <is>
          <t>7769755975896</t>
        </is>
      </c>
    </row>
    <row r="499" ht="87" customHeight="1">
      <c r="A499" s="2">
        <f>HYPERLINK("https://edmondsonsupply.com/collections/personal-protection-safety/products/klein-tools-60346-hard-hat-premium-karbn%E2%84%A2-pattern-non-vented-full-brim-class-e-lamp", "https://edmondsonsupply.com/collections/personal-protection-safety/products/klein-tools-60346-hard-hat-premium-karbn%E2%84%A2-pattern-non-vented-full-brim-class-e-lamp")</f>
        <v/>
      </c>
      <c r="B499" s="2">
        <f>HYPERLINK("https://edmondsonsupply.com/products/klein-tools-60346-hard-hat-premium-karbn%e2%84%a2-pattern-non-vented-full-brim-class-e-lamp", "https://edmondsonsupply.com/products/klein-tools-60346-hard-hat-premium-karbn%e2%84%a2-pattern-non-vented-full-brim-class-e-lamp")</f>
        <v/>
      </c>
      <c r="C499" t="inlineStr">
        <is>
          <t>Klein Tools 60346 Hard Hat, Premium KARBN™ Pattern, Non-Vented Full Brim, Class E, Lamp</t>
        </is>
      </c>
      <c r="D499" t="inlineStr">
        <is>
          <t>Klein Tools 60347 Hard Hat, Vented Full Brim, Class C, Premium KARBN Pattern, Rechargeable Lamp, Padded Sweat-Wicking Sweatband, Top Pad &amp; KHHSWTBND2 Hard Hat Sweatband Replacement, 3-Pack, Blue</t>
        </is>
      </c>
      <c r="E499" s="2">
        <f>HYPERLINK("https://www.amazon.com/Klein-Tools-Rechargeable-Sweat-Wicking-Replacement/dp/B0BFXRMN4S/ref=sr_1_15?keywords=Klein+Tools+60346+Hard+Hat%2C+Premium+KARBN%E2%84%A2+Pattern%2C+Non-Vented+Full+Brim%2C+Class+E%2C+Lamp&amp;qid=1694734486&amp;sr=8-15", "https://www.amazon.com/Klein-Tools-Rechargeable-Sweat-Wicking-Replacement/dp/B0BFXRMN4S/ref=sr_1_15?keywords=Klein+Tools+60346+Hard+Hat%2C+Premium+KARBN%E2%84%A2+Pattern%2C+Non-Vented+Full+Brim%2C+Class+E%2C+Lamp&amp;qid=1694734486&amp;sr=8-15")</f>
        <v/>
      </c>
      <c r="F499" t="inlineStr">
        <is>
          <t>B0BFXRMN4S</t>
        </is>
      </c>
      <c r="G499">
        <f>_xlfn.IMAGE("https://edmondsonsupply.com/cdn/shop/products/60346.jpg?v=1660168162")</f>
        <v/>
      </c>
      <c r="H499">
        <f>_xlfn.IMAGE("https://m.media-amazon.com/images/I/51cPFv+dtgL._AC_UL320_.jpg")</f>
        <v/>
      </c>
      <c r="K499" t="inlineStr">
        <is>
          <t>89.99</t>
        </is>
      </c>
      <c r="L499" t="n">
        <v>138.87</v>
      </c>
      <c r="M499" s="1" t="inlineStr">
        <is>
          <t>54.32%</t>
        </is>
      </c>
      <c r="N499" s="7" t="n">
        <v>0</v>
      </c>
      <c r="O499" t="n">
        <v>4.5</v>
      </c>
      <c r="P499" t="n">
        <v>9</v>
      </c>
      <c r="R499" t="inlineStr">
        <is>
          <t>InStock</t>
        </is>
      </c>
      <c r="S499" t="inlineStr">
        <is>
          <t>123.76</t>
        </is>
      </c>
      <c r="T499" t="inlineStr">
        <is>
          <t>7778030321880</t>
        </is>
      </c>
    </row>
    <row r="500" ht="87" customHeight="1">
      <c r="A500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500" s="2">
        <f>HYPERLINK("https://edmondsonsupply.com/products/klein-tools-60100-hard-hat-non-vented-cap-style-white", "https://edmondsonsupply.com/products/klein-tools-60100-hard-hat-non-vented-cap-style-white")</f>
        <v/>
      </c>
      <c r="C500" t="inlineStr">
        <is>
          <t>Klein Tools 60100 Hard Hat, Non-Vented, Cap Style, White</t>
        </is>
      </c>
      <c r="D500" t="inlineStr">
        <is>
          <t>Klein Tools 60407RL Hard Hat, Rechargeable Headlamp, Vented, Full Brim Style, Padded Self-Wicking Odor-Resistant Sweatband, White, Large</t>
        </is>
      </c>
      <c r="E500" s="2">
        <f>HYPERLINK("https://www.amazon.com/Klein-Tools-60407RL-Rechargeable-Odor-Resistant/dp/B08DDTV9M3/ref=sr_1_13?keywords=Klein+Tools+60100+Hard+Hat%2C+Non-Vented%2C+Cap+Style%2C+White&amp;qid=1694734495&amp;sr=8-13", "https://www.amazon.com/Klein-Tools-60407RL-Rechargeable-Odor-Resistant/dp/B08DDTV9M3/ref=sr_1_13?keywords=Klein+Tools+60100+Hard+Hat%2C+Non-Vented%2C+Cap+Style%2C+White&amp;qid=1694734495&amp;sr=8-13")</f>
        <v/>
      </c>
      <c r="F500" t="inlineStr">
        <is>
          <t>B08DDTV9M3</t>
        </is>
      </c>
      <c r="G500">
        <f>_xlfn.IMAGE("https://edmondsonsupply.com/cdn/shop/products/60100_c.jpg?v=1648166061")</f>
        <v/>
      </c>
      <c r="H500">
        <f>_xlfn.IMAGE("https://m.media-amazon.com/images/I/61w2MM+yDgL._AC_UL320_.jpg")</f>
        <v/>
      </c>
      <c r="K500" t="inlineStr">
        <is>
          <t>39.99</t>
        </is>
      </c>
      <c r="L500" t="n">
        <v>60.37</v>
      </c>
      <c r="M500" s="1" t="inlineStr">
        <is>
          <t>50.96%</t>
        </is>
      </c>
      <c r="N500" s="7" t="n">
        <v>0</v>
      </c>
      <c r="O500" t="n">
        <v>4.7</v>
      </c>
      <c r="P500" t="n">
        <v>1575</v>
      </c>
      <c r="R500" t="inlineStr">
        <is>
          <t>OutOfStock</t>
        </is>
      </c>
      <c r="S500" t="inlineStr">
        <is>
          <t>55.44</t>
        </is>
      </c>
      <c r="T500" t="inlineStr">
        <is>
          <t>7643170406616</t>
        </is>
      </c>
    </row>
    <row r="501" hidden="1" ht="15.75" customHeight="1">
      <c r="A501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01" s="2">
        <f>HYPERLINK("https://edmondsonsupply.com/products/john-boy-tree-face-guard", "https://edmondsonsupply.com/products/john-boy-tree-face-guard")</f>
        <v/>
      </c>
      <c r="C501" t="inlineStr">
        <is>
          <t>John Boy TREE Face Guard</t>
        </is>
      </c>
      <c r="D501" t="inlineStr">
        <is>
          <t>JOHN BOY Thermal Face Guard - Double Layered Multi-Purpose Face Mask with UV Sun/Cold Protection &amp; Moisture Wicking Fabric</t>
        </is>
      </c>
      <c r="E501" s="2">
        <f>HYPERLINK("https://www.amazon.com/JOHN-Thermal-Face-Guard-Multi-Purpose/dp/B08T389826/ref=sr_1_5?keywords=John+Boy+TREE+Face+Guard&amp;qid=1694734508&amp;sr=8-5", "https://www.amazon.com/JOHN-Thermal-Face-Guard-Multi-Purpose/dp/B08T389826/ref=sr_1_5?keywords=John+Boy+TREE+Face+Guard&amp;qid=1694734508&amp;sr=8-5")</f>
        <v/>
      </c>
      <c r="F501" t="inlineStr">
        <is>
          <t>B08T389826</t>
        </is>
      </c>
      <c r="G501">
        <f>_xludf.IMAGE("https://edmondsonsupply.com/cdn/shop/products/tree-mockup.jpg?v=1633030898")</f>
        <v/>
      </c>
      <c r="H501">
        <f>_xludf.IMAGE("https://m.media-amazon.com/images/I/717xXoboaiL._AC_UL320_.jpg")</f>
        <v/>
      </c>
      <c r="K501" t="inlineStr">
        <is>
          <t>10.0</t>
        </is>
      </c>
      <c r="L501" t="n">
        <v>14.95</v>
      </c>
      <c r="M501" s="1" t="inlineStr">
        <is>
          <t>49.50%</t>
        </is>
      </c>
      <c r="N501" s="1" t="n">
        <v>0</v>
      </c>
      <c r="O501" t="n">
        <v>5</v>
      </c>
      <c r="P501" t="n">
        <v>1</v>
      </c>
      <c r="R501" t="inlineStr">
        <is>
          <t>InStock</t>
        </is>
      </c>
      <c r="S501" t="inlineStr">
        <is>
          <t>undefined</t>
        </is>
      </c>
      <c r="T501" t="inlineStr">
        <is>
          <t>6241649066157</t>
        </is>
      </c>
    </row>
    <row r="502" ht="87" customHeight="1">
      <c r="A502" s="2">
        <f>HYPERLINK("https://edmondsonsupply.com/collections/personal-protection-safety/products/klein-tools-56220-led-headlamp-flashlight-with-strap-for-hard-hat", "https://edmondsonsupply.com/collections/personal-protection-safety/products/klein-tools-56220-led-headlamp-flashlight-with-strap-for-hard-hat")</f>
        <v/>
      </c>
      <c r="B502" s="2">
        <f>HYPERLINK("https://edmondsonsupply.com/products/klein-tools-56220-led-headlamp-flashlight-with-strap-for-hard-hat", "https://edmondsonsupply.com/products/klein-tools-56220-led-headlamp-flashlight-with-strap-for-hard-hat")</f>
        <v/>
      </c>
      <c r="C502" t="inlineStr">
        <is>
          <t>Klein Tools 56220 LED Headlamp with Silicone Hard Hat Strap</t>
        </is>
      </c>
      <c r="D502" t="inlineStr">
        <is>
          <t>Klein ToolsKlein Tools 56062 Rechargeable LED Headlamp/Worklight &amp; 60181 Cooling Helmet Liner, Under Hard Hat Cap with Mesh Fabric at CrownKlein Tools</t>
        </is>
      </c>
      <c r="E502" s="2">
        <f>HYPERLINK("https://www.amazon.com/Klein-ToolsKlein-Tools-Rechargeable-CrownKlein/dp/B0BSKYB5BQ/ref=sr_1_17?keywords=Klein+Tools+56220+LED+Headlamp+with+Silicone+Hard+Hat+Strap&amp;qid=1694734480&amp;sr=8-17", "https://www.amazon.com/Klein-ToolsKlein-Tools-Rechargeable-CrownKlein/dp/B0BSKYB5BQ/ref=sr_1_17?keywords=Klein+Tools+56220+LED+Headlamp+with+Silicone+Hard+Hat+Strap&amp;qid=1694734480&amp;sr=8-17")</f>
        <v/>
      </c>
      <c r="F502" t="inlineStr">
        <is>
          <t>B0BSKYB5BQ</t>
        </is>
      </c>
      <c r="G502">
        <f>_xlfn.IMAGE("https://edmondsonsupply.com/cdn/shop/files/56220_874194e8-71d5-41d8-a579-6dec47b3f455.jpg?v=1687356671")</f>
        <v/>
      </c>
      <c r="H502">
        <f>_xlfn.IMAGE("https://m.media-amazon.com/images/I/51fFn-rpIJL._AC_UL320_.jpg")</f>
        <v/>
      </c>
      <c r="K502" t="inlineStr">
        <is>
          <t>26.97</t>
        </is>
      </c>
      <c r="L502" t="n">
        <v>39.96</v>
      </c>
      <c r="M502" s="1" t="inlineStr">
        <is>
          <t>48.16%</t>
        </is>
      </c>
      <c r="N502" s="7" t="n">
        <v>0</v>
      </c>
      <c r="O502" t="n">
        <v>5</v>
      </c>
      <c r="P502" t="n">
        <v>2</v>
      </c>
      <c r="R502" t="inlineStr">
        <is>
          <t>InStock</t>
        </is>
      </c>
      <c r="S502" t="inlineStr">
        <is>
          <t>37.8</t>
        </is>
      </c>
      <c r="T502" t="inlineStr">
        <is>
          <t>4167511605348</t>
        </is>
      </c>
    </row>
    <row r="503" ht="87" customHeight="1">
      <c r="A503" s="2">
        <f>HYPERLINK("https://edmondsonsupply.com/collections/personal-protection-safety/products/klein-tools-60401-hard-hat-vented-full-brim-style", "https://edmondsonsupply.com/collections/personal-protection-safety/products/klein-tools-60401-hard-hat-vented-full-brim-style")</f>
        <v/>
      </c>
      <c r="B503" s="2">
        <f>HYPERLINK("https://edmondsonsupply.com/products/klein-tools-60401-hard-hat-vented-full-brim-style", "https://edmondsonsupply.com/products/klein-tools-60401-hard-hat-vented-full-brim-style")</f>
        <v/>
      </c>
      <c r="C503" t="inlineStr">
        <is>
          <t>Klein Tools 60401 Hard Hat, Vented, Full Brim Style</t>
        </is>
      </c>
      <c r="D503" t="inlineStr">
        <is>
          <t>Klein Tools 60401 Hard Hat, Vented, Full Brim Style, Padded, Self-Wicking Odor-Resistant Sweatband, White &amp; 60181 Cooling Helmet Liner, Under Hard Hat Cap with Mesh Fabric at Crown</t>
        </is>
      </c>
      <c r="E503" s="2">
        <f>HYPERLINK("https://www.amazon.com/Klein-Tools-Self-Wicking-Odor-Resistant-Sweatband/dp/B0BGJ5GTKV/ref=sr_1_2?keywords=Klein+Tools+60401+Hard+Hat%2C+Vented%2C+Full+Brim+Style&amp;qid=1694734480&amp;sr=8-2", "https://www.amazon.com/Klein-Tools-Self-Wicking-Odor-Resistant-Sweatband/dp/B0BGJ5GTKV/ref=sr_1_2?keywords=Klein+Tools+60401+Hard+Hat%2C+Vented%2C+Full+Brim+Style&amp;qid=1694734480&amp;sr=8-2")</f>
        <v/>
      </c>
      <c r="F503" t="inlineStr">
        <is>
          <t>B0BGJ5GTKV</t>
        </is>
      </c>
      <c r="G503">
        <f>_xlfn.IMAGE("https://edmondsonsupply.com/cdn/shop/products/60401.jpg?v=1587143271")</f>
        <v/>
      </c>
      <c r="H503">
        <f>_xlfn.IMAGE("https://m.media-amazon.com/images/I/41lJ1V88-+L._AC_UL320_.jpg")</f>
        <v/>
      </c>
      <c r="K503" t="inlineStr">
        <is>
          <t>44.99</t>
        </is>
      </c>
      <c r="L503" t="n">
        <v>66.65000000000001</v>
      </c>
      <c r="M503" s="1" t="inlineStr">
        <is>
          <t>48.14%</t>
        </is>
      </c>
      <c r="N503" s="7" t="n">
        <v>0</v>
      </c>
      <c r="O503" t="n">
        <v>5</v>
      </c>
      <c r="P503" t="n">
        <v>1</v>
      </c>
      <c r="R503" t="inlineStr">
        <is>
          <t>InStock</t>
        </is>
      </c>
      <c r="S503" t="inlineStr">
        <is>
          <t>59.62</t>
        </is>
      </c>
      <c r="T503" t="inlineStr">
        <is>
          <t>4357112463460</t>
        </is>
      </c>
    </row>
    <row r="504" ht="87" customHeight="1">
      <c r="A504" s="2">
        <f>HYPERLINK("https://edmondsonsupply.com/collections/personal-protection-safety/products/klein-tools-55488-tradesman-pro%E2%84%A2-shoe-covers-large", "https://edmondsonsupply.com/collections/personal-protection-safety/products/klein-tools-55488-tradesman-pro%E2%84%A2-shoe-covers-large")</f>
        <v/>
      </c>
      <c r="B504" s="2">
        <f>HYPERLINK("https://edmondsonsupply.com/products/klein-tools-55488-tradesman-pro%e2%84%a2-shoe-covers-large", "https://edmondsonsupply.com/products/klein-tools-55488-tradesman-pro%e2%84%a2-shoe-covers-large")</f>
        <v/>
      </c>
      <c r="C504" t="inlineStr">
        <is>
          <t>Klein Tools 55488 Tradesman Pro™ Shoe Covers, Large</t>
        </is>
      </c>
      <c r="D504" t="inlineStr">
        <is>
          <t>Klein Tools 55488 Tradesman Pro Shoe Covers, Large</t>
        </is>
      </c>
      <c r="E504" s="2">
        <f>HYPERLINK("https://www.amazon.com/Tradesman-Covers-Klein-Tools-55488/dp/B075ZY8TD1/ref=sr_1_1?keywords=Klein+Tools+55488+Tradesman+Pro%E2%84%A2+Shoe+Covers%2C+Large&amp;qid=1694734527&amp;sr=8-1", "https://www.amazon.com/Tradesman-Covers-Klein-Tools-55488/dp/B075ZY8TD1/ref=sr_1_1?keywords=Klein+Tools+55488+Tradesman+Pro%E2%84%A2+Shoe+Covers%2C+Large&amp;qid=1694734527&amp;sr=8-1")</f>
        <v/>
      </c>
      <c r="F504" t="inlineStr">
        <is>
          <t>B075ZY8TD1</t>
        </is>
      </c>
      <c r="G504">
        <f>_xlfn.IMAGE("https://edmondsonsupply.com/cdn/shop/products/55487.jpg?v=1587148674")</f>
        <v/>
      </c>
      <c r="H504">
        <f>_xlfn.IMAGE("https://m.media-amazon.com/images/I/71Sw-BaYREL._AC_UL320_.jpg")</f>
        <v/>
      </c>
      <c r="K504" t="inlineStr">
        <is>
          <t>17.99</t>
        </is>
      </c>
      <c r="L504" t="n">
        <v>26.63</v>
      </c>
      <c r="M504" s="1" t="inlineStr">
        <is>
          <t>48.03%</t>
        </is>
      </c>
      <c r="N504" s="7" t="n">
        <v>0</v>
      </c>
      <c r="O504" t="n">
        <v>4.6</v>
      </c>
      <c r="P504" t="n">
        <v>256</v>
      </c>
      <c r="R504" t="inlineStr">
        <is>
          <t>InStock</t>
        </is>
      </c>
      <c r="S504" t="inlineStr">
        <is>
          <t>23.78</t>
        </is>
      </c>
      <c r="T504" t="inlineStr">
        <is>
          <t>1705925378148</t>
        </is>
      </c>
    </row>
    <row r="505" ht="87" customHeight="1">
      <c r="A505" s="2">
        <f>HYPERLINK("https://edmondsonsupply.com/collections/personal-protection-safety/products/klein-tools-60401-hard-hat-vented-full-brim-style", "https://edmondsonsupply.com/collections/personal-protection-safety/products/klein-tools-60401-hard-hat-vented-full-brim-style")</f>
        <v/>
      </c>
      <c r="B505" s="2">
        <f>HYPERLINK("https://edmondsonsupply.com/products/klein-tools-60401-hard-hat-vented-full-brim-style", "https://edmondsonsupply.com/products/klein-tools-60401-hard-hat-vented-full-brim-style")</f>
        <v/>
      </c>
      <c r="C505" t="inlineStr">
        <is>
          <t>Klein Tools 60401 Hard Hat, Vented, Full Brim Style</t>
        </is>
      </c>
      <c r="D505" t="inlineStr">
        <is>
          <t>Klein Tools 60407 Hard Hat, Light, Vented Full Brim Style, Padded, Self-Wicking Odor-Resistant Sweatband, White &amp; 60181 Cooling Helmet Liner, Under Hard Hat Cap with Mesh Fabric at Crown</t>
        </is>
      </c>
      <c r="E505" s="2">
        <f>HYPERLINK("https://www.amazon.com/Klein-Tools-Self-Wicking-Odor-Resistant-Sweatband/dp/B0B68NYYM7/ref=sr_1_10?keywords=Klein+Tools+60401+Hard+Hat%2C+Vented%2C+Full+Brim+Style&amp;qid=1694734480&amp;sr=8-10", "https://www.amazon.com/Klein-Tools-Self-Wicking-Odor-Resistant-Sweatband/dp/B0B68NYYM7/ref=sr_1_10?keywords=Klein+Tools+60401+Hard+Hat%2C+Vented%2C+Full+Brim+Style&amp;qid=1694734480&amp;sr=8-10")</f>
        <v/>
      </c>
      <c r="F505" t="inlineStr">
        <is>
          <t>B0B68NYYM7</t>
        </is>
      </c>
      <c r="G505">
        <f>_xlfn.IMAGE("https://edmondsonsupply.com/cdn/shop/products/60401.jpg?v=1587143271")</f>
        <v/>
      </c>
      <c r="H505">
        <f>_xlfn.IMAGE("https://m.media-amazon.com/images/I/41IulVK0+jL._AC_UL320_.jpg")</f>
        <v/>
      </c>
      <c r="K505" t="inlineStr">
        <is>
          <t>44.99</t>
        </is>
      </c>
      <c r="L505" t="n">
        <v>64.95999999999999</v>
      </c>
      <c r="M505" s="1" t="inlineStr">
        <is>
          <t>44.39%</t>
        </is>
      </c>
      <c r="N505" s="7" t="n">
        <v>0</v>
      </c>
      <c r="O505" t="n">
        <v>4.5</v>
      </c>
      <c r="P505" t="n">
        <v>15</v>
      </c>
      <c r="R505" t="inlineStr">
        <is>
          <t>InStock</t>
        </is>
      </c>
      <c r="S505" t="inlineStr">
        <is>
          <t>59.62</t>
        </is>
      </c>
      <c r="T505" t="inlineStr">
        <is>
          <t>4357112463460</t>
        </is>
      </c>
    </row>
    <row r="506" ht="87" customHeight="1">
      <c r="A506" s="2">
        <f>HYPERLINK("https://edmondsonsupply.com/collections/personal-protection-safety/products/klein-tools-60401-hard-hat-vented-full-brim-style", "https://edmondsonsupply.com/collections/personal-protection-safety/products/klein-tools-60401-hard-hat-vented-full-brim-style")</f>
        <v/>
      </c>
      <c r="B506" s="2">
        <f>HYPERLINK("https://edmondsonsupply.com/products/klein-tools-60401-hard-hat-vented-full-brim-style", "https://edmondsonsupply.com/products/klein-tools-60401-hard-hat-vented-full-brim-style")</f>
        <v/>
      </c>
      <c r="C506" t="inlineStr">
        <is>
          <t>Klein Tools 60401 Hard Hat, Vented, Full Brim Style</t>
        </is>
      </c>
      <c r="D506" t="inlineStr">
        <is>
          <t>Klein Tools Hard Hat, Vented, Full Brim with Headlamp &amp; KHHSTRP Chin Strap for Hard Hat, Multi-point Adjustment and Soft Chin Cup, Fits Klein Tools Hard Hats</t>
        </is>
      </c>
      <c r="E506" s="2">
        <f>HYPERLINK("https://www.amazon.com/Klein-Tools-Headlamp-Multi-point-Adjustment/dp/B08KGCJDG8/ref=sr_1_12?keywords=Klein+Tools+60401+Hard+Hat%2C+Vented%2C+Full+Brim+Style&amp;qid=1694734480&amp;sr=8-12", "https://www.amazon.com/Klein-Tools-Headlamp-Multi-point-Adjustment/dp/B08KGCJDG8/ref=sr_1_12?keywords=Klein+Tools+60401+Hard+Hat%2C+Vented%2C+Full+Brim+Style&amp;qid=1694734480&amp;sr=8-12")</f>
        <v/>
      </c>
      <c r="F506" t="inlineStr">
        <is>
          <t>B08KGCJDG8</t>
        </is>
      </c>
      <c r="G506">
        <f>_xlfn.IMAGE("https://edmondsonsupply.com/cdn/shop/products/60401.jpg?v=1587143271")</f>
        <v/>
      </c>
      <c r="H506">
        <f>_xlfn.IMAGE("https://m.media-amazon.com/images/I/51tnGRYa57L._AC_UL320_.jpg")</f>
        <v/>
      </c>
      <c r="K506" t="inlineStr">
        <is>
          <t>44.99</t>
        </is>
      </c>
      <c r="L506" t="n">
        <v>64.95999999999999</v>
      </c>
      <c r="M506" s="1" t="inlineStr">
        <is>
          <t>44.39%</t>
        </is>
      </c>
      <c r="N506" s="7" t="n">
        <v>0</v>
      </c>
      <c r="O506" t="n">
        <v>4.8</v>
      </c>
      <c r="P506" t="n">
        <v>8</v>
      </c>
      <c r="R506" t="inlineStr">
        <is>
          <t>InStock</t>
        </is>
      </c>
      <c r="S506" t="inlineStr">
        <is>
          <t>59.62</t>
        </is>
      </c>
      <c r="T506" t="inlineStr">
        <is>
          <t>4357112463460</t>
        </is>
      </c>
    </row>
    <row r="507" hidden="1" ht="15.75" customHeight="1">
      <c r="A507" s="2">
        <f>HYPERLINK("https://edmondsonsupply.com/collections/personal-protection-safety/products/klein-tools-60443-reusable-face-mask-filter-replacement-3-pack", "https://edmondsonsupply.com/collections/personal-protection-safety/products/klein-tools-60443-reusable-face-mask-filter-replacement-3-pack")</f>
        <v/>
      </c>
      <c r="B507" s="2">
        <f>HYPERLINK("https://edmondsonsupply.com/products/klein-tools-60443-reusable-face-mask-filter-replacement-3-pack", "https://edmondsonsupply.com/products/klein-tools-60443-reusable-face-mask-filter-replacement-3-pack")</f>
        <v/>
      </c>
      <c r="C507" t="inlineStr">
        <is>
          <t>Klein Tools 60443 Reusable Face Mask Filter Replacement, 3-Pack</t>
        </is>
      </c>
      <c r="D507" t="inlineStr">
        <is>
          <t>Klein Tools 60443 Reusable Face Mask Filter Replacement, for use with Reusable Face Mask (Cat. No. 60442), 3-Pack,Black</t>
        </is>
      </c>
      <c r="E507" s="2">
        <f>HYPERLINK("https://www.amazon.com/Klein-Tools-60443-Reusable-Replacement/dp/B08P3SYJ5X/ref=sr_1_1?keywords=Klein+Tools+60443+Reusable+Face+Mask+Filter+Replacement%2C+3-Pack&amp;qid=1694734495&amp;sr=8-1", "https://www.amazon.com/Klein-Tools-60443-Reusable-Replacement/dp/B08P3SYJ5X/ref=sr_1_1?keywords=Klein+Tools+60443+Reusable+Face+Mask+Filter+Replacement%2C+3-Pack&amp;qid=1694734495&amp;sr=8-1")</f>
        <v/>
      </c>
      <c r="F507" t="inlineStr">
        <is>
          <t>B08P3SYJ5X</t>
        </is>
      </c>
      <c r="G507">
        <f>_xludf.IMAGE("https://edmondsonsupply.com/cdn/shop/products/60443.jpg?v=1659119117")</f>
        <v/>
      </c>
      <c r="H507">
        <f>_xludf.IMAGE("https://m.media-amazon.com/images/I/61HSGQnqs9L._AC_UL320_.jpg")</f>
        <v/>
      </c>
      <c r="K507" t="inlineStr">
        <is>
          <t>7.99</t>
        </is>
      </c>
      <c r="L507" t="n">
        <v>11.52</v>
      </c>
      <c r="M507" s="1" t="inlineStr">
        <is>
          <t>44.18%</t>
        </is>
      </c>
      <c r="N507" s="1" t="n">
        <v>0</v>
      </c>
      <c r="O507" t="n">
        <v>4.3</v>
      </c>
      <c r="P507" t="n">
        <v>166</v>
      </c>
      <c r="R507" t="inlineStr">
        <is>
          <t>InStock</t>
        </is>
      </c>
      <c r="S507" t="inlineStr">
        <is>
          <t>11.0</t>
        </is>
      </c>
      <c r="T507" t="inlineStr">
        <is>
          <t>7766614147288</t>
        </is>
      </c>
    </row>
    <row r="508" ht="87" customHeight="1">
      <c r="A508" s="2">
        <f>HYPERLINK("https://edmondsonsupply.com/collections/personal-protection-safety/products/hellberg-safety-secure-1-headband-hearing-protection", "https://edmondsonsupply.com/collections/personal-protection-safety/products/hellberg-safety-secure-1-headband-hearing-protection")</f>
        <v/>
      </c>
      <c r="B508" s="2">
        <f>HYPERLINK("https://edmondsonsupply.com/products/hellberg-safety-secure-1-headband-hearing-protection", "https://edmondsonsupply.com/products/hellberg-safety-secure-1-headband-hearing-protection")</f>
        <v/>
      </c>
      <c r="C508" t="inlineStr">
        <is>
          <t>Hellberg Safety Secure 1 Headband Hearing Protection</t>
        </is>
      </c>
      <c r="D508" t="inlineStr">
        <is>
          <t>Hellberg Safety 41002-001 Secure 2 Headband Hearing Protection, 26 dB NRR, Level 2 Protection for Medium to High Noise, Best Choice for High Frequency Noise</t>
        </is>
      </c>
      <c r="E508" s="2">
        <f>HYPERLINK("https://www.amazon.com/Hellberg-Safety-41002-001-Protection-Frequency/dp/B017DJJXOE/ref=sr_1_5?keywords=Hellberg+Safety+Secure+1+Headband+Hearing+Protection&amp;qid=1694734499&amp;sr=8-5", "https://www.amazon.com/Hellberg-Safety-41002-001-Protection-Frequency/dp/B017DJJXOE/ref=sr_1_5?keywords=Hellberg+Safety+Secure+1+Headband+Hearing+Protection&amp;qid=1694734499&amp;sr=8-5")</f>
        <v/>
      </c>
      <c r="F508" t="inlineStr">
        <is>
          <t>B017DJJXOE</t>
        </is>
      </c>
      <c r="G508">
        <f>_xlfn.IMAGE("https://edmondsonsupply.com/cdn/shop/products/41001-001_Original_637469216954400000.jpg?v=1635625313")</f>
        <v/>
      </c>
      <c r="H508">
        <f>_xlfn.IMAGE("https://m.media-amazon.com/images/I/716bzdxEJHL._AC_UL320_.jpg")</f>
        <v/>
      </c>
      <c r="K508" t="inlineStr">
        <is>
          <t>24.95</t>
        </is>
      </c>
      <c r="L508" t="n">
        <v>35.87</v>
      </c>
      <c r="M508" s="1" t="inlineStr">
        <is>
          <t>43.77%</t>
        </is>
      </c>
      <c r="N508" s="7" t="n">
        <v>0</v>
      </c>
      <c r="O508" t="n">
        <v>4.5</v>
      </c>
      <c r="P508" t="n">
        <v>52</v>
      </c>
      <c r="R508" t="inlineStr">
        <is>
          <t>InStock</t>
        </is>
      </c>
      <c r="S508" t="inlineStr">
        <is>
          <t>27.95</t>
        </is>
      </c>
      <c r="T508" t="inlineStr">
        <is>
          <t>7355683635416</t>
        </is>
      </c>
    </row>
    <row r="509" ht="87" customHeight="1">
      <c r="A509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509" s="2">
        <f>HYPERLINK("https://edmondsonsupply.com/products/klein-tools-60100-hard-hat-non-vented-cap-style-white", "https://edmondsonsupply.com/products/klein-tools-60100-hard-hat-non-vented-cap-style-white")</f>
        <v/>
      </c>
      <c r="C509" t="inlineStr">
        <is>
          <t>Klein Tools 60100 Hard Hat, Non-Vented, Cap Style, White</t>
        </is>
      </c>
      <c r="D509" t="inlineStr">
        <is>
          <t>Klein Tools 60401 Hard Hat, Vented, Full Brim Style, Padded, Self-Wicking Odor-Resistant Sweatband, White Large</t>
        </is>
      </c>
      <c r="E509" s="2">
        <f>HYPERLINK("https://www.amazon.com/Klein-Tools-Hard-Vented-Style/dp/B07TPQ9JM5/ref=sr_1_7?keywords=Klein+Tools+60100+Hard+Hat%2C+Non-Vented%2C+Cap+Style%2C+White&amp;qid=1694734495&amp;sr=8-7", "https://www.amazon.com/Klein-Tools-Hard-Vented-Style/dp/B07TPQ9JM5/ref=sr_1_7?keywords=Klein+Tools+60100+Hard+Hat%2C+Non-Vented%2C+Cap+Style%2C+White&amp;qid=1694734495&amp;sr=8-7")</f>
        <v/>
      </c>
      <c r="F509" t="inlineStr">
        <is>
          <t>B07TPQ9JM5</t>
        </is>
      </c>
      <c r="G509">
        <f>_xlfn.IMAGE("https://edmondsonsupply.com/cdn/shop/products/60100_c.jpg?v=1648166061")</f>
        <v/>
      </c>
      <c r="H509">
        <f>_xlfn.IMAGE("https://m.media-amazon.com/images/I/61+jjIbExZL._AC_UL320_.jpg")</f>
        <v/>
      </c>
      <c r="K509" t="inlineStr">
        <is>
          <t>39.99</t>
        </is>
      </c>
      <c r="L509" t="n">
        <v>56.66</v>
      </c>
      <c r="M509" s="1" t="inlineStr">
        <is>
          <t>41.69%</t>
        </is>
      </c>
      <c r="N509" s="7" t="n">
        <v>0</v>
      </c>
      <c r="O509" t="n">
        <v>4.7</v>
      </c>
      <c r="P509" t="n">
        <v>627</v>
      </c>
      <c r="R509" t="inlineStr">
        <is>
          <t>OutOfStock</t>
        </is>
      </c>
      <c r="S509" t="inlineStr">
        <is>
          <t>55.44</t>
        </is>
      </c>
      <c r="T509" t="inlineStr">
        <is>
          <t>7643170406616</t>
        </is>
      </c>
    </row>
    <row r="510" ht="87" customHeight="1">
      <c r="A510" s="2">
        <f>HYPERLINK("https://edmondsonsupply.com/collections/personal-protection-safety/products/klein-tools-56220-led-headlamp-flashlight-with-strap-for-hard-hat", "https://edmondsonsupply.com/collections/personal-protection-safety/products/klein-tools-56220-led-headlamp-flashlight-with-strap-for-hard-hat")</f>
        <v/>
      </c>
      <c r="B510" s="2">
        <f>HYPERLINK("https://edmondsonsupply.com/products/klein-tools-56220-led-headlamp-flashlight-with-strap-for-hard-hat", "https://edmondsonsupply.com/products/klein-tools-56220-led-headlamp-flashlight-with-strap-for-hard-hat")</f>
        <v/>
      </c>
      <c r="C510" t="inlineStr">
        <is>
          <t>Klein Tools 56220 LED Headlamp with Silicone Hard Hat Strap</t>
        </is>
      </c>
      <c r="D510" t="inlineStr">
        <is>
          <t>Klein Tools 56062 Rechargeable LED Headlamp/Worklight for Klein Hardhats &amp; 56060 Headlamp Bracket and Fabric Strap, Marker, Carpenter Pencil Holder, for Klein Removable Headlamp</t>
        </is>
      </c>
      <c r="E510" s="2">
        <f>HYPERLINK("https://www.amazon.com/Klein-Tools-Rechargeable-Worklight-Carpenter/dp/B09Z9239J6/ref=sr_1_7?keywords=Klein+Tools+56220+LED+Headlamp+with+Silicone+Hard+Hat+Strap&amp;qid=1694734480&amp;sr=8-7", "https://www.amazon.com/Klein-Tools-Rechargeable-Worklight-Carpenter/dp/B09Z9239J6/ref=sr_1_7?keywords=Klein+Tools+56220+LED+Headlamp+with+Silicone+Hard+Hat+Strap&amp;qid=1694734480&amp;sr=8-7")</f>
        <v/>
      </c>
      <c r="F510" t="inlineStr">
        <is>
          <t>B09Z9239J6</t>
        </is>
      </c>
      <c r="G510">
        <f>_xlfn.IMAGE("https://edmondsonsupply.com/cdn/shop/files/56220_874194e8-71d5-41d8-a579-6dec47b3f455.jpg?v=1687356671")</f>
        <v/>
      </c>
      <c r="H510">
        <f>_xlfn.IMAGE("https://m.media-amazon.com/images/I/512rGhe8GUL._AC_UL320_.jpg")</f>
        <v/>
      </c>
      <c r="K510" t="inlineStr">
        <is>
          <t>26.97</t>
        </is>
      </c>
      <c r="L510" t="n">
        <v>37.94</v>
      </c>
      <c r="M510" s="1" t="inlineStr">
        <is>
          <t>40.67%</t>
        </is>
      </c>
      <c r="N510" s="7" t="n">
        <v>0</v>
      </c>
      <c r="O510" t="n">
        <v>4.7</v>
      </c>
      <c r="P510" t="n">
        <v>6</v>
      </c>
      <c r="R510" t="inlineStr">
        <is>
          <t>InStock</t>
        </is>
      </c>
      <c r="S510" t="inlineStr">
        <is>
          <t>37.8</t>
        </is>
      </c>
      <c r="T510" t="inlineStr">
        <is>
          <t>4167511605348</t>
        </is>
      </c>
    </row>
    <row r="511" ht="87" customHeight="1">
      <c r="A511" s="2">
        <f>HYPERLINK("https://edmondsonsupply.com/collections/personal-protection-safety/products/hellberg-safety-secure-2-headband-hearing-protection", "https://edmondsonsupply.com/collections/personal-protection-safety/products/hellberg-safety-secure-2-headband-hearing-protection")</f>
        <v/>
      </c>
      <c r="B511" s="2">
        <f>HYPERLINK("https://edmondsonsupply.com/products/hellberg-safety-secure-2-headband-hearing-protection", "https://edmondsonsupply.com/products/hellberg-safety-secure-2-headband-hearing-protection")</f>
        <v/>
      </c>
      <c r="C511" t="inlineStr">
        <is>
          <t>Hellberg Safety Secure 2 Headband Hearing Protection</t>
        </is>
      </c>
      <c r="D511" t="inlineStr">
        <is>
          <t>Hellberg Safety 42003-001 Secure 3 Helmet Mount Hearing Protection, 27 dB NRR, Level 3 Protection for High to Very High Noise, Red</t>
        </is>
      </c>
      <c r="E511" s="2">
        <f>HYPERLINK("https://www.amazon.com/Hellberg-Safety-42003-001-Hearing-Protection/dp/B017DJJY02/ref=sr_1_4?keywords=Hellberg+Safety+Secure+2+Headband+Hearing+Protection&amp;qid=1694734500&amp;sr=8-4", "https://www.amazon.com/Hellberg-Safety-42003-001-Hearing-Protection/dp/B017DJJY02/ref=sr_1_4?keywords=Hellberg+Safety+Secure+2+Headband+Hearing+Protection&amp;qid=1694734500&amp;sr=8-4")</f>
        <v/>
      </c>
      <c r="F511" t="inlineStr">
        <is>
          <t>B017DJJY02</t>
        </is>
      </c>
      <c r="G511">
        <f>_xlfn.IMAGE("https://edmondsonsupply.com/cdn/shop/products/41002-001_Original_637469232543030000.jpg?v=1635627040")</f>
        <v/>
      </c>
      <c r="H511">
        <f>_xlfn.IMAGE("https://m.media-amazon.com/images/I/51w8Q2seNJL._AC_UL320_.jpg")</f>
        <v/>
      </c>
      <c r="K511" t="inlineStr">
        <is>
          <t>27.95</t>
        </is>
      </c>
      <c r="L511" t="n">
        <v>39.28</v>
      </c>
      <c r="M511" s="1" t="inlineStr">
        <is>
          <t>40.54%</t>
        </is>
      </c>
      <c r="N511" s="7" t="n">
        <v>0</v>
      </c>
      <c r="O511" t="n">
        <v>5</v>
      </c>
      <c r="P511" t="n">
        <v>3</v>
      </c>
      <c r="R511" t="inlineStr">
        <is>
          <t>InStock</t>
        </is>
      </c>
      <c r="S511" t="inlineStr">
        <is>
          <t>29.95</t>
        </is>
      </c>
      <c r="T511" t="inlineStr">
        <is>
          <t>7355712504024</t>
        </is>
      </c>
    </row>
    <row r="512" ht="87" customHeight="1">
      <c r="A512" s="2">
        <f>HYPERLINK("https://edmondsonsupply.com/collections/personal-protection-safety/products/milwaukee-48-73-2041-performance-safety-glasses-with-gaskets-clear", "https://edmondsonsupply.com/collections/personal-protection-safety/products/milwaukee-48-73-2041-performance-safety-glasses-with-gaskets-clear")</f>
        <v/>
      </c>
      <c r="B512" s="2">
        <f>HYPERLINK("https://edmondsonsupply.com/products/milwaukee-48-73-2041-performance-safety-glasses-with-gaskets-clear", "https://edmondsonsupply.com/products/milwaukee-48-73-2041-performance-safety-glasses-with-gaskets-clear")</f>
        <v/>
      </c>
      <c r="C512" t="inlineStr">
        <is>
          <t>Milwaukee 48-73-2041 Performance Safety Glasses with Gaskets, Clear</t>
        </is>
      </c>
      <c r="D512" t="inlineStr">
        <is>
          <t>Milwaukee 48-73-2045 High Performance Safety Tinted Lenses Glasses with Gasket</t>
        </is>
      </c>
      <c r="E512" s="2">
        <f>HYPERLINK("https://www.amazon.com/Milwaukee-48-73-2045-Performance-Safety-Glasses/dp/B08DL9B6GP/ref=sr_1_1?keywords=Milwaukee+48-73-2041+Performance+Safety+Glasses+with+Gaskets%2C+Clear&amp;qid=1694734515&amp;sr=8-1", "https://www.amazon.com/Milwaukee-48-73-2045-Performance-Safety-Glasses/dp/B08DL9B6GP/ref=sr_1_1?keywords=Milwaukee+48-73-2041+Performance+Safety+Glasses+with+Gaskets%2C+Clear&amp;qid=1694734515&amp;sr=8-1")</f>
        <v/>
      </c>
      <c r="F512" t="inlineStr">
        <is>
          <t>B08DL9B6GP</t>
        </is>
      </c>
      <c r="G512">
        <f>_xlfn.IMAGE("https://edmondsonsupply.com/cdn/shop/products/48-73-2040_7.png?v=1587150340")</f>
        <v/>
      </c>
      <c r="H512">
        <f>_xlfn.IMAGE("https://m.media-amazon.com/images/I/51ZDRlrCs9L._AC_UL320_.jpg")</f>
        <v/>
      </c>
      <c r="K512" t="inlineStr">
        <is>
          <t>29.97</t>
        </is>
      </c>
      <c r="L512" t="n">
        <v>41.97</v>
      </c>
      <c r="M512" s="1" t="inlineStr">
        <is>
          <t>40.04%</t>
        </is>
      </c>
      <c r="N512" s="7" t="n">
        <v>-0.05</v>
      </c>
      <c r="O512" t="n">
        <v>4.6</v>
      </c>
      <c r="P512" t="n">
        <v>20</v>
      </c>
      <c r="R512" t="inlineStr">
        <is>
          <t>OutOfStock</t>
        </is>
      </c>
      <c r="S512" t="inlineStr">
        <is>
          <t>37.4</t>
        </is>
      </c>
      <c r="T512" t="inlineStr">
        <is>
          <t>4486297780324</t>
        </is>
      </c>
    </row>
    <row r="513" ht="87" customHeight="1">
      <c r="A513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513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513" t="inlineStr">
        <is>
          <t>Klein Tools 60163 Professional Safety Glasses, Full Frame, Clear Lens</t>
        </is>
      </c>
      <c r="D513" t="inlineStr">
        <is>
          <t>Klein Tools 60537 Safety Glasses, Professional PPE Protective Eyewear with Full Frame, Scratch Resistant and Anti-Fog, Indoor/Outdoor Lens</t>
        </is>
      </c>
      <c r="E513" s="2">
        <f>HYPERLINK("https://www.amazon.com/Klein-Tools-60537-Professional-Protective/dp/B0BLQM26TJ/ref=sr_1_7?keywords=Klein+Tools+60163+Professional+Safety+Glasses%2C+Full+Frame%2C+Clear+Lens&amp;qid=1694734507&amp;sr=8-7", "https://www.amazon.com/Klein-Tools-60537-Professional-Protective/dp/B0BLQM26TJ/ref=sr_1_7?keywords=Klein+Tools+60163+Professional+Safety+Glasses%2C+Full+Frame%2C+Clear+Lens&amp;qid=1694734507&amp;sr=8-7")</f>
        <v/>
      </c>
      <c r="F513" t="inlineStr">
        <is>
          <t>B0BLQM26TJ</t>
        </is>
      </c>
      <c r="G513">
        <f>_xlfn.IMAGE("https://edmondsonsupply.com/cdn/shop/products/60163.jpg?v=1633030848")</f>
        <v/>
      </c>
      <c r="H513">
        <f>_xlfn.IMAGE("https://m.media-amazon.com/images/I/41ZbdEu2lCL._AC_UL320_.jpg")</f>
        <v/>
      </c>
      <c r="K513" t="inlineStr">
        <is>
          <t>14.99</t>
        </is>
      </c>
      <c r="L513" t="n">
        <v>20.99</v>
      </c>
      <c r="M513" s="1" t="inlineStr">
        <is>
          <t>40.03%</t>
        </is>
      </c>
      <c r="N513" s="7" t="n">
        <v>-0.1</v>
      </c>
      <c r="O513" t="n">
        <v>4.5</v>
      </c>
      <c r="P513" t="n">
        <v>14</v>
      </c>
      <c r="R513" t="inlineStr">
        <is>
          <t>InStock</t>
        </is>
      </c>
      <c r="S513" t="inlineStr">
        <is>
          <t>20.98</t>
        </is>
      </c>
      <c r="T513" t="inlineStr">
        <is>
          <t>6094353039533</t>
        </is>
      </c>
    </row>
    <row r="514" ht="87" customHeight="1">
      <c r="A514" s="2">
        <f>HYPERLINK("https://edmondsonsupply.com/collections/personal-protection-safety/products/klein-tools-60537-professional-safety-glasses-full-frame-indoor-outdoor-lens", "https://edmondsonsupply.com/collections/personal-protection-safety/products/klein-tools-60537-professional-safety-glasses-full-frame-indoor-outdoor-lens")</f>
        <v/>
      </c>
      <c r="B514" s="2">
        <f>HYPERLINK("https://edmondsonsupply.com/products/klein-tools-60537-professional-safety-glasses-full-frame-indoor-outdoor-lens", "https://edmondsonsupply.com/products/klein-tools-60537-professional-safety-glasses-full-frame-indoor-outdoor-lens")</f>
        <v/>
      </c>
      <c r="C514" t="inlineStr">
        <is>
          <t>Klein Tools 60537 Professional Safety Glasses, Full-Frame, Indoor/Outdoor Lens</t>
        </is>
      </c>
      <c r="D514" t="inlineStr">
        <is>
          <t>Klein Tools 60537 Safety Glasses, Professional PPE Protective Eyewear with Full Frame, Scratch Resistant and Anti-Fog, Indoor/Outdoor Lens</t>
        </is>
      </c>
      <c r="E514" s="2">
        <f>HYPERLINK("https://www.amazon.com/Klein-Tools-60537-Professional-Protective/dp/B0BLQM26TJ/ref=sr_1_1?keywords=Klein+Tools+60537+Professional+Safety+Glasses%2C+Full-Frame%2C+Indoor%2FOutdoor+Lens&amp;qid=1694734483&amp;sr=8-1", "https://www.amazon.com/Klein-Tools-60537-Professional-Protective/dp/B0BLQM26TJ/ref=sr_1_1?keywords=Klein+Tools+60537+Professional+Safety+Glasses%2C+Full-Frame%2C+Indoor%2FOutdoor+Lens&amp;qid=1694734483&amp;sr=8-1")</f>
        <v/>
      </c>
      <c r="F514" t="inlineStr">
        <is>
          <t>B0BLQM26TJ</t>
        </is>
      </c>
      <c r="G514">
        <f>_xlfn.IMAGE("https://edmondsonsupply.com/cdn/shop/products/60537.jpg?v=1670947087")</f>
        <v/>
      </c>
      <c r="H514">
        <f>_xlfn.IMAGE("https://m.media-amazon.com/images/I/41ZbdEu2lCL._AC_UL320_.jpg")</f>
        <v/>
      </c>
      <c r="K514" t="inlineStr">
        <is>
          <t>14.99</t>
        </is>
      </c>
      <c r="L514" t="n">
        <v>20.99</v>
      </c>
      <c r="M514" s="1" t="inlineStr">
        <is>
          <t>40.03%</t>
        </is>
      </c>
      <c r="N514" s="7" t="n">
        <v>-2.49</v>
      </c>
      <c r="O514" t="n">
        <v>4.5</v>
      </c>
      <c r="P514" t="n">
        <v>14</v>
      </c>
      <c r="R514" t="inlineStr">
        <is>
          <t>InStock</t>
        </is>
      </c>
      <c r="S514" t="inlineStr">
        <is>
          <t>20.98</t>
        </is>
      </c>
      <c r="T514" t="inlineStr">
        <is>
          <t>7903997493464</t>
        </is>
      </c>
    </row>
    <row r="515" ht="87" customHeight="1">
      <c r="A515" s="2">
        <f>HYPERLINK("https://edmondsonsupply.com/collections/personal-protection-safety/products/edge-eyewear-sr116-reclus-black-frame-smoke-lens-safety-glasses", "https://edmondsonsupply.com/collections/personal-protection-safety/products/edge-eyewear-sr116-reclus-black-frame-smoke-lens-safety-glasses")</f>
        <v/>
      </c>
      <c r="B515" s="2">
        <f>HYPERLINK("https://edmondsonsupply.com/products/edge-eyewear-sr116-reclus-black-frame-smoke-lens-safety-glasses", "https://edmondsonsupply.com/products/edge-eyewear-sr116-reclus-black-frame-smoke-lens-safety-glasses")</f>
        <v/>
      </c>
      <c r="C515" t="inlineStr">
        <is>
          <t>Edge Eyewear SR116 Reclus - Black Frame/Smoke Lens, Safety Glasses</t>
        </is>
      </c>
      <c r="D515" t="inlineStr">
        <is>
          <t>Edge Safety Eyewear Brazeau Sunglasses, Arctic Camo Frame, Smoke Lens, One Size, XB116-AC</t>
        </is>
      </c>
      <c r="E515" s="2">
        <f>HYPERLINK("https://www.amazon.com/Edge-Eyewear-Brazeau-Sunglasses-XB116-AC/dp/B01BKTF0JU/ref=sr_1_26?keywords=Edge+Eyewear+SR116+Reclus+-+Black+Frame%2FSmoke+Lens%2C+Safety+Glasses&amp;qid=1694734504&amp;sr=8-26", "https://www.amazon.com/Edge-Eyewear-Brazeau-Sunglasses-XB116-AC/dp/B01BKTF0JU/ref=sr_1_26?keywords=Edge+Eyewear+SR116+Reclus+-+Black+Frame%2FSmoke+Lens%2C+Safety+Glasses&amp;qid=1694734504&amp;sr=8-26")</f>
        <v/>
      </c>
      <c r="F515" t="inlineStr">
        <is>
          <t>B01BKTF0JU</t>
        </is>
      </c>
      <c r="G515">
        <f>_xlfn.IMAGE("https://edmondsonsupply.com/cdn/shop/products/SR116_1512x_cc8649c7-14e6-4c1c-9513-7dd61f5f7eb9.png?v=1633030940")</f>
        <v/>
      </c>
      <c r="H515">
        <f>_xlfn.IMAGE("https://m.media-amazon.com/images/I/51kvOm722EL._AC_UL320_.jpg")</f>
        <v/>
      </c>
      <c r="K515" t="inlineStr">
        <is>
          <t>16.47</t>
        </is>
      </c>
      <c r="L515" t="n">
        <v>22.99</v>
      </c>
      <c r="M515" s="1" t="inlineStr">
        <is>
          <t>39.59%</t>
        </is>
      </c>
      <c r="N515" s="7" t="n">
        <v>-3.78</v>
      </c>
      <c r="O515" t="n">
        <v>4.3</v>
      </c>
      <c r="P515" t="n">
        <v>94</v>
      </c>
      <c r="R515" t="inlineStr">
        <is>
          <t>InStock</t>
        </is>
      </c>
      <c r="S515" t="inlineStr">
        <is>
          <t>18.3</t>
        </is>
      </c>
      <c r="T515" t="inlineStr">
        <is>
          <t>6572908085421</t>
        </is>
      </c>
    </row>
    <row r="516" ht="87" customHeight="1">
      <c r="A516" s="2">
        <f>HYPERLINK("https://edmondsonsupply.com/collections/personal-protection-safety/products/klein-tools-60401-hard-hat-vented-full-brim-style", "https://edmondsonsupply.com/collections/personal-protection-safety/products/klein-tools-60401-hard-hat-vented-full-brim-style")</f>
        <v/>
      </c>
      <c r="B516" s="2">
        <f>HYPERLINK("https://edmondsonsupply.com/products/klein-tools-60401-hard-hat-vented-full-brim-style", "https://edmondsonsupply.com/products/klein-tools-60401-hard-hat-vented-full-brim-style")</f>
        <v/>
      </c>
      <c r="C516" t="inlineStr">
        <is>
          <t>Klein Tools 60401 Hard Hat, Vented, Full Brim Style</t>
        </is>
      </c>
      <c r="D516" t="inlineStr">
        <is>
          <t>Klein Tools 60407RL Hard Hat, Rechargeable Headlamp, Vented, Full Brim Style, Padded Self-Wicking Odor-Resistant Sweatband, White, Large</t>
        </is>
      </c>
      <c r="E516" s="2">
        <f>HYPERLINK("https://www.amazon.com/Klein-Tools-60407RL-Rechargeable-Odor-Resistant/dp/B08DDTV9M3/ref=sr_1_7?keywords=Klein+Tools+60401+Hard+Hat%2C+Vented%2C+Full+Brim+Style&amp;qid=1694734480&amp;sr=8-7", "https://www.amazon.com/Klein-Tools-60407RL-Rechargeable-Odor-Resistant/dp/B08DDTV9M3/ref=sr_1_7?keywords=Klein+Tools+60401+Hard+Hat%2C+Vented%2C+Full+Brim+Style&amp;qid=1694734480&amp;sr=8-7")</f>
        <v/>
      </c>
      <c r="F516" t="inlineStr">
        <is>
          <t>B08DDTV9M3</t>
        </is>
      </c>
      <c r="G516">
        <f>_xlfn.IMAGE("https://edmondsonsupply.com/cdn/shop/products/60401.jpg?v=1587143271")</f>
        <v/>
      </c>
      <c r="H516">
        <f>_xlfn.IMAGE("https://m.media-amazon.com/images/I/61w2MM+yDgL._AC_UL320_.jpg")</f>
        <v/>
      </c>
      <c r="K516" t="inlineStr">
        <is>
          <t>44.99</t>
        </is>
      </c>
      <c r="L516" t="n">
        <v>60.37</v>
      </c>
      <c r="M516" s="1" t="inlineStr">
        <is>
          <t>34.19%</t>
        </is>
      </c>
      <c r="N516" s="7" t="n">
        <v>-3.85</v>
      </c>
      <c r="O516" t="n">
        <v>4.7</v>
      </c>
      <c r="P516" t="n">
        <v>1575</v>
      </c>
      <c r="R516" t="inlineStr">
        <is>
          <t>InStock</t>
        </is>
      </c>
      <c r="S516" t="inlineStr">
        <is>
          <t>59.62</t>
        </is>
      </c>
      <c r="T516" t="inlineStr">
        <is>
          <t>4357112463460</t>
        </is>
      </c>
    </row>
    <row r="517" ht="87" customHeight="1">
      <c r="A517" s="2">
        <f>HYPERLINK("https://edmondsonsupply.com/collections/personal-protection-safety/products/klein-tools-60538-professional-full-frame-gasket-safety-glasses-indoor-outdoor-lens", "https://edmondsonsupply.com/collections/personal-protection-safety/products/klein-tools-60538-professional-full-frame-gasket-safety-glasses-indoor-outdoor-lens")</f>
        <v/>
      </c>
      <c r="B517" s="2">
        <f>HYPERLINK("https://edmondsonsupply.com/products/klein-tools-60538-professional-full-frame-gasket-safety-glasses-indoor-outdoor-lens", "https://edmondsonsupply.com/products/klein-tools-60538-professional-full-frame-gasket-safety-glasses-indoor-outdoor-lens")</f>
        <v/>
      </c>
      <c r="C517" t="inlineStr">
        <is>
          <t>Klein Tools 60538 Professional Full-Frame Gasket Safety Glasses, Indoor/Outdoor Lens</t>
        </is>
      </c>
      <c r="D517" t="inlineStr">
        <is>
          <t>Klein Tools 60537 Safety Glasses, Professional PPE Protective Eyewear with Full Frame, Scratch Resistant and Anti-Fog, Indoor/Outdoor Lens</t>
        </is>
      </c>
      <c r="E517" s="2">
        <f>HYPERLINK("https://www.amazon.com/Klein-Tools-60537-Professional-Protective/dp/B0BLQM26TJ/ref=sr_1_4?keywords=Klein+Tools+60538+Professional+Full-Frame+Gasket+Safety+Glasses%2C+Indoor%2FOutdoor+Lens&amp;qid=1694734485&amp;sr=8-4", "https://www.amazon.com/Klein-Tools-60537-Professional-Protective/dp/B0BLQM26TJ/ref=sr_1_4?keywords=Klein+Tools+60538+Professional+Full-Frame+Gasket+Safety+Glasses%2C+Indoor%2FOutdoor+Lens&amp;qid=1694734485&amp;sr=8-4")</f>
        <v/>
      </c>
      <c r="F517" t="inlineStr">
        <is>
          <t>B0BLQM26TJ</t>
        </is>
      </c>
      <c r="G517">
        <f>_xlfn.IMAGE("https://edmondsonsupply.com/cdn/shop/products/60470_1.jpg?v=1670947470")</f>
        <v/>
      </c>
      <c r="H517">
        <f>_xlfn.IMAGE("https://m.media-amazon.com/images/I/41ZbdEu2lCL._AC_UL320_.jpg")</f>
        <v/>
      </c>
      <c r="K517" t="inlineStr">
        <is>
          <t>15.99</t>
        </is>
      </c>
      <c r="L517" t="n">
        <v>20.99</v>
      </c>
      <c r="M517" s="1" t="inlineStr">
        <is>
          <t>31.27%</t>
        </is>
      </c>
      <c r="N517" s="7" t="n">
        <v>-3.92</v>
      </c>
      <c r="O517" t="n">
        <v>4.5</v>
      </c>
      <c r="P517" t="n">
        <v>14</v>
      </c>
      <c r="R517" t="inlineStr">
        <is>
          <t>InStock</t>
        </is>
      </c>
      <c r="S517" t="inlineStr">
        <is>
          <t>21.98</t>
        </is>
      </c>
      <c r="T517" t="inlineStr">
        <is>
          <t>7904002179288</t>
        </is>
      </c>
    </row>
    <row r="518" ht="87" customHeight="1">
      <c r="A518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518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518" t="inlineStr">
        <is>
          <t>Klein Tools 60470 Professional Full-Frame Gasket Safety Glasses, Clear Lens</t>
        </is>
      </c>
      <c r="D518" t="inlineStr">
        <is>
          <t>Klein Tools 60537 Safety Glasses, Professional PPE Protective Eyewear with Full Frame, Scratch Resistant and Anti-Fog, Indoor/Outdoor Lens</t>
        </is>
      </c>
      <c r="E518" s="2">
        <f>HYPERLINK("https://www.amazon.com/Klein-Tools-60537-Professional-Protective/dp/B0BLQM26TJ/ref=sr_1_7?keywords=Klein+Tools+60470+Professional+Full-Frame+Gasket+Safety+Glasses%2C+Clear+Lens&amp;qid=1694734484&amp;sr=8-7", "https://www.amazon.com/Klein-Tools-60537-Professional-Protective/dp/B0BLQM26TJ/ref=sr_1_7?keywords=Klein+Tools+60470+Professional+Full-Frame+Gasket+Safety+Glasses%2C+Clear+Lens&amp;qid=1694734484&amp;sr=8-7")</f>
        <v/>
      </c>
      <c r="F518" t="inlineStr">
        <is>
          <t>B0BLQM26TJ</t>
        </is>
      </c>
      <c r="G518">
        <f>_xlfn.IMAGE("https://edmondsonsupply.com/cdn/shop/products/60470.jpg?v=1663260659")</f>
        <v/>
      </c>
      <c r="H518">
        <f>_xlfn.IMAGE("https://m.media-amazon.com/images/I/41ZbdEu2lCL._AC_UL320_.jpg")</f>
        <v/>
      </c>
      <c r="K518" t="inlineStr">
        <is>
          <t>15.99</t>
        </is>
      </c>
      <c r="L518" t="n">
        <v>20.99</v>
      </c>
      <c r="M518" s="1" t="inlineStr">
        <is>
          <t>31.27%</t>
        </is>
      </c>
      <c r="N518" s="7" t="n">
        <v>-5.48</v>
      </c>
      <c r="O518" t="n">
        <v>4.5</v>
      </c>
      <c r="P518" t="n">
        <v>14</v>
      </c>
      <c r="R518" t="inlineStr">
        <is>
          <t>InStock</t>
        </is>
      </c>
      <c r="S518" t="inlineStr">
        <is>
          <t>21.98</t>
        </is>
      </c>
      <c r="T518" t="inlineStr">
        <is>
          <t>7817690677464</t>
        </is>
      </c>
    </row>
    <row r="519" ht="87" customHeight="1">
      <c r="A519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519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519" t="inlineStr">
        <is>
          <t>Klein Tools 60471 Professional Full-Frame Gasket Safety Glasses, Gray Lens</t>
        </is>
      </c>
      <c r="D519" t="inlineStr">
        <is>
          <t>Klein Tools 60537 Safety Glasses, Professional PPE Protective Eyewear with Full Frame, Scratch Resistant and Anti-Fog, Indoor/Outdoor Lens</t>
        </is>
      </c>
      <c r="E519" s="2">
        <f>HYPERLINK("https://www.amazon.com/Klein-Tools-60537-Professional-Protective/dp/B0BLQM26TJ/ref=sr_1_8?keywords=Klein+Tools+60471+Professional+Full-Frame+Gasket+Safety+Glasses%2C+Gray+Lens&amp;qid=1694734489&amp;sr=8-8", "https://www.amazon.com/Klein-Tools-60537-Professional-Protective/dp/B0BLQM26TJ/ref=sr_1_8?keywords=Klein+Tools+60471+Professional+Full-Frame+Gasket+Safety+Glasses%2C+Gray+Lens&amp;qid=1694734489&amp;sr=8-8")</f>
        <v/>
      </c>
      <c r="F519" t="inlineStr">
        <is>
          <t>B0BLQM26TJ</t>
        </is>
      </c>
      <c r="G519">
        <f>_xlfn.IMAGE("https://edmondsonsupply.com/cdn/shop/products/60471.jpg?v=1663257501")</f>
        <v/>
      </c>
      <c r="H519">
        <f>_xlfn.IMAGE("https://m.media-amazon.com/images/I/41ZbdEu2lCL._AC_UL320_.jpg")</f>
        <v/>
      </c>
      <c r="K519" t="inlineStr">
        <is>
          <t>15.99</t>
        </is>
      </c>
      <c r="L519" t="n">
        <v>20.99</v>
      </c>
      <c r="M519" s="1" t="inlineStr">
        <is>
          <t>31.27%</t>
        </is>
      </c>
      <c r="N519" s="7" t="n">
        <v>-5.56</v>
      </c>
      <c r="O519" t="n">
        <v>4.5</v>
      </c>
      <c r="P519" t="n">
        <v>14</v>
      </c>
      <c r="R519" t="inlineStr">
        <is>
          <t>InStock</t>
        </is>
      </c>
      <c r="S519" t="inlineStr">
        <is>
          <t>21.98</t>
        </is>
      </c>
      <c r="T519" t="inlineStr">
        <is>
          <t>7817587785944</t>
        </is>
      </c>
    </row>
    <row r="520" ht="87" customHeight="1">
      <c r="A520" s="2">
        <f>HYPERLINK("https://edmondsonsupply.com/collections/personal-protection-safety/products/klein-tools-60492-lightweight-knee-pad-sleeves-m-l", "https://edmondsonsupply.com/collections/personal-protection-safety/products/klein-tools-60492-lightweight-knee-pad-sleeves-m-l")</f>
        <v/>
      </c>
      <c r="B520" s="2">
        <f>HYPERLINK("https://edmondsonsupply.com/products/klein-tools-60492-lightweight-knee-pad-sleeves-m-l", "https://edmondsonsupply.com/products/klein-tools-60492-lightweight-knee-pad-sleeves-m-l")</f>
        <v/>
      </c>
      <c r="C520" t="inlineStr">
        <is>
          <t>Klein Tools 60492 Lightweight Knee Pad Sleeves, M/L</t>
        </is>
      </c>
      <c r="D520" t="inlineStr">
        <is>
          <t>Klein Tools 60492 Knee Pads, Lightweight Padded Knee Sleeves, Breathable Mesh Back, Elastic Cuff with Slip-Resistant Silicone, Black, M/L</t>
        </is>
      </c>
      <c r="E520" s="2">
        <f>HYPERLINK("https://www.amazon.com/Lightweight-Breathable-Slip-Resistant-Klein-Tools/dp/B0B6216HMW/ref=sr_1_1?keywords=Klein+Tools+60492+Lightweight+Knee+Pad+Sleeves%2C+M%2FL&amp;qid=1694734486&amp;sr=8-1", "https://www.amazon.com/Lightweight-Breathable-Slip-Resistant-Klein-Tools/dp/B0B6216HMW/ref=sr_1_1?keywords=Klein+Tools+60492+Lightweight+Knee+Pad+Sleeves%2C+M%2FL&amp;qid=1694734486&amp;sr=8-1")</f>
        <v/>
      </c>
      <c r="F520" t="inlineStr">
        <is>
          <t>B0B6216HMW</t>
        </is>
      </c>
      <c r="G520">
        <f>_xlfn.IMAGE("https://edmondsonsupply.com/cdn/shop/products/60492_60592_photo.jpg?v=1663255234")</f>
        <v/>
      </c>
      <c r="H520">
        <f>_xlfn.IMAGE("https://m.media-amazon.com/images/I/61pjcWSwQcL._AC_UL320_.jpg")</f>
        <v/>
      </c>
      <c r="K520" t="inlineStr">
        <is>
          <t>19.97</t>
        </is>
      </c>
      <c r="L520" t="n">
        <v>25.99</v>
      </c>
      <c r="M520" s="1" t="inlineStr">
        <is>
          <t>30.15%</t>
        </is>
      </c>
      <c r="N520" s="7" t="n">
        <v>-5.56</v>
      </c>
      <c r="O520" t="n">
        <v>4.5</v>
      </c>
      <c r="P520" t="n">
        <v>186</v>
      </c>
      <c r="R520" t="inlineStr">
        <is>
          <t>InStock</t>
        </is>
      </c>
      <c r="S520" t="inlineStr">
        <is>
          <t>27.98</t>
        </is>
      </c>
      <c r="T520" t="inlineStr">
        <is>
          <t>7817560293592</t>
        </is>
      </c>
    </row>
    <row r="521" hidden="1" ht="15.75" customHeight="1">
      <c r="A521" s="2">
        <f>HYPERLINK("https://edmondsonsupply.com/collections/personal-protection-safety/products/klein-tools-60618-winter-thermal-gloves-s", "https://edmondsonsupply.com/collections/personal-protection-safety/products/klein-tools-60618-winter-thermal-gloves-s")</f>
        <v/>
      </c>
      <c r="B521" s="2">
        <f>HYPERLINK("https://edmondsonsupply.com/products/klein-tools-60618-winter-thermal-gloves-s", "https://edmondsonsupply.com/products/klein-tools-60618-winter-thermal-gloves-s")</f>
        <v/>
      </c>
      <c r="C521" t="inlineStr">
        <is>
          <t>Klein Tools 60618 Winter Thermal Gloves, S</t>
        </is>
      </c>
      <c r="D521" t="inlineStr">
        <is>
          <t>Klein Tools 60618 Gloves, Thinsulate Lined Thermal Winter Weather Work Gloves, Hook and Loop Wrist Closure, Knit Orange/Black Fabric, Small</t>
        </is>
      </c>
      <c r="E521" s="2">
        <f>HYPERLINK("https://www.amazon.com/Klein-Tools-60618-Thinsulate-Thermal/dp/B0BPDVYGPY/ref=sr_1_1?keywords=Klein+Tools+60618+Winter+Thermal+Gloves%2C+S&amp;qid=1694734483&amp;sr=8-1", "https://www.amazon.com/Klein-Tools-60618-Thinsulate-Thermal/dp/B0BPDVYGPY/ref=sr_1_1?keywords=Klein+Tools+60618+Winter+Thermal+Gloves%2C+S&amp;qid=1694734483&amp;sr=8-1")</f>
        <v/>
      </c>
      <c r="F521" t="inlineStr">
        <is>
          <t>B0BPDVYGPY</t>
        </is>
      </c>
      <c r="G521">
        <f>_xludf.IMAGE("https://edmondsonsupply.com/cdn/shop/products/60619_62a83fea-23b4-4533-9ced-7a430ce0c8cd.jpg?v=1678462690")</f>
        <v/>
      </c>
      <c r="H521">
        <f>_xludf.IMAGE("https://m.media-amazon.com/images/I/71yZfwKNZWL._AC_UL320_.jpg")</f>
        <v/>
      </c>
      <c r="K521" t="inlineStr">
        <is>
          <t>24.99</t>
        </is>
      </c>
      <c r="L521" t="n">
        <v>32.48</v>
      </c>
      <c r="M521" s="1" t="inlineStr">
        <is>
          <t>29.97%</t>
        </is>
      </c>
      <c r="N521" s="1" t="n">
        <v>-6.25</v>
      </c>
      <c r="O521" t="n">
        <v>4</v>
      </c>
      <c r="P521" t="n">
        <v>2</v>
      </c>
      <c r="R521" t="inlineStr">
        <is>
          <t>InStock</t>
        </is>
      </c>
      <c r="S521" t="inlineStr">
        <is>
          <t>34.98</t>
        </is>
      </c>
      <c r="T521" t="inlineStr">
        <is>
          <t>7959424958680</t>
        </is>
      </c>
    </row>
    <row r="522" ht="87" customHeight="1">
      <c r="A522" s="2">
        <f>HYPERLINK("https://edmondsonsupply.com/collections/personal-protection-safety/products/klein-tools-60346-hard-hat-premium-karbn%E2%84%A2-pattern-non-vented-full-brim-class-e-lamp", "https://edmondsonsupply.com/collections/personal-protection-safety/products/klein-tools-60346-hard-hat-premium-karbn%E2%84%A2-pattern-non-vented-full-brim-class-e-lamp")</f>
        <v/>
      </c>
      <c r="B522" s="2">
        <f>HYPERLINK("https://edmondsonsupply.com/products/klein-tools-60346-hard-hat-premium-karbn%e2%84%a2-pattern-non-vented-full-brim-class-e-lamp", "https://edmondsonsupply.com/products/klein-tools-60346-hard-hat-premium-karbn%e2%84%a2-pattern-non-vented-full-brim-class-e-lamp")</f>
        <v/>
      </c>
      <c r="C522" t="inlineStr">
        <is>
          <t>Klein Tools 60346 Hard Hat, Premium KARBN™ Pattern, Non-Vented Full Brim, Class E, Lamp</t>
        </is>
      </c>
      <c r="D522" t="inlineStr">
        <is>
          <t>Klein Tools 60347 Hard Hat, Vented Full Brim, Class C, Premium KARBN Pattern, Rechargeable Lamp, Padded Sweat-Wicking Sweatband, Top Pad</t>
        </is>
      </c>
      <c r="E522" s="2">
        <f>HYPERLINK("https://www.amazon.com/Klein-Tools-60347-Rechargeable-Sweat-Wicking/dp/B08SYM9K52/ref=sr_1_5?keywords=Klein+Tools+60346+Hard+Hat%2C+Premium+KARBN%E2%84%A2+Pattern%2C+Non-Vented+Full+Brim%2C+Class+E%2C+Lamp&amp;qid=1694734486&amp;sr=8-5", "https://www.amazon.com/Klein-Tools-60347-Rechargeable-Sweat-Wicking/dp/B08SYM9K52/ref=sr_1_5?keywords=Klein+Tools+60346+Hard+Hat%2C+Premium+KARBN%E2%84%A2+Pattern%2C+Non-Vented+Full+Brim%2C+Class+E%2C+Lamp&amp;qid=1694734486&amp;sr=8-5")</f>
        <v/>
      </c>
      <c r="F522" t="inlineStr">
        <is>
          <t>B08SYM9K52</t>
        </is>
      </c>
      <c r="G522">
        <f>_xlfn.IMAGE("https://edmondsonsupply.com/cdn/shop/products/60346.jpg?v=1660168162")</f>
        <v/>
      </c>
      <c r="H522">
        <f>_xlfn.IMAGE("https://m.media-amazon.com/images/I/61pIVbITWkL._AC_UL320_.jpg")</f>
        <v/>
      </c>
      <c r="K522" t="inlineStr">
        <is>
          <t>89.99</t>
        </is>
      </c>
      <c r="L522" t="n">
        <v>116.88</v>
      </c>
      <c r="M522" s="1" t="inlineStr">
        <is>
          <t>29.88%</t>
        </is>
      </c>
      <c r="N522" s="7" t="n">
        <v>-6.84</v>
      </c>
      <c r="O522" t="n">
        <v>4.7</v>
      </c>
      <c r="P522" t="n">
        <v>2538</v>
      </c>
      <c r="R522" t="inlineStr">
        <is>
          <t>InStock</t>
        </is>
      </c>
      <c r="S522" t="inlineStr">
        <is>
          <t>123.76</t>
        </is>
      </c>
      <c r="T522" t="inlineStr">
        <is>
          <t>7778030321880</t>
        </is>
      </c>
    </row>
    <row r="523" ht="87" customHeight="1">
      <c r="A523" s="2">
        <f>HYPERLINK("https://edmondsonsupply.com/collections/personal-protection-safety/products/klein-tools-60347-hard-hat-premium-karbn%E2%84%A2-pattern-vented-full-brim-class-c-lamp", "https://edmondsonsupply.com/collections/personal-protection-safety/products/klein-tools-60347-hard-hat-premium-karbn%E2%84%A2-pattern-vented-full-brim-class-c-lamp")</f>
        <v/>
      </c>
      <c r="B523" s="2">
        <f>HYPERLINK("https://edmondsonsupply.com/products/klein-tools-60347-hard-hat-premium-karbn%e2%84%a2-pattern-vented-full-brim-class-c-lamp", "https://edmondsonsupply.com/products/klein-tools-60347-hard-hat-premium-karbn%e2%84%a2-pattern-vented-full-brim-class-c-lamp")</f>
        <v/>
      </c>
      <c r="C523" t="inlineStr">
        <is>
          <t>Klein Tools 60347 Hard Hat, Premium KARBN™ Pattern, Vented Full Brim, Class C, Lamp</t>
        </is>
      </c>
      <c r="D523" t="inlineStr">
        <is>
          <t>Klein Tools 60347 Hard Hat, Vented Full Brim, Class C, Premium KARBN Pattern, Rechargeable Lamp, Padded Sweat-Wicking Sweatband, Top Pad</t>
        </is>
      </c>
      <c r="E523" s="2">
        <f>HYPERLINK("https://www.amazon.com/Klein-Tools-60347-Rechargeable-Sweat-Wicking/dp/B08SYM9K52/ref=sr_1_1?keywords=Klein+Tools+60347+Hard+Hat%2C+Premium+KARBN%E2%84%A2+Pattern%2C+Vented+Full+Brim%2C+Class+C%2C+Lamp&amp;qid=1694734491&amp;sr=8-1", "https://www.amazon.com/Klein-Tools-60347-Rechargeable-Sweat-Wicking/dp/B08SYM9K52/ref=sr_1_1?keywords=Klein+Tools+60347+Hard+Hat%2C+Premium+KARBN%E2%84%A2+Pattern%2C+Vented+Full+Brim%2C+Class+C%2C+Lamp&amp;qid=1694734491&amp;sr=8-1")</f>
        <v/>
      </c>
      <c r="F523" t="inlineStr">
        <is>
          <t>B08SYM9K52</t>
        </is>
      </c>
      <c r="G523">
        <f>_xlfn.IMAGE("https://edmondsonsupply.com/cdn/shop/products/60347.jpg?v=1659454043")</f>
        <v/>
      </c>
      <c r="H523">
        <f>_xlfn.IMAGE("https://m.media-amazon.com/images/I/61pIVbITWkL._AC_UL320_.jpg")</f>
        <v/>
      </c>
      <c r="K523" t="inlineStr">
        <is>
          <t>89.99</t>
        </is>
      </c>
      <c r="L523" t="n">
        <v>116.88</v>
      </c>
      <c r="M523" s="1" t="inlineStr">
        <is>
          <t>29.88%</t>
        </is>
      </c>
      <c r="N523" s="7" t="n">
        <v>-7.85</v>
      </c>
      <c r="O523" t="n">
        <v>4.7</v>
      </c>
      <c r="P523" t="n">
        <v>2538</v>
      </c>
      <c r="R523" t="inlineStr">
        <is>
          <t>OutOfStock</t>
        </is>
      </c>
      <c r="S523" t="inlineStr">
        <is>
          <t>123.76</t>
        </is>
      </c>
      <c r="T523" t="inlineStr">
        <is>
          <t>7769755975896</t>
        </is>
      </c>
    </row>
    <row r="524" ht="87" customHeight="1">
      <c r="A524" s="2">
        <f>HYPERLINK("https://edmondsonsupply.com/collections/personal-protection-safety/products/hellberg-safety-secure-2-headband-hearing-protection", "https://edmondsonsupply.com/collections/personal-protection-safety/products/hellberg-safety-secure-2-headband-hearing-protection")</f>
        <v/>
      </c>
      <c r="B524" s="2">
        <f>HYPERLINK("https://edmondsonsupply.com/products/hellberg-safety-secure-2-headband-hearing-protection", "https://edmondsonsupply.com/products/hellberg-safety-secure-2-headband-hearing-protection")</f>
        <v/>
      </c>
      <c r="C524" t="inlineStr">
        <is>
          <t>Hellberg Safety Secure 2 Headband Hearing Protection</t>
        </is>
      </c>
      <c r="D524" t="inlineStr">
        <is>
          <t>Hellberg Safety 41002-001 Secure 2 Headband Hearing Protection, 26 dB NRR, Level 2 Protection for Medium to High Noise, Best Choice for High Frequency Noise</t>
        </is>
      </c>
      <c r="E524" s="2">
        <f>HYPERLINK("https://www.amazon.com/Hellberg-Safety-41002-001-Protection-Frequency/dp/B017DJJXOE/ref=sr_1_1?keywords=Hellberg+Safety+Secure+2+Headband+Hearing+Protection&amp;qid=1694734500&amp;sr=8-1", "https://www.amazon.com/Hellberg-Safety-41002-001-Protection-Frequency/dp/B017DJJXOE/ref=sr_1_1?keywords=Hellberg+Safety+Secure+2+Headband+Hearing+Protection&amp;qid=1694734500&amp;sr=8-1")</f>
        <v/>
      </c>
      <c r="F524" t="inlineStr">
        <is>
          <t>B017DJJXOE</t>
        </is>
      </c>
      <c r="G524">
        <f>_xlfn.IMAGE("https://edmondsonsupply.com/cdn/shop/products/41002-001_Original_637469232543030000.jpg?v=1635627040")</f>
        <v/>
      </c>
      <c r="H524">
        <f>_xlfn.IMAGE("https://m.media-amazon.com/images/I/716bzdxEJHL._AC_UL320_.jpg")</f>
        <v/>
      </c>
      <c r="K524" t="inlineStr">
        <is>
          <t>27.95</t>
        </is>
      </c>
      <c r="L524" t="n">
        <v>35.87</v>
      </c>
      <c r="M524" s="1" t="inlineStr">
        <is>
          <t>28.34%</t>
        </is>
      </c>
      <c r="N524" s="7" t="n">
        <v>-7.85</v>
      </c>
      <c r="O524" t="n">
        <v>4.5</v>
      </c>
      <c r="P524" t="n">
        <v>52</v>
      </c>
      <c r="R524" t="inlineStr">
        <is>
          <t>InStock</t>
        </is>
      </c>
      <c r="S524" t="inlineStr">
        <is>
          <t>29.95</t>
        </is>
      </c>
      <c r="T524" t="inlineStr">
        <is>
          <t>7355712504024</t>
        </is>
      </c>
    </row>
    <row r="525" ht="87" customHeight="1">
      <c r="A525" s="2">
        <f>HYPERLINK("https://edmondsonsupply.com/collections/personal-protection-safety/products/klein-tools-60536-professional-safety-glasses-indoor-outdoor-lens", "https://edmondsonsupply.com/collections/personal-protection-safety/products/klein-tools-60536-professional-safety-glasses-indoor-outdoor-lens")</f>
        <v/>
      </c>
      <c r="B525" s="2">
        <f>HYPERLINK("https://edmondsonsupply.com/products/klein-tools-60536-professional-safety-glasses-indoor-outdoor-lens", "https://edmondsonsupply.com/products/klein-tools-60536-professional-safety-glasses-indoor-outdoor-lens")</f>
        <v/>
      </c>
      <c r="C525" t="inlineStr">
        <is>
          <t>Klein Tools 60536 Professional Safety Glasses, Indoor/Outdoor Lens</t>
        </is>
      </c>
      <c r="D525" t="inlineStr">
        <is>
          <t>Klein Tools 60536 Safety Glasses, Professional PPE Protective Eyewear with Semi Frame, Scratch Resistant and Anti-Fog, Indoor/Outdoor Lens, Clear Lens</t>
        </is>
      </c>
      <c r="E525" s="2">
        <f>HYPERLINK("https://www.amazon.com/Klein-Tools-60536-Professional-Protective/dp/B0BLQWVJDB/ref=sr_1_1?keywords=Klein+Tools+60536+Professional+Safety+Glasses%2C+Indoor%2FOutdoor+Lens&amp;qid=1694734482&amp;sr=8-1", "https://www.amazon.com/Klein-Tools-60536-Professional-Protective/dp/B0BLQWVJDB/ref=sr_1_1?keywords=Klein+Tools+60536+Professional+Safety+Glasses%2C+Indoor%2FOutdoor+Lens&amp;qid=1694734482&amp;sr=8-1")</f>
        <v/>
      </c>
      <c r="F525" t="inlineStr">
        <is>
          <t>B0BLQWVJDB</t>
        </is>
      </c>
      <c r="G525">
        <f>_xlfn.IMAGE("https://edmondsonsupply.com/cdn/shop/products/60536.jpg?v=1670946435")</f>
        <v/>
      </c>
      <c r="H525">
        <f>_xlfn.IMAGE("https://m.media-amazon.com/images/I/41rAXCZifQL._AC_UL320_.jpg")</f>
        <v/>
      </c>
      <c r="K525" t="inlineStr">
        <is>
          <t>12.99</t>
        </is>
      </c>
      <c r="L525" t="n">
        <v>16.6</v>
      </c>
      <c r="M525" s="1" t="inlineStr">
        <is>
          <t>27.79%</t>
        </is>
      </c>
      <c r="N525" s="7" t="n">
        <v>-8.33</v>
      </c>
      <c r="O525" t="n">
        <v>4.4</v>
      </c>
      <c r="P525" t="n">
        <v>371</v>
      </c>
      <c r="R525" t="inlineStr">
        <is>
          <t>InStock</t>
        </is>
      </c>
      <c r="S525" t="inlineStr">
        <is>
          <t>18.0</t>
        </is>
      </c>
      <c r="T525" t="inlineStr">
        <is>
          <t>7903989563608</t>
        </is>
      </c>
    </row>
    <row r="526" ht="87" customHeight="1">
      <c r="A526" s="2">
        <f>HYPERLINK("https://edmondsonsupply.com/collections/personal-protection-safety/products/klein-tools-60161-professional-safety-glasses-clear-lens", "https://edmondsonsupply.com/collections/personal-protection-safety/products/klein-tools-60161-professional-safety-glasses-clear-lens")</f>
        <v/>
      </c>
      <c r="B526" s="2">
        <f>HYPERLINK("https://edmondsonsupply.com/products/klein-tools-60161-professional-safety-glasses-clear-lens", "https://edmondsonsupply.com/products/klein-tools-60161-professional-safety-glasses-clear-lens")</f>
        <v/>
      </c>
      <c r="C526" t="inlineStr">
        <is>
          <t>Klein Tools 60161 Professional Safety Glasses, Clear Lens</t>
        </is>
      </c>
      <c r="D526" t="inlineStr">
        <is>
          <t>Klein Tools 60161 Safety Glasses, Professional PPE Protective Eyewear with Semi Frame, Scratch Resistant and Anti-Fog, Clear Lens</t>
        </is>
      </c>
      <c r="E526" s="2">
        <f>HYPERLINK("https://www.amazon.com/Klein-60161-Professional-Protective-Resistant/dp/B08B496F57/ref=sr_1_1?keywords=Klein+Tools+60161+Professional+Safety+Glasses%2C+Clear+Lens&amp;qid=1694734510&amp;sr=8-1", "https://www.amazon.com/Klein-60161-Professional-Protective-Resistant/dp/B08B496F57/ref=sr_1_1?keywords=Klein+Tools+60161+Professional+Safety+Glasses%2C+Clear+Lens&amp;qid=1694734510&amp;sr=8-1")</f>
        <v/>
      </c>
      <c r="F526" t="inlineStr">
        <is>
          <t>B08B496F57</t>
        </is>
      </c>
      <c r="G526">
        <f>_xlfn.IMAGE("https://edmondsonsupply.com/cdn/shop/products/60161.jpg?v=1633030845")</f>
        <v/>
      </c>
      <c r="H526">
        <f>_xlfn.IMAGE("https://m.media-amazon.com/images/I/515pVZPvJ0L._AC_UL320_.jpg")</f>
        <v/>
      </c>
      <c r="K526" t="inlineStr">
        <is>
          <t>12.99</t>
        </is>
      </c>
      <c r="L526" t="n">
        <v>16.56</v>
      </c>
      <c r="M526" s="1" t="inlineStr">
        <is>
          <t>27.48%</t>
        </is>
      </c>
      <c r="N526" s="7" t="n">
        <v>-9.960000000000001</v>
      </c>
      <c r="O526" t="n">
        <v>4.4</v>
      </c>
      <c r="P526" t="n">
        <v>371</v>
      </c>
      <c r="R526" t="inlineStr">
        <is>
          <t>InStock</t>
        </is>
      </c>
      <c r="S526" t="inlineStr">
        <is>
          <t>18.0</t>
        </is>
      </c>
      <c r="T526" t="inlineStr">
        <is>
          <t>6092105285805</t>
        </is>
      </c>
    </row>
    <row r="527" ht="87" customHeight="1">
      <c r="A527" s="2">
        <f>HYPERLINK("https://edmondsonsupply.com/collections/personal-protection-safety/products/klein-tools-60401-hard-hat-vented-full-brim-style", "https://edmondsonsupply.com/collections/personal-protection-safety/products/klein-tools-60401-hard-hat-vented-full-brim-style")</f>
        <v/>
      </c>
      <c r="B527" s="2">
        <f>HYPERLINK("https://edmondsonsupply.com/products/klein-tools-60401-hard-hat-vented-full-brim-style", "https://edmondsonsupply.com/products/klein-tools-60401-hard-hat-vented-full-brim-style")</f>
        <v/>
      </c>
      <c r="C527" t="inlineStr">
        <is>
          <t>Klein Tools 60401 Hard Hat, Vented, Full Brim Style</t>
        </is>
      </c>
      <c r="D527" t="inlineStr">
        <is>
          <t>Klein Tools 60401 Hard Hat, Vented, Full Brim Style, Padded, Self-Wicking Odor-Resistant Sweatband, White Large</t>
        </is>
      </c>
      <c r="E527" s="2">
        <f>HYPERLINK("https://www.amazon.com/Klein-Tools-Hard-Vented-Style/dp/B07TPQ9JM5/ref=sr_1_1?keywords=Klein+Tools+60401+Hard+Hat%2C+Vented%2C+Full+Brim+Style&amp;qid=1694734480&amp;sr=8-1", "https://www.amazon.com/Klein-Tools-Hard-Vented-Style/dp/B07TPQ9JM5/ref=sr_1_1?keywords=Klein+Tools+60401+Hard+Hat%2C+Vented%2C+Full+Brim+Style&amp;qid=1694734480&amp;sr=8-1")</f>
        <v/>
      </c>
      <c r="F527" t="inlineStr">
        <is>
          <t>B07TPQ9JM5</t>
        </is>
      </c>
      <c r="G527">
        <f>_xlfn.IMAGE("https://edmondsonsupply.com/cdn/shop/products/60401.jpg?v=1587143271")</f>
        <v/>
      </c>
      <c r="H527">
        <f>_xlfn.IMAGE("https://m.media-amazon.com/images/I/61+jjIbExZL._AC_UL320_.jpg")</f>
        <v/>
      </c>
      <c r="K527" t="inlineStr">
        <is>
          <t>44.99</t>
        </is>
      </c>
      <c r="L527" t="n">
        <v>56.66</v>
      </c>
      <c r="M527" s="1" t="inlineStr">
        <is>
          <t>25.94%</t>
        </is>
      </c>
      <c r="N527" s="7" t="n">
        <v>-11.48</v>
      </c>
      <c r="O527" t="n">
        <v>4.7</v>
      </c>
      <c r="P527" t="n">
        <v>627</v>
      </c>
      <c r="R527" t="inlineStr">
        <is>
          <t>InStock</t>
        </is>
      </c>
      <c r="S527" t="inlineStr">
        <is>
          <t>59.62</t>
        </is>
      </c>
      <c r="T527" t="inlineStr">
        <is>
          <t>4357112463460</t>
        </is>
      </c>
    </row>
    <row r="528" ht="87" customHeight="1">
      <c r="A528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528" s="2">
        <f>HYPERLINK("https://edmondsonsupply.com/products/klein-tools-60345-hard-hat-earmuffs-full-brim-style", "https://edmondsonsupply.com/products/klein-tools-60345-hard-hat-earmuffs-full-brim-style")</f>
        <v/>
      </c>
      <c r="C528" t="inlineStr">
        <is>
          <t>Klein Tools 60502 Hard Hat Earmuffs, Full Brim Style</t>
        </is>
      </c>
      <c r="D528" t="inlineStr">
        <is>
          <t>Klein Tools 60400 Hard Hat, Non-Vented Full Brim Style, Padded, Self-Wicking Odor-Resistant Sweatband, Tested up to 20kV, White</t>
        </is>
      </c>
      <c r="E528" s="2">
        <f>HYPERLINK("https://www.amazon.com/Klein-Tools-Hard-Non-vented-Style/dp/B07TQNTCKL/ref=sr_1_11?keywords=Klein+Tools+60502+Hard+Hat+Earmuffs%2C+Full+Brim+Style&amp;qid=1694734480&amp;sr=8-11", "https://www.amazon.com/Klein-Tools-Hard-Non-vented-Style/dp/B07TQNTCKL/ref=sr_1_11?keywords=Klein+Tools+60502+Hard+Hat+Earmuffs%2C+Full+Brim+Style&amp;qid=1694734480&amp;sr=8-11")</f>
        <v/>
      </c>
      <c r="F528" t="inlineStr">
        <is>
          <t>B07TQNTCKL</t>
        </is>
      </c>
      <c r="G528">
        <f>_xlfn.IMAGE("https://edmondsonsupply.com/cdn/shop/products/60502.jpg?v=1674486730")</f>
        <v/>
      </c>
      <c r="H528">
        <f>_xlfn.IMAGE("https://m.media-amazon.com/images/I/61IcdM8MBnL._AC_UL320_.jpg")</f>
        <v/>
      </c>
      <c r="K528" t="inlineStr">
        <is>
          <t>29.99</t>
        </is>
      </c>
      <c r="L528" t="n">
        <v>37.49</v>
      </c>
      <c r="M528" s="1" t="inlineStr">
        <is>
          <t>25.01%</t>
        </is>
      </c>
      <c r="N528" s="7" t="n">
        <v>-12.5</v>
      </c>
      <c r="O528" t="n">
        <v>4.7</v>
      </c>
      <c r="P528" t="n">
        <v>357</v>
      </c>
      <c r="R528" t="inlineStr">
        <is>
          <t>InStock</t>
        </is>
      </c>
      <c r="S528" t="inlineStr">
        <is>
          <t>41.98</t>
        </is>
      </c>
      <c r="T528" t="inlineStr">
        <is>
          <t>7931874869464</t>
        </is>
      </c>
    </row>
    <row r="529" ht="87" customHeight="1">
      <c r="A529" s="2">
        <f>HYPERLINK("https://edmondsonsupply.com/collections/personal-protection-safety/products/klein-tools-60615-heavy-duty-knee-pad-sleeves-s-m", "https://edmondsonsupply.com/collections/personal-protection-safety/products/klein-tools-60615-heavy-duty-knee-pad-sleeves-s-m")</f>
        <v/>
      </c>
      <c r="B529" s="2">
        <f>HYPERLINK("https://edmondsonsupply.com/products/klein-tools-60615-heavy-duty-knee-pad-sleeves-s-m", "https://edmondsonsupply.com/products/klein-tools-60615-heavy-duty-knee-pad-sleeves-s-m")</f>
        <v/>
      </c>
      <c r="C529" t="inlineStr">
        <is>
          <t>Klein Tools 60615 Heavy Duty Knee Pad Sleeves, S/M</t>
        </is>
      </c>
      <c r="D529" t="inlineStr">
        <is>
          <t>Klein Tools 60491 Hinged Knee Pads, Heavy Duty Gel Foam Protective Knee Pads with Quick-Fasten Buckle and Thigh Strap, Black</t>
        </is>
      </c>
      <c r="E529" s="2">
        <f>HYPERLINK("https://www.amazon.com/Klein-Tools-60491-Protective-Quick-Fasten/dp/B0BHXBMBHP/ref=sr_1_4?keywords=Klein+Tools+60615+Heavy+Duty+Knee+Pad+Sleeves%2C+S%2FM&amp;qid=1694734476&amp;sr=8-4", "https://www.amazon.com/Klein-Tools-60491-Protective-Quick-Fasten/dp/B0BHXBMBHP/ref=sr_1_4?keywords=Klein+Tools+60615+Heavy+Duty+Knee+Pad+Sleeves%2C+S%2FM&amp;qid=1694734476&amp;sr=8-4")</f>
        <v/>
      </c>
      <c r="F529" t="inlineStr">
        <is>
          <t>B0BHXBMBHP</t>
        </is>
      </c>
      <c r="G529">
        <f>_xlfn.IMAGE("https://edmondsonsupply.com/cdn/shop/products/60511_60611_b_f68c12ff-69e9-4ee5-9cc0-02cf7484e091.jpg?v=1681743847")</f>
        <v/>
      </c>
      <c r="H529">
        <f>_xlfn.IMAGE("https://m.media-amazon.com/images/I/718i4PDcjnL._AC_UL320_.jpg")</f>
        <v/>
      </c>
      <c r="K529" t="inlineStr">
        <is>
          <t>39.99</t>
        </is>
      </c>
      <c r="L529" t="n">
        <v>49.97</v>
      </c>
      <c r="M529" s="1" t="inlineStr">
        <is>
          <t>24.96%</t>
        </is>
      </c>
      <c r="N529" s="7" t="n">
        <v>-13.05</v>
      </c>
      <c r="O529" t="n">
        <v>4.4</v>
      </c>
      <c r="P529" t="n">
        <v>286</v>
      </c>
      <c r="R529" t="inlineStr">
        <is>
          <t>InStock</t>
        </is>
      </c>
      <c r="S529" t="inlineStr">
        <is>
          <t>55.98</t>
        </is>
      </c>
      <c r="T529" t="inlineStr">
        <is>
          <t>7980639813848</t>
        </is>
      </c>
    </row>
    <row r="530" ht="87" customHeight="1">
      <c r="A530" s="2">
        <f>HYPERLINK("https://edmondsonsupply.com/collections/personal-protection-safety/products/klein-tools-60511-heavy-duty-knee-pad-sleeves-m-l", "https://edmondsonsupply.com/collections/personal-protection-safety/products/klein-tools-60511-heavy-duty-knee-pad-sleeves-m-l")</f>
        <v/>
      </c>
      <c r="B530" s="2">
        <f>HYPERLINK("https://edmondsonsupply.com/products/klein-tools-60511-heavy-duty-knee-pad-sleeves-m-l", "https://edmondsonsupply.com/products/klein-tools-60511-heavy-duty-knee-pad-sleeves-m-l")</f>
        <v/>
      </c>
      <c r="C530" t="inlineStr">
        <is>
          <t>Klein Tools 60511 Heavy Duty Knee Pad Sleeves, M/L</t>
        </is>
      </c>
      <c r="D530" t="inlineStr">
        <is>
          <t>Klein Tools 60491 Hinged Knee Pads, Heavy Duty Gel Foam Protective Knee Pads with Quick-Fasten Buckle and Thigh Strap, Black</t>
        </is>
      </c>
      <c r="E530" s="2">
        <f>HYPERLINK("https://www.amazon.com/Klein-Tools-60491-Protective-Quick-Fasten/dp/B0BHXBMBHP/ref=sr_1_4?keywords=Klein+Tools+60511+Heavy+Duty+Knee+Pad+Sleeves%2C+M%2FL&amp;qid=1694734490&amp;sr=8-4", "https://www.amazon.com/Klein-Tools-60491-Protective-Quick-Fasten/dp/B0BHXBMBHP/ref=sr_1_4?keywords=Klein+Tools+60511+Heavy+Duty+Knee+Pad+Sleeves%2C+M%2FL&amp;qid=1694734490&amp;sr=8-4")</f>
        <v/>
      </c>
      <c r="F530" t="inlineStr">
        <is>
          <t>B0BHXBMBHP</t>
        </is>
      </c>
      <c r="G530">
        <f>_xlfn.IMAGE("https://edmondsonsupply.com/cdn/shop/products/60511_60611_b.jpg?v=1663253024")</f>
        <v/>
      </c>
      <c r="H530">
        <f>_xlfn.IMAGE("https://m.media-amazon.com/images/I/718i4PDcjnL._AC_UL320_.jpg")</f>
        <v/>
      </c>
      <c r="K530" t="inlineStr">
        <is>
          <t>39.99</t>
        </is>
      </c>
      <c r="L530" t="n">
        <v>49.97</v>
      </c>
      <c r="M530" s="1" t="inlineStr">
        <is>
          <t>24.96%</t>
        </is>
      </c>
      <c r="N530" s="7" t="n">
        <v>-13.74</v>
      </c>
      <c r="O530" t="n">
        <v>4.4</v>
      </c>
      <c r="P530" t="n">
        <v>286</v>
      </c>
      <c r="R530" t="inlineStr">
        <is>
          <t>InStock</t>
        </is>
      </c>
      <c r="S530" t="inlineStr">
        <is>
          <t>55.98</t>
        </is>
      </c>
      <c r="T530" t="inlineStr">
        <is>
          <t>7817486074072</t>
        </is>
      </c>
    </row>
    <row r="531" ht="87" customHeight="1">
      <c r="A531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531" s="2">
        <f>HYPERLINK("https://edmondsonsupply.com/products/klein-tools-60162-professional-safety-glasses-gray-lens", "https://edmondsonsupply.com/products/klein-tools-60162-professional-safety-glasses-gray-lens")</f>
        <v/>
      </c>
      <c r="C531" t="inlineStr">
        <is>
          <t>Klein Tools 60162 Professional Safety Glasses, Gray Lens</t>
        </is>
      </c>
      <c r="D531" t="inlineStr">
        <is>
          <t>Klein Tools 60471 Safety Glasses, ANSI Z87.1+ Pro Full Frame Gasket Safety Glasses, Gray Lens, UV Protection, Anti-Fog, Scratch Resistant</t>
        </is>
      </c>
      <c r="E531" s="2">
        <f>HYPERLINK("https://www.amazon.com/Klein-60471-Protection-Anti-Fog-Resistant/dp/B0B69LNT2Y/ref=sr_1_3?keywords=Klein+Tools+60162+Professional+Safety+Glasses%2C+Gray+Lens&amp;qid=1694734505&amp;sr=8-3", "https://www.amazon.com/Klein-60471-Protection-Anti-Fog-Resistant/dp/B0B69LNT2Y/ref=sr_1_3?keywords=Klein+Tools+60162+Professional+Safety+Glasses%2C+Gray+Lens&amp;qid=1694734505&amp;sr=8-3")</f>
        <v/>
      </c>
      <c r="F531" t="inlineStr">
        <is>
          <t>B0B69LNT2Y</t>
        </is>
      </c>
      <c r="G531">
        <f>_xlfn.IMAGE("https://edmondsonsupply.com/cdn/shop/products/60162.jpg?v=1633030847")</f>
        <v/>
      </c>
      <c r="H531">
        <f>_xlfn.IMAGE("https://m.media-amazon.com/images/I/51z-a2tdJlL._AC_UL320_.jpg")</f>
        <v/>
      </c>
      <c r="K531" t="inlineStr">
        <is>
          <t>12.99</t>
        </is>
      </c>
      <c r="L531" t="n">
        <v>15.99</v>
      </c>
      <c r="M531" s="1" t="inlineStr">
        <is>
          <t>23.09%</t>
        </is>
      </c>
      <c r="N531" s="7" t="n">
        <v>-16.25</v>
      </c>
      <c r="O531" t="n">
        <v>4.4</v>
      </c>
      <c r="P531" t="n">
        <v>49</v>
      </c>
      <c r="R531" t="inlineStr">
        <is>
          <t>InStock</t>
        </is>
      </c>
      <c r="S531" t="inlineStr">
        <is>
          <t>18.0</t>
        </is>
      </c>
      <c r="T531" t="inlineStr">
        <is>
          <t>6092128747693</t>
        </is>
      </c>
    </row>
    <row r="532" hidden="1" ht="15.75" customHeight="1">
      <c r="A532" s="2">
        <f>HYPERLINK("https://edmondsonsupply.com/collections/personal-protection-safety/products/klein-tools-60161-professional-safety-glasses-clear-lens", "https://edmondsonsupply.com/collections/personal-protection-safety/products/klein-tools-60161-professional-safety-glasses-clear-lens")</f>
        <v/>
      </c>
      <c r="B532" s="2">
        <f>HYPERLINK("https://edmondsonsupply.com/products/klein-tools-60161-professional-safety-glasses-clear-lens", "https://edmondsonsupply.com/products/klein-tools-60161-professional-safety-glasses-clear-lens")</f>
        <v/>
      </c>
      <c r="C532" t="inlineStr">
        <is>
          <t>Klein Tools 60161 Professional Safety Glasses, Clear Lens</t>
        </is>
      </c>
      <c r="D532" t="inlineStr">
        <is>
          <t>Klein Tools 60470 Safety Glasses, ANSI Z87.1+ Pro Full Frame Gasket Safety Glasses, Clear Lenses, UV Protection, Anti-Fog, Scratch Resistant, Black/Orange</t>
        </is>
      </c>
      <c r="E532" s="2">
        <f>HYPERLINK("https://www.amazon.com/Klein-60470-Protection-Anti-Fog-Resistant/dp/B0B69KPRPF/ref=sr_1_3?keywords=Klein+Tools+60161+Professional+Safety+Glasses%2C+Clear+Lens&amp;qid=1694734510&amp;sr=8-3", "https://www.amazon.com/Klein-60470-Protection-Anti-Fog-Resistant/dp/B0B69KPRPF/ref=sr_1_3?keywords=Klein+Tools+60161+Professional+Safety+Glasses%2C+Clear+Lens&amp;qid=1694734510&amp;sr=8-3")</f>
        <v/>
      </c>
      <c r="F532" t="inlineStr">
        <is>
          <t>B0B69KPRPF</t>
        </is>
      </c>
      <c r="G532">
        <f>_xludf.IMAGE("https://edmondsonsupply.com/cdn/shop/products/60161.jpg?v=1633030845")</f>
        <v/>
      </c>
      <c r="H532">
        <f>_xludf.IMAGE("https://m.media-amazon.com/images/I/51TkfiRMYgL._AC_UL320_.jpg")</f>
        <v/>
      </c>
      <c r="K532" t="inlineStr">
        <is>
          <t>12.99</t>
        </is>
      </c>
      <c r="L532" t="n">
        <v>15.99</v>
      </c>
      <c r="M532" s="1" t="inlineStr">
        <is>
          <t>23.09%</t>
        </is>
      </c>
      <c r="N532" s="1" t="n">
        <v>-16.25</v>
      </c>
      <c r="O532" t="n">
        <v>4</v>
      </c>
      <c r="P532" t="n">
        <v>29</v>
      </c>
      <c r="R532" t="inlineStr">
        <is>
          <t>InStock</t>
        </is>
      </c>
      <c r="S532" t="inlineStr">
        <is>
          <t>18.0</t>
        </is>
      </c>
      <c r="T532" t="inlineStr">
        <is>
          <t>6092105285805</t>
        </is>
      </c>
    </row>
    <row r="533" ht="87" customHeight="1">
      <c r="A533" s="2">
        <f>HYPERLINK("https://edmondsonsupply.com/collections/personal-protection-safety/products/klein-tools-60539-professional-safety-glasses-full-frame-polarized-lens", "https://edmondsonsupply.com/collections/personal-protection-safety/products/klein-tools-60539-professional-safety-glasses-full-frame-polarized-lens")</f>
        <v/>
      </c>
      <c r="B533" s="2">
        <f>HYPERLINK("https://edmondsonsupply.com/products/klein-tools-60539-professional-safety-glasses-full-frame-polarized-lens", "https://edmondsonsupply.com/products/klein-tools-60539-professional-safety-glasses-full-frame-polarized-lens")</f>
        <v/>
      </c>
      <c r="C533" t="inlineStr">
        <is>
          <t>Klein Tools 60539 Professional Safety Glasses, Full Frame, Polarized Lens</t>
        </is>
      </c>
      <c r="D533" t="inlineStr">
        <is>
          <t>Klein Tools 60539 Safety Glasses, Professional PPE Protective Eyewear, Full Frame, Scratch Resistant and Anti-Fog, Polarized Lens</t>
        </is>
      </c>
      <c r="E533" s="2">
        <f>HYPERLINK("https://www.amazon.com/Klein-Tools-60539-Professional-Protective/dp/B0BLQ6F4MQ/ref=sr_1_1?keywords=Klein+Tools+60539+Professional+Safety+Glasses%2C+Full+Frame%2C+Polarized+Lens&amp;qid=1694734488&amp;sr=8-1", "https://www.amazon.com/Klein-Tools-60539-Professional-Protective/dp/B0BLQ6F4MQ/ref=sr_1_1?keywords=Klein+Tools+60539+Professional+Safety+Glasses%2C+Full+Frame%2C+Polarized+Lens&amp;qid=1694734488&amp;sr=8-1")</f>
        <v/>
      </c>
      <c r="F533" t="inlineStr">
        <is>
          <t>B0BLQ6F4MQ</t>
        </is>
      </c>
      <c r="G533">
        <f>_xlfn.IMAGE("https://edmondsonsupply.com/cdn/shop/products/60539.jpg?v=1670948006")</f>
        <v/>
      </c>
      <c r="H533">
        <f>_xlfn.IMAGE("https://m.media-amazon.com/images/I/41z93jotzdL._AC_UL320_.jpg")</f>
        <v/>
      </c>
      <c r="K533" t="inlineStr">
        <is>
          <t>29.99</t>
        </is>
      </c>
      <c r="L533" t="n">
        <v>35.99</v>
      </c>
      <c r="M533" s="1" t="inlineStr">
        <is>
          <t>20.01%</t>
        </is>
      </c>
      <c r="N533" s="7" t="n">
        <v>-16.25</v>
      </c>
      <c r="O533" t="n">
        <v>4.4</v>
      </c>
      <c r="P533" t="n">
        <v>11</v>
      </c>
      <c r="R533" t="inlineStr">
        <is>
          <t>InStock</t>
        </is>
      </c>
      <c r="S533" t="inlineStr">
        <is>
          <t>41.98</t>
        </is>
      </c>
      <c r="T533" t="inlineStr">
        <is>
          <t>7904008536280</t>
        </is>
      </c>
    </row>
    <row r="534" ht="87" customHeight="1">
      <c r="A534" s="2">
        <f>HYPERLINK("https://edmondsonsupply.com/collections/personal-protection-safety/products/klein-tools-56064-klein-tools-%C2%AE-new-rechargeable-headlamp-offers-multiple-modes-to-fit-any-task", "https://edmondsonsupply.com/collections/personal-protection-safety/products/klein-tools-56064-klein-tools-%C2%AE-new-rechargeable-headlamp-offers-multiple-modes-to-fit-any-task")</f>
        <v/>
      </c>
      <c r="B534" s="2">
        <f>HYPERLINK("https://edmondsonsupply.com/products/klein-tools-56064-klein-tools-%c2%ae-new-rechargeable-headlamp-offers-multiple-modes-to-fit-any-task", "https://edmondsonsupply.com/products/klein-tools-56064-klein-tools-%c2%ae-new-rechargeable-headlamp-offers-multiple-modes-to-fit-any-task")</f>
        <v/>
      </c>
      <c r="C534" t="inlineStr">
        <is>
          <t>Klein Tools 56064 Rechargeable Headlamp with Silicone Strap, 400 Lumens, All-Day Runtime</t>
        </is>
      </c>
      <c r="D534" t="inlineStr">
        <is>
          <t>Klein Tools 56064 Rechargeable Auto-Off LED Headlamp, Silicone Strap, 400 LMS, All-Day Runtime, for Work, Running, Outdoor Hiking, Camping &amp; Headlamp Bracket with Fabric Strap</t>
        </is>
      </c>
      <c r="E534" s="2">
        <f>HYPERLINK("https://www.amazon.com/Klein-Tools-Rechargeable-Auto-Off-Headlamp/dp/B09Z932C3Z/ref=sr_1_2?keywords=Klein+Tools+56064+Rechargeable+Headlamp+with+Silicone+Strap%2C+400+Lumens%2C+All-Day+Runtime&amp;qid=1694734510&amp;sr=8-2", "https://www.amazon.com/Klein-Tools-Rechargeable-Auto-Off-Headlamp/dp/B09Z932C3Z/ref=sr_1_2?keywords=Klein+Tools+56064+Rechargeable+Headlamp+with+Silicone+Strap%2C+400+Lumens%2C+All-Day+Runtime&amp;qid=1694734510&amp;sr=8-2")</f>
        <v/>
      </c>
      <c r="F534" t="inlineStr">
        <is>
          <t>B09Z932C3Z</t>
        </is>
      </c>
      <c r="G534">
        <f>_xlfn.IMAGE("https://edmondsonsupply.com/cdn/shop/products/56064.png?v=1661362879")</f>
        <v/>
      </c>
      <c r="H534">
        <f>_xlfn.IMAGE("https://m.media-amazon.com/images/I/51-nHtYlwEL._AC_UL320_.jpg")</f>
        <v/>
      </c>
      <c r="K534" t="inlineStr">
        <is>
          <t>39.97</t>
        </is>
      </c>
      <c r="L534" t="n">
        <v>47.94</v>
      </c>
      <c r="M534" s="1" t="inlineStr">
        <is>
          <t>19.94%</t>
        </is>
      </c>
      <c r="N534" s="7" t="n">
        <v>-16.67</v>
      </c>
      <c r="O534" t="n">
        <v>5</v>
      </c>
      <c r="P534" t="n">
        <v>1</v>
      </c>
      <c r="R534" t="inlineStr">
        <is>
          <t>InStock</t>
        </is>
      </c>
      <c r="S534" t="inlineStr">
        <is>
          <t>56.0</t>
        </is>
      </c>
      <c r="T534" t="inlineStr">
        <is>
          <t>7793129521368</t>
        </is>
      </c>
    </row>
    <row r="535" ht="87" customHeight="1">
      <c r="A535" s="2">
        <f>HYPERLINK("https://edmondsonsupply.com/collections/personal-protection-safety/products/klein-tools-56048-rechargeable-headlamp-with-strap-400-lumen-all-day-runtime-auto-off", "https://edmondsonsupply.com/collections/personal-protection-safety/products/klein-tools-56048-rechargeable-headlamp-with-strap-400-lumen-all-day-runtime-auto-off")</f>
        <v/>
      </c>
      <c r="B535" s="2">
        <f>HYPERLINK("https://edmondsonsupply.com/products/klein-tools-56048-rechargeable-headlamp-with-strap-400-lumen-all-day-runtime-auto-off", "https://edmondsonsupply.com/products/klein-tools-56048-rechargeable-headlamp-with-strap-400-lumen-all-day-runtime-auto-off")</f>
        <v/>
      </c>
      <c r="C535" t="inlineStr">
        <is>
          <t>Klein Tools 56048 Rechargeable Headlamp with Fabric Strap, 400 Lumens, All-Day Runtime</t>
        </is>
      </c>
      <c r="D535" t="inlineStr">
        <is>
          <t>Klein Tools 56064 Rechargeable Auto-Off LED Headlamp, Silicone Strap, 400 LMS, All-Day Runtime, for Work, Running, Outdoor Hiking, Camping &amp; Headlamp Bracket with Fabric Strap</t>
        </is>
      </c>
      <c r="E535" s="2">
        <f>HYPERLINK("https://www.amazon.com/Klein-Tools-Rechargeable-Auto-Off-Headlamp/dp/B09Z932C3Z/ref=sr_1_4?keywords=Klein+Tools+56048+Rechargeable+Headlamp+with+Fabric+Strap%2C+400+Lumens%2C+All-Day+Runtime&amp;qid=1694734477&amp;sr=8-4", "https://www.amazon.com/Klein-Tools-Rechargeable-Auto-Off-Headlamp/dp/B09Z932C3Z/ref=sr_1_4?keywords=Klein+Tools+56048+Rechargeable+Headlamp+with+Fabric+Strap%2C+400+Lumens%2C+All-Day+Runtime&amp;qid=1694734477&amp;sr=8-4")</f>
        <v/>
      </c>
      <c r="F535" t="inlineStr">
        <is>
          <t>B09Z932C3Z</t>
        </is>
      </c>
      <c r="G535">
        <f>_xlfn.IMAGE("https://edmondsonsupply.com/cdn/shop/products/56048.jpg?v=1633030457")</f>
        <v/>
      </c>
      <c r="H535">
        <f>_xlfn.IMAGE("https://m.media-amazon.com/images/I/51-nHtYlwEL._AC_UL320_.jpg")</f>
        <v/>
      </c>
      <c r="K535" t="inlineStr">
        <is>
          <t>39.97</t>
        </is>
      </c>
      <c r="L535" t="n">
        <v>47.94</v>
      </c>
      <c r="M535" s="1" t="inlineStr">
        <is>
          <t>19.94%</t>
        </is>
      </c>
      <c r="N535" s="7" t="n">
        <v>-23.1</v>
      </c>
      <c r="O535" t="n">
        <v>5</v>
      </c>
      <c r="P535" t="n">
        <v>1</v>
      </c>
      <c r="R535" t="inlineStr">
        <is>
          <t>InStock</t>
        </is>
      </c>
      <c r="S535" t="inlineStr">
        <is>
          <t>56.0</t>
        </is>
      </c>
      <c r="T535" t="inlineStr">
        <is>
          <t>5348876091560</t>
        </is>
      </c>
    </row>
    <row r="536" hidden="1" ht="15.75" customHeight="1">
      <c r="A536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36" s="2">
        <f>HYPERLINK("https://edmondsonsupply.com/products/john-boy-army-face-guard", "https://edmondsonsupply.com/products/john-boy-army-face-guard")</f>
        <v/>
      </c>
      <c r="C536" t="inlineStr">
        <is>
          <t>John Boy ARMY Face Guard</t>
        </is>
      </c>
      <c r="D536" t="inlineStr">
        <is>
          <t>JOHN BOY Fishing Face Guard - UPF 50+ Multi-Weather Sport Mask with UV Sun Protection &amp; Moisture Wicking Fabric</t>
        </is>
      </c>
      <c r="E536" s="2">
        <f>HYPERLINK("https://www.amazon.com/JOHN-Fishing-Face-Guard-Multi-Weather/dp/B0843KL4TR/ref=sr_1_9?keywords=John+Boy+ARMY+Face+Guard&amp;qid=1694734519&amp;sr=8-9", "https://www.amazon.com/JOHN-Fishing-Face-Guard-Multi-Weather/dp/B0843KL4TR/ref=sr_1_9?keywords=John+Boy+ARMY+Face+Guard&amp;qid=1694734519&amp;sr=8-9")</f>
        <v/>
      </c>
      <c r="F536" t="inlineStr">
        <is>
          <t>B0843KL4TR</t>
        </is>
      </c>
      <c r="G536">
        <f>_xludf.IMAGE("https://edmondsonsupply.com/cdn/shop/products/Armycopy.jpg?v=1633030720")</f>
        <v/>
      </c>
      <c r="H536">
        <f>_xludf.IMAGE("https://m.media-amazon.com/images/I/81k0eAI5NVL._AC_UL320_.jpg")</f>
        <v/>
      </c>
      <c r="K536" t="inlineStr">
        <is>
          <t>10.0</t>
        </is>
      </c>
      <c r="L536" t="n">
        <v>11.99</v>
      </c>
      <c r="M536" s="1" t="inlineStr">
        <is>
          <t>19.90%</t>
        </is>
      </c>
      <c r="N536" s="1" t="n">
        <v>-25.94</v>
      </c>
      <c r="O536" t="n">
        <v>4</v>
      </c>
      <c r="P536" t="n">
        <v>13</v>
      </c>
      <c r="R536" t="inlineStr">
        <is>
          <t>InStock</t>
        </is>
      </c>
      <c r="S536" t="inlineStr">
        <is>
          <t>undefined</t>
        </is>
      </c>
      <c r="T536" t="inlineStr">
        <is>
          <t>5862883393704</t>
        </is>
      </c>
    </row>
    <row r="537" hidden="1" ht="15.75" customHeight="1">
      <c r="A537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537" s="2">
        <f>HYPERLINK("https://edmondsonsupply.com/products/john-boy-neon-reflect-y-face-guard", "https://edmondsonsupply.com/products/john-boy-neon-reflect-y-face-guard")</f>
        <v/>
      </c>
      <c r="C537" t="inlineStr">
        <is>
          <t>John Boy NEON REFLECT-Y Face Guard</t>
        </is>
      </c>
      <c r="D537" t="inlineStr">
        <is>
          <t>JOHN BOY Fishing Face Guard - UPF 50+ Multi-Weather Sport Mask with UV Sun Protection &amp; Moisture Wicking Fabric</t>
        </is>
      </c>
      <c r="E537" s="2">
        <f>HYPERLINK("https://www.amazon.com/JOHN-Fishing-Face-Guard-Multi-Weather/dp/B0843KL4TR/ref=sr_1_14?keywords=John+Boy+NEON+REFLECT-Y+Face+Guard&amp;qid=1694734515&amp;sr=8-14", "https://www.amazon.com/JOHN-Fishing-Face-Guard-Multi-Weather/dp/B0843KL4TR/ref=sr_1_14?keywords=John+Boy+NEON+REFLECT-Y+Face+Guard&amp;qid=1694734515&amp;sr=8-14")</f>
        <v/>
      </c>
      <c r="F537" t="inlineStr">
        <is>
          <t>B0843KL4TR</t>
        </is>
      </c>
      <c r="G537">
        <f>_xludf.IMAGE("https://edmondsonsupply.com/cdn/shop/products/NEONREFLECT-Y.jpg?v=1633030720")</f>
        <v/>
      </c>
      <c r="H537">
        <f>_xludf.IMAGE("https://m.media-amazon.com/images/I/81k0eAI5NVL._AC_UL320_.jpg")</f>
        <v/>
      </c>
      <c r="K537" t="inlineStr">
        <is>
          <t>10.0</t>
        </is>
      </c>
      <c r="L537" t="n">
        <v>11.99</v>
      </c>
      <c r="M537" s="1" t="inlineStr">
        <is>
          <t>19.90%</t>
        </is>
      </c>
      <c r="N537" s="1" t="n">
        <v>-27.79</v>
      </c>
      <c r="O537" t="n">
        <v>4</v>
      </c>
      <c r="P537" t="n">
        <v>13</v>
      </c>
      <c r="R537" t="inlineStr">
        <is>
          <t>InStock</t>
        </is>
      </c>
      <c r="S537" t="inlineStr">
        <is>
          <t>undefined</t>
        </is>
      </c>
      <c r="T537" t="inlineStr">
        <is>
          <t>5862932414632</t>
        </is>
      </c>
    </row>
    <row r="538" hidden="1" ht="15.75" customHeight="1">
      <c r="A538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38" s="2">
        <f>HYPERLINK("https://edmondsonsupply.com/products/john-boy-desert-face-guard", "https://edmondsonsupply.com/products/john-boy-desert-face-guard")</f>
        <v/>
      </c>
      <c r="C538" t="inlineStr">
        <is>
          <t>John Boy DESERT Face Guard</t>
        </is>
      </c>
      <c r="D538" t="inlineStr">
        <is>
          <t>JOHN BOY Fishing Face Guard - UPF 50+ Multi-Weather Sport Mask with UV Sun Protection &amp; Moisture Wicking Fabric</t>
        </is>
      </c>
      <c r="E538" s="2">
        <f>HYPERLINK("https://www.amazon.com/JOHN-Fishing-Face-Guard-Multi-Weather/dp/B0843KL4TR/ref=sr_1_10?keywords=John+Boy+DESERT+Face+Guard&amp;qid=1694734515&amp;sr=8-10", "https://www.amazon.com/JOHN-Fishing-Face-Guard-Multi-Weather/dp/B0843KL4TR/ref=sr_1_10?keywords=John+Boy+DESERT+Face+Guard&amp;qid=1694734515&amp;sr=8-10")</f>
        <v/>
      </c>
      <c r="F538" t="inlineStr">
        <is>
          <t>B0843KL4TR</t>
        </is>
      </c>
      <c r="G538">
        <f>_xludf.IMAGE("https://edmondsonsupply.com/cdn/shop/products/Desertcopy.jpg?v=1633030720")</f>
        <v/>
      </c>
      <c r="H538">
        <f>_xludf.IMAGE("https://m.media-amazon.com/images/I/81k0eAI5NVL._AC_UL320_.jpg")</f>
        <v/>
      </c>
      <c r="K538" t="inlineStr">
        <is>
          <t>10.0</t>
        </is>
      </c>
      <c r="L538" t="n">
        <v>11.99</v>
      </c>
      <c r="M538" s="1" t="inlineStr">
        <is>
          <t>19.90%</t>
        </is>
      </c>
      <c r="N538" s="1" t="n">
        <v>-30.01</v>
      </c>
      <c r="O538" t="n">
        <v>4</v>
      </c>
      <c r="P538" t="n">
        <v>13</v>
      </c>
      <c r="R538" t="inlineStr">
        <is>
          <t>InStock</t>
        </is>
      </c>
      <c r="S538" t="inlineStr">
        <is>
          <t>undefined</t>
        </is>
      </c>
      <c r="T538" t="inlineStr">
        <is>
          <t>5862662930600</t>
        </is>
      </c>
    </row>
    <row r="539" hidden="1" ht="15.75" customHeight="1">
      <c r="A539" s="2">
        <f>HYPERLINK("https://edmondsonsupply.com/collections/personal-protection-safety/products/edge-eyewear-txb246", "https://edmondsonsupply.com/collections/personal-protection-safety/products/edge-eyewear-txb246")</f>
        <v/>
      </c>
      <c r="B539" s="2">
        <f>HYPERLINK("https://edmondsonsupply.com/products/edge-eyewear-txb246", "https://edmondsonsupply.com/products/edge-eyewear-txb246")</f>
        <v/>
      </c>
      <c r="C539" t="inlineStr">
        <is>
          <t>Edge Eyewear TXB246-P2 Brazeau Patriot 2 - White &amp; Black Bald Eagle/Polarized Smoke</t>
        </is>
      </c>
      <c r="D539" t="inlineStr">
        <is>
          <t>Edge TXB246-P2 Brazeau Patriot 2 Polarized Wrap-Around Safety Glasses, Anti-Scratch, Non-Slip, UV 400, Military Grade, ANSI/ISEA &amp; MCEPS Compliant, 5.04" Wide, White &amp; Black Bald Eagle Frame / Smoke Lens</t>
        </is>
      </c>
      <c r="E539" s="2">
        <f>HYPERLINK("https://www.amazon.com/Edge-Eyewear-TXB246-P2-Brazeau-Polarized/dp/B00V3YQOKW/ref=sr_1_1?keywords=Edge+Eyewear+TXB246-P2+Brazeau+Patriot+2+-+White&amp;qid=1694734518&amp;sr=8-1", "https://www.amazon.com/Edge-Eyewear-TXB246-P2-Brazeau-Polarized/dp/B00V3YQOKW/ref=sr_1_1?keywords=Edge+Eyewear+TXB246-P2+Brazeau+Patriot+2+-+White&amp;qid=1694734518&amp;sr=8-1")</f>
        <v/>
      </c>
      <c r="F539" t="inlineStr">
        <is>
          <t>B00V3YQOKW</t>
        </is>
      </c>
      <c r="G539">
        <f>_xludf.IMAGE("https://edmondsonsupply.com/cdn/shop/products/TXB246-P2-B.jpg?v=1587145742")</f>
        <v/>
      </c>
      <c r="H539">
        <f>_xludf.IMAGE("https://m.media-amazon.com/images/I/51enoi73w6L._AC_UL320_.jpg")</f>
        <v/>
      </c>
      <c r="K539" t="inlineStr">
        <is>
          <t>27.47</t>
        </is>
      </c>
      <c r="L539" t="n">
        <v>32.49</v>
      </c>
      <c r="M539" s="1" t="inlineStr">
        <is>
          <t>18.27%</t>
        </is>
      </c>
      <c r="N539" s="1" t="n">
        <v>-30.01</v>
      </c>
      <c r="O539" t="n">
        <v>4</v>
      </c>
      <c r="P539" t="n">
        <v>28</v>
      </c>
      <c r="R539" t="inlineStr">
        <is>
          <t>InStock</t>
        </is>
      </c>
      <c r="S539" t="inlineStr">
        <is>
          <t>40.75</t>
        </is>
      </c>
      <c r="T539" t="inlineStr">
        <is>
          <t>4348368683108</t>
        </is>
      </c>
    </row>
    <row r="540" ht="87" customHeight="1">
      <c r="A540" s="2">
        <f>HYPERLINK("https://edmondsonsupply.com/collections/personal-protection-safety/products/klein-tools-60113rl-hard-hat-vented-cap-style-with-rechargeable-headlamp-white", "https://edmondsonsupply.com/collections/personal-protection-safety/products/klein-tools-60113rl-hard-hat-vented-cap-style-with-rechargeable-headlamp-white")</f>
        <v/>
      </c>
      <c r="B540" s="2">
        <f>HYPERLINK("https://edmondsonsupply.com/products/klein-tools-60113rl-hard-hat-vented-cap-style-with-rechargeable-headlamp-white", "https://edmondsonsupply.com/products/klein-tools-60113rl-hard-hat-vented-cap-style-with-rechargeable-headlamp-white")</f>
        <v/>
      </c>
      <c r="C540" t="inlineStr">
        <is>
          <t>Klein Tools 60113RL Hard Hat, Vented, Cap Style with Rechargeable Headlamp, White</t>
        </is>
      </c>
      <c r="D540" t="inlineStr">
        <is>
          <t>Klein Tools 60407RL Hard Hat, Rechargeable Headlamp, White &amp; 60181 Cooling Helmet Liner, Under Hard Hat Cap with Mesh Fabric at Crown</t>
        </is>
      </c>
      <c r="E540" s="2">
        <f>HYPERLINK("https://www.amazon.com/Klein-Tools-60407RL-Rechargeable-Headlamp/dp/B0BR1ZQB58/ref=sr_1_14?keywords=Klein+Tools+60113RL+Hard+Hat%2C+Vented%2C+Cap+Style+with+Rechargeable+Headlamp%2C+White&amp;qid=1694734498&amp;sr=8-14", "https://www.amazon.com/Klein-Tools-60407RL-Rechargeable-Headlamp/dp/B0BR1ZQB58/ref=sr_1_14?keywords=Klein+Tools+60113RL+Hard+Hat%2C+Vented%2C+Cap+Style+with+Rechargeable+Headlamp%2C+White&amp;qid=1694734498&amp;sr=8-14")</f>
        <v/>
      </c>
      <c r="F540" t="inlineStr">
        <is>
          <t>B0BR1ZQB58</t>
        </is>
      </c>
      <c r="G540">
        <f>_xlfn.IMAGE("https://edmondsonsupply.com/cdn/shop/products/60113rl_c.jpg?v=1647891186")</f>
        <v/>
      </c>
      <c r="H540">
        <f>_xlfn.IMAGE("https://m.media-amazon.com/images/I/41I3OS+7E0L._AC_UL320_.jpg")</f>
        <v/>
      </c>
      <c r="K540" t="inlineStr">
        <is>
          <t>59.99</t>
        </is>
      </c>
      <c r="L540" t="n">
        <v>70.36</v>
      </c>
      <c r="M540" s="1" t="inlineStr">
        <is>
          <t>17.29%</t>
        </is>
      </c>
      <c r="N540" s="7" t="n">
        <v>-30.01</v>
      </c>
      <c r="O540" t="n">
        <v>5</v>
      </c>
      <c r="P540" t="n">
        <v>1</v>
      </c>
      <c r="R540" t="inlineStr">
        <is>
          <t>InStock</t>
        </is>
      </c>
      <c r="S540" t="inlineStr">
        <is>
          <t>90.48</t>
        </is>
      </c>
      <c r="T540" t="inlineStr">
        <is>
          <t>7640861376728</t>
        </is>
      </c>
    </row>
    <row r="541" ht="87" customHeight="1">
      <c r="A541" s="2">
        <f>HYPERLINK("https://edmondsonsupply.com/collections/personal-protection-safety/products/klein-tools-60113rl-hard-hat-vented-cap-style-with-rechargeable-headlamp-white", "https://edmondsonsupply.com/collections/personal-protection-safety/products/klein-tools-60113rl-hard-hat-vented-cap-style-with-rechargeable-headlamp-white")</f>
        <v/>
      </c>
      <c r="B541" s="2">
        <f>HYPERLINK("https://edmondsonsupply.com/products/klein-tools-60113rl-hard-hat-vented-cap-style-with-rechargeable-headlamp-white", "https://edmondsonsupply.com/products/klein-tools-60113rl-hard-hat-vented-cap-style-with-rechargeable-headlamp-white")</f>
        <v/>
      </c>
      <c r="C541" t="inlineStr">
        <is>
          <t>Klein Tools 60113RL Hard Hat, Vented, Cap Style with Rechargeable Headlamp, White</t>
        </is>
      </c>
      <c r="D541" t="inlineStr">
        <is>
          <t>Klein Tools 60406RL Hard Hat, Rechargeable Headlamp, Non-vented, Full Brim Style, Padded Self-Wicking Odor-Resistant Sweatband, Tested up to 20kV, White</t>
        </is>
      </c>
      <c r="E541" s="2">
        <f>HYPERLINK("https://www.amazon.com/Klein-Tools-60406RL-Rechargeable-Odor-Resistant/dp/B08FBZT3BW/ref=sr_1_4?keywords=Klein+Tools+60113RL+Hard+Hat%2C+Vented%2C+Cap+Style+with+Rechargeable+Headlamp%2C+White&amp;qid=1694734498&amp;sr=8-4", "https://www.amazon.com/Klein-Tools-60406RL-Rechargeable-Odor-Resistant/dp/B08FBZT3BW/ref=sr_1_4?keywords=Klein+Tools+60113RL+Hard+Hat%2C+Vented%2C+Cap+Style+with+Rechargeable+Headlamp%2C+White&amp;qid=1694734498&amp;sr=8-4")</f>
        <v/>
      </c>
      <c r="F541" t="inlineStr">
        <is>
          <t>B08FBZT3BW</t>
        </is>
      </c>
      <c r="G541">
        <f>_xlfn.IMAGE("https://edmondsonsupply.com/cdn/shop/products/60113rl_c.jpg?v=1647891186")</f>
        <v/>
      </c>
      <c r="H541">
        <f>_xlfn.IMAGE("https://m.media-amazon.com/images/I/61cNP5T1keL._AC_UL320_.jpg")</f>
        <v/>
      </c>
      <c r="K541" t="inlineStr">
        <is>
          <t>59.99</t>
        </is>
      </c>
      <c r="L541" t="n">
        <v>69.98999999999999</v>
      </c>
      <c r="M541" s="1" t="inlineStr">
        <is>
          <t>16.67%</t>
        </is>
      </c>
      <c r="N541" s="7" t="n">
        <v>-30.62</v>
      </c>
      <c r="O541" t="n">
        <v>4.7</v>
      </c>
      <c r="P541" t="n">
        <v>357</v>
      </c>
      <c r="R541" t="inlineStr">
        <is>
          <t>InStock</t>
        </is>
      </c>
      <c r="S541" t="inlineStr">
        <is>
          <t>90.48</t>
        </is>
      </c>
      <c r="T541" t="inlineStr">
        <is>
          <t>7640861376728</t>
        </is>
      </c>
    </row>
    <row r="542" hidden="1" ht="15.75" customHeight="1">
      <c r="A542" s="2">
        <f>HYPERLINK("https://edmondsonsupply.com/collections/personal-protection-safety/products/klein-tools-60161-professional-safety-glasses-clear-lens", "https://edmondsonsupply.com/collections/personal-protection-safety/products/klein-tools-60161-professional-safety-glasses-clear-lens")</f>
        <v/>
      </c>
      <c r="B542" s="2">
        <f>HYPERLINK("https://edmondsonsupply.com/products/klein-tools-60161-professional-safety-glasses-clear-lens", "https://edmondsonsupply.com/products/klein-tools-60161-professional-safety-glasses-clear-lens")</f>
        <v/>
      </c>
      <c r="C542" t="inlineStr">
        <is>
          <t>Klein Tools 60161 Professional Safety Glasses, Clear Lens</t>
        </is>
      </c>
      <c r="D542" t="inlineStr">
        <is>
          <t>Klein Tools 60164 Safety Glasses, Professional PPE Protective Eyewear with Full Frame, Scratch Resistant and Anti-Fog, Gray Lens 5.6 x 4 inch</t>
        </is>
      </c>
      <c r="E542" s="2">
        <f>HYPERLINK("https://www.amazon.com/Klein-60164-Professional-Protective-Resistant/dp/B08B4BNSHM/ref=sr_1_11?keywords=Klein+Tools+60161+Professional+Safety+Glasses%2C+Clear+Lens&amp;qid=1694734510&amp;sr=8-11", "https://www.amazon.com/Klein-60164-Professional-Protective-Resistant/dp/B08B4BNSHM/ref=sr_1_11?keywords=Klein+Tools+60161+Professional+Safety+Glasses%2C+Clear+Lens&amp;qid=1694734510&amp;sr=8-11")</f>
        <v/>
      </c>
      <c r="F542" t="inlineStr">
        <is>
          <t>B08B4BNSHM</t>
        </is>
      </c>
      <c r="G542">
        <f>_xludf.IMAGE("https://edmondsonsupply.com/cdn/shop/products/60161.jpg?v=1633030845")</f>
        <v/>
      </c>
      <c r="H542">
        <f>_xludf.IMAGE("https://m.media-amazon.com/images/I/41bNrH9NnFL._AC_UL320_.jpg")</f>
        <v/>
      </c>
      <c r="K542" t="inlineStr">
        <is>
          <t>12.99</t>
        </is>
      </c>
      <c r="L542" t="n">
        <v>14.99</v>
      </c>
      <c r="M542" s="1" t="inlineStr">
        <is>
          <t>15.40%</t>
        </is>
      </c>
      <c r="N542" s="1" t="n">
        <v>-32.06</v>
      </c>
      <c r="O542" t="n">
        <v>4.4</v>
      </c>
      <c r="P542" t="n">
        <v>459</v>
      </c>
      <c r="R542" t="inlineStr">
        <is>
          <t>InStock</t>
        </is>
      </c>
      <c r="S542" t="inlineStr">
        <is>
          <t>18.0</t>
        </is>
      </c>
      <c r="T542" t="inlineStr">
        <is>
          <t>6092105285805</t>
        </is>
      </c>
    </row>
    <row r="543" hidden="1" ht="15.75" customHeight="1">
      <c r="A543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543" s="2">
        <f>HYPERLINK("https://edmondsonsupply.com/products/klein-tools-60162-professional-safety-glasses-gray-lens", "https://edmondsonsupply.com/products/klein-tools-60162-professional-safety-glasses-gray-lens")</f>
        <v/>
      </c>
      <c r="C543" t="inlineStr">
        <is>
          <t>Klein Tools 60162 Professional Safety Glasses, Gray Lens</t>
        </is>
      </c>
      <c r="D543" t="inlineStr">
        <is>
          <t>Klein Tools 60163 Safety Glasses, Professional PPE Protective Eyewear with Full Frame, Scratch Resistant and Anti-Fog, Clear Lens , 5.6 x 4 inch</t>
        </is>
      </c>
      <c r="E543" s="2">
        <f>HYPERLINK("https://www.amazon.com/Klein-60163-Professional-Protective-Resistant/dp/B08B48CZ5V/ref=sr_1_7?keywords=Klein+Tools+60162+Professional+Safety+Glasses%2C+Gray+Lens&amp;qid=1694734505&amp;sr=8-7", "https://www.amazon.com/Klein-60163-Professional-Protective-Resistant/dp/B08B48CZ5V/ref=sr_1_7?keywords=Klein+Tools+60162+Professional+Safety+Glasses%2C+Gray+Lens&amp;qid=1694734505&amp;sr=8-7")</f>
        <v/>
      </c>
      <c r="F543" t="inlineStr">
        <is>
          <t>B08B48CZ5V</t>
        </is>
      </c>
      <c r="G543">
        <f>_xludf.IMAGE("https://edmondsonsupply.com/cdn/shop/products/60162.jpg?v=1633030847")</f>
        <v/>
      </c>
      <c r="H543">
        <f>_xludf.IMAGE("https://m.media-amazon.com/images/I/41IY8K6EFLL._AC_UL320_.jpg")</f>
        <v/>
      </c>
      <c r="K543" t="inlineStr">
        <is>
          <t>12.99</t>
        </is>
      </c>
      <c r="L543" t="n">
        <v>14.99</v>
      </c>
      <c r="M543" s="1" t="inlineStr">
        <is>
          <t>15.40%</t>
        </is>
      </c>
      <c r="N543" s="1" t="n">
        <v>-35.01</v>
      </c>
      <c r="O543" t="n">
        <v>4.4</v>
      </c>
      <c r="P543" t="n">
        <v>196</v>
      </c>
      <c r="R543" t="inlineStr">
        <is>
          <t>InStock</t>
        </is>
      </c>
      <c r="S543" t="inlineStr">
        <is>
          <t>18.0</t>
        </is>
      </c>
      <c r="T543" t="inlineStr">
        <is>
          <t>6092128747693</t>
        </is>
      </c>
    </row>
    <row r="544" hidden="1" ht="15.75" customHeight="1">
      <c r="A544" s="2">
        <f>HYPERLINK("https://edmondsonsupply.com/collections/personal-protection-safety/products/klein-tools-60161-professional-safety-glasses-clear-lens", "https://edmondsonsupply.com/collections/personal-protection-safety/products/klein-tools-60161-professional-safety-glasses-clear-lens")</f>
        <v/>
      </c>
      <c r="B544" s="2">
        <f>HYPERLINK("https://edmondsonsupply.com/products/klein-tools-60161-professional-safety-glasses-clear-lens", "https://edmondsonsupply.com/products/klein-tools-60161-professional-safety-glasses-clear-lens")</f>
        <v/>
      </c>
      <c r="C544" t="inlineStr">
        <is>
          <t>Klein Tools 60161 Professional Safety Glasses, Clear Lens</t>
        </is>
      </c>
      <c r="D544" t="inlineStr">
        <is>
          <t>Klein Tools 60163 Safety Glasses, Professional PPE Protective Eyewear with Full Frame, Scratch Resistant and Anti-Fog, Clear Lens , 5.6 x 4 inch</t>
        </is>
      </c>
      <c r="E544" s="2">
        <f>HYPERLINK("https://www.amazon.com/Klein-60163-Professional-Protective-Resistant/dp/B08B48CZ5V/ref=sr_1_4?keywords=Klein+Tools+60161+Professional+Safety+Glasses%2C+Clear+Lens&amp;qid=1694734510&amp;sr=8-4", "https://www.amazon.com/Klein-60163-Professional-Protective-Resistant/dp/B08B48CZ5V/ref=sr_1_4?keywords=Klein+Tools+60161+Professional+Safety+Glasses%2C+Clear+Lens&amp;qid=1694734510&amp;sr=8-4")</f>
        <v/>
      </c>
      <c r="F544" t="inlineStr">
        <is>
          <t>B08B48CZ5V</t>
        </is>
      </c>
      <c r="G544">
        <f>_xludf.IMAGE("https://edmondsonsupply.com/cdn/shop/products/60161.jpg?v=1633030845")</f>
        <v/>
      </c>
      <c r="H544">
        <f>_xludf.IMAGE("https://m.media-amazon.com/images/I/41IY8K6EFLL._AC_UL320_.jpg")</f>
        <v/>
      </c>
      <c r="K544" t="inlineStr">
        <is>
          <t>12.99</t>
        </is>
      </c>
      <c r="L544" t="n">
        <v>14.99</v>
      </c>
      <c r="M544" s="1" t="inlineStr">
        <is>
          <t>15.40%</t>
        </is>
      </c>
      <c r="N544" s="1" t="n">
        <v>-35.01</v>
      </c>
      <c r="O544" t="n">
        <v>4.4</v>
      </c>
      <c r="P544" t="n">
        <v>196</v>
      </c>
      <c r="R544" t="inlineStr">
        <is>
          <t>InStock</t>
        </is>
      </c>
      <c r="S544" t="inlineStr">
        <is>
          <t>18.0</t>
        </is>
      </c>
      <c r="T544" t="inlineStr">
        <is>
          <t>6092105285805</t>
        </is>
      </c>
    </row>
    <row r="545" hidden="1" ht="15.75" customHeight="1">
      <c r="A545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545" s="2">
        <f>HYPERLINK("https://edmondsonsupply.com/products/klein-tools-60162-professional-safety-glasses-gray-lens", "https://edmondsonsupply.com/products/klein-tools-60162-professional-safety-glasses-gray-lens")</f>
        <v/>
      </c>
      <c r="C545" t="inlineStr">
        <is>
          <t>Klein Tools 60162 Professional Safety Glasses, Gray Lens</t>
        </is>
      </c>
      <c r="D545" t="inlineStr">
        <is>
          <t>Klein Tools 60164 Safety Glasses, Professional PPE Protective Eyewear with Full Frame, Scratch Resistant and Anti-Fog, Gray Lens 5.6 x 4 inch</t>
        </is>
      </c>
      <c r="E545" s="2">
        <f>HYPERLINK("https://www.amazon.com/Klein-60164-Professional-Protective-Resistant/dp/B08B4BNSHM/ref=sr_1_2?keywords=Klein+Tools+60162+Professional+Safety+Glasses%2C+Gray+Lens&amp;qid=1694734505&amp;sr=8-2", "https://www.amazon.com/Klein-60164-Professional-Protective-Resistant/dp/B08B4BNSHM/ref=sr_1_2?keywords=Klein+Tools+60162+Professional+Safety+Glasses%2C+Gray+Lens&amp;qid=1694734505&amp;sr=8-2")</f>
        <v/>
      </c>
      <c r="F545" t="inlineStr">
        <is>
          <t>B08B4BNSHM</t>
        </is>
      </c>
      <c r="G545">
        <f>_xludf.IMAGE("https://edmondsonsupply.com/cdn/shop/products/60162.jpg?v=1633030847")</f>
        <v/>
      </c>
      <c r="H545">
        <f>_xludf.IMAGE("https://m.media-amazon.com/images/I/41bNrH9NnFL._AC_UL320_.jpg")</f>
        <v/>
      </c>
      <c r="K545" t="inlineStr">
        <is>
          <t>12.99</t>
        </is>
      </c>
      <c r="L545" t="n">
        <v>14.99</v>
      </c>
      <c r="M545" s="1" t="inlineStr">
        <is>
          <t>15.40%</t>
        </is>
      </c>
      <c r="N545" s="1" t="n">
        <v>-35.06</v>
      </c>
      <c r="O545" t="n">
        <v>4.4</v>
      </c>
      <c r="P545" t="n">
        <v>459</v>
      </c>
      <c r="R545" t="inlineStr">
        <is>
          <t>InStock</t>
        </is>
      </c>
      <c r="S545" t="inlineStr">
        <is>
          <t>18.0</t>
        </is>
      </c>
      <c r="T545" t="inlineStr">
        <is>
          <t>6092128747693</t>
        </is>
      </c>
    </row>
    <row r="546" ht="87" customHeight="1">
      <c r="A546" s="2">
        <f>HYPERLINK("https://edmondsonsupply.com/collections/personal-protection-safety/products/klein-tools-60189-leather-work-gloves-x-large-pair", "https://edmondsonsupply.com/collections/personal-protection-safety/products/klein-tools-60189-leather-work-gloves-x-large-pair")</f>
        <v/>
      </c>
      <c r="B546" s="2">
        <f>HYPERLINK("https://edmondsonsupply.com/products/klein-tools-60189-leather-work-gloves-x-large-pair", "https://edmondsonsupply.com/products/klein-tools-60189-leather-work-gloves-x-large-pair")</f>
        <v/>
      </c>
      <c r="C546" t="inlineStr">
        <is>
          <t>Klein Tools 60189 Leather Work Gloves, X-Large, Pair</t>
        </is>
      </c>
      <c r="D546" t="inlineStr">
        <is>
          <t>Klein Tools 40084 Work Gloves, Durable Soft Grain Leather Lineman Gloves with Padded Knuckles, Extra Large,Black</t>
        </is>
      </c>
      <c r="E546" s="2">
        <f>HYPERLINK("https://www.amazon.com/Lineman-Glove-Klein-Tools-40084/dp/B003OD8YX0/ref=sr_1_4?keywords=Klein+Tools+60189+Leather+Work+Gloves%2C+X-Large%2C+Pair&amp;qid=1694734517&amp;sr=8-4", "https://www.amazon.com/Lineman-Glove-Klein-Tools-40084/dp/B003OD8YX0/ref=sr_1_4?keywords=Klein+Tools+60189+Leather+Work+Gloves%2C+X-Large%2C+Pair&amp;qid=1694734517&amp;sr=8-4")</f>
        <v/>
      </c>
      <c r="F546" t="inlineStr">
        <is>
          <t>B003OD8YX0</t>
        </is>
      </c>
      <c r="G546">
        <f>_xlfn.IMAGE("https://edmondsonsupply.com/cdn/shop/products/60188.jpg?v=1587143489")</f>
        <v/>
      </c>
      <c r="H546">
        <f>_xlfn.IMAGE("https://m.media-amazon.com/images/I/61HoGcmMLGL._AC_UL320_.jpg")</f>
        <v/>
      </c>
      <c r="K546" t="inlineStr">
        <is>
          <t>24.99</t>
        </is>
      </c>
      <c r="L546" t="n">
        <v>28.21</v>
      </c>
      <c r="M546" s="1" t="inlineStr">
        <is>
          <t>12.89%</t>
        </is>
      </c>
      <c r="N546" s="7" t="n">
        <v>-36.26</v>
      </c>
      <c r="O546" t="n">
        <v>4.3</v>
      </c>
      <c r="P546" t="n">
        <v>665</v>
      </c>
      <c r="R546" t="inlineStr">
        <is>
          <t>InStock</t>
        </is>
      </c>
      <c r="S546" t="inlineStr">
        <is>
          <t>35.98</t>
        </is>
      </c>
      <c r="T546" t="inlineStr">
        <is>
          <t>4554986815588</t>
        </is>
      </c>
    </row>
    <row r="547" ht="87" customHeight="1">
      <c r="A547" s="2">
        <f>HYPERLINK("https://edmondsonsupply.com/collections/personal-protection-safety/products/clc-361", "https://edmondsonsupply.com/collections/personal-protection-safety/products/clc-361")</f>
        <v/>
      </c>
      <c r="B547" s="2">
        <f>HYPERLINK("https://edmondsonsupply.com/products/clc-361", "https://edmondsonsupply.com/products/clc-361")</f>
        <v/>
      </c>
      <c r="C547" t="inlineStr">
        <is>
          <t>CLC 361 ULTRAFLEX Non-Skid Kneepads</t>
        </is>
      </c>
      <c r="D547" t="inlineStr">
        <is>
          <t>Custom Leathercraft CLC 361 Ultraflex Non-Skid Kneepads,Grey &amp; McGuire-Nicholas Rubber Straps for Knee Pads | Replacement Straps for Knee Pads (0361STRAP)</t>
        </is>
      </c>
      <c r="E547" s="2">
        <f>HYPERLINK("https://www.amazon.com/Custom-Leathercraft-Ultraflex-McGuire-Nicholas-Replacement/dp/B0C9CLKRWZ/ref=sr_1_1?keywords=CLC+361+ULTRAFLEX+Non-Skid+Kneepads&amp;qid=1694734511&amp;sr=8-1", "https://www.amazon.com/Custom-Leathercraft-Ultraflex-McGuire-Nicholas-Replacement/dp/B0C9CLKRWZ/ref=sr_1_1?keywords=CLC+361+ULTRAFLEX+Non-Skid+Kneepads&amp;qid=1694734511&amp;sr=8-1")</f>
        <v/>
      </c>
      <c r="F547" t="inlineStr">
        <is>
          <t>B0C9CLKRWZ</t>
        </is>
      </c>
      <c r="G547">
        <f>_xlfn.IMAGE("https://edmondsonsupply.com/cdn/shop/products/361.png?v=1633030342")</f>
        <v/>
      </c>
      <c r="H547">
        <f>_xlfn.IMAGE("https://m.media-amazon.com/images/I/511JOqNrj+L._AC_UL320_.jpg")</f>
        <v/>
      </c>
      <c r="K547" t="inlineStr">
        <is>
          <t>29.95</t>
        </is>
      </c>
      <c r="L547" t="n">
        <v>33.8</v>
      </c>
      <c r="M547" s="1" t="inlineStr">
        <is>
          <t>12.85%</t>
        </is>
      </c>
      <c r="N547" s="7" t="n">
        <v>-44.65</v>
      </c>
      <c r="O547" t="n">
        <v>4.6</v>
      </c>
      <c r="P547" t="n">
        <v>721</v>
      </c>
      <c r="R547" t="inlineStr">
        <is>
          <t>InStock</t>
        </is>
      </c>
      <c r="S547" t="inlineStr">
        <is>
          <t>39.95</t>
        </is>
      </c>
      <c r="T547" t="inlineStr">
        <is>
          <t>5276074672296</t>
        </is>
      </c>
    </row>
    <row r="548" ht="87" customHeight="1">
      <c r="A548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548" s="2">
        <f>HYPERLINK("https://edmondsonsupply.com/products/klein-tools-40218-journeyman-extreme-gloves-large", "https://edmondsonsupply.com/products/klein-tools-40218-journeyman-extreme-gloves-large")</f>
        <v/>
      </c>
      <c r="C548" t="inlineStr">
        <is>
          <t>Klein Tools 40218 Journeyman Extreme Gloves, Large</t>
        </is>
      </c>
      <c r="D548" t="inlineStr">
        <is>
          <t>Klein Tools 40221 Journeyman Leather Gloves, Large</t>
        </is>
      </c>
      <c r="E548" s="2">
        <f>HYPERLINK("https://www.amazon.com/Journeyman-Leather-Klein-Tools-40221/dp/B00KWJ98QG/ref=sr_1_6?keywords=Klein+Tools+40218+Journeyman+Extreme+Gloves%2C+Large&amp;qid=1694734514&amp;sr=8-6", "https://www.amazon.com/Journeyman-Leather-Klein-Tools-40221/dp/B00KWJ98QG/ref=sr_1_6?keywords=Klein+Tools+40218+Journeyman+Extreme+Gloves%2C+Large&amp;qid=1694734514&amp;sr=8-6")</f>
        <v/>
      </c>
      <c r="F548" t="inlineStr">
        <is>
          <t>B00KWJ98QG</t>
        </is>
      </c>
      <c r="G548">
        <f>_xlfn.IMAGE("https://edmondsonsupply.com/cdn/shop/products/40219_0a592222-828d-4257-9e62-1df98be50c8b.jpg?v=1600025215")</f>
        <v/>
      </c>
      <c r="H548">
        <f>_xlfn.IMAGE("https://m.media-amazon.com/images/I/61e9r7Pq+oL._AC_UL320_.jpg")</f>
        <v/>
      </c>
      <c r="K548" t="inlineStr">
        <is>
          <t>39.99</t>
        </is>
      </c>
      <c r="L548" t="n">
        <v>44.49</v>
      </c>
      <c r="M548" s="1" t="inlineStr">
        <is>
          <t>11.25%</t>
        </is>
      </c>
      <c r="N548" s="7" t="n">
        <v>-49.96</v>
      </c>
      <c r="O548" t="n">
        <v>4.4</v>
      </c>
      <c r="P548" t="n">
        <v>46</v>
      </c>
      <c r="R548" t="inlineStr">
        <is>
          <t>InStock</t>
        </is>
      </c>
      <c r="S548" t="inlineStr">
        <is>
          <t>55.44</t>
        </is>
      </c>
      <c r="T548" t="inlineStr">
        <is>
          <t>5782641410216</t>
        </is>
      </c>
    </row>
    <row r="549" ht="87" customHeight="1">
      <c r="A549" s="2">
        <f>HYPERLINK("https://edmondsonsupply.com/collections/personal-protection-safety/products/klein-tools-60113rl-hard-hat-vented-cap-style-with-rechargeable-headlamp-white", "https://edmondsonsupply.com/collections/personal-protection-safety/products/klein-tools-60113rl-hard-hat-vented-cap-style-with-rechargeable-headlamp-white")</f>
        <v/>
      </c>
      <c r="B549" s="2">
        <f>HYPERLINK("https://edmondsonsupply.com/products/klein-tools-60113rl-hard-hat-vented-cap-style-with-rechargeable-headlamp-white", "https://edmondsonsupply.com/products/klein-tools-60113rl-hard-hat-vented-cap-style-with-rechargeable-headlamp-white")</f>
        <v/>
      </c>
      <c r="C549" t="inlineStr">
        <is>
          <t>Klein Tools 60113RL Hard Hat, Vented, Cap Style with Rechargeable Headlamp, White</t>
        </is>
      </c>
      <c r="D549" t="inlineStr">
        <is>
          <t>Klein Tools 60401 Hard Hat, Vented, Full Brim Style, Padded, Self-Wicking Odor-Resistant Sweatband, White &amp; 60181 Cooling Helmet Liner, Under Hard Hat Cap with Mesh Fabric at Crown</t>
        </is>
      </c>
      <c r="E549" s="2">
        <f>HYPERLINK("https://www.amazon.com/Klein-Tools-Self-Wicking-Odor-Resistant-Sweatband/dp/B0BGJ5GTKV/ref=sr_1_20?keywords=Klein+Tools+60113RL+Hard+Hat%2C+Vented%2C+Cap+Style+with+Rechargeable+Headlamp%2C+White&amp;qid=1694734498&amp;sr=8-20", "https://www.amazon.com/Klein-Tools-Self-Wicking-Odor-Resistant-Sweatband/dp/B0BGJ5GTKV/ref=sr_1_20?keywords=Klein+Tools+60113RL+Hard+Hat%2C+Vented%2C+Cap+Style+with+Rechargeable+Headlamp%2C+White&amp;qid=1694734498&amp;sr=8-20")</f>
        <v/>
      </c>
      <c r="F549" t="inlineStr">
        <is>
          <t>B0BGJ5GTKV</t>
        </is>
      </c>
      <c r="G549">
        <f>_xlfn.IMAGE("https://edmondsonsupply.com/cdn/shop/products/60113rl_c.jpg?v=1647891186")</f>
        <v/>
      </c>
      <c r="H549">
        <f>_xlfn.IMAGE("https://m.media-amazon.com/images/I/41lJ1V88-+L._AC_UL320_.jpg")</f>
        <v/>
      </c>
      <c r="K549" t="inlineStr">
        <is>
          <t>59.99</t>
        </is>
      </c>
      <c r="L549" t="n">
        <v>66.65000000000001</v>
      </c>
      <c r="M549" s="1" t="inlineStr">
        <is>
          <t>11.10%</t>
        </is>
      </c>
      <c r="N549" s="7" t="n">
        <v>-50.06</v>
      </c>
      <c r="O549" t="n">
        <v>5</v>
      </c>
      <c r="P549" t="n">
        <v>1</v>
      </c>
      <c r="R549" t="inlineStr">
        <is>
          <t>InStock</t>
        </is>
      </c>
      <c r="S549" t="inlineStr">
        <is>
          <t>90.48</t>
        </is>
      </c>
      <c r="T549" t="inlineStr">
        <is>
          <t>7640861376728</t>
        </is>
      </c>
    </row>
    <row r="550" ht="87" customHeight="1">
      <c r="A550" s="2">
        <f>HYPERLINK("https://edmondsonsupply.com/collections/personal-protection-safety/products/klein-tools-60346-hard-hat-premium-karbn%E2%84%A2-pattern-non-vented-full-brim-class-e-lamp", "https://edmondsonsupply.com/collections/personal-protection-safety/products/klein-tools-60346-hard-hat-premium-karbn%E2%84%A2-pattern-non-vented-full-brim-class-e-lamp")</f>
        <v/>
      </c>
      <c r="B550" s="2">
        <f>HYPERLINK("https://edmondsonsupply.com/products/klein-tools-60346-hard-hat-premium-karbn%e2%84%a2-pattern-non-vented-full-brim-class-e-lamp", "https://edmondsonsupply.com/products/klein-tools-60346-hard-hat-premium-karbn%e2%84%a2-pattern-non-vented-full-brim-class-e-lamp")</f>
        <v/>
      </c>
      <c r="C550" t="inlineStr">
        <is>
          <t>Klein Tools 60346 Hard Hat, Premium KARBN™ Pattern, Non-Vented Full Brim, Class E, Lamp</t>
        </is>
      </c>
      <c r="D550" t="inlineStr">
        <is>
          <t>Klein Tools 60346 Hard Hat, Non-Vented Full Brim, Class E, Premium KARBN Pattern &amp; 60181 Cooling Helmet Liner, Under Hard Hat Cap with Mesh Fabric at Crown</t>
        </is>
      </c>
      <c r="E550" s="2">
        <f>HYPERLINK("https://www.amazon.com/Klein-Tools-Non-Vented-Premium-Pattern/dp/B09Z8ZC2TJ/ref=sr_1_3?keywords=Klein+Tools+60346+Hard+Hat%2C+Premium+KARBN%E2%84%A2+Pattern%2C+Non-Vented+Full+Brim%2C+Class+E%2C+Lamp&amp;qid=1694734486&amp;sr=8-3", "https://www.amazon.com/Klein-Tools-Non-Vented-Premium-Pattern/dp/B09Z8ZC2TJ/ref=sr_1_3?keywords=Klein+Tools+60346+Hard+Hat%2C+Premium+KARBN%E2%84%A2+Pattern%2C+Non-Vented+Full+Brim%2C+Class+E%2C+Lamp&amp;qid=1694734486&amp;sr=8-3")</f>
        <v/>
      </c>
      <c r="F550" t="inlineStr">
        <is>
          <t>B09Z8ZC2TJ</t>
        </is>
      </c>
      <c r="G550">
        <f>_xlfn.IMAGE("https://edmondsonsupply.com/cdn/shop/products/60346.jpg?v=1660168162")</f>
        <v/>
      </c>
      <c r="H550">
        <f>_xlfn.IMAGE("https://m.media-amazon.com/images/I/51OeMTIeiuL._AC_UL320_.jpg")</f>
        <v/>
      </c>
      <c r="K550" t="inlineStr">
        <is>
          <t>89.99</t>
        </is>
      </c>
      <c r="L550" t="n">
        <v>99.98</v>
      </c>
      <c r="M550" s="1" t="inlineStr">
        <is>
          <t>11.10%</t>
        </is>
      </c>
      <c r="N550" s="7" t="n">
        <v>-50.06</v>
      </c>
      <c r="O550" t="n">
        <v>4.7</v>
      </c>
      <c r="P550" t="n">
        <v>8</v>
      </c>
      <c r="R550" t="inlineStr">
        <is>
          <t>InStock</t>
        </is>
      </c>
      <c r="S550" t="inlineStr">
        <is>
          <t>123.76</t>
        </is>
      </c>
      <c r="T550" t="inlineStr">
        <is>
          <t>7778030321880</t>
        </is>
      </c>
    </row>
    <row r="551" ht="87" customHeight="1">
      <c r="A551" s="2">
        <f>HYPERLINK("https://edmondsonsupply.com/collections/personal-protection-safety/products/klein-tools-60537-professional-safety-glasses-full-frame-indoor-outdoor-lens", "https://edmondsonsupply.com/collections/personal-protection-safety/products/klein-tools-60537-professional-safety-glasses-full-frame-indoor-outdoor-lens")</f>
        <v/>
      </c>
      <c r="B551" s="2">
        <f>HYPERLINK("https://edmondsonsupply.com/products/klein-tools-60537-professional-safety-glasses-full-frame-indoor-outdoor-lens", "https://edmondsonsupply.com/products/klein-tools-60537-professional-safety-glasses-full-frame-indoor-outdoor-lens")</f>
        <v/>
      </c>
      <c r="C551" t="inlineStr">
        <is>
          <t>Klein Tools 60537 Professional Safety Glasses, Full-Frame, Indoor/Outdoor Lens</t>
        </is>
      </c>
      <c r="D551" t="inlineStr">
        <is>
          <t>Klein Tools 60536 Safety Glasses, Professional PPE Protective Eyewear with Semi Frame, Scratch Resistant and Anti-Fog, Indoor/Outdoor Lens, Clear Lens</t>
        </is>
      </c>
      <c r="E551" s="2">
        <f>HYPERLINK("https://www.amazon.com/Klein-Tools-60536-Professional-Protective/dp/B0BLQWVJDB/ref=sr_1_2?keywords=Klein+Tools+60537+Professional+Safety+Glasses%2C+Full-Frame%2C+Indoor%2FOutdoor+Lens&amp;qid=1694734483&amp;sr=8-2", "https://www.amazon.com/Klein-Tools-60536-Professional-Protective/dp/B0BLQWVJDB/ref=sr_1_2?keywords=Klein+Tools+60537+Professional+Safety+Glasses%2C+Full-Frame%2C+Indoor%2FOutdoor+Lens&amp;qid=1694734483&amp;sr=8-2")</f>
        <v/>
      </c>
      <c r="F551" t="inlineStr">
        <is>
          <t>B0BLQWVJDB</t>
        </is>
      </c>
      <c r="G551">
        <f>_xlfn.IMAGE("https://edmondsonsupply.com/cdn/shop/products/60537.jpg?v=1670947087")</f>
        <v/>
      </c>
      <c r="H551">
        <f>_xlfn.IMAGE("https://m.media-amazon.com/images/I/41rAXCZifQL._AC_UL320_.jpg")</f>
        <v/>
      </c>
      <c r="K551" t="inlineStr">
        <is>
          <t>14.99</t>
        </is>
      </c>
      <c r="L551" t="n">
        <v>16.6</v>
      </c>
      <c r="M551" s="1" t="inlineStr">
        <is>
          <t>10.74%</t>
        </is>
      </c>
      <c r="N551" s="7" t="n">
        <v>-51.26</v>
      </c>
      <c r="O551" t="n">
        <v>4.4</v>
      </c>
      <c r="P551" t="n">
        <v>371</v>
      </c>
      <c r="R551" t="inlineStr">
        <is>
          <t>InStock</t>
        </is>
      </c>
      <c r="S551" t="inlineStr">
        <is>
          <t>20.98</t>
        </is>
      </c>
      <c r="T551" t="inlineStr">
        <is>
          <t>7903997493464</t>
        </is>
      </c>
    </row>
    <row r="552" ht="87" customHeight="1">
      <c r="A552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552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552" t="inlineStr">
        <is>
          <t>Klein Tools 60163 Professional Safety Glasses, Full Frame, Clear Lens</t>
        </is>
      </c>
      <c r="D552" t="inlineStr">
        <is>
          <t>Klein Tools 60161 Safety Glasses, Professional PPE Protective Eyewear with Semi Frame, Scratch Resistant and Anti-Fog, Clear Lens</t>
        </is>
      </c>
      <c r="E552" s="2">
        <f>HYPERLINK("https://www.amazon.com/Klein-60161-Professional-Protective-Resistant/dp/B08B496F57/ref=sr_1_9?keywords=Klein+Tools+60163+Professional+Safety+Glasses%2C+Full+Frame%2C+Clear+Lens&amp;qid=1694734507&amp;sr=8-9", "https://www.amazon.com/Klein-60161-Professional-Protective-Resistant/dp/B08B496F57/ref=sr_1_9?keywords=Klein+Tools+60163+Professional+Safety+Glasses%2C+Full+Frame%2C+Clear+Lens&amp;qid=1694734507&amp;sr=8-9")</f>
        <v/>
      </c>
      <c r="F552" t="inlineStr">
        <is>
          <t>B08B496F57</t>
        </is>
      </c>
      <c r="G552">
        <f>_xlfn.IMAGE("https://edmondsonsupply.com/cdn/shop/products/60163.jpg?v=1633030848")</f>
        <v/>
      </c>
      <c r="H552">
        <f>_xlfn.IMAGE("https://m.media-amazon.com/images/I/515pVZPvJ0L._AC_UL320_.jpg")</f>
        <v/>
      </c>
      <c r="K552" t="inlineStr">
        <is>
          <t>14.99</t>
        </is>
      </c>
      <c r="L552" t="n">
        <v>16.56</v>
      </c>
      <c r="M552" s="1" t="inlineStr">
        <is>
          <t>10.47%</t>
        </is>
      </c>
      <c r="N552" s="7" t="n">
        <v>-79.95999999999999</v>
      </c>
      <c r="O552" t="n">
        <v>4.4</v>
      </c>
      <c r="P552" t="n">
        <v>371</v>
      </c>
      <c r="R552" t="inlineStr">
        <is>
          <t>InStock</t>
        </is>
      </c>
      <c r="S552" t="inlineStr">
        <is>
          <t>20.98</t>
        </is>
      </c>
      <c r="T552" t="inlineStr">
        <is>
          <t>6094353039533</t>
        </is>
      </c>
    </row>
    <row r="553" hidden="1" ht="15.75" customHeight="1">
      <c r="A553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53" s="2">
        <f>HYPERLINK("https://edmondsonsupply.com/products/john-boy-tree-face-guard", "https://edmondsonsupply.com/products/john-boy-tree-face-guard")</f>
        <v/>
      </c>
      <c r="C553" t="inlineStr">
        <is>
          <t>John Boy TREE Face Guard</t>
        </is>
      </c>
      <c r="D553" t="inlineStr">
        <is>
          <t>JOHN BOY Fishing Face Guard - UPF 50+ Multi-Weather Sport Mask with UV Sun Protection &amp; Moisture Wicking Fabric</t>
        </is>
      </c>
      <c r="E553" s="2">
        <f>HYPERLINK("https://www.amazon.com/JOHN-Fishing-Face-Guard-Multi-Weather/dp/B0842ZW5XH/ref=sr_1_7?keywords=John+Boy+TREE+Face+Guard&amp;qid=1694734508&amp;sr=8-7", "https://www.amazon.com/JOHN-Fishing-Face-Guard-Multi-Weather/dp/B0842ZW5XH/ref=sr_1_7?keywords=John+Boy+TREE+Face+Guard&amp;qid=1694734508&amp;sr=8-7")</f>
        <v/>
      </c>
      <c r="F553" t="inlineStr">
        <is>
          <t>B0842ZW5XH</t>
        </is>
      </c>
      <c r="G553">
        <f>_xludf.IMAGE("https://edmondsonsupply.com/cdn/shop/products/tree-mockup.jpg?v=1633030898")</f>
        <v/>
      </c>
      <c r="H553">
        <f>_xludf.IMAGE("https://m.media-amazon.com/images/I/71yhaPSba3L._AC_UL320_.jpg")</f>
        <v/>
      </c>
      <c r="K553" t="inlineStr">
        <is>
          <t>10.0</t>
        </is>
      </c>
      <c r="L553" t="n">
        <v>11</v>
      </c>
      <c r="M553" s="1" t="inlineStr">
        <is>
          <t>10.00%</t>
        </is>
      </c>
      <c r="N553" s="3" t="n">
        <v>9058.82</v>
      </c>
      <c r="O553" t="n">
        <v>4</v>
      </c>
      <c r="P553" t="n">
        <v>13</v>
      </c>
      <c r="R553" t="inlineStr">
        <is>
          <t>InStock</t>
        </is>
      </c>
      <c r="S553" t="inlineStr">
        <is>
          <t>undefined</t>
        </is>
      </c>
      <c r="T553" t="inlineStr">
        <is>
          <t>6241649066157</t>
        </is>
      </c>
    </row>
    <row r="554" hidden="1" ht="15.75" customHeight="1">
      <c r="A554" s="2">
        <f>HYPERLINK("https://edmondsonsupply.com/collections/personal-protection-safety/products/john-boy-grass-face-guard", "https://edmondsonsupply.com/collections/personal-protection-safety/products/john-boy-grass-face-guard")</f>
        <v/>
      </c>
      <c r="B554" s="2">
        <f>HYPERLINK("https://edmondsonsupply.com/products/john-boy-grass-face-guard", "https://edmondsonsupply.com/products/john-boy-grass-face-guard")</f>
        <v/>
      </c>
      <c r="C554" t="inlineStr">
        <is>
          <t>John Boy GRASS Face Guard</t>
        </is>
      </c>
      <c r="D554" t="inlineStr">
        <is>
          <t>JOHN BOY Fishing Face Guard - UPF 50+ Multi-Weather Sport Mask with UV Sun Protection &amp; Moisture Wicking Fabric</t>
        </is>
      </c>
      <c r="E554" s="2">
        <f>HYPERLINK("https://www.amazon.com/JOHN-Fishing-Face-Guard-Multi-Weather/dp/B0842ZW5XH/ref=sr_1_2?keywords=John+Boy+GRASS+Face+Guard&amp;qid=1694734501&amp;sr=8-2", "https://www.amazon.com/JOHN-Fishing-Face-Guard-Multi-Weather/dp/B0842ZW5XH/ref=sr_1_2?keywords=John+Boy+GRASS+Face+Guard&amp;qid=1694734501&amp;sr=8-2")</f>
        <v/>
      </c>
      <c r="F554" t="inlineStr">
        <is>
          <t>B0842ZW5XH</t>
        </is>
      </c>
      <c r="G554">
        <f>_xludf.IMAGE("https://edmondsonsupply.com/cdn/shop/products/grassMUcopy_900x_3dbec2e2-1ea2-46e7-b806-f05c0b3108b5.jpg?v=1633030897")</f>
        <v/>
      </c>
      <c r="H554">
        <f>_xludf.IMAGE("https://m.media-amazon.com/images/I/71yhaPSba3L._AC_UL320_.jpg")</f>
        <v/>
      </c>
      <c r="K554" t="inlineStr">
        <is>
          <t>10.0</t>
        </is>
      </c>
      <c r="L554" t="n">
        <v>11</v>
      </c>
      <c r="M554" s="1" t="inlineStr">
        <is>
          <t>10.00%</t>
        </is>
      </c>
      <c r="N554" s="3" t="n">
        <v>7264.19</v>
      </c>
      <c r="O554" t="n">
        <v>4</v>
      </c>
      <c r="P554" t="n">
        <v>13</v>
      </c>
      <c r="R554" t="inlineStr">
        <is>
          <t>InStock</t>
        </is>
      </c>
      <c r="S554" t="inlineStr">
        <is>
          <t>undefined</t>
        </is>
      </c>
      <c r="T554" t="inlineStr">
        <is>
          <t>6237276438701</t>
        </is>
      </c>
    </row>
    <row r="555" hidden="1" ht="15.75" customHeight="1">
      <c r="A555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55" s="2">
        <f>HYPERLINK("https://edmondsonsupply.com/products/john-boy-desert-face-guard", "https://edmondsonsupply.com/products/john-boy-desert-face-guard")</f>
        <v/>
      </c>
      <c r="C555" t="inlineStr">
        <is>
          <t>John Boy DESERT Face Guard</t>
        </is>
      </c>
      <c r="D555" t="inlineStr">
        <is>
          <t>JOHN BOY Hunting Face Guard - UPF 50+ Camoflauge Sport Mask with UV Sun Protection &amp; Moisture Wicking Fabric</t>
        </is>
      </c>
      <c r="E555" s="2">
        <f>HYPERLINK("https://www.amazon.com/JOHN-BOY-Hunting-Face-Guard/dp/B0843N839C/ref=sr_1_3?keywords=John+Boy+DESERT+Face+Guard&amp;qid=1694734515&amp;sr=8-3", "https://www.amazon.com/JOHN-BOY-Hunting-Face-Guard/dp/B0843N839C/ref=sr_1_3?keywords=John+Boy+DESERT+Face+Guard&amp;qid=1694734515&amp;sr=8-3")</f>
        <v/>
      </c>
      <c r="F555" t="inlineStr">
        <is>
          <t>B0843N839C</t>
        </is>
      </c>
      <c r="G555">
        <f>_xludf.IMAGE("https://edmondsonsupply.com/cdn/shop/products/Desertcopy.jpg?v=1633030720")</f>
        <v/>
      </c>
      <c r="H555">
        <f>_xludf.IMAGE("https://m.media-amazon.com/images/I/71WilqyMaZL._AC_UL320_.jpg")</f>
        <v/>
      </c>
      <c r="K555" t="inlineStr">
        <is>
          <t>10.0</t>
        </is>
      </c>
      <c r="L555" t="n">
        <v>11</v>
      </c>
      <c r="M555" s="1" t="inlineStr">
        <is>
          <t>10.00%</t>
        </is>
      </c>
      <c r="N555" s="3" t="n">
        <v>7121.67</v>
      </c>
      <c r="O555" t="n">
        <v>4</v>
      </c>
      <c r="P555" t="n">
        <v>8</v>
      </c>
      <c r="R555" t="inlineStr">
        <is>
          <t>InStock</t>
        </is>
      </c>
      <c r="S555" t="inlineStr">
        <is>
          <t>undefined</t>
        </is>
      </c>
      <c r="T555" t="inlineStr">
        <is>
          <t>5862662930600</t>
        </is>
      </c>
    </row>
    <row r="556" hidden="1" ht="15.75" customHeight="1">
      <c r="A556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556" s="2">
        <f>HYPERLINK("https://edmondsonsupply.com/products/john-boy-texas-face-guard", "https://edmondsonsupply.com/products/john-boy-texas-face-guard")</f>
        <v/>
      </c>
      <c r="C556" t="inlineStr">
        <is>
          <t>John Boy TEXAS Face Guard</t>
        </is>
      </c>
      <c r="D556" t="inlineStr">
        <is>
          <t>JOHN BOY Hunting Face Guard - UPF 50+ Camoflauge Sport Mask with UV Sun Protection &amp; Moisture Wicking Fabric</t>
        </is>
      </c>
      <c r="E556" s="2">
        <f>HYPERLINK("https://www.amazon.com/JOHN-BOY-Hunting-Face-Guard/dp/B0843N839C/ref=sr_1_3?keywords=John+Boy+TEXAS+Face+Guard&amp;qid=1694734515&amp;sr=8-3", "https://www.amazon.com/JOHN-BOY-Hunting-Face-Guard/dp/B0843N839C/ref=sr_1_3?keywords=John+Boy+TEXAS+Face+Guard&amp;qid=1694734515&amp;sr=8-3")</f>
        <v/>
      </c>
      <c r="F556" t="inlineStr">
        <is>
          <t>B0843N839C</t>
        </is>
      </c>
      <c r="G556">
        <f>_xludf.IMAGE("https://edmondsonsupply.com/cdn/shop/products/TX2-FG.jpg?v=1633030719")</f>
        <v/>
      </c>
      <c r="H556">
        <f>_xludf.IMAGE("https://m.media-amazon.com/images/I/71WilqyMaZL._AC_UL320_.jpg")</f>
        <v/>
      </c>
      <c r="K556" t="inlineStr">
        <is>
          <t>10.0</t>
        </is>
      </c>
      <c r="L556" t="n">
        <v>11</v>
      </c>
      <c r="M556" s="1" t="inlineStr">
        <is>
          <t>10.00%</t>
        </is>
      </c>
      <c r="N556" s="3" t="n">
        <v>6566</v>
      </c>
      <c r="O556" t="n">
        <v>4</v>
      </c>
      <c r="P556" t="n">
        <v>8</v>
      </c>
      <c r="R556" t="inlineStr">
        <is>
          <t>OutOfStock</t>
        </is>
      </c>
      <c r="S556" t="inlineStr">
        <is>
          <t>undefined</t>
        </is>
      </c>
      <c r="T556" t="inlineStr">
        <is>
          <t>5862606110888</t>
        </is>
      </c>
    </row>
    <row r="557" hidden="1" ht="15.75" customHeight="1">
      <c r="A557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557" s="2">
        <f>HYPERLINK("https://edmondsonsupply.com/products/john-boy-neon-reflect-y-face-guard", "https://edmondsonsupply.com/products/john-boy-neon-reflect-y-face-guard")</f>
        <v/>
      </c>
      <c r="C557" t="inlineStr">
        <is>
          <t>John Boy NEON REFLECT-Y Face Guard</t>
        </is>
      </c>
      <c r="D557" t="inlineStr">
        <is>
          <t>JOHN BOY Hunting Face Guard - UPF 50+ Camoflauge Sport Mask with UV Sun Protection &amp; Moisture Wicking Fabric</t>
        </is>
      </c>
      <c r="E557" s="2">
        <f>HYPERLINK("https://www.amazon.com/JOHN-BOY-Hunting-Face-Guard/dp/B0843N839C/ref=sr_1_3?keywords=John+Boy+NEON+REFLECT-Y+Face+Guard&amp;qid=1694734515&amp;sr=8-3", "https://www.amazon.com/JOHN-BOY-Hunting-Face-Guard/dp/B0843N839C/ref=sr_1_3?keywords=John+Boy+NEON+REFLECT-Y+Face+Guard&amp;qid=1694734515&amp;sr=8-3")</f>
        <v/>
      </c>
      <c r="F557" t="inlineStr">
        <is>
          <t>B0843N839C</t>
        </is>
      </c>
      <c r="G557">
        <f>_xludf.IMAGE("https://edmondsonsupply.com/cdn/shop/products/NEONREFLECT-Y.jpg?v=1633030720")</f>
        <v/>
      </c>
      <c r="H557">
        <f>_xludf.IMAGE("https://m.media-amazon.com/images/I/71WilqyMaZL._AC_UL320_.jpg")</f>
        <v/>
      </c>
      <c r="K557" t="inlineStr">
        <is>
          <t>10.0</t>
        </is>
      </c>
      <c r="L557" t="n">
        <v>11</v>
      </c>
      <c r="M557" s="1" t="inlineStr">
        <is>
          <t>10.00%</t>
        </is>
      </c>
      <c r="N557" s="3" t="n">
        <v>6117.65</v>
      </c>
      <c r="O557" t="n">
        <v>4</v>
      </c>
      <c r="P557" t="n">
        <v>8</v>
      </c>
      <c r="R557" t="inlineStr">
        <is>
          <t>InStock</t>
        </is>
      </c>
      <c r="S557" t="inlineStr">
        <is>
          <t>undefined</t>
        </is>
      </c>
      <c r="T557" t="inlineStr">
        <is>
          <t>5862932414632</t>
        </is>
      </c>
    </row>
    <row r="558" hidden="1" ht="15.75" customHeight="1">
      <c r="A558" s="2">
        <f>HYPERLINK("https://edmondsonsupply.com/collections/personal-protection-safety/products/john-boy-usa-face-guard", "https://edmondsonsupply.com/collections/personal-protection-safety/products/john-boy-usa-face-guard")</f>
        <v/>
      </c>
      <c r="B558" s="2">
        <f>HYPERLINK("https://edmondsonsupply.com/products/john-boy-usa-face-guard", "https://edmondsonsupply.com/products/john-boy-usa-face-guard")</f>
        <v/>
      </c>
      <c r="C558" t="inlineStr">
        <is>
          <t>John Boy USA Face Guard</t>
        </is>
      </c>
      <c r="D558" t="inlineStr">
        <is>
          <t>JOHN BOY Fishing Face Guard - UPF 50+ Multi-Weather Sport Mask with UV Sun Protection &amp; Moisture Wicking Fabric</t>
        </is>
      </c>
      <c r="E558" s="2">
        <f>HYPERLINK("https://www.amazon.com/JOHN-Fishing-Face-Guard-Multi-Weather/dp/B0842ZW5XH/ref=sr_1_1?keywords=John+Boy+USA+Face+Guard&amp;qid=1694734515&amp;sr=8-1", "https://www.amazon.com/JOHN-Fishing-Face-Guard-Multi-Weather/dp/B0842ZW5XH/ref=sr_1_1?keywords=John+Boy+USA+Face+Guard&amp;qid=1694734515&amp;sr=8-1")</f>
        <v/>
      </c>
      <c r="F558" t="inlineStr">
        <is>
          <t>B0842ZW5XH</t>
        </is>
      </c>
      <c r="G558">
        <f>_xludf.IMAGE("https://edmondsonsupply.com/cdn/shop/products/USA-FG.jpg?v=1633030715")</f>
        <v/>
      </c>
      <c r="H558">
        <f>_xludf.IMAGE("https://m.media-amazon.com/images/I/71yhaPSba3L._AC_UL320_.jpg")</f>
        <v/>
      </c>
      <c r="K558" t="inlineStr">
        <is>
          <t>10.0</t>
        </is>
      </c>
      <c r="L558" t="n">
        <v>11</v>
      </c>
      <c r="M558" s="1" t="inlineStr">
        <is>
          <t>10.00%</t>
        </is>
      </c>
      <c r="N558" s="3" t="n">
        <v>5642.57</v>
      </c>
      <c r="O558" t="n">
        <v>4</v>
      </c>
      <c r="P558" t="n">
        <v>13</v>
      </c>
      <c r="R558" t="inlineStr">
        <is>
          <t>InStock</t>
        </is>
      </c>
      <c r="S558" t="inlineStr">
        <is>
          <t>undefined</t>
        </is>
      </c>
      <c r="T558" t="inlineStr">
        <is>
          <t>5862585270440</t>
        </is>
      </c>
    </row>
    <row r="559" hidden="1" ht="15.75" customHeight="1">
      <c r="A559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59" s="2">
        <f>HYPERLINK("https://edmondsonsupply.com/products/john-boy-army-face-guard", "https://edmondsonsupply.com/products/john-boy-army-face-guard")</f>
        <v/>
      </c>
      <c r="C559" t="inlineStr">
        <is>
          <t>John Boy ARMY Face Guard</t>
        </is>
      </c>
      <c r="D559" t="inlineStr">
        <is>
          <t>John Boy Construction Face Guard - UPF 50+ Jobsite Dust Mask with UV Sun Protection &amp; Moisture Wicking Fabric</t>
        </is>
      </c>
      <c r="E559" s="2">
        <f>HYPERLINK("https://www.amazon.com/JOHN-BOY-Construction-Face-Guard/dp/B0896948Y4/ref=sr_1_1?keywords=John+Boy+ARMY+Face+Guard&amp;qid=1694734519&amp;sr=8-1", "https://www.amazon.com/JOHN-BOY-Construction-Face-Guard/dp/B0896948Y4/ref=sr_1_1?keywords=John+Boy+ARMY+Face+Guard&amp;qid=1694734519&amp;sr=8-1")</f>
        <v/>
      </c>
      <c r="F559" t="inlineStr">
        <is>
          <t>B0896948Y4</t>
        </is>
      </c>
      <c r="G559">
        <f>_xludf.IMAGE("https://edmondsonsupply.com/cdn/shop/products/Armycopy.jpg?v=1633030720")</f>
        <v/>
      </c>
      <c r="H559">
        <f>_xludf.IMAGE("https://m.media-amazon.com/images/I/61RzEW8naZL._AC_UL320_.jpg")</f>
        <v/>
      </c>
      <c r="K559" t="inlineStr">
        <is>
          <t>10.0</t>
        </is>
      </c>
      <c r="L559" t="n">
        <v>10.95</v>
      </c>
      <c r="M559" s="1" t="inlineStr">
        <is>
          <t>9.50%</t>
        </is>
      </c>
      <c r="N559" s="3" t="n">
        <v>5439.86</v>
      </c>
      <c r="O559" t="n">
        <v>4.2</v>
      </c>
      <c r="P559" t="n">
        <v>7</v>
      </c>
      <c r="R559" t="inlineStr">
        <is>
          <t>InStock</t>
        </is>
      </c>
      <c r="S559" t="inlineStr">
        <is>
          <t>undefined</t>
        </is>
      </c>
      <c r="T559" t="inlineStr">
        <is>
          <t>5862883393704</t>
        </is>
      </c>
    </row>
    <row r="560" hidden="1" ht="15.75" customHeight="1">
      <c r="A560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60" s="2">
        <f>HYPERLINK("https://edmondsonsupply.com/products/john-boy-army-face-guard", "https://edmondsonsupply.com/products/john-boy-army-face-guard")</f>
        <v/>
      </c>
      <c r="C560" t="inlineStr">
        <is>
          <t>John Boy ARMY Face Guard</t>
        </is>
      </c>
      <c r="D560" t="inlineStr">
        <is>
          <t>JOHN BOY Racing Face Guard - UPF 50+ Motorcycle Accesory Mask with UV Sun Protection &amp; Moisture Wicking Fabric</t>
        </is>
      </c>
      <c r="E560" s="2">
        <f>HYPERLINK("https://www.amazon.com/JOHN-BOY-Racing-Face-Guard/dp/B0842ZNDHF/ref=sr_1_5?keywords=John+Boy+ARMY+Face+Guard&amp;qid=1694734519&amp;sr=8-5", "https://www.amazon.com/JOHN-BOY-Racing-Face-Guard/dp/B0842ZNDHF/ref=sr_1_5?keywords=John+Boy+ARMY+Face+Guard&amp;qid=1694734519&amp;sr=8-5")</f>
        <v/>
      </c>
      <c r="F560" t="inlineStr">
        <is>
          <t>B0842ZNDHF</t>
        </is>
      </c>
      <c r="G560">
        <f>_xludf.IMAGE("https://edmondsonsupply.com/cdn/shop/products/Armycopy.jpg?v=1633030720")</f>
        <v/>
      </c>
      <c r="H560">
        <f>_xludf.IMAGE("https://m.media-amazon.com/images/I/71biFN0HaSL._AC_UL320_.jpg")</f>
        <v/>
      </c>
      <c r="K560" t="inlineStr">
        <is>
          <t>10.0</t>
        </is>
      </c>
      <c r="L560" t="n">
        <v>10.95</v>
      </c>
      <c r="M560" s="1" t="inlineStr">
        <is>
          <t>9.50%</t>
        </is>
      </c>
      <c r="N560" s="3" t="n">
        <v>4899.32</v>
      </c>
      <c r="O560" t="n">
        <v>4.4</v>
      </c>
      <c r="P560" t="n">
        <v>3</v>
      </c>
      <c r="R560" t="inlineStr">
        <is>
          <t>InStock</t>
        </is>
      </c>
      <c r="S560" t="inlineStr">
        <is>
          <t>undefined</t>
        </is>
      </c>
      <c r="T560" t="inlineStr">
        <is>
          <t>5862883393704</t>
        </is>
      </c>
    </row>
    <row r="561" hidden="1" ht="15.75" customHeight="1">
      <c r="A561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561" s="2">
        <f>HYPERLINK("https://edmondsonsupply.com/products/john-boy-mexico-face-guard", "https://edmondsonsupply.com/products/john-boy-mexico-face-guard")</f>
        <v/>
      </c>
      <c r="C561" t="inlineStr">
        <is>
          <t>John Boy MEXICO Face Guard</t>
        </is>
      </c>
      <c r="D561" t="inlineStr">
        <is>
          <t>JOHN BOY Fishing Face Guard - UPF 50+ Multi-Weather Sport Mask with UV Sun Protection &amp; Moisture Wicking Fabric</t>
        </is>
      </c>
      <c r="E561" s="2">
        <f>HYPERLINK("https://www.amazon.com/JOHN-Fishing-Face-Guard-Multi-Weather/dp/B0842ZNMJ6/ref=sr_1_14?keywords=John+Boy+MEXICO+Face+Guard&amp;qid=1694734511&amp;sr=8-14", "https://www.amazon.com/JOHN-Fishing-Face-Guard-Multi-Weather/dp/B0842ZNMJ6/ref=sr_1_14?keywords=John+Boy+MEXICO+Face+Guard&amp;qid=1694734511&amp;sr=8-14")</f>
        <v/>
      </c>
      <c r="F561" t="inlineStr">
        <is>
          <t>B0842ZNMJ6</t>
        </is>
      </c>
      <c r="G561">
        <f>_xludf.IMAGE("https://edmondsonsupply.com/cdn/shop/products/Mexicocopy.jpg?v=1633030719")</f>
        <v/>
      </c>
      <c r="H561">
        <f>_xludf.IMAGE("https://m.media-amazon.com/images/I/71N6E+BLd5L._AC_UL320_.jpg")</f>
        <v/>
      </c>
      <c r="K561" t="inlineStr">
        <is>
          <t>10.0</t>
        </is>
      </c>
      <c r="L561" t="n">
        <v>10.95</v>
      </c>
      <c r="M561" s="1" t="inlineStr">
        <is>
          <t>9.50%</t>
        </is>
      </c>
      <c r="N561" s="3" t="n">
        <v>4621.67</v>
      </c>
      <c r="O561" t="n">
        <v>4</v>
      </c>
      <c r="P561" t="n">
        <v>13</v>
      </c>
      <c r="R561" t="inlineStr">
        <is>
          <t>InStock</t>
        </is>
      </c>
      <c r="S561" t="inlineStr">
        <is>
          <t>undefined</t>
        </is>
      </c>
      <c r="T561" t="inlineStr">
        <is>
          <t>5862645727400</t>
        </is>
      </c>
    </row>
    <row r="562" hidden="1" ht="15.75" customHeight="1">
      <c r="A562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62" s="2">
        <f>HYPERLINK("https://edmondsonsupply.com/products/john-boy-army-face-guard", "https://edmondsonsupply.com/products/john-boy-army-face-guard")</f>
        <v/>
      </c>
      <c r="C562" t="inlineStr">
        <is>
          <t>John Boy ARMY Face Guard</t>
        </is>
      </c>
      <c r="D562" t="inlineStr">
        <is>
          <t>JOHN BOY Construction Face Guard - UPF 50+ Jobsite Dust Mask with UV Sun Protection &amp; Moisture Wicking Fabric</t>
        </is>
      </c>
      <c r="E562" s="2">
        <f>HYPERLINK("https://www.amazon.com/JOHN-BOY-Construction-Face-Guard/dp/B08HSN8R2R/ref=sr_1_2?keywords=John+Boy+ARMY+Face+Guard&amp;qid=1694734519&amp;sr=8-2", "https://www.amazon.com/JOHN-BOY-Construction-Face-Guard/dp/B08HSN8R2R/ref=sr_1_2?keywords=John+Boy+ARMY+Face+Guard&amp;qid=1694734519&amp;sr=8-2")</f>
        <v/>
      </c>
      <c r="F562" t="inlineStr">
        <is>
          <t>B08HSN8R2R</t>
        </is>
      </c>
      <c r="G562">
        <f>_xludf.IMAGE("https://edmondsonsupply.com/cdn/shop/products/Armycopy.jpg?v=1633030720")</f>
        <v/>
      </c>
      <c r="H562">
        <f>_xludf.IMAGE("https://m.media-amazon.com/images/I/71P3C66uWOL._AC_UL320_.jpg")</f>
        <v/>
      </c>
      <c r="K562" t="inlineStr">
        <is>
          <t>10.0</t>
        </is>
      </c>
      <c r="L562" t="n">
        <v>10.95</v>
      </c>
      <c r="M562" s="1" t="inlineStr">
        <is>
          <t>9.50%</t>
        </is>
      </c>
      <c r="N562" s="3" t="n">
        <v>4561.49</v>
      </c>
      <c r="O562" t="n">
        <v>5</v>
      </c>
      <c r="P562" t="n">
        <v>7</v>
      </c>
      <c r="R562" t="inlineStr">
        <is>
          <t>InStock</t>
        </is>
      </c>
      <c r="S562" t="inlineStr">
        <is>
          <t>undefined</t>
        </is>
      </c>
      <c r="T562" t="inlineStr">
        <is>
          <t>5862883393704</t>
        </is>
      </c>
    </row>
    <row r="563" hidden="1" ht="15.75" customHeight="1">
      <c r="A563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63" s="2">
        <f>HYPERLINK("https://edmondsonsupply.com/products/john-boy-army-face-guard", "https://edmondsonsupply.com/products/john-boy-army-face-guard")</f>
        <v/>
      </c>
      <c r="C563" t="inlineStr">
        <is>
          <t>John Boy ARMY Face Guard</t>
        </is>
      </c>
      <c r="D563" t="inlineStr">
        <is>
          <t>John Boy Construction Face Guard - UPF 50+ Neck Gaiter Mask with UV Sun Protection &amp; Moisture Wicking Fabric - BLUE CAMO</t>
        </is>
      </c>
      <c r="E563" s="2">
        <f>HYPERLINK("https://www.amazon.com/JOHN-BOY-Construction-Face-Guard/dp/B0842ZPQ65/ref=sr_1_3?keywords=John+Boy+ARMY+Face+Guard&amp;qid=1694734519&amp;sr=8-3", "https://www.amazon.com/JOHN-BOY-Construction-Face-Guard/dp/B0842ZPQ65/ref=sr_1_3?keywords=John+Boy+ARMY+Face+Guard&amp;qid=1694734519&amp;sr=8-3")</f>
        <v/>
      </c>
      <c r="F563" t="inlineStr">
        <is>
          <t>B0842ZPQ65</t>
        </is>
      </c>
      <c r="G563">
        <f>_xludf.IMAGE("https://edmondsonsupply.com/cdn/shop/products/Armycopy.jpg?v=1633030720")</f>
        <v/>
      </c>
      <c r="H563">
        <f>_xludf.IMAGE("https://m.media-amazon.com/images/I/81msE1HdXVL._AC_UL320_.jpg")</f>
        <v/>
      </c>
      <c r="K563" t="inlineStr">
        <is>
          <t>10.0</t>
        </is>
      </c>
      <c r="L563" t="n">
        <v>10.95</v>
      </c>
      <c r="M563" s="1" t="inlineStr">
        <is>
          <t>9.50%</t>
        </is>
      </c>
      <c r="N563" s="3" t="n">
        <v>4521.01</v>
      </c>
      <c r="O563" t="n">
        <v>3.5</v>
      </c>
      <c r="P563" t="n">
        <v>14</v>
      </c>
      <c r="R563" t="inlineStr">
        <is>
          <t>InStock</t>
        </is>
      </c>
      <c r="S563" t="inlineStr">
        <is>
          <t>undefined</t>
        </is>
      </c>
      <c r="T563" t="inlineStr">
        <is>
          <t>5862883393704</t>
        </is>
      </c>
    </row>
    <row r="564" hidden="1" ht="15.75" customHeight="1">
      <c r="A564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564" s="2">
        <f>HYPERLINK("https://edmondsonsupply.com/products/john-boy-mexico-face-guard", "https://edmondsonsupply.com/products/john-boy-mexico-face-guard")</f>
        <v/>
      </c>
      <c r="C564" t="inlineStr">
        <is>
          <t>John Boy MEXICO Face Guard</t>
        </is>
      </c>
      <c r="D564" t="inlineStr">
        <is>
          <t>John Boy Construction Face Guard - UPF 50+ Neck Gaiter Mask with UV Sun Protection &amp; Moisture Wicking Fabric - BLUE CAMO</t>
        </is>
      </c>
      <c r="E564" s="2">
        <f>HYPERLINK("https://www.amazon.com/JOHN-BOY-Construction-Face-Guard/dp/B0842ZPQ65/ref=sr_1_12?keywords=John+Boy+MEXICO+Face+Guard&amp;qid=1694734511&amp;sr=8-12", "https://www.amazon.com/JOHN-BOY-Construction-Face-Guard/dp/B0842ZPQ65/ref=sr_1_12?keywords=John+Boy+MEXICO+Face+Guard&amp;qid=1694734511&amp;sr=8-12")</f>
        <v/>
      </c>
      <c r="F564" t="inlineStr">
        <is>
          <t>B0842ZPQ65</t>
        </is>
      </c>
      <c r="G564">
        <f>_xludf.IMAGE("https://edmondsonsupply.com/cdn/shop/products/Mexicocopy.jpg?v=1633030719")</f>
        <v/>
      </c>
      <c r="H564">
        <f>_xludf.IMAGE("https://m.media-amazon.com/images/I/81msE1HdXVL._AC_UL320_.jpg")</f>
        <v/>
      </c>
      <c r="K564" t="inlineStr">
        <is>
          <t>10.0</t>
        </is>
      </c>
      <c r="L564" t="n">
        <v>10.95</v>
      </c>
      <c r="M564" s="1" t="inlineStr">
        <is>
          <t>9.50%</t>
        </is>
      </c>
      <c r="N564" s="3" t="n">
        <v>4514.62</v>
      </c>
      <c r="O564" t="n">
        <v>3.5</v>
      </c>
      <c r="P564" t="n">
        <v>14</v>
      </c>
      <c r="R564" t="inlineStr">
        <is>
          <t>InStock</t>
        </is>
      </c>
      <c r="S564" t="inlineStr">
        <is>
          <t>undefined</t>
        </is>
      </c>
      <c r="T564" t="inlineStr">
        <is>
          <t>5862645727400</t>
        </is>
      </c>
    </row>
    <row r="565" hidden="1" ht="15.75" customHeight="1">
      <c r="A565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565" s="2">
        <f>HYPERLINK("https://edmondsonsupply.com/products/john-boy-neon-reflect-y-face-guard", "https://edmondsonsupply.com/products/john-boy-neon-reflect-y-face-guard")</f>
        <v/>
      </c>
      <c r="C565" t="inlineStr">
        <is>
          <t>John Boy NEON REFLECT-Y Face Guard</t>
        </is>
      </c>
      <c r="D565" t="inlineStr">
        <is>
          <t>JOHN BOY Construction Face Guard - UPF 50+ Jobsite Dust Mask with UV Sun Protection &amp; Moisture Wicking Fabric</t>
        </is>
      </c>
      <c r="E565" s="2">
        <f>HYPERLINK("https://www.amazon.com/JOHN-BOY-Construction-Face-Guard/dp/B0842ZF56G/ref=sr_1_13?keywords=John+Boy+NEON+REFLECT-Y+Face+Guard&amp;qid=1694734515&amp;sr=8-13", "https://www.amazon.com/JOHN-BOY-Construction-Face-Guard/dp/B0842ZF56G/ref=sr_1_13?keywords=John+Boy+NEON+REFLECT-Y+Face+Guard&amp;qid=1694734515&amp;sr=8-13")</f>
        <v/>
      </c>
      <c r="F565" t="inlineStr">
        <is>
          <t>B0842ZF56G</t>
        </is>
      </c>
      <c r="G565">
        <f>_xludf.IMAGE("https://edmondsonsupply.com/cdn/shop/products/NEONREFLECT-Y.jpg?v=1633030720")</f>
        <v/>
      </c>
      <c r="H565">
        <f>_xludf.IMAGE("https://m.media-amazon.com/images/I/71D0wruMXOL._AC_UL320_.jpg")</f>
        <v/>
      </c>
      <c r="K565" t="inlineStr">
        <is>
          <t>10.0</t>
        </is>
      </c>
      <c r="L565" t="n">
        <v>10.95</v>
      </c>
      <c r="M565" s="1" t="inlineStr">
        <is>
          <t>9.50%</t>
        </is>
      </c>
      <c r="N565" s="3" t="n">
        <v>3899.33</v>
      </c>
      <c r="O565" t="n">
        <v>3.5</v>
      </c>
      <c r="P565" t="n">
        <v>7</v>
      </c>
      <c r="R565" t="inlineStr">
        <is>
          <t>InStock</t>
        </is>
      </c>
      <c r="S565" t="inlineStr">
        <is>
          <t>undefined</t>
        </is>
      </c>
      <c r="T565" t="inlineStr">
        <is>
          <t>5862932414632</t>
        </is>
      </c>
    </row>
    <row r="566" hidden="1" ht="15.75" customHeight="1">
      <c r="A566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66" s="2">
        <f>HYPERLINK("https://edmondsonsupply.com/products/john-boy-army-face-guard", "https://edmondsonsupply.com/products/john-boy-army-face-guard")</f>
        <v/>
      </c>
      <c r="C566" t="inlineStr">
        <is>
          <t>John Boy ARMY Face Guard</t>
        </is>
      </c>
      <c r="D566" t="inlineStr">
        <is>
          <t>JOHN BOY Fitness Face Guard - UPF 50+ Multi-Purpose Athletic Mask with UV Sun Protection &amp; Moisture Wicking Fabric</t>
        </is>
      </c>
      <c r="E566" s="2">
        <f>HYPERLINK("https://www.amazon.com/JOHN-Fitness-Face-Guard-Multi-Purpose/dp/B0842ZBT1T/ref=sr_1_26?keywords=John+Boy+ARMY+Face+Guard&amp;qid=1694734519&amp;sr=8-26", "https://www.amazon.com/JOHN-Fitness-Face-Guard-Multi-Purpose/dp/B0842ZBT1T/ref=sr_1_26?keywords=John+Boy+ARMY+Face+Guard&amp;qid=1694734519&amp;sr=8-26")</f>
        <v/>
      </c>
      <c r="F566" t="inlineStr">
        <is>
          <t>B0842ZBT1T</t>
        </is>
      </c>
      <c r="G566">
        <f>_xludf.IMAGE("https://edmondsonsupply.com/cdn/shop/products/Armycopy.jpg?v=1633030720")</f>
        <v/>
      </c>
      <c r="H566">
        <f>_xludf.IMAGE("https://m.media-amazon.com/images/I/71xfqXGH9sL._AC_UL320_.jpg")</f>
        <v/>
      </c>
      <c r="K566" t="inlineStr">
        <is>
          <t>10.0</t>
        </is>
      </c>
      <c r="L566" t="n">
        <v>10.95</v>
      </c>
      <c r="M566" s="1" t="inlineStr">
        <is>
          <t>9.50%</t>
        </is>
      </c>
      <c r="N566" s="3" t="n">
        <v>3899.33</v>
      </c>
      <c r="O566" t="n">
        <v>3.3</v>
      </c>
      <c r="P566" t="n">
        <v>22</v>
      </c>
      <c r="R566" t="inlineStr">
        <is>
          <t>InStock</t>
        </is>
      </c>
      <c r="S566" t="inlineStr">
        <is>
          <t>undefined</t>
        </is>
      </c>
      <c r="T566" t="inlineStr">
        <is>
          <t>5862883393704</t>
        </is>
      </c>
    </row>
    <row r="567" hidden="1" ht="15.75" customHeight="1">
      <c r="A567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567" s="2">
        <f>HYPERLINK("https://edmondsonsupply.com/products/john-boy-mexico-face-guard", "https://edmondsonsupply.com/products/john-boy-mexico-face-guard")</f>
        <v/>
      </c>
      <c r="C567" t="inlineStr">
        <is>
          <t>John Boy MEXICO Face Guard</t>
        </is>
      </c>
      <c r="D567" t="inlineStr">
        <is>
          <t>JOHN BOY Fitness Face Guard - UPF 50+ Multi-Purpose Athletic Mask with UV Sun Protection &amp; Moisture Wicking Fabric</t>
        </is>
      </c>
      <c r="E567" s="2">
        <f>HYPERLINK("https://www.amazon.com/JOHN-Fitness-Face-Guard-Multi-Purpose/dp/B0842ZBT1T/ref=sr_1_10?keywords=John+Boy+MEXICO+Face+Guard&amp;qid=1694734511&amp;sr=8-10", "https://www.amazon.com/JOHN-Fitness-Face-Guard-Multi-Purpose/dp/B0842ZBT1T/ref=sr_1_10?keywords=John+Boy+MEXICO+Face+Guard&amp;qid=1694734511&amp;sr=8-10")</f>
        <v/>
      </c>
      <c r="F567" t="inlineStr">
        <is>
          <t>B0842ZBT1T</t>
        </is>
      </c>
      <c r="G567">
        <f>_xludf.IMAGE("https://edmondsonsupply.com/cdn/shop/products/Mexicocopy.jpg?v=1633030719")</f>
        <v/>
      </c>
      <c r="H567">
        <f>_xludf.IMAGE("https://m.media-amazon.com/images/I/71xfqXGH9sL._AC_UL320_.jpg")</f>
        <v/>
      </c>
      <c r="K567" t="inlineStr">
        <is>
          <t>10.0</t>
        </is>
      </c>
      <c r="L567" t="n">
        <v>10.95</v>
      </c>
      <c r="M567" s="1" t="inlineStr">
        <is>
          <t>9.50%</t>
        </is>
      </c>
      <c r="N567" s="3" t="n">
        <v>3848.74</v>
      </c>
      <c r="O567" t="n">
        <v>3.3</v>
      </c>
      <c r="P567" t="n">
        <v>22</v>
      </c>
      <c r="R567" t="inlineStr">
        <is>
          <t>InStock</t>
        </is>
      </c>
      <c r="S567" t="inlineStr">
        <is>
          <t>undefined</t>
        </is>
      </c>
      <c r="T567" t="inlineStr">
        <is>
          <t>5862645727400</t>
        </is>
      </c>
    </row>
    <row r="568" hidden="1" ht="15.75" customHeight="1">
      <c r="A568" s="2">
        <f>HYPERLINK("https://edmondsonsupply.com/collections/personal-protection-safety/products/john-boy-army-face-guard", "https://edmondsonsupply.com/collections/personal-protection-safety/products/john-boy-army-face-guard")</f>
        <v/>
      </c>
      <c r="B568" s="2">
        <f>HYPERLINK("https://edmondsonsupply.com/products/john-boy-army-face-guard", "https://edmondsonsupply.com/products/john-boy-army-face-guard")</f>
        <v/>
      </c>
      <c r="C568" t="inlineStr">
        <is>
          <t>John Boy ARMY Face Guard</t>
        </is>
      </c>
      <c r="D568" t="inlineStr">
        <is>
          <t>JOHN BOY Construction Face Guard - UPF 50+ Jobsite Dust Mask with UV Sun Protection &amp; Moisture Wicking Fabric</t>
        </is>
      </c>
      <c r="E568" s="2">
        <f>HYPERLINK("https://www.amazon.com/JOHN-BOY-Construction-Face-Guard/dp/B0842YWL6K/ref=sr_1_8?keywords=John+Boy+ARMY+Face+Guard&amp;qid=1694734519&amp;sr=8-8", "https://www.amazon.com/JOHN-BOY-Construction-Face-Guard/dp/B0842YWL6K/ref=sr_1_8?keywords=John+Boy+ARMY+Face+Guard&amp;qid=1694734519&amp;sr=8-8")</f>
        <v/>
      </c>
      <c r="F568" t="inlineStr">
        <is>
          <t>B0842YWL6K</t>
        </is>
      </c>
      <c r="G568">
        <f>_xludf.IMAGE("https://edmondsonsupply.com/cdn/shop/products/Armycopy.jpg?v=1633030720")</f>
        <v/>
      </c>
      <c r="H568">
        <f>_xludf.IMAGE("https://m.media-amazon.com/images/I/71ZTS9fFlUL._AC_UL320_.jpg")</f>
        <v/>
      </c>
      <c r="K568" t="inlineStr">
        <is>
          <t>10.0</t>
        </is>
      </c>
      <c r="L568" t="n">
        <v>10.95</v>
      </c>
      <c r="M568" s="1" t="inlineStr">
        <is>
          <t>9.50%</t>
        </is>
      </c>
      <c r="N568" s="3" t="n">
        <v>3632.67</v>
      </c>
      <c r="O568" t="n">
        <v>3.5</v>
      </c>
      <c r="P568" t="n">
        <v>7</v>
      </c>
      <c r="R568" t="inlineStr">
        <is>
          <t>InStock</t>
        </is>
      </c>
      <c r="S568" t="inlineStr">
        <is>
          <t>undefined</t>
        </is>
      </c>
      <c r="T568" t="inlineStr">
        <is>
          <t>5862883393704</t>
        </is>
      </c>
    </row>
    <row r="569" hidden="1" ht="15.75" customHeight="1">
      <c r="A569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569" s="2">
        <f>HYPERLINK("https://edmondsonsupply.com/products/john-boy-neon-reflect-y-face-guard", "https://edmondsonsupply.com/products/john-boy-neon-reflect-y-face-guard")</f>
        <v/>
      </c>
      <c r="C569" t="inlineStr">
        <is>
          <t>John Boy NEON REFLECT-Y Face Guard</t>
        </is>
      </c>
      <c r="D569" t="inlineStr">
        <is>
          <t>JOHN BOY Fitness Face Guard - UPF 50+ Multi-Purpose Athletic Mask with UV Sun Protection &amp; Moisture Wicking Fabric</t>
        </is>
      </c>
      <c r="E569" s="2">
        <f>HYPERLINK("https://www.amazon.com/JOHN-Fitness-Face-Guard-Multi-Purpose/dp/B0842ZBT1T/ref=sr_1_10?keywords=John+Boy+NEON+REFLECT-Y+Face+Guard&amp;qid=1694734515&amp;sr=8-10", "https://www.amazon.com/JOHN-Fitness-Face-Guard-Multi-Purpose/dp/B0842ZBT1T/ref=sr_1_10?keywords=John+Boy+NEON+REFLECT-Y+Face+Guard&amp;qid=1694734515&amp;sr=8-10")</f>
        <v/>
      </c>
      <c r="F569" t="inlineStr">
        <is>
          <t>B0842ZBT1T</t>
        </is>
      </c>
      <c r="G569">
        <f>_xludf.IMAGE("https://edmondsonsupply.com/cdn/shop/products/NEONREFLECT-Y.jpg?v=1633030720")</f>
        <v/>
      </c>
      <c r="H569">
        <f>_xludf.IMAGE("https://m.media-amazon.com/images/I/71xfqXGH9sL._AC_UL320_.jpg")</f>
        <v/>
      </c>
      <c r="K569" t="inlineStr">
        <is>
          <t>10.0</t>
        </is>
      </c>
      <c r="L569" t="n">
        <v>10.95</v>
      </c>
      <c r="M569" s="1" t="inlineStr">
        <is>
          <t>9.50%</t>
        </is>
      </c>
      <c r="N569" s="3" t="n">
        <v>3615.54</v>
      </c>
      <c r="O569" t="n">
        <v>3.3</v>
      </c>
      <c r="P569" t="n">
        <v>22</v>
      </c>
      <c r="R569" t="inlineStr">
        <is>
          <t>InStock</t>
        </is>
      </c>
      <c r="S569" t="inlineStr">
        <is>
          <t>undefined</t>
        </is>
      </c>
      <c r="T569" t="inlineStr">
        <is>
          <t>5862932414632</t>
        </is>
      </c>
    </row>
    <row r="570" hidden="1" ht="15.75" customHeight="1">
      <c r="A570" s="2">
        <f>HYPERLINK("https://edmondsonsupply.com/collections/personal-protection-safety/products/john-boy-clown-face-guard", "https://edmondsonsupply.com/collections/personal-protection-safety/products/john-boy-clown-face-guard")</f>
        <v/>
      </c>
      <c r="B570" s="2">
        <f>HYPERLINK("https://edmondsonsupply.com/products/john-boy-clown-face-guard", "https://edmondsonsupply.com/products/john-boy-clown-face-guard")</f>
        <v/>
      </c>
      <c r="C570" t="inlineStr">
        <is>
          <t>John Boy CLOWN Face Guard</t>
        </is>
      </c>
      <c r="D570" t="inlineStr">
        <is>
          <t>John Boy Construction Face Guard - UPF 50+ Jobsite Dust Mask with UV Sun Protection &amp; Moisture Wicking Fabric</t>
        </is>
      </c>
      <c r="E570" s="2">
        <f>HYPERLINK("https://www.amazon.com/JOHN-BOY-Construction-Face-Guard/dp/B0842YWL6K/ref=sr_1_1?keywords=John+Boy+CLOWN+Face+Guard&amp;qid=1694734509&amp;sr=8-1", "https://www.amazon.com/JOHN-BOY-Construction-Face-Guard/dp/B0842YWL6K/ref=sr_1_1?keywords=John+Boy+CLOWN+Face+Guard&amp;qid=1694734509&amp;sr=8-1")</f>
        <v/>
      </c>
      <c r="F570" t="inlineStr">
        <is>
          <t>B0842YWL6K</t>
        </is>
      </c>
      <c r="G570">
        <f>_xludf.IMAGE("https://edmondsonsupply.com/cdn/shop/products/Clown-Mcopy_900x_f7b1e6b4-ce8b-4741-b718-1676b06d35ea.jpg?v=1633030901")</f>
        <v/>
      </c>
      <c r="H570">
        <f>_xludf.IMAGE("https://m.media-amazon.com/images/I/71ZTS9fFlUL._AC_UL320_.jpg")</f>
        <v/>
      </c>
      <c r="K570" t="inlineStr">
        <is>
          <t>10.0</t>
        </is>
      </c>
      <c r="L570" t="n">
        <v>10.95</v>
      </c>
      <c r="M570" s="1" t="inlineStr">
        <is>
          <t>9.50%</t>
        </is>
      </c>
      <c r="N570" s="3" t="n">
        <v>3512.61</v>
      </c>
      <c r="O570" t="n">
        <v>3.5</v>
      </c>
      <c r="P570" t="n">
        <v>7</v>
      </c>
      <c r="R570" t="inlineStr">
        <is>
          <t>InStock</t>
        </is>
      </c>
      <c r="S570" t="inlineStr">
        <is>
          <t>undefined</t>
        </is>
      </c>
      <c r="T570" t="inlineStr">
        <is>
          <t>6241757397165</t>
        </is>
      </c>
    </row>
    <row r="571" hidden="1" ht="15.75" customHeight="1">
      <c r="A571" s="2">
        <f>HYPERLINK("https://edmondsonsupply.com/collections/personal-protection-safety/products/john-boy-clown-face-guard", "https://edmondsonsupply.com/collections/personal-protection-safety/products/john-boy-clown-face-guard")</f>
        <v/>
      </c>
      <c r="B571" s="2">
        <f>HYPERLINK("https://edmondsonsupply.com/products/john-boy-clown-face-guard", "https://edmondsonsupply.com/products/john-boy-clown-face-guard")</f>
        <v/>
      </c>
      <c r="C571" t="inlineStr">
        <is>
          <t>John Boy CLOWN Face Guard</t>
        </is>
      </c>
      <c r="D571" t="inlineStr">
        <is>
          <t>John Boy Fishing Face Guard - UPF 50+ Multi-Weather Sport Mask with UV Sun Protection &amp; Moisture Wicking Fabric</t>
        </is>
      </c>
      <c r="E571" s="2">
        <f>HYPERLINK("https://www.amazon.com/JOHN-Fishing-Face-Guard-Multi-Weather/dp/B0842ZNMJ6/ref=sr_1_3?keywords=John+Boy+CLOWN+Face+Guard&amp;qid=1694734509&amp;sr=8-3", "https://www.amazon.com/JOHN-Fishing-Face-Guard-Multi-Weather/dp/B0842ZNMJ6/ref=sr_1_3?keywords=John+Boy+CLOWN+Face+Guard&amp;qid=1694734509&amp;sr=8-3")</f>
        <v/>
      </c>
      <c r="F571" t="inlineStr">
        <is>
          <t>B0842ZNMJ6</t>
        </is>
      </c>
      <c r="G571">
        <f>_xludf.IMAGE("https://edmondsonsupply.com/cdn/shop/products/Clown-Mcopy_900x_f7b1e6b4-ce8b-4741-b718-1676b06d35ea.jpg?v=1633030901")</f>
        <v/>
      </c>
      <c r="H571">
        <f>_xludf.IMAGE("https://m.media-amazon.com/images/I/71N6E+BLd5L._AC_UL320_.jpg")</f>
        <v/>
      </c>
      <c r="K571" t="inlineStr">
        <is>
          <t>10.0</t>
        </is>
      </c>
      <c r="L571" t="n">
        <v>10.95</v>
      </c>
      <c r="M571" s="1" t="inlineStr">
        <is>
          <t>9.50%</t>
        </is>
      </c>
      <c r="N571" s="3" t="n">
        <v>3499.33</v>
      </c>
      <c r="O571" t="n">
        <v>4</v>
      </c>
      <c r="P571" t="n">
        <v>13</v>
      </c>
      <c r="R571" t="inlineStr">
        <is>
          <t>InStock</t>
        </is>
      </c>
      <c r="S571" t="inlineStr">
        <is>
          <t>undefined</t>
        </is>
      </c>
      <c r="T571" t="inlineStr">
        <is>
          <t>6241757397165</t>
        </is>
      </c>
    </row>
    <row r="572" hidden="1" ht="15.75" customHeight="1">
      <c r="A572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572" s="2">
        <f>HYPERLINK("https://edmondsonsupply.com/products/john-boy-mexico-face-guard", "https://edmondsonsupply.com/products/john-boy-mexico-face-guard")</f>
        <v/>
      </c>
      <c r="C572" t="inlineStr">
        <is>
          <t>John Boy MEXICO Face Guard</t>
        </is>
      </c>
      <c r="D572" t="inlineStr">
        <is>
          <t>JOHN BOY Construction Face Guard - UPF 50+ Jobsite Dust Mask with UV Sun Protection &amp; Moisture Wicking Fabric</t>
        </is>
      </c>
      <c r="E572" s="2">
        <f>HYPERLINK("https://www.amazon.com/JOHN-BOY-Construction-Face-Guard/dp/B0842ZF56G/ref=sr_1_4?keywords=John+Boy+MEXICO+Face+Guard&amp;qid=1694734511&amp;sr=8-4", "https://www.amazon.com/JOHN-BOY-Construction-Face-Guard/dp/B0842ZF56G/ref=sr_1_4?keywords=John+Boy+MEXICO+Face+Guard&amp;qid=1694734511&amp;sr=8-4")</f>
        <v/>
      </c>
      <c r="F572" t="inlineStr">
        <is>
          <t>B0842ZF56G</t>
        </is>
      </c>
      <c r="G572">
        <f>_xludf.IMAGE("https://edmondsonsupply.com/cdn/shop/products/Mexicocopy.jpg?v=1633030719")</f>
        <v/>
      </c>
      <c r="H572">
        <f>_xludf.IMAGE("https://m.media-amazon.com/images/I/71D0wruMXOL._AC_UL320_.jpg")</f>
        <v/>
      </c>
      <c r="K572" t="inlineStr">
        <is>
          <t>10.0</t>
        </is>
      </c>
      <c r="L572" t="n">
        <v>10.95</v>
      </c>
      <c r="M572" s="1" t="inlineStr">
        <is>
          <t>9.50%</t>
        </is>
      </c>
      <c r="N572" s="3" t="n">
        <v>3263.03</v>
      </c>
      <c r="O572" t="n">
        <v>3.5</v>
      </c>
      <c r="P572" t="n">
        <v>7</v>
      </c>
      <c r="R572" t="inlineStr">
        <is>
          <t>InStock</t>
        </is>
      </c>
      <c r="S572" t="inlineStr">
        <is>
          <t>undefined</t>
        </is>
      </c>
      <c r="T572" t="inlineStr">
        <is>
          <t>5862645727400</t>
        </is>
      </c>
    </row>
    <row r="573" hidden="1" ht="15.75" customHeight="1">
      <c r="A573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573" s="2">
        <f>HYPERLINK("https://edmondsonsupply.com/products/john-boy-mexico-face-guard", "https://edmondsonsupply.com/products/john-boy-mexico-face-guard")</f>
        <v/>
      </c>
      <c r="C573" t="inlineStr">
        <is>
          <t>John Boy MEXICO Face Guard</t>
        </is>
      </c>
      <c r="D573" t="inlineStr">
        <is>
          <t>John Boy Construction Face Guard - UPF 50+ Jobsite Dust Mask with UV Sun Protection &amp; Moisture Wicking Fabric</t>
        </is>
      </c>
      <c r="E573" s="2">
        <f>HYPERLINK("https://www.amazon.com/JOHN-BOY-Construction-Face-Guard/dp/B0896948Y4/ref=sr_1_3?keywords=John+Boy+MEXICO+Face+Guard&amp;qid=1694734511&amp;sr=8-3", "https://www.amazon.com/JOHN-BOY-Construction-Face-Guard/dp/B0896948Y4/ref=sr_1_3?keywords=John+Boy+MEXICO+Face+Guard&amp;qid=1694734511&amp;sr=8-3")</f>
        <v/>
      </c>
      <c r="F573" t="inlineStr">
        <is>
          <t>B0896948Y4</t>
        </is>
      </c>
      <c r="G573">
        <f>_xludf.IMAGE("https://edmondsonsupply.com/cdn/shop/products/Mexicocopy.jpg?v=1633030719")</f>
        <v/>
      </c>
      <c r="H573">
        <f>_xludf.IMAGE("https://m.media-amazon.com/images/I/61RzEW8naZL._AC_UL320_.jpg")</f>
        <v/>
      </c>
      <c r="K573" t="inlineStr">
        <is>
          <t>10.0</t>
        </is>
      </c>
      <c r="L573" t="n">
        <v>10.95</v>
      </c>
      <c r="M573" s="1" t="inlineStr">
        <is>
          <t>9.50%</t>
        </is>
      </c>
      <c r="N573" s="3" t="n">
        <v>3092.44</v>
      </c>
      <c r="O573" t="n">
        <v>4.2</v>
      </c>
      <c r="P573" t="n">
        <v>7</v>
      </c>
      <c r="R573" t="inlineStr">
        <is>
          <t>InStock</t>
        </is>
      </c>
      <c r="S573" t="inlineStr">
        <is>
          <t>undefined</t>
        </is>
      </c>
      <c r="T573" t="inlineStr">
        <is>
          <t>5862645727400</t>
        </is>
      </c>
    </row>
    <row r="574" hidden="1" ht="15.75" customHeight="1">
      <c r="A574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74" s="2">
        <f>HYPERLINK("https://edmondsonsupply.com/products/john-boy-tree-face-guard", "https://edmondsonsupply.com/products/john-boy-tree-face-guard")</f>
        <v/>
      </c>
      <c r="C574" t="inlineStr">
        <is>
          <t>John Boy TREE Face Guard</t>
        </is>
      </c>
      <c r="D574" t="inlineStr">
        <is>
          <t>John Boy Construction Face Guard - UPF 50+ Neck Gaiter Mask with UV Sun Protection &amp; Moisture Wicking Fabric - BLUE CAMO</t>
        </is>
      </c>
      <c r="E574" s="2">
        <f>HYPERLINK("https://www.amazon.com/JOHN-BOY-Construction-Face-Guard/dp/B0842ZPQ65/ref=sr_1_2?keywords=John+Boy+TREE+Face+Guard&amp;qid=1694734508&amp;sr=8-2", "https://www.amazon.com/JOHN-BOY-Construction-Face-Guard/dp/B0842ZPQ65/ref=sr_1_2?keywords=John+Boy+TREE+Face+Guard&amp;qid=1694734508&amp;sr=8-2")</f>
        <v/>
      </c>
      <c r="F574" t="inlineStr">
        <is>
          <t>B0842ZPQ65</t>
        </is>
      </c>
      <c r="G574">
        <f>_xludf.IMAGE("https://edmondsonsupply.com/cdn/shop/products/tree-mockup.jpg?v=1633030898")</f>
        <v/>
      </c>
      <c r="H574">
        <f>_xludf.IMAGE("https://m.media-amazon.com/images/I/81msE1HdXVL._AC_UL320_.jpg")</f>
        <v/>
      </c>
      <c r="K574" t="inlineStr">
        <is>
          <t>10.0</t>
        </is>
      </c>
      <c r="L574" t="n">
        <v>10.95</v>
      </c>
      <c r="M574" s="1" t="inlineStr">
        <is>
          <t>9.50%</t>
        </is>
      </c>
      <c r="N574" s="3" t="n">
        <v>3010.56</v>
      </c>
      <c r="O574" t="n">
        <v>3.5</v>
      </c>
      <c r="P574" t="n">
        <v>14</v>
      </c>
      <c r="R574" t="inlineStr">
        <is>
          <t>InStock</t>
        </is>
      </c>
      <c r="S574" t="inlineStr">
        <is>
          <t>undefined</t>
        </is>
      </c>
      <c r="T574" t="inlineStr">
        <is>
          <t>6241649066157</t>
        </is>
      </c>
    </row>
    <row r="575" hidden="1" ht="15.75" customHeight="1">
      <c r="A575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575" s="2">
        <f>HYPERLINK("https://edmondsonsupply.com/products/john-boy-mexico-face-guard", "https://edmondsonsupply.com/products/john-boy-mexico-face-guard")</f>
        <v/>
      </c>
      <c r="C575" t="inlineStr">
        <is>
          <t>John Boy MEXICO Face Guard</t>
        </is>
      </c>
      <c r="D575" t="inlineStr">
        <is>
          <t>JOHN BOY Racing Face Guard - UPF 50+ Motorcycle Accesory Mask with UV Sun Protection &amp; Moisture Wicking Fabric</t>
        </is>
      </c>
      <c r="E575" s="2">
        <f>HYPERLINK("https://www.amazon.com/JOHN-BOY-Racing-Face-Guard/dp/B0842ZNDHF/ref=sr_1_2?keywords=John+Boy+MEXICO+Face+Guard&amp;qid=1694734511&amp;sr=8-2", "https://www.amazon.com/JOHN-BOY-Racing-Face-Guard/dp/B0842ZNDHF/ref=sr_1_2?keywords=John+Boy+MEXICO+Face+Guard&amp;qid=1694734511&amp;sr=8-2")</f>
        <v/>
      </c>
      <c r="F575" t="inlineStr">
        <is>
          <t>B0842ZNDHF</t>
        </is>
      </c>
      <c r="G575">
        <f>_xludf.IMAGE("https://edmondsonsupply.com/cdn/shop/products/Mexicocopy.jpg?v=1633030719")</f>
        <v/>
      </c>
      <c r="H575">
        <f>_xludf.IMAGE("https://m.media-amazon.com/images/I/71biFN0HaSL._AC_UL320_.jpg")</f>
        <v/>
      </c>
      <c r="K575" t="inlineStr">
        <is>
          <t>10.0</t>
        </is>
      </c>
      <c r="L575" t="n">
        <v>10.95</v>
      </c>
      <c r="M575" s="1" t="inlineStr">
        <is>
          <t>9.50%</t>
        </is>
      </c>
      <c r="N575" s="3" t="n">
        <v>3008.4</v>
      </c>
      <c r="O575" t="n">
        <v>4.4</v>
      </c>
      <c r="P575" t="n">
        <v>3</v>
      </c>
      <c r="R575" t="inlineStr">
        <is>
          <t>InStock</t>
        </is>
      </c>
      <c r="S575" t="inlineStr">
        <is>
          <t>undefined</t>
        </is>
      </c>
      <c r="T575" t="inlineStr">
        <is>
          <t>5862645727400</t>
        </is>
      </c>
    </row>
    <row r="576" hidden="1" ht="15.75" customHeight="1">
      <c r="A576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76" s="2">
        <f>HYPERLINK("https://edmondsonsupply.com/products/john-boy-tree-face-guard", "https://edmondsonsupply.com/products/john-boy-tree-face-guard")</f>
        <v/>
      </c>
      <c r="C576" t="inlineStr">
        <is>
          <t>John Boy TREE Face Guard</t>
        </is>
      </c>
      <c r="D576" t="inlineStr">
        <is>
          <t>JOHN BOY Fitness Face Guard - UPF 50+ Multi-Purpose Athletic Mask with UV Sun Protection &amp; Moisture Wicking Fabric</t>
        </is>
      </c>
      <c r="E576" s="2">
        <f>HYPERLINK("https://www.amazon.com/JOHN-Fitness-Face-Guard-Multi-Purpose/dp/B0842ZBT1T/ref=sr_1_4?keywords=John+Boy+TREE+Face+Guard&amp;qid=1694734508&amp;sr=8-4", "https://www.amazon.com/JOHN-Fitness-Face-Guard-Multi-Purpose/dp/B0842ZBT1T/ref=sr_1_4?keywords=John+Boy+TREE+Face+Guard&amp;qid=1694734508&amp;sr=8-4")</f>
        <v/>
      </c>
      <c r="F576" t="inlineStr">
        <is>
          <t>B0842ZBT1T</t>
        </is>
      </c>
      <c r="G576">
        <f>_xludf.IMAGE("https://edmondsonsupply.com/cdn/shop/products/tree-mockup.jpg?v=1633030898")</f>
        <v/>
      </c>
      <c r="H576">
        <f>_xludf.IMAGE("https://m.media-amazon.com/images/I/71xfqXGH9sL._AC_UL320_.jpg")</f>
        <v/>
      </c>
      <c r="K576" t="inlineStr">
        <is>
          <t>10.0</t>
        </is>
      </c>
      <c r="L576" t="n">
        <v>10.95</v>
      </c>
      <c r="M576" s="1" t="inlineStr">
        <is>
          <t>9.50%</t>
        </is>
      </c>
      <c r="N576" s="3" t="n">
        <v>2899.44</v>
      </c>
      <c r="O576" t="n">
        <v>3.3</v>
      </c>
      <c r="P576" t="n">
        <v>22</v>
      </c>
      <c r="R576" t="inlineStr">
        <is>
          <t>InStock</t>
        </is>
      </c>
      <c r="S576" t="inlineStr">
        <is>
          <t>undefined</t>
        </is>
      </c>
      <c r="T576" t="inlineStr">
        <is>
          <t>6241649066157</t>
        </is>
      </c>
    </row>
    <row r="577" hidden="1" ht="15.75" customHeight="1">
      <c r="A577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77" s="2">
        <f>HYPERLINK("https://edmondsonsupply.com/products/john-boy-tree-face-guard", "https://edmondsonsupply.com/products/john-boy-tree-face-guard")</f>
        <v/>
      </c>
      <c r="C577" t="inlineStr">
        <is>
          <t>John Boy TREE Face Guard</t>
        </is>
      </c>
      <c r="D577" t="inlineStr">
        <is>
          <t>JOHN BOY Construction Face Guard - UPF 50+ Jobsite Dust Mask with UV Sun Protection &amp; Moisture Wicking Fabric</t>
        </is>
      </c>
      <c r="E577" s="2">
        <f>HYPERLINK("https://www.amazon.com/JOHN-BOY-Construction-Face-Guard/dp/B0842ZF56G/ref=sr_1_8?keywords=John+Boy+TREE+Face+Guard&amp;qid=1694734508&amp;sr=8-8", "https://www.amazon.com/JOHN-BOY-Construction-Face-Guard/dp/B0842ZF56G/ref=sr_1_8?keywords=John+Boy+TREE+Face+Guard&amp;qid=1694734508&amp;sr=8-8")</f>
        <v/>
      </c>
      <c r="F577" t="inlineStr">
        <is>
          <t>B0842ZF56G</t>
        </is>
      </c>
      <c r="G577">
        <f>_xludf.IMAGE("https://edmondsonsupply.com/cdn/shop/products/tree-mockup.jpg?v=1633030898")</f>
        <v/>
      </c>
      <c r="H577">
        <f>_xludf.IMAGE("https://m.media-amazon.com/images/I/71D0wruMXOL._AC_UL320_.jpg")</f>
        <v/>
      </c>
      <c r="K577" t="inlineStr">
        <is>
          <t>10.0</t>
        </is>
      </c>
      <c r="L577" t="n">
        <v>10.95</v>
      </c>
      <c r="M577" s="1" t="inlineStr">
        <is>
          <t>9.50%</t>
        </is>
      </c>
      <c r="N577" s="3" t="n">
        <v>2843.89</v>
      </c>
      <c r="O577" t="n">
        <v>3.5</v>
      </c>
      <c r="P577" t="n">
        <v>7</v>
      </c>
      <c r="R577" t="inlineStr">
        <is>
          <t>InStock</t>
        </is>
      </c>
      <c r="S577" t="inlineStr">
        <is>
          <t>undefined</t>
        </is>
      </c>
      <c r="T577" t="inlineStr">
        <is>
          <t>6241649066157</t>
        </is>
      </c>
    </row>
    <row r="578" hidden="1" ht="15.75" customHeight="1">
      <c r="A578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78" s="2">
        <f>HYPERLINK("https://edmondsonsupply.com/products/john-boy-tree-face-guard", "https://edmondsonsupply.com/products/john-boy-tree-face-guard")</f>
        <v/>
      </c>
      <c r="C578" t="inlineStr">
        <is>
          <t>John Boy TREE Face Guard</t>
        </is>
      </c>
      <c r="D578" t="inlineStr">
        <is>
          <t>JOHN BOY Construction Face Guard - UPF 50+ Jobsite Dust Mask with UV Sun Protection &amp; Moisture Wicking Fabric</t>
        </is>
      </c>
      <c r="E578" s="2">
        <f>HYPERLINK("https://www.amazon.com/JOHN-BOY-Construction-Face-Guard/dp/B08HSN8R2R/ref=sr_1_10?keywords=John+Boy+TREE+Face+Guard&amp;qid=1694734508&amp;sr=8-10", "https://www.amazon.com/JOHN-BOY-Construction-Face-Guard/dp/B08HSN8R2R/ref=sr_1_10?keywords=John+Boy+TREE+Face+Guard&amp;qid=1694734508&amp;sr=8-10")</f>
        <v/>
      </c>
      <c r="F578" t="inlineStr">
        <is>
          <t>B08HSN8R2R</t>
        </is>
      </c>
      <c r="G578">
        <f>_xludf.IMAGE("https://edmondsonsupply.com/cdn/shop/products/tree-mockup.jpg?v=1633030898")</f>
        <v/>
      </c>
      <c r="H578">
        <f>_xludf.IMAGE("https://m.media-amazon.com/images/I/71P3C66uWOL._AC_UL320_.jpg")</f>
        <v/>
      </c>
      <c r="K578" t="inlineStr">
        <is>
          <t>10.0</t>
        </is>
      </c>
      <c r="L578" t="n">
        <v>10.95</v>
      </c>
      <c r="M578" s="1" t="inlineStr">
        <is>
          <t>9.50%</t>
        </is>
      </c>
      <c r="N578" s="3" t="n">
        <v>2832.67</v>
      </c>
      <c r="O578" t="n">
        <v>5</v>
      </c>
      <c r="P578" t="n">
        <v>7</v>
      </c>
      <c r="R578" t="inlineStr">
        <is>
          <t>InStock</t>
        </is>
      </c>
      <c r="S578" t="inlineStr">
        <is>
          <t>undefined</t>
        </is>
      </c>
      <c r="T578" t="inlineStr">
        <is>
          <t>6241649066157</t>
        </is>
      </c>
    </row>
    <row r="579" hidden="1" ht="15.75" customHeight="1">
      <c r="A579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79" s="2">
        <f>HYPERLINK("https://edmondsonsupply.com/products/john-boy-tree-face-guard", "https://edmondsonsupply.com/products/john-boy-tree-face-guard")</f>
        <v/>
      </c>
      <c r="C579" t="inlineStr">
        <is>
          <t>John Boy TREE Face Guard</t>
        </is>
      </c>
      <c r="D579" t="inlineStr">
        <is>
          <t>JOHN BOY Racing Face Guard - UPF 50+ Motorcycle Accesory Mask with UV Sun Protection &amp; Moisture Wicking Fabric</t>
        </is>
      </c>
      <c r="E579" s="2">
        <f>HYPERLINK("https://www.amazon.com/JOHN-BOY-Racing-Face-Guard/dp/B0842ZNDHF/ref=sr_1_11?keywords=John+Boy+TREE+Face+Guard&amp;qid=1694734508&amp;sr=8-11", "https://www.amazon.com/JOHN-BOY-Racing-Face-Guard/dp/B0842ZNDHF/ref=sr_1_11?keywords=John+Boy+TREE+Face+Guard&amp;qid=1694734508&amp;sr=8-11")</f>
        <v/>
      </c>
      <c r="F579" t="inlineStr">
        <is>
          <t>B0842ZNDHF</t>
        </is>
      </c>
      <c r="G579">
        <f>_xludf.IMAGE("https://edmondsonsupply.com/cdn/shop/products/tree-mockup.jpg?v=1633030898")</f>
        <v/>
      </c>
      <c r="H579">
        <f>_xludf.IMAGE("https://m.media-amazon.com/images/I/71biFN0HaSL._AC_UL320_.jpg")</f>
        <v/>
      </c>
      <c r="K579" t="inlineStr">
        <is>
          <t>10.0</t>
        </is>
      </c>
      <c r="L579" t="n">
        <v>10.95</v>
      </c>
      <c r="M579" s="1" t="inlineStr">
        <is>
          <t>9.50%</t>
        </is>
      </c>
      <c r="N579" s="3" t="n">
        <v>2756.3</v>
      </c>
      <c r="O579" t="n">
        <v>4.4</v>
      </c>
      <c r="P579" t="n">
        <v>3</v>
      </c>
      <c r="R579" t="inlineStr">
        <is>
          <t>InStock</t>
        </is>
      </c>
      <c r="S579" t="inlineStr">
        <is>
          <t>undefined</t>
        </is>
      </c>
      <c r="T579" t="inlineStr">
        <is>
          <t>6241649066157</t>
        </is>
      </c>
    </row>
    <row r="580" hidden="1" ht="15.75" customHeight="1">
      <c r="A580" s="2">
        <f>HYPERLINK("https://edmondsonsupply.com/collections/personal-protection-safety/products/john-boy-tree-face-guard", "https://edmondsonsupply.com/collections/personal-protection-safety/products/john-boy-tree-face-guard")</f>
        <v/>
      </c>
      <c r="B580" s="2">
        <f>HYPERLINK("https://edmondsonsupply.com/products/john-boy-tree-face-guard", "https://edmondsonsupply.com/products/john-boy-tree-face-guard")</f>
        <v/>
      </c>
      <c r="C580" t="inlineStr">
        <is>
          <t>John Boy TREE Face Guard</t>
        </is>
      </c>
      <c r="D580" t="inlineStr">
        <is>
          <t>John Boy Construction Face Guard - UPF 50+ Jobsite Dust Mask with UV Sun Protection &amp; Moisture Wicking Fabric</t>
        </is>
      </c>
      <c r="E580" s="2">
        <f>HYPERLINK("https://www.amazon.com/JOHN-BOY-Construction-Face-Guard/dp/B0896948Y4/ref=sr_1_12?keywords=John+Boy+TREE+Face+Guard&amp;qid=1694734508&amp;sr=8-12", "https://www.amazon.com/JOHN-BOY-Construction-Face-Guard/dp/B0896948Y4/ref=sr_1_12?keywords=John+Boy+TREE+Face+Guard&amp;qid=1694734508&amp;sr=8-12")</f>
        <v/>
      </c>
      <c r="F580" t="inlineStr">
        <is>
          <t>B0896948Y4</t>
        </is>
      </c>
      <c r="G580">
        <f>_xludf.IMAGE("https://edmondsonsupply.com/cdn/shop/products/tree-mockup.jpg?v=1633030898")</f>
        <v/>
      </c>
      <c r="H580">
        <f>_xludf.IMAGE("https://m.media-amazon.com/images/I/61RzEW8naZL._AC_UL320_.jpg")</f>
        <v/>
      </c>
      <c r="K580" t="inlineStr">
        <is>
          <t>10.0</t>
        </is>
      </c>
      <c r="L580" t="n">
        <v>10.95</v>
      </c>
      <c r="M580" s="1" t="inlineStr">
        <is>
          <t>9.50%</t>
        </is>
      </c>
      <c r="N580" s="3" t="n">
        <v>2510.56</v>
      </c>
      <c r="O580" t="n">
        <v>4.2</v>
      </c>
      <c r="P580" t="n">
        <v>7</v>
      </c>
      <c r="R580" t="inlineStr">
        <is>
          <t>InStock</t>
        </is>
      </c>
      <c r="S580" t="inlineStr">
        <is>
          <t>undefined</t>
        </is>
      </c>
      <c r="T580" t="inlineStr">
        <is>
          <t>6241649066157</t>
        </is>
      </c>
    </row>
    <row r="581" hidden="1" ht="15.75" customHeight="1">
      <c r="A581" s="2">
        <f>HYPERLINK("https://edmondsonsupply.com/collections/personal-protection-safety/products/john-boy-patriot-face-guard", "https://edmondsonsupply.com/collections/personal-protection-safety/products/john-boy-patriot-face-guard")</f>
        <v/>
      </c>
      <c r="B581" s="2">
        <f>HYPERLINK("https://edmondsonsupply.com/products/john-boy-patriot-face-guard", "https://edmondsonsupply.com/products/john-boy-patriot-face-guard")</f>
        <v/>
      </c>
      <c r="C581" t="inlineStr">
        <is>
          <t>John Boy PATRIOT Face Guard</t>
        </is>
      </c>
      <c r="D581" t="inlineStr">
        <is>
          <t>JOHN BOY Construction Face Guard - UPF 50+ Jobsite Dust Mask with UV Sun Protection &amp; Moisture Wicking Fabric</t>
        </is>
      </c>
      <c r="E581" s="2">
        <f>HYPERLINK("https://www.amazon.com/JOHN-BOY-Construction-Face-Guard/dp/B0842YWL6K/ref=sr_1_1?keywords=John+Boy+PATRIOT+Face+Guard&amp;qid=1694734516&amp;sr=8-1", "https://www.amazon.com/JOHN-BOY-Construction-Face-Guard/dp/B0842YWL6K/ref=sr_1_1?keywords=John+Boy+PATRIOT+Face+Guard&amp;qid=1694734516&amp;sr=8-1")</f>
        <v/>
      </c>
      <c r="F581" t="inlineStr">
        <is>
          <t>B0842YWL6K</t>
        </is>
      </c>
      <c r="G581">
        <f>_xludf.IMAGE("https://edmondsonsupply.com/cdn/shop/products/Patriotcopy.jpg?v=1633030716")</f>
        <v/>
      </c>
      <c r="H581">
        <f>_xludf.IMAGE("https://m.media-amazon.com/images/I/71ZTS9fFlUL._AC_UL320_.jpg")</f>
        <v/>
      </c>
      <c r="K581" t="inlineStr">
        <is>
          <t>10.0</t>
        </is>
      </c>
      <c r="L581" t="n">
        <v>10.95</v>
      </c>
      <c r="M581" s="1" t="inlineStr">
        <is>
          <t>9.50%</t>
        </is>
      </c>
      <c r="N581" s="3" t="n">
        <v>2510.56</v>
      </c>
      <c r="O581" t="n">
        <v>3.5</v>
      </c>
      <c r="P581" t="n">
        <v>7</v>
      </c>
      <c r="R581" t="inlineStr">
        <is>
          <t>InStock</t>
        </is>
      </c>
      <c r="S581" t="inlineStr">
        <is>
          <t>undefined</t>
        </is>
      </c>
      <c r="T581" t="inlineStr">
        <is>
          <t>5862599458984</t>
        </is>
      </c>
    </row>
    <row r="582" hidden="1" ht="15.75" customHeight="1">
      <c r="A582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582" s="2">
        <f>HYPERLINK("https://edmondsonsupply.com/products/john-boy-neon-reflect-y-face-guard", "https://edmondsonsupply.com/products/john-boy-neon-reflect-y-face-guard")</f>
        <v/>
      </c>
      <c r="C582" t="inlineStr">
        <is>
          <t>John Boy NEON REFLECT-Y Face Guard</t>
        </is>
      </c>
      <c r="D582" t="inlineStr">
        <is>
          <t>John Boy Construction Face Guard - UPF 50+ Jobsite Dust Mask with UV Sun Protection &amp; Moisture Wicking Fabric</t>
        </is>
      </c>
      <c r="E582" s="2">
        <f>HYPERLINK("https://www.amazon.com/JOHN-BOY-Construction-Face-Guard/dp/B0896948Y4/ref=sr_1_12?keywords=John+Boy+NEON+REFLECT-Y+Face+Guard&amp;qid=1694734515&amp;sr=8-12", "https://www.amazon.com/JOHN-BOY-Construction-Face-Guard/dp/B0896948Y4/ref=sr_1_12?keywords=John+Boy+NEON+REFLECT-Y+Face+Guard&amp;qid=1694734515&amp;sr=8-12")</f>
        <v/>
      </c>
      <c r="F582" t="inlineStr">
        <is>
          <t>B0896948Y4</t>
        </is>
      </c>
      <c r="G582">
        <f>_xludf.IMAGE("https://edmondsonsupply.com/cdn/shop/products/NEONREFLECT-Y.jpg?v=1633030720")</f>
        <v/>
      </c>
      <c r="H582">
        <f>_xludf.IMAGE("https://m.media-amazon.com/images/I/61RzEW8naZL._AC_UL320_.jpg")</f>
        <v/>
      </c>
      <c r="K582" t="inlineStr">
        <is>
          <t>10.0</t>
        </is>
      </c>
      <c r="L582" t="n">
        <v>10.95</v>
      </c>
      <c r="M582" s="1" t="inlineStr">
        <is>
          <t>9.50%</t>
        </is>
      </c>
      <c r="N582" s="3" t="n">
        <v>2466.89</v>
      </c>
      <c r="O582" t="n">
        <v>4.2</v>
      </c>
      <c r="P582" t="n">
        <v>7</v>
      </c>
      <c r="R582" t="inlineStr">
        <is>
          <t>InStock</t>
        </is>
      </c>
      <c r="S582" t="inlineStr">
        <is>
          <t>undefined</t>
        </is>
      </c>
      <c r="T582" t="inlineStr">
        <is>
          <t>5862932414632</t>
        </is>
      </c>
    </row>
    <row r="583" hidden="1" ht="15.75" customHeight="1">
      <c r="A583" s="2">
        <f>HYPERLINK("https://edmondsonsupply.com/collections/personal-protection-safety/products/john-boy-grass-face-guard", "https://edmondsonsupply.com/collections/personal-protection-safety/products/john-boy-grass-face-guard")</f>
        <v/>
      </c>
      <c r="B583" s="2">
        <f>HYPERLINK("https://edmondsonsupply.com/products/john-boy-grass-face-guard", "https://edmondsonsupply.com/products/john-boy-grass-face-guard")</f>
        <v/>
      </c>
      <c r="C583" t="inlineStr">
        <is>
          <t>John Boy GRASS Face Guard</t>
        </is>
      </c>
      <c r="D583" t="inlineStr">
        <is>
          <t>JOHN BOY Construction Face Guard - UPF 50+ Jobsite Dust Mask with UV Sun Protection &amp; Moisture Wicking Fabric</t>
        </is>
      </c>
      <c r="E583" s="2">
        <f>HYPERLINK("https://www.amazon.com/JOHN-BOY-Construction-Face-Guard/dp/B08HSKXW6L/ref=sr_1_fkmr0_1?keywords=John+Boy+GRASS+Face+Guard&amp;qid=1694734501&amp;sr=8-1-fkmr0", "https://www.amazon.com/JOHN-BOY-Construction-Face-Guard/dp/B08HSKXW6L/ref=sr_1_fkmr0_1?keywords=John+Boy+GRASS+Face+Guard&amp;qid=1694734501&amp;sr=8-1-fkmr0")</f>
        <v/>
      </c>
      <c r="F583" t="inlineStr">
        <is>
          <t>B08HSKXW6L</t>
        </is>
      </c>
      <c r="G583">
        <f>_xludf.IMAGE("https://edmondsonsupply.com/cdn/shop/products/grassMUcopy_900x_3dbec2e2-1ea2-46e7-b806-f05c0b3108b5.jpg?v=1633030897")</f>
        <v/>
      </c>
      <c r="H583">
        <f>_xludf.IMAGE("https://m.media-amazon.com/images/I/71x8Q+NujjL._AC_UL320_.jpg")</f>
        <v/>
      </c>
      <c r="K583" t="inlineStr">
        <is>
          <t>10.0</t>
        </is>
      </c>
      <c r="L583" t="n">
        <v>10.95</v>
      </c>
      <c r="M583" s="1" t="inlineStr">
        <is>
          <t>9.50%</t>
        </is>
      </c>
      <c r="N583" s="3" t="n">
        <v>2343.89</v>
      </c>
      <c r="O583" t="n">
        <v>5</v>
      </c>
      <c r="P583" t="n">
        <v>7</v>
      </c>
      <c r="R583" t="inlineStr">
        <is>
          <t>InStock</t>
        </is>
      </c>
      <c r="S583" t="inlineStr">
        <is>
          <t>undefined</t>
        </is>
      </c>
      <c r="T583" t="inlineStr">
        <is>
          <t>6237276438701</t>
        </is>
      </c>
    </row>
    <row r="584" hidden="1" ht="15.75" customHeight="1">
      <c r="A584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584" s="2">
        <f>HYPERLINK("https://edmondsonsupply.com/products/john-boy-texas-face-guard", "https://edmondsonsupply.com/products/john-boy-texas-face-guard")</f>
        <v/>
      </c>
      <c r="C584" t="inlineStr">
        <is>
          <t>John Boy TEXAS Face Guard</t>
        </is>
      </c>
      <c r="D584" t="inlineStr">
        <is>
          <t>JOHN BOY Construction Face Guard - UPF 50+ Jobsite Dust Mask with UV Sun Protection &amp; Moisture Wicking Fabric</t>
        </is>
      </c>
      <c r="E584" s="2">
        <f>HYPERLINK("https://www.amazon.com/JOHN-BOY-Construction-Face-Guard/dp/B08HSKXW6L/ref=sr_1_11?keywords=John+Boy+TEXAS+Face+Guard&amp;qid=1694734515&amp;sr=8-11", "https://www.amazon.com/JOHN-BOY-Construction-Face-Guard/dp/B08HSKXW6L/ref=sr_1_11?keywords=John+Boy+TEXAS+Face+Guard&amp;qid=1694734515&amp;sr=8-11")</f>
        <v/>
      </c>
      <c r="F584" t="inlineStr">
        <is>
          <t>B08HSKXW6L</t>
        </is>
      </c>
      <c r="G584">
        <f>_xludf.IMAGE("https://edmondsonsupply.com/cdn/shop/products/TX2-FG.jpg?v=1633030719")</f>
        <v/>
      </c>
      <c r="H584">
        <f>_xludf.IMAGE("https://m.media-amazon.com/images/I/71x8Q+NujjL._AC_UL320_.jpg")</f>
        <v/>
      </c>
      <c r="K584" t="inlineStr">
        <is>
          <t>10.0</t>
        </is>
      </c>
      <c r="L584" t="n">
        <v>10.95</v>
      </c>
      <c r="M584" s="1" t="inlineStr">
        <is>
          <t>9.50%</t>
        </is>
      </c>
      <c r="N584" s="3" t="n">
        <v>2299.33</v>
      </c>
      <c r="O584" t="n">
        <v>5</v>
      </c>
      <c r="P584" t="n">
        <v>7</v>
      </c>
      <c r="R584" t="inlineStr">
        <is>
          <t>OutOfStock</t>
        </is>
      </c>
      <c r="S584" t="inlineStr">
        <is>
          <t>undefined</t>
        </is>
      </c>
      <c r="T584" t="inlineStr">
        <is>
          <t>5862606110888</t>
        </is>
      </c>
    </row>
    <row r="585" hidden="1" ht="15.75" customHeight="1">
      <c r="A585" s="2">
        <f>HYPERLINK("https://edmondsonsupply.com/collections/personal-protection-safety/products/john-boy-patriot-face-guard", "https://edmondsonsupply.com/collections/personal-protection-safety/products/john-boy-patriot-face-guard")</f>
        <v/>
      </c>
      <c r="B585" s="2">
        <f>HYPERLINK("https://edmondsonsupply.com/products/john-boy-patriot-face-guard", "https://edmondsonsupply.com/products/john-boy-patriot-face-guard")</f>
        <v/>
      </c>
      <c r="C585" t="inlineStr">
        <is>
          <t>John Boy PATRIOT Face Guard</t>
        </is>
      </c>
      <c r="D585" t="inlineStr">
        <is>
          <t>JOHN BOY Fitness Face Guard - UPF 50+ Multi-Purpose Athletic Mask with UV Sun Protection &amp; Moisture Wicking Fabric</t>
        </is>
      </c>
      <c r="E585" s="2">
        <f>HYPERLINK("https://www.amazon.com/JOHN-Fitness-Face-Guard-Multi-Purpose/dp/B0842ZBT1T/ref=sr_1_2?keywords=John+Boy+PATRIOT+Face+Guard&amp;qid=1694734516&amp;sr=8-2", "https://www.amazon.com/JOHN-Fitness-Face-Guard-Multi-Purpose/dp/B0842ZBT1T/ref=sr_1_2?keywords=John+Boy+PATRIOT+Face+Guard&amp;qid=1694734516&amp;sr=8-2")</f>
        <v/>
      </c>
      <c r="F585" t="inlineStr">
        <is>
          <t>B0842ZBT1T</t>
        </is>
      </c>
      <c r="G585">
        <f>_xludf.IMAGE("https://edmondsonsupply.com/cdn/shop/products/Patriotcopy.jpg?v=1633030716")</f>
        <v/>
      </c>
      <c r="H585">
        <f>_xludf.IMAGE("https://m.media-amazon.com/images/I/71xfqXGH9sL._AC_UL320_.jpg")</f>
        <v/>
      </c>
      <c r="K585" t="inlineStr">
        <is>
          <t>10.0</t>
        </is>
      </c>
      <c r="L585" t="n">
        <v>10.95</v>
      </c>
      <c r="M585" s="1" t="inlineStr">
        <is>
          <t>9.50%</t>
        </is>
      </c>
      <c r="N585" s="3" t="n">
        <v>2251.26</v>
      </c>
      <c r="O585" t="n">
        <v>3.3</v>
      </c>
      <c r="P585" t="n">
        <v>22</v>
      </c>
      <c r="R585" t="inlineStr">
        <is>
          <t>InStock</t>
        </is>
      </c>
      <c r="S585" t="inlineStr">
        <is>
          <t>undefined</t>
        </is>
      </c>
      <c r="T585" t="inlineStr">
        <is>
          <t>5862599458984</t>
        </is>
      </c>
    </row>
    <row r="586" hidden="1" ht="15.75" customHeight="1">
      <c r="A586" s="2">
        <f>HYPERLINK("https://edmondsonsupply.com/collections/personal-protection-safety/products/john-boy-patriot-face-guard", "https://edmondsonsupply.com/collections/personal-protection-safety/products/john-boy-patriot-face-guard")</f>
        <v/>
      </c>
      <c r="B586" s="2">
        <f>HYPERLINK("https://edmondsonsupply.com/products/john-boy-patriot-face-guard", "https://edmondsonsupply.com/products/john-boy-patriot-face-guard")</f>
        <v/>
      </c>
      <c r="C586" t="inlineStr">
        <is>
          <t>John Boy PATRIOT Face Guard</t>
        </is>
      </c>
      <c r="D586" t="inlineStr">
        <is>
          <t>JOHN BOY Fishing Face Guard - UPF 50+ Multi-Weather Sport Mask with UV Sun Protection &amp; Moisture Wicking Fabric</t>
        </is>
      </c>
      <c r="E586" s="2">
        <f>HYPERLINK("https://www.amazon.com/JOHN-Fishing-Face-Guard-Multi-Weather/dp/B0842ZNMJ6/ref=sr_1_3?keywords=John+Boy+PATRIOT+Face+Guard&amp;qid=1694734516&amp;sr=8-3", "https://www.amazon.com/JOHN-Fishing-Face-Guard-Multi-Weather/dp/B0842ZNMJ6/ref=sr_1_3?keywords=John+Boy+PATRIOT+Face+Guard&amp;qid=1694734516&amp;sr=8-3")</f>
        <v/>
      </c>
      <c r="F586" t="inlineStr">
        <is>
          <t>B0842ZNMJ6</t>
        </is>
      </c>
      <c r="G586">
        <f>_xludf.IMAGE("https://edmondsonsupply.com/cdn/shop/products/Patriotcopy.jpg?v=1633030716")</f>
        <v/>
      </c>
      <c r="H586">
        <f>_xludf.IMAGE("https://m.media-amazon.com/images/I/71N6E+BLd5L._AC_UL320_.jpg")</f>
        <v/>
      </c>
      <c r="K586" t="inlineStr">
        <is>
          <t>10.0</t>
        </is>
      </c>
      <c r="L586" t="n">
        <v>10.95</v>
      </c>
      <c r="M586" s="1" t="inlineStr">
        <is>
          <t>9.50%</t>
        </is>
      </c>
      <c r="N586" s="3" t="n">
        <v>2232.67</v>
      </c>
      <c r="O586" t="n">
        <v>4</v>
      </c>
      <c r="P586" t="n">
        <v>13</v>
      </c>
      <c r="R586" t="inlineStr">
        <is>
          <t>InStock</t>
        </is>
      </c>
      <c r="S586" t="inlineStr">
        <is>
          <t>undefined</t>
        </is>
      </c>
      <c r="T586" t="inlineStr">
        <is>
          <t>5862599458984</t>
        </is>
      </c>
    </row>
    <row r="587" hidden="1" ht="15.75" customHeight="1">
      <c r="A587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87" s="2">
        <f>HYPERLINK("https://edmondsonsupply.com/products/john-boy-desert-face-guard", "https://edmondsonsupply.com/products/john-boy-desert-face-guard")</f>
        <v/>
      </c>
      <c r="C587" t="inlineStr">
        <is>
          <t>John Boy DESERT Face Guard</t>
        </is>
      </c>
      <c r="D587" t="inlineStr">
        <is>
          <t>JOHN BOY Construction Face Guard - UPF 50+ Jobsite Dust Mask with UV Sun Protection &amp; Moisture Wicking Fabric</t>
        </is>
      </c>
      <c r="E587" s="2">
        <f>HYPERLINK("https://www.amazon.com/JOHN-BOY-Construction-Face-Guard/dp/B08HSN8R2R/ref=sr_1_4?keywords=John+Boy+DESERT+Face+Guard&amp;qid=1694734515&amp;sr=8-4", "https://www.amazon.com/JOHN-BOY-Construction-Face-Guard/dp/B08HSN8R2R/ref=sr_1_4?keywords=John+Boy+DESERT+Face+Guard&amp;qid=1694734515&amp;sr=8-4")</f>
        <v/>
      </c>
      <c r="F587" t="inlineStr">
        <is>
          <t>B08HSN8R2R</t>
        </is>
      </c>
      <c r="G587">
        <f>_xludf.IMAGE("https://edmondsonsupply.com/cdn/shop/products/Desertcopy.jpg?v=1633030720")</f>
        <v/>
      </c>
      <c r="H587">
        <f>_xludf.IMAGE("https://m.media-amazon.com/images/I/71P3C66uWOL._AC_UL320_.jpg")</f>
        <v/>
      </c>
      <c r="K587" t="inlineStr">
        <is>
          <t>10.0</t>
        </is>
      </c>
      <c r="L587" t="n">
        <v>10.95</v>
      </c>
      <c r="M587" s="1" t="inlineStr">
        <is>
          <t>9.50%</t>
        </is>
      </c>
      <c r="N587" s="3" t="n">
        <v>2196.62</v>
      </c>
      <c r="O587" t="n">
        <v>5</v>
      </c>
      <c r="P587" t="n">
        <v>7</v>
      </c>
      <c r="R587" t="inlineStr">
        <is>
          <t>InStock</t>
        </is>
      </c>
      <c r="S587" t="inlineStr">
        <is>
          <t>undefined</t>
        </is>
      </c>
      <c r="T587" t="inlineStr">
        <is>
          <t>5862662930600</t>
        </is>
      </c>
    </row>
    <row r="588" hidden="1" ht="15.75" customHeight="1">
      <c r="A588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88" s="2">
        <f>HYPERLINK("https://edmondsonsupply.com/products/john-boy-desert-face-guard", "https://edmondsonsupply.com/products/john-boy-desert-face-guard")</f>
        <v/>
      </c>
      <c r="C588" t="inlineStr">
        <is>
          <t>John Boy DESERT Face Guard</t>
        </is>
      </c>
      <c r="D588" t="inlineStr">
        <is>
          <t>JOHN BOY Racing Face Guard - UPF 50+ Motorcycle Accesory Mask with UV Sun Protection &amp; Moisture Wicking Fabric</t>
        </is>
      </c>
      <c r="E588" s="2">
        <f>HYPERLINK("https://www.amazon.com/JOHN-BOY-Racing-Face-Guard/dp/B0842ZNDHF/ref=sr_1_5?keywords=John+Boy+DESERT+Face+Guard&amp;qid=1694734515&amp;sr=8-5", "https://www.amazon.com/JOHN-BOY-Racing-Face-Guard/dp/B0842ZNDHF/ref=sr_1_5?keywords=John+Boy+DESERT+Face+Guard&amp;qid=1694734515&amp;sr=8-5")</f>
        <v/>
      </c>
      <c r="F588" t="inlineStr">
        <is>
          <t>B0842ZNDHF</t>
        </is>
      </c>
      <c r="G588">
        <f>_xludf.IMAGE("https://edmondsonsupply.com/cdn/shop/products/Desertcopy.jpg?v=1633030720")</f>
        <v/>
      </c>
      <c r="H588">
        <f>_xludf.IMAGE("https://m.media-amazon.com/images/I/71biFN0HaSL._AC_UL320_.jpg")</f>
        <v/>
      </c>
      <c r="K588" t="inlineStr">
        <is>
          <t>10.0</t>
        </is>
      </c>
      <c r="L588" t="n">
        <v>10.95</v>
      </c>
      <c r="M588" s="1" t="inlineStr">
        <is>
          <t>9.50%</t>
        </is>
      </c>
      <c r="N588" s="3" t="n">
        <v>2121.67</v>
      </c>
      <c r="O588" t="n">
        <v>4.4</v>
      </c>
      <c r="P588" t="n">
        <v>3</v>
      </c>
      <c r="R588" t="inlineStr">
        <is>
          <t>InStock</t>
        </is>
      </c>
      <c r="S588" t="inlineStr">
        <is>
          <t>undefined</t>
        </is>
      </c>
      <c r="T588" t="inlineStr">
        <is>
          <t>5862662930600</t>
        </is>
      </c>
    </row>
    <row r="589" hidden="1" ht="15.75" customHeight="1">
      <c r="A589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89" s="2">
        <f>HYPERLINK("https://edmondsonsupply.com/products/john-boy-desert-face-guard", "https://edmondsonsupply.com/products/john-boy-desert-face-guard")</f>
        <v/>
      </c>
      <c r="C589" t="inlineStr">
        <is>
          <t>John Boy DESERT Face Guard</t>
        </is>
      </c>
      <c r="D589" t="inlineStr">
        <is>
          <t>John Boy Construction Face Guard - UPF 50+ Jobsite Dust Mask with UV Sun Protection &amp; Moisture Wicking Fabric</t>
        </is>
      </c>
      <c r="E589" s="2">
        <f>HYPERLINK("https://www.amazon.com/JOHN-BOY-Construction-Face-Guard/dp/B0896948Y4/ref=sr_1_6?keywords=John+Boy+DESERT+Face+Guard&amp;qid=1694734515&amp;sr=8-6", "https://www.amazon.com/JOHN-BOY-Construction-Face-Guard/dp/B0896948Y4/ref=sr_1_6?keywords=John+Boy+DESERT+Face+Guard&amp;qid=1694734515&amp;sr=8-6")</f>
        <v/>
      </c>
      <c r="F589" t="inlineStr">
        <is>
          <t>B0896948Y4</t>
        </is>
      </c>
      <c r="G589">
        <f>_xludf.IMAGE("https://edmondsonsupply.com/cdn/shop/products/Desertcopy.jpg?v=1633030720")</f>
        <v/>
      </c>
      <c r="H589">
        <f>_xludf.IMAGE("https://m.media-amazon.com/images/I/61RzEW8naZL._AC_UL320_.jpg")</f>
        <v/>
      </c>
      <c r="K589" t="inlineStr">
        <is>
          <t>10.0</t>
        </is>
      </c>
      <c r="L589" t="n">
        <v>10.95</v>
      </c>
      <c r="M589" s="1" t="inlineStr">
        <is>
          <t>9.50%</t>
        </is>
      </c>
      <c r="N589" s="3" t="n">
        <v>2099.33</v>
      </c>
      <c r="O589" t="n">
        <v>4.2</v>
      </c>
      <c r="P589" t="n">
        <v>7</v>
      </c>
      <c r="R589" t="inlineStr">
        <is>
          <t>InStock</t>
        </is>
      </c>
      <c r="S589" t="inlineStr">
        <is>
          <t>undefined</t>
        </is>
      </c>
      <c r="T589" t="inlineStr">
        <is>
          <t>5862662930600</t>
        </is>
      </c>
    </row>
    <row r="590" hidden="1" ht="15.75" customHeight="1">
      <c r="A590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90" s="2">
        <f>HYPERLINK("https://edmondsonsupply.com/products/john-boy-desert-face-guard", "https://edmondsonsupply.com/products/john-boy-desert-face-guard")</f>
        <v/>
      </c>
      <c r="C590" t="inlineStr">
        <is>
          <t>John Boy DESERT Face Guard</t>
        </is>
      </c>
      <c r="D590" t="inlineStr">
        <is>
          <t>John Boy Construction Face Guard - UPF 50+ Neck Gaiter Mask with UV Sun Protection &amp; Moisture Wicking Fabric - BLUE CAMO</t>
        </is>
      </c>
      <c r="E590" s="2">
        <f>HYPERLINK("https://www.amazon.com/JOHN-BOY-Construction-Face-Guard/dp/B0842ZPQ65/ref=sr_1_7?keywords=John+Boy+DESERT+Face+Guard&amp;qid=1694734515&amp;sr=8-7", "https://www.amazon.com/JOHN-BOY-Construction-Face-Guard/dp/B0842ZPQ65/ref=sr_1_7?keywords=John+Boy+DESERT+Face+Guard&amp;qid=1694734515&amp;sr=8-7")</f>
        <v/>
      </c>
      <c r="F590" t="inlineStr">
        <is>
          <t>B0842ZPQ65</t>
        </is>
      </c>
      <c r="G590">
        <f>_xludf.IMAGE("https://edmondsonsupply.com/cdn/shop/products/Desertcopy.jpg?v=1633030720")</f>
        <v/>
      </c>
      <c r="H590">
        <f>_xludf.IMAGE("https://m.media-amazon.com/images/I/81msE1HdXVL._AC_UL320_.jpg")</f>
        <v/>
      </c>
      <c r="K590" t="inlineStr">
        <is>
          <t>10.0</t>
        </is>
      </c>
      <c r="L590" t="n">
        <v>10.95</v>
      </c>
      <c r="M590" s="1" t="inlineStr">
        <is>
          <t>9.50%</t>
        </is>
      </c>
      <c r="N590" s="3" t="n">
        <v>2000</v>
      </c>
      <c r="O590" t="n">
        <v>3.5</v>
      </c>
      <c r="P590" t="n">
        <v>14</v>
      </c>
      <c r="R590" t="inlineStr">
        <is>
          <t>InStock</t>
        </is>
      </c>
      <c r="S590" t="inlineStr">
        <is>
          <t>undefined</t>
        </is>
      </c>
      <c r="T590" t="inlineStr">
        <is>
          <t>5862662930600</t>
        </is>
      </c>
    </row>
    <row r="591" hidden="1" ht="15.75" customHeight="1">
      <c r="A591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91" s="2">
        <f>HYPERLINK("https://edmondsonsupply.com/products/john-boy-desert-face-guard", "https://edmondsonsupply.com/products/john-boy-desert-face-guard")</f>
        <v/>
      </c>
      <c r="C591" t="inlineStr">
        <is>
          <t>John Boy DESERT Face Guard</t>
        </is>
      </c>
      <c r="D591" t="inlineStr">
        <is>
          <t>JOHN BOY Fitness Face Guard - UPF 50+ Multi-Purpose Athletic Mask with UV Sun Protection &amp; Moisture Wicking Fabric</t>
        </is>
      </c>
      <c r="E591" s="2">
        <f>HYPERLINK("https://www.amazon.com/JOHN-Fitness-Face-Guard-Multi-Purpose/dp/B0842ZBT1T/ref=sr_1_14?keywords=John+Boy+DESERT+Face+Guard&amp;qid=1694734515&amp;sr=8-14", "https://www.amazon.com/JOHN-Fitness-Face-Guard-Multi-Purpose/dp/B0842ZBT1T/ref=sr_1_14?keywords=John+Boy+DESERT+Face+Guard&amp;qid=1694734515&amp;sr=8-14")</f>
        <v/>
      </c>
      <c r="F591" t="inlineStr">
        <is>
          <t>B0842ZBT1T</t>
        </is>
      </c>
      <c r="G591">
        <f>_xludf.IMAGE("https://edmondsonsupply.com/cdn/shop/products/Desertcopy.jpg?v=1633030720")</f>
        <v/>
      </c>
      <c r="H591">
        <f>_xludf.IMAGE("https://m.media-amazon.com/images/I/71xfqXGH9sL._AC_UL320_.jpg")</f>
        <v/>
      </c>
      <c r="K591" t="inlineStr">
        <is>
          <t>10.0</t>
        </is>
      </c>
      <c r="L591" t="n">
        <v>10.95</v>
      </c>
      <c r="M591" s="1" t="inlineStr">
        <is>
          <t>9.50%</t>
        </is>
      </c>
      <c r="N591" s="3" t="n">
        <v>2000</v>
      </c>
      <c r="O591" t="n">
        <v>3.3</v>
      </c>
      <c r="P591" t="n">
        <v>22</v>
      </c>
      <c r="R591" t="inlineStr">
        <is>
          <t>InStock</t>
        </is>
      </c>
      <c r="S591" t="inlineStr">
        <is>
          <t>undefined</t>
        </is>
      </c>
      <c r="T591" t="inlineStr">
        <is>
          <t>5862662930600</t>
        </is>
      </c>
    </row>
    <row r="592" hidden="1" ht="15.75" customHeight="1">
      <c r="A592" s="2">
        <f>HYPERLINK("https://edmondsonsupply.com/collections/personal-protection-safety/products/john-boy-usa-face-guard", "https://edmondsonsupply.com/collections/personal-protection-safety/products/john-boy-usa-face-guard")</f>
        <v/>
      </c>
      <c r="B592" s="2">
        <f>HYPERLINK("https://edmondsonsupply.com/products/john-boy-usa-face-guard", "https://edmondsonsupply.com/products/john-boy-usa-face-guard")</f>
        <v/>
      </c>
      <c r="C592" t="inlineStr">
        <is>
          <t>John Boy USA Face Guard</t>
        </is>
      </c>
      <c r="D592" t="inlineStr">
        <is>
          <t>JOHN BOY Construction Face Guard - UPF 50+ Jobsite Dust Mask with UV Sun Protection &amp; Moisture Wicking Fabric</t>
        </is>
      </c>
      <c r="E592" s="2">
        <f>HYPERLINK("https://www.amazon.com/JOHN-BOY-Construction-Face-Guard/dp/B08HSKXW6L/ref=sr_1_fkmr0_1?keywords=John+Boy+USA+Face+Guard&amp;qid=1694734515&amp;sr=8-1-fkmr0", "https://www.amazon.com/JOHN-BOY-Construction-Face-Guard/dp/B08HSKXW6L/ref=sr_1_fkmr0_1?keywords=John+Boy+USA+Face+Guard&amp;qid=1694734515&amp;sr=8-1-fkmr0")</f>
        <v/>
      </c>
      <c r="F592" t="inlineStr">
        <is>
          <t>B08HSKXW6L</t>
        </is>
      </c>
      <c r="G592">
        <f>_xludf.IMAGE("https://edmondsonsupply.com/cdn/shop/products/USA-FG.jpg?v=1633030715")</f>
        <v/>
      </c>
      <c r="H592">
        <f>_xludf.IMAGE("https://m.media-amazon.com/images/I/71x8Q+NujjL._AC_UL320_.jpg")</f>
        <v/>
      </c>
      <c r="K592" t="inlineStr">
        <is>
          <t>10.0</t>
        </is>
      </c>
      <c r="L592" t="n">
        <v>10.95</v>
      </c>
      <c r="M592" s="1" t="inlineStr">
        <is>
          <t>9.50%</t>
        </is>
      </c>
      <c r="N592" s="3" t="n">
        <v>2000</v>
      </c>
      <c r="O592" t="n">
        <v>5</v>
      </c>
      <c r="P592" t="n">
        <v>7</v>
      </c>
      <c r="R592" t="inlineStr">
        <is>
          <t>InStock</t>
        </is>
      </c>
      <c r="S592" t="inlineStr">
        <is>
          <t>undefined</t>
        </is>
      </c>
      <c r="T592" t="inlineStr">
        <is>
          <t>5862585270440</t>
        </is>
      </c>
    </row>
    <row r="593" hidden="1" ht="15.75" customHeight="1">
      <c r="A593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593" s="2">
        <f>HYPERLINK("https://edmondsonsupply.com/products/john-boy-texas-face-guard", "https://edmondsonsupply.com/products/john-boy-texas-face-guard")</f>
        <v/>
      </c>
      <c r="C593" t="inlineStr">
        <is>
          <t>John Boy TEXAS Face Guard</t>
        </is>
      </c>
      <c r="D593" t="inlineStr">
        <is>
          <t>JOHN BOY Racing Face Guard - UPF 50+ Motorcycle Accesory Mask with UV Sun Protection &amp; Moisture Wicking Fabric</t>
        </is>
      </c>
      <c r="E593" s="2">
        <f>HYPERLINK("https://www.amazon.com/JOHN-BOY-Racing-Face-Guard/dp/B0842ZNDHF/ref=sr_1_4?keywords=John+Boy+TEXAS+Face+Guard&amp;qid=1694734515&amp;sr=8-4", "https://www.amazon.com/JOHN-BOY-Racing-Face-Guard/dp/B0842ZNDHF/ref=sr_1_4?keywords=John+Boy+TEXAS+Face+Guard&amp;qid=1694734515&amp;sr=8-4")</f>
        <v/>
      </c>
      <c r="F593" t="inlineStr">
        <is>
          <t>B0842ZNDHF</t>
        </is>
      </c>
      <c r="G593">
        <f>_xludf.IMAGE("https://edmondsonsupply.com/cdn/shop/products/TX2-FG.jpg?v=1633030719")</f>
        <v/>
      </c>
      <c r="H593">
        <f>_xludf.IMAGE("https://m.media-amazon.com/images/I/71biFN0HaSL._AC_UL320_.jpg")</f>
        <v/>
      </c>
      <c r="K593" t="inlineStr">
        <is>
          <t>10.0</t>
        </is>
      </c>
      <c r="L593" t="n">
        <v>10.95</v>
      </c>
      <c r="M593" s="1" t="inlineStr">
        <is>
          <t>9.50%</t>
        </is>
      </c>
      <c r="N593" s="3" t="n">
        <v>2000</v>
      </c>
      <c r="O593" t="n">
        <v>4.4</v>
      </c>
      <c r="P593" t="n">
        <v>3</v>
      </c>
      <c r="R593" t="inlineStr">
        <is>
          <t>OutOfStock</t>
        </is>
      </c>
      <c r="S593" t="inlineStr">
        <is>
          <t>undefined</t>
        </is>
      </c>
      <c r="T593" t="inlineStr">
        <is>
          <t>5862606110888</t>
        </is>
      </c>
    </row>
    <row r="594" hidden="1" ht="15.75" customHeight="1">
      <c r="A594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594" s="2">
        <f>HYPERLINK("https://edmondsonsupply.com/products/john-boy-texas-face-guard", "https://edmondsonsupply.com/products/john-boy-texas-face-guard")</f>
        <v/>
      </c>
      <c r="C594" t="inlineStr">
        <is>
          <t>John Boy TEXAS Face Guard</t>
        </is>
      </c>
      <c r="D594" t="inlineStr">
        <is>
          <t>John Boy Construction Face Guard - UPF 50+ Jobsite Dust Mask with UV Sun Protection &amp; Moisture Wicking Fabric</t>
        </is>
      </c>
      <c r="E594" s="2">
        <f>HYPERLINK("https://www.amazon.com/JOHN-BOY-Construction-Face-Guard/dp/B0896948Y4/ref=sr_1_5?keywords=John+Boy+TEXAS+Face+Guard&amp;qid=1694734515&amp;sr=8-5", "https://www.amazon.com/JOHN-BOY-Construction-Face-Guard/dp/B0896948Y4/ref=sr_1_5?keywords=John+Boy+TEXAS+Face+Guard&amp;qid=1694734515&amp;sr=8-5")</f>
        <v/>
      </c>
      <c r="F594" t="inlineStr">
        <is>
          <t>B0896948Y4</t>
        </is>
      </c>
      <c r="G594">
        <f>_xludf.IMAGE("https://edmondsonsupply.com/cdn/shop/products/TX2-FG.jpg?v=1633030719")</f>
        <v/>
      </c>
      <c r="H594">
        <f>_xludf.IMAGE("https://m.media-amazon.com/images/I/61RzEW8naZL._AC_UL320_.jpg")</f>
        <v/>
      </c>
      <c r="K594" t="inlineStr">
        <is>
          <t>10.0</t>
        </is>
      </c>
      <c r="L594" t="n">
        <v>10.95</v>
      </c>
      <c r="M594" s="1" t="inlineStr">
        <is>
          <t>9.50%</t>
        </is>
      </c>
      <c r="N594" s="3" t="n">
        <v>1921.35</v>
      </c>
      <c r="O594" t="n">
        <v>4.2</v>
      </c>
      <c r="P594" t="n">
        <v>7</v>
      </c>
      <c r="R594" t="inlineStr">
        <is>
          <t>OutOfStock</t>
        </is>
      </c>
      <c r="S594" t="inlineStr">
        <is>
          <t>undefined</t>
        </is>
      </c>
      <c r="T594" t="inlineStr">
        <is>
          <t>5862606110888</t>
        </is>
      </c>
    </row>
    <row r="595" hidden="1" ht="15.75" customHeight="1">
      <c r="A595" s="2">
        <f>HYPERLINK("https://edmondsonsupply.com/collections/personal-protection-safety/products/john-boy-usa-face-guard", "https://edmondsonsupply.com/collections/personal-protection-safety/products/john-boy-usa-face-guard")</f>
        <v/>
      </c>
      <c r="B595" s="2">
        <f>HYPERLINK("https://edmondsonsupply.com/products/john-boy-usa-face-guard", "https://edmondsonsupply.com/products/john-boy-usa-face-guard")</f>
        <v/>
      </c>
      <c r="C595" t="inlineStr">
        <is>
          <t>John Boy USA Face Guard</t>
        </is>
      </c>
      <c r="D595" t="inlineStr">
        <is>
          <t>JOHN BOY Fitness Face Guard - UPF 50+ Multi-Purpose Athletic Mask with UV Sun Protection &amp; Moisture Wicking Fabric</t>
        </is>
      </c>
      <c r="E595" s="2">
        <f>HYPERLINK("https://www.amazon.com/JOHN-Fitness-Face-Guard-Multi-Purpose/dp/B0842ZBT1T/ref=sr_1_7?keywords=John+Boy+USA+Face+Guard&amp;qid=1694734515&amp;sr=8-7", "https://www.amazon.com/JOHN-Fitness-Face-Guard-Multi-Purpose/dp/B0842ZBT1T/ref=sr_1_7?keywords=John+Boy+USA+Face+Guard&amp;qid=1694734515&amp;sr=8-7")</f>
        <v/>
      </c>
      <c r="F595" t="inlineStr">
        <is>
          <t>B0842ZBT1T</t>
        </is>
      </c>
      <c r="G595">
        <f>_xludf.IMAGE("https://edmondsonsupply.com/cdn/shop/products/USA-FG.jpg?v=1633030715")</f>
        <v/>
      </c>
      <c r="H595">
        <f>_xludf.IMAGE("https://m.media-amazon.com/images/I/71xfqXGH9sL._AC_UL320_.jpg")</f>
        <v/>
      </c>
      <c r="K595" t="inlineStr">
        <is>
          <t>10.0</t>
        </is>
      </c>
      <c r="L595" t="n">
        <v>10.95</v>
      </c>
      <c r="M595" s="1" t="inlineStr">
        <is>
          <t>9.50%</t>
        </is>
      </c>
      <c r="N595" s="3" t="n">
        <v>1915.97</v>
      </c>
      <c r="O595" t="n">
        <v>3.3</v>
      </c>
      <c r="P595" t="n">
        <v>22</v>
      </c>
      <c r="R595" t="inlineStr">
        <is>
          <t>InStock</t>
        </is>
      </c>
      <c r="S595" t="inlineStr">
        <is>
          <t>undefined</t>
        </is>
      </c>
      <c r="T595" t="inlineStr">
        <is>
          <t>5862585270440</t>
        </is>
      </c>
    </row>
    <row r="596" hidden="1" ht="15.75" customHeight="1">
      <c r="A596" s="2">
        <f>HYPERLINK("https://edmondsonsupply.com/collections/personal-protection-safety/products/john-boy-grass-face-guard", "https://edmondsonsupply.com/collections/personal-protection-safety/products/john-boy-grass-face-guard")</f>
        <v/>
      </c>
      <c r="B596" s="2">
        <f>HYPERLINK("https://edmondsonsupply.com/products/john-boy-grass-face-guard", "https://edmondsonsupply.com/products/john-boy-grass-face-guard")</f>
        <v/>
      </c>
      <c r="C596" t="inlineStr">
        <is>
          <t>John Boy GRASS Face Guard</t>
        </is>
      </c>
      <c r="D596" t="inlineStr">
        <is>
          <t>JOHN BOY Construction Face Guard - UPF 50+ Jobsite Dust Mask with UV Sun Protection &amp; Moisture Wicking Fabric</t>
        </is>
      </c>
      <c r="E596" s="2">
        <f>HYPERLINK("https://www.amazon.com/JOHN-BOY-Construction-Face-Guard/dp/B0842YWL6K/ref=sr_1_4?keywords=John+Boy+GRASS+Face+Guard&amp;qid=1694734501&amp;sr=8-4", "https://www.amazon.com/JOHN-BOY-Construction-Face-Guard/dp/B0842YWL6K/ref=sr_1_4?keywords=John+Boy+GRASS+Face+Guard&amp;qid=1694734501&amp;sr=8-4")</f>
        <v/>
      </c>
      <c r="F596" t="inlineStr">
        <is>
          <t>B0842YWL6K</t>
        </is>
      </c>
      <c r="G596">
        <f>_xludf.IMAGE("https://edmondsonsupply.com/cdn/shop/products/grassMUcopy_900x_3dbec2e2-1ea2-46e7-b806-f05c0b3108b5.jpg?v=1633030897")</f>
        <v/>
      </c>
      <c r="H596">
        <f>_xludf.IMAGE("https://m.media-amazon.com/images/I/71ZTS9fFlUL._AC_UL320_.jpg")</f>
        <v/>
      </c>
      <c r="K596" t="inlineStr">
        <is>
          <t>10.0</t>
        </is>
      </c>
      <c r="L596" t="n">
        <v>10.95</v>
      </c>
      <c r="M596" s="1" t="inlineStr">
        <is>
          <t>9.50%</t>
        </is>
      </c>
      <c r="N596" s="3" t="n">
        <v>1899.44</v>
      </c>
      <c r="O596" t="n">
        <v>3.5</v>
      </c>
      <c r="P596" t="n">
        <v>7</v>
      </c>
      <c r="R596" t="inlineStr">
        <is>
          <t>InStock</t>
        </is>
      </c>
      <c r="S596" t="inlineStr">
        <is>
          <t>undefined</t>
        </is>
      </c>
      <c r="T596" t="inlineStr">
        <is>
          <t>6237276438701</t>
        </is>
      </c>
    </row>
    <row r="597" hidden="1" ht="15.75" customHeight="1">
      <c r="A597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597" s="2">
        <f>HYPERLINK("https://edmondsonsupply.com/products/john-boy-texas-face-guard", "https://edmondsonsupply.com/products/john-boy-texas-face-guard")</f>
        <v/>
      </c>
      <c r="C597" t="inlineStr">
        <is>
          <t>John Boy TEXAS Face Guard</t>
        </is>
      </c>
      <c r="D597" t="inlineStr">
        <is>
          <t>JOHN BOY Construction Face Guard - UPF 50+ Jobsite Dust Mask with UV Sun Protection &amp; Moisture Wicking Fabric</t>
        </is>
      </c>
      <c r="E597" s="2">
        <f>HYPERLINK("https://www.amazon.com/JOHN-BOY-Construction-Face-Guard/dp/B0842YWL6K/ref=sr_1_7?keywords=John+Boy+TEXAS+Face+Guard&amp;qid=1694734515&amp;sr=8-7", "https://www.amazon.com/JOHN-BOY-Construction-Face-Guard/dp/B0842YWL6K/ref=sr_1_7?keywords=John+Boy+TEXAS+Face+Guard&amp;qid=1694734515&amp;sr=8-7")</f>
        <v/>
      </c>
      <c r="F597" t="inlineStr">
        <is>
          <t>B0842YWL6K</t>
        </is>
      </c>
      <c r="G597">
        <f>_xludf.IMAGE("https://edmondsonsupply.com/cdn/shop/products/TX2-FG.jpg?v=1633030719")</f>
        <v/>
      </c>
      <c r="H597">
        <f>_xludf.IMAGE("https://m.media-amazon.com/images/I/71ZTS9fFlUL._AC_UL320_.jpg")</f>
        <v/>
      </c>
      <c r="K597" t="inlineStr">
        <is>
          <t>10.0</t>
        </is>
      </c>
      <c r="L597" t="n">
        <v>10.95</v>
      </c>
      <c r="M597" s="1" t="inlineStr">
        <is>
          <t>9.50%</t>
        </is>
      </c>
      <c r="N597" s="3" t="n">
        <v>1899.33</v>
      </c>
      <c r="O597" t="n">
        <v>3.5</v>
      </c>
      <c r="P597" t="n">
        <v>7</v>
      </c>
      <c r="R597" t="inlineStr">
        <is>
          <t>OutOfStock</t>
        </is>
      </c>
      <c r="S597" t="inlineStr">
        <is>
          <t>undefined</t>
        </is>
      </c>
      <c r="T597" t="inlineStr">
        <is>
          <t>5862606110888</t>
        </is>
      </c>
    </row>
    <row r="598" hidden="1" ht="15.75" customHeight="1">
      <c r="A598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598" s="2">
        <f>HYPERLINK("https://edmondsonsupply.com/products/john-boy-desert-face-guard", "https://edmondsonsupply.com/products/john-boy-desert-face-guard")</f>
        <v/>
      </c>
      <c r="C598" t="inlineStr">
        <is>
          <t>John Boy DESERT Face Guard</t>
        </is>
      </c>
      <c r="D598" t="inlineStr">
        <is>
          <t>JOHN BOY Construction Face Guard - UPF 50+ Jobsite Dust Mask with UV Sun Protection &amp; Moisture Wicking Fabric</t>
        </is>
      </c>
      <c r="E598" s="2">
        <f>HYPERLINK("https://www.amazon.com/JOHN-BOY-Construction-Face-Guard/dp/B0842ZF56G/ref=sr_1_9?keywords=John+Boy+DESERT+Face+Guard&amp;qid=1694734515&amp;sr=8-9", "https://www.amazon.com/JOHN-BOY-Construction-Face-Guard/dp/B0842ZF56G/ref=sr_1_9?keywords=John+Boy+DESERT+Face+Guard&amp;qid=1694734515&amp;sr=8-9")</f>
        <v/>
      </c>
      <c r="F598" t="inlineStr">
        <is>
          <t>B0842ZF56G</t>
        </is>
      </c>
      <c r="G598">
        <f>_xludf.IMAGE("https://edmondsonsupply.com/cdn/shop/products/Desertcopy.jpg?v=1633030720")</f>
        <v/>
      </c>
      <c r="H598">
        <f>_xludf.IMAGE("https://m.media-amazon.com/images/I/71D0wruMXOL._AC_UL320_.jpg")</f>
        <v/>
      </c>
      <c r="K598" t="inlineStr">
        <is>
          <t>10.0</t>
        </is>
      </c>
      <c r="L598" t="n">
        <v>10.95</v>
      </c>
      <c r="M598" s="1" t="inlineStr">
        <is>
          <t>9.50%</t>
        </is>
      </c>
      <c r="N598" s="3" t="n">
        <v>1899.33</v>
      </c>
      <c r="O598" t="n">
        <v>3.5</v>
      </c>
      <c r="P598" t="n">
        <v>7</v>
      </c>
      <c r="R598" t="inlineStr">
        <is>
          <t>InStock</t>
        </is>
      </c>
      <c r="S598" t="inlineStr">
        <is>
          <t>undefined</t>
        </is>
      </c>
      <c r="T598" t="inlineStr">
        <is>
          <t>5862662930600</t>
        </is>
      </c>
    </row>
    <row r="599" hidden="1" ht="15.75" customHeight="1">
      <c r="A599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599" s="2">
        <f>HYPERLINK("https://edmondsonsupply.com/products/john-boy-neon-reflect-y-face-guard", "https://edmondsonsupply.com/products/john-boy-neon-reflect-y-face-guard")</f>
        <v/>
      </c>
      <c r="C599" t="inlineStr">
        <is>
          <t>John Boy NEON REFLECT-Y Face Guard</t>
        </is>
      </c>
      <c r="D599" t="inlineStr">
        <is>
          <t>John Boy Construction Face Guard - UPF 50+ Neck Gaiter Mask with UV Sun Protection &amp; Moisture Wicking Fabric - BLUE CAMO</t>
        </is>
      </c>
      <c r="E599" s="2">
        <f>HYPERLINK("https://www.amazon.com/JOHN-BOY-Construction-Face-Guard/dp/B0842ZPQ65/ref=sr_1_6?keywords=John+Boy+NEON+REFLECT-Y+Face+Guard&amp;qid=1694734515&amp;sr=8-6", "https://www.amazon.com/JOHN-BOY-Construction-Face-Guard/dp/B0842ZPQ65/ref=sr_1_6?keywords=John+Boy+NEON+REFLECT-Y+Face+Guard&amp;qid=1694734515&amp;sr=8-6")</f>
        <v/>
      </c>
      <c r="F599" t="inlineStr">
        <is>
          <t>B0842ZPQ65</t>
        </is>
      </c>
      <c r="G599">
        <f>_xludf.IMAGE("https://edmondsonsupply.com/cdn/shop/products/NEONREFLECT-Y.jpg?v=1633030720")</f>
        <v/>
      </c>
      <c r="H599">
        <f>_xludf.IMAGE("https://m.media-amazon.com/images/I/81msE1HdXVL._AC_UL320_.jpg")</f>
        <v/>
      </c>
      <c r="K599" t="inlineStr">
        <is>
          <t>10.0</t>
        </is>
      </c>
      <c r="L599" t="n">
        <v>10.95</v>
      </c>
      <c r="M599" s="1" t="inlineStr">
        <is>
          <t>9.50%</t>
        </is>
      </c>
      <c r="N599" s="3" t="n">
        <v>1899.33</v>
      </c>
      <c r="O599" t="n">
        <v>3.5</v>
      </c>
      <c r="P599" t="n">
        <v>14</v>
      </c>
      <c r="R599" t="inlineStr">
        <is>
          <t>InStock</t>
        </is>
      </c>
      <c r="S599" t="inlineStr">
        <is>
          <t>undefined</t>
        </is>
      </c>
      <c r="T599" t="inlineStr">
        <is>
          <t>5862932414632</t>
        </is>
      </c>
    </row>
    <row r="600" hidden="1" ht="15.75" customHeight="1">
      <c r="A600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600" s="2">
        <f>HYPERLINK("https://edmondsonsupply.com/products/john-boy-texas-face-guard", "https://edmondsonsupply.com/products/john-boy-texas-face-guard")</f>
        <v/>
      </c>
      <c r="C600" t="inlineStr">
        <is>
          <t>John Boy TEXAS Face Guard</t>
        </is>
      </c>
      <c r="D600" t="inlineStr">
        <is>
          <t>John Boy Construction Face Guard - UPF 50+ Neck Gaiter Mask with UV Sun Protection &amp; Moisture Wicking Fabric - BLUE CAMO</t>
        </is>
      </c>
      <c r="E600" s="2">
        <f>HYPERLINK("https://www.amazon.com/JOHN-BOY-Construction-Face-Guard/dp/B0842ZPQ65/ref=sr_1_14?keywords=John+Boy+TEXAS+Face+Guard&amp;qid=1694734515&amp;sr=8-14", "https://www.amazon.com/JOHN-BOY-Construction-Face-Guard/dp/B0842ZPQ65/ref=sr_1_14?keywords=John+Boy+TEXAS+Face+Guard&amp;qid=1694734515&amp;sr=8-14")</f>
        <v/>
      </c>
      <c r="F600" t="inlineStr">
        <is>
          <t>B0842ZPQ65</t>
        </is>
      </c>
      <c r="G600">
        <f>_xludf.IMAGE("https://edmondsonsupply.com/cdn/shop/products/TX2-FG.jpg?v=1633030719")</f>
        <v/>
      </c>
      <c r="H600">
        <f>_xludf.IMAGE("https://m.media-amazon.com/images/I/81msE1HdXVL._AC_UL320_.jpg")</f>
        <v/>
      </c>
      <c r="K600" t="inlineStr">
        <is>
          <t>10.0</t>
        </is>
      </c>
      <c r="L600" t="n">
        <v>10.95</v>
      </c>
      <c r="M600" s="1" t="inlineStr">
        <is>
          <t>9.50%</t>
        </is>
      </c>
      <c r="N600" s="3" t="n">
        <v>1899.33</v>
      </c>
      <c r="O600" t="n">
        <v>3.5</v>
      </c>
      <c r="P600" t="n">
        <v>14</v>
      </c>
      <c r="R600" t="inlineStr">
        <is>
          <t>OutOfStock</t>
        </is>
      </c>
      <c r="S600" t="inlineStr">
        <is>
          <t>undefined</t>
        </is>
      </c>
      <c r="T600" t="inlineStr">
        <is>
          <t>5862606110888</t>
        </is>
      </c>
    </row>
    <row r="601" hidden="1" ht="15.75" customHeight="1">
      <c r="A601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601" s="2">
        <f>HYPERLINK("https://edmondsonsupply.com/products/john-boy-texas-face-guard", "https://edmondsonsupply.com/products/john-boy-texas-face-guard")</f>
        <v/>
      </c>
      <c r="C601" t="inlineStr">
        <is>
          <t>John Boy TEXAS Face Guard</t>
        </is>
      </c>
      <c r="D601" t="inlineStr">
        <is>
          <t>JOHN BOY Fishing Face Guard - UPF 50+ Multi-Weather Sport Mask with UV Sun Protection &amp; Moisture Wicking Fabric</t>
        </is>
      </c>
      <c r="E601" s="2">
        <f>HYPERLINK("https://www.amazon.com/JOHN-Fishing-Face-Guard-Multi-Weather/dp/B0842ZNMJ6/ref=sr_1_20?keywords=John+Boy+TEXAS+Face+Guard&amp;qid=1694734515&amp;sr=8-20", "https://www.amazon.com/JOHN-Fishing-Face-Guard-Multi-Weather/dp/B0842ZNMJ6/ref=sr_1_20?keywords=John+Boy+TEXAS+Face+Guard&amp;qid=1694734515&amp;sr=8-20")</f>
        <v/>
      </c>
      <c r="F601" t="inlineStr">
        <is>
          <t>B0842ZNMJ6</t>
        </is>
      </c>
      <c r="G601">
        <f>_xludf.IMAGE("https://edmondsonsupply.com/cdn/shop/products/TX2-FG.jpg?v=1633030719")</f>
        <v/>
      </c>
      <c r="H601">
        <f>_xludf.IMAGE("https://m.media-amazon.com/images/I/71N6E+BLd5L._AC_UL320_.jpg")</f>
        <v/>
      </c>
      <c r="K601" t="inlineStr">
        <is>
          <t>10.0</t>
        </is>
      </c>
      <c r="L601" t="n">
        <v>10.95</v>
      </c>
      <c r="M601" s="1" t="inlineStr">
        <is>
          <t>9.50%</t>
        </is>
      </c>
      <c r="N601" s="3" t="n">
        <v>1843.89</v>
      </c>
      <c r="O601" t="n">
        <v>4</v>
      </c>
      <c r="P601" t="n">
        <v>13</v>
      </c>
      <c r="R601" t="inlineStr">
        <is>
          <t>OutOfStock</t>
        </is>
      </c>
      <c r="S601" t="inlineStr">
        <is>
          <t>undefined</t>
        </is>
      </c>
      <c r="T601" t="inlineStr">
        <is>
          <t>5862606110888</t>
        </is>
      </c>
    </row>
    <row r="602" hidden="1" ht="15.75" customHeight="1">
      <c r="A602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602" s="2">
        <f>HYPERLINK("https://edmondsonsupply.com/products/john-boy-neon-reflect-y-face-guard", "https://edmondsonsupply.com/products/john-boy-neon-reflect-y-face-guard")</f>
        <v/>
      </c>
      <c r="C602" t="inlineStr">
        <is>
          <t>John Boy NEON REFLECT-Y Face Guard</t>
        </is>
      </c>
      <c r="D602" t="inlineStr">
        <is>
          <t>JOHN BOY Construction Face Guard - UPF 50+ Jobsite Dust Mask with UV Sun Protection &amp; Moisture Wicking Fabric</t>
        </is>
      </c>
      <c r="E602" s="2">
        <f>HYPERLINK("https://www.amazon.com/JOHN-BOY-Construction-Face-Guard/dp/B0842X4J49/ref=sr_1_1?keywords=John+Boy+NEON+REFLECT-Y+Face+Guard&amp;qid=1694734515&amp;sr=8-1", "https://www.amazon.com/JOHN-BOY-Construction-Face-Guard/dp/B0842X4J49/ref=sr_1_1?keywords=John+Boy+NEON+REFLECT-Y+Face+Guard&amp;qid=1694734515&amp;sr=8-1")</f>
        <v/>
      </c>
      <c r="F602" t="inlineStr">
        <is>
          <t>B0842X4J49</t>
        </is>
      </c>
      <c r="G602">
        <f>_xludf.IMAGE("https://edmondsonsupply.com/cdn/shop/products/NEONREFLECT-Y.jpg?v=1633030720")</f>
        <v/>
      </c>
      <c r="H602">
        <f>_xludf.IMAGE("https://m.media-amazon.com/images/I/71jlz6cbXSS._AC_UL320_.jpg")</f>
        <v/>
      </c>
      <c r="K602" t="inlineStr">
        <is>
          <t>10.0</t>
        </is>
      </c>
      <c r="L602" t="n">
        <v>10.95</v>
      </c>
      <c r="M602" s="1" t="inlineStr">
        <is>
          <t>9.50%</t>
        </is>
      </c>
      <c r="N602" s="3" t="n">
        <v>1832.67</v>
      </c>
      <c r="O602" t="n">
        <v>4.1</v>
      </c>
      <c r="P602" t="n">
        <v>15</v>
      </c>
      <c r="R602" t="inlineStr">
        <is>
          <t>InStock</t>
        </is>
      </c>
      <c r="S602" t="inlineStr">
        <is>
          <t>undefined</t>
        </is>
      </c>
      <c r="T602" t="inlineStr">
        <is>
          <t>5862932414632</t>
        </is>
      </c>
    </row>
    <row r="603" hidden="1" ht="15.75" customHeight="1">
      <c r="A603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603" s="2">
        <f>HYPERLINK("https://edmondsonsupply.com/products/john-boy-neon-reflect-y-face-guard", "https://edmondsonsupply.com/products/john-boy-neon-reflect-y-face-guard")</f>
        <v/>
      </c>
      <c r="C603" t="inlineStr">
        <is>
          <t>John Boy NEON REFLECT-Y Face Guard</t>
        </is>
      </c>
      <c r="D603" t="inlineStr">
        <is>
          <t>JOHN BOY Racing Face Guard - UPF 50+ Motorcycle Accesory Mask with UV Sun Protection &amp; Moisture Wicking Fabric</t>
        </is>
      </c>
      <c r="E603" s="2">
        <f>HYPERLINK("https://www.amazon.com/JOHN-BOY-Racing-Face-Guard/dp/B0842ZNDHF/ref=sr_1_4?keywords=John+Boy+NEON+REFLECT-Y+Face+Guard&amp;qid=1694734515&amp;sr=8-4", "https://www.amazon.com/JOHN-BOY-Racing-Face-Guard/dp/B0842ZNDHF/ref=sr_1_4?keywords=John+Boy+NEON+REFLECT-Y+Face+Guard&amp;qid=1694734515&amp;sr=8-4")</f>
        <v/>
      </c>
      <c r="F603" t="inlineStr">
        <is>
          <t>B0842ZNDHF</t>
        </is>
      </c>
      <c r="G603">
        <f>_xludf.IMAGE("https://edmondsonsupply.com/cdn/shop/products/NEONREFLECT-Y.jpg?v=1633030720")</f>
        <v/>
      </c>
      <c r="H603">
        <f>_xludf.IMAGE("https://m.media-amazon.com/images/I/71biFN0HaSL._AC_UL320_.jpg")</f>
        <v/>
      </c>
      <c r="K603" t="inlineStr">
        <is>
          <t>10.0</t>
        </is>
      </c>
      <c r="L603" t="n">
        <v>10.95</v>
      </c>
      <c r="M603" s="1" t="inlineStr">
        <is>
          <t>9.50%</t>
        </is>
      </c>
      <c r="N603" s="3" t="n">
        <v>1832.67</v>
      </c>
      <c r="O603" t="n">
        <v>4.4</v>
      </c>
      <c r="P603" t="n">
        <v>3</v>
      </c>
      <c r="R603" t="inlineStr">
        <is>
          <t>InStock</t>
        </is>
      </c>
      <c r="S603" t="inlineStr">
        <is>
          <t>undefined</t>
        </is>
      </c>
      <c r="T603" t="inlineStr">
        <is>
          <t>5862932414632</t>
        </is>
      </c>
    </row>
    <row r="604" hidden="1" ht="15.75" customHeight="1">
      <c r="A604" s="2">
        <f>HYPERLINK("https://edmondsonsupply.com/collections/personal-protection-safety/products/john-boy-grass-face-guard", "https://edmondsonsupply.com/collections/personal-protection-safety/products/john-boy-grass-face-guard")</f>
        <v/>
      </c>
      <c r="B604" s="2">
        <f>HYPERLINK("https://edmondsonsupply.com/products/john-boy-grass-face-guard", "https://edmondsonsupply.com/products/john-boy-grass-face-guard")</f>
        <v/>
      </c>
      <c r="C604" t="inlineStr">
        <is>
          <t>John Boy GRASS Face Guard</t>
        </is>
      </c>
      <c r="D604" t="inlineStr">
        <is>
          <t>JOHN BOY Fitness Face Guard - UPF 50+ Multi-Purpose Athletic Mask with UV Sun Protection &amp; Moisture Wicking Fabric</t>
        </is>
      </c>
      <c r="E604" s="2">
        <f>HYPERLINK("https://www.amazon.com/JOHN-Fitness-Face-Guard-Multi-Purpose/dp/B0842ZBT1T/ref=sr_1_3?keywords=John+Boy+GRASS+Face+Guard&amp;qid=1694734501&amp;sr=8-3", "https://www.amazon.com/JOHN-Fitness-Face-Guard-Multi-Purpose/dp/B0842ZBT1T/ref=sr_1_3?keywords=John+Boy+GRASS+Face+Guard&amp;qid=1694734501&amp;sr=8-3")</f>
        <v/>
      </c>
      <c r="F604" t="inlineStr">
        <is>
          <t>B0842ZBT1T</t>
        </is>
      </c>
      <c r="G604">
        <f>_xludf.IMAGE("https://edmondsonsupply.com/cdn/shop/products/grassMUcopy_900x_3dbec2e2-1ea2-46e7-b806-f05c0b3108b5.jpg?v=1633030897")</f>
        <v/>
      </c>
      <c r="H604">
        <f>_xludf.IMAGE("https://m.media-amazon.com/images/I/71xfqXGH9sL._AC_UL320_.jpg")</f>
        <v/>
      </c>
      <c r="K604" t="inlineStr">
        <is>
          <t>10.0</t>
        </is>
      </c>
      <c r="L604" t="n">
        <v>10.95</v>
      </c>
      <c r="M604" s="1" t="inlineStr">
        <is>
          <t>9.50%</t>
        </is>
      </c>
      <c r="N604" s="3" t="n">
        <v>1790.54</v>
      </c>
      <c r="O604" t="n">
        <v>3.3</v>
      </c>
      <c r="P604" t="n">
        <v>22</v>
      </c>
      <c r="R604" t="inlineStr">
        <is>
          <t>InStock</t>
        </is>
      </c>
      <c r="S604" t="inlineStr">
        <is>
          <t>undefined</t>
        </is>
      </c>
      <c r="T604" t="inlineStr">
        <is>
          <t>6237276438701</t>
        </is>
      </c>
    </row>
    <row r="605" hidden="1" ht="15.75" customHeight="1">
      <c r="A605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605" s="2">
        <f>HYPERLINK("https://edmondsonsupply.com/products/john-boy-texas-face-guard", "https://edmondsonsupply.com/products/john-boy-texas-face-guard")</f>
        <v/>
      </c>
      <c r="C605" t="inlineStr">
        <is>
          <t>John Boy TEXAS Face Guard</t>
        </is>
      </c>
      <c r="D605" t="inlineStr">
        <is>
          <t>JOHN BOY Fitness Face Guard - UPF 50+ Multi-Purpose Athletic Mask with UV Sun Protection &amp; Moisture Wicking Fabric</t>
        </is>
      </c>
      <c r="E605" s="2">
        <f>HYPERLINK("https://www.amazon.com/JOHN-Fitness-Face-Guard-Multi-Purpose/dp/B0842ZBT1T/ref=sr_1_13?keywords=John+Boy+TEXAS+Face+Guard&amp;qid=1694734515&amp;sr=8-13", "https://www.amazon.com/JOHN-Fitness-Face-Guard-Multi-Purpose/dp/B0842ZBT1T/ref=sr_1_13?keywords=John+Boy+TEXAS+Face+Guard&amp;qid=1694734515&amp;sr=8-13")</f>
        <v/>
      </c>
      <c r="F605" t="inlineStr">
        <is>
          <t>B0842ZBT1T</t>
        </is>
      </c>
      <c r="G605">
        <f>_xludf.IMAGE("https://edmondsonsupply.com/cdn/shop/products/TX2-FG.jpg?v=1633030719")</f>
        <v/>
      </c>
      <c r="H605">
        <f>_xludf.IMAGE("https://m.media-amazon.com/images/I/71xfqXGH9sL._AC_UL320_.jpg")</f>
        <v/>
      </c>
      <c r="K605" t="inlineStr">
        <is>
          <t>10.0</t>
        </is>
      </c>
      <c r="L605" t="n">
        <v>10.95</v>
      </c>
      <c r="M605" s="1" t="inlineStr">
        <is>
          <t>9.50%</t>
        </is>
      </c>
      <c r="N605" s="3" t="n">
        <v>1766</v>
      </c>
      <c r="O605" t="n">
        <v>3.3</v>
      </c>
      <c r="P605" t="n">
        <v>22</v>
      </c>
      <c r="R605" t="inlineStr">
        <is>
          <t>OutOfStock</t>
        </is>
      </c>
      <c r="S605" t="inlineStr">
        <is>
          <t>undefined</t>
        </is>
      </c>
      <c r="T605" t="inlineStr">
        <is>
          <t>5862606110888</t>
        </is>
      </c>
    </row>
    <row r="606" hidden="1" ht="15.75" customHeight="1">
      <c r="A606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606" s="2">
        <f>HYPERLINK("https://edmondsonsupply.com/products/john-boy-neon-reflect-y-face-guard", "https://edmondsonsupply.com/products/john-boy-neon-reflect-y-face-guard")</f>
        <v/>
      </c>
      <c r="C606" t="inlineStr">
        <is>
          <t>John Boy NEON REFLECT-Y Face Guard</t>
        </is>
      </c>
      <c r="D606" t="inlineStr">
        <is>
          <t>JOHN BOY Construction Face Guard - UPF 50+ Jobsite Dust Mask with UV Sun Protection &amp; Moisture Wicking Fabric</t>
        </is>
      </c>
      <c r="E606" s="2">
        <f>HYPERLINK("https://www.amazon.com/JOHN-BOY-Construction-Face-Guard/dp/B08HSKXW6L/ref=sr_1_8?keywords=John+Boy+NEON+REFLECT-Y+Face+Guard&amp;qid=1694734515&amp;sr=8-8", "https://www.amazon.com/JOHN-BOY-Construction-Face-Guard/dp/B08HSKXW6L/ref=sr_1_8?keywords=John+Boy+NEON+REFLECT-Y+Face+Guard&amp;qid=1694734515&amp;sr=8-8")</f>
        <v/>
      </c>
      <c r="F606" t="inlineStr">
        <is>
          <t>B08HSKXW6L</t>
        </is>
      </c>
      <c r="G606">
        <f>_xludf.IMAGE("https://edmondsonsupply.com/cdn/shop/products/NEONREFLECT-Y.jpg?v=1633030720")</f>
        <v/>
      </c>
      <c r="H606">
        <f>_xludf.IMAGE("https://m.media-amazon.com/images/I/71x8Q+NujjL._AC_UL320_.jpg")</f>
        <v/>
      </c>
      <c r="K606" t="inlineStr">
        <is>
          <t>10.0</t>
        </is>
      </c>
      <c r="L606" t="n">
        <v>10.95</v>
      </c>
      <c r="M606" s="1" t="inlineStr">
        <is>
          <t>9.50%</t>
        </is>
      </c>
      <c r="N606" s="3" t="n">
        <v>1732.78</v>
      </c>
      <c r="O606" t="n">
        <v>5</v>
      </c>
      <c r="P606" t="n">
        <v>7</v>
      </c>
      <c r="R606" t="inlineStr">
        <is>
          <t>InStock</t>
        </is>
      </c>
      <c r="S606" t="inlineStr">
        <is>
          <t>undefined</t>
        </is>
      </c>
      <c r="T606" t="inlineStr">
        <is>
          <t>5862932414632</t>
        </is>
      </c>
    </row>
    <row r="607" ht="87" customHeight="1">
      <c r="A607" s="2">
        <f>HYPERLINK("https://edmondsonsupply.com/collections/personal-protection-safety/products/copy-of-klein-tools-60189-leather-work-gloves-x-large-pair", "https://edmondsonsupply.com/collections/personal-protection-safety/products/copy-of-klein-tools-60189-leather-work-gloves-x-large-pair")</f>
        <v/>
      </c>
      <c r="B607" s="2">
        <f>HYPERLINK("https://edmondsonsupply.com/products/copy-of-klein-tools-60189-leather-work-gloves-x-large-pair", "https://edmondsonsupply.com/products/copy-of-klein-tools-60189-leather-work-gloves-x-large-pair")</f>
        <v/>
      </c>
      <c r="C607" t="inlineStr">
        <is>
          <t>Klein Tools 60188 Leather Work Gloves, Large, Pair</t>
        </is>
      </c>
      <c r="D607" t="inlineStr">
        <is>
          <t>Klein Tools 40084 Work Gloves, Durable Soft Grain Leather Lineman Gloves with Padded Knuckles, Extra Large,Black</t>
        </is>
      </c>
      <c r="E607" s="2">
        <f>HYPERLINK("https://www.amazon.com/Lineman-Glove-Klein-Tools-40084/dp/B003OD8YX0/ref=sr_1_8?keywords=Klein+Tools+60188+Leather+Work+Gloves%2C+Large%2C+Pair&amp;qid=1694734529&amp;sr=8-8", "https://www.amazon.com/Lineman-Glove-Klein-Tools-40084/dp/B003OD8YX0/ref=sr_1_8?keywords=Klein+Tools+60188+Leather+Work+Gloves%2C+Large%2C+Pair&amp;qid=1694734529&amp;sr=8-8")</f>
        <v/>
      </c>
      <c r="F607" t="inlineStr">
        <is>
          <t>B003OD8YX0</t>
        </is>
      </c>
      <c r="G607">
        <f>_xlfn.IMAGE("https://edmondsonsupply.com/cdn/shop/products/60188_7a7499e6-621a-4bc0-8883-0ddde9a9ada8.jpg?v=1588432588")</f>
        <v/>
      </c>
      <c r="H607">
        <f>_xlfn.IMAGE("https://m.media-amazon.com/images/I/61HoGcmMLGL._AC_UL320_.jpg")</f>
        <v/>
      </c>
      <c r="K607" t="inlineStr">
        <is>
          <t>25.99</t>
        </is>
      </c>
      <c r="L607" t="n">
        <v>28.21</v>
      </c>
      <c r="M607" s="1" t="inlineStr">
        <is>
          <t>8.54%</t>
        </is>
      </c>
      <c r="N607" s="8" t="n">
        <v>1715.15</v>
      </c>
      <c r="O607" t="n">
        <v>4.3</v>
      </c>
      <c r="P607" t="n">
        <v>665</v>
      </c>
      <c r="R607" t="inlineStr">
        <is>
          <t>InStock</t>
        </is>
      </c>
      <c r="S607" t="inlineStr">
        <is>
          <t>35.98</t>
        </is>
      </c>
      <c r="T607" t="inlineStr">
        <is>
          <t>4603169734756</t>
        </is>
      </c>
    </row>
    <row r="608" hidden="1" ht="15.75" customHeight="1">
      <c r="A608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608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608" t="inlineStr">
        <is>
          <t>Klein Tools 60163 Professional Safety Glasses, Full Frame, Clear Lens</t>
        </is>
      </c>
      <c r="D608" t="inlineStr">
        <is>
          <t>Klein Tools 60470 Safety Glasses, ANSI Z87.1+ Pro Full Frame Gasket Safety Glasses, Clear Lenses, UV Protection, Anti-Fog, Scratch Resistant, Black/Orange</t>
        </is>
      </c>
      <c r="E608" s="2">
        <f>HYPERLINK("https://www.amazon.com/Klein-60470-Protection-Anti-Fog-Resistant/dp/B0B69KPRPF/ref=sr_1_2?keywords=Klein+Tools+60163+Professional+Safety+Glasses%2C+Full+Frame%2C+Clear+Lens&amp;qid=1694734507&amp;sr=8-2", "https://www.amazon.com/Klein-60470-Protection-Anti-Fog-Resistant/dp/B0B69KPRPF/ref=sr_1_2?keywords=Klein+Tools+60163+Professional+Safety+Glasses%2C+Full+Frame%2C+Clear+Lens&amp;qid=1694734507&amp;sr=8-2")</f>
        <v/>
      </c>
      <c r="F608" t="inlineStr">
        <is>
          <t>B0B69KPRPF</t>
        </is>
      </c>
      <c r="G608">
        <f>_xludf.IMAGE("https://edmondsonsupply.com/cdn/shop/products/60163.jpg?v=1633030848")</f>
        <v/>
      </c>
      <c r="H608">
        <f>_xludf.IMAGE("https://m.media-amazon.com/images/I/51TkfiRMYgL._AC_UL320_.jpg")</f>
        <v/>
      </c>
      <c r="K608" t="inlineStr">
        <is>
          <t>14.99</t>
        </is>
      </c>
      <c r="L608" t="n">
        <v>15.99</v>
      </c>
      <c r="M608" s="1" t="inlineStr">
        <is>
          <t>6.67%</t>
        </is>
      </c>
      <c r="N608" s="3" t="n">
        <v>1699.33</v>
      </c>
      <c r="O608" t="n">
        <v>4</v>
      </c>
      <c r="P608" t="n">
        <v>29</v>
      </c>
      <c r="R608" t="inlineStr">
        <is>
          <t>InStock</t>
        </is>
      </c>
      <c r="S608" t="inlineStr">
        <is>
          <t>20.98</t>
        </is>
      </c>
      <c r="T608" t="inlineStr">
        <is>
          <t>6094353039533</t>
        </is>
      </c>
    </row>
    <row r="609" ht="87" customHeight="1">
      <c r="A609" s="2">
        <f>HYPERLINK("https://edmondsonsupply.com/collections/personal-protection-safety/products/milwaukee-48-73-2046-performance-safety-glasses-with-gaskets-polarized", "https://edmondsonsupply.com/collections/personal-protection-safety/products/milwaukee-48-73-2046-performance-safety-glasses-with-gaskets-polarized")</f>
        <v/>
      </c>
      <c r="B609" s="2">
        <f>HYPERLINK("https://edmondsonsupply.com/products/milwaukee-48-73-2046-performance-safety-glasses-with-gaskets-polarized", "https://edmondsonsupply.com/products/milwaukee-48-73-2046-performance-safety-glasses-with-gaskets-polarized")</f>
        <v/>
      </c>
      <c r="C609" t="inlineStr">
        <is>
          <t>Milwaukee 48-73-2046 Performance Safety Glasses with Gaskets, Polarized</t>
        </is>
      </c>
      <c r="D609" t="inlineStr">
        <is>
          <t>Milwaukee 48-73-2045 High Performance Safety Tinted Lenses Glasses with Gasket</t>
        </is>
      </c>
      <c r="E609" s="2">
        <f>HYPERLINK("https://www.amazon.com/Milwaukee-48-73-2045-Performance-Safety-Glasses/dp/B08DL9B6GP/ref=sr_1_1?keywords=Milwaukee+48-73-2046+Performance+Safety+Glasses+with+Gaskets%2C+Polarized&amp;qid=1694734528&amp;sr=8-1", "https://www.amazon.com/Milwaukee-48-73-2045-Performance-Safety-Glasses/dp/B08DL9B6GP/ref=sr_1_1?keywords=Milwaukee+48-73-2046+Performance+Safety+Glasses+with+Gaskets%2C+Polarized&amp;qid=1694734528&amp;sr=8-1")</f>
        <v/>
      </c>
      <c r="F609" t="inlineStr">
        <is>
          <t>B08DL9B6GP</t>
        </is>
      </c>
      <c r="G609">
        <f>_xlfn.IMAGE("https://edmondsonsupply.com/cdn/shop/products/48-73-2045_7.png?v=1587147326")</f>
        <v/>
      </c>
      <c r="H609">
        <f>_xlfn.IMAGE("https://m.media-amazon.com/images/I/51ZDRlrCs9L._AC_UL320_.jpg")</f>
        <v/>
      </c>
      <c r="K609" t="inlineStr">
        <is>
          <t>39.97</t>
        </is>
      </c>
      <c r="L609" t="n">
        <v>41.97</v>
      </c>
      <c r="M609" s="1" t="inlineStr">
        <is>
          <t>5.00%</t>
        </is>
      </c>
      <c r="N609" s="8" t="n">
        <v>1663.03</v>
      </c>
      <c r="O609" t="n">
        <v>4.6</v>
      </c>
      <c r="P609" t="n">
        <v>20</v>
      </c>
      <c r="R609" t="inlineStr">
        <is>
          <t>InStock</t>
        </is>
      </c>
      <c r="S609" t="inlineStr">
        <is>
          <t>49.5</t>
        </is>
      </c>
      <c r="T609" t="inlineStr">
        <is>
          <t>4475028799588</t>
        </is>
      </c>
    </row>
    <row r="610" ht="87" customHeight="1">
      <c r="A610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610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610" t="inlineStr">
        <is>
          <t>Klein Tools 60470 Professional Full-Frame Gasket Safety Glasses, Clear Lens</t>
        </is>
      </c>
      <c r="D610" t="inlineStr">
        <is>
          <t>Klein Tools 60161 Safety Glasses, Professional PPE Protective Eyewear with Semi Frame, Scratch Resistant and Anti-Fog, Clear Lens</t>
        </is>
      </c>
      <c r="E610" s="2">
        <f>HYPERLINK("https://www.amazon.com/Klein-60161-Professional-Protective-Resistant/dp/B08B496F57/ref=sr_1_8?keywords=Klein+Tools+60470+Professional+Full-Frame+Gasket+Safety+Glasses%2C+Clear+Lens&amp;qid=1694734484&amp;sr=8-8", "https://www.amazon.com/Klein-60161-Professional-Protective-Resistant/dp/B08B496F57/ref=sr_1_8?keywords=Klein+Tools+60470+Professional+Full-Frame+Gasket+Safety+Glasses%2C+Clear+Lens&amp;qid=1694734484&amp;sr=8-8")</f>
        <v/>
      </c>
      <c r="F610" t="inlineStr">
        <is>
          <t>B08B496F57</t>
        </is>
      </c>
      <c r="G610">
        <f>_xlfn.IMAGE("https://edmondsonsupply.com/cdn/shop/products/60470.jpg?v=1663260659")</f>
        <v/>
      </c>
      <c r="H610">
        <f>_xlfn.IMAGE("https://m.media-amazon.com/images/I/515pVZPvJ0L._AC_UL320_.jpg")</f>
        <v/>
      </c>
      <c r="K610" t="inlineStr">
        <is>
          <t>15.99</t>
        </is>
      </c>
      <c r="L610" t="n">
        <v>16.56</v>
      </c>
      <c r="M610" s="1" t="inlineStr">
        <is>
          <t>3.56%</t>
        </is>
      </c>
      <c r="N610" s="8" t="n">
        <v>1602.13</v>
      </c>
      <c r="O610" t="n">
        <v>4.4</v>
      </c>
      <c r="P610" t="n">
        <v>371</v>
      </c>
      <c r="R610" t="inlineStr">
        <is>
          <t>InStock</t>
        </is>
      </c>
      <c r="S610" t="inlineStr">
        <is>
          <t>21.98</t>
        </is>
      </c>
      <c r="T610" t="inlineStr">
        <is>
          <t>7817690677464</t>
        </is>
      </c>
    </row>
    <row r="611" ht="87" customHeight="1">
      <c r="A611" s="2">
        <f>HYPERLINK("https://edmondsonsupply.com/collections/personal-protection-safety/products/hellberg-safety-secure-3-headband-hearing-protection", "https://edmondsonsupply.com/collections/personal-protection-safety/products/hellberg-safety-secure-3-headband-hearing-protection")</f>
        <v/>
      </c>
      <c r="B611" s="2">
        <f>HYPERLINK("https://edmondsonsupply.com/products/hellberg-safety-secure-3-headband-hearing-protection", "https://edmondsonsupply.com/products/hellberg-safety-secure-3-headband-hearing-protection")</f>
        <v/>
      </c>
      <c r="C611" t="inlineStr">
        <is>
          <t>Hellberg Safety Secure 3 Headband Hearing Protection</t>
        </is>
      </c>
      <c r="D611" t="inlineStr">
        <is>
          <t>Hellberg Safety 42003-001 Secure 3 Helmet Mount Hearing Protection, 27 dB NRR, Level 3 Protection for High to Very High Noise, Red</t>
        </is>
      </c>
      <c r="E611" s="2">
        <f>HYPERLINK("https://www.amazon.com/Hellberg-Safety-42003-001-Hearing-Protection/dp/B017DJJY02/ref=sr_1_2?keywords=Hellberg+Safety+Secure+3+Headband+Hearing+Protection&amp;qid=1694734500&amp;sr=8-2", "https://www.amazon.com/Hellberg-Safety-42003-001-Hearing-Protection/dp/B017DJJY02/ref=sr_1_2?keywords=Hellberg+Safety+Secure+3+Headband+Hearing+Protection&amp;qid=1694734500&amp;sr=8-2")</f>
        <v/>
      </c>
      <c r="F611" t="inlineStr">
        <is>
          <t>B017DJJY02</t>
        </is>
      </c>
      <c r="G611">
        <f>_xlfn.IMAGE("https://edmondsonsupply.com/cdn/shop/products/41003-001_Original_637469277190930000.jpg?v=1635628443")</f>
        <v/>
      </c>
      <c r="H611">
        <f>_xlfn.IMAGE("https://m.media-amazon.com/images/I/51w8Q2seNJL._AC_UL320_.jpg")</f>
        <v/>
      </c>
      <c r="K611" t="inlineStr">
        <is>
          <t>37.95</t>
        </is>
      </c>
      <c r="L611" t="n">
        <v>39.28</v>
      </c>
      <c r="M611" s="1" t="inlineStr">
        <is>
          <t>3.50%</t>
        </is>
      </c>
      <c r="N611" s="8" t="n">
        <v>1566</v>
      </c>
      <c r="O611" t="n">
        <v>5</v>
      </c>
      <c r="P611" t="n">
        <v>3</v>
      </c>
      <c r="R611" t="inlineStr">
        <is>
          <t>InStock</t>
        </is>
      </c>
      <c r="S611" t="inlineStr">
        <is>
          <t>43.95</t>
        </is>
      </c>
      <c r="T611" t="inlineStr">
        <is>
          <t>7355746713816</t>
        </is>
      </c>
    </row>
    <row r="612" hidden="1" ht="15.75" customHeight="1">
      <c r="A612" s="2">
        <f>HYPERLINK("https://edmondsonsupply.com/collections/personal-protection-safety/products/klein-tools-60155-cooling-fan-for-hard-hat-and-safety-helmet", "https://edmondsonsupply.com/collections/personal-protection-safety/products/klein-tools-60155-cooling-fan-for-hard-hat-and-safety-helmet")</f>
        <v/>
      </c>
      <c r="B612" s="2">
        <f>HYPERLINK("https://edmondsonsupply.com/products/klein-tools-60155-cooling-fan-for-hard-hat-and-safety-helmet", "https://edmondsonsupply.com/products/klein-tools-60155-cooling-fan-for-hard-hat-and-safety-helmet")</f>
        <v/>
      </c>
      <c r="C612" t="inlineStr">
        <is>
          <t>Klein Tools 60155 Cooling Fan for Hard Hat and Safety Helmet</t>
        </is>
      </c>
      <c r="D612" t="inlineStr">
        <is>
          <t>Industrial Hard Hat with 6 Solar Fan and Light, Waterproof Working Safety Helmet for Construction and Home Improvement, Intelligent Bluetooth Answering Phone, Fast Cooling, USB Output, 12000mAh</t>
        </is>
      </c>
      <c r="E612" s="2">
        <f>HYPERLINK("https://www.amazon.com/Industrial-Waterproof-Construction-Improvement-Intelligent/dp/B0C3CJR1CX/ref=sr_1_45?keywords=Klein+Tools+60155+Cooling+Fan+for+Hard+Hat+and+Safety+Helmet&amp;qid=1694734476&amp;sr=8-45", "https://www.amazon.com/Industrial-Waterproof-Construction-Improvement-Intelligent/dp/B0C3CJR1CX/ref=sr_1_45?keywords=Klein+Tools+60155+Cooling+Fan+for+Hard+Hat+and+Safety+Helmet&amp;qid=1694734476&amp;sr=8-45")</f>
        <v/>
      </c>
      <c r="F612" t="inlineStr">
        <is>
          <t>B0C3CJR1CX</t>
        </is>
      </c>
      <c r="G612">
        <f>_xludf.IMAGE("https://edmondsonsupply.com/cdn/shop/products/60155.jpg?v=1664802208")</f>
        <v/>
      </c>
      <c r="H612">
        <f>_xludf.IMAGE("https://m.media-amazon.com/images/I/61XVZpnm+gL._AC_UL320_.jpg")</f>
        <v/>
      </c>
      <c r="K612" t="inlineStr">
        <is>
          <t>89.99</t>
        </is>
      </c>
      <c r="L612" t="n">
        <v>91.2</v>
      </c>
      <c r="M612" s="1" t="inlineStr">
        <is>
          <t>1.34%</t>
        </is>
      </c>
      <c r="N612" s="3" t="n">
        <v>1492</v>
      </c>
      <c r="O612" t="n">
        <v>3.5</v>
      </c>
      <c r="P612" t="n">
        <v>2</v>
      </c>
      <c r="R612" t="inlineStr">
        <is>
          <t>InStock</t>
        </is>
      </c>
      <c r="S612" t="inlineStr">
        <is>
          <t>125.98</t>
        </is>
      </c>
      <c r="T612" t="inlineStr">
        <is>
          <t>7837525180632</t>
        </is>
      </c>
    </row>
    <row r="613" ht="87" customHeight="1">
      <c r="A613" s="2">
        <f>HYPERLINK("https://edmondsonsupply.com/collections/personal-protection-safety/products/klein-tools-60113rl-hard-hat-vented-cap-style-with-rechargeable-headlamp-white", "https://edmondsonsupply.com/collections/personal-protection-safety/products/klein-tools-60113rl-hard-hat-vented-cap-style-with-rechargeable-headlamp-white")</f>
        <v/>
      </c>
      <c r="B613" s="2">
        <f>HYPERLINK("https://edmondsonsupply.com/products/klein-tools-60113rl-hard-hat-vented-cap-style-with-rechargeable-headlamp-white", "https://edmondsonsupply.com/products/klein-tools-60113rl-hard-hat-vented-cap-style-with-rechargeable-headlamp-white")</f>
        <v/>
      </c>
      <c r="C613" t="inlineStr">
        <is>
          <t>Klein Tools 60113RL Hard Hat, Vented, Cap Style with Rechargeable Headlamp, White</t>
        </is>
      </c>
      <c r="D613" t="inlineStr">
        <is>
          <t>Klein Tools 60407RL Hard Hat, Rechargeable Headlamp, Vented, Full Brim Style, Padded Self-Wicking Odor-Resistant Sweatband, White, Large</t>
        </is>
      </c>
      <c r="E613" s="2">
        <f>HYPERLINK("https://www.amazon.com/Klein-Tools-60407RL-Rechargeable-Odor-Resistant/dp/B08DDTV9M3/ref=sr_1_3?keywords=Klein+Tools+60113RL+Hard+Hat%2C+Vented%2C+Cap+Style+with+Rechargeable+Headlamp%2C+White&amp;qid=1694734498&amp;sr=8-3", "https://www.amazon.com/Klein-Tools-60407RL-Rechargeable-Odor-Resistant/dp/B08DDTV9M3/ref=sr_1_3?keywords=Klein+Tools+60113RL+Hard+Hat%2C+Vented%2C+Cap+Style+with+Rechargeable+Headlamp%2C+White&amp;qid=1694734498&amp;sr=8-3")</f>
        <v/>
      </c>
      <c r="F613" t="inlineStr">
        <is>
          <t>B08DDTV9M3</t>
        </is>
      </c>
      <c r="G613">
        <f>_xlfn.IMAGE("https://edmondsonsupply.com/cdn/shop/products/60113rl_c.jpg?v=1647891186")</f>
        <v/>
      </c>
      <c r="H613">
        <f>_xlfn.IMAGE("https://m.media-amazon.com/images/I/61w2MM+yDgL._AC_UL320_.jpg")</f>
        <v/>
      </c>
      <c r="K613" t="inlineStr">
        <is>
          <t>59.99</t>
        </is>
      </c>
      <c r="L613" t="n">
        <v>60.37</v>
      </c>
      <c r="M613" s="1" t="inlineStr">
        <is>
          <t>0.63%</t>
        </is>
      </c>
      <c r="N613" s="8" t="n">
        <v>1384</v>
      </c>
      <c r="O613" t="n">
        <v>4.7</v>
      </c>
      <c r="P613" t="n">
        <v>1575</v>
      </c>
      <c r="R613" t="inlineStr">
        <is>
          <t>InStock</t>
        </is>
      </c>
      <c r="S613" t="inlineStr">
        <is>
          <t>90.48</t>
        </is>
      </c>
      <c r="T613" t="inlineStr">
        <is>
          <t>7640861376728</t>
        </is>
      </c>
    </row>
    <row r="614" ht="87" customHeight="1">
      <c r="A614" s="2">
        <f>HYPERLINK("https://edmondsonsupply.com/collections/personal-protection-safety/products/klein-tools-60184-lightweight-gel-knee-pads", "https://edmondsonsupply.com/collections/personal-protection-safety/products/klein-tools-60184-lightweight-gel-knee-pads")</f>
        <v/>
      </c>
      <c r="B614" s="2">
        <f>HYPERLINK("https://edmondsonsupply.com/products/klein-tools-60184-lightweight-gel-knee-pads", "https://edmondsonsupply.com/products/klein-tools-60184-lightweight-gel-knee-pads")</f>
        <v/>
      </c>
      <c r="C614" t="inlineStr">
        <is>
          <t>Klein Tools 60184 Lightweight Gel Knee Pads</t>
        </is>
      </c>
      <c r="D614" t="inlineStr">
        <is>
          <t>Klein Tools 60492 Knee Pads, Lightweight Padded Knee Sleeves, Breathable Mesh Back, Elastic Cuff with Slip-Resistant Silicone, Black, M/L</t>
        </is>
      </c>
      <c r="E614" s="2">
        <f>HYPERLINK("https://www.amazon.com/Lightweight-Breathable-Slip-Resistant-Klein-Tools/dp/B0B6216HMW/ref=sr_1_5?keywords=Klein+Tools+60184+Lightweight+Gel+Knee+Pads&amp;qid=1694734480&amp;sr=8-5", "https://www.amazon.com/Lightweight-Breathable-Slip-Resistant-Klein-Tools/dp/B0B6216HMW/ref=sr_1_5?keywords=Klein+Tools+60184+Lightweight+Gel+Knee+Pads&amp;qid=1694734480&amp;sr=8-5")</f>
        <v/>
      </c>
      <c r="F614" t="inlineStr">
        <is>
          <t>B0B6216HMW</t>
        </is>
      </c>
      <c r="G614">
        <f>_xlfn.IMAGE("https://edmondsonsupply.com/cdn/shop/products/60184.jpg?v=1633030246")</f>
        <v/>
      </c>
      <c r="H614">
        <f>_xlfn.IMAGE("https://m.media-amazon.com/images/I/61pjcWSwQcL._AC_UL320_.jpg")</f>
        <v/>
      </c>
      <c r="K614" t="inlineStr">
        <is>
          <t>25.97</t>
        </is>
      </c>
      <c r="L614" t="n">
        <v>25.99</v>
      </c>
      <c r="M614" s="1" t="inlineStr">
        <is>
          <t>0.08%</t>
        </is>
      </c>
      <c r="N614" s="8" t="n">
        <v>1327.73</v>
      </c>
      <c r="O614" t="n">
        <v>4.5</v>
      </c>
      <c r="P614" t="n">
        <v>186</v>
      </c>
      <c r="R614" t="inlineStr">
        <is>
          <t>InStock</t>
        </is>
      </c>
      <c r="S614" t="inlineStr">
        <is>
          <t>36.04</t>
        </is>
      </c>
      <c r="T614" t="inlineStr">
        <is>
          <t>4610179170404</t>
        </is>
      </c>
    </row>
    <row r="615" hidden="1" ht="15.75" customHeight="1">
      <c r="A615" s="2">
        <f>HYPERLINK("https://edmondsonsupply.com/collections/personal-protection-safety/products/klein-tools-40229-high-dexterity-touchscreen-gloves-m", "https://edmondsonsupply.com/collections/personal-protection-safety/products/klein-tools-40229-high-dexterity-touchscreen-gloves-m")</f>
        <v/>
      </c>
      <c r="B615" s="2">
        <f>HYPERLINK("https://edmondsonsupply.com/products/klein-tools-40229-high-dexterity-touchscreen-gloves-m", "https://edmondsonsupply.com/products/klein-tools-40229-high-dexterity-touchscreen-gloves-m")</f>
        <v/>
      </c>
      <c r="C615" t="inlineStr">
        <is>
          <t>Klein Tools 40229 High Dexterity Touchscreen Gloves, Medium</t>
        </is>
      </c>
      <c r="D615" t="inlineStr">
        <is>
          <t>Klein Tools 40230 High Dexterity Touchscreen Gloves, L,Black</t>
        </is>
      </c>
      <c r="E615" s="2">
        <f>HYPERLINK("https://www.amazon.com/Dexterity-Touchscreen-Klein-Tools-40230/dp/B01M68QBRU/ref=sr_1_3?keywords=Klein+Tools+40229+High+Dexterity+Touchscreen+Gloves%2C+Medium&amp;qid=1694734524&amp;sr=8-3", "https://www.amazon.com/Dexterity-Touchscreen-Klein-Tools-40230/dp/B01M68QBRU/ref=sr_1_3?keywords=Klein+Tools+40229+High+Dexterity+Touchscreen+Gloves%2C+Medium&amp;qid=1694734524&amp;sr=8-3")</f>
        <v/>
      </c>
      <c r="F615" t="inlineStr">
        <is>
          <t>B01M68QBRU</t>
        </is>
      </c>
      <c r="G615">
        <f>_xludf.IMAGE("https://edmondsonsupply.com/cdn/shop/products/40229.jpg?v=1587146788")</f>
        <v/>
      </c>
      <c r="H615">
        <f>_xludf.IMAGE("https://m.media-amazon.com/images/I/61OBeXb4irL._AC_UL320_.jpg")</f>
        <v/>
      </c>
      <c r="K615" t="inlineStr">
        <is>
          <t>25.49</t>
        </is>
      </c>
      <c r="L615" t="n">
        <v>25.49</v>
      </c>
      <c r="M615" s="1" t="inlineStr">
        <is>
          <t>0.00%</t>
        </is>
      </c>
      <c r="N615" s="3" t="n">
        <v>1321.06</v>
      </c>
      <c r="O615" t="n">
        <v>3.9</v>
      </c>
      <c r="P615" t="n">
        <v>72</v>
      </c>
      <c r="R615" t="inlineStr">
        <is>
          <t>InStock</t>
        </is>
      </c>
      <c r="S615" t="inlineStr">
        <is>
          <t>36.94</t>
        </is>
      </c>
      <c r="T615" t="inlineStr">
        <is>
          <t>4414344560740</t>
        </is>
      </c>
    </row>
    <row r="616" ht="87" customHeight="1">
      <c r="A616" s="2">
        <f>HYPERLINK("https://edmondsonsupply.com/collections/personal-protection-safety/products/klein-tools-56064-klein-tools-%C2%AE-new-rechargeable-headlamp-offers-multiple-modes-to-fit-any-task", "https://edmondsonsupply.com/collections/personal-protection-safety/products/klein-tools-56064-klein-tools-%C2%AE-new-rechargeable-headlamp-offers-multiple-modes-to-fit-any-task")</f>
        <v/>
      </c>
      <c r="B616" s="2">
        <f>HYPERLINK("https://edmondsonsupply.com/products/klein-tools-56064-klein-tools-%c2%ae-new-rechargeable-headlamp-offers-multiple-modes-to-fit-any-task", "https://edmondsonsupply.com/products/klein-tools-56064-klein-tools-%c2%ae-new-rechargeable-headlamp-offers-multiple-modes-to-fit-any-task")</f>
        <v/>
      </c>
      <c r="C616" t="inlineStr">
        <is>
          <t>Klein Tools 56064 Rechargeable Headlamp with Silicone Strap, 400 Lumens, All-Day Runtime</t>
        </is>
      </c>
      <c r="D616" t="inlineStr">
        <is>
          <t>Klein Tools 56064 Rechargeable Auto-Off LED Headlamp, Silicone Strap, 400 lms, All-Day Runtime, for Work, Running, Outdoor Hiking, Camping</t>
        </is>
      </c>
      <c r="E616" s="2">
        <f>HYPERLINK("https://www.amazon.com/Klein-Tools-56064-Rechargeable-Auto-Off/dp/B08V5KZCM6/ref=sr_1_1?keywords=Klein+Tools+56064+Rechargeable+Headlamp+with+Silicone+Strap%2C+400+Lumens%2C+All-Day+Runtime&amp;qid=1694734510&amp;sr=8-1", "https://www.amazon.com/Klein-Tools-56064-Rechargeable-Auto-Off/dp/B08V5KZCM6/ref=sr_1_1?keywords=Klein+Tools+56064+Rechargeable+Headlamp+with+Silicone+Strap%2C+400+Lumens%2C+All-Day+Runtime&amp;qid=1694734510&amp;sr=8-1")</f>
        <v/>
      </c>
      <c r="F616" t="inlineStr">
        <is>
          <t>B08V5KZCM6</t>
        </is>
      </c>
      <c r="G616">
        <f>_xlfn.IMAGE("https://edmondsonsupply.com/cdn/shop/products/56064.png?v=1661362879")</f>
        <v/>
      </c>
      <c r="H616">
        <f>_xlfn.IMAGE("https://m.media-amazon.com/images/I/61XfkEMT74L._AC_UL320_.jpg")</f>
        <v/>
      </c>
      <c r="K616" t="inlineStr">
        <is>
          <t>39.97</t>
        </is>
      </c>
      <c r="L616" t="n">
        <v>39.97</v>
      </c>
      <c r="M616" s="1" t="inlineStr">
        <is>
          <t>0.00%</t>
        </is>
      </c>
      <c r="N616" s="8" t="n">
        <v>1317.57</v>
      </c>
      <c r="O616" t="n">
        <v>4.5</v>
      </c>
      <c r="P616" t="n">
        <v>396</v>
      </c>
      <c r="R616" t="inlineStr">
        <is>
          <t>InStock</t>
        </is>
      </c>
      <c r="S616" t="inlineStr">
        <is>
          <t>56.0</t>
        </is>
      </c>
      <c r="T616" t="inlineStr">
        <is>
          <t>7793129521368</t>
        </is>
      </c>
    </row>
    <row r="617" ht="87" customHeight="1">
      <c r="A617" s="2">
        <f>HYPERLINK("https://edmondsonsupply.com/collections/personal-protection-safety/products/klein-tools-55489-tradesman-pro%E2%84%A2-shoe-covers-x-large", "https://edmondsonsupply.com/collections/personal-protection-safety/products/klein-tools-55489-tradesman-pro%E2%84%A2-shoe-covers-x-large")</f>
        <v/>
      </c>
      <c r="B617" s="2">
        <f>HYPERLINK("https://edmondsonsupply.com/products/klein-tools-55489-tradesman-pro%e2%84%a2-shoe-covers-x-large", "https://edmondsonsupply.com/products/klein-tools-55489-tradesman-pro%e2%84%a2-shoe-covers-x-large")</f>
        <v/>
      </c>
      <c r="C617" t="inlineStr">
        <is>
          <t>Klein Tools 55489 Tradesman Pro™ Shoe Covers, X-Large</t>
        </is>
      </c>
      <c r="D617" t="inlineStr">
        <is>
          <t>Klein Tools 55489 Tradesman Pro Shoe Covers, X-Large</t>
        </is>
      </c>
      <c r="E617" s="2">
        <f>HYPERLINK("https://www.amazon.com/Tradesman-X-Large-Klein-Tools-55489/dp/B075ZVKW4Y/ref=sr_1_1?keywords=Klein+Tools+55489+Tradesman+Pro%E2%84%A2+Shoe+Covers%2C+X-Large&amp;qid=1694734521&amp;sr=8-1", "https://www.amazon.com/Tradesman-X-Large-Klein-Tools-55489/dp/B075ZVKW4Y/ref=sr_1_1?keywords=Klein+Tools+55489+Tradesman+Pro%E2%84%A2+Shoe+Covers%2C+X-Large&amp;qid=1694734521&amp;sr=8-1")</f>
        <v/>
      </c>
      <c r="F617" t="inlineStr">
        <is>
          <t>B075ZVKW4Y</t>
        </is>
      </c>
      <c r="G617">
        <f>_xlfn.IMAGE("https://edmondsonsupply.com/cdn/shop/products/55487_1d8bb2bb-33bb-4989-9b82-5a4c2ef2ce90.jpg?v=1587147816")</f>
        <v/>
      </c>
      <c r="H617">
        <f>_xlfn.IMAGE("https://m.media-amazon.com/images/I/71Sw-BaYREL._AC_UL320_.jpg")</f>
        <v/>
      </c>
      <c r="K617" t="inlineStr">
        <is>
          <t>17.99</t>
        </is>
      </c>
      <c r="L617" t="n">
        <v>17.99</v>
      </c>
      <c r="M617" s="1" t="inlineStr">
        <is>
          <t>0.00%</t>
        </is>
      </c>
      <c r="N617" s="8" t="n">
        <v>1261.03</v>
      </c>
      <c r="O617" t="n">
        <v>4.6</v>
      </c>
      <c r="P617" t="n">
        <v>256</v>
      </c>
      <c r="R617" t="inlineStr">
        <is>
          <t>InStock</t>
        </is>
      </c>
      <c r="S617" t="inlineStr">
        <is>
          <t>23.78</t>
        </is>
      </c>
      <c r="T617" t="inlineStr">
        <is>
          <t>4095115100260</t>
        </is>
      </c>
    </row>
    <row r="618" ht="87" customHeight="1">
      <c r="A618" s="2">
        <f>HYPERLINK("https://edmondsonsupply.com/collections/personal-protection-safety/products/klein-tools-40233-journeyman-wire-pulling-gloves-size-large", "https://edmondsonsupply.com/collections/personal-protection-safety/products/klein-tools-40233-journeyman-wire-pulling-gloves-size-large")</f>
        <v/>
      </c>
      <c r="B618" s="2">
        <f>HYPERLINK("https://edmondsonsupply.com/products/klein-tools-40233-journeyman-wire-pulling-gloves-size-large", "https://edmondsonsupply.com/products/klein-tools-40233-journeyman-wire-pulling-gloves-size-large")</f>
        <v/>
      </c>
      <c r="C618" t="inlineStr">
        <is>
          <t>Klein Tools 40233 Journeyman Wire Pulling Gloves, L</t>
        </is>
      </c>
      <c r="D618" t="inlineStr">
        <is>
          <t>Klein Tools 40233 Wire Pulling Gloves, Extra Grip Work Gloves with Thumb Reinforcements and Grip Patches on Palm and Fingertips, Large Black</t>
        </is>
      </c>
      <c r="E618" s="2">
        <f>HYPERLINK("https://www.amazon.com/Journeyman-Pulling-Klein-Tools-40233/dp/B01M5J5W1B/ref=sr_1_1?keywords=Klein+Tools+40233+Journeyman+Wire+Pulling+Gloves%2C+L&amp;qid=1694734521&amp;sr=8-1", "https://www.amazon.com/Journeyman-Pulling-Klein-Tools-40233/dp/B01M5J5W1B/ref=sr_1_1?keywords=Klein+Tools+40233+Journeyman+Wire+Pulling+Gloves%2C+L&amp;qid=1694734521&amp;sr=8-1")</f>
        <v/>
      </c>
      <c r="F618" t="inlineStr">
        <is>
          <t>B01M5J5W1B</t>
        </is>
      </c>
      <c r="G618">
        <f>_xlfn.IMAGE("https://edmondsonsupply.com/cdn/shop/products/40233.jpg?v=1587145378")</f>
        <v/>
      </c>
      <c r="H618">
        <f>_xlfn.IMAGE("https://m.media-amazon.com/images/I/61KtxlVqHIL._AC_UL320_.jpg")</f>
        <v/>
      </c>
      <c r="K618" t="inlineStr">
        <is>
          <t>19.97</t>
        </is>
      </c>
      <c r="L618" t="n">
        <v>19.97</v>
      </c>
      <c r="M618" s="1" t="inlineStr">
        <is>
          <t>0.00%</t>
        </is>
      </c>
      <c r="N618" s="8" t="n">
        <v>1243.7</v>
      </c>
      <c r="O618" t="n">
        <v>4.5</v>
      </c>
      <c r="P618" t="n">
        <v>316</v>
      </c>
      <c r="R618" t="inlineStr">
        <is>
          <t>InStock</t>
        </is>
      </c>
      <c r="S618" t="inlineStr">
        <is>
          <t>28.0</t>
        </is>
      </c>
      <c r="T618" t="inlineStr">
        <is>
          <t>2379566121060</t>
        </is>
      </c>
    </row>
    <row r="619" ht="87" customHeight="1">
      <c r="A619" s="2">
        <f>HYPERLINK("https://edmondsonsupply.com/collections/personal-protection-safety/products/klein-tools-40229-high-dexterity-touchscreen-gloves-m", "https://edmondsonsupply.com/collections/personal-protection-safety/products/klein-tools-40229-high-dexterity-touchscreen-gloves-m")</f>
        <v/>
      </c>
      <c r="B619" s="2">
        <f>HYPERLINK("https://edmondsonsupply.com/products/klein-tools-40229-high-dexterity-touchscreen-gloves-m", "https://edmondsonsupply.com/products/klein-tools-40229-high-dexterity-touchscreen-gloves-m")</f>
        <v/>
      </c>
      <c r="C619" t="inlineStr">
        <is>
          <t>Klein Tools 40229 High Dexterity Touchscreen Gloves, Medium</t>
        </is>
      </c>
      <c r="D619" t="inlineStr">
        <is>
          <t>Klein Tools 40229 High Dexterity Touchscreen Gloves, M</t>
        </is>
      </c>
      <c r="E619" s="2">
        <f>HYPERLINK("https://www.amazon.com/Dexterity-Touchscreen-Klein-Tools-40229/dp/B01M68QAAK/ref=sr_1_2?keywords=Klein+Tools+40229+High+Dexterity+Touchscreen+Gloves%2C+Medium&amp;qid=1694734524&amp;sr=8-2", "https://www.amazon.com/Dexterity-Touchscreen-Klein-Tools-40229/dp/B01M68QAAK/ref=sr_1_2?keywords=Klein+Tools+40229+High+Dexterity+Touchscreen+Gloves%2C+Medium&amp;qid=1694734524&amp;sr=8-2")</f>
        <v/>
      </c>
      <c r="F619" t="inlineStr">
        <is>
          <t>B01M68QAAK</t>
        </is>
      </c>
      <c r="G619">
        <f>_xlfn.IMAGE("https://edmondsonsupply.com/cdn/shop/products/40229.jpg?v=1587146788")</f>
        <v/>
      </c>
      <c r="H619">
        <f>_xlfn.IMAGE("https://m.media-amazon.com/images/I/51mom7WNCOL._AC_UL320_.jpg")</f>
        <v/>
      </c>
      <c r="K619" t="inlineStr">
        <is>
          <t>25.49</t>
        </is>
      </c>
      <c r="L619" t="n">
        <v>25.49</v>
      </c>
      <c r="M619" s="1" t="inlineStr">
        <is>
          <t>0.00%</t>
        </is>
      </c>
      <c r="N619" s="8" t="n">
        <v>1243.7</v>
      </c>
      <c r="O619" t="n">
        <v>4.3</v>
      </c>
      <c r="P619" t="n">
        <v>56</v>
      </c>
      <c r="R619" t="inlineStr">
        <is>
          <t>InStock</t>
        </is>
      </c>
      <c r="S619" t="inlineStr">
        <is>
          <t>36.94</t>
        </is>
      </c>
      <c r="T619" t="inlineStr">
        <is>
          <t>4414344560740</t>
        </is>
      </c>
    </row>
    <row r="620" ht="87" customHeight="1">
      <c r="A620" s="2">
        <f>HYPERLINK("https://edmondsonsupply.com/collections/personal-protection-safety/products/tajima-azs-rop-safety-rope%E2%84%A2", "https://edmondsonsupply.com/collections/personal-protection-safety/products/tajima-azs-rop-safety-rope%E2%84%A2")</f>
        <v/>
      </c>
      <c r="B620" s="2">
        <f>HYPERLINK("https://edmondsonsupply.com/products/tajima-azs-rop-safety-rope%e2%84%a2", "https://edmondsonsupply.com/products/tajima-azs-rop-safety-rope%e2%84%a2")</f>
        <v/>
      </c>
      <c r="C620" t="inlineStr">
        <is>
          <t>Tajima AZS-ROP SAFETY ROPE™ for Tape Measure</t>
        </is>
      </c>
      <c r="D620" t="inlineStr">
        <is>
          <t>TAJIMA AZS-ROP Safety Rope for Measuring Tape</t>
        </is>
      </c>
      <c r="E620" s="2">
        <f>HYPERLINK("https://www.amazon.com/TAJIMA-AZS-ROP-Safety-Rope-Measuring/dp/B07JZNFX1D/ref=sr_1_1?keywords=Tajima+AZS-ROP+SAFETY+ROPE%E2%84%A2+for+Tape+Measure&amp;qid=1694734476&amp;sr=8-1", "https://www.amazon.com/TAJIMA-AZS-ROP-Safety-Rope-Measuring/dp/B07JZNFX1D/ref=sr_1_1?keywords=Tajima+AZS-ROP+SAFETY+ROPE%E2%84%A2+for+Tape+Measure&amp;qid=1694734476&amp;sr=8-1")</f>
        <v/>
      </c>
      <c r="F620" t="inlineStr">
        <is>
          <t>B07JZNFX1D</t>
        </is>
      </c>
      <c r="G620">
        <f>_xlfn.IMAGE("https://edmondsonsupply.com/cdn/shop/files/AZS-ROP.jpg?v=1693506139")</f>
        <v/>
      </c>
      <c r="H620">
        <f>_xlfn.IMAGE("https://m.media-amazon.com/images/I/31lq7AazHdL._AC_UL320_.jpg")</f>
        <v/>
      </c>
      <c r="K620" t="inlineStr">
        <is>
          <t>16.43</t>
        </is>
      </c>
      <c r="L620" t="n">
        <v>16.43</v>
      </c>
      <c r="M620" s="1" t="inlineStr">
        <is>
          <t>0.00%</t>
        </is>
      </c>
      <c r="N620" s="8" t="n">
        <v>1232.67</v>
      </c>
      <c r="O620" t="n">
        <v>4.9</v>
      </c>
      <c r="P620" t="n">
        <v>9</v>
      </c>
      <c r="R620" t="inlineStr">
        <is>
          <t>InStock</t>
        </is>
      </c>
      <c r="S620" t="inlineStr">
        <is>
          <t>undefined</t>
        </is>
      </c>
      <c r="T620" t="inlineStr">
        <is>
          <t>8032826360024</t>
        </is>
      </c>
    </row>
    <row r="621" hidden="1" ht="15.75" customHeight="1">
      <c r="A621" s="2">
        <f>HYPERLINK("https://edmondsonsupply.com/collections/personal-protection-safety/products/klein-tools-60162-professional-safety-glasses-gray-lens", "https://edmondsonsupply.com/collections/personal-protection-safety/products/klein-tools-60162-professional-safety-glasses-gray-lens")</f>
        <v/>
      </c>
      <c r="B621" s="2">
        <f>HYPERLINK("https://edmondsonsupply.com/products/klein-tools-60162-professional-safety-glasses-gray-lens", "https://edmondsonsupply.com/products/klein-tools-60162-professional-safety-glasses-gray-lens")</f>
        <v/>
      </c>
      <c r="C621" t="inlineStr">
        <is>
          <t>Klein Tools 60162 Professional Safety Glasses, Gray Lens</t>
        </is>
      </c>
      <c r="D621" t="inlineStr">
        <is>
          <t>Klein Tools 60162 Safety Glasses, Professional PPE Protective Eyewear with Semi Frame, Scratch Resistant and Anti-Fog, Gray Lens</t>
        </is>
      </c>
      <c r="E621" s="2">
        <f>HYPERLINK("https://www.amazon.com/Klein-60162-Professional-Protective-Resistant/dp/B08B47MGR6/ref=sr_1_1?keywords=Klein+Tools+60162+Professional+Safety+Glasses%2C+Gray+Lens&amp;qid=1694734505&amp;sr=8-1", "https://www.amazon.com/Klein-60162-Professional-Protective-Resistant/dp/B08B47MGR6/ref=sr_1_1?keywords=Klein+Tools+60162+Professional+Safety+Glasses%2C+Gray+Lens&amp;qid=1694734505&amp;sr=8-1")</f>
        <v/>
      </c>
      <c r="F621" t="inlineStr">
        <is>
          <t>B08B47MGR6</t>
        </is>
      </c>
      <c r="G621">
        <f>_xludf.IMAGE("https://edmondsonsupply.com/cdn/shop/products/60162.jpg?v=1633030847")</f>
        <v/>
      </c>
      <c r="H621">
        <f>_xludf.IMAGE("https://m.media-amazon.com/images/I/51MQyUmXnZL._AC_UL320_.jpg")</f>
        <v/>
      </c>
      <c r="K621" t="inlineStr">
        <is>
          <t>12.99</t>
        </is>
      </c>
      <c r="L621" t="n">
        <v>12.99</v>
      </c>
      <c r="M621" s="1" t="inlineStr">
        <is>
          <t>0.00%</t>
        </is>
      </c>
      <c r="N621" s="3" t="n">
        <v>1206.72</v>
      </c>
      <c r="O621" t="n">
        <v>4.4</v>
      </c>
      <c r="P621" t="n">
        <v>371</v>
      </c>
      <c r="R621" t="inlineStr">
        <is>
          <t>InStock</t>
        </is>
      </c>
      <c r="S621" t="inlineStr">
        <is>
          <t>18.0</t>
        </is>
      </c>
      <c r="T621" t="inlineStr">
        <is>
          <t>6092128747693</t>
        </is>
      </c>
    </row>
    <row r="622" ht="87" customHeight="1">
      <c r="A622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622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622" t="inlineStr">
        <is>
          <t>Klein Tools 60470 Professional Full-Frame Gasket Safety Glasses, Clear Lens</t>
        </is>
      </c>
      <c r="D622" t="inlineStr">
        <is>
          <t>Klein Tools 60471 Safety Glasses, ANSI Z87.1+ Pro Full Frame Gasket Safety Glasses, Gray Lens, UV Protection, Anti-Fog, Scratch Resistant</t>
        </is>
      </c>
      <c r="E622" s="2">
        <f>HYPERLINK("https://www.amazon.com/Klein-60471-Protection-Anti-Fog-Resistant/dp/B0B69LNT2Y/ref=sr_1_3?keywords=Klein+Tools+60470+Professional+Full-Frame+Gasket+Safety+Glasses%2C+Clear+Lens&amp;qid=1694734484&amp;sr=8-3", "https://www.amazon.com/Klein-60471-Protection-Anti-Fog-Resistant/dp/B0B69LNT2Y/ref=sr_1_3?keywords=Klein+Tools+60470+Professional+Full-Frame+Gasket+Safety+Glasses%2C+Clear+Lens&amp;qid=1694734484&amp;sr=8-3")</f>
        <v/>
      </c>
      <c r="F622" t="inlineStr">
        <is>
          <t>B0B69LNT2Y</t>
        </is>
      </c>
      <c r="G622">
        <f>_xlfn.IMAGE("https://edmondsonsupply.com/cdn/shop/products/60470.jpg?v=1663260659")</f>
        <v/>
      </c>
      <c r="H622">
        <f>_xlfn.IMAGE("https://m.media-amazon.com/images/I/51z-a2tdJlL._AC_UL320_.jpg")</f>
        <v/>
      </c>
      <c r="K622" t="inlineStr">
        <is>
          <t>15.99</t>
        </is>
      </c>
      <c r="L622" t="n">
        <v>15.99</v>
      </c>
      <c r="M622" s="1" t="inlineStr">
        <is>
          <t>0.00%</t>
        </is>
      </c>
      <c r="N622" s="8" t="n">
        <v>1172.27</v>
      </c>
      <c r="O622" t="n">
        <v>4.4</v>
      </c>
      <c r="P622" t="n">
        <v>49</v>
      </c>
      <c r="R622" t="inlineStr">
        <is>
          <t>InStock</t>
        </is>
      </c>
      <c r="S622" t="inlineStr">
        <is>
          <t>21.98</t>
        </is>
      </c>
      <c r="T622" t="inlineStr">
        <is>
          <t>7817690677464</t>
        </is>
      </c>
    </row>
    <row r="623" ht="87" customHeight="1">
      <c r="A623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623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623" t="inlineStr">
        <is>
          <t>Klein Tools 60471 Professional Full-Frame Gasket Safety Glasses, Gray Lens</t>
        </is>
      </c>
      <c r="D623" t="inlineStr">
        <is>
          <t>Klein Tools 60471 Safety Glasses, ANSI Z87.1+ Pro Full Frame Gasket Safety Glasses, Gray Lens, UV Protection, Anti-Fog, Scratch Resistant</t>
        </is>
      </c>
      <c r="E623" s="2">
        <f>HYPERLINK("https://www.amazon.com/Klein-60471-Protection-Anti-Fog-Resistant/dp/B0B69LNT2Y/ref=sr_1_1?keywords=Klein+Tools+60471+Professional+Full-Frame+Gasket+Safety+Glasses%2C+Gray+Lens&amp;qid=1694734489&amp;sr=8-1", "https://www.amazon.com/Klein-60471-Protection-Anti-Fog-Resistant/dp/B0B69LNT2Y/ref=sr_1_1?keywords=Klein+Tools+60471+Professional+Full-Frame+Gasket+Safety+Glasses%2C+Gray+Lens&amp;qid=1694734489&amp;sr=8-1")</f>
        <v/>
      </c>
      <c r="F623" t="inlineStr">
        <is>
          <t>B0B69LNT2Y</t>
        </is>
      </c>
      <c r="G623">
        <f>_xlfn.IMAGE("https://edmondsonsupply.com/cdn/shop/products/60471.jpg?v=1663257501")</f>
        <v/>
      </c>
      <c r="H623">
        <f>_xlfn.IMAGE("https://m.media-amazon.com/images/I/51z-a2tdJlL._AC_UL320_.jpg")</f>
        <v/>
      </c>
      <c r="K623" t="inlineStr">
        <is>
          <t>15.99</t>
        </is>
      </c>
      <c r="L623" t="n">
        <v>15.99</v>
      </c>
      <c r="M623" s="1" t="inlineStr">
        <is>
          <t>0.00%</t>
        </is>
      </c>
      <c r="N623" s="8" t="n">
        <v>1110.15</v>
      </c>
      <c r="O623" t="n">
        <v>4.4</v>
      </c>
      <c r="P623" t="n">
        <v>49</v>
      </c>
      <c r="R623" t="inlineStr">
        <is>
          <t>InStock</t>
        </is>
      </c>
      <c r="S623" t="inlineStr">
        <is>
          <t>21.98</t>
        </is>
      </c>
      <c r="T623" t="inlineStr">
        <is>
          <t>7817587785944</t>
        </is>
      </c>
    </row>
    <row r="624" ht="87" customHeight="1">
      <c r="A624" s="2">
        <f>HYPERLINK("https://edmondsonsupply.com/collections/personal-protection-safety/products/klein-tools-60491-heavy-duty-hinged-knee-pads", "https://edmondsonsupply.com/collections/personal-protection-safety/products/klein-tools-60491-heavy-duty-hinged-knee-pads")</f>
        <v/>
      </c>
      <c r="B624" s="2">
        <f>HYPERLINK("https://edmondsonsupply.com/products/klein-tools-60491-heavy-duty-hinged-knee-pads", "https://edmondsonsupply.com/products/klein-tools-60491-heavy-duty-hinged-knee-pads")</f>
        <v/>
      </c>
      <c r="C624" t="inlineStr">
        <is>
          <t>Klein Tools 60491 Heavy Duty Hinged Knee Pads</t>
        </is>
      </c>
      <c r="D624" t="inlineStr">
        <is>
          <t>Klein Tools 60491 Hinged Knee Pads, Heavy Duty Gel Foam Protective Knee Pads with Quick-Fasten Buckle and Thigh Strap, Black</t>
        </is>
      </c>
      <c r="E624" s="2">
        <f>HYPERLINK("https://www.amazon.com/Klein-Tools-60491-Protective-Quick-Fasten/dp/B0BHXBMBHP/ref=sr_1_1?keywords=Klein+Tools+60491+Heavy+Duty+Hinged+Knee+Pads&amp;qid=1694734494&amp;sr=8-1", "https://www.amazon.com/Klein-Tools-60491-Protective-Quick-Fasten/dp/B0BHXBMBHP/ref=sr_1_1?keywords=Klein+Tools+60491+Heavy+Duty+Hinged+Knee+Pads&amp;qid=1694734494&amp;sr=8-1")</f>
        <v/>
      </c>
      <c r="F624" t="inlineStr">
        <is>
          <t>B0BHXBMBHP</t>
        </is>
      </c>
      <c r="G624">
        <f>_xlfn.IMAGE("https://edmondsonsupply.com/cdn/shop/products/60491.jpg?v=1667324200")</f>
        <v/>
      </c>
      <c r="H624">
        <f>_xlfn.IMAGE("https://m.media-amazon.com/images/I/718i4PDcjnL._AC_UL320_.jpg")</f>
        <v/>
      </c>
      <c r="K624" t="inlineStr">
        <is>
          <t>49.97</t>
        </is>
      </c>
      <c r="L624" t="n">
        <v>49.97</v>
      </c>
      <c r="M624" s="1" t="inlineStr">
        <is>
          <t>0.00%</t>
        </is>
      </c>
      <c r="N624" s="8" t="n">
        <v>1047.97</v>
      </c>
      <c r="O624" t="n">
        <v>4.4</v>
      </c>
      <c r="P624" t="n">
        <v>286</v>
      </c>
      <c r="R624" t="inlineStr">
        <is>
          <t>InStock</t>
        </is>
      </c>
      <c r="S624" t="inlineStr">
        <is>
          <t>69.98</t>
        </is>
      </c>
      <c r="T624" t="inlineStr">
        <is>
          <t>7872437092568</t>
        </is>
      </c>
    </row>
    <row r="625" ht="87" customHeight="1">
      <c r="A625" s="2">
        <f>HYPERLINK("https://edmondsonsupply.com/collections/personal-protection-safety/products/klein-tools-40231-high-dexterity-touchscreen-gloves-xl", "https://edmondsonsupply.com/collections/personal-protection-safety/products/klein-tools-40231-high-dexterity-touchscreen-gloves-xl")</f>
        <v/>
      </c>
      <c r="B625" s="2">
        <f>HYPERLINK("https://edmondsonsupply.com/products/klein-tools-40231-high-dexterity-touchscreen-gloves-xl", "https://edmondsonsupply.com/products/klein-tools-40231-high-dexterity-touchscreen-gloves-xl")</f>
        <v/>
      </c>
      <c r="C625" t="inlineStr">
        <is>
          <t>Klein Tools 40231 High Dexterity Touchscreen Gloves, XL</t>
        </is>
      </c>
      <c r="D625" t="inlineStr">
        <is>
          <t>Klein Tools 40229 High Dexterity Touchscreen Gloves, M</t>
        </is>
      </c>
      <c r="E625" s="2">
        <f>HYPERLINK("https://www.amazon.com/Dexterity-Touchscreen-Klein-Tools-40229/dp/B01M68QAAK/ref=sr_1_2?keywords=Klein+Tools+40231+High+Dexterity+Touchscreen+Gloves%2C+XL&amp;qid=1694734490&amp;sr=8-2", "https://www.amazon.com/Dexterity-Touchscreen-Klein-Tools-40229/dp/B01M68QAAK/ref=sr_1_2?keywords=Klein+Tools+40231+High+Dexterity+Touchscreen+Gloves%2C+XL&amp;qid=1694734490&amp;sr=8-2")</f>
        <v/>
      </c>
      <c r="F625" t="inlineStr">
        <is>
          <t>B01M68QAAK</t>
        </is>
      </c>
      <c r="G625">
        <f>_xlfn.IMAGE("https://edmondsonsupply.com/cdn/shop/products/40229_4ec43165-0eee-409f-b3e3-e0a2ee54b953.jpg?v=1659397421")</f>
        <v/>
      </c>
      <c r="H625">
        <f>_xlfn.IMAGE("https://m.media-amazon.com/images/I/51mom7WNCOL._AC_UL320_.jpg")</f>
        <v/>
      </c>
      <c r="K625" t="inlineStr">
        <is>
          <t>25.49</t>
        </is>
      </c>
      <c r="L625" t="n">
        <v>25.49</v>
      </c>
      <c r="M625" s="1" t="inlineStr">
        <is>
          <t>0.00%</t>
        </is>
      </c>
      <c r="N625" s="8" t="n">
        <v>1031.83</v>
      </c>
      <c r="O625" t="n">
        <v>4.3</v>
      </c>
      <c r="P625" t="n">
        <v>56</v>
      </c>
      <c r="R625" t="inlineStr">
        <is>
          <t>InStock</t>
        </is>
      </c>
      <c r="S625" t="inlineStr">
        <is>
          <t>36.94</t>
        </is>
      </c>
      <c r="T625" t="inlineStr">
        <is>
          <t>7769502974168</t>
        </is>
      </c>
    </row>
    <row r="626" hidden="1" ht="15.75" customHeight="1">
      <c r="A626" s="2">
        <f>HYPERLINK("https://edmondsonsupply.com/collections/personal-protection-safety/products/klein-tools-40231-high-dexterity-touchscreen-gloves-xl", "https://edmondsonsupply.com/collections/personal-protection-safety/products/klein-tools-40231-high-dexterity-touchscreen-gloves-xl")</f>
        <v/>
      </c>
      <c r="B626" s="2">
        <f>HYPERLINK("https://edmondsonsupply.com/products/klein-tools-40231-high-dexterity-touchscreen-gloves-xl", "https://edmondsonsupply.com/products/klein-tools-40231-high-dexterity-touchscreen-gloves-xl")</f>
        <v/>
      </c>
      <c r="C626" t="inlineStr">
        <is>
          <t>Klein Tools 40231 High Dexterity Touchscreen Gloves, XL</t>
        </is>
      </c>
      <c r="D626" t="inlineStr">
        <is>
          <t>Klein Tools 40231 High Dexterity Touchscreen Gloves, XL,Black</t>
        </is>
      </c>
      <c r="E626" s="2">
        <f>HYPERLINK("https://www.amazon.com/Dexterity-Touchscreen-Klein-Tools-40231/dp/B01M5G3WA7/ref=sr_1_1?keywords=Klein+Tools+40231+High+Dexterity+Touchscreen+Gloves%2C+XL&amp;qid=1694734490&amp;sr=8-1", "https://www.amazon.com/Dexterity-Touchscreen-Klein-Tools-40231/dp/B01M5G3WA7/ref=sr_1_1?keywords=Klein+Tools+40231+High+Dexterity+Touchscreen+Gloves%2C+XL&amp;qid=1694734490&amp;sr=8-1")</f>
        <v/>
      </c>
      <c r="F626" t="inlineStr">
        <is>
          <t>B01M5G3WA7</t>
        </is>
      </c>
      <c r="G626">
        <f>_xludf.IMAGE("https://edmondsonsupply.com/cdn/shop/products/40229_4ec43165-0eee-409f-b3e3-e0a2ee54b953.jpg?v=1659397421")</f>
        <v/>
      </c>
      <c r="H626">
        <f>_xludf.IMAGE("https://m.media-amazon.com/images/I/61OBeXb4irL._AC_UL320_.jpg")</f>
        <v/>
      </c>
      <c r="K626" t="inlineStr">
        <is>
          <t>25.49</t>
        </is>
      </c>
      <c r="L626" t="n">
        <v>25.49</v>
      </c>
      <c r="M626" s="1" t="inlineStr">
        <is>
          <t>0.00%</t>
        </is>
      </c>
      <c r="N626" s="3" t="n">
        <v>1022.07</v>
      </c>
      <c r="O626" t="n">
        <v>3.9</v>
      </c>
      <c r="P626" t="n">
        <v>72</v>
      </c>
      <c r="R626" t="inlineStr">
        <is>
          <t>InStock</t>
        </is>
      </c>
      <c r="S626" t="inlineStr">
        <is>
          <t>36.94</t>
        </is>
      </c>
      <c r="T626" t="inlineStr">
        <is>
          <t>7769502974168</t>
        </is>
      </c>
    </row>
    <row r="627" hidden="1" ht="15.75" customHeight="1">
      <c r="A627" s="2">
        <f>HYPERLINK("https://edmondsonsupply.com/collections/personal-protection-safety/products/klein-tools-60442-reusable-face-mask-with-replaceable-filters", "https://edmondsonsupply.com/collections/personal-protection-safety/products/klein-tools-60442-reusable-face-mask-with-replaceable-filters")</f>
        <v/>
      </c>
      <c r="B627" s="2">
        <f>HYPERLINK("https://edmondsonsupply.com/products/klein-tools-60442-reusable-face-mask-with-replaceable-filters", "https://edmondsonsupply.com/products/klein-tools-60442-reusable-face-mask-with-replaceable-filters")</f>
        <v/>
      </c>
      <c r="C627" t="inlineStr">
        <is>
          <t>Klein Tools 60442 Reusable Face Mask with Replaceable Filters</t>
        </is>
      </c>
      <c r="D627" t="inlineStr">
        <is>
          <t>Klein Tools 60442 Face Mask, Reusable with Replaceable Filter, Washable Fabric Anti Pollution Shield Mask, Adjustable Nose Clip</t>
        </is>
      </c>
      <c r="E627" s="2">
        <f>HYPERLINK("https://www.amazon.com/Klein-Tools-60442-Replaceable-Adjustable/dp/B08P3TF8LJ/ref=sr_1_1?keywords=Klein+Tools+60442+Reusable+Face+Mask+with+Replaceable+Filters&amp;qid=1694734492&amp;sr=8-1", "https://www.amazon.com/Klein-Tools-60442-Replaceable-Adjustable/dp/B08P3TF8LJ/ref=sr_1_1?keywords=Klein+Tools+60442+Reusable+Face+Mask+with+Replaceable+Filters&amp;qid=1694734492&amp;sr=8-1")</f>
        <v/>
      </c>
      <c r="F627" t="inlineStr">
        <is>
          <t>B08P3TF8LJ</t>
        </is>
      </c>
      <c r="G627">
        <f>_xludf.IMAGE("https://edmondsonsupply.com/cdn/shop/products/60442.jpg?v=1659117463")</f>
        <v/>
      </c>
      <c r="H627">
        <f>_xludf.IMAGE("https://m.media-amazon.com/images/I/71k4fEShtZL._AC_UL320_.jpg")</f>
        <v/>
      </c>
      <c r="K627" t="inlineStr">
        <is>
          <t>14.99</t>
        </is>
      </c>
      <c r="L627" t="n">
        <v>14.99</v>
      </c>
      <c r="M627" s="1" t="inlineStr">
        <is>
          <t>0.00%</t>
        </is>
      </c>
      <c r="N627" s="1" t="n">
        <v>980.41</v>
      </c>
      <c r="O627" t="n">
        <v>4.3</v>
      </c>
      <c r="P627" t="n">
        <v>166</v>
      </c>
      <c r="R627" t="inlineStr">
        <is>
          <t>InStock</t>
        </is>
      </c>
      <c r="S627" t="inlineStr">
        <is>
          <t>21.0</t>
        </is>
      </c>
      <c r="T627" t="inlineStr">
        <is>
          <t>7766586228952</t>
        </is>
      </c>
    </row>
    <row r="628" hidden="1" ht="15.75" customHeight="1">
      <c r="A628" s="2">
        <f>HYPERLINK("https://edmondsonsupply.com/collections/personal-protection-safety/products/klein-tools-60619-winter-thermal-gloves-m", "https://edmondsonsupply.com/collections/personal-protection-safety/products/klein-tools-60619-winter-thermal-gloves-m")</f>
        <v/>
      </c>
      <c r="B628" s="2">
        <f>HYPERLINK("https://edmondsonsupply.com/products/klein-tools-60619-winter-thermal-gloves-m", "https://edmondsonsupply.com/products/klein-tools-60619-winter-thermal-gloves-m")</f>
        <v/>
      </c>
      <c r="C628" t="inlineStr">
        <is>
          <t>Klein Tools 60619 Winter Thermal Gloves, M</t>
        </is>
      </c>
      <c r="D628" t="inlineStr">
        <is>
          <t>Klein Tools 60619 Gloves, Thinsulate Lined Thermal Winter Weather Work Gloves, Hook and Loop Wrist Closure, Knit Orange/Black Fabric, Medium</t>
        </is>
      </c>
      <c r="E628" s="2">
        <f>HYPERLINK("https://www.amazon.com/Klein-Tools-60619-Thinsulate-Thermal/dp/B0BPF4V69H/ref=sr_1_1?keywords=Klein+Tools+60619+Winter+Thermal+Gloves%2C+M&amp;qid=1694734491&amp;sr=8-1", "https://www.amazon.com/Klein-Tools-60619-Thinsulate-Thermal/dp/B0BPF4V69H/ref=sr_1_1?keywords=Klein+Tools+60619+Winter+Thermal+Gloves%2C+M&amp;qid=1694734491&amp;sr=8-1")</f>
        <v/>
      </c>
      <c r="F628" t="inlineStr">
        <is>
          <t>B0BPF4V69H</t>
        </is>
      </c>
      <c r="G628">
        <f>_xludf.IMAGE("https://edmondsonsupply.com/cdn/shop/products/60619.jpg?v=1674497643")</f>
        <v/>
      </c>
      <c r="H628">
        <f>_xludf.IMAGE("https://m.media-amazon.com/images/I/71yZfwKNZWL._AC_UL320_.jpg")</f>
        <v/>
      </c>
      <c r="K628" t="inlineStr">
        <is>
          <t>24.99</t>
        </is>
      </c>
      <c r="L628" t="n">
        <v>24.99</v>
      </c>
      <c r="M628" s="1" t="inlineStr">
        <is>
          <t>0.00%</t>
        </is>
      </c>
      <c r="N628" s="1" t="n">
        <v>963.46</v>
      </c>
      <c r="O628" t="n">
        <v>4</v>
      </c>
      <c r="P628" t="n">
        <v>2</v>
      </c>
      <c r="R628" t="inlineStr">
        <is>
          <t>InStock</t>
        </is>
      </c>
      <c r="S628" t="inlineStr">
        <is>
          <t>34.98</t>
        </is>
      </c>
      <c r="T628" t="inlineStr">
        <is>
          <t>7931953512664</t>
        </is>
      </c>
    </row>
    <row r="629" ht="87" customHeight="1">
      <c r="A629" s="2">
        <f>HYPERLINK("https://edmondsonsupply.com/collections/personal-protection-safety/products/klein-tools-60511-heavy-duty-knee-pad-sleeves-m-l", "https://edmondsonsupply.com/collections/personal-protection-safety/products/klein-tools-60511-heavy-duty-knee-pad-sleeves-m-l")</f>
        <v/>
      </c>
      <c r="B629" s="2">
        <f>HYPERLINK("https://edmondsonsupply.com/products/klein-tools-60511-heavy-duty-knee-pad-sleeves-m-l", "https://edmondsonsupply.com/products/klein-tools-60511-heavy-duty-knee-pad-sleeves-m-l")</f>
        <v/>
      </c>
      <c r="C629" t="inlineStr">
        <is>
          <t>Klein Tools 60511 Heavy Duty Knee Pad Sleeves, M/L</t>
        </is>
      </c>
      <c r="D629" t="inlineStr">
        <is>
          <t>Klein Tools 60511 Knee Pad, Heavy Duty Padded Knee Sleeves, Breathable Mesh Back, Elastic Cuff with Slip-Resistant Silicone, Black, M/L</t>
        </is>
      </c>
      <c r="E629" s="2">
        <f>HYPERLINK("https://www.amazon.com/Klein-Tools-60511-Breathable-Slip-Resistant/dp/B0B7Z7YH75/ref=sr_1_1?keywords=Klein+Tools+60511+Heavy+Duty+Knee+Pad+Sleeves%2C+M%2FL&amp;qid=1694734490&amp;sr=8-1", "https://www.amazon.com/Klein-Tools-60511-Breathable-Slip-Resistant/dp/B0B7Z7YH75/ref=sr_1_1?keywords=Klein+Tools+60511+Heavy+Duty+Knee+Pad+Sleeves%2C+M%2FL&amp;qid=1694734490&amp;sr=8-1")</f>
        <v/>
      </c>
      <c r="F629" t="inlineStr">
        <is>
          <t>B0B7Z7YH75</t>
        </is>
      </c>
      <c r="G629">
        <f>_xlfn.IMAGE("https://edmondsonsupply.com/cdn/shop/products/60511_60611_b.jpg?v=1663253024")</f>
        <v/>
      </c>
      <c r="H629">
        <f>_xlfn.IMAGE("https://m.media-amazon.com/images/I/61GkRqPok+L._AC_UL320_.jpg")</f>
        <v/>
      </c>
      <c r="K629" t="inlineStr">
        <is>
          <t>39.99</t>
        </is>
      </c>
      <c r="L629" t="n">
        <v>39.99</v>
      </c>
      <c r="M629" s="1" t="inlineStr">
        <is>
          <t>0.00%</t>
        </is>
      </c>
      <c r="N629" s="7" t="n">
        <v>959.59</v>
      </c>
      <c r="O629" t="n">
        <v>4.2</v>
      </c>
      <c r="P629" t="n">
        <v>315</v>
      </c>
      <c r="R629" t="inlineStr">
        <is>
          <t>InStock</t>
        </is>
      </c>
      <c r="S629" t="inlineStr">
        <is>
          <t>55.98</t>
        </is>
      </c>
      <c r="T629" t="inlineStr">
        <is>
          <t>7817486074072</t>
        </is>
      </c>
    </row>
    <row r="630" ht="87" customHeight="1">
      <c r="A630" s="2">
        <f>HYPERLINK("https://edmondsonsupply.com/collections/personal-protection-safety/products/klein-tools-40234-journeyman-wire-pulling-gloves-xl", "https://edmondsonsupply.com/collections/personal-protection-safety/products/klein-tools-40234-journeyman-wire-pulling-gloves-xl")</f>
        <v/>
      </c>
      <c r="B630" s="2">
        <f>HYPERLINK("https://edmondsonsupply.com/products/klein-tools-40234-journeyman-wire-pulling-gloves-xl", "https://edmondsonsupply.com/products/klein-tools-40234-journeyman-wire-pulling-gloves-xl")</f>
        <v/>
      </c>
      <c r="C630" t="inlineStr">
        <is>
          <t>Klein Tools 40234 Journeyman Wire Pulling Gloves, XL</t>
        </is>
      </c>
      <c r="D630" t="inlineStr">
        <is>
          <t>Klein Tools 40234 Wire Pulling Gloves, Extra Grip Work Gloves with Thumb Reinforcements and Grip Patches on Palm and Fingertips, Extra Large,Black</t>
        </is>
      </c>
      <c r="E630" s="2">
        <f>HYPERLINK("https://www.amazon.com/Journeyman-Pulling-Klein-Tools-40234/dp/B01MQCC9IZ/ref=sr_1_1?keywords=Klein+Tools+40234+Journeyman+Wire+Pulling+Gloves%2C+XL&amp;qid=1694734487&amp;sr=8-1", "https://www.amazon.com/Journeyman-Pulling-Klein-Tools-40234/dp/B01MQCC9IZ/ref=sr_1_1?keywords=Klein+Tools+40234+Journeyman+Wire+Pulling+Gloves%2C+XL&amp;qid=1694734487&amp;sr=8-1")</f>
        <v/>
      </c>
      <c r="F630" t="inlineStr">
        <is>
          <t>B01MQCC9IZ</t>
        </is>
      </c>
      <c r="G630">
        <f>_xlfn.IMAGE("https://edmondsonsupply.com/cdn/shop/products/40234.jpg?v=1664126527")</f>
        <v/>
      </c>
      <c r="H630">
        <f>_xlfn.IMAGE("https://m.media-amazon.com/images/I/61KtxlVqHIL._AC_UL320_.jpg")</f>
        <v/>
      </c>
      <c r="K630" t="inlineStr">
        <is>
          <t>19.97</t>
        </is>
      </c>
      <c r="L630" t="n">
        <v>19.97</v>
      </c>
      <c r="M630" s="1" t="inlineStr">
        <is>
          <t>0.00%</t>
        </is>
      </c>
      <c r="N630" s="7" t="n">
        <v>950.6799999999999</v>
      </c>
      <c r="O630" t="n">
        <v>4.5</v>
      </c>
      <c r="P630" t="n">
        <v>316</v>
      </c>
      <c r="R630" t="inlineStr">
        <is>
          <t>InStock</t>
        </is>
      </c>
      <c r="S630" t="inlineStr">
        <is>
          <t>28.0</t>
        </is>
      </c>
      <c r="T630" t="inlineStr">
        <is>
          <t>7829475950808</t>
        </is>
      </c>
    </row>
    <row r="631" ht="87" customHeight="1">
      <c r="A631" s="2">
        <f>HYPERLINK("https://edmondsonsupply.com/collections/personal-protection-safety/products/klein-tools-6050350-corded-earplugs-50-pair-dispenser-pack", "https://edmondsonsupply.com/collections/personal-protection-safety/products/klein-tools-6050350-corded-earplugs-50-pair-dispenser-pack")</f>
        <v/>
      </c>
      <c r="B631" s="2">
        <f>HYPERLINK("https://edmondsonsupply.com/products/klein-tools-6050350-corded-earplugs-50-pair-dispenser-pack", "https://edmondsonsupply.com/products/klein-tools-6050350-corded-earplugs-50-pair-dispenser-pack")</f>
        <v/>
      </c>
      <c r="C631" t="inlineStr">
        <is>
          <t>Klein Tools 6050350 Corded Earplugs, 50-Pair Dispenser Pack</t>
        </is>
      </c>
      <c r="D631" t="inlineStr">
        <is>
          <t>Klein Tools 6050350 Corded Earplugs, 25dB NRR, Reusable Orange, with Dispenser Box, for Construction, Shooting and Hunting, 50-Pack</t>
        </is>
      </c>
      <c r="E631" s="2">
        <f>HYPERLINK("https://www.amazon.com/Klein-Tools-6050350-Dispenser-Construction/dp/B0BSXS7PQ4/ref=sr_1_1?keywords=Klein+Tools+6050350+Corded+Earplugs%2C+50-Pair+Dispenser+Pack&amp;qid=1694734490&amp;sr=8-1", "https://www.amazon.com/Klein-Tools-6050350-Dispenser-Construction/dp/B0BSXS7PQ4/ref=sr_1_1?keywords=Klein+Tools+6050350+Corded+Earplugs%2C+50-Pair+Dispenser+Pack&amp;qid=1694734490&amp;sr=8-1")</f>
        <v/>
      </c>
      <c r="F631" t="inlineStr">
        <is>
          <t>B0BSXS7PQ4</t>
        </is>
      </c>
      <c r="G631">
        <f>_xlfn.IMAGE("https://edmondsonsupply.com/cdn/shop/products/6050350.jpg?v=1677684633")</f>
        <v/>
      </c>
      <c r="H631">
        <f>_xlfn.IMAGE("https://m.media-amazon.com/images/I/6196swgyHPL._AC_UL320_.jpg")</f>
        <v/>
      </c>
      <c r="K631" t="inlineStr">
        <is>
          <t>29.99</t>
        </is>
      </c>
      <c r="L631" t="n">
        <v>29.99</v>
      </c>
      <c r="M631" s="1" t="inlineStr">
        <is>
          <t>0.00%</t>
        </is>
      </c>
      <c r="N631" s="7" t="n">
        <v>923.45</v>
      </c>
      <c r="O631" t="n">
        <v>4.4</v>
      </c>
      <c r="P631" t="n">
        <v>14</v>
      </c>
      <c r="R631" t="inlineStr">
        <is>
          <t>InStock</t>
        </is>
      </c>
      <c r="S631" t="inlineStr">
        <is>
          <t>41.98</t>
        </is>
      </c>
      <c r="T631" t="inlineStr">
        <is>
          <t>7953969840344</t>
        </is>
      </c>
    </row>
    <row r="632" ht="87" customHeight="1">
      <c r="A632" s="2">
        <f>HYPERLINK("https://edmondsonsupply.com/collections/personal-protection-safety/products/klein-tools-60492-lightweight-knee-pad-sleeves-m-l", "https://edmondsonsupply.com/collections/personal-protection-safety/products/klein-tools-60492-lightweight-knee-pad-sleeves-m-l")</f>
        <v/>
      </c>
      <c r="B632" s="2">
        <f>HYPERLINK("https://edmondsonsupply.com/products/klein-tools-60492-lightweight-knee-pad-sleeves-m-l", "https://edmondsonsupply.com/products/klein-tools-60492-lightweight-knee-pad-sleeves-m-l")</f>
        <v/>
      </c>
      <c r="C632" t="inlineStr">
        <is>
          <t>Klein Tools 60492 Lightweight Knee Pad Sleeves, M/L</t>
        </is>
      </c>
      <c r="D632" t="inlineStr">
        <is>
          <t>Klein Tools 60592 Knee Pads, Lightweight Padded Knee Sleeves, Breathable Mesh Back, Elastic Cuff with Slip-Resistant Silicone, Black, L/XL</t>
        </is>
      </c>
      <c r="E632" s="2">
        <f>HYPERLINK("https://www.amazon.com/Klein-Tools-60592-Lightweight-Slip-Resistant/dp/B0B622FRN8/ref=sr_1_2?keywords=Klein+Tools+60492+Lightweight+Knee+Pad+Sleeves%2C+M%2FL&amp;qid=1694734486&amp;sr=8-2", "https://www.amazon.com/Klein-Tools-60592-Lightweight-Slip-Resistant/dp/B0B622FRN8/ref=sr_1_2?keywords=Klein+Tools+60492+Lightweight+Knee+Pad+Sleeves%2C+M%2FL&amp;qid=1694734486&amp;sr=8-2")</f>
        <v/>
      </c>
      <c r="F632" t="inlineStr">
        <is>
          <t>B0B622FRN8</t>
        </is>
      </c>
      <c r="G632">
        <f>_xlfn.IMAGE("https://edmondsonsupply.com/cdn/shop/products/60492_60592_photo.jpg?v=1663255234")</f>
        <v/>
      </c>
      <c r="H632">
        <f>_xlfn.IMAGE("https://m.media-amazon.com/images/I/61SeDj1bXKL._AC_UL320_.jpg")</f>
        <v/>
      </c>
      <c r="K632" t="inlineStr">
        <is>
          <t>19.97</t>
        </is>
      </c>
      <c r="L632" t="n">
        <v>19.97</v>
      </c>
      <c r="M632" s="1" t="inlineStr">
        <is>
          <t>0.00%</t>
        </is>
      </c>
      <c r="N632" s="7" t="n">
        <v>921.95</v>
      </c>
      <c r="O632" t="n">
        <v>4.1</v>
      </c>
      <c r="P632" t="n">
        <v>141</v>
      </c>
      <c r="R632" t="inlineStr">
        <is>
          <t>InStock</t>
        </is>
      </c>
      <c r="S632" t="inlineStr">
        <is>
          <t>27.98</t>
        </is>
      </c>
      <c r="T632" t="inlineStr">
        <is>
          <t>7817560293592</t>
        </is>
      </c>
    </row>
    <row r="633" ht="87" customHeight="1">
      <c r="A633" s="2">
        <f>HYPERLINK("https://edmondsonsupply.com/collections/personal-protection-safety/products/klein-tools-60406rl-hard-hat-non-vented-full-brim-with-rechargeable-headlamp-white", "https://edmondsonsupply.com/collections/personal-protection-safety/products/klein-tools-60406rl-hard-hat-non-vented-full-brim-with-rechargeable-headlamp-white")</f>
        <v/>
      </c>
      <c r="B633" s="2">
        <f>HYPERLINK("https://edmondsonsupply.com/products/klein-tools-60406rl-hard-hat-non-vented-full-brim-with-rechargeable-headlamp-white", "https://edmondsonsupply.com/products/klein-tools-60406rl-hard-hat-non-vented-full-brim-with-rechargeable-headlamp-white")</f>
        <v/>
      </c>
      <c r="C633" t="inlineStr">
        <is>
          <t>Klein Tools 60406RL Hard Hat, Non-Vented, Full Brim with Rechargeable Headlamp, White</t>
        </is>
      </c>
      <c r="D633" t="inlineStr">
        <is>
          <t>Klein Tools 60406RL Hard Hat, Rechargeable Headlamp, Non-vented, Full Brim Style, Padded Self-Wicking Odor-Resistant Sweatband, Tested up to 20kV, White</t>
        </is>
      </c>
      <c r="E633" s="2">
        <f>HYPERLINK("https://www.amazon.com/Klein-Tools-60406RL-Rechargeable-Odor-Resistant/dp/B08FBZT3BW/ref=sr_1_1?keywords=Klein+Tools+60406RL+Hard+Hat%2C+Non-Vented%2C+Full+Brim+with+Rechargeable+Headlamp%2C+White&amp;qid=1694734487&amp;sr=8-1", "https://www.amazon.com/Klein-Tools-60406RL-Rechargeable-Odor-Resistant/dp/B08FBZT3BW/ref=sr_1_1?keywords=Klein+Tools+60406RL+Hard+Hat%2C+Non-Vented%2C+Full+Brim+with+Rechargeable+Headlamp%2C+White&amp;qid=1694734487&amp;sr=8-1")</f>
        <v/>
      </c>
      <c r="F633" t="inlineStr">
        <is>
          <t>B08FBZT3BW</t>
        </is>
      </c>
      <c r="G633">
        <f>_xlfn.IMAGE("https://edmondsonsupply.com/cdn/shop/products/60406rl_c.jpg?v=1665606616")</f>
        <v/>
      </c>
      <c r="H633">
        <f>_xlfn.IMAGE("https://m.media-amazon.com/images/I/61cNP5T1keL._AC_UL320_.jpg")</f>
        <v/>
      </c>
      <c r="K633" t="inlineStr">
        <is>
          <t>69.99</t>
        </is>
      </c>
      <c r="L633" t="n">
        <v>69.98999999999999</v>
      </c>
      <c r="M633" s="1" t="inlineStr">
        <is>
          <t>0.00%</t>
        </is>
      </c>
      <c r="N633" s="7" t="n">
        <v>902.91</v>
      </c>
      <c r="O633" t="n">
        <v>4.7</v>
      </c>
      <c r="P633" t="n">
        <v>357</v>
      </c>
      <c r="R633" t="inlineStr">
        <is>
          <t>InStock</t>
        </is>
      </c>
      <c r="S633" t="inlineStr">
        <is>
          <t>105.0</t>
        </is>
      </c>
      <c r="T633" t="inlineStr">
        <is>
          <t>7850253418712</t>
        </is>
      </c>
    </row>
    <row r="634" hidden="1" ht="15.75" customHeight="1">
      <c r="A634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634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634" t="inlineStr">
        <is>
          <t>Klein Tools 60470 Professional Full-Frame Gasket Safety Glasses, Clear Lens</t>
        </is>
      </c>
      <c r="D634" t="inlineStr">
        <is>
          <t>Klein Tools 60470 Safety Glasses, ANSI Z87.1+ Pro Full Frame Gasket Safety Glasses, Clear Lenses, UV Protection, Anti-Fog, Scratch Resistant, Black/Orange</t>
        </is>
      </c>
      <c r="E634" s="2">
        <f>HYPERLINK("https://www.amazon.com/Klein-60470-Protection-Anti-Fog-Resistant/dp/B0B69KPRPF/ref=sr_1_1?keywords=Klein+Tools+60470+Professional+Full-Frame+Gasket+Safety+Glasses%2C+Clear+Lens&amp;qid=1694734484&amp;sr=8-1", "https://www.amazon.com/Klein-60470-Protection-Anti-Fog-Resistant/dp/B0B69KPRPF/ref=sr_1_1?keywords=Klein+Tools+60470+Professional+Full-Frame+Gasket+Safety+Glasses%2C+Clear+Lens&amp;qid=1694734484&amp;sr=8-1")</f>
        <v/>
      </c>
      <c r="F634" t="inlineStr">
        <is>
          <t>B0B69KPRPF</t>
        </is>
      </c>
      <c r="G634">
        <f>_xludf.IMAGE("https://edmondsonsupply.com/cdn/shop/products/60470.jpg?v=1663260659")</f>
        <v/>
      </c>
      <c r="H634">
        <f>_xludf.IMAGE("https://m.media-amazon.com/images/I/51TkfiRMYgL._AC_UL320_.jpg")</f>
        <v/>
      </c>
      <c r="K634" t="inlineStr">
        <is>
          <t>15.99</t>
        </is>
      </c>
      <c r="L634" t="n">
        <v>15.99</v>
      </c>
      <c r="M634" s="1" t="inlineStr">
        <is>
          <t>0.00%</t>
        </is>
      </c>
      <c r="N634" s="1" t="n">
        <v>901.13</v>
      </c>
      <c r="O634" t="n">
        <v>4</v>
      </c>
      <c r="P634" t="n">
        <v>29</v>
      </c>
      <c r="R634" t="inlineStr">
        <is>
          <t>InStock</t>
        </is>
      </c>
      <c r="S634" t="inlineStr">
        <is>
          <t>21.98</t>
        </is>
      </c>
      <c r="T634" t="inlineStr">
        <is>
          <t>7817690677464</t>
        </is>
      </c>
    </row>
    <row r="635" ht="87" customHeight="1">
      <c r="A635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635" s="2">
        <f>HYPERLINK("https://edmondsonsupply.com/products/klein-tools-60100-hard-hat-non-vented-cap-style-white", "https://edmondsonsupply.com/products/klein-tools-60100-hard-hat-non-vented-cap-style-white")</f>
        <v/>
      </c>
      <c r="C635" t="inlineStr">
        <is>
          <t>Klein Tools 60100 Hard Hat, Non-Vented, Cap Style, White</t>
        </is>
      </c>
      <c r="D635" t="inlineStr">
        <is>
          <t>Klein Tools 60248 Hard Hat, Non-Vented Cap Style, Padded, Self-Wicking Odor-Resistant Sweatband, Tested up to 20kV, Blue, Large</t>
        </is>
      </c>
      <c r="E635" s="2">
        <f>HYPERLINK("https://www.amazon.com/Klein-Tools-60248-Self-Wicking-Odor-Resistant/dp/B08FBZMLC7/ref=sr_1_3?keywords=Klein+Tools+60100+Hard+Hat%2C+Non-Vented%2C+Cap+Style%2C+White&amp;qid=1694734495&amp;sr=8-3", "https://www.amazon.com/Klein-Tools-60248-Self-Wicking-Odor-Resistant/dp/B08FBZMLC7/ref=sr_1_3?keywords=Klein+Tools+60100+Hard+Hat%2C+Non-Vented%2C+Cap+Style%2C+White&amp;qid=1694734495&amp;sr=8-3")</f>
        <v/>
      </c>
      <c r="F635" t="inlineStr">
        <is>
          <t>B08FBZMLC7</t>
        </is>
      </c>
      <c r="G635">
        <f>_xlfn.IMAGE("https://edmondsonsupply.com/cdn/shop/products/60100_c.jpg?v=1648166061")</f>
        <v/>
      </c>
      <c r="H635">
        <f>_xlfn.IMAGE("https://m.media-amazon.com/images/I/51E5C0oSy6L._AC_UL320_.jpg")</f>
        <v/>
      </c>
      <c r="K635" t="inlineStr">
        <is>
          <t>39.99</t>
        </is>
      </c>
      <c r="L635" t="n">
        <v>39.99</v>
      </c>
      <c r="M635" s="1" t="inlineStr">
        <is>
          <t>0.00%</t>
        </is>
      </c>
      <c r="N635" s="7" t="n">
        <v>901.13</v>
      </c>
      <c r="O635" t="n">
        <v>4.4</v>
      </c>
      <c r="P635" t="n">
        <v>34</v>
      </c>
      <c r="R635" t="inlineStr">
        <is>
          <t>OutOfStock</t>
        </is>
      </c>
      <c r="S635" t="inlineStr">
        <is>
          <t>55.44</t>
        </is>
      </c>
      <c r="T635" t="inlineStr">
        <is>
          <t>7643170406616</t>
        </is>
      </c>
    </row>
    <row r="636" ht="87" customHeight="1">
      <c r="A636" s="2">
        <f>HYPERLINK("https://edmondsonsupply.com/collections/personal-protection-safety/products/klein-tools-60344-hinged-gel-knee-pads", "https://edmondsonsupply.com/collections/personal-protection-safety/products/klein-tools-60344-hinged-gel-knee-pads")</f>
        <v/>
      </c>
      <c r="B636" s="2">
        <f>HYPERLINK("https://edmondsonsupply.com/products/klein-tools-60344-hinged-gel-knee-pads", "https://edmondsonsupply.com/products/klein-tools-60344-hinged-gel-knee-pads")</f>
        <v/>
      </c>
      <c r="C636" t="inlineStr">
        <is>
          <t>Klein Tools 60344 Hinged Gel Knee Pads</t>
        </is>
      </c>
      <c r="D636" t="inlineStr">
        <is>
          <t>Klein Tools 60344 Knee Pads, Hinged Gel Knee Pads with Slip Resistant Rubber Caps, Quick-Release Clips and Adjustable Straps, Black</t>
        </is>
      </c>
      <c r="E636" s="2">
        <f>HYPERLINK("https://www.amazon.com/Quick-Release-Adjustable-Klein-Tools-60344/dp/B099HB24TD/ref=sr_1_1?keywords=Klein+Tools+60344+Hinged+Gel+Knee+Pads&amp;qid=1694734485&amp;sr=8-1", "https://www.amazon.com/Quick-Release-Adjustable-Klein-Tools-60344/dp/B099HB24TD/ref=sr_1_1?keywords=Klein+Tools+60344+Hinged+Gel+Knee+Pads&amp;qid=1694734485&amp;sr=8-1")</f>
        <v/>
      </c>
      <c r="F636" t="inlineStr">
        <is>
          <t>B099HB24TD</t>
        </is>
      </c>
      <c r="G636">
        <f>_xlfn.IMAGE("https://edmondsonsupply.com/cdn/shop/products/60344.jpg?v=1664386765")</f>
        <v/>
      </c>
      <c r="H636">
        <f>_xlfn.IMAGE("https://m.media-amazon.com/images/I/61a1YyyaXNS._AC_UL320_.jpg")</f>
        <v/>
      </c>
      <c r="K636" t="inlineStr">
        <is>
          <t>35.99</t>
        </is>
      </c>
      <c r="L636" t="n">
        <v>35.99</v>
      </c>
      <c r="M636" s="1" t="inlineStr">
        <is>
          <t>0.00%</t>
        </is>
      </c>
      <c r="N636" s="7" t="n">
        <v>901.13</v>
      </c>
      <c r="O636" t="n">
        <v>4.4</v>
      </c>
      <c r="P636" t="n">
        <v>286</v>
      </c>
      <c r="R636" t="inlineStr">
        <is>
          <t>InStock</t>
        </is>
      </c>
      <c r="S636" t="inlineStr">
        <is>
          <t>51.4</t>
        </is>
      </c>
      <c r="T636" t="inlineStr">
        <is>
          <t>7832142938328</t>
        </is>
      </c>
    </row>
    <row r="637" ht="87" customHeight="1">
      <c r="A637" s="2">
        <f>HYPERLINK("https://edmondsonsupply.com/collections/personal-protection-safety/products/klein-tools-60538-professional-full-frame-gasket-safety-glasses-indoor-outdoor-lens", "https://edmondsonsupply.com/collections/personal-protection-safety/products/klein-tools-60538-professional-full-frame-gasket-safety-glasses-indoor-outdoor-lens")</f>
        <v/>
      </c>
      <c r="B637" s="2">
        <f>HYPERLINK("https://edmondsonsupply.com/products/klein-tools-60538-professional-full-frame-gasket-safety-glasses-indoor-outdoor-lens", "https://edmondsonsupply.com/products/klein-tools-60538-professional-full-frame-gasket-safety-glasses-indoor-outdoor-lens")</f>
        <v/>
      </c>
      <c r="C637" t="inlineStr">
        <is>
          <t>Klein Tools 60538 Professional Full-Frame Gasket Safety Glasses, Indoor/Outdoor Lens</t>
        </is>
      </c>
      <c r="D637" t="inlineStr">
        <is>
          <t>Klein Tools 60538 Gasket Safety Glasses, Professional PPE Protective Eyewear, Full Frame, Scratch Resistant, Anti-Fog, Indoor/Outdoor Lens</t>
        </is>
      </c>
      <c r="E637" s="2">
        <f>HYPERLINK("https://www.amazon.com/Klein-Tools-60538-Professional-Protective/dp/B0BLQ55RMQ/ref=sr_1_1?keywords=Klein+Tools+60538+Professional+Full-Frame+Gasket+Safety+Glasses%2C+Indoor%2FOutdoor+Lens&amp;qid=1694734485&amp;sr=8-1", "https://www.amazon.com/Klein-Tools-60538-Professional-Protective/dp/B0BLQ55RMQ/ref=sr_1_1?keywords=Klein+Tools+60538+Professional+Full-Frame+Gasket+Safety+Glasses%2C+Indoor%2FOutdoor+Lens&amp;qid=1694734485&amp;sr=8-1")</f>
        <v/>
      </c>
      <c r="F637" t="inlineStr">
        <is>
          <t>B0BLQ55RMQ</t>
        </is>
      </c>
      <c r="G637">
        <f>_xlfn.IMAGE("https://edmondsonsupply.com/cdn/shop/products/60470_1.jpg?v=1670947470")</f>
        <v/>
      </c>
      <c r="H637">
        <f>_xlfn.IMAGE("https://m.media-amazon.com/images/I/51TkfiRMYgL._AC_UL320_.jpg")</f>
        <v/>
      </c>
      <c r="K637" t="inlineStr">
        <is>
          <t>15.99</t>
        </is>
      </c>
      <c r="L637" t="n">
        <v>15.99</v>
      </c>
      <c r="M637" s="1" t="inlineStr">
        <is>
          <t>0.00%</t>
        </is>
      </c>
      <c r="N637" s="7" t="n">
        <v>901.13</v>
      </c>
      <c r="O637" t="n">
        <v>4.3</v>
      </c>
      <c r="P637" t="n">
        <v>54</v>
      </c>
      <c r="R637" t="inlineStr">
        <is>
          <t>InStock</t>
        </is>
      </c>
      <c r="S637" t="inlineStr">
        <is>
          <t>21.98</t>
        </is>
      </c>
      <c r="T637" t="inlineStr">
        <is>
          <t>7904002179288</t>
        </is>
      </c>
    </row>
    <row r="638" hidden="1" ht="15.75" customHeight="1">
      <c r="A638" s="2">
        <f>HYPERLINK("https://edmondsonsupply.com/collections/personal-protection-safety/products/klein-tools-60532-hard-hat-earmuffs-for-cap-style-and-safety-helmets", "https://edmondsonsupply.com/collections/personal-protection-safety/products/klein-tools-60532-hard-hat-earmuffs-for-cap-style-and-safety-helmets")</f>
        <v/>
      </c>
      <c r="B638" s="2">
        <f>HYPERLINK("https://edmondsonsupply.com/products/klein-tools-60532-hard-hat-earmuffs-for-cap-style-and-safety-helmets", "https://edmondsonsupply.com/products/klein-tools-60532-hard-hat-earmuffs-for-cap-style-and-safety-helmets")</f>
        <v/>
      </c>
      <c r="C638" t="inlineStr">
        <is>
          <t>Klein Tools 60532 Hard Hat Earmuffs for Cap Style and Safety Helmets</t>
        </is>
      </c>
      <c r="D638" t="inlineStr">
        <is>
          <t>Klein Tools 60532 Earmuffs, Cap and Safety Helmet Hard Hat Attachment, 26dB Noise Protection, Construction, Manufacturing, Maintenance, Gray/Orange</t>
        </is>
      </c>
      <c r="E638" s="2">
        <f>HYPERLINK("https://www.amazon.com/Klein-Tools-60532-Attachment-Protection/dp/B0BMW81MN6/ref=sr_1_1?keywords=Klein+Tools+60532+Hard+Hat+Earmuffs+for+Cap+Style+and+Safety+Helmets&amp;qid=1694734484&amp;sr=8-1", "https://www.amazon.com/Klein-Tools-60532-Attachment-Protection/dp/B0BMW81MN6/ref=sr_1_1?keywords=Klein+Tools+60532+Hard+Hat+Earmuffs+for+Cap+Style+and+Safety+Helmets&amp;qid=1694734484&amp;sr=8-1")</f>
        <v/>
      </c>
      <c r="F638" t="inlineStr">
        <is>
          <t>B0BMW81MN6</t>
        </is>
      </c>
      <c r="G638">
        <f>_xludf.IMAGE("https://edmondsonsupply.com/cdn/shop/products/60532.jpg?v=1674488078")</f>
        <v/>
      </c>
      <c r="H638">
        <f>_xludf.IMAGE("https://m.media-amazon.com/images/I/611HffL6OGL._AC_UL320_.jpg")</f>
        <v/>
      </c>
      <c r="K638" t="inlineStr">
        <is>
          <t>29.99</t>
        </is>
      </c>
      <c r="L638" t="n">
        <v>29.99</v>
      </c>
      <c r="M638" s="1" t="inlineStr">
        <is>
          <t>0.00%</t>
        </is>
      </c>
      <c r="N638" s="1" t="n">
        <v>893.89</v>
      </c>
      <c r="O638" t="n">
        <v>3.9</v>
      </c>
      <c r="P638" t="n">
        <v>6</v>
      </c>
      <c r="R638" t="inlineStr">
        <is>
          <t>InStock</t>
        </is>
      </c>
      <c r="S638" t="inlineStr">
        <is>
          <t>41.98</t>
        </is>
      </c>
      <c r="T638" t="inlineStr">
        <is>
          <t>7931899511000</t>
        </is>
      </c>
    </row>
    <row r="639" hidden="1" ht="15.75" customHeight="1">
      <c r="A639" s="2">
        <f>HYPERLINK("https://edmondsonsupply.com/collections/personal-protection-safety/products/klein-tools-60537-professional-safety-glasses-full-frame-indoor-outdoor-lens", "https://edmondsonsupply.com/collections/personal-protection-safety/products/klein-tools-60537-professional-safety-glasses-full-frame-indoor-outdoor-lens")</f>
        <v/>
      </c>
      <c r="B639" s="2">
        <f>HYPERLINK("https://edmondsonsupply.com/products/klein-tools-60537-professional-safety-glasses-full-frame-indoor-outdoor-lens", "https://edmondsonsupply.com/products/klein-tools-60537-professional-safety-glasses-full-frame-indoor-outdoor-lens")</f>
        <v/>
      </c>
      <c r="C639" t="inlineStr">
        <is>
          <t>Klein Tools 60537 Professional Safety Glasses, Full-Frame, Indoor/Outdoor Lens</t>
        </is>
      </c>
      <c r="D639" t="inlineStr">
        <is>
          <t>Klein Tools 60164 Safety Glasses, Professional PPE Protective Eyewear with Full Frame, Scratch Resistant and Anti-Fog, Gray Lens 5.6 x 4 inch</t>
        </is>
      </c>
      <c r="E639" s="2">
        <f>HYPERLINK("https://www.amazon.com/Klein-60164-Professional-Protective-Resistant/dp/B08B4BNSHM/ref=sr_1_9?keywords=Klein+Tools+60537+Professional+Safety+Glasses%2C+Full-Frame%2C+Indoor%2FOutdoor+Lens&amp;qid=1694734483&amp;sr=8-9", "https://www.amazon.com/Klein-60164-Professional-Protective-Resistant/dp/B08B4BNSHM/ref=sr_1_9?keywords=Klein+Tools+60537+Professional+Safety+Glasses%2C+Full-Frame%2C+Indoor%2FOutdoor+Lens&amp;qid=1694734483&amp;sr=8-9")</f>
        <v/>
      </c>
      <c r="F639" t="inlineStr">
        <is>
          <t>B08B4BNSHM</t>
        </is>
      </c>
      <c r="G639">
        <f>_xludf.IMAGE("https://edmondsonsupply.com/cdn/shop/products/60537.jpg?v=1670947087")</f>
        <v/>
      </c>
      <c r="H639">
        <f>_xludf.IMAGE("https://m.media-amazon.com/images/I/41bNrH9NnFL._AC_UL320_.jpg")</f>
        <v/>
      </c>
      <c r="K639" t="inlineStr">
        <is>
          <t>14.99</t>
        </is>
      </c>
      <c r="L639" t="n">
        <v>14.99</v>
      </c>
      <c r="M639" s="1" t="inlineStr">
        <is>
          <t>0.00%</t>
        </is>
      </c>
      <c r="N639" s="1" t="n">
        <v>860.83</v>
      </c>
      <c r="O639" t="n">
        <v>4.4</v>
      </c>
      <c r="P639" t="n">
        <v>459</v>
      </c>
      <c r="R639" t="inlineStr">
        <is>
          <t>InStock</t>
        </is>
      </c>
      <c r="S639" t="inlineStr">
        <is>
          <t>20.98</t>
        </is>
      </c>
      <c r="T639" t="inlineStr">
        <is>
          <t>7903997493464</t>
        </is>
      </c>
    </row>
    <row r="640" hidden="1" ht="15.75" customHeight="1">
      <c r="A640" s="2">
        <f>HYPERLINK("https://edmondsonsupply.com/collections/personal-protection-safety/products/klein-tools-60537-professional-safety-glasses-full-frame-indoor-outdoor-lens", "https://edmondsonsupply.com/collections/personal-protection-safety/products/klein-tools-60537-professional-safety-glasses-full-frame-indoor-outdoor-lens")</f>
        <v/>
      </c>
      <c r="B640" s="2">
        <f>HYPERLINK("https://edmondsonsupply.com/products/klein-tools-60537-professional-safety-glasses-full-frame-indoor-outdoor-lens", "https://edmondsonsupply.com/products/klein-tools-60537-professional-safety-glasses-full-frame-indoor-outdoor-lens")</f>
        <v/>
      </c>
      <c r="C640" t="inlineStr">
        <is>
          <t>Klein Tools 60537 Professional Safety Glasses, Full-Frame, Indoor/Outdoor Lens</t>
        </is>
      </c>
      <c r="D640" t="inlineStr">
        <is>
          <t>Klein Tools 60163 Safety Glasses, Professional PPE Protective Eyewear with Full Frame, Scratch Resistant and Anti-Fog, Clear Lens , 5.6 x 4 inch</t>
        </is>
      </c>
      <c r="E640" s="2">
        <f>HYPERLINK("https://www.amazon.com/Klein-60163-Professional-Protective-Resistant/dp/B08B48CZ5V/ref=sr_1_7?keywords=Klein+Tools+60537+Professional+Safety+Glasses%2C+Full-Frame%2C+Indoor%2FOutdoor+Lens&amp;qid=1694734483&amp;sr=8-7", "https://www.amazon.com/Klein-60163-Professional-Protective-Resistant/dp/B08B48CZ5V/ref=sr_1_7?keywords=Klein+Tools+60537+Professional+Safety+Glasses%2C+Full-Frame%2C+Indoor%2FOutdoor+Lens&amp;qid=1694734483&amp;sr=8-7")</f>
        <v/>
      </c>
      <c r="F640" t="inlineStr">
        <is>
          <t>B08B48CZ5V</t>
        </is>
      </c>
      <c r="G640">
        <f>_xludf.IMAGE("https://edmondsonsupply.com/cdn/shop/products/60537.jpg?v=1670947087")</f>
        <v/>
      </c>
      <c r="H640">
        <f>_xludf.IMAGE("https://m.media-amazon.com/images/I/41IY8K6EFLL._AC_UL320_.jpg")</f>
        <v/>
      </c>
      <c r="K640" t="inlineStr">
        <is>
          <t>14.99</t>
        </is>
      </c>
      <c r="L640" t="n">
        <v>14.99</v>
      </c>
      <c r="M640" s="1" t="inlineStr">
        <is>
          <t>0.00%</t>
        </is>
      </c>
      <c r="N640" s="1" t="n">
        <v>843.46</v>
      </c>
      <c r="O640" t="n">
        <v>4.4</v>
      </c>
      <c r="P640" t="n">
        <v>196</v>
      </c>
      <c r="R640" t="inlineStr">
        <is>
          <t>InStock</t>
        </is>
      </c>
      <c r="S640" t="inlineStr">
        <is>
          <t>20.98</t>
        </is>
      </c>
      <c r="T640" t="inlineStr">
        <is>
          <t>7903997493464</t>
        </is>
      </c>
    </row>
    <row r="641" hidden="1" ht="15.75" customHeight="1">
      <c r="A641" s="2">
        <f>HYPERLINK("https://edmondsonsupply.com/collections/personal-protection-safety/products/klein-tools-60620-winter-thermal-gloves-l", "https://edmondsonsupply.com/collections/personal-protection-safety/products/klein-tools-60620-winter-thermal-gloves-l")</f>
        <v/>
      </c>
      <c r="B641" s="2">
        <f>HYPERLINK("https://edmondsonsupply.com/products/klein-tools-60620-winter-thermal-gloves-l", "https://edmondsonsupply.com/products/klein-tools-60620-winter-thermal-gloves-l")</f>
        <v/>
      </c>
      <c r="C641" t="inlineStr">
        <is>
          <t>Klein Tools 60620 Winter Thermal Gloves, L</t>
        </is>
      </c>
      <c r="D641" t="inlineStr">
        <is>
          <t>Klein Tools 60620 Gloves, Thinsulate Lined Thermal Winter Weather Work Gloves, Hook and Loop Wrist Closure, Knit Orange/Black Fabric, Large</t>
        </is>
      </c>
      <c r="E641" s="2">
        <f>HYPERLINK("https://www.amazon.com/Klein-Tools-60620-Thinsulate-Thermal/dp/B0BPDVBNYF/ref=sr_1_1?keywords=Klein+Tools+60620+Winter+Thermal+Gloves%2C+L&amp;qid=1694734483&amp;sr=8-1", "https://www.amazon.com/Klein-Tools-60620-Thinsulate-Thermal/dp/B0BPDVBNYF/ref=sr_1_1?keywords=Klein+Tools+60620+Winter+Thermal+Gloves%2C+L&amp;qid=1694734483&amp;sr=8-1")</f>
        <v/>
      </c>
      <c r="F641" t="inlineStr">
        <is>
          <t>B0BPDVBNYF</t>
        </is>
      </c>
      <c r="G641">
        <f>_xludf.IMAGE("https://edmondsonsupply.com/cdn/shop/products/60619_d9a5b77e-323d-40d8-9bbc-c2b115e41e47.jpg?v=1674498060")</f>
        <v/>
      </c>
      <c r="H641">
        <f>_xludf.IMAGE("https://m.media-amazon.com/images/I/71yZfwKNZWL._AC_UL320_.jpg")</f>
        <v/>
      </c>
      <c r="K641" t="inlineStr">
        <is>
          <t>24.99</t>
        </is>
      </c>
      <c r="L641" t="n">
        <v>24.99</v>
      </c>
      <c r="M641" s="1" t="inlineStr">
        <is>
          <t>0.00%</t>
        </is>
      </c>
      <c r="N641" s="1" t="n">
        <v>838.55</v>
      </c>
      <c r="O641" t="n">
        <v>4</v>
      </c>
      <c r="P641" t="n">
        <v>2</v>
      </c>
      <c r="R641" t="inlineStr">
        <is>
          <t>InStock</t>
        </is>
      </c>
      <c r="S641" t="inlineStr">
        <is>
          <t>34.98</t>
        </is>
      </c>
      <c r="T641" t="inlineStr">
        <is>
          <t>7931955806424</t>
        </is>
      </c>
    </row>
    <row r="642" hidden="1" ht="15.75" customHeight="1">
      <c r="A642" s="2">
        <f>HYPERLINK("https://edmondsonsupply.com/collections/personal-protection-safety/products/klein-tools-60185-work-gloves-cut-level-2-touchscreen-large-2-pair", "https://edmondsonsupply.com/collections/personal-protection-safety/products/klein-tools-60185-work-gloves-cut-level-2-touchscreen-large-2-pair")</f>
        <v/>
      </c>
      <c r="B642" s="2">
        <f>HYPERLINK("https://edmondsonsupply.com/products/klein-tools-60185-work-gloves-cut-level-2-touchscreen-large-2-pair", "https://edmondsonsupply.com/products/klein-tools-60185-work-gloves-cut-level-2-touchscreen-large-2-pair")</f>
        <v/>
      </c>
      <c r="C642" t="inlineStr">
        <is>
          <t>Klein Tools 60185 Work Gloves, Cut Level 2, Touchscreen, Large, 2-Pair</t>
        </is>
      </c>
      <c r="D642" t="inlineStr">
        <is>
          <t>Klein Tools 60185 Work Gloves, Cut-Resistant Gloves ANSI Rated A2, Touchscreen, Large, 2-Pair, Gray Knit, Black Coating, Orange Cuff Thread</t>
        </is>
      </c>
      <c r="E642" s="2">
        <f>HYPERLINK("https://www.amazon.com/Klein-Gloves-Cut-Resistant-Touchscreen-2-Pair/dp/B088NBRY3M/ref=sr_1_1?keywords=Klein+Tools+60185+Work+Gloves%2C+Cut+Level+2%2C+Touchscreen%2C+Large%2C+2-Pair&amp;qid=1694734482&amp;sr=8-1", "https://www.amazon.com/Klein-Gloves-Cut-Resistant-Touchscreen-2-Pair/dp/B088NBRY3M/ref=sr_1_1?keywords=Klein+Tools+60185+Work+Gloves%2C+Cut+Level+2%2C+Touchscreen%2C+Large%2C+2-Pair&amp;qid=1694734482&amp;sr=8-1")</f>
        <v/>
      </c>
      <c r="F642" t="inlineStr">
        <is>
          <t>B088NBRY3M</t>
        </is>
      </c>
      <c r="G642">
        <f>_xludf.IMAGE("https://edmondsonsupply.com/cdn/shop/products/60185.jpg?v=1633030300")</f>
        <v/>
      </c>
      <c r="H642">
        <f>_xludf.IMAGE("https://m.media-amazon.com/images/I/71GlG2Zt5fL._AC_UL320_.jpg")</f>
        <v/>
      </c>
      <c r="K642" t="inlineStr">
        <is>
          <t>12.97</t>
        </is>
      </c>
      <c r="L642" t="n">
        <v>12.97</v>
      </c>
      <c r="M642" s="1" t="inlineStr">
        <is>
          <t>0.00%</t>
        </is>
      </c>
      <c r="N642" s="1" t="n">
        <v>830.66</v>
      </c>
      <c r="O642" t="n">
        <v>4.4</v>
      </c>
      <c r="P642" t="n">
        <v>40</v>
      </c>
      <c r="R642" t="inlineStr">
        <is>
          <t>InStock</t>
        </is>
      </c>
      <c r="S642" t="inlineStr">
        <is>
          <t>18.18</t>
        </is>
      </c>
      <c r="T642" t="inlineStr">
        <is>
          <t>5241275121832</t>
        </is>
      </c>
    </row>
    <row r="643" ht="87" customHeight="1">
      <c r="A643" s="2">
        <f>HYPERLINK("https://edmondsonsupply.com/collections/personal-protection-safety/products/klein-tools-60614-lightweight-knee-pad-sleeves-s-m", "https://edmondsonsupply.com/collections/personal-protection-safety/products/klein-tools-60614-lightweight-knee-pad-sleeves-s-m")</f>
        <v/>
      </c>
      <c r="B643" s="2">
        <f>HYPERLINK("https://edmondsonsupply.com/products/klein-tools-60614-lightweight-knee-pad-sleeves-s-m", "https://edmondsonsupply.com/products/klein-tools-60614-lightweight-knee-pad-sleeves-s-m")</f>
        <v/>
      </c>
      <c r="C643" t="inlineStr">
        <is>
          <t>Klein Tools 60614 Lightweight Knee Pad Sleeves, S/M</t>
        </is>
      </c>
      <c r="D643" t="inlineStr">
        <is>
          <t>Klein Tools 60614 Knee Pads, Lightweight Padded Knee Sleeves, Breathable Mesh Back, Elastic Cuff with Slip-Resistant Silicone, S/M, Black</t>
        </is>
      </c>
      <c r="E643" s="2">
        <f>HYPERLINK("https://www.amazon.com/Klein-Tools-60614-Lightweight-Slip-Resistant/dp/B0BW9WHCRJ/ref=sr_1_1?keywords=Klein+Tools+60614+Lightweight+Knee+Pad+Sleeves%2C+S%2FM&amp;qid=1694734481&amp;sr=8-1", "https://www.amazon.com/Klein-Tools-60614-Lightweight-Slip-Resistant/dp/B0BW9WHCRJ/ref=sr_1_1?keywords=Klein+Tools+60614+Lightweight+Knee+Pad+Sleeves%2C+S%2FM&amp;qid=1694734481&amp;sr=8-1")</f>
        <v/>
      </c>
      <c r="F643" t="inlineStr">
        <is>
          <t>B0BW9WHCRJ</t>
        </is>
      </c>
      <c r="G643">
        <f>_xlfn.IMAGE("https://edmondsonsupply.com/cdn/shop/products/60492_60592_photo_4859ff57-33ad-45f9-87df-8dc6b9372281.jpg?v=1681742927")</f>
        <v/>
      </c>
      <c r="H643">
        <f>_xlfn.IMAGE("https://m.media-amazon.com/images/I/61pjcWSwQcL._AC_UL320_.jpg")</f>
        <v/>
      </c>
      <c r="K643" t="inlineStr">
        <is>
          <t>19.99</t>
        </is>
      </c>
      <c r="L643" t="n">
        <v>19.99</v>
      </c>
      <c r="M643" s="1" t="inlineStr">
        <is>
          <t>0.00%</t>
        </is>
      </c>
      <c r="N643" s="7" t="n">
        <v>825.54</v>
      </c>
      <c r="O643" t="n">
        <v>4.5</v>
      </c>
      <c r="P643" t="n">
        <v>186</v>
      </c>
      <c r="R643" t="inlineStr">
        <is>
          <t>InStock</t>
        </is>
      </c>
      <c r="S643" t="inlineStr">
        <is>
          <t>27.98</t>
        </is>
      </c>
      <c r="T643" t="inlineStr">
        <is>
          <t>7980637356248</t>
        </is>
      </c>
    </row>
    <row r="644" ht="87" customHeight="1">
      <c r="A644" s="2">
        <f>HYPERLINK("https://edmondsonsupply.com/collections/personal-protection-safety/products/klein-tools-60345-hard-hat-earmuffs-full-brim-style", "https://edmondsonsupply.com/collections/personal-protection-safety/products/klein-tools-60345-hard-hat-earmuffs-full-brim-style")</f>
        <v/>
      </c>
      <c r="B644" s="2">
        <f>HYPERLINK("https://edmondsonsupply.com/products/klein-tools-60345-hard-hat-earmuffs-full-brim-style", "https://edmondsonsupply.com/products/klein-tools-60345-hard-hat-earmuffs-full-brim-style")</f>
        <v/>
      </c>
      <c r="C644" t="inlineStr">
        <is>
          <t>Klein Tools 60502 Hard Hat Earmuffs, Full Brim Style</t>
        </is>
      </c>
      <c r="D644" t="inlineStr">
        <is>
          <t>Klein Tools 60502 Earmuffs, Full Brim Hard Hat Attachment, 26dB Noise Protection, for Construction, Manufacturing, Maintenance, Woodworking</t>
        </is>
      </c>
      <c r="E644" s="2">
        <f>HYPERLINK("https://www.amazon.com/Klein-Tools-60502-Attachment-Protection/dp/B0BMW8YRD8/ref=sr_1_1?keywords=Klein+Tools+60502+Hard+Hat+Earmuffs%2C+Full+Brim+Style&amp;qid=1694734480&amp;sr=8-1", "https://www.amazon.com/Klein-Tools-60502-Attachment-Protection/dp/B0BMW8YRD8/ref=sr_1_1?keywords=Klein+Tools+60502+Hard+Hat+Earmuffs%2C+Full+Brim+Style&amp;qid=1694734480&amp;sr=8-1")</f>
        <v/>
      </c>
      <c r="F644" t="inlineStr">
        <is>
          <t>B0BMW8YRD8</t>
        </is>
      </c>
      <c r="G644">
        <f>_xlfn.IMAGE("https://edmondsonsupply.com/cdn/shop/products/60502.jpg?v=1674486730")</f>
        <v/>
      </c>
      <c r="H644">
        <f>_xlfn.IMAGE("https://m.media-amazon.com/images/I/61DVNl0vmFL._AC_UL320_.jpg")</f>
        <v/>
      </c>
      <c r="K644" t="inlineStr">
        <is>
          <t>29.99</t>
        </is>
      </c>
      <c r="L644" t="n">
        <v>29.99</v>
      </c>
      <c r="M644" s="1" t="inlineStr">
        <is>
          <t>0.00%</t>
        </is>
      </c>
      <c r="N644" s="7" t="n">
        <v>812.25</v>
      </c>
      <c r="O644" t="n">
        <v>4.3</v>
      </c>
      <c r="P644" t="n">
        <v>40</v>
      </c>
      <c r="R644" t="inlineStr">
        <is>
          <t>InStock</t>
        </is>
      </c>
      <c r="S644" t="inlineStr">
        <is>
          <t>41.98</t>
        </is>
      </c>
      <c r="T644" t="inlineStr">
        <is>
          <t>7931874869464</t>
        </is>
      </c>
    </row>
    <row r="645" hidden="1" ht="15.75" customHeight="1">
      <c r="A645" s="2">
        <f>HYPERLINK("https://edmondsonsupply.com/collections/personal-protection-safety/products/klein-tools-605036-corded-earplugs-6-pair-pack", "https://edmondsonsupply.com/collections/personal-protection-safety/products/klein-tools-605036-corded-earplugs-6-pair-pack")</f>
        <v/>
      </c>
      <c r="B645" s="2">
        <f>HYPERLINK("https://edmondsonsupply.com/products/klein-tools-605036-corded-earplugs-6-pair-pack", "https://edmondsonsupply.com/products/klein-tools-605036-corded-earplugs-6-pair-pack")</f>
        <v/>
      </c>
      <c r="C645" t="inlineStr">
        <is>
          <t>Klein Tools 605036 Corded Earplugs, 6-Pair Pack</t>
        </is>
      </c>
      <c r="D645" t="inlineStr">
        <is>
          <t>Klein Tools 605036 Corded Earplugs, 25dB NRR, Reusable Orange Earplugs, 6-Pack with Case for Construction, Industrial Use, Shooting and Hunting</t>
        </is>
      </c>
      <c r="E645" s="2">
        <f>HYPERLINK("https://www.amazon.com/Klein-Tools-605036-Construction-Industrial/dp/B0BSZH7YDX/ref=sr_1_1?keywords=Klein+Tools+605036+Corded+Earplugs%2C+6-Pair+Pack&amp;qid=1694734479&amp;sr=8-1", "https://www.amazon.com/Klein-Tools-605036-Construction-Industrial/dp/B0BSZH7YDX/ref=sr_1_1?keywords=Klein+Tools+605036+Corded+Earplugs%2C+6-Pair+Pack&amp;qid=1694734479&amp;sr=8-1")</f>
        <v/>
      </c>
      <c r="F645" t="inlineStr">
        <is>
          <t>B0BSZH7YDX</t>
        </is>
      </c>
      <c r="G645">
        <f>_xludf.IMAGE("https://edmondsonsupply.com/cdn/shop/products/605036.jpg?v=1677684007")</f>
        <v/>
      </c>
      <c r="H645">
        <f>_xludf.IMAGE("https://m.media-amazon.com/images/I/61FbxYoqEnL._AC_UL320_.jpg")</f>
        <v/>
      </c>
      <c r="K645" t="inlineStr">
        <is>
          <t>5.97</t>
        </is>
      </c>
      <c r="L645" t="n">
        <v>5.97</v>
      </c>
      <c r="M645" s="1" t="inlineStr">
        <is>
          <t>0.00%</t>
        </is>
      </c>
      <c r="N645" s="1" t="n">
        <v>809.29</v>
      </c>
      <c r="O645" t="n">
        <v>4.4</v>
      </c>
      <c r="P645" t="n">
        <v>14</v>
      </c>
      <c r="R645" t="inlineStr">
        <is>
          <t>InStock</t>
        </is>
      </c>
      <c r="S645" t="inlineStr">
        <is>
          <t>8.38</t>
        </is>
      </c>
      <c r="T645" t="inlineStr">
        <is>
          <t>7953966170328</t>
        </is>
      </c>
    </row>
    <row r="646" ht="87" customHeight="1">
      <c r="A646" s="2">
        <f>HYPERLINK("https://edmondsonsupply.com/collections/personal-protection-safety/products/klein-tools-56048-rechargeable-headlamp-with-strap-400-lumen-all-day-runtime-auto-off", "https://edmondsonsupply.com/collections/personal-protection-safety/products/klein-tools-56048-rechargeable-headlamp-with-strap-400-lumen-all-day-runtime-auto-off")</f>
        <v/>
      </c>
      <c r="B646" s="2">
        <f>HYPERLINK("https://edmondsonsupply.com/products/klein-tools-56048-rechargeable-headlamp-with-strap-400-lumen-all-day-runtime-auto-off", "https://edmondsonsupply.com/products/klein-tools-56048-rechargeable-headlamp-with-strap-400-lumen-all-day-runtime-auto-off")</f>
        <v/>
      </c>
      <c r="C646" t="inlineStr">
        <is>
          <t>Klein Tools 56048 Rechargeable Headlamp with Fabric Strap, 400 Lumens, All-Day Runtime</t>
        </is>
      </c>
      <c r="D646" t="inlineStr">
        <is>
          <t>Klein Tools 56048 Rechargeable Auto-Off LED Headlamp, Adjustable Fabric Strap, 400 lms, All-Day Runtime, for Work, Running, Outdoor Hiking</t>
        </is>
      </c>
      <c r="E646" s="2">
        <f>HYPERLINK("https://www.amazon.com/Klein-Tools-56048-Rechargeable-Adjustable/dp/B08J4H5LCV/ref=sr_1_1?keywords=Klein+Tools+56048+Rechargeable+Headlamp+with+Fabric+Strap%2C+400+Lumens%2C+All-Day+Runtime&amp;qid=1694734477&amp;sr=8-1", "https://www.amazon.com/Klein-Tools-56048-Rechargeable-Adjustable/dp/B08J4H5LCV/ref=sr_1_1?keywords=Klein+Tools+56048+Rechargeable+Headlamp+with+Fabric+Strap%2C+400+Lumens%2C+All-Day+Runtime&amp;qid=1694734477&amp;sr=8-1")</f>
        <v/>
      </c>
      <c r="F646" t="inlineStr">
        <is>
          <t>B08J4H5LCV</t>
        </is>
      </c>
      <c r="G646">
        <f>_xlfn.IMAGE("https://edmondsonsupply.com/cdn/shop/products/56048.jpg?v=1633030457")</f>
        <v/>
      </c>
      <c r="H646">
        <f>_xlfn.IMAGE("https://m.media-amazon.com/images/I/61MIndiWy-L._AC_UL320_.jpg")</f>
        <v/>
      </c>
      <c r="K646" t="inlineStr">
        <is>
          <t>39.97</t>
        </is>
      </c>
      <c r="L646" t="n">
        <v>39.97</v>
      </c>
      <c r="M646" s="1" t="inlineStr">
        <is>
          <t>0.00%</t>
        </is>
      </c>
      <c r="N646" s="7" t="n">
        <v>789.77</v>
      </c>
      <c r="O646" t="n">
        <v>4.6</v>
      </c>
      <c r="P646" t="n">
        <v>842</v>
      </c>
      <c r="R646" t="inlineStr">
        <is>
          <t>InStock</t>
        </is>
      </c>
      <c r="S646" t="inlineStr">
        <is>
          <t>56.0</t>
        </is>
      </c>
      <c r="T646" t="inlineStr">
        <is>
          <t>5348876091560</t>
        </is>
      </c>
    </row>
    <row r="647" hidden="1" ht="15.75" customHeight="1">
      <c r="A647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647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647" t="inlineStr">
        <is>
          <t>Klein Tools 60471 Professional Full-Frame Gasket Safety Glasses, Gray Lens</t>
        </is>
      </c>
      <c r="D647" t="inlineStr">
        <is>
          <t>Klein Tools 60470 Safety Glasses, ANSI Z87.1+ Pro Full Frame Gasket Safety Glasses, Clear Lenses, UV Protection, Anti-Fog, Scratch Resistant, Black/Orange</t>
        </is>
      </c>
      <c r="E647" s="2">
        <f>HYPERLINK("https://www.amazon.com/Klein-60470-Protection-Anti-Fog-Resistant/dp/B0B69KPRPF/ref=sr_1_3?keywords=Klein+Tools+60471+Professional+Full-Frame+Gasket+Safety+Glasses%2C+Gray+Lens&amp;qid=1694734489&amp;sr=8-3", "https://www.amazon.com/Klein-60470-Protection-Anti-Fog-Resistant/dp/B0B69KPRPF/ref=sr_1_3?keywords=Klein+Tools+60471+Professional+Full-Frame+Gasket+Safety+Glasses%2C+Gray+Lens&amp;qid=1694734489&amp;sr=8-3")</f>
        <v/>
      </c>
      <c r="F647" t="inlineStr">
        <is>
          <t>B0B69KPRPF</t>
        </is>
      </c>
      <c r="G647">
        <f>_xludf.IMAGE("https://edmondsonsupply.com/cdn/shop/products/60471.jpg?v=1663257501")</f>
        <v/>
      </c>
      <c r="H647">
        <f>_xludf.IMAGE("https://m.media-amazon.com/images/I/51TkfiRMYgL._AC_UL320_.jpg")</f>
        <v/>
      </c>
      <c r="K647" t="inlineStr">
        <is>
          <t>15.99</t>
        </is>
      </c>
      <c r="L647" t="n">
        <v>15.99</v>
      </c>
      <c r="M647" s="1" t="inlineStr">
        <is>
          <t>0.00%</t>
        </is>
      </c>
      <c r="N647" s="1" t="n">
        <v>778.98</v>
      </c>
      <c r="O647" t="n">
        <v>4</v>
      </c>
      <c r="P647" t="n">
        <v>29</v>
      </c>
      <c r="R647" t="inlineStr">
        <is>
          <t>InStock</t>
        </is>
      </c>
      <c r="S647" t="inlineStr">
        <is>
          <t>21.98</t>
        </is>
      </c>
      <c r="T647" t="inlineStr">
        <is>
          <t>7817587785944</t>
        </is>
      </c>
    </row>
    <row r="648" hidden="1" ht="15.75" customHeight="1">
      <c r="A648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648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648" t="inlineStr">
        <is>
          <t>Klein Tools 60163 Professional Safety Glasses, Full Frame, Clear Lens</t>
        </is>
      </c>
      <c r="D648" t="inlineStr">
        <is>
          <t>Klein Tools 60163 Safety Glasses, Professional PPE Protective Eyewear with Full Frame, Scratch Resistant and Anti-Fog, Clear Lens , 5.6 x 4 inch</t>
        </is>
      </c>
      <c r="E648" s="2">
        <f>HYPERLINK("https://www.amazon.com/Klein-60163-Professional-Protective-Resistant/dp/B08B48CZ5V/ref=sr_1_1?keywords=Klein+Tools+60163+Professional+Safety+Glasses%2C+Full+Frame%2C+Clear+Lens&amp;qid=1694734507&amp;sr=8-1", "https://www.amazon.com/Klein-60163-Professional-Protective-Resistant/dp/B08B48CZ5V/ref=sr_1_1?keywords=Klein+Tools+60163+Professional+Safety+Glasses%2C+Full+Frame%2C+Clear+Lens&amp;qid=1694734507&amp;sr=8-1")</f>
        <v/>
      </c>
      <c r="F648" t="inlineStr">
        <is>
          <t>B08B48CZ5V</t>
        </is>
      </c>
      <c r="G648">
        <f>_xludf.IMAGE("https://edmondsonsupply.com/cdn/shop/products/60163.jpg?v=1633030848")</f>
        <v/>
      </c>
      <c r="H648">
        <f>_xludf.IMAGE("https://m.media-amazon.com/images/I/41IY8K6EFLL._AC_UL320_.jpg")</f>
        <v/>
      </c>
      <c r="K648" t="inlineStr">
        <is>
          <t>14.99</t>
        </is>
      </c>
      <c r="L648" t="n">
        <v>14.99</v>
      </c>
      <c r="M648" s="1" t="inlineStr">
        <is>
          <t>0.00%</t>
        </is>
      </c>
      <c r="N648" s="1" t="n">
        <v>774.16</v>
      </c>
      <c r="O648" t="n">
        <v>4.4</v>
      </c>
      <c r="P648" t="n">
        <v>196</v>
      </c>
      <c r="R648" t="inlineStr">
        <is>
          <t>InStock</t>
        </is>
      </c>
      <c r="S648" t="inlineStr">
        <is>
          <t>20.98</t>
        </is>
      </c>
      <c r="T648" t="inlineStr">
        <is>
          <t>6094353039533</t>
        </is>
      </c>
    </row>
    <row r="649" ht="87" customHeight="1">
      <c r="A649" s="2">
        <f>HYPERLINK("https://edmondsonsupply.com/collections/personal-protection-safety/products/klein-tools-56062-rechargeable-headlamp-and-worklight-300-lumens-all-day-runtime", "https://edmondsonsupply.com/collections/personal-protection-safety/products/klein-tools-56062-rechargeable-headlamp-and-worklight-300-lumens-all-day-runtime")</f>
        <v/>
      </c>
      <c r="B649" s="2">
        <f>HYPERLINK("https://edmondsonsupply.com/products/klein-tools-56062-rechargeable-headlamp-and-worklight-300-lumens-all-day-runtime", "https://edmondsonsupply.com/products/klein-tools-56062-rechargeable-headlamp-and-worklight-300-lumens-all-day-runtime")</f>
        <v/>
      </c>
      <c r="C649" t="inlineStr">
        <is>
          <t>Klein Tools 56062 Rechargeable Headlamp and Worklight, 300 Lumens All-Day Runtime</t>
        </is>
      </c>
      <c r="D649" t="inlineStr">
        <is>
          <t>Klein Tools 56062 Rechargeable LED Headlamp / Worklight for Klein Hardhats, 300 Lumens, All-Day Runtime, 3 Modes, for Work and Outdoors</t>
        </is>
      </c>
      <c r="E649" s="2">
        <f>HYPERLINK("https://www.amazon.com/Klein-Tools-56062-Rechargeable-Worklight/dp/B089CHFBL3/ref=sr_1_1?keywords=Klein+Tools+56062+Rechargeable+Headlamp+and+Worklight%2C+300+Lumens+All-Day+Runtime&amp;qid=1694734507&amp;sr=8-1", "https://www.amazon.com/Klein-Tools-56062-Rechargeable-Worklight/dp/B089CHFBL3/ref=sr_1_1?keywords=Klein+Tools+56062+Rechargeable+Headlamp+and+Worklight%2C+300+Lumens+All-Day+Runtime&amp;qid=1694734507&amp;sr=8-1")</f>
        <v/>
      </c>
      <c r="F649" t="inlineStr">
        <is>
          <t>B089CHFBL3</t>
        </is>
      </c>
      <c r="G649">
        <f>_xlfn.IMAGE("https://edmondsonsupply.com/cdn/shop/products/56062.jpg?v=1633030735")</f>
        <v/>
      </c>
      <c r="H649">
        <f>_xlfn.IMAGE("https://m.media-amazon.com/images/I/61bt1PAPvFL._AC_UL320_.jpg")</f>
        <v/>
      </c>
      <c r="K649" t="inlineStr">
        <is>
          <t>29.97</t>
        </is>
      </c>
      <c r="L649" t="n">
        <v>29.97</v>
      </c>
      <c r="M649" s="1" t="inlineStr">
        <is>
          <t>0.00%</t>
        </is>
      </c>
      <c r="N649" s="7" t="n">
        <v>728.91</v>
      </c>
      <c r="O649" t="n">
        <v>4.6</v>
      </c>
      <c r="P649" t="n">
        <v>1768</v>
      </c>
      <c r="R649" t="inlineStr">
        <is>
          <t>InStock</t>
        </is>
      </c>
      <c r="S649" t="inlineStr">
        <is>
          <t>42.0</t>
        </is>
      </c>
      <c r="T649" t="inlineStr">
        <is>
          <t>5877807218856</t>
        </is>
      </c>
    </row>
    <row r="650" hidden="1" ht="15.75" customHeight="1">
      <c r="A650" s="2">
        <f>HYPERLINK("https://edmondsonsupply.com/collections/personal-protection-safety/products/klein-tools-60176-safety-glasses-hard-case", "https://edmondsonsupply.com/collections/personal-protection-safety/products/klein-tools-60176-safety-glasses-hard-case")</f>
        <v/>
      </c>
      <c r="B650" s="2">
        <f>HYPERLINK("https://edmondsonsupply.com/products/klein-tools-60176-safety-glasses-hard-case", "https://edmondsonsupply.com/products/klein-tools-60176-safety-glasses-hard-case")</f>
        <v/>
      </c>
      <c r="C650" t="inlineStr">
        <is>
          <t>Klein Tools 60176 Safety Glasses Hard Case</t>
        </is>
      </c>
      <c r="D650" t="inlineStr">
        <is>
          <t>Klein Tools 60176 Safety Glasses Case, Hard Eye Protection Case with Zipper Closure</t>
        </is>
      </c>
      <c r="E650" s="2">
        <f>HYPERLINK("https://www.amazon.com/Klein-Tools-60176-Glasses-Protection/dp/B08B7B7SH3/ref=sr_1_1?keywords=Klein+Tools+60176+Safety+Glasses+Hard+Case&amp;qid=1694734508&amp;sr=8-1", "https://www.amazon.com/Klein-Tools-60176-Glasses-Protection/dp/B08B7B7SH3/ref=sr_1_1?keywords=Klein+Tools+60176+Safety+Glasses+Hard+Case&amp;qid=1694734508&amp;sr=8-1")</f>
        <v/>
      </c>
      <c r="F650" t="inlineStr">
        <is>
          <t>B08B7B7SH3</t>
        </is>
      </c>
      <c r="G650">
        <f>_xludf.IMAGE("https://edmondsonsupply.com/cdn/shop/products/60176.jpg?v=1633030856")</f>
        <v/>
      </c>
      <c r="H650">
        <f>_xludf.IMAGE("https://m.media-amazon.com/images/I/71OJpcZ0B3L._AC_UL320_.jpg")</f>
        <v/>
      </c>
      <c r="K650" t="inlineStr">
        <is>
          <t>7.99</t>
        </is>
      </c>
      <c r="L650" t="n">
        <v>7.99</v>
      </c>
      <c r="M650" s="1" t="inlineStr">
        <is>
          <t>0.00%</t>
        </is>
      </c>
      <c r="N650" s="1" t="n">
        <v>728.91</v>
      </c>
      <c r="O650" t="n">
        <v>4.7</v>
      </c>
      <c r="P650" t="n">
        <v>75</v>
      </c>
      <c r="R650" t="inlineStr">
        <is>
          <t>InStock</t>
        </is>
      </c>
      <c r="S650" t="inlineStr">
        <is>
          <t>10.5</t>
        </is>
      </c>
      <c r="T650" t="inlineStr">
        <is>
          <t>6104975540397</t>
        </is>
      </c>
    </row>
    <row r="651" ht="87" customHeight="1">
      <c r="A651" s="2">
        <f>HYPERLINK("https://edmondsonsupply.com/collections/personal-protection-safety/products/klein-tools-60173-pro-safety-glasses-semi-frame-combo-pack", "https://edmondsonsupply.com/collections/personal-protection-safety/products/klein-tools-60173-pro-safety-glasses-semi-frame-combo-pack")</f>
        <v/>
      </c>
      <c r="B651" s="2">
        <f>HYPERLINK("https://edmondsonsupply.com/products/klein-tools-60173-pro-safety-glasses-semi-frame-combo-pack", "https://edmondsonsupply.com/products/klein-tools-60173-pro-safety-glasses-semi-frame-combo-pack")</f>
        <v/>
      </c>
      <c r="C651" t="inlineStr">
        <is>
          <t>Klein Tools 60173 PRO Safety Glasses Semi-Frame, Combo Pack</t>
        </is>
      </c>
      <c r="D651" t="inlineStr">
        <is>
          <t>Klein Tools 60173 Safety Glasses, Pro PPE Protective Eyewear with Semi Frame, Scratch Resistant, Anti-Fog Clear and Gray Lens Combo Pack</t>
        </is>
      </c>
      <c r="E651" s="2">
        <f>HYPERLINK("https://www.amazon.com/Klein-Tools-60173-Protective-Resistant/dp/B08B7BCQSX/ref=sr_1_1?keywords=Klein+Tools+60173+PRO+Safety+Glasses+Semi-Frame%2C+Combo+Pack&amp;qid=1694734504&amp;sr=8-1", "https://www.amazon.com/Klein-Tools-60173-Protective-Resistant/dp/B08B7BCQSX/ref=sr_1_1?keywords=Klein+Tools+60173+PRO+Safety+Glasses+Semi-Frame%2C+Combo+Pack&amp;qid=1694734504&amp;sr=8-1")</f>
        <v/>
      </c>
      <c r="F651" t="inlineStr">
        <is>
          <t>B08B7BCQSX</t>
        </is>
      </c>
      <c r="G651">
        <f>_xlfn.IMAGE("https://edmondsonsupply.com/cdn/shop/products/60173.jpg?v=1633030855")</f>
        <v/>
      </c>
      <c r="H651">
        <f>_xlfn.IMAGE("https://m.media-amazon.com/images/I/51A3qkx5B2L._AC_UL320_.jpg")</f>
        <v/>
      </c>
      <c r="K651" t="inlineStr">
        <is>
          <t>21.99</t>
        </is>
      </c>
      <c r="L651" t="n">
        <v>21.99</v>
      </c>
      <c r="M651" s="1" t="inlineStr">
        <is>
          <t>0.00%</t>
        </is>
      </c>
      <c r="N651" s="7" t="n">
        <v>714.26</v>
      </c>
      <c r="O651" t="n">
        <v>4.4</v>
      </c>
      <c r="P651" t="n">
        <v>371</v>
      </c>
      <c r="R651" t="inlineStr">
        <is>
          <t>InStock</t>
        </is>
      </c>
      <c r="S651" t="inlineStr">
        <is>
          <t>31.0</t>
        </is>
      </c>
      <c r="T651" t="inlineStr">
        <is>
          <t>6104960106669</t>
        </is>
      </c>
    </row>
    <row r="652" ht="87" customHeight="1">
      <c r="A652" s="2">
        <f>HYPERLINK("https://edmondsonsupply.com/collections/personal-protection-safety/products/klein-tools-60172-pro-safety-glasses-wide-lens-2-pack", "https://edmondsonsupply.com/collections/personal-protection-safety/products/klein-tools-60172-pro-safety-glasses-wide-lens-2-pack")</f>
        <v/>
      </c>
      <c r="B652" s="2">
        <f>HYPERLINK("https://edmondsonsupply.com/products/klein-tools-60172-pro-safety-glasses-wide-lens-2-pack", "https://edmondsonsupply.com/products/klein-tools-60172-pro-safety-glasses-wide-lens-2-pack")</f>
        <v/>
      </c>
      <c r="C652" t="inlineStr">
        <is>
          <t>Klein Tools 60172 PRO Safety Glasses, Wide Lens, 2-Pack</t>
        </is>
      </c>
      <c r="D652" t="inlineStr">
        <is>
          <t>Klein Tools 60172 Safety Glasses, Professional PPE Protective Eyewear with Semi Frame, Scratch Resistant, Anti-Fog, Clear Wide Lens, 2-Pack</t>
        </is>
      </c>
      <c r="E652" s="2">
        <f>HYPERLINK("https://www.amazon.com/Klein-Tools-60172-Professional-Protective/dp/B08B6ZZY8D/ref=sr_1_1?keywords=Klein+Tools+60172+PRO+Safety+Glasses%2C+Wide+Lens%2C+2-Pack&amp;qid=1694734504&amp;sr=8-1", "https://www.amazon.com/Klein-Tools-60172-Professional-Protective/dp/B08B6ZZY8D/ref=sr_1_1?keywords=Klein+Tools+60172+PRO+Safety+Glasses%2C+Wide+Lens%2C+2-Pack&amp;qid=1694734504&amp;sr=8-1")</f>
        <v/>
      </c>
      <c r="F652" t="inlineStr">
        <is>
          <t>B08B6ZZY8D</t>
        </is>
      </c>
      <c r="G652">
        <f>_xlfn.IMAGE("https://edmondsonsupply.com/cdn/shop/products/60172.jpg?v=1633030853")</f>
        <v/>
      </c>
      <c r="H652">
        <f>_xlfn.IMAGE("https://m.media-amazon.com/images/I/51NTbRtYx8L._AC_UL320_.jpg")</f>
        <v/>
      </c>
      <c r="K652" t="inlineStr">
        <is>
          <t>21.99</t>
        </is>
      </c>
      <c r="L652" t="n">
        <v>21.99</v>
      </c>
      <c r="M652" s="1" t="inlineStr">
        <is>
          <t>0.00%</t>
        </is>
      </c>
      <c r="N652" s="7" t="n">
        <v>707.51</v>
      </c>
      <c r="O652" t="n">
        <v>4.4</v>
      </c>
      <c r="P652" t="n">
        <v>371</v>
      </c>
      <c r="R652" t="inlineStr">
        <is>
          <t>InStock</t>
        </is>
      </c>
      <c r="S652" t="inlineStr">
        <is>
          <t>31.0</t>
        </is>
      </c>
      <c r="T652" t="inlineStr">
        <is>
          <t>6103227990189</t>
        </is>
      </c>
    </row>
    <row r="653" ht="87" customHeight="1">
      <c r="A653" s="2">
        <f>HYPERLINK("https://edmondsonsupply.com/collections/personal-protection-safety/products/klein-tools-40232-journeyman-wire-pulling-gloves-m", "https://edmondsonsupply.com/collections/personal-protection-safety/products/klein-tools-40232-journeyman-wire-pulling-gloves-m")</f>
        <v/>
      </c>
      <c r="B653" s="2">
        <f>HYPERLINK("https://edmondsonsupply.com/products/klein-tools-40232-journeyman-wire-pulling-gloves-m", "https://edmondsonsupply.com/products/klein-tools-40232-journeyman-wire-pulling-gloves-m")</f>
        <v/>
      </c>
      <c r="C653" t="inlineStr">
        <is>
          <t>Klein Tools 40232 Journeyman Wire Pulling Gloves, M</t>
        </is>
      </c>
      <c r="D653" t="inlineStr">
        <is>
          <t>Klein Tools 40232 Wire Pulling Gloves, Extra Grip Work Gloves with Thumb Reinforcements and Grip Patches on Palm and Fingertips, Medium, Black</t>
        </is>
      </c>
      <c r="E653" s="2">
        <f>HYPERLINK("https://www.amazon.com/Journeyman-Pulling-Klein-Tools-40232/dp/B01M6BV5H9/ref=sr_1_2?keywords=Klein+Tools+40232+Journeyman+Wire+Pulling+Gloves%2C+M&amp;qid=1694734506&amp;sr=8-2", "https://www.amazon.com/Journeyman-Pulling-Klein-Tools-40232/dp/B01M6BV5H9/ref=sr_1_2?keywords=Klein+Tools+40232+Journeyman+Wire+Pulling+Gloves%2C+M&amp;qid=1694734506&amp;sr=8-2")</f>
        <v/>
      </c>
      <c r="F653" t="inlineStr">
        <is>
          <t>B01M6BV5H9</t>
        </is>
      </c>
      <c r="G653">
        <f>_xlfn.IMAGE("https://edmondsonsupply.com/cdn/shop/products/40233_cbb9306f-e2d5-416d-ae92-6eadc852998a.jpg?v=1603657224")</f>
        <v/>
      </c>
      <c r="H653">
        <f>_xlfn.IMAGE("https://m.media-amazon.com/images/I/61KtxlVqHIL._AC_UL320_.jpg")</f>
        <v/>
      </c>
      <c r="K653" t="inlineStr">
        <is>
          <t>19.99</t>
        </is>
      </c>
      <c r="L653" t="n">
        <v>19.99</v>
      </c>
      <c r="M653" s="1" t="inlineStr">
        <is>
          <t>0.00%</t>
        </is>
      </c>
      <c r="N653" s="7" t="n">
        <v>700.29</v>
      </c>
      <c r="O653" t="n">
        <v>4.5</v>
      </c>
      <c r="P653" t="n">
        <v>316</v>
      </c>
      <c r="R653" t="inlineStr">
        <is>
          <t>InStock</t>
        </is>
      </c>
      <c r="S653" t="inlineStr">
        <is>
          <t>28.98</t>
        </is>
      </c>
      <c r="T653" t="inlineStr">
        <is>
          <t>5984552386728</t>
        </is>
      </c>
    </row>
    <row r="654" hidden="1" ht="15.75" customHeight="1">
      <c r="A654" s="2">
        <f>HYPERLINK("https://edmondsonsupply.com/collections/personal-protection-safety/products/klein-tools-60615-heavy-duty-knee-pad-sleeves-s-m", "https://edmondsonsupply.com/collections/personal-protection-safety/products/klein-tools-60615-heavy-duty-knee-pad-sleeves-s-m")</f>
        <v/>
      </c>
      <c r="B654" s="2">
        <f>HYPERLINK("https://edmondsonsupply.com/products/klein-tools-60615-heavy-duty-knee-pad-sleeves-s-m", "https://edmondsonsupply.com/products/klein-tools-60615-heavy-duty-knee-pad-sleeves-s-m")</f>
        <v/>
      </c>
      <c r="C654" t="inlineStr">
        <is>
          <t>Klein Tools 60615 Heavy Duty Knee Pad Sleeves, S/M</t>
        </is>
      </c>
      <c r="D654" t="inlineStr">
        <is>
          <t>Klein Tools 60615 Knee Pad, Heavy Duty Padded Knee Sleeves, Breathable Mesh Back, Elastic Cuff with Slip-Resistant Silicone, S/M, Black</t>
        </is>
      </c>
      <c r="E654" s="2">
        <f>HYPERLINK("https://www.amazon.com/Klein-Tools-60615-Breathable-Slip-Resistant/dp/B0BWB8VW7J/ref=sr_1_1?keywords=Klein+Tools+60615+Heavy+Duty+Knee+Pad+Sleeves%2C+S%2FM&amp;qid=1694734476&amp;sr=8-1", "https://www.amazon.com/Klein-Tools-60615-Breathable-Slip-Resistant/dp/B0BWB8VW7J/ref=sr_1_1?keywords=Klein+Tools+60615+Heavy+Duty+Knee+Pad+Sleeves%2C+S%2FM&amp;qid=1694734476&amp;sr=8-1")</f>
        <v/>
      </c>
      <c r="F654" t="inlineStr">
        <is>
          <t>B0BWB8VW7J</t>
        </is>
      </c>
      <c r="G654">
        <f>_xludf.IMAGE("https://edmondsonsupply.com/cdn/shop/products/60511_60611_b_f68c12ff-69e9-4ee5-9cc0-02cf7484e091.jpg?v=1681743847")</f>
        <v/>
      </c>
      <c r="H654">
        <f>_xludf.IMAGE("https://m.media-amazon.com/images/I/61FKkSJ3xeL._AC_UL320_.jpg")</f>
        <v/>
      </c>
      <c r="K654" t="inlineStr">
        <is>
          <t>39.99</t>
        </is>
      </c>
      <c r="L654" t="n">
        <v>39.99</v>
      </c>
      <c r="M654" s="1" t="inlineStr">
        <is>
          <t>0.00%</t>
        </is>
      </c>
      <c r="N654" s="1" t="n">
        <v>698.7</v>
      </c>
      <c r="O654" t="n">
        <v>4</v>
      </c>
      <c r="P654" t="n">
        <v>18</v>
      </c>
      <c r="R654" t="inlineStr">
        <is>
          <t>InStock</t>
        </is>
      </c>
      <c r="S654" t="inlineStr">
        <is>
          <t>55.98</t>
        </is>
      </c>
      <c r="T654" t="inlineStr">
        <is>
          <t>7980639813848</t>
        </is>
      </c>
    </row>
    <row r="655" hidden="1" ht="15.75" customHeight="1">
      <c r="A655" s="2">
        <f>HYPERLINK("https://edmondsonsupply.com/collections/personal-protection-safety/products/klein-tools-60163-professional-safety-glasses-full-frame-clear-lens", "https://edmondsonsupply.com/collections/personal-protection-safety/products/klein-tools-60163-professional-safety-glasses-full-frame-clear-lens")</f>
        <v/>
      </c>
      <c r="B655" s="2">
        <f>HYPERLINK("https://edmondsonsupply.com/products/klein-tools-60163-professional-safety-glasses-full-frame-clear-lens", "https://edmondsonsupply.com/products/klein-tools-60163-professional-safety-glasses-full-frame-clear-lens")</f>
        <v/>
      </c>
      <c r="C655" t="inlineStr">
        <is>
          <t>Klein Tools 60163 Professional Safety Glasses, Full Frame, Clear Lens</t>
        </is>
      </c>
      <c r="D655" t="inlineStr">
        <is>
          <t>Klein Tools 60164 Safety Glasses, Professional PPE Protective Eyewear with Full Frame, Scratch Resistant and Anti-Fog, Gray Lens 5.6 x 4 inch</t>
        </is>
      </c>
      <c r="E655" s="2">
        <f>HYPERLINK("https://www.amazon.com/Klein-60164-Professional-Protective-Resistant/dp/B08B4BNSHM/ref=sr_1_8?keywords=Klein+Tools+60163+Professional+Safety+Glasses%2C+Full+Frame%2C+Clear+Lens&amp;qid=1694734507&amp;sr=8-8", "https://www.amazon.com/Klein-60164-Professional-Protective-Resistant/dp/B08B4BNSHM/ref=sr_1_8?keywords=Klein+Tools+60163+Professional+Safety+Glasses%2C+Full+Frame%2C+Clear+Lens&amp;qid=1694734507&amp;sr=8-8")</f>
        <v/>
      </c>
      <c r="F655" t="inlineStr">
        <is>
          <t>B08B4BNSHM</t>
        </is>
      </c>
      <c r="G655">
        <f>_xludf.IMAGE("https://edmondsonsupply.com/cdn/shop/products/60163.jpg?v=1633030848")</f>
        <v/>
      </c>
      <c r="H655">
        <f>_xludf.IMAGE("https://m.media-amazon.com/images/I/41bNrH9NnFL._AC_UL320_.jpg")</f>
        <v/>
      </c>
      <c r="K655" t="inlineStr">
        <is>
          <t>14.99</t>
        </is>
      </c>
      <c r="L655" t="n">
        <v>14.99</v>
      </c>
      <c r="M655" s="1" t="inlineStr">
        <is>
          <t>0.00%</t>
        </is>
      </c>
      <c r="N655" s="1" t="n">
        <v>692.28</v>
      </c>
      <c r="O655" t="n">
        <v>4.4</v>
      </c>
      <c r="P655" t="n">
        <v>459</v>
      </c>
      <c r="R655" t="inlineStr">
        <is>
          <t>InStock</t>
        </is>
      </c>
      <c r="S655" t="inlineStr">
        <is>
          <t>20.98</t>
        </is>
      </c>
      <c r="T655" t="inlineStr">
        <is>
          <t>6094353039533</t>
        </is>
      </c>
    </row>
    <row r="656" ht="87" customHeight="1">
      <c r="A656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656" s="2">
        <f>HYPERLINK("https://edmondsonsupply.com/products/klein-tools-60100-hard-hat-non-vented-cap-style-white", "https://edmondsonsupply.com/products/klein-tools-60100-hard-hat-non-vented-cap-style-white")</f>
        <v/>
      </c>
      <c r="C656" t="inlineStr">
        <is>
          <t>Klein Tools 60100 Hard Hat, Non-Vented, Cap Style, White</t>
        </is>
      </c>
      <c r="D656" t="inlineStr">
        <is>
          <t>Klein Tools 60107 Hard Hat, Light, Non-Vented Cap Style, Padded, Self-Wicking Odor-Resistant Sweatband, Tested up to 20kV, White, Large</t>
        </is>
      </c>
      <c r="E656" s="2">
        <f>HYPERLINK("https://www.amazon.com/Klein-Tools-60107-Self-Wicking-Odor-Resistant/dp/B07TLG3VQJ/ref=sr_1_2?keywords=Klein+Tools+60100+Hard+Hat%2C+Non-Vented%2C+Cap+Style%2C+White&amp;qid=1694734495&amp;sr=8-2", "https://www.amazon.com/Klein-Tools-60107-Self-Wicking-Odor-Resistant/dp/B07TLG3VQJ/ref=sr_1_2?keywords=Klein+Tools+60100+Hard+Hat%2C+Non-Vented%2C+Cap+Style%2C+White&amp;qid=1694734495&amp;sr=8-2")</f>
        <v/>
      </c>
      <c r="F656" t="inlineStr">
        <is>
          <t>B07TLG3VQJ</t>
        </is>
      </c>
      <c r="G656">
        <f>_xlfn.IMAGE("https://edmondsonsupply.com/cdn/shop/products/60100_c.jpg?v=1648166061")</f>
        <v/>
      </c>
      <c r="H656">
        <f>_xlfn.IMAGE("https://m.media-amazon.com/images/I/41PzDOmbcRS._AC_UL320_.jpg")</f>
        <v/>
      </c>
      <c r="K656" t="inlineStr">
        <is>
          <t>39.99</t>
        </is>
      </c>
      <c r="L656" t="n">
        <v>39.97</v>
      </c>
      <c r="M656" s="1" t="inlineStr">
        <is>
          <t>-0.05%</t>
        </is>
      </c>
      <c r="N656" s="7" t="n">
        <v>688.78</v>
      </c>
      <c r="O656" t="n">
        <v>4.6</v>
      </c>
      <c r="P656" t="n">
        <v>147</v>
      </c>
      <c r="R656" t="inlineStr">
        <is>
          <t>OutOfStock</t>
        </is>
      </c>
      <c r="S656" t="inlineStr">
        <is>
          <t>55.44</t>
        </is>
      </c>
      <c r="T656" t="inlineStr">
        <is>
          <t>7643170406616</t>
        </is>
      </c>
    </row>
    <row r="657" hidden="1" ht="15.75" customHeight="1">
      <c r="A657" s="2">
        <f>HYPERLINK("https://edmondsonsupply.com/collections/personal-protection-safety/products/john-boy-sticks-face-guard", "https://edmondsonsupply.com/collections/personal-protection-safety/products/john-boy-sticks-face-guard")</f>
        <v/>
      </c>
      <c r="B657" s="2">
        <f>HYPERLINK("https://edmondsonsupply.com/products/john-boy-sticks-face-guard", "https://edmondsonsupply.com/products/john-boy-sticks-face-guard")</f>
        <v/>
      </c>
      <c r="C657" t="inlineStr">
        <is>
          <t>John Boy STICKS Face Guard</t>
        </is>
      </c>
      <c r="D657" t="inlineStr">
        <is>
          <t>JOHN BOY Hunting Face Guard - UPF 50+ Camoflauge Sport Mask with UV Sun Protection &amp; Moisture Wicking Fabric</t>
        </is>
      </c>
      <c r="E657" s="2">
        <f>HYPERLINK("https://www.amazon.com/JOHN-BOY-Hunting-Face-Guard/dp/B0842Z969D/ref=sr_1_1?keywords=John+Boy+STICKS+Face+Guard&amp;qid=1694734513&amp;sr=8-1", "https://www.amazon.com/JOHN-BOY-Hunting-Face-Guard/dp/B0842Z969D/ref=sr_1_1?keywords=John+Boy+STICKS+Face+Guard&amp;qid=1694734513&amp;sr=8-1")</f>
        <v/>
      </c>
      <c r="F657" t="inlineStr">
        <is>
          <t>B0842Z969D</t>
        </is>
      </c>
      <c r="G657">
        <f>_xludf.IMAGE("https://edmondsonsupply.com/cdn/shop/products/sticks-mockup_900x_46f7ccf9-cada-4af2-ba6b-b5f06f1a624e.jpg?v=1633030899")</f>
        <v/>
      </c>
      <c r="H657">
        <f>_xludf.IMAGE("https://m.media-amazon.com/images/I/814t4d76zgL._AC_UL320_.jpg")</f>
        <v/>
      </c>
      <c r="K657" t="inlineStr">
        <is>
          <t>10.0</t>
        </is>
      </c>
      <c r="L657" t="n">
        <v>9.99</v>
      </c>
      <c r="M657" s="1" t="inlineStr">
        <is>
          <t>-0.10%</t>
        </is>
      </c>
      <c r="N657" s="1" t="n">
        <v>679.3099999999999</v>
      </c>
      <c r="O657" t="n">
        <v>4</v>
      </c>
      <c r="P657" t="n">
        <v>8</v>
      </c>
      <c r="R657" t="inlineStr">
        <is>
          <t>InStock</t>
        </is>
      </c>
      <c r="S657" t="inlineStr">
        <is>
          <t>undefined</t>
        </is>
      </c>
      <c r="T657" t="inlineStr">
        <is>
          <t>6241744355501</t>
        </is>
      </c>
    </row>
    <row r="658" hidden="1" ht="15.75" customHeight="1">
      <c r="A658" s="2">
        <f>HYPERLINK("https://edmondsonsupply.com/collections/personal-protection-safety/products/john-boy-grass-face-guard", "https://edmondsonsupply.com/collections/personal-protection-safety/products/john-boy-grass-face-guard")</f>
        <v/>
      </c>
      <c r="B658" s="2">
        <f>HYPERLINK("https://edmondsonsupply.com/products/john-boy-grass-face-guard", "https://edmondsonsupply.com/products/john-boy-grass-face-guard")</f>
        <v/>
      </c>
      <c r="C658" t="inlineStr">
        <is>
          <t>John Boy GRASS Face Guard</t>
        </is>
      </c>
      <c r="D658" t="inlineStr">
        <is>
          <t>JOHN BOY Hunting Face Guard - UPF 50+ Camoflauge Sport Mask with UV Sun Protection &amp; Moisture Wicking Fabric</t>
        </is>
      </c>
      <c r="E658" s="2">
        <f>HYPERLINK("https://www.amazon.com/JOHN-BOY-Hunting-Face-Guard/dp/B0842Z7QTK/ref=sr_1_1?keywords=John+Boy+GRASS+Face+Guard&amp;qid=1694734501&amp;sr=8-1", "https://www.amazon.com/JOHN-BOY-Hunting-Face-Guard/dp/B0842Z7QTK/ref=sr_1_1?keywords=John+Boy+GRASS+Face+Guard&amp;qid=1694734501&amp;sr=8-1")</f>
        <v/>
      </c>
      <c r="F658" t="inlineStr">
        <is>
          <t>B0842Z7QTK</t>
        </is>
      </c>
      <c r="G658">
        <f>_xludf.IMAGE("https://edmondsonsupply.com/cdn/shop/products/grassMUcopy_900x_3dbec2e2-1ea2-46e7-b806-f05c0b3108b5.jpg?v=1633030897")</f>
        <v/>
      </c>
      <c r="H658">
        <f>_xludf.IMAGE("https://m.media-amazon.com/images/I/71k-tnE6mlL._AC_UL320_.jpg")</f>
        <v/>
      </c>
      <c r="K658" t="inlineStr">
        <is>
          <t>10.0</t>
        </is>
      </c>
      <c r="L658" t="n">
        <v>9.99</v>
      </c>
      <c r="M658" s="1" t="inlineStr">
        <is>
          <t>-0.10%</t>
        </is>
      </c>
      <c r="N658" s="1" t="n">
        <v>651.38</v>
      </c>
      <c r="O658" t="n">
        <v>4</v>
      </c>
      <c r="P658" t="n">
        <v>8</v>
      </c>
      <c r="R658" t="inlineStr">
        <is>
          <t>InStock</t>
        </is>
      </c>
      <c r="S658" t="inlineStr">
        <is>
          <t>undefined</t>
        </is>
      </c>
      <c r="T658" t="inlineStr">
        <is>
          <t>6237276438701</t>
        </is>
      </c>
    </row>
    <row r="659" hidden="1" ht="15.75" customHeight="1">
      <c r="A659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659" s="2">
        <f>HYPERLINK("https://edmondsonsupply.com/products/john-boy-desert-face-guard", "https://edmondsonsupply.com/products/john-boy-desert-face-guard")</f>
        <v/>
      </c>
      <c r="C659" t="inlineStr">
        <is>
          <t>John Boy DESERT Face Guard</t>
        </is>
      </c>
      <c r="D659" t="inlineStr">
        <is>
          <t>JOHN BOY Construction Face Guard - UPF 50+ Jobsite Dust Mask with UV Sun Protection &amp; Moisture Wicking Fabric</t>
        </is>
      </c>
      <c r="E659" s="2">
        <f>HYPERLINK("https://www.amazon.com/JOHN-BOY-Construction-Face-Guard/dp/B0843N88ML/ref=sr_1_8?keywords=John+Boy+DESERT+Face+Guard&amp;qid=1694734515&amp;sr=8-8", "https://www.amazon.com/JOHN-BOY-Construction-Face-Guard/dp/B0843N88ML/ref=sr_1_8?keywords=John+Boy+DESERT+Face+Guard&amp;qid=1694734515&amp;sr=8-8")</f>
        <v/>
      </c>
      <c r="F659" t="inlineStr">
        <is>
          <t>B0843N88ML</t>
        </is>
      </c>
      <c r="G659">
        <f>_xludf.IMAGE("https://edmondsonsupply.com/cdn/shop/products/Desertcopy.jpg?v=1633030720")</f>
        <v/>
      </c>
      <c r="H659">
        <f>_xludf.IMAGE("https://m.media-amazon.com/images/I/81tbpnaNPLL._AC_UL320_.jpg")</f>
        <v/>
      </c>
      <c r="K659" t="inlineStr">
        <is>
          <t>10.0</t>
        </is>
      </c>
      <c r="L659" t="n">
        <v>9.99</v>
      </c>
      <c r="M659" s="1" t="inlineStr">
        <is>
          <t>-0.10%</t>
        </is>
      </c>
      <c r="N659" s="1" t="n">
        <v>648.51</v>
      </c>
      <c r="O659" t="n">
        <v>4.1</v>
      </c>
      <c r="P659" t="n">
        <v>15</v>
      </c>
      <c r="R659" t="inlineStr">
        <is>
          <t>InStock</t>
        </is>
      </c>
      <c r="S659" t="inlineStr">
        <is>
          <t>undefined</t>
        </is>
      </c>
      <c r="T659" t="inlineStr">
        <is>
          <t>5862662930600</t>
        </is>
      </c>
    </row>
    <row r="660" hidden="1" ht="15.75" customHeight="1">
      <c r="A660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660" s="2">
        <f>HYPERLINK("https://edmondsonsupply.com/products/john-boy-neon-reflect-y-face-guard", "https://edmondsonsupply.com/products/john-boy-neon-reflect-y-face-guard")</f>
        <v/>
      </c>
      <c r="C660" t="inlineStr">
        <is>
          <t>John Boy NEON REFLECT-Y Face Guard</t>
        </is>
      </c>
      <c r="D660" t="inlineStr">
        <is>
          <t>John Boy Construction Face Guard - UPF 50+ Neck Gaiter Mask with UV Sun Protection &amp; Moisture Wicking Fabric - PATRIOT</t>
        </is>
      </c>
      <c r="E660" s="2">
        <f>HYPERLINK("https://www.amazon.com/JOHN-BOY-Construction-Face-Guard/dp/B0842ZGZCQ/ref=sr_1_11?keywords=John+Boy+NEON+REFLECT-Y+Face+Guard&amp;qid=1694734515&amp;sr=8-11", "https://www.amazon.com/JOHN-BOY-Construction-Face-Guard/dp/B0842ZGZCQ/ref=sr_1_11?keywords=John+Boy+NEON+REFLECT-Y+Face+Guard&amp;qid=1694734515&amp;sr=8-11")</f>
        <v/>
      </c>
      <c r="F660" t="inlineStr">
        <is>
          <t>B0842ZGZCQ</t>
        </is>
      </c>
      <c r="G660">
        <f>_xludf.IMAGE("https://edmondsonsupply.com/cdn/shop/products/NEONREFLECT-Y.jpg?v=1633030720")</f>
        <v/>
      </c>
      <c r="H660">
        <f>_xludf.IMAGE("https://m.media-amazon.com/images/I/71Op4Hsw9PL._AC_UL320_.jpg")</f>
        <v/>
      </c>
      <c r="K660" t="inlineStr">
        <is>
          <t>10.0</t>
        </is>
      </c>
      <c r="L660" t="n">
        <v>9.99</v>
      </c>
      <c r="M660" s="1" t="inlineStr">
        <is>
          <t>-0.10%</t>
        </is>
      </c>
      <c r="N660" s="1" t="n">
        <v>643.8200000000001</v>
      </c>
      <c r="O660" t="n">
        <v>4.7</v>
      </c>
      <c r="P660" t="n">
        <v>5</v>
      </c>
      <c r="R660" t="inlineStr">
        <is>
          <t>InStock</t>
        </is>
      </c>
      <c r="S660" t="inlineStr">
        <is>
          <t>undefined</t>
        </is>
      </c>
      <c r="T660" t="inlineStr">
        <is>
          <t>5862932414632</t>
        </is>
      </c>
    </row>
    <row r="661" hidden="1" ht="15.75" customHeight="1">
      <c r="A661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661" s="2">
        <f>HYPERLINK("https://edmondsonsupply.com/products/john-boy-mexico-face-guard", "https://edmondsonsupply.com/products/john-boy-mexico-face-guard")</f>
        <v/>
      </c>
      <c r="C661" t="inlineStr">
        <is>
          <t>John Boy MEXICO Face Guard</t>
        </is>
      </c>
      <c r="D661" t="inlineStr">
        <is>
          <t>JOHN BOY Construction Face Guard - UPF 50+ Jobsite Dust Mask with UV Sun Protection &amp; Moisture Wicking Fabric</t>
        </is>
      </c>
      <c r="E661" s="2">
        <f>HYPERLINK("https://www.amazon.com/JOHN-BOY-Construction-Face-Guard/dp/B0843N88ML/ref=sr_1_5?keywords=John+Boy+MEXICO+Face+Guard&amp;qid=1694734511&amp;sr=8-5", "https://www.amazon.com/JOHN-BOY-Construction-Face-Guard/dp/B0843N88ML/ref=sr_1_5?keywords=John+Boy+MEXICO+Face+Guard&amp;qid=1694734511&amp;sr=8-5")</f>
        <v/>
      </c>
      <c r="F661" t="inlineStr">
        <is>
          <t>B0843N88ML</t>
        </is>
      </c>
      <c r="G661">
        <f>_xludf.IMAGE("https://edmondsonsupply.com/cdn/shop/products/Mexicocopy.jpg?v=1633030719")</f>
        <v/>
      </c>
      <c r="H661">
        <f>_xludf.IMAGE("https://m.media-amazon.com/images/I/81tbpnaNPLL._AC_UL320_.jpg")</f>
        <v/>
      </c>
      <c r="K661" t="inlineStr">
        <is>
          <t>10.0</t>
        </is>
      </c>
      <c r="L661" t="n">
        <v>9.99</v>
      </c>
      <c r="M661" s="1" t="inlineStr">
        <is>
          <t>-0.10%</t>
        </is>
      </c>
      <c r="N661" s="1" t="n">
        <v>639.5599999999999</v>
      </c>
      <c r="O661" t="n">
        <v>4.1</v>
      </c>
      <c r="P661" t="n">
        <v>15</v>
      </c>
      <c r="R661" t="inlineStr">
        <is>
          <t>InStock</t>
        </is>
      </c>
      <c r="S661" t="inlineStr">
        <is>
          <t>undefined</t>
        </is>
      </c>
      <c r="T661" t="inlineStr">
        <is>
          <t>5862645727400</t>
        </is>
      </c>
    </row>
    <row r="662" hidden="1" ht="15.75" customHeight="1">
      <c r="A662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662" s="2">
        <f>HYPERLINK("https://edmondsonsupply.com/products/john-boy-texas-face-guard", "https://edmondsonsupply.com/products/john-boy-texas-face-guard")</f>
        <v/>
      </c>
      <c r="C662" t="inlineStr">
        <is>
          <t>John Boy TEXAS Face Guard</t>
        </is>
      </c>
      <c r="D662" t="inlineStr">
        <is>
          <t>JOHN BOY Construction Face Guard - UPF 50+ Jobsite Dust Mask with UV Sun Protection &amp; Moisture Wicking Fabric</t>
        </is>
      </c>
      <c r="E662" s="2">
        <f>HYPERLINK("https://www.amazon.com/JOHN-BOY-Construction-Face-Guard/dp/B0843N88ML/ref=sr_1_6?keywords=John+Boy+TEXAS+Face+Guard&amp;qid=1694734515&amp;sr=8-6", "https://www.amazon.com/JOHN-BOY-Construction-Face-Guard/dp/B0843N88ML/ref=sr_1_6?keywords=John+Boy+TEXAS+Face+Guard&amp;qid=1694734515&amp;sr=8-6")</f>
        <v/>
      </c>
      <c r="F662" t="inlineStr">
        <is>
          <t>B0843N88ML</t>
        </is>
      </c>
      <c r="G662">
        <f>_xludf.IMAGE("https://edmondsonsupply.com/cdn/shop/products/TX2-FG.jpg?v=1633030719")</f>
        <v/>
      </c>
      <c r="H662">
        <f>_xludf.IMAGE("https://m.media-amazon.com/images/I/81tbpnaNPLL._AC_UL320_.jpg")</f>
        <v/>
      </c>
      <c r="K662" t="inlineStr">
        <is>
          <t>10.0</t>
        </is>
      </c>
      <c r="L662" t="n">
        <v>9.99</v>
      </c>
      <c r="M662" s="1" t="inlineStr">
        <is>
          <t>-0.10%</t>
        </is>
      </c>
      <c r="N662" s="1" t="n">
        <v>625.78</v>
      </c>
      <c r="O662" t="n">
        <v>4.1</v>
      </c>
      <c r="P662" t="n">
        <v>15</v>
      </c>
      <c r="R662" t="inlineStr">
        <is>
          <t>OutOfStock</t>
        </is>
      </c>
      <c r="S662" t="inlineStr">
        <is>
          <t>undefined</t>
        </is>
      </c>
      <c r="T662" t="inlineStr">
        <is>
          <t>5862606110888</t>
        </is>
      </c>
    </row>
    <row r="663" hidden="1" ht="15.75" customHeight="1">
      <c r="A663" s="2">
        <f>HYPERLINK("https://edmondsonsupply.com/collections/personal-protection-safety/products/john-boy-tree-face-guard", "https://edmondsonsupply.com/collections/personal-protection-safety/products/john-boy-tree-face-guard")</f>
        <v/>
      </c>
      <c r="B663" s="2">
        <f>HYPERLINK("https://edmondsonsupply.com/products/john-boy-tree-face-guard", "https://edmondsonsupply.com/products/john-boy-tree-face-guard")</f>
        <v/>
      </c>
      <c r="C663" t="inlineStr">
        <is>
          <t>John Boy TREE Face Guard</t>
        </is>
      </c>
      <c r="D663" t="inlineStr">
        <is>
          <t>JOHN BOY Hunting Face Guard - UPF 50+ Camoflauge Sport Mask with UV Sun Protection &amp; Moisture Wicking Fabric</t>
        </is>
      </c>
      <c r="E663" s="2">
        <f>HYPERLINK("https://www.amazon.com/JOHN-BOY-Hunting-Face-Guard/dp/B0842Z7QTK/ref=sr_1_1?keywords=John+Boy+TREE+Face+Guard&amp;qid=1694734508&amp;sr=8-1", "https://www.amazon.com/JOHN-BOY-Hunting-Face-Guard/dp/B0842Z7QTK/ref=sr_1_1?keywords=John+Boy+TREE+Face+Guard&amp;qid=1694734508&amp;sr=8-1")</f>
        <v/>
      </c>
      <c r="F663" t="inlineStr">
        <is>
          <t>B0842Z7QTK</t>
        </is>
      </c>
      <c r="G663">
        <f>_xludf.IMAGE("https://edmondsonsupply.com/cdn/shop/products/tree-mockup.jpg?v=1633030898")</f>
        <v/>
      </c>
      <c r="H663">
        <f>_xludf.IMAGE("https://m.media-amazon.com/images/I/71k-tnE6mlL._AC_UL320_.jpg")</f>
        <v/>
      </c>
      <c r="K663" t="inlineStr">
        <is>
          <t>10.0</t>
        </is>
      </c>
      <c r="L663" t="n">
        <v>9.99</v>
      </c>
      <c r="M663" s="1" t="inlineStr">
        <is>
          <t>-0.10%</t>
        </is>
      </c>
      <c r="N663" s="1" t="n">
        <v>625.78</v>
      </c>
      <c r="O663" t="n">
        <v>4</v>
      </c>
      <c r="P663" t="n">
        <v>8</v>
      </c>
      <c r="R663" t="inlineStr">
        <is>
          <t>InStock</t>
        </is>
      </c>
      <c r="S663" t="inlineStr">
        <is>
          <t>undefined</t>
        </is>
      </c>
      <c r="T663" t="inlineStr">
        <is>
          <t>6241649066157</t>
        </is>
      </c>
    </row>
    <row r="664" hidden="1" ht="15.75" customHeight="1">
      <c r="A664" s="2">
        <f>HYPERLINK("https://edmondsonsupply.com/collections/personal-protection-safety/products/john-boy-army-face-guard", "https://edmondsonsupply.com/collections/personal-protection-safety/products/john-boy-army-face-guard")</f>
        <v/>
      </c>
      <c r="B664" s="2">
        <f>HYPERLINK("https://edmondsonsupply.com/products/john-boy-army-face-guard", "https://edmondsonsupply.com/products/john-boy-army-face-guard")</f>
        <v/>
      </c>
      <c r="C664" t="inlineStr">
        <is>
          <t>John Boy ARMY Face Guard</t>
        </is>
      </c>
      <c r="D664" t="inlineStr">
        <is>
          <t>John Boy Construction Face Guard - UPF 50+ Neck Gaiter Mask with UV Sun Protection &amp; Moisture Wicking Fabric - PATRIOT</t>
        </is>
      </c>
      <c r="E664" s="2">
        <f>HYPERLINK("https://www.amazon.com/JOHN-BOY-Construction-Face-Guard/dp/B0842ZGZCQ/ref=sr_1_4?keywords=John+Boy+ARMY+Face+Guard&amp;qid=1694734519&amp;sr=8-4", "https://www.amazon.com/JOHN-BOY-Construction-Face-Guard/dp/B0842ZGZCQ/ref=sr_1_4?keywords=John+Boy+ARMY+Face+Guard&amp;qid=1694734519&amp;sr=8-4")</f>
        <v/>
      </c>
      <c r="F664" t="inlineStr">
        <is>
          <t>B0842ZGZCQ</t>
        </is>
      </c>
      <c r="G664">
        <f>_xludf.IMAGE("https://edmondsonsupply.com/cdn/shop/products/Armycopy.jpg?v=1633030720")</f>
        <v/>
      </c>
      <c r="H664">
        <f>_xludf.IMAGE("https://m.media-amazon.com/images/I/71Op4Hsw9PL._AC_UL320_.jpg")</f>
        <v/>
      </c>
      <c r="K664" t="inlineStr">
        <is>
          <t>10.0</t>
        </is>
      </c>
      <c r="L664" t="n">
        <v>9.99</v>
      </c>
      <c r="M664" s="1" t="inlineStr">
        <is>
          <t>-0.10%</t>
        </is>
      </c>
      <c r="N664" s="1" t="n">
        <v>571.92</v>
      </c>
      <c r="O664" t="n">
        <v>4.7</v>
      </c>
      <c r="P664" t="n">
        <v>5</v>
      </c>
      <c r="R664" t="inlineStr">
        <is>
          <t>InStock</t>
        </is>
      </c>
      <c r="S664" t="inlineStr">
        <is>
          <t>undefined</t>
        </is>
      </c>
      <c r="T664" t="inlineStr">
        <is>
          <t>5862883393704</t>
        </is>
      </c>
    </row>
    <row r="665" hidden="1" ht="15.75" customHeight="1">
      <c r="A665" s="2">
        <f>HYPERLINK("https://edmondsonsupply.com/collections/personal-protection-safety/products/john-boy-army-face-guard", "https://edmondsonsupply.com/collections/personal-protection-safety/products/john-boy-army-face-guard")</f>
        <v/>
      </c>
      <c r="B665" s="2">
        <f>HYPERLINK("https://edmondsonsupply.com/products/john-boy-army-face-guard", "https://edmondsonsupply.com/products/john-boy-army-face-guard")</f>
        <v/>
      </c>
      <c r="C665" t="inlineStr">
        <is>
          <t>John Boy ARMY Face Guard</t>
        </is>
      </c>
      <c r="D665" t="inlineStr">
        <is>
          <t>JOHN BOY Construction Face Guard - UPF 50+ Jobsite Dust Mask with UV Sun Protection &amp; Moisture Wicking Fabric</t>
        </is>
      </c>
      <c r="E665" s="2">
        <f>HYPERLINK("https://www.amazon.com/JOHN-BOY-Construction-Face-Guard/dp/B0843N88ML/ref=sr_1_6?keywords=John+Boy+ARMY+Face+Guard&amp;qid=1694734519&amp;sr=8-6", "https://www.amazon.com/JOHN-BOY-Construction-Face-Guard/dp/B0843N88ML/ref=sr_1_6?keywords=John+Boy+ARMY+Face+Guard&amp;qid=1694734519&amp;sr=8-6")</f>
        <v/>
      </c>
      <c r="F665" t="inlineStr">
        <is>
          <t>B0843N88ML</t>
        </is>
      </c>
      <c r="G665">
        <f>_xludf.IMAGE("https://edmondsonsupply.com/cdn/shop/products/Armycopy.jpg?v=1633030720")</f>
        <v/>
      </c>
      <c r="H665">
        <f>_xludf.IMAGE("https://m.media-amazon.com/images/I/81tbpnaNPLL._AC_UL320_.jpg")</f>
        <v/>
      </c>
      <c r="K665" t="inlineStr">
        <is>
          <t>10.0</t>
        </is>
      </c>
      <c r="L665" t="n">
        <v>9.99</v>
      </c>
      <c r="M665" s="1" t="inlineStr">
        <is>
          <t>-0.10%</t>
        </is>
      </c>
      <c r="N665" s="1" t="n">
        <v>571.91</v>
      </c>
      <c r="O665" t="n">
        <v>4.1</v>
      </c>
      <c r="P665" t="n">
        <v>15</v>
      </c>
      <c r="R665" t="inlineStr">
        <is>
          <t>InStock</t>
        </is>
      </c>
      <c r="S665" t="inlineStr">
        <is>
          <t>undefined</t>
        </is>
      </c>
      <c r="T665" t="inlineStr">
        <is>
          <t>5862883393704</t>
        </is>
      </c>
    </row>
    <row r="666" hidden="1" ht="15.75" customHeight="1">
      <c r="A666" s="2">
        <f>HYPERLINK("https://edmondsonsupply.com/collections/personal-protection-safety/products/john-boy-tree-face-guard", "https://edmondsonsupply.com/collections/personal-protection-safety/products/john-boy-tree-face-guard")</f>
        <v/>
      </c>
      <c r="B666" s="2">
        <f>HYPERLINK("https://edmondsonsupply.com/products/john-boy-tree-face-guard", "https://edmondsonsupply.com/products/john-boy-tree-face-guard")</f>
        <v/>
      </c>
      <c r="C666" t="inlineStr">
        <is>
          <t>John Boy TREE Face Guard</t>
        </is>
      </c>
      <c r="D666" t="inlineStr">
        <is>
          <t>JOHN BOY Construction Face Guard - UPF 50+ Jobsite Dust Mask with UV Sun Protection &amp; Moisture Wicking Fabric</t>
        </is>
      </c>
      <c r="E666" s="2">
        <f>HYPERLINK("https://www.amazon.com/JOHN-BOY-Construction-Face-Guard/dp/B0843N88ML/ref=sr_1_6?keywords=John+Boy+TREE+Face+Guard&amp;qid=1694734508&amp;sr=8-6", "https://www.amazon.com/JOHN-BOY-Construction-Face-Guard/dp/B0843N88ML/ref=sr_1_6?keywords=John+Boy+TREE+Face+Guard&amp;qid=1694734508&amp;sr=8-6")</f>
        <v/>
      </c>
      <c r="F666" t="inlineStr">
        <is>
          <t>B0843N88ML</t>
        </is>
      </c>
      <c r="G666">
        <f>_xludf.IMAGE("https://edmondsonsupply.com/cdn/shop/products/tree-mockup.jpg?v=1633030898")</f>
        <v/>
      </c>
      <c r="H666">
        <f>_xludf.IMAGE("https://m.media-amazon.com/images/I/81tbpnaNPLL._AC_UL320_.jpg")</f>
        <v/>
      </c>
      <c r="K666" t="inlineStr">
        <is>
          <t>10.0</t>
        </is>
      </c>
      <c r="L666" t="n">
        <v>9.99</v>
      </c>
      <c r="M666" s="1" t="inlineStr">
        <is>
          <t>-0.10%</t>
        </is>
      </c>
      <c r="N666" s="1" t="n">
        <v>564.66</v>
      </c>
      <c r="O666" t="n">
        <v>4.1</v>
      </c>
      <c r="P666" t="n">
        <v>15</v>
      </c>
      <c r="R666" t="inlineStr">
        <is>
          <t>InStock</t>
        </is>
      </c>
      <c r="S666" t="inlineStr">
        <is>
          <t>undefined</t>
        </is>
      </c>
      <c r="T666" t="inlineStr">
        <is>
          <t>6241649066157</t>
        </is>
      </c>
    </row>
    <row r="667" hidden="1" ht="15.75" customHeight="1">
      <c r="A667" s="2">
        <f>HYPERLINK("https://edmondsonsupply.com/collections/personal-protection-safety/products/john-boy-tree-face-guard", "https://edmondsonsupply.com/collections/personal-protection-safety/products/john-boy-tree-face-guard")</f>
        <v/>
      </c>
      <c r="B667" s="2">
        <f>HYPERLINK("https://edmondsonsupply.com/products/john-boy-tree-face-guard", "https://edmondsonsupply.com/products/john-boy-tree-face-guard")</f>
        <v/>
      </c>
      <c r="C667" t="inlineStr">
        <is>
          <t>John Boy TREE Face Guard</t>
        </is>
      </c>
      <c r="D667" t="inlineStr">
        <is>
          <t>John Boy Construction Face Guard - UPF 50+ Neck Gaiter Mask with UV Sun Protection &amp; Moisture Wicking Fabric - PATRIOT</t>
        </is>
      </c>
      <c r="E667" s="2">
        <f>HYPERLINK("https://www.amazon.com/JOHN-BOY-Construction-Face-Guard/dp/B0842ZGZCQ/ref=sr_1_3?keywords=John+Boy+TREE+Face+Guard&amp;qid=1694734508&amp;sr=8-3", "https://www.amazon.com/JOHN-BOY-Construction-Face-Guard/dp/B0842ZGZCQ/ref=sr_1_3?keywords=John+Boy+TREE+Face+Guard&amp;qid=1694734508&amp;sr=8-3")</f>
        <v/>
      </c>
      <c r="F667" t="inlineStr">
        <is>
          <t>B0842ZGZCQ</t>
        </is>
      </c>
      <c r="G667">
        <f>_xludf.IMAGE("https://edmondsonsupply.com/cdn/shop/products/tree-mockup.jpg?v=1633030898")</f>
        <v/>
      </c>
      <c r="H667">
        <f>_xludf.IMAGE("https://m.media-amazon.com/images/I/71Op4Hsw9PL._AC_UL320_.jpg")</f>
        <v/>
      </c>
      <c r="K667" t="inlineStr">
        <is>
          <t>10.0</t>
        </is>
      </c>
      <c r="L667" t="n">
        <v>9.99</v>
      </c>
      <c r="M667" s="1" t="inlineStr">
        <is>
          <t>-0.10%</t>
        </is>
      </c>
      <c r="N667" s="1" t="n">
        <v>564.55</v>
      </c>
      <c r="O667" t="n">
        <v>4.7</v>
      </c>
      <c r="P667" t="n">
        <v>5</v>
      </c>
      <c r="R667" t="inlineStr">
        <is>
          <t>InStock</t>
        </is>
      </c>
      <c r="S667" t="inlineStr">
        <is>
          <t>undefined</t>
        </is>
      </c>
      <c r="T667" t="inlineStr">
        <is>
          <t>6241649066157</t>
        </is>
      </c>
    </row>
    <row r="668" hidden="1" ht="15.75" customHeight="1">
      <c r="A668" s="2">
        <f>HYPERLINK("https://edmondsonsupply.com/collections/personal-protection-safety/products/john-boy-usa-face-guard", "https://edmondsonsupply.com/collections/personal-protection-safety/products/john-boy-usa-face-guard")</f>
        <v/>
      </c>
      <c r="B668" s="2">
        <f>HYPERLINK("https://edmondsonsupply.com/products/john-boy-usa-face-guard", "https://edmondsonsupply.com/products/john-boy-usa-face-guard")</f>
        <v/>
      </c>
      <c r="C668" t="inlineStr">
        <is>
          <t>John Boy USA Face Guard</t>
        </is>
      </c>
      <c r="D668" t="inlineStr">
        <is>
          <t>JOHN BOY Hunting Face Guard - UPF 50+ Camoflauge Sport Mask with UV Sun Protection &amp; Moisture Wicking Fabric</t>
        </is>
      </c>
      <c r="E668" s="2">
        <f>HYPERLINK("https://www.amazon.com/JOHN-BOY-Hunting-Face-Guard/dp/B0842Z7QTK/ref=sr_1_fkmr0_2?keywords=John+Boy+USA+Face+Guard&amp;qid=1694734515&amp;sr=8-2-fkmr0", "https://www.amazon.com/JOHN-BOY-Hunting-Face-Guard/dp/B0842Z7QTK/ref=sr_1_fkmr0_2?keywords=John+Boy+USA+Face+Guard&amp;qid=1694734515&amp;sr=8-2-fkmr0")</f>
        <v/>
      </c>
      <c r="F668" t="inlineStr">
        <is>
          <t>B0842Z7QTK</t>
        </is>
      </c>
      <c r="G668">
        <f>_xludf.IMAGE("https://edmondsonsupply.com/cdn/shop/products/USA-FG.jpg?v=1633030715")</f>
        <v/>
      </c>
      <c r="H668">
        <f>_xludf.IMAGE("https://m.media-amazon.com/images/I/71k-tnE6mlL._AC_UL320_.jpg")</f>
        <v/>
      </c>
      <c r="K668" t="inlineStr">
        <is>
          <t>10.0</t>
        </is>
      </c>
      <c r="L668" t="n">
        <v>9.99</v>
      </c>
      <c r="M668" s="1" t="inlineStr">
        <is>
          <t>-0.10%</t>
        </is>
      </c>
      <c r="N668" s="1" t="n">
        <v>562.99</v>
      </c>
      <c r="O668" t="n">
        <v>4</v>
      </c>
      <c r="P668" t="n">
        <v>8</v>
      </c>
      <c r="R668" t="inlineStr">
        <is>
          <t>InStock</t>
        </is>
      </c>
      <c r="S668" t="inlineStr">
        <is>
          <t>undefined</t>
        </is>
      </c>
      <c r="T668" t="inlineStr">
        <is>
          <t>5862585270440</t>
        </is>
      </c>
    </row>
    <row r="669" ht="87" customHeight="1">
      <c r="A669" s="2">
        <f>HYPERLINK("https://edmondsonsupply.com/collections/personal-protection-safety/products/klein-tools-60614-lightweight-knee-pad-sleeves-s-m", "https://edmondsonsupply.com/collections/personal-protection-safety/products/klein-tools-60614-lightweight-knee-pad-sleeves-s-m")</f>
        <v/>
      </c>
      <c r="B669" s="2">
        <f>HYPERLINK("https://edmondsonsupply.com/products/klein-tools-60614-lightweight-knee-pad-sleeves-s-m", "https://edmondsonsupply.com/products/klein-tools-60614-lightweight-knee-pad-sleeves-s-m")</f>
        <v/>
      </c>
      <c r="C669" t="inlineStr">
        <is>
          <t>Klein Tools 60614 Lightweight Knee Pad Sleeves, S/M</t>
        </is>
      </c>
      <c r="D669" t="inlineStr">
        <is>
          <t>Klein Tools 60592 Knee Pads, Lightweight Padded Knee Sleeves, Breathable Mesh Back, Elastic Cuff with Slip-Resistant Silicone, Black, L/XL</t>
        </is>
      </c>
      <c r="E669" s="2">
        <f>HYPERLINK("https://www.amazon.com/Klein-Tools-60592-Lightweight-Slip-Resistant/dp/B0B622FRN8/ref=sr_1_3?keywords=Klein+Tools+60614+Lightweight+Knee+Pad+Sleeves%2C+S%2FM&amp;qid=1694734481&amp;sr=8-3", "https://www.amazon.com/Klein-Tools-60592-Lightweight-Slip-Resistant/dp/B0B622FRN8/ref=sr_1_3?keywords=Klein+Tools+60614+Lightweight+Knee+Pad+Sleeves%2C+S%2FM&amp;qid=1694734481&amp;sr=8-3")</f>
        <v/>
      </c>
      <c r="F669" t="inlineStr">
        <is>
          <t>B0B622FRN8</t>
        </is>
      </c>
      <c r="G669">
        <f>_xlfn.IMAGE("https://edmondsonsupply.com/cdn/shop/products/60492_60592_photo_4859ff57-33ad-45f9-87df-8dc6b9372281.jpg?v=1681742927")</f>
        <v/>
      </c>
      <c r="H669">
        <f>_xlfn.IMAGE("https://m.media-amazon.com/images/I/61SeDj1bXKL._AC_UL320_.jpg")</f>
        <v/>
      </c>
      <c r="K669" t="inlineStr">
        <is>
          <t>19.99</t>
        </is>
      </c>
      <c r="L669" t="n">
        <v>19.97</v>
      </c>
      <c r="M669" s="1" t="inlineStr">
        <is>
          <t>-0.10%</t>
        </is>
      </c>
      <c r="N669" s="7" t="n">
        <v>552.04</v>
      </c>
      <c r="O669" t="n">
        <v>4.1</v>
      </c>
      <c r="P669" t="n">
        <v>141</v>
      </c>
      <c r="R669" t="inlineStr">
        <is>
          <t>InStock</t>
        </is>
      </c>
      <c r="S669" t="inlineStr">
        <is>
          <t>27.98</t>
        </is>
      </c>
      <c r="T669" t="inlineStr">
        <is>
          <t>7980637356248</t>
        </is>
      </c>
    </row>
    <row r="670" hidden="1" ht="15.75" customHeight="1">
      <c r="A670" s="2">
        <f>HYPERLINK("https://edmondsonsupply.com/collections/personal-protection-safety/products/john-boy-grass-face-guard", "https://edmondsonsupply.com/collections/personal-protection-safety/products/john-boy-grass-face-guard")</f>
        <v/>
      </c>
      <c r="B670" s="2">
        <f>HYPERLINK("https://edmondsonsupply.com/products/john-boy-grass-face-guard", "https://edmondsonsupply.com/products/john-boy-grass-face-guard")</f>
        <v/>
      </c>
      <c r="C670" t="inlineStr">
        <is>
          <t>John Boy GRASS Face Guard</t>
        </is>
      </c>
      <c r="D670" t="inlineStr">
        <is>
          <t>JOHN BOY Construction Face Guard - UPF 50+ Neck Gaiter Mask with UV Sun Protection &amp; Moisture Wicking Fabric - TEXAS</t>
        </is>
      </c>
      <c r="E670" s="2">
        <f>HYPERLINK("https://www.amazon.com/JOHN-BOY-Construction-Face-Guard/dp/B0842ZR926/ref=sr_1_fkmr0_2?keywords=John+Boy+GRASS+Face+Guard&amp;qid=1694734501&amp;sr=8-2-fkmr0", "https://www.amazon.com/JOHN-BOY-Construction-Face-Guard/dp/B0842ZR926/ref=sr_1_fkmr0_2?keywords=John+Boy+GRASS+Face+Guard&amp;qid=1694734501&amp;sr=8-2-fkmr0")</f>
        <v/>
      </c>
      <c r="F670" t="inlineStr">
        <is>
          <t>B0842ZR926</t>
        </is>
      </c>
      <c r="G670">
        <f>_xludf.IMAGE("https://edmondsonsupply.com/cdn/shop/products/grassMUcopy_900x_3dbec2e2-1ea2-46e7-b806-f05c0b3108b5.jpg?v=1633030897")</f>
        <v/>
      </c>
      <c r="H670">
        <f>_xludf.IMAGE("https://m.media-amazon.com/images/I/713F6nIS5IL._AC_UL320_.jpg")</f>
        <v/>
      </c>
      <c r="K670" t="inlineStr">
        <is>
          <t>10.0</t>
        </is>
      </c>
      <c r="L670" t="n">
        <v>9.98</v>
      </c>
      <c r="M670" s="1" t="inlineStr">
        <is>
          <t>-0.20%</t>
        </is>
      </c>
      <c r="N670" s="1" t="n">
        <v>545.05</v>
      </c>
      <c r="O670" t="n">
        <v>5</v>
      </c>
      <c r="P670" t="n">
        <v>2</v>
      </c>
      <c r="R670" t="inlineStr">
        <is>
          <t>InStock</t>
        </is>
      </c>
      <c r="S670" t="inlineStr">
        <is>
          <t>undefined</t>
        </is>
      </c>
      <c r="T670" t="inlineStr">
        <is>
          <t>6237276438701</t>
        </is>
      </c>
    </row>
    <row r="671" hidden="1" ht="15.75" customHeight="1">
      <c r="A671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671" s="2">
        <f>HYPERLINK("https://edmondsonsupply.com/products/john-boy-texas-face-guard", "https://edmondsonsupply.com/products/john-boy-texas-face-guard")</f>
        <v/>
      </c>
      <c r="C671" t="inlineStr">
        <is>
          <t>John Boy TEXAS Face Guard</t>
        </is>
      </c>
      <c r="D671" t="inlineStr">
        <is>
          <t>JOHN BOY Construction Face Guard - UPF 50+ Neck Gaiter Mask with UV Sun Protection &amp; Moisture Wicking Fabric - TEXAS</t>
        </is>
      </c>
      <c r="E671" s="2">
        <f>HYPERLINK("https://www.amazon.com/JOHN-BOY-Construction-Face-Guard/dp/B0842ZR926/ref=sr_1_2?keywords=John+Boy+TEXAS+Face+Guard&amp;qid=1694734515&amp;sr=8-2", "https://www.amazon.com/JOHN-BOY-Construction-Face-Guard/dp/B0842ZR926/ref=sr_1_2?keywords=John+Boy+TEXAS+Face+Guard&amp;qid=1694734515&amp;sr=8-2")</f>
        <v/>
      </c>
      <c r="F671" t="inlineStr">
        <is>
          <t>B0842ZR926</t>
        </is>
      </c>
      <c r="G671">
        <f>_xludf.IMAGE("https://edmondsonsupply.com/cdn/shop/products/TX2-FG.jpg?v=1633030719")</f>
        <v/>
      </c>
      <c r="H671">
        <f>_xludf.IMAGE("https://m.media-amazon.com/images/I/713F6nIS5IL._AC_UL320_.jpg")</f>
        <v/>
      </c>
      <c r="K671" t="inlineStr">
        <is>
          <t>10.0</t>
        </is>
      </c>
      <c r="L671" t="n">
        <v>9.98</v>
      </c>
      <c r="M671" s="1" t="inlineStr">
        <is>
          <t>-0.20%</t>
        </is>
      </c>
      <c r="N671" s="1" t="n">
        <v>525.66</v>
      </c>
      <c r="O671" t="n">
        <v>5</v>
      </c>
      <c r="P671" t="n">
        <v>2</v>
      </c>
      <c r="R671" t="inlineStr">
        <is>
          <t>OutOfStock</t>
        </is>
      </c>
      <c r="S671" t="inlineStr">
        <is>
          <t>undefined</t>
        </is>
      </c>
      <c r="T671" t="inlineStr">
        <is>
          <t>5862606110888</t>
        </is>
      </c>
    </row>
    <row r="672" hidden="1" ht="15.75" customHeight="1">
      <c r="A672" s="2">
        <f>HYPERLINK("https://edmondsonsupply.com/collections/personal-protection-safety/products/john-boy-mexico-face-guard", "https://edmondsonsupply.com/collections/personal-protection-safety/products/john-boy-mexico-face-guard")</f>
        <v/>
      </c>
      <c r="B672" s="2">
        <f>HYPERLINK("https://edmondsonsupply.com/products/john-boy-mexico-face-guard", "https://edmondsonsupply.com/products/john-boy-mexico-face-guard")</f>
        <v/>
      </c>
      <c r="C672" t="inlineStr">
        <is>
          <t>John Boy MEXICO Face Guard</t>
        </is>
      </c>
      <c r="D672" t="inlineStr">
        <is>
          <t>JOHN BOY Construction Face Guard - UPF 50+ Neck Gaiter Mask with UV Sun Protection &amp; Moisture Wicking Fabric - TEXAS</t>
        </is>
      </c>
      <c r="E672" s="2">
        <f>HYPERLINK("https://www.amazon.com/JOHN-BOY-Construction-Face-Guard/dp/B0842ZR926/ref=sr_1_1?keywords=John+Boy+MEXICO+Face+Guard&amp;qid=1694734511&amp;sr=8-1", "https://www.amazon.com/JOHN-BOY-Construction-Face-Guard/dp/B0842ZR926/ref=sr_1_1?keywords=John+Boy+MEXICO+Face+Guard&amp;qid=1694734511&amp;sr=8-1")</f>
        <v/>
      </c>
      <c r="F672" t="inlineStr">
        <is>
          <t>B0842ZR926</t>
        </is>
      </c>
      <c r="G672">
        <f>_xludf.IMAGE("https://edmondsonsupply.com/cdn/shop/products/Mexicocopy.jpg?v=1633030719")</f>
        <v/>
      </c>
      <c r="H672">
        <f>_xludf.IMAGE("https://m.media-amazon.com/images/I/713F6nIS5IL._AC_UL320_.jpg")</f>
        <v/>
      </c>
      <c r="K672" t="inlineStr">
        <is>
          <t>10.0</t>
        </is>
      </c>
      <c r="L672" t="n">
        <v>9.98</v>
      </c>
      <c r="M672" s="1" t="inlineStr">
        <is>
          <t>-0.20%</t>
        </is>
      </c>
      <c r="N672" s="1" t="n">
        <v>504.82</v>
      </c>
      <c r="O672" t="n">
        <v>5</v>
      </c>
      <c r="P672" t="n">
        <v>2</v>
      </c>
      <c r="R672" t="inlineStr">
        <is>
          <t>InStock</t>
        </is>
      </c>
      <c r="S672" t="inlineStr">
        <is>
          <t>undefined</t>
        </is>
      </c>
      <c r="T672" t="inlineStr">
        <is>
          <t>5862645727400</t>
        </is>
      </c>
    </row>
    <row r="673" hidden="1" ht="15.75" customHeight="1">
      <c r="A673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673" s="2">
        <f>HYPERLINK("https://edmondsonsupply.com/products/john-boy-desert-face-guard", "https://edmondsonsupply.com/products/john-boy-desert-face-guard")</f>
        <v/>
      </c>
      <c r="C673" t="inlineStr">
        <is>
          <t>John Boy DESERT Face Guard</t>
        </is>
      </c>
      <c r="D673" t="inlineStr">
        <is>
          <t>JOHN BOY Construction Face Guard - UPF 50+ Neck Gaiter Mask with UV Sun Protection &amp; Moisture Wicking Fabric - TEXAS</t>
        </is>
      </c>
      <c r="E673" s="2">
        <f>HYPERLINK("https://www.amazon.com/JOHN-BOY-Construction-Face-Guard/dp/B0842ZR926/ref=sr_1_2?keywords=John+Boy+DESERT+Face+Guard&amp;qid=1694734515&amp;sr=8-2", "https://www.amazon.com/JOHN-BOY-Construction-Face-Guard/dp/B0842ZR926/ref=sr_1_2?keywords=John+Boy+DESERT+Face+Guard&amp;qid=1694734515&amp;sr=8-2")</f>
        <v/>
      </c>
      <c r="F673" t="inlineStr">
        <is>
          <t>B0842ZR926</t>
        </is>
      </c>
      <c r="G673">
        <f>_xludf.IMAGE("https://edmondsonsupply.com/cdn/shop/products/Desertcopy.jpg?v=1633030720")</f>
        <v/>
      </c>
      <c r="H673">
        <f>_xludf.IMAGE("https://m.media-amazon.com/images/I/713F6nIS5IL._AC_UL320_.jpg")</f>
        <v/>
      </c>
      <c r="K673" t="inlineStr">
        <is>
          <t>10.0</t>
        </is>
      </c>
      <c r="L673" t="n">
        <v>9.98</v>
      </c>
      <c r="M673" s="1" t="inlineStr">
        <is>
          <t>-0.20%</t>
        </is>
      </c>
      <c r="N673" s="1" t="n">
        <v>501.4</v>
      </c>
      <c r="O673" t="n">
        <v>5</v>
      </c>
      <c r="P673" t="n">
        <v>2</v>
      </c>
      <c r="R673" t="inlineStr">
        <is>
          <t>InStock</t>
        </is>
      </c>
      <c r="S673" t="inlineStr">
        <is>
          <t>undefined</t>
        </is>
      </c>
      <c r="T673" t="inlineStr">
        <is>
          <t>5862662930600</t>
        </is>
      </c>
    </row>
    <row r="674" ht="87" customHeight="1">
      <c r="A674" s="2">
        <f>HYPERLINK("https://edmondsonsupply.com/collections/personal-protection-safety/products/klein-tools-60198-work-gloves-cut-level-4-touchscreen-x-large-2-pair", "https://edmondsonsupply.com/collections/personal-protection-safety/products/klein-tools-60198-work-gloves-cut-level-4-touchscreen-x-large-2-pair")</f>
        <v/>
      </c>
      <c r="B674" s="2">
        <f>HYPERLINK("https://edmondsonsupply.com/products/klein-tools-60198-work-gloves-cut-level-4-touchscreen-x-large-2-pair", "https://edmondsonsupply.com/products/klein-tools-60198-work-gloves-cut-level-4-touchscreen-x-large-2-pair")</f>
        <v/>
      </c>
      <c r="C674" t="inlineStr">
        <is>
          <t>Klein Tools 60198 Work Gloves, Cut Level 4, Touchscreen, X-Large, 2-Pair</t>
        </is>
      </c>
      <c r="D674" t="inlineStr">
        <is>
          <t>Klein Tools 60198 Work Gloves, Cut-Resistant Gloves ANSI Rated A4, Touchscreen, X-Large, High-visibility Yellow Knit, Black Coating, Orange Cuff Thread, 2-Pair</t>
        </is>
      </c>
      <c r="E674" s="2">
        <f>HYPERLINK("https://www.amazon.com/Klein-60198-Cut-Resistant-Touchscreen-X-Large/dp/B086TTXF5C/ref=sr_1_1?keywords=Klein+Tools+60198+Work+Gloves%2C+Cut+Level+4%2C+Touchscreen%2C+X-Large%2C+2-Pair&amp;qid=1694734518&amp;sr=8-1", "https://www.amazon.com/Klein-60198-Cut-Resistant-Touchscreen-X-Large/dp/B086TTXF5C/ref=sr_1_1?keywords=Klein+Tools+60198+Work+Gloves%2C+Cut+Level+4%2C+Touchscreen%2C+X-Large%2C+2-Pair&amp;qid=1694734518&amp;sr=8-1")</f>
        <v/>
      </c>
      <c r="F674" t="inlineStr">
        <is>
          <t>B086TTXF5C</t>
        </is>
      </c>
      <c r="G674">
        <f>_xlfn.IMAGE("https://edmondsonsupply.com/cdn/shop/products/60198.jpg?v=1633030304")</f>
        <v/>
      </c>
      <c r="H674">
        <f>_xlfn.IMAGE("https://m.media-amazon.com/images/I/718nysP6TqL._AC_UL320_.jpg")</f>
        <v/>
      </c>
      <c r="K674" t="inlineStr">
        <is>
          <t>18.89</t>
        </is>
      </c>
      <c r="L674" t="n">
        <v>18.42</v>
      </c>
      <c r="M674" s="1" t="inlineStr">
        <is>
          <t>-2.49%</t>
        </is>
      </c>
      <c r="N674" s="7" t="n">
        <v>500.6</v>
      </c>
      <c r="O674" t="n">
        <v>4.7</v>
      </c>
      <c r="P674" t="n">
        <v>96</v>
      </c>
      <c r="R674" t="inlineStr">
        <is>
          <t>InStock</t>
        </is>
      </c>
      <c r="S674" t="inlineStr">
        <is>
          <t>25.66</t>
        </is>
      </c>
      <c r="T674" t="inlineStr">
        <is>
          <t>5241291505832</t>
        </is>
      </c>
    </row>
    <row r="675" hidden="1" ht="15.75" customHeight="1">
      <c r="A675" s="2">
        <f>HYPERLINK("https://edmondsonsupply.com/collections/personal-protection-safety/products/klein-tools-40230-high-dexterity-touchscreen-gloves-l", "https://edmondsonsupply.com/collections/personal-protection-safety/products/klein-tools-40230-high-dexterity-touchscreen-gloves-l")</f>
        <v/>
      </c>
      <c r="B675" s="2">
        <f>HYPERLINK("https://edmondsonsupply.com/products/klein-tools-40230-high-dexterity-touchscreen-gloves-l", "https://edmondsonsupply.com/products/klein-tools-40230-high-dexterity-touchscreen-gloves-l")</f>
        <v/>
      </c>
      <c r="C675" t="inlineStr">
        <is>
          <t>Klein Tools 40230 High Dexterity Touchscreen Gloves, L</t>
        </is>
      </c>
      <c r="D675" t="inlineStr">
        <is>
          <t>Klein Tools 40230 High Dexterity Touchscreen Gloves, L,Black</t>
        </is>
      </c>
      <c r="E675" s="2">
        <f>HYPERLINK("https://www.amazon.com/Dexterity-Touchscreen-Klein-Tools-40230/dp/B01M68QBRU/ref=sr_1_1?keywords=Klein+Tools+40230+High+Dexterity+Touchscreen+Gloves%2C+L&amp;qid=1694734508&amp;sr=8-1", "https://www.amazon.com/Dexterity-Touchscreen-Klein-Tools-40230/dp/B01M68QBRU/ref=sr_1_1?keywords=Klein+Tools+40230+High+Dexterity+Touchscreen+Gloves%2C+L&amp;qid=1694734508&amp;sr=8-1")</f>
        <v/>
      </c>
      <c r="F675" t="inlineStr">
        <is>
          <t>B01M68QBRU</t>
        </is>
      </c>
      <c r="G675">
        <f>_xludf.IMAGE("https://edmondsonsupply.com/cdn/shop/products/40229_20313513-1362-4da0-bac4-01d30a71590d.jpg?v=1604003560")</f>
        <v/>
      </c>
      <c r="H675">
        <f>_xludf.IMAGE("https://m.media-amazon.com/images/I/61OBeXb4irL._AC_UL320_.jpg")</f>
        <v/>
      </c>
      <c r="K675" t="inlineStr">
        <is>
          <t>26.49</t>
        </is>
      </c>
      <c r="L675" t="n">
        <v>25.49</v>
      </c>
      <c r="M675" s="1" t="inlineStr">
        <is>
          <t>-3.78%</t>
        </is>
      </c>
      <c r="N675" s="1" t="n">
        <v>500.6</v>
      </c>
      <c r="O675" t="n">
        <v>3.9</v>
      </c>
      <c r="P675" t="n">
        <v>72</v>
      </c>
      <c r="R675" t="inlineStr">
        <is>
          <t>InStock</t>
        </is>
      </c>
      <c r="S675" t="inlineStr">
        <is>
          <t>35.0</t>
        </is>
      </c>
      <c r="T675" t="inlineStr">
        <is>
          <t>5996792774824</t>
        </is>
      </c>
    </row>
    <row r="676" ht="87" customHeight="1">
      <c r="A676" s="2">
        <f>HYPERLINK("https://edmondsonsupply.com/collections/personal-protection-safety/products/klein-tools-40230-high-dexterity-touchscreen-gloves-l", "https://edmondsonsupply.com/collections/personal-protection-safety/products/klein-tools-40230-high-dexterity-touchscreen-gloves-l")</f>
        <v/>
      </c>
      <c r="B676" s="2">
        <f>HYPERLINK("https://edmondsonsupply.com/products/klein-tools-40230-high-dexterity-touchscreen-gloves-l", "https://edmondsonsupply.com/products/klein-tools-40230-high-dexterity-touchscreen-gloves-l")</f>
        <v/>
      </c>
      <c r="C676" t="inlineStr">
        <is>
          <t>Klein Tools 40230 High Dexterity Touchscreen Gloves, L</t>
        </is>
      </c>
      <c r="D676" t="inlineStr">
        <is>
          <t>Klein Tools 40229 High Dexterity Touchscreen Gloves, M</t>
        </is>
      </c>
      <c r="E676" s="2">
        <f>HYPERLINK("https://www.amazon.com/Dexterity-Touchscreen-Klein-Tools-40229/dp/B01M68QAAK/ref=sr_1_2?keywords=Klein+Tools+40230+High+Dexterity+Touchscreen+Gloves%2C+L&amp;qid=1694734508&amp;sr=8-2", "https://www.amazon.com/Dexterity-Touchscreen-Klein-Tools-40229/dp/B01M68QAAK/ref=sr_1_2?keywords=Klein+Tools+40230+High+Dexterity+Touchscreen+Gloves%2C+L&amp;qid=1694734508&amp;sr=8-2")</f>
        <v/>
      </c>
      <c r="F676" t="inlineStr">
        <is>
          <t>B01M68QAAK</t>
        </is>
      </c>
      <c r="G676">
        <f>_xlfn.IMAGE("https://edmondsonsupply.com/cdn/shop/products/40229_20313513-1362-4da0-bac4-01d30a71590d.jpg?v=1604003560")</f>
        <v/>
      </c>
      <c r="H676">
        <f>_xlfn.IMAGE("https://m.media-amazon.com/images/I/51mom7WNCOL._AC_UL320_.jpg")</f>
        <v/>
      </c>
      <c r="K676" t="inlineStr">
        <is>
          <t>26.49</t>
        </is>
      </c>
      <c r="L676" t="n">
        <v>25.49</v>
      </c>
      <c r="M676" s="1" t="inlineStr">
        <is>
          <t>-3.78%</t>
        </is>
      </c>
      <c r="N676" s="7" t="n">
        <v>499.1</v>
      </c>
      <c r="O676" t="n">
        <v>4.3</v>
      </c>
      <c r="P676" t="n">
        <v>56</v>
      </c>
      <c r="R676" t="inlineStr">
        <is>
          <t>InStock</t>
        </is>
      </c>
      <c r="S676" t="inlineStr">
        <is>
          <t>35.0</t>
        </is>
      </c>
      <c r="T676" t="inlineStr">
        <is>
          <t>5996792774824</t>
        </is>
      </c>
    </row>
    <row r="677" ht="87" customHeight="1">
      <c r="A677" s="2">
        <f>HYPERLINK("https://edmondsonsupply.com/collections/personal-protection-safety/products/klein-tools-60184-lightweight-gel-knee-pads", "https://edmondsonsupply.com/collections/personal-protection-safety/products/klein-tools-60184-lightweight-gel-knee-pads")</f>
        <v/>
      </c>
      <c r="B677" s="2">
        <f>HYPERLINK("https://edmondsonsupply.com/products/klein-tools-60184-lightweight-gel-knee-pads", "https://edmondsonsupply.com/products/klein-tools-60184-lightweight-gel-knee-pads")</f>
        <v/>
      </c>
      <c r="C677" t="inlineStr">
        <is>
          <t>Klein Tools 60184 Lightweight Gel Knee Pads</t>
        </is>
      </c>
      <c r="D677" t="inlineStr">
        <is>
          <t>Klein Tools 60184 Knee Pads, Lightweight Gel Knee Pads with Slip Resistant Rubber Caps and Adjustable Straps, Great for Construction, Black</t>
        </is>
      </c>
      <c r="E677" s="2">
        <f>HYPERLINK("https://www.amazon.com/Klein-Tools-60184-Lightweight-Resistant/dp/B088N5Q59S/ref=sr_1_1?keywords=Klein+Tools+60184+Lightweight+Gel+Knee+Pads&amp;qid=1694734480&amp;sr=8-1", "https://www.amazon.com/Klein-Tools-60184-Lightweight-Resistant/dp/B088N5Q59S/ref=sr_1_1?keywords=Klein+Tools+60184+Lightweight+Gel+Knee+Pads&amp;qid=1694734480&amp;sr=8-1")</f>
        <v/>
      </c>
      <c r="F677" t="inlineStr">
        <is>
          <t>B088N5Q59S</t>
        </is>
      </c>
      <c r="G677">
        <f>_xlfn.IMAGE("https://edmondsonsupply.com/cdn/shop/products/60184.jpg?v=1633030246")</f>
        <v/>
      </c>
      <c r="H677">
        <f>_xlfn.IMAGE("https://m.media-amazon.com/images/I/71vmG1tRBLL._AC_UL320_.jpg")</f>
        <v/>
      </c>
      <c r="K677" t="inlineStr">
        <is>
          <t>25.97</t>
        </is>
      </c>
      <c r="L677" t="n">
        <v>24.97</v>
      </c>
      <c r="M677" s="1" t="inlineStr">
        <is>
          <t>-3.85%</t>
        </is>
      </c>
      <c r="N677" s="7" t="n">
        <v>490.87</v>
      </c>
      <c r="O677" t="n">
        <v>4.2</v>
      </c>
      <c r="P677" t="n">
        <v>154</v>
      </c>
      <c r="R677" t="inlineStr">
        <is>
          <t>InStock</t>
        </is>
      </c>
      <c r="S677" t="inlineStr">
        <is>
          <t>36.04</t>
        </is>
      </c>
      <c r="T677" t="inlineStr">
        <is>
          <t>4610179170404</t>
        </is>
      </c>
    </row>
    <row r="678" ht="87" customHeight="1">
      <c r="A678" s="2">
        <f>HYPERLINK("https://edmondsonsupply.com/collections/personal-protection-safety/products/copy-of-klein-tools-60189-leather-work-gloves-x-large-pair", "https://edmondsonsupply.com/collections/personal-protection-safety/products/copy-of-klein-tools-60189-leather-work-gloves-x-large-pair")</f>
        <v/>
      </c>
      <c r="B678" s="2">
        <f>HYPERLINK("https://edmondsonsupply.com/products/copy-of-klein-tools-60189-leather-work-gloves-x-large-pair", "https://edmondsonsupply.com/products/copy-of-klein-tools-60189-leather-work-gloves-x-large-pair")</f>
        <v/>
      </c>
      <c r="C678" t="inlineStr">
        <is>
          <t>Klein Tools 60188 Leather Work Gloves, Large, Pair</t>
        </is>
      </c>
      <c r="D678" t="inlineStr">
        <is>
          <t>Klein Tools 60188 Work Gloves, Professional Grade Leather Gloves with Knuckle and Finger Protection, Thumb Reinforcement, Mesh Back, Large, Natural Tan/Black</t>
        </is>
      </c>
      <c r="E678" s="2">
        <f>HYPERLINK("https://www.amazon.com/Klein-60188-Professional-Protection-Reinforcement/dp/B086V4NCVL/ref=sr_1_1?keywords=Klein+Tools+60188+Leather+Work+Gloves%2C+Large%2C+Pair&amp;qid=1694734529&amp;sr=8-1", "https://www.amazon.com/Klein-60188-Professional-Protection-Reinforcement/dp/B086V4NCVL/ref=sr_1_1?keywords=Klein+Tools+60188+Leather+Work+Gloves%2C+Large%2C+Pair&amp;qid=1694734529&amp;sr=8-1")</f>
        <v/>
      </c>
      <c r="F678" t="inlineStr">
        <is>
          <t>B086V4NCVL</t>
        </is>
      </c>
      <c r="G678">
        <f>_xlfn.IMAGE("https://edmondsonsupply.com/cdn/shop/products/60188_7a7499e6-621a-4bc0-8883-0ddde9a9ada8.jpg?v=1588432588")</f>
        <v/>
      </c>
      <c r="H678">
        <f>_xlfn.IMAGE("https://m.media-amazon.com/images/I/71jIX+oeWqL._AC_UL320_.jpg")</f>
        <v/>
      </c>
      <c r="K678" t="inlineStr">
        <is>
          <t>25.99</t>
        </is>
      </c>
      <c r="L678" t="n">
        <v>24.97</v>
      </c>
      <c r="M678" s="1" t="inlineStr">
        <is>
          <t>-3.92%</t>
        </is>
      </c>
      <c r="N678" s="7" t="n">
        <v>489.32</v>
      </c>
      <c r="O678" t="n">
        <v>4.1</v>
      </c>
      <c r="P678" t="n">
        <v>155</v>
      </c>
      <c r="R678" t="inlineStr">
        <is>
          <t>InStock</t>
        </is>
      </c>
      <c r="S678" t="inlineStr">
        <is>
          <t>35.98</t>
        </is>
      </c>
      <c r="T678" t="inlineStr">
        <is>
          <t>4603169734756</t>
        </is>
      </c>
    </row>
    <row r="679" hidden="1" ht="15.75" customHeight="1">
      <c r="A679" s="2">
        <f>HYPERLINK("https://edmondsonsupply.com/collections/personal-protection-safety/products/klein-tools-29025-modular-battery-for-klein-tools-cat-no-60155-hard-hat-cooling-fan", "https://edmondsonsupply.com/collections/personal-protection-safety/products/klein-tools-29025-modular-battery-for-klein-tools-cat-no-60155-hard-hat-cooling-fan")</f>
        <v/>
      </c>
      <c r="B679" s="2">
        <f>HYPERLINK("https://edmondsonsupply.com/products/klein-tools-29025-modular-battery-for-klein-tools-cat-no-60155-hard-hat-cooling-fan", "https://edmondsonsupply.com/products/klein-tools-29025-modular-battery-for-klein-tools-cat-no-60155-hard-hat-cooling-fan")</f>
        <v/>
      </c>
      <c r="C679" t="inlineStr">
        <is>
          <t>Klein Tools 29025 Modular Battery for Klein Tools Cat. No. 60155 Hard Hat Cooling Fan</t>
        </is>
      </c>
      <c r="D679" t="inlineStr">
        <is>
          <t>Klein Tools 29025 Rechargeable Lithium-ion Portable Battery to Power Klein Tools Hard Hat Cooling Fan Cat. No. 60155, Small</t>
        </is>
      </c>
      <c r="E679" s="2">
        <f>HYPERLINK("https://www.amazon.com/Klein-Tools-29025-Rechargeable-Lithium-ion/dp/B09H3MYQ95/ref=sr_1_1?keywords=Klein+Tools+29025+Modular+Battery+for+Klein+Tools+Cat.+No.+60155+Hard+Hat+Cooling+Fan&amp;qid=1694734485&amp;sr=8-1", "https://www.amazon.com/Klein-Tools-29025-Rechargeable-Lithium-ion/dp/B09H3MYQ95/ref=sr_1_1?keywords=Klein+Tools+29025+Modular+Battery+for+Klein+Tools+Cat.+No.+60155+Hard+Hat+Cooling+Fan&amp;qid=1694734485&amp;sr=8-1")</f>
        <v/>
      </c>
      <c r="F679" t="inlineStr">
        <is>
          <t>B09H3MYQ95</t>
        </is>
      </c>
      <c r="G679">
        <f>_xludf.IMAGE("https://edmondsonsupply.com/cdn/shop/products/29025.jpg?v=1664802987")</f>
        <v/>
      </c>
      <c r="H679">
        <f>_xludf.IMAGE("https://m.media-amazon.com/images/I/41+jmEnDWdL._AC_UL320_.jpg")</f>
        <v/>
      </c>
      <c r="K679" t="inlineStr">
        <is>
          <t>36.99</t>
        </is>
      </c>
      <c r="L679" t="n">
        <v>34.99</v>
      </c>
      <c r="M679" s="1" t="inlineStr">
        <is>
          <t>-5.41%</t>
        </is>
      </c>
      <c r="N679" s="1" t="n">
        <v>488.44</v>
      </c>
      <c r="O679" t="n">
        <v>4</v>
      </c>
      <c r="P679" t="n">
        <v>147</v>
      </c>
      <c r="R679" t="inlineStr">
        <is>
          <t>InStock</t>
        </is>
      </c>
      <c r="S679" t="inlineStr">
        <is>
          <t>51.78</t>
        </is>
      </c>
      <c r="T679" t="inlineStr">
        <is>
          <t>7837556965592</t>
        </is>
      </c>
    </row>
    <row r="680" ht="87" customHeight="1">
      <c r="A680" s="2">
        <f>HYPERLINK("https://edmondsonsupply.com/collections/personal-protection-safety/products/hellberg-safety-secure-3-headband-hearing-protection", "https://edmondsonsupply.com/collections/personal-protection-safety/products/hellberg-safety-secure-3-headband-hearing-protection")</f>
        <v/>
      </c>
      <c r="B680" s="2">
        <f>HYPERLINK("https://edmondsonsupply.com/products/hellberg-safety-secure-3-headband-hearing-protection", "https://edmondsonsupply.com/products/hellberg-safety-secure-3-headband-hearing-protection")</f>
        <v/>
      </c>
      <c r="C680" t="inlineStr">
        <is>
          <t>Hellberg Safety Secure 3 Headband Hearing Protection</t>
        </is>
      </c>
      <c r="D680" t="inlineStr">
        <is>
          <t>Hellberg Safety 41002-001 Secure 2 Headband Hearing Protection, 26 dB NRR, Level 2 Protection for Medium to High Noise, Best Choice for High Frequency Noise</t>
        </is>
      </c>
      <c r="E680" s="2">
        <f>HYPERLINK("https://www.amazon.com/Hellberg-Safety-41002-001-Protection-Frequency/dp/B017DJJXOE/ref=sr_1_1?keywords=Hellberg+Safety+Secure+3+Headband+Hearing+Protection&amp;qid=1694734500&amp;sr=8-1", "https://www.amazon.com/Hellberg-Safety-41002-001-Protection-Frequency/dp/B017DJJXOE/ref=sr_1_1?keywords=Hellberg+Safety+Secure+3+Headband+Hearing+Protection&amp;qid=1694734500&amp;sr=8-1")</f>
        <v/>
      </c>
      <c r="F680" t="inlineStr">
        <is>
          <t>B017DJJXOE</t>
        </is>
      </c>
      <c r="G680">
        <f>_xlfn.IMAGE("https://edmondsonsupply.com/cdn/shop/products/41003-001_Original_637469277190930000.jpg?v=1635628443")</f>
        <v/>
      </c>
      <c r="H680">
        <f>_xlfn.IMAGE("https://m.media-amazon.com/images/I/716bzdxEJHL._AC_UL320_.jpg")</f>
        <v/>
      </c>
      <c r="K680" t="inlineStr">
        <is>
          <t>37.95</t>
        </is>
      </c>
      <c r="L680" t="n">
        <v>35.87</v>
      </c>
      <c r="M680" s="1" t="inlineStr">
        <is>
          <t>-5.48%</t>
        </is>
      </c>
      <c r="N680" s="7" t="n">
        <v>485.13</v>
      </c>
      <c r="O680" t="n">
        <v>4.5</v>
      </c>
      <c r="P680" t="n">
        <v>52</v>
      </c>
      <c r="R680" t="inlineStr">
        <is>
          <t>InStock</t>
        </is>
      </c>
      <c r="S680" t="inlineStr">
        <is>
          <t>43.95</t>
        </is>
      </c>
      <c r="T680" t="inlineStr">
        <is>
          <t>7355746713816</t>
        </is>
      </c>
    </row>
    <row r="681" ht="87" customHeight="1">
      <c r="A681" s="2">
        <f>HYPERLINK("https://edmondsonsupply.com/collections/personal-protection-safety/products/klein-tools-40226-journeyman-leather-utility-gloves-medium", "https://edmondsonsupply.com/collections/personal-protection-safety/products/klein-tools-40226-journeyman-leather-utility-gloves-medium")</f>
        <v/>
      </c>
      <c r="B681" s="2">
        <f>HYPERLINK("https://edmondsonsupply.com/products/klein-tools-40226-journeyman-leather-utility-gloves-medium", "https://edmondsonsupply.com/products/klein-tools-40226-journeyman-leather-utility-gloves-medium")</f>
        <v/>
      </c>
      <c r="C681" t="inlineStr">
        <is>
          <t>Klein Tools 40226 Journeyman Leather Utility Gloves, Medium</t>
        </is>
      </c>
      <c r="D681" t="inlineStr">
        <is>
          <t>Klein Tools 40227 Journeyman Leather Utility Gloves, Large, Brown</t>
        </is>
      </c>
      <c r="E681" s="2">
        <f>HYPERLINK("https://www.amazon.com/Journeyman-Leather-Klein-Tools-40227/dp/B01MCYW7TO/ref=sr_1_1?keywords=Klein+Tools+40226+Journeyman+Leather+Utility+Gloves%2C+Medium&amp;qid=1694734515&amp;sr=8-1", "https://www.amazon.com/Journeyman-Leather-Klein-Tools-40227/dp/B01MCYW7TO/ref=sr_1_1?keywords=Klein+Tools+40226+Journeyman+Leather+Utility+Gloves%2C+Medium&amp;qid=1694734515&amp;sr=8-1")</f>
        <v/>
      </c>
      <c r="F681" t="inlineStr">
        <is>
          <t>B01MCYW7TO</t>
        </is>
      </c>
      <c r="G681">
        <f>_xlfn.IMAGE("https://edmondsonsupply.com/cdn/shop/products/40226.jpg?v=1633030617")</f>
        <v/>
      </c>
      <c r="H681">
        <f>_xlfn.IMAGE("https://m.media-amazon.com/images/I/6151iadzGOL._AC_UL320_.jpg")</f>
        <v/>
      </c>
      <c r="K681" t="inlineStr">
        <is>
          <t>26.99</t>
        </is>
      </c>
      <c r="L681" t="n">
        <v>25.49</v>
      </c>
      <c r="M681" s="1" t="inlineStr">
        <is>
          <t>-5.56%</t>
        </is>
      </c>
      <c r="N681" s="7" t="n">
        <v>478.64</v>
      </c>
      <c r="O681" t="n">
        <v>4.4</v>
      </c>
      <c r="P681" t="n">
        <v>155</v>
      </c>
      <c r="R681" t="inlineStr">
        <is>
          <t>InStock</t>
        </is>
      </c>
      <c r="S681" t="inlineStr">
        <is>
          <t>39.12</t>
        </is>
      </c>
      <c r="T681" t="inlineStr">
        <is>
          <t>5651533463720</t>
        </is>
      </c>
    </row>
    <row r="682" ht="87" customHeight="1">
      <c r="A682" s="2">
        <f>HYPERLINK("https://edmondsonsupply.com/collections/personal-protection-safety/products/klein-tools-40227-journeyman-leather-utility-gloves-large", "https://edmondsonsupply.com/collections/personal-protection-safety/products/klein-tools-40227-journeyman-leather-utility-gloves-large")</f>
        <v/>
      </c>
      <c r="B682" s="2">
        <f>HYPERLINK("https://edmondsonsupply.com/products/klein-tools-40227-journeyman-leather-utility-gloves-large", "https://edmondsonsupply.com/products/klein-tools-40227-journeyman-leather-utility-gloves-large")</f>
        <v/>
      </c>
      <c r="C682" t="inlineStr">
        <is>
          <t>Klein Tools 40227 Journeyman Leather Utility Gloves, Large</t>
        </is>
      </c>
      <c r="D682" t="inlineStr">
        <is>
          <t>Klein Tools 40227 Journeyman Leather Utility Gloves, Large, Brown</t>
        </is>
      </c>
      <c r="E682" s="2">
        <f>HYPERLINK("https://www.amazon.com/Journeyman-Leather-Klein-Tools-40227/dp/B01MCYW7TO/ref=sr_1_1?keywords=Klein+Tools+40227+Journeyman+Leather+Utility+Gloves%2C+Large&amp;qid=1694734528&amp;sr=8-1", "https://www.amazon.com/Journeyman-Leather-Klein-Tools-40227/dp/B01MCYW7TO/ref=sr_1_1?keywords=Klein+Tools+40227+Journeyman+Leather+Utility+Gloves%2C+Large&amp;qid=1694734528&amp;sr=8-1")</f>
        <v/>
      </c>
      <c r="F682" t="inlineStr">
        <is>
          <t>B01MCYW7TO</t>
        </is>
      </c>
      <c r="G682">
        <f>_xlfn.IMAGE("https://edmondsonsupply.com/cdn/shop/products/40227.jpg?v=1633030298")</f>
        <v/>
      </c>
      <c r="H682">
        <f>_xlfn.IMAGE("https://m.media-amazon.com/images/I/6151iadzGOL._AC_UL320_.jpg")</f>
        <v/>
      </c>
      <c r="K682" t="inlineStr">
        <is>
          <t>26.99</t>
        </is>
      </c>
      <c r="L682" t="n">
        <v>25.49</v>
      </c>
      <c r="M682" s="1" t="inlineStr">
        <is>
          <t>-5.56%</t>
        </is>
      </c>
      <c r="N682" s="7" t="n">
        <v>472.26</v>
      </c>
      <c r="O682" t="n">
        <v>4.4</v>
      </c>
      <c r="P682" t="n">
        <v>155</v>
      </c>
      <c r="R682" t="inlineStr">
        <is>
          <t>InStock</t>
        </is>
      </c>
      <c r="S682" t="inlineStr">
        <is>
          <t>39.12</t>
        </is>
      </c>
      <c r="T682" t="inlineStr">
        <is>
          <t>5240629723304</t>
        </is>
      </c>
    </row>
    <row r="683" ht="87" customHeight="1">
      <c r="A683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683" s="2">
        <f>HYPERLINK("https://edmondsonsupply.com/products/klein-tools-60100-hard-hat-non-vented-cap-style-white", "https://edmondsonsupply.com/products/klein-tools-60100-hard-hat-non-vented-cap-style-white")</f>
        <v/>
      </c>
      <c r="C683" t="inlineStr">
        <is>
          <t>Klein Tools 60100 Hard Hat, Non-Vented, Cap Style, White</t>
        </is>
      </c>
      <c r="D683" t="inlineStr">
        <is>
          <t>Klein Tools 60400 Hard Hat, Non-Vented Full Brim Style, Padded, Self-Wicking Odor-Resistant Sweatband, Tested up to 20kV, White</t>
        </is>
      </c>
      <c r="E683" s="2">
        <f>HYPERLINK("https://www.amazon.com/Klein-Tools-Hard-Non-vented-Style/dp/B07TQNTCKL/ref=sr_1_5?keywords=Klein+Tools+60100+Hard+Hat%2C+Non-Vented%2C+Cap+Style%2C+White&amp;qid=1694734495&amp;sr=8-5", "https://www.amazon.com/Klein-Tools-Hard-Non-vented-Style/dp/B07TQNTCKL/ref=sr_1_5?keywords=Klein+Tools+60100+Hard+Hat%2C+Non-Vented%2C+Cap+Style%2C+White&amp;qid=1694734495&amp;sr=8-5")</f>
        <v/>
      </c>
      <c r="F683" t="inlineStr">
        <is>
          <t>B07TQNTCKL</t>
        </is>
      </c>
      <c r="G683">
        <f>_xlfn.IMAGE("https://edmondsonsupply.com/cdn/shop/products/60100_c.jpg?v=1648166061")</f>
        <v/>
      </c>
      <c r="H683">
        <f>_xlfn.IMAGE("https://m.media-amazon.com/images/I/61IcdM8MBnL._AC_UL320_.jpg")</f>
        <v/>
      </c>
      <c r="K683" t="inlineStr">
        <is>
          <t>39.99</t>
        </is>
      </c>
      <c r="L683" t="n">
        <v>37.49</v>
      </c>
      <c r="M683" s="1" t="inlineStr">
        <is>
          <t>-6.25%</t>
        </is>
      </c>
      <c r="N683" s="7" t="n">
        <v>460.82</v>
      </c>
      <c r="O683" t="n">
        <v>4.7</v>
      </c>
      <c r="P683" t="n">
        <v>357</v>
      </c>
      <c r="R683" t="inlineStr">
        <is>
          <t>OutOfStock</t>
        </is>
      </c>
      <c r="S683" t="inlineStr">
        <is>
          <t>55.44</t>
        </is>
      </c>
      <c r="T683" t="inlineStr">
        <is>
          <t>7643170406616</t>
        </is>
      </c>
    </row>
    <row r="684" hidden="1" ht="15.75" customHeight="1">
      <c r="A684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684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684" t="inlineStr">
        <is>
          <t>Klein Tools 60471 Professional Full-Frame Gasket Safety Glasses, Gray Lens</t>
        </is>
      </c>
      <c r="D684" t="inlineStr">
        <is>
          <t>Klein Tools 60163 Safety Glasses, Professional PPE Protective Eyewear with Full Frame, Scratch Resistant and Anti-Fog, Clear Lens , 5.6 x 4 inch</t>
        </is>
      </c>
      <c r="E684" s="2">
        <f>HYPERLINK("https://www.amazon.com/Klein-60163-Professional-Protective-Resistant/dp/B08B48CZ5V/ref=sr_1_6?keywords=Klein+Tools+60471+Professional+Full-Frame+Gasket+Safety+Glasses%2C+Gray+Lens&amp;qid=1694734489&amp;sr=8-6", "https://www.amazon.com/Klein-60163-Professional-Protective-Resistant/dp/B08B48CZ5V/ref=sr_1_6?keywords=Klein+Tools+60471+Professional+Full-Frame+Gasket+Safety+Glasses%2C+Gray+Lens&amp;qid=1694734489&amp;sr=8-6")</f>
        <v/>
      </c>
      <c r="F684" t="inlineStr">
        <is>
          <t>B08B48CZ5V</t>
        </is>
      </c>
      <c r="G684">
        <f>_xludf.IMAGE("https://edmondsonsupply.com/cdn/shop/products/60471.jpg?v=1663257501")</f>
        <v/>
      </c>
      <c r="H684">
        <f>_xludf.IMAGE("https://m.media-amazon.com/images/I/41IY8K6EFLL._AC_UL320_.jpg")</f>
        <v/>
      </c>
      <c r="K684" t="inlineStr">
        <is>
          <t>15.99</t>
        </is>
      </c>
      <c r="L684" t="n">
        <v>14.99</v>
      </c>
      <c r="M684" s="1" t="inlineStr">
        <is>
          <t>-6.25%</t>
        </is>
      </c>
      <c r="N684" s="1" t="n">
        <v>460.1</v>
      </c>
      <c r="O684" t="n">
        <v>4.4</v>
      </c>
      <c r="P684" t="n">
        <v>196</v>
      </c>
      <c r="R684" t="inlineStr">
        <is>
          <t>InStock</t>
        </is>
      </c>
      <c r="S684" t="inlineStr">
        <is>
          <t>21.98</t>
        </is>
      </c>
      <c r="T684" t="inlineStr">
        <is>
          <t>7817587785944</t>
        </is>
      </c>
    </row>
    <row r="685" hidden="1" ht="15.75" customHeight="1">
      <c r="A685" s="2">
        <f>HYPERLINK("https://edmondsonsupply.com/collections/personal-protection-safety/products/klein-tools-60471-professional-full-frame-gasket-safety-glasses-gray-lens", "https://edmondsonsupply.com/collections/personal-protection-safety/products/klein-tools-60471-professional-full-frame-gasket-safety-glasses-gray-lens")</f>
        <v/>
      </c>
      <c r="B685" s="2">
        <f>HYPERLINK("https://edmondsonsupply.com/products/klein-tools-60471-professional-full-frame-gasket-safety-glasses-gray-lens", "https://edmondsonsupply.com/products/klein-tools-60471-professional-full-frame-gasket-safety-glasses-gray-lens")</f>
        <v/>
      </c>
      <c r="C685" t="inlineStr">
        <is>
          <t>Klein Tools 60471 Professional Full-Frame Gasket Safety Glasses, Gray Lens</t>
        </is>
      </c>
      <c r="D685" t="inlineStr">
        <is>
          <t>Klein Tools 60164 Safety Glasses, Professional PPE Protective Eyewear with Full Frame, Scratch Resistant and Anti-Fog, Gray Lens 5.6 x 4 inch</t>
        </is>
      </c>
      <c r="E685" s="2">
        <f>HYPERLINK("https://www.amazon.com/Klein-60164-Professional-Protective-Resistant/dp/B08B4BNSHM/ref=sr_1_5?keywords=Klein+Tools+60471+Professional+Full-Frame+Gasket+Safety+Glasses%2C+Gray+Lens&amp;qid=1694734489&amp;sr=8-5", "https://www.amazon.com/Klein-60164-Professional-Protective-Resistant/dp/B08B4BNSHM/ref=sr_1_5?keywords=Klein+Tools+60471+Professional+Full-Frame+Gasket+Safety+Glasses%2C+Gray+Lens&amp;qid=1694734489&amp;sr=8-5")</f>
        <v/>
      </c>
      <c r="F685" t="inlineStr">
        <is>
          <t>B08B4BNSHM</t>
        </is>
      </c>
      <c r="G685">
        <f>_xludf.IMAGE("https://edmondsonsupply.com/cdn/shop/products/60471.jpg?v=1663257501")</f>
        <v/>
      </c>
      <c r="H685">
        <f>_xludf.IMAGE("https://m.media-amazon.com/images/I/41bNrH9NnFL._AC_UL320_.jpg")</f>
        <v/>
      </c>
      <c r="K685" t="inlineStr">
        <is>
          <t>15.99</t>
        </is>
      </c>
      <c r="L685" t="n">
        <v>14.99</v>
      </c>
      <c r="M685" s="1" t="inlineStr">
        <is>
          <t>-6.25%</t>
        </is>
      </c>
      <c r="N685" s="1" t="n">
        <v>459.11</v>
      </c>
      <c r="O685" t="n">
        <v>4.4</v>
      </c>
      <c r="P685" t="n">
        <v>459</v>
      </c>
      <c r="R685" t="inlineStr">
        <is>
          <t>InStock</t>
        </is>
      </c>
      <c r="S685" t="inlineStr">
        <is>
          <t>21.98</t>
        </is>
      </c>
      <c r="T685" t="inlineStr">
        <is>
          <t>7817587785944</t>
        </is>
      </c>
    </row>
    <row r="686" hidden="1" ht="15.75" customHeight="1">
      <c r="A686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686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686" t="inlineStr">
        <is>
          <t>Klein Tools 60470 Professional Full-Frame Gasket Safety Glasses, Clear Lens</t>
        </is>
      </c>
      <c r="D686" t="inlineStr">
        <is>
          <t>Klein Tools 60163 Safety Glasses, Professional PPE Protective Eyewear with Full Frame, Scratch Resistant and Anti-Fog, Clear Lens , 5.6 x 4 inch</t>
        </is>
      </c>
      <c r="E686" s="2">
        <f>HYPERLINK("https://www.amazon.com/Klein-60163-Professional-Protective-Resistant/dp/B08B48CZ5V/ref=sr_1_4?keywords=Klein+Tools+60470+Professional+Full-Frame+Gasket+Safety+Glasses%2C+Clear+Lens&amp;qid=1694734484&amp;sr=8-4", "https://www.amazon.com/Klein-60163-Professional-Protective-Resistant/dp/B08B48CZ5V/ref=sr_1_4?keywords=Klein+Tools+60470+Professional+Full-Frame+Gasket+Safety+Glasses%2C+Clear+Lens&amp;qid=1694734484&amp;sr=8-4")</f>
        <v/>
      </c>
      <c r="F686" t="inlineStr">
        <is>
          <t>B08B48CZ5V</t>
        </is>
      </c>
      <c r="G686">
        <f>_xludf.IMAGE("https://edmondsonsupply.com/cdn/shop/products/60470.jpg?v=1663260659")</f>
        <v/>
      </c>
      <c r="H686">
        <f>_xludf.IMAGE("https://m.media-amazon.com/images/I/41IY8K6EFLL._AC_UL320_.jpg")</f>
        <v/>
      </c>
      <c r="K686" t="inlineStr">
        <is>
          <t>15.99</t>
        </is>
      </c>
      <c r="L686" t="n">
        <v>14.99</v>
      </c>
      <c r="M686" s="1" t="inlineStr">
        <is>
          <t>-6.25%</t>
        </is>
      </c>
      <c r="N686" s="1" t="n">
        <v>455.57</v>
      </c>
      <c r="O686" t="n">
        <v>4.4</v>
      </c>
      <c r="P686" t="n">
        <v>196</v>
      </c>
      <c r="R686" t="inlineStr">
        <is>
          <t>InStock</t>
        </is>
      </c>
      <c r="S686" t="inlineStr">
        <is>
          <t>21.98</t>
        </is>
      </c>
      <c r="T686" t="inlineStr">
        <is>
          <t>7817690677464</t>
        </is>
      </c>
    </row>
    <row r="687" hidden="1" ht="15.75" customHeight="1">
      <c r="A687" s="2">
        <f>HYPERLINK("https://edmondsonsupply.com/collections/personal-protection-safety/products/klein-tools-60470-professional-full-frame-gasket-safety-glasses-clear-lens", "https://edmondsonsupply.com/collections/personal-protection-safety/products/klein-tools-60470-professional-full-frame-gasket-safety-glasses-clear-lens")</f>
        <v/>
      </c>
      <c r="B687" s="2">
        <f>HYPERLINK("https://edmondsonsupply.com/products/klein-tools-60470-professional-full-frame-gasket-safety-glasses-clear-lens", "https://edmondsonsupply.com/products/klein-tools-60470-professional-full-frame-gasket-safety-glasses-clear-lens")</f>
        <v/>
      </c>
      <c r="C687" t="inlineStr">
        <is>
          <t>Klein Tools 60470 Professional Full-Frame Gasket Safety Glasses, Clear Lens</t>
        </is>
      </c>
      <c r="D687" t="inlineStr">
        <is>
          <t>Klein Tools 60164 Safety Glasses, Professional PPE Protective Eyewear with Full Frame, Scratch Resistant and Anti-Fog, Gray Lens 5.6 x 4 inch</t>
        </is>
      </c>
      <c r="E687" s="2">
        <f>HYPERLINK("https://www.amazon.com/Klein-60164-Professional-Protective-Resistant/dp/B08B4BNSHM/ref=sr_1_9?keywords=Klein+Tools+60470+Professional+Full-Frame+Gasket+Safety+Glasses%2C+Clear+Lens&amp;qid=1694734484&amp;sr=8-9", "https://www.amazon.com/Klein-60164-Professional-Protective-Resistant/dp/B08B4BNSHM/ref=sr_1_9?keywords=Klein+Tools+60470+Professional+Full-Frame+Gasket+Safety+Glasses%2C+Clear+Lens&amp;qid=1694734484&amp;sr=8-9")</f>
        <v/>
      </c>
      <c r="F687" t="inlineStr">
        <is>
          <t>B08B4BNSHM</t>
        </is>
      </c>
      <c r="G687">
        <f>_xludf.IMAGE("https://edmondsonsupply.com/cdn/shop/products/60470.jpg?v=1663260659")</f>
        <v/>
      </c>
      <c r="H687">
        <f>_xludf.IMAGE("https://m.media-amazon.com/images/I/41bNrH9NnFL._AC_UL320_.jpg")</f>
        <v/>
      </c>
      <c r="K687" t="inlineStr">
        <is>
          <t>15.99</t>
        </is>
      </c>
      <c r="L687" t="n">
        <v>14.99</v>
      </c>
      <c r="M687" s="1" t="inlineStr">
        <is>
          <t>-6.25%</t>
        </is>
      </c>
      <c r="N687" s="1" t="n">
        <v>453.19</v>
      </c>
      <c r="O687" t="n">
        <v>4.4</v>
      </c>
      <c r="P687" t="n">
        <v>459</v>
      </c>
      <c r="R687" t="inlineStr">
        <is>
          <t>InStock</t>
        </is>
      </c>
      <c r="S687" t="inlineStr">
        <is>
          <t>21.98</t>
        </is>
      </c>
      <c r="T687" t="inlineStr">
        <is>
          <t>7817690677464</t>
        </is>
      </c>
    </row>
    <row r="688" hidden="1" ht="15.75" customHeight="1">
      <c r="A688" s="2">
        <f>HYPERLINK("https://edmondsonsupply.com/collections/personal-protection-safety/products/klein-tools-60269-safety-vest-high-visibility-reflective-vest-m-l", "https://edmondsonsupply.com/collections/personal-protection-safety/products/klein-tools-60269-safety-vest-high-visibility-reflective-vest-m-l")</f>
        <v/>
      </c>
      <c r="B688" s="2">
        <f>HYPERLINK("https://edmondsonsupply.com/products/klein-tools-60269-safety-vest-high-visibility-reflective-vest-m-l", "https://edmondsonsupply.com/products/klein-tools-60269-safety-vest-high-visibility-reflective-vest-m-l")</f>
        <v/>
      </c>
      <c r="C688" t="inlineStr">
        <is>
          <t>Klein Tools 60269 Safety Vest, High-Visibility Reflective Vest, M/L</t>
        </is>
      </c>
      <c r="D688" t="inlineStr">
        <is>
          <t>Klein Tools 60269 Safety Vest, High-Vis Reflective Mesh with 8-Pockets, M/L</t>
        </is>
      </c>
      <c r="E688" s="2">
        <f>HYPERLINK("https://www.amazon.com/Klein-60269-High-Vis-Reflective-8-Pockets/dp/B086V43Y28/ref=sr_1_1?keywords=Klein+Tools+60269+Safety+Vest%2C+High-Visibility+Reflective+Vest%2C+M%2FL&amp;qid=1694734515&amp;sr=8-1", "https://www.amazon.com/Klein-60269-High-Vis-Reflective-8-Pockets/dp/B086V43Y28/ref=sr_1_1?keywords=Klein+Tools+60269+Safety+Vest%2C+High-Visibility+Reflective+Vest%2C+M%2FL&amp;qid=1694734515&amp;sr=8-1")</f>
        <v/>
      </c>
      <c r="F688" t="inlineStr">
        <is>
          <t>B086V43Y28</t>
        </is>
      </c>
      <c r="G688">
        <f>_xludf.IMAGE("https://edmondsonsupply.com/cdn/shop/products/60269.jpg?v=1633030615")</f>
        <v/>
      </c>
      <c r="H688">
        <f>_xludf.IMAGE("https://m.media-amazon.com/images/I/51f+YKiJ7KL._AC_UL320_.jpg")</f>
        <v/>
      </c>
      <c r="K688" t="inlineStr">
        <is>
          <t>12.99</t>
        </is>
      </c>
      <c r="L688" t="n">
        <v>12.11</v>
      </c>
      <c r="M688" s="1" t="inlineStr">
        <is>
          <t>-6.77%</t>
        </is>
      </c>
      <c r="N688" s="1" t="n">
        <v>453.17</v>
      </c>
      <c r="O688" t="n">
        <v>4.4</v>
      </c>
      <c r="P688" t="n">
        <v>27</v>
      </c>
      <c r="R688" t="inlineStr">
        <is>
          <t>InStock</t>
        </is>
      </c>
      <c r="S688" t="inlineStr">
        <is>
          <t>14.0</t>
        </is>
      </c>
      <c r="T688" t="inlineStr">
        <is>
          <t>5647343976616</t>
        </is>
      </c>
    </row>
    <row r="689" ht="87" customHeight="1">
      <c r="A689" s="2">
        <f>HYPERLINK("https://edmondsonsupply.com/collections/personal-protection-safety/products/klein-tools-40216-journeyman-grip-gloves-size-extra-large-xl", "https://edmondsonsupply.com/collections/personal-protection-safety/products/klein-tools-40216-journeyman-grip-gloves-size-extra-large-xl")</f>
        <v/>
      </c>
      <c r="B689" s="2">
        <f>HYPERLINK("https://edmondsonsupply.com/products/klein-tools-40216-journeyman-grip-gloves-size-extra-large-xl", "https://edmondsonsupply.com/products/klein-tools-40216-journeyman-grip-gloves-size-extra-large-xl")</f>
        <v/>
      </c>
      <c r="C689" t="inlineStr">
        <is>
          <t>Klein Tools 40216 Journeyman Grip Gloves, Size Extra-Large XL</t>
        </is>
      </c>
      <c r="D689" t="inlineStr">
        <is>
          <t>Klein Tools 40216 Journeyman Grip Gloves, X-Large</t>
        </is>
      </c>
      <c r="E689" s="2">
        <f>HYPERLINK("https://www.amazon.com/Journeyman-X-Large-Klein-Tools-40216/dp/B00KZL59DW/ref=sr_1_2?keywords=Klein+Tools+40216+Journeyman+Grip+Gloves%2C+Size+Extra-Large+XL&amp;qid=1694734518&amp;sr=8-2", "https://www.amazon.com/Journeyman-X-Large-Klein-Tools-40216/dp/B00KZL59DW/ref=sr_1_2?keywords=Klein+Tools+40216+Journeyman+Grip+Gloves%2C+Size+Extra-Large+XL&amp;qid=1694734518&amp;sr=8-2")</f>
        <v/>
      </c>
      <c r="F689" t="inlineStr">
        <is>
          <t>B00KZL59DW</t>
        </is>
      </c>
      <c r="G689">
        <f>_xlfn.IMAGE("https://edmondsonsupply.com/cdn/shop/products/40216.jpg?v=1587143581")</f>
        <v/>
      </c>
      <c r="H689">
        <f>_xlfn.IMAGE("https://m.media-amazon.com/images/I/61nJpHze96S._AC_UL320_.jpg")</f>
        <v/>
      </c>
      <c r="K689" t="inlineStr">
        <is>
          <t>35.95</t>
        </is>
      </c>
      <c r="L689" t="n">
        <v>33.49</v>
      </c>
      <c r="M689" s="1" t="inlineStr">
        <is>
          <t>-6.84%</t>
        </is>
      </c>
      <c r="N689" s="7" t="n">
        <v>452.74</v>
      </c>
      <c r="O689" t="n">
        <v>4.1</v>
      </c>
      <c r="P689" t="n">
        <v>34</v>
      </c>
      <c r="R689" t="inlineStr">
        <is>
          <t>InStock</t>
        </is>
      </c>
      <c r="S689" t="inlineStr">
        <is>
          <t>undefined</t>
        </is>
      </c>
      <c r="T689" t="inlineStr">
        <is>
          <t>2847173279844</t>
        </is>
      </c>
    </row>
    <row r="690" hidden="1" ht="15.75" customHeight="1">
      <c r="A690" s="2">
        <f>HYPERLINK("https://edmondsonsupply.com/collections/personal-protection-safety/products/klein-tools-60268-safety-vest-high-visibility-reflective-vest-xl", "https://edmondsonsupply.com/collections/personal-protection-safety/products/klein-tools-60268-safety-vest-high-visibility-reflective-vest-xl")</f>
        <v/>
      </c>
      <c r="B690" s="2">
        <f>HYPERLINK("https://edmondsonsupply.com/products/klein-tools-60268-safety-vest-high-visibility-reflective-vest-xl", "https://edmondsonsupply.com/products/klein-tools-60268-safety-vest-high-visibility-reflective-vest-xl")</f>
        <v/>
      </c>
      <c r="C690" t="inlineStr">
        <is>
          <t>Klein Tools 60268 Safety Vest, High-Visibility Reflective Vest, XL</t>
        </is>
      </c>
      <c r="D690" t="inlineStr">
        <is>
          <t>SKSAFETY 10 Pockets Safety Vest, Class 2 High Visibility Security with Zipper Back Mesh, Hi Vis Vest with Reflective Strips, ANSI/ISEA Standard, Construction Work Vest for Men ＆ Women （Lime, 3XL）</t>
        </is>
      </c>
      <c r="E690" s="2">
        <f>HYPERLINK("https://www.amazon.com/Visibility-MESH-BACK-Standards-Construction-Reflective/dp/B098JJFDKD/ref=sr_1_13?keywords=Klein+Tools+60268+Safety+Vest%2C+High-Visibility+Reflective+Vest%2C+XL&amp;qid=1694734511&amp;sr=8-13", "https://www.amazon.com/Visibility-MESH-BACK-Standards-Construction-Reflective/dp/B098JJFDKD/ref=sr_1_13?keywords=Klein+Tools+60268+Safety+Vest%2C+High-Visibility+Reflective+Vest%2C+XL&amp;qid=1694734511&amp;sr=8-13")</f>
        <v/>
      </c>
      <c r="F690" t="inlineStr">
        <is>
          <t>B098JJFDKD</t>
        </is>
      </c>
      <c r="G690">
        <f>_xludf.IMAGE("https://edmondsonsupply.com/cdn/shop/products/60269_666bd473-3a48-44df-be76-72b410ea4070.jpg?v=1633030721")</f>
        <v/>
      </c>
      <c r="H690">
        <f>_xludf.IMAGE("https://m.media-amazon.com/images/I/71kWdyzegTS._AC_UL320_.jpg")</f>
        <v/>
      </c>
      <c r="K690" t="inlineStr">
        <is>
          <t>12.99</t>
        </is>
      </c>
      <c r="L690" t="n">
        <v>11.99</v>
      </c>
      <c r="M690" s="1" t="inlineStr">
        <is>
          <t>-7.70%</t>
        </is>
      </c>
      <c r="N690" s="1" t="n">
        <v>450.69</v>
      </c>
      <c r="O690" t="n">
        <v>4.4</v>
      </c>
      <c r="P690" t="n">
        <v>1614</v>
      </c>
      <c r="R690" t="inlineStr">
        <is>
          <t>InStock</t>
        </is>
      </c>
      <c r="S690" t="inlineStr">
        <is>
          <t>18.2</t>
        </is>
      </c>
      <c r="T690" t="inlineStr">
        <is>
          <t>5862990086312</t>
        </is>
      </c>
    </row>
    <row r="691" hidden="1" ht="15.75" customHeight="1">
      <c r="A691" s="2">
        <f>HYPERLINK("https://edmondsonsupply.com/collections/personal-protection-safety/products/klein-tools-60269-safety-vest-high-visibility-reflective-vest-m-l", "https://edmondsonsupply.com/collections/personal-protection-safety/products/klein-tools-60269-safety-vest-high-visibility-reflective-vest-m-l")</f>
        <v/>
      </c>
      <c r="B691" s="2">
        <f>HYPERLINK("https://edmondsonsupply.com/products/klein-tools-60269-safety-vest-high-visibility-reflective-vest-m-l", "https://edmondsonsupply.com/products/klein-tools-60269-safety-vest-high-visibility-reflective-vest-m-l")</f>
        <v/>
      </c>
      <c r="C691" t="inlineStr">
        <is>
          <t>Klein Tools 60269 Safety Vest, High-Visibility Reflective Vest, M/L</t>
        </is>
      </c>
      <c r="D691" t="inlineStr">
        <is>
          <t>SKSAFETY 10 Pockets Safety Vest, Class 2 High Visibility Security with Zipper Back Mesh, Hi Vis Vest with Reflective Strips, ANSI/ISEA Standard, Construction Work Vest for Men ＆ Women （Lime, 3XL）</t>
        </is>
      </c>
      <c r="E691" s="2">
        <f>HYPERLINK("https://www.amazon.com/Visibility-MESH-BACK-Standards-Construction-Reflective/dp/B098JJFDKD/ref=sr_1_13?keywords=Klein+Tools+60269+Safety+Vest%2C+High-Visibility+Reflective+Vest%2C+M%2FL&amp;qid=1694734515&amp;sr=8-13", "https://www.amazon.com/Visibility-MESH-BACK-Standards-Construction-Reflective/dp/B098JJFDKD/ref=sr_1_13?keywords=Klein+Tools+60269+Safety+Vest%2C+High-Visibility+Reflective+Vest%2C+M%2FL&amp;qid=1694734515&amp;sr=8-13")</f>
        <v/>
      </c>
      <c r="F691" t="inlineStr">
        <is>
          <t>B098JJFDKD</t>
        </is>
      </c>
      <c r="G691">
        <f>_xludf.IMAGE("https://edmondsonsupply.com/cdn/shop/products/60269.jpg?v=1633030615")</f>
        <v/>
      </c>
      <c r="H691">
        <f>_xludf.IMAGE("https://m.media-amazon.com/images/I/71kWdyzegTS._AC_UL320_.jpg")</f>
        <v/>
      </c>
      <c r="K691" t="inlineStr">
        <is>
          <t>12.99</t>
        </is>
      </c>
      <c r="L691" t="n">
        <v>11.99</v>
      </c>
      <c r="M691" s="1" t="inlineStr">
        <is>
          <t>-7.70%</t>
        </is>
      </c>
      <c r="N691" s="1" t="n">
        <v>444.26</v>
      </c>
      <c r="O691" t="n">
        <v>4.4</v>
      </c>
      <c r="P691" t="n">
        <v>1614</v>
      </c>
      <c r="R691" t="inlineStr">
        <is>
          <t>InStock</t>
        </is>
      </c>
      <c r="S691" t="inlineStr">
        <is>
          <t>14.0</t>
        </is>
      </c>
      <c r="T691" t="inlineStr">
        <is>
          <t>5647343976616</t>
        </is>
      </c>
    </row>
    <row r="692" ht="87" customHeight="1">
      <c r="A692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692" s="2">
        <f>HYPERLINK("https://edmondsonsupply.com/products/klein-tools-40218-journeyman-extreme-gloves-large", "https://edmondsonsupply.com/products/klein-tools-40218-journeyman-extreme-gloves-large")</f>
        <v/>
      </c>
      <c r="C692" t="inlineStr">
        <is>
          <t>Klein Tools 40218 Journeyman Extreme Gloves, Large</t>
        </is>
      </c>
      <c r="D692" t="inlineStr">
        <is>
          <t>Klein Tools 40218 Journeyman Extreme Gloves, Large</t>
        </is>
      </c>
      <c r="E692" s="2">
        <f>HYPERLINK("https://www.amazon.com/Journeyman-Extreme-Klein-Tools-40218/dp/B00KXDQGZC/ref=sr_1_1?keywords=Klein+Tools+40218+Journeyman+Extreme+Gloves%2C+Large&amp;qid=1694734514&amp;sr=8-1", "https://www.amazon.com/Journeyman-Extreme-Klein-Tools-40218/dp/B00KXDQGZC/ref=sr_1_1?keywords=Klein+Tools+40218+Journeyman+Extreme+Gloves%2C+Large&amp;qid=1694734514&amp;sr=8-1")</f>
        <v/>
      </c>
      <c r="F692" t="inlineStr">
        <is>
          <t>B00KXDQGZC</t>
        </is>
      </c>
      <c r="G692">
        <f>_xlfn.IMAGE("https://edmondsonsupply.com/cdn/shop/products/40219_0a592222-828d-4257-9e62-1df98be50c8b.jpg?v=1600025215")</f>
        <v/>
      </c>
      <c r="H692">
        <f>_xlfn.IMAGE("https://m.media-amazon.com/images/I/61dsHBtRn0L._AC_UL320_.jpg")</f>
        <v/>
      </c>
      <c r="K692" t="inlineStr">
        <is>
          <t>39.99</t>
        </is>
      </c>
      <c r="L692" t="n">
        <v>36.85</v>
      </c>
      <c r="M692" s="1" t="inlineStr">
        <is>
          <t>-7.85%</t>
        </is>
      </c>
      <c r="N692" s="7" t="n">
        <v>443.68</v>
      </c>
      <c r="O692" t="n">
        <v>4.4</v>
      </c>
      <c r="P692" t="n">
        <v>54</v>
      </c>
      <c r="R692" t="inlineStr">
        <is>
          <t>InStock</t>
        </is>
      </c>
      <c r="S692" t="inlineStr">
        <is>
          <t>55.44</t>
        </is>
      </c>
      <c r="T692" t="inlineStr">
        <is>
          <t>5782641410216</t>
        </is>
      </c>
    </row>
    <row r="693" ht="87" customHeight="1">
      <c r="A693" s="2">
        <f>HYPERLINK("https://edmondsonsupply.com/collections/personal-protection-safety/products/klein-tools-40219-journeyman-extreme-gloves-size-extra-large-xl", "https://edmondsonsupply.com/collections/personal-protection-safety/products/klein-tools-40219-journeyman-extreme-gloves-size-extra-large-xl")</f>
        <v/>
      </c>
      <c r="B693" s="2">
        <f>HYPERLINK("https://edmondsonsupply.com/products/klein-tools-40219-journeyman-extreme-gloves-size-extra-large-xl", "https://edmondsonsupply.com/products/klein-tools-40219-journeyman-extreme-gloves-size-extra-large-xl")</f>
        <v/>
      </c>
      <c r="C693" t="inlineStr">
        <is>
          <t>Klein Tools 40219 Journeyman Extreme Gloves, X-Large</t>
        </is>
      </c>
      <c r="D693" t="inlineStr">
        <is>
          <t>Klein Tools 40218 Journeyman Extreme Gloves, Large</t>
        </is>
      </c>
      <c r="E693" s="2">
        <f>HYPERLINK("https://www.amazon.com/Journeyman-Extreme-Klein-Tools-40218/dp/B00KXDQGZC/ref=sr_1_2?keywords=Klein+Tools+40219+Journeyman+Extreme+Gloves%2C+X-Large&amp;qid=1694734518&amp;sr=8-2", "https://www.amazon.com/Journeyman-Extreme-Klein-Tools-40218/dp/B00KXDQGZC/ref=sr_1_2?keywords=Klein+Tools+40219+Journeyman+Extreme+Gloves%2C+X-Large&amp;qid=1694734518&amp;sr=8-2")</f>
        <v/>
      </c>
      <c r="F693" t="inlineStr">
        <is>
          <t>B00KXDQGZC</t>
        </is>
      </c>
      <c r="G693">
        <f>_xlfn.IMAGE("https://edmondsonsupply.com/cdn/shop/products/40219.jpg?v=1587148707")</f>
        <v/>
      </c>
      <c r="H693">
        <f>_xlfn.IMAGE("https://m.media-amazon.com/images/I/61dsHBtRn0L._AC_UL320_.jpg")</f>
        <v/>
      </c>
      <c r="K693" t="inlineStr">
        <is>
          <t>39.99</t>
        </is>
      </c>
      <c r="L693" t="n">
        <v>36.85</v>
      </c>
      <c r="M693" s="1" t="inlineStr">
        <is>
          <t>-7.85%</t>
        </is>
      </c>
      <c r="N693" s="7" t="n">
        <v>439.28</v>
      </c>
      <c r="O693" t="n">
        <v>4.4</v>
      </c>
      <c r="P693" t="n">
        <v>54</v>
      </c>
      <c r="R693" t="inlineStr">
        <is>
          <t>InStock</t>
        </is>
      </c>
      <c r="S693" t="inlineStr">
        <is>
          <t>60.58</t>
        </is>
      </c>
      <c r="T693" t="inlineStr">
        <is>
          <t>2846942199908</t>
        </is>
      </c>
    </row>
    <row r="694" ht="87" customHeight="1">
      <c r="A694" s="2">
        <f>HYPERLINK("https://edmondsonsupply.com/collections/personal-protection-safety/products/klein-tools-60113rl-hard-hat-vented-cap-style-with-rechargeable-headlamp-white", "https://edmondsonsupply.com/collections/personal-protection-safety/products/klein-tools-60113rl-hard-hat-vented-cap-style-with-rechargeable-headlamp-white")</f>
        <v/>
      </c>
      <c r="B694" s="2">
        <f>HYPERLINK("https://edmondsonsupply.com/products/klein-tools-60113rl-hard-hat-vented-cap-style-with-rechargeable-headlamp-white", "https://edmondsonsupply.com/products/klein-tools-60113rl-hard-hat-vented-cap-style-with-rechargeable-headlamp-white")</f>
        <v/>
      </c>
      <c r="C694" t="inlineStr">
        <is>
          <t>Klein Tools 60113RL Hard Hat, Vented, Cap Style with Rechargeable Headlamp, White</t>
        </is>
      </c>
      <c r="D694" t="inlineStr">
        <is>
          <t>Klein Tools 60107RL Hard Hat, Rechargeable Headlamp, Non-vented, Cap Style, Padded Self-Wicking Odor-Resistant Sweatband, Tested up to 20kV, White</t>
        </is>
      </c>
      <c r="E694" s="2">
        <f>HYPERLINK("https://www.amazon.com/Klein-Tools-60107RL-Rechargeable-Odor-Resistant/dp/B08FC2DMCY/ref=sr_1_2?keywords=Klein+Tools+60113RL+Hard+Hat%2C+Vented%2C+Cap+Style+with+Rechargeable+Headlamp%2C+White&amp;qid=1694734498&amp;sr=8-2", "https://www.amazon.com/Klein-Tools-60107RL-Rechargeable-Odor-Resistant/dp/B08FC2DMCY/ref=sr_1_2?keywords=Klein+Tools+60113RL+Hard+Hat%2C+Vented%2C+Cap+Style+with+Rechargeable+Headlamp%2C+White&amp;qid=1694734498&amp;sr=8-2")</f>
        <v/>
      </c>
      <c r="F694" t="inlineStr">
        <is>
          <t>B08FC2DMCY</t>
        </is>
      </c>
      <c r="G694">
        <f>_xlfn.IMAGE("https://edmondsonsupply.com/cdn/shop/products/60113rl_c.jpg?v=1647891186")</f>
        <v/>
      </c>
      <c r="H694">
        <f>_xlfn.IMAGE("https://m.media-amazon.com/images/I/51q6h8gGqXL._AC_UL320_.jpg")</f>
        <v/>
      </c>
      <c r="K694" t="inlineStr">
        <is>
          <t>59.99</t>
        </is>
      </c>
      <c r="L694" t="n">
        <v>54.99</v>
      </c>
      <c r="M694" s="1" t="inlineStr">
        <is>
          <t>-8.33%</t>
        </is>
      </c>
      <c r="N694" s="7" t="n">
        <v>433.7</v>
      </c>
      <c r="O694" t="n">
        <v>4.6</v>
      </c>
      <c r="P694" t="n">
        <v>101</v>
      </c>
      <c r="R694" t="inlineStr">
        <is>
          <t>InStock</t>
        </is>
      </c>
      <c r="S694" t="inlineStr">
        <is>
          <t>90.48</t>
        </is>
      </c>
      <c r="T694" t="inlineStr">
        <is>
          <t>7640861376728</t>
        </is>
      </c>
    </row>
    <row r="695" hidden="1" ht="15.75" customHeight="1">
      <c r="A695" s="2">
        <f>HYPERLINK("https://edmondsonsupply.com/collections/personal-protection-safety/products/klein-tools-60268-safety-vest-high-visibility-reflective-vest-xl", "https://edmondsonsupply.com/collections/personal-protection-safety/products/klein-tools-60268-safety-vest-high-visibility-reflective-vest-xl")</f>
        <v/>
      </c>
      <c r="B695" s="2">
        <f>HYPERLINK("https://edmondsonsupply.com/products/klein-tools-60268-safety-vest-high-visibility-reflective-vest-xl", "https://edmondsonsupply.com/products/klein-tools-60268-safety-vest-high-visibility-reflective-vest-xl")</f>
        <v/>
      </c>
      <c r="C695" t="inlineStr">
        <is>
          <t>Klein Tools 60268 Safety Vest, High-Visibility Reflective Vest, XL</t>
        </is>
      </c>
      <c r="D695" t="inlineStr">
        <is>
          <t>Klein Tools 60268 Safety Vest, High-Vis Reflective Mesh with 8-Pockets, XL, Green/Silver</t>
        </is>
      </c>
      <c r="E695" s="2">
        <f>HYPERLINK("https://www.amazon.com/Klein-60268-High-Vis-Reflective-8-Pockets/dp/B086TTX1DN/ref=sr_1_1?keywords=Klein+Tools+60268+Safety+Vest%2C+High-Visibility+Reflective+Vest%2C+XL&amp;qid=1694734511&amp;sr=8-1", "https://www.amazon.com/Klein-60268-High-Vis-Reflective-8-Pockets/dp/B086TTX1DN/ref=sr_1_1?keywords=Klein+Tools+60268+Safety+Vest%2C+High-Visibility+Reflective+Vest%2C+XL&amp;qid=1694734511&amp;sr=8-1")</f>
        <v/>
      </c>
      <c r="F695" t="inlineStr">
        <is>
          <t>B086TTX1DN</t>
        </is>
      </c>
      <c r="G695">
        <f>_xludf.IMAGE("https://edmondsonsupply.com/cdn/shop/products/60269_666bd473-3a48-44df-be76-72b410ea4070.jpg?v=1633030721")</f>
        <v/>
      </c>
      <c r="H695">
        <f>_xludf.IMAGE("https://m.media-amazon.com/images/I/51f+YKiJ7KL._AC_UL320_.jpg")</f>
        <v/>
      </c>
      <c r="K695" t="inlineStr">
        <is>
          <t>12.99</t>
        </is>
      </c>
      <c r="L695" t="n">
        <v>11.83</v>
      </c>
      <c r="M695" s="1" t="inlineStr">
        <is>
          <t>-8.93%</t>
        </is>
      </c>
      <c r="N695" s="1" t="n">
        <v>428.21</v>
      </c>
      <c r="O695" t="n">
        <v>4.4</v>
      </c>
      <c r="P695" t="n">
        <v>27</v>
      </c>
      <c r="R695" t="inlineStr">
        <is>
          <t>InStock</t>
        </is>
      </c>
      <c r="S695" t="inlineStr">
        <is>
          <t>18.2</t>
        </is>
      </c>
      <c r="T695" t="inlineStr">
        <is>
          <t>5862990086312</t>
        </is>
      </c>
    </row>
    <row r="696" ht="87" customHeight="1">
      <c r="A696" s="2">
        <f>HYPERLINK("https://edmondsonsupply.com/collections/personal-protection-safety/products/klein-tools-60186-work-gloves-cut-level-4-touchscreen-large-2-pair", "https://edmondsonsupply.com/collections/personal-protection-safety/products/klein-tools-60186-work-gloves-cut-level-4-touchscreen-large-2-pair")</f>
        <v/>
      </c>
      <c r="B696" s="2">
        <f>HYPERLINK("https://edmondsonsupply.com/products/klein-tools-60186-work-gloves-cut-level-4-touchscreen-large-2-pair", "https://edmondsonsupply.com/products/klein-tools-60186-work-gloves-cut-level-4-touchscreen-large-2-pair")</f>
        <v/>
      </c>
      <c r="C696" t="inlineStr">
        <is>
          <t>Klein Tools 60186 Work Gloves, Cut Level 4, Touchscreen, Large, 2-Pair</t>
        </is>
      </c>
      <c r="D696" t="inlineStr">
        <is>
          <t>Klein Tools 60186 Work Gloves, Cut-Resistant Gloves ANSI Rated A4, Touchscreen, Large, 2-Pair</t>
        </is>
      </c>
      <c r="E696" s="2">
        <f>HYPERLINK("https://www.amazon.com/Klein-60186-Gloves-Cut-Resistant-Touchscreen/dp/B086V5W257/ref=sr_1_5?keywords=Klein+Tools+60186+Work+Gloves%2C+Cut+Level+4%2C+Touchscreen%2C+Large%2C+2-Pair&amp;qid=1694734476&amp;sr=8-5", "https://www.amazon.com/Klein-60186-Gloves-Cut-Resistant-Touchscreen/dp/B086V5W257/ref=sr_1_5?keywords=Klein+Tools+60186+Work+Gloves%2C+Cut+Level+4%2C+Touchscreen%2C+Large%2C+2-Pair&amp;qid=1694734476&amp;sr=8-5")</f>
        <v/>
      </c>
      <c r="F696" t="inlineStr">
        <is>
          <t>B086V5W257</t>
        </is>
      </c>
      <c r="G696">
        <f>_xlfn.IMAGE("https://edmondsonsupply.com/cdn/shop/products/60186.jpg?v=1633030303")</f>
        <v/>
      </c>
      <c r="H696">
        <f>_xlfn.IMAGE("https://m.media-amazon.com/images/I/71lOoZmdSgL._AC_UL320_.jpg")</f>
        <v/>
      </c>
      <c r="K696" t="inlineStr">
        <is>
          <t>18.87</t>
        </is>
      </c>
      <c r="L696" t="n">
        <v>16.99</v>
      </c>
      <c r="M696" s="1" t="inlineStr">
        <is>
          <t>-9.96%</t>
        </is>
      </c>
      <c r="N696" s="7" t="n">
        <v>423.14</v>
      </c>
      <c r="O696" t="n">
        <v>4.7</v>
      </c>
      <c r="P696" t="n">
        <v>96</v>
      </c>
      <c r="R696" t="inlineStr">
        <is>
          <t>InStock</t>
        </is>
      </c>
      <c r="S696" t="inlineStr">
        <is>
          <t>26.56</t>
        </is>
      </c>
      <c r="T696" t="inlineStr">
        <is>
          <t>5241286066344</t>
        </is>
      </c>
    </row>
    <row r="697" ht="87" customHeight="1">
      <c r="A697" s="2">
        <f>HYPERLINK("https://edmondsonsupply.com/collections/personal-protection-safety/products/klein-tools-60189-leather-work-gloves-x-large-pair", "https://edmondsonsupply.com/collections/personal-protection-safety/products/klein-tools-60189-leather-work-gloves-x-large-pair")</f>
        <v/>
      </c>
      <c r="B697" s="2">
        <f>HYPERLINK("https://edmondsonsupply.com/products/klein-tools-60189-leather-work-gloves-x-large-pair", "https://edmondsonsupply.com/products/klein-tools-60189-leather-work-gloves-x-large-pair")</f>
        <v/>
      </c>
      <c r="C697" t="inlineStr">
        <is>
          <t>Klein Tools 60189 Leather Work Gloves, X-Large, Pair</t>
        </is>
      </c>
      <c r="D697" t="inlineStr">
        <is>
          <t>Klein Tools 60189 Work Gloves, Professional Grade Leather Gloves with Knuckle and Finger Protection, Thumb Reinforcement, Mesh Back, X-Large</t>
        </is>
      </c>
      <c r="E697" s="2">
        <f>HYPERLINK("https://www.amazon.com/Klein-60189-Professional-Protection-Reinforcement/dp/B086V3DD9H/ref=sr_1_1?keywords=Klein+Tools+60189+Leather+Work+Gloves%2C+X-Large%2C+Pair&amp;qid=1694734517&amp;sr=8-1", "https://www.amazon.com/Klein-60189-Professional-Protection-Reinforcement/dp/B086V3DD9H/ref=sr_1_1?keywords=Klein+Tools+60189+Leather+Work+Gloves%2C+X-Large%2C+Pair&amp;qid=1694734517&amp;sr=8-1")</f>
        <v/>
      </c>
      <c r="F697" t="inlineStr">
        <is>
          <t>B086V3DD9H</t>
        </is>
      </c>
      <c r="G697">
        <f>_xlfn.IMAGE("https://edmondsonsupply.com/cdn/shop/products/60188.jpg?v=1587143489")</f>
        <v/>
      </c>
      <c r="H697">
        <f>_xlfn.IMAGE("https://m.media-amazon.com/images/I/71jIX+oeWqL._AC_UL320_.jpg")</f>
        <v/>
      </c>
      <c r="K697" t="inlineStr">
        <is>
          <t>24.99</t>
        </is>
      </c>
      <c r="L697" t="n">
        <v>22.12</v>
      </c>
      <c r="M697" s="1" t="inlineStr">
        <is>
          <t>-11.48%</t>
        </is>
      </c>
      <c r="N697" s="7" t="n">
        <v>422.92</v>
      </c>
      <c r="O697" t="n">
        <v>4.1</v>
      </c>
      <c r="P697" t="n">
        <v>155</v>
      </c>
      <c r="R697" t="inlineStr">
        <is>
          <t>InStock</t>
        </is>
      </c>
      <c r="S697" t="inlineStr">
        <is>
          <t>35.98</t>
        </is>
      </c>
      <c r="T697" t="inlineStr">
        <is>
          <t>4554986815588</t>
        </is>
      </c>
    </row>
    <row r="698" ht="87" customHeight="1">
      <c r="A698" s="2">
        <f>HYPERLINK("https://edmondsonsupply.com/collections/personal-protection-safety/products/klein-tools-60100-hard-hat-non-vented-cap-style-white", "https://edmondsonsupply.com/collections/personal-protection-safety/products/klein-tools-60100-hard-hat-non-vented-cap-style-white")</f>
        <v/>
      </c>
      <c r="B698" s="2">
        <f>HYPERLINK("https://edmondsonsupply.com/products/klein-tools-60100-hard-hat-non-vented-cap-style-white", "https://edmondsonsupply.com/products/klein-tools-60100-hard-hat-non-vented-cap-style-white")</f>
        <v/>
      </c>
      <c r="C698" t="inlineStr">
        <is>
          <t>Klein Tools 60100 Hard Hat, Non-Vented, Cap Style, White</t>
        </is>
      </c>
      <c r="D698" t="inlineStr">
        <is>
          <t>Klein Tools 60100 Hard Hat, Non-Vented Cap Style, Padded, Self-Wicking Odor-Resistant Sweatband, Tested up to 20kV, White</t>
        </is>
      </c>
      <c r="E698" s="2">
        <f>HYPERLINK("https://www.amazon.com/Klein-Tools-Hard-Non-vented-Style/dp/B07TMHWDG5/ref=sr_1_1?keywords=Klein+Tools+60100+Hard+Hat%2C+Non-Vented%2C+Cap+Style%2C+White&amp;qid=1694734495&amp;sr=8-1", "https://www.amazon.com/Klein-Tools-Hard-Non-vented-Style/dp/B07TMHWDG5/ref=sr_1_1?keywords=Klein+Tools+60100+Hard+Hat%2C+Non-Vented%2C+Cap+Style%2C+White&amp;qid=1694734495&amp;sr=8-1")</f>
        <v/>
      </c>
      <c r="F698" t="inlineStr">
        <is>
          <t>B07TMHWDG5</t>
        </is>
      </c>
      <c r="G698">
        <f>_xlfn.IMAGE("https://edmondsonsupply.com/cdn/shop/products/60100_c.jpg?v=1648166061")</f>
        <v/>
      </c>
      <c r="H698">
        <f>_xlfn.IMAGE("https://m.media-amazon.com/images/I/51o+x2QNZ-L._AC_UL320_.jpg")</f>
        <v/>
      </c>
      <c r="K698" t="inlineStr">
        <is>
          <t>39.99</t>
        </is>
      </c>
      <c r="L698" t="n">
        <v>34.99</v>
      </c>
      <c r="M698" s="1" t="inlineStr">
        <is>
          <t>-12.50%</t>
        </is>
      </c>
      <c r="N698" s="7" t="n">
        <v>419.27</v>
      </c>
      <c r="O698" t="n">
        <v>4.5</v>
      </c>
      <c r="P698" t="n">
        <v>35</v>
      </c>
      <c r="R698" t="inlineStr">
        <is>
          <t>OutOfStock</t>
        </is>
      </c>
      <c r="S698" t="inlineStr">
        <is>
          <t>55.44</t>
        </is>
      </c>
      <c r="T698" t="inlineStr">
        <is>
          <t>7643170406616</t>
        </is>
      </c>
    </row>
    <row r="699" hidden="1" ht="15.75" customHeight="1">
      <c r="A699" s="2">
        <f>HYPERLINK("https://edmondsonsupply.com/collections/personal-protection-safety/products/klein-tools-55487-tradesman-pro%E2%84%A2-shoe-covers-medium", "https://edmondsonsupply.com/collections/personal-protection-safety/products/klein-tools-55487-tradesman-pro%E2%84%A2-shoe-covers-medium")</f>
        <v/>
      </c>
      <c r="B699" s="2">
        <f>HYPERLINK("https://edmondsonsupply.com/products/klein-tools-55487-tradesman-pro%e2%84%a2-shoe-covers-medium", "https://edmondsonsupply.com/products/klein-tools-55487-tradesman-pro%e2%84%a2-shoe-covers-medium")</f>
        <v/>
      </c>
      <c r="C699" t="inlineStr">
        <is>
          <t>Klein Tools 55487 Tradesman Pro™ Shoe Covers, Medium</t>
        </is>
      </c>
      <c r="D699" t="inlineStr">
        <is>
          <t>Klein Tools 55487 Tradesman Pro Shoe Covers, Medium</t>
        </is>
      </c>
      <c r="E699" s="2">
        <f>HYPERLINK("https://www.amazon.com/Tradesman-Covers-Klein-Tools-55487/dp/B075ZYTQHP/ref=sr_1_1?keywords=Klein+Tools+55487+Tradesman+Pro%E2%84%A2+Shoe+Covers%2C+Medium&amp;qid=1694734505&amp;sr=8-1", "https://www.amazon.com/Tradesman-Covers-Klein-Tools-55487/dp/B075ZYTQHP/ref=sr_1_1?keywords=Klein+Tools+55487+Tradesman+Pro%E2%84%A2+Shoe+Covers%2C+Medium&amp;qid=1694734505&amp;sr=8-1")</f>
        <v/>
      </c>
      <c r="F699" t="inlineStr">
        <is>
          <t>B075ZYTQHP</t>
        </is>
      </c>
      <c r="G699">
        <f>_xludf.IMAGE("https://edmondsonsupply.com/cdn/shop/products/57_1_01b2e386-9864-4289-a57c-b41e4b283567.jpg?v=1633031042")</f>
        <v/>
      </c>
      <c r="H699">
        <f>_xludf.IMAGE("https://m.media-amazon.com/images/I/71Sw-BaYREL._AC_UL320_.jpg")</f>
        <v/>
      </c>
      <c r="K699" t="inlineStr">
        <is>
          <t>16.99</t>
        </is>
      </c>
      <c r="L699" t="n">
        <v>14.83</v>
      </c>
      <c r="M699" s="1" t="inlineStr">
        <is>
          <t>-12.71%</t>
        </is>
      </c>
      <c r="N699" s="1" t="n">
        <v>413.21</v>
      </c>
      <c r="O699" t="n">
        <v>4.6</v>
      </c>
      <c r="P699" t="n">
        <v>256</v>
      </c>
      <c r="R699" t="inlineStr">
        <is>
          <t>InStock</t>
        </is>
      </c>
      <c r="S699" t="inlineStr">
        <is>
          <t>23.78</t>
        </is>
      </c>
      <c r="T699" t="inlineStr">
        <is>
          <t>6754580693165</t>
        </is>
      </c>
    </row>
    <row r="700" ht="87" customHeight="1">
      <c r="A700" s="2">
        <f>HYPERLINK("https://edmondsonsupply.com/collections/personal-protection-safety/products/klein-tools-56063-rechargeable-safety-lamp-with-magnet", "https://edmondsonsupply.com/collections/personal-protection-safety/products/klein-tools-56063-rechargeable-safety-lamp-with-magnet")</f>
        <v/>
      </c>
      <c r="B700" s="2">
        <f>HYPERLINK("https://edmondsonsupply.com/products/klein-tools-56063-rechargeable-safety-lamp-with-magnet", "https://edmondsonsupply.com/products/klein-tools-56063-rechargeable-safety-lamp-with-magnet")</f>
        <v/>
      </c>
      <c r="C700" t="inlineStr">
        <is>
          <t>Klein Tools 56063 Rechargeable Safety Lamp with Magnet</t>
        </is>
      </c>
      <c r="D700" t="inlineStr">
        <is>
          <t>Klein Tools 56063 Rechargeable Safety Light with Magnet, Red, Mounts to Klein Hard Hats and Safety Helmets, Medium</t>
        </is>
      </c>
      <c r="E700" s="2">
        <f>HYPERLINK("https://www.amazon.com/Rechargeable-Safety-Lamp-with-Magnet/dp/B09BTCMVN6/ref=sr_1_1?keywords=Klein+Tools+56063+Rechargeable+Safety+Lamp+with+Magnet&amp;qid=1694734484&amp;sr=8-1", "https://www.amazon.com/Rechargeable-Safety-Lamp-with-Magnet/dp/B09BTCMVN6/ref=sr_1_1?keywords=Klein+Tools+56063+Rechargeable+Safety+Lamp+with+Magnet&amp;qid=1694734484&amp;sr=8-1")</f>
        <v/>
      </c>
      <c r="F700" t="inlineStr">
        <is>
          <t>B09BTCMVN6</t>
        </is>
      </c>
      <c r="G700">
        <f>_xlfn.IMAGE("https://edmondsonsupply.com/cdn/shop/products/56063_c.jpg?v=1664458608")</f>
        <v/>
      </c>
      <c r="H700">
        <f>_xlfn.IMAGE("https://m.media-amazon.com/images/I/61Exhc5oLeL._AC_UL320_.jpg")</f>
        <v/>
      </c>
      <c r="K700" t="inlineStr">
        <is>
          <t>34.49</t>
        </is>
      </c>
      <c r="L700" t="n">
        <v>29.99</v>
      </c>
      <c r="M700" s="1" t="inlineStr">
        <is>
          <t>-13.05%</t>
        </is>
      </c>
      <c r="N700" s="7" t="n">
        <v>412.59</v>
      </c>
      <c r="O700" t="n">
        <v>4.6</v>
      </c>
      <c r="P700" t="n">
        <v>81</v>
      </c>
      <c r="R700" t="inlineStr">
        <is>
          <t>InStock</t>
        </is>
      </c>
      <c r="S700" t="inlineStr">
        <is>
          <t>48.3</t>
        </is>
      </c>
      <c r="T700" t="inlineStr">
        <is>
          <t>7833437012184</t>
        </is>
      </c>
    </row>
    <row r="701" ht="87" customHeight="1">
      <c r="A701" s="2">
        <f>HYPERLINK("https://edmondsonsupply.com/collections/personal-protection-safety/products/klein-tools-60406rl-hard-hat-non-vented-full-brim-with-rechargeable-headlamp-white", "https://edmondsonsupply.com/collections/personal-protection-safety/products/klein-tools-60406rl-hard-hat-non-vented-full-brim-with-rechargeable-headlamp-white")</f>
        <v/>
      </c>
      <c r="B701" s="2">
        <f>HYPERLINK("https://edmondsonsupply.com/products/klein-tools-60406rl-hard-hat-non-vented-full-brim-with-rechargeable-headlamp-white", "https://edmondsonsupply.com/products/klein-tools-60406rl-hard-hat-non-vented-full-brim-with-rechargeable-headlamp-white")</f>
        <v/>
      </c>
      <c r="C701" t="inlineStr">
        <is>
          <t>Klein Tools 60406RL Hard Hat, Non-Vented, Full Brim with Rechargeable Headlamp, White</t>
        </is>
      </c>
      <c r="D701" t="inlineStr">
        <is>
          <t>Klein Tools 60407RL Hard Hat, Rechargeable Headlamp, Vented, Full Brim Style, Padded Self-Wicking Odor-Resistant Sweatband, White, Large</t>
        </is>
      </c>
      <c r="E701" s="2">
        <f>HYPERLINK("https://www.amazon.com/Klein-Tools-60407RL-Rechargeable-Odor-Resistant/dp/B08DDTV9M3/ref=sr_1_2?keywords=Klein+Tools+60406RL+Hard+Hat%2C+Non-Vented%2C+Full+Brim+with+Rechargeable+Headlamp%2C+White&amp;qid=1694734487&amp;sr=8-2", "https://www.amazon.com/Klein-Tools-60407RL-Rechargeable-Odor-Resistant/dp/B08DDTV9M3/ref=sr_1_2?keywords=Klein+Tools+60406RL+Hard+Hat%2C+Non-Vented%2C+Full+Brim+with+Rechargeable+Headlamp%2C+White&amp;qid=1694734487&amp;sr=8-2")</f>
        <v/>
      </c>
      <c r="F701" t="inlineStr">
        <is>
          <t>B08DDTV9M3</t>
        </is>
      </c>
      <c r="G701">
        <f>_xlfn.IMAGE("https://edmondsonsupply.com/cdn/shop/products/60406rl_c.jpg?v=1665606616")</f>
        <v/>
      </c>
      <c r="H701">
        <f>_xlfn.IMAGE("https://m.media-amazon.com/images/I/61w2MM+yDgL._AC_UL320_.jpg")</f>
        <v/>
      </c>
      <c r="K701" t="inlineStr">
        <is>
          <t>69.99</t>
        </is>
      </c>
      <c r="L701" t="n">
        <v>60.37</v>
      </c>
      <c r="M701" s="1" t="inlineStr">
        <is>
          <t>-13.74%</t>
        </is>
      </c>
      <c r="N701" s="7" t="n">
        <v>412.56</v>
      </c>
      <c r="O701" t="n">
        <v>4.7</v>
      </c>
      <c r="P701" t="n">
        <v>1575</v>
      </c>
      <c r="R701" t="inlineStr">
        <is>
          <t>InStock</t>
        </is>
      </c>
      <c r="S701" t="inlineStr">
        <is>
          <t>105.0</t>
        </is>
      </c>
      <c r="T701" t="inlineStr">
        <is>
          <t>7850253418712</t>
        </is>
      </c>
    </row>
    <row r="702" hidden="1" ht="15.75" customHeight="1">
      <c r="A702" s="2">
        <f>HYPERLINK("https://edmondsonsupply.com/collections/personal-protection-safety/products/edge-eyewear-sr116-reclus-black-frame-smoke-lens-safety-glasses", "https://edmondsonsupply.com/collections/personal-protection-safety/products/edge-eyewear-sr116-reclus-black-frame-smoke-lens-safety-glasses")</f>
        <v/>
      </c>
      <c r="B702" s="2">
        <f>HYPERLINK("https://edmondsonsupply.com/products/edge-eyewear-sr116-reclus-black-frame-smoke-lens-safety-glasses", "https://edmondsonsupply.com/products/edge-eyewear-sr116-reclus-black-frame-smoke-lens-safety-glasses")</f>
        <v/>
      </c>
      <c r="C702" t="inlineStr">
        <is>
          <t>Edge Eyewear SR116 Reclus - Black Frame/Smoke Lens, Safety Glasses</t>
        </is>
      </c>
      <c r="D702" t="inlineStr">
        <is>
          <t>Edge SR116 Reclus Wrap-Around Safety Glasses, Anti-Scratch, Non-Slip, UV 400, Military Grade, ANSI/ISEA &amp; MCEPS Compliant, 5.04" Wide, Black Frame/Smoke Lens</t>
        </is>
      </c>
      <c r="E702" s="2">
        <f>HYPERLINK("https://www.amazon.com/SR116-Wrap-Around-Anti-Scratch-Non-Slip-Compliant/dp/B002R98J1E/ref=sr_1_1?keywords=Edge+Eyewear+SR116+Reclus+-+Black+Frame%2FSmoke+Lens%2C+Safety+Glasses&amp;qid=1694734504&amp;sr=8-1", "https://www.amazon.com/SR116-Wrap-Around-Anti-Scratch-Non-Slip-Compliant/dp/B002R98J1E/ref=sr_1_1?keywords=Edge+Eyewear+SR116+Reclus+-+Black+Frame%2FSmoke+Lens%2C+Safety+Glasses&amp;qid=1694734504&amp;sr=8-1")</f>
        <v/>
      </c>
      <c r="F702" t="inlineStr">
        <is>
          <t>B002R98J1E</t>
        </is>
      </c>
      <c r="G702">
        <f>_xludf.IMAGE("https://edmondsonsupply.com/cdn/shop/products/SR116_1512x_cc8649c7-14e6-4c1c-9513-7dd61f5f7eb9.png?v=1633030940")</f>
        <v/>
      </c>
      <c r="H702">
        <f>_xludf.IMAGE("https://m.media-amazon.com/images/I/41LN-T2NQaL._AC_UL320_.jpg")</f>
        <v/>
      </c>
      <c r="K702" t="inlineStr">
        <is>
          <t>16.47</t>
        </is>
      </c>
      <c r="L702" t="n">
        <v>13.99</v>
      </c>
      <c r="M702" s="1" t="inlineStr">
        <is>
          <t>-15.06%</t>
        </is>
      </c>
      <c r="N702" s="1" t="n">
        <v>409.5</v>
      </c>
      <c r="O702" t="n">
        <v>4.3</v>
      </c>
      <c r="P702" t="n">
        <v>2664</v>
      </c>
      <c r="R702" t="inlineStr">
        <is>
          <t>InStock</t>
        </is>
      </c>
      <c r="S702" t="inlineStr">
        <is>
          <t>18.3</t>
        </is>
      </c>
      <c r="T702" t="inlineStr">
        <is>
          <t>6572908085421</t>
        </is>
      </c>
    </row>
    <row r="703" hidden="1" ht="15.75" customHeight="1">
      <c r="A703" s="2">
        <f>HYPERLINK("https://edmondsonsupply.com/collections/personal-protection-safety/products/john-boy-neon-reflect-y-face-guard", "https://edmondsonsupply.com/collections/personal-protection-safety/products/john-boy-neon-reflect-y-face-guard")</f>
        <v/>
      </c>
      <c r="B703" s="2">
        <f>HYPERLINK("https://edmondsonsupply.com/products/john-boy-neon-reflect-y-face-guard", "https://edmondsonsupply.com/products/john-boy-neon-reflect-y-face-guard")</f>
        <v/>
      </c>
      <c r="C703" t="inlineStr">
        <is>
          <t>John Boy NEON REFLECT-Y Face Guard</t>
        </is>
      </c>
      <c r="D703" t="inlineStr">
        <is>
          <t>John Boy Racing Face Guard - UPF 50+ Neck Gaiter Mask with UV Sun Protection &amp; Moisture Wicking Fabric - TOXIC</t>
        </is>
      </c>
      <c r="E703" s="2">
        <f>HYPERLINK("https://www.amazon.com/JOHN-BOY-Racing-Face-Guard/dp/B0842ZPD8B/ref=sr_1_2?keywords=John+Boy+NEON+REFLECT-Y+Face+Guard&amp;qid=1694734515&amp;sr=8-2", "https://www.amazon.com/JOHN-BOY-Racing-Face-Guard/dp/B0842ZPD8B/ref=sr_1_2?keywords=John+Boy+NEON+REFLECT-Y+Face+Guard&amp;qid=1694734515&amp;sr=8-2")</f>
        <v/>
      </c>
      <c r="F703" t="inlineStr">
        <is>
          <t>B0842ZPD8B</t>
        </is>
      </c>
      <c r="G703">
        <f>_xludf.IMAGE("https://edmondsonsupply.com/cdn/shop/products/NEONREFLECT-Y.jpg?v=1633030720")</f>
        <v/>
      </c>
      <c r="H703">
        <f>_xludf.IMAGE("https://m.media-amazon.com/images/I/71yOG1wKzSL._AC_UL320_.jpg")</f>
        <v/>
      </c>
      <c r="K703" t="inlineStr">
        <is>
          <t>10.0</t>
        </is>
      </c>
      <c r="L703" t="n">
        <v>8.49</v>
      </c>
      <c r="M703" s="1" t="inlineStr">
        <is>
          <t>-15.10%</t>
        </is>
      </c>
      <c r="N703" s="1" t="n">
        <v>407.46</v>
      </c>
      <c r="O703" t="n">
        <v>4.2</v>
      </c>
      <c r="P703" t="n">
        <v>6</v>
      </c>
      <c r="R703" t="inlineStr">
        <is>
          <t>InStock</t>
        </is>
      </c>
      <c r="S703" t="inlineStr">
        <is>
          <t>undefined</t>
        </is>
      </c>
      <c r="T703" t="inlineStr">
        <is>
          <t>5862932414632</t>
        </is>
      </c>
    </row>
    <row r="704" hidden="1" ht="15.75" customHeight="1">
      <c r="A704" s="2">
        <f>HYPERLINK("https://edmondsonsupply.com/collections/personal-protection-safety/products/john-boy-desert-face-guard", "https://edmondsonsupply.com/collections/personal-protection-safety/products/john-boy-desert-face-guard")</f>
        <v/>
      </c>
      <c r="B704" s="2">
        <f>HYPERLINK("https://edmondsonsupply.com/products/john-boy-desert-face-guard", "https://edmondsonsupply.com/products/john-boy-desert-face-guard")</f>
        <v/>
      </c>
      <c r="C704" t="inlineStr">
        <is>
          <t>John Boy DESERT Face Guard</t>
        </is>
      </c>
      <c r="D704" t="inlineStr">
        <is>
          <t>John Boy Racing Face Guard - UPF 50+ Neck Gaiter Mask with UV Sun Protection &amp; Moisture Wicking Fabric - TOXIC</t>
        </is>
      </c>
      <c r="E704" s="2">
        <f>HYPERLINK("https://www.amazon.com/JOHN-BOY-Racing-Face-Guard/dp/B0842ZPD8B/ref=sr_1_1?keywords=John+Boy+DESERT+Face+Guard&amp;qid=1694734515&amp;sr=8-1", "https://www.amazon.com/JOHN-BOY-Racing-Face-Guard/dp/B0842ZPD8B/ref=sr_1_1?keywords=John+Boy+DESERT+Face+Guard&amp;qid=1694734515&amp;sr=8-1")</f>
        <v/>
      </c>
      <c r="F704" t="inlineStr">
        <is>
          <t>B0842ZPD8B</t>
        </is>
      </c>
      <c r="G704">
        <f>_xludf.IMAGE("https://edmondsonsupply.com/cdn/shop/products/Desertcopy.jpg?v=1633030720")</f>
        <v/>
      </c>
      <c r="H704">
        <f>_xludf.IMAGE("https://m.media-amazon.com/images/I/71yOG1wKzSL._AC_UL320_.jpg")</f>
        <v/>
      </c>
      <c r="K704" t="inlineStr">
        <is>
          <t>10.0</t>
        </is>
      </c>
      <c r="L704" t="n">
        <v>8.49</v>
      </c>
      <c r="M704" s="1" t="inlineStr">
        <is>
          <t>-15.10%</t>
        </is>
      </c>
      <c r="N704" s="1" t="n">
        <v>404.11</v>
      </c>
      <c r="O704" t="n">
        <v>4.2</v>
      </c>
      <c r="P704" t="n">
        <v>6</v>
      </c>
      <c r="R704" t="inlineStr">
        <is>
          <t>InStock</t>
        </is>
      </c>
      <c r="S704" t="inlineStr">
        <is>
          <t>undefined</t>
        </is>
      </c>
      <c r="T704" t="inlineStr">
        <is>
          <t>5862662930600</t>
        </is>
      </c>
    </row>
    <row r="705" hidden="1" ht="15.75" customHeight="1">
      <c r="A705" s="2">
        <f>HYPERLINK("https://edmondsonsupply.com/collections/personal-protection-safety/products/john-boy-tree-face-guard", "https://edmondsonsupply.com/collections/personal-protection-safety/products/john-boy-tree-face-guard")</f>
        <v/>
      </c>
      <c r="B705" s="2">
        <f>HYPERLINK("https://edmondsonsupply.com/products/john-boy-tree-face-guard", "https://edmondsonsupply.com/products/john-boy-tree-face-guard")</f>
        <v/>
      </c>
      <c r="C705" t="inlineStr">
        <is>
          <t>John Boy TREE Face Guard</t>
        </is>
      </c>
      <c r="D705" t="inlineStr">
        <is>
          <t>John Boy Racing Face Guard - UPF 50+ Neck Gaiter Mask with UV Sun Protection &amp; Moisture Wicking Fabric - TOXIC</t>
        </is>
      </c>
      <c r="E705" s="2">
        <f>HYPERLINK("https://www.amazon.com/JOHN-BOY-Racing-Face-Guard/dp/B0842ZPD8B/ref=sr_1_9?keywords=John+Boy+TREE+Face+Guard&amp;qid=1694734508&amp;sr=8-9", "https://www.amazon.com/JOHN-BOY-Racing-Face-Guard/dp/B0842ZPD8B/ref=sr_1_9?keywords=John+Boy+TREE+Face+Guard&amp;qid=1694734508&amp;sr=8-9")</f>
        <v/>
      </c>
      <c r="F705" t="inlineStr">
        <is>
          <t>B0842ZPD8B</t>
        </is>
      </c>
      <c r="G705">
        <f>_xludf.IMAGE("https://edmondsonsupply.com/cdn/shop/products/tree-mockup.jpg?v=1633030898")</f>
        <v/>
      </c>
      <c r="H705">
        <f>_xludf.IMAGE("https://m.media-amazon.com/images/I/71yOG1wKzSL._AC_UL320_.jpg")</f>
        <v/>
      </c>
      <c r="K705" t="inlineStr">
        <is>
          <t>10.0</t>
        </is>
      </c>
      <c r="L705" t="n">
        <v>8.49</v>
      </c>
      <c r="M705" s="1" t="inlineStr">
        <is>
          <t>-15.10%</t>
        </is>
      </c>
      <c r="N705" s="1" t="n">
        <v>403.39</v>
      </c>
      <c r="O705" t="n">
        <v>4.2</v>
      </c>
      <c r="P705" t="n">
        <v>6</v>
      </c>
      <c r="R705" t="inlineStr">
        <is>
          <t>InStock</t>
        </is>
      </c>
      <c r="S705" t="inlineStr">
        <is>
          <t>undefined</t>
        </is>
      </c>
      <c r="T705" t="inlineStr">
        <is>
          <t>6241649066157</t>
        </is>
      </c>
    </row>
    <row r="706" hidden="1" ht="15.75" customHeight="1">
      <c r="A706" s="2">
        <f>HYPERLINK("https://edmondsonsupply.com/collections/personal-protection-safety/products/john-boy-texas-face-guard", "https://edmondsonsupply.com/collections/personal-protection-safety/products/john-boy-texas-face-guard")</f>
        <v/>
      </c>
      <c r="B706" s="2">
        <f>HYPERLINK("https://edmondsonsupply.com/products/john-boy-texas-face-guard", "https://edmondsonsupply.com/products/john-boy-texas-face-guard")</f>
        <v/>
      </c>
      <c r="C706" t="inlineStr">
        <is>
          <t>John Boy TEXAS Face Guard</t>
        </is>
      </c>
      <c r="D706" t="inlineStr">
        <is>
          <t>John Boy Racing Face Guard - UPF 50+ Neck Gaiter Mask with UV Sun Protection &amp; Moisture Wicking Fabric - TOXIC</t>
        </is>
      </c>
      <c r="E706" s="2">
        <f>HYPERLINK("https://www.amazon.com/JOHN-BOY-Racing-Face-Guard/dp/B0842ZPD8B/ref=sr_1_1?keywords=John+Boy+TEXAS+Face+Guard&amp;qid=1694734515&amp;sr=8-1", "https://www.amazon.com/JOHN-BOY-Racing-Face-Guard/dp/B0842ZPD8B/ref=sr_1_1?keywords=John+Boy+TEXAS+Face+Guard&amp;qid=1694734515&amp;sr=8-1")</f>
        <v/>
      </c>
      <c r="F706" t="inlineStr">
        <is>
          <t>B0842ZPD8B</t>
        </is>
      </c>
      <c r="G706">
        <f>_xludf.IMAGE("https://edmondsonsupply.com/cdn/shop/products/TX2-FG.jpg?v=1633030719")</f>
        <v/>
      </c>
      <c r="H706">
        <f>_xludf.IMAGE("https://m.media-amazon.com/images/I/71yOG1wKzSL._AC_UL320_.jpg")</f>
        <v/>
      </c>
      <c r="K706" t="inlineStr">
        <is>
          <t>10.0</t>
        </is>
      </c>
      <c r="L706" t="n">
        <v>8.49</v>
      </c>
      <c r="M706" s="1" t="inlineStr">
        <is>
          <t>-15.10%</t>
        </is>
      </c>
      <c r="N706" s="1" t="n">
        <v>401.94</v>
      </c>
      <c r="O706" t="n">
        <v>4.2</v>
      </c>
      <c r="P706" t="n">
        <v>6</v>
      </c>
      <c r="R706" t="inlineStr">
        <is>
          <t>OutOfStock</t>
        </is>
      </c>
      <c r="S706" t="inlineStr">
        <is>
          <t>undefined</t>
        </is>
      </c>
      <c r="T706" t="inlineStr">
        <is>
          <t>5862606110888</t>
        </is>
      </c>
    </row>
    <row r="707" ht="87" customHeight="1">
      <c r="A707" s="2">
        <f>HYPERLINK("https://edmondsonsupply.com/collections/personal-protection-safety/products/klein-tools-40219-journeyman-extreme-gloves-size-extra-large-xl", "https://edmondsonsupply.com/collections/personal-protection-safety/products/klein-tools-40219-journeyman-extreme-gloves-size-extra-large-xl")</f>
        <v/>
      </c>
      <c r="B707" s="2">
        <f>HYPERLINK("https://edmondsonsupply.com/products/klein-tools-40219-journeyman-extreme-gloves-size-extra-large-xl", "https://edmondsonsupply.com/products/klein-tools-40219-journeyman-extreme-gloves-size-extra-large-xl")</f>
        <v/>
      </c>
      <c r="C707" t="inlineStr">
        <is>
          <t>Klein Tools 40219 Journeyman Extreme Gloves, X-Large</t>
        </is>
      </c>
      <c r="D707" t="inlineStr">
        <is>
          <t>Klein Tools 40216 Journeyman Grip Gloves, X-Large</t>
        </is>
      </c>
      <c r="E707" s="2">
        <f>HYPERLINK("https://www.amazon.com/Journeyman-X-Large-Klein-Tools-40216/dp/B00KZL59DW/ref=sr_1_3?keywords=Klein+Tools+40219+Journeyman+Extreme+Gloves%2C+X-Large&amp;qid=1694734518&amp;sr=8-3", "https://www.amazon.com/Journeyman-X-Large-Klein-Tools-40216/dp/B00KZL59DW/ref=sr_1_3?keywords=Klein+Tools+40219+Journeyman+Extreme+Gloves%2C+X-Large&amp;qid=1694734518&amp;sr=8-3")</f>
        <v/>
      </c>
      <c r="F707" t="inlineStr">
        <is>
          <t>B00KZL59DW</t>
        </is>
      </c>
      <c r="G707">
        <f>_xlfn.IMAGE("https://edmondsonsupply.com/cdn/shop/products/40219.jpg?v=1587148707")</f>
        <v/>
      </c>
      <c r="H707">
        <f>_xlfn.IMAGE("https://m.media-amazon.com/images/I/61nJpHze96S._AC_UL320_.jpg")</f>
        <v/>
      </c>
      <c r="K707" t="inlineStr">
        <is>
          <t>39.99</t>
        </is>
      </c>
      <c r="L707" t="n">
        <v>33.49</v>
      </c>
      <c r="M707" s="1" t="inlineStr">
        <is>
          <t>-16.25%</t>
        </is>
      </c>
      <c r="N707" s="7" t="n">
        <v>401.94</v>
      </c>
      <c r="O707" t="n">
        <v>4.1</v>
      </c>
      <c r="P707" t="n">
        <v>34</v>
      </c>
      <c r="R707" t="inlineStr">
        <is>
          <t>InStock</t>
        </is>
      </c>
      <c r="S707" t="inlineStr">
        <is>
          <t>60.58</t>
        </is>
      </c>
      <c r="T707" t="inlineStr">
        <is>
          <t>2846942199908</t>
        </is>
      </c>
    </row>
    <row r="708" ht="87" customHeight="1">
      <c r="A708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708" s="2">
        <f>HYPERLINK("https://edmondsonsupply.com/products/klein-tools-40218-journeyman-extreme-gloves-large", "https://edmondsonsupply.com/products/klein-tools-40218-journeyman-extreme-gloves-large")</f>
        <v/>
      </c>
      <c r="C708" t="inlineStr">
        <is>
          <t>Klein Tools 40218 Journeyman Extreme Gloves, Large</t>
        </is>
      </c>
      <c r="D708" t="inlineStr">
        <is>
          <t>Klein Tools 40216 Journeyman Grip Gloves, X-Large</t>
        </is>
      </c>
      <c r="E708" s="2">
        <f>HYPERLINK("https://www.amazon.com/Journeyman-X-Large-Klein-Tools-40216/dp/B00KZL59DW/ref=sr_1_3?keywords=Klein+Tools+40218+Journeyman+Extreme+Gloves%2C+Large&amp;qid=1694734514&amp;sr=8-3", "https://www.amazon.com/Journeyman-X-Large-Klein-Tools-40216/dp/B00KZL59DW/ref=sr_1_3?keywords=Klein+Tools+40218+Journeyman+Extreme+Gloves%2C+Large&amp;qid=1694734514&amp;sr=8-3")</f>
        <v/>
      </c>
      <c r="F708" t="inlineStr">
        <is>
          <t>B00KZL59DW</t>
        </is>
      </c>
      <c r="G708">
        <f>_xlfn.IMAGE("https://edmondsonsupply.com/cdn/shop/products/40219_0a592222-828d-4257-9e62-1df98be50c8b.jpg?v=1600025215")</f>
        <v/>
      </c>
      <c r="H708">
        <f>_xlfn.IMAGE("https://m.media-amazon.com/images/I/61nJpHze96S._AC_UL320_.jpg")</f>
        <v/>
      </c>
      <c r="K708" t="inlineStr">
        <is>
          <t>39.99</t>
        </is>
      </c>
      <c r="L708" t="n">
        <v>33.49</v>
      </c>
      <c r="M708" s="1" t="inlineStr">
        <is>
          <t>-16.25%</t>
        </is>
      </c>
      <c r="N708" s="7" t="n">
        <v>401.4</v>
      </c>
      <c r="O708" t="n">
        <v>4.1</v>
      </c>
      <c r="P708" t="n">
        <v>34</v>
      </c>
      <c r="R708" t="inlineStr">
        <is>
          <t>InStock</t>
        </is>
      </c>
      <c r="S708" t="inlineStr">
        <is>
          <t>55.44</t>
        </is>
      </c>
      <c r="T708" t="inlineStr">
        <is>
          <t>5782641410216</t>
        </is>
      </c>
    </row>
    <row r="709" ht="87" customHeight="1">
      <c r="A709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709" s="2">
        <f>HYPERLINK("https://edmondsonsupply.com/products/klein-tools-40218-journeyman-extreme-gloves-large", "https://edmondsonsupply.com/products/klein-tools-40218-journeyman-extreme-gloves-large")</f>
        <v/>
      </c>
      <c r="C709" t="inlineStr">
        <is>
          <t>Klein Tools 40218 Journeyman Extreme Gloves, Large</t>
        </is>
      </c>
      <c r="D709" t="inlineStr">
        <is>
          <t>Klein Tools 40215 Journeyman Grip Gloves, Large</t>
        </is>
      </c>
      <c r="E709" s="2">
        <f>HYPERLINK("https://www.amazon.com/Journeyman-Gloves-Klein-Tools-40215/dp/B00KZL58V0/ref=sr_1_10?keywords=Klein+Tools+40218+Journeyman+Extreme+Gloves%2C+Large&amp;qid=1694734514&amp;sr=8-10", "https://www.amazon.com/Journeyman-Gloves-Klein-Tools-40215/dp/B00KZL58V0/ref=sr_1_10?keywords=Klein+Tools+40218+Journeyman+Extreme+Gloves%2C+Large&amp;qid=1694734514&amp;sr=8-10")</f>
        <v/>
      </c>
      <c r="F709" t="inlineStr">
        <is>
          <t>B00KZL58V0</t>
        </is>
      </c>
      <c r="G709">
        <f>_xlfn.IMAGE("https://edmondsonsupply.com/cdn/shop/products/40219_0a592222-828d-4257-9e62-1df98be50c8b.jpg?v=1600025215")</f>
        <v/>
      </c>
      <c r="H709">
        <f>_xlfn.IMAGE("https://m.media-amazon.com/images/I/61uHI5+v2iL._AC_UL320_.jpg")</f>
        <v/>
      </c>
      <c r="K709" t="inlineStr">
        <is>
          <t>39.99</t>
        </is>
      </c>
      <c r="L709" t="n">
        <v>33.49</v>
      </c>
      <c r="M709" s="1" t="inlineStr">
        <is>
          <t>-16.25%</t>
        </is>
      </c>
      <c r="N709" s="7" t="n">
        <v>400.9</v>
      </c>
      <c r="O709" t="n">
        <v>4.7</v>
      </c>
      <c r="P709" t="n">
        <v>29</v>
      </c>
      <c r="R709" t="inlineStr">
        <is>
          <t>InStock</t>
        </is>
      </c>
      <c r="S709" t="inlineStr">
        <is>
          <t>55.44</t>
        </is>
      </c>
      <c r="T709" t="inlineStr">
        <is>
          <t>5782641410216</t>
        </is>
      </c>
    </row>
    <row r="710" ht="87" customHeight="1">
      <c r="A710" s="2">
        <f>HYPERLINK("https://edmondsonsupply.com/collections/personal-protection-safety/products/klein-tools-60401-hard-hat-vented-full-brim-style", "https://edmondsonsupply.com/collections/personal-protection-safety/products/klein-tools-60401-hard-hat-vented-full-brim-style")</f>
        <v/>
      </c>
      <c r="B710" s="2">
        <f>HYPERLINK("https://edmondsonsupply.com/products/klein-tools-60401-hard-hat-vented-full-brim-style", "https://edmondsonsupply.com/products/klein-tools-60401-hard-hat-vented-full-brim-style")</f>
        <v/>
      </c>
      <c r="C710" t="inlineStr">
        <is>
          <t>Klein Tools 60401 Hard Hat, Vented, Full Brim Style</t>
        </is>
      </c>
      <c r="D710" t="inlineStr">
        <is>
          <t>Klein Tools 60400 Hard Hat, Non-Vented Full Brim Style, Padded, Self-Wicking Odor-Resistant Sweatband, Tested up to 20kV, White</t>
        </is>
      </c>
      <c r="E710" s="2">
        <f>HYPERLINK("https://www.amazon.com/Klein-Tools-Hard-Non-vented-Style/dp/B07TQNTCKL/ref=sr_1_4?keywords=Klein+Tools+60401+Hard+Hat%2C+Vented%2C+Full+Brim+Style&amp;qid=1694734480&amp;sr=8-4", "https://www.amazon.com/Klein-Tools-Hard-Non-vented-Style/dp/B07TQNTCKL/ref=sr_1_4?keywords=Klein+Tools+60401+Hard+Hat%2C+Vented%2C+Full+Brim+Style&amp;qid=1694734480&amp;sr=8-4")</f>
        <v/>
      </c>
      <c r="F710" t="inlineStr">
        <is>
          <t>B07TQNTCKL</t>
        </is>
      </c>
      <c r="G710">
        <f>_xlfn.IMAGE("https://edmondsonsupply.com/cdn/shop/products/60401.jpg?v=1587143271")</f>
        <v/>
      </c>
      <c r="H710">
        <f>_xlfn.IMAGE("https://m.media-amazon.com/images/I/61IcdM8MBnL._AC_UL320_.jpg")</f>
        <v/>
      </c>
      <c r="K710" t="inlineStr">
        <is>
          <t>44.99</t>
        </is>
      </c>
      <c r="L710" t="n">
        <v>37.49</v>
      </c>
      <c r="M710" s="1" t="inlineStr">
        <is>
          <t>-16.67%</t>
        </is>
      </c>
      <c r="N710" s="7" t="n">
        <v>400.88</v>
      </c>
      <c r="O710" t="n">
        <v>4.7</v>
      </c>
      <c r="P710" t="n">
        <v>357</v>
      </c>
      <c r="R710" t="inlineStr">
        <is>
          <t>InStock</t>
        </is>
      </c>
      <c r="S710" t="inlineStr">
        <is>
          <t>59.62</t>
        </is>
      </c>
      <c r="T710" t="inlineStr">
        <is>
          <t>4357112463460</t>
        </is>
      </c>
    </row>
    <row r="711" hidden="1" ht="15.75" customHeight="1">
      <c r="A711" s="2">
        <f>HYPERLINK("https://edmondsonsupply.com/collections/personal-protection-safety/products/dewalt-dg5203", "https://edmondsonsupply.com/collections/personal-protection-safety/products/dewalt-dg5203")</f>
        <v/>
      </c>
      <c r="B711" s="2">
        <f>HYPERLINK("https://edmondsonsupply.com/products/dewalt-dg5203", "https://edmondsonsupply.com/products/dewalt-dg5203")</f>
        <v/>
      </c>
      <c r="C711" t="inlineStr">
        <is>
          <t>CLC DeWALT DG5203 Heavy-Duty Smooth Cap Kneepads</t>
        </is>
      </c>
      <c r="D711" t="inlineStr">
        <is>
          <t>DeWalt DG5203 Heavy Duty Smooth Cap Kneepads</t>
        </is>
      </c>
      <c r="E711" s="2">
        <f>HYPERLINK("https://www.amazon.com/DeWalt-DG5203-Heavy-Smooth-Kneepads/dp/B001P30BQ4/ref=sr_1_1?keywords=CLC+DeWALT+DG5203+Heavy-Duty+Smooth+Cap+Kneepads&amp;qid=1694734525&amp;sr=8-1", "https://www.amazon.com/DeWalt-DG5203-Heavy-Smooth-Kneepads/dp/B001P30BQ4/ref=sr_1_1?keywords=CLC+DeWALT+DG5203+Heavy-Duty+Smooth+Cap+Kneepads&amp;qid=1694734525&amp;sr=8-1")</f>
        <v/>
      </c>
      <c r="F711" t="inlineStr">
        <is>
          <t>B001P30BQ4</t>
        </is>
      </c>
      <c r="G711">
        <f>_xludf.IMAGE("https://edmondsonsupply.com/cdn/shop/products/DG5203-1.png?v=1609778867")</f>
        <v/>
      </c>
      <c r="H711">
        <f>_xludf.IMAGE("https://m.media-amazon.com/images/I/81ZSzq03BIS._AC_UL320_.jpg")</f>
        <v/>
      </c>
      <c r="K711" t="inlineStr">
        <is>
          <t>27.95</t>
        </is>
      </c>
      <c r="L711" t="n">
        <v>22.56</v>
      </c>
      <c r="M711" s="1" t="inlineStr">
        <is>
          <t>-19.28%</t>
        </is>
      </c>
      <c r="N711" s="1" t="n">
        <v>400.45</v>
      </c>
      <c r="O711" t="n">
        <v>3.5</v>
      </c>
      <c r="P711" t="n">
        <v>135</v>
      </c>
      <c r="R711" t="inlineStr">
        <is>
          <t>InStock</t>
        </is>
      </c>
      <c r="S711" t="inlineStr">
        <is>
          <t>39.95</t>
        </is>
      </c>
      <c r="T711" t="inlineStr">
        <is>
          <t>5264799596712</t>
        </is>
      </c>
    </row>
    <row r="712" ht="87" customHeight="1">
      <c r="A712" s="2">
        <f>HYPERLINK("https://edmondsonsupply.com/collections/personal-protection-safety/products/klein-tools-60184-lightweight-gel-knee-pads", "https://edmondsonsupply.com/collections/personal-protection-safety/products/klein-tools-60184-lightweight-gel-knee-pads")</f>
        <v/>
      </c>
      <c r="B712" s="2">
        <f>HYPERLINK("https://edmondsonsupply.com/products/klein-tools-60184-lightweight-gel-knee-pads", "https://edmondsonsupply.com/products/klein-tools-60184-lightweight-gel-knee-pads")</f>
        <v/>
      </c>
      <c r="C712" t="inlineStr">
        <is>
          <t>Klein Tools 60184 Lightweight Gel Knee Pads</t>
        </is>
      </c>
      <c r="D712" t="inlineStr">
        <is>
          <t>Klein Tools 60592 Knee Pads, Lightweight Padded Knee Sleeves, Breathable Mesh Back, Elastic Cuff with Slip-Resistant Silicone, Black, L/XL</t>
        </is>
      </c>
      <c r="E712" s="2">
        <f>HYPERLINK("https://www.amazon.com/Klein-Tools-60592-Lightweight-Slip-Resistant/dp/B0B622FRN8/ref=sr_1_4?keywords=Klein+Tools+60184+Lightweight+Gel+Knee+Pads&amp;qid=1694734480&amp;sr=8-4", "https://www.amazon.com/Klein-Tools-60592-Lightweight-Slip-Resistant/dp/B0B622FRN8/ref=sr_1_4?keywords=Klein+Tools+60184+Lightweight+Gel+Knee+Pads&amp;qid=1694734480&amp;sr=8-4")</f>
        <v/>
      </c>
      <c r="F712" t="inlineStr">
        <is>
          <t>B0B622FRN8</t>
        </is>
      </c>
      <c r="G712">
        <f>_xlfn.IMAGE("https://edmondsonsupply.com/cdn/shop/products/60184.jpg?v=1633030246")</f>
        <v/>
      </c>
      <c r="H712">
        <f>_xlfn.IMAGE("https://m.media-amazon.com/images/I/61SeDj1bXKL._AC_UL320_.jpg")</f>
        <v/>
      </c>
      <c r="K712" t="inlineStr">
        <is>
          <t>25.97</t>
        </is>
      </c>
      <c r="L712" t="n">
        <v>19.97</v>
      </c>
      <c r="M712" s="1" t="inlineStr">
        <is>
          <t>-23.10%</t>
        </is>
      </c>
      <c r="N712" s="7" t="n">
        <v>400.37</v>
      </c>
      <c r="O712" t="n">
        <v>4.1</v>
      </c>
      <c r="P712" t="n">
        <v>141</v>
      </c>
      <c r="R712" t="inlineStr">
        <is>
          <t>InStock</t>
        </is>
      </c>
      <c r="S712" t="inlineStr">
        <is>
          <t>36.04</t>
        </is>
      </c>
      <c r="T712" t="inlineStr">
        <is>
          <t>4610179170404</t>
        </is>
      </c>
    </row>
    <row r="713" hidden="1" ht="15.75" customHeight="1">
      <c r="A713" s="2">
        <f>HYPERLINK("https://edmondsonsupply.com/collections/personal-protection-safety/products/klein-tools-40212-journeyman-cold-weather-pro-gloves-large", "https://edmondsonsupply.com/collections/personal-protection-safety/products/klein-tools-40212-journeyman-cold-weather-pro-gloves-large")</f>
        <v/>
      </c>
      <c r="B713" s="2">
        <f>HYPERLINK("https://edmondsonsupply.com/products/klein-tools-40212-journeyman-cold-weather-pro-gloves-large", "https://edmondsonsupply.com/products/klein-tools-40212-journeyman-cold-weather-pro-gloves-large")</f>
        <v/>
      </c>
      <c r="C713" t="inlineStr">
        <is>
          <t>Klein Tools 40212 Journeyman Cold Weather Pro Gloves, Large</t>
        </is>
      </c>
      <c r="D713" t="inlineStr">
        <is>
          <t>Klein Tools 40212 Journeyman Cold Weather Pro Gloves, Large</t>
        </is>
      </c>
      <c r="E713" s="2">
        <f>HYPERLINK("https://www.amazon.com/Journeyman-Weather-Klein-Tools-40212/dp/B00KZL5BLW/ref=sr_1_1?keywords=Klein+Tools+40212+Journeyman+Cold+Weather+Pro+Gloves%2C+Large&amp;qid=1694734484&amp;sr=8-1", "https://www.amazon.com/Journeyman-Weather-Klein-Tools-40212/dp/B00KZL5BLW/ref=sr_1_1?keywords=Klein+Tools+40212+Journeyman+Cold+Weather+Pro+Gloves%2C+Large&amp;qid=1694734484&amp;sr=8-1")</f>
        <v/>
      </c>
      <c r="F713" t="inlineStr">
        <is>
          <t>B00KZL5BLW</t>
        </is>
      </c>
      <c r="G713">
        <f>_xludf.IMAGE("https://edmondsonsupply.com/cdn/shop/products/40212.jpg?v=1665683791")</f>
        <v/>
      </c>
      <c r="H713">
        <f>_xludf.IMAGE("https://m.media-amazon.com/images/I/61UX4G3JNKL._AC_UL320_.jpg")</f>
        <v/>
      </c>
      <c r="K713" t="inlineStr">
        <is>
          <t>29.99</t>
        </is>
      </c>
      <c r="L713" t="n">
        <v>22.9</v>
      </c>
      <c r="M713" s="1" t="inlineStr">
        <is>
          <t>-23.64%</t>
        </is>
      </c>
      <c r="N713" s="1" t="n">
        <v>400.31</v>
      </c>
      <c r="O713" t="n">
        <v>4</v>
      </c>
      <c r="P713" t="n">
        <v>66</v>
      </c>
      <c r="R713" t="inlineStr">
        <is>
          <t>InStock</t>
        </is>
      </c>
      <c r="S713" t="inlineStr">
        <is>
          <t>45.44</t>
        </is>
      </c>
      <c r="T713" t="inlineStr">
        <is>
          <t>7851952701656</t>
        </is>
      </c>
    </row>
    <row r="714" ht="87" customHeight="1">
      <c r="A714" s="2">
        <f>HYPERLINK("https://edmondsonsupply.com/collections/personal-protection-safety/products/klein-tools-40226-journeyman-leather-utility-gloves-medium", "https://edmondsonsupply.com/collections/personal-protection-safety/products/klein-tools-40226-journeyman-leather-utility-gloves-medium")</f>
        <v/>
      </c>
      <c r="B714" s="2">
        <f>HYPERLINK("https://edmondsonsupply.com/products/klein-tools-40226-journeyman-leather-utility-gloves-medium", "https://edmondsonsupply.com/products/klein-tools-40226-journeyman-leather-utility-gloves-medium")</f>
        <v/>
      </c>
      <c r="C714" t="inlineStr">
        <is>
          <t>Klein Tools 40226 Journeyman Leather Utility Gloves, Medium</t>
        </is>
      </c>
      <c r="D714" t="inlineStr">
        <is>
          <t>Klein Tools 40205 Journeyman Utility Gloves, Medium</t>
        </is>
      </c>
      <c r="E714" s="2">
        <f>HYPERLINK("https://www.amazon.com/Journeyman-Utility-Klein-Tools-40205/dp/B00KZL59W8/ref=sr_1_3?keywords=Klein+Tools+40226+Journeyman+Leather+Utility+Gloves%2C+Medium&amp;qid=1694734515&amp;sr=8-3", "https://www.amazon.com/Journeyman-Utility-Klein-Tools-40205/dp/B00KZL59W8/ref=sr_1_3?keywords=Klein+Tools+40226+Journeyman+Leather+Utility+Gloves%2C+Medium&amp;qid=1694734515&amp;sr=8-3")</f>
        <v/>
      </c>
      <c r="F714" t="inlineStr">
        <is>
          <t>B00KZL59W8</t>
        </is>
      </c>
      <c r="G714">
        <f>_xlfn.IMAGE("https://edmondsonsupply.com/cdn/shop/products/40226.jpg?v=1633030617")</f>
        <v/>
      </c>
      <c r="H714">
        <f>_xlfn.IMAGE("https://m.media-amazon.com/images/I/61phTkyxh5L._AC_UL320_.jpg")</f>
        <v/>
      </c>
      <c r="K714" t="inlineStr">
        <is>
          <t>26.99</t>
        </is>
      </c>
      <c r="L714" t="n">
        <v>19.99</v>
      </c>
      <c r="M714" s="1" t="inlineStr">
        <is>
          <t>-25.94%</t>
        </is>
      </c>
      <c r="N714" s="7" t="n">
        <v>400.25</v>
      </c>
      <c r="O714" t="n">
        <v>4.5</v>
      </c>
      <c r="P714" t="n">
        <v>18</v>
      </c>
      <c r="R714" t="inlineStr">
        <is>
          <t>InStock</t>
        </is>
      </c>
      <c r="S714" t="inlineStr">
        <is>
          <t>39.12</t>
        </is>
      </c>
      <c r="T714" t="inlineStr">
        <is>
          <t>5651533463720</t>
        </is>
      </c>
    </row>
    <row r="715" hidden="1" ht="15.75" customHeight="1">
      <c r="A715" s="2">
        <f>HYPERLINK("https://edmondsonsupply.com/collections/personal-protection-safety/products/klein-tools-60155-cooling-fan-for-hard-hat-and-safety-helmet", "https://edmondsonsupply.com/collections/personal-protection-safety/products/klein-tools-60155-cooling-fan-for-hard-hat-and-safety-helmet")</f>
        <v/>
      </c>
      <c r="B715" s="2">
        <f>HYPERLINK("https://edmondsonsupply.com/products/klein-tools-60155-cooling-fan-for-hard-hat-and-safety-helmet", "https://edmondsonsupply.com/products/klein-tools-60155-cooling-fan-for-hard-hat-and-safety-helmet")</f>
        <v/>
      </c>
      <c r="C715" t="inlineStr">
        <is>
          <t>Klein Tools 60155 Cooling Fan for Hard Hat and Safety Helmet</t>
        </is>
      </c>
      <c r="D715" t="inlineStr">
        <is>
          <t>Klein Tools 60156 Intrinsically Safe LED IP67 Headlamp for Hazardous Areas, Mounts to Klein Hard Hats and Safety Helmets</t>
        </is>
      </c>
      <c r="E715" s="2">
        <f>HYPERLINK("https://www.amazon.com/Intrinsically-Hazardous-Klein-Tools-60156/dp/B095XLB3XW/ref=sr_1_41?keywords=Klein+Tools+60155+Cooling+Fan+for+Hard+Hat+and+Safety+Helmet&amp;qid=1694734476&amp;sr=8-41", "https://www.amazon.com/Intrinsically-Hazardous-Klein-Tools-60156/dp/B095XLB3XW/ref=sr_1_41?keywords=Klein+Tools+60155+Cooling+Fan+for+Hard+Hat+and+Safety+Helmet&amp;qid=1694734476&amp;sr=8-41")</f>
        <v/>
      </c>
      <c r="F715" t="inlineStr">
        <is>
          <t>B095XLB3XW</t>
        </is>
      </c>
      <c r="G715">
        <f>_xludf.IMAGE("https://edmondsonsupply.com/cdn/shop/products/60155.jpg?v=1664802208")</f>
        <v/>
      </c>
      <c r="H715">
        <f>_xludf.IMAGE("https://m.media-amazon.com/images/I/61fqqNW9DLS._AC_UL320_.jpg")</f>
        <v/>
      </c>
      <c r="K715" t="inlineStr">
        <is>
          <t>89.99</t>
        </is>
      </c>
      <c r="L715" t="n">
        <v>64.98999999999999</v>
      </c>
      <c r="M715" s="1" t="inlineStr">
        <is>
          <t>-27.78%</t>
        </is>
      </c>
      <c r="N715" s="1" t="n">
        <v>400.25</v>
      </c>
      <c r="O715" t="n">
        <v>3.7</v>
      </c>
      <c r="P715" t="n">
        <v>28</v>
      </c>
      <c r="R715" t="inlineStr">
        <is>
          <t>InStock</t>
        </is>
      </c>
      <c r="S715" t="inlineStr">
        <is>
          <t>125.98</t>
        </is>
      </c>
      <c r="T715" t="inlineStr">
        <is>
          <t>7837525180632</t>
        </is>
      </c>
    </row>
    <row r="716" ht="87" customHeight="1">
      <c r="A716" s="2">
        <f>HYPERLINK("https://edmondsonsupply.com/collections/personal-protection-safety/products/klein-tools-40227-journeyman-leather-utility-gloves-large", "https://edmondsonsupply.com/collections/personal-protection-safety/products/klein-tools-40227-journeyman-leather-utility-gloves-large")</f>
        <v/>
      </c>
      <c r="B716" s="2">
        <f>HYPERLINK("https://edmondsonsupply.com/products/klein-tools-40227-journeyman-leather-utility-gloves-large", "https://edmondsonsupply.com/products/klein-tools-40227-journeyman-leather-utility-gloves-large")</f>
        <v/>
      </c>
      <c r="C716" t="inlineStr">
        <is>
          <t>Klein Tools 40227 Journeyman Leather Utility Gloves, Large</t>
        </is>
      </c>
      <c r="D716" t="inlineStr">
        <is>
          <t>Klein Tools 40206 Journeyman Utility Gloves, Large</t>
        </is>
      </c>
      <c r="E716" s="2">
        <f>HYPERLINK("https://www.amazon.com/Journeyman-Utility-Klein-Tools-40206/dp/B00KZL5AEK/ref=sr_1_3?keywords=Klein+Tools+40227+Journeyman+Leather+Utility+Gloves%2C+Large&amp;qid=1694734528&amp;sr=8-3", "https://www.amazon.com/Journeyman-Utility-Klein-Tools-40206/dp/B00KZL5AEK/ref=sr_1_3?keywords=Klein+Tools+40227+Journeyman+Leather+Utility+Gloves%2C+Large&amp;qid=1694734528&amp;sr=8-3")</f>
        <v/>
      </c>
      <c r="F716" t="inlineStr">
        <is>
          <t>B00KZL5AEK</t>
        </is>
      </c>
      <c r="G716">
        <f>_xlfn.IMAGE("https://edmondsonsupply.com/cdn/shop/products/40227.jpg?v=1633030298")</f>
        <v/>
      </c>
      <c r="H716">
        <f>_xlfn.IMAGE("https://m.media-amazon.com/images/I/61r-l13tqiL._AC_UL320_.jpg")</f>
        <v/>
      </c>
      <c r="K716" t="inlineStr">
        <is>
          <t>26.99</t>
        </is>
      </c>
      <c r="L716" t="n">
        <v>19.49</v>
      </c>
      <c r="M716" s="1" t="inlineStr">
        <is>
          <t>-27.79%</t>
        </is>
      </c>
      <c r="N716" s="7" t="n">
        <v>398.58</v>
      </c>
      <c r="O716" t="n">
        <v>4.1</v>
      </c>
      <c r="P716" t="n">
        <v>27</v>
      </c>
      <c r="R716" t="inlineStr">
        <is>
          <t>InStock</t>
        </is>
      </c>
      <c r="S716" t="inlineStr">
        <is>
          <t>39.12</t>
        </is>
      </c>
      <c r="T716" t="inlineStr">
        <is>
          <t>5240629723304</t>
        </is>
      </c>
    </row>
    <row r="717" hidden="1" ht="15.75" customHeight="1">
      <c r="A717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717" s="2">
        <f>HYPERLINK("https://edmondsonsupply.com/products/klein-tools-40218-journeyman-extreme-gloves-large", "https://edmondsonsupply.com/products/klein-tools-40218-journeyman-extreme-gloves-large")</f>
        <v/>
      </c>
      <c r="C717" t="inlineStr">
        <is>
          <t>Klein Tools 40218 Journeyman Extreme Gloves, Large</t>
        </is>
      </c>
      <c r="D717" t="inlineStr">
        <is>
          <t>Klein Tools 40213 Journeyman Cold Weather Pro Gloves, X-Large</t>
        </is>
      </c>
      <c r="E717" s="2">
        <f>HYPERLINK("https://www.amazon.com/Klein-Tools-40213-Journeyman-Weather/dp/B00KZL5C3E/ref=sr_1_9?keywords=Klein+Tools+40218+Journeyman+Extreme+Gloves%2C+Large&amp;qid=1694734514&amp;sr=8-9", "https://www.amazon.com/Klein-Tools-40213-Journeyman-Weather/dp/B00KZL5C3E/ref=sr_1_9?keywords=Klein+Tools+40218+Journeyman+Extreme+Gloves%2C+Large&amp;qid=1694734514&amp;sr=8-9")</f>
        <v/>
      </c>
      <c r="F717" t="inlineStr">
        <is>
          <t>B00KZL5C3E</t>
        </is>
      </c>
      <c r="G717">
        <f>_xludf.IMAGE("https://edmondsonsupply.com/cdn/shop/products/40219_0a592222-828d-4257-9e62-1df98be50c8b.jpg?v=1600025215")</f>
        <v/>
      </c>
      <c r="H717">
        <f>_xludf.IMAGE("https://m.media-amazon.com/images/I/618zq13hU6L._AC_UL320_.jpg")</f>
        <v/>
      </c>
      <c r="K717" t="inlineStr">
        <is>
          <t>39.99</t>
        </is>
      </c>
      <c r="L717" t="n">
        <v>28.49</v>
      </c>
      <c r="M717" s="1" t="inlineStr">
        <is>
          <t>-28.76%</t>
        </is>
      </c>
      <c r="N717" s="1" t="n">
        <v>391.22</v>
      </c>
      <c r="O717" t="n">
        <v>4</v>
      </c>
      <c r="P717" t="n">
        <v>66</v>
      </c>
      <c r="R717" t="inlineStr">
        <is>
          <t>InStock</t>
        </is>
      </c>
      <c r="S717" t="inlineStr">
        <is>
          <t>55.44</t>
        </is>
      </c>
      <c r="T717" t="inlineStr">
        <is>
          <t>5782641410216</t>
        </is>
      </c>
    </row>
    <row r="718" hidden="1" ht="15.75" customHeight="1">
      <c r="A718" s="2">
        <f>HYPERLINK("https://edmondsonsupply.com/collections/personal-protection-safety/products/klein-tools-40219-journeyman-extreme-gloves-size-extra-large-xl", "https://edmondsonsupply.com/collections/personal-protection-safety/products/klein-tools-40219-journeyman-extreme-gloves-size-extra-large-xl")</f>
        <v/>
      </c>
      <c r="B718" s="2">
        <f>HYPERLINK("https://edmondsonsupply.com/products/klein-tools-40219-journeyman-extreme-gloves-size-extra-large-xl", "https://edmondsonsupply.com/products/klein-tools-40219-journeyman-extreme-gloves-size-extra-large-xl")</f>
        <v/>
      </c>
      <c r="C718" t="inlineStr">
        <is>
          <t>Klein Tools 40219 Journeyman Extreme Gloves, X-Large</t>
        </is>
      </c>
      <c r="D718" t="inlineStr">
        <is>
          <t>Klein Tools 40213 Journeyman Cold Weather Pro Gloves, X-Large</t>
        </is>
      </c>
      <c r="E718" s="2">
        <f>HYPERLINK("https://www.amazon.com/Klein-Tools-40213-Journeyman-Weather/dp/B00KZL5C3E/ref=sr_1_4?keywords=Klein+Tools+40219+Journeyman+Extreme+Gloves%2C+X-Large&amp;qid=1694734518&amp;sr=8-4", "https://www.amazon.com/Klein-Tools-40213-Journeyman-Weather/dp/B00KZL5C3E/ref=sr_1_4?keywords=Klein+Tools+40219+Journeyman+Extreme+Gloves%2C+X-Large&amp;qid=1694734518&amp;sr=8-4")</f>
        <v/>
      </c>
      <c r="F718" t="inlineStr">
        <is>
          <t>B00KZL5C3E</t>
        </is>
      </c>
      <c r="G718">
        <f>_xludf.IMAGE("https://edmondsonsupply.com/cdn/shop/products/40219.jpg?v=1587148707")</f>
        <v/>
      </c>
      <c r="H718">
        <f>_xludf.IMAGE("https://m.media-amazon.com/images/I/618zq13hU6L._AC_UL320_.jpg")</f>
        <v/>
      </c>
      <c r="K718" t="inlineStr">
        <is>
          <t>39.99</t>
        </is>
      </c>
      <c r="L718" t="n">
        <v>28.49</v>
      </c>
      <c r="M718" s="1" t="inlineStr">
        <is>
          <t>-28.76%</t>
        </is>
      </c>
      <c r="N718" s="1" t="n">
        <v>390.08</v>
      </c>
      <c r="O718" t="n">
        <v>4</v>
      </c>
      <c r="P718" t="n">
        <v>66</v>
      </c>
      <c r="R718" t="inlineStr">
        <is>
          <t>InStock</t>
        </is>
      </c>
      <c r="S718" t="inlineStr">
        <is>
          <t>60.58</t>
        </is>
      </c>
      <c r="T718" t="inlineStr">
        <is>
          <t>2846942199908</t>
        </is>
      </c>
    </row>
    <row r="719" ht="87" customHeight="1">
      <c r="A719" s="2">
        <f>HYPERLINK("https://edmondsonsupply.com/collections/personal-protection-safety/products/klein-tools-60615-heavy-duty-knee-pad-sleeves-s-m", "https://edmondsonsupply.com/collections/personal-protection-safety/products/klein-tools-60615-heavy-duty-knee-pad-sleeves-s-m")</f>
        <v/>
      </c>
      <c r="B719" s="2">
        <f>HYPERLINK("https://edmondsonsupply.com/products/klein-tools-60615-heavy-duty-knee-pad-sleeves-s-m", "https://edmondsonsupply.com/products/klein-tools-60615-heavy-duty-knee-pad-sleeves-s-m")</f>
        <v/>
      </c>
      <c r="C719" t="inlineStr">
        <is>
          <t>Klein Tools 60615 Heavy Duty Knee Pad Sleeves, S/M</t>
        </is>
      </c>
      <c r="D719" t="inlineStr">
        <is>
          <t>REXBETI Knee Pads for Work, Construction Gel Knee Pads Tools, Heavy Duty Comfortable Anti-slip Foam Knee Pads for Cleaning Flooring and Garden, Strong Stretchable Straps, 1 Pair</t>
        </is>
      </c>
      <c r="E719" s="2">
        <f>HYPERLINK("https://www.amazon.com/Construction-REXBETI-Comfortable-Anti-slip-Stretchable/dp/B07BPWV83H/ref=sr_1_8?keywords=Klein+Tools+60615+Heavy+Duty+Knee+Pad+Sleeves%2C+S%2FM&amp;qid=1694734476&amp;sr=8-8", "https://www.amazon.com/Construction-REXBETI-Comfortable-Anti-slip-Stretchable/dp/B07BPWV83H/ref=sr_1_8?keywords=Klein+Tools+60615+Heavy+Duty+Knee+Pad+Sleeves%2C+S%2FM&amp;qid=1694734476&amp;sr=8-8")</f>
        <v/>
      </c>
      <c r="F719" t="inlineStr">
        <is>
          <t>B07BPWV83H</t>
        </is>
      </c>
      <c r="G719">
        <f>_xlfn.IMAGE("https://edmondsonsupply.com/cdn/shop/products/60511_60611_b_f68c12ff-69e9-4ee5-9cc0-02cf7484e091.jpg?v=1681743847")</f>
        <v/>
      </c>
      <c r="H719">
        <f>_xlfn.IMAGE("https://m.media-amazon.com/images/I/81thqdRMknL._AC_UL320_.jpg")</f>
        <v/>
      </c>
      <c r="K719" t="inlineStr">
        <is>
          <t>39.99</t>
        </is>
      </c>
      <c r="L719" t="n">
        <v>27.99</v>
      </c>
      <c r="M719" s="1" t="inlineStr">
        <is>
          <t>-30.01%</t>
        </is>
      </c>
      <c r="N719" s="7" t="n">
        <v>388.14</v>
      </c>
      <c r="O719" t="n">
        <v>4.6</v>
      </c>
      <c r="P719" t="n">
        <v>11522</v>
      </c>
      <c r="R719" t="inlineStr">
        <is>
          <t>InStock</t>
        </is>
      </c>
      <c r="S719" t="inlineStr">
        <is>
          <t>55.98</t>
        </is>
      </c>
      <c r="T719" t="inlineStr">
        <is>
          <t>7980639813848</t>
        </is>
      </c>
    </row>
    <row r="720" ht="87" customHeight="1">
      <c r="A720" s="2">
        <f>HYPERLINK("https://edmondsonsupply.com/collections/personal-protection-safety/products/klein-tools-60511-heavy-duty-knee-pad-sleeves-m-l", "https://edmondsonsupply.com/collections/personal-protection-safety/products/klein-tools-60511-heavy-duty-knee-pad-sleeves-m-l")</f>
        <v/>
      </c>
      <c r="B720" s="2">
        <f>HYPERLINK("https://edmondsonsupply.com/products/klein-tools-60511-heavy-duty-knee-pad-sleeves-m-l", "https://edmondsonsupply.com/products/klein-tools-60511-heavy-duty-knee-pad-sleeves-m-l")</f>
        <v/>
      </c>
      <c r="C720" t="inlineStr">
        <is>
          <t>Klein Tools 60511 Heavy Duty Knee Pad Sleeves, M/L</t>
        </is>
      </c>
      <c r="D720" t="inlineStr">
        <is>
          <t>REXBETI Knee Pads for Work, Construction Gel Knee Pads Tools, Heavy Duty Comfortable Anti-slip Foam Knee Pads for Cleaning Flooring and Garden, Strong Stretchable Straps, 1 Pair</t>
        </is>
      </c>
      <c r="E720" s="2">
        <f>HYPERLINK("https://www.amazon.com/Construction-REXBETI-Comfortable-Anti-slip-Stretchable/dp/B07BPWV83H/ref=sr_1_8?keywords=Klein+Tools+60511+Heavy+Duty+Knee+Pad+Sleeves%2C+M%2FL&amp;qid=1694734490&amp;sr=8-8", "https://www.amazon.com/Construction-REXBETI-Comfortable-Anti-slip-Stretchable/dp/B07BPWV83H/ref=sr_1_8?keywords=Klein+Tools+60511+Heavy+Duty+Knee+Pad+Sleeves%2C+M%2FL&amp;qid=1694734490&amp;sr=8-8")</f>
        <v/>
      </c>
      <c r="F720" t="inlineStr">
        <is>
          <t>B07BPWV83H</t>
        </is>
      </c>
      <c r="G720">
        <f>_xlfn.IMAGE("https://edmondsonsupply.com/cdn/shop/products/60511_60611_b.jpg?v=1663253024")</f>
        <v/>
      </c>
      <c r="H720">
        <f>_xlfn.IMAGE("https://m.media-amazon.com/images/I/81thqdRMknL._AC_UL320_.jpg")</f>
        <v/>
      </c>
      <c r="K720" t="inlineStr">
        <is>
          <t>39.99</t>
        </is>
      </c>
      <c r="L720" t="n">
        <v>27.99</v>
      </c>
      <c r="M720" s="1" t="inlineStr">
        <is>
          <t>-30.01%</t>
        </is>
      </c>
      <c r="N720" s="7" t="n">
        <v>386.36</v>
      </c>
      <c r="O720" t="n">
        <v>4.6</v>
      </c>
      <c r="P720" t="n">
        <v>11522</v>
      </c>
      <c r="R720" t="inlineStr">
        <is>
          <t>InStock</t>
        </is>
      </c>
      <c r="S720" t="inlineStr">
        <is>
          <t>55.98</t>
        </is>
      </c>
      <c r="T720" t="inlineStr">
        <is>
          <t>7817486074072</t>
        </is>
      </c>
    </row>
    <row r="721" ht="87" customHeight="1">
      <c r="A721" s="2">
        <f>HYPERLINK("https://edmondsonsupply.com/collections/personal-protection-safety/products/klein-tools-60539-professional-safety-glasses-full-frame-polarized-lens", "https://edmondsonsupply.com/collections/personal-protection-safety/products/klein-tools-60539-professional-safety-glasses-full-frame-polarized-lens")</f>
        <v/>
      </c>
      <c r="B721" s="2">
        <f>HYPERLINK("https://edmondsonsupply.com/products/klein-tools-60539-professional-safety-glasses-full-frame-polarized-lens", "https://edmondsonsupply.com/products/klein-tools-60539-professional-safety-glasses-full-frame-polarized-lens")</f>
        <v/>
      </c>
      <c r="C721" t="inlineStr">
        <is>
          <t>Klein Tools 60539 Professional Safety Glasses, Full Frame, Polarized Lens</t>
        </is>
      </c>
      <c r="D721" t="inlineStr">
        <is>
          <t>Klein Tools 60537 Safety Glasses, Professional PPE Protective Eyewear with Full Frame, Scratch Resistant and Anti-Fog, Indoor/Outdoor Lens</t>
        </is>
      </c>
      <c r="E721" s="2">
        <f>HYPERLINK("https://www.amazon.com/Klein-Tools-60537-Professional-Protective/dp/B0BLQM26TJ/ref=sr_1_5?keywords=Klein+Tools+60539+Professional+Safety+Glasses%2C+Full+Frame%2C+Polarized+Lens&amp;qid=1694734488&amp;sr=8-5", "https://www.amazon.com/Klein-Tools-60537-Professional-Protective/dp/B0BLQM26TJ/ref=sr_1_5?keywords=Klein+Tools+60539+Professional+Safety+Glasses%2C+Full+Frame%2C+Polarized+Lens&amp;qid=1694734488&amp;sr=8-5")</f>
        <v/>
      </c>
      <c r="F721" t="inlineStr">
        <is>
          <t>B0BLQM26TJ</t>
        </is>
      </c>
      <c r="G721">
        <f>_xlfn.IMAGE("https://edmondsonsupply.com/cdn/shop/products/60539.jpg?v=1670948006")</f>
        <v/>
      </c>
      <c r="H721">
        <f>_xlfn.IMAGE("https://m.media-amazon.com/images/I/41ZbdEu2lCL._AC_UL320_.jpg")</f>
        <v/>
      </c>
      <c r="K721" t="inlineStr">
        <is>
          <t>29.99</t>
        </is>
      </c>
      <c r="L721" t="n">
        <v>20.99</v>
      </c>
      <c r="M721" s="1" t="inlineStr">
        <is>
          <t>-30.01%</t>
        </is>
      </c>
      <c r="N721" s="7" t="n">
        <v>378.13</v>
      </c>
      <c r="O721" t="n">
        <v>4.5</v>
      </c>
      <c r="P721" t="n">
        <v>14</v>
      </c>
      <c r="R721" t="inlineStr">
        <is>
          <t>InStock</t>
        </is>
      </c>
      <c r="S721" t="inlineStr">
        <is>
          <t>41.98</t>
        </is>
      </c>
      <c r="T721" t="inlineStr">
        <is>
          <t>7904008536280</t>
        </is>
      </c>
    </row>
    <row r="722" ht="87" customHeight="1">
      <c r="A722" s="2">
        <f>HYPERLINK("https://edmondsonsupply.com/collections/personal-protection-safety/products/klein-tools-60344-hinged-gel-knee-pads", "https://edmondsonsupply.com/collections/personal-protection-safety/products/klein-tools-60344-hinged-gel-knee-pads")</f>
        <v/>
      </c>
      <c r="B722" s="2">
        <f>HYPERLINK("https://edmondsonsupply.com/products/klein-tools-60344-hinged-gel-knee-pads", "https://edmondsonsupply.com/products/klein-tools-60344-hinged-gel-knee-pads")</f>
        <v/>
      </c>
      <c r="C722" t="inlineStr">
        <is>
          <t>Klein Tools 60344 Hinged Gel Knee Pads</t>
        </is>
      </c>
      <c r="D722" t="inlineStr">
        <is>
          <t>Klein Tools 60184 Knee Pads, Lightweight Gel Knee Pads with Slip Resistant Rubber Caps and Adjustable Straps, Great for Construction, Black</t>
        </is>
      </c>
      <c r="E722" s="2">
        <f>HYPERLINK("https://www.amazon.com/Klein-Tools-60184-Lightweight-Resistant/dp/B088N5Q59S/ref=sr_1_3?keywords=Klein+Tools+60344+Hinged+Gel+Knee+Pads&amp;qid=1694734485&amp;sr=8-3", "https://www.amazon.com/Klein-Tools-60184-Lightweight-Resistant/dp/B088N5Q59S/ref=sr_1_3?keywords=Klein+Tools+60344+Hinged+Gel+Knee+Pads&amp;qid=1694734485&amp;sr=8-3")</f>
        <v/>
      </c>
      <c r="F722" t="inlineStr">
        <is>
          <t>B088N5Q59S</t>
        </is>
      </c>
      <c r="G722">
        <f>_xlfn.IMAGE("https://edmondsonsupply.com/cdn/shop/products/60344.jpg?v=1664386765")</f>
        <v/>
      </c>
      <c r="H722">
        <f>_xlfn.IMAGE("https://m.media-amazon.com/images/I/71vmG1tRBLL._AC_UL320_.jpg")</f>
        <v/>
      </c>
      <c r="K722" t="inlineStr">
        <is>
          <t>35.99</t>
        </is>
      </c>
      <c r="L722" t="n">
        <v>24.97</v>
      </c>
      <c r="M722" s="1" t="inlineStr">
        <is>
          <t>-30.62%</t>
        </is>
      </c>
      <c r="N722" s="7" t="n">
        <v>375.56</v>
      </c>
      <c r="O722" t="n">
        <v>4.2</v>
      </c>
      <c r="P722" t="n">
        <v>154</v>
      </c>
      <c r="R722" t="inlineStr">
        <is>
          <t>InStock</t>
        </is>
      </c>
      <c r="S722" t="inlineStr">
        <is>
          <t>51.4</t>
        </is>
      </c>
      <c r="T722" t="inlineStr">
        <is>
          <t>7832142938328</t>
        </is>
      </c>
    </row>
    <row r="723" ht="87" customHeight="1">
      <c r="A723" s="2">
        <f>HYPERLINK("https://edmondsonsupply.com/collections/personal-protection-safety/products/hellberg-safety-secure-2-headband-hearing-protection", "https://edmondsonsupply.com/collections/personal-protection-safety/products/hellberg-safety-secure-2-headband-hearing-protection")</f>
        <v/>
      </c>
      <c r="B723" s="2">
        <f>HYPERLINK("https://edmondsonsupply.com/products/hellberg-safety-secure-2-headband-hearing-protection", "https://edmondsonsupply.com/products/hellberg-safety-secure-2-headband-hearing-protection")</f>
        <v/>
      </c>
      <c r="C723" t="inlineStr">
        <is>
          <t>Hellberg Safety Secure 2 Headband Hearing Protection</t>
        </is>
      </c>
      <c r="D723" t="inlineStr">
        <is>
          <t>ProCase Noise Reduction Safety Ear Muffs, 32dB Hearing Protection Earmuffs Ear Defenders with Adjustable Headband for Shooting Mowing Construction Manufacturing Woodwork -Red</t>
        </is>
      </c>
      <c r="E723" s="2">
        <f>HYPERLINK("https://www.amazon.com/ProCase-Protection-Adjustable-Construction-Manufacturing/dp/B09W25LK3W/ref=sr_1_15?keywords=Hellberg+Safety+Secure+2+Headband+Hearing+Protection&amp;qid=1694734500&amp;sr=8-15", "https://www.amazon.com/ProCase-Protection-Adjustable-Construction-Manufacturing/dp/B09W25LK3W/ref=sr_1_15?keywords=Hellberg+Safety+Secure+2+Headband+Hearing+Protection&amp;qid=1694734500&amp;sr=8-15")</f>
        <v/>
      </c>
      <c r="F723" t="inlineStr">
        <is>
          <t>B09W25LK3W</t>
        </is>
      </c>
      <c r="G723">
        <f>_xlfn.IMAGE("https://edmondsonsupply.com/cdn/shop/products/41002-001_Original_637469232543030000.jpg?v=1635627040")</f>
        <v/>
      </c>
      <c r="H723">
        <f>_xlfn.IMAGE("https://m.media-amazon.com/images/I/619aaQcA58L._AC_UL320_.jpg")</f>
        <v/>
      </c>
      <c r="K723" t="inlineStr">
        <is>
          <t>27.95</t>
        </is>
      </c>
      <c r="L723" t="n">
        <v>18.99</v>
      </c>
      <c r="M723" s="1" t="inlineStr">
        <is>
          <t>-32.06%</t>
        </is>
      </c>
      <c r="N723" s="7" t="n">
        <v>374.51</v>
      </c>
      <c r="O723" t="n">
        <v>4.5</v>
      </c>
      <c r="P723" t="n">
        <v>764</v>
      </c>
      <c r="R723" t="inlineStr">
        <is>
          <t>InStock</t>
        </is>
      </c>
      <c r="S723" t="inlineStr">
        <is>
          <t>29.95</t>
        </is>
      </c>
      <c r="T723" t="inlineStr">
        <is>
          <t>7355712504024</t>
        </is>
      </c>
    </row>
    <row r="724" ht="87" customHeight="1">
      <c r="A724" s="2">
        <f>HYPERLINK("https://edmondsonsupply.com/collections/personal-protection-safety/products/klein-tools-60615-heavy-duty-knee-pad-sleeves-s-m", "https://edmondsonsupply.com/collections/personal-protection-safety/products/klein-tools-60615-heavy-duty-knee-pad-sleeves-s-m")</f>
        <v/>
      </c>
      <c r="B724" s="2">
        <f>HYPERLINK("https://edmondsonsupply.com/products/klein-tools-60615-heavy-duty-knee-pad-sleeves-s-m", "https://edmondsonsupply.com/products/klein-tools-60615-heavy-duty-knee-pad-sleeves-s-m")</f>
        <v/>
      </c>
      <c r="C724" t="inlineStr">
        <is>
          <t>Klein Tools 60615 Heavy Duty Knee Pad Sleeves, S/M</t>
        </is>
      </c>
      <c r="D724" t="inlineStr">
        <is>
          <t>Klein Tools 60492 Knee Pads, Lightweight Padded Knee Sleeves, Breathable Mesh Back, Elastic Cuff with Slip-Resistant Silicone, Black, M/L</t>
        </is>
      </c>
      <c r="E724" s="2">
        <f>HYPERLINK("https://www.amazon.com/Lightweight-Breathable-Slip-Resistant-Klein-Tools/dp/B0B6216HMW/ref=sr_1_3?keywords=Klein+Tools+60615+Heavy+Duty+Knee+Pad+Sleeves%2C+S%2FM&amp;qid=1694734476&amp;sr=8-3", "https://www.amazon.com/Lightweight-Breathable-Slip-Resistant-Klein-Tools/dp/B0B6216HMW/ref=sr_1_3?keywords=Klein+Tools+60615+Heavy+Duty+Knee+Pad+Sleeves%2C+S%2FM&amp;qid=1694734476&amp;sr=8-3")</f>
        <v/>
      </c>
      <c r="F724" t="inlineStr">
        <is>
          <t>B0B6216HMW</t>
        </is>
      </c>
      <c r="G724">
        <f>_xlfn.IMAGE("https://edmondsonsupply.com/cdn/shop/products/60511_60611_b_f68c12ff-69e9-4ee5-9cc0-02cf7484e091.jpg?v=1681743847")</f>
        <v/>
      </c>
      <c r="H724">
        <f>_xlfn.IMAGE("https://m.media-amazon.com/images/I/61pjcWSwQcL._AC_UL320_.jpg")</f>
        <v/>
      </c>
      <c r="K724" t="inlineStr">
        <is>
          <t>39.99</t>
        </is>
      </c>
      <c r="L724" t="n">
        <v>25.99</v>
      </c>
      <c r="M724" s="1" t="inlineStr">
        <is>
          <t>-35.01%</t>
        </is>
      </c>
      <c r="N724" s="7" t="n">
        <v>372.49</v>
      </c>
      <c r="O724" t="n">
        <v>4.5</v>
      </c>
      <c r="P724" t="n">
        <v>186</v>
      </c>
      <c r="R724" t="inlineStr">
        <is>
          <t>InStock</t>
        </is>
      </c>
      <c r="S724" t="inlineStr">
        <is>
          <t>55.98</t>
        </is>
      </c>
      <c r="T724" t="inlineStr">
        <is>
          <t>7980639813848</t>
        </is>
      </c>
    </row>
    <row r="725" ht="87" customHeight="1">
      <c r="A725" s="2">
        <f>HYPERLINK("https://edmondsonsupply.com/collections/personal-protection-safety/products/klein-tools-60511-heavy-duty-knee-pad-sleeves-m-l", "https://edmondsonsupply.com/collections/personal-protection-safety/products/klein-tools-60511-heavy-duty-knee-pad-sleeves-m-l")</f>
        <v/>
      </c>
      <c r="B725" s="2">
        <f>HYPERLINK("https://edmondsonsupply.com/products/klein-tools-60511-heavy-duty-knee-pad-sleeves-m-l", "https://edmondsonsupply.com/products/klein-tools-60511-heavy-duty-knee-pad-sleeves-m-l")</f>
        <v/>
      </c>
      <c r="C725" t="inlineStr">
        <is>
          <t>Klein Tools 60511 Heavy Duty Knee Pad Sleeves, M/L</t>
        </is>
      </c>
      <c r="D725" t="inlineStr">
        <is>
          <t>Klein Tools 60492 Knee Pads, Lightweight Padded Knee Sleeves, Breathable Mesh Back, Elastic Cuff with Slip-Resistant Silicone, Black, M/L</t>
        </is>
      </c>
      <c r="E725" s="2">
        <f>HYPERLINK("https://www.amazon.com/Lightweight-Breathable-Slip-Resistant-Klein-Tools/dp/B0B6216HMW/ref=sr_1_2?keywords=Klein+Tools+60511+Heavy+Duty+Knee+Pad+Sleeves%2C+M%2FL&amp;qid=1694734490&amp;sr=8-2", "https://www.amazon.com/Lightweight-Breathable-Slip-Resistant-Klein-Tools/dp/B0B6216HMW/ref=sr_1_2?keywords=Klein+Tools+60511+Heavy+Duty+Knee+Pad+Sleeves%2C+M%2FL&amp;qid=1694734490&amp;sr=8-2")</f>
        <v/>
      </c>
      <c r="F725" t="inlineStr">
        <is>
          <t>B0B6216HMW</t>
        </is>
      </c>
      <c r="G725">
        <f>_xlfn.IMAGE("https://edmondsonsupply.com/cdn/shop/products/60511_60611_b.jpg?v=1663253024")</f>
        <v/>
      </c>
      <c r="H725">
        <f>_xlfn.IMAGE("https://m.media-amazon.com/images/I/61pjcWSwQcL._AC_UL320_.jpg")</f>
        <v/>
      </c>
      <c r="K725" t="inlineStr">
        <is>
          <t>39.99</t>
        </is>
      </c>
      <c r="L725" t="n">
        <v>25.99</v>
      </c>
      <c r="M725" s="1" t="inlineStr">
        <is>
          <t>-35.01%</t>
        </is>
      </c>
      <c r="N725" s="7" t="n">
        <v>371.5</v>
      </c>
      <c r="O725" t="n">
        <v>4.5</v>
      </c>
      <c r="P725" t="n">
        <v>186</v>
      </c>
      <c r="R725" t="inlineStr">
        <is>
          <t>InStock</t>
        </is>
      </c>
      <c r="S725" t="inlineStr">
        <is>
          <t>55.98</t>
        </is>
      </c>
      <c r="T725" t="inlineStr">
        <is>
          <t>7817486074072</t>
        </is>
      </c>
    </row>
    <row r="726" ht="87" customHeight="1">
      <c r="A726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726" s="2">
        <f>HYPERLINK("https://edmondsonsupply.com/products/klein-tools-40218-journeyman-extreme-gloves-large", "https://edmondsonsupply.com/products/klein-tools-40218-journeyman-extreme-gloves-large")</f>
        <v/>
      </c>
      <c r="C726" t="inlineStr">
        <is>
          <t>Klein Tools 40218 Journeyman Extreme Gloves, Large</t>
        </is>
      </c>
      <c r="D726" t="inlineStr">
        <is>
          <t>Klein Tools 40209 Journeyman Camouflage Gloves, Large</t>
        </is>
      </c>
      <c r="E726" s="2">
        <f>HYPERLINK("https://www.amazon.com/Journeyman-Camouflage-Klein-Tools-40209/dp/B00KWN4QIC/ref=sr_1_8?keywords=Klein+Tools+40218+Journeyman+Extreme+Gloves%2C+Large&amp;qid=1694734514&amp;sr=8-8", "https://www.amazon.com/Journeyman-Camouflage-Klein-Tools-40209/dp/B00KWN4QIC/ref=sr_1_8?keywords=Klein+Tools+40218+Journeyman+Extreme+Gloves%2C+Large&amp;qid=1694734514&amp;sr=8-8")</f>
        <v/>
      </c>
      <c r="F726" t="inlineStr">
        <is>
          <t>B00KWN4QIC</t>
        </is>
      </c>
      <c r="G726">
        <f>_xlfn.IMAGE("https://edmondsonsupply.com/cdn/shop/products/40219_0a592222-828d-4257-9e62-1df98be50c8b.jpg?v=1600025215")</f>
        <v/>
      </c>
      <c r="H726">
        <f>_xlfn.IMAGE("https://m.media-amazon.com/images/I/610uZHzTckL._AC_UL320_.jpg")</f>
        <v/>
      </c>
      <c r="K726" t="inlineStr">
        <is>
          <t>39.99</t>
        </is>
      </c>
      <c r="L726" t="n">
        <v>25.97</v>
      </c>
      <c r="M726" s="1" t="inlineStr">
        <is>
          <t>-35.06%</t>
        </is>
      </c>
      <c r="N726" s="7" t="n">
        <v>370.71</v>
      </c>
      <c r="O726" t="n">
        <v>4.3</v>
      </c>
      <c r="P726" t="n">
        <v>23</v>
      </c>
      <c r="R726" t="inlineStr">
        <is>
          <t>InStock</t>
        </is>
      </c>
      <c r="S726" t="inlineStr">
        <is>
          <t>55.44</t>
        </is>
      </c>
      <c r="T726" t="inlineStr">
        <is>
          <t>5782641410216</t>
        </is>
      </c>
    </row>
    <row r="727" ht="87" customHeight="1">
      <c r="A727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727" s="2">
        <f>HYPERLINK("https://edmondsonsupply.com/products/klein-tools-40218-journeyman-extreme-gloves-large", "https://edmondsonsupply.com/products/klein-tools-40218-journeyman-extreme-gloves-large")</f>
        <v/>
      </c>
      <c r="C727" t="inlineStr">
        <is>
          <t>Klein Tools 40218 Journeyman Extreme Gloves, Large</t>
        </is>
      </c>
      <c r="D727" t="inlineStr">
        <is>
          <t>Klein Tools 40227 Journeyman Leather Utility Gloves, Large, Brown</t>
        </is>
      </c>
      <c r="E727" s="2">
        <f>HYPERLINK("https://www.amazon.com/Journeyman-Leather-Klein-Tools-40227/dp/B01MCYW7TO/ref=sr_1_7?keywords=Klein+Tools+40218+Journeyman+Extreme+Gloves%2C+Large&amp;qid=1694734514&amp;sr=8-7", "https://www.amazon.com/Journeyman-Leather-Klein-Tools-40227/dp/B01MCYW7TO/ref=sr_1_7?keywords=Klein+Tools+40218+Journeyman+Extreme+Gloves%2C+Large&amp;qid=1694734514&amp;sr=8-7")</f>
        <v/>
      </c>
      <c r="F727" t="inlineStr">
        <is>
          <t>B01MCYW7TO</t>
        </is>
      </c>
      <c r="G727">
        <f>_xlfn.IMAGE("https://edmondsonsupply.com/cdn/shop/products/40219_0a592222-828d-4257-9e62-1df98be50c8b.jpg?v=1600025215")</f>
        <v/>
      </c>
      <c r="H727">
        <f>_xlfn.IMAGE("https://m.media-amazon.com/images/I/6151iadzGOL._AC_UL320_.jpg")</f>
        <v/>
      </c>
      <c r="K727" t="inlineStr">
        <is>
          <t>39.99</t>
        </is>
      </c>
      <c r="L727" t="n">
        <v>25.49</v>
      </c>
      <c r="M727" s="1" t="inlineStr">
        <is>
          <t>-36.26%</t>
        </is>
      </c>
      <c r="N727" s="7" t="n">
        <v>370.71</v>
      </c>
      <c r="O727" t="n">
        <v>4.4</v>
      </c>
      <c r="P727" t="n">
        <v>155</v>
      </c>
      <c r="R727" t="inlineStr">
        <is>
          <t>InStock</t>
        </is>
      </c>
      <c r="S727" t="inlineStr">
        <is>
          <t>55.44</t>
        </is>
      </c>
      <c r="T727" t="inlineStr">
        <is>
          <t>5782641410216</t>
        </is>
      </c>
    </row>
    <row r="728" ht="87" customHeight="1">
      <c r="A728" s="2">
        <f>HYPERLINK("https://edmondsonsupply.com/collections/personal-protection-safety/products/klein-tools-60539-professional-safety-glasses-full-frame-polarized-lens", "https://edmondsonsupply.com/collections/personal-protection-safety/products/klein-tools-60539-professional-safety-glasses-full-frame-polarized-lens")</f>
        <v/>
      </c>
      <c r="B728" s="2">
        <f>HYPERLINK("https://edmondsonsupply.com/products/klein-tools-60539-professional-safety-glasses-full-frame-polarized-lens", "https://edmondsonsupply.com/products/klein-tools-60539-professional-safety-glasses-full-frame-polarized-lens")</f>
        <v/>
      </c>
      <c r="C728" t="inlineStr">
        <is>
          <t>Klein Tools 60539 Professional Safety Glasses, Full Frame, Polarized Lens</t>
        </is>
      </c>
      <c r="D728" t="inlineStr">
        <is>
          <t>Klein Tools 60536 Safety Glasses, Professional PPE Protective Eyewear with Semi Frame, Scratch Resistant and Anti-Fog, Indoor/Outdoor Lens, Clear Lens</t>
        </is>
      </c>
      <c r="E728" s="2">
        <f>HYPERLINK("https://www.amazon.com/Klein-Tools-60536-Professional-Protective/dp/B0BLQWVJDB/ref=sr_1_2?keywords=Klein+Tools+60539+Professional+Safety+Glasses%2C+Full+Frame%2C+Polarized+Lens&amp;qid=1694734488&amp;sr=8-2", "https://www.amazon.com/Klein-Tools-60536-Professional-Protective/dp/B0BLQWVJDB/ref=sr_1_2?keywords=Klein+Tools+60539+Professional+Safety+Glasses%2C+Full+Frame%2C+Polarized+Lens&amp;qid=1694734488&amp;sr=8-2")</f>
        <v/>
      </c>
      <c r="F728" t="inlineStr">
        <is>
          <t>B0BLQWVJDB</t>
        </is>
      </c>
      <c r="G728">
        <f>_xlfn.IMAGE("https://edmondsonsupply.com/cdn/shop/products/60539.jpg?v=1670948006")</f>
        <v/>
      </c>
      <c r="H728">
        <f>_xlfn.IMAGE("https://m.media-amazon.com/images/I/41rAXCZifQL._AC_UL320_.jpg")</f>
        <v/>
      </c>
      <c r="K728" t="inlineStr">
        <is>
          <t>29.99</t>
        </is>
      </c>
      <c r="L728" t="n">
        <v>16.6</v>
      </c>
      <c r="M728" s="1" t="inlineStr">
        <is>
          <t>-44.65%</t>
        </is>
      </c>
      <c r="N728" s="7" t="n">
        <v>368.04</v>
      </c>
      <c r="O728" t="n">
        <v>4.4</v>
      </c>
      <c r="P728" t="n">
        <v>371</v>
      </c>
      <c r="R728" t="inlineStr">
        <is>
          <t>InStock</t>
        </is>
      </c>
      <c r="S728" t="inlineStr">
        <is>
          <t>41.98</t>
        </is>
      </c>
      <c r="T728" t="inlineStr">
        <is>
          <t>7904008536280</t>
        </is>
      </c>
    </row>
    <row r="729" ht="87" customHeight="1">
      <c r="A729" s="2">
        <f>HYPERLINK("https://edmondsonsupply.com/collections/personal-protection-safety/products/hellberg-safety-secure-3-headband-hearing-protection", "https://edmondsonsupply.com/collections/personal-protection-safety/products/hellberg-safety-secure-3-headband-hearing-protection")</f>
        <v/>
      </c>
      <c r="B729" s="2">
        <f>HYPERLINK("https://edmondsonsupply.com/products/hellberg-safety-secure-3-headband-hearing-protection", "https://edmondsonsupply.com/products/hellberg-safety-secure-3-headband-hearing-protection")</f>
        <v/>
      </c>
      <c r="C729" t="inlineStr">
        <is>
          <t>Hellberg Safety Secure 3 Headband Hearing Protection</t>
        </is>
      </c>
      <c r="D729" t="inlineStr">
        <is>
          <t>ProCase Noise Reduction Safety Ear Muffs, 32dB Hearing Protection Earmuffs Ear Defenders with Adjustable Headband for Shooting Mowing Construction Manufacturing Woodwork -Red</t>
        </is>
      </c>
      <c r="E729" s="2">
        <f>HYPERLINK("https://www.amazon.com/ProCase-Protection-Adjustable-Construction-Manufacturing/dp/B09W25LK3W/ref=sr_1_28?keywords=Hellberg+Safety+Secure+3+Headband+Hearing+Protection&amp;qid=1694734500&amp;sr=8-28", "https://www.amazon.com/ProCase-Protection-Adjustable-Construction-Manufacturing/dp/B09W25LK3W/ref=sr_1_28?keywords=Hellberg+Safety+Secure+3+Headband+Hearing+Protection&amp;qid=1694734500&amp;sr=8-28")</f>
        <v/>
      </c>
      <c r="F729" t="inlineStr">
        <is>
          <t>B09W25LK3W</t>
        </is>
      </c>
      <c r="G729">
        <f>_xlfn.IMAGE("https://edmondsonsupply.com/cdn/shop/products/41003-001_Original_637469277190930000.jpg?v=1635628443")</f>
        <v/>
      </c>
      <c r="H729">
        <f>_xlfn.IMAGE("https://m.media-amazon.com/images/I/619aaQcA58L._AC_UL320_.jpg")</f>
        <v/>
      </c>
      <c r="K729" t="inlineStr">
        <is>
          <t>37.95</t>
        </is>
      </c>
      <c r="L729" t="n">
        <v>18.99</v>
      </c>
      <c r="M729" s="1" t="inlineStr">
        <is>
          <t>-49.96%</t>
        </is>
      </c>
      <c r="N729" s="7" t="n">
        <v>356.95</v>
      </c>
      <c r="O729" t="n">
        <v>4.5</v>
      </c>
      <c r="P729" t="n">
        <v>764</v>
      </c>
      <c r="R729" t="inlineStr">
        <is>
          <t>InStock</t>
        </is>
      </c>
      <c r="S729" t="inlineStr">
        <is>
          <t>43.95</t>
        </is>
      </c>
      <c r="T729" t="inlineStr">
        <is>
          <t>7355746713816</t>
        </is>
      </c>
    </row>
    <row r="730" hidden="1" ht="15.75" customHeight="1">
      <c r="A730" s="2">
        <f>HYPERLINK("https://edmondsonsupply.com/collections/personal-protection-safety/products/klein-tools-60539-professional-safety-glasses-full-frame-polarized-lens", "https://edmondsonsupply.com/collections/personal-protection-safety/products/klein-tools-60539-professional-safety-glasses-full-frame-polarized-lens")</f>
        <v/>
      </c>
      <c r="B730" s="2">
        <f>HYPERLINK("https://edmondsonsupply.com/products/klein-tools-60539-professional-safety-glasses-full-frame-polarized-lens", "https://edmondsonsupply.com/products/klein-tools-60539-professional-safety-glasses-full-frame-polarized-lens")</f>
        <v/>
      </c>
      <c r="C730" t="inlineStr">
        <is>
          <t>Klein Tools 60539 Professional Safety Glasses, Full Frame, Polarized Lens</t>
        </is>
      </c>
      <c r="D730" t="inlineStr">
        <is>
          <t>Klein Tools 60163 Safety Glasses, Professional PPE Protective Eyewear with Full Frame, Scratch Resistant and Anti-Fog, Clear Lens , 5.6 x 4 inch</t>
        </is>
      </c>
      <c r="E730" s="2">
        <f>HYPERLINK("https://www.amazon.com/Klein-60163-Professional-Protective-Resistant/dp/B08B48CZ5V/ref=sr_1_7?keywords=Klein+Tools+60539+Professional+Safety+Glasses%2C+Full+Frame%2C+Polarized+Lens&amp;qid=1694734488&amp;sr=8-7", "https://www.amazon.com/Klein-60163-Professional-Protective-Resistant/dp/B08B48CZ5V/ref=sr_1_7?keywords=Klein+Tools+60539+Professional+Safety+Glasses%2C+Full+Frame%2C+Polarized+Lens&amp;qid=1694734488&amp;sr=8-7")</f>
        <v/>
      </c>
      <c r="F730" t="inlineStr">
        <is>
          <t>B08B48CZ5V</t>
        </is>
      </c>
      <c r="G730">
        <f>_xludf.IMAGE("https://edmondsonsupply.com/cdn/shop/products/60539.jpg?v=1670948006")</f>
        <v/>
      </c>
      <c r="H730">
        <f>_xludf.IMAGE("https://m.media-amazon.com/images/I/41IY8K6EFLL._AC_UL320_.jpg")</f>
        <v/>
      </c>
      <c r="K730" t="inlineStr">
        <is>
          <t>29.99</t>
        </is>
      </c>
      <c r="L730" t="n">
        <v>14.99</v>
      </c>
      <c r="M730" s="1" t="inlineStr">
        <is>
          <t>-50.02%</t>
        </is>
      </c>
      <c r="N730" s="1" t="n">
        <v>354.87</v>
      </c>
      <c r="O730" t="n">
        <v>4.4</v>
      </c>
      <c r="P730" t="n">
        <v>196</v>
      </c>
      <c r="R730" t="inlineStr">
        <is>
          <t>InStock</t>
        </is>
      </c>
      <c r="S730" t="inlineStr">
        <is>
          <t>41.98</t>
        </is>
      </c>
      <c r="T730" t="inlineStr">
        <is>
          <t>7904008536280</t>
        </is>
      </c>
    </row>
    <row r="731" hidden="1" ht="15.75" customHeight="1">
      <c r="A731" s="2">
        <f>HYPERLINK("https://edmondsonsupply.com/collections/personal-protection-safety/products/klein-tools-60539-professional-safety-glasses-full-frame-polarized-lens", "https://edmondsonsupply.com/collections/personal-protection-safety/products/klein-tools-60539-professional-safety-glasses-full-frame-polarized-lens")</f>
        <v/>
      </c>
      <c r="B731" s="2">
        <f>HYPERLINK("https://edmondsonsupply.com/products/klein-tools-60539-professional-safety-glasses-full-frame-polarized-lens", "https://edmondsonsupply.com/products/klein-tools-60539-professional-safety-glasses-full-frame-polarized-lens")</f>
        <v/>
      </c>
      <c r="C731" t="inlineStr">
        <is>
          <t>Klein Tools 60539 Professional Safety Glasses, Full Frame, Polarized Lens</t>
        </is>
      </c>
      <c r="D731" t="inlineStr">
        <is>
          <t>Klein Tools 60164 Safety Glasses, Professional PPE Protective Eyewear with Full Frame, Scratch Resistant and Anti-Fog, Gray Lens 5.6 x 4 inch</t>
        </is>
      </c>
      <c r="E731" s="2">
        <f>HYPERLINK("https://www.amazon.com/Klein-60164-Professional-Protective-Resistant/dp/B08B4BNSHM/ref=sr_1_9?keywords=Klein+Tools+60539+Professional+Safety+Glasses%2C+Full+Frame%2C+Polarized+Lens&amp;qid=1694734488&amp;sr=8-9", "https://www.amazon.com/Klein-60164-Professional-Protective-Resistant/dp/B08B4BNSHM/ref=sr_1_9?keywords=Klein+Tools+60539+Professional+Safety+Glasses%2C+Full+Frame%2C+Polarized+Lens&amp;qid=1694734488&amp;sr=8-9")</f>
        <v/>
      </c>
      <c r="F731" t="inlineStr">
        <is>
          <t>B08B4BNSHM</t>
        </is>
      </c>
      <c r="G731">
        <f>_xludf.IMAGE("https://edmondsonsupply.com/cdn/shop/products/60539.jpg?v=1670948006")</f>
        <v/>
      </c>
      <c r="H731">
        <f>_xludf.IMAGE("https://m.media-amazon.com/images/I/41bNrH9NnFL._AC_UL320_.jpg")</f>
        <v/>
      </c>
      <c r="K731" t="inlineStr">
        <is>
          <t>29.99</t>
        </is>
      </c>
      <c r="L731" t="n">
        <v>14.99</v>
      </c>
      <c r="M731" s="1" t="inlineStr">
        <is>
          <t>-50.02%</t>
        </is>
      </c>
      <c r="N731" s="1" t="n">
        <v>350.3</v>
      </c>
      <c r="O731" t="n">
        <v>4.4</v>
      </c>
      <c r="P731" t="n">
        <v>459</v>
      </c>
      <c r="R731" t="inlineStr">
        <is>
          <t>InStock</t>
        </is>
      </c>
      <c r="S731" t="inlineStr">
        <is>
          <t>41.98</t>
        </is>
      </c>
      <c r="T731" t="inlineStr">
        <is>
          <t>7904008536280</t>
        </is>
      </c>
    </row>
    <row r="732" ht="87" customHeight="1">
      <c r="A732" s="2">
        <f>HYPERLINK("https://edmondsonsupply.com/collections/personal-protection-safety/products/klein-tools-60615-heavy-duty-knee-pad-sleeves-s-m", "https://edmondsonsupply.com/collections/personal-protection-safety/products/klein-tools-60615-heavy-duty-knee-pad-sleeves-s-m")</f>
        <v/>
      </c>
      <c r="B732" s="2">
        <f>HYPERLINK("https://edmondsonsupply.com/products/klein-tools-60615-heavy-duty-knee-pad-sleeves-s-m", "https://edmondsonsupply.com/products/klein-tools-60615-heavy-duty-knee-pad-sleeves-s-m")</f>
        <v/>
      </c>
      <c r="C732" t="inlineStr">
        <is>
          <t>Klein Tools 60615 Heavy Duty Knee Pad Sleeves, S/M</t>
        </is>
      </c>
      <c r="D732" t="inlineStr">
        <is>
          <t>Klein Tools 60592 Knee Pads, Lightweight Padded Knee Sleeves, Breathable Mesh Back, Elastic Cuff with Slip-Resistant Silicone, Black, L/XL</t>
        </is>
      </c>
      <c r="E732" s="2">
        <f>HYPERLINK("https://www.amazon.com/Klein-Tools-60592-Lightweight-Slip-Resistant/dp/B0B622FRN8/ref=sr_1_2?keywords=Klein+Tools+60615+Heavy+Duty+Knee+Pad+Sleeves%2C+S%2FM&amp;qid=1694734476&amp;sr=8-2", "https://www.amazon.com/Klein-Tools-60592-Lightweight-Slip-Resistant/dp/B0B622FRN8/ref=sr_1_2?keywords=Klein+Tools+60615+Heavy+Duty+Knee+Pad+Sleeves%2C+S%2FM&amp;qid=1694734476&amp;sr=8-2")</f>
        <v/>
      </c>
      <c r="F732" t="inlineStr">
        <is>
          <t>B0B622FRN8</t>
        </is>
      </c>
      <c r="G732">
        <f>_xlfn.IMAGE("https://edmondsonsupply.com/cdn/shop/products/60511_60611_b_f68c12ff-69e9-4ee5-9cc0-02cf7484e091.jpg?v=1681743847")</f>
        <v/>
      </c>
      <c r="H732">
        <f>_xlfn.IMAGE("https://m.media-amazon.com/images/I/61SeDj1bXKL._AC_UL320_.jpg")</f>
        <v/>
      </c>
      <c r="K732" t="inlineStr">
        <is>
          <t>39.99</t>
        </is>
      </c>
      <c r="L732" t="n">
        <v>19.97</v>
      </c>
      <c r="M732" s="1" t="inlineStr">
        <is>
          <t>-50.06%</t>
        </is>
      </c>
      <c r="N732" s="7" t="n">
        <v>345.72</v>
      </c>
      <c r="O732" t="n">
        <v>4.1</v>
      </c>
      <c r="P732" t="n">
        <v>141</v>
      </c>
      <c r="R732" t="inlineStr">
        <is>
          <t>InStock</t>
        </is>
      </c>
      <c r="S732" t="inlineStr">
        <is>
          <t>55.98</t>
        </is>
      </c>
      <c r="T732" t="inlineStr">
        <is>
          <t>7980639813848</t>
        </is>
      </c>
    </row>
    <row r="733" ht="87" customHeight="1">
      <c r="A733" s="2">
        <f>HYPERLINK("https://edmondsonsupply.com/collections/personal-protection-safety/products/klein-tools-60511-heavy-duty-knee-pad-sleeves-m-l", "https://edmondsonsupply.com/collections/personal-protection-safety/products/klein-tools-60511-heavy-duty-knee-pad-sleeves-m-l")</f>
        <v/>
      </c>
      <c r="B733" s="2">
        <f>HYPERLINK("https://edmondsonsupply.com/products/klein-tools-60511-heavy-duty-knee-pad-sleeves-m-l", "https://edmondsonsupply.com/products/klein-tools-60511-heavy-duty-knee-pad-sleeves-m-l")</f>
        <v/>
      </c>
      <c r="C733" t="inlineStr">
        <is>
          <t>Klein Tools 60511 Heavy Duty Knee Pad Sleeves, M/L</t>
        </is>
      </c>
      <c r="D733" t="inlineStr">
        <is>
          <t>Klein Tools 60592 Knee Pads, Lightweight Padded Knee Sleeves, Breathable Mesh Back, Elastic Cuff with Slip-Resistant Silicone, Black, L/XL</t>
        </is>
      </c>
      <c r="E733" s="2">
        <f>HYPERLINK("https://www.amazon.com/Klein-Tools-60592-Lightweight-Slip-Resistant/dp/B0B622FRN8/ref=sr_1_3?keywords=Klein+Tools+60511+Heavy+Duty+Knee+Pad+Sleeves%2C+M%2FL&amp;qid=1694734490&amp;sr=8-3", "https://www.amazon.com/Klein-Tools-60592-Lightweight-Slip-Resistant/dp/B0B622FRN8/ref=sr_1_3?keywords=Klein+Tools+60511+Heavy+Duty+Knee+Pad+Sleeves%2C+M%2FL&amp;qid=1694734490&amp;sr=8-3")</f>
        <v/>
      </c>
      <c r="F733" t="inlineStr">
        <is>
          <t>B0B622FRN8</t>
        </is>
      </c>
      <c r="G733">
        <f>_xlfn.IMAGE("https://edmondsonsupply.com/cdn/shop/products/60511_60611_b.jpg?v=1663253024")</f>
        <v/>
      </c>
      <c r="H733">
        <f>_xlfn.IMAGE("https://m.media-amazon.com/images/I/61SeDj1bXKL._AC_UL320_.jpg")</f>
        <v/>
      </c>
      <c r="K733" t="inlineStr">
        <is>
          <t>39.99</t>
        </is>
      </c>
      <c r="L733" t="n">
        <v>19.97</v>
      </c>
      <c r="M733" s="1" t="inlineStr">
        <is>
          <t>-50.06%</t>
        </is>
      </c>
      <c r="N733" s="7" t="n">
        <v>335.12</v>
      </c>
      <c r="O733" t="n">
        <v>4.1</v>
      </c>
      <c r="P733" t="n">
        <v>141</v>
      </c>
      <c r="R733" t="inlineStr">
        <is>
          <t>InStock</t>
        </is>
      </c>
      <c r="S733" t="inlineStr">
        <is>
          <t>55.98</t>
        </is>
      </c>
      <c r="T733" t="inlineStr">
        <is>
          <t>7817486074072</t>
        </is>
      </c>
    </row>
    <row r="734" hidden="1" ht="15.75" customHeight="1">
      <c r="A734" s="2">
        <f>HYPERLINK("https://edmondsonsupply.com/collections/personal-protection-safety/products/copy-of-klein-tools-60189-leather-work-gloves-x-large-pair", "https://edmondsonsupply.com/collections/personal-protection-safety/products/copy-of-klein-tools-60189-leather-work-gloves-x-large-pair")</f>
        <v/>
      </c>
      <c r="B734" s="2">
        <f>HYPERLINK("https://edmondsonsupply.com/products/copy-of-klein-tools-60189-leather-work-gloves-x-large-pair", "https://edmondsonsupply.com/products/copy-of-klein-tools-60189-leather-work-gloves-x-large-pair")</f>
        <v/>
      </c>
      <c r="C734" t="inlineStr">
        <is>
          <t>Klein Tools 60188 Leather Work Gloves, Large, Pair</t>
        </is>
      </c>
      <c r="D734" t="inlineStr">
        <is>
          <t>Klein Tools 60185 Work Gloves, Cut-Resistant Gloves ANSI Rated A2, Touchscreen, Large, 2-Pair, Gray Knit, Black Coating, Orange Cuff Thread</t>
        </is>
      </c>
      <c r="E734" s="2">
        <f>HYPERLINK("https://www.amazon.com/Klein-Gloves-Cut-Resistant-Touchscreen-2-Pair/dp/B088NBRY3M/ref=sr_1_9?keywords=Klein+Tools+60188+Leather+Work+Gloves%2C+Large%2C+Pair&amp;qid=1694734529&amp;sr=8-9", "https://www.amazon.com/Klein-Gloves-Cut-Resistant-Touchscreen-2-Pair/dp/B088NBRY3M/ref=sr_1_9?keywords=Klein+Tools+60188+Leather+Work+Gloves%2C+Large%2C+Pair&amp;qid=1694734529&amp;sr=8-9")</f>
        <v/>
      </c>
      <c r="F734" t="inlineStr">
        <is>
          <t>B088NBRY3M</t>
        </is>
      </c>
      <c r="G734">
        <f>_xludf.IMAGE("https://edmondsonsupply.com/cdn/shop/products/60188_7a7499e6-621a-4bc0-8883-0ddde9a9ada8.jpg?v=1588432588")</f>
        <v/>
      </c>
      <c r="H734">
        <f>_xludf.IMAGE("https://m.media-amazon.com/images/I/71GlG2Zt5fL._AC_UL320_.jpg")</f>
        <v/>
      </c>
      <c r="K734" t="inlineStr">
        <is>
          <t>25.99</t>
        </is>
      </c>
      <c r="L734" t="n">
        <v>12.97</v>
      </c>
      <c r="M734" s="1" t="inlineStr">
        <is>
          <t>-50.10%</t>
        </is>
      </c>
      <c r="N734" s="1" t="n">
        <v>332.08</v>
      </c>
      <c r="O734" t="n">
        <v>4.4</v>
      </c>
      <c r="P734" t="n">
        <v>40</v>
      </c>
      <c r="R734" t="inlineStr">
        <is>
          <t>InStock</t>
        </is>
      </c>
      <c r="S734" t="inlineStr">
        <is>
          <t>35.98</t>
        </is>
      </c>
      <c r="T734" t="inlineStr">
        <is>
          <t>4603169734756</t>
        </is>
      </c>
    </row>
    <row r="735" ht="87" customHeight="1">
      <c r="A735" s="2">
        <f>HYPERLINK("https://edmondsonsupply.com/collections/personal-protection-safety/products/klein-tools-40218-journeyman-extreme-gloves-large", "https://edmondsonsupply.com/collections/personal-protection-safety/products/klein-tools-40218-journeyman-extreme-gloves-large")</f>
        <v/>
      </c>
      <c r="B735" s="2">
        <f>HYPERLINK("https://edmondsonsupply.com/products/klein-tools-40218-journeyman-extreme-gloves-large", "https://edmondsonsupply.com/products/klein-tools-40218-journeyman-extreme-gloves-large")</f>
        <v/>
      </c>
      <c r="C735" t="inlineStr">
        <is>
          <t>Klein Tools 40218 Journeyman Extreme Gloves, Large</t>
        </is>
      </c>
      <c r="D735" t="inlineStr">
        <is>
          <t>Klein Tools 40206 Journeyman Utility Gloves, Large</t>
        </is>
      </c>
      <c r="E735" s="2">
        <f>HYPERLINK("https://www.amazon.com/Journeyman-Utility-Klein-Tools-40206/dp/B00KZL5AEK/ref=sr_1_4?keywords=Klein+Tools+40218+Journeyman+Extreme+Gloves%2C+Large&amp;qid=1694734514&amp;sr=8-4", "https://www.amazon.com/Journeyman-Utility-Klein-Tools-40206/dp/B00KZL5AEK/ref=sr_1_4?keywords=Klein+Tools+40218+Journeyman+Extreme+Gloves%2C+Large&amp;qid=1694734514&amp;sr=8-4")</f>
        <v/>
      </c>
      <c r="F735" t="inlineStr">
        <is>
          <t>B00KZL5AEK</t>
        </is>
      </c>
      <c r="G735">
        <f>_xlfn.IMAGE("https://edmondsonsupply.com/cdn/shop/products/40219_0a592222-828d-4257-9e62-1df98be50c8b.jpg?v=1600025215")</f>
        <v/>
      </c>
      <c r="H735">
        <f>_xlfn.IMAGE("https://m.media-amazon.com/images/I/61r-l13tqiL._AC_UL320_.jpg")</f>
        <v/>
      </c>
      <c r="K735" t="inlineStr">
        <is>
          <t>39.99</t>
        </is>
      </c>
      <c r="L735" t="n">
        <v>19.49</v>
      </c>
      <c r="M735" s="1" t="inlineStr">
        <is>
          <t>-51.26%</t>
        </is>
      </c>
      <c r="N735" s="7" t="n">
        <v>330.33</v>
      </c>
      <c r="O735" t="n">
        <v>4.1</v>
      </c>
      <c r="P735" t="n">
        <v>27</v>
      </c>
      <c r="R735" t="inlineStr">
        <is>
          <t>InStock</t>
        </is>
      </c>
      <c r="S735" t="inlineStr">
        <is>
          <t>55.44</t>
        </is>
      </c>
      <c r="T735" t="inlineStr">
        <is>
          <t>5782641410216</t>
        </is>
      </c>
    </row>
    <row r="736" hidden="1" ht="15.75" customHeight="1">
      <c r="A736" s="2">
        <f>HYPERLINK("https://edmondsonsupply.com/collections/personal-protection-safety/products/hellberg-safety-secure-1-headband-hearing-protection", "https://edmondsonsupply.com/collections/personal-protection-safety/products/hellberg-safety-secure-1-headband-hearing-protection")</f>
        <v/>
      </c>
      <c r="B736" s="2">
        <f>HYPERLINK("https://edmondsonsupply.com/products/hellberg-safety-secure-1-headband-hearing-protection", "https://edmondsonsupply.com/products/hellberg-safety-secure-1-headband-hearing-protection")</f>
        <v/>
      </c>
      <c r="C736" t="inlineStr">
        <is>
          <t>Hellberg Safety Secure 1 Headband Hearing Protection</t>
        </is>
      </c>
      <c r="D736" t="inlineStr">
        <is>
          <t>G &amp; F Products 12010BL Highest NRR Safety Muffs-Professional Defenders Adjustable Headband Ear Protection, Shooting Hearing Protector Earmuffs Fits Adults to Kids, one Size, Black</t>
        </is>
      </c>
      <c r="E736" s="2">
        <f>HYPERLINK("https://www.amazon.com/12010BL-Muffs-Professional-Defenders-Adjustable-Protection/dp/B01AFOJ3I0/ref=sr_1_16?keywords=Hellberg+Safety+Secure+1+Headband+Hearing+Protection&amp;qid=1694734499&amp;sr=8-16", "https://www.amazon.com/12010BL-Muffs-Professional-Defenders-Adjustable-Protection/dp/B01AFOJ3I0/ref=sr_1_16?keywords=Hellberg+Safety+Secure+1+Headband+Hearing+Protection&amp;qid=1694734499&amp;sr=8-16")</f>
        <v/>
      </c>
      <c r="F736" t="inlineStr">
        <is>
          <t>B01AFOJ3I0</t>
        </is>
      </c>
      <c r="G736">
        <f>_xludf.IMAGE("https://edmondsonsupply.com/cdn/shop/products/41001-001_Original_637469216954400000.jpg?v=1635625313")</f>
        <v/>
      </c>
      <c r="H736">
        <f>_xludf.IMAGE("https://m.media-amazon.com/images/I/6183cL-s2NL._AC_UL320_.jpg")</f>
        <v/>
      </c>
      <c r="K736" t="inlineStr">
        <is>
          <t>24.95</t>
        </is>
      </c>
      <c r="L736" t="n">
        <v>11.99</v>
      </c>
      <c r="M736" s="1" t="inlineStr">
        <is>
          <t>-51.94%</t>
        </is>
      </c>
      <c r="N736" s="1" t="n">
        <v>328.16</v>
      </c>
      <c r="O736" t="n">
        <v>4.6</v>
      </c>
      <c r="P736" t="n">
        <v>1345</v>
      </c>
      <c r="R736" t="inlineStr">
        <is>
          <t>InStock</t>
        </is>
      </c>
      <c r="S736" t="inlineStr">
        <is>
          <t>27.95</t>
        </is>
      </c>
      <c r="T736" t="inlineStr">
        <is>
          <t>7355683635416</t>
        </is>
      </c>
    </row>
    <row r="737" hidden="1" ht="15.75" customHeight="1">
      <c r="A737" s="2">
        <f>HYPERLINK("https://edmondsonsupply.com/collections/personal-protection-safety/products/hellberg-safety-secure-2-headband-hearing-protection", "https://edmondsonsupply.com/collections/personal-protection-safety/products/hellberg-safety-secure-2-headband-hearing-protection")</f>
        <v/>
      </c>
      <c r="B737" s="2">
        <f>HYPERLINK("https://edmondsonsupply.com/products/hellberg-safety-secure-2-headband-hearing-protection", "https://edmondsonsupply.com/products/hellberg-safety-secure-2-headband-hearing-protection")</f>
        <v/>
      </c>
      <c r="C737" t="inlineStr">
        <is>
          <t>Hellberg Safety Secure 2 Headband Hearing Protection</t>
        </is>
      </c>
      <c r="D737" t="inlineStr">
        <is>
          <t>G &amp; F Products 12010BL Highest NRR Safety Muffs-Professional Defenders Adjustable Headband Ear Protection, Shooting Hearing Protector Earmuffs Fits Adults to Kids, one Size, Black</t>
        </is>
      </c>
      <c r="E737" s="2">
        <f>HYPERLINK("https://www.amazon.com/12010BL-Muffs-Professional-Defenders-Adjustable-Protection/dp/B01AFOJ3I0/ref=sr_1_17?keywords=Hellberg+Safety+Secure+2+Headband+Hearing+Protection&amp;qid=1694734500&amp;sr=8-17", "https://www.amazon.com/12010BL-Muffs-Professional-Defenders-Adjustable-Protection/dp/B01AFOJ3I0/ref=sr_1_17?keywords=Hellberg+Safety+Secure+2+Headband+Hearing+Protection&amp;qid=1694734500&amp;sr=8-17")</f>
        <v/>
      </c>
      <c r="F737" t="inlineStr">
        <is>
          <t>B01AFOJ3I0</t>
        </is>
      </c>
      <c r="G737">
        <f>_xludf.IMAGE("https://edmondsonsupply.com/cdn/shop/products/41002-001_Original_637469232543030000.jpg?v=1635627040")</f>
        <v/>
      </c>
      <c r="H737">
        <f>_xludf.IMAGE("https://m.media-amazon.com/images/I/6183cL-s2NL._AC_UL320_.jpg")</f>
        <v/>
      </c>
      <c r="K737" t="inlineStr">
        <is>
          <t>27.95</t>
        </is>
      </c>
      <c r="L737" t="n">
        <v>11.99</v>
      </c>
      <c r="M737" s="1" t="inlineStr">
        <is>
          <t>-57.10%</t>
        </is>
      </c>
      <c r="N737" s="1" t="n">
        <v>325.44</v>
      </c>
      <c r="O737" t="n">
        <v>4.6</v>
      </c>
      <c r="P737" t="n">
        <v>1345</v>
      </c>
      <c r="R737" t="inlineStr">
        <is>
          <t>InStock</t>
        </is>
      </c>
      <c r="S737" t="inlineStr">
        <is>
          <t>29.95</t>
        </is>
      </c>
      <c r="T737" t="inlineStr">
        <is>
          <t>7355712504024</t>
        </is>
      </c>
    </row>
    <row r="738" hidden="1" ht="15.75" customHeight="1">
      <c r="A738" s="2">
        <f>HYPERLINK("https://edmondsonsupply.com/collections/personal-protection-safety/products/edge-eyewear-sr116-reclus-black-frame-smoke-lens-safety-glasses", "https://edmondsonsupply.com/collections/personal-protection-safety/products/edge-eyewear-sr116-reclus-black-frame-smoke-lens-safety-glasses")</f>
        <v/>
      </c>
      <c r="B738" s="2">
        <f>HYPERLINK("https://edmondsonsupply.com/products/edge-eyewear-sr116-reclus-black-frame-smoke-lens-safety-glasses", "https://edmondsonsupply.com/products/edge-eyewear-sr116-reclus-black-frame-smoke-lens-safety-glasses")</f>
        <v/>
      </c>
      <c r="C738" t="inlineStr">
        <is>
          <t>Edge Eyewear SR116 Reclus - Black Frame/Smoke Lens, Safety Glasses</t>
        </is>
      </c>
      <c r="D738" t="inlineStr">
        <is>
          <t>Edge Eyewear DZ116-G2 Zorge G2 Wrap-Around Safety Glasses, Anti-Scratch, Non-Slip, UV 400, Military Grade, ANSI/ISEA &amp; MCEPS Compliant, 5.04" Wide, Black Frame / Smoke Lens, One Size</t>
        </is>
      </c>
      <c r="E738" s="2">
        <f>HYPERLINK("https://www.amazon.com/Edge-Eyewear-DZ116-G2-Safety-Glasses/dp/B00OYIMUDE/ref=sr_1_6?keywords=Edge+Eyewear+SR116+Reclus+-+Black+Frame%2FSmoke+Lens%2C+Safety+Glasses&amp;qid=1694734504&amp;sr=8-6", "https://www.amazon.com/Edge-Eyewear-DZ116-G2-Safety-Glasses/dp/B00OYIMUDE/ref=sr_1_6?keywords=Edge+Eyewear+SR116+Reclus+-+Black+Frame%2FSmoke+Lens%2C+Safety+Glasses&amp;qid=1694734504&amp;sr=8-6")</f>
        <v/>
      </c>
      <c r="F738" t="inlineStr">
        <is>
          <t>B00OYIMUDE</t>
        </is>
      </c>
      <c r="G738">
        <f>_xludf.IMAGE("https://edmondsonsupply.com/cdn/shop/products/SR116_1512x_cc8649c7-14e6-4c1c-9513-7dd61f5f7eb9.png?v=1633030940")</f>
        <v/>
      </c>
      <c r="H738">
        <f>_xludf.IMAGE("https://m.media-amazon.com/images/I/41bqa6uxQlL._AC_UL320_.jpg")</f>
        <v/>
      </c>
      <c r="K738" t="inlineStr">
        <is>
          <t>16.47</t>
        </is>
      </c>
      <c r="L738" t="n">
        <v>5.99</v>
      </c>
      <c r="M738" s="1" t="inlineStr">
        <is>
          <t>-63.63%</t>
        </is>
      </c>
      <c r="N738" s="1" t="n">
        <v>325.07</v>
      </c>
      <c r="O738" t="n">
        <v>4.3</v>
      </c>
      <c r="P738" t="n">
        <v>462</v>
      </c>
      <c r="R738" t="inlineStr">
        <is>
          <t>InStock</t>
        </is>
      </c>
      <c r="S738" t="inlineStr">
        <is>
          <t>18.3</t>
        </is>
      </c>
      <c r="T738" t="inlineStr">
        <is>
          <t>6572908085421</t>
        </is>
      </c>
    </row>
    <row r="739" hidden="1" ht="15.75" customHeight="1">
      <c r="A739" s="2">
        <f>HYPERLINK("https://edmondsonsupply.com/collections/personal-protection-safety/products/hellberg-safety-secure-2-headband-hearing-protection", "https://edmondsonsupply.com/collections/personal-protection-safety/products/hellberg-safety-secure-2-headband-hearing-protection")</f>
        <v/>
      </c>
      <c r="B739" s="2">
        <f>HYPERLINK("https://edmondsonsupply.com/products/hellberg-safety-secure-2-headband-hearing-protection", "https://edmondsonsupply.com/products/hellberg-safety-secure-2-headband-hearing-protection")</f>
        <v/>
      </c>
      <c r="C739" t="inlineStr">
        <is>
          <t>Hellberg Safety Secure 2 Headband Hearing Protection</t>
        </is>
      </c>
      <c r="D739" t="inlineStr">
        <is>
          <t>JORESTECH Safety Earmuffs Yellow Hearing and Ear Sound Suppression Adjustable Headband Lightweight Protection for Construction Sleeping Studying NRR 23dB EM-503</t>
        </is>
      </c>
      <c r="E739" s="2">
        <f>HYPERLINK("https://www.amazon.com/JORESTECH-Suppression-Adjustable-Lightweight-Construction/dp/B06XH3G28S/ref=sr_1_18?keywords=Hellberg+Safety+Secure+2+Headband+Hearing+Protection&amp;qid=1694734500&amp;sr=8-18", "https://www.amazon.com/JORESTECH-Suppression-Adjustable-Lightweight-Construction/dp/B06XH3G28S/ref=sr_1_18?keywords=Hellberg+Safety+Secure+2+Headband+Hearing+Protection&amp;qid=1694734500&amp;sr=8-18")</f>
        <v/>
      </c>
      <c r="F739" t="inlineStr">
        <is>
          <t>B06XH3G28S</t>
        </is>
      </c>
      <c r="G739">
        <f>_xludf.IMAGE("https://edmondsonsupply.com/cdn/shop/products/41002-001_Original_637469232543030000.jpg?v=1635627040")</f>
        <v/>
      </c>
      <c r="H739">
        <f>_xludf.IMAGE("https://m.media-amazon.com/images/I/71djTjClQBL._AC_UL320_.jpg")</f>
        <v/>
      </c>
      <c r="K739" t="inlineStr">
        <is>
          <t>27.95</t>
        </is>
      </c>
      <c r="L739" t="n">
        <v>9.99</v>
      </c>
      <c r="M739" s="1" t="inlineStr">
        <is>
          <t>-64.26%</t>
        </is>
      </c>
      <c r="N739" s="1" t="n">
        <v>323.97</v>
      </c>
      <c r="O739" t="n">
        <v>4.2</v>
      </c>
      <c r="P739" t="n">
        <v>35</v>
      </c>
      <c r="R739" t="inlineStr">
        <is>
          <t>InStock</t>
        </is>
      </c>
      <c r="S739" t="inlineStr">
        <is>
          <t>29.95</t>
        </is>
      </c>
      <c r="T739" t="inlineStr">
        <is>
          <t>7355712504024</t>
        </is>
      </c>
    </row>
    <row r="740" hidden="1" ht="15.75" customHeight="1">
      <c r="A740" s="2">
        <f>HYPERLINK("https://edmondsonsupply.com/collections/personal-protection-safety/products/hellberg-safety-secure-3-headband-hearing-protection", "https://edmondsonsupply.com/collections/personal-protection-safety/products/hellberg-safety-secure-3-headband-hearing-protection")</f>
        <v/>
      </c>
      <c r="B740" s="2">
        <f>HYPERLINK("https://edmondsonsupply.com/products/hellberg-safety-secure-3-headband-hearing-protection", "https://edmondsonsupply.com/products/hellberg-safety-secure-3-headband-hearing-protection")</f>
        <v/>
      </c>
      <c r="C740" t="inlineStr">
        <is>
          <t>Hellberg Safety Secure 3 Headband Hearing Protection</t>
        </is>
      </c>
      <c r="D740" t="inlineStr">
        <is>
          <t>JORESTECH Safety Earmuffs Yellow Hearing and Ear Sound Suppression Adjustable Headband Lightweight Protection for Construction Sleeping Studying NRR 23dB EM-503</t>
        </is>
      </c>
      <c r="E740" s="2">
        <f>HYPERLINK("https://www.amazon.com/JORESTECH-Suppression-Adjustable-Lightweight-Construction/dp/B06XH3G28S/ref=sr_1_30?keywords=Hellberg+Safety+Secure+3+Headband+Hearing+Protection&amp;qid=1694734500&amp;sr=8-30", "https://www.amazon.com/JORESTECH-Suppression-Adjustable-Lightweight-Construction/dp/B06XH3G28S/ref=sr_1_30?keywords=Hellberg+Safety+Secure+3+Headband+Hearing+Protection&amp;qid=1694734500&amp;sr=8-30")</f>
        <v/>
      </c>
      <c r="F740" t="inlineStr">
        <is>
          <t>B06XH3G28S</t>
        </is>
      </c>
      <c r="G740">
        <f>_xludf.IMAGE("https://edmondsonsupply.com/cdn/shop/products/41003-001_Original_637469277190930000.jpg?v=1635628443")</f>
        <v/>
      </c>
      <c r="H740">
        <f>_xludf.IMAGE("https://m.media-amazon.com/images/I/71djTjClQBL._AC_UL320_.jpg")</f>
        <v/>
      </c>
      <c r="K740" t="inlineStr">
        <is>
          <t>37.95</t>
        </is>
      </c>
      <c r="L740" t="n">
        <v>9.99</v>
      </c>
      <c r="M740" s="1" t="inlineStr">
        <is>
          <t>-73.68%</t>
        </is>
      </c>
      <c r="N740" s="1" t="n">
        <v>321.22</v>
      </c>
      <c r="O740" t="n">
        <v>4.2</v>
      </c>
      <c r="P740" t="n">
        <v>35</v>
      </c>
      <c r="R740" t="inlineStr">
        <is>
          <t>InStock</t>
        </is>
      </c>
      <c r="S740" t="inlineStr">
        <is>
          <t>43.95</t>
        </is>
      </c>
      <c r="T740" t="inlineStr">
        <is>
          <t>7355746713816</t>
        </is>
      </c>
    </row>
    <row r="741" ht="87" customHeight="1">
      <c r="A741" s="2">
        <f>HYPERLINK("https://edmondsonsupply.com/collections/personal-protection-safety/products/hellberg-safety-xstream-headband-hearing-protection", "https://edmondsonsupply.com/collections/personal-protection-safety/products/hellberg-safety-xstream-headband-hearing-protection")</f>
        <v/>
      </c>
      <c r="B741" s="2">
        <f>HYPERLINK("https://edmondsonsupply.com/products/hellberg-safety-xstream-headband-hearing-protection", "https://edmondsonsupply.com/products/hellberg-safety-xstream-headband-hearing-protection")</f>
        <v/>
      </c>
      <c r="C741" t="inlineStr">
        <is>
          <t>Hellberg Safety Xstream Headband Hearing Protection</t>
        </is>
      </c>
      <c r="D741" t="inlineStr">
        <is>
          <t>Hellberg Safety 41002-001 Secure 2 Headband Hearing Protection, 26 dB NRR, Level 2 Protection for Medium to High Noise, Best Choice for High Frequency Noise</t>
        </is>
      </c>
      <c r="E741" s="2">
        <f>HYPERLINK("https://www.amazon.com/Hellberg-Safety-41002-001-Protection-Frequency/dp/B017DJJXOE/ref=sr_1_2?keywords=Hellberg+Safety+Xstream+Headband+Hearing+Protection&amp;qid=1694734499&amp;sr=8-2", "https://www.amazon.com/Hellberg-Safety-41002-001-Protection-Frequency/dp/B017DJJXOE/ref=sr_1_2?keywords=Hellberg+Safety+Xstream+Headband+Hearing+Protection&amp;qid=1694734499&amp;sr=8-2")</f>
        <v/>
      </c>
      <c r="F741" t="inlineStr">
        <is>
          <t>B017DJJXOE</t>
        </is>
      </c>
      <c r="G741">
        <f>_xlfn.IMAGE("https://edmondsonsupply.com/cdn/shop/products/48000-001.png_Original_637690306034800000.jpg?v=1635630457")</f>
        <v/>
      </c>
      <c r="H741">
        <f>_xlfn.IMAGE("https://m.media-amazon.com/images/I/716bzdxEJHL._AC_UL320_.jpg")</f>
        <v/>
      </c>
      <c r="K741" t="inlineStr">
        <is>
          <t>179.0</t>
        </is>
      </c>
      <c r="L741" t="n">
        <v>35.87</v>
      </c>
      <c r="M741" s="1" t="inlineStr">
        <is>
          <t>-79.96%</t>
        </is>
      </c>
      <c r="N741" s="7" t="n">
        <v>321.22</v>
      </c>
      <c r="O741" t="n">
        <v>4.5</v>
      </c>
      <c r="P741" t="n">
        <v>52</v>
      </c>
      <c r="R741" t="inlineStr">
        <is>
          <t>InStock</t>
        </is>
      </c>
      <c r="S741" t="inlineStr">
        <is>
          <t>199.0</t>
        </is>
      </c>
      <c r="T741" t="inlineStr">
        <is>
          <t>7355764277464</t>
        </is>
      </c>
    </row>
    <row r="742" ht="87" customHeight="1">
      <c r="A74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42" s="2">
        <f>HYPERLINK("https://edmondsonsupply.com/products/cambridge-1-2-pvc-liquid-tight-conduit-fitting-straight", "https://edmondsonsupply.com/products/cambridge-1-2-pvc-liquid-tight-conduit-fitting-straight")</f>
        <v/>
      </c>
      <c r="C742" t="inlineStr">
        <is>
          <t>Cambridge 1/2" PVC Liquid Tight Conduit Fitting - Straight</t>
        </is>
      </c>
      <c r="D742" t="inlineStr">
        <is>
          <t>Maitys 1/2 Inch Liquid Tight Connector PVC Electrical Conduit Fittings Straight 180 Degree Flexible Conduit Connector for Home Kitchen Bathroom Tube Tool Supplies (150 Pcs)</t>
        </is>
      </c>
      <c r="E742" s="2">
        <f>HYPERLINK("https://www.amazon.com/Maitys-Connector-Electrical-Fittings-Straight/dp/B0BY8PPH12/ref=sr_1_4?keywords=Cambridge+1%2F2%22+PVC+Liquid+Tight+Conduit+Fitting+-+Straight&amp;qid=1694734855&amp;sr=8-4", "https://www.amazon.com/Maitys-Connector-Electrical-Fittings-Straight/dp/B0BY8PPH12/ref=sr_1_4?keywords=Cambridge+1%2F2%22+PVC+Liquid+Tight+Conduit+Fitting+-+Straight&amp;qid=1694734855&amp;sr=8-4")</f>
        <v/>
      </c>
      <c r="F742" t="inlineStr">
        <is>
          <t>B0BY8PPH12</t>
        </is>
      </c>
      <c r="G742">
        <f>_xlfn.IMAGE("https://edmondsonsupply.com/cdn/shop/files/W14658_01.jpg?v=1692277178")</f>
        <v/>
      </c>
      <c r="H742">
        <f>_xlfn.IMAGE("https://m.media-amazon.com/images/I/81f-aeE88zL._AC_UL320_.jpg")</f>
        <v/>
      </c>
      <c r="K742" t="inlineStr">
        <is>
          <t>1.19</t>
        </is>
      </c>
      <c r="L742" t="n">
        <v>108.99</v>
      </c>
      <c r="M742" s="1" t="inlineStr">
        <is>
          <t>9,058.82%</t>
        </is>
      </c>
      <c r="N742" s="7" t="n">
        <v>321.22</v>
      </c>
      <c r="O742" t="n">
        <v>5</v>
      </c>
      <c r="P742" t="n">
        <v>2</v>
      </c>
      <c r="R742" t="inlineStr">
        <is>
          <t>InStock</t>
        </is>
      </c>
      <c r="S742" t="inlineStr">
        <is>
          <t>undefined</t>
        </is>
      </c>
      <c r="T742" t="inlineStr">
        <is>
          <t>8028223144152</t>
        </is>
      </c>
    </row>
    <row r="743" ht="87" customHeight="1">
      <c r="A743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43" s="2">
        <f>HYPERLINK("https://edmondsonsupply.com/products/cambridge-1-2-pvc-liquid-tight-conduit-fitting-90-degree", "https://edmondsonsupply.com/products/cambridge-1-2-pvc-liquid-tight-conduit-fitting-90-degree")</f>
        <v/>
      </c>
      <c r="C743" t="inlineStr">
        <is>
          <t>Cambridge 1/2" PVC Liquid Tight Conduit Fitting - 90 Degree</t>
        </is>
      </c>
      <c r="D743" t="inlineStr">
        <is>
          <t>Maitys 1/2 Inch Liquid Tight Connector PVC Electrical Conduit Fittings Straight 180 Degree Flexible Conduit Connector for Home Kitchen Bathroom Tube Tool Supplies (150 Pcs)</t>
        </is>
      </c>
      <c r="E743" s="2">
        <f>HYPERLINK("https://www.amazon.com/Maitys-Connector-Electrical-Fittings-Straight/dp/B0BY8PPH12/ref=sr_1_26?keywords=Cambridge+1%2F2%22+PVC+Liquid+Tight+Conduit+Fitting+-+90+Degree&amp;qid=1694734857&amp;sr=8-26", "https://www.amazon.com/Maitys-Connector-Electrical-Fittings-Straight/dp/B0BY8PPH12/ref=sr_1_26?keywords=Cambridge+1%2F2%22+PVC+Liquid+Tight+Conduit+Fitting+-+90+Degree&amp;qid=1694734857&amp;sr=8-26")</f>
        <v/>
      </c>
      <c r="F743" t="inlineStr">
        <is>
          <t>B0BY8PPH12</t>
        </is>
      </c>
      <c r="G743">
        <f>_xlfn.IMAGE("https://edmondsonsupply.com/cdn/shop/files/W14659_01.jpg?v=1692278106")</f>
        <v/>
      </c>
      <c r="H743">
        <f>_xlfn.IMAGE("https://m.media-amazon.com/images/I/81f-aeE88zL._AC_UL320_.jpg")</f>
        <v/>
      </c>
      <c r="K743" t="inlineStr">
        <is>
          <t>1.48</t>
        </is>
      </c>
      <c r="L743" t="n">
        <v>108.99</v>
      </c>
      <c r="M743" s="1" t="inlineStr">
        <is>
          <t>7,264.19%</t>
        </is>
      </c>
      <c r="N743" s="7" t="n">
        <v>316.9</v>
      </c>
      <c r="O743" t="n">
        <v>5</v>
      </c>
      <c r="P743" t="n">
        <v>2</v>
      </c>
      <c r="R743" t="inlineStr">
        <is>
          <t>InStock</t>
        </is>
      </c>
      <c r="S743" t="inlineStr">
        <is>
          <t>undefined</t>
        </is>
      </c>
      <c r="T743" t="inlineStr">
        <is>
          <t>8028224422104</t>
        </is>
      </c>
    </row>
    <row r="744" ht="87" customHeight="1">
      <c r="A744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44" s="2">
        <f>HYPERLINK("https://edmondsonsupply.com/products/cambridge-3-4-pvc-liquid-tight-conduit-fitting-90-degree", "https://edmondsonsupply.com/products/cambridge-3-4-pvc-liquid-tight-conduit-fitting-90-degree")</f>
        <v/>
      </c>
      <c r="C744" t="inlineStr">
        <is>
          <t>Cambridge 3/4" PVC Liquid Tight Conduit Fitting - 90 Degree</t>
        </is>
      </c>
      <c r="D744" t="inlineStr">
        <is>
          <t>3/4 Inch Liquid Tight Connector PVC Electrical Conduit Fittings Straight 180 Degree Flexible Conduit Connector for Home Kitchen Bathroom Tube Tool Supplies,UL Listed(100Pcs)</t>
        </is>
      </c>
      <c r="E744" s="2">
        <f>HYPERLINK("https://www.amazon.com/Connector-Electrical-Fittings-Straight-Flexible/dp/B0C7VFSGDZ/ref=sr_1_11?keywords=Cambridge+3%2F4%22+PVC+Liquid+Tight+Conduit+Fitting+-+90+Degree&amp;qid=1694734856&amp;sr=8-11", "https://www.amazon.com/Connector-Electrical-Fittings-Straight-Flexible/dp/B0C7VFSGDZ/ref=sr_1_11?keywords=Cambridge+3%2F4%22+PVC+Liquid+Tight+Conduit+Fitting+-+90+Degree&amp;qid=1694734856&amp;sr=8-11")</f>
        <v/>
      </c>
      <c r="F744" t="inlineStr">
        <is>
          <t>B0C7VFSGDZ</t>
        </is>
      </c>
      <c r="G744">
        <f>_xlfn.IMAGE("https://edmondsonsupply.com/cdn/shop/files/W14657_01.jpg?v=1692278537")</f>
        <v/>
      </c>
      <c r="H744">
        <f>_xlfn.IMAGE("https://m.media-amazon.com/images/I/71+l8dfBvKL._AC_UL320_.jpg")</f>
        <v/>
      </c>
      <c r="K744" t="inlineStr">
        <is>
          <t>1.8</t>
        </is>
      </c>
      <c r="L744" t="n">
        <v>129.99</v>
      </c>
      <c r="M744" s="1" t="inlineStr">
        <is>
          <t>7,121.67%</t>
        </is>
      </c>
      <c r="N744" s="7" t="n">
        <v>311.52</v>
      </c>
      <c r="O744" t="n">
        <v>5</v>
      </c>
      <c r="P744" t="n">
        <v>6</v>
      </c>
      <c r="R744" t="inlineStr">
        <is>
          <t>InStock</t>
        </is>
      </c>
      <c r="S744" t="inlineStr">
        <is>
          <t>undefined</t>
        </is>
      </c>
      <c r="T744" t="inlineStr">
        <is>
          <t>8028225175768</t>
        </is>
      </c>
    </row>
    <row r="745" ht="87" customHeight="1">
      <c r="A745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45" s="2">
        <f>HYPERLINK("https://edmondsonsupply.com/products/cambridge-3-4-pvc-liquid-tight-conduit-fitting-straight", "https://edmondsonsupply.com/products/cambridge-3-4-pvc-liquid-tight-conduit-fitting-straight")</f>
        <v/>
      </c>
      <c r="C745" t="inlineStr">
        <is>
          <t>Cambridge 3/4" PVC Liquid Tight Conduit Fitting - Straight</t>
        </is>
      </c>
      <c r="D745" t="inlineStr">
        <is>
          <t>60Pcs,3/4" Liquid Tight Connector Non-Metallic Electrical Conduit Fittings, PVC Flexible Conduit Fittings, UL Listed(60Pcs Straight)</t>
        </is>
      </c>
      <c r="E745" s="2">
        <f>HYPERLINK("https://www.amazon.com/Connector-Non-Metallic-Electrical-Fittings-Flexible/dp/B0BWTZR72Z/ref=sr_1_19?keywords=Cambridge+3%2F4%22+PVC+Liquid+Tight+Conduit+Fitting+-+Straight&amp;qid=1694734855&amp;sr=8-19", "https://www.amazon.com/Connector-Non-Metallic-Electrical-Fittings-Flexible/dp/B0BWTZR72Z/ref=sr_1_19?keywords=Cambridge+3%2F4%22+PVC+Liquid+Tight+Conduit+Fitting+-+Straight&amp;qid=1694734855&amp;sr=8-19")</f>
        <v/>
      </c>
      <c r="F745" t="inlineStr">
        <is>
          <t>B0BWTZR72Z</t>
        </is>
      </c>
      <c r="G745">
        <f>_xlfn.IMAGE("https://edmondsonsupply.com/cdn/shop/files/W14656_01.jpg?v=1692277615")</f>
        <v/>
      </c>
      <c r="H745">
        <f>_xlfn.IMAGE("https://m.media-amazon.com/images/I/714VhrQG2fL._AC_UL320_.jpg")</f>
        <v/>
      </c>
      <c r="K745" t="inlineStr">
        <is>
          <t>1.5</t>
        </is>
      </c>
      <c r="L745" t="n">
        <v>99.98999999999999</v>
      </c>
      <c r="M745" s="1" t="inlineStr">
        <is>
          <t>6,566.00%</t>
        </is>
      </c>
      <c r="N745" s="7" t="n">
        <v>308.62</v>
      </c>
      <c r="O745" t="n">
        <v>5</v>
      </c>
      <c r="P745" t="n">
        <v>6</v>
      </c>
      <c r="R745" t="inlineStr">
        <is>
          <t>InStock</t>
        </is>
      </c>
      <c r="S745" t="inlineStr">
        <is>
          <t>undefined</t>
        </is>
      </c>
      <c r="T745" t="inlineStr">
        <is>
          <t>8028223897816</t>
        </is>
      </c>
    </row>
    <row r="746" ht="87" customHeight="1">
      <c r="A746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46" s="2">
        <f>HYPERLINK("https://edmondsonsupply.com/products/cambridge-1-2-pvc-liquid-tight-conduit-fitting-straight", "https://edmondsonsupply.com/products/cambridge-1-2-pvc-liquid-tight-conduit-fitting-straight")</f>
        <v/>
      </c>
      <c r="C746" t="inlineStr">
        <is>
          <t>Cambridge 1/2" PVC Liquid Tight Conduit Fitting - Straight</t>
        </is>
      </c>
      <c r="D746" t="inlineStr">
        <is>
          <t>100 Pcs 1/2" Liquid Tight Connector PVC Electrical Conduit Fittings Straight 180 Degree Flexible Conduit Connector Nonmetallic Liquid Tight Straight Conduit PVC Flexible Electrical Conduit Fittings</t>
        </is>
      </c>
      <c r="E746" s="2">
        <f>HYPERLINK("https://www.amazon.com/Connector-Electrical-Fittings-Straight-Nonmetallic/dp/B0BS3N43V7/ref=sr_1_11?keywords=Cambridge+1%2F2%22+PVC+Liquid+Tight+Conduit+Fitting+-+Straight&amp;qid=1694734855&amp;sr=8-11", "https://www.amazon.com/Connector-Electrical-Fittings-Straight-Nonmetallic/dp/B0BS3N43V7/ref=sr_1_11?keywords=Cambridge+1%2F2%22+PVC+Liquid+Tight+Conduit+Fitting+-+Straight&amp;qid=1694734855&amp;sr=8-11")</f>
        <v/>
      </c>
      <c r="F746" t="inlineStr">
        <is>
          <t>B0BS3N43V7</t>
        </is>
      </c>
      <c r="G746">
        <f>_xlfn.IMAGE("https://edmondsonsupply.com/cdn/shop/files/W14658_01.jpg?v=1692277178")</f>
        <v/>
      </c>
      <c r="H746">
        <f>_xlfn.IMAGE("https://m.media-amazon.com/images/I/81n2YSGkWDL._AC_UL320_.jpg")</f>
        <v/>
      </c>
      <c r="K746" t="inlineStr">
        <is>
          <t>1.19</t>
        </is>
      </c>
      <c r="L746" t="n">
        <v>73.98999999999999</v>
      </c>
      <c r="M746" s="1" t="inlineStr">
        <is>
          <t>6,117.65%</t>
        </is>
      </c>
      <c r="N746" s="7" t="n">
        <v>304.87</v>
      </c>
      <c r="O746" t="n">
        <v>4.3</v>
      </c>
      <c r="P746" t="n">
        <v>10</v>
      </c>
      <c r="R746" t="inlineStr">
        <is>
          <t>InStock</t>
        </is>
      </c>
      <c r="S746" t="inlineStr">
        <is>
          <t>undefined</t>
        </is>
      </c>
      <c r="T746" t="inlineStr">
        <is>
          <t>8028223144152</t>
        </is>
      </c>
    </row>
    <row r="747" ht="87" customHeight="1">
      <c r="A747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47" s="2">
        <f>HYPERLINK("https://edmondsonsupply.com/products/cambridge-1-2-pvc-liquid-tight-conduit-fitting-90-degree", "https://edmondsonsupply.com/products/cambridge-1-2-pvc-liquid-tight-conduit-fitting-90-degree")</f>
        <v/>
      </c>
      <c r="C747" t="inlineStr">
        <is>
          <t>Cambridge 1/2" PVC Liquid Tight Conduit Fitting - 90 Degree</t>
        </is>
      </c>
      <c r="D747" t="inlineStr">
        <is>
          <t>1/2-Inch Liquid Tight Connector 90-Degree, for PVC Electrical Flexible Conduit Fittings NPT Non-Metallic Connectors, for Home Outdoor Tubes Tools, UL Listed, Grey, 140-Pack</t>
        </is>
      </c>
      <c r="E747" s="2">
        <f>HYPERLINK("https://www.amazon.com/Connector-90-Degree-Electrical-Non-Metallic-Connectors/dp/B0C6D3C5PX/ref=sr_1_11?keywords=Cambridge+1%2F2%22+PVC+Liquid+Tight+Conduit+Fitting+-+90+Degree&amp;qid=1694734857&amp;sr=8-11", "https://www.amazon.com/Connector-90-Degree-Electrical-Non-Metallic-Connectors/dp/B0C6D3C5PX/ref=sr_1_11?keywords=Cambridge+1%2F2%22+PVC+Liquid+Tight+Conduit+Fitting+-+90+Degree&amp;qid=1694734857&amp;sr=8-11")</f>
        <v/>
      </c>
      <c r="F747" t="inlineStr">
        <is>
          <t>B0C6D3C5PX</t>
        </is>
      </c>
      <c r="G747">
        <f>_xlfn.IMAGE("https://edmondsonsupply.com/cdn/shop/files/W14659_01.jpg?v=1692278106")</f>
        <v/>
      </c>
      <c r="H747">
        <f>_xlfn.IMAGE("https://m.media-amazon.com/images/I/71ZDO+KHHwL._AC_UL320_.jpg")</f>
        <v/>
      </c>
      <c r="K747" t="inlineStr">
        <is>
          <t>1.48</t>
        </is>
      </c>
      <c r="L747" t="n">
        <v>84.98999999999999</v>
      </c>
      <c r="M747" s="1" t="inlineStr">
        <is>
          <t>5,642.57%</t>
        </is>
      </c>
      <c r="N747" s="7" t="n">
        <v>304.52</v>
      </c>
      <c r="O747" t="n">
        <v>5</v>
      </c>
      <c r="P747" t="n">
        <v>4</v>
      </c>
      <c r="R747" t="inlineStr">
        <is>
          <t>InStock</t>
        </is>
      </c>
      <c r="S747" t="inlineStr">
        <is>
          <t>undefined</t>
        </is>
      </c>
      <c r="T747" t="inlineStr">
        <is>
          <t>8028224422104</t>
        </is>
      </c>
    </row>
    <row r="748" ht="87" customHeight="1">
      <c r="A748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48" s="2">
        <f>HYPERLINK("https://edmondsonsupply.com/products/cambridge-1-2-pvc-liquid-tight-conduit-fitting-90-degree", "https://edmondsonsupply.com/products/cambridge-1-2-pvc-liquid-tight-conduit-fitting-90-degree")</f>
        <v/>
      </c>
      <c r="C748" t="inlineStr">
        <is>
          <t>Cambridge 1/2" PVC Liquid Tight Conduit Fitting - 90 Degree</t>
        </is>
      </c>
      <c r="D748" t="inlineStr">
        <is>
          <t>120 Pieces 1/2 Inch Liquid Tight Connector Nonmetallic Electrical Conduit Fittings 90 Degree Flexible PVC Conduit Connector for Kitchen Home Bathroom Tube Tool Supplies (90 Degree）</t>
        </is>
      </c>
      <c r="E748" s="2">
        <f>HYPERLINK("https://www.amazon.com/Connector-Nonmetallic-Electrical-Fittings-Flexible/dp/B0C282NCDC/ref=sr_1_4?keywords=Cambridge+1%2F2%22+PVC+Liquid+Tight+Conduit+Fitting+-+90+Degree&amp;qid=1694734857&amp;sr=8-4", "https://www.amazon.com/Connector-Nonmetallic-Electrical-Fittings-Flexible/dp/B0C282NCDC/ref=sr_1_4?keywords=Cambridge+1%2F2%22+PVC+Liquid+Tight+Conduit+Fitting+-+90+Degree&amp;qid=1694734857&amp;sr=8-4")</f>
        <v/>
      </c>
      <c r="F748" t="inlineStr">
        <is>
          <t>B0C282NCDC</t>
        </is>
      </c>
      <c r="G748">
        <f>_xlfn.IMAGE("https://edmondsonsupply.com/cdn/shop/files/W14659_01.jpg?v=1692278106")</f>
        <v/>
      </c>
      <c r="H748">
        <f>_xlfn.IMAGE("https://m.media-amazon.com/images/I/81GCJT7neDL._AC_UL320_.jpg")</f>
        <v/>
      </c>
      <c r="K748" t="inlineStr">
        <is>
          <t>1.48</t>
        </is>
      </c>
      <c r="L748" t="n">
        <v>81.98999999999999</v>
      </c>
      <c r="M748" s="1" t="inlineStr">
        <is>
          <t>5,439.86%</t>
        </is>
      </c>
      <c r="N748" s="7" t="n">
        <v>304.52</v>
      </c>
      <c r="O748" t="n">
        <v>5</v>
      </c>
      <c r="P748" t="n">
        <v>6</v>
      </c>
      <c r="R748" t="inlineStr">
        <is>
          <t>InStock</t>
        </is>
      </c>
      <c r="S748" t="inlineStr">
        <is>
          <t>undefined</t>
        </is>
      </c>
      <c r="T748" t="inlineStr">
        <is>
          <t>8028224422104</t>
        </is>
      </c>
    </row>
    <row r="749" hidden="1" ht="15.75" customHeight="1">
      <c r="A749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49" s="2">
        <f>HYPERLINK("https://edmondsonsupply.com/products/cambridge-1-2-pvc-liquid-tight-conduit-fitting-straight", "https://edmondsonsupply.com/products/cambridge-1-2-pvc-liquid-tight-conduit-fitting-straight")</f>
        <v/>
      </c>
      <c r="C749" t="inlineStr">
        <is>
          <t>Cambridge 1/2" PVC Liquid Tight Conduit Fitting - Straight</t>
        </is>
      </c>
      <c r="D749" t="inlineStr">
        <is>
          <t>1/2" x 50 ft Black UL Listed Non-Metallic Flexible Liquid Tight Electrical Conduit with Fittings</t>
        </is>
      </c>
      <c r="E749" s="2">
        <f>HYPERLINK("https://www.amazon.com/Non-Metallic-Flexible-Electrical-Conduit-Fittings/dp/B0BRX5ST6D/ref=sr_1_43?keywords=Cambridge+1%2F2%22+PVC+Liquid+Tight+Conduit+Fitting+-+Straight&amp;qid=1694734855&amp;sr=8-43", "https://www.amazon.com/Non-Metallic-Flexible-Electrical-Conduit-Fittings/dp/B0BRX5ST6D/ref=sr_1_43?keywords=Cambridge+1%2F2%22+PVC+Liquid+Tight+Conduit+Fitting+-+Straight&amp;qid=1694734855&amp;sr=8-43")</f>
        <v/>
      </c>
      <c r="F749" t="inlineStr">
        <is>
          <t>B0BRX5ST6D</t>
        </is>
      </c>
      <c r="G749">
        <f>_xludf.IMAGE("https://edmondsonsupply.com/cdn/shop/files/W14658_01.jpg?v=1692277178")</f>
        <v/>
      </c>
      <c r="H749">
        <f>_xludf.IMAGE("https://m.media-amazon.com/images/I/818B9MUou3L._AC_UL320_.jpg")</f>
        <v/>
      </c>
      <c r="K749" t="inlineStr">
        <is>
          <t>1.19</t>
        </is>
      </c>
      <c r="L749" t="n">
        <v>59.99</v>
      </c>
      <c r="M749" s="1" t="inlineStr">
        <is>
          <t>4,941.18%</t>
        </is>
      </c>
      <c r="N749" s="1" t="n">
        <v>303.72</v>
      </c>
      <c r="O749" t="n">
        <v>1</v>
      </c>
      <c r="P749" t="n">
        <v>1</v>
      </c>
      <c r="R749" t="inlineStr">
        <is>
          <t>InStock</t>
        </is>
      </c>
      <c r="S749" t="inlineStr">
        <is>
          <t>undefined</t>
        </is>
      </c>
      <c r="T749" t="inlineStr">
        <is>
          <t>8028223144152</t>
        </is>
      </c>
    </row>
    <row r="750" ht="87" customHeight="1">
      <c r="A750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50" s="2">
        <f>HYPERLINK("https://edmondsonsupply.com/products/cambridge-1-2-pvc-liquid-tight-conduit-fitting-90-degree", "https://edmondsonsupply.com/products/cambridge-1-2-pvc-liquid-tight-conduit-fitting-90-degree")</f>
        <v/>
      </c>
      <c r="C750" t="inlineStr">
        <is>
          <t>Cambridge 1/2" PVC Liquid Tight Conduit Fitting - 90 Degree</t>
        </is>
      </c>
      <c r="D750" t="inlineStr">
        <is>
          <t>100 Pcs 1/2" Liquid Tight Connector PVC Electrical Conduit Fittings Straight 180 Degree Flexible Conduit Connector Nonmetallic Liquid Tight Straight Conduit PVC Flexible Electrical Conduit Fittings</t>
        </is>
      </c>
      <c r="E750" s="2">
        <f>HYPERLINK("https://www.amazon.com/Connector-Electrical-Fittings-Straight-Nonmetallic/dp/B0BS3N43V7/ref=sr_1_21?keywords=Cambridge+1%2F2%22+PVC+Liquid+Tight+Conduit+Fitting+-+90+Degree&amp;qid=1694734857&amp;sr=8-21", "https://www.amazon.com/Connector-Electrical-Fittings-Straight-Nonmetallic/dp/B0BS3N43V7/ref=sr_1_21?keywords=Cambridge+1%2F2%22+PVC+Liquid+Tight+Conduit+Fitting+-+90+Degree&amp;qid=1694734857&amp;sr=8-21")</f>
        <v/>
      </c>
      <c r="F750" t="inlineStr">
        <is>
          <t>B0BS3N43V7</t>
        </is>
      </c>
      <c r="G750">
        <f>_xlfn.IMAGE("https://edmondsonsupply.com/cdn/shop/files/W14659_01.jpg?v=1692278106")</f>
        <v/>
      </c>
      <c r="H750">
        <f>_xlfn.IMAGE("https://m.media-amazon.com/images/I/81n2YSGkWDL._AC_UL320_.jpg")</f>
        <v/>
      </c>
      <c r="K750" t="inlineStr">
        <is>
          <t>1.48</t>
        </is>
      </c>
      <c r="L750" t="n">
        <v>73.98999999999999</v>
      </c>
      <c r="M750" s="1" t="inlineStr">
        <is>
          <t>4,899.32%</t>
        </is>
      </c>
      <c r="N750" s="7" t="n">
        <v>302.85</v>
      </c>
      <c r="O750" t="n">
        <v>4.3</v>
      </c>
      <c r="P750" t="n">
        <v>10</v>
      </c>
      <c r="R750" t="inlineStr">
        <is>
          <t>InStock</t>
        </is>
      </c>
      <c r="S750" t="inlineStr">
        <is>
          <t>undefined</t>
        </is>
      </c>
      <c r="T750" t="inlineStr">
        <is>
          <t>8028224422104</t>
        </is>
      </c>
    </row>
    <row r="751" ht="87" customHeight="1">
      <c r="A751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51" s="2">
        <f>HYPERLINK("https://edmondsonsupply.com/products/cambridge-3-4-pvc-liquid-tight-conduit-fitting-90-degree", "https://edmondsonsupply.com/products/cambridge-3-4-pvc-liquid-tight-conduit-fitting-90-degree")</f>
        <v/>
      </c>
      <c r="C751" t="inlineStr">
        <is>
          <t>Cambridge 3/4" PVC Liquid Tight Conduit Fitting - 90 Degree</t>
        </is>
      </c>
      <c r="D751" t="inlineStr">
        <is>
          <t>1/2-Inch Liquid Tight Connector 90-Degree, for PVC Electrical Flexible Conduit Fittings NPT Non-Metallic Connectors, for Home Outdoor Tubes Tools, UL Listed, Grey, 140-Pack</t>
        </is>
      </c>
      <c r="E751" s="2">
        <f>HYPERLINK("https://www.amazon.com/Connector-90-Degree-Electrical-Non-Metallic-Connectors/dp/B0C6D3C5PX/ref=sr_1_30?keywords=Cambridge+3%2F4%22+PVC+Liquid+Tight+Conduit+Fitting+-+90+Degree&amp;qid=1694734856&amp;sr=8-30", "https://www.amazon.com/Connector-90-Degree-Electrical-Non-Metallic-Connectors/dp/B0C6D3C5PX/ref=sr_1_30?keywords=Cambridge+3%2F4%22+PVC+Liquid+Tight+Conduit+Fitting+-+90+Degree&amp;qid=1694734856&amp;sr=8-30")</f>
        <v/>
      </c>
      <c r="F751" t="inlineStr">
        <is>
          <t>B0C6D3C5PX</t>
        </is>
      </c>
      <c r="G751">
        <f>_xlfn.IMAGE("https://edmondsonsupply.com/cdn/shop/files/W14657_01.jpg?v=1692278537")</f>
        <v/>
      </c>
      <c r="H751">
        <f>_xlfn.IMAGE("https://m.media-amazon.com/images/I/71ZDO+KHHwL._AC_UL320_.jpg")</f>
        <v/>
      </c>
      <c r="K751" t="inlineStr">
        <is>
          <t>1.8</t>
        </is>
      </c>
      <c r="L751" t="n">
        <v>84.98999999999999</v>
      </c>
      <c r="M751" s="1" t="inlineStr">
        <is>
          <t>4,621.67%</t>
        </is>
      </c>
      <c r="N751" s="7" t="n">
        <v>300</v>
      </c>
      <c r="O751" t="n">
        <v>5</v>
      </c>
      <c r="P751" t="n">
        <v>4</v>
      </c>
      <c r="R751" t="inlineStr">
        <is>
          <t>InStock</t>
        </is>
      </c>
      <c r="S751" t="inlineStr">
        <is>
          <t>undefined</t>
        </is>
      </c>
      <c r="T751" t="inlineStr">
        <is>
          <t>8028225175768</t>
        </is>
      </c>
    </row>
    <row r="752" ht="87" customHeight="1">
      <c r="A752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52" s="2">
        <f>HYPERLINK("https://edmondsonsupply.com/products/cambridge-1-2-pvc-liquid-tight-conduit-fitting-90-degree", "https://edmondsonsupply.com/products/cambridge-1-2-pvc-liquid-tight-conduit-fitting-90-degree")</f>
        <v/>
      </c>
      <c r="C752" t="inlineStr">
        <is>
          <t>Cambridge 1/2" PVC Liquid Tight Conduit Fitting - 90 Degree</t>
        </is>
      </c>
      <c r="D752" t="inlineStr">
        <is>
          <t>100 Pcs Liquid Tight Connector, 1/2 Inch Non Metallic Electrical Conduit Fitting, 90 Degree Flexible Conduit Connector for Home Kitchen Bathroom Tube Tool Supplies, Gray</t>
        </is>
      </c>
      <c r="E752" s="2">
        <f>HYPERLINK("https://www.amazon.com/Connector-Metallic-Electrical-Flexible-Bathroom/dp/B0BZSGGD29/ref=sr_1_13?keywords=Cambridge+1%2F2%22+PVC+Liquid+Tight+Conduit+Fitting+-+90+Degree&amp;qid=1694734857&amp;sr=8-13", "https://www.amazon.com/Connector-Metallic-Electrical-Flexible-Bathroom/dp/B0BZSGGD29/ref=sr_1_13?keywords=Cambridge+1%2F2%22+PVC+Liquid+Tight+Conduit+Fitting+-+90+Degree&amp;qid=1694734857&amp;sr=8-13")</f>
        <v/>
      </c>
      <c r="F752" t="inlineStr">
        <is>
          <t>B0BZSGGD29</t>
        </is>
      </c>
      <c r="G752">
        <f>_xlfn.IMAGE("https://edmondsonsupply.com/cdn/shop/files/W14659_01.jpg?v=1692278106")</f>
        <v/>
      </c>
      <c r="H752">
        <f>_xlfn.IMAGE("https://m.media-amazon.com/images/I/81ppzb9jVYL._AC_UL320_.jpg")</f>
        <v/>
      </c>
      <c r="K752" t="inlineStr">
        <is>
          <t>1.48</t>
        </is>
      </c>
      <c r="L752" t="n">
        <v>68.98999999999999</v>
      </c>
      <c r="M752" s="1" t="inlineStr">
        <is>
          <t>4,561.49%</t>
        </is>
      </c>
      <c r="N752" s="7" t="n">
        <v>299.47</v>
      </c>
      <c r="O752" t="n">
        <v>5</v>
      </c>
      <c r="P752" t="n">
        <v>2</v>
      </c>
      <c r="R752" t="inlineStr">
        <is>
          <t>InStock</t>
        </is>
      </c>
      <c r="S752" t="inlineStr">
        <is>
          <t>undefined</t>
        </is>
      </c>
      <c r="T752" t="inlineStr">
        <is>
          <t>8028224422104</t>
        </is>
      </c>
    </row>
    <row r="753" ht="87" customHeight="1">
      <c r="A753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53" s="2">
        <f>HYPERLINK("https://edmondsonsupply.com/products/cambridge-1-2-pvc-liquid-tight-conduit-fitting-straight", "https://edmondsonsupply.com/products/cambridge-1-2-pvc-liquid-tight-conduit-fitting-straight")</f>
        <v/>
      </c>
      <c r="C753" t="inlineStr">
        <is>
          <t>Cambridge 1/2" PVC Liquid Tight Conduit Fitting - Straight</t>
        </is>
      </c>
      <c r="D753" t="inlineStr">
        <is>
          <t>60 Pcs 1/2 Inch Liquid Tight Connector PVC Electrical Conduit Fittings Straight 180 Degree Flexible Conduit Connector for Home Kitchen Bathroom Tube Tool Supplies</t>
        </is>
      </c>
      <c r="E753" s="2">
        <f>HYPERLINK("https://www.amazon.com/Connector-Electrical-Fittings-Straight-Flexible/dp/B0BPJ49SVT/ref=sr_1_13?keywords=Cambridge+1%2F2%22+PVC+Liquid+Tight+Conduit+Fitting+-+Straight&amp;qid=1694734855&amp;sr=8-13", "https://www.amazon.com/Connector-Electrical-Fittings-Straight-Flexible/dp/B0BPJ49SVT/ref=sr_1_13?keywords=Cambridge+1%2F2%22+PVC+Liquid+Tight+Conduit+Fitting+-+Straight&amp;qid=1694734855&amp;sr=8-13")</f>
        <v/>
      </c>
      <c r="F753" t="inlineStr">
        <is>
          <t>B0BPJ49SVT</t>
        </is>
      </c>
      <c r="G753">
        <f>_xlfn.IMAGE("https://edmondsonsupply.com/cdn/shop/files/W14658_01.jpg?v=1692277178")</f>
        <v/>
      </c>
      <c r="H753">
        <f>_xlfn.IMAGE("https://m.media-amazon.com/images/I/81gwgeNQlzL._AC_UL320_.jpg")</f>
        <v/>
      </c>
      <c r="K753" t="inlineStr">
        <is>
          <t>1.19</t>
        </is>
      </c>
      <c r="L753" t="n">
        <v>54.99</v>
      </c>
      <c r="M753" s="1" t="inlineStr">
        <is>
          <t>4,521.01%</t>
        </is>
      </c>
      <c r="N753" s="7" t="n">
        <v>296.51</v>
      </c>
      <c r="O753" t="n">
        <v>5</v>
      </c>
      <c r="P753" t="n">
        <v>11</v>
      </c>
      <c r="R753" t="inlineStr">
        <is>
          <t>InStock</t>
        </is>
      </c>
      <c r="S753" t="inlineStr">
        <is>
          <t>undefined</t>
        </is>
      </c>
      <c r="T753" t="inlineStr">
        <is>
          <t>8028223144152</t>
        </is>
      </c>
    </row>
    <row r="754" ht="87" customHeight="1">
      <c r="A754" s="2">
        <f>HYPERLINK("https://edmondsonsupply.com/collections/hvac/products/holyoke-fittings-138-4-1-4-hose-inner-diameter-air-line-hose-fitting-hose-to-hose-mender", "https://edmondsonsupply.com/collections/hvac/products/holyoke-fittings-138-4-1-4-hose-inner-diameter-air-line-hose-fitting-hose-to-hose-mender")</f>
        <v/>
      </c>
      <c r="B754" s="2">
        <f>HYPERLINK("https://edmondsonsupply.com/products/holyoke-fittings-138-4-1-4-hose-inner-diameter-air-line-hose-fitting-hose-to-hose-mender", "https://edmondsonsupply.com/products/holyoke-fittings-138-4-1-4-hose-inner-diameter-air-line-hose-fitting-hose-to-hose-mender")</f>
        <v/>
      </c>
      <c r="C754" t="inlineStr">
        <is>
          <t>Holyoke Fittings 138-4 1/4" Hose Inner Diameter Air Line Hose Fitting - Hose to Hose Mender</t>
        </is>
      </c>
      <c r="D754" t="inlineStr">
        <is>
          <t>TL TOOLEGIN Air Hose Fittings Kit 1/4" 3/8" Push to Connect Fittings Air Line Fittings Air Brake Repair Kit with Brass Reducers Brass Quick Connect DOT Air Fittings 17pcs</t>
        </is>
      </c>
      <c r="E754" s="2">
        <f>HYPERLINK("https://www.amazon.com/TL-TOOLEGIN-Fittings-Connect-Reducers/dp/B0BV6NJRF8/ref=sr_1_31?keywords=Holyoke+Fittings+138-4+1%2F4%22+Hose+Inner+Diameter+Air+Line+Hose+Fitting+-+Hose+to+Hose+Mender&amp;qid=1694734912&amp;sr=8-31", "https://www.amazon.com/TL-TOOLEGIN-Fittings-Connect-Reducers/dp/B0BV6NJRF8/ref=sr_1_31?keywords=Holyoke+Fittings+138-4+1%2F4%22+Hose+Inner+Diameter+Air+Line+Hose+Fitting+-+Hose+to+Hose+Mender&amp;qid=1694734912&amp;sr=8-31")</f>
        <v/>
      </c>
      <c r="F754" t="inlineStr">
        <is>
          <t>B0BV6NJRF8</t>
        </is>
      </c>
      <c r="G754">
        <f>_xlfn.IMAGE("https://edmondsonsupply.com/cdn/shop/files/138.jpg?v=1686345204")</f>
        <v/>
      </c>
      <c r="H754">
        <f>_xlfn.IMAGE("https://m.media-amazon.com/images/I/71R2uAJs-OL._AC_UL320_.jpg")</f>
        <v/>
      </c>
      <c r="K754" t="inlineStr">
        <is>
          <t>1.3</t>
        </is>
      </c>
      <c r="L754" t="n">
        <v>59.99</v>
      </c>
      <c r="M754" s="1" t="inlineStr">
        <is>
          <t>4,514.62%</t>
        </is>
      </c>
      <c r="N754" s="7" t="n">
        <v>296.24</v>
      </c>
      <c r="O754" t="n">
        <v>5</v>
      </c>
      <c r="P754" t="n">
        <v>1</v>
      </c>
      <c r="R754" t="inlineStr">
        <is>
          <t>InStock</t>
        </is>
      </c>
      <c r="S754" t="inlineStr">
        <is>
          <t>1.63</t>
        </is>
      </c>
      <c r="T754" t="inlineStr">
        <is>
          <t>8003591504088</t>
        </is>
      </c>
    </row>
    <row r="755" ht="87" customHeight="1">
      <c r="A755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55" s="2">
        <f>HYPERLINK("https://edmondsonsupply.com/products/cambridge-3-4-pvc-liquid-tight-conduit-fitting-straight", "https://edmondsonsupply.com/products/cambridge-3-4-pvc-liquid-tight-conduit-fitting-straight")</f>
        <v/>
      </c>
      <c r="C755" t="inlineStr">
        <is>
          <t>Cambridge 3/4" PVC Liquid Tight Conduit Fitting - Straight</t>
        </is>
      </c>
      <c r="D755" t="inlineStr">
        <is>
          <t>3/4 inch 60ft Liquid Tight Conduit and Connector Kit, with 10 Straight and 6 Angle Fittings Included, Flexible Non Metallic Liquid Tight Electrical Conduit</t>
        </is>
      </c>
      <c r="E755" s="2">
        <f>HYPERLINK("https://www.amazon.com/Connector-Straight-Fittings-Included-Electrical/dp/B0BS3W6BF9/ref=sr_1_20?keywords=Cambridge+3%2F4%22+PVC+Liquid+Tight+Conduit+Fitting+-+Straight&amp;qid=1694734855&amp;sr=8-20", "https://www.amazon.com/Connector-Straight-Fittings-Included-Electrical/dp/B0BS3W6BF9/ref=sr_1_20?keywords=Cambridge+3%2F4%22+PVC+Liquid+Tight+Conduit+Fitting+-+Straight&amp;qid=1694734855&amp;sr=8-20")</f>
        <v/>
      </c>
      <c r="F755" t="inlineStr">
        <is>
          <t>B0BS3W6BF9</t>
        </is>
      </c>
      <c r="G755">
        <f>_xlfn.IMAGE("https://edmondsonsupply.com/cdn/shop/files/W14656_01.jpg?v=1692277615")</f>
        <v/>
      </c>
      <c r="H755">
        <f>_xlfn.IMAGE("https://m.media-amazon.com/images/I/71XrmIiwWdL._AC_UL320_.jpg")</f>
        <v/>
      </c>
      <c r="K755" t="inlineStr">
        <is>
          <t>1.5</t>
        </is>
      </c>
      <c r="L755" t="n">
        <v>59.99</v>
      </c>
      <c r="M755" s="1" t="inlineStr">
        <is>
          <t>3,899.33%</t>
        </is>
      </c>
      <c r="N755" s="7" t="n">
        <v>294.89</v>
      </c>
      <c r="O755" t="n">
        <v>4.6</v>
      </c>
      <c r="P755" t="n">
        <v>8</v>
      </c>
      <c r="R755" t="inlineStr">
        <is>
          <t>InStock</t>
        </is>
      </c>
      <c r="S755" t="inlineStr">
        <is>
          <t>undefined</t>
        </is>
      </c>
      <c r="T755" t="inlineStr">
        <is>
          <t>8028223897816</t>
        </is>
      </c>
    </row>
    <row r="756" ht="87" customHeight="1">
      <c r="A756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56" s="2">
        <f>HYPERLINK("https://edmondsonsupply.com/products/cambridge-3-4-pvc-liquid-tight-conduit-fitting-straight", "https://edmondsonsupply.com/products/cambridge-3-4-pvc-liquid-tight-conduit-fitting-straight")</f>
        <v/>
      </c>
      <c r="C756" t="inlineStr">
        <is>
          <t>Cambridge 3/4" PVC Liquid Tight Conduit Fitting - Straight</t>
        </is>
      </c>
      <c r="D756" t="inlineStr">
        <is>
          <t>Electrical Conduit and Connector Kit Flexible Liquid Tight Electrical Conduit Non Metallic Electrical Conduit with 5 Straight and 3 Angle Fittings Included (3/4 Inch 50 Ft)</t>
        </is>
      </c>
      <c r="E756" s="2">
        <f>HYPERLINK("https://www.amazon.com/Electrical-Connector-Flexible-Metallic-Straight/dp/B0BQ75FXP5/ref=sr_1_35?keywords=Cambridge+3%2F4%22+PVC+Liquid+Tight+Conduit+Fitting+-+Straight&amp;qid=1694734855&amp;sr=8-35", "https://www.amazon.com/Electrical-Connector-Flexible-Metallic-Straight/dp/B0BQ75FXP5/ref=sr_1_35?keywords=Cambridge+3%2F4%22+PVC+Liquid+Tight+Conduit+Fitting+-+Straight&amp;qid=1694734855&amp;sr=8-35")</f>
        <v/>
      </c>
      <c r="F756" t="inlineStr">
        <is>
          <t>B0BQ75FXP5</t>
        </is>
      </c>
      <c r="G756">
        <f>_xlfn.IMAGE("https://edmondsonsupply.com/cdn/shop/files/W14656_01.jpg?v=1692277615")</f>
        <v/>
      </c>
      <c r="H756">
        <f>_xlfn.IMAGE("https://m.media-amazon.com/images/I/71H41EvW9kL._AC_UL320_.jpg")</f>
        <v/>
      </c>
      <c r="K756" t="inlineStr">
        <is>
          <t>1.5</t>
        </is>
      </c>
      <c r="L756" t="n">
        <v>59.99</v>
      </c>
      <c r="M756" s="1" t="inlineStr">
        <is>
          <t>3,899.33%</t>
        </is>
      </c>
      <c r="N756" s="7" t="n">
        <v>294.89</v>
      </c>
      <c r="O756" t="n">
        <v>5</v>
      </c>
      <c r="P756" t="n">
        <v>1</v>
      </c>
      <c r="R756" t="inlineStr">
        <is>
          <t>InStock</t>
        </is>
      </c>
      <c r="S756" t="inlineStr">
        <is>
          <t>undefined</t>
        </is>
      </c>
      <c r="T756" t="inlineStr">
        <is>
          <t>8028223897816</t>
        </is>
      </c>
    </row>
    <row r="757" ht="87" customHeight="1">
      <c r="A757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57" s="2">
        <f>HYPERLINK("https://edmondsonsupply.com/products/cambridge-1-2-pvc-liquid-tight-conduit-fitting-straight", "https://edmondsonsupply.com/products/cambridge-1-2-pvc-liquid-tight-conduit-fitting-straight")</f>
        <v/>
      </c>
      <c r="C757" t="inlineStr">
        <is>
          <t>Cambridge 1/2" PVC Liquid Tight Conduit Fitting - Straight</t>
        </is>
      </c>
      <c r="D757" t="inlineStr">
        <is>
          <t>60 Pieces 1/2 Inch Nonmetallic Liquid Tight Connector 180 Degree Straight Conduit Connector Flexible PVC Electrical Conduit Fittings for Kitchen Home Bathroom Tube Tool Supplies (180 Degree）</t>
        </is>
      </c>
      <c r="E757" s="2">
        <f>HYPERLINK("https://www.amazon.com/Nonmetallic-Connector-Straight-Flexible-Electrical/dp/B0C2842CH2/ref=sr_1_34?keywords=Cambridge+1%2F2%22+PVC+Liquid+Tight+Conduit+Fitting+-+Straight&amp;qid=1694734855&amp;sr=8-34", "https://www.amazon.com/Nonmetallic-Connector-Straight-Flexible-Electrical/dp/B0C2842CH2/ref=sr_1_34?keywords=Cambridge+1%2F2%22+PVC+Liquid+Tight+Conduit+Fitting+-+Straight&amp;qid=1694734855&amp;sr=8-34")</f>
        <v/>
      </c>
      <c r="F757" t="inlineStr">
        <is>
          <t>B0C2842CH2</t>
        </is>
      </c>
      <c r="G757">
        <f>_xlfn.IMAGE("https://edmondsonsupply.com/cdn/shop/files/W14658_01.jpg?v=1692277178")</f>
        <v/>
      </c>
      <c r="H757">
        <f>_xlfn.IMAGE("https://m.media-amazon.com/images/I/81dES+UZgrL._AC_UL320_.jpg")</f>
        <v/>
      </c>
      <c r="K757" t="inlineStr">
        <is>
          <t>1.19</t>
        </is>
      </c>
      <c r="L757" t="n">
        <v>46.99</v>
      </c>
      <c r="M757" s="1" t="inlineStr">
        <is>
          <t>3,848.74%</t>
        </is>
      </c>
      <c r="N757" s="7" t="n">
        <v>293.48</v>
      </c>
      <c r="O757" t="n">
        <v>5</v>
      </c>
      <c r="P757" t="n">
        <v>6</v>
      </c>
      <c r="R757" t="inlineStr">
        <is>
          <t>InStock</t>
        </is>
      </c>
      <c r="S757" t="inlineStr">
        <is>
          <t>undefined</t>
        </is>
      </c>
      <c r="T757" t="inlineStr">
        <is>
          <t>8028223144152</t>
        </is>
      </c>
    </row>
    <row r="758" ht="87" customHeight="1">
      <c r="A758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58" s="2">
        <f>HYPERLINK("https://edmondsonsupply.com/products/cambridge-3-4-pvc-liquid-tight-conduit-fitting-straight", "https://edmondsonsupply.com/products/cambridge-3-4-pvc-liquid-tight-conduit-fitting-straight")</f>
        <v/>
      </c>
      <c r="C758" t="inlineStr">
        <is>
          <t>Cambridge 3/4" PVC Liquid Tight Conduit Fitting - Straight</t>
        </is>
      </c>
      <c r="D758" t="inlineStr">
        <is>
          <t>30Pcs,3/4" Liquid Tight Connector Non-Metallic Electrical Conduit Fittings, PVC Flexible Conduit Fittings, UL Listed(Straight+90 Degree)</t>
        </is>
      </c>
      <c r="E758" s="2">
        <f>HYPERLINK("https://www.amazon.com/Connector-Non-Metallic-Electrical-Fittings-Flexible/dp/B0B76D3XQX/ref=sr_1_4?keywords=Cambridge+3%2F4%22+PVC+Liquid+Tight+Conduit+Fitting+-+Straight&amp;qid=1694734855&amp;sr=8-4", "https://www.amazon.com/Connector-Non-Metallic-Electrical-Fittings-Flexible/dp/B0B76D3XQX/ref=sr_1_4?keywords=Cambridge+3%2F4%22+PVC+Liquid+Tight+Conduit+Fitting+-+Straight&amp;qid=1694734855&amp;sr=8-4")</f>
        <v/>
      </c>
      <c r="F758" t="inlineStr">
        <is>
          <t>B0B76D3XQX</t>
        </is>
      </c>
      <c r="G758">
        <f>_xlfn.IMAGE("https://edmondsonsupply.com/cdn/shop/files/W14656_01.jpg?v=1692277615")</f>
        <v/>
      </c>
      <c r="H758">
        <f>_xlfn.IMAGE("https://m.media-amazon.com/images/I/71DWeG-B51L._AC_UL320_.jpg")</f>
        <v/>
      </c>
      <c r="K758" t="inlineStr">
        <is>
          <t>1.5</t>
        </is>
      </c>
      <c r="L758" t="n">
        <v>55.99</v>
      </c>
      <c r="M758" s="1" t="inlineStr">
        <is>
          <t>3,632.67%</t>
        </is>
      </c>
      <c r="N758" s="7" t="n">
        <v>293.44</v>
      </c>
      <c r="O758" t="n">
        <v>4.6</v>
      </c>
      <c r="P758" t="n">
        <v>24</v>
      </c>
      <c r="R758" t="inlineStr">
        <is>
          <t>InStock</t>
        </is>
      </c>
      <c r="S758" t="inlineStr">
        <is>
          <t>undefined</t>
        </is>
      </c>
      <c r="T758" t="inlineStr">
        <is>
          <t>8028223897816</t>
        </is>
      </c>
    </row>
    <row r="759" ht="87" customHeight="1">
      <c r="A759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59" s="2">
        <f>HYPERLINK("https://edmondsonsupply.com/products/cambridge-1-2-pvc-liquid-tight-conduit-fitting-90-degree", "https://edmondsonsupply.com/products/cambridge-1-2-pvc-liquid-tight-conduit-fitting-90-degree")</f>
        <v/>
      </c>
      <c r="C759" t="inlineStr">
        <is>
          <t>Cambridge 1/2" PVC Liquid Tight Conduit Fitting - 90 Degree</t>
        </is>
      </c>
      <c r="D759" t="inlineStr">
        <is>
          <t>60 Pcs 1/2 Inch Liquid Tight Connector PVC Electrical Conduit Fittings Straight 180 Degree Flexible Conduit Connector for Home Kitchen Bathroom Tube Tool Supplies</t>
        </is>
      </c>
      <c r="E759" s="2">
        <f>HYPERLINK("https://www.amazon.com/Connector-Electrical-Fittings-Straight-Flexible/dp/B0BPJ49SVT/ref=sr_1_37?keywords=Cambridge+1%2F2%22+PVC+Liquid+Tight+Conduit+Fitting+-+90+Degree&amp;qid=1694734857&amp;sr=8-37", "https://www.amazon.com/Connector-Electrical-Fittings-Straight-Flexible/dp/B0BPJ49SVT/ref=sr_1_37?keywords=Cambridge+1%2F2%22+PVC+Liquid+Tight+Conduit+Fitting+-+90+Degree&amp;qid=1694734857&amp;sr=8-37")</f>
        <v/>
      </c>
      <c r="F759" t="inlineStr">
        <is>
          <t>B0BPJ49SVT</t>
        </is>
      </c>
      <c r="G759">
        <f>_xlfn.IMAGE("https://edmondsonsupply.com/cdn/shop/files/W14659_01.jpg?v=1692278106")</f>
        <v/>
      </c>
      <c r="H759">
        <f>_xlfn.IMAGE("https://m.media-amazon.com/images/I/81gwgeNQlzL._AC_UL320_.jpg")</f>
        <v/>
      </c>
      <c r="K759" t="inlineStr">
        <is>
          <t>1.48</t>
        </is>
      </c>
      <c r="L759" t="n">
        <v>54.99</v>
      </c>
      <c r="M759" s="1" t="inlineStr">
        <is>
          <t>3,615.54%</t>
        </is>
      </c>
      <c r="N759" s="7" t="n">
        <v>291.69</v>
      </c>
      <c r="O759" t="n">
        <v>5</v>
      </c>
      <c r="P759" t="n">
        <v>11</v>
      </c>
      <c r="R759" t="inlineStr">
        <is>
          <t>InStock</t>
        </is>
      </c>
      <c r="S759" t="inlineStr">
        <is>
          <t>undefined</t>
        </is>
      </c>
      <c r="T759" t="inlineStr">
        <is>
          <t>8028224422104</t>
        </is>
      </c>
    </row>
    <row r="760" ht="87" customHeight="1">
      <c r="A760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60" s="2">
        <f>HYPERLINK("https://edmondsonsupply.com/products/cambridge-1-2-pvc-liquid-tight-conduit-fitting-straight", "https://edmondsonsupply.com/products/cambridge-1-2-pvc-liquid-tight-conduit-fitting-straight")</f>
        <v/>
      </c>
      <c r="C760" t="inlineStr">
        <is>
          <t>Cambridge 1/2" PVC Liquid Tight Conduit Fitting - Straight</t>
        </is>
      </c>
      <c r="D760" t="inlineStr">
        <is>
          <t>1/2 inch 60ft Liquid Tight Conduit and Connector Kit with 10 Straight and 6 Angle Fittings Included, Flexible Non Metallic Liquid Tight Electrical Conduit</t>
        </is>
      </c>
      <c r="E760" s="2">
        <f>HYPERLINK("https://www.amazon.com/Connector-Straight-Fittings-Included-Electrical/dp/B0BS3SQ16M/ref=sr_1_24?keywords=Cambridge+1%2F2%22+PVC+Liquid+Tight+Conduit+Fitting+-+Straight&amp;qid=1694734855&amp;sr=8-24", "https://www.amazon.com/Connector-Straight-Fittings-Included-Electrical/dp/B0BS3SQ16M/ref=sr_1_24?keywords=Cambridge+1%2F2%22+PVC+Liquid+Tight+Conduit+Fitting+-+Straight&amp;qid=1694734855&amp;sr=8-24")</f>
        <v/>
      </c>
      <c r="F760" t="inlineStr">
        <is>
          <t>B0BS3SQ16M</t>
        </is>
      </c>
      <c r="G760">
        <f>_xlfn.IMAGE("https://edmondsonsupply.com/cdn/shop/files/W14658_01.jpg?v=1692277178")</f>
        <v/>
      </c>
      <c r="H760">
        <f>_xlfn.IMAGE("https://m.media-amazon.com/images/I/71zyWpGSWWL._AC_UL320_.jpg")</f>
        <v/>
      </c>
      <c r="K760" t="inlineStr">
        <is>
          <t>1.19</t>
        </is>
      </c>
      <c r="L760" t="n">
        <v>42.99</v>
      </c>
      <c r="M760" s="1" t="inlineStr">
        <is>
          <t>3,512.61%</t>
        </is>
      </c>
      <c r="N760" s="7" t="n">
        <v>291.51</v>
      </c>
      <c r="O760" t="n">
        <v>5</v>
      </c>
      <c r="P760" t="n">
        <v>7</v>
      </c>
      <c r="R760" t="inlineStr">
        <is>
          <t>InStock</t>
        </is>
      </c>
      <c r="S760" t="inlineStr">
        <is>
          <t>undefined</t>
        </is>
      </c>
      <c r="T760" t="inlineStr">
        <is>
          <t>8028223144152</t>
        </is>
      </c>
    </row>
    <row r="761" ht="87" customHeight="1">
      <c r="A761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61" s="2">
        <f>HYPERLINK("https://edmondsonsupply.com/products/cambridge-3-4-pvc-liquid-tight-conduit-fitting-straight", "https://edmondsonsupply.com/products/cambridge-3-4-pvc-liquid-tight-conduit-fitting-straight")</f>
        <v/>
      </c>
      <c r="C761" t="inlineStr">
        <is>
          <t>Cambridge 3/4" PVC Liquid Tight Conduit Fitting - Straight</t>
        </is>
      </c>
      <c r="D761" t="inlineStr">
        <is>
          <t>30PACK 3/4" Liquid Tight Connector, Flexible Electrical Conduit Fitting, Waterproof, High Temperature Resistant, UL Listed Straight and Elbow Conduit Fitting Combination(Pack of 20 180° and 10 90°)</t>
        </is>
      </c>
      <c r="E761" s="2">
        <f>HYPERLINK("https://www.amazon.com/Connector-Electrical-Waterproof-Temperature-Combination/dp/B0B6F8DQWN/ref=sr_1_23?keywords=Cambridge+3%2F4%22+PVC+Liquid+Tight+Conduit+Fitting+-+Straight&amp;qid=1694734855&amp;sr=8-23", "https://www.amazon.com/Connector-Electrical-Waterproof-Temperature-Combination/dp/B0B6F8DQWN/ref=sr_1_23?keywords=Cambridge+3%2F4%22+PVC+Liquid+Tight+Conduit+Fitting+-+Straight&amp;qid=1694734855&amp;sr=8-23")</f>
        <v/>
      </c>
      <c r="F761" t="inlineStr">
        <is>
          <t>B0B6F8DQWN</t>
        </is>
      </c>
      <c r="G761">
        <f>_xlfn.IMAGE("https://edmondsonsupply.com/cdn/shop/files/W14656_01.jpg?v=1692277615")</f>
        <v/>
      </c>
      <c r="H761">
        <f>_xlfn.IMAGE("https://m.media-amazon.com/images/I/71Qfbw5ZvgL._AC_UL320_.jpg")</f>
        <v/>
      </c>
      <c r="K761" t="inlineStr">
        <is>
          <t>1.5</t>
        </is>
      </c>
      <c r="L761" t="n">
        <v>53.99</v>
      </c>
      <c r="M761" s="1" t="inlineStr">
        <is>
          <t>3,499.33%</t>
        </is>
      </c>
      <c r="N761" s="7" t="n">
        <v>286.3</v>
      </c>
      <c r="O761" t="n">
        <v>4.6</v>
      </c>
      <c r="P761" t="n">
        <v>3</v>
      </c>
      <c r="R761" t="inlineStr">
        <is>
          <t>InStock</t>
        </is>
      </c>
      <c r="S761" t="inlineStr">
        <is>
          <t>undefined</t>
        </is>
      </c>
      <c r="T761" t="inlineStr">
        <is>
          <t>8028223897816</t>
        </is>
      </c>
    </row>
    <row r="762" ht="87" customHeight="1">
      <c r="A76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62" s="2">
        <f>HYPERLINK("https://edmondsonsupply.com/products/cambridge-1-2-pvc-liquid-tight-conduit-fitting-straight", "https://edmondsonsupply.com/products/cambridge-1-2-pvc-liquid-tight-conduit-fitting-straight")</f>
        <v/>
      </c>
      <c r="C762" t="inlineStr">
        <is>
          <t>Cambridge 1/2" PVC Liquid Tight Conduit Fitting - Straight</t>
        </is>
      </c>
      <c r="D762" t="inlineStr">
        <is>
          <t>Black UL Listed Non-Metallic Electrical Liquid Tight Conduit Straight Fittings - 1/2" - Box of 25</t>
        </is>
      </c>
      <c r="E762" s="2">
        <f>HYPERLINK("https://www.amazon.com/Non-Metallic-Electrical-Conduit-Straight-Fittings/dp/B0BRVPWVRW/ref=sr_1_12?keywords=Cambridge+1%2F2%22+PVC+Liquid+Tight+Conduit+Fitting+-+Straight&amp;qid=1694734855&amp;sr=8-12", "https://www.amazon.com/Non-Metallic-Electrical-Conduit-Straight-Fittings/dp/B0BRVPWVRW/ref=sr_1_12?keywords=Cambridge+1%2F2%22+PVC+Liquid+Tight+Conduit+Fitting+-+Straight&amp;qid=1694734855&amp;sr=8-12")</f>
        <v/>
      </c>
      <c r="F762" t="inlineStr">
        <is>
          <t>B0BRVPWVRW</t>
        </is>
      </c>
      <c r="G762">
        <f>_xlfn.IMAGE("https://edmondsonsupply.com/cdn/shop/files/W14658_01.jpg?v=1692277178")</f>
        <v/>
      </c>
      <c r="H762">
        <f>_xlfn.IMAGE("https://m.media-amazon.com/images/I/61wyFvNl9mL._AC_UL320_.jpg")</f>
        <v/>
      </c>
      <c r="K762" t="inlineStr">
        <is>
          <t>1.19</t>
        </is>
      </c>
      <c r="L762" t="n">
        <v>40.02</v>
      </c>
      <c r="M762" s="1" t="inlineStr">
        <is>
          <t>3,263.03%</t>
        </is>
      </c>
      <c r="N762" s="7" t="n">
        <v>285.69</v>
      </c>
      <c r="O762" t="n">
        <v>5</v>
      </c>
      <c r="P762" t="n">
        <v>1</v>
      </c>
      <c r="R762" t="inlineStr">
        <is>
          <t>InStock</t>
        </is>
      </c>
      <c r="S762" t="inlineStr">
        <is>
          <t>undefined</t>
        </is>
      </c>
      <c r="T762" t="inlineStr">
        <is>
          <t>8028223144152</t>
        </is>
      </c>
    </row>
    <row r="763" ht="87" customHeight="1">
      <c r="A763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63" s="2">
        <f>HYPERLINK("https://edmondsonsupply.com/products/cambridge-1-2-pvc-liquid-tight-conduit-fitting-straight", "https://edmondsonsupply.com/products/cambridge-1-2-pvc-liquid-tight-conduit-fitting-straight")</f>
        <v/>
      </c>
      <c r="C763" t="inlineStr">
        <is>
          <t>Cambridge 1/2" PVC Liquid Tight Conduit Fitting - Straight</t>
        </is>
      </c>
      <c r="D763" t="inlineStr">
        <is>
          <t>1/2 Inch Liquid Tight Connector PVC Electrical Conduit Fittings Straight 90 Degree Flexible Conduit Connector for Home Bathroom Tube Tool Supplies, Grey(50 Pcs)</t>
        </is>
      </c>
      <c r="E763" s="2">
        <f>HYPERLINK("https://www.amazon.com/Connector-Electrical-Fittings-Straight-Flexible/dp/B0BQ728PVW/ref=sr_1_15?keywords=Cambridge+1%2F2%22+PVC+Liquid+Tight+Conduit+Fitting+-+Straight&amp;qid=1694734855&amp;sr=8-15", "https://www.amazon.com/Connector-Electrical-Fittings-Straight-Flexible/dp/B0BQ728PVW/ref=sr_1_15?keywords=Cambridge+1%2F2%22+PVC+Liquid+Tight+Conduit+Fitting+-+Straight&amp;qid=1694734855&amp;sr=8-15")</f>
        <v/>
      </c>
      <c r="F763" t="inlineStr">
        <is>
          <t>B0BQ728PVW</t>
        </is>
      </c>
      <c r="G763">
        <f>_xlfn.IMAGE("https://edmondsonsupply.com/cdn/shop/files/W14658_01.jpg?v=1692277178")</f>
        <v/>
      </c>
      <c r="H763">
        <f>_xlfn.IMAGE("https://m.media-amazon.com/images/I/71vE2ThH+kL._AC_UL320_.jpg")</f>
        <v/>
      </c>
      <c r="K763" t="inlineStr">
        <is>
          <t>1.19</t>
        </is>
      </c>
      <c r="L763" t="n">
        <v>37.99</v>
      </c>
      <c r="M763" s="1" t="inlineStr">
        <is>
          <t>3,092.44%</t>
        </is>
      </c>
      <c r="N763" s="7" t="n">
        <v>280.07</v>
      </c>
      <c r="O763" t="n">
        <v>5</v>
      </c>
      <c r="P763" t="n">
        <v>6</v>
      </c>
      <c r="R763" t="inlineStr">
        <is>
          <t>InStock</t>
        </is>
      </c>
      <c r="S763" t="inlineStr">
        <is>
          <t>undefined</t>
        </is>
      </c>
      <c r="T763" t="inlineStr">
        <is>
          <t>8028223144152</t>
        </is>
      </c>
    </row>
    <row r="764" ht="87" customHeight="1">
      <c r="A764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64" s="2">
        <f>HYPERLINK("https://edmondsonsupply.com/products/cambridge-3-4-pvc-liquid-tight-conduit-fitting-90-degree", "https://edmondsonsupply.com/products/cambridge-3-4-pvc-liquid-tight-conduit-fitting-90-degree")</f>
        <v/>
      </c>
      <c r="C764" t="inlineStr">
        <is>
          <t>Cambridge 3/4" PVC Liquid Tight Conduit Fitting - 90 Degree</t>
        </is>
      </c>
      <c r="D764" t="inlineStr">
        <is>
          <t>30Pcs,3/4" Liquid Tight Connector Non-Metallic Electrical Conduit Fittings, PVC Flexible Conduit Fittings, UL Listed(Straight+90 Degree)</t>
        </is>
      </c>
      <c r="E764" s="2">
        <f>HYPERLINK("https://www.amazon.com/Connector-Non-Metallic-Electrical-Fittings-Flexible/dp/B0B76D3XQX/ref=sr_1_12?keywords=Cambridge+3%2F4%22+PVC+Liquid+Tight+Conduit+Fitting+-+90+Degree&amp;qid=1694734856&amp;sr=8-12", "https://www.amazon.com/Connector-Non-Metallic-Electrical-Fittings-Flexible/dp/B0B76D3XQX/ref=sr_1_12?keywords=Cambridge+3%2F4%22+PVC+Liquid+Tight+Conduit+Fitting+-+90+Degree&amp;qid=1694734856&amp;sr=8-12")</f>
        <v/>
      </c>
      <c r="F764" t="inlineStr">
        <is>
          <t>B0B76D3XQX</t>
        </is>
      </c>
      <c r="G764">
        <f>_xlfn.IMAGE("https://edmondsonsupply.com/cdn/shop/files/W14657_01.jpg?v=1692278537")</f>
        <v/>
      </c>
      <c r="H764">
        <f>_xlfn.IMAGE("https://m.media-amazon.com/images/I/71DWeG-B51L._AC_UL320_.jpg")</f>
        <v/>
      </c>
      <c r="K764" t="inlineStr">
        <is>
          <t>1.8</t>
        </is>
      </c>
      <c r="L764" t="n">
        <v>55.99</v>
      </c>
      <c r="M764" s="1" t="inlineStr">
        <is>
          <t>3,010.56%</t>
        </is>
      </c>
      <c r="N764" s="7" t="n">
        <v>279.13</v>
      </c>
      <c r="O764" t="n">
        <v>4.6</v>
      </c>
      <c r="P764" t="n">
        <v>24</v>
      </c>
      <c r="R764" t="inlineStr">
        <is>
          <t>InStock</t>
        </is>
      </c>
      <c r="S764" t="inlineStr">
        <is>
          <t>undefined</t>
        </is>
      </c>
      <c r="T764" t="inlineStr">
        <is>
          <t>8028225175768</t>
        </is>
      </c>
    </row>
    <row r="765" ht="87" customHeight="1">
      <c r="A765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65" s="2">
        <f>HYPERLINK("https://edmondsonsupply.com/products/cambridge-1-2-pvc-liquid-tight-conduit-fitting-straight", "https://edmondsonsupply.com/products/cambridge-1-2-pvc-liquid-tight-conduit-fitting-straight")</f>
        <v/>
      </c>
      <c r="C765" t="inlineStr">
        <is>
          <t>Cambridge 1/2" PVC Liquid Tight Conduit Fitting - Straight</t>
        </is>
      </c>
      <c r="D765" t="inlineStr">
        <is>
          <t>Feotech Liquid-Tight Conduit and Connector Kit - 1/2 Inch 50 FT Non Metallic Liquid Tight Electrical Conduit with 5 Straight and 5 Angle Fittings</t>
        </is>
      </c>
      <c r="E765" s="2">
        <f>HYPERLINK("https://www.amazon.com/Feotech-Liquid-Tight-Conduit-Connector-Kit/dp/B0BY7SZYYX/ref=sr_1_28?keywords=Cambridge+1%2F2%22+PVC+Liquid+Tight+Conduit+Fitting+-+Straight&amp;qid=1694734855&amp;sr=8-28", "https://www.amazon.com/Feotech-Liquid-Tight-Conduit-Connector-Kit/dp/B0BY7SZYYX/ref=sr_1_28?keywords=Cambridge+1%2F2%22+PVC+Liquid+Tight+Conduit+Fitting+-+Straight&amp;qid=1694734855&amp;sr=8-28")</f>
        <v/>
      </c>
      <c r="F765" t="inlineStr">
        <is>
          <t>B0BY7SZYYX</t>
        </is>
      </c>
      <c r="G765">
        <f>_xlfn.IMAGE("https://edmondsonsupply.com/cdn/shop/files/W14658_01.jpg?v=1692277178")</f>
        <v/>
      </c>
      <c r="H765">
        <f>_xlfn.IMAGE("https://m.media-amazon.com/images/I/71CJEc9++nL._AC_UL320_.jpg")</f>
        <v/>
      </c>
      <c r="K765" t="inlineStr">
        <is>
          <t>1.19</t>
        </is>
      </c>
      <c r="L765" t="n">
        <v>36.99</v>
      </c>
      <c r="M765" s="1" t="inlineStr">
        <is>
          <t>3,008.40%</t>
        </is>
      </c>
      <c r="N765" s="7" t="n">
        <v>275.2</v>
      </c>
      <c r="O765" t="n">
        <v>5</v>
      </c>
      <c r="P765" t="n">
        <v>1</v>
      </c>
      <c r="R765" t="inlineStr">
        <is>
          <t>InStock</t>
        </is>
      </c>
      <c r="S765" t="inlineStr">
        <is>
          <t>undefined</t>
        </is>
      </c>
      <c r="T765" t="inlineStr">
        <is>
          <t>8028223144152</t>
        </is>
      </c>
    </row>
    <row r="766" ht="87" customHeight="1">
      <c r="A766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66" s="2">
        <f>HYPERLINK("https://edmondsonsupply.com/products/cambridge-3-4-pvc-liquid-tight-conduit-fitting-90-degree", "https://edmondsonsupply.com/products/cambridge-3-4-pvc-liquid-tight-conduit-fitting-90-degree")</f>
        <v/>
      </c>
      <c r="C766" t="inlineStr">
        <is>
          <t>Cambridge 3/4" PVC Liquid Tight Conduit Fitting - 90 Degree</t>
        </is>
      </c>
      <c r="D766" t="inlineStr">
        <is>
          <t>30PACK 3/4" Liquid Tight Connector, Flexible Electrical Conduit Fitting, Waterproof, High Temperature Resistant, UL Listed Straight and Elbow Conduit Fitting Combination(Pack of 20 180° and 10 90°)</t>
        </is>
      </c>
      <c r="E766" s="2">
        <f>HYPERLINK("https://www.amazon.com/Connector-Electrical-Waterproof-Temperature-Combination/dp/B0B6F8DQWN/ref=sr_1_31?keywords=Cambridge+3%2F4%22+PVC+Liquid+Tight+Conduit+Fitting+-+90+Degree&amp;qid=1694734856&amp;sr=8-31", "https://www.amazon.com/Connector-Electrical-Waterproof-Temperature-Combination/dp/B0B6F8DQWN/ref=sr_1_31?keywords=Cambridge+3%2F4%22+PVC+Liquid+Tight+Conduit+Fitting+-+90+Degree&amp;qid=1694734856&amp;sr=8-31")</f>
        <v/>
      </c>
      <c r="F766" t="inlineStr">
        <is>
          <t>B0B6F8DQWN</t>
        </is>
      </c>
      <c r="G766">
        <f>_xlfn.IMAGE("https://edmondsonsupply.com/cdn/shop/files/W14657_01.jpg?v=1692278537")</f>
        <v/>
      </c>
      <c r="H766">
        <f>_xlfn.IMAGE("https://m.media-amazon.com/images/I/71Qfbw5ZvgL._AC_UL320_.jpg")</f>
        <v/>
      </c>
      <c r="K766" t="inlineStr">
        <is>
          <t>1.8</t>
        </is>
      </c>
      <c r="L766" t="n">
        <v>53.99</v>
      </c>
      <c r="M766" s="1" t="inlineStr">
        <is>
          <t>2,899.44%</t>
        </is>
      </c>
      <c r="N766" s="7" t="n">
        <v>275.09</v>
      </c>
      <c r="O766" t="n">
        <v>4.6</v>
      </c>
      <c r="P766" t="n">
        <v>3</v>
      </c>
      <c r="R766" t="inlineStr">
        <is>
          <t>InStock</t>
        </is>
      </c>
      <c r="S766" t="inlineStr">
        <is>
          <t>undefined</t>
        </is>
      </c>
      <c r="T766" t="inlineStr">
        <is>
          <t>8028225175768</t>
        </is>
      </c>
    </row>
    <row r="767" ht="87" customHeight="1">
      <c r="A767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67" s="2">
        <f>HYPERLINK("https://edmondsonsupply.com/products/cambridge-3-4-pvc-liquid-tight-conduit-fitting-90-degree", "https://edmondsonsupply.com/products/cambridge-3-4-pvc-liquid-tight-conduit-fitting-90-degree")</f>
        <v/>
      </c>
      <c r="C767" t="inlineStr">
        <is>
          <t>Cambridge 3/4" PVC Liquid Tight Conduit Fitting - 90 Degree</t>
        </is>
      </c>
      <c r="D767" t="inlineStr">
        <is>
          <t>Liquid Tight Connector Flexible Non Metallic Electrical Conduit Connector Fitting 90 Degree Electrical PVC Conduit Fittings for Home Kitchen Bathroom Tube Tool Supplies (48 Pieces, 3/4 Inch)</t>
        </is>
      </c>
      <c r="E767" s="2">
        <f>HYPERLINK("https://www.amazon.com/Connector-Flexible-Metallic-Electrical-Fittings/dp/B0C3HM54F3/ref=sr_1_6?keywords=Cambridge+3%2F4%22+PVC+Liquid+Tight+Conduit+Fitting+-+90+Degree&amp;qid=1694734856&amp;sr=8-6", "https://www.amazon.com/Connector-Flexible-Metallic-Electrical-Fittings/dp/B0C3HM54F3/ref=sr_1_6?keywords=Cambridge+3%2F4%22+PVC+Liquid+Tight+Conduit+Fitting+-+90+Degree&amp;qid=1694734856&amp;sr=8-6")</f>
        <v/>
      </c>
      <c r="F767" t="inlineStr">
        <is>
          <t>B0C3HM54F3</t>
        </is>
      </c>
      <c r="G767">
        <f>_xlfn.IMAGE("https://edmondsonsupply.com/cdn/shop/files/W14657_01.jpg?v=1692278537")</f>
        <v/>
      </c>
      <c r="H767">
        <f>_xlfn.IMAGE("https://m.media-amazon.com/images/I/71L9VsdFJBL._AC_UL320_.jpg")</f>
        <v/>
      </c>
      <c r="K767" t="inlineStr">
        <is>
          <t>1.8</t>
        </is>
      </c>
      <c r="L767" t="n">
        <v>52.99</v>
      </c>
      <c r="M767" s="1" t="inlineStr">
        <is>
          <t>2,843.89%</t>
        </is>
      </c>
      <c r="N767" s="7" t="n">
        <v>272.91</v>
      </c>
      <c r="O767" t="n">
        <v>4.8</v>
      </c>
      <c r="P767" t="n">
        <v>91</v>
      </c>
      <c r="R767" t="inlineStr">
        <is>
          <t>InStock</t>
        </is>
      </c>
      <c r="S767" t="inlineStr">
        <is>
          <t>undefined</t>
        </is>
      </c>
      <c r="T767" t="inlineStr">
        <is>
          <t>8028225175768</t>
        </is>
      </c>
    </row>
    <row r="768" ht="87" customHeight="1">
      <c r="A768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68" s="2">
        <f>HYPERLINK("https://edmondsonsupply.com/products/cambridge-3-4-pvc-liquid-tight-conduit-fitting-straight", "https://edmondsonsupply.com/products/cambridge-3-4-pvc-liquid-tight-conduit-fitting-straight")</f>
        <v/>
      </c>
      <c r="C768" t="inlineStr">
        <is>
          <t>Cambridge 3/4" PVC Liquid Tight Conduit Fitting - Straight</t>
        </is>
      </c>
      <c r="D768" t="inlineStr">
        <is>
          <t>Neorexon Liquid-Tight Conduit 3/4 50ft, Electrical Conduit with Connector Kit, Flexible Conduit with 5 Straight and 5 90-Degree Conduit Connector Fittings</t>
        </is>
      </c>
      <c r="E768" s="2">
        <f>HYPERLINK("https://www.amazon.com/Neorexon-Conduit-Connector-Kit-50ft/dp/B0BJKD8C3J/ref=sr_1_36?keywords=Cambridge+3%2F4%22+PVC+Liquid+Tight+Conduit+Fitting+-+Straight&amp;qid=1694734855&amp;sr=8-36", "https://www.amazon.com/Neorexon-Conduit-Connector-Kit-50ft/dp/B0BJKD8C3J/ref=sr_1_36?keywords=Cambridge+3%2F4%22+PVC+Liquid+Tight+Conduit+Fitting+-+Straight&amp;qid=1694734855&amp;sr=8-36")</f>
        <v/>
      </c>
      <c r="F768" t="inlineStr">
        <is>
          <t>B0BJKD8C3J</t>
        </is>
      </c>
      <c r="G768">
        <f>_xlfn.IMAGE("https://edmondsonsupply.com/cdn/shop/files/W14656_01.jpg?v=1692277615")</f>
        <v/>
      </c>
      <c r="H768">
        <f>_xlfn.IMAGE("https://m.media-amazon.com/images/I/81PQlt6t87L._AC_UL320_.jpg")</f>
        <v/>
      </c>
      <c r="K768" t="inlineStr">
        <is>
          <t>1.5</t>
        </is>
      </c>
      <c r="L768" t="n">
        <v>43.99</v>
      </c>
      <c r="M768" s="1" t="inlineStr">
        <is>
          <t>2,832.67%</t>
        </is>
      </c>
      <c r="N768" s="7" t="n">
        <v>272.26</v>
      </c>
      <c r="O768" t="n">
        <v>4.7</v>
      </c>
      <c r="P768" t="n">
        <v>82</v>
      </c>
      <c r="R768" t="inlineStr">
        <is>
          <t>InStock</t>
        </is>
      </c>
      <c r="S768" t="inlineStr">
        <is>
          <t>undefined</t>
        </is>
      </c>
      <c r="T768" t="inlineStr">
        <is>
          <t>8028223897816</t>
        </is>
      </c>
    </row>
    <row r="769" ht="87" customHeight="1">
      <c r="A769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69" s="2">
        <f>HYPERLINK("https://edmondsonsupply.com/products/cambridge-1-2-pvc-liquid-tight-conduit-fitting-straight", "https://edmondsonsupply.com/products/cambridge-1-2-pvc-liquid-tight-conduit-fitting-straight")</f>
        <v/>
      </c>
      <c r="C769" t="inlineStr">
        <is>
          <t>Cambridge 1/2" PVC Liquid Tight Conduit Fitting - Straight</t>
        </is>
      </c>
      <c r="D769" t="inlineStr">
        <is>
          <t>30Pcs 1/2" Liquid Tight Connector Electrical Conduit Connector Flexible Electrical Conduit Connector Fitting Electrical PVC Conduit Fittings,UL Listed(90 Degree and 180 Degree)</t>
        </is>
      </c>
      <c r="E769" s="2">
        <f>HYPERLINK("https://www.amazon.com/Connector-Flexible-Metallic-Electrical-Fittings/dp/B0BGR7DWR5/ref=sr_1_7?keywords=Cambridge+1%2F2%22+PVC+Liquid+Tight+Conduit+Fitting+-+Straight&amp;qid=1694734855&amp;sr=8-7", "https://www.amazon.com/Connector-Flexible-Metallic-Electrical-Fittings/dp/B0BGR7DWR5/ref=sr_1_7?keywords=Cambridge+1%2F2%22+PVC+Liquid+Tight+Conduit+Fitting+-+Straight&amp;qid=1694734855&amp;sr=8-7")</f>
        <v/>
      </c>
      <c r="F769" t="inlineStr">
        <is>
          <t>B0BGR7DWR5</t>
        </is>
      </c>
      <c r="G769">
        <f>_xlfn.IMAGE("https://edmondsonsupply.com/cdn/shop/files/W14658_01.jpg?v=1692277178")</f>
        <v/>
      </c>
      <c r="H769">
        <f>_xlfn.IMAGE("https://m.media-amazon.com/images/I/71zhn+CbHML._AC_UL320_.jpg")</f>
        <v/>
      </c>
      <c r="K769" t="inlineStr">
        <is>
          <t>1.19</t>
        </is>
      </c>
      <c r="L769" t="n">
        <v>33.99</v>
      </c>
      <c r="M769" s="1" t="inlineStr">
        <is>
          <t>2,756.30%</t>
        </is>
      </c>
      <c r="N769" s="7" t="n">
        <v>271.38</v>
      </c>
      <c r="O769" t="n">
        <v>4.6</v>
      </c>
      <c r="P769" t="n">
        <v>24</v>
      </c>
      <c r="R769" t="inlineStr">
        <is>
          <t>InStock</t>
        </is>
      </c>
      <c r="S769" t="inlineStr">
        <is>
          <t>undefined</t>
        </is>
      </c>
      <c r="T769" t="inlineStr">
        <is>
          <t>8028223144152</t>
        </is>
      </c>
    </row>
    <row r="770" ht="87" customHeight="1">
      <c r="A770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70" s="2">
        <f>HYPERLINK("https://edmondsonsupply.com/products/cambridge-3-4-pvc-liquid-tight-conduit-fitting-90-degree", "https://edmondsonsupply.com/products/cambridge-3-4-pvc-liquid-tight-conduit-fitting-90-degree")</f>
        <v/>
      </c>
      <c r="C770" t="inlineStr">
        <is>
          <t>Cambridge 3/4" PVC Liquid Tight Conduit Fitting - 90 Degree</t>
        </is>
      </c>
      <c r="D770" t="inlineStr">
        <is>
          <t>Sealproof 3/4-Inch 10 Pack Non-Metallic Liquid-Tight 90-Degree Conduit Connector Fitting, 3/4" Dia 10-Pack</t>
        </is>
      </c>
      <c r="E770" s="2">
        <f>HYPERLINK("https://www.amazon.com/Sealproof-Non-Metallic-Liquid-Tight-90-Degree-Connector/dp/B0765D2VDL/ref=sr_1_25?keywords=Cambridge+3%2F4%22+PVC+Liquid+Tight+Conduit+Fitting+-+90+Degree&amp;qid=1694734856&amp;sr=8-25", "https://www.amazon.com/Sealproof-Non-Metallic-Liquid-Tight-90-Degree-Connector/dp/B0765D2VDL/ref=sr_1_25?keywords=Cambridge+3%2F4%22+PVC+Liquid+Tight+Conduit+Fitting+-+90+Degree&amp;qid=1694734856&amp;sr=8-25")</f>
        <v/>
      </c>
      <c r="F770" t="inlineStr">
        <is>
          <t>B0765D2VDL</t>
        </is>
      </c>
      <c r="G770">
        <f>_xlfn.IMAGE("https://edmondsonsupply.com/cdn/shop/files/W14657_01.jpg?v=1692278537")</f>
        <v/>
      </c>
      <c r="H770">
        <f>_xlfn.IMAGE("https://m.media-amazon.com/images/I/7110lJ0RGaL._AC_UL320_.jpg")</f>
        <v/>
      </c>
      <c r="K770" t="inlineStr">
        <is>
          <t>1.8</t>
        </is>
      </c>
      <c r="L770" t="n">
        <v>46.99</v>
      </c>
      <c r="M770" s="1" t="inlineStr">
        <is>
          <t>2,510.56%</t>
        </is>
      </c>
      <c r="N770" s="7" t="n">
        <v>266.52</v>
      </c>
      <c r="O770" t="n">
        <v>4.7</v>
      </c>
      <c r="P770" t="n">
        <v>14</v>
      </c>
      <c r="R770" t="inlineStr">
        <is>
          <t>InStock</t>
        </is>
      </c>
      <c r="S770" t="inlineStr">
        <is>
          <t>undefined</t>
        </is>
      </c>
      <c r="T770" t="inlineStr">
        <is>
          <t>8028225175768</t>
        </is>
      </c>
    </row>
    <row r="771" ht="87" customHeight="1">
      <c r="A771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71" s="2">
        <f>HYPERLINK("https://edmondsonsupply.com/products/cambridge-3-4-pvc-liquid-tight-conduit-fitting-90-degree", "https://edmondsonsupply.com/products/cambridge-3-4-pvc-liquid-tight-conduit-fitting-90-degree")</f>
        <v/>
      </c>
      <c r="C771" t="inlineStr">
        <is>
          <t>Cambridge 3/4" PVC Liquid Tight Conduit Fitting - 90 Degree</t>
        </is>
      </c>
      <c r="D771" t="inlineStr">
        <is>
          <t>60 Pieces 1/2 Inch Liquid Tight Connector Nonmetallic Electrical Conduit Fittings 90 Degree Flexible PVC Conduit Connector for Kitchen Home Bathroom Tube Tool Supplies (90 Degree）</t>
        </is>
      </c>
      <c r="E771" s="2">
        <f>HYPERLINK("https://www.amazon.com/Connector-Nonmetallic-Electrical-Fittings-Flexible/dp/B0C282LC5B/ref=sr_1_28?keywords=Cambridge+3%2F4%22+PVC+Liquid+Tight+Conduit+Fitting+-+90+Degree&amp;qid=1694734856&amp;sr=8-28", "https://www.amazon.com/Connector-Nonmetallic-Electrical-Fittings-Flexible/dp/B0C282LC5B/ref=sr_1_28?keywords=Cambridge+3%2F4%22+PVC+Liquid+Tight+Conduit+Fitting+-+90+Degree&amp;qid=1694734856&amp;sr=8-28")</f>
        <v/>
      </c>
      <c r="F771" t="inlineStr">
        <is>
          <t>B0C282LC5B</t>
        </is>
      </c>
      <c r="G771">
        <f>_xlfn.IMAGE("https://edmondsonsupply.com/cdn/shop/files/W14657_01.jpg?v=1692278537")</f>
        <v/>
      </c>
      <c r="H771">
        <f>_xlfn.IMAGE("https://m.media-amazon.com/images/I/8195o-LRa2L._AC_UL320_.jpg")</f>
        <v/>
      </c>
      <c r="K771" t="inlineStr">
        <is>
          <t>1.8</t>
        </is>
      </c>
      <c r="L771" t="n">
        <v>46.99</v>
      </c>
      <c r="M771" s="1" t="inlineStr">
        <is>
          <t>2,510.56%</t>
        </is>
      </c>
      <c r="N771" s="7" t="n">
        <v>266.08</v>
      </c>
      <c r="O771" t="n">
        <v>5</v>
      </c>
      <c r="P771" t="n">
        <v>6</v>
      </c>
      <c r="R771" t="inlineStr">
        <is>
          <t>InStock</t>
        </is>
      </c>
      <c r="S771" t="inlineStr">
        <is>
          <t>undefined</t>
        </is>
      </c>
      <c r="T771" t="inlineStr">
        <is>
          <t>8028225175768</t>
        </is>
      </c>
    </row>
    <row r="772" ht="87" customHeight="1">
      <c r="A772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72" s="2">
        <f>HYPERLINK("https://edmondsonsupply.com/products/cambridge-1-2-pvc-liquid-tight-conduit-fitting-90-degree", "https://edmondsonsupply.com/products/cambridge-1-2-pvc-liquid-tight-conduit-fitting-90-degree")</f>
        <v/>
      </c>
      <c r="C772" t="inlineStr">
        <is>
          <t>Cambridge 1/2" PVC Liquid Tight Conduit Fitting - 90 Degree</t>
        </is>
      </c>
      <c r="D772" t="inlineStr">
        <is>
          <t>1/2 Inch Liquid Tight Connector PVC Electrical Conduit Fittings Straight 90 Degree Flexible Conduit Connector for Home Bathroom Tube Tool Supplies, Grey(50 Pcs)</t>
        </is>
      </c>
      <c r="E772" s="2">
        <f>HYPERLINK("https://www.amazon.com/Connector-Electrical-Fittings-Straight-Flexible/dp/B0BQ728PVW/ref=sr_1_3?keywords=Cambridge+1%2F2%22+PVC+Liquid+Tight+Conduit+Fitting+-+90+Degree&amp;qid=1694734857&amp;sr=8-3", "https://www.amazon.com/Connector-Electrical-Fittings-Straight-Flexible/dp/B0BQ728PVW/ref=sr_1_3?keywords=Cambridge+1%2F2%22+PVC+Liquid+Tight+Conduit+Fitting+-+90+Degree&amp;qid=1694734857&amp;sr=8-3")</f>
        <v/>
      </c>
      <c r="F772" t="inlineStr">
        <is>
          <t>B0BQ728PVW</t>
        </is>
      </c>
      <c r="G772">
        <f>_xlfn.IMAGE("https://edmondsonsupply.com/cdn/shop/files/W14659_01.jpg?v=1692278106")</f>
        <v/>
      </c>
      <c r="H772">
        <f>_xlfn.IMAGE("https://m.media-amazon.com/images/I/71vE2ThH+kL._AC_UL320_.jpg")</f>
        <v/>
      </c>
      <c r="K772" t="inlineStr">
        <is>
          <t>1.48</t>
        </is>
      </c>
      <c r="L772" t="n">
        <v>37.99</v>
      </c>
      <c r="M772" s="1" t="inlineStr">
        <is>
          <t>2,466.89%</t>
        </is>
      </c>
      <c r="N772" s="7" t="n">
        <v>262.66</v>
      </c>
      <c r="O772" t="n">
        <v>5</v>
      </c>
      <c r="P772" t="n">
        <v>6</v>
      </c>
      <c r="R772" t="inlineStr">
        <is>
          <t>InStock</t>
        </is>
      </c>
      <c r="S772" t="inlineStr">
        <is>
          <t>undefined</t>
        </is>
      </c>
      <c r="T772" t="inlineStr">
        <is>
          <t>8028224422104</t>
        </is>
      </c>
    </row>
    <row r="773" ht="87" customHeight="1">
      <c r="A773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73" s="2">
        <f>HYPERLINK("https://edmondsonsupply.com/products/cambridge-3-4-pvc-liquid-tight-conduit-fitting-90-degree", "https://edmondsonsupply.com/products/cambridge-3-4-pvc-liquid-tight-conduit-fitting-90-degree")</f>
        <v/>
      </c>
      <c r="C773" t="inlineStr">
        <is>
          <t>Cambridge 3/4" PVC Liquid Tight Conduit Fitting - 90 Degree</t>
        </is>
      </c>
      <c r="D773" t="inlineStr">
        <is>
          <t>Neorexon Liquid-Tight Conduit 3/4 50ft, Electrical Conduit with Connector Kit, Flexible Conduit with 5 Straight and 5 90-Degree Conduit Connector Fittings</t>
        </is>
      </c>
      <c r="E773" s="2">
        <f>HYPERLINK("https://www.amazon.com/Neorexon-Conduit-Connector-Kit-50ft/dp/B0BJKD8C3J/ref=sr_1_29?keywords=Cambridge+3%2F4%22+PVC+Liquid+Tight+Conduit+Fitting+-+90+Degree&amp;qid=1694734856&amp;sr=8-29", "https://www.amazon.com/Neorexon-Conduit-Connector-Kit-50ft/dp/B0BJKD8C3J/ref=sr_1_29?keywords=Cambridge+3%2F4%22+PVC+Liquid+Tight+Conduit+Fitting+-+90+Degree&amp;qid=1694734856&amp;sr=8-29")</f>
        <v/>
      </c>
      <c r="F773" t="inlineStr">
        <is>
          <t>B0BJKD8C3J</t>
        </is>
      </c>
      <c r="G773">
        <f>_xlfn.IMAGE("https://edmondsonsupply.com/cdn/shop/files/W14657_01.jpg?v=1692278537")</f>
        <v/>
      </c>
      <c r="H773">
        <f>_xlfn.IMAGE("https://m.media-amazon.com/images/I/81PQlt6t87L._AC_UL320_.jpg")</f>
        <v/>
      </c>
      <c r="K773" t="inlineStr">
        <is>
          <t>1.8</t>
        </is>
      </c>
      <c r="L773" t="n">
        <v>43.99</v>
      </c>
      <c r="M773" s="1" t="inlineStr">
        <is>
          <t>2,343.89%</t>
        </is>
      </c>
      <c r="N773" s="7" t="n">
        <v>260.59</v>
      </c>
      <c r="O773" t="n">
        <v>4.7</v>
      </c>
      <c r="P773" t="n">
        <v>82</v>
      </c>
      <c r="R773" t="inlineStr">
        <is>
          <t>InStock</t>
        </is>
      </c>
      <c r="S773" t="inlineStr">
        <is>
          <t>undefined</t>
        </is>
      </c>
      <c r="T773" t="inlineStr">
        <is>
          <t>8028225175768</t>
        </is>
      </c>
    </row>
    <row r="774" hidden="1" ht="15.75" customHeight="1">
      <c r="A774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74" s="2">
        <f>HYPERLINK("https://edmondsonsupply.com/products/cambridge-1-2-pvc-liquid-tight-conduit-fitting-straight", "https://edmondsonsupply.com/products/cambridge-1-2-pvc-liquid-tight-conduit-fitting-straight")</f>
        <v/>
      </c>
      <c r="C774" t="inlineStr">
        <is>
          <t>Cambridge 1/2" PVC Liquid Tight Conduit Fitting - Straight</t>
        </is>
      </c>
      <c r="D774" t="inlineStr">
        <is>
          <t>32 Pcs 1/2 Inch Liquid Tight Connector - PVC Electrical Conduit Connector - Flexible Nonmetallic Straight Conduit Fittings - UL Listed Electrical Fittings for Home Kitchen Bathroom Tube Tool Supplies</t>
        </is>
      </c>
      <c r="E774" s="2">
        <f>HYPERLINK("https://www.amazon.com/Pcs-Inch-Liquid-Tight-Connector/dp/B0C3VS2LNW/ref=sr_1_23?keywords=Cambridge+1%2F2%22+PVC+Liquid+Tight+Conduit+Fitting+-+Straight&amp;qid=1694734855&amp;sr=8-23", "https://www.amazon.com/Pcs-Inch-Liquid-Tight-Connector/dp/B0C3VS2LNW/ref=sr_1_23?keywords=Cambridge+1%2F2%22+PVC+Liquid+Tight+Conduit+Fitting+-+Straight&amp;qid=1694734855&amp;sr=8-23")</f>
        <v/>
      </c>
      <c r="F774" t="inlineStr">
        <is>
          <t>B0C3VS2LNW</t>
        </is>
      </c>
      <c r="G774">
        <f>_xludf.IMAGE("https://edmondsonsupply.com/cdn/shop/files/W14658_01.jpg?v=1692277178")</f>
        <v/>
      </c>
      <c r="H774">
        <f>_xludf.IMAGE("https://m.media-amazon.com/images/I/71AXAJ146oL._AC_UL320_.jpg")</f>
        <v/>
      </c>
      <c r="K774" t="inlineStr">
        <is>
          <t>1.19</t>
        </is>
      </c>
      <c r="L774" t="n">
        <v>28.99</v>
      </c>
      <c r="M774" s="1" t="inlineStr">
        <is>
          <t>2,336.13%</t>
        </is>
      </c>
      <c r="N774" s="1" t="n">
        <v>258.86</v>
      </c>
      <c r="O774" t="n">
        <v>4</v>
      </c>
      <c r="P774" t="n">
        <v>4</v>
      </c>
      <c r="R774" t="inlineStr">
        <is>
          <t>InStock</t>
        </is>
      </c>
      <c r="S774" t="inlineStr">
        <is>
          <t>undefined</t>
        </is>
      </c>
      <c r="T774" t="inlineStr">
        <is>
          <t>8028223144152</t>
        </is>
      </c>
    </row>
    <row r="775" ht="87" customHeight="1">
      <c r="A775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75" s="2">
        <f>HYPERLINK("https://edmondsonsupply.com/products/cambridge-3-4-pvc-liquid-tight-conduit-fitting-straight", "https://edmondsonsupply.com/products/cambridge-3-4-pvc-liquid-tight-conduit-fitting-straight")</f>
        <v/>
      </c>
      <c r="C775" t="inlineStr">
        <is>
          <t>Cambridge 3/4" PVC Liquid Tight Conduit Fitting - Straight</t>
        </is>
      </c>
      <c r="D775" t="inlineStr">
        <is>
          <t>Liquid Tight Connector 3/4 Inch 90 Degree Non Metallic Flex Electrical Conduit Fittings, Electrical Conduit Connector Fitting for PVC Pipe Cable Home Kitchen (25 Pcs)</t>
        </is>
      </c>
      <c r="E775" s="2">
        <f>HYPERLINK("https://www.amazon.com/Connector-Metallic-Electrical-Conduit-Fittings/dp/B0B5TYFB73/ref=sr_1_16?keywords=Cambridge+3%2F4%22+PVC+Liquid+Tight+Conduit+Fitting+-+Straight&amp;qid=1694734855&amp;sr=8-16", "https://www.amazon.com/Connector-Metallic-Electrical-Conduit-Fittings/dp/B0B5TYFB73/ref=sr_1_16?keywords=Cambridge+3%2F4%22+PVC+Liquid+Tight+Conduit+Fitting+-+Straight&amp;qid=1694734855&amp;sr=8-16")</f>
        <v/>
      </c>
      <c r="F775" t="inlineStr">
        <is>
          <t>B0B5TYFB73</t>
        </is>
      </c>
      <c r="G775">
        <f>_xlfn.IMAGE("https://edmondsonsupply.com/cdn/shop/files/W14656_01.jpg?v=1692277615")</f>
        <v/>
      </c>
      <c r="H775">
        <f>_xlfn.IMAGE("https://m.media-amazon.com/images/I/81Q8m-JjN0L._AC_UL320_.jpg")</f>
        <v/>
      </c>
      <c r="K775" t="inlineStr">
        <is>
          <t>1.5</t>
        </is>
      </c>
      <c r="L775" t="n">
        <v>35.99</v>
      </c>
      <c r="M775" s="1" t="inlineStr">
        <is>
          <t>2,299.33%</t>
        </is>
      </c>
      <c r="N775" s="7" t="n">
        <v>258.54</v>
      </c>
      <c r="O775" t="n">
        <v>5</v>
      </c>
      <c r="P775" t="n">
        <v>14</v>
      </c>
      <c r="R775" t="inlineStr">
        <is>
          <t>InStock</t>
        </is>
      </c>
      <c r="S775" t="inlineStr">
        <is>
          <t>undefined</t>
        </is>
      </c>
      <c r="T775" t="inlineStr">
        <is>
          <t>8028223897816</t>
        </is>
      </c>
    </row>
    <row r="776" ht="87" customHeight="1">
      <c r="A776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76" s="2">
        <f>HYPERLINK("https://edmondsonsupply.com/products/cambridge-1-2-pvc-liquid-tight-conduit-fitting-straight", "https://edmondsonsupply.com/products/cambridge-1-2-pvc-liquid-tight-conduit-fitting-straight")</f>
        <v/>
      </c>
      <c r="C776" t="inlineStr">
        <is>
          <t>Cambridge 1/2" PVC Liquid Tight Conduit Fitting - Straight</t>
        </is>
      </c>
      <c r="D776" t="inlineStr">
        <is>
          <t>Sealproof 1/2-Inch Non-Metallic Liquid-Tight Conduit and Connector Kit, 25 Foot Made in USA Flexible Electrical Conduit Type B with 4 Straight and 2 90-Degree Conduit Connector Fittings, 1/2" Dia</t>
        </is>
      </c>
      <c r="E776" s="2">
        <f>HYPERLINK("https://www.amazon.com/Sealproof-Non-metallic-Liquid-Tight-Connector-Electrical/dp/B0756JWQY3/ref=sr_1_30?keywords=Cambridge+1%2F2%22+PVC+Liquid+Tight+Conduit+Fitting+-+Straight&amp;qid=1694734855&amp;sr=8-30", "https://www.amazon.com/Sealproof-Non-metallic-Liquid-Tight-Connector-Electrical/dp/B0756JWQY3/ref=sr_1_30?keywords=Cambridge+1%2F2%22+PVC+Liquid+Tight+Conduit+Fitting+-+Straight&amp;qid=1694734855&amp;sr=8-30")</f>
        <v/>
      </c>
      <c r="F776" t="inlineStr">
        <is>
          <t>B0756JWQY3</t>
        </is>
      </c>
      <c r="G776">
        <f>_xlfn.IMAGE("https://edmondsonsupply.com/cdn/shop/files/W14658_01.jpg?v=1692277178")</f>
        <v/>
      </c>
      <c r="H776">
        <f>_xlfn.IMAGE("https://m.media-amazon.com/images/I/81EhzXNBBTL._AC_UL320_.jpg")</f>
        <v/>
      </c>
      <c r="K776" t="inlineStr">
        <is>
          <t>1.19</t>
        </is>
      </c>
      <c r="L776" t="n">
        <v>27.98</v>
      </c>
      <c r="M776" s="1" t="inlineStr">
        <is>
          <t>2,251.26%</t>
        </is>
      </c>
      <c r="N776" s="7" t="n">
        <v>258.54</v>
      </c>
      <c r="O776" t="n">
        <v>4.7</v>
      </c>
      <c r="P776" t="n">
        <v>1768</v>
      </c>
      <c r="R776" t="inlineStr">
        <is>
          <t>InStock</t>
        </is>
      </c>
      <c r="S776" t="inlineStr">
        <is>
          <t>undefined</t>
        </is>
      </c>
      <c r="T776" t="inlineStr">
        <is>
          <t>8028223144152</t>
        </is>
      </c>
    </row>
    <row r="777" ht="87" customHeight="1">
      <c r="A777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77" s="2">
        <f>HYPERLINK("https://edmondsonsupply.com/products/cambridge-3-4-pvc-liquid-tight-conduit-fitting-straight", "https://edmondsonsupply.com/products/cambridge-3-4-pvc-liquid-tight-conduit-fitting-straight")</f>
        <v/>
      </c>
      <c r="C777" t="inlineStr">
        <is>
          <t>Cambridge 3/4" PVC Liquid Tight Conduit Fitting - Straight</t>
        </is>
      </c>
      <c r="D777" t="inlineStr">
        <is>
          <t>Yaomiao Liquid Tight Connector 180 Degree Electrical Conduit Fittings Non Metallic PVC Conduit Fitting for Home Bathroom Kitchen Pipe, Gray (30 Pcs, 3/4 Inch)</t>
        </is>
      </c>
      <c r="E777" s="2">
        <f>HYPERLINK("https://www.amazon.com/Yaomiao-Connector-Electrical-Fittings-Metallic/dp/B0C3LGVCB2/ref=sr_1_27?keywords=Cambridge+3%2F4%22+PVC+Liquid+Tight+Conduit+Fitting+-+Straight&amp;qid=1694734855&amp;sr=8-27", "https://www.amazon.com/Yaomiao-Connector-Electrical-Fittings-Metallic/dp/B0C3LGVCB2/ref=sr_1_27?keywords=Cambridge+3%2F4%22+PVC+Liquid+Tight+Conduit+Fitting+-+Straight&amp;qid=1694734855&amp;sr=8-27")</f>
        <v/>
      </c>
      <c r="F777" t="inlineStr">
        <is>
          <t>B0C3LGVCB2</t>
        </is>
      </c>
      <c r="G777">
        <f>_xlfn.IMAGE("https://edmondsonsupply.com/cdn/shop/files/W14656_01.jpg?v=1692277615")</f>
        <v/>
      </c>
      <c r="H777">
        <f>_xlfn.IMAGE("https://m.media-amazon.com/images/I/714BhaNaTLL._AC_UL320_.jpg")</f>
        <v/>
      </c>
      <c r="K777" t="inlineStr">
        <is>
          <t>1.5</t>
        </is>
      </c>
      <c r="L777" t="n">
        <v>34.99</v>
      </c>
      <c r="M777" s="1" t="inlineStr">
        <is>
          <t>2,232.67%</t>
        </is>
      </c>
      <c r="N777" s="7" t="n">
        <v>257.92</v>
      </c>
      <c r="O777" t="n">
        <v>5</v>
      </c>
      <c r="P777" t="n">
        <v>3</v>
      </c>
      <c r="R777" t="inlineStr">
        <is>
          <t>InStock</t>
        </is>
      </c>
      <c r="S777" t="inlineStr">
        <is>
          <t>undefined</t>
        </is>
      </c>
      <c r="T777" t="inlineStr">
        <is>
          <t>8028223897816</t>
        </is>
      </c>
    </row>
    <row r="778" ht="87" customHeight="1">
      <c r="A778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78" s="2">
        <f>HYPERLINK("https://edmondsonsupply.com/products/cambridge-1-2-pvc-liquid-tight-conduit-fitting-90-degree", "https://edmondsonsupply.com/products/cambridge-1-2-pvc-liquid-tight-conduit-fitting-90-degree")</f>
        <v/>
      </c>
      <c r="C778" t="inlineStr">
        <is>
          <t>Cambridge 1/2" PVC Liquid Tight Conduit Fitting - 90 Degree</t>
        </is>
      </c>
      <c r="D778" t="inlineStr">
        <is>
          <t>30Pcs 1/2" Liquid Tight Connector Electrical Conduit Connector Flexible Electrical Conduit Connector Fitting Electrical PVC Conduit Fittings,UL Listed(90 Degree and 180 Degree)</t>
        </is>
      </c>
      <c r="E778" s="2">
        <f>HYPERLINK("https://www.amazon.com/Connector-Flexible-Metallic-Electrical-Fittings/dp/B0BGR7DWR5/ref=sr_1_9?keywords=Cambridge+1%2F2%22+PVC+Liquid+Tight+Conduit+Fitting+-+90+Degree&amp;qid=1694734857&amp;sr=8-9", "https://www.amazon.com/Connector-Flexible-Metallic-Electrical-Fittings/dp/B0BGR7DWR5/ref=sr_1_9?keywords=Cambridge+1%2F2%22+PVC+Liquid+Tight+Conduit+Fitting+-+90+Degree&amp;qid=1694734857&amp;sr=8-9")</f>
        <v/>
      </c>
      <c r="F778" t="inlineStr">
        <is>
          <t>B0BGR7DWR5</t>
        </is>
      </c>
      <c r="G778">
        <f>_xlfn.IMAGE("https://edmondsonsupply.com/cdn/shop/files/W14659_01.jpg?v=1692278106")</f>
        <v/>
      </c>
      <c r="H778">
        <f>_xlfn.IMAGE("https://m.media-amazon.com/images/I/71zhn+CbHML._AC_UL320_.jpg")</f>
        <v/>
      </c>
      <c r="K778" t="inlineStr">
        <is>
          <t>1.48</t>
        </is>
      </c>
      <c r="L778" t="n">
        <v>33.99</v>
      </c>
      <c r="M778" s="1" t="inlineStr">
        <is>
          <t>2,196.62%</t>
        </is>
      </c>
      <c r="N778" s="7" t="n">
        <v>257.66</v>
      </c>
      <c r="O778" t="n">
        <v>4.6</v>
      </c>
      <c r="P778" t="n">
        <v>24</v>
      </c>
      <c r="R778" t="inlineStr">
        <is>
          <t>InStock</t>
        </is>
      </c>
      <c r="S778" t="inlineStr">
        <is>
          <t>undefined</t>
        </is>
      </c>
      <c r="T778" t="inlineStr">
        <is>
          <t>8028224422104</t>
        </is>
      </c>
    </row>
    <row r="779" ht="87" customHeight="1">
      <c r="A779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79" s="2">
        <f>HYPERLINK("https://edmondsonsupply.com/products/cambridge-3-4-pvc-liquid-tight-conduit-fitting-90-degree", "https://edmondsonsupply.com/products/cambridge-3-4-pvc-liquid-tight-conduit-fitting-90-degree")</f>
        <v/>
      </c>
      <c r="C779" t="inlineStr">
        <is>
          <t>Cambridge 3/4" PVC Liquid Tight Conduit Fitting - 90 Degree</t>
        </is>
      </c>
      <c r="D779" t="inlineStr">
        <is>
          <t>3/4 inch Liquid Tight Connector PVC Flexible Conduit Connector UL Listed Liquid Tight Connector Non-Metallic Electrical Conduit Fittings 30 Pack (15 Pcs 180D/15 Pcs 90D)</t>
        </is>
      </c>
      <c r="E779" s="2">
        <f>HYPERLINK("https://www.amazon.com/Connector-Flexible-Non-Metallic-Electrical-Fittings/dp/B0CB7KX3M8/ref=sr_1_22?keywords=Cambridge+3%2F4%22+PVC+Liquid+Tight+Conduit+Fitting+-+90+Degree&amp;qid=1694734856&amp;sr=8-22", "https://www.amazon.com/Connector-Flexible-Non-Metallic-Electrical-Fittings/dp/B0CB7KX3M8/ref=sr_1_22?keywords=Cambridge+3%2F4%22+PVC+Liquid+Tight+Conduit+Fitting+-+90+Degree&amp;qid=1694734856&amp;sr=8-22")</f>
        <v/>
      </c>
      <c r="F779" t="inlineStr">
        <is>
          <t>B0CB7KX3M8</t>
        </is>
      </c>
      <c r="G779">
        <f>_xlfn.IMAGE("https://edmondsonsupply.com/cdn/shop/files/W14657_01.jpg?v=1692278537")</f>
        <v/>
      </c>
      <c r="H779">
        <f>_xlfn.IMAGE("https://m.media-amazon.com/images/I/71gS205OeIL._AC_UL320_.jpg")</f>
        <v/>
      </c>
      <c r="K779" t="inlineStr">
        <is>
          <t>1.8</t>
        </is>
      </c>
      <c r="L779" t="n">
        <v>39.99</v>
      </c>
      <c r="M779" s="1" t="inlineStr">
        <is>
          <t>2,121.67%</t>
        </is>
      </c>
      <c r="N779" s="7" t="n">
        <v>255.73</v>
      </c>
      <c r="O779" t="n">
        <v>4.9</v>
      </c>
      <c r="P779" t="n">
        <v>26</v>
      </c>
      <c r="R779" t="inlineStr">
        <is>
          <t>InStock</t>
        </is>
      </c>
      <c r="S779" t="inlineStr">
        <is>
          <t>undefined</t>
        </is>
      </c>
      <c r="T779" t="inlineStr">
        <is>
          <t>8028225175768</t>
        </is>
      </c>
    </row>
    <row r="780" ht="87" customHeight="1">
      <c r="A780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80" s="2">
        <f>HYPERLINK("https://edmondsonsupply.com/products/cambridge-3-4-pvc-liquid-tight-conduit-fitting-straight", "https://edmondsonsupply.com/products/cambridge-3-4-pvc-liquid-tight-conduit-fitting-straight")</f>
        <v/>
      </c>
      <c r="C780" t="inlineStr">
        <is>
          <t>Cambridge 3/4" PVC Liquid Tight Conduit Fitting - Straight</t>
        </is>
      </c>
      <c r="D780" t="inlineStr">
        <is>
          <t>Sealproof 3/4-Inch Non-metallic Liquid-Tight Conduit and Connector Kit, 25 Foot Made in USA Flexible Electrical Conduit Type B with 4 Straight and 2 90-Degree Conduit Connector Fittings, 3/4" Dia</t>
        </is>
      </c>
      <c r="E780" s="2">
        <f>HYPERLINK("https://www.amazon.com/Sealproof-Non-metallic-Liquid-Tight-Connector-Electrical/dp/B0765CZPKS/ref=sr_1_12?keywords=Cambridge+3%2F4%22+PVC+Liquid+Tight+Conduit+Fitting+-+Straight&amp;qid=1694734855&amp;sr=8-12", "https://www.amazon.com/Sealproof-Non-metallic-Liquid-Tight-Connector-Electrical/dp/B0765CZPKS/ref=sr_1_12?keywords=Cambridge+3%2F4%22+PVC+Liquid+Tight+Conduit+Fitting+-+Straight&amp;qid=1694734855&amp;sr=8-12")</f>
        <v/>
      </c>
      <c r="F780" t="inlineStr">
        <is>
          <t>B0765CZPKS</t>
        </is>
      </c>
      <c r="G780">
        <f>_xlfn.IMAGE("https://edmondsonsupply.com/cdn/shop/files/W14656_01.jpg?v=1692277615")</f>
        <v/>
      </c>
      <c r="H780">
        <f>_xlfn.IMAGE("https://m.media-amazon.com/images/I/81EhzXNBBTL._AC_UL320_.jpg")</f>
        <v/>
      </c>
      <c r="K780" t="inlineStr">
        <is>
          <t>1.5</t>
        </is>
      </c>
      <c r="L780" t="n">
        <v>32.99</v>
      </c>
      <c r="M780" s="1" t="inlineStr">
        <is>
          <t>2,099.33%</t>
        </is>
      </c>
      <c r="N780" s="7" t="n">
        <v>252.06</v>
      </c>
      <c r="O780" t="n">
        <v>4.7</v>
      </c>
      <c r="P780" t="n">
        <v>1768</v>
      </c>
      <c r="R780" t="inlineStr">
        <is>
          <t>InStock</t>
        </is>
      </c>
      <c r="S780" t="inlineStr">
        <is>
          <t>undefined</t>
        </is>
      </c>
      <c r="T780" t="inlineStr">
        <is>
          <t>8028223897816</t>
        </is>
      </c>
    </row>
    <row r="781" ht="87" customHeight="1">
      <c r="A78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81" s="2">
        <f>HYPERLINK("https://edmondsonsupply.com/products/cambridge-1-2-pvc-liquid-tight-conduit-fitting-straight", "https://edmondsonsupply.com/products/cambridge-1-2-pvc-liquid-tight-conduit-fitting-straight")</f>
        <v/>
      </c>
      <c r="C781" t="inlineStr">
        <is>
          <t>Cambridge 1/2" PVC Liquid Tight Conduit Fitting - Straight</t>
        </is>
      </c>
      <c r="D781" t="inlineStr">
        <is>
          <t>Neorexon Liquid-Tight Conduit and Connector Kit 1/2inch 25ft, Flexible Non Metallic Liquid Tight Electrical Conduit UL Certification, Electrical Conduit Kit with 5 Straight, 5 Angle Fittings</t>
        </is>
      </c>
      <c r="E781" s="2">
        <f>HYPERLINK("https://www.amazon.com/Neorexon-Conduit-Connector-2inch-25ft/dp/B0BJKD7KNP/ref=sr_1_3?keywords=Cambridge+1%2F2%22+PVC+Liquid+Tight+Conduit+Fitting+-+Straight&amp;qid=1694734855&amp;sr=8-3", "https://www.amazon.com/Neorexon-Conduit-Connector-2inch-25ft/dp/B0BJKD7KNP/ref=sr_1_3?keywords=Cambridge+1%2F2%22+PVC+Liquid+Tight+Conduit+Fitting+-+Straight&amp;qid=1694734855&amp;sr=8-3")</f>
        <v/>
      </c>
      <c r="F781" t="inlineStr">
        <is>
          <t>B0BJKD7KNP</t>
        </is>
      </c>
      <c r="G781">
        <f>_xlfn.IMAGE("https://edmondsonsupply.com/cdn/shop/files/W14658_01.jpg?v=1692277178")</f>
        <v/>
      </c>
      <c r="H781">
        <f>_xlfn.IMAGE("https://m.media-amazon.com/images/I/712k85eDRqL._AC_UL320_.jpg")</f>
        <v/>
      </c>
      <c r="K781" t="inlineStr">
        <is>
          <t>1.19</t>
        </is>
      </c>
      <c r="L781" t="n">
        <v>24.99</v>
      </c>
      <c r="M781" s="1" t="inlineStr">
        <is>
          <t>2,000.00%</t>
        </is>
      </c>
      <c r="N781" s="7" t="n">
        <v>250.59</v>
      </c>
      <c r="O781" t="n">
        <v>4.7</v>
      </c>
      <c r="P781" t="n">
        <v>82</v>
      </c>
      <c r="R781" t="inlineStr">
        <is>
          <t>InStock</t>
        </is>
      </c>
      <c r="S781" t="inlineStr">
        <is>
          <t>undefined</t>
        </is>
      </c>
      <c r="T781" t="inlineStr">
        <is>
          <t>8028223144152</t>
        </is>
      </c>
    </row>
    <row r="782" ht="87" customHeight="1">
      <c r="A78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82" s="2">
        <f>HYPERLINK("https://edmondsonsupply.com/products/cambridge-1-2-pvc-liquid-tight-conduit-fitting-straight", "https://edmondsonsupply.com/products/cambridge-1-2-pvc-liquid-tight-conduit-fitting-straight")</f>
        <v/>
      </c>
      <c r="C782" t="inlineStr">
        <is>
          <t>Cambridge 1/2" PVC Liquid Tight Conduit Fitting - Straight</t>
        </is>
      </c>
      <c r="D782" t="inlineStr">
        <is>
          <t>DWALE Liquid-Tight Conduit and Connector Kit,Flexible Non Metallic Liquid Tight Electrical Conduit,1/2inch 25ft Electrical Conduit Kit,with 5 Straight and 3 Angle Fittings Included,1/2 in. Dia</t>
        </is>
      </c>
      <c r="E782" s="2">
        <f>HYPERLINK("https://www.amazon.com/DWALE-Liquid-Tight-Connector-Flexible-Electrical/dp/B0C6KHLFDP/ref=sr_1_27?keywords=Cambridge+1%2F2%22+PVC+Liquid+Tight+Conduit+Fitting+-+Straight&amp;qid=1694734855&amp;sr=8-27", "https://www.amazon.com/DWALE-Liquid-Tight-Connector-Flexible-Electrical/dp/B0C6KHLFDP/ref=sr_1_27?keywords=Cambridge+1%2F2%22+PVC+Liquid+Tight+Conduit+Fitting+-+Straight&amp;qid=1694734855&amp;sr=8-27")</f>
        <v/>
      </c>
      <c r="F782" t="inlineStr">
        <is>
          <t>B0C6KHLFDP</t>
        </is>
      </c>
      <c r="G782">
        <f>_xlfn.IMAGE("https://edmondsonsupply.com/cdn/shop/files/W14658_01.jpg?v=1692277178")</f>
        <v/>
      </c>
      <c r="H782">
        <f>_xlfn.IMAGE("https://m.media-amazon.com/images/I/71pEU9U1xoL._AC_UL320_.jpg")</f>
        <v/>
      </c>
      <c r="K782" t="inlineStr">
        <is>
          <t>1.19</t>
        </is>
      </c>
      <c r="L782" t="n">
        <v>24.99</v>
      </c>
      <c r="M782" s="1" t="inlineStr">
        <is>
          <t>2,000.00%</t>
        </is>
      </c>
      <c r="N782" s="7" t="n">
        <v>250.33</v>
      </c>
      <c r="O782" t="n">
        <v>4.6</v>
      </c>
      <c r="P782" t="n">
        <v>350</v>
      </c>
      <c r="R782" t="inlineStr">
        <is>
          <t>InStock</t>
        </is>
      </c>
      <c r="S782" t="inlineStr">
        <is>
          <t>undefined</t>
        </is>
      </c>
      <c r="T782" t="inlineStr">
        <is>
          <t>8028223144152</t>
        </is>
      </c>
    </row>
    <row r="783" ht="87" customHeight="1">
      <c r="A783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83" s="2">
        <f>HYPERLINK("https://edmondsonsupply.com/products/cambridge-1-2-pvc-liquid-tight-conduit-fitting-straight", "https://edmondsonsupply.com/products/cambridge-1-2-pvc-liquid-tight-conduit-fitting-straight")</f>
        <v/>
      </c>
      <c r="C783" t="inlineStr">
        <is>
          <t>Cambridge 1/2" PVC Liquid Tight Conduit Fitting - Straight</t>
        </is>
      </c>
      <c r="D783" t="inlineStr">
        <is>
          <t>VASALAID 1/2inch 25ft Electrical Conduit Kit, Flexible Non Metallic Liquid Tight Electrical Conduit, Flexible Conduit with 6 Straight and 3 Angle Fittings, Not Include 10-AWG 3 Colour Wire (1/2" Dia)</t>
        </is>
      </c>
      <c r="E783" s="2">
        <f>HYPERLINK("https://www.amazon.com/VASALAID-Electrical-Flexible-Metallic-Straight/dp/B0BXL8NWMC/ref=sr_1_29?keywords=Cambridge+1%2F2%22+PVC+Liquid+Tight+Conduit+Fitting+-+Straight&amp;qid=1694734855&amp;sr=8-29", "https://www.amazon.com/VASALAID-Electrical-Flexible-Metallic-Straight/dp/B0BXL8NWMC/ref=sr_1_29?keywords=Cambridge+1%2F2%22+PVC+Liquid+Tight+Conduit+Fitting+-+Straight&amp;qid=1694734855&amp;sr=8-29")</f>
        <v/>
      </c>
      <c r="F783" t="inlineStr">
        <is>
          <t>B0BXL8NWMC</t>
        </is>
      </c>
      <c r="G783">
        <f>_xlfn.IMAGE("https://edmondsonsupply.com/cdn/shop/files/W14658_01.jpg?v=1692277178")</f>
        <v/>
      </c>
      <c r="H783">
        <f>_xlfn.IMAGE("https://m.media-amazon.com/images/I/71gS5GCIZwL._AC_UL320_.jpg")</f>
        <v/>
      </c>
      <c r="K783" t="inlineStr">
        <is>
          <t>1.19</t>
        </is>
      </c>
      <c r="L783" t="n">
        <v>24.99</v>
      </c>
      <c r="M783" s="1" t="inlineStr">
        <is>
          <t>2,000.00%</t>
        </is>
      </c>
      <c r="N783" s="7" t="n">
        <v>250.33</v>
      </c>
      <c r="O783" t="n">
        <v>4.9</v>
      </c>
      <c r="P783" t="n">
        <v>17</v>
      </c>
      <c r="R783" t="inlineStr">
        <is>
          <t>InStock</t>
        </is>
      </c>
      <c r="S783" t="inlineStr">
        <is>
          <t>undefined</t>
        </is>
      </c>
      <c r="T783" t="inlineStr">
        <is>
          <t>8028223144152</t>
        </is>
      </c>
    </row>
    <row r="784" ht="87" customHeight="1">
      <c r="A784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84" s="2">
        <f>HYPERLINK("https://edmondsonsupply.com/products/cambridge-1-2-pvc-liquid-tight-conduit-fitting-straight", "https://edmondsonsupply.com/products/cambridge-1-2-pvc-liquid-tight-conduit-fitting-straight")</f>
        <v/>
      </c>
      <c r="C784" t="inlineStr">
        <is>
          <t>Cambridge 1/2" PVC Liquid Tight Conduit Fitting - Straight</t>
        </is>
      </c>
      <c r="D784" t="inlineStr">
        <is>
          <t>1/2inch 25ft Electrical Conduit Kit,with 5 Straight and 3 Angle Fittings Included,Flexible Non Metallic Liquid Tight Electrical Conduit(1/2" Dia, 25 Feet)</t>
        </is>
      </c>
      <c r="E784" s="2">
        <f>HYPERLINK("https://www.amazon.com/Electrical-Straight-Fittings-Included-Flexible/dp/B0B6VGJCNJ/ref=sr_1_38?keywords=Cambridge+1%2F2%22+PVC+Liquid+Tight+Conduit+Fitting+-+Straight&amp;qid=1694734855&amp;sr=8-38", "https://www.amazon.com/Electrical-Straight-Fittings-Included-Flexible/dp/B0B6VGJCNJ/ref=sr_1_38?keywords=Cambridge+1%2F2%22+PVC+Liquid+Tight+Conduit+Fitting+-+Straight&amp;qid=1694734855&amp;sr=8-38")</f>
        <v/>
      </c>
      <c r="F784" t="inlineStr">
        <is>
          <t>B0B6VGJCNJ</t>
        </is>
      </c>
      <c r="G784">
        <f>_xlfn.IMAGE("https://edmondsonsupply.com/cdn/shop/files/W14658_01.jpg?v=1692277178")</f>
        <v/>
      </c>
      <c r="H784">
        <f>_xlfn.IMAGE("https://m.media-amazon.com/images/I/71ui0Bap4tL._AC_UL320_.jpg")</f>
        <v/>
      </c>
      <c r="K784" t="inlineStr">
        <is>
          <t>1.19</t>
        </is>
      </c>
      <c r="L784" t="n">
        <v>24.99</v>
      </c>
      <c r="M784" s="1" t="inlineStr">
        <is>
          <t>2,000.00%</t>
        </is>
      </c>
      <c r="N784" s="7" t="n">
        <v>250.08</v>
      </c>
      <c r="O784" t="n">
        <v>4.7</v>
      </c>
      <c r="P784" t="n">
        <v>146</v>
      </c>
      <c r="R784" t="inlineStr">
        <is>
          <t>InStock</t>
        </is>
      </c>
      <c r="S784" t="inlineStr">
        <is>
          <t>undefined</t>
        </is>
      </c>
      <c r="T784" t="inlineStr">
        <is>
          <t>8028223144152</t>
        </is>
      </c>
    </row>
    <row r="785" ht="87" customHeight="1">
      <c r="A785" s="2">
        <f>HYPERLINK("https://edmondsonsupply.com/collections/hvac/products/cambridge-1-4-o-d-acr-copper-90-long-turn-elbow", "https://edmondsonsupply.com/collections/hvac/products/cambridge-1-4-o-d-acr-copper-90-long-turn-elbow")</f>
        <v/>
      </c>
      <c r="B785" s="2">
        <f>HYPERLINK("https://edmondsonsupply.com/products/cambridge-1-4-o-d-acr-copper-90-long-turn-elbow", "https://edmondsonsupply.com/products/cambridge-1-4-o-d-acr-copper-90-long-turn-elbow")</f>
        <v/>
      </c>
      <c r="C785" t="inlineStr">
        <is>
          <t>Cambridge 1/4" O.D. ACR Copper 90° Long Turn Elbow</t>
        </is>
      </c>
      <c r="D785" t="inlineStr">
        <is>
          <t>10 PCS 1/2" CxC Wrot Copper 90° Long Turn Elbow For 5/8"O.D. Pipe, BY PAKA TOOLS USA</t>
        </is>
      </c>
      <c r="E785" s="2">
        <f>HYPERLINK("https://www.amazon.com/Wrot-Copper-Elbow-PAKA-TOOLS/dp/B09DXNF2ZH/ref=sr_1_2?keywords=Cambridge+1%2F4%22+O.D.+ACR+Copper+90%C2%B0+Long+Turn+Elbow&amp;qid=1694734853&amp;sr=8-2", "https://www.amazon.com/Wrot-Copper-Elbow-PAKA-TOOLS/dp/B09DXNF2ZH/ref=sr_1_2?keywords=Cambridge+1%2F4%22+O.D.+ACR+Copper+90%C2%B0+Long+Turn+Elbow&amp;qid=1694734853&amp;sr=8-2")</f>
        <v/>
      </c>
      <c r="F785" t="inlineStr">
        <is>
          <t>B09DXNF2ZH</t>
        </is>
      </c>
      <c r="G785">
        <f>_xlfn.IMAGE("https://edmondsonsupply.com/cdn/shop/files/ACR90LongTurnElbows_01.jpg?v=1692626799")</f>
        <v/>
      </c>
      <c r="H785">
        <f>_xlfn.IMAGE("https://m.media-amazon.com/images/I/317gXsjrfSL._AC_UL320_.jpg")</f>
        <v/>
      </c>
      <c r="K785" t="inlineStr">
        <is>
          <t>0.89</t>
        </is>
      </c>
      <c r="L785" t="n">
        <v>17.99</v>
      </c>
      <c r="M785" s="1" t="inlineStr">
        <is>
          <t>1,921.35%</t>
        </is>
      </c>
      <c r="N785" s="7" t="n">
        <v>249.19</v>
      </c>
      <c r="O785" t="n">
        <v>5</v>
      </c>
      <c r="P785" t="n">
        <v>1</v>
      </c>
      <c r="R785" t="inlineStr">
        <is>
          <t>InStock</t>
        </is>
      </c>
      <c r="S785" t="inlineStr">
        <is>
          <t>undefined</t>
        </is>
      </c>
      <c r="T785" t="inlineStr">
        <is>
          <t>8029392470232</t>
        </is>
      </c>
    </row>
    <row r="786" ht="87" customHeight="1">
      <c r="A786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786" s="2">
        <f>HYPERLINK("https://edmondsonsupply.com/products/cambridge-1-2-pvc-liquid-tight-conduit-fitting-straight", "https://edmondsonsupply.com/products/cambridge-1-2-pvc-liquid-tight-conduit-fitting-straight")</f>
        <v/>
      </c>
      <c r="C786" t="inlineStr">
        <is>
          <t>Cambridge 1/2" PVC Liquid Tight Conduit Fitting - Straight</t>
        </is>
      </c>
      <c r="D786" t="inlineStr">
        <is>
          <t>Liquid-Tight Conduit - 1/2inch 25 Foot Flexible Non Metallic Liquid Tight Electrical Conduit Kit, with 4 Straight and 3 Angle Fittings Included. 1/2" Dia</t>
        </is>
      </c>
      <c r="E786" s="2">
        <f>HYPERLINK("https://www.amazon.com/Liquid-Tight-Conduit-Flexible-Electrical-Included/dp/B0B7QND9YQ/ref=sr_1_17?keywords=Cambridge+1%2F2%22+PVC+Liquid+Tight+Conduit+Fitting+-+Straight&amp;qid=1694734855&amp;sr=8-17", "https://www.amazon.com/Liquid-Tight-Conduit-Flexible-Electrical-Included/dp/B0B7QND9YQ/ref=sr_1_17?keywords=Cambridge+1%2F2%22+PVC+Liquid+Tight+Conduit+Fitting+-+Straight&amp;qid=1694734855&amp;sr=8-17")</f>
        <v/>
      </c>
      <c r="F786" t="inlineStr">
        <is>
          <t>B0B7QND9YQ</t>
        </is>
      </c>
      <c r="G786">
        <f>_xlfn.IMAGE("https://edmondsonsupply.com/cdn/shop/files/W14658_01.jpg?v=1692277178")</f>
        <v/>
      </c>
      <c r="H786">
        <f>_xlfn.IMAGE("https://m.media-amazon.com/images/I/81l1QChzOcL._AC_UL320_.jpg")</f>
        <v/>
      </c>
      <c r="K786" t="inlineStr">
        <is>
          <t>1.19</t>
        </is>
      </c>
      <c r="L786" t="n">
        <v>23.99</v>
      </c>
      <c r="M786" s="1" t="inlineStr">
        <is>
          <t>1,915.97%</t>
        </is>
      </c>
      <c r="N786" s="7" t="n">
        <v>248.76</v>
      </c>
      <c r="O786" t="n">
        <v>4.6</v>
      </c>
      <c r="P786" t="n">
        <v>146</v>
      </c>
      <c r="R786" t="inlineStr">
        <is>
          <t>InStock</t>
        </is>
      </c>
      <c r="S786" t="inlineStr">
        <is>
          <t>undefined</t>
        </is>
      </c>
      <c r="T786" t="inlineStr">
        <is>
          <t>8028223144152</t>
        </is>
      </c>
    </row>
    <row r="787" ht="87" customHeight="1">
      <c r="A787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87" s="2">
        <f>HYPERLINK("https://edmondsonsupply.com/products/cambridge-3-4-pvc-liquid-tight-conduit-fitting-90-degree", "https://edmondsonsupply.com/products/cambridge-3-4-pvc-liquid-tight-conduit-fitting-90-degree")</f>
        <v/>
      </c>
      <c r="C787" t="inlineStr">
        <is>
          <t>Cambridge 3/4" PVC Liquid Tight Conduit Fitting - 90 Degree</t>
        </is>
      </c>
      <c r="D787" t="inlineStr">
        <is>
          <t>Liquid Tight Connector 3/4 Inch 90 Degree Non Metallic Flex Electrical Conduit Fittings, Electrical Conduit Connector Fitting for PVC Pipe Cable Home Kitchen (25 Pcs)</t>
        </is>
      </c>
      <c r="E787" s="2">
        <f>HYPERLINK("https://www.amazon.com/Connector-Metallic-Electrical-Conduit-Fittings/dp/B0B5TYFB73/ref=sr_1_2?keywords=Cambridge+3%2F4%22+PVC+Liquid+Tight+Conduit+Fitting+-+90+Degree&amp;qid=1694734856&amp;sr=8-2", "https://www.amazon.com/Connector-Metallic-Electrical-Conduit-Fittings/dp/B0B5TYFB73/ref=sr_1_2?keywords=Cambridge+3%2F4%22+PVC+Liquid+Tight+Conduit+Fitting+-+90+Degree&amp;qid=1694734856&amp;sr=8-2")</f>
        <v/>
      </c>
      <c r="F787" t="inlineStr">
        <is>
          <t>B0B5TYFB73</t>
        </is>
      </c>
      <c r="G787">
        <f>_xlfn.IMAGE("https://edmondsonsupply.com/cdn/shop/files/W14657_01.jpg?v=1692278537")</f>
        <v/>
      </c>
      <c r="H787">
        <f>_xlfn.IMAGE("https://m.media-amazon.com/images/I/81Q8m-JjN0L._AC_UL320_.jpg")</f>
        <v/>
      </c>
      <c r="K787" t="inlineStr">
        <is>
          <t>1.8</t>
        </is>
      </c>
      <c r="L787" t="n">
        <v>35.99</v>
      </c>
      <c r="M787" s="1" t="inlineStr">
        <is>
          <t>1,899.44%</t>
        </is>
      </c>
      <c r="N787" s="7" t="n">
        <v>248.48</v>
      </c>
      <c r="O787" t="n">
        <v>5</v>
      </c>
      <c r="P787" t="n">
        <v>14</v>
      </c>
      <c r="R787" t="inlineStr">
        <is>
          <t>InStock</t>
        </is>
      </c>
      <c r="S787" t="inlineStr">
        <is>
          <t>undefined</t>
        </is>
      </c>
      <c r="T787" t="inlineStr">
        <is>
          <t>8028225175768</t>
        </is>
      </c>
    </row>
    <row r="788" ht="87" customHeight="1">
      <c r="A788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88" s="2">
        <f>HYPERLINK("https://edmondsonsupply.com/products/cambridge-3-4-pvc-liquid-tight-conduit-fitting-straight", "https://edmondsonsupply.com/products/cambridge-3-4-pvc-liquid-tight-conduit-fitting-straight")</f>
        <v/>
      </c>
      <c r="C788" t="inlineStr">
        <is>
          <t>Cambridge 3/4" PVC Liquid Tight Conduit Fitting - Straight</t>
        </is>
      </c>
      <c r="D788" t="inlineStr">
        <is>
          <t>VASALAID 3/4inch 25ft Electrical Conduit Kit, Flexible Non Metallic Liquid Tight Electrical Conduit, Flexible Conduit with 6 Straight and 3 Angle Fittings, Not Include 10-AWG 3 Colour Wire (3/4" Dia)</t>
        </is>
      </c>
      <c r="E788" s="2">
        <f>HYPERLINK("https://www.amazon.com/VASALAID-Electrical-Flexible-Metallic-Straight/dp/B0BXLDBXPD/ref=sr_1_14?keywords=Cambridge+3%2F4%22+PVC+Liquid+Tight+Conduit+Fitting+-+Straight&amp;qid=1694734855&amp;sr=8-14", "https://www.amazon.com/VASALAID-Electrical-Flexible-Metallic-Straight/dp/B0BXLDBXPD/ref=sr_1_14?keywords=Cambridge+3%2F4%22+PVC+Liquid+Tight+Conduit+Fitting+-+Straight&amp;qid=1694734855&amp;sr=8-14")</f>
        <v/>
      </c>
      <c r="F788" t="inlineStr">
        <is>
          <t>B0BXLDBXPD</t>
        </is>
      </c>
      <c r="G788">
        <f>_xlfn.IMAGE("https://edmondsonsupply.com/cdn/shop/files/W14656_01.jpg?v=1692277615")</f>
        <v/>
      </c>
      <c r="H788">
        <f>_xlfn.IMAGE("https://m.media-amazon.com/images/I/71gS5GCIZwL._AC_UL320_.jpg")</f>
        <v/>
      </c>
      <c r="K788" t="inlineStr">
        <is>
          <t>1.5</t>
        </is>
      </c>
      <c r="L788" t="n">
        <v>29.99</v>
      </c>
      <c r="M788" s="1" t="inlineStr">
        <is>
          <t>1,899.33%</t>
        </is>
      </c>
      <c r="N788" s="7" t="n">
        <v>247.79</v>
      </c>
      <c r="O788" t="n">
        <v>4.9</v>
      </c>
      <c r="P788" t="n">
        <v>17</v>
      </c>
      <c r="R788" t="inlineStr">
        <is>
          <t>InStock</t>
        </is>
      </c>
      <c r="S788" t="inlineStr">
        <is>
          <t>undefined</t>
        </is>
      </c>
      <c r="T788" t="inlineStr">
        <is>
          <t>8028223897816</t>
        </is>
      </c>
    </row>
    <row r="789" ht="87" customHeight="1">
      <c r="A789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89" s="2">
        <f>HYPERLINK("https://edmondsonsupply.com/products/cambridge-3-4-pvc-liquid-tight-conduit-fitting-straight", "https://edmondsonsupply.com/products/cambridge-3-4-pvc-liquid-tight-conduit-fitting-straight")</f>
        <v/>
      </c>
      <c r="C789" t="inlineStr">
        <is>
          <t>Cambridge 3/4" PVC Liquid Tight Conduit Fitting - Straight</t>
        </is>
      </c>
      <c r="D789" t="inlineStr">
        <is>
          <t>Maxxima 3/4 in. x 6 ft. Liquid Tight Non Metallic PVC Connector Conduit Cable Whip, 7.6 ft. of 8 AWG Conductor Wires &amp; 10 AWG Grounding Wire, One 3/4” Straight &amp; One 3/4” 90° Connector</t>
        </is>
      </c>
      <c r="E789" s="2">
        <f>HYPERLINK("https://www.amazon.com/Maxxima-Metallic-Connector-Conductor-Grounding/dp/B0BNLXQ5B7/ref=sr_1_21?keywords=Cambridge+3%2F4%22+PVC+Liquid+Tight+Conduit+Fitting+-+Straight&amp;qid=1694734855&amp;sr=8-21", "https://www.amazon.com/Maxxima-Metallic-Connector-Conductor-Grounding/dp/B0BNLXQ5B7/ref=sr_1_21?keywords=Cambridge+3%2F4%22+PVC+Liquid+Tight+Conduit+Fitting+-+Straight&amp;qid=1694734855&amp;sr=8-21")</f>
        <v/>
      </c>
      <c r="F789" t="inlineStr">
        <is>
          <t>B0BNLXQ5B7</t>
        </is>
      </c>
      <c r="G789">
        <f>_xlfn.IMAGE("https://edmondsonsupply.com/cdn/shop/files/W14656_01.jpg?v=1692277615")</f>
        <v/>
      </c>
      <c r="H789">
        <f>_xlfn.IMAGE("https://m.media-amazon.com/images/I/715C5ysshhL._AC_UL320_.jpg")</f>
        <v/>
      </c>
      <c r="K789" t="inlineStr">
        <is>
          <t>1.5</t>
        </is>
      </c>
      <c r="L789" t="n">
        <v>29.99</v>
      </c>
      <c r="M789" s="1" t="inlineStr">
        <is>
          <t>1,899.33%</t>
        </is>
      </c>
      <c r="N789" s="7" t="n">
        <v>246.24</v>
      </c>
      <c r="O789" t="n">
        <v>4.1</v>
      </c>
      <c r="P789" t="n">
        <v>14</v>
      </c>
      <c r="R789" t="inlineStr">
        <is>
          <t>InStock</t>
        </is>
      </c>
      <c r="S789" t="inlineStr">
        <is>
          <t>undefined</t>
        </is>
      </c>
      <c r="T789" t="inlineStr">
        <is>
          <t>8028223897816</t>
        </is>
      </c>
    </row>
    <row r="790" ht="87" customHeight="1">
      <c r="A790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90" s="2">
        <f>HYPERLINK("https://edmondsonsupply.com/products/cambridge-3-4-pvc-liquid-tight-conduit-fitting-straight", "https://edmondsonsupply.com/products/cambridge-3-4-pvc-liquid-tight-conduit-fitting-straight")</f>
        <v/>
      </c>
      <c r="C790" t="inlineStr">
        <is>
          <t>Cambridge 3/4" PVC Liquid Tight Conduit Fitting - Straight</t>
        </is>
      </c>
      <c r="D790" t="inlineStr">
        <is>
          <t>Pro Line Series 10 Pack - 3/4" Non-Metallic Electrical Liquid Tight Conduit Straight Fittings - 5105034100-10</t>
        </is>
      </c>
      <c r="E790" s="2">
        <f>HYPERLINK("https://www.amazon.com/Pro-Line-Pack-Non-Metallic-5105034100-10/dp/B01BA16AYC/ref=sr_1_46?keywords=Cambridge+3%2F4%22+PVC+Liquid+Tight+Conduit+Fitting+-+Straight&amp;qid=1694734855&amp;sr=8-46", "https://www.amazon.com/Pro-Line-Pack-Non-Metallic-5105034100-10/dp/B01BA16AYC/ref=sr_1_46?keywords=Cambridge+3%2F4%22+PVC+Liquid+Tight+Conduit+Fitting+-+Straight&amp;qid=1694734855&amp;sr=8-46")</f>
        <v/>
      </c>
      <c r="F790" t="inlineStr">
        <is>
          <t>B01BA16AYC</t>
        </is>
      </c>
      <c r="G790">
        <f>_xlfn.IMAGE("https://edmondsonsupply.com/cdn/shop/files/W14656_01.jpg?v=1692277615")</f>
        <v/>
      </c>
      <c r="H790">
        <f>_xlfn.IMAGE("https://m.media-amazon.com/images/I/619Xn5nWwbL._AC_UL320_.jpg")</f>
        <v/>
      </c>
      <c r="K790" t="inlineStr">
        <is>
          <t>1.5</t>
        </is>
      </c>
      <c r="L790" t="n">
        <v>29.99</v>
      </c>
      <c r="M790" s="1" t="inlineStr">
        <is>
          <t>1,899.33%</t>
        </is>
      </c>
      <c r="N790" s="7" t="n">
        <v>243.85</v>
      </c>
      <c r="O790" t="n">
        <v>4.5</v>
      </c>
      <c r="P790" t="n">
        <v>38</v>
      </c>
      <c r="R790" t="inlineStr">
        <is>
          <t>InStock</t>
        </is>
      </c>
      <c r="S790" t="inlineStr">
        <is>
          <t>undefined</t>
        </is>
      </c>
      <c r="T790" t="inlineStr">
        <is>
          <t>8028223897816</t>
        </is>
      </c>
    </row>
    <row r="791" ht="87" customHeight="1">
      <c r="A791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91" s="2">
        <f>HYPERLINK("https://edmondsonsupply.com/products/cambridge-3-4-pvc-liquid-tight-conduit-fitting-straight", "https://edmondsonsupply.com/products/cambridge-3-4-pvc-liquid-tight-conduit-fitting-straight")</f>
        <v/>
      </c>
      <c r="C791" t="inlineStr">
        <is>
          <t>Cambridge 3/4" PVC Liquid Tight Conduit Fitting - Straight</t>
        </is>
      </c>
      <c r="D791" t="inlineStr">
        <is>
          <t>3/4 Inch Flexible Conduit Liquid Tight Connector Nonmetallic Liquid Tight Straight Conduit PVC Flexible Electrical Conduit Fittings 15PACK</t>
        </is>
      </c>
      <c r="E791" s="2">
        <f>HYPERLINK("https://www.amazon.com/Flexible-Conduit-Connector-Nonmetallic-Electrical/dp/B0C8DT5F2P/ref=sr_1_15?keywords=Cambridge+3%2F4%22+PVC+Liquid+Tight+Conduit+Fitting+-+Straight&amp;qid=1694734855&amp;sr=8-15", "https://www.amazon.com/Flexible-Conduit-Connector-Nonmetallic-Electrical/dp/B0C8DT5F2P/ref=sr_1_15?keywords=Cambridge+3%2F4%22+PVC+Liquid+Tight+Conduit+Fitting+-+Straight&amp;qid=1694734855&amp;sr=8-15")</f>
        <v/>
      </c>
      <c r="F791" t="inlineStr">
        <is>
          <t>B0C8DT5F2P</t>
        </is>
      </c>
      <c r="G791">
        <f>_xlfn.IMAGE("https://edmondsonsupply.com/cdn/shop/files/W14656_01.jpg?v=1692277615")</f>
        <v/>
      </c>
      <c r="H791">
        <f>_xlfn.IMAGE("https://m.media-amazon.com/images/I/61nsK73f8uL._AC_UL320_.jpg")</f>
        <v/>
      </c>
      <c r="K791" t="inlineStr">
        <is>
          <t>1.5</t>
        </is>
      </c>
      <c r="L791" t="n">
        <v>29.99</v>
      </c>
      <c r="M791" s="1" t="inlineStr">
        <is>
          <t>1,899.33%</t>
        </is>
      </c>
      <c r="N791" s="7" t="n">
        <v>243.41</v>
      </c>
      <c r="O791" t="n">
        <v>4.8</v>
      </c>
      <c r="P791" t="n">
        <v>24</v>
      </c>
      <c r="R791" t="inlineStr">
        <is>
          <t>InStock</t>
        </is>
      </c>
      <c r="S791" t="inlineStr">
        <is>
          <t>undefined</t>
        </is>
      </c>
      <c r="T791" t="inlineStr">
        <is>
          <t>8028223897816</t>
        </is>
      </c>
    </row>
    <row r="792" ht="87" customHeight="1">
      <c r="A792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92" s="2">
        <f>HYPERLINK("https://edmondsonsupply.com/products/cambridge-3-4-pvc-liquid-tight-conduit-fitting-90-degree", "https://edmondsonsupply.com/products/cambridge-3-4-pvc-liquid-tight-conduit-fitting-90-degree")</f>
        <v/>
      </c>
      <c r="C792" t="inlineStr">
        <is>
          <t>Cambridge 3/4" PVC Liquid Tight Conduit Fitting - 90 Degree</t>
        </is>
      </c>
      <c r="D792" t="inlineStr">
        <is>
          <t>Yaomiao Liquid Tight Connector 180 Degree Electrical Conduit Fittings Non Metallic PVC Conduit Fitting for Home Bathroom Kitchen Pipe, Gray (30 Pcs, 3/4 Inch)</t>
        </is>
      </c>
      <c r="E792" s="2">
        <f>HYPERLINK("https://www.amazon.com/Yaomiao-Connector-Electrical-Fittings-Metallic/dp/B0C3LGVCB2/ref=sr_1_13?keywords=Cambridge+3%2F4%22+PVC+Liquid+Tight+Conduit+Fitting+-+90+Degree&amp;qid=1694734856&amp;sr=8-13", "https://www.amazon.com/Yaomiao-Connector-Electrical-Fittings-Metallic/dp/B0C3LGVCB2/ref=sr_1_13?keywords=Cambridge+3%2F4%22+PVC+Liquid+Tight+Conduit+Fitting+-+90+Degree&amp;qid=1694734856&amp;sr=8-13")</f>
        <v/>
      </c>
      <c r="F792" t="inlineStr">
        <is>
          <t>B0C3LGVCB2</t>
        </is>
      </c>
      <c r="G792">
        <f>_xlfn.IMAGE("https://edmondsonsupply.com/cdn/shop/files/W14657_01.jpg?v=1692278537")</f>
        <v/>
      </c>
      <c r="H792">
        <f>_xlfn.IMAGE("https://m.media-amazon.com/images/I/714BhaNaTLL._AC_UL320_.jpg")</f>
        <v/>
      </c>
      <c r="K792" t="inlineStr">
        <is>
          <t>1.8</t>
        </is>
      </c>
      <c r="L792" t="n">
        <v>34.99</v>
      </c>
      <c r="M792" s="1" t="inlineStr">
        <is>
          <t>1,843.89%</t>
        </is>
      </c>
      <c r="N792" s="7" t="n">
        <v>240.52</v>
      </c>
      <c r="O792" t="n">
        <v>5</v>
      </c>
      <c r="P792" t="n">
        <v>3</v>
      </c>
      <c r="R792" t="inlineStr">
        <is>
          <t>InStock</t>
        </is>
      </c>
      <c r="S792" t="inlineStr">
        <is>
          <t>undefined</t>
        </is>
      </c>
      <c r="T792" t="inlineStr">
        <is>
          <t>8028225175768</t>
        </is>
      </c>
    </row>
    <row r="793" ht="87" customHeight="1">
      <c r="A793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93" s="2">
        <f>HYPERLINK("https://edmondsonsupply.com/products/cambridge-3-4-pvc-liquid-tight-conduit-fitting-straight", "https://edmondsonsupply.com/products/cambridge-3-4-pvc-liquid-tight-conduit-fitting-straight")</f>
        <v/>
      </c>
      <c r="C793" t="inlineStr">
        <is>
          <t>Cambridge 3/4" PVC Liquid Tight Conduit Fitting - Straight</t>
        </is>
      </c>
      <c r="D793" t="inlineStr">
        <is>
          <t>3/4inch 25ft Electrical Conduit Kit,with 5 Straight and 3 Angle Fittings Included,Flexible Non Metallic Liquid Tight Electrical Conduit(3/4" Dia, 25 Feet)</t>
        </is>
      </c>
      <c r="E793" s="2">
        <f>HYPERLINK("https://www.amazon.com/Electrical-Straight-Fittings-Included-Flexible/dp/B0B6VH9HWV/ref=sr_1_22?keywords=Cambridge+3%2F4%22+PVC+Liquid+Tight+Conduit+Fitting+-+Straight&amp;qid=1694734855&amp;sr=8-22", "https://www.amazon.com/Electrical-Straight-Fittings-Included-Flexible/dp/B0B6VH9HWV/ref=sr_1_22?keywords=Cambridge+3%2F4%22+PVC+Liquid+Tight+Conduit+Fitting+-+Straight&amp;qid=1694734855&amp;sr=8-22")</f>
        <v/>
      </c>
      <c r="F793" t="inlineStr">
        <is>
          <t>B0B6VH9HWV</t>
        </is>
      </c>
      <c r="G793">
        <f>_xlfn.IMAGE("https://edmondsonsupply.com/cdn/shop/files/W14656_01.jpg?v=1692277615")</f>
        <v/>
      </c>
      <c r="H793">
        <f>_xlfn.IMAGE("https://m.media-amazon.com/images/I/71ui0Bap4tL._AC_UL320_.jpg")</f>
        <v/>
      </c>
      <c r="K793" t="inlineStr">
        <is>
          <t>1.5</t>
        </is>
      </c>
      <c r="L793" t="n">
        <v>28.99</v>
      </c>
      <c r="M793" s="1" t="inlineStr">
        <is>
          <t>1,832.67%</t>
        </is>
      </c>
      <c r="N793" s="7" t="n">
        <v>239.45</v>
      </c>
      <c r="O793" t="n">
        <v>4.7</v>
      </c>
      <c r="P793" t="n">
        <v>146</v>
      </c>
      <c r="R793" t="inlineStr">
        <is>
          <t>InStock</t>
        </is>
      </c>
      <c r="S793" t="inlineStr">
        <is>
          <t>undefined</t>
        </is>
      </c>
      <c r="T793" t="inlineStr">
        <is>
          <t>8028223897816</t>
        </is>
      </c>
    </row>
    <row r="794" ht="87" customHeight="1">
      <c r="A794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94" s="2">
        <f>HYPERLINK("https://edmondsonsupply.com/products/cambridge-3-4-pvc-liquid-tight-conduit-fitting-straight", "https://edmondsonsupply.com/products/cambridge-3-4-pvc-liquid-tight-conduit-fitting-straight")</f>
        <v/>
      </c>
      <c r="C794" t="inlineStr">
        <is>
          <t>Cambridge 3/4" PVC Liquid Tight Conduit Fitting - Straight</t>
        </is>
      </c>
      <c r="D794" t="inlineStr">
        <is>
          <t>Sealproof 3/4-Inch Non-metallic Liquid Tight Straight Electrical Conduit Connector Fitting, UL Listed, 3/4" Dia, 10-Pack</t>
        </is>
      </c>
      <c r="E794" s="2">
        <f>HYPERLINK("https://www.amazon.com/Sealproof-Non-metallic-Straight-Electrical-Connector/dp/B0765DH91R/ref=sr_1_24?keywords=Cambridge+3%2F4%22+PVC+Liquid+Tight+Conduit+Fitting+-+Straight&amp;qid=1694734855&amp;sr=8-24", "https://www.amazon.com/Sealproof-Non-metallic-Straight-Electrical-Connector/dp/B0765DH91R/ref=sr_1_24?keywords=Cambridge+3%2F4%22+PVC+Liquid+Tight+Conduit+Fitting+-+Straight&amp;qid=1694734855&amp;sr=8-24")</f>
        <v/>
      </c>
      <c r="F794" t="inlineStr">
        <is>
          <t>B0765DH91R</t>
        </is>
      </c>
      <c r="G794">
        <f>_xlfn.IMAGE("https://edmondsonsupply.com/cdn/shop/files/W14656_01.jpg?v=1692277615")</f>
        <v/>
      </c>
      <c r="H794">
        <f>_xlfn.IMAGE("https://m.media-amazon.com/images/I/71cMW1y2pIL._AC_UL320_.jpg")</f>
        <v/>
      </c>
      <c r="K794" t="inlineStr">
        <is>
          <t>1.5</t>
        </is>
      </c>
      <c r="L794" t="n">
        <v>28.99</v>
      </c>
      <c r="M794" s="1" t="inlineStr">
        <is>
          <t>1,832.67%</t>
        </is>
      </c>
      <c r="N794" s="7" t="n">
        <v>237.8</v>
      </c>
      <c r="O794" t="n">
        <v>4.6</v>
      </c>
      <c r="P794" t="n">
        <v>115</v>
      </c>
      <c r="R794" t="inlineStr">
        <is>
          <t>InStock</t>
        </is>
      </c>
      <c r="S794" t="inlineStr">
        <is>
          <t>undefined</t>
        </is>
      </c>
      <c r="T794" t="inlineStr">
        <is>
          <t>8028223897816</t>
        </is>
      </c>
    </row>
    <row r="795" ht="87" customHeight="1">
      <c r="A795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795" s="2">
        <f>HYPERLINK("https://edmondsonsupply.com/products/cambridge-1-2-pvc-liquid-tight-conduit-fitting-90-degree", "https://edmondsonsupply.com/products/cambridge-1-2-pvc-liquid-tight-conduit-fitting-90-degree")</f>
        <v/>
      </c>
      <c r="C795" t="inlineStr">
        <is>
          <t>Cambridge 1/2" PVC Liquid Tight Conduit Fitting - 90 Degree</t>
        </is>
      </c>
      <c r="D795" t="inlineStr">
        <is>
          <t>Sealproof 1/2-Inch Non-Metallic Liquid-Tight Conduit and Connector Kit, 25 Foot Made in USA Flexible Electrical Conduit Type B with 4 Straight and 2 90-Degree Conduit Connector Fittings, 1/2" Dia</t>
        </is>
      </c>
      <c r="E795" s="2">
        <f>HYPERLINK("https://www.amazon.com/Sealproof-Non-metallic-Liquid-Tight-Connector-Electrical/dp/B0756JWQY3/ref=sr_1_39?keywords=Cambridge+1%2F2%22+PVC+Liquid+Tight+Conduit+Fitting+-+90+Degree&amp;qid=1694734857&amp;sr=8-39", "https://www.amazon.com/Sealproof-Non-metallic-Liquid-Tight-Connector-Electrical/dp/B0756JWQY3/ref=sr_1_39?keywords=Cambridge+1%2F2%22+PVC+Liquid+Tight+Conduit+Fitting+-+90+Degree&amp;qid=1694734857&amp;sr=8-39")</f>
        <v/>
      </c>
      <c r="F795" t="inlineStr">
        <is>
          <t>B0756JWQY3</t>
        </is>
      </c>
      <c r="G795">
        <f>_xlfn.IMAGE("https://edmondsonsupply.com/cdn/shop/files/W14659_01.jpg?v=1692278106")</f>
        <v/>
      </c>
      <c r="H795">
        <f>_xlfn.IMAGE("https://m.media-amazon.com/images/I/81EhzXNBBTL._AC_UL320_.jpg")</f>
        <v/>
      </c>
      <c r="K795" t="inlineStr">
        <is>
          <t>1.48</t>
        </is>
      </c>
      <c r="L795" t="n">
        <v>27.98</v>
      </c>
      <c r="M795" s="1" t="inlineStr">
        <is>
          <t>1,790.54%</t>
        </is>
      </c>
      <c r="N795" s="7" t="n">
        <v>237.8</v>
      </c>
      <c r="O795" t="n">
        <v>4.7</v>
      </c>
      <c r="P795" t="n">
        <v>1768</v>
      </c>
      <c r="R795" t="inlineStr">
        <is>
          <t>InStock</t>
        </is>
      </c>
      <c r="S795" t="inlineStr">
        <is>
          <t>undefined</t>
        </is>
      </c>
      <c r="T795" t="inlineStr">
        <is>
          <t>8028224422104</t>
        </is>
      </c>
    </row>
    <row r="796" ht="87" customHeight="1">
      <c r="A796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96" s="2">
        <f>HYPERLINK("https://edmondsonsupply.com/products/cambridge-3-4-pvc-liquid-tight-conduit-fitting-straight", "https://edmondsonsupply.com/products/cambridge-3-4-pvc-liquid-tight-conduit-fitting-straight")</f>
        <v/>
      </c>
      <c r="C796" t="inlineStr">
        <is>
          <t>Cambridge 3/4" PVC Liquid Tight Conduit Fitting - Straight</t>
        </is>
      </c>
      <c r="D796" t="inlineStr">
        <is>
          <t>DWALE Liquid-Tight Conduit and Connector Kit, Flexible Non-Metallic Electrical 3/4inch 25ft Conduit, with 5 Straight and 3 Angle Fittings Included, 3/4 in. Dia.</t>
        </is>
      </c>
      <c r="E796" s="2">
        <f>HYPERLINK("https://www.amazon.com/Liquid-Tight-Connector-Flexible-Metallic-Electrical/dp/B09NNDG19Z/ref=sr_1_13?keywords=Cambridge+3%2F4%22+PVC+Liquid+Tight+Conduit+Fitting+-+Straight&amp;qid=1694734855&amp;sr=8-13", "https://www.amazon.com/Liquid-Tight-Connector-Flexible-Metallic-Electrical/dp/B09NNDG19Z/ref=sr_1_13?keywords=Cambridge+3%2F4%22+PVC+Liquid+Tight+Conduit+Fitting+-+Straight&amp;qid=1694734855&amp;sr=8-13")</f>
        <v/>
      </c>
      <c r="F796" t="inlineStr">
        <is>
          <t>B09NNDG19Z</t>
        </is>
      </c>
      <c r="G796">
        <f>_xlfn.IMAGE("https://edmondsonsupply.com/cdn/shop/files/W14656_01.jpg?v=1692277615")</f>
        <v/>
      </c>
      <c r="H796">
        <f>_xlfn.IMAGE("https://m.media-amazon.com/images/I/71pEU9U1xoL._AC_UL320_.jpg")</f>
        <v/>
      </c>
      <c r="K796" t="inlineStr">
        <is>
          <t>1.5</t>
        </is>
      </c>
      <c r="L796" t="n">
        <v>27.99</v>
      </c>
      <c r="M796" s="1" t="inlineStr">
        <is>
          <t>1,766.00%</t>
        </is>
      </c>
      <c r="N796" s="7" t="n">
        <v>235.24</v>
      </c>
      <c r="O796" t="n">
        <v>4.6</v>
      </c>
      <c r="P796" t="n">
        <v>350</v>
      </c>
      <c r="R796" t="inlineStr">
        <is>
          <t>InStock</t>
        </is>
      </c>
      <c r="S796" t="inlineStr">
        <is>
          <t>undefined</t>
        </is>
      </c>
      <c r="T796" t="inlineStr">
        <is>
          <t>8028223897816</t>
        </is>
      </c>
    </row>
    <row r="797" hidden="1" ht="15.75" customHeight="1">
      <c r="A797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797" s="2">
        <f>HYPERLINK("https://edmondsonsupply.com/products/cambridge-3-4-pvc-liquid-tight-conduit-fitting-straight", "https://edmondsonsupply.com/products/cambridge-3-4-pvc-liquid-tight-conduit-fitting-straight")</f>
        <v/>
      </c>
      <c r="C797" t="inlineStr">
        <is>
          <t>Cambridge 3/4" PVC Liquid Tight Conduit Fitting - Straight</t>
        </is>
      </c>
      <c r="D797" t="inlineStr">
        <is>
          <t>Liquid-Tight Conduit and Connector Kit,3/4" 25ft Flexible Non Metallic Liquid Tight Electrical Conduit,with 5 Straight and 3 Angle Fittings Included</t>
        </is>
      </c>
      <c r="E797" s="2">
        <f>HYPERLINK("https://www.amazon.com/Liquid-Tight-Connector-Flexible-Metallic-Electrical/dp/B0C7QVWQ2X/ref=sr_1_26?keywords=Cambridge+3%2F4%22+PVC+Liquid+Tight+Conduit+Fitting+-+Straight&amp;qid=1694734855&amp;sr=8-26", "https://www.amazon.com/Liquid-Tight-Connector-Flexible-Metallic-Electrical/dp/B0C7QVWQ2X/ref=sr_1_26?keywords=Cambridge+3%2F4%22+PVC+Liquid+Tight+Conduit+Fitting+-+Straight&amp;qid=1694734855&amp;sr=8-26")</f>
        <v/>
      </c>
      <c r="F797" t="inlineStr">
        <is>
          <t>B0C7QVWQ2X</t>
        </is>
      </c>
      <c r="G797">
        <f>_xludf.IMAGE("https://edmondsonsupply.com/cdn/shop/files/W14656_01.jpg?v=1692277615")</f>
        <v/>
      </c>
      <c r="H797">
        <f>_xludf.IMAGE("https://m.media-amazon.com/images/I/718juYAoBJL._AC_UL320_.jpg")</f>
        <v/>
      </c>
      <c r="K797" t="inlineStr">
        <is>
          <t>1.5</t>
        </is>
      </c>
      <c r="L797" t="n">
        <v>27.99</v>
      </c>
      <c r="M797" s="1" t="inlineStr">
        <is>
          <t>1,766.00%</t>
        </is>
      </c>
      <c r="N797" s="1" t="n">
        <v>234.87</v>
      </c>
      <c r="O797" t="n">
        <v>4</v>
      </c>
      <c r="P797" t="n">
        <v>3</v>
      </c>
      <c r="R797" t="inlineStr">
        <is>
          <t>InStock</t>
        </is>
      </c>
      <c r="S797" t="inlineStr">
        <is>
          <t>undefined</t>
        </is>
      </c>
      <c r="T797" t="inlineStr">
        <is>
          <t>8028223897816</t>
        </is>
      </c>
    </row>
    <row r="798" ht="87" customHeight="1">
      <c r="A798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798" s="2">
        <f>HYPERLINK("https://edmondsonsupply.com/products/cambridge-3-4-pvc-liquid-tight-conduit-fitting-90-degree", "https://edmondsonsupply.com/products/cambridge-3-4-pvc-liquid-tight-conduit-fitting-90-degree")</f>
        <v/>
      </c>
      <c r="C798" t="inlineStr">
        <is>
          <t>Cambridge 3/4" PVC Liquid Tight Conduit Fitting - 90 Degree</t>
        </is>
      </c>
      <c r="D798" t="inlineStr">
        <is>
          <t>Sealproof 3/4-Inch Non-metallic Liquid-Tight Conduit and Connector Kit, 25 Foot Made in USA Flexible Electrical Conduit Type B with 4 Straight and 2 90-Degree Conduit Connector Fittings, 3/4" Dia</t>
        </is>
      </c>
      <c r="E798" s="2">
        <f>HYPERLINK("https://www.amazon.com/Sealproof-Non-metallic-Liquid-Tight-Connector-Electrical/dp/B0765CZPKS/ref=sr_1_18?keywords=Cambridge+3%2F4%22+PVC+Liquid+Tight+Conduit+Fitting+-+90+Degree&amp;qid=1694734856&amp;sr=8-18", "https://www.amazon.com/Sealproof-Non-metallic-Liquid-Tight-Connector-Electrical/dp/B0765CZPKS/ref=sr_1_18?keywords=Cambridge+3%2F4%22+PVC+Liquid+Tight+Conduit+Fitting+-+90+Degree&amp;qid=1694734856&amp;sr=8-18")</f>
        <v/>
      </c>
      <c r="F798" t="inlineStr">
        <is>
          <t>B0765CZPKS</t>
        </is>
      </c>
      <c r="G798">
        <f>_xlfn.IMAGE("https://edmondsonsupply.com/cdn/shop/files/W14657_01.jpg?v=1692278537")</f>
        <v/>
      </c>
      <c r="H798">
        <f>_xlfn.IMAGE("https://m.media-amazon.com/images/I/81EhzXNBBTL._AC_UL320_.jpg")</f>
        <v/>
      </c>
      <c r="K798" t="inlineStr">
        <is>
          <t>1.8</t>
        </is>
      </c>
      <c r="L798" t="n">
        <v>32.99</v>
      </c>
      <c r="M798" s="1" t="inlineStr">
        <is>
          <t>1,732.78%</t>
        </is>
      </c>
      <c r="N798" s="7" t="n">
        <v>234.52</v>
      </c>
      <c r="O798" t="n">
        <v>4.7</v>
      </c>
      <c r="P798" t="n">
        <v>1768</v>
      </c>
      <c r="R798" t="inlineStr">
        <is>
          <t>InStock</t>
        </is>
      </c>
      <c r="S798" t="inlineStr">
        <is>
          <t>undefined</t>
        </is>
      </c>
      <c r="T798" t="inlineStr">
        <is>
          <t>8028225175768</t>
        </is>
      </c>
    </row>
    <row r="799" ht="87" customHeight="1">
      <c r="A799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799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799" t="inlineStr">
        <is>
          <t>Diablo Tools DMAPL4210 5/8 in. x 4 in. x 6 in. Rebar Demon™ SDS‑Plus 4‑Cutter Full Carbide Head Hammer Bit</t>
        </is>
      </c>
      <c r="D799" t="inlineStr">
        <is>
          <t>Diablo by Freud DMAPL4160-P25 3/8 in. x 10 in. x 12 in. Rebar Demon SDS-Plus 4-Cutter Full Carbide Head Hammer Bit (25-Pack)</t>
        </is>
      </c>
      <c r="E799" s="2" t="n"/>
      <c r="F799" t="inlineStr">
        <is>
          <t>B089LKWCD1</t>
        </is>
      </c>
      <c r="G799">
        <f>_xlfn.IMAGE("https://edmondsonsupply.com/cdn/shop/products/DMAPL4210_Main-Image20200701.png?v=1633030426")</f>
        <v/>
      </c>
      <c r="H799">
        <f>_xlfn.IMAGE("https://m.media-amazon.com/images/I/61MHnm3+2bL._AC_UL320_.jpg")</f>
        <v/>
      </c>
      <c r="K799" t="inlineStr">
        <is>
          <t>9.97</t>
        </is>
      </c>
      <c r="L799" t="n">
        <v>180.97</v>
      </c>
      <c r="M799" s="1" t="inlineStr">
        <is>
          <t>1,715.15%</t>
        </is>
      </c>
      <c r="N799" s="7" t="n">
        <v>233.76</v>
      </c>
      <c r="O799" t="n">
        <v>5</v>
      </c>
      <c r="P799" t="n">
        <v>1</v>
      </c>
      <c r="R799" t="inlineStr">
        <is>
          <t>InStock</t>
        </is>
      </c>
      <c r="S799" t="inlineStr">
        <is>
          <t>13.77</t>
        </is>
      </c>
      <c r="T799" t="inlineStr">
        <is>
          <t>5326920482984</t>
        </is>
      </c>
    </row>
    <row r="800" ht="87" customHeight="1">
      <c r="A800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00" s="2">
        <f>HYPERLINK("https://edmondsonsupply.com/products/cambridge-3-4-pvc-liquid-tight-conduit-fitting-straight", "https://edmondsonsupply.com/products/cambridge-3-4-pvc-liquid-tight-conduit-fitting-straight")</f>
        <v/>
      </c>
      <c r="C800" t="inlineStr">
        <is>
          <t>Cambridge 3/4" PVC Liquid Tight Conduit Fitting - Straight</t>
        </is>
      </c>
      <c r="D800" t="inlineStr">
        <is>
          <t>Liquid-Tight Conduit - 3/4inch 25 Foot Flexible Non Metallic Liquid Tight Electrical Conduit Kit, with 4 Straight and 3 Angle Fittings Included. 3/4" Dia</t>
        </is>
      </c>
      <c r="E800" s="2">
        <f>HYPERLINK("https://www.amazon.com/Liquid-Tight-Conduit-Flexible-Electrical-Included/dp/B0B7R6R75T/ref=sr_1_5?keywords=Cambridge+3%2F4%22+PVC+Liquid+Tight+Conduit+Fitting+-+Straight&amp;qid=1694734855&amp;sr=8-5", "https://www.amazon.com/Liquid-Tight-Conduit-Flexible-Electrical-Included/dp/B0B7R6R75T/ref=sr_1_5?keywords=Cambridge+3%2F4%22+PVC+Liquid+Tight+Conduit+Fitting+-+Straight&amp;qid=1694734855&amp;sr=8-5")</f>
        <v/>
      </c>
      <c r="F800" t="inlineStr">
        <is>
          <t>B0B7R6R75T</t>
        </is>
      </c>
      <c r="G800">
        <f>_xlfn.IMAGE("https://edmondsonsupply.com/cdn/shop/files/W14656_01.jpg?v=1692277615")</f>
        <v/>
      </c>
      <c r="H800">
        <f>_xlfn.IMAGE("https://m.media-amazon.com/images/I/91qnk8RhHWL._AC_UL320_.jpg")</f>
        <v/>
      </c>
      <c r="K800" t="inlineStr">
        <is>
          <t>1.5</t>
        </is>
      </c>
      <c r="L800" t="n">
        <v>26.99</v>
      </c>
      <c r="M800" s="1" t="inlineStr">
        <is>
          <t>1,699.33%</t>
        </is>
      </c>
      <c r="N800" s="7" t="n">
        <v>233.49</v>
      </c>
      <c r="O800" t="n">
        <v>4.6</v>
      </c>
      <c r="P800" t="n">
        <v>146</v>
      </c>
      <c r="R800" t="inlineStr">
        <is>
          <t>InStock</t>
        </is>
      </c>
      <c r="S800" t="inlineStr">
        <is>
          <t>undefined</t>
        </is>
      </c>
      <c r="T800" t="inlineStr">
        <is>
          <t>8028223897816</t>
        </is>
      </c>
    </row>
    <row r="801" ht="87" customHeight="1">
      <c r="A80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01" s="2">
        <f>HYPERLINK("https://edmondsonsupply.com/products/cambridge-1-2-pvc-liquid-tight-conduit-fitting-straight", "https://edmondsonsupply.com/products/cambridge-1-2-pvc-liquid-tight-conduit-fitting-straight")</f>
        <v/>
      </c>
      <c r="C801" t="inlineStr">
        <is>
          <t>Cambridge 1/2" PVC Liquid Tight Conduit Fitting - Straight</t>
        </is>
      </c>
      <c r="D801" t="inlineStr">
        <is>
          <t>BBTO Liquid Tight Connector 1/2 Inch Flexible Non Metallic Electrical Conduit Connector Fitting 90 Degree Electrical PVC Conduit Fittings for Home Kitchen Bathroom Tube Tool Supplies (24 Pieces)</t>
        </is>
      </c>
      <c r="E801" s="2">
        <f>HYPERLINK("https://www.amazon.com/BBTO-Connector-Flexible-Metallic-Electrical/dp/B09PTFZ341/ref=sr_1_40?keywords=Cambridge+1%2F2%22+PVC+Liquid+Tight+Conduit+Fitting+-+Straight&amp;qid=1694734855&amp;sr=8-40", "https://www.amazon.com/BBTO-Connector-Flexible-Metallic-Electrical/dp/B09PTFZ341/ref=sr_1_40?keywords=Cambridge+1%2F2%22+PVC+Liquid+Tight+Conduit+Fitting+-+Straight&amp;qid=1694734855&amp;sr=8-40")</f>
        <v/>
      </c>
      <c r="F801" t="inlineStr">
        <is>
          <t>B09PTFZ341</t>
        </is>
      </c>
      <c r="G801">
        <f>_xlfn.IMAGE("https://edmondsonsupply.com/cdn/shop/files/W14658_01.jpg?v=1692277178")</f>
        <v/>
      </c>
      <c r="H801">
        <f>_xlfn.IMAGE("https://m.media-amazon.com/images/I/71tLpqsoSWL._AC_UL320_.jpg")</f>
        <v/>
      </c>
      <c r="K801" t="inlineStr">
        <is>
          <t>1.19</t>
        </is>
      </c>
      <c r="L801" t="n">
        <v>20.98</v>
      </c>
      <c r="M801" s="1" t="inlineStr">
        <is>
          <t>1,663.03%</t>
        </is>
      </c>
      <c r="N801" s="7" t="n">
        <v>233.37</v>
      </c>
      <c r="O801" t="n">
        <v>4.8</v>
      </c>
      <c r="P801" t="n">
        <v>91</v>
      </c>
      <c r="R801" t="inlineStr">
        <is>
          <t>InStock</t>
        </is>
      </c>
      <c r="S801" t="inlineStr">
        <is>
          <t>undefined</t>
        </is>
      </c>
      <c r="T801" t="inlineStr">
        <is>
          <t>8028223144152</t>
        </is>
      </c>
    </row>
    <row r="802" ht="87" customHeight="1">
      <c r="A802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802" s="2">
        <f>HYPERLINK("https://edmondsonsupply.com/products/nu-calgon-44171-75-evap-foam-no-rinse-aerosol-coil-cleaner", "https://edmondsonsupply.com/products/nu-calgon-44171-75-evap-foam-no-rinse-aerosol-coil-cleaner")</f>
        <v/>
      </c>
      <c r="C802" t="inlineStr">
        <is>
          <t>Nu-Calgon 4171-75 Evap Foam No Rinse, Aerosol Coil Cleaner (18 oz. can)</t>
        </is>
      </c>
      <c r="D802" t="inlineStr">
        <is>
          <t>Nu-Calgon 4171-75 Evap Foam No Rinse Evaporator Coil Cleaner, 18 oz. (3-(Pack)) (Fоur Расk)</t>
        </is>
      </c>
      <c r="E802" s="2">
        <f>HYPERLINK("https://www.amazon.com/Nu-Calgon-4171-75-Rinse-Evaporator-Cleaner/dp/B0992FBS5Z/ref=sr_1_40?keywords=Nu-Calgon+4171-75+Evap+Foam+No+Rinse%2C+Aerosol+Coil+Cleaner+%2818+oz.+can%29&amp;qid=1694734591&amp;sr=8-40", "https://www.amazon.com/Nu-Calgon-4171-75-Rinse-Evaporator-Cleaner/dp/B0992FBS5Z/ref=sr_1_40?keywords=Nu-Calgon+4171-75+Evap+Foam+No+Rinse%2C+Aerosol+Coil+Cleaner+%2818+oz.+can%29&amp;qid=1694734591&amp;sr=8-40")</f>
        <v/>
      </c>
      <c r="F802" t="inlineStr">
        <is>
          <t>B0992FBS5Z</t>
        </is>
      </c>
      <c r="G802">
        <f>_xlfn.IMAGE("https://edmondsonsupply.com/cdn/shop/products/4171-75.jpg?v=1659099515")</f>
        <v/>
      </c>
      <c r="H802">
        <f>_xlfn.IMAGE("https://m.media-amazon.com/images/I/515sa-UMTeS._AC_UL320_.jpg")</f>
        <v/>
      </c>
      <c r="K802" t="inlineStr">
        <is>
          <t>11.75</t>
        </is>
      </c>
      <c r="L802" t="n">
        <v>200</v>
      </c>
      <c r="M802" s="1" t="inlineStr">
        <is>
          <t>1,602.13%</t>
        </is>
      </c>
      <c r="N802" s="7" t="n">
        <v>233.03</v>
      </c>
      <c r="O802" t="n">
        <v>5</v>
      </c>
      <c r="P802" t="n">
        <v>1</v>
      </c>
      <c r="R802" t="inlineStr">
        <is>
          <t>InStock</t>
        </is>
      </c>
      <c r="S802" t="inlineStr">
        <is>
          <t>17.7</t>
        </is>
      </c>
      <c r="T802" t="inlineStr">
        <is>
          <t>7766316646616</t>
        </is>
      </c>
    </row>
    <row r="803" ht="87" customHeight="1">
      <c r="A803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03" s="2">
        <f>HYPERLINK("https://edmondsonsupply.com/products/cambridge-3-4-pvc-liquid-tight-conduit-fitting-straight", "https://edmondsonsupply.com/products/cambridge-3-4-pvc-liquid-tight-conduit-fitting-straight")</f>
        <v/>
      </c>
      <c r="C803" t="inlineStr">
        <is>
          <t>Cambridge 3/4" PVC Liquid Tight Conduit Fitting - Straight</t>
        </is>
      </c>
      <c r="D803" t="inlineStr">
        <is>
          <t>FirmiBang Liquid Tight Connector 3/4 in - Non-Metallic Electrical Conduit Fittings, UL Listed PVC Conduit Fitting (Straight, 16 Pack)</t>
        </is>
      </c>
      <c r="E803" s="2">
        <f>HYPERLINK("https://www.amazon.com/FirmiBang-Liquid-Tight-Connector-Non-Metallic/dp/B0BW5MGW55/ref=sr_1_2?keywords=Cambridge+3%2F4%22+PVC+Liquid+Tight+Conduit+Fitting+-+Straight&amp;qid=1694734855&amp;sr=8-2", "https://www.amazon.com/FirmiBang-Liquid-Tight-Connector-Non-Metallic/dp/B0BW5MGW55/ref=sr_1_2?keywords=Cambridge+3%2F4%22+PVC+Liquid+Tight+Conduit+Fitting+-+Straight&amp;qid=1694734855&amp;sr=8-2")</f>
        <v/>
      </c>
      <c r="F803" t="inlineStr">
        <is>
          <t>B0BW5MGW55</t>
        </is>
      </c>
      <c r="G803">
        <f>_xlfn.IMAGE("https://edmondsonsupply.com/cdn/shop/files/W14656_01.jpg?v=1692277615")</f>
        <v/>
      </c>
      <c r="H803">
        <f>_xlfn.IMAGE("https://m.media-amazon.com/images/I/71y5Z39AOmL._AC_UL320_.jpg")</f>
        <v/>
      </c>
      <c r="K803" t="inlineStr">
        <is>
          <t>1.5</t>
        </is>
      </c>
      <c r="L803" t="n">
        <v>24.99</v>
      </c>
      <c r="M803" s="1" t="inlineStr">
        <is>
          <t>1,566.00%</t>
        </is>
      </c>
      <c r="N803" s="7" t="n">
        <v>232.22</v>
      </c>
      <c r="O803" t="n">
        <v>4.8</v>
      </c>
      <c r="P803" t="n">
        <v>91</v>
      </c>
      <c r="R803" t="inlineStr">
        <is>
          <t>InStock</t>
        </is>
      </c>
      <c r="S803" t="inlineStr">
        <is>
          <t>undefined</t>
        </is>
      </c>
      <c r="T803" t="inlineStr">
        <is>
          <t>8028223897816</t>
        </is>
      </c>
    </row>
    <row r="804" ht="87" customHeight="1">
      <c r="A804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04" s="2">
        <f>HYPERLINK("https://edmondsonsupply.com/products/cambridge-3-4-pvc-liquid-tight-conduit-fitting-straight", "https://edmondsonsupply.com/products/cambridge-3-4-pvc-liquid-tight-conduit-fitting-straight")</f>
        <v/>
      </c>
      <c r="C804" t="inlineStr">
        <is>
          <t>Cambridge 3/4" PVC Liquid Tight Conduit Fitting - Straight</t>
        </is>
      </c>
      <c r="D804" t="inlineStr">
        <is>
          <t>Electriduct 3/4" PVC Coated Liquid-Tight Galvanized Steel Flexible Metal Conduit - 10 Feet</t>
        </is>
      </c>
      <c r="E804" s="2">
        <f>HYPERLINK("https://www.amazon.com/Electriduct-Liquid-Tight-Galvanized-Flexible-Metallic/dp/B07DX96L5P/ref=sr_1_40?keywords=Cambridge+3%2F4%22+PVC+Liquid+Tight+Conduit+Fitting+-+Straight&amp;qid=1694734855&amp;sr=8-40", "https://www.amazon.com/Electriduct-Liquid-Tight-Galvanized-Flexible-Metallic/dp/B07DX96L5P/ref=sr_1_40?keywords=Cambridge+3%2F4%22+PVC+Liquid+Tight+Conduit+Fitting+-+Straight&amp;qid=1694734855&amp;sr=8-40")</f>
        <v/>
      </c>
      <c r="F804" t="inlineStr">
        <is>
          <t>B07DX96L5P</t>
        </is>
      </c>
      <c r="G804">
        <f>_xlfn.IMAGE("https://edmondsonsupply.com/cdn/shop/files/W14656_01.jpg?v=1692277615")</f>
        <v/>
      </c>
      <c r="H804">
        <f>_xlfn.IMAGE("https://m.media-amazon.com/images/I/71hKziLXLuL._AC_UL320_.jpg")</f>
        <v/>
      </c>
      <c r="K804" t="inlineStr">
        <is>
          <t>1.5</t>
        </is>
      </c>
      <c r="L804" t="n">
        <v>23.88</v>
      </c>
      <c r="M804" s="1" t="inlineStr">
        <is>
          <t>1,492.00%</t>
        </is>
      </c>
      <c r="N804" s="7" t="n">
        <v>226.05</v>
      </c>
      <c r="O804" t="n">
        <v>4.4</v>
      </c>
      <c r="P804" t="n">
        <v>249</v>
      </c>
      <c r="R804" t="inlineStr">
        <is>
          <t>InStock</t>
        </is>
      </c>
      <c r="S804" t="inlineStr">
        <is>
          <t>undefined</t>
        </is>
      </c>
      <c r="T804" t="inlineStr">
        <is>
          <t>8028223897816</t>
        </is>
      </c>
    </row>
    <row r="805" ht="87" customHeight="1">
      <c r="A805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05" s="2">
        <f>HYPERLINK("https://edmondsonsupply.com/products/cambridge-3-4-pvc-liquid-tight-conduit-fitting-straight", "https://edmondsonsupply.com/products/cambridge-3-4-pvc-liquid-tight-conduit-fitting-straight")</f>
        <v/>
      </c>
      <c r="C805" t="inlineStr">
        <is>
          <t>Cambridge 3/4" PVC Liquid Tight Conduit Fitting - Straight</t>
        </is>
      </c>
      <c r="D805" t="inlineStr">
        <is>
          <t>Black UL Listed Non-Metallic Electrical Liquid Tight Conduit Straight Fittings - 3/4" - Box of 10</t>
        </is>
      </c>
      <c r="E805" s="2">
        <f>HYPERLINK("https://www.amazon.com/Non-Metallic-Electrical-Conduit-Straight-Fittings/dp/B0BRVNQZ5N/ref=sr_1_11?keywords=Cambridge+3%2F4%22+PVC+Liquid+Tight+Conduit+Fitting+-+Straight&amp;qid=1694734855&amp;sr=8-11", "https://www.amazon.com/Non-Metallic-Electrical-Conduit-Straight-Fittings/dp/B0BRVNQZ5N/ref=sr_1_11?keywords=Cambridge+3%2F4%22+PVC+Liquid+Tight+Conduit+Fitting+-+Straight&amp;qid=1694734855&amp;sr=8-11")</f>
        <v/>
      </c>
      <c r="F805" t="inlineStr">
        <is>
          <t>B0BRVNQZ5N</t>
        </is>
      </c>
      <c r="G805">
        <f>_xlfn.IMAGE("https://edmondsonsupply.com/cdn/shop/files/W14656_01.jpg?v=1692277615")</f>
        <v/>
      </c>
      <c r="H805">
        <f>_xlfn.IMAGE("https://m.media-amazon.com/images/I/61wyFvNl9mL._AC_UL320_.jpg")</f>
        <v/>
      </c>
      <c r="K805" t="inlineStr">
        <is>
          <t>1.5</t>
        </is>
      </c>
      <c r="L805" t="n">
        <v>22.26</v>
      </c>
      <c r="M805" s="1" t="inlineStr">
        <is>
          <t>1,384.00%</t>
        </is>
      </c>
      <c r="N805" s="7" t="n">
        <v>225.42</v>
      </c>
      <c r="O805" t="n">
        <v>5</v>
      </c>
      <c r="P805" t="n">
        <v>1</v>
      </c>
      <c r="R805" t="inlineStr">
        <is>
          <t>InStock</t>
        </is>
      </c>
      <c r="S805" t="inlineStr">
        <is>
          <t>undefined</t>
        </is>
      </c>
      <c r="T805" t="inlineStr">
        <is>
          <t>8028223897816</t>
        </is>
      </c>
    </row>
    <row r="806" hidden="1" ht="15.75" customHeight="1">
      <c r="A806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06" s="2">
        <f>HYPERLINK("https://edmondsonsupply.com/products/cambridge-1-2-pvc-liquid-tight-conduit-fitting-straight", "https://edmondsonsupply.com/products/cambridge-1-2-pvc-liquid-tight-conduit-fitting-straight")</f>
        <v/>
      </c>
      <c r="C806" t="inlineStr">
        <is>
          <t>Cambridge 1/2" PVC Liquid Tight Conduit Fitting - Straight</t>
        </is>
      </c>
      <c r="D806" t="inlineStr">
        <is>
          <t>Moicstiy 10Pcs 1/2 Inch NPT Liquid Tight Connector Nonmetallic Electrical Conduit Connector Fitting, UL Listed PVC Flexible Conduit Fittings (5Pcs Straight + 5Pcs 90 Degree)</t>
        </is>
      </c>
      <c r="E806" s="2">
        <f>HYPERLINK("https://www.amazon.com/Moicstiy-Connector-Nonmetallic-Electrical-Flexible/dp/B0B2VV972D/ref=sr_1_21?keywords=Cambridge+1%2F2%22+PVC+Liquid+Tight+Conduit+Fitting+-+Straight&amp;qid=1694734855&amp;sr=8-21", "https://www.amazon.com/Moicstiy-Connector-Nonmetallic-Electrical-Flexible/dp/B0B2VV972D/ref=sr_1_21?keywords=Cambridge+1%2F2%22+PVC+Liquid+Tight+Conduit+Fitting+-+Straight&amp;qid=1694734855&amp;sr=8-21")</f>
        <v/>
      </c>
      <c r="F806" t="inlineStr">
        <is>
          <t>B0B2VV972D</t>
        </is>
      </c>
      <c r="G806">
        <f>_xludf.IMAGE("https://edmondsonsupply.com/cdn/shop/files/W14658_01.jpg?v=1692277178")</f>
        <v/>
      </c>
      <c r="H806">
        <f>_xludf.IMAGE("https://m.media-amazon.com/images/I/61iKdaC9eHL._AC_UL320_.jpg")</f>
        <v/>
      </c>
      <c r="K806" t="inlineStr">
        <is>
          <t>1.19</t>
        </is>
      </c>
      <c r="L806" t="n">
        <v>17.49</v>
      </c>
      <c r="M806" s="1" t="inlineStr">
        <is>
          <t>1,369.75%</t>
        </is>
      </c>
      <c r="N806" s="1" t="n">
        <v>225.23</v>
      </c>
      <c r="O806" t="n">
        <v>4</v>
      </c>
      <c r="P806" t="n">
        <v>10</v>
      </c>
      <c r="R806" t="inlineStr">
        <is>
          <t>InStock</t>
        </is>
      </c>
      <c r="S806" t="inlineStr">
        <is>
          <t>undefined</t>
        </is>
      </c>
      <c r="T806" t="inlineStr">
        <is>
          <t>8028223144152</t>
        </is>
      </c>
    </row>
    <row r="807" ht="87" customHeight="1">
      <c r="A807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07" s="2">
        <f>HYPERLINK("https://edmondsonsupply.com/products/cambridge-1-2-pvc-liquid-tight-conduit-fitting-straight", "https://edmondsonsupply.com/products/cambridge-1-2-pvc-liquid-tight-conduit-fitting-straight")</f>
        <v/>
      </c>
      <c r="C807" t="inlineStr">
        <is>
          <t>Cambridge 1/2" PVC Liquid Tight Conduit Fitting - Straight</t>
        </is>
      </c>
      <c r="D807" t="inlineStr">
        <is>
          <t>Sealproof 1-1/2-Inch Non-metallic Liquid Tight Straight Electrical Conduit Connector Fitting, UL Listed, 1-1/2" Dia, 2-Pack</t>
        </is>
      </c>
      <c r="E807" s="2">
        <f>HYPERLINK("https://www.amazon.com/Sealproof-Non-metallic-Straight-Electrical-Connector/dp/B0765DG2K7/ref=sr_1_36?keywords=Cambridge+1%2F2%22+PVC+Liquid+Tight+Conduit+Fitting+-+Straight&amp;qid=1694734855&amp;sr=8-36", "https://www.amazon.com/Sealproof-Non-metallic-Straight-Electrical-Connector/dp/B0765DG2K7/ref=sr_1_36?keywords=Cambridge+1%2F2%22+PVC+Liquid+Tight+Conduit+Fitting+-+Straight&amp;qid=1694734855&amp;sr=8-36")</f>
        <v/>
      </c>
      <c r="F807" t="inlineStr">
        <is>
          <t>B0765DG2K7</t>
        </is>
      </c>
      <c r="G807">
        <f>_xlfn.IMAGE("https://edmondsonsupply.com/cdn/shop/files/W14658_01.jpg?v=1692277178")</f>
        <v/>
      </c>
      <c r="H807">
        <f>_xlfn.IMAGE("https://m.media-amazon.com/images/I/71fjr-RJMGL._AC_UL320_.jpg")</f>
        <v/>
      </c>
      <c r="K807" t="inlineStr">
        <is>
          <t>1.19</t>
        </is>
      </c>
      <c r="L807" t="n">
        <v>16.99</v>
      </c>
      <c r="M807" s="1" t="inlineStr">
        <is>
          <t>1,327.73%</t>
        </is>
      </c>
      <c r="N807" s="7" t="n">
        <v>224.23</v>
      </c>
      <c r="O807" t="n">
        <v>4.6</v>
      </c>
      <c r="P807" t="n">
        <v>57</v>
      </c>
      <c r="R807" t="inlineStr">
        <is>
          <t>InStock</t>
        </is>
      </c>
      <c r="S807" t="inlineStr">
        <is>
          <t>undefined</t>
        </is>
      </c>
      <c r="T807" t="inlineStr">
        <is>
          <t>8028223144152</t>
        </is>
      </c>
    </row>
    <row r="808" ht="87" customHeight="1">
      <c r="A808" s="2">
        <f>HYPERLINK("https://edmondsonsupply.com/collections/hvac/products/klein-tools-55437-tradesman-pro%E2%84%A2-work-light", "https://edmondsonsupply.com/collections/hvac/products/klein-tools-55437-tradesman-pro%E2%84%A2-work-light")</f>
        <v/>
      </c>
      <c r="B808" s="2">
        <f>HYPERLINK("https://edmondsonsupply.com/products/klein-tools-55437-tradesman-pro%e2%84%a2-work-light", "https://edmondsonsupply.com/products/klein-tools-55437-tradesman-pro%e2%84%a2-work-light")</f>
        <v/>
      </c>
      <c r="C808" t="inlineStr">
        <is>
          <t>Klein Tools 55437 Tradesman Pro™ Work Light / Tool Bag Light / Cooler Light</t>
        </is>
      </c>
      <c r="D808" t="inlineStr">
        <is>
          <t>Klein Tools 55473RTB Rolling Tool Bag, Tradesman Pro Tool Master, 250lbs Load Rated &amp; 55437 Tradesman Pro Work Light/Tool Bag Light/Cooler Light, for Work, and Outdoor Hiking, Camping</t>
        </is>
      </c>
      <c r="E808" s="2">
        <f>HYPERLINK("https://www.amazon.com/Klein-Tools-55473RTB-Rolling-Tradesman/dp/B0BC83F3HC/ref=sr_1_3?keywords=Klein+Tools+55437+Tradesman+Pro%E2%84%A2+Work+Light+%2F+Tool+Bag+Light+%2F+Cooler+Light&amp;qid=1694734780&amp;sr=8-3", "https://www.amazon.com/Klein-Tools-55473RTB-Rolling-Tradesman/dp/B0BC83F3HC/ref=sr_1_3?keywords=Klein+Tools+55437+Tradesman+Pro%E2%84%A2+Work+Light+%2F+Tool+Bag+Light+%2F+Cooler+Light&amp;qid=1694734780&amp;sr=8-3")</f>
        <v/>
      </c>
      <c r="F808" t="inlineStr">
        <is>
          <t>B0BC83F3HC</t>
        </is>
      </c>
      <c r="G808">
        <f>_xlfn.IMAGE("https://edmondsonsupply.com/cdn/shop/products/55437.jpg?v=1587143511")</f>
        <v/>
      </c>
      <c r="H808">
        <f>_xlfn.IMAGE("https://m.media-amazon.com/images/I/412ptACTswL._AC_UL320_.jpg")</f>
        <v/>
      </c>
      <c r="K808" t="inlineStr">
        <is>
          <t>19.14</t>
        </is>
      </c>
      <c r="L808" t="n">
        <v>271.99</v>
      </c>
      <c r="M808" s="1" t="inlineStr">
        <is>
          <t>1,321.06%</t>
        </is>
      </c>
      <c r="N808" s="7" t="n">
        <v>222.8</v>
      </c>
      <c r="O808" t="n">
        <v>5</v>
      </c>
      <c r="P808" t="n">
        <v>1</v>
      </c>
      <c r="R808" t="inlineStr">
        <is>
          <t>InStock</t>
        </is>
      </c>
      <c r="S808" t="inlineStr">
        <is>
          <t>undefined</t>
        </is>
      </c>
      <c r="T808" t="inlineStr">
        <is>
          <t>3722218897508</t>
        </is>
      </c>
    </row>
    <row r="809" ht="87" customHeight="1">
      <c r="A809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09" s="2">
        <f>HYPERLINK("https://edmondsonsupply.com/products/cambridge-1-2-pvc-liquid-tight-conduit-fitting-90-degree", "https://edmondsonsupply.com/products/cambridge-1-2-pvc-liquid-tight-conduit-fitting-90-degree")</f>
        <v/>
      </c>
      <c r="C809" t="inlineStr">
        <is>
          <t>Cambridge 1/2" PVC Liquid Tight Conduit Fitting - 90 Degree</t>
        </is>
      </c>
      <c r="D809" t="inlineStr">
        <is>
          <t>BBTO Liquid Tight Connector 1/2 Inch Flexible Non Metallic Electrical Conduit Connector Fitting 90 Degree Electrical PVC Conduit Fittings for Home Kitchen Bathroom Tube Tool Supplies (24 Pieces)</t>
        </is>
      </c>
      <c r="E809" s="2">
        <f>HYPERLINK("https://www.amazon.com/BBTO-Connector-Flexible-Metallic-Electrical/dp/B09PTFZ341/ref=sr_1_5?keywords=Cambridge+1%2F2%22+PVC+Liquid+Tight+Conduit+Fitting+-+90+Degree&amp;qid=1694734857&amp;sr=8-5", "https://www.amazon.com/BBTO-Connector-Flexible-Metallic-Electrical/dp/B09PTFZ341/ref=sr_1_5?keywords=Cambridge+1%2F2%22+PVC+Liquid+Tight+Conduit+Fitting+-+90+Degree&amp;qid=1694734857&amp;sr=8-5")</f>
        <v/>
      </c>
      <c r="F809" t="inlineStr">
        <is>
          <t>B09PTFZ341</t>
        </is>
      </c>
      <c r="G809">
        <f>_xlfn.IMAGE("https://edmondsonsupply.com/cdn/shop/files/W14659_01.jpg?v=1692278106")</f>
        <v/>
      </c>
      <c r="H809">
        <f>_xlfn.IMAGE("https://m.media-amazon.com/images/I/71tLpqsoSWL._AC_UL320_.jpg")</f>
        <v/>
      </c>
      <c r="K809" t="inlineStr">
        <is>
          <t>1.48</t>
        </is>
      </c>
      <c r="L809" t="n">
        <v>20.98</v>
      </c>
      <c r="M809" s="1" t="inlineStr">
        <is>
          <t>1,317.57%</t>
        </is>
      </c>
      <c r="N809" s="7" t="n">
        <v>221.98</v>
      </c>
      <c r="O809" t="n">
        <v>4.8</v>
      </c>
      <c r="P809" t="n">
        <v>91</v>
      </c>
      <c r="R809" t="inlineStr">
        <is>
          <t>InStock</t>
        </is>
      </c>
      <c r="S809" t="inlineStr">
        <is>
          <t>undefined</t>
        </is>
      </c>
      <c r="T809" t="inlineStr">
        <is>
          <t>8028224422104</t>
        </is>
      </c>
    </row>
    <row r="810" ht="87" customHeight="1">
      <c r="A810" s="2">
        <f>HYPERLINK("https://edmondsonsupply.com/collections/hvac/products/supco-bpv31-bullet%C2%AE-piercing-valve-1-4-5-16-3-8-o-d", "https://edmondsonsupply.com/collections/hvac/products/supco-bpv31-bullet%C2%AE-piercing-valve-1-4-5-16-3-8-o-d")</f>
        <v/>
      </c>
      <c r="B810" s="2">
        <f>HYPERLINK("https://edmondsonsupply.com/products/supco-bpv31-bullet%c2%ae-piercing-valve-1-4-5-16-3-8-o-d", "https://edmondsonsupply.com/products/supco-bpv31-bullet%c2%ae-piercing-valve-1-4-5-16-3-8-o-d")</f>
        <v/>
      </c>
      <c r="C810" t="inlineStr">
        <is>
          <t>Supco BPV31 BULLET® Piercing Valve - 1/4", 5/16 &amp; 3/8" O.D.</t>
        </is>
      </c>
      <c r="D810" t="inlineStr">
        <is>
          <t>SUPCO BPV-31 Bullet 3-in-1 Line Tap Piercing Valve, 500 psi Pressure, 1/4", 5/16", and 3/8" OD Size (Pack of 12)</t>
        </is>
      </c>
      <c r="E810" s="2">
        <f>HYPERLINK("https://www.amazon.com/SUPCO-BPV-31-Bullet-Piercing-Pressure/dp/B071GRBXNP/ref=sr_1_9?keywords=Supco+BPV31+BULLET%C2%AE+Piercing+Valve+-+1%2F4%22%2C+5%2F16+%26+3%2F8%22+O.D.&amp;qid=1694734615&amp;sr=8-9", "https://www.amazon.com/SUPCO-BPV-31-Bullet-Piercing-Pressure/dp/B071GRBXNP/ref=sr_1_9?keywords=Supco+BPV31+BULLET%C2%AE+Piercing+Valve+-+1%2F4%22%2C+5%2F16+%26+3%2F8%22+O.D.&amp;qid=1694734615&amp;sr=8-9")</f>
        <v/>
      </c>
      <c r="F810" t="inlineStr">
        <is>
          <t>B071GRBXNP</t>
        </is>
      </c>
      <c r="G810">
        <f>_xlfn.IMAGE("https://edmondsonsupply.com/cdn/shop/products/B11-039-2.jpg?v=1633030031")</f>
        <v/>
      </c>
      <c r="H810">
        <f>_xlfn.IMAGE("https://m.media-amazon.com/images/I/81om-uJujKL._AC_UY218_.jpg")</f>
        <v/>
      </c>
      <c r="K810" t="inlineStr">
        <is>
          <t>3.49</t>
        </is>
      </c>
      <c r="L810" t="n">
        <v>47.5</v>
      </c>
      <c r="M810" s="1" t="inlineStr">
        <is>
          <t>1,261.03%</t>
        </is>
      </c>
      <c r="N810" s="7" t="n">
        <v>221.71</v>
      </c>
      <c r="O810" t="n">
        <v>4.6</v>
      </c>
      <c r="P810" t="n">
        <v>193</v>
      </c>
      <c r="R810" t="inlineStr">
        <is>
          <t>InStock</t>
        </is>
      </c>
      <c r="S810" t="inlineStr">
        <is>
          <t>undefined</t>
        </is>
      </c>
      <c r="T810" t="inlineStr">
        <is>
          <t>2632316715108</t>
        </is>
      </c>
    </row>
    <row r="811" ht="87" customHeight="1">
      <c r="A81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11" s="2">
        <f>HYPERLINK("https://edmondsonsupply.com/products/cambridge-1-2-pvc-liquid-tight-conduit-fitting-straight", "https://edmondsonsupply.com/products/cambridge-1-2-pvc-liquid-tight-conduit-fitting-straight")</f>
        <v/>
      </c>
      <c r="C811" t="inlineStr">
        <is>
          <t>Cambridge 1/2" PVC Liquid Tight Conduit Fitting - Straight</t>
        </is>
      </c>
      <c r="D811" t="inlineStr">
        <is>
          <t>1/2 Inch Flexible Conduit Liquid Tight Connector Nonmetallic Liquid Tight Straight Conduit PVC Flexible Electrical Conduit Fittings 10PACK</t>
        </is>
      </c>
      <c r="E811" s="2">
        <f>HYPERLINK("https://www.amazon.com/Flexible-Connector-Nonmetallic-Straight-Electrical/dp/B09SHHD216/ref=sr_1_32?keywords=Cambridge+1%2F2%22+PVC+Liquid+Tight+Conduit+Fitting+-+Straight&amp;qid=1694734855&amp;sr=8-32", "https://www.amazon.com/Flexible-Connector-Nonmetallic-Straight-Electrical/dp/B09SHHD216/ref=sr_1_32?keywords=Cambridge+1%2F2%22+PVC+Liquid+Tight+Conduit+Fitting+-+Straight&amp;qid=1694734855&amp;sr=8-32")</f>
        <v/>
      </c>
      <c r="F811" t="inlineStr">
        <is>
          <t>B09SHHD216</t>
        </is>
      </c>
      <c r="G811">
        <f>_xlfn.IMAGE("https://edmondsonsupply.com/cdn/shop/files/W14658_01.jpg?v=1692277178")</f>
        <v/>
      </c>
      <c r="H811">
        <f>_xlfn.IMAGE("https://m.media-amazon.com/images/I/61oVhr2hxPL._AC_UL320_.jpg")</f>
        <v/>
      </c>
      <c r="K811" t="inlineStr">
        <is>
          <t>1.19</t>
        </is>
      </c>
      <c r="L811" t="n">
        <v>15.99</v>
      </c>
      <c r="M811" s="1" t="inlineStr">
        <is>
          <t>1,243.70%</t>
        </is>
      </c>
      <c r="N811" s="7" t="n">
        <v>221.43</v>
      </c>
      <c r="O811" t="n">
        <v>4.5</v>
      </c>
      <c r="P811" t="n">
        <v>23</v>
      </c>
      <c r="R811" t="inlineStr">
        <is>
          <t>InStock</t>
        </is>
      </c>
      <c r="S811" t="inlineStr">
        <is>
          <t>undefined</t>
        </is>
      </c>
      <c r="T811" t="inlineStr">
        <is>
          <t>8028223144152</t>
        </is>
      </c>
    </row>
    <row r="812" ht="87" customHeight="1">
      <c r="A81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12" s="2">
        <f>HYPERLINK("https://edmondsonsupply.com/products/cambridge-1-2-pvc-liquid-tight-conduit-fitting-straight", "https://edmondsonsupply.com/products/cambridge-1-2-pvc-liquid-tight-conduit-fitting-straight")</f>
        <v/>
      </c>
      <c r="C812" t="inlineStr">
        <is>
          <t>Cambridge 1/2" PVC Liquid Tight Conduit Fitting - Straight</t>
        </is>
      </c>
      <c r="D812" t="inlineStr">
        <is>
          <t>1/2 Inch Flexible Conduit Liquid Tight Connector Nonmetallic Liquid Tight 90° Conduit PVC Flexible Electrical Conduit Fittings 12PACK</t>
        </is>
      </c>
      <c r="E812" s="2">
        <f>HYPERLINK("https://www.amazon.com/Flexible-Connector-Nonmetallic-Electrical-Fittings/dp/B0CBBY1JXH/ref=sr_1_37?keywords=Cambridge+1%2F2%22+PVC+Liquid+Tight+Conduit+Fitting+-+Straight&amp;qid=1694734855&amp;sr=8-37", "https://www.amazon.com/Flexible-Connector-Nonmetallic-Electrical-Fittings/dp/B0CBBY1JXH/ref=sr_1_37?keywords=Cambridge+1%2F2%22+PVC+Liquid+Tight+Conduit+Fitting+-+Straight&amp;qid=1694734855&amp;sr=8-37")</f>
        <v/>
      </c>
      <c r="F812" t="inlineStr">
        <is>
          <t>B0CBBY1JXH</t>
        </is>
      </c>
      <c r="G812">
        <f>_xlfn.IMAGE("https://edmondsonsupply.com/cdn/shop/files/W14658_01.jpg?v=1692277178")</f>
        <v/>
      </c>
      <c r="H812">
        <f>_xlfn.IMAGE("https://m.media-amazon.com/images/I/71uTl0f6FXL._AC_UL320_.jpg")</f>
        <v/>
      </c>
      <c r="K812" t="inlineStr">
        <is>
          <t>1.19</t>
        </is>
      </c>
      <c r="L812" t="n">
        <v>15.99</v>
      </c>
      <c r="M812" s="1" t="inlineStr">
        <is>
          <t>1,243.70%</t>
        </is>
      </c>
      <c r="N812" s="7" t="n">
        <v>220.1</v>
      </c>
      <c r="O812" t="n">
        <v>5</v>
      </c>
      <c r="P812" t="n">
        <v>17</v>
      </c>
      <c r="R812" t="inlineStr">
        <is>
          <t>InStock</t>
        </is>
      </c>
      <c r="S812" t="inlineStr">
        <is>
          <t>undefined</t>
        </is>
      </c>
      <c r="T812" t="inlineStr">
        <is>
          <t>8028223144152</t>
        </is>
      </c>
    </row>
    <row r="813" ht="87" customHeight="1">
      <c r="A813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13" s="2">
        <f>HYPERLINK("https://edmondsonsupply.com/products/cambridge-3-4-pvc-liquid-tight-conduit-fitting-straight", "https://edmondsonsupply.com/products/cambridge-3-4-pvc-liquid-tight-conduit-fitting-straight")</f>
        <v/>
      </c>
      <c r="C813" t="inlineStr">
        <is>
          <t>Cambridge 3/4" PVC Liquid Tight Conduit Fitting - Straight</t>
        </is>
      </c>
      <c r="D813" t="inlineStr">
        <is>
          <t>3/4 inch Liquid Tight Connector PVC Flexible Conduit Connector UL Listed Liquid Tight Connector Non-Metallic Electrical Conduit Fittings 12 Pack (6 Pcs 180D/6 Pcs 90D)</t>
        </is>
      </c>
      <c r="E813" s="2">
        <f>HYPERLINK("https://www.amazon.com/Connector-Flexible-Non-Metallic-Electrical-Fittings/dp/B0CB7JNP27/ref=sr_1_17?keywords=Cambridge+3%2F4%22+PVC+Liquid+Tight+Conduit+Fitting+-+Straight&amp;qid=1694734855&amp;sr=8-17", "https://www.amazon.com/Connector-Flexible-Non-Metallic-Electrical-Fittings/dp/B0CB7JNP27/ref=sr_1_17?keywords=Cambridge+3%2F4%22+PVC+Liquid+Tight+Conduit+Fitting+-+Straight&amp;qid=1694734855&amp;sr=8-17")</f>
        <v/>
      </c>
      <c r="F813" t="inlineStr">
        <is>
          <t>B0CB7JNP27</t>
        </is>
      </c>
      <c r="G813">
        <f>_xlfn.IMAGE("https://edmondsonsupply.com/cdn/shop/files/W14656_01.jpg?v=1692277615")</f>
        <v/>
      </c>
      <c r="H813">
        <f>_xlfn.IMAGE("https://m.media-amazon.com/images/I/61SZHCP0NEL._AC_UL320_.jpg")</f>
        <v/>
      </c>
      <c r="K813" t="inlineStr">
        <is>
          <t>1.5</t>
        </is>
      </c>
      <c r="L813" t="n">
        <v>19.99</v>
      </c>
      <c r="M813" s="1" t="inlineStr">
        <is>
          <t>1,232.67%</t>
        </is>
      </c>
      <c r="N813" s="7" t="n">
        <v>219.53</v>
      </c>
      <c r="O813" t="n">
        <v>4.9</v>
      </c>
      <c r="P813" t="n">
        <v>26</v>
      </c>
      <c r="R813" t="inlineStr">
        <is>
          <t>InStock</t>
        </is>
      </c>
      <c r="S813" t="inlineStr">
        <is>
          <t>undefined</t>
        </is>
      </c>
      <c r="T813" t="inlineStr">
        <is>
          <t>8028223897816</t>
        </is>
      </c>
    </row>
    <row r="814" ht="87" customHeight="1">
      <c r="A814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14" s="2">
        <f>HYPERLINK("https://edmondsonsupply.com/products/cambridge-1-2-pvc-liquid-tight-conduit-fitting-straight", "https://edmondsonsupply.com/products/cambridge-1-2-pvc-liquid-tight-conduit-fitting-straight")</f>
        <v/>
      </c>
      <c r="C814" t="inlineStr">
        <is>
          <t>Cambridge 1/2" PVC Liquid Tight Conduit Fitting - Straight</t>
        </is>
      </c>
      <c r="D814" t="inlineStr">
        <is>
          <t>Fuzbaxy 1/2" NPT Liquid Tight Connector Straight 180D Electrical Conduit Connector Fitting-10PACK</t>
        </is>
      </c>
      <c r="E814" s="2">
        <f>HYPERLINK("https://www.amazon.com/Fuzbaxy-Connector-Straight-Electrical-Fitting-10PACK/dp/B09MTNHT9L/ref=sr_1_41?keywords=Cambridge+1%2F2%22+PVC+Liquid+Tight+Conduit+Fitting+-+Straight&amp;qid=1694734855&amp;sr=8-41", "https://www.amazon.com/Fuzbaxy-Connector-Straight-Electrical-Fitting-10PACK/dp/B09MTNHT9L/ref=sr_1_41?keywords=Cambridge+1%2F2%22+PVC+Liquid+Tight+Conduit+Fitting+-+Straight&amp;qid=1694734855&amp;sr=8-41")</f>
        <v/>
      </c>
      <c r="F814" t="inlineStr">
        <is>
          <t>B09MTNHT9L</t>
        </is>
      </c>
      <c r="G814">
        <f>_xlfn.IMAGE("https://edmondsonsupply.com/cdn/shop/files/W14658_01.jpg?v=1692277178")</f>
        <v/>
      </c>
      <c r="H814">
        <f>_xlfn.IMAGE("https://m.media-amazon.com/images/I/71tH74y4CJL._AC_UL320_.jpg")</f>
        <v/>
      </c>
      <c r="K814" t="inlineStr">
        <is>
          <t>1.19</t>
        </is>
      </c>
      <c r="L814" t="n">
        <v>15.55</v>
      </c>
      <c r="M814" s="1" t="inlineStr">
        <is>
          <t>1,206.72%</t>
        </is>
      </c>
      <c r="N814" s="7" t="n">
        <v>219.51</v>
      </c>
      <c r="O814" t="n">
        <v>4.6</v>
      </c>
      <c r="P814" t="n">
        <v>104</v>
      </c>
      <c r="R814" t="inlineStr">
        <is>
          <t>InStock</t>
        </is>
      </c>
      <c r="S814" t="inlineStr">
        <is>
          <t>undefined</t>
        </is>
      </c>
      <c r="T814" t="inlineStr">
        <is>
          <t>8028223144152</t>
        </is>
      </c>
    </row>
    <row r="815" ht="87" customHeight="1">
      <c r="A815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15" s="2">
        <f>HYPERLINK("https://edmondsonsupply.com/products/klein-tools-69417-rare-earth-magnetic-meter-hanger", "https://edmondsonsupply.com/products/klein-tools-69417-rare-earth-magnetic-meter-hanger")</f>
        <v/>
      </c>
      <c r="C815" t="inlineStr">
        <is>
          <t>Klein Tools 69417 Rare Earth Magnetic Meter Hanger, with Strap</t>
        </is>
      </c>
      <c r="D815" t="inlineStr">
        <is>
          <t>Klein Tools ET600 Multimeter, Megohmmeter Insulation Tester, 4000 Ohms Resistance, 125V/250V/500V/1000V, Auto-Ranging TRMS Multimeter &amp; 69417 Rare-Earth Magnetic Hanger, with Strap</t>
        </is>
      </c>
      <c r="E815" s="2">
        <f>HYPERLINK("https://www.amazon.com/Klein-Tools-Multimeter-MegohmmeterInsulation-Rare-Earth/dp/B09T6YCW54/ref=sr_1_23?keywords=Klein+Tools+69417+Rare+Earth+Magnetic+Meter+Hanger%2C+with+Strap&amp;qid=1694734820&amp;sr=8-23", "https://www.amazon.com/Klein-Tools-Multimeter-MegohmmeterInsulation-Rare-Earth/dp/B09T6YCW54/ref=sr_1_23?keywords=Klein+Tools+69417+Rare+Earth+Magnetic+Meter+Hanger%2C+with+Strap&amp;qid=1694734820&amp;sr=8-23")</f>
        <v/>
      </c>
      <c r="F815" t="inlineStr">
        <is>
          <t>B09T6YCW54</t>
        </is>
      </c>
      <c r="G815">
        <f>_xlfn.IMAGE("https://edmondsonsupply.com/cdn/shop/products/69417.jpg?v=1587150163")</f>
        <v/>
      </c>
      <c r="H815">
        <f>_xlfn.IMAGE("https://m.media-amazon.com/images/I/514bUmc4y+L._AC_UL320_.jpg")</f>
        <v/>
      </c>
      <c r="K815" t="inlineStr">
        <is>
          <t>13.99</t>
        </is>
      </c>
      <c r="L815" t="n">
        <v>177.99</v>
      </c>
      <c r="M815" s="1" t="inlineStr">
        <is>
          <t>1,172.27%</t>
        </is>
      </c>
      <c r="N815" s="7" t="n">
        <v>216.04</v>
      </c>
      <c r="O815" t="n">
        <v>4.8</v>
      </c>
      <c r="P815" t="n">
        <v>11</v>
      </c>
      <c r="R815" t="inlineStr">
        <is>
          <t>InStock</t>
        </is>
      </c>
      <c r="S815" t="inlineStr">
        <is>
          <t>20.0</t>
        </is>
      </c>
      <c r="T815" t="inlineStr">
        <is>
          <t>1778073731172</t>
        </is>
      </c>
    </row>
    <row r="816" hidden="1" ht="15.75" customHeight="1">
      <c r="A816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16" s="2">
        <f>HYPERLINK("https://edmondsonsupply.com/products/klein-tools-69417-rare-earth-magnetic-meter-hanger", "https://edmondsonsupply.com/products/klein-tools-69417-rare-earth-magnetic-meter-hanger")</f>
        <v/>
      </c>
      <c r="C816" t="inlineStr">
        <is>
          <t>Klein Tools 69417 Rare Earth Magnetic Meter Hanger, with Strap</t>
        </is>
      </c>
      <c r="D816" t="inlineStr">
        <is>
          <t>Klein Tools CL900 Digital Clamp Meter, Autoranging TRMS, AC/DC Voltage/Current, 2000A, LOZ, Continuity, Frequency, NCVT, Temp, More, 1000V &amp; 69417 Rare-Earth Magnetic Hanger, with Strap</t>
        </is>
      </c>
      <c r="E816" s="2">
        <f>HYPERLINK("https://www.amazon.com/Klein-Tools-Autoranging-Continuity-Rare-Earth/dp/B0BD3SYSDK/ref=sr_1_18?keywords=Klein+Tools+69417+Rare+Earth+Magnetic+Meter+Hanger%2C+with+Strap&amp;qid=1694734820&amp;sr=8-18", "https://www.amazon.com/Klein-Tools-Autoranging-Continuity-Rare-Earth/dp/B0BD3SYSDK/ref=sr_1_18?keywords=Klein+Tools+69417+Rare+Earth+Magnetic+Meter+Hanger%2C+with+Strap&amp;qid=1694734820&amp;sr=8-18")</f>
        <v/>
      </c>
      <c r="F816" t="inlineStr">
        <is>
          <t>B0BD3SYSDK</t>
        </is>
      </c>
      <c r="G816">
        <f>_xludf.IMAGE("https://edmondsonsupply.com/cdn/shop/products/69417.jpg?v=1587150163")</f>
        <v/>
      </c>
      <c r="H816">
        <f>_xludf.IMAGE("https://m.media-amazon.com/images/I/41aFg66k3IL._AC_UL320_.jpg")</f>
        <v/>
      </c>
      <c r="K816" t="inlineStr">
        <is>
          <t>13.99</t>
        </is>
      </c>
      <c r="L816" t="n">
        <v>172.99</v>
      </c>
      <c r="M816" s="1" t="inlineStr">
        <is>
          <t>1,136.53%</t>
        </is>
      </c>
      <c r="N816" s="1" t="n">
        <v>215.37</v>
      </c>
      <c r="O816" t="n">
        <v>4</v>
      </c>
      <c r="P816" t="n">
        <v>2</v>
      </c>
      <c r="R816" t="inlineStr">
        <is>
          <t>InStock</t>
        </is>
      </c>
      <c r="S816" t="inlineStr">
        <is>
          <t>20.0</t>
        </is>
      </c>
      <c r="T816" t="inlineStr">
        <is>
          <t>1778073731172</t>
        </is>
      </c>
    </row>
    <row r="817" ht="87" customHeight="1">
      <c r="A817" s="2">
        <f>HYPERLINK("https://edmondsonsupply.com/collections/hvac/products/trion-266649-101-pleated-16x25x3-merv-13-air-filter-media-1-filter", "https://edmondsonsupply.com/collections/hvac/products/trion-266649-101-pleated-16x25x3-merv-13-air-filter-media-1-filter")</f>
        <v/>
      </c>
      <c r="B817" s="2">
        <f>HYPERLINK("https://edmondsonsupply.com/products/trion-266649-101-pleated-16x25x3-merv-13-air-filter-media-1-filter", "https://edmondsonsupply.com/products/trion-266649-101-pleated-16x25x3-merv-13-air-filter-media-1-filter")</f>
        <v/>
      </c>
      <c r="C817" t="inlineStr">
        <is>
          <t>Trion 266649-101 Pleated 16x25x3 MERV-13 Air Filter Media (1 filter)</t>
        </is>
      </c>
      <c r="D817" t="inlineStr">
        <is>
          <t>Nordic Pure 16x25x3 (15_13/16 x 24_5/16 x 3) MERV 15 Trion Bear Cub 266649-101 Replacement Pleated AC Furnace Air Filters</t>
        </is>
      </c>
      <c r="E817" s="2">
        <f>HYPERLINK("https://www.amazon.com/Nordic-Pure-16x25x3ABM15-7-Furnace-Filter/dp/B07B7PNMBH/ref=sr_1_3?keywords=Trion+266649-101+Pleated+16x25x3+MERV-13+Air+Filter+Media+%281+filter%29&amp;qid=1694734756&amp;sr=8-3", "https://www.amazon.com/Nordic-Pure-16x25x3ABM15-7-Furnace-Filter/dp/B07B7PNMBH/ref=sr_1_3?keywords=Trion+266649-101+Pleated+16x25x3+MERV-13+Air+Filter+Media+%281+filter%29&amp;qid=1694734756&amp;sr=8-3")</f>
        <v/>
      </c>
      <c r="F817" t="inlineStr">
        <is>
          <t>B07B7PNMBH</t>
        </is>
      </c>
      <c r="G817">
        <f>_xlfn.IMAGE("https://edmondsonsupply.com/cdn/shop/products/AirBearMain_3b1ff07e-0f7c-460a-b436-9ba151fa29ca.png?v=1661444961")</f>
        <v/>
      </c>
      <c r="H817">
        <f>_xlfn.IMAGE("https://m.media-amazon.com/images/I/71uv28FGdPL._AC_UL320_.jpg")</f>
        <v/>
      </c>
      <c r="K817" t="inlineStr">
        <is>
          <t>29.36</t>
        </is>
      </c>
      <c r="L817" t="n">
        <v>355.3</v>
      </c>
      <c r="M817" s="1" t="inlineStr">
        <is>
          <t>1,110.15%</t>
        </is>
      </c>
      <c r="N817" s="7" t="n">
        <v>212.63</v>
      </c>
      <c r="O817" t="n">
        <v>5</v>
      </c>
      <c r="P817" t="n">
        <v>1</v>
      </c>
      <c r="R817" t="inlineStr">
        <is>
          <t>InStock</t>
        </is>
      </c>
      <c r="S817" t="inlineStr">
        <is>
          <t>undefined</t>
        </is>
      </c>
      <c r="T817" t="inlineStr">
        <is>
          <t>7794251989208</t>
        </is>
      </c>
    </row>
    <row r="818" hidden="1" ht="15.75" customHeight="1">
      <c r="A818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18" s="2">
        <f>HYPERLINK("https://edmondsonsupply.com/products/cambridge-1-2-pvc-liquid-tight-conduit-fitting-90-degree", "https://edmondsonsupply.com/products/cambridge-1-2-pvc-liquid-tight-conduit-fitting-90-degree")</f>
        <v/>
      </c>
      <c r="C818" t="inlineStr">
        <is>
          <t>Cambridge 1/2" PVC Liquid Tight Conduit Fitting - 90 Degree</t>
        </is>
      </c>
      <c r="D818" t="inlineStr">
        <is>
          <t>Moicstiy 10Pcs 1/2 Inch NPT Liquid Tight Connector Nonmetallic Electrical Conduit Connector Fitting, UL Listed PVC Flexible Conduit Fittings (5Pcs Straight + 5Pcs 90 Degree)</t>
        </is>
      </c>
      <c r="E818" s="2">
        <f>HYPERLINK("https://www.amazon.com/Moicstiy-Connector-Nonmetallic-Electrical-Flexible/dp/B0B2VV972D/ref=sr_1_10?keywords=Cambridge+1%2F2%22+PVC+Liquid+Tight+Conduit+Fitting+-+90+Degree&amp;qid=1694734857&amp;sr=8-10", "https://www.amazon.com/Moicstiy-Connector-Nonmetallic-Electrical-Flexible/dp/B0B2VV972D/ref=sr_1_10?keywords=Cambridge+1%2F2%22+PVC+Liquid+Tight+Conduit+Fitting+-+90+Degree&amp;qid=1694734857&amp;sr=8-10")</f>
        <v/>
      </c>
      <c r="F818" t="inlineStr">
        <is>
          <t>B0B2VV972D</t>
        </is>
      </c>
      <c r="G818">
        <f>_xludf.IMAGE("https://edmondsonsupply.com/cdn/shop/files/W14659_01.jpg?v=1692278106")</f>
        <v/>
      </c>
      <c r="H818">
        <f>_xludf.IMAGE("https://m.media-amazon.com/images/I/61iKdaC9eHL._AC_UL320_.jpg")</f>
        <v/>
      </c>
      <c r="K818" t="inlineStr">
        <is>
          <t>1.48</t>
        </is>
      </c>
      <c r="L818" t="n">
        <v>17.49</v>
      </c>
      <c r="M818" s="1" t="inlineStr">
        <is>
          <t>1,081.76%</t>
        </is>
      </c>
      <c r="N818" s="1" t="n">
        <v>207.57</v>
      </c>
      <c r="O818" t="n">
        <v>4</v>
      </c>
      <c r="P818" t="n">
        <v>10</v>
      </c>
      <c r="R818" t="inlineStr">
        <is>
          <t>InStock</t>
        </is>
      </c>
      <c r="S818" t="inlineStr">
        <is>
          <t>undefined</t>
        </is>
      </c>
      <c r="T818" t="inlineStr">
        <is>
          <t>8028224422104</t>
        </is>
      </c>
    </row>
    <row r="819" ht="87" customHeight="1">
      <c r="A819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19" s="2">
        <f>HYPERLINK("https://edmondsonsupply.com/products/cambridge-1-2-pvc-liquid-tight-conduit-fitting-90-degree", "https://edmondsonsupply.com/products/cambridge-1-2-pvc-liquid-tight-conduit-fitting-90-degree")</f>
        <v/>
      </c>
      <c r="C819" t="inlineStr">
        <is>
          <t>Cambridge 1/2" PVC Liquid Tight Conduit Fitting - 90 Degree</t>
        </is>
      </c>
      <c r="D819" t="inlineStr">
        <is>
          <t>YXX-TECH 1/2 Npt Nonmetallic Liquid-Tight 90-Degree Electrical Conduit Connector Fitting,，UL Listed, (6 PACK) (1/2 90D)</t>
        </is>
      </c>
      <c r="E819" s="2">
        <f>HYPERLINK("https://www.amazon.com/YXX-TECH1-Nonmetallic-Liquid-Tight-90-Degree-Electrical/dp/B0828TLQJT/ref=sr_1_42?keywords=Cambridge+1%2F2%22+PVC+Liquid+Tight+Conduit+Fitting+-+90+Degree&amp;qid=1694734857&amp;sr=8-42", "https://www.amazon.com/YXX-TECH1-Nonmetallic-Liquid-Tight-90-Degree-Electrical/dp/B0828TLQJT/ref=sr_1_42?keywords=Cambridge+1%2F2%22+PVC+Liquid+Tight+Conduit+Fitting+-+90+Degree&amp;qid=1694734857&amp;sr=8-42")</f>
        <v/>
      </c>
      <c r="F819" t="inlineStr">
        <is>
          <t>B0828TLQJT</t>
        </is>
      </c>
      <c r="G819">
        <f>_xlfn.IMAGE("https://edmondsonsupply.com/cdn/shop/files/W14659_01.jpg?v=1692278106")</f>
        <v/>
      </c>
      <c r="H819">
        <f>_xlfn.IMAGE("https://m.media-amazon.com/images/I/41Y6gn4p1ZL._AC_UL320_.jpg")</f>
        <v/>
      </c>
      <c r="K819" t="inlineStr">
        <is>
          <t>1.48</t>
        </is>
      </c>
      <c r="L819" t="n">
        <v>16.99</v>
      </c>
      <c r="M819" s="1" t="inlineStr">
        <is>
          <t>1,047.97%</t>
        </is>
      </c>
      <c r="N819" s="7" t="n">
        <v>205.37</v>
      </c>
      <c r="O819" t="n">
        <v>4.8</v>
      </c>
      <c r="P819" t="n">
        <v>321</v>
      </c>
      <c r="R819" t="inlineStr">
        <is>
          <t>InStock</t>
        </is>
      </c>
      <c r="S819" t="inlineStr">
        <is>
          <t>undefined</t>
        </is>
      </c>
      <c r="T819" t="inlineStr">
        <is>
          <t>8028224422104</t>
        </is>
      </c>
    </row>
    <row r="820" ht="87" customHeight="1">
      <c r="A820" s="2">
        <f>HYPERLINK("https://edmondsonsupply.com/collections/hvac/products/klein-tools-69445-rare-earth-magnetic-hanger-no-strap", "https://edmondsonsupply.com/collections/hvac/products/klein-tools-69445-rare-earth-magnetic-hanger-no-strap")</f>
        <v/>
      </c>
      <c r="B820" s="2">
        <f>HYPERLINK("https://edmondsonsupply.com/products/klein-tools-69445-rare-earth-magnetic-hanger-no-strap", "https://edmondsonsupply.com/products/klein-tools-69445-rare-earth-magnetic-hanger-no-strap")</f>
        <v/>
      </c>
      <c r="C820" t="inlineStr">
        <is>
          <t>Klein Tools 69445 Rare Earth Magnetic Hanger, no Strap</t>
        </is>
      </c>
      <c r="D820" t="inlineStr">
        <is>
          <t>Klein Tools ET600 Multimeter, Megohmmeter Insulation Tester, 4000 Ohms Resistance, 125V/250V/500V/1000V, Auto-Ranging TRMS Multimeter &amp; Rare-Earth Magnetic Hanger no Strap</t>
        </is>
      </c>
      <c r="E820" s="2">
        <f>HYPERLINK("https://www.amazon.com/Klein-Tools-Megohmmeter-Insulation-Ohms-Resistance-Auto-Ranging/dp/B0B7NFMBPZ/ref=sr_1_4?keywords=Klein+Tools+69445+Rare+Earth+Magnetic+Hanger%2C+no+Strap&amp;qid=1694734706&amp;sr=8-4", "https://www.amazon.com/Klein-Tools-Megohmmeter-Insulation-Ohms-Resistance-Auto-Ranging/dp/B0B7NFMBPZ/ref=sr_1_4?keywords=Klein+Tools+69445+Rare+Earth+Magnetic+Hanger%2C+no+Strap&amp;qid=1694734706&amp;sr=8-4")</f>
        <v/>
      </c>
      <c r="F820" t="inlineStr">
        <is>
          <t>B0B7NFMBPZ</t>
        </is>
      </c>
      <c r="G820">
        <f>_xlfn.IMAGE("https://edmondsonsupply.com/cdn/shop/products/69445.jpg?v=1633030859")</f>
        <v/>
      </c>
      <c r="H820">
        <f>_xlfn.IMAGE("https://m.media-amazon.com/images/I/61U-LeAD05L._AC_UL320_.jpg")</f>
        <v/>
      </c>
      <c r="K820" t="inlineStr">
        <is>
          <t>15.99</t>
        </is>
      </c>
      <c r="L820" t="n">
        <v>180.98</v>
      </c>
      <c r="M820" s="1" t="inlineStr">
        <is>
          <t>1,031.83%</t>
        </is>
      </c>
      <c r="N820" s="7" t="n">
        <v>205.37</v>
      </c>
      <c r="O820" t="n">
        <v>4.3</v>
      </c>
      <c r="P820" t="n">
        <v>4</v>
      </c>
      <c r="R820" t="inlineStr">
        <is>
          <t>InStock</t>
        </is>
      </c>
      <c r="S820" t="inlineStr">
        <is>
          <t>22.84</t>
        </is>
      </c>
      <c r="T820" t="inlineStr">
        <is>
          <t>6112025280685</t>
        </is>
      </c>
    </row>
    <row r="821" ht="87" customHeight="1">
      <c r="A821" s="2">
        <f>HYPERLINK("https://edmondsonsupply.com/collections/hvac/products/nu-calgon-4289-05", "https://edmondsonsupply.com/collections/hvac/products/nu-calgon-4289-05")</f>
        <v/>
      </c>
      <c r="B821" s="2">
        <f>HYPERLINK("https://edmondsonsupply.com/products/nu-calgon-4289-05", "https://edmondsonsupply.com/products/nu-calgon-4289-05")</f>
        <v/>
      </c>
      <c r="C821" t="inlineStr">
        <is>
          <t>Nu-Calgon 4289-05 Refrigerant Sealant 10ml</t>
        </is>
      </c>
      <c r="D821" t="inlineStr">
        <is>
          <t>Nu-Calgon 4050-11 EasySeal Direct Inject-UV Dye Refrigerant Leak Sealant, One Size Treats Systems 2 to 7.5 Tons</t>
        </is>
      </c>
      <c r="E821" s="2">
        <f>HYPERLINK("https://www.amazon.com/Nu-Calgon-4050-11-EasySeal-Inject-UV-Refrigerant/dp/B072Q3MX47/ref=sr_1_2?keywords=Nu-Calgon+4289-05+Refrigerant+Sealant+10ml&amp;qid=1694734903&amp;sr=8-2", "https://www.amazon.com/Nu-Calgon-4050-11-EasySeal-Inject-UV-Refrigerant/dp/B072Q3MX47/ref=sr_1_2?keywords=Nu-Calgon+4289-05+Refrigerant+Sealant+10ml&amp;qid=1694734903&amp;sr=8-2")</f>
        <v/>
      </c>
      <c r="F821" t="inlineStr">
        <is>
          <t>B072Q3MX47</t>
        </is>
      </c>
      <c r="G821">
        <f>_xlfn.IMAGE("https://edmondsonsupply.com/cdn/shop/files/4289-05_20201019.jpg?v=1687444499")</f>
        <v/>
      </c>
      <c r="H821">
        <f>_xlfn.IMAGE("https://m.media-amazon.com/images/I/51kJOZZkRVL._AC_UL320_.jpg")</f>
        <v/>
      </c>
      <c r="K821" t="inlineStr">
        <is>
          <t>5.89</t>
        </is>
      </c>
      <c r="L821" t="n">
        <v>66.09</v>
      </c>
      <c r="M821" s="1" t="inlineStr">
        <is>
          <t>1,022.07%</t>
        </is>
      </c>
      <c r="N821" s="7" t="n">
        <v>205.07</v>
      </c>
      <c r="O821" t="n">
        <v>4.4</v>
      </c>
      <c r="P821" t="n">
        <v>209</v>
      </c>
      <c r="R821" t="inlineStr">
        <is>
          <t>InStock</t>
        </is>
      </c>
      <c r="S821" t="inlineStr">
        <is>
          <t>9.0</t>
        </is>
      </c>
      <c r="T821" t="inlineStr">
        <is>
          <t>8007254081752</t>
        </is>
      </c>
    </row>
    <row r="822" hidden="1" ht="15.75" customHeight="1">
      <c r="A822" s="2">
        <f>HYPERLINK("https://edmondsonsupply.com/collections/hvac/products/holyoke-fittings-41fp-4-1-4-forged-flare-nut", "https://edmondsonsupply.com/collections/hvac/products/holyoke-fittings-41fp-4-1-4-forged-flare-nut")</f>
        <v/>
      </c>
      <c r="B822" s="2">
        <f>HYPERLINK("https://edmondsonsupply.com/products/holyoke-fittings-41fp-4-1-4-forged-flare-nut", "https://edmondsonsupply.com/products/holyoke-fittings-41fp-4-1-4-forged-flare-nut")</f>
        <v/>
      </c>
      <c r="C822" t="inlineStr">
        <is>
          <t>Holyoke Fittings 41FP-4 1/4" Forged Flare Nut</t>
        </is>
      </c>
      <c r="D822" t="inlineStr">
        <is>
          <t>Highcraft G41GT-14-10 Forged Brass Short Nut for Flare Pipe Fittings 1/4" O.D. Connection (Pack of 10)</t>
        </is>
      </c>
      <c r="E822" s="2">
        <f>HYPERLINK("https://www.amazon.com/Highcraft-G41GT-14-10-Forged-Fittings-Connection/dp/B09JTTYXCY/ref=sr_1_2?keywords=Holyoke+Fittings+41FP-4+1%2F4%22+Forged+Flare+Nut&amp;qid=1694734909&amp;sr=8-2", "https://www.amazon.com/Highcraft-G41GT-14-10-Forged-Fittings-Connection/dp/B09JTTYXCY/ref=sr_1_2?keywords=Holyoke+Fittings+41FP-4+1%2F4%22+Forged+Flare+Nut&amp;qid=1694734909&amp;sr=8-2")</f>
        <v/>
      </c>
      <c r="F822" t="inlineStr">
        <is>
          <t>B09JTTYXCY</t>
        </is>
      </c>
      <c r="G822">
        <f>_xludf.IMAGE("https://edmondsonsupply.com/cdn/shop/files/41FP.jpg?v=1686586951")</f>
        <v/>
      </c>
      <c r="H822">
        <f>_xludf.IMAGE("https://m.media-amazon.com/images/I/71wOkzziXwL._AC_UY218_.jpg")</f>
        <v/>
      </c>
      <c r="K822" t="inlineStr">
        <is>
          <t>1.25</t>
        </is>
      </c>
      <c r="L822" t="n">
        <v>13.77</v>
      </c>
      <c r="M822" s="1" t="inlineStr">
        <is>
          <t>1,001.60%</t>
        </is>
      </c>
      <c r="N822" s="1" t="n">
        <v>204.46</v>
      </c>
      <c r="O822" t="n">
        <v>5</v>
      </c>
      <c r="P822" t="n">
        <v>3</v>
      </c>
      <c r="R822" t="inlineStr">
        <is>
          <t>InStock</t>
        </is>
      </c>
      <c r="S822" t="inlineStr">
        <is>
          <t>1.57</t>
        </is>
      </c>
      <c r="T822" t="inlineStr">
        <is>
          <t>8004509663448</t>
        </is>
      </c>
    </row>
    <row r="823" hidden="1" ht="15.75" customHeight="1">
      <c r="A823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23" s="2">
        <f>HYPERLINK("https://edmondsonsupply.com/products/cambridge-1-2-pvc-liquid-tight-conduit-fitting-straight", "https://edmondsonsupply.com/products/cambridge-1-2-pvc-liquid-tight-conduit-fitting-straight")</f>
        <v/>
      </c>
      <c r="C823" t="inlineStr">
        <is>
          <t>Cambridge 1/2" PVC Liquid Tight Conduit Fitting - Straight</t>
        </is>
      </c>
      <c r="D823" t="inlineStr">
        <is>
          <t>UL Listed 1/2 Inch Non-metallic Liquid Tight Straight Electrical Conduit Connector Fitting, 5 Pack (1/2 Inch)</t>
        </is>
      </c>
      <c r="E823" s="2">
        <f>HYPERLINK("https://www.amazon.com/Non-metallic-Straight-Electrical-Conduit-Connector/dp/B091F36HNJ/ref=sr_1_47?keywords=Cambridge+1%2F2%22+PVC+Liquid+Tight+Conduit+Fitting+-+Straight&amp;qid=1694734855&amp;sr=8-47", "https://www.amazon.com/Non-metallic-Straight-Electrical-Conduit-Connector/dp/B091F36HNJ/ref=sr_1_47?keywords=Cambridge+1%2F2%22+PVC+Liquid+Tight+Conduit+Fitting+-+Straight&amp;qid=1694734855&amp;sr=8-47")</f>
        <v/>
      </c>
      <c r="F823" t="inlineStr">
        <is>
          <t>B091F36HNJ</t>
        </is>
      </c>
      <c r="G823">
        <f>_xludf.IMAGE("https://edmondsonsupply.com/cdn/shop/files/W14658_01.jpg?v=1692277178")</f>
        <v/>
      </c>
      <c r="H823">
        <f>_xludf.IMAGE("https://m.media-amazon.com/images/I/71yJV0D-h8S._AC_UL320_.jpg")</f>
        <v/>
      </c>
      <c r="K823" t="inlineStr">
        <is>
          <t>1.19</t>
        </is>
      </c>
      <c r="L823" t="n">
        <v>12.99</v>
      </c>
      <c r="M823" s="1" t="inlineStr">
        <is>
          <t>991.60%</t>
        </is>
      </c>
      <c r="N823" s="1" t="n">
        <v>203.91</v>
      </c>
      <c r="O823" t="n">
        <v>4.6</v>
      </c>
      <c r="P823" t="n">
        <v>4</v>
      </c>
      <c r="R823" t="inlineStr">
        <is>
          <t>InStock</t>
        </is>
      </c>
      <c r="S823" t="inlineStr">
        <is>
          <t>undefined</t>
        </is>
      </c>
      <c r="T823" t="inlineStr">
        <is>
          <t>8028223144152</t>
        </is>
      </c>
    </row>
    <row r="824" ht="87" customHeight="1">
      <c r="A824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24" s="2">
        <f>HYPERLINK("https://edmondsonsupply.com/products/cambridge-1-2-pvc-liquid-tight-conduit-fitting-90-degree", "https://edmondsonsupply.com/products/cambridge-1-2-pvc-liquid-tight-conduit-fitting-90-degree")</f>
        <v/>
      </c>
      <c r="C824" t="inlineStr">
        <is>
          <t>Cambridge 1/2" PVC Liquid Tight Conduit Fitting - 90 Degree</t>
        </is>
      </c>
      <c r="D824" t="inlineStr">
        <is>
          <t>1/2 Inch Flexible Conduit Liquid Tight Connector Nonmetallic Liquid Tight 90° Conduit PVC Flexible Electrical Conduit Fittings 12PACK</t>
        </is>
      </c>
      <c r="E824" s="2">
        <f>HYPERLINK("https://www.amazon.com/Flexible-Connector-Nonmetallic-Electrical-Fittings/dp/B0CBBY1JXH/ref=sr_1_14?keywords=Cambridge+1%2F2%22+PVC+Liquid+Tight+Conduit+Fitting+-+90+Degree&amp;qid=1694734857&amp;sr=8-14", "https://www.amazon.com/Flexible-Connector-Nonmetallic-Electrical-Fittings/dp/B0CBBY1JXH/ref=sr_1_14?keywords=Cambridge+1%2F2%22+PVC+Liquid+Tight+Conduit+Fitting+-+90+Degree&amp;qid=1694734857&amp;sr=8-14")</f>
        <v/>
      </c>
      <c r="F824" t="inlineStr">
        <is>
          <t>B0CBBY1JXH</t>
        </is>
      </c>
      <c r="G824">
        <f>_xlfn.IMAGE("https://edmondsonsupply.com/cdn/shop/files/W14659_01.jpg?v=1692278106")</f>
        <v/>
      </c>
      <c r="H824">
        <f>_xlfn.IMAGE("https://m.media-amazon.com/images/I/71uTl0f6FXL._AC_UL320_.jpg")</f>
        <v/>
      </c>
      <c r="K824" t="inlineStr">
        <is>
          <t>1.48</t>
        </is>
      </c>
      <c r="L824" t="n">
        <v>15.99</v>
      </c>
      <c r="M824" s="1" t="inlineStr">
        <is>
          <t>980.41%</t>
        </is>
      </c>
      <c r="N824" s="7" t="n">
        <v>203.91</v>
      </c>
      <c r="O824" t="n">
        <v>5</v>
      </c>
      <c r="P824" t="n">
        <v>17</v>
      </c>
      <c r="R824" t="inlineStr">
        <is>
          <t>InStock</t>
        </is>
      </c>
      <c r="S824" t="inlineStr">
        <is>
          <t>undefined</t>
        </is>
      </c>
      <c r="T824" t="inlineStr">
        <is>
          <t>8028224422104</t>
        </is>
      </c>
    </row>
    <row r="825" ht="87" customHeight="1">
      <c r="A825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825" s="2">
        <f>HYPERLINK("https://edmondsonsupply.com/products/klein-tools-935dag-digital-angle-gauge-and-level", "https://edmondsonsupply.com/products/klein-tools-935dag-digital-angle-gauge-and-level")</f>
        <v/>
      </c>
      <c r="C825" t="inlineStr">
        <is>
          <t>Klein Tools 935DAG Digital Angle Gauge and Level</t>
        </is>
      </c>
      <c r="D825" t="inlineStr">
        <is>
          <t>Electronic Level, 24 in.L, Yellow &amp; Klein Tools 935DAG Digital Electronic Level and Angle Gauge, Measures 0-90 and 0-180 Degree Ranges, Measures and Sets Angles</t>
        </is>
      </c>
      <c r="E825" s="2">
        <f>HYPERLINK("https://www.amazon.com/Electronic-Yellow-935DAG-Digital-Measures/dp/B0BC85Z4B6/ref=sr_1_9?keywords=Klein+Tools+935DAG+Digital+Angle+Gauge+and+Level&amp;qid=1694734733&amp;sr=8-9", "https://www.amazon.com/Electronic-Yellow-935DAG-Digital-Measures/dp/B0BC85Z4B6/ref=sr_1_9?keywords=Klein+Tools+935DAG+Digital+Angle+Gauge+and+Level&amp;qid=1694734733&amp;sr=8-9")</f>
        <v/>
      </c>
      <c r="F825" t="inlineStr">
        <is>
          <t>B0BC85Z4B6</t>
        </is>
      </c>
      <c r="G825">
        <f>_xlfn.IMAGE("https://edmondsonsupply.com/cdn/shop/products/935dag.jpg?v=1587145032")</f>
        <v/>
      </c>
      <c r="H825">
        <f>_xlfn.IMAGE("https://m.media-amazon.com/images/I/51tvbbNCcVL._AC_UL320_.jpg")</f>
        <v/>
      </c>
      <c r="K825" t="inlineStr">
        <is>
          <t>29.97</t>
        </is>
      </c>
      <c r="L825" t="n">
        <v>318.72</v>
      </c>
      <c r="M825" s="1" t="inlineStr">
        <is>
          <t>963.46%</t>
        </is>
      </c>
      <c r="N825" s="7" t="n">
        <v>203.91</v>
      </c>
      <c r="O825" t="n">
        <v>4.6</v>
      </c>
      <c r="P825" t="n">
        <v>181</v>
      </c>
      <c r="R825" t="inlineStr">
        <is>
          <t>InStock</t>
        </is>
      </c>
      <c r="S825" t="inlineStr">
        <is>
          <t>45.0</t>
        </is>
      </c>
      <c r="T825" t="inlineStr">
        <is>
          <t>4167487094884</t>
        </is>
      </c>
    </row>
    <row r="826" ht="87" customHeight="1">
      <c r="A826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826" s="2">
        <f>HYPERLINK("https://edmondsonsupply.com/products/klein-tools-935dag-digital-angle-gauge-and-level", "https://edmondsonsupply.com/products/klein-tools-935dag-digital-angle-gauge-and-level")</f>
        <v/>
      </c>
      <c r="C826" t="inlineStr">
        <is>
          <t>Klein Tools 935DAG Digital Angle Gauge and Level</t>
        </is>
      </c>
      <c r="D826" t="inlineStr">
        <is>
          <t>Klein Tools 93PLL Self-Leveling Green Planar Laser Level (≤1mW @ 510-530nm) &amp; 935DAG Digital Electronic Level and Angle Gauge, Measures 0-90 and 0-180 Degree Ranges, Measures and Sets Angles</t>
        </is>
      </c>
      <c r="E826" s="2">
        <f>HYPERLINK("https://www.amazon.com/Klein-Tools-Self-Leveling-510-530nm-Electronic/dp/B0BC86ZZ6Q/ref=sr_1_48?keywords=Klein+Tools+935DAG+Digital+Angle+Gauge+and+Level&amp;qid=1694734733&amp;sr=8-48", "https://www.amazon.com/Klein-Tools-Self-Leveling-510-530nm-Electronic/dp/B0BC86ZZ6Q/ref=sr_1_48?keywords=Klein+Tools+935DAG+Digital+Angle+Gauge+and+Level&amp;qid=1694734733&amp;sr=8-48")</f>
        <v/>
      </c>
      <c r="F826" t="inlineStr">
        <is>
          <t>B0BC86ZZ6Q</t>
        </is>
      </c>
      <c r="G826">
        <f>_xlfn.IMAGE("https://edmondsonsupply.com/cdn/shop/products/935dag.jpg?v=1587145032")</f>
        <v/>
      </c>
      <c r="H826">
        <f>_xlfn.IMAGE("https://m.media-amazon.com/images/I/5142-tLPqXL._AC_UL320_.jpg")</f>
        <v/>
      </c>
      <c r="K826" t="inlineStr">
        <is>
          <t>29.97</t>
        </is>
      </c>
      <c r="L826" t="n">
        <v>317.56</v>
      </c>
      <c r="M826" s="1" t="inlineStr">
        <is>
          <t>959.59%</t>
        </is>
      </c>
      <c r="N826" s="7" t="n">
        <v>203.91</v>
      </c>
      <c r="O826" t="n">
        <v>5</v>
      </c>
      <c r="P826" t="n">
        <v>2</v>
      </c>
      <c r="R826" t="inlineStr">
        <is>
          <t>InStock</t>
        </is>
      </c>
      <c r="S826" t="inlineStr">
        <is>
          <t>45.0</t>
        </is>
      </c>
      <c r="T826" t="inlineStr">
        <is>
          <t>4167487094884</t>
        </is>
      </c>
    </row>
    <row r="827" ht="87" customHeight="1">
      <c r="A827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27" s="2">
        <f>HYPERLINK("https://edmondsonsupply.com/products/cambridge-1-2-pvc-liquid-tight-conduit-fitting-90-degree", "https://edmondsonsupply.com/products/cambridge-1-2-pvc-liquid-tight-conduit-fitting-90-degree")</f>
        <v/>
      </c>
      <c r="C827" t="inlineStr">
        <is>
          <t>Cambridge 1/2" PVC Liquid Tight Conduit Fitting - 90 Degree</t>
        </is>
      </c>
      <c r="D827" t="inlineStr">
        <is>
          <t>Fuzbaxy 1/2" NPT Liquid Tight Connector 90 Degree Electrical Conduit Connector Fitting-10pack</t>
        </is>
      </c>
      <c r="E827" s="2">
        <f>HYPERLINK("https://www.amazon.com/Fuzbaxy-Connector-Electrical-Conduit-Fitting-10pack/dp/B09MTMTFDQ/ref=sr_1_28?keywords=Cambridge+1%2F2%22+PVC+Liquid+Tight+Conduit+Fitting+-+90+Degree&amp;qid=1694734857&amp;sr=8-28", "https://www.amazon.com/Fuzbaxy-Connector-Electrical-Conduit-Fitting-10pack/dp/B09MTMTFDQ/ref=sr_1_28?keywords=Cambridge+1%2F2%22+PVC+Liquid+Tight+Conduit+Fitting+-+90+Degree&amp;qid=1694734857&amp;sr=8-28")</f>
        <v/>
      </c>
      <c r="F827" t="inlineStr">
        <is>
          <t>B09MTMTFDQ</t>
        </is>
      </c>
      <c r="G827">
        <f>_xlfn.IMAGE("https://edmondsonsupply.com/cdn/shop/files/W14659_01.jpg?v=1692278106")</f>
        <v/>
      </c>
      <c r="H827">
        <f>_xlfn.IMAGE("https://m.media-amazon.com/images/I/71+aGqPeCxL._AC_UL320_.jpg")</f>
        <v/>
      </c>
      <c r="K827" t="inlineStr">
        <is>
          <t>1.48</t>
        </is>
      </c>
      <c r="L827" t="n">
        <v>15.55</v>
      </c>
      <c r="M827" s="1" t="inlineStr">
        <is>
          <t>950.68%</t>
        </is>
      </c>
      <c r="N827" s="7" t="n">
        <v>202.7</v>
      </c>
      <c r="O827" t="n">
        <v>4.6</v>
      </c>
      <c r="P827" t="n">
        <v>104</v>
      </c>
      <c r="R827" t="inlineStr">
        <is>
          <t>InStock</t>
        </is>
      </c>
      <c r="S827" t="inlineStr">
        <is>
          <t>undefined</t>
        </is>
      </c>
      <c r="T827" t="inlineStr">
        <is>
          <t>8028224422104</t>
        </is>
      </c>
    </row>
    <row r="828" ht="87" customHeight="1">
      <c r="A828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28" s="2">
        <f>HYPERLINK("https://edmondsonsupply.com/products/klein-tools-69417-rare-earth-magnetic-meter-hanger", "https://edmondsonsupply.com/products/klein-tools-69417-rare-earth-magnetic-meter-hanger")</f>
        <v/>
      </c>
      <c r="C828" t="inlineStr">
        <is>
          <t>Klein Tools 69417 Rare Earth Magnetic Meter Hanger, with Strap</t>
        </is>
      </c>
      <c r="D828" t="inlineStr">
        <is>
          <t>Klein Tools CL800 Digital Clamp Meter, Autoranging TRMS &amp; Klein Tools 69409 Line Splitter 10x, Black &amp; Klein Tools 69417 Rare-Earth Magnetic Hanger, with Strap</t>
        </is>
      </c>
      <c r="E828" s="2">
        <f>HYPERLINK("https://www.amazon.com/Klein-Tools-Autoranging-Splitter-Rare-Earth/dp/B0C99CGRNM/ref=sr_1_8?keywords=Klein+Tools+69417+Rare+Earth+Magnetic+Meter+Hanger%2C+with+Strap&amp;qid=1694734820&amp;sr=8-8", "https://www.amazon.com/Klein-Tools-Autoranging-Splitter-Rare-Earth/dp/B0C99CGRNM/ref=sr_1_8?keywords=Klein+Tools+69417+Rare+Earth+Magnetic+Meter+Hanger%2C+with+Strap&amp;qid=1694734820&amp;sr=8-8")</f>
        <v/>
      </c>
      <c r="F828" t="inlineStr">
        <is>
          <t>B0C99CGRNM</t>
        </is>
      </c>
      <c r="G828">
        <f>_xlfn.IMAGE("https://edmondsonsupply.com/cdn/shop/products/69417.jpg?v=1587150163")</f>
        <v/>
      </c>
      <c r="H828">
        <f>_xlfn.IMAGE("https://m.media-amazon.com/images/I/51cRT-bTN5L._AC_UL320_.jpg")</f>
        <v/>
      </c>
      <c r="K828" t="inlineStr">
        <is>
          <t>13.99</t>
        </is>
      </c>
      <c r="L828" t="n">
        <v>143.18</v>
      </c>
      <c r="M828" s="1" t="inlineStr">
        <is>
          <t>923.45%</t>
        </is>
      </c>
      <c r="N828" s="7" t="n">
        <v>200.33</v>
      </c>
      <c r="O828" t="n">
        <v>5</v>
      </c>
      <c r="P828" t="n">
        <v>3</v>
      </c>
      <c r="R828" t="inlineStr">
        <is>
          <t>InStock</t>
        </is>
      </c>
      <c r="S828" t="inlineStr">
        <is>
          <t>20.0</t>
        </is>
      </c>
      <c r="T828" t="inlineStr">
        <is>
          <t>1778073731172</t>
        </is>
      </c>
    </row>
    <row r="829" ht="87" customHeight="1">
      <c r="A829" s="2">
        <f>HYPERLINK("https://edmondsonsupply.com/collections/hvac/products/nu-calgon-4291-18-nu-brite-aerosol-coil-cleaner", "https://edmondsonsupply.com/collections/hvac/products/nu-calgon-4291-18-nu-brite-aerosol-coil-cleaner")</f>
        <v/>
      </c>
      <c r="B829" s="2">
        <f>HYPERLINK("https://edmondsonsupply.com/products/nu-calgon-4291-18-nu-brite-aerosol-coil-cleaner", "https://edmondsonsupply.com/products/nu-calgon-4291-18-nu-brite-aerosol-coil-cleaner")</f>
        <v/>
      </c>
      <c r="C829" t="inlineStr">
        <is>
          <t>Nu-Calgon 4291-18 Nu-Brite Aerosol Coil Cleaner</t>
        </is>
      </c>
      <c r="D829" t="inlineStr">
        <is>
          <t>Nu Calgon 4291-18 Nu Brite Aerosol (4 Pack)</t>
        </is>
      </c>
      <c r="E829" s="2">
        <f>HYPERLINK("https://www.amazon.com/Nu-Calgon-4291-18-Brite-Aerosol/dp/B07S43CP45/ref=sr_1_11?keywords=Nu-Calgon+4291-18+Nu-Brite+Aerosol+Coil+Cleaner&amp;qid=1694734638&amp;sr=8-11", "https://www.amazon.com/Nu-Calgon-4291-18-Brite-Aerosol/dp/B07S43CP45/ref=sr_1_11?keywords=Nu-Calgon+4291-18+Nu-Brite+Aerosol+Coil+Cleaner&amp;qid=1694734638&amp;sr=8-11")</f>
        <v/>
      </c>
      <c r="F829" t="inlineStr">
        <is>
          <t>B07S43CP45</t>
        </is>
      </c>
      <c r="G829">
        <f>_xlfn.IMAGE("https://edmondsonsupply.com/cdn/shop/products/4291-18.jpg?v=1658772777")</f>
        <v/>
      </c>
      <c r="H829">
        <f>_xlfn.IMAGE("https://m.media-amazon.com/images/I/41-bLMXsHBL._AC_UL320_.jpg")</f>
        <v/>
      </c>
      <c r="K829" t="inlineStr">
        <is>
          <t>11.39</t>
        </is>
      </c>
      <c r="L829" t="n">
        <v>116.4</v>
      </c>
      <c r="M829" s="1" t="inlineStr">
        <is>
          <t>921.95%</t>
        </is>
      </c>
      <c r="N829" s="7" t="n">
        <v>200.31</v>
      </c>
      <c r="O829" t="n">
        <v>4.8</v>
      </c>
      <c r="P829" t="n">
        <v>10</v>
      </c>
      <c r="R829" t="inlineStr">
        <is>
          <t>InStock</t>
        </is>
      </c>
      <c r="S829" t="inlineStr">
        <is>
          <t>15.42</t>
        </is>
      </c>
      <c r="T829" t="inlineStr">
        <is>
          <t>7760576119000</t>
        </is>
      </c>
    </row>
    <row r="830" hidden="1" ht="15.75" customHeight="1">
      <c r="A830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30" s="2">
        <f>HYPERLINK("https://edmondsonsupply.com/products/cambridge-1-2-pvc-liquid-tight-conduit-fitting-90-degree", "https://edmondsonsupply.com/products/cambridge-1-2-pvc-liquid-tight-conduit-fitting-90-degree")</f>
        <v/>
      </c>
      <c r="C830" t="inlineStr">
        <is>
          <t>Cambridge 1/2" PVC Liquid Tight Conduit Fitting - 90 Degree</t>
        </is>
      </c>
      <c r="D830" t="inlineStr">
        <is>
          <t>1/2 Inch 90 Degree Nonmetallic Liquid Tight Electrical Conduit Conector Fitting, 5 Pack, UL Listed</t>
        </is>
      </c>
      <c r="E830" s="2">
        <f>HYPERLINK("https://www.amazon.com/Nonmetallic-Electrical-Conduit-Conector-Fitting/dp/B08RX49Y2R/ref=sr_1_23?keywords=Cambridge+1%2F2%22+PVC+Liquid+Tight+Conduit+Fitting+-+90+Degree&amp;qid=1694734857&amp;sr=8-23", "https://www.amazon.com/Nonmetallic-Electrical-Conduit-Conector-Fitting/dp/B08RX49Y2R/ref=sr_1_23?keywords=Cambridge+1%2F2%22+PVC+Liquid+Tight+Conduit+Fitting+-+90+Degree&amp;qid=1694734857&amp;sr=8-23")</f>
        <v/>
      </c>
      <c r="F830" t="inlineStr">
        <is>
          <t>B08RX49Y2R</t>
        </is>
      </c>
      <c r="G830">
        <f>_xludf.IMAGE("https://edmondsonsupply.com/cdn/shop/files/W14659_01.jpg?v=1692278106")</f>
        <v/>
      </c>
      <c r="H830">
        <f>_xludf.IMAGE("https://m.media-amazon.com/images/I/71kMHjhtrrL._AC_UL320_.jpg")</f>
        <v/>
      </c>
      <c r="K830" t="inlineStr">
        <is>
          <t>1.48</t>
        </is>
      </c>
      <c r="L830" t="n">
        <v>14.99</v>
      </c>
      <c r="M830" s="1" t="inlineStr">
        <is>
          <t>912.84%</t>
        </is>
      </c>
      <c r="N830" s="1" t="n">
        <v>200.3</v>
      </c>
      <c r="O830" t="n">
        <v>4.5</v>
      </c>
      <c r="P830" t="n">
        <v>2</v>
      </c>
      <c r="R830" t="inlineStr">
        <is>
          <t>InStock</t>
        </is>
      </c>
      <c r="S830" t="inlineStr">
        <is>
          <t>undefined</t>
        </is>
      </c>
      <c r="T830" t="inlineStr">
        <is>
          <t>8028224422104</t>
        </is>
      </c>
    </row>
    <row r="831" hidden="1" ht="15.75" customHeight="1">
      <c r="A83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31" s="2">
        <f>HYPERLINK("https://edmondsonsupply.com/products/cambridge-1-2-pvc-liquid-tight-conduit-fitting-straight", "https://edmondsonsupply.com/products/cambridge-1-2-pvc-liquid-tight-conduit-fitting-straight")</f>
        <v/>
      </c>
      <c r="C831" t="inlineStr">
        <is>
          <t>Cambridge 1/2" PVC Liquid Tight Conduit Fitting - Straight</t>
        </is>
      </c>
      <c r="D831" t="inlineStr">
        <is>
          <t>1/2" Liquid Tight Connector Electrical Conduit Connector 90 Degree and 180 Degree PVC Flexible Conduit Connector Fitting for Home Kitchen Bathroom Tube Tool Supplies (10 Pcs)</t>
        </is>
      </c>
      <c r="E831" s="2">
        <f>HYPERLINK("https://www.amazon.com/Connector-Electrical-Flexible-Bathroom-Supplies/dp/B0C621G3ZP/ref=sr_1_31?keywords=Cambridge+1%2F2%22+PVC+Liquid+Tight+Conduit+Fitting+-+Straight&amp;qid=1694734855&amp;sr=8-31", "https://www.amazon.com/Connector-Electrical-Flexible-Bathroom-Supplies/dp/B0C621G3ZP/ref=sr_1_31?keywords=Cambridge+1%2F2%22+PVC+Liquid+Tight+Conduit+Fitting+-+Straight&amp;qid=1694734855&amp;sr=8-31")</f>
        <v/>
      </c>
      <c r="F831" t="inlineStr">
        <is>
          <t>B0C621G3ZP</t>
        </is>
      </c>
      <c r="G831">
        <f>_xludf.IMAGE("https://edmondsonsupply.com/cdn/shop/files/W14658_01.jpg?v=1692277178")</f>
        <v/>
      </c>
      <c r="H831">
        <f>_xludf.IMAGE("https://m.media-amazon.com/images/I/61t+CtU7I1L._AC_UL320_.jpg")</f>
        <v/>
      </c>
      <c r="K831" t="inlineStr">
        <is>
          <t>1.19</t>
        </is>
      </c>
      <c r="L831" t="n">
        <v>11.99</v>
      </c>
      <c r="M831" s="1" t="inlineStr">
        <is>
          <t>907.56%</t>
        </is>
      </c>
      <c r="N831" s="1" t="n">
        <v>200.25</v>
      </c>
      <c r="O831" t="n">
        <v>4.9</v>
      </c>
      <c r="P831" t="n">
        <v>19</v>
      </c>
      <c r="R831" t="inlineStr">
        <is>
          <t>InStock</t>
        </is>
      </c>
      <c r="S831" t="inlineStr">
        <is>
          <t>undefined</t>
        </is>
      </c>
      <c r="T831" t="inlineStr">
        <is>
          <t>8028223144152</t>
        </is>
      </c>
    </row>
    <row r="832" hidden="1" ht="15.75" customHeight="1">
      <c r="A83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32" s="2">
        <f>HYPERLINK("https://edmondsonsupply.com/products/cambridge-1-2-pvc-liquid-tight-conduit-fitting-straight", "https://edmondsonsupply.com/products/cambridge-1-2-pvc-liquid-tight-conduit-fitting-straight")</f>
        <v/>
      </c>
      <c r="C832" t="inlineStr">
        <is>
          <t>Cambridge 1/2" PVC Liquid Tight Conduit Fitting - Straight</t>
        </is>
      </c>
      <c r="D832" t="inlineStr">
        <is>
          <t>1/2 Inch Nonmetallic Liquid Tight Straight Electrical Conduit Conector Fitting, 5 Pack, UL Listed</t>
        </is>
      </c>
      <c r="E832" s="2">
        <f>HYPERLINK("https://www.amazon.com/Nonmetallic-Straight-Electrical-Conduit-Conector/dp/B08RS6VZS7/ref=sr_1_33?keywords=Cambridge+1%2F2%22+PVC+Liquid+Tight+Conduit+Fitting+-+Straight&amp;qid=1694734855&amp;sr=8-33", "https://www.amazon.com/Nonmetallic-Straight-Electrical-Conduit-Conector/dp/B08RS6VZS7/ref=sr_1_33?keywords=Cambridge+1%2F2%22+PVC+Liquid+Tight+Conduit+Fitting+-+Straight&amp;qid=1694734855&amp;sr=8-33")</f>
        <v/>
      </c>
      <c r="F832" t="inlineStr">
        <is>
          <t>B08RS6VZS7</t>
        </is>
      </c>
      <c r="G832">
        <f>_xludf.IMAGE("https://edmondsonsupply.com/cdn/shop/files/W14658_01.jpg?v=1692277178")</f>
        <v/>
      </c>
      <c r="H832">
        <f>_xludf.IMAGE("https://m.media-amazon.com/images/I/71HJdjWbD-L._AC_UL320_.jpg")</f>
        <v/>
      </c>
      <c r="K832" t="inlineStr">
        <is>
          <t>1.19</t>
        </is>
      </c>
      <c r="L832" t="n">
        <v>11.99</v>
      </c>
      <c r="M832" s="1" t="inlineStr">
        <is>
          <t>907.56%</t>
        </is>
      </c>
      <c r="N832" s="1" t="n">
        <v>200.15</v>
      </c>
      <c r="O832" t="n">
        <v>4.8</v>
      </c>
      <c r="P832" t="n">
        <v>14</v>
      </c>
      <c r="R832" t="inlineStr">
        <is>
          <t>InStock</t>
        </is>
      </c>
      <c r="S832" t="inlineStr">
        <is>
          <t>undefined</t>
        </is>
      </c>
      <c r="T832" t="inlineStr">
        <is>
          <t>8028223144152</t>
        </is>
      </c>
    </row>
    <row r="833" hidden="1" ht="15.75" customHeight="1">
      <c r="A833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33" s="2">
        <f>HYPERLINK("https://edmondsonsupply.com/products/cambridge-1-2-pvc-liquid-tight-conduit-fitting-straight", "https://edmondsonsupply.com/products/cambridge-1-2-pvc-liquid-tight-conduit-fitting-straight")</f>
        <v/>
      </c>
      <c r="C833" t="inlineStr">
        <is>
          <t>Cambridge 1/2" PVC Liquid Tight Conduit Fitting - Straight</t>
        </is>
      </c>
      <c r="D833" t="inlineStr">
        <is>
          <t>Elesunory 1/2 Inch NPT Liquid Tight Connector- Non-Metallic Liquid Tight Conduit- Straight 180D Electrical Conduit Connector Fitting(10 Pack)</t>
        </is>
      </c>
      <c r="E833" s="2">
        <f>HYPERLINK("https://www.amazon.com/Elesunory-Connector-Non-Metallic-Electrical-Connector/dp/B0B34RYMVG/ref=sr_1_45?keywords=Cambridge+1%2F2%22+PVC+Liquid+Tight+Conduit+Fitting+-+Straight&amp;qid=1694734855&amp;sr=8-45", "https://www.amazon.com/Elesunory-Connector-Non-Metallic-Electrical-Connector/dp/B0B34RYMVG/ref=sr_1_45?keywords=Cambridge+1%2F2%22+PVC+Liquid+Tight+Conduit+Fitting+-+Straight&amp;qid=1694734855&amp;sr=8-45")</f>
        <v/>
      </c>
      <c r="F833" t="inlineStr">
        <is>
          <t>B0B34RYMVG</t>
        </is>
      </c>
      <c r="G833">
        <f>_xludf.IMAGE("https://edmondsonsupply.com/cdn/shop/files/W14658_01.jpg?v=1692277178")</f>
        <v/>
      </c>
      <c r="H833">
        <f>_xludf.IMAGE("https://m.media-amazon.com/images/I/61bDzmQkLIL._AC_UL320_.jpg")</f>
        <v/>
      </c>
      <c r="K833" t="inlineStr">
        <is>
          <t>1.19</t>
        </is>
      </c>
      <c r="L833" t="n">
        <v>11.99</v>
      </c>
      <c r="M833" s="1" t="inlineStr">
        <is>
          <t>907.56%</t>
        </is>
      </c>
      <c r="N833" s="1" t="n">
        <v>200.02</v>
      </c>
      <c r="O833" t="n">
        <v>5</v>
      </c>
      <c r="P833" t="n">
        <v>2</v>
      </c>
      <c r="R833" t="inlineStr">
        <is>
          <t>InStock</t>
        </is>
      </c>
      <c r="S833" t="inlineStr">
        <is>
          <t>undefined</t>
        </is>
      </c>
      <c r="T833" t="inlineStr">
        <is>
          <t>8028223144152</t>
        </is>
      </c>
    </row>
    <row r="834" ht="87" customHeight="1">
      <c r="A834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834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834" t="inlineStr">
        <is>
          <t>Diablo Tools DMAPL4210 5/8 in. x 4 in. x 6 in. Rebar Demon™ SDS‑Plus 4‑Cutter Full Carbide Head Hammer Bit</t>
        </is>
      </c>
      <c r="D834" t="inlineStr">
        <is>
          <t>Diablo by Freud DMAPL4180-P25 1/2 in. x 4 in. x 6 in. Rebar Demon SDS-Plus 4-Cutter Full Carbide Head Hammer Bit (25-Pack) Multi, One Size</t>
        </is>
      </c>
      <c r="E834" s="2">
        <f>HYPERLINK("https://www.amazon.com/Diablo-Rebar-4-Cutter-Carbide-Hammer/dp/B089LGWV7F/ref=sr_1_7?keywords=Diablo+Tools+DMAPL4210+5%2F8+in.+x+4+in.+x+6+in.+Rebar+Demon%E2%84%A2+SDS%E2%80%91Plus+4%E2%80%91Cutter+Full+Carbide+Head+Hammer+Bit&amp;qid=1694734723&amp;sr=8-7", "https://www.amazon.com/Diablo-Rebar-4-Cutter-Carbide-Hammer/dp/B089LGWV7F/ref=sr_1_7?keywords=Diablo+Tools+DMAPL4210+5%2F8+in.+x+4+in.+x+6+in.+Rebar+Demon%E2%84%A2+SDS%E2%80%91Plus+4%E2%80%91Cutter+Full+Carbide+Head+Hammer+Bit&amp;qid=1694734723&amp;sr=8-7")</f>
        <v/>
      </c>
      <c r="F834" t="inlineStr">
        <is>
          <t>B089LGWV7F</t>
        </is>
      </c>
      <c r="G834">
        <f>_xlfn.IMAGE("https://edmondsonsupply.com/cdn/shop/products/DMAPL4210_Main-Image20200701.png?v=1633030426")</f>
        <v/>
      </c>
      <c r="H834">
        <f>_xlfn.IMAGE("https://m.media-amazon.com/images/I/61q9iw+mKpL._AC_UL320_.jpg")</f>
        <v/>
      </c>
      <c r="K834" t="inlineStr">
        <is>
          <t>9.97</t>
        </is>
      </c>
      <c r="L834" t="n">
        <v>99.98999999999999</v>
      </c>
      <c r="M834" s="1" t="inlineStr">
        <is>
          <t>902.91%</t>
        </is>
      </c>
      <c r="N834" s="7" t="n">
        <v>199.75</v>
      </c>
      <c r="O834" t="n">
        <v>5</v>
      </c>
      <c r="P834" t="n">
        <v>2</v>
      </c>
      <c r="R834" t="inlineStr">
        <is>
          <t>InStock</t>
        </is>
      </c>
      <c r="S834" t="inlineStr">
        <is>
          <t>13.77</t>
        </is>
      </c>
      <c r="T834" t="inlineStr">
        <is>
          <t>5326920482984</t>
        </is>
      </c>
    </row>
    <row r="835" ht="87" customHeight="1">
      <c r="A835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835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835" t="inlineStr">
        <is>
          <t>Klein Tools 646-1/4 1/4-Inch Nut Driver with 6-Inch Hollow Shaft</t>
        </is>
      </c>
      <c r="D835" t="inlineStr">
        <is>
          <t>Klein Tools 647M Tool Set, Magnetic Nut Drivers Sizes 3/16, 1/4, 5/16, 11/32, 3/8, 7/16, 1/2-Inch, 6-Inch Hollow Shafts, 7-Piece</t>
        </is>
      </c>
      <c r="E835" s="2">
        <f>HYPERLINK("https://www.amazon.com/Klein-Tools-647M-Magnetic-7-Piece/dp/B000MKIUYQ/ref=sr_1_19?keywords=Klein+Tools+646-1%2F4+1%2F4-Inch+Nut+Driver+with+6-Inch+Hollow+Shaft&amp;qid=1694734727&amp;sr=8-19", "https://www.amazon.com/Klein-Tools-647M-Magnetic-7-Piece/dp/B000MKIUYQ/ref=sr_1_19?keywords=Klein+Tools+646-1%2F4+1%2F4-Inch+Nut+Driver+with+6-Inch+Hollow+Shaft&amp;qid=1694734727&amp;sr=8-19")</f>
        <v/>
      </c>
      <c r="F835" t="inlineStr">
        <is>
          <t>B000MKIUYQ</t>
        </is>
      </c>
      <c r="G835">
        <f>_xlfn.IMAGE("https://edmondsonsupply.com/cdn/shop/products/646-1-2_08d87fa9-eac4-4869-8d3b-bb680d4b1d53.jpg?v=1587150676")</f>
        <v/>
      </c>
      <c r="H835">
        <f>_xlfn.IMAGE("https://m.media-amazon.com/images/I/61PNUE211uL._AC_UL320_.jpg")</f>
        <v/>
      </c>
      <c r="K835" t="inlineStr">
        <is>
          <t>7.99</t>
        </is>
      </c>
      <c r="L835" t="n">
        <v>79.98999999999999</v>
      </c>
      <c r="M835" s="1" t="inlineStr">
        <is>
          <t>901.13%</t>
        </is>
      </c>
      <c r="N835" s="7" t="n">
        <v>199.4</v>
      </c>
      <c r="O835" t="n">
        <v>4.8</v>
      </c>
      <c r="P835" t="n">
        <v>985</v>
      </c>
      <c r="R835" t="inlineStr">
        <is>
          <t>InStock</t>
        </is>
      </c>
      <c r="S835" t="inlineStr">
        <is>
          <t>12.1</t>
        </is>
      </c>
      <c r="T835" t="inlineStr">
        <is>
          <t>4439433740388</t>
        </is>
      </c>
    </row>
    <row r="836" ht="87" customHeight="1">
      <c r="A836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836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836" t="inlineStr">
        <is>
          <t>Klein Tools 646-1/4 1/4-Inch Nut Driver with 6-Inch Hollow Shaft</t>
        </is>
      </c>
      <c r="D836" t="inlineStr">
        <is>
          <t>Klein Tools 635-6 Tool Set, Heavy Duty Magnetic Nut Drivers SAE Sizes 1/4, 5/16, 3/8, 7/16, 1/2, and 9/16-Inch Hex, 6-Inch, 6-Piece</t>
        </is>
      </c>
      <c r="E836" s="2">
        <f>HYPERLINK("https://www.amazon.com/Heavy-Duty-Driver-6-Piece-Klein-Tools/dp/B01DKNDHGM/ref=sr_1_12?keywords=Klein+Tools+646-1%2F4+1%2F4-Inch+Nut+Driver+with+6-Inch+Hollow+Shaft&amp;qid=1694734727&amp;sr=8-12", "https://www.amazon.com/Heavy-Duty-Driver-6-Piece-Klein-Tools/dp/B01DKNDHGM/ref=sr_1_12?keywords=Klein+Tools+646-1%2F4+1%2F4-Inch+Nut+Driver+with+6-Inch+Hollow+Shaft&amp;qid=1694734727&amp;sr=8-12")</f>
        <v/>
      </c>
      <c r="F836" t="inlineStr">
        <is>
          <t>B01DKNDHGM</t>
        </is>
      </c>
      <c r="G836">
        <f>_xlfn.IMAGE("https://edmondsonsupply.com/cdn/shop/products/646-1-2_08d87fa9-eac4-4869-8d3b-bb680d4b1d53.jpg?v=1587150676")</f>
        <v/>
      </c>
      <c r="H836">
        <f>_xlfn.IMAGE("https://m.media-amazon.com/images/I/61eypCy1RLL._AC_UL320_.jpg")</f>
        <v/>
      </c>
      <c r="K836" t="inlineStr">
        <is>
          <t>7.99</t>
        </is>
      </c>
      <c r="L836" t="n">
        <v>79.98999999999999</v>
      </c>
      <c r="M836" s="1" t="inlineStr">
        <is>
          <t>901.13%</t>
        </is>
      </c>
      <c r="N836" s="7" t="n">
        <v>199.04</v>
      </c>
      <c r="O836" t="n">
        <v>4.7</v>
      </c>
      <c r="P836" t="n">
        <v>943</v>
      </c>
      <c r="R836" t="inlineStr">
        <is>
          <t>InStock</t>
        </is>
      </c>
      <c r="S836" t="inlineStr">
        <is>
          <t>12.1</t>
        </is>
      </c>
      <c r="T836" t="inlineStr">
        <is>
          <t>4439433740388</t>
        </is>
      </c>
    </row>
    <row r="837" ht="87" customHeight="1">
      <c r="A837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837" s="2">
        <f>HYPERLINK("https://edmondsonsupply.com/products/klein-tools-646-5-16-5-16-inch-nut-driver-6-inch-hollow-shaft", "https://edmondsonsupply.com/products/klein-tools-646-5-16-5-16-inch-nut-driver-6-inch-hollow-shaft")</f>
        <v/>
      </c>
      <c r="C837" t="inlineStr">
        <is>
          <t>Klein Tools 646-5/16 5/16-Inch Nut Driver, 6-Inch Hollow Shaft</t>
        </is>
      </c>
      <c r="D837" t="inlineStr">
        <is>
          <t>Klein Tools 647M Tool Set, Magnetic Nut Drivers Sizes 3/16, 1/4, 5/16, 11/32, 3/8, 7/16, 1/2-Inch, 6-Inch Hollow Shafts, 7-Piece</t>
        </is>
      </c>
      <c r="E837" s="2">
        <f>HYPERLINK("https://www.amazon.com/Klein-Tools-647M-Magnetic-7-Piece/dp/B000MKIUYQ/ref=sr_1_29?keywords=Klein+Tools+646-5%2F16+5%2F16-Inch+Nut+Driver%2C+6-Inch+Hollow+Shaft&amp;qid=1694734728&amp;sr=8-29", "https://www.amazon.com/Klein-Tools-647M-Magnetic-7-Piece/dp/B000MKIUYQ/ref=sr_1_29?keywords=Klein+Tools+646-5%2F16+5%2F16-Inch+Nut+Driver%2C+6-Inch+Hollow+Shaft&amp;qid=1694734728&amp;sr=8-29")</f>
        <v/>
      </c>
      <c r="F837" t="inlineStr">
        <is>
          <t>B000MKIUYQ</t>
        </is>
      </c>
      <c r="G837">
        <f>_xlfn.IMAGE("https://edmondsonsupply.com/cdn/shop/products/646-1-2_e1540905-f750-4509-90c5-74ff653e4d83.jpg?v=1587145119")</f>
        <v/>
      </c>
      <c r="H837">
        <f>_xlfn.IMAGE("https://m.media-amazon.com/images/I/61PNUE211uL._AC_UL320_.jpg")</f>
        <v/>
      </c>
      <c r="K837" t="inlineStr">
        <is>
          <t>7.99</t>
        </is>
      </c>
      <c r="L837" t="n">
        <v>79.98999999999999</v>
      </c>
      <c r="M837" s="1" t="inlineStr">
        <is>
          <t>901.13%</t>
        </is>
      </c>
      <c r="N837" s="7" t="n">
        <v>198.77</v>
      </c>
      <c r="O837" t="n">
        <v>4.8</v>
      </c>
      <c r="P837" t="n">
        <v>985</v>
      </c>
      <c r="R837" t="inlineStr">
        <is>
          <t>InStock</t>
        </is>
      </c>
      <c r="S837" t="inlineStr">
        <is>
          <t>12.1</t>
        </is>
      </c>
      <c r="T837" t="inlineStr">
        <is>
          <t>4395303272548</t>
        </is>
      </c>
    </row>
    <row r="838" ht="87" customHeight="1">
      <c r="A838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838" s="2">
        <f>HYPERLINK("https://edmondsonsupply.com/products/klein-tools-646-5-16-5-16-inch-nut-driver-6-inch-hollow-shaft", "https://edmondsonsupply.com/products/klein-tools-646-5-16-5-16-inch-nut-driver-6-inch-hollow-shaft")</f>
        <v/>
      </c>
      <c r="C838" t="inlineStr">
        <is>
          <t>Klein Tools 646-5/16 5/16-Inch Nut Driver, 6-Inch Hollow Shaft</t>
        </is>
      </c>
      <c r="D838" t="inlineStr">
        <is>
          <t>Klein Tools 635-6 Tool Set, Heavy Duty Magnetic Nut Drivers SAE Sizes 1/4, 5/16, 3/8, 7/16, 1/2, and 9/16-Inch Hex, 6-Inch, 6-Piece</t>
        </is>
      </c>
      <c r="E838" s="2">
        <f>HYPERLINK("https://www.amazon.com/Heavy-Duty-Driver-6-Piece-Klein-Tools/dp/B01DKNDHGM/ref=sr_1_34?keywords=Klein+Tools+646-5%2F16+5%2F16-Inch+Nut+Driver%2C+6-Inch+Hollow+Shaft&amp;qid=1694734728&amp;sr=8-34", "https://www.amazon.com/Heavy-Duty-Driver-6-Piece-Klein-Tools/dp/B01DKNDHGM/ref=sr_1_34?keywords=Klein+Tools+646-5%2F16+5%2F16-Inch+Nut+Driver%2C+6-Inch+Hollow+Shaft&amp;qid=1694734728&amp;sr=8-34")</f>
        <v/>
      </c>
      <c r="F838" t="inlineStr">
        <is>
          <t>B01DKNDHGM</t>
        </is>
      </c>
      <c r="G838">
        <f>_xlfn.IMAGE("https://edmondsonsupply.com/cdn/shop/products/646-1-2_e1540905-f750-4509-90c5-74ff653e4d83.jpg?v=1587145119")</f>
        <v/>
      </c>
      <c r="H838">
        <f>_xlfn.IMAGE("https://m.media-amazon.com/images/I/61eypCy1RLL._AC_UL320_.jpg")</f>
        <v/>
      </c>
      <c r="K838" t="inlineStr">
        <is>
          <t>7.99</t>
        </is>
      </c>
      <c r="L838" t="n">
        <v>79.98999999999999</v>
      </c>
      <c r="M838" s="1" t="inlineStr">
        <is>
          <t>901.13%</t>
        </is>
      </c>
      <c r="N838" s="7" t="n">
        <v>198.06</v>
      </c>
      <c r="O838" t="n">
        <v>4.7</v>
      </c>
      <c r="P838" t="n">
        <v>943</v>
      </c>
      <c r="R838" t="inlineStr">
        <is>
          <t>InStock</t>
        </is>
      </c>
      <c r="S838" t="inlineStr">
        <is>
          <t>12.1</t>
        </is>
      </c>
      <c r="T838" t="inlineStr">
        <is>
          <t>4395303272548</t>
        </is>
      </c>
    </row>
    <row r="839" hidden="1" ht="15.75" customHeight="1">
      <c r="A839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39" s="2">
        <f>HYPERLINK("https://edmondsonsupply.com/products/cambridge-3-4-pvc-liquid-tight-conduit-fitting-straight", "https://edmondsonsupply.com/products/cambridge-3-4-pvc-liquid-tight-conduit-fitting-straight")</f>
        <v/>
      </c>
      <c r="C839" t="inlineStr">
        <is>
          <t>Cambridge 3/4" PVC Liquid Tight Conduit Fitting - Straight</t>
        </is>
      </c>
      <c r="D839" t="inlineStr">
        <is>
          <t>3/4-Inch 10 Pack Liquid Tight Connector, Yolleach Flexible Nonmetallic Electrical Conduit Connector, Straight PVC Conduit Connector, UL Listed</t>
        </is>
      </c>
      <c r="E839" s="2">
        <f>HYPERLINK("https://www.amazon.com/Connector-Yolleach-Flexible-Nonmetallic-Electrical/dp/B0C39V37TY/ref=sr_1_25?keywords=Cambridge+3%2F4%22+PVC+Liquid+Tight+Conduit+Fitting+-+Straight&amp;qid=1694734855&amp;sr=8-25", "https://www.amazon.com/Connector-Yolleach-Flexible-Nonmetallic-Electrical/dp/B0C39V37TY/ref=sr_1_25?keywords=Cambridge+3%2F4%22+PVC+Liquid+Tight+Conduit+Fitting+-+Straight&amp;qid=1694734855&amp;sr=8-25")</f>
        <v/>
      </c>
      <c r="F839" t="inlineStr">
        <is>
          <t>B0C39V37TY</t>
        </is>
      </c>
      <c r="G839">
        <f>_xludf.IMAGE("https://edmondsonsupply.com/cdn/shop/files/W14656_01.jpg?v=1692277615")</f>
        <v/>
      </c>
      <c r="H839">
        <f>_xludf.IMAGE("https://m.media-amazon.com/images/I/61JWS-rRpTL._AC_UL320_.jpg")</f>
        <v/>
      </c>
      <c r="K839" t="inlineStr">
        <is>
          <t>1.5</t>
        </is>
      </c>
      <c r="L839" t="n">
        <v>14.99</v>
      </c>
      <c r="M839" s="1" t="inlineStr">
        <is>
          <t>899.33%</t>
        </is>
      </c>
      <c r="N839" s="1" t="n">
        <v>197.96</v>
      </c>
      <c r="O839" t="n">
        <v>5</v>
      </c>
      <c r="P839" t="n">
        <v>7</v>
      </c>
      <c r="R839" t="inlineStr">
        <is>
          <t>InStock</t>
        </is>
      </c>
      <c r="S839" t="inlineStr">
        <is>
          <t>undefined</t>
        </is>
      </c>
      <c r="T839" t="inlineStr">
        <is>
          <t>8028223897816</t>
        </is>
      </c>
    </row>
    <row r="840" ht="87" customHeight="1">
      <c r="A840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840" s="2">
        <f>HYPERLINK("https://edmondsonsupply.com/products/cambridge-3-4-pvc-liquid-tight-conduit-fitting-90-degree", "https://edmondsonsupply.com/products/cambridge-3-4-pvc-liquid-tight-conduit-fitting-90-degree")</f>
        <v/>
      </c>
      <c r="C840" t="inlineStr">
        <is>
          <t>Cambridge 3/4" PVC Liquid Tight Conduit Fitting - 90 Degree</t>
        </is>
      </c>
      <c r="D840" t="inlineStr">
        <is>
          <t>YXX-TECH 3/4 Inch Flexible Nonmetallic Liquid-Tight Connector, 90-Degree Electrical Conduit Connector Fitting,UL Listed, (6 PACK) (3/4 Npt 90D)</t>
        </is>
      </c>
      <c r="E840" s="2">
        <f>HYPERLINK("https://www.amazon.com/Nonmetallic-Liquid-Tight-90-Degree-Electrical-Connector/dp/B0828V3HJQ/ref=sr_1_16?keywords=Cambridge+3%2F4%22+PVC+Liquid+Tight+Conduit+Fitting+-+90+Degree&amp;qid=1694734856&amp;sr=8-16", "https://www.amazon.com/Nonmetallic-Liquid-Tight-90-Degree-Electrical-Connector/dp/B0828V3HJQ/ref=sr_1_16?keywords=Cambridge+3%2F4%22+PVC+Liquid+Tight+Conduit+Fitting+-+90+Degree&amp;qid=1694734856&amp;sr=8-16")</f>
        <v/>
      </c>
      <c r="F840" t="inlineStr">
        <is>
          <t>B0828V3HJQ</t>
        </is>
      </c>
      <c r="G840">
        <f>_xlfn.IMAGE("https://edmondsonsupply.com/cdn/shop/files/W14657_01.jpg?v=1692278537")</f>
        <v/>
      </c>
      <c r="H840">
        <f>_xlfn.IMAGE("https://m.media-amazon.com/images/I/41swJ00rP9L._AC_UL320_.jpg")</f>
        <v/>
      </c>
      <c r="K840" t="inlineStr">
        <is>
          <t>1.8</t>
        </is>
      </c>
      <c r="L840" t="n">
        <v>17.89</v>
      </c>
      <c r="M840" s="1" t="inlineStr">
        <is>
          <t>893.89%</t>
        </is>
      </c>
      <c r="N840" s="7" t="n">
        <v>197.79</v>
      </c>
      <c r="O840" t="n">
        <v>4.8</v>
      </c>
      <c r="P840" t="n">
        <v>321</v>
      </c>
      <c r="R840" t="inlineStr">
        <is>
          <t>InStock</t>
        </is>
      </c>
      <c r="S840" t="inlineStr">
        <is>
          <t>undefined</t>
        </is>
      </c>
      <c r="T840" t="inlineStr">
        <is>
          <t>8028225175768</t>
        </is>
      </c>
    </row>
    <row r="841" hidden="1" ht="15.75" customHeight="1">
      <c r="A841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41" s="2">
        <f>HYPERLINK("https://edmondsonsupply.com/products/cambridge-3-4-pvc-liquid-tight-conduit-fitting-straight", "https://edmondsonsupply.com/products/cambridge-3-4-pvc-liquid-tight-conduit-fitting-straight")</f>
        <v/>
      </c>
      <c r="C841" t="inlineStr">
        <is>
          <t>Cambridge 3/4" PVC Liquid Tight Conduit Fitting - Straight</t>
        </is>
      </c>
      <c r="D841" t="inlineStr">
        <is>
          <t>Fuzbaxy 3/4" NPT Liquid Tight Connector 90 Degree Electrical Conduit Connector Fitting-6pack</t>
        </is>
      </c>
      <c r="E841" s="2">
        <f>HYPERLINK("https://www.amazon.com/Fuzbaxy-Connector-Electrical-Conduit-Fitting-6PACK/dp/B09SCM9FQK/ref=sr_1_32?keywords=Cambridge+3%2F4%22+PVC+Liquid+Tight+Conduit+Fitting+-+Straight&amp;qid=1694734855&amp;sr=8-32", "https://www.amazon.com/Fuzbaxy-Connector-Electrical-Conduit-Fitting-6PACK/dp/B09SCM9FQK/ref=sr_1_32?keywords=Cambridge+3%2F4%22+PVC+Liquid+Tight+Conduit+Fitting+-+Straight&amp;qid=1694734855&amp;sr=8-32")</f>
        <v/>
      </c>
      <c r="F841" t="inlineStr">
        <is>
          <t>B09SCM9FQK</t>
        </is>
      </c>
      <c r="G841">
        <f>_xludf.IMAGE("https://edmondsonsupply.com/cdn/shop/files/W14656_01.jpg?v=1692277615")</f>
        <v/>
      </c>
      <c r="H841">
        <f>_xludf.IMAGE("https://m.media-amazon.com/images/I/61qI9XEzX+L._AC_UL320_.jpg")</f>
        <v/>
      </c>
      <c r="K841" t="inlineStr">
        <is>
          <t>1.5</t>
        </is>
      </c>
      <c r="L841" t="n">
        <v>14.55</v>
      </c>
      <c r="M841" s="1" t="inlineStr">
        <is>
          <t>870.00%</t>
        </is>
      </c>
      <c r="N841" s="1" t="n">
        <v>197.02</v>
      </c>
      <c r="O841" t="n">
        <v>4.6</v>
      </c>
      <c r="P841" t="n">
        <v>104</v>
      </c>
      <c r="R841" t="inlineStr">
        <is>
          <t>InStock</t>
        </is>
      </c>
      <c r="S841" t="inlineStr">
        <is>
          <t>undefined</t>
        </is>
      </c>
      <c r="T841" t="inlineStr">
        <is>
          <t>8028223897816</t>
        </is>
      </c>
    </row>
    <row r="842" hidden="1" ht="15.75" customHeight="1">
      <c r="A84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42" s="2">
        <f>HYPERLINK("https://edmondsonsupply.com/products/cambridge-1-2-pvc-liquid-tight-conduit-fitting-straight", "https://edmondsonsupply.com/products/cambridge-1-2-pvc-liquid-tight-conduit-fitting-straight")</f>
        <v/>
      </c>
      <c r="C842" t="inlineStr">
        <is>
          <t>Cambridge 1/2" PVC Liquid Tight Conduit Fitting - Straight</t>
        </is>
      </c>
      <c r="D842" t="inlineStr">
        <is>
          <t>6 Pack 1/2 inch Liquid Tight Connector PVC Flexible Conduit Connector UL Listed Liquid Tight Connector Non-Metallic Electrical Conduit Fittings (4 pcs 180D/2 pcs 90D)</t>
        </is>
      </c>
      <c r="E842" s="2">
        <f>HYPERLINK("https://www.amazon.com/Connector-Flexible-Non-Metallic-Electrical-Fittings/dp/B0BX9KCF13/ref=sr_1_35?keywords=Cambridge+1%2F2%22+PVC+Liquid+Tight+Conduit+Fitting+-+Straight&amp;qid=1694734855&amp;sr=8-35", "https://www.amazon.com/Connector-Flexible-Non-Metallic-Electrical-Fittings/dp/B0BX9KCF13/ref=sr_1_35?keywords=Cambridge+1%2F2%22+PVC+Liquid+Tight+Conduit+Fitting+-+Straight&amp;qid=1694734855&amp;sr=8-35")</f>
        <v/>
      </c>
      <c r="F842" t="inlineStr">
        <is>
          <t>B0BX9KCF13</t>
        </is>
      </c>
      <c r="G842">
        <f>_xludf.IMAGE("https://edmondsonsupply.com/cdn/shop/files/W14658_01.jpg?v=1692277178")</f>
        <v/>
      </c>
      <c r="H842">
        <f>_xludf.IMAGE("https://m.media-amazon.com/images/I/51vn4jJ6ulL._AC_UL320_.jpg")</f>
        <v/>
      </c>
      <c r="K842" t="inlineStr">
        <is>
          <t>1.19</t>
        </is>
      </c>
      <c r="L842" t="n">
        <v>11.49</v>
      </c>
      <c r="M842" s="1" t="inlineStr">
        <is>
          <t>865.55%</t>
        </is>
      </c>
      <c r="N842" s="1" t="n">
        <v>196.98</v>
      </c>
      <c r="O842" t="n">
        <v>5</v>
      </c>
      <c r="P842" t="n">
        <v>15</v>
      </c>
      <c r="R842" t="inlineStr">
        <is>
          <t>InStock</t>
        </is>
      </c>
      <c r="S842" t="inlineStr">
        <is>
          <t>undefined</t>
        </is>
      </c>
      <c r="T842" t="inlineStr">
        <is>
          <t>8028223144152</t>
        </is>
      </c>
    </row>
    <row r="843" hidden="1" ht="15.75" customHeight="1">
      <c r="A843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43" s="2">
        <f>HYPERLINK("https://edmondsonsupply.com/products/cambridge-1-2-pvc-liquid-tight-conduit-fitting-straight", "https://edmondsonsupply.com/products/cambridge-1-2-pvc-liquid-tight-conduit-fitting-straight")</f>
        <v/>
      </c>
      <c r="C843" t="inlineStr">
        <is>
          <t>Cambridge 1/2" PVC Liquid Tight Conduit Fitting - Straight</t>
        </is>
      </c>
      <c r="D843" t="inlineStr">
        <is>
          <t>1/2-Inch Liquid Tight Conduit Connectors, NPT Non-Metallic Connector for PVC Electrical Flexible Conduit Fittings, for Home Outdoor Tubes Tools, 180 Degree Straight, UL Listed, Grey, 10-Pack</t>
        </is>
      </c>
      <c r="E843" s="2">
        <f>HYPERLINK("https://www.amazon.com/Connectors-Non-Metallic-Connector-Electrical-Flexible/dp/B0C4F2VCF6/ref=sr_1_1?keywords=Cambridge+1%2F2%22+PVC+Liquid+Tight+Conduit+Fitting+-+Straight&amp;qid=1694734855&amp;sr=8-1", "https://www.amazon.com/Connectors-Non-Metallic-Connector-Electrical-Flexible/dp/B0C4F2VCF6/ref=sr_1_1?keywords=Cambridge+1%2F2%22+PVC+Liquid+Tight+Conduit+Fitting+-+Straight&amp;qid=1694734855&amp;sr=8-1")</f>
        <v/>
      </c>
      <c r="F843" t="inlineStr">
        <is>
          <t>B0C4F2VCF6</t>
        </is>
      </c>
      <c r="G843">
        <f>_xludf.IMAGE("https://edmondsonsupply.com/cdn/shop/files/W14658_01.jpg?v=1692277178")</f>
        <v/>
      </c>
      <c r="H843">
        <f>_xludf.IMAGE("https://m.media-amazon.com/images/I/61prNHNY3eL._AC_UL320_.jpg")</f>
        <v/>
      </c>
      <c r="K843" t="inlineStr">
        <is>
          <t>1.19</t>
        </is>
      </c>
      <c r="L843" t="n">
        <v>11.49</v>
      </c>
      <c r="M843" s="1" t="inlineStr">
        <is>
          <t>865.55%</t>
        </is>
      </c>
      <c r="N843" s="1" t="n">
        <v>196.94</v>
      </c>
      <c r="O843" t="n">
        <v>4.8</v>
      </c>
      <c r="P843" t="n">
        <v>7</v>
      </c>
      <c r="R843" t="inlineStr">
        <is>
          <t>InStock</t>
        </is>
      </c>
      <c r="S843" t="inlineStr">
        <is>
          <t>undefined</t>
        </is>
      </c>
      <c r="T843" t="inlineStr">
        <is>
          <t>8028223144152</t>
        </is>
      </c>
    </row>
    <row r="844" ht="87" customHeight="1">
      <c r="A844" s="2">
        <f>HYPERLINK("https://edmondsonsupply.com/collections/hvac/products/nu-calgon-4300-50-rx11-flush-line-set-flushing-tool", "https://edmondsonsupply.com/collections/hvac/products/nu-calgon-4300-50-rx11-flush-line-set-flushing-tool")</f>
        <v/>
      </c>
      <c r="B844" s="2">
        <f>HYPERLINK("https://edmondsonsupply.com/products/nu-calgon-4300-50-rx11-flush-line-set-flushing-tool", "https://edmondsonsupply.com/products/nu-calgon-4300-50-rx11-flush-line-set-flushing-tool")</f>
        <v/>
      </c>
      <c r="C844" t="inlineStr">
        <is>
          <t>Nu-Calgon 4300-50 Rx11-Flush Line Set Flushing Tool</t>
        </is>
      </c>
      <c r="D844" t="inlineStr">
        <is>
          <t>Nu-Calgon 4300-11 - Rx11 Line Set Flush 2 lb. Canister</t>
        </is>
      </c>
      <c r="E844" s="2">
        <f>HYPERLINK("https://www.amazon.com/Nu-Calgon-4300-11-Rx11-Flush-Canister/dp/B007IB7NY0/ref=sr_1_4?keywords=Nu-Calgon+4300-50+Rx11-Flush+Line+Set+Flushing+Tool&amp;qid=1694734638&amp;sr=8-4", "https://www.amazon.com/Nu-Calgon-4300-11-Rx11-Flush-Canister/dp/B007IB7NY0/ref=sr_1_4?keywords=Nu-Calgon+4300-50+Rx11-Flush+Line+Set+Flushing+Tool&amp;qid=1694734638&amp;sr=8-4")</f>
        <v/>
      </c>
      <c r="F844" t="inlineStr">
        <is>
          <t>B007IB7NY0</t>
        </is>
      </c>
      <c r="G844">
        <f>_xlfn.IMAGE("https://edmondsonsupply.com/cdn/shop/products/4300-50.jpg?v=1658784510")</f>
        <v/>
      </c>
      <c r="H844">
        <f>_xlfn.IMAGE("https://m.media-amazon.com/images/I/71IhoPdEsHL._AC_UL320_.jpg")</f>
        <v/>
      </c>
      <c r="K844" t="inlineStr">
        <is>
          <t>13.53</t>
        </is>
      </c>
      <c r="L844" t="n">
        <v>130</v>
      </c>
      <c r="M844" s="1" t="inlineStr">
        <is>
          <t>860.83%</t>
        </is>
      </c>
      <c r="N844" s="7" t="n">
        <v>195.49</v>
      </c>
      <c r="O844" t="n">
        <v>5</v>
      </c>
      <c r="P844" t="n">
        <v>1</v>
      </c>
      <c r="R844" t="inlineStr">
        <is>
          <t>InStock</t>
        </is>
      </c>
      <c r="S844" t="inlineStr">
        <is>
          <t>20.82</t>
        </is>
      </c>
      <c r="T844" t="inlineStr">
        <is>
          <t>7760937058520</t>
        </is>
      </c>
    </row>
    <row r="845" hidden="1" ht="15.75" customHeight="1">
      <c r="A845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45" s="2">
        <f>HYPERLINK("https://edmondsonsupply.com/products/cambridge-1-2-pvc-liquid-tight-conduit-fitting-90-degree", "https://edmondsonsupply.com/products/cambridge-1-2-pvc-liquid-tight-conduit-fitting-90-degree")</f>
        <v/>
      </c>
      <c r="C845" t="inlineStr">
        <is>
          <t>Cambridge 1/2" PVC Liquid Tight Conduit Fitting - 90 Degree</t>
        </is>
      </c>
      <c r="D845" t="inlineStr">
        <is>
          <t>UL Listed 1/2 Inch Non-metallic Liquid Tight 90 Degree Electrical Conduit Connector Fitting, 5 Pack (1/2 Inch)</t>
        </is>
      </c>
      <c r="E845" s="2">
        <f>HYPERLINK("https://www.amazon.com/Non-metallic-Electrical-Conduit-Connector-Fitting/dp/B09JK4STZB/ref=sr_1_33?keywords=Cambridge+1%2F2%22+PVC+Liquid+Tight+Conduit+Fitting+-+90+Degree&amp;qid=1694734857&amp;sr=8-33", "https://www.amazon.com/Non-metallic-Electrical-Conduit-Connector-Fitting/dp/B09JK4STZB/ref=sr_1_33?keywords=Cambridge+1%2F2%22+PVC+Liquid+Tight+Conduit+Fitting+-+90+Degree&amp;qid=1694734857&amp;sr=8-33")</f>
        <v/>
      </c>
      <c r="F845" t="inlineStr">
        <is>
          <t>B09JK4STZB</t>
        </is>
      </c>
      <c r="G845">
        <f>_xludf.IMAGE("https://edmondsonsupply.com/cdn/shop/files/W14659_01.jpg?v=1692278106")</f>
        <v/>
      </c>
      <c r="H845">
        <f>_xludf.IMAGE("https://m.media-amazon.com/images/I/61hrNF5Sd2L._AC_UL320_.jpg")</f>
        <v/>
      </c>
      <c r="K845" t="inlineStr">
        <is>
          <t>1.48</t>
        </is>
      </c>
      <c r="L845" t="n">
        <v>13.99</v>
      </c>
      <c r="M845" s="1" t="inlineStr">
        <is>
          <t>845.27%</t>
        </is>
      </c>
      <c r="N845" s="1" t="n">
        <v>195.24</v>
      </c>
      <c r="O845" t="n">
        <v>5</v>
      </c>
      <c r="P845" t="n">
        <v>4</v>
      </c>
      <c r="R845" t="inlineStr">
        <is>
          <t>InStock</t>
        </is>
      </c>
      <c r="S845" t="inlineStr">
        <is>
          <t>undefined</t>
        </is>
      </c>
      <c r="T845" t="inlineStr">
        <is>
          <t>8028224422104</t>
        </is>
      </c>
    </row>
    <row r="846" ht="87" customHeight="1">
      <c r="A846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46" s="2">
        <f>HYPERLINK("https://edmondsonsupply.com/products/klein-tools-69417-rare-earth-magnetic-meter-hanger", "https://edmondsonsupply.com/products/klein-tools-69417-rare-earth-magnetic-meter-hanger")</f>
        <v/>
      </c>
      <c r="C846" t="inlineStr">
        <is>
          <t>Klein Tools 69417 Rare Earth Magnetic Meter Hanger, with Strap</t>
        </is>
      </c>
      <c r="D846" t="inlineStr">
        <is>
          <t>Klein Tools CL320KIT HVAC Kit for HVAC Testing; Digital Clamp Meter &amp; 69417 Rare-Earth Magnetic Hanger, with Strap</t>
        </is>
      </c>
      <c r="E846" s="2">
        <f>HYPERLINK("https://www.amazon.com/Klein-Tools-CL320KIT-Rare-Earth-Magnetic/dp/B09Z6QR3DD/ref=sr_1_11?keywords=Klein+Tools+69417+Rare+Earth+Magnetic+Meter+Hanger%2C+with+Strap&amp;qid=1694734820&amp;sr=8-11", "https://www.amazon.com/Klein-Tools-CL320KIT-Rare-Earth-Magnetic/dp/B09Z6QR3DD/ref=sr_1_11?keywords=Klein+Tools+69417+Rare+Earth+Magnetic+Meter+Hanger%2C+with+Strap&amp;qid=1694734820&amp;sr=8-11")</f>
        <v/>
      </c>
      <c r="F846" t="inlineStr">
        <is>
          <t>B09Z6QR3DD</t>
        </is>
      </c>
      <c r="G846">
        <f>_xlfn.IMAGE("https://edmondsonsupply.com/cdn/shop/products/69417.jpg?v=1587150163")</f>
        <v/>
      </c>
      <c r="H846">
        <f>_xlfn.IMAGE("https://m.media-amazon.com/images/I/51D6ou2Jb3L._AC_UL320_.jpg")</f>
        <v/>
      </c>
      <c r="K846" t="inlineStr">
        <is>
          <t>13.99</t>
        </is>
      </c>
      <c r="L846" t="n">
        <v>131.99</v>
      </c>
      <c r="M846" s="1" t="inlineStr">
        <is>
          <t>843.46%</t>
        </is>
      </c>
      <c r="N846" s="7" t="n">
        <v>194.69</v>
      </c>
      <c r="O846" t="n">
        <v>5</v>
      </c>
      <c r="P846" t="n">
        <v>5</v>
      </c>
      <c r="R846" t="inlineStr">
        <is>
          <t>InStock</t>
        </is>
      </c>
      <c r="S846" t="inlineStr">
        <is>
          <t>20.0</t>
        </is>
      </c>
      <c r="T846" t="inlineStr">
        <is>
          <t>1778073731172</t>
        </is>
      </c>
    </row>
    <row r="847" ht="87" customHeight="1">
      <c r="A847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847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847" t="inlineStr">
        <is>
          <t>Klein Tools 646-1/4 1/4-Inch Nut Driver with 6-Inch Hollow Shaft</t>
        </is>
      </c>
      <c r="D847" t="inlineStr">
        <is>
          <t>Klein Tools 631M Tool Set, Magnetic Nut Drivers Sizes 3/16, 1/4, 5/16, 11/32, 3/8, 7/16 and 1/2-Inch on 3-Inch Full Hollow Shaft, 7-Piece</t>
        </is>
      </c>
      <c r="E847" s="2">
        <f>HYPERLINK("https://www.amazon.com/Driver-Magnetic-3-Inch-Hollow-Klein/dp/B001BQ0DNG/ref=sr_1_40?keywords=Klein+Tools+646-1%2F4+1%2F4-Inch+Nut+Driver+with+6-Inch+Hollow+Shaft&amp;qid=1694734727&amp;sr=8-40", "https://www.amazon.com/Driver-Magnetic-3-Inch-Hollow-Klein/dp/B001BQ0DNG/ref=sr_1_40?keywords=Klein+Tools+646-1%2F4+1%2F4-Inch+Nut+Driver+with+6-Inch+Hollow+Shaft&amp;qid=1694734727&amp;sr=8-40")</f>
        <v/>
      </c>
      <c r="F847" t="inlineStr">
        <is>
          <t>B001BQ0DNG</t>
        </is>
      </c>
      <c r="G847">
        <f>_xlfn.IMAGE("https://edmondsonsupply.com/cdn/shop/products/646-1-2_08d87fa9-eac4-4869-8d3b-bb680d4b1d53.jpg?v=1587150676")</f>
        <v/>
      </c>
      <c r="H847">
        <f>_xlfn.IMAGE("https://m.media-amazon.com/images/I/61pMsoh2smL._AC_UL320_.jpg")</f>
        <v/>
      </c>
      <c r="K847" t="inlineStr">
        <is>
          <t>7.99</t>
        </is>
      </c>
      <c r="L847" t="n">
        <v>74.98999999999999</v>
      </c>
      <c r="M847" s="1" t="inlineStr">
        <is>
          <t>838.55%</t>
        </is>
      </c>
      <c r="N847" s="7" t="n">
        <v>194.23</v>
      </c>
      <c r="O847" t="n">
        <v>4.8</v>
      </c>
      <c r="P847" t="n">
        <v>1145</v>
      </c>
      <c r="R847" t="inlineStr">
        <is>
          <t>InStock</t>
        </is>
      </c>
      <c r="S847" t="inlineStr">
        <is>
          <t>12.1</t>
        </is>
      </c>
      <c r="T847" t="inlineStr">
        <is>
          <t>4439433740388</t>
        </is>
      </c>
    </row>
    <row r="848" ht="87" customHeight="1">
      <c r="A848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48" s="2">
        <f>HYPERLINK("https://edmondsonsupply.com/products/klein-tools-69417-rare-earth-magnetic-meter-hanger", "https://edmondsonsupply.com/products/klein-tools-69417-rare-earth-magnetic-meter-hanger")</f>
        <v/>
      </c>
      <c r="C848" t="inlineStr">
        <is>
          <t>Klein Tools 69417 Rare Earth Magnetic Meter Hanger, with Strap</t>
        </is>
      </c>
      <c r="D848" t="inlineStr">
        <is>
          <t>Klein Tools CL800 Digital Clamp Meter, Autoranging TRMS, AC/DC Volt/Current, LOZ, Continuity, Frequency, Capacitance, NCVT, Temp, More 1000V &amp; Rare-Earth Magnetic Hanger no Strap</t>
        </is>
      </c>
      <c r="E848" s="2">
        <f>HYPERLINK("https://www.amazon.com/Klein-Tools-Autoranging-Continuity-Capacitance/dp/B0BFXMP222/ref=sr_1_32?keywords=Klein+Tools+69417+Rare+Earth+Magnetic+Meter+Hanger%2C+with+Strap&amp;qid=1694734820&amp;sr=8-32", "https://www.amazon.com/Klein-Tools-Autoranging-Continuity-Capacitance/dp/B0BFXMP222/ref=sr_1_32?keywords=Klein+Tools+69417+Rare+Earth+Magnetic+Meter+Hanger%2C+with+Strap&amp;qid=1694734820&amp;sr=8-32")</f>
        <v/>
      </c>
      <c r="F848" t="inlineStr">
        <is>
          <t>B0BFXMP222</t>
        </is>
      </c>
      <c r="G848">
        <f>_xlfn.IMAGE("https://edmondsonsupply.com/cdn/shop/products/69417.jpg?v=1587150163")</f>
        <v/>
      </c>
      <c r="H848">
        <f>_xlfn.IMAGE("https://m.media-amazon.com/images/I/61-gHKKfiPL._AC_UL320_.jpg")</f>
        <v/>
      </c>
      <c r="K848" t="inlineStr">
        <is>
          <t>13.99</t>
        </is>
      </c>
      <c r="L848" t="n">
        <v>130.2</v>
      </c>
      <c r="M848" s="1" t="inlineStr">
        <is>
          <t>830.66%</t>
        </is>
      </c>
      <c r="N848" s="7" t="n">
        <v>192.61</v>
      </c>
      <c r="O848" t="n">
        <v>4.7</v>
      </c>
      <c r="P848" t="n">
        <v>15</v>
      </c>
      <c r="R848" t="inlineStr">
        <is>
          <t>InStock</t>
        </is>
      </c>
      <c r="S848" t="inlineStr">
        <is>
          <t>20.0</t>
        </is>
      </c>
      <c r="T848" t="inlineStr">
        <is>
          <t>1778073731172</t>
        </is>
      </c>
    </row>
    <row r="849" ht="87" customHeight="1">
      <c r="A849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849" s="2">
        <f>HYPERLINK("https://edmondsonsupply.com/products/packard-titan-pro-toc5-motor-run-capacitor-5-mfd-370-volt-oval", "https://edmondsonsupply.com/products/packard-titan-pro-toc5-motor-run-capacitor-5-mfd-370-volt-oval")</f>
        <v/>
      </c>
      <c r="C849" t="inlineStr">
        <is>
          <t>Packard Titan PRO TOC5 Motor Run Capacitor 5 MFD 370 Volt Oval</t>
        </is>
      </c>
      <c r="D849" t="inlineStr">
        <is>
          <t>Packard TOCFD255 Titan Pro Motor Run Capacitor 25+5 MFD 440/370V OVAL Capacitor</t>
        </is>
      </c>
      <c r="E849" s="2">
        <f>HYPERLINK("https://www.amazon.com/Packard-TOCFD255-Titan-Motor-Capacitor/dp/B009558O8G/ref=sr_1_1?keywords=Packard+Titan+PRO+TOC5+Motor+Run+Capacitor+5+MFD+370+Volt+Oval&amp;qid=1694734593&amp;sr=8-1", "https://www.amazon.com/Packard-TOCFD255-Titan-Motor-Capacitor/dp/B009558O8G/ref=sr_1_1?keywords=Packard+Titan+PRO+TOC5+Motor+Run+Capacitor+5+MFD+370+Volt+Oval&amp;qid=1694734593&amp;sr=8-1")</f>
        <v/>
      </c>
      <c r="F849" t="inlineStr">
        <is>
          <t>B009558O8G</t>
        </is>
      </c>
      <c r="G849">
        <f>_xlfn.IMAGE("https://edmondsonsupply.com/cdn/shop/products/TOC5-2_cb7d381d-e381-4aa5-9246-56c19cd39747.jpg?v=1587146064")</f>
        <v/>
      </c>
      <c r="H849">
        <f>_xlfn.IMAGE("https://m.media-amazon.com/images/I/51ZHG4pO0nL._AC_UY218_.jpg")</f>
        <v/>
      </c>
      <c r="K849" t="inlineStr">
        <is>
          <t>1.84</t>
        </is>
      </c>
      <c r="L849" t="n">
        <v>17.03</v>
      </c>
      <c r="M849" s="1" t="inlineStr">
        <is>
          <t>825.54%</t>
        </is>
      </c>
      <c r="N849" s="7" t="n">
        <v>190.87</v>
      </c>
      <c r="O849" t="n">
        <v>4.5</v>
      </c>
      <c r="P849" t="n">
        <v>42</v>
      </c>
      <c r="R849" t="inlineStr">
        <is>
          <t>InStock</t>
        </is>
      </c>
      <c r="S849" t="inlineStr">
        <is>
          <t>undefined</t>
        </is>
      </c>
      <c r="T849" t="inlineStr">
        <is>
          <t>3597257539684</t>
        </is>
      </c>
    </row>
    <row r="850" ht="87" customHeight="1">
      <c r="A850" s="2">
        <f>HYPERLINK("https://edmondsonsupply.com/collections/hvac/products/uei-dmg150-digital-micron-gauge", "https://edmondsonsupply.com/collections/hvac/products/uei-dmg150-digital-micron-gauge")</f>
        <v/>
      </c>
      <c r="B850" s="2">
        <f>HYPERLINK("https://edmondsonsupply.com/products/uei-dmg150-digital-micron-gauge", "https://edmondsonsupply.com/products/uei-dmg150-digital-micron-gauge")</f>
        <v/>
      </c>
      <c r="C850" t="inlineStr">
        <is>
          <t>UEi PDT650 Digital Folding Pocket Thermometer</t>
        </is>
      </c>
      <c r="D850" t="inlineStr">
        <is>
          <t>testo 510 Digital Manometer I Dual-Port Differential Pressure Meter for air Conditioning Systems and Ventilation ducts &amp; UEi Test Instruments PDT650 Folding Pocket Digital Thermometer,Yellow</t>
        </is>
      </c>
      <c r="E850" s="2">
        <f>HYPERLINK("https://www.amazon.com/Differential-Conditioning-Ventilation-Instruments-Thermometer/dp/B0BXJCZNW1/ref=sr_1_16?keywords=UEi+PDT650+Digital+Folding+Pocket+Thermometer&amp;qid=1694734589&amp;sr=8-16", "https://www.amazon.com/Differential-Conditioning-Ventilation-Instruments-Thermometer/dp/B0BXJCZNW1/ref=sr_1_16?keywords=UEi+PDT650+Digital+Folding+Pocket+Thermometer&amp;qid=1694734589&amp;sr=8-16")</f>
        <v/>
      </c>
      <c r="F850" t="inlineStr">
        <is>
          <t>B0BXJCZNW1</t>
        </is>
      </c>
      <c r="G850">
        <f>_xlfn.IMAGE("https://edmondsonsupply.com/cdn/shop/products/PDT650-1.png?v=1633030101")</f>
        <v/>
      </c>
      <c r="H850">
        <f>_xlfn.IMAGE("https://m.media-amazon.com/images/I/51Pos1GtTPL._AC_UY218_.jpg")</f>
        <v/>
      </c>
      <c r="K850" t="inlineStr">
        <is>
          <t>19.51</t>
        </is>
      </c>
      <c r="L850" t="n">
        <v>177.98</v>
      </c>
      <c r="M850" s="1" t="inlineStr">
        <is>
          <t>812.25%</t>
        </is>
      </c>
      <c r="N850" s="7" t="n">
        <v>188.57</v>
      </c>
      <c r="O850" t="n">
        <v>4.5</v>
      </c>
      <c r="P850" t="n">
        <v>118</v>
      </c>
      <c r="R850" t="inlineStr">
        <is>
          <t>InStock</t>
        </is>
      </c>
      <c r="S850" t="inlineStr">
        <is>
          <t>22.95</t>
        </is>
      </c>
      <c r="T850" t="inlineStr">
        <is>
          <t>3569106649188</t>
        </is>
      </c>
    </row>
    <row r="851" ht="87" customHeight="1">
      <c r="A851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51" s="2">
        <f>HYPERLINK("https://edmondsonsupply.com/products/klein-tools-69417-rare-earth-magnetic-meter-hanger", "https://edmondsonsupply.com/products/klein-tools-69417-rare-earth-magnetic-meter-hanger")</f>
        <v/>
      </c>
      <c r="C851" t="inlineStr">
        <is>
          <t>Klein Tools 69417 Rare Earth Magnetic Meter Hanger, with Strap</t>
        </is>
      </c>
      <c r="D851" t="inlineStr">
        <is>
          <t>Klein Tools CL800 Digital Clamp Meter, Autoranging TRMS, AC/DC Volt/Current, LoZ, Continuity, Frequency, Capacitance, NCVT, Temp, More 1000V &amp; 69417 Rare-Earth Magnetic Hanger, with Strap</t>
        </is>
      </c>
      <c r="E851" s="2">
        <f>HYPERLINK("https://www.amazon.com/Klein-Tools-Auto-Ranging-Impedance-Measures/dp/B08MG1RGM4/ref=sr_1_5?keywords=Klein+Tools+69417+Rare+Earth+Magnetic+Meter+Hanger%2C+with+Strap&amp;qid=1694734820&amp;sr=8-5", "https://www.amazon.com/Klein-Tools-Auto-Ranging-Impedance-Measures/dp/B08MG1RGM4/ref=sr_1_5?keywords=Klein+Tools+69417+Rare+Earth+Magnetic+Meter+Hanger%2C+with+Strap&amp;qid=1694734820&amp;sr=8-5")</f>
        <v/>
      </c>
      <c r="F851" t="inlineStr">
        <is>
          <t>B08MG1RGM4</t>
        </is>
      </c>
      <c r="G851">
        <f>_xlfn.IMAGE("https://edmondsonsupply.com/cdn/shop/products/69417.jpg?v=1587150163")</f>
        <v/>
      </c>
      <c r="H851">
        <f>_xlfn.IMAGE("https://m.media-amazon.com/images/I/51zWKsjrJKL._AC_UL320_.jpg")</f>
        <v/>
      </c>
      <c r="K851" t="inlineStr">
        <is>
          <t>13.99</t>
        </is>
      </c>
      <c r="L851" t="n">
        <v>127.21</v>
      </c>
      <c r="M851" s="1" t="inlineStr">
        <is>
          <t>809.29%</t>
        </is>
      </c>
      <c r="N851" s="7" t="n">
        <v>187.06</v>
      </c>
      <c r="O851" t="n">
        <v>4.7</v>
      </c>
      <c r="P851" t="n">
        <v>44</v>
      </c>
      <c r="R851" t="inlineStr">
        <is>
          <t>InStock</t>
        </is>
      </c>
      <c r="S851" t="inlineStr">
        <is>
          <t>20.0</t>
        </is>
      </c>
      <c r="T851" t="inlineStr">
        <is>
          <t>1778073731172</t>
        </is>
      </c>
    </row>
    <row r="852" ht="87" customHeight="1">
      <c r="A852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852" s="2">
        <f>HYPERLINK("https://edmondsonsupply.com/products/klein-tools-s8m-1-4-inch-magnetic-nut-driver-3-inch-shank", "https://edmondsonsupply.com/products/klein-tools-s8m-1-4-inch-magnetic-nut-driver-3-inch-shank")</f>
        <v/>
      </c>
      <c r="C852" t="inlineStr">
        <is>
          <t>Klein Tools S8M 1/4-Inch Magnetic Nut Driver 3-Inch Shank</t>
        </is>
      </c>
      <c r="D852" t="inlineStr">
        <is>
          <t>Klein Tools 647M Tool Set, Magnetic Nut Drivers Sizes 3/16, 1/4, 5/16, 11/32, 3/8, 7/16, 1/2-Inch, 6-Inch Hollow Shafts, 7-Piece</t>
        </is>
      </c>
      <c r="E852" s="2">
        <f>HYPERLINK("https://www.amazon.com/Klein-Tools-647M-Magnetic-7-Piece/dp/B000MKIUYQ/ref=sr_1_18?keywords=Klein+Tools+S8M+1%2F4-Inch+Magnetic+Nut+Driver+3-Inch+Shank&amp;qid=1694734781&amp;sr=8-18", "https://www.amazon.com/Klein-Tools-647M-Magnetic-7-Piece/dp/B000MKIUYQ/ref=sr_1_18?keywords=Klein+Tools+S8M+1%2F4-Inch+Magnetic+Nut+Driver+3-Inch+Shank&amp;qid=1694734781&amp;sr=8-18")</f>
        <v/>
      </c>
      <c r="F852" t="inlineStr">
        <is>
          <t>B000MKIUYQ</t>
        </is>
      </c>
      <c r="G852">
        <f>_xlfn.IMAGE("https://edmondsonsupply.com/cdn/shop/products/s8m.jpg?v=1633030818")</f>
        <v/>
      </c>
      <c r="H852">
        <f>_xlfn.IMAGE("https://m.media-amazon.com/images/I/61PNUE211uL._AC_UL320_.jpg")</f>
        <v/>
      </c>
      <c r="K852" t="inlineStr">
        <is>
          <t>8.99</t>
        </is>
      </c>
      <c r="L852" t="n">
        <v>79.98999999999999</v>
      </c>
      <c r="M852" s="1" t="inlineStr">
        <is>
          <t>789.77%</t>
        </is>
      </c>
      <c r="N852" s="7" t="n">
        <v>186.98</v>
      </c>
      <c r="O852" t="n">
        <v>4.8</v>
      </c>
      <c r="P852" t="n">
        <v>985</v>
      </c>
      <c r="R852" t="inlineStr">
        <is>
          <t>InStock</t>
        </is>
      </c>
      <c r="S852" t="inlineStr">
        <is>
          <t>13.62</t>
        </is>
      </c>
      <c r="T852" t="inlineStr">
        <is>
          <t>6072223957165</t>
        </is>
      </c>
    </row>
    <row r="853" ht="87" customHeight="1">
      <c r="A853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53" s="2">
        <f>HYPERLINK("https://edmondsonsupply.com/products/klein-tools-69417-rare-earth-magnetic-meter-hanger", "https://edmondsonsupply.com/products/klein-tools-69417-rare-earth-magnetic-meter-hanger")</f>
        <v/>
      </c>
      <c r="C853" t="inlineStr">
        <is>
          <t>Klein Tools 69417 Rare Earth Magnetic Meter Hanger, with Strap</t>
        </is>
      </c>
      <c r="D853" t="inlineStr">
        <is>
          <t>Klein Tools CL700 Autoranging Digital Clamp Meter, TRMS 600Amp, AC/DC Volts, Current, LOZ, Continuity, Frequency, NCVT, Temp, More, 1000V &amp; 69417 Rare-Earth Magnetic Hanger, with Strap</t>
        </is>
      </c>
      <c r="E853" s="2">
        <f>HYPERLINK("https://www.amazon.com/Klein-Tools-Autoranging-Continuity-Rare-Earth/dp/B0BFXLZRVQ/ref=sr_1_25?keywords=Klein+Tools+69417+Rare+Earth+Magnetic+Meter+Hanger%2C+with+Strap&amp;qid=1694734820&amp;sr=8-25", "https://www.amazon.com/Klein-Tools-Autoranging-Continuity-Rare-Earth/dp/B0BFXLZRVQ/ref=sr_1_25?keywords=Klein+Tools+69417+Rare+Earth+Magnetic+Meter+Hanger%2C+with+Strap&amp;qid=1694734820&amp;sr=8-25")</f>
        <v/>
      </c>
      <c r="F853" t="inlineStr">
        <is>
          <t>B0BFXLZRVQ</t>
        </is>
      </c>
      <c r="G853">
        <f>_xlfn.IMAGE("https://edmondsonsupply.com/cdn/shop/products/69417.jpg?v=1587150163")</f>
        <v/>
      </c>
      <c r="H853">
        <f>_xlfn.IMAGE("https://m.media-amazon.com/images/I/512fcqciBhL._AC_UL320_.jpg")</f>
        <v/>
      </c>
      <c r="K853" t="inlineStr">
        <is>
          <t>13.99</t>
        </is>
      </c>
      <c r="L853" t="n">
        <v>122.97</v>
      </c>
      <c r="M853" s="1" t="inlineStr">
        <is>
          <t>778.98%</t>
        </is>
      </c>
      <c r="N853" s="7" t="n">
        <v>186.95</v>
      </c>
      <c r="O853" t="n">
        <v>4.7</v>
      </c>
      <c r="P853" t="n">
        <v>550</v>
      </c>
      <c r="R853" t="inlineStr">
        <is>
          <t>InStock</t>
        </is>
      </c>
      <c r="S853" t="inlineStr">
        <is>
          <t>20.0</t>
        </is>
      </c>
      <c r="T853" t="inlineStr">
        <is>
          <t>1778073731172</t>
        </is>
      </c>
    </row>
    <row r="854" hidden="1" ht="15.75" customHeight="1">
      <c r="A854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854" s="2">
        <f>HYPERLINK("https://edmondsonsupply.com/products/cambridge-3-4-pvc-liquid-tight-conduit-fitting-90-degree", "https://edmondsonsupply.com/products/cambridge-3-4-pvc-liquid-tight-conduit-fitting-90-degree")</f>
        <v/>
      </c>
      <c r="C854" t="inlineStr">
        <is>
          <t>Cambridge 3/4" PVC Liquid Tight Conduit Fitting - 90 Degree</t>
        </is>
      </c>
      <c r="D854" t="inlineStr">
        <is>
          <t>Moicstiy 3/4 Inch NPT Liquid Tight Connector 90 Degree Nonmetallic Electrical PVC Conduit Connector Fitting(6Pcs)</t>
        </is>
      </c>
      <c r="E854" s="2">
        <f>HYPERLINK("https://www.amazon.com/Moicstiy-Connector-Nonmetallic-Electrical-Flexible/dp/B0B2VDMQ8D/ref=sr_1_4?keywords=Cambridge+3%2F4%22+PVC+Liquid+Tight+Conduit+Fitting+-+90+Degree&amp;qid=1694734856&amp;sr=8-4", "https://www.amazon.com/Moicstiy-Connector-Nonmetallic-Electrical-Flexible/dp/B0B2VDMQ8D/ref=sr_1_4?keywords=Cambridge+3%2F4%22+PVC+Liquid+Tight+Conduit+Fitting+-+90+Degree&amp;qid=1694734856&amp;sr=8-4")</f>
        <v/>
      </c>
      <c r="F854" t="inlineStr">
        <is>
          <t>B0B2VDMQ8D</t>
        </is>
      </c>
      <c r="G854">
        <f>_xludf.IMAGE("https://edmondsonsupply.com/cdn/shop/files/W14657_01.jpg?v=1692278537")</f>
        <v/>
      </c>
      <c r="H854">
        <f>_xludf.IMAGE("https://m.media-amazon.com/images/I/61YzGobupRL._AC_UL320_.jpg")</f>
        <v/>
      </c>
      <c r="K854" t="inlineStr">
        <is>
          <t>1.8</t>
        </is>
      </c>
      <c r="L854" t="n">
        <v>15.79</v>
      </c>
      <c r="M854" s="1" t="inlineStr">
        <is>
          <t>777.22%</t>
        </is>
      </c>
      <c r="N854" s="1" t="n">
        <v>185.86</v>
      </c>
      <c r="O854" t="n">
        <v>4</v>
      </c>
      <c r="P854" t="n">
        <v>10</v>
      </c>
      <c r="R854" t="inlineStr">
        <is>
          <t>InStock</t>
        </is>
      </c>
      <c r="S854" t="inlineStr">
        <is>
          <t>undefined</t>
        </is>
      </c>
      <c r="T854" t="inlineStr">
        <is>
          <t>8028225175768</t>
        </is>
      </c>
    </row>
    <row r="855" hidden="1" ht="15.75" customHeight="1">
      <c r="A855" s="2">
        <f>HYPERLINK("https://edmondsonsupply.com/collections/hvac/products/icm-controls-icm401-3-phase-line-voltage-monitor", "https://edmondsonsupply.com/collections/hvac/products/icm-controls-icm401-3-phase-line-voltage-monitor")</f>
        <v/>
      </c>
      <c r="B855" s="2">
        <f>HYPERLINK("https://edmondsonsupply.com/products/icm-controls-icm401-3-phase-line-voltage-monitor", "https://edmondsonsupply.com/products/icm-controls-icm401-3-phase-line-voltage-monitor")</f>
        <v/>
      </c>
      <c r="C855" t="inlineStr">
        <is>
          <t>ICM Controls ICM401 3 Phase Line Voltage Monitor</t>
        </is>
      </c>
      <c r="D855" t="inlineStr">
        <is>
          <t>ICM ICM493 Advanced Single-Phase line Voltage Monitor with a Bank of Surge arresters for Added Protection Against Lightning Strikes. Includes a Built-in 40A contactor. Ideal for Mini-Splits or Other</t>
        </is>
      </c>
      <c r="E855" s="2">
        <f>HYPERLINK("https://www.amazon.com/ICM-Single-Phase-Protection-contactor-Mini-Splits/dp/B07SZ45HQH/ref=sr_1_12?keywords=ICM+Controls+ICM401+3+Phase+Line+Voltage+Monitor&amp;qid=1694734757&amp;sr=8-12", "https://www.amazon.com/ICM-Single-Phase-Protection-contactor-Mini-Splits/dp/B07SZ45HQH/ref=sr_1_12?keywords=ICM+Controls+ICM401+3+Phase+Line+Voltage+Monitor&amp;qid=1694734757&amp;sr=8-12")</f>
        <v/>
      </c>
      <c r="F855" t="inlineStr">
        <is>
          <t>B07SZ45HQH</t>
        </is>
      </c>
      <c r="G855">
        <f>_xludf.IMAGE("https://edmondsonsupply.com/cdn/shop/products/photo_3653_medium_52cb7f2c-e5f0-4da1-ac53-d344fb2403c9.png?v=1665087171")</f>
        <v/>
      </c>
      <c r="H855">
        <f>_xludf.IMAGE("https://m.media-amazon.com/images/I/41b2VVsBxRL._AC_UL320_.jpg")</f>
        <v/>
      </c>
      <c r="K855" t="inlineStr">
        <is>
          <t>34.79</t>
        </is>
      </c>
      <c r="L855" t="n">
        <v>304.72</v>
      </c>
      <c r="M855" s="1" t="inlineStr">
        <is>
          <t>775.88%</t>
        </is>
      </c>
      <c r="N855" s="1" t="n">
        <v>185.84</v>
      </c>
      <c r="O855" t="n">
        <v>1</v>
      </c>
      <c r="P855" t="n">
        <v>1</v>
      </c>
      <c r="R855" t="inlineStr">
        <is>
          <t>InStock</t>
        </is>
      </c>
      <c r="S855" t="inlineStr">
        <is>
          <t>61.35</t>
        </is>
      </c>
      <c r="T855" t="inlineStr">
        <is>
          <t>7842404532440</t>
        </is>
      </c>
    </row>
    <row r="856" ht="87" customHeight="1">
      <c r="A856" s="2">
        <f>HYPERLINK("https://edmondsonsupply.com/collections/hvac/products/solderweld-sw-as09305k-alloy-sol-aluminum-repair-and-joining-rods-5-rod-pack", "https://edmondsonsupply.com/collections/hvac/products/solderweld-sw-as09305k-alloy-sol-aluminum-repair-and-joining-rods-5-rod-pack")</f>
        <v/>
      </c>
      <c r="B856" s="2">
        <f>HYPERLINK("https://edmondsonsupply.com/products/solderweld-sw-as09305k-alloy-sol-aluminum-repair-and-joining-rods-5-rod-pack", "https://edmondsonsupply.com/products/solderweld-sw-as09305k-alloy-sol-aluminum-repair-and-joining-rods-5-rod-pack")</f>
        <v/>
      </c>
      <c r="C856" t="inlineStr">
        <is>
          <t>SolderWeld SW-AS09305K Alloy Sol Aluminum Repair and Joining Rods, 5 Rod Pack</t>
        </is>
      </c>
      <c r="D856" t="inlineStr">
        <is>
          <t>Solderweld SW-HVAK00 Brazing Pack with Carrying Case includes 56% 0% Braze Rods Al-Cop Aluminum to Copper - Alloy Sol Repair Solder Rods Rods and Flux</t>
        </is>
      </c>
      <c r="E856" s="2">
        <f>HYPERLINK("https://www.amazon.com/Solderweld-SW-HVAK00-Brazing-Carrying-Aluminum/dp/B0B788V9X5/ref=sr_1_4?keywords=SolderWeld+SW-AS09305K+Alloy+Sol+Aluminum+Repair+and+Joining+Rods%2C+5+Rod+Pack&amp;qid=1694734722&amp;sr=8-4", "https://www.amazon.com/Solderweld-SW-HVAK00-Brazing-Carrying-Aluminum/dp/B0B788V9X5/ref=sr_1_4?keywords=SolderWeld+SW-AS09305K+Alloy+Sol+Aluminum+Repair+and+Joining+Rods%2C+5+Rod+Pack&amp;qid=1694734722&amp;sr=8-4")</f>
        <v/>
      </c>
      <c r="F856" t="inlineStr">
        <is>
          <t>B0B788V9X5</t>
        </is>
      </c>
      <c r="G856">
        <f>_xlfn.IMAGE("https://edmondsonsupply.com/cdn/shop/products/SW-AS09305K-3.jpg?v=1633030235")</f>
        <v/>
      </c>
      <c r="H856">
        <f>_xlfn.IMAGE("https://m.media-amazon.com/images/I/71DJPsENWvL._AC_UL320_.jpg")</f>
        <v/>
      </c>
      <c r="K856" t="inlineStr">
        <is>
          <t>15.98</t>
        </is>
      </c>
      <c r="L856" t="n">
        <v>139.69</v>
      </c>
      <c r="M856" s="1" t="inlineStr">
        <is>
          <t>774.16%</t>
        </is>
      </c>
      <c r="N856" s="7" t="n">
        <v>185.53</v>
      </c>
      <c r="O856" t="n">
        <v>5</v>
      </c>
      <c r="P856" t="n">
        <v>2</v>
      </c>
      <c r="R856" t="inlineStr">
        <is>
          <t>InStock</t>
        </is>
      </c>
      <c r="S856" t="inlineStr">
        <is>
          <t>undefined</t>
        </is>
      </c>
      <c r="T856" t="inlineStr">
        <is>
          <t>4595811418212</t>
        </is>
      </c>
    </row>
    <row r="857" hidden="1" ht="15.75" customHeight="1">
      <c r="A857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57" s="2">
        <f>HYPERLINK("https://edmondsonsupply.com/products/cambridge-3-4-pvc-liquid-tight-conduit-fitting-straight", "https://edmondsonsupply.com/products/cambridge-3-4-pvc-liquid-tight-conduit-fitting-straight")</f>
        <v/>
      </c>
      <c r="C857" t="inlineStr">
        <is>
          <t>Cambridge 3/4" PVC Liquid Tight Conduit Fitting - Straight</t>
        </is>
      </c>
      <c r="D857" t="inlineStr">
        <is>
          <t>3/4 Inch Nonmetallic Liquid Tight Straight Electrical Conduit Conector Fitting, 5 Pack, UL Listed</t>
        </is>
      </c>
      <c r="E857" s="2">
        <f>HYPERLINK("https://www.amazon.com/Nonmetallic-Straight-Electrical-Conduit-Conector/dp/B08RX5QWKX/ref=sr_1_34?keywords=Cambridge+3%2F4%22+PVC+Liquid+Tight+Conduit+Fitting+-+Straight&amp;qid=1694734855&amp;sr=8-34", "https://www.amazon.com/Nonmetallic-Straight-Electrical-Conduit-Conector/dp/B08RX5QWKX/ref=sr_1_34?keywords=Cambridge+3%2F4%22+PVC+Liquid+Tight+Conduit+Fitting+-+Straight&amp;qid=1694734855&amp;sr=8-34")</f>
        <v/>
      </c>
      <c r="F857" t="inlineStr">
        <is>
          <t>B08RX5QWKX</t>
        </is>
      </c>
      <c r="G857">
        <f>_xludf.IMAGE("https://edmondsonsupply.com/cdn/shop/files/W14656_01.jpg?v=1692277615")</f>
        <v/>
      </c>
      <c r="H857">
        <f>_xludf.IMAGE("https://m.media-amazon.com/images/I/713Z+fNJgTL._AC_UL320_.jpg")</f>
        <v/>
      </c>
      <c r="K857" t="inlineStr">
        <is>
          <t>1.5</t>
        </is>
      </c>
      <c r="L857" t="n">
        <v>12.99</v>
      </c>
      <c r="M857" s="1" t="inlineStr">
        <is>
          <t>766.00%</t>
        </is>
      </c>
      <c r="N857" s="1" t="n">
        <v>184.48</v>
      </c>
      <c r="O857" t="n">
        <v>4.2</v>
      </c>
      <c r="P857" t="n">
        <v>8</v>
      </c>
      <c r="R857" t="inlineStr">
        <is>
          <t>InStock</t>
        </is>
      </c>
      <c r="S857" t="inlineStr">
        <is>
          <t>undefined</t>
        </is>
      </c>
      <c r="T857" t="inlineStr">
        <is>
          <t>8028223897816</t>
        </is>
      </c>
    </row>
    <row r="858" hidden="1" ht="15.75" customHeight="1">
      <c r="A858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58" s="2">
        <f>HYPERLINK("https://edmondsonsupply.com/products/cambridge-3-4-pvc-liquid-tight-conduit-fitting-straight", "https://edmondsonsupply.com/products/cambridge-3-4-pvc-liquid-tight-conduit-fitting-straight")</f>
        <v/>
      </c>
      <c r="C858" t="inlineStr">
        <is>
          <t>Cambridge 3/4" PVC Liquid Tight Conduit Fitting - Straight</t>
        </is>
      </c>
      <c r="D858" t="inlineStr">
        <is>
          <t>6 Pack 3/4 inch Liquid Tight Connector PVC Flexible Conduit Connector UL Listed Liquid Tight Connector Non-Metallic Electrical Conduit Fittings (4 pcs 180D/2 pcs 90D)</t>
        </is>
      </c>
      <c r="E858" s="2">
        <f>HYPERLINK("https://www.amazon.com/Connector-Flexible-Non-Metallic-Electrical-Fittings/dp/B0BX9MP3BZ/ref=sr_1_43?keywords=Cambridge+3%2F4%22+PVC+Liquid+Tight+Conduit+Fitting+-+Straight&amp;qid=1694734855&amp;sr=8-43", "https://www.amazon.com/Connector-Flexible-Non-Metallic-Electrical-Fittings/dp/B0BX9MP3BZ/ref=sr_1_43?keywords=Cambridge+3%2F4%22+PVC+Liquid+Tight+Conduit+Fitting+-+Straight&amp;qid=1694734855&amp;sr=8-43")</f>
        <v/>
      </c>
      <c r="F858" t="inlineStr">
        <is>
          <t>B0BX9MP3BZ</t>
        </is>
      </c>
      <c r="G858">
        <f>_xludf.IMAGE("https://edmondsonsupply.com/cdn/shop/files/W14656_01.jpg?v=1692277615")</f>
        <v/>
      </c>
      <c r="H858">
        <f>_xludf.IMAGE("https://m.media-amazon.com/images/I/51v+vltiCjL._AC_UL320_.jpg")</f>
        <v/>
      </c>
      <c r="K858" t="inlineStr">
        <is>
          <t>1.5</t>
        </is>
      </c>
      <c r="L858" t="n">
        <v>12.99</v>
      </c>
      <c r="M858" s="1" t="inlineStr">
        <is>
          <t>766.00%</t>
        </is>
      </c>
      <c r="N858" s="1" t="n">
        <v>183.82</v>
      </c>
      <c r="O858" t="n">
        <v>5</v>
      </c>
      <c r="P858" t="n">
        <v>2</v>
      </c>
      <c r="R858" t="inlineStr">
        <is>
          <t>InStock</t>
        </is>
      </c>
      <c r="S858" t="inlineStr">
        <is>
          <t>undefined</t>
        </is>
      </c>
      <c r="T858" t="inlineStr">
        <is>
          <t>8028223897816</t>
        </is>
      </c>
    </row>
    <row r="859" hidden="1" ht="15.75" customHeight="1">
      <c r="A859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59" s="2">
        <f>HYPERLINK("https://edmondsonsupply.com/products/cambridge-1-2-pvc-liquid-tight-conduit-fitting-straight", "https://edmondsonsupply.com/products/cambridge-1-2-pvc-liquid-tight-conduit-fitting-straight")</f>
        <v/>
      </c>
      <c r="C859" t="inlineStr">
        <is>
          <t>Cambridge 1/2" PVC Liquid Tight Conduit Fitting - Straight</t>
        </is>
      </c>
      <c r="D859" t="inlineStr">
        <is>
          <t>FirmiBang Liquid Tight Connector 1/2 in - Non-Metallic Electrical Conduit Fittings, UL Listed PVC Conduit Fitting (Straight, 8 Pack)</t>
        </is>
      </c>
      <c r="E859" s="2">
        <f>HYPERLINK("https://www.amazon.com/Flexible-Conduit-Liquid-Tight-Connector/dp/B09BZ6195M/ref=sr_1_2?keywords=Cambridge+1%2F2%22+PVC+Liquid+Tight+Conduit+Fitting+-+Straight&amp;qid=1694734855&amp;sr=8-2", "https://www.amazon.com/Flexible-Conduit-Liquid-Tight-Connector/dp/B09BZ6195M/ref=sr_1_2?keywords=Cambridge+1%2F2%22+PVC+Liquid+Tight+Conduit+Fitting+-+Straight&amp;qid=1694734855&amp;sr=8-2")</f>
        <v/>
      </c>
      <c r="F859" t="inlineStr">
        <is>
          <t>B09BZ6195M</t>
        </is>
      </c>
      <c r="G859">
        <f>_xludf.IMAGE("https://edmondsonsupply.com/cdn/shop/files/W14658_01.jpg?v=1692277178")</f>
        <v/>
      </c>
      <c r="H859">
        <f>_xludf.IMAGE("https://m.media-amazon.com/images/I/61HL1y6quFL._AC_UL320_.jpg")</f>
        <v/>
      </c>
      <c r="K859" t="inlineStr">
        <is>
          <t>1.19</t>
        </is>
      </c>
      <c r="L859" t="n">
        <v>9.99</v>
      </c>
      <c r="M859" s="1" t="inlineStr">
        <is>
          <t>739.50%</t>
        </is>
      </c>
      <c r="N859" s="1" t="n">
        <v>183.55</v>
      </c>
      <c r="O859" t="n">
        <v>4.8</v>
      </c>
      <c r="P859" t="n">
        <v>91</v>
      </c>
      <c r="R859" t="inlineStr">
        <is>
          <t>InStock</t>
        </is>
      </c>
      <c r="S859" t="inlineStr">
        <is>
          <t>undefined</t>
        </is>
      </c>
      <c r="T859" t="inlineStr">
        <is>
          <t>8028223144152</t>
        </is>
      </c>
    </row>
    <row r="860" hidden="1" ht="15.75" customHeight="1">
      <c r="A860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60" s="2">
        <f>HYPERLINK("https://edmondsonsupply.com/products/cambridge-1-2-pvc-liquid-tight-conduit-fitting-straight", "https://edmondsonsupply.com/products/cambridge-1-2-pvc-liquid-tight-conduit-fitting-straight")</f>
        <v/>
      </c>
      <c r="C860" t="inlineStr">
        <is>
          <t>Cambridge 1/2" PVC Liquid Tight Conduit Fitting - Straight</t>
        </is>
      </c>
      <c r="D860" t="inlineStr">
        <is>
          <t>Sealproof 1/2-Inch Non-metallic Liquid Tight Straight Electrical Conduit Connector Fitting, UL Listed, 1/2" Dia, 5-Pack</t>
        </is>
      </c>
      <c r="E860" s="2">
        <f>HYPERLINK("https://www.amazon.com/Sealproof-Non-metallic-Straight-Electrical-Connector/dp/B0756MCT9P/ref=sr_1_10?keywords=Cambridge+1%2F2%22+PVC+Liquid+Tight+Conduit+Fitting+-+Straight&amp;qid=1694734855&amp;sr=8-10", "https://www.amazon.com/Sealproof-Non-metallic-Straight-Electrical-Connector/dp/B0756MCT9P/ref=sr_1_10?keywords=Cambridge+1%2F2%22+PVC+Liquid+Tight+Conduit+Fitting+-+Straight&amp;qid=1694734855&amp;sr=8-10")</f>
        <v/>
      </c>
      <c r="F860" t="inlineStr">
        <is>
          <t>B0756MCT9P</t>
        </is>
      </c>
      <c r="G860">
        <f>_xludf.IMAGE("https://edmondsonsupply.com/cdn/shop/files/W14658_01.jpg?v=1692277178")</f>
        <v/>
      </c>
      <c r="H860">
        <f>_xludf.IMAGE("https://m.media-amazon.com/images/I/81AMhiohj6L._AC_UL320_.jpg")</f>
        <v/>
      </c>
      <c r="K860" t="inlineStr">
        <is>
          <t>1.19</t>
        </is>
      </c>
      <c r="L860" t="n">
        <v>9.99</v>
      </c>
      <c r="M860" s="1" t="inlineStr">
        <is>
          <t>739.50%</t>
        </is>
      </c>
      <c r="N860" s="1" t="n">
        <v>183.29</v>
      </c>
      <c r="O860" t="n">
        <v>4.7</v>
      </c>
      <c r="P860" t="n">
        <v>504</v>
      </c>
      <c r="R860" t="inlineStr">
        <is>
          <t>InStock</t>
        </is>
      </c>
      <c r="S860" t="inlineStr">
        <is>
          <t>undefined</t>
        </is>
      </c>
      <c r="T860" t="inlineStr">
        <is>
          <t>8028223144152</t>
        </is>
      </c>
    </row>
    <row r="861" hidden="1" ht="15.75" customHeight="1">
      <c r="A86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61" s="2">
        <f>HYPERLINK("https://edmondsonsupply.com/products/cambridge-1-2-pvc-liquid-tight-conduit-fitting-straight", "https://edmondsonsupply.com/products/cambridge-1-2-pvc-liquid-tight-conduit-fitting-straight")</f>
        <v/>
      </c>
      <c r="C861" t="inlineStr">
        <is>
          <t>Cambridge 1/2" PVC Liquid Tight Conduit Fitting - Straight</t>
        </is>
      </c>
      <c r="D861" t="inlineStr">
        <is>
          <t>6Pack, 1/2" Liquid Tight Connector Non-Metallic Electrical Conduit Fittings,PVC Flexible Conduit Connector,UL Listed,Works with a Variety of Electrical enclosures and hubs(4 pcs180D+2 pcs90D)</t>
        </is>
      </c>
      <c r="E861" s="2">
        <f>HYPERLINK("https://www.amazon.com/Connector-Non-Metallic-Electrical-Fittings-enclosures/dp/B0BCZ6T7P2/ref=sr_1_46?keywords=Cambridge+1%2F2%22+PVC+Liquid+Tight+Conduit+Fitting+-+Straight&amp;qid=1694734855&amp;sr=8-46", "https://www.amazon.com/Connector-Non-Metallic-Electrical-Fittings-enclosures/dp/B0BCZ6T7P2/ref=sr_1_46?keywords=Cambridge+1%2F2%22+PVC+Liquid+Tight+Conduit+Fitting+-+Straight&amp;qid=1694734855&amp;sr=8-46")</f>
        <v/>
      </c>
      <c r="F861" t="inlineStr">
        <is>
          <t>B0BCZ6T7P2</t>
        </is>
      </c>
      <c r="G861">
        <f>_xludf.IMAGE("https://edmondsonsupply.com/cdn/shop/files/W14658_01.jpg?v=1692277178")</f>
        <v/>
      </c>
      <c r="H861">
        <f>_xludf.IMAGE("https://m.media-amazon.com/images/I/51PUjw2YX1L._AC_UL320_.jpg")</f>
        <v/>
      </c>
      <c r="K861" t="inlineStr">
        <is>
          <t>1.19</t>
        </is>
      </c>
      <c r="L861" t="n">
        <v>9.99</v>
      </c>
      <c r="M861" s="1" t="inlineStr">
        <is>
          <t>739.50%</t>
        </is>
      </c>
      <c r="N861" s="1" t="n">
        <v>181.8</v>
      </c>
      <c r="O861" t="n">
        <v>4.8</v>
      </c>
      <c r="P861" t="n">
        <v>35</v>
      </c>
      <c r="R861" t="inlineStr">
        <is>
          <t>InStock</t>
        </is>
      </c>
      <c r="S861" t="inlineStr">
        <is>
          <t>undefined</t>
        </is>
      </c>
      <c r="T861" t="inlineStr">
        <is>
          <t>8028223144152</t>
        </is>
      </c>
    </row>
    <row r="862" hidden="1" ht="15.75" customHeight="1">
      <c r="A862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62" s="2">
        <f>HYPERLINK("https://edmondsonsupply.com/products/cambridge-1-2-pvc-liquid-tight-conduit-fitting-straight", "https://edmondsonsupply.com/products/cambridge-1-2-pvc-liquid-tight-conduit-fitting-straight")</f>
        <v/>
      </c>
      <c r="C862" t="inlineStr">
        <is>
          <t>Cambridge 1/2" PVC Liquid Tight Conduit Fitting - Straight</t>
        </is>
      </c>
      <c r="D862" t="inlineStr">
        <is>
          <t>ISPINNER 4pcs NPT 1/2" Nonmetallic Liquid Tight Electrical Conduit Connector Fittings, UL Listed, 94V-1, Pack of 4</t>
        </is>
      </c>
      <c r="E862" s="2">
        <f>HYPERLINK("https://www.amazon.com/ISPINNER-Nonmetallic-Electrical-Connector-Fittings/dp/B091Y4WM7Z/ref=sr_1_42?keywords=Cambridge+1%2F2%22+PVC+Liquid+Tight+Conduit+Fitting+-+Straight&amp;qid=1694734855&amp;sr=8-42", "https://www.amazon.com/ISPINNER-Nonmetallic-Electrical-Connector-Fittings/dp/B091Y4WM7Z/ref=sr_1_42?keywords=Cambridge+1%2F2%22+PVC+Liquid+Tight+Conduit+Fitting+-+Straight&amp;qid=1694734855&amp;sr=8-42")</f>
        <v/>
      </c>
      <c r="F862" t="inlineStr">
        <is>
          <t>B091Y4WM7Z</t>
        </is>
      </c>
      <c r="G862">
        <f>_xludf.IMAGE("https://edmondsonsupply.com/cdn/shop/files/W14658_01.jpg?v=1692277178")</f>
        <v/>
      </c>
      <c r="H862">
        <f>_xludf.IMAGE("https://m.media-amazon.com/images/I/71wDqOWTTHS._AC_UL320_.jpg")</f>
        <v/>
      </c>
      <c r="K862" t="inlineStr">
        <is>
          <t>1.19</t>
        </is>
      </c>
      <c r="L862" t="n">
        <v>9.99</v>
      </c>
      <c r="M862" s="1" t="inlineStr">
        <is>
          <t>739.50%</t>
        </is>
      </c>
      <c r="N862" s="1" t="n">
        <v>181.4</v>
      </c>
      <c r="O862" t="n">
        <v>4.6</v>
      </c>
      <c r="P862" t="n">
        <v>71</v>
      </c>
      <c r="R862" t="inlineStr">
        <is>
          <t>InStock</t>
        </is>
      </c>
      <c r="S862" t="inlineStr">
        <is>
          <t>undefined</t>
        </is>
      </c>
      <c r="T862" t="inlineStr">
        <is>
          <t>8028223144152</t>
        </is>
      </c>
    </row>
    <row r="863" hidden="1" ht="15.75" customHeight="1">
      <c r="A863" s="2">
        <f>HYPERLINK("https://edmondsonsupply.com/collections/hvac/products/klein-tools-94130-1000v-insulated-tool-kit-5-piece", "https://edmondsonsupply.com/collections/hvac/products/klein-tools-94130-1000v-insulated-tool-kit-5-piece")</f>
        <v/>
      </c>
      <c r="B863" s="2">
        <f>HYPERLINK("https://edmondsonsupply.com/products/klein-tools-94130-1000v-insulated-tool-kit-5-piece", "https://edmondsonsupply.com/products/klein-tools-94130-1000v-insulated-tool-kit-5-piece")</f>
        <v/>
      </c>
      <c r="C863" t="inlineStr">
        <is>
          <t>Klein Tools 94130 1000V Insulated Tool Kit, 5-Piece</t>
        </is>
      </c>
      <c r="D863" t="inlineStr">
        <is>
          <t>Klein Tools 33525 Insulated Utility Tool Kit, 1000-Volt Rated, Comes in Custom 2-Pallet Lockable Case, 13-Piece</t>
        </is>
      </c>
      <c r="E863" s="2">
        <f>HYPERLINK("https://www.amazon.com/Insulated-Utility-Klein-Tools-33525/dp/B000MAZKVC/ref=sr_1_15?keywords=Klein+Tools+94130+1000V+Insulated+Tool+Kit%2C+5-Piece&amp;qid=1694734718&amp;sr=8-15", "https://www.amazon.com/Insulated-Utility-Klein-Tools-33525/dp/B000MAZKVC/ref=sr_1_15?keywords=Klein+Tools+94130+1000V+Insulated+Tool+Kit%2C+5-Piece&amp;qid=1694734718&amp;sr=8-15")</f>
        <v/>
      </c>
      <c r="F863" t="inlineStr">
        <is>
          <t>B000MAZKVC</t>
        </is>
      </c>
      <c r="G863">
        <f>_xludf.IMAGE("https://edmondsonsupply.com/cdn/shop/products/94130.jpg?v=1633030386")</f>
        <v/>
      </c>
      <c r="H863">
        <f>_xludf.IMAGE("https://m.media-amazon.com/images/I/716g7yczZ6L._AC_UL320_.jpg")</f>
        <v/>
      </c>
      <c r="K863" t="inlineStr">
        <is>
          <t>99.99</t>
        </is>
      </c>
      <c r="L863" t="n">
        <v>831.14</v>
      </c>
      <c r="M863" s="1" t="inlineStr">
        <is>
          <t>731.22%</t>
        </is>
      </c>
      <c r="N863" s="1" t="n">
        <v>181.4</v>
      </c>
      <c r="O863" t="n">
        <v>3.7</v>
      </c>
      <c r="P863" t="n">
        <v>8</v>
      </c>
      <c r="R863" t="inlineStr">
        <is>
          <t>InStock</t>
        </is>
      </c>
      <c r="S863" t="inlineStr">
        <is>
          <t>149.98</t>
        </is>
      </c>
      <c r="T863" t="inlineStr">
        <is>
          <t>5299145146536</t>
        </is>
      </c>
    </row>
    <row r="864" ht="87" customHeight="1">
      <c r="A864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864" s="2">
        <f>HYPERLINK("https://edmondsonsupply.com/products/klein-tools-646-5-16-5-16-inch-nut-driver-6-inch-hollow-shaft", "https://edmondsonsupply.com/products/klein-tools-646-5-16-5-16-inch-nut-driver-6-inch-hollow-shaft")</f>
        <v/>
      </c>
      <c r="C864" t="inlineStr">
        <is>
          <t>Klein Tools 646-5/16 5/16-Inch Nut Driver, 6-Inch Hollow Shaft</t>
        </is>
      </c>
      <c r="D864" t="inlineStr">
        <is>
          <t>Klein Tools 89904 Tool Set, Nut Drivers Sizes 3/16, 1/4, 5/16, 11/32, 3/8, 7/16, 1/2-Inch, 6-Inch Shafts, 7-Piece</t>
        </is>
      </c>
      <c r="E864" s="2">
        <f>HYPERLINK("https://www.amazon.com/Klein-Tools-Nut-Driver-89904/dp/B000MB1JMU/ref=sr_1_41?keywords=Klein+Tools+646-5%2F16+5%2F16-Inch+Nut+Driver%2C+6-Inch+Hollow+Shaft&amp;qid=1694734728&amp;sr=8-41", "https://www.amazon.com/Klein-Tools-Nut-Driver-89904/dp/B000MB1JMU/ref=sr_1_41?keywords=Klein+Tools+646-5%2F16+5%2F16-Inch+Nut+Driver%2C+6-Inch+Hollow+Shaft&amp;qid=1694734728&amp;sr=8-41")</f>
        <v/>
      </c>
      <c r="F864" t="inlineStr">
        <is>
          <t>B000MB1JMU</t>
        </is>
      </c>
      <c r="G864">
        <f>_xlfn.IMAGE("https://edmondsonsupply.com/cdn/shop/products/646-1-2_e1540905-f750-4509-90c5-74ff653e4d83.jpg?v=1587145119")</f>
        <v/>
      </c>
      <c r="H864">
        <f>_xlfn.IMAGE("https://m.media-amazon.com/images/I/61cXQ4v0vvL._AC_UL320_.jpg")</f>
        <v/>
      </c>
      <c r="K864" t="inlineStr">
        <is>
          <t>7.99</t>
        </is>
      </c>
      <c r="L864" t="n">
        <v>66.23</v>
      </c>
      <c r="M864" s="1" t="inlineStr">
        <is>
          <t>728.91%</t>
        </is>
      </c>
      <c r="N864" s="7" t="n">
        <v>181.2</v>
      </c>
      <c r="O864" t="n">
        <v>4.5</v>
      </c>
      <c r="P864" t="n">
        <v>33</v>
      </c>
      <c r="R864" t="inlineStr">
        <is>
          <t>InStock</t>
        </is>
      </c>
      <c r="S864" t="inlineStr">
        <is>
          <t>12.1</t>
        </is>
      </c>
      <c r="T864" t="inlineStr">
        <is>
          <t>4395303272548</t>
        </is>
      </c>
    </row>
    <row r="865" ht="87" customHeight="1">
      <c r="A865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865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865" t="inlineStr">
        <is>
          <t>Klein Tools 646-1/4 1/4-Inch Nut Driver with 6-Inch Hollow Shaft</t>
        </is>
      </c>
      <c r="D865" t="inlineStr">
        <is>
          <t>Klein Tools 89904 Tool Set, Nut Drivers Sizes 3/16, 1/4, 5/16, 11/32, 3/8, 7/16, 1/2-Inch, 6-Inch Shafts, 7-Piece</t>
        </is>
      </c>
      <c r="E865" s="2">
        <f>HYPERLINK("https://www.amazon.com/Klein-Tools-Nut-Driver-89904/dp/B000MB1JMU/ref=sr_1_31?keywords=Klein+Tools+646-1%2F4+1%2F4-Inch+Nut+Driver+with+6-Inch+Hollow+Shaft&amp;qid=1694734727&amp;sr=8-31", "https://www.amazon.com/Klein-Tools-Nut-Driver-89904/dp/B000MB1JMU/ref=sr_1_31?keywords=Klein+Tools+646-1%2F4+1%2F4-Inch+Nut+Driver+with+6-Inch+Hollow+Shaft&amp;qid=1694734727&amp;sr=8-31")</f>
        <v/>
      </c>
      <c r="F865" t="inlineStr">
        <is>
          <t>B000MB1JMU</t>
        </is>
      </c>
      <c r="G865">
        <f>_xlfn.IMAGE("https://edmondsonsupply.com/cdn/shop/products/646-1-2_08d87fa9-eac4-4869-8d3b-bb680d4b1d53.jpg?v=1587150676")</f>
        <v/>
      </c>
      <c r="H865">
        <f>_xlfn.IMAGE("https://m.media-amazon.com/images/I/61cXQ4v0vvL._AC_UL320_.jpg")</f>
        <v/>
      </c>
      <c r="K865" t="inlineStr">
        <is>
          <t>7.99</t>
        </is>
      </c>
      <c r="L865" t="n">
        <v>66.23</v>
      </c>
      <c r="M865" s="1" t="inlineStr">
        <is>
          <t>728.91%</t>
        </is>
      </c>
      <c r="N865" s="7" t="n">
        <v>180.28</v>
      </c>
      <c r="O865" t="n">
        <v>4.5</v>
      </c>
      <c r="P865" t="n">
        <v>33</v>
      </c>
      <c r="R865" t="inlineStr">
        <is>
          <t>InStock</t>
        </is>
      </c>
      <c r="S865" t="inlineStr">
        <is>
          <t>12.1</t>
        </is>
      </c>
      <c r="T865" t="inlineStr">
        <is>
          <t>4439433740388</t>
        </is>
      </c>
    </row>
    <row r="866" hidden="1" ht="15.75" customHeight="1">
      <c r="A866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866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866" t="inlineStr">
        <is>
          <t>Diablo Tools DMAPL4210 5/8 in. x 4 in. x 6 in. Rebar Demon™ SDS‑Plus 4‑Cutter Full Carbide Head Hammer Bit</t>
        </is>
      </c>
      <c r="D866" t="inlineStr">
        <is>
          <t>Diablo by Freud DMAMX1120 5/8 in. x 31 in. x 36 in. Rebar Demon SDS-Max 4-Cutter Full Carbide Head Hammer Bit</t>
        </is>
      </c>
      <c r="E866" s="2">
        <f>HYPERLINK("https://www.amazon.com/Diablo-SDS-Max-4-Cutter-Carbide-Hammer/dp/B089LJFH3C/ref=sr_1_29?keywords=Diablo+Tools+DMAPL4210+5%2F8+in.+x+4+in.+x+6+in.+Rebar+Demon%E2%84%A2+SDS%E2%80%91Plus+4%E2%80%91Cutter+Full+Carbide+Head+Hammer+Bit&amp;qid=1694734723&amp;sr=8-29", "https://www.amazon.com/Diablo-SDS-Max-4-Cutter-Carbide-Hammer/dp/B089LJFH3C/ref=sr_1_29?keywords=Diablo+Tools+DMAPL4210+5%2F8+in.+x+4+in.+x+6+in.+Rebar+Demon%E2%84%A2+SDS%E2%80%91Plus+4%E2%80%91Cutter+Full+Carbide+Head+Hammer+Bit&amp;qid=1694734723&amp;sr=8-29")</f>
        <v/>
      </c>
      <c r="F866" t="inlineStr">
        <is>
          <t>B089LJFH3C</t>
        </is>
      </c>
      <c r="G866">
        <f>_xludf.IMAGE("https://edmondsonsupply.com/cdn/shop/products/DMAPL4210_Main-Image20200701.png?v=1633030426")</f>
        <v/>
      </c>
      <c r="H866">
        <f>_xludf.IMAGE("https://m.media-amazon.com/images/I/615ffyRtaAL._AC_UL320_.jpg")</f>
        <v/>
      </c>
      <c r="K866" t="inlineStr">
        <is>
          <t>9.97</t>
        </is>
      </c>
      <c r="L866" t="n">
        <v>82.18000000000001</v>
      </c>
      <c r="M866" s="1" t="inlineStr">
        <is>
          <t>724.27%</t>
        </is>
      </c>
      <c r="N866" s="1" t="n">
        <v>180.12</v>
      </c>
      <c r="O866" t="n">
        <v>3.9</v>
      </c>
      <c r="P866" t="n">
        <v>4</v>
      </c>
      <c r="R866" t="inlineStr">
        <is>
          <t>InStock</t>
        </is>
      </c>
      <c r="S866" t="inlineStr">
        <is>
          <t>13.77</t>
        </is>
      </c>
      <c r="T866" t="inlineStr">
        <is>
          <t>5326920482984</t>
        </is>
      </c>
    </row>
    <row r="867" ht="87" customHeight="1">
      <c r="A867" s="2">
        <f>HYPERLINK("https://edmondsonsupply.com/collections/hvac/products/klein-tools-69445-rare-earth-magnetic-hanger-no-strap", "https://edmondsonsupply.com/collections/hvac/products/klein-tools-69445-rare-earth-magnetic-hanger-no-strap")</f>
        <v/>
      </c>
      <c r="B867" s="2">
        <f>HYPERLINK("https://edmondsonsupply.com/products/klein-tools-69445-rare-earth-magnetic-hanger-no-strap", "https://edmondsonsupply.com/products/klein-tools-69445-rare-earth-magnetic-hanger-no-strap")</f>
        <v/>
      </c>
      <c r="C867" t="inlineStr">
        <is>
          <t>Klein Tools 69445 Rare Earth Magnetic Hanger, no Strap</t>
        </is>
      </c>
      <c r="D867" t="inlineStr">
        <is>
          <t>Klein Tools CL800 Digital Clamp Meter, Autoranging TRMS, AC/DC Volt/Current, LOZ, Continuity, Frequency, Capacitance, NCVT, Temp, More 1000V &amp; Rare-Earth Magnetic Hanger no Strap</t>
        </is>
      </c>
      <c r="E867" s="2">
        <f>HYPERLINK("https://www.amazon.com/Klein-Tools-Autoranging-Continuity-Capacitance/dp/B0BFXMP222/ref=sr_1_3?keywords=Klein+Tools+69445+Rare+Earth+Magnetic+Hanger%2C+no+Strap&amp;qid=1694734706&amp;sr=8-3", "https://www.amazon.com/Klein-Tools-Autoranging-Continuity-Capacitance/dp/B0BFXMP222/ref=sr_1_3?keywords=Klein+Tools+69445+Rare+Earth+Magnetic+Hanger%2C+no+Strap&amp;qid=1694734706&amp;sr=8-3")</f>
        <v/>
      </c>
      <c r="F867" t="inlineStr">
        <is>
          <t>B0BFXMP222</t>
        </is>
      </c>
      <c r="G867">
        <f>_xlfn.IMAGE("https://edmondsonsupply.com/cdn/shop/products/69445.jpg?v=1633030859")</f>
        <v/>
      </c>
      <c r="H867">
        <f>_xlfn.IMAGE("https://m.media-amazon.com/images/I/61-gHKKfiPL._AC_UL320_.jpg")</f>
        <v/>
      </c>
      <c r="K867" t="inlineStr">
        <is>
          <t>15.99</t>
        </is>
      </c>
      <c r="L867" t="n">
        <v>130.2</v>
      </c>
      <c r="M867" s="1" t="inlineStr">
        <is>
          <t>714.26%</t>
        </is>
      </c>
      <c r="N867" s="7" t="n">
        <v>180.11</v>
      </c>
      <c r="O867" t="n">
        <v>4.7</v>
      </c>
      <c r="P867" t="n">
        <v>15</v>
      </c>
      <c r="R867" t="inlineStr">
        <is>
          <t>InStock</t>
        </is>
      </c>
      <c r="S867" t="inlineStr">
        <is>
          <t>22.84</t>
        </is>
      </c>
      <c r="T867" t="inlineStr">
        <is>
          <t>6112025280685</t>
        </is>
      </c>
    </row>
    <row r="868" hidden="1" ht="15.75" customHeight="1">
      <c r="A868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68" s="2">
        <f>HYPERLINK("https://edmondsonsupply.com/products/cambridge-1-2-pvc-liquid-tight-conduit-fitting-90-degree", "https://edmondsonsupply.com/products/cambridge-1-2-pvc-liquid-tight-conduit-fitting-90-degree")</f>
        <v/>
      </c>
      <c r="C868" t="inlineStr">
        <is>
          <t>Cambridge 1/2" PVC Liquid Tight Conduit Fitting - 90 Degree</t>
        </is>
      </c>
      <c r="D868" t="inlineStr">
        <is>
          <t>1/2" Liquid Tight Connector Electrical Conduit Connector 90 Degree and 180 Degree PVC Flexible Conduit Connector Fitting for Home Kitchen Bathroom Tube Tool Supplies (10 Pcs)</t>
        </is>
      </c>
      <c r="E868" s="2">
        <f>HYPERLINK("https://www.amazon.com/Connector-Electrical-Flexible-Bathroom-Supplies/dp/B0C621G3ZP/ref=sr_1_7?keywords=Cambridge+1%2F2%22+PVC+Liquid+Tight+Conduit+Fitting+-+90+Degree&amp;qid=1694734857&amp;sr=8-7", "https://www.amazon.com/Connector-Electrical-Flexible-Bathroom-Supplies/dp/B0C621G3ZP/ref=sr_1_7?keywords=Cambridge+1%2F2%22+PVC+Liquid+Tight+Conduit+Fitting+-+90+Degree&amp;qid=1694734857&amp;sr=8-7")</f>
        <v/>
      </c>
      <c r="F868" t="inlineStr">
        <is>
          <t>B0C621G3ZP</t>
        </is>
      </c>
      <c r="G868">
        <f>_xludf.IMAGE("https://edmondsonsupply.com/cdn/shop/files/W14659_01.jpg?v=1692278106")</f>
        <v/>
      </c>
      <c r="H868">
        <f>_xludf.IMAGE("https://m.media-amazon.com/images/I/61t+CtU7I1L._AC_UL320_.jpg")</f>
        <v/>
      </c>
      <c r="K868" t="inlineStr">
        <is>
          <t>1.48</t>
        </is>
      </c>
      <c r="L868" t="n">
        <v>11.99</v>
      </c>
      <c r="M868" s="1" t="inlineStr">
        <is>
          <t>710.14%</t>
        </is>
      </c>
      <c r="N868" s="1" t="n">
        <v>180.04</v>
      </c>
      <c r="O868" t="n">
        <v>4.9</v>
      </c>
      <c r="P868" t="n">
        <v>19</v>
      </c>
      <c r="R868" t="inlineStr">
        <is>
          <t>InStock</t>
        </is>
      </c>
      <c r="S868" t="inlineStr">
        <is>
          <t>undefined</t>
        </is>
      </c>
      <c r="T868" t="inlineStr">
        <is>
          <t>8028224422104</t>
        </is>
      </c>
    </row>
    <row r="869" hidden="1" ht="15.75" customHeight="1">
      <c r="A869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869" s="2">
        <f>HYPERLINK("https://edmondsonsupply.com/products/cambridge-3-4-pvc-liquid-tight-conduit-fitting-90-degree", "https://edmondsonsupply.com/products/cambridge-3-4-pvc-liquid-tight-conduit-fitting-90-degree")</f>
        <v/>
      </c>
      <c r="C869" t="inlineStr">
        <is>
          <t>Cambridge 3/4" PVC Liquid Tight Conduit Fitting - 90 Degree</t>
        </is>
      </c>
      <c r="D869" t="inlineStr">
        <is>
          <t>Fuzbaxy 3/4" NPT Liquid Tight Connector 90 Degree Electrical Conduit Connector Fitting-6pack</t>
        </is>
      </c>
      <c r="E869" s="2">
        <f>HYPERLINK("https://www.amazon.com/Fuzbaxy-Connector-Electrical-Conduit-Fitting-6PACK/dp/B09SCM9FQK/ref=sr_1_3?keywords=Cambridge+3%2F4%22+PVC+Liquid+Tight+Conduit+Fitting+-+90+Degree&amp;qid=1694734856&amp;sr=8-3", "https://www.amazon.com/Fuzbaxy-Connector-Electrical-Conduit-Fitting-6PACK/dp/B09SCM9FQK/ref=sr_1_3?keywords=Cambridge+3%2F4%22+PVC+Liquid+Tight+Conduit+Fitting+-+90+Degree&amp;qid=1694734856&amp;sr=8-3")</f>
        <v/>
      </c>
      <c r="F869" t="inlineStr">
        <is>
          <t>B09SCM9FQK</t>
        </is>
      </c>
      <c r="G869">
        <f>_xludf.IMAGE("https://edmondsonsupply.com/cdn/shop/files/W14657_01.jpg?v=1692278537")</f>
        <v/>
      </c>
      <c r="H869">
        <f>_xludf.IMAGE("https://m.media-amazon.com/images/I/61qI9XEzX+L._AC_UL320_.jpg")</f>
        <v/>
      </c>
      <c r="K869" t="inlineStr">
        <is>
          <t>1.8</t>
        </is>
      </c>
      <c r="L869" t="n">
        <v>14.55</v>
      </c>
      <c r="M869" s="1" t="inlineStr">
        <is>
          <t>708.33%</t>
        </is>
      </c>
      <c r="N869" s="1" t="n">
        <v>179.6</v>
      </c>
      <c r="O869" t="n">
        <v>4.6</v>
      </c>
      <c r="P869" t="n">
        <v>104</v>
      </c>
      <c r="R869" t="inlineStr">
        <is>
          <t>InStock</t>
        </is>
      </c>
      <c r="S869" t="inlineStr">
        <is>
          <t>undefined</t>
        </is>
      </c>
      <c r="T869" t="inlineStr">
        <is>
          <t>8028225175768</t>
        </is>
      </c>
    </row>
    <row r="870" ht="87" customHeight="1">
      <c r="A870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70" s="2">
        <f>HYPERLINK("https://edmondsonsupply.com/products/klein-tools-69417-rare-earth-magnetic-meter-hanger", "https://edmondsonsupply.com/products/klein-tools-69417-rare-earth-magnetic-meter-hanger")</f>
        <v/>
      </c>
      <c r="C870" t="inlineStr">
        <is>
          <t>Klein Tools 69417 Rare Earth Magnetic Meter Hanger, with Strap</t>
        </is>
      </c>
      <c r="D870" t="inlineStr">
        <is>
          <t>Klein Tools MM700 Multimeter, Electrical Tester is Autoranging, for AC/DC, LOZ, Temp, Capacitance, Resistance, Frequency, and More, 1000V &amp; 69417 Rare-Earth Magnetic Hanger, with Strap</t>
        </is>
      </c>
      <c r="E870" s="2">
        <f>HYPERLINK("https://www.amazon.com/Klein-Tools-Multimeter-Autoranging-Capacitance/dp/B0BD3YN832/ref=sr_1_19?keywords=Klein+Tools+69417+Rare+Earth+Magnetic+Meter+Hanger%2C+with+Strap&amp;qid=1694734820&amp;sr=8-19", "https://www.amazon.com/Klein-Tools-Multimeter-Autoranging-Capacitance/dp/B0BD3YN832/ref=sr_1_19?keywords=Klein+Tools+69417+Rare+Earth+Magnetic+Meter+Hanger%2C+with+Strap&amp;qid=1694734820&amp;sr=8-19")</f>
        <v/>
      </c>
      <c r="F870" t="inlineStr">
        <is>
          <t>B0BD3YN832</t>
        </is>
      </c>
      <c r="G870">
        <f>_xlfn.IMAGE("https://edmondsonsupply.com/cdn/shop/products/69417.jpg?v=1587150163")</f>
        <v/>
      </c>
      <c r="H870">
        <f>_xlfn.IMAGE("https://m.media-amazon.com/images/I/51PCTEI4A8L._AC_UL320_.jpg")</f>
        <v/>
      </c>
      <c r="K870" t="inlineStr">
        <is>
          <t>13.99</t>
        </is>
      </c>
      <c r="L870" t="n">
        <v>112.97</v>
      </c>
      <c r="M870" s="1" t="inlineStr">
        <is>
          <t>707.51%</t>
        </is>
      </c>
      <c r="N870" s="7" t="n">
        <v>179.6</v>
      </c>
      <c r="O870" t="n">
        <v>4.8</v>
      </c>
      <c r="P870" t="n">
        <v>5</v>
      </c>
      <c r="R870" t="inlineStr">
        <is>
          <t>InStock</t>
        </is>
      </c>
      <c r="S870" t="inlineStr">
        <is>
          <t>20.0</t>
        </is>
      </c>
      <c r="T870" t="inlineStr">
        <is>
          <t>1778073731172</t>
        </is>
      </c>
    </row>
    <row r="871" ht="87" customHeight="1">
      <c r="A871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871" s="2">
        <f>HYPERLINK("https://edmondsonsupply.com/products/klein-tools-69417-rare-earth-magnetic-meter-hanger", "https://edmondsonsupply.com/products/klein-tools-69417-rare-earth-magnetic-meter-hanger")</f>
        <v/>
      </c>
      <c r="C871" t="inlineStr">
        <is>
          <t>Klein Tools 69417 Rare Earth Magnetic Meter Hanger, with Strap</t>
        </is>
      </c>
      <c r="D871" t="inlineStr">
        <is>
          <t>Klein Tools CL390 Digital Clamp Meter, Reverse Contrast Display, Auto Ranging 400A AC/DC, AC/DC Voltage,TRMS, DC Microamps, Temp, NCVT, More &amp; 69417 Rare-Earth Magnetic Hanger, with Strap</t>
        </is>
      </c>
      <c r="E871" s="2">
        <f>HYPERLINK("https://www.amazon.com/Klein-Tools-Contrast-Microamps-Rare-Earth/dp/B09T72LQCJ/ref=sr_1_13?keywords=Klein+Tools+69417+Rare+Earth+Magnetic+Meter+Hanger%2C+with+Strap&amp;qid=1694734820&amp;sr=8-13", "https://www.amazon.com/Klein-Tools-Contrast-Microamps-Rare-Earth/dp/B09T72LQCJ/ref=sr_1_13?keywords=Klein+Tools+69417+Rare+Earth+Magnetic+Meter+Hanger%2C+with+Strap&amp;qid=1694734820&amp;sr=8-13")</f>
        <v/>
      </c>
      <c r="F871" t="inlineStr">
        <is>
          <t>B09T72LQCJ</t>
        </is>
      </c>
      <c r="G871">
        <f>_xlfn.IMAGE("https://edmondsonsupply.com/cdn/shop/products/69417.jpg?v=1587150163")</f>
        <v/>
      </c>
      <c r="H871">
        <f>_xlfn.IMAGE("https://m.media-amazon.com/images/I/51sNOvZYe9L._AC_UL320_.jpg")</f>
        <v/>
      </c>
      <c r="K871" t="inlineStr">
        <is>
          <t>13.99</t>
        </is>
      </c>
      <c r="L871" t="n">
        <v>111.96</v>
      </c>
      <c r="M871" s="1" t="inlineStr">
        <is>
          <t>700.29%</t>
        </is>
      </c>
      <c r="N871" s="7" t="n">
        <v>178.9</v>
      </c>
      <c r="O871" t="n">
        <v>4.6</v>
      </c>
      <c r="P871" t="n">
        <v>7</v>
      </c>
      <c r="R871" t="inlineStr">
        <is>
          <t>InStock</t>
        </is>
      </c>
      <c r="S871" t="inlineStr">
        <is>
          <t>20.0</t>
        </is>
      </c>
      <c r="T871" t="inlineStr">
        <is>
          <t>1778073731172</t>
        </is>
      </c>
    </row>
    <row r="872" hidden="1" ht="15.75" customHeight="1">
      <c r="A872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72" s="2">
        <f>HYPERLINK("https://edmondsonsupply.com/products/cambridge-3-4-pvc-liquid-tight-conduit-fitting-straight", "https://edmondsonsupply.com/products/cambridge-3-4-pvc-liquid-tight-conduit-fitting-straight")</f>
        <v/>
      </c>
      <c r="C872" t="inlineStr">
        <is>
          <t>Cambridge 3/4" PVC Liquid Tight Conduit Fitting - Straight</t>
        </is>
      </c>
      <c r="D872" t="inlineStr">
        <is>
          <t>3/4 Inch Flexible Conduit Liquid Tight Connector Nonmetallic Liquid Tight 90° Conduit PVC Flexible Electrical Conduit Fittings 6PACK</t>
        </is>
      </c>
      <c r="E872" s="2">
        <f>HYPERLINK("https://www.amazon.com/Flexible-Connector-Nonmetallic-Electrical-Fittings/dp/B0CBBYR54P/ref=sr_1_37?keywords=Cambridge+3%2F4%22+PVC+Liquid+Tight+Conduit+Fitting+-+Straight&amp;qid=1694734855&amp;sr=8-37", "https://www.amazon.com/Flexible-Connector-Nonmetallic-Electrical-Fittings/dp/B0CBBYR54P/ref=sr_1_37?keywords=Cambridge+3%2F4%22+PVC+Liquid+Tight+Conduit+Fitting+-+Straight&amp;qid=1694734855&amp;sr=8-37")</f>
        <v/>
      </c>
      <c r="F872" t="inlineStr">
        <is>
          <t>B0CBBYR54P</t>
        </is>
      </c>
      <c r="G872">
        <f>_xludf.IMAGE("https://edmondsonsupply.com/cdn/shop/files/W14656_01.jpg?v=1692277615")</f>
        <v/>
      </c>
      <c r="H872">
        <f>_xludf.IMAGE("https://m.media-amazon.com/images/I/61KmgPp52BL._AC_UL320_.jpg")</f>
        <v/>
      </c>
      <c r="K872" t="inlineStr">
        <is>
          <t>1.5</t>
        </is>
      </c>
      <c r="L872" t="n">
        <v>11.99</v>
      </c>
      <c r="M872" s="1" t="inlineStr">
        <is>
          <t>699.33%</t>
        </is>
      </c>
      <c r="N872" s="1" t="n">
        <v>178.77</v>
      </c>
      <c r="O872" t="n">
        <v>4.8</v>
      </c>
      <c r="P872" t="n">
        <v>22</v>
      </c>
      <c r="R872" t="inlineStr">
        <is>
          <t>InStock</t>
        </is>
      </c>
      <c r="S872" t="inlineStr">
        <is>
          <t>undefined</t>
        </is>
      </c>
      <c r="T872" t="inlineStr">
        <is>
          <t>8028223897816</t>
        </is>
      </c>
    </row>
    <row r="873" hidden="1" ht="15.75" customHeight="1">
      <c r="A873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873" s="2">
        <f>HYPERLINK("https://edmondsonsupply.com/products/cambridge-3-4-pvc-liquid-tight-conduit-fitting-straight", "https://edmondsonsupply.com/products/cambridge-3-4-pvc-liquid-tight-conduit-fitting-straight")</f>
        <v/>
      </c>
      <c r="C873" t="inlineStr">
        <is>
          <t>Cambridge 3/4" PVC Liquid Tight Conduit Fitting - Straight</t>
        </is>
      </c>
      <c r="D873" t="inlineStr">
        <is>
          <t>ISPINNER 4pcs NPT 3/4" Nonmetallic Liquid Tight Electrical Conduit Connector Fittings, UL Listed, 94V-1, Pack of 4</t>
        </is>
      </c>
      <c r="E873" s="2">
        <f>HYPERLINK("https://www.amazon.com/ISPINNER-Nonmetallic-Electrical-Connector-Fittings/dp/B097GNQTDD/ref=sr_1_29?keywords=Cambridge+3%2F4%22+PVC+Liquid+Tight+Conduit+Fitting+-+Straight&amp;qid=1694734855&amp;sr=8-29", "https://www.amazon.com/ISPINNER-Nonmetallic-Electrical-Connector-Fittings/dp/B097GNQTDD/ref=sr_1_29?keywords=Cambridge+3%2F4%22+PVC+Liquid+Tight+Conduit+Fitting+-+Straight&amp;qid=1694734855&amp;sr=8-29")</f>
        <v/>
      </c>
      <c r="F873" t="inlineStr">
        <is>
          <t>B097GNQTDD</t>
        </is>
      </c>
      <c r="G873">
        <f>_xludf.IMAGE("https://edmondsonsupply.com/cdn/shop/files/W14656_01.jpg?v=1692277615")</f>
        <v/>
      </c>
      <c r="H873">
        <f>_xludf.IMAGE("https://m.media-amazon.com/images/I/71f4dPj81PS._AC_UL320_.jpg")</f>
        <v/>
      </c>
      <c r="K873" t="inlineStr">
        <is>
          <t>1.5</t>
        </is>
      </c>
      <c r="L873" t="n">
        <v>11.99</v>
      </c>
      <c r="M873" s="1" t="inlineStr">
        <is>
          <t>699.33%</t>
        </is>
      </c>
      <c r="N873" s="1" t="n">
        <v>178.53</v>
      </c>
      <c r="O873" t="n">
        <v>4.6</v>
      </c>
      <c r="P873" t="n">
        <v>71</v>
      </c>
      <c r="R873" t="inlineStr">
        <is>
          <t>InStock</t>
        </is>
      </c>
      <c r="S873" t="inlineStr">
        <is>
          <t>undefined</t>
        </is>
      </c>
      <c r="T873" t="inlineStr">
        <is>
          <t>8028223897816</t>
        </is>
      </c>
    </row>
    <row r="874" ht="87" customHeight="1">
      <c r="A874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874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874" t="inlineStr">
        <is>
          <t>Diablo Tools DMAPL4210 5/8 in. x 4 in. x 6 in. Rebar Demon™ SDS‑Plus 4‑Cutter Full Carbide Head Hammer Bit</t>
        </is>
      </c>
      <c r="D874" t="inlineStr">
        <is>
          <t>Diablo by Freud DMAPL4040-P25 3/16 in. x 4 in. x 6 in. Rebar Demon™ SDS-Plus 4-Cutter Full Carbide Head Hammer Bit (25-Pack)</t>
        </is>
      </c>
      <c r="E874" s="2" t="n"/>
      <c r="F874" t="inlineStr">
        <is>
          <t>B089LKW42D</t>
        </is>
      </c>
      <c r="G874">
        <f>_xlfn.IMAGE("https://edmondsonsupply.com/cdn/shop/products/DMAPL4210_Main-Image20200701.png?v=1633030426")</f>
        <v/>
      </c>
      <c r="H874">
        <f>_xlfn.IMAGE("https://m.media-amazon.com/images/I/61WAyx865hL._AC_UL320_.jpg")</f>
        <v/>
      </c>
      <c r="K874" t="inlineStr">
        <is>
          <t>9.97</t>
        </is>
      </c>
      <c r="L874" t="n">
        <v>79.63</v>
      </c>
      <c r="M874" s="1" t="inlineStr">
        <is>
          <t>698.70%</t>
        </is>
      </c>
      <c r="N874" s="7" t="n">
        <v>177.53</v>
      </c>
      <c r="O874" t="n">
        <v>5</v>
      </c>
      <c r="P874" t="n">
        <v>2</v>
      </c>
      <c r="R874" t="inlineStr">
        <is>
          <t>InStock</t>
        </is>
      </c>
      <c r="S874" t="inlineStr">
        <is>
          <t>13.77</t>
        </is>
      </c>
      <c r="T874" t="inlineStr">
        <is>
          <t>5326920482984</t>
        </is>
      </c>
    </row>
    <row r="875" hidden="1" ht="15.75" customHeight="1">
      <c r="A875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75" s="2">
        <f>HYPERLINK("https://edmondsonsupply.com/products/cambridge-1-2-pvc-liquid-tight-conduit-fitting-straight", "https://edmondsonsupply.com/products/cambridge-1-2-pvc-liquid-tight-conduit-fitting-straight")</f>
        <v/>
      </c>
      <c r="C875" t="inlineStr">
        <is>
          <t>Cambridge 1/2" PVC Liquid Tight Conduit Fitting - Straight</t>
        </is>
      </c>
      <c r="D875" t="inlineStr">
        <is>
          <t>1/2 inch Liquid Tight Connector PVC Flexible Conduit Connector UL Listed Liquid Tight Connector Non-Metallic Electrical Conduit Fittings 6 Pack (4 pcs 180D/2 pcs 90D)</t>
        </is>
      </c>
      <c r="E875" s="2">
        <f>HYPERLINK("https://www.amazon.com/Connector-Flexible-Non-Metallic-Electrical-Fittings/dp/B0BX9J9PJV/ref=sr_1_5?keywords=Cambridge+1%2F2%22+PVC+Liquid+Tight+Conduit+Fitting+-+Straight&amp;qid=1694734855&amp;sr=8-5", "https://www.amazon.com/Connector-Flexible-Non-Metallic-Electrical-Fittings/dp/B0BX9J9PJV/ref=sr_1_5?keywords=Cambridge+1%2F2%22+PVC+Liquid+Tight+Conduit+Fitting+-+Straight&amp;qid=1694734855&amp;sr=8-5")</f>
        <v/>
      </c>
      <c r="F875" t="inlineStr">
        <is>
          <t>B0BX9J9PJV</t>
        </is>
      </c>
      <c r="G875">
        <f>_xludf.IMAGE("https://edmondsonsupply.com/cdn/shop/files/W14658_01.jpg?v=1692277178")</f>
        <v/>
      </c>
      <c r="H875">
        <f>_xludf.IMAGE("https://m.media-amazon.com/images/I/51vn4jJ6ulL._AC_UL320_.jpg")</f>
        <v/>
      </c>
      <c r="K875" t="inlineStr">
        <is>
          <t>1.19</t>
        </is>
      </c>
      <c r="L875" t="n">
        <v>9.49</v>
      </c>
      <c r="M875" s="1" t="inlineStr">
        <is>
          <t>697.48%</t>
        </is>
      </c>
      <c r="N875" s="1" t="n">
        <v>176.75</v>
      </c>
      <c r="O875" t="n">
        <v>4.9</v>
      </c>
      <c r="P875" t="n">
        <v>26</v>
      </c>
      <c r="R875" t="inlineStr">
        <is>
          <t>InStock</t>
        </is>
      </c>
      <c r="S875" t="inlineStr">
        <is>
          <t>undefined</t>
        </is>
      </c>
      <c r="T875" t="inlineStr">
        <is>
          <t>8028223144152</t>
        </is>
      </c>
    </row>
    <row r="876" ht="87" customHeight="1">
      <c r="A876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876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876" t="inlineStr">
        <is>
          <t>Diablo Tools DMAPL4210 5/8 in. x 4 in. x 6 in. Rebar Demon™ SDS‑Plus 4‑Cutter Full Carbide Head Hammer Bit</t>
        </is>
      </c>
      <c r="D876" t="inlineStr">
        <is>
          <t>Diablo DMAMX1110 5/8 in. x 24 in. x 29 in. Rebar Demon™ SDS-Max 4-Cutter Full Carbide Head Hammer Bit</t>
        </is>
      </c>
      <c r="E876" s="2">
        <f>HYPERLINK("https://www.amazon.com/Diablo-SDS-Max-4-Cutter-Carbide-Hammer/dp/B089LJ9GHW/ref=sr_1_23?keywords=Diablo+Tools+DMAPL4210+5%2F8+in.+x+4+in.+x+6+in.+Rebar+Demon%E2%84%A2+SDS%E2%80%91Plus+4%E2%80%91Cutter+Full+Carbide+Head+Hammer+Bit&amp;qid=1694734723&amp;sr=8-23", "https://www.amazon.com/Diablo-SDS-Max-4-Cutter-Carbide-Hammer/dp/B089LJ9GHW/ref=sr_1_23?keywords=Diablo+Tools+DMAPL4210+5%2F8+in.+x+4+in.+x+6+in.+Rebar+Demon%E2%84%A2+SDS%E2%80%91Plus+4%E2%80%91Cutter+Full+Carbide+Head+Hammer+Bit&amp;qid=1694734723&amp;sr=8-23")</f>
        <v/>
      </c>
      <c r="F876" t="inlineStr">
        <is>
          <t>B089LJ9GHW</t>
        </is>
      </c>
      <c r="G876">
        <f>_xlfn.IMAGE("https://edmondsonsupply.com/cdn/shop/products/DMAPL4210_Main-Image20200701.png?v=1633030426")</f>
        <v/>
      </c>
      <c r="H876">
        <f>_xlfn.IMAGE("https://m.media-amazon.com/images/I/61vWAd-z8eL._AC_UL320_.jpg")</f>
        <v/>
      </c>
      <c r="K876" t="inlineStr">
        <is>
          <t>9.97</t>
        </is>
      </c>
      <c r="L876" t="n">
        <v>78.98999999999999</v>
      </c>
      <c r="M876" s="1" t="inlineStr">
        <is>
          <t>692.28%</t>
        </is>
      </c>
      <c r="N876" s="7" t="n">
        <v>175.82</v>
      </c>
      <c r="O876" t="n">
        <v>4.7</v>
      </c>
      <c r="P876" t="n">
        <v>4</v>
      </c>
      <c r="R876" t="inlineStr">
        <is>
          <t>InStock</t>
        </is>
      </c>
      <c r="S876" t="inlineStr">
        <is>
          <t>13.77</t>
        </is>
      </c>
      <c r="T876" t="inlineStr">
        <is>
          <t>5326920482984</t>
        </is>
      </c>
    </row>
    <row r="877" ht="87" customHeight="1">
      <c r="A877" s="2">
        <f>HYPERLINK("https://edmondsonsupply.com/collections/hvac/products/kroil-ks162-original-penetrant-aerosol-16oz-can", "https://edmondsonsupply.com/collections/hvac/products/kroil-ks162-original-penetrant-aerosol-16oz-can")</f>
        <v/>
      </c>
      <c r="B877" s="2">
        <f>HYPERLINK("https://edmondsonsupply.com/products/kroil-ks162-original-penetrant-aerosol-16oz-can", "https://edmondsonsupply.com/products/kroil-ks162-original-penetrant-aerosol-16oz-can")</f>
        <v/>
      </c>
      <c r="C877" t="inlineStr">
        <is>
          <t>Kroil KS162 Original Penetrant Aerosol 16.5oz can</t>
        </is>
      </c>
      <c r="D877" t="inlineStr">
        <is>
          <t>Kroil Penetrating Oil with Silicone (Aerosol Spray-16.5oz Can-Case of 6) | Penetrant for Rusted Bolts, Metal | Lubricant for Hinges, Chains, Moving Parts (AZSK162C6)</t>
        </is>
      </c>
      <c r="E877" s="2">
        <f>HYPERLINK("https://www.amazon.com/Penetrating-Spray-16-5oz-Penetrant-Lubricant-AZSK162C6/dp/B08ZM6MK53/ref=sr_1_8?keywords=Kroil+KS162+Original+Penetrant+Aerosol+16.5oz+can&amp;qid=1694734905&amp;sr=8-8", "https://www.amazon.com/Penetrating-Spray-16-5oz-Penetrant-Lubricant-AZSK162C6/dp/B08ZM6MK53/ref=sr_1_8?keywords=Kroil+KS162+Original+Penetrant+Aerosol+16.5oz+can&amp;qid=1694734905&amp;sr=8-8")</f>
        <v/>
      </c>
      <c r="F877" t="inlineStr">
        <is>
          <t>B08ZM6MK53</t>
        </is>
      </c>
      <c r="G877">
        <f>_xlfn.IMAGE("https://edmondsonsupply.com/cdn/shop/files/KS162.webp?v=1686779895")</f>
        <v/>
      </c>
      <c r="H877">
        <f>_xlfn.IMAGE("https://m.media-amazon.com/images/I/81841jlWkGL._AC_UY218_.jpg")</f>
        <v/>
      </c>
      <c r="K877" t="inlineStr">
        <is>
          <t>27.89</t>
        </is>
      </c>
      <c r="L877" t="n">
        <v>219.99</v>
      </c>
      <c r="M877" s="1" t="inlineStr">
        <is>
          <t>688.78%</t>
        </is>
      </c>
      <c r="N877" s="7" t="n">
        <v>174.58</v>
      </c>
      <c r="O877" t="n">
        <v>5</v>
      </c>
      <c r="P877" t="n">
        <v>2</v>
      </c>
      <c r="R877" t="inlineStr">
        <is>
          <t>InStock</t>
        </is>
      </c>
      <c r="S877" t="inlineStr">
        <is>
          <t>32.0</t>
        </is>
      </c>
      <c r="T877" t="inlineStr">
        <is>
          <t>8005750685912</t>
        </is>
      </c>
    </row>
    <row r="878" ht="87" customHeight="1">
      <c r="A878" s="2">
        <f>HYPERLINK("https://edmondsonsupply.com/collections/hvac/products/icm-controls-icm1503-intermittent-ignition-oil-burner-primary-control-45-second-safety-timing-honeywell-replacement", "https://edmondsonsupply.com/collections/hvac/products/icm-controls-icm1503-intermittent-ignition-oil-burner-primary-control-45-second-safety-timing-honeywell-replacement")</f>
        <v/>
      </c>
      <c r="B878" s="2">
        <f>HYPERLINK("https://edmondsonsupply.com/products/icm-controls-icm1503-intermittent-ignition-oil-burner-primary-control-45-second-safety-timing-honeywell-replacement", "https://edmondsonsupply.com/products/icm-controls-icm1503-intermittent-ignition-oil-burner-primary-control-45-second-safety-timing-honeywell-replacement")</f>
        <v/>
      </c>
      <c r="C878" t="inlineStr">
        <is>
          <t>ICM Controls ICM1503 Intermittent Ignition Oil Burner Primary Control, 45-Second Safety Timing, Honeywell Replacement</t>
        </is>
      </c>
      <c r="D878" t="inlineStr">
        <is>
          <t>ICM Controls ICM1501 Intermittent Ignition Oil Primary Control with 15 seconds Safety Timing, Replacement for R8184G Series Honeywell (5-Pack)</t>
        </is>
      </c>
      <c r="E878" s="2">
        <f>HYPERLINK("https://www.amazon.com/ICM-Controls-Intermittent-Replacement-Honeywell/dp/B079TXW8FH/ref=sr_1_2?keywords=ICM+Controls+ICM1503+Intermittent+Ignition+Oil+Burner+Primary+Control%2C+45-Second+Safety+Timing%2C+Honeywell+Replacement&amp;qid=1694734595&amp;sr=8-2", "https://www.amazon.com/ICM-Controls-Intermittent-Replacement-Honeywell/dp/B079TXW8FH/ref=sr_1_2?keywords=ICM+Controls+ICM1503+Intermittent+Ignition+Oil+Burner+Primary+Control%2C+45-Second+Safety+Timing%2C+Honeywell+Replacement&amp;qid=1694734595&amp;sr=8-2")</f>
        <v/>
      </c>
      <c r="F878" t="inlineStr">
        <is>
          <t>B079TXW8FH</t>
        </is>
      </c>
      <c r="G878">
        <f>_xlfn.IMAGE("https://edmondsonsupply.com/cdn/shop/products/icm1503.jpg?v=1633031113")</f>
        <v/>
      </c>
      <c r="H878">
        <f>_xlfn.IMAGE("https://m.media-amazon.com/images/I/61-gmBvSrBL._AC_UL320_.jpg")</f>
        <v/>
      </c>
      <c r="K878" t="inlineStr">
        <is>
          <t>76.99</t>
        </is>
      </c>
      <c r="L878" t="n">
        <v>599.99</v>
      </c>
      <c r="M878" s="1" t="inlineStr">
        <is>
          <t>679.31%</t>
        </is>
      </c>
      <c r="N878" s="7" t="n">
        <v>174.22</v>
      </c>
      <c r="O878" t="n">
        <v>4.4</v>
      </c>
      <c r="P878" t="n">
        <v>86</v>
      </c>
      <c r="R878" t="inlineStr">
        <is>
          <t>InStock</t>
        </is>
      </c>
      <c r="S878" t="inlineStr">
        <is>
          <t>105.4</t>
        </is>
      </c>
      <c r="T878" t="inlineStr">
        <is>
          <t>6852304535725</t>
        </is>
      </c>
    </row>
    <row r="879" hidden="1" ht="15.75" customHeight="1">
      <c r="A879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79" s="2">
        <f>HYPERLINK("https://edmondsonsupply.com/products/cambridge-1-2-pvc-liquid-tight-conduit-fitting-90-degree", "https://edmondsonsupply.com/products/cambridge-1-2-pvc-liquid-tight-conduit-fitting-90-degree")</f>
        <v/>
      </c>
      <c r="C879" t="inlineStr">
        <is>
          <t>Cambridge 1/2" PVC Liquid Tight Conduit Fitting - 90 Degree</t>
        </is>
      </c>
      <c r="D879" t="inlineStr">
        <is>
          <t>1/2-Inch Liquid Tight Conduit Connectors, NPT Non-Metallic Connector for PVC Electrical Flexible Conduit Fittings, for Home Outdoor Tubes Tools, 180 Degree Straight, UL Listed, Grey, 10-Pack</t>
        </is>
      </c>
      <c r="E879" s="2">
        <f>HYPERLINK("https://www.amazon.com/Connectors-Non-Metallic-Connector-Electrical-Flexible/dp/B0C4F2VCF6/ref=sr_1_15?keywords=Cambridge+1%2F2%22+PVC+Liquid+Tight+Conduit+Fitting+-+90+Degree&amp;qid=1694734857&amp;sr=8-15", "https://www.amazon.com/Connectors-Non-Metallic-Connector-Electrical-Flexible/dp/B0C4F2VCF6/ref=sr_1_15?keywords=Cambridge+1%2F2%22+PVC+Liquid+Tight+Conduit+Fitting+-+90+Degree&amp;qid=1694734857&amp;sr=8-15")</f>
        <v/>
      </c>
      <c r="F879" t="inlineStr">
        <is>
          <t>B0C4F2VCF6</t>
        </is>
      </c>
      <c r="G879">
        <f>_xludf.IMAGE("https://edmondsonsupply.com/cdn/shop/files/W14659_01.jpg?v=1692278106")</f>
        <v/>
      </c>
      <c r="H879">
        <f>_xludf.IMAGE("https://m.media-amazon.com/images/I/61prNHNY3eL._AC_UL320_.jpg")</f>
        <v/>
      </c>
      <c r="K879" t="inlineStr">
        <is>
          <t>1.48</t>
        </is>
      </c>
      <c r="L879" t="n">
        <v>11.49</v>
      </c>
      <c r="M879" s="1" t="inlineStr">
        <is>
          <t>676.35%</t>
        </is>
      </c>
      <c r="N879" s="1" t="n">
        <v>171.74</v>
      </c>
      <c r="O879" t="n">
        <v>4.8</v>
      </c>
      <c r="P879" t="n">
        <v>7</v>
      </c>
      <c r="R879" t="inlineStr">
        <is>
          <t>InStock</t>
        </is>
      </c>
      <c r="S879" t="inlineStr">
        <is>
          <t>undefined</t>
        </is>
      </c>
      <c r="T879" t="inlineStr">
        <is>
          <t>8028224422104</t>
        </is>
      </c>
    </row>
    <row r="880" hidden="1" ht="15.75" customHeight="1">
      <c r="A880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80" s="2">
        <f>HYPERLINK("https://edmondsonsupply.com/products/cambridge-1-2-pvc-liquid-tight-conduit-fitting-90-degree", "https://edmondsonsupply.com/products/cambridge-1-2-pvc-liquid-tight-conduit-fitting-90-degree")</f>
        <v/>
      </c>
      <c r="C880" t="inlineStr">
        <is>
          <t>Cambridge 1/2" PVC Liquid Tight Conduit Fitting - 90 Degree</t>
        </is>
      </c>
      <c r="D880" t="inlineStr">
        <is>
          <t>6 Pack 1/2 inch Liquid Tight Connector PVC Flexible Conduit Connector UL Listed Liquid Tight Connector Non-Metallic Electrical Conduit Fittings (4 pcs 180D/2 pcs 90D)</t>
        </is>
      </c>
      <c r="E880" s="2">
        <f>HYPERLINK("https://www.amazon.com/Connector-Flexible-Non-Metallic-Electrical-Fittings/dp/B0BX9KCF13/ref=sr_1_27?keywords=Cambridge+1%2F2%22+PVC+Liquid+Tight+Conduit+Fitting+-+90+Degree&amp;qid=1694734857&amp;sr=8-27", "https://www.amazon.com/Connector-Flexible-Non-Metallic-Electrical-Fittings/dp/B0BX9KCF13/ref=sr_1_27?keywords=Cambridge+1%2F2%22+PVC+Liquid+Tight+Conduit+Fitting+-+90+Degree&amp;qid=1694734857&amp;sr=8-27")</f>
        <v/>
      </c>
      <c r="F880" t="inlineStr">
        <is>
          <t>B0BX9KCF13</t>
        </is>
      </c>
      <c r="G880">
        <f>_xludf.IMAGE("https://edmondsonsupply.com/cdn/shop/files/W14659_01.jpg?v=1692278106")</f>
        <v/>
      </c>
      <c r="H880">
        <f>_xludf.IMAGE("https://m.media-amazon.com/images/I/51vn4jJ6ulL._AC_UL320_.jpg")</f>
        <v/>
      </c>
      <c r="K880" t="inlineStr">
        <is>
          <t>1.48</t>
        </is>
      </c>
      <c r="L880" t="n">
        <v>11.49</v>
      </c>
      <c r="M880" s="1" t="inlineStr">
        <is>
          <t>676.35%</t>
        </is>
      </c>
      <c r="N880" s="1" t="n">
        <v>171.42</v>
      </c>
      <c r="O880" t="n">
        <v>5</v>
      </c>
      <c r="P880" t="n">
        <v>15</v>
      </c>
      <c r="R880" t="inlineStr">
        <is>
          <t>InStock</t>
        </is>
      </c>
      <c r="S880" t="inlineStr">
        <is>
          <t>undefined</t>
        </is>
      </c>
      <c r="T880" t="inlineStr">
        <is>
          <t>8028224422104</t>
        </is>
      </c>
    </row>
    <row r="881" ht="87" customHeight="1">
      <c r="A881" s="2">
        <f>HYPERLINK("https://edmondsonsupply.com/collections/hvac/products/jb-industries-a31999-1-4-valve-core-replacement-5-pack", "https://edmondsonsupply.com/collections/hvac/products/jb-industries-a31999-1-4-valve-core-replacement-5-pack")</f>
        <v/>
      </c>
      <c r="B881" s="2">
        <f>HYPERLINK("https://edmondsonsupply.com/products/jb-industries-a31999-1-4-valve-core-replacement-5-pack", "https://edmondsonsupply.com/products/jb-industries-a31999-1-4-valve-core-replacement-5-pack")</f>
        <v/>
      </c>
      <c r="C881" t="inlineStr">
        <is>
          <t>JB Industries A31999 1/4" Valve Core Replacement (5 Pack)</t>
        </is>
      </c>
      <c r="D881" t="inlineStr">
        <is>
          <t>jb industries a31999-100 1/4" valve core</t>
        </is>
      </c>
      <c r="E881" s="2">
        <f>HYPERLINK("https://www.amazon.com/industries-a31999-100-valve-core/dp/B00E1NKJ26/ref=sr_1_2?keywords=JB+Industries+A31999+1%2F4%22+Valve+Core+Replacement+%285+Pack%29&amp;qid=1694734679&amp;sr=8-2", "https://www.amazon.com/industries-a31999-100-valve-core/dp/B00E1NKJ26/ref=sr_1_2?keywords=JB+Industries+A31999+1%2F4%22+Valve+Core+Replacement+%285+Pack%29&amp;qid=1694734679&amp;sr=8-2")</f>
        <v/>
      </c>
      <c r="F881" t="inlineStr">
        <is>
          <t>B00E1NKJ26</t>
        </is>
      </c>
      <c r="G881">
        <f>_xlfn.IMAGE("https://edmondsonsupply.com/cdn/shop/files/A31999-JB-Valve-Cores-Access-Valves.png?v=1682528644")</f>
        <v/>
      </c>
      <c r="H881">
        <f>_xlfn.IMAGE("https://m.media-amazon.com/images/I/21+Fh4IW--L._AC_UL320_.jpg")</f>
        <v/>
      </c>
      <c r="K881" t="inlineStr">
        <is>
          <t>3.99</t>
        </is>
      </c>
      <c r="L881" t="n">
        <v>29.98</v>
      </c>
      <c r="M881" s="1" t="inlineStr">
        <is>
          <t>651.38%</t>
        </is>
      </c>
      <c r="N881" s="7" t="n">
        <v>170.07</v>
      </c>
      <c r="O881" t="n">
        <v>5</v>
      </c>
      <c r="P881" t="n">
        <v>1</v>
      </c>
      <c r="R881" t="inlineStr">
        <is>
          <t>InStock</t>
        </is>
      </c>
      <c r="S881" t="inlineStr">
        <is>
          <t>5.98</t>
        </is>
      </c>
      <c r="T881" t="inlineStr">
        <is>
          <t>7984173547736</t>
        </is>
      </c>
    </row>
    <row r="882" ht="87" customHeight="1">
      <c r="A882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882" s="2">
        <f>HYPERLINK("https://edmondsonsupply.com/products/nu-calgon-44171-75-evap-foam-no-rinse-aerosol-coil-cleaner", "https://edmondsonsupply.com/products/nu-calgon-44171-75-evap-foam-no-rinse-aerosol-coil-cleaner")</f>
        <v/>
      </c>
      <c r="C882" t="inlineStr">
        <is>
          <t>Nu-Calgon 4171-75 Evap Foam No Rinse, Aerosol Coil Cleaner (18 oz. can)</t>
        </is>
      </c>
      <c r="D882" t="inlineStr">
        <is>
          <t>Nu-Calgon 4171-75 Evap Foam No Rinse Evaporator Coil Cleaner, 18 oz. - Pack of 6 Limited Edition</t>
        </is>
      </c>
      <c r="E882" s="2">
        <f>HYPERLINK("https://www.amazon.com/Nu-Calgon-4171-75-Rinse-Evaporator-Cleaner/dp/B081QLQ2ZW/ref=sr_1_17?keywords=Nu-Calgon+4171-75+Evap+Foam+No+Rinse%2C+Aerosol+Coil+Cleaner+%2818+oz.+can%29&amp;qid=1694734591&amp;sr=8-17", "https://www.amazon.com/Nu-Calgon-4171-75-Rinse-Evaporator-Cleaner/dp/B081QLQ2ZW/ref=sr_1_17?keywords=Nu-Calgon+4171-75+Evap+Foam+No+Rinse%2C+Aerosol+Coil+Cleaner+%2818+oz.+can%29&amp;qid=1694734591&amp;sr=8-17")</f>
        <v/>
      </c>
      <c r="F882" t="inlineStr">
        <is>
          <t>B081QLQ2ZW</t>
        </is>
      </c>
      <c r="G882">
        <f>_xlfn.IMAGE("https://edmondsonsupply.com/cdn/shop/products/4171-75.jpg?v=1659099515")</f>
        <v/>
      </c>
      <c r="H882">
        <f>_xlfn.IMAGE("https://m.media-amazon.com/images/I/81UEqPlC4ML._AC_UL320_.jpg")</f>
        <v/>
      </c>
      <c r="K882" t="inlineStr">
        <is>
          <t>11.75</t>
        </is>
      </c>
      <c r="L882" t="n">
        <v>87.95</v>
      </c>
      <c r="M882" s="1" t="inlineStr">
        <is>
          <t>648.51%</t>
        </is>
      </c>
      <c r="N882" s="7" t="n">
        <v>169.3</v>
      </c>
      <c r="O882" t="n">
        <v>5</v>
      </c>
      <c r="P882" t="n">
        <v>1</v>
      </c>
      <c r="R882" t="inlineStr">
        <is>
          <t>InStock</t>
        </is>
      </c>
      <c r="S882" t="inlineStr">
        <is>
          <t>17.7</t>
        </is>
      </c>
      <c r="T882" t="inlineStr">
        <is>
          <t>7766316646616</t>
        </is>
      </c>
    </row>
    <row r="883" ht="87" customHeight="1">
      <c r="A883" s="2">
        <f>HYPERLINK("https://edmondsonsupply.com/collections/hvac/products/lucas-milhaupt-95177-sil-fos-15-7-rods-15-silver-1", "https://edmondsonsupply.com/collections/hvac/products/lucas-milhaupt-95177-sil-fos-15-7-rods-15-silver-1")</f>
        <v/>
      </c>
      <c r="B883" s="2">
        <f>HYPERLINK("https://edmondsonsupply.com/products/lucas-milhaupt-95177-sil-fos-15-7-rods-15-silver-1", "https://edmondsonsupply.com/products/lucas-milhaupt-95177-sil-fos-15-7-rods-15-silver-1")</f>
        <v/>
      </c>
      <c r="C883" t="inlineStr">
        <is>
          <t>Lucas Milhaupt 99088 AL 822 Aluminum Solder, 4 Rods</t>
        </is>
      </c>
      <c r="D883" t="inlineStr">
        <is>
          <t>Lucas-Milhaupt 99088 Flux Cored Aluminum 822, 4 Pack of 4</t>
        </is>
      </c>
      <c r="E883" s="2">
        <f>HYPERLINK("https://www.amazon.com/Lucas-Milhaupt-99088-Flux-Cored-Aluminum/dp/B0B22K311X/ref=sr_1_4?keywords=Lucas+Milhaupt+99088+AL+822+Aluminum+Solder%2C+4+Rods&amp;qid=1694734567&amp;sr=8-4", "https://www.amazon.com/Lucas-Milhaupt-99088-Flux-Cored-Aluminum/dp/B0B22K311X/ref=sr_1_4?keywords=Lucas+Milhaupt+99088+AL+822+Aluminum+Solder%2C+4+Rods&amp;qid=1694734567&amp;sr=8-4")</f>
        <v/>
      </c>
      <c r="F883" t="inlineStr">
        <is>
          <t>B0B22K311X</t>
        </is>
      </c>
      <c r="G883">
        <f>_xlfn.IMAGE("https://edmondsonsupply.com/cdn/shop/products/99088-2.jpg?v=1587147488")</f>
        <v/>
      </c>
      <c r="H883">
        <f>_xlfn.IMAGE("https://m.media-amazon.com/images/I/61rhKzg5d7L._AC_UL320_.jpg")</f>
        <v/>
      </c>
      <c r="K883" t="inlineStr">
        <is>
          <t>25.58</t>
        </is>
      </c>
      <c r="L883" t="n">
        <v>190.27</v>
      </c>
      <c r="M883" s="1" t="inlineStr">
        <is>
          <t>643.82%</t>
        </is>
      </c>
      <c r="N883" s="7" t="n">
        <v>169.3</v>
      </c>
      <c r="O883" t="n">
        <v>4.7</v>
      </c>
      <c r="P883" t="n">
        <v>51</v>
      </c>
      <c r="R883" t="inlineStr">
        <is>
          <t>InStock</t>
        </is>
      </c>
      <c r="S883" t="inlineStr">
        <is>
          <t>undefined</t>
        </is>
      </c>
      <c r="T883" t="inlineStr">
        <is>
          <t>3567265251428</t>
        </is>
      </c>
    </row>
    <row r="884" ht="87" customHeight="1">
      <c r="A884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884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884" t="inlineStr">
        <is>
          <t>Diablo Tools DMAPL4250 3/4 in. x 8 in. x 10 in. Rebar Demon™ SDS-Plus 4-Cutter Full Carbide Head Hammer Drill Bit</t>
        </is>
      </c>
      <c r="D884" t="inlineStr">
        <is>
          <t>Diablo by Freud DMAPL4160-P25 3/8 in. x 10 in. x 12 in. Rebar Demon SDS-Plus 4-Cutter Full Carbide Head Hammer Bit (25-Pack)</t>
        </is>
      </c>
      <c r="E884" s="2">
        <f>HYPERLINK("https://www.amazon.com/Diablo-Freud-DMAPL4160-P25-SDS-Plus-4-Cutter/dp/B089LKWCD1/ref=sr_1_38?keywords=Diablo+Tools+DMAPL4250+3%2F4+in.+x+8+in.+x+10+in.+Rebar+Demon%E2%84%A2+SDS-Plus+4-Cutter+Full+Carbide+Head+Hammer+Drill+Bit&amp;qid=1694734913&amp;sr=8-38", "https://www.amazon.com/Diablo-Freud-DMAPL4160-P25-SDS-Plus-4-Cutter/dp/B089LKWCD1/ref=sr_1_38?keywords=Diablo+Tools+DMAPL4250+3%2F4+in.+x+8+in.+x+10+in.+Rebar+Demon%E2%84%A2+SDS-Plus+4-Cutter+Full+Carbide+Head+Hammer+Drill+Bit&amp;qid=1694734913&amp;sr=8-38")</f>
        <v/>
      </c>
      <c r="F884" t="inlineStr">
        <is>
          <t>B089LKWCD1</t>
        </is>
      </c>
      <c r="G884">
        <f>_xlfn.IMAGE("https://edmondsonsupply.com/cdn/shop/files/rltcbi253wmfv6otmtz6.webp?v=1686576913")</f>
        <v/>
      </c>
      <c r="H884">
        <f>_xlfn.IMAGE("https://m.media-amazon.com/images/I/61MHnm3+2bL._AC_UL320_.jpg")</f>
        <v/>
      </c>
      <c r="K884" t="inlineStr">
        <is>
          <t>24.47</t>
        </is>
      </c>
      <c r="L884" t="n">
        <v>180.97</v>
      </c>
      <c r="M884" s="1" t="inlineStr">
        <is>
          <t>639.56%</t>
        </is>
      </c>
      <c r="N884" s="7" t="n">
        <v>168.92</v>
      </c>
      <c r="O884" t="n">
        <v>5</v>
      </c>
      <c r="P884" t="n">
        <v>1</v>
      </c>
      <c r="R884" t="inlineStr">
        <is>
          <t>InStock</t>
        </is>
      </c>
      <c r="S884" t="inlineStr">
        <is>
          <t>38.21</t>
        </is>
      </c>
      <c r="T884" t="inlineStr">
        <is>
          <t>8004486168792</t>
        </is>
      </c>
    </row>
    <row r="885" ht="87" customHeight="1">
      <c r="A885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885" s="2">
        <f>HYPERLINK("https://edmondsonsupply.com/products/klein-tools-646-5-16-5-16-inch-nut-driver-6-inch-hollow-shaft", "https://edmondsonsupply.com/products/klein-tools-646-5-16-5-16-inch-nut-driver-6-inch-hollow-shaft")</f>
        <v/>
      </c>
      <c r="C885" t="inlineStr">
        <is>
          <t>Klein Tools 646-5/16 5/16-Inch Nut Driver, 6-Inch Hollow Shaft</t>
        </is>
      </c>
      <c r="D885" t="inlineStr">
        <is>
          <t>Klein Tools 647 Tool Set, Nut Drivers Sizes 3/16, 1/4, 5/16, 11/32, 3/8, 7/16, 1/2-Inch, Chrome-Plated 6-Inch Shafts, Cushion Grip, 7-Piece</t>
        </is>
      </c>
      <c r="E885" s="2">
        <f>HYPERLINK("https://www.amazon.com/Driver-6-Inch-Klein-Tools-647/dp/B0014KRVXO/ref=sr_1_20?keywords=Klein+Tools+646-5%2F16+5%2F16-Inch+Nut+Driver%2C+6-Inch+Hollow+Shaft&amp;qid=1694734728&amp;sr=8-20", "https://www.amazon.com/Driver-6-Inch-Klein-Tools-647/dp/B0014KRVXO/ref=sr_1_20?keywords=Klein+Tools+646-5%2F16+5%2F16-Inch+Nut+Driver%2C+6-Inch+Hollow+Shaft&amp;qid=1694734728&amp;sr=8-20")</f>
        <v/>
      </c>
      <c r="F885" t="inlineStr">
        <is>
          <t>B0014KRVXO</t>
        </is>
      </c>
      <c r="G885">
        <f>_xlfn.IMAGE("https://edmondsonsupply.com/cdn/shop/products/646-1-2_e1540905-f750-4509-90c5-74ff653e4d83.jpg?v=1587145119")</f>
        <v/>
      </c>
      <c r="H885">
        <f>_xlfn.IMAGE("https://m.media-amazon.com/images/I/51usUk-EpGL._AC_UL320_.jpg")</f>
        <v/>
      </c>
      <c r="K885" t="inlineStr">
        <is>
          <t>7.99</t>
        </is>
      </c>
      <c r="L885" t="n">
        <v>57.99</v>
      </c>
      <c r="M885" s="1" t="inlineStr">
        <is>
          <t>625.78%</t>
        </is>
      </c>
      <c r="N885" s="7" t="n">
        <v>168.34</v>
      </c>
      <c r="O885" t="n">
        <v>4.8</v>
      </c>
      <c r="P885" t="n">
        <v>734</v>
      </c>
      <c r="R885" t="inlineStr">
        <is>
          <t>InStock</t>
        </is>
      </c>
      <c r="S885" t="inlineStr">
        <is>
          <t>12.1</t>
        </is>
      </c>
      <c r="T885" t="inlineStr">
        <is>
          <t>4395303272548</t>
        </is>
      </c>
    </row>
    <row r="886" ht="87" customHeight="1">
      <c r="A886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886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886" t="inlineStr">
        <is>
          <t>Klein Tools 646-1/4 1/4-Inch Nut Driver with 6-Inch Hollow Shaft</t>
        </is>
      </c>
      <c r="D886" t="inlineStr">
        <is>
          <t>Klein Tools 647 Tool Set, Nut Drivers Sizes 3/16, 1/4, 5/16, 11/32, 3/8, 7/16, 1/2-Inch, Chrome-Plated 6-Inch Shafts, Cushion Grip, 7-Piece</t>
        </is>
      </c>
      <c r="E886" s="2">
        <f>HYPERLINK("https://www.amazon.com/Driver-6-Inch-Klein-Tools-647/dp/B0014KRVXO/ref=sr_1_11?keywords=Klein+Tools+646-1%2F4+1%2F4-Inch+Nut+Driver+with+6-Inch+Hollow+Shaft&amp;qid=1694734727&amp;sr=8-11", "https://www.amazon.com/Driver-6-Inch-Klein-Tools-647/dp/B0014KRVXO/ref=sr_1_11?keywords=Klein+Tools+646-1%2F4+1%2F4-Inch+Nut+Driver+with+6-Inch+Hollow+Shaft&amp;qid=1694734727&amp;sr=8-11")</f>
        <v/>
      </c>
      <c r="F886" t="inlineStr">
        <is>
          <t>B0014KRVXO</t>
        </is>
      </c>
      <c r="G886">
        <f>_xlfn.IMAGE("https://edmondsonsupply.com/cdn/shop/products/646-1-2_08d87fa9-eac4-4869-8d3b-bb680d4b1d53.jpg?v=1587150676")</f>
        <v/>
      </c>
      <c r="H886">
        <f>_xlfn.IMAGE("https://m.media-amazon.com/images/I/51usUk-EpGL._AC_UL320_.jpg")</f>
        <v/>
      </c>
      <c r="K886" t="inlineStr">
        <is>
          <t>7.99</t>
        </is>
      </c>
      <c r="L886" t="n">
        <v>57.99</v>
      </c>
      <c r="M886" s="1" t="inlineStr">
        <is>
          <t>625.78%</t>
        </is>
      </c>
      <c r="N886" s="7" t="n">
        <v>168.16</v>
      </c>
      <c r="O886" t="n">
        <v>4.8</v>
      </c>
      <c r="P886" t="n">
        <v>734</v>
      </c>
      <c r="R886" t="inlineStr">
        <is>
          <t>InStock</t>
        </is>
      </c>
      <c r="S886" t="inlineStr">
        <is>
          <t>12.1</t>
        </is>
      </c>
      <c r="T886" t="inlineStr">
        <is>
          <t>4439433740388</t>
        </is>
      </c>
    </row>
    <row r="887" hidden="1" ht="15.75" customHeight="1">
      <c r="A887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887" s="2">
        <f>HYPERLINK("https://edmondsonsupply.com/products/cambridge-3-4-pvc-liquid-tight-conduit-fitting-90-degree", "https://edmondsonsupply.com/products/cambridge-3-4-pvc-liquid-tight-conduit-fitting-90-degree")</f>
        <v/>
      </c>
      <c r="C887" t="inlineStr">
        <is>
          <t>Cambridge 3/4" PVC Liquid Tight Conduit Fitting - 90 Degree</t>
        </is>
      </c>
      <c r="D887" t="inlineStr">
        <is>
          <t>6 Pack 3/4 inch Liquid Tight Connector PVC Flexible Conduit Connector UL Listed Liquid Tight Connector Non-Metallic Electrical Conduit Fittings (4 pcs 180D/2 pcs 90D)</t>
        </is>
      </c>
      <c r="E887" s="2">
        <f>HYPERLINK("https://www.amazon.com/Connector-Flexible-Non-Metallic-Electrical-Fittings/dp/B0BX9MP3BZ/ref=sr_1_45?keywords=Cambridge+3%2F4%22+PVC+Liquid+Tight+Conduit+Fitting+-+90+Degree&amp;qid=1694734856&amp;sr=8-45", "https://www.amazon.com/Connector-Flexible-Non-Metallic-Electrical-Fittings/dp/B0BX9MP3BZ/ref=sr_1_45?keywords=Cambridge+3%2F4%22+PVC+Liquid+Tight+Conduit+Fitting+-+90+Degree&amp;qid=1694734856&amp;sr=8-45")</f>
        <v/>
      </c>
      <c r="F887" t="inlineStr">
        <is>
          <t>B0BX9MP3BZ</t>
        </is>
      </c>
      <c r="G887">
        <f>_xludf.IMAGE("https://edmondsonsupply.com/cdn/shop/files/W14657_01.jpg?v=1692278537")</f>
        <v/>
      </c>
      <c r="H887">
        <f>_xludf.IMAGE("https://m.media-amazon.com/images/I/51v+vltiCjL._AC_UL320_.jpg")</f>
        <v/>
      </c>
      <c r="K887" t="inlineStr">
        <is>
          <t>1.8</t>
        </is>
      </c>
      <c r="L887" t="n">
        <v>12.99</v>
      </c>
      <c r="M887" s="1" t="inlineStr">
        <is>
          <t>621.67%</t>
        </is>
      </c>
      <c r="N887" s="1" t="n">
        <v>168.03</v>
      </c>
      <c r="O887" t="n">
        <v>5</v>
      </c>
      <c r="P887" t="n">
        <v>2</v>
      </c>
      <c r="R887" t="inlineStr">
        <is>
          <t>InStock</t>
        </is>
      </c>
      <c r="S887" t="inlineStr">
        <is>
          <t>undefined</t>
        </is>
      </c>
      <c r="T887" t="inlineStr">
        <is>
          <t>8028225175768</t>
        </is>
      </c>
    </row>
    <row r="888" hidden="1" ht="15.75" customHeight="1">
      <c r="A888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888" s="2">
        <f>HYPERLINK("https://edmondsonsupply.com/products/cambridge-3-4-pvc-liquid-tight-conduit-fitting-90-degree", "https://edmondsonsupply.com/products/cambridge-3-4-pvc-liquid-tight-conduit-fitting-90-degree")</f>
        <v/>
      </c>
      <c r="C888" t="inlineStr">
        <is>
          <t>Cambridge 3/4" PVC Liquid Tight Conduit Fitting - 90 Degree</t>
        </is>
      </c>
      <c r="D888" t="inlineStr">
        <is>
          <t>3/4 Inch 90 Degree Nonmetallic Liquid Tight Electrical Conduit Conector Fitting, 4 Pack, UL Listed</t>
        </is>
      </c>
      <c r="E888" s="2">
        <f>HYPERLINK("https://www.amazon.com/Nonmetallic-Electrical-Conduit-Conector-Fitting/dp/B08RX4KXND/ref=sr_1_17?keywords=Cambridge+3%2F4%22+PVC+Liquid+Tight+Conduit+Fitting+-+90+Degree&amp;qid=1694734856&amp;sr=8-17", "https://www.amazon.com/Nonmetallic-Electrical-Conduit-Conector-Fitting/dp/B08RX4KXND/ref=sr_1_17?keywords=Cambridge+3%2F4%22+PVC+Liquid+Tight+Conduit+Fitting+-+90+Degree&amp;qid=1694734856&amp;sr=8-17")</f>
        <v/>
      </c>
      <c r="F888" t="inlineStr">
        <is>
          <t>B08RX4KXND</t>
        </is>
      </c>
      <c r="G888">
        <f>_xludf.IMAGE("https://edmondsonsupply.com/cdn/shop/files/W14657_01.jpg?v=1692278537")</f>
        <v/>
      </c>
      <c r="H888">
        <f>_xludf.IMAGE("https://m.media-amazon.com/images/I/71pA2gZF6rL._AC_UL320_.jpg")</f>
        <v/>
      </c>
      <c r="K888" t="inlineStr">
        <is>
          <t>1.8</t>
        </is>
      </c>
      <c r="L888" t="n">
        <v>12.99</v>
      </c>
      <c r="M888" s="1" t="inlineStr">
        <is>
          <t>621.67%</t>
        </is>
      </c>
      <c r="N888" s="1" t="n">
        <v>167.82</v>
      </c>
      <c r="O888" t="n">
        <v>4.4</v>
      </c>
      <c r="P888" t="n">
        <v>2</v>
      </c>
      <c r="R888" t="inlineStr">
        <is>
          <t>InStock</t>
        </is>
      </c>
      <c r="S888" t="inlineStr">
        <is>
          <t>undefined</t>
        </is>
      </c>
      <c r="T888" t="inlineStr">
        <is>
          <t>8028225175768</t>
        </is>
      </c>
    </row>
    <row r="889" hidden="1" ht="15.75" customHeight="1">
      <c r="A889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89" s="2">
        <f>HYPERLINK("https://edmondsonsupply.com/products/cambridge-1-2-pvc-liquid-tight-conduit-fitting-straight", "https://edmondsonsupply.com/products/cambridge-1-2-pvc-liquid-tight-conduit-fitting-straight")</f>
        <v/>
      </c>
      <c r="C889" t="inlineStr">
        <is>
          <t>Cambridge 1/2" PVC Liquid Tight Conduit Fitting - Straight</t>
        </is>
      </c>
      <c r="D889" t="inlineStr">
        <is>
          <t>LifCratms 4Pcs NPT 1/2" 180D Electrical Conduit Connector Fittings, PVC Non-metallic Liquid Tight Straight Conduit Connector</t>
        </is>
      </c>
      <c r="E889" s="2">
        <f>HYPERLINK("https://www.amazon.com/LifCratms-Electrical-Connector-Fittings-Non-metallic/dp/B0BJKDYGF8/ref=sr_1_14?keywords=Cambridge+1%2F2%22+PVC+Liquid+Tight+Conduit+Fitting+-+Straight&amp;qid=1694734855&amp;sr=8-14", "https://www.amazon.com/LifCratms-Electrical-Connector-Fittings-Non-metallic/dp/B0BJKDYGF8/ref=sr_1_14?keywords=Cambridge+1%2F2%22+PVC+Liquid+Tight+Conduit+Fitting+-+Straight&amp;qid=1694734855&amp;sr=8-14")</f>
        <v/>
      </c>
      <c r="F889" t="inlineStr">
        <is>
          <t>B0BJKDYGF8</t>
        </is>
      </c>
      <c r="G889">
        <f>_xludf.IMAGE("https://edmondsonsupply.com/cdn/shop/files/W14658_01.jpg?v=1692277178")</f>
        <v/>
      </c>
      <c r="H889">
        <f>_xludf.IMAGE("https://m.media-amazon.com/images/I/61sbEKpugbL._AC_UL320_.jpg")</f>
        <v/>
      </c>
      <c r="K889" t="inlineStr">
        <is>
          <t>1.19</t>
        </is>
      </c>
      <c r="L889" t="n">
        <v>8.49</v>
      </c>
      <c r="M889" s="1" t="inlineStr">
        <is>
          <t>613.45%</t>
        </is>
      </c>
      <c r="N889" s="1" t="n">
        <v>167.82</v>
      </c>
      <c r="O889" t="n">
        <v>5</v>
      </c>
      <c r="P889" t="n">
        <v>4</v>
      </c>
      <c r="R889" t="inlineStr">
        <is>
          <t>InStock</t>
        </is>
      </c>
      <c r="S889" t="inlineStr">
        <is>
          <t>undefined</t>
        </is>
      </c>
      <c r="T889" t="inlineStr">
        <is>
          <t>8028223144152</t>
        </is>
      </c>
    </row>
    <row r="890" hidden="1" ht="15.75" customHeight="1">
      <c r="A890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90" s="2">
        <f>HYPERLINK("https://edmondsonsupply.com/products/cambridge-1-2-pvc-liquid-tight-conduit-fitting-straight", "https://edmondsonsupply.com/products/cambridge-1-2-pvc-liquid-tight-conduit-fitting-straight")</f>
        <v/>
      </c>
      <c r="C890" t="inlineStr">
        <is>
          <t>Cambridge 1/2" PVC Liquid Tight Conduit Fitting - Straight</t>
        </is>
      </c>
      <c r="D890" t="inlineStr">
        <is>
          <t>Sealproof 1/2-Inch Nonmetallic Liquid-Tight 90-Degree Electrical Conduit Connector Fitting, 1/2" Dia, 5-Pack</t>
        </is>
      </c>
      <c r="E890" s="2">
        <f>HYPERLINK("https://www.amazon.com/Sealproof-Nonmetallic-Liquid-Tight-90-Degree-Electrical/dp/B0756MMCMS/ref=sr_1_20?keywords=Cambridge+1%2F2%22+PVC+Liquid+Tight+Conduit+Fitting+-+Straight&amp;qid=1694734855&amp;sr=8-20", "https://www.amazon.com/Sealproof-Nonmetallic-Liquid-Tight-90-Degree-Electrical/dp/B0756MMCMS/ref=sr_1_20?keywords=Cambridge+1%2F2%22+PVC+Liquid+Tight+Conduit+Fitting+-+Straight&amp;qid=1694734855&amp;sr=8-20")</f>
        <v/>
      </c>
      <c r="F890" t="inlineStr">
        <is>
          <t>B0756MMCMS</t>
        </is>
      </c>
      <c r="G890">
        <f>_xludf.IMAGE("https://edmondsonsupply.com/cdn/shop/files/W14658_01.jpg?v=1692277178")</f>
        <v/>
      </c>
      <c r="H890">
        <f>_xludf.IMAGE("https://m.media-amazon.com/images/I/71q-MMNFhkL._AC_UL320_.jpg")</f>
        <v/>
      </c>
      <c r="K890" t="inlineStr">
        <is>
          <t>1.19</t>
        </is>
      </c>
      <c r="L890" t="n">
        <v>8.49</v>
      </c>
      <c r="M890" s="1" t="inlineStr">
        <is>
          <t>613.45%</t>
        </is>
      </c>
      <c r="N890" s="1" t="n">
        <v>167.8</v>
      </c>
      <c r="O890" t="n">
        <v>4.8</v>
      </c>
      <c r="P890" t="n">
        <v>171</v>
      </c>
      <c r="R890" t="inlineStr">
        <is>
          <t>InStock</t>
        </is>
      </c>
      <c r="S890" t="inlineStr">
        <is>
          <t>undefined</t>
        </is>
      </c>
      <c r="T890" t="inlineStr">
        <is>
          <t>8028223144152</t>
        </is>
      </c>
    </row>
    <row r="891" hidden="1" ht="15.75" customHeight="1">
      <c r="A89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891" s="2">
        <f>HYPERLINK("https://edmondsonsupply.com/products/cambridge-1-2-pvc-liquid-tight-conduit-fitting-straight", "https://edmondsonsupply.com/products/cambridge-1-2-pvc-liquid-tight-conduit-fitting-straight")</f>
        <v/>
      </c>
      <c r="C891" t="inlineStr">
        <is>
          <t>Cambridge 1/2" PVC Liquid Tight Conduit Fitting - Straight</t>
        </is>
      </c>
      <c r="D891" t="inlineStr">
        <is>
          <t>1/2-Inch Liquid Tight Connector 90-Degree, for PVC Electrical Flexible Conduit Fittings NPT Non-Metallic Connectors, for Home Outdoor Tubes Tools, UL Listed, Grey, 8-Pack</t>
        </is>
      </c>
      <c r="E891" s="2">
        <f>HYPERLINK("https://www.amazon.com/Connector-90-Degree-Electrical-Non-Metallic-Connectors/dp/B0C6D6HV36/ref=sr_1_6?keywords=Cambridge+1%2F2%22+PVC+Liquid+Tight+Conduit+Fitting+-+Straight&amp;qid=1694734855&amp;sr=8-6", "https://www.amazon.com/Connector-90-Degree-Electrical-Non-Metallic-Connectors/dp/B0C6D6HV36/ref=sr_1_6?keywords=Cambridge+1%2F2%22+PVC+Liquid+Tight+Conduit+Fitting+-+Straight&amp;qid=1694734855&amp;sr=8-6")</f>
        <v/>
      </c>
      <c r="F891" t="inlineStr">
        <is>
          <t>B0C6D6HV36</t>
        </is>
      </c>
      <c r="G891">
        <f>_xludf.IMAGE("https://edmondsonsupply.com/cdn/shop/files/W14658_01.jpg?v=1692277178")</f>
        <v/>
      </c>
      <c r="H891">
        <f>_xludf.IMAGE("https://m.media-amazon.com/images/I/61gEfCjEoCL._AC_UL320_.jpg")</f>
        <v/>
      </c>
      <c r="K891" t="inlineStr">
        <is>
          <t>1.19</t>
        </is>
      </c>
      <c r="L891" t="n">
        <v>8.49</v>
      </c>
      <c r="M891" s="1" t="inlineStr">
        <is>
          <t>613.45%</t>
        </is>
      </c>
      <c r="N891" s="1" t="n">
        <v>167.53</v>
      </c>
      <c r="O891" t="n">
        <v>5</v>
      </c>
      <c r="P891" t="n">
        <v>4</v>
      </c>
      <c r="R891" t="inlineStr">
        <is>
          <t>InStock</t>
        </is>
      </c>
      <c r="S891" t="inlineStr">
        <is>
          <t>undefined</t>
        </is>
      </c>
      <c r="T891" t="inlineStr">
        <is>
          <t>8028223144152</t>
        </is>
      </c>
    </row>
    <row r="892" hidden="1" ht="15.75" customHeight="1">
      <c r="A892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92" s="2">
        <f>HYPERLINK("https://edmondsonsupply.com/products/cambridge-1-2-pvc-liquid-tight-conduit-fitting-90-degree", "https://edmondsonsupply.com/products/cambridge-1-2-pvc-liquid-tight-conduit-fitting-90-degree")</f>
        <v/>
      </c>
      <c r="C892" t="inlineStr">
        <is>
          <t>Cambridge 1/2" PVC Liquid Tight Conduit Fitting - 90 Degree</t>
        </is>
      </c>
      <c r="D892" t="inlineStr">
        <is>
          <t>Fuzbaxy10pcs 1/2" Nonmetallic NPT Liquid Tight Connector 90 Degree Electrical Conduit Connector Fitting</t>
        </is>
      </c>
      <c r="E892" s="2">
        <f>HYPERLINK("https://www.amazon.com/Fuzbaxy10pcs-Nonmetallic-Connector-Electrical-Conduit/dp/B09C1S5TLS/ref=sr_1_25?keywords=Cambridge+1%2F2%22+PVC+Liquid+Tight+Conduit+Fitting+-+90+Degree&amp;qid=1694734857&amp;sr=8-25", "https://www.amazon.com/Fuzbaxy10pcs-Nonmetallic-Connector-Electrical-Conduit/dp/B09C1S5TLS/ref=sr_1_25?keywords=Cambridge+1%2F2%22+PVC+Liquid+Tight+Conduit+Fitting+-+90+Degree&amp;qid=1694734857&amp;sr=8-25")</f>
        <v/>
      </c>
      <c r="F892" t="inlineStr">
        <is>
          <t>B09C1S5TLS</t>
        </is>
      </c>
      <c r="G892">
        <f>_xludf.IMAGE("https://edmondsonsupply.com/cdn/shop/files/W14659_01.jpg?v=1692278106")</f>
        <v/>
      </c>
      <c r="H892">
        <f>_xludf.IMAGE("https://m.media-amazon.com/images/I/71NQu5I3DSL._AC_UL320_.jpg")</f>
        <v/>
      </c>
      <c r="K892" t="inlineStr">
        <is>
          <t>1.48</t>
        </is>
      </c>
      <c r="L892" t="n">
        <v>10.55</v>
      </c>
      <c r="M892" s="1" t="inlineStr">
        <is>
          <t>612.84%</t>
        </is>
      </c>
      <c r="N892" s="1" t="n">
        <v>167.46</v>
      </c>
      <c r="O892" t="n">
        <v>4.5</v>
      </c>
      <c r="P892" t="n">
        <v>61</v>
      </c>
      <c r="R892" t="inlineStr">
        <is>
          <t>InStock</t>
        </is>
      </c>
      <c r="S892" t="inlineStr">
        <is>
          <t>undefined</t>
        </is>
      </c>
      <c r="T892" t="inlineStr">
        <is>
          <t>8028224422104</t>
        </is>
      </c>
    </row>
    <row r="893" hidden="1" ht="15.75" customHeight="1">
      <c r="A893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893" s="2">
        <f>HYPERLINK("https://edmondsonsupply.com/products/packard-titan-pro-toc5-motor-run-capacitor-5-mfd-370-volt-oval", "https://edmondsonsupply.com/products/packard-titan-pro-toc5-motor-run-capacitor-5-mfd-370-volt-oval")</f>
        <v/>
      </c>
      <c r="C893" t="inlineStr">
        <is>
          <t>Packard Titan PRO TOC5 Motor Run Capacitor 5 MFD 370 Volt Oval</t>
        </is>
      </c>
      <c r="D893" t="inlineStr">
        <is>
          <t>Packard TOCFD2015 Titan Pro Motor Run Capacitor 20+15 MFD 440/370V OVAL Capacitor</t>
        </is>
      </c>
      <c r="E893" s="2">
        <f>HYPERLINK("https://www.amazon.com/Packard-TOCFD2015-Titan-Motor-Capacitor/dp/B009558NQO/ref=sr_1_2?keywords=Packard+Titan+PRO+TOC5+Motor+Run+Capacitor+5+MFD+370+Volt+Oval&amp;qid=1694734593&amp;sr=8-2", "https://www.amazon.com/Packard-TOCFD2015-Titan-Motor-Capacitor/dp/B009558NQO/ref=sr_1_2?keywords=Packard+Titan+PRO+TOC5+Motor+Run+Capacitor+5+MFD+370+Volt+Oval&amp;qid=1694734593&amp;sr=8-2")</f>
        <v/>
      </c>
      <c r="F893" t="inlineStr">
        <is>
          <t>B009558NQO</t>
        </is>
      </c>
      <c r="G893">
        <f>_xludf.IMAGE("https://edmondsonsupply.com/cdn/shop/products/TOC5-2_cb7d381d-e381-4aa5-9246-56c19cd39747.jpg?v=1587146064")</f>
        <v/>
      </c>
      <c r="H893">
        <f>_xludf.IMAGE("https://m.media-amazon.com/images/I/41uzXVL4zvL._AC_UY218_.jpg")</f>
        <v/>
      </c>
      <c r="K893" t="inlineStr">
        <is>
          <t>1.84</t>
        </is>
      </c>
      <c r="L893" t="n">
        <v>12.79</v>
      </c>
      <c r="M893" s="1" t="inlineStr">
        <is>
          <t>595.11%</t>
        </is>
      </c>
      <c r="N893" s="1" t="n">
        <v>166.89</v>
      </c>
      <c r="O893" t="n">
        <v>5</v>
      </c>
      <c r="P893" t="n">
        <v>1</v>
      </c>
      <c r="R893" t="inlineStr">
        <is>
          <t>InStock</t>
        </is>
      </c>
      <c r="S893" t="inlineStr">
        <is>
          <t>undefined</t>
        </is>
      </c>
      <c r="T893" t="inlineStr">
        <is>
          <t>3597257539684</t>
        </is>
      </c>
    </row>
    <row r="894" hidden="1" ht="15.75" customHeight="1">
      <c r="A894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94" s="2">
        <f>HYPERLINK("https://edmondsonsupply.com/products/cambridge-1-2-pvc-liquid-tight-conduit-fitting-90-degree", "https://edmondsonsupply.com/products/cambridge-1-2-pvc-liquid-tight-conduit-fitting-90-degree")</f>
        <v/>
      </c>
      <c r="C894" t="inlineStr">
        <is>
          <t>Cambridge 1/2" PVC Liquid Tight Conduit Fitting - 90 Degree</t>
        </is>
      </c>
      <c r="D894" t="inlineStr">
        <is>
          <t>heyous 4pcs PVC Liquid Tight 90 Degree Connector 1/2" NPT Electrical Conduit Fittings, Gray</t>
        </is>
      </c>
      <c r="E894" s="2">
        <f>HYPERLINK("https://www.amazon.com/heyous-Connector-Electrical-Conduit-Fittings/dp/B0BKSM81CL/ref=sr_1_12?keywords=Cambridge+1%2F2%22+PVC+Liquid+Tight+Conduit+Fitting+-+90+Degree&amp;qid=1694734857&amp;sr=8-12", "https://www.amazon.com/heyous-Connector-Electrical-Conduit-Fittings/dp/B0BKSM81CL/ref=sr_1_12?keywords=Cambridge+1%2F2%22+PVC+Liquid+Tight+Conduit+Fitting+-+90+Degree&amp;qid=1694734857&amp;sr=8-12")</f>
        <v/>
      </c>
      <c r="F894" t="inlineStr">
        <is>
          <t>B0BKSM81CL</t>
        </is>
      </c>
      <c r="G894">
        <f>_xludf.IMAGE("https://edmondsonsupply.com/cdn/shop/files/W14659_01.jpg?v=1692278106")</f>
        <v/>
      </c>
      <c r="H894">
        <f>_xludf.IMAGE("https://m.media-amazon.com/images/I/61AdxWN0+uL._AC_UL320_.jpg")</f>
        <v/>
      </c>
      <c r="K894" t="inlineStr">
        <is>
          <t>1.48</t>
        </is>
      </c>
      <c r="L894" t="n">
        <v>9.99</v>
      </c>
      <c r="M894" s="1" t="inlineStr">
        <is>
          <t>575.00%</t>
        </is>
      </c>
      <c r="N894" s="1" t="n">
        <v>165.03</v>
      </c>
      <c r="O894" t="n">
        <v>5</v>
      </c>
      <c r="P894" t="n">
        <v>2</v>
      </c>
      <c r="R894" t="inlineStr">
        <is>
          <t>InStock</t>
        </is>
      </c>
      <c r="S894" t="inlineStr">
        <is>
          <t>undefined</t>
        </is>
      </c>
      <c r="T894" t="inlineStr">
        <is>
          <t>8028224422104</t>
        </is>
      </c>
    </row>
    <row r="895" hidden="1" ht="15.75" customHeight="1">
      <c r="A895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895" s="2">
        <f>HYPERLINK("https://edmondsonsupply.com/products/cambridge-1-2-pvc-liquid-tight-conduit-fitting-90-degree", "https://edmondsonsupply.com/products/cambridge-1-2-pvc-liquid-tight-conduit-fitting-90-degree")</f>
        <v/>
      </c>
      <c r="C895" t="inlineStr">
        <is>
          <t>Cambridge 1/2" PVC Liquid Tight Conduit Fitting - 90 Degree</t>
        </is>
      </c>
      <c r="D895" t="inlineStr">
        <is>
          <t>6Pack, 1/2" Liquid Tight Connector Non-Metallic Electrical Conduit Fittings,PVC Flexible Conduit Connector,UL Listed,Works with a Variety of Electrical enclosures and hubs(4 pcs180D+2 pcs90D)</t>
        </is>
      </c>
      <c r="E895" s="2">
        <f>HYPERLINK("https://www.amazon.com/Connector-Non-Metallic-Electrical-Fittings-enclosures/dp/B0BCZ6T7P2/ref=sr_1_48?keywords=Cambridge+1%2F2%22+PVC+Liquid+Tight+Conduit+Fitting+-+90+Degree&amp;qid=1694734857&amp;sr=8-48", "https://www.amazon.com/Connector-Non-Metallic-Electrical-Fittings-enclosures/dp/B0BCZ6T7P2/ref=sr_1_48?keywords=Cambridge+1%2F2%22+PVC+Liquid+Tight+Conduit+Fitting+-+90+Degree&amp;qid=1694734857&amp;sr=8-48")</f>
        <v/>
      </c>
      <c r="F895" t="inlineStr">
        <is>
          <t>B0BCZ6T7P2</t>
        </is>
      </c>
      <c r="G895">
        <f>_xludf.IMAGE("https://edmondsonsupply.com/cdn/shop/files/W14659_01.jpg?v=1692278106")</f>
        <v/>
      </c>
      <c r="H895">
        <f>_xludf.IMAGE("https://m.media-amazon.com/images/I/51PUjw2YX1L._AC_UL320_.jpg")</f>
        <v/>
      </c>
      <c r="K895" t="inlineStr">
        <is>
          <t>1.48</t>
        </is>
      </c>
      <c r="L895" t="n">
        <v>9.99</v>
      </c>
      <c r="M895" s="1" t="inlineStr">
        <is>
          <t>575.00%</t>
        </is>
      </c>
      <c r="N895" s="1" t="n">
        <v>163.24</v>
      </c>
      <c r="O895" t="n">
        <v>4.8</v>
      </c>
      <c r="P895" t="n">
        <v>35</v>
      </c>
      <c r="R895" t="inlineStr">
        <is>
          <t>InStock</t>
        </is>
      </c>
      <c r="S895" t="inlineStr">
        <is>
          <t>undefined</t>
        </is>
      </c>
      <c r="T895" t="inlineStr">
        <is>
          <t>8028224422104</t>
        </is>
      </c>
    </row>
    <row r="896" hidden="1" ht="15.75" customHeight="1">
      <c r="A896" s="2">
        <f>HYPERLINK("https://edmondsonsupply.com/collections/hvac/products/cambridge-1-4-o-d-acr-copper-90-long-turn-elbow", "https://edmondsonsupply.com/collections/hvac/products/cambridge-1-4-o-d-acr-copper-90-long-turn-elbow")</f>
        <v/>
      </c>
      <c r="B896" s="2">
        <f>HYPERLINK("https://edmondsonsupply.com/products/cambridge-1-4-o-d-acr-copper-90-long-turn-elbow", "https://edmondsonsupply.com/products/cambridge-1-4-o-d-acr-copper-90-long-turn-elbow")</f>
        <v/>
      </c>
      <c r="C896" t="inlineStr">
        <is>
          <t>Cambridge 1/4" O.D. ACR Copper 90° Long Turn Elbow</t>
        </is>
      </c>
      <c r="D896" t="inlineStr">
        <is>
          <t>1-1/8" OD ACR Copper 90° Long Turn Elbow</t>
        </is>
      </c>
      <c r="E896" s="2">
        <f>HYPERLINK("https://www.amazon.com/1-1-Copper-Long-Turn-Elbow/dp/B07CZP29YZ/ref=sr_1_1?keywords=Cambridge+1%2F4%22+O.D.+ACR+Copper+90%C2%B0+Long+Turn+Elbow&amp;qid=1694734853&amp;sr=8-1", "https://www.amazon.com/1-1-Copper-Long-Turn-Elbow/dp/B07CZP29YZ/ref=sr_1_1?keywords=Cambridge+1%2F4%22+O.D.+ACR+Copper+90%C2%B0+Long+Turn+Elbow&amp;qid=1694734853&amp;sr=8-1")</f>
        <v/>
      </c>
      <c r="F896" t="inlineStr">
        <is>
          <t>B07CZP29YZ</t>
        </is>
      </c>
      <c r="G896">
        <f>_xludf.IMAGE("https://edmondsonsupply.com/cdn/shop/files/ACR90LongTurnElbows_01.jpg?v=1692626799")</f>
        <v/>
      </c>
      <c r="H896">
        <f>_xludf.IMAGE("https://m.media-amazon.com/images/I/61jxZRHdi9L._AC_UL320_.jpg")</f>
        <v/>
      </c>
      <c r="K896" t="inlineStr">
        <is>
          <t>0.89</t>
        </is>
      </c>
      <c r="L896" t="n">
        <v>6</v>
      </c>
      <c r="M896" s="1" t="inlineStr">
        <is>
          <t>574.16%</t>
        </is>
      </c>
      <c r="N896" s="1" t="n">
        <v>161.05</v>
      </c>
      <c r="O896" t="n">
        <v>5</v>
      </c>
      <c r="P896" t="n">
        <v>1</v>
      </c>
      <c r="R896" t="inlineStr">
        <is>
          <t>InStock</t>
        </is>
      </c>
      <c r="S896" t="inlineStr">
        <is>
          <t>undefined</t>
        </is>
      </c>
      <c r="T896" t="inlineStr">
        <is>
          <t>8029392470232</t>
        </is>
      </c>
    </row>
    <row r="897" ht="87" customHeight="1">
      <c r="A897" s="2">
        <f>HYPERLINK("https://edmondsonsupply.com/collections/hvac/products/klein-tools-mag2-magnetizer-demagnetizer", "https://edmondsonsupply.com/collections/hvac/products/klein-tools-mag2-magnetizer-demagnetizer")</f>
        <v/>
      </c>
      <c r="B897" s="2">
        <f>HYPERLINK("https://edmondsonsupply.com/products/klein-tools-mag2-magnetizer-demagnetizer", "https://edmondsonsupply.com/products/klein-tools-mag2-magnetizer-demagnetizer")</f>
        <v/>
      </c>
      <c r="C897" t="inlineStr">
        <is>
          <t>Klein Tools MAG2 Magnetizer / Demagnetizer</t>
        </is>
      </c>
      <c r="D897" t="inlineStr">
        <is>
          <t>Klein Tools 85148 Screwdriver Set with Magnetizer / Demagnetizer for Magnetic Tips, Flathead and Phillips, Non-Slip Cushion Grip, 8-Piece</t>
        </is>
      </c>
      <c r="E897" s="2">
        <f>HYPERLINK("https://www.amazon.com/Klein-Tools-85148-Screwdriver-Demagnetizer/dp/B07W7VCQK3/ref=sr_1_24?keywords=Klein+Tools+MAG2+Magnetizer+%2F+Demagnetizer&amp;qid=1694734636&amp;sr=8-24", "https://www.amazon.com/Klein-Tools-85148-Screwdriver-Demagnetizer/dp/B07W7VCQK3/ref=sr_1_24?keywords=Klein+Tools+MAG2+Magnetizer+%2F+Demagnetizer&amp;qid=1694734636&amp;sr=8-24")</f>
        <v/>
      </c>
      <c r="F897" t="inlineStr">
        <is>
          <t>B07W7VCQK3</t>
        </is>
      </c>
      <c r="G897">
        <f>_xlfn.IMAGE("https://edmondsonsupply.com/cdn/shop/products/mag2.jpg?v=1587145008")</f>
        <v/>
      </c>
      <c r="H897">
        <f>_xlfn.IMAGE("https://m.media-amazon.com/images/I/61UZQBagY-L._AC_UL320_.jpg")</f>
        <v/>
      </c>
      <c r="K897" t="inlineStr">
        <is>
          <t>9.97</t>
        </is>
      </c>
      <c r="L897" t="n">
        <v>66.98999999999999</v>
      </c>
      <c r="M897" s="1" t="inlineStr">
        <is>
          <t>571.92%</t>
        </is>
      </c>
      <c r="N897" s="7" t="n">
        <v>160.89</v>
      </c>
      <c r="O897" t="n">
        <v>4.9</v>
      </c>
      <c r="P897" t="n">
        <v>1816</v>
      </c>
      <c r="R897" t="inlineStr">
        <is>
          <t>InStock</t>
        </is>
      </c>
      <c r="S897" t="inlineStr">
        <is>
          <t>13.96</t>
        </is>
      </c>
      <c r="T897" t="inlineStr">
        <is>
          <t>1706086858852</t>
        </is>
      </c>
    </row>
    <row r="898" ht="87" customHeight="1">
      <c r="A898" s="2">
        <f>HYPERLINK("https://edmondsonsupply.com/collections/hvac/products/klein-tools-69410-replacement-test-lead-set-right-angle", "https://edmondsonsupply.com/collections/hvac/products/klein-tools-69410-replacement-test-lead-set-right-angle")</f>
        <v/>
      </c>
      <c r="B898" s="2">
        <f>HYPERLINK("https://edmondsonsupply.com/products/klein-tools-69410-replacement-test-lead-set-right-angle", "https://edmondsonsupply.com/products/klein-tools-69410-replacement-test-lead-set-right-angle")</f>
        <v/>
      </c>
      <c r="C898" t="inlineStr">
        <is>
          <t>Klein Tools 69410 Replacement Test Lead Set, Right Angle</t>
        </is>
      </c>
      <c r="D898" t="inlineStr">
        <is>
          <t>Klein Tools CL800 Digital Clamp Meter, Autoranging TRMS, AC/DC Volt/Current, LOZ, Continuity, Frequency, Capacitance, NCVT, Temp, More 1000V &amp; Test Lead Set, Right Angle Klein Tools 69410</t>
        </is>
      </c>
      <c r="E898" s="2">
        <f>HYPERLINK("https://www.amazon.com/Klein-Tools-Autoranging-Continuity-Capacitance/dp/B0B2D3PJS9/ref=sr_1_9?keywords=Klein+Tools+69410+Replacement+Test+Lead+Set%2C+Right+Angle&amp;qid=1694734832&amp;sr=8-9", "https://www.amazon.com/Klein-Tools-Autoranging-Continuity-Capacitance/dp/B0B2D3PJS9/ref=sr_1_9?keywords=Klein+Tools+69410+Replacement+Test+Lead+Set%2C+Right+Angle&amp;qid=1694734832&amp;sr=8-9")</f>
        <v/>
      </c>
      <c r="F898" t="inlineStr">
        <is>
          <t>B0B2D3PJS9</t>
        </is>
      </c>
      <c r="G898">
        <f>_xlfn.IMAGE("https://edmondsonsupply.com/cdn/shop/products/69410.jpg?v=1587143393")</f>
        <v/>
      </c>
      <c r="H898">
        <f>_xlfn.IMAGE("https://m.media-amazon.com/images/I/61lou4CYiIL._AC_UY218_.jpg")</f>
        <v/>
      </c>
      <c r="K898" t="inlineStr">
        <is>
          <t>19.97</t>
        </is>
      </c>
      <c r="L898" t="n">
        <v>134.18</v>
      </c>
      <c r="M898" s="1" t="inlineStr">
        <is>
          <t>571.91%</t>
        </is>
      </c>
      <c r="N898" s="7" t="n">
        <v>160.84</v>
      </c>
      <c r="O898" t="n">
        <v>4.7</v>
      </c>
      <c r="P898" t="n">
        <v>15</v>
      </c>
      <c r="R898" t="inlineStr">
        <is>
          <t>InStock</t>
        </is>
      </c>
      <c r="S898" t="inlineStr">
        <is>
          <t>27.1</t>
        </is>
      </c>
      <c r="T898" t="inlineStr">
        <is>
          <t>4274171543652</t>
        </is>
      </c>
    </row>
    <row r="899" hidden="1" ht="15.75" customHeight="1">
      <c r="A899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899" s="2">
        <f>HYPERLINK("https://edmondsonsupply.com/products/cambridge-3-4-pvc-liquid-tight-conduit-fitting-90-degree", "https://edmondsonsupply.com/products/cambridge-3-4-pvc-liquid-tight-conduit-fitting-90-degree")</f>
        <v/>
      </c>
      <c r="C899" t="inlineStr">
        <is>
          <t>Cambridge 3/4" PVC Liquid Tight Conduit Fitting - 90 Degree</t>
        </is>
      </c>
      <c r="D899" t="inlineStr">
        <is>
          <t>3/4 Inch Flexible Conduit Liquid Tight Connector Nonmetallic Liquid Tight 90° Conduit PVC Flexible Electrical Conduit Fittings 6PACK</t>
        </is>
      </c>
      <c r="E899" s="2">
        <f>HYPERLINK("https://www.amazon.com/Flexible-Connector-Nonmetallic-Electrical-Fittings/dp/B0CBBYR54P/ref=sr_1_23?keywords=Cambridge+3%2F4%22+PVC+Liquid+Tight+Conduit+Fitting+-+90+Degree&amp;qid=1694734856&amp;sr=8-23", "https://www.amazon.com/Flexible-Connector-Nonmetallic-Electrical-Fittings/dp/B0CBBYR54P/ref=sr_1_23?keywords=Cambridge+3%2F4%22+PVC+Liquid+Tight+Conduit+Fitting+-+90+Degree&amp;qid=1694734856&amp;sr=8-23")</f>
        <v/>
      </c>
      <c r="F899" t="inlineStr">
        <is>
          <t>B0CBBYR54P</t>
        </is>
      </c>
      <c r="G899">
        <f>_xludf.IMAGE("https://edmondsonsupply.com/cdn/shop/files/W14657_01.jpg?v=1692278537")</f>
        <v/>
      </c>
      <c r="H899">
        <f>_xludf.IMAGE("https://m.media-amazon.com/images/I/61KmgPp52BL._AC_UL320_.jpg")</f>
        <v/>
      </c>
      <c r="K899" t="inlineStr">
        <is>
          <t>1.8</t>
        </is>
      </c>
      <c r="L899" t="n">
        <v>11.99</v>
      </c>
      <c r="M899" s="1" t="inlineStr">
        <is>
          <t>566.11%</t>
        </is>
      </c>
      <c r="N899" s="1" t="n">
        <v>160.31</v>
      </c>
      <c r="O899" t="n">
        <v>4.8</v>
      </c>
      <c r="P899" t="n">
        <v>22</v>
      </c>
      <c r="R899" t="inlineStr">
        <is>
          <t>InStock</t>
        </is>
      </c>
      <c r="S899" t="inlineStr">
        <is>
          <t>undefined</t>
        </is>
      </c>
      <c r="T899" t="inlineStr">
        <is>
          <t>8028225175768</t>
        </is>
      </c>
    </row>
    <row r="900" hidden="1" ht="15.75" customHeight="1">
      <c r="A900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900" s="2">
        <f>HYPERLINK("https://edmondsonsupply.com/products/cambridge-3-4-pvc-liquid-tight-conduit-fitting-straight", "https://edmondsonsupply.com/products/cambridge-3-4-pvc-liquid-tight-conduit-fitting-straight")</f>
        <v/>
      </c>
      <c r="C900" t="inlineStr">
        <is>
          <t>Cambridge 3/4" PVC Liquid Tight Conduit Fitting - Straight</t>
        </is>
      </c>
      <c r="D900" t="inlineStr">
        <is>
          <t>ISPINNER 4pcs NPT 3/4" Nonmetallic Liquid Tight 90 Degree Electrical Conduit Connector Fittings, UL Listed, 94V-1, Pack of 4</t>
        </is>
      </c>
      <c r="E900" s="2">
        <f>HYPERLINK("https://www.amazon.com/ISPINNER-Nonmetallic-Electrical-Connector-Fittings/dp/B097GNQNTP/ref=sr_1_31?keywords=Cambridge+3%2F4%22+PVC+Liquid+Tight+Conduit+Fitting+-+Straight&amp;qid=1694734855&amp;sr=8-31", "https://www.amazon.com/ISPINNER-Nonmetallic-Electrical-Connector-Fittings/dp/B097GNQNTP/ref=sr_1_31?keywords=Cambridge+3%2F4%22+PVC+Liquid+Tight+Conduit+Fitting+-+Straight&amp;qid=1694734855&amp;sr=8-31")</f>
        <v/>
      </c>
      <c r="F900" t="inlineStr">
        <is>
          <t>B097GNQNTP</t>
        </is>
      </c>
      <c r="G900">
        <f>_xludf.IMAGE("https://edmondsonsupply.com/cdn/shop/files/W14656_01.jpg?v=1692277615")</f>
        <v/>
      </c>
      <c r="H900">
        <f>_xludf.IMAGE("https://m.media-amazon.com/images/I/71pAprchM7S._AC_UL320_.jpg")</f>
        <v/>
      </c>
      <c r="K900" t="inlineStr">
        <is>
          <t>1.5</t>
        </is>
      </c>
      <c r="L900" t="n">
        <v>9.99</v>
      </c>
      <c r="M900" s="1" t="inlineStr">
        <is>
          <t>566.00%</t>
        </is>
      </c>
      <c r="N900" s="1" t="n">
        <v>160.08</v>
      </c>
      <c r="O900" t="n">
        <v>4.6</v>
      </c>
      <c r="P900" t="n">
        <v>31</v>
      </c>
      <c r="R900" t="inlineStr">
        <is>
          <t>InStock</t>
        </is>
      </c>
      <c r="S900" t="inlineStr">
        <is>
          <t>undefined</t>
        </is>
      </c>
      <c r="T900" t="inlineStr">
        <is>
          <t>8028223897816</t>
        </is>
      </c>
    </row>
    <row r="901" hidden="1" ht="15.75" customHeight="1">
      <c r="A901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901" s="2">
        <f>HYPERLINK("https://edmondsonsupply.com/products/cambridge-3-4-pvc-liquid-tight-conduit-fitting-straight", "https://edmondsonsupply.com/products/cambridge-3-4-pvc-liquid-tight-conduit-fitting-straight")</f>
        <v/>
      </c>
      <c r="C901" t="inlineStr">
        <is>
          <t>Cambridge 3/4" PVC Liquid Tight Conduit Fitting - Straight</t>
        </is>
      </c>
      <c r="D901" t="inlineStr">
        <is>
          <t>Moicstiy 6Pcs 3/4 Inch NPT Liquid Tight Connector Nonmetallic Straight Electrical Conduit Connector Fitting, UL Listed PVC Flexible Conduit Fittings</t>
        </is>
      </c>
      <c r="E901" s="2">
        <f>HYPERLINK("https://www.amazon.com/Moicstiy-Connector-Nonmetallic-Straight-Electrical/dp/B0B2V8G73L/ref=sr_1_1?keywords=Cambridge+3%2F4%22+PVC+Liquid+Tight+Conduit+Fitting+-+Straight&amp;qid=1694734855&amp;sr=8-1", "https://www.amazon.com/Moicstiy-Connector-Nonmetallic-Straight-Electrical/dp/B0B2V8G73L/ref=sr_1_1?keywords=Cambridge+3%2F4%22+PVC+Liquid+Tight+Conduit+Fitting+-+Straight&amp;qid=1694734855&amp;sr=8-1")</f>
        <v/>
      </c>
      <c r="F901" t="inlineStr">
        <is>
          <t>B0B2V8G73L</t>
        </is>
      </c>
      <c r="G901">
        <f>_xludf.IMAGE("https://edmondsonsupply.com/cdn/shop/files/W14656_01.jpg?v=1692277615")</f>
        <v/>
      </c>
      <c r="H901">
        <f>_xludf.IMAGE("https://m.media-amazon.com/images/I/61O5NXqyR9L._AC_UL320_.jpg")</f>
        <v/>
      </c>
      <c r="K901" t="inlineStr">
        <is>
          <t>1.5</t>
        </is>
      </c>
      <c r="L901" t="n">
        <v>9.99</v>
      </c>
      <c r="M901" s="1" t="inlineStr">
        <is>
          <t>566.00%</t>
        </is>
      </c>
      <c r="N901" s="1" t="n">
        <v>160.07</v>
      </c>
      <c r="O901" t="n">
        <v>4</v>
      </c>
      <c r="P901" t="n">
        <v>10</v>
      </c>
      <c r="R901" t="inlineStr">
        <is>
          <t>InStock</t>
        </is>
      </c>
      <c r="S901" t="inlineStr">
        <is>
          <t>undefined</t>
        </is>
      </c>
      <c r="T901" t="inlineStr">
        <is>
          <t>8028223897816</t>
        </is>
      </c>
    </row>
    <row r="902" ht="87" customHeight="1">
      <c r="A902" s="2">
        <f>HYPERLINK("https://edmondsonsupply.com/collections/hvac/products/malco-tools-msh14-1-4-x-1-3-4-magnetic-hex-chuck-driver", "https://edmondsonsupply.com/collections/hvac/products/malco-tools-msh14-1-4-x-1-3-4-magnetic-hex-chuck-driver")</f>
        <v/>
      </c>
      <c r="B902" s="2">
        <f>HYPERLINK("https://edmondsonsupply.com/products/malco-tools-msh14-1-4-x-1-3-4-magnetic-hex-chuck-driver", "https://edmondsonsupply.com/products/malco-tools-msh14-1-4-x-1-3-4-magnetic-hex-chuck-driver")</f>
        <v/>
      </c>
      <c r="C902" t="inlineStr">
        <is>
          <t>Malco Tools MSH14 1/4" x 1-3/4" Magnetic Hex Chuck Driver</t>
        </is>
      </c>
      <c r="D902" t="inlineStr">
        <is>
          <t>Malco MSHML14 4 in. Magnetic Hex Chuck Drivers (1-4")- 2 pack</t>
        </is>
      </c>
      <c r="E902" s="2">
        <f>HYPERLINK("https://www.amazon.com/Malco-MSHML14-Magnetic-Chuck-Drivers/dp/B0BGT38Z6W/ref=sr_1_12?keywords=Malco+Tools+MSH14+1%2F4+x+1-3%2F4+Magnetic+Hex+Chuck+Driver&amp;qid=1694734703&amp;sr=8-12", "https://www.amazon.com/Malco-MSHML14-Magnetic-Chuck-Drivers/dp/B0BGT38Z6W/ref=sr_1_12?keywords=Malco+Tools+MSH14+1%2F4+x+1-3%2F4+Magnetic+Hex+Chuck+Driver&amp;qid=1694734703&amp;sr=8-12")</f>
        <v/>
      </c>
      <c r="F902" t="inlineStr">
        <is>
          <t>B0BGT38Z6W</t>
        </is>
      </c>
      <c r="G902">
        <f>_xlfn.IMAGE("https://edmondsonsupply.com/cdn/shop/products/msh14_catalog-big.jpg?v=1633030977")</f>
        <v/>
      </c>
      <c r="H902">
        <f>_xlfn.IMAGE("https://m.media-amazon.com/images/I/31L8V0NrlDL._AC_UL320_.jpg")</f>
        <v/>
      </c>
      <c r="K902" t="inlineStr">
        <is>
          <t>3.99</t>
        </is>
      </c>
      <c r="L902" t="n">
        <v>26.52</v>
      </c>
      <c r="M902" s="1" t="inlineStr">
        <is>
          <t>564.66%</t>
        </is>
      </c>
      <c r="N902" s="7" t="n">
        <v>159.67</v>
      </c>
      <c r="O902" t="n">
        <v>5</v>
      </c>
      <c r="P902" t="n">
        <v>1</v>
      </c>
      <c r="R902" t="inlineStr">
        <is>
          <t>InStock</t>
        </is>
      </c>
      <c r="S902" t="inlineStr">
        <is>
          <t>undefined</t>
        </is>
      </c>
      <c r="T902" t="inlineStr">
        <is>
          <t>6649898303661</t>
        </is>
      </c>
    </row>
    <row r="903" ht="87" customHeight="1">
      <c r="A903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903" s="2">
        <f>HYPERLINK("https://edmondsonsupply.com/products/klein-tools-69417-rare-earth-magnetic-meter-hanger", "https://edmondsonsupply.com/products/klein-tools-69417-rare-earth-magnetic-meter-hanger")</f>
        <v/>
      </c>
      <c r="C903" t="inlineStr">
        <is>
          <t>Klein Tools 69417 Rare Earth Magnetic Meter Hanger, with Strap</t>
        </is>
      </c>
      <c r="D903" t="inlineStr">
        <is>
          <t>Klein Tools CL600 Electrical Tester, Digital Clamp Meter has Autorange TRMS, Measures AC Current, AC/DC Volts, Resistance, NCVT, More, 1000V &amp; 69417 Rare-Earth Magnetic Hanger, with Strap</t>
        </is>
      </c>
      <c r="E903" s="2">
        <f>HYPERLINK("https://www.amazon.com/Klein-Tools-Electrical-Resistance-Rare-Earth/dp/B0BFXMTPBR/ref=sr_1_14?keywords=Klein+Tools+69417+Rare+Earth+Magnetic+Meter+Hanger%2C+with+Strap&amp;qid=1694734820&amp;sr=8-14", "https://www.amazon.com/Klein-Tools-Electrical-Resistance-Rare-Earth/dp/B0BFXMTPBR/ref=sr_1_14?keywords=Klein+Tools+69417+Rare+Earth+Magnetic+Meter+Hanger%2C+with+Strap&amp;qid=1694734820&amp;sr=8-14")</f>
        <v/>
      </c>
      <c r="F903" t="inlineStr">
        <is>
          <t>B0BFXMTPBR</t>
        </is>
      </c>
      <c r="G903">
        <f>_xlfn.IMAGE("https://edmondsonsupply.com/cdn/shop/products/69417.jpg?v=1587150163")</f>
        <v/>
      </c>
      <c r="H903">
        <f>_xlfn.IMAGE("https://m.media-amazon.com/images/I/51msS05sJzL._AC_UL320_.jpg")</f>
        <v/>
      </c>
      <c r="K903" t="inlineStr">
        <is>
          <t>13.99</t>
        </is>
      </c>
      <c r="L903" t="n">
        <v>92.97</v>
      </c>
      <c r="M903" s="1" t="inlineStr">
        <is>
          <t>564.55%</t>
        </is>
      </c>
      <c r="N903" s="7" t="n">
        <v>159.27</v>
      </c>
      <c r="O903" t="n">
        <v>5</v>
      </c>
      <c r="P903" t="n">
        <v>2</v>
      </c>
      <c r="R903" t="inlineStr">
        <is>
          <t>InStock</t>
        </is>
      </c>
      <c r="S903" t="inlineStr">
        <is>
          <t>20.0</t>
        </is>
      </c>
      <c r="T903" t="inlineStr">
        <is>
          <t>1778073731172</t>
        </is>
      </c>
    </row>
    <row r="904" ht="87" customHeight="1">
      <c r="A904" s="2">
        <f>HYPERLINK("https://edmondsonsupply.com/collections/hvac/products/uei-dmg150-digital-micron-gauge", "https://edmondsonsupply.com/collections/hvac/products/uei-dmg150-digital-micron-gauge")</f>
        <v/>
      </c>
      <c r="B904" s="2">
        <f>HYPERLINK("https://edmondsonsupply.com/products/uei-dmg150-digital-micron-gauge", "https://edmondsonsupply.com/products/uei-dmg150-digital-micron-gauge")</f>
        <v/>
      </c>
      <c r="C904" t="inlineStr">
        <is>
          <t>UEi PDT650 Digital Folding Pocket Thermometer</t>
        </is>
      </c>
      <c r="D904" t="inlineStr">
        <is>
          <t>UEi Test Instruments PDT650 Folding Pocket Digital Thermometer (5-(Pack))</t>
        </is>
      </c>
      <c r="E904" s="2">
        <f>HYPERLINK("https://www.amazon.com/Instruments-PDT650-Folding-Digital-Thermometer/dp/B07N44VYFP/ref=sr_1_9?keywords=UEi+PDT650+Digital+Folding+Pocket+Thermometer&amp;qid=1694734589&amp;sr=8-9", "https://www.amazon.com/Instruments-PDT650-Folding-Digital-Thermometer/dp/B07N44VYFP/ref=sr_1_9?keywords=UEi+PDT650+Digital+Folding+Pocket+Thermometer&amp;qid=1694734589&amp;sr=8-9")</f>
        <v/>
      </c>
      <c r="F904" t="inlineStr">
        <is>
          <t>B07N44VYFP</t>
        </is>
      </c>
      <c r="G904">
        <f>_xlfn.IMAGE("https://edmondsonsupply.com/cdn/shop/products/PDT650-1.png?v=1633030101")</f>
        <v/>
      </c>
      <c r="H904">
        <f>_xlfn.IMAGE("https://m.media-amazon.com/images/I/314IvUJKTrL._AC_UY218_.jpg")</f>
        <v/>
      </c>
      <c r="K904" t="inlineStr">
        <is>
          <t>19.51</t>
        </is>
      </c>
      <c r="L904" t="n">
        <v>129.35</v>
      </c>
      <c r="M904" s="1" t="inlineStr">
        <is>
          <t>562.99%</t>
        </is>
      </c>
      <c r="N904" s="7" t="n">
        <v>158.88</v>
      </c>
      <c r="O904" t="n">
        <v>4.5</v>
      </c>
      <c r="P904" t="n">
        <v>2</v>
      </c>
      <c r="R904" t="inlineStr">
        <is>
          <t>InStock</t>
        </is>
      </c>
      <c r="S904" t="inlineStr">
        <is>
          <t>22.95</t>
        </is>
      </c>
      <c r="T904" t="inlineStr">
        <is>
          <t>3569106649188</t>
        </is>
      </c>
    </row>
    <row r="905" hidden="1" ht="15.75" customHeight="1">
      <c r="A905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905" s="2">
        <f>HYPERLINK("https://edmondsonsupply.com/products/cambridge-1-2-pvc-liquid-tight-conduit-fitting-90-degree", "https://edmondsonsupply.com/products/cambridge-1-2-pvc-liquid-tight-conduit-fitting-90-degree")</f>
        <v/>
      </c>
      <c r="C905" t="inlineStr">
        <is>
          <t>Cambridge 1/2" PVC Liquid Tight Conduit Fitting - 90 Degree</t>
        </is>
      </c>
      <c r="D905" t="inlineStr">
        <is>
          <t>1/2 Inch Liquid Tight Connector Electrical Conduit Fittings for Electrical Enclosures and Hubs 6 Pack (4 pcs 180 Degree and 2 pcs 90 Degree)</t>
        </is>
      </c>
      <c r="E905" s="2">
        <f>HYPERLINK("https://www.amazon.com/Connector-Electrical-Conduit-Fittings-Enclosures/dp/B0BY7RG34P/ref=sr_1_29?keywords=Cambridge+1%2F2%22+PVC+Liquid+Tight+Conduit+Fitting+-+90+Degree&amp;qid=1694734857&amp;sr=8-29", "https://www.amazon.com/Connector-Electrical-Conduit-Fittings-Enclosures/dp/B0BY7RG34P/ref=sr_1_29?keywords=Cambridge+1%2F2%22+PVC+Liquid+Tight+Conduit+Fitting+-+90+Degree&amp;qid=1694734857&amp;sr=8-29")</f>
        <v/>
      </c>
      <c r="F905" t="inlineStr">
        <is>
          <t>B0BY7RG34P</t>
        </is>
      </c>
      <c r="G905">
        <f>_xludf.IMAGE("https://edmondsonsupply.com/cdn/shop/files/W14659_01.jpg?v=1692278106")</f>
        <v/>
      </c>
      <c r="H905">
        <f>_xludf.IMAGE("https://m.media-amazon.com/images/I/51Z1c-ZB3SL._AC_UL320_.jpg")</f>
        <v/>
      </c>
      <c r="K905" t="inlineStr">
        <is>
          <t>1.48</t>
        </is>
      </c>
      <c r="L905" t="n">
        <v>9.789999999999999</v>
      </c>
      <c r="M905" s="1" t="inlineStr">
        <is>
          <t>561.49%</t>
        </is>
      </c>
      <c r="N905" s="1" t="n">
        <v>157.71</v>
      </c>
      <c r="O905" t="n">
        <v>5</v>
      </c>
      <c r="P905" t="n">
        <v>5</v>
      </c>
      <c r="R905" t="inlineStr">
        <is>
          <t>InStock</t>
        </is>
      </c>
      <c r="S905" t="inlineStr">
        <is>
          <t>undefined</t>
        </is>
      </c>
      <c r="T905" t="inlineStr">
        <is>
          <t>8028224422104</t>
        </is>
      </c>
    </row>
    <row r="906" ht="87" customHeight="1">
      <c r="A906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906" s="2">
        <f>HYPERLINK("https://edmondsonsupply.com/products/klein-tools-32314-14-in-1-precision-screwdriver-nut-driver", "https://edmondsonsupply.com/products/klein-tools-32314-14-in-1-precision-screwdriver-nut-driver")</f>
        <v/>
      </c>
      <c r="C906" t="inlineStr">
        <is>
          <t>Klein Tools 32314 14-in-1 Precision Screwdriver/ Nut Driver</t>
        </is>
      </c>
      <c r="D906" t="inlineStr">
        <is>
          <t>Wiha 28393 Insulated Slim Line Precision Pop Up Screwdriver Set, Slotted, 7-Piece &amp; Klein Tools 32314 Electronic Screwdriver, 14-in-1 with 8 Precision Tips, Slotted, Phillips</t>
        </is>
      </c>
      <c r="E906" s="2">
        <f>HYPERLINK("https://www.amazon.com/Wiha-Insulated-Precision-Screwdriver-Electronic/dp/B0BFXQS272/ref=sr_1_33?keywords=Klein+Tools+32314+14-in-1+Precision+Screwdriver%2F+Nut+Driver&amp;qid=1694734697&amp;sr=8-33", "https://www.amazon.com/Wiha-Insulated-Precision-Screwdriver-Electronic/dp/B0BFXQS272/ref=sr_1_33?keywords=Klein+Tools+32314+14-in-1+Precision+Screwdriver%2F+Nut+Driver&amp;qid=1694734697&amp;sr=8-33")</f>
        <v/>
      </c>
      <c r="F906" t="inlineStr">
        <is>
          <t>B0BFXQS272</t>
        </is>
      </c>
      <c r="G906">
        <f>_xlfn.IMAGE("https://edmondsonsupply.com/cdn/shop/products/32314.jpg?v=1646593726")</f>
        <v/>
      </c>
      <c r="H906">
        <f>_xlfn.IMAGE("https://m.media-amazon.com/images/I/41HY1B5SPHL._AC_UL320_.jpg")</f>
        <v/>
      </c>
      <c r="K906" t="inlineStr">
        <is>
          <t>15.97</t>
        </is>
      </c>
      <c r="L906" t="n">
        <v>104.13</v>
      </c>
      <c r="M906" s="1" t="inlineStr">
        <is>
          <t>552.04%</t>
        </is>
      </c>
      <c r="N906" s="7" t="n">
        <v>157.32</v>
      </c>
      <c r="O906" t="n">
        <v>4.5</v>
      </c>
      <c r="P906" t="n">
        <v>379</v>
      </c>
      <c r="R906" t="inlineStr">
        <is>
          <t>InStock</t>
        </is>
      </c>
      <c r="S906" t="inlineStr">
        <is>
          <t>22.38</t>
        </is>
      </c>
      <c r="T906" t="inlineStr">
        <is>
          <t>7626984947928</t>
        </is>
      </c>
    </row>
    <row r="907" ht="87" customHeight="1">
      <c r="A907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907" s="2">
        <f>HYPERLINK("https://edmondsonsupply.com/products/klein-tools-s8m-1-4-inch-magnetic-nut-driver-3-inch-shank", "https://edmondsonsupply.com/products/klein-tools-s8m-1-4-inch-magnetic-nut-driver-3-inch-shank")</f>
        <v/>
      </c>
      <c r="C907" t="inlineStr">
        <is>
          <t>Klein Tools S8M 1/4-Inch Magnetic Nut Driver 3-Inch Shank</t>
        </is>
      </c>
      <c r="D907" t="inlineStr">
        <is>
          <t>Klein Tools 647 Tool Set, Nut Drivers Sizes 3/16, 1/4, 5/16, 11/32, 3/8, 7/16, 1/2-Inch, Chrome-Plated 6-Inch Shafts, Cushion Grip, 7-Piece</t>
        </is>
      </c>
      <c r="E907" s="2">
        <f>HYPERLINK("https://www.amazon.com/Driver-6-Inch-Klein-Tools-647/dp/B0014KRVXO/ref=sr_1_42?keywords=Klein+Tools+S8M+1%2F4-Inch+Magnetic+Nut+Driver+3-Inch+Shank&amp;qid=1694734781&amp;sr=8-42", "https://www.amazon.com/Driver-6-Inch-Klein-Tools-647/dp/B0014KRVXO/ref=sr_1_42?keywords=Klein+Tools+S8M+1%2F4-Inch+Magnetic+Nut+Driver+3-Inch+Shank&amp;qid=1694734781&amp;sr=8-42")</f>
        <v/>
      </c>
      <c r="F907" t="inlineStr">
        <is>
          <t>B0014KRVXO</t>
        </is>
      </c>
      <c r="G907">
        <f>_xlfn.IMAGE("https://edmondsonsupply.com/cdn/shop/products/s8m.jpg?v=1633030818")</f>
        <v/>
      </c>
      <c r="H907">
        <f>_xlfn.IMAGE("https://m.media-amazon.com/images/I/51usUk-EpGL._AC_UL320_.jpg")</f>
        <v/>
      </c>
      <c r="K907" t="inlineStr">
        <is>
          <t>8.99</t>
        </is>
      </c>
      <c r="L907" t="n">
        <v>57.99</v>
      </c>
      <c r="M907" s="1" t="inlineStr">
        <is>
          <t>545.05%</t>
        </is>
      </c>
      <c r="N907" s="7" t="n">
        <v>157.26</v>
      </c>
      <c r="O907" t="n">
        <v>4.8</v>
      </c>
      <c r="P907" t="n">
        <v>734</v>
      </c>
      <c r="R907" t="inlineStr">
        <is>
          <t>InStock</t>
        </is>
      </c>
      <c r="S907" t="inlineStr">
        <is>
          <t>13.62</t>
        </is>
      </c>
      <c r="T907" t="inlineStr">
        <is>
          <t>6072223957165</t>
        </is>
      </c>
    </row>
    <row r="908" hidden="1" ht="15.75" customHeight="1">
      <c r="A908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908" s="2">
        <f>HYPERLINK("https://edmondsonsupply.com/products/cambridge-1-2-pvc-liquid-tight-conduit-fitting-90-degree", "https://edmondsonsupply.com/products/cambridge-1-2-pvc-liquid-tight-conduit-fitting-90-degree")</f>
        <v/>
      </c>
      <c r="C908" t="inlineStr">
        <is>
          <t>Cambridge 1/2" PVC Liquid Tight Conduit Fitting - 90 Degree</t>
        </is>
      </c>
      <c r="D908" t="inlineStr">
        <is>
          <t>1/2 inch Liquid Tight Connector PVC Flexible Conduit Connector UL Listed Liquid Tight Connector Non-Metallic Electrical Conduit Fittings 6 Pack (4 pcs 180D/2 pcs 90D)</t>
        </is>
      </c>
      <c r="E908" s="2">
        <f>HYPERLINK("https://www.amazon.com/Connector-Flexible-Non-Metallic-Electrical-Fittings/dp/B0BX9J9PJV/ref=sr_1_8?keywords=Cambridge+1%2F2%22+PVC+Liquid+Tight+Conduit+Fitting+-+90+Degree&amp;qid=1694734857&amp;sr=8-8", "https://www.amazon.com/Connector-Flexible-Non-Metallic-Electrical-Fittings/dp/B0BX9J9PJV/ref=sr_1_8?keywords=Cambridge+1%2F2%22+PVC+Liquid+Tight+Conduit+Fitting+-+90+Degree&amp;qid=1694734857&amp;sr=8-8")</f>
        <v/>
      </c>
      <c r="F908" t="inlineStr">
        <is>
          <t>B0BX9J9PJV</t>
        </is>
      </c>
      <c r="G908">
        <f>_xludf.IMAGE("https://edmondsonsupply.com/cdn/shop/files/W14659_01.jpg?v=1692278106")</f>
        <v/>
      </c>
      <c r="H908">
        <f>_xludf.IMAGE("https://m.media-amazon.com/images/I/51vn4jJ6ulL._AC_UL320_.jpg")</f>
        <v/>
      </c>
      <c r="K908" t="inlineStr">
        <is>
          <t>1.48</t>
        </is>
      </c>
      <c r="L908" t="n">
        <v>9.49</v>
      </c>
      <c r="M908" s="1" t="inlineStr">
        <is>
          <t>541.22%</t>
        </is>
      </c>
      <c r="N908" s="1" t="n">
        <v>156.8</v>
      </c>
      <c r="O908" t="n">
        <v>4.9</v>
      </c>
      <c r="P908" t="n">
        <v>26</v>
      </c>
      <c r="R908" t="inlineStr">
        <is>
          <t>InStock</t>
        </is>
      </c>
      <c r="S908" t="inlineStr">
        <is>
          <t>undefined</t>
        </is>
      </c>
      <c r="T908" t="inlineStr">
        <is>
          <t>8028224422104</t>
        </is>
      </c>
    </row>
    <row r="909" ht="87" customHeight="1">
      <c r="A909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909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909" t="inlineStr">
        <is>
          <t>Klein Tools 646-1/4 1/4-Inch Nut Driver with 6-Inch Hollow Shaft</t>
        </is>
      </c>
      <c r="D909" t="inlineStr">
        <is>
          <t>Klein Tools 65160 Tool Set, Metric Nut Driver Set Sizes 5, 5.5, 6, 7, 8, 9, and 10 mm, 3-Inch Chrome-Plate Hollow Shafts, 7-Piece</t>
        </is>
      </c>
      <c r="E909" s="2">
        <f>HYPERLINK("https://www.amazon.com/Driver-Metric-3-Inch-7-Piece-Klein/dp/B0009ORXQQ/ref=sr_1_34?keywords=Klein+Tools+646-1%2F4+1%2F4-Inch+Nut+Driver+with+6-Inch+Hollow+Shaft&amp;qid=1694734727&amp;sr=8-34", "https://www.amazon.com/Driver-Metric-3-Inch-7-Piece-Klein/dp/B0009ORXQQ/ref=sr_1_34?keywords=Klein+Tools+646-1%2F4+1%2F4-Inch+Nut+Driver+with+6-Inch+Hollow+Shaft&amp;qid=1694734727&amp;sr=8-34")</f>
        <v/>
      </c>
      <c r="F909" t="inlineStr">
        <is>
          <t>B0009ORXQQ</t>
        </is>
      </c>
      <c r="G909">
        <f>_xlfn.IMAGE("https://edmondsonsupply.com/cdn/shop/products/646-1-2_08d87fa9-eac4-4869-8d3b-bb680d4b1d53.jpg?v=1587150676")</f>
        <v/>
      </c>
      <c r="H909">
        <f>_xlfn.IMAGE("https://m.media-amazon.com/images/I/61CnDJJyViL._AC_UL320_.jpg")</f>
        <v/>
      </c>
      <c r="K909" t="inlineStr">
        <is>
          <t>7.99</t>
        </is>
      </c>
      <c r="L909" t="n">
        <v>49.99</v>
      </c>
      <c r="M909" s="1" t="inlineStr">
        <is>
          <t>525.66%</t>
        </is>
      </c>
      <c r="N909" s="7" t="n">
        <v>156.16</v>
      </c>
      <c r="O909" t="n">
        <v>4.8</v>
      </c>
      <c r="P909" t="n">
        <v>588</v>
      </c>
      <c r="R909" t="inlineStr">
        <is>
          <t>InStock</t>
        </is>
      </c>
      <c r="S909" t="inlineStr">
        <is>
          <t>12.1</t>
        </is>
      </c>
      <c r="T909" t="inlineStr">
        <is>
          <t>4439433740388</t>
        </is>
      </c>
    </row>
    <row r="910" hidden="1" ht="15.75" customHeight="1">
      <c r="A910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910" s="2">
        <f>HYPERLINK("https://edmondsonsupply.com/products/klein-tools-11053-klein-kurve%c2%ae-wire-stripper-cutter", "https://edmondsonsupply.com/products/klein-tools-11053-klein-kurve%c2%ae-wire-stripper-cutter")</f>
        <v/>
      </c>
      <c r="C910" t="inlineStr">
        <is>
          <t>Klein Tools 11053 Klein-Kurve® Wire Stripper/Cutter</t>
        </is>
      </c>
      <c r="D910" t="inlineStr">
        <is>
          <t>Klein Tools 11045 Wire Stripper/Cutter, Yellow 10 - 18 AWG Solid Wire 3 Pack</t>
        </is>
      </c>
      <c r="E910" s="2">
        <f>HYPERLINK("https://www.amazon.com/Klein-Tools-11045-Stripper-Cutter/dp/B002YE5L9K/ref=sr_1_44?keywords=Klein+Tools+11053+Klein-Kurve%C2%AE+Wire+Stripper%2FCutter&amp;qid=1694734664&amp;sr=8-44", "https://www.amazon.com/Klein-Tools-11045-Stripper-Cutter/dp/B002YE5L9K/ref=sr_1_44?keywords=Klein+Tools+11053+Klein-Kurve%C2%AE+Wire+Stripper%2FCutter&amp;qid=1694734664&amp;sr=8-44")</f>
        <v/>
      </c>
      <c r="F910" t="inlineStr">
        <is>
          <t>B002YE5L9K</t>
        </is>
      </c>
      <c r="G910">
        <f>_xludf.IMAGE("https://edmondsonsupply.com/cdn/shop/products/11053.jpg?v=1633030511")</f>
        <v/>
      </c>
      <c r="H910">
        <f>_xludf.IMAGE("https://m.media-amazon.com/images/I/31JS1KzwvaL._AC_UL320_.jpg")</f>
        <v/>
      </c>
      <c r="K910" t="inlineStr">
        <is>
          <t>20.97</t>
        </is>
      </c>
      <c r="L910" t="n">
        <v>129</v>
      </c>
      <c r="M910" s="1" t="inlineStr">
        <is>
          <t>515.16%</t>
        </is>
      </c>
      <c r="N910" s="1" t="n">
        <v>155.23</v>
      </c>
      <c r="O910" t="n">
        <v>1</v>
      </c>
      <c r="P910" t="n">
        <v>2</v>
      </c>
      <c r="R910" t="inlineStr">
        <is>
          <t>InStock</t>
        </is>
      </c>
      <c r="S910" t="inlineStr">
        <is>
          <t>31.76</t>
        </is>
      </c>
      <c r="T910" t="inlineStr">
        <is>
          <t>5387171299496</t>
        </is>
      </c>
    </row>
    <row r="911" ht="87" customHeight="1">
      <c r="A911" s="2">
        <f>HYPERLINK("https://edmondsonsupply.com/collections/hvac/products/uei-dmg150-digital-micron-gauge", "https://edmondsonsupply.com/collections/hvac/products/uei-dmg150-digital-micron-gauge")</f>
        <v/>
      </c>
      <c r="B911" s="2">
        <f>HYPERLINK("https://edmondsonsupply.com/products/uei-dmg150-digital-micron-gauge", "https://edmondsonsupply.com/products/uei-dmg150-digital-micron-gauge")</f>
        <v/>
      </c>
      <c r="C911" t="inlineStr">
        <is>
          <t>UEi PDT650 Digital Folding Pocket Thermometer</t>
        </is>
      </c>
      <c r="D911" t="inlineStr">
        <is>
          <t>UEi Test Instruments PDT650 Folding Pocket Digital Thermometer (Pack of 4)</t>
        </is>
      </c>
      <c r="E911" s="2">
        <f>HYPERLINK("https://www.amazon.com/UEi-Test-Instruments-Folding-Thermometer/dp/B085PTFRPH/ref=sr_1_14?keywords=UEi+PDT650+Digital+Folding+Pocket+Thermometer&amp;qid=1694734589&amp;sr=8-14", "https://www.amazon.com/UEi-Test-Instruments-Folding-Thermometer/dp/B085PTFRPH/ref=sr_1_14?keywords=UEi+PDT650+Digital+Folding+Pocket+Thermometer&amp;qid=1694734589&amp;sr=8-14")</f>
        <v/>
      </c>
      <c r="F911" t="inlineStr">
        <is>
          <t>B085PTFRPH</t>
        </is>
      </c>
      <c r="G911">
        <f>_xlfn.IMAGE("https://edmondsonsupply.com/cdn/shop/products/PDT650-1.png?v=1633030101")</f>
        <v/>
      </c>
      <c r="H911">
        <f>_xlfn.IMAGE("https://m.media-amazon.com/images/I/51BxK6XC4vL._AC_UY218_.jpg")</f>
        <v/>
      </c>
      <c r="K911" t="inlineStr">
        <is>
          <t>19.51</t>
        </is>
      </c>
      <c r="L911" t="n">
        <v>118</v>
      </c>
      <c r="M911" s="1" t="inlineStr">
        <is>
          <t>504.82%</t>
        </is>
      </c>
      <c r="N911" s="7" t="n">
        <v>154.88</v>
      </c>
      <c r="O911" t="n">
        <v>5</v>
      </c>
      <c r="P911" t="n">
        <v>3</v>
      </c>
      <c r="R911" t="inlineStr">
        <is>
          <t>InStock</t>
        </is>
      </c>
      <c r="S911" t="inlineStr">
        <is>
          <t>22.95</t>
        </is>
      </c>
      <c r="T911" t="inlineStr">
        <is>
          <t>3569106649188</t>
        </is>
      </c>
    </row>
    <row r="912" ht="87" customHeight="1">
      <c r="A912" s="2">
        <f>HYPERLINK("https://edmondsonsupply.com/collections/hvac/products/klein-tools-mag2-magnetizer-demagnetizer", "https://edmondsonsupply.com/collections/hvac/products/klein-tools-mag2-magnetizer-demagnetizer")</f>
        <v/>
      </c>
      <c r="B912" s="2">
        <f>HYPERLINK("https://edmondsonsupply.com/products/klein-tools-mag2-magnetizer-demagnetizer", "https://edmondsonsupply.com/products/klein-tools-mag2-magnetizer-demagnetizer")</f>
        <v/>
      </c>
      <c r="C912" t="inlineStr">
        <is>
          <t>Klein Tools MAG2 Magnetizer / Demagnetizer</t>
        </is>
      </c>
      <c r="D912" t="inlineStr">
        <is>
          <t>Klein Tools 32288 Insulated Screwdriver, 8-in-1 Screwdriver Set &amp; MAG2 Demagnetizer/Magnetizer for Screwdriver Bits and Tips, Makes Tools Magnetic with Powerful Rare-Earth Magnet</t>
        </is>
      </c>
      <c r="E912" s="2">
        <f>HYPERLINK("https://www.amazon.com/Klein-Tools-Screwdriver-Demagnetizer-Magnetizer/dp/B0BXK8RB9N/ref=sr_1_10?keywords=Klein+Tools+MAG2+Magnetizer+%2F+Demagnetizer&amp;qid=1694734636&amp;sr=8-10", "https://www.amazon.com/Klein-Tools-Screwdriver-Demagnetizer-Magnetizer/dp/B0BXK8RB9N/ref=sr_1_10?keywords=Klein+Tools+MAG2+Magnetizer+%2F+Demagnetizer&amp;qid=1694734636&amp;sr=8-10")</f>
        <v/>
      </c>
      <c r="F912" t="inlineStr">
        <is>
          <t>B0BXK8RB9N</t>
        </is>
      </c>
      <c r="G912">
        <f>_xlfn.IMAGE("https://edmondsonsupply.com/cdn/shop/products/mag2.jpg?v=1587145008")</f>
        <v/>
      </c>
      <c r="H912">
        <f>_xlfn.IMAGE("https://m.media-amazon.com/images/I/51OwgO9uq9L._AC_UL320_.jpg")</f>
        <v/>
      </c>
      <c r="K912" t="inlineStr">
        <is>
          <t>9.97</t>
        </is>
      </c>
      <c r="L912" t="n">
        <v>59.96</v>
      </c>
      <c r="M912" s="1" t="inlineStr">
        <is>
          <t>501.40%</t>
        </is>
      </c>
      <c r="N912" s="7" t="n">
        <v>154.69</v>
      </c>
      <c r="O912" t="n">
        <v>4.5</v>
      </c>
      <c r="P912" t="n">
        <v>11</v>
      </c>
      <c r="R912" t="inlineStr">
        <is>
          <t>InStock</t>
        </is>
      </c>
      <c r="S912" t="inlineStr">
        <is>
          <t>13.96</t>
        </is>
      </c>
      <c r="T912" t="inlineStr">
        <is>
          <t>1706086858852</t>
        </is>
      </c>
    </row>
    <row r="913" ht="87" customHeight="1">
      <c r="A913" s="2">
        <f>HYPERLINK("https://edmondsonsupply.com/collections/hvac/products/klein-tools-69410-replacement-test-lead-set-right-angle", "https://edmondsonsupply.com/collections/hvac/products/klein-tools-69410-replacement-test-lead-set-right-angle")</f>
        <v/>
      </c>
      <c r="B913" s="2">
        <f>HYPERLINK("https://edmondsonsupply.com/products/klein-tools-69410-replacement-test-lead-set-right-angle", "https://edmondsonsupply.com/products/klein-tools-69410-replacement-test-lead-set-right-angle")</f>
        <v/>
      </c>
      <c r="C913" t="inlineStr">
        <is>
          <t>Klein Tools 69410 Replacement Test Lead Set, Right Angle</t>
        </is>
      </c>
      <c r="D913" t="inlineStr">
        <is>
          <t>Klein Tools MM700 Multimeter, Electrical Tester is Autoranging, for AC/DC, LOZ, Temp, Capacitance, Resistance, Frequency, and More, 1000V &amp; Test Lead Set, Right Angle Klein Tools 69410</t>
        </is>
      </c>
      <c r="E913" s="2">
        <f>HYPERLINK("https://www.amazon.com/Klein-Tools-Multimeter-Autoranging-Capacitance/dp/B0BD3XZ29K/ref=sr_1_10?keywords=Klein+Tools+69410+Replacement+Test+Lead+Set%2C+Right+Angle&amp;qid=1694734832&amp;sr=8-10", "https://www.amazon.com/Klein-Tools-Multimeter-Autoranging-Capacitance/dp/B0BD3XZ29K/ref=sr_1_10?keywords=Klein+Tools+69410+Replacement+Test+Lead+Set%2C+Right+Angle&amp;qid=1694734832&amp;sr=8-10")</f>
        <v/>
      </c>
      <c r="F913" t="inlineStr">
        <is>
          <t>B0BD3XZ29K</t>
        </is>
      </c>
      <c r="G913">
        <f>_xlfn.IMAGE("https://edmondsonsupply.com/cdn/shop/products/69410.jpg?v=1587143393")</f>
        <v/>
      </c>
      <c r="H913">
        <f>_xlfn.IMAGE("https://m.media-amazon.com/images/I/61J30bl5fxL._AC_UY218_.jpg")</f>
        <v/>
      </c>
      <c r="K913" t="inlineStr">
        <is>
          <t>19.97</t>
        </is>
      </c>
      <c r="L913" t="n">
        <v>119.94</v>
      </c>
      <c r="M913" s="1" t="inlineStr">
        <is>
          <t>500.60%</t>
        </is>
      </c>
      <c r="N913" s="7" t="n">
        <v>153.8</v>
      </c>
      <c r="O913" t="n">
        <v>4.8</v>
      </c>
      <c r="P913" t="n">
        <v>5</v>
      </c>
      <c r="R913" t="inlineStr">
        <is>
          <t>InStock</t>
        </is>
      </c>
      <c r="S913" t="inlineStr">
        <is>
          <t>27.1</t>
        </is>
      </c>
      <c r="T913" t="inlineStr">
        <is>
          <t>4274171543652</t>
        </is>
      </c>
    </row>
    <row r="914" ht="87" customHeight="1">
      <c r="A914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914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914" t="inlineStr">
        <is>
          <t>Klein Tools 70550 Pro Folding Hex Key Set, 11-Key, SAE Sizes</t>
        </is>
      </c>
      <c r="D914" t="inlineStr">
        <is>
          <t>Klein Tools 55421BP-14 Tool Bag Backpack, Black, Large &amp; 70550 Hex Key Set, 11 SAE Sizes, Heavy Duty Folding Allen Wrench Tool with Extra Long Hex Keys</t>
        </is>
      </c>
      <c r="E914" s="2">
        <f>HYPERLINK("https://www.amazon.com/Klein-Tools-55421BP-14-Backpack-Folding/dp/B09Y7ZKG74/ref=sr_1_8?keywords=Klein+Tools+70550+Pro+Folding+Hex+Key+Set%2C+11-Key%2C+SAE+Sizes&amp;qid=1694734808&amp;sr=8-8", "https://www.amazon.com/Klein-Tools-55421BP-14-Backpack-Folding/dp/B09Y7ZKG74/ref=sr_1_8?keywords=Klein+Tools+70550+Pro+Folding+Hex+Key+Set%2C+11-Key%2C+SAE+Sizes&amp;qid=1694734808&amp;sr=8-8")</f>
        <v/>
      </c>
      <c r="F914" t="inlineStr">
        <is>
          <t>B09Y7ZKG74</t>
        </is>
      </c>
      <c r="G914">
        <f>_xlfn.IMAGE("https://edmondsonsupply.com/cdn/shop/products/70550.jpg?v=1587145237")</f>
        <v/>
      </c>
      <c r="H914">
        <f>_xlfn.IMAGE("https://m.media-amazon.com/images/I/51AHK3GjwGL._AC_UL320_.jpg")</f>
        <v/>
      </c>
      <c r="K914" t="inlineStr">
        <is>
          <t>19.97</t>
        </is>
      </c>
      <c r="L914" t="n">
        <v>119.94</v>
      </c>
      <c r="M914" s="1" t="inlineStr">
        <is>
          <t>500.60%</t>
        </is>
      </c>
      <c r="N914" s="7" t="n">
        <v>153.31</v>
      </c>
      <c r="O914" t="n">
        <v>5</v>
      </c>
      <c r="P914" t="n">
        <v>1</v>
      </c>
      <c r="R914" t="inlineStr">
        <is>
          <t>InStock</t>
        </is>
      </c>
      <c r="S914" t="inlineStr">
        <is>
          <t>27.18</t>
        </is>
      </c>
      <c r="T914" t="inlineStr">
        <is>
          <t>3693538082916</t>
        </is>
      </c>
    </row>
    <row r="915" hidden="1" ht="15.75" customHeight="1">
      <c r="A915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915" s="2">
        <f>HYPERLINK("https://edmondsonsupply.com/products/klein-tools-935dag-digital-angle-gauge-and-level", "https://edmondsonsupply.com/products/klein-tools-935dag-digital-angle-gauge-and-level")</f>
        <v/>
      </c>
      <c r="C915" t="inlineStr">
        <is>
          <t>Klein Tools 935DAG Digital Angle Gauge and Level</t>
        </is>
      </c>
      <c r="D915" t="inlineStr">
        <is>
          <t>Klein Tools 93LCLS Laser Level, Self Leveling, Cross Line Level &amp; 935DAG Digital Electronic Level and Angle Gauge, Measures 0-90 and 0-180 Degree Ranges, Measures and Sets Angles</t>
        </is>
      </c>
      <c r="E915" s="2">
        <f>HYPERLINK("https://www.amazon.com/Klein-Tools-Leveling-Electronic-Measures/dp/B09T6VZRWH/ref=sr_1_39?keywords=Klein+Tools+935DAG+Digital+Angle+Gauge+and+Level&amp;qid=1694734733&amp;sr=8-39", "https://www.amazon.com/Klein-Tools-Leveling-Electronic-Measures/dp/B09T6VZRWH/ref=sr_1_39?keywords=Klein+Tools+935DAG+Digital+Angle+Gauge+and+Level&amp;qid=1694734733&amp;sr=8-39")</f>
        <v/>
      </c>
      <c r="F915" t="inlineStr">
        <is>
          <t>B09T6VZRWH</t>
        </is>
      </c>
      <c r="G915">
        <f>_xludf.IMAGE("https://edmondsonsupply.com/cdn/shop/products/935dag.jpg?v=1587145032")</f>
        <v/>
      </c>
      <c r="H915">
        <f>_xludf.IMAGE("https://m.media-amazon.com/images/I/5116ztFCYtL._AC_UL320_.jpg")</f>
        <v/>
      </c>
      <c r="K915" t="inlineStr">
        <is>
          <t>29.97</t>
        </is>
      </c>
      <c r="L915" t="n">
        <v>179.94</v>
      </c>
      <c r="M915" s="1" t="inlineStr">
        <is>
          <t>500.40%</t>
        </is>
      </c>
      <c r="N915" s="1" t="n">
        <v>152.24</v>
      </c>
      <c r="O915" t="n">
        <v>2.7</v>
      </c>
      <c r="P915" t="n">
        <v>2</v>
      </c>
      <c r="R915" t="inlineStr">
        <is>
          <t>InStock</t>
        </is>
      </c>
      <c r="S915" t="inlineStr">
        <is>
          <t>45.0</t>
        </is>
      </c>
      <c r="T915" t="inlineStr">
        <is>
          <t>4167487094884</t>
        </is>
      </c>
    </row>
    <row r="916" ht="87" customHeight="1">
      <c r="A916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916" s="2">
        <f>HYPERLINK("https://edmondsonsupply.com/products/klein-tools-935dag-digital-angle-gauge-and-level", "https://edmondsonsupply.com/products/klein-tools-935dag-digital-angle-gauge-and-level")</f>
        <v/>
      </c>
      <c r="C916" t="inlineStr">
        <is>
          <t>Klein Tools 935DAG Digital Angle Gauge and Level</t>
        </is>
      </c>
      <c r="D916" t="inlineStr">
        <is>
          <t>Bora 4-Piece Parallel Clamp Set 571550I,Orange &amp; Klein Tools 935DAG Digital Electronic Level and Angle Gauge, Measures 0 - 90 and 0 - 180 Degree Ranges, Measures and Sets Angles</t>
        </is>
      </c>
      <c r="E916" s="2">
        <f>HYPERLINK("https://www.amazon.com/Bora-4-Piece-Parallel-Electronic-Measures/dp/B0BVGB3LNC/ref=sr_1_19?keywords=Klein+Tools+935DAG+Digital+Angle+Gauge+and+Level&amp;qid=1694734733&amp;sr=8-19", "https://www.amazon.com/Bora-4-Piece-Parallel-Electronic-Measures/dp/B0BVGB3LNC/ref=sr_1_19?keywords=Klein+Tools+935DAG+Digital+Angle+Gauge+and+Level&amp;qid=1694734733&amp;sr=8-19")</f>
        <v/>
      </c>
      <c r="F916" t="inlineStr">
        <is>
          <t>B0BVGB3LNC</t>
        </is>
      </c>
      <c r="G916">
        <f>_xlfn.IMAGE("https://edmondsonsupply.com/cdn/shop/products/935dag.jpg?v=1587145032")</f>
        <v/>
      </c>
      <c r="H916">
        <f>_xlfn.IMAGE("https://m.media-amazon.com/images/I/51yQpZ0DsrL._AC_UL320_.jpg")</f>
        <v/>
      </c>
      <c r="K916" t="inlineStr">
        <is>
          <t>29.97</t>
        </is>
      </c>
      <c r="L916" t="n">
        <v>179.55</v>
      </c>
      <c r="M916" s="1" t="inlineStr">
        <is>
          <t>499.10%</t>
        </is>
      </c>
      <c r="N916" s="7" t="n">
        <v>152.24</v>
      </c>
      <c r="O916" t="n">
        <v>5</v>
      </c>
      <c r="P916" t="n">
        <v>1</v>
      </c>
      <c r="R916" t="inlineStr">
        <is>
          <t>InStock</t>
        </is>
      </c>
      <c r="S916" t="inlineStr">
        <is>
          <t>45.0</t>
        </is>
      </c>
      <c r="T916" t="inlineStr">
        <is>
          <t>4167487094884</t>
        </is>
      </c>
    </row>
    <row r="917" hidden="1" ht="15.75" customHeight="1">
      <c r="A917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917" s="2">
        <f>HYPERLINK("https://edmondsonsupply.com/products/klein-tools-69417-rare-earth-magnetic-meter-hanger", "https://edmondsonsupply.com/products/klein-tools-69417-rare-earth-magnetic-meter-hanger")</f>
        <v/>
      </c>
      <c r="C917" t="inlineStr">
        <is>
          <t>Klein Tools 69417 Rare Earth Magnetic Meter Hanger, with Strap</t>
        </is>
      </c>
      <c r="D917" t="inlineStr">
        <is>
          <t>Klein Tools CL220 Digital Clamp Meter, Auto-Ranging 400 Amp AC, AC/DC Voltage, TRMS, Resistance, Continuity, NCVT Detection, and Temp &amp; 69417 Rare-Earth Magnetic Hanger, with Strap</t>
        </is>
      </c>
      <c r="E917" s="2">
        <f>HYPERLINK("https://www.amazon.com/Klein-Tools-Auto-Ranging-Resistance-Continuity/dp/B0BC885SQJ/ref=sr_1_10?keywords=Klein+Tools+69417+Rare+Earth+Magnetic+Meter+Hanger%2C+with+Strap&amp;qid=1694734820&amp;sr=8-10", "https://www.amazon.com/Klein-Tools-Auto-Ranging-Resistance-Continuity/dp/B0BC885SQJ/ref=sr_1_10?keywords=Klein+Tools+69417+Rare+Earth+Magnetic+Meter+Hanger%2C+with+Strap&amp;qid=1694734820&amp;sr=8-10")</f>
        <v/>
      </c>
      <c r="F917" t="inlineStr">
        <is>
          <t>B0BC885SQJ</t>
        </is>
      </c>
      <c r="G917">
        <f>_xludf.IMAGE("https://edmondsonsupply.com/cdn/shop/products/69417.jpg?v=1587150163")</f>
        <v/>
      </c>
      <c r="H917">
        <f>_xludf.IMAGE("https://m.media-amazon.com/images/I/51eYCwafd6L._AC_UL320_.jpg")</f>
        <v/>
      </c>
      <c r="K917" t="inlineStr">
        <is>
          <t>13.99</t>
        </is>
      </c>
      <c r="L917" t="n">
        <v>82.97</v>
      </c>
      <c r="M917" s="1" t="inlineStr">
        <is>
          <t>493.07%</t>
        </is>
      </c>
      <c r="N917" s="1" t="n">
        <v>151.49</v>
      </c>
      <c r="O917" t="n">
        <v>4</v>
      </c>
      <c r="P917" t="n">
        <v>1</v>
      </c>
      <c r="R917" t="inlineStr">
        <is>
          <t>InStock</t>
        </is>
      </c>
      <c r="S917" t="inlineStr">
        <is>
          <t>20.0</t>
        </is>
      </c>
      <c r="T917" t="inlineStr">
        <is>
          <t>1778073731172</t>
        </is>
      </c>
    </row>
    <row r="918" ht="87" customHeight="1">
      <c r="A918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918" s="2">
        <f>HYPERLINK("https://edmondsonsupply.com/products/klein-tools-et120-combustible-gas-leak-detector", "https://edmondsonsupply.com/products/klein-tools-et120-combustible-gas-leak-detector")</f>
        <v/>
      </c>
      <c r="C918" t="inlineStr">
        <is>
          <t>Klein Tools ET120 Combustible Gas Leak Detector</t>
        </is>
      </c>
      <c r="D918" t="inlineStr">
        <is>
          <t>FLIR C3-X Compact Thermal Camera, Inspection Tool &amp; Klein Tools ET120 Gas Leak Detector, Combustible Gas Leak Tester with 18-Inch Gooseneck Has Range 50-10,000 ppm, Includes Pouch, Batteries</t>
        </is>
      </c>
      <c r="E918" s="2">
        <f>HYPERLINK("https://www.amazon.com/FLIR-Inspection-Combustible-Gooseneck-Batteries/dp/B09Q663FQ5/ref=sr_1_9?keywords=Klein+Tools+ET120+Combustible+Gas+Leak+Detector&amp;qid=1694734816&amp;sr=8-9", "https://www.amazon.com/FLIR-Inspection-Combustible-Gooseneck-Batteries/dp/B09Q663FQ5/ref=sr_1_9?keywords=Klein+Tools+ET120+Combustible+Gas+Leak+Detector&amp;qid=1694734816&amp;sr=8-9")</f>
        <v/>
      </c>
      <c r="F918" t="inlineStr">
        <is>
          <t>B09Q663FQ5</t>
        </is>
      </c>
      <c r="G918">
        <f>_xlfn.IMAGE("https://edmondsonsupply.com/cdn/shop/products/et120.jpg?v=1587149243")</f>
        <v/>
      </c>
      <c r="H918">
        <f>_xlfn.IMAGE("https://m.media-amazon.com/images/I/51hLn1JmlEL._AC_UL320_.jpg")</f>
        <v/>
      </c>
      <c r="K918" t="inlineStr">
        <is>
          <t>119.99</t>
        </is>
      </c>
      <c r="L918" t="n">
        <v>708.98</v>
      </c>
      <c r="M918" s="1" t="inlineStr">
        <is>
          <t>490.87%</t>
        </is>
      </c>
      <c r="N918" s="7" t="n">
        <v>150.88</v>
      </c>
      <c r="O918" t="n">
        <v>4.5</v>
      </c>
      <c r="P918" t="n">
        <v>6</v>
      </c>
      <c r="R918" t="inlineStr">
        <is>
          <t>InStock</t>
        </is>
      </c>
      <c r="S918" t="inlineStr">
        <is>
          <t>179.32</t>
        </is>
      </c>
      <c r="T918" t="inlineStr">
        <is>
          <t>1828453187684</t>
        </is>
      </c>
    </row>
    <row r="919" ht="87" customHeight="1">
      <c r="A919" s="2">
        <f>HYPERLINK("https://edmondsonsupply.com/collections/hvac/products/channellock-804", "https://edmondsonsupply.com/collections/hvac/products/channellock-804")</f>
        <v/>
      </c>
      <c r="B919" s="2">
        <f>HYPERLINK("https://edmondsonsupply.com/products/channellock-804", "https://edmondsonsupply.com/products/channellock-804")</f>
        <v/>
      </c>
      <c r="C919" t="inlineStr">
        <is>
          <t>Channellock 804 4-Inch Chrome Adjustable Wrench</t>
        </is>
      </c>
      <c r="D919" t="inlineStr">
        <is>
          <t>CHANNELLOCK® VWS-4 Chrome Adjustable Wrench Set, 4-Piece | 4, 6, 10, 12-Inch | Wide Jaw Capacity | Precise Jaw Design Grips Tight in Confined Space | Laser-Etched Measurement Scales</t>
        </is>
      </c>
      <c r="E919" s="2">
        <f>HYPERLINK("https://www.amazon.com/CHANNELLOCK-Adjustable-Capacity-Laser-Etched-Measurement/dp/B0891JNCRL/ref=sr_1_2?keywords=Channellock+804+4-Inch+Chrome+Adjustable+Wrench&amp;qid=1694734791&amp;sr=8-2", "https://www.amazon.com/CHANNELLOCK-Adjustable-Capacity-Laser-Etched-Measurement/dp/B0891JNCRL/ref=sr_1_2?keywords=Channellock+804+4-Inch+Chrome+Adjustable+Wrench&amp;qid=1694734791&amp;sr=8-2")</f>
        <v/>
      </c>
      <c r="F919" t="inlineStr">
        <is>
          <t>B0891JNCRL</t>
        </is>
      </c>
      <c r="G919">
        <f>_xlfn.IMAGE("https://edmondsonsupply.com/cdn/shop/products/804-683x1024.jpg?v=1587145853")</f>
        <v/>
      </c>
      <c r="H919">
        <f>_xlfn.IMAGE("https://m.media-amazon.com/images/I/51-CWTrf9CL._AC_UL320_.jpg")</f>
        <v/>
      </c>
      <c r="K919" t="inlineStr">
        <is>
          <t>16.95</t>
        </is>
      </c>
      <c r="L919" t="n">
        <v>99.89</v>
      </c>
      <c r="M919" s="1" t="inlineStr">
        <is>
          <t>489.32%</t>
        </is>
      </c>
      <c r="N919" s="7" t="n">
        <v>150.65</v>
      </c>
      <c r="O919" t="n">
        <v>4.8</v>
      </c>
      <c r="P919" t="n">
        <v>10</v>
      </c>
      <c r="R919" t="inlineStr">
        <is>
          <t>InStock</t>
        </is>
      </c>
      <c r="S919" t="inlineStr">
        <is>
          <t>26.62</t>
        </is>
      </c>
      <c r="T919" t="inlineStr">
        <is>
          <t>4094611488868</t>
        </is>
      </c>
    </row>
    <row r="920" ht="87" customHeight="1">
      <c r="A920" s="2">
        <f>HYPERLINK("https://edmondsonsupply.com/collections/hvac/products/kroil-ks132-original-penetrant-aerosol-13oz-can", "https://edmondsonsupply.com/collections/hvac/products/kroil-ks132-original-penetrant-aerosol-13oz-can")</f>
        <v/>
      </c>
      <c r="B920" s="2">
        <f>HYPERLINK("https://edmondsonsupply.com/products/kroil-ks132-original-penetrant-aerosol-13oz-can", "https://edmondsonsupply.com/products/kroil-ks132-original-penetrant-aerosol-13oz-can")</f>
        <v/>
      </c>
      <c r="C920" t="inlineStr">
        <is>
          <t>Kroil KS132 Original Penetrant Aerosol 13oz can</t>
        </is>
      </c>
      <c r="D920" t="inlineStr">
        <is>
          <t>Kroil Original Penetrating Oil (Aerosol Spray-10oz Can-Case of 6) | Penetrant for Rusted Bolts, Metal, Hinges, Chains, Moving Parts | Rust, Corrosion Inhibitor (AZKS102C6)</t>
        </is>
      </c>
      <c r="E920" s="2">
        <f>HYPERLINK("https://www.amazon.com/Penetrating-Spray-10oz-Penetrant-Corrosion-AZKS102C6/dp/B08ZM4W7YT/ref=sr_1_5?keywords=Kroil+KS132+Original+Penetrant+Aerosol+13oz+can&amp;qid=1694734905&amp;sr=8-5", "https://www.amazon.com/Penetrating-Spray-10oz-Penetrant-Corrosion-AZKS102C6/dp/B08ZM4W7YT/ref=sr_1_5?keywords=Kroil+KS132+Original+Penetrant+Aerosol+13oz+can&amp;qid=1694734905&amp;sr=8-5")</f>
        <v/>
      </c>
      <c r="F920" t="inlineStr">
        <is>
          <t>B08ZM4W7YT</t>
        </is>
      </c>
      <c r="G920">
        <f>_xlfn.IMAGE("https://edmondsonsupply.com/cdn/shop/files/ks132.webp?v=1686779771")</f>
        <v/>
      </c>
      <c r="H920">
        <f>_xlfn.IMAGE("https://m.media-amazon.com/images/I/71shugOOErL._AC_UY218_.jpg")</f>
        <v/>
      </c>
      <c r="K920" t="inlineStr">
        <is>
          <t>23.79</t>
        </is>
      </c>
      <c r="L920" t="n">
        <v>139.99</v>
      </c>
      <c r="M920" s="1" t="inlineStr">
        <is>
          <t>488.44%</t>
        </is>
      </c>
      <c r="N920" s="7" t="n">
        <v>150.28</v>
      </c>
      <c r="O920" t="n">
        <v>5</v>
      </c>
      <c r="P920" t="n">
        <v>60</v>
      </c>
      <c r="R920" t="inlineStr">
        <is>
          <t>InStock</t>
        </is>
      </c>
      <c r="S920" t="inlineStr">
        <is>
          <t>27.4</t>
        </is>
      </c>
      <c r="T920" t="inlineStr">
        <is>
          <t>8005750554840</t>
        </is>
      </c>
    </row>
    <row r="921" ht="87" customHeight="1">
      <c r="A921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921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921" t="inlineStr">
        <is>
          <t>ICM Controls ICM2811 Furnace Control Board - Replacement for Goodman</t>
        </is>
      </c>
      <c r="D921" t="inlineStr">
        <is>
          <t>ICM Controls ICM280 Furnace Control Replacement for OEM Models Including Goodman B18099-xx Series Control Boards, Multicolor (Twо Расk)</t>
        </is>
      </c>
      <c r="E921" s="2">
        <f>HYPERLINK("https://www.amazon.com/ICM-Replacement-Including-B18099-xx-Multicolor/dp/B0893PWC76/ref=sr_1_11?keywords=ICM+Controls+ICM2811+Furnace+Control+Board+-+Replacement+for+Goodman&amp;qid=1694734652&amp;sr=8-11", "https://www.amazon.com/ICM-Replacement-Including-B18099-xx-Multicolor/dp/B0893PWC76/ref=sr_1_11?keywords=ICM+Controls+ICM2811+Furnace+Control+Board+-+Replacement+for+Goodman&amp;qid=1694734652&amp;sr=8-11")</f>
        <v/>
      </c>
      <c r="F921" t="inlineStr">
        <is>
          <t>B0893PWC76</t>
        </is>
      </c>
      <c r="G921">
        <f>_xlfn.IMAGE("https://edmondsonsupply.com/cdn/shop/products/photo_3800_medium_86f45e25-a764-4839-bc84-759a6ce1c7bd.jpg?v=1659910436")</f>
        <v/>
      </c>
      <c r="H921">
        <f>_xlfn.IMAGE("https://m.media-amazon.com/images/I/61JykELT0fL._AC_UL320_.jpg")</f>
        <v/>
      </c>
      <c r="K921" t="inlineStr">
        <is>
          <t>68.99</t>
        </is>
      </c>
      <c r="L921" t="n">
        <v>403.68</v>
      </c>
      <c r="M921" s="1" t="inlineStr">
        <is>
          <t>485.13%</t>
        </is>
      </c>
      <c r="N921" s="7" t="n">
        <v>150.28</v>
      </c>
      <c r="O921" t="n">
        <v>4.5</v>
      </c>
      <c r="P921" t="n">
        <v>457</v>
      </c>
      <c r="R921" t="inlineStr">
        <is>
          <t>InStock</t>
        </is>
      </c>
      <c r="S921" t="inlineStr">
        <is>
          <t>93.62</t>
        </is>
      </c>
      <c r="T921" t="inlineStr">
        <is>
          <t>4345448202340</t>
        </is>
      </c>
    </row>
    <row r="922" ht="87" customHeight="1">
      <c r="A922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922" s="2">
        <f>HYPERLINK("https://edmondsonsupply.com/products/nu-calgon-44171-75-evap-foam-no-rinse-aerosol-coil-cleaner", "https://edmondsonsupply.com/products/nu-calgon-44171-75-evap-foam-no-rinse-aerosol-coil-cleaner")</f>
        <v/>
      </c>
      <c r="C922" t="inlineStr">
        <is>
          <t>Nu-Calgon 4171-75 Evap Foam No Rinse, Aerosol Coil Cleaner (18 oz. can)</t>
        </is>
      </c>
      <c r="D922" t="inlineStr">
        <is>
          <t>Nu-Calgon 4171-75 Evap Foam No Rinse Evaporator Coil Cleaner, 18 oz. - Pack of 6</t>
        </is>
      </c>
      <c r="E922" s="2">
        <f>HYPERLINK("https://www.amazon.com/Nu-Calgon-4171-75-Rinse-Evaporator-Cleaner/dp/B07H26XW8D/ref=sr_1_6?keywords=Nu-Calgon+4171-75+Evap+Foam+No+Rinse%2C+Aerosol+Coil+Cleaner+%2818+oz.+can%29&amp;qid=1694734591&amp;sr=8-6", "https://www.amazon.com/Nu-Calgon-4171-75-Rinse-Evaporator-Cleaner/dp/B07H26XW8D/ref=sr_1_6?keywords=Nu-Calgon+4171-75+Evap+Foam+No+Rinse%2C+Aerosol+Coil+Cleaner+%2818+oz.+can%29&amp;qid=1694734591&amp;sr=8-6")</f>
        <v/>
      </c>
      <c r="F922" t="inlineStr">
        <is>
          <t>B07H26XW8D</t>
        </is>
      </c>
      <c r="G922">
        <f>_xlfn.IMAGE("https://edmondsonsupply.com/cdn/shop/products/4171-75.jpg?v=1659099515")</f>
        <v/>
      </c>
      <c r="H922">
        <f>_xlfn.IMAGE("https://m.media-amazon.com/images/I/61khcN5DFdL._AC_UL320_.jpg")</f>
        <v/>
      </c>
      <c r="K922" t="inlineStr">
        <is>
          <t>11.75</t>
        </is>
      </c>
      <c r="L922" t="n">
        <v>67.98999999999999</v>
      </c>
      <c r="M922" s="1" t="inlineStr">
        <is>
          <t>478.64%</t>
        </is>
      </c>
      <c r="N922" s="7" t="n">
        <v>150.18</v>
      </c>
      <c r="O922" t="n">
        <v>4.7</v>
      </c>
      <c r="P922" t="n">
        <v>143</v>
      </c>
      <c r="R922" t="inlineStr">
        <is>
          <t>InStock</t>
        </is>
      </c>
      <c r="S922" t="inlineStr">
        <is>
          <t>17.7</t>
        </is>
      </c>
      <c r="T922" t="inlineStr">
        <is>
          <t>7766316646616</t>
        </is>
      </c>
    </row>
    <row r="923" hidden="1" ht="15.75" customHeight="1">
      <c r="A923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923" s="2">
        <f>HYPERLINK("https://edmondsonsupply.com/products/cambridge-1-2-pvc-liquid-tight-conduit-fitting-90-degree", "https://edmondsonsupply.com/products/cambridge-1-2-pvc-liquid-tight-conduit-fitting-90-degree")</f>
        <v/>
      </c>
      <c r="C923" t="inlineStr">
        <is>
          <t>Cambridge 1/2" PVC Liquid Tight Conduit Fitting - 90 Degree</t>
        </is>
      </c>
      <c r="D923" t="inlineStr">
        <is>
          <t>Sealproof 1/2-Inch Nonmetallic Liquid-Tight 90-Degree Electrical Conduit Connector Fitting, 1/2" Dia, 5-Pack</t>
        </is>
      </c>
      <c r="E923" s="2">
        <f>HYPERLINK("https://www.amazon.com/Sealproof-Nonmetallic-Liquid-Tight-90-Degree-Electrical/dp/B0756MMCMS/ref=sr_1_2?keywords=Cambridge+1%2F2%22+PVC+Liquid+Tight+Conduit+Fitting+-+90+Degree&amp;qid=1694734857&amp;sr=8-2", "https://www.amazon.com/Sealproof-Nonmetallic-Liquid-Tight-90-Degree-Electrical/dp/B0756MMCMS/ref=sr_1_2?keywords=Cambridge+1%2F2%22+PVC+Liquid+Tight+Conduit+Fitting+-+90+Degree&amp;qid=1694734857&amp;sr=8-2")</f>
        <v/>
      </c>
      <c r="F923" t="inlineStr">
        <is>
          <t>B0756MMCMS</t>
        </is>
      </c>
      <c r="G923">
        <f>_xludf.IMAGE("https://edmondsonsupply.com/cdn/shop/files/W14659_01.jpg?v=1692278106")</f>
        <v/>
      </c>
      <c r="H923">
        <f>_xludf.IMAGE("https://m.media-amazon.com/images/I/71q-MMNFhkL._AC_UL320_.jpg")</f>
        <v/>
      </c>
      <c r="K923" t="inlineStr">
        <is>
          <t>1.48</t>
        </is>
      </c>
      <c r="L923" t="n">
        <v>8.49</v>
      </c>
      <c r="M923" s="1" t="inlineStr">
        <is>
          <t>473.65%</t>
        </is>
      </c>
      <c r="N923" s="1" t="n">
        <v>150.08</v>
      </c>
      <c r="O923" t="n">
        <v>4.8</v>
      </c>
      <c r="P923" t="n">
        <v>171</v>
      </c>
      <c r="R923" t="inlineStr">
        <is>
          <t>InStock</t>
        </is>
      </c>
      <c r="S923" t="inlineStr">
        <is>
          <t>undefined</t>
        </is>
      </c>
      <c r="T923" t="inlineStr">
        <is>
          <t>8028224422104</t>
        </is>
      </c>
    </row>
    <row r="924" hidden="1" ht="15.75" customHeight="1">
      <c r="A924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924" s="2">
        <f>HYPERLINK("https://edmondsonsupply.com/products/cambridge-1-2-pvc-liquid-tight-conduit-fitting-90-degree", "https://edmondsonsupply.com/products/cambridge-1-2-pvc-liquid-tight-conduit-fitting-90-degree")</f>
        <v/>
      </c>
      <c r="C924" t="inlineStr">
        <is>
          <t>Cambridge 1/2" PVC Liquid Tight Conduit Fitting - 90 Degree</t>
        </is>
      </c>
      <c r="D924" t="inlineStr">
        <is>
          <t>LifCratms 4Pcs NPT 1/2" 180D Electrical Conduit Connector Fittings, PVC Non-metallic Liquid Tight Straight Conduit Connector</t>
        </is>
      </c>
      <c r="E924" s="2">
        <f>HYPERLINK("https://www.amazon.com/LifCratms-Electrical-Connector-Fittings-Non-metallic/dp/B0BJKDYGF8/ref=sr_1_45?keywords=Cambridge+1%2F2%22+PVC+Liquid+Tight+Conduit+Fitting+-+90+Degree&amp;qid=1694734857&amp;sr=8-45", "https://www.amazon.com/LifCratms-Electrical-Connector-Fittings-Non-metallic/dp/B0BJKDYGF8/ref=sr_1_45?keywords=Cambridge+1%2F2%22+PVC+Liquid+Tight+Conduit+Fitting+-+90+Degree&amp;qid=1694734857&amp;sr=8-45")</f>
        <v/>
      </c>
      <c r="F924" t="inlineStr">
        <is>
          <t>B0BJKDYGF8</t>
        </is>
      </c>
      <c r="G924">
        <f>_xludf.IMAGE("https://edmondsonsupply.com/cdn/shop/files/W14659_01.jpg?v=1692278106")</f>
        <v/>
      </c>
      <c r="H924">
        <f>_xludf.IMAGE("https://m.media-amazon.com/images/I/61sbEKpugbL._AC_UL320_.jpg")</f>
        <v/>
      </c>
      <c r="K924" t="inlineStr">
        <is>
          <t>1.48</t>
        </is>
      </c>
      <c r="L924" t="n">
        <v>8.49</v>
      </c>
      <c r="M924" s="1" t="inlineStr">
        <is>
          <t>473.65%</t>
        </is>
      </c>
      <c r="N924" s="1" t="n">
        <v>150.08</v>
      </c>
      <c r="O924" t="n">
        <v>5</v>
      </c>
      <c r="P924" t="n">
        <v>4</v>
      </c>
      <c r="R924" t="inlineStr">
        <is>
          <t>InStock</t>
        </is>
      </c>
      <c r="S924" t="inlineStr">
        <is>
          <t>undefined</t>
        </is>
      </c>
      <c r="T924" t="inlineStr">
        <is>
          <t>8028224422104</t>
        </is>
      </c>
    </row>
    <row r="925" ht="87" customHeight="1">
      <c r="A925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925" s="2">
        <f>HYPERLINK("https://edmondsonsupply.com/products/packard-pmj88-motor-start-capacitor-88-108-mfd-110-125-vac", "https://edmondsonsupply.com/products/packard-pmj88-motor-start-capacitor-88-108-mfd-110-125-vac")</f>
        <v/>
      </c>
      <c r="C925" t="inlineStr">
        <is>
          <t>Packard PMJ88 Motor Start Capacitor 88-108 MFD 110-125 VAC</t>
        </is>
      </c>
      <c r="D925" t="inlineStr">
        <is>
          <t>PMJ850 - Packard Upgraded Replacement Motor Start Capacitor 850-1020 MFD 110-125 Volt VAC</t>
        </is>
      </c>
      <c r="E925" s="2">
        <f>HYPERLINK("https://www.amazon.com/PMJ850-Upgraded-Replacement-Capacitor-850-1020/dp/B0773VT257/ref=sr_1_5?keywords=Packard+PMJ88+Motor+Start+Capacitor+88-108+MFD+110-125+VAC&amp;qid=1694734709&amp;sr=8-5", "https://www.amazon.com/PMJ850-Upgraded-Replacement-Capacitor-850-1020/dp/B0773VT257/ref=sr_1_5?keywords=Packard+PMJ88+Motor+Start+Capacitor+88-108+MFD+110-125+VAC&amp;qid=1694734709&amp;sr=8-5")</f>
        <v/>
      </c>
      <c r="F925" t="inlineStr">
        <is>
          <t>B0773VT257</t>
        </is>
      </c>
      <c r="G925">
        <f>_xlfn.IMAGE("https://edmondsonsupply.com/cdn/shop/products/PMJ88-2.jpg?v=1633030893")</f>
        <v/>
      </c>
      <c r="H925">
        <f>_xlfn.IMAGE("https://m.media-amazon.com/images/I/41fqQrQgJaL._AC_UY218_.jpg")</f>
        <v/>
      </c>
      <c r="K925" t="inlineStr">
        <is>
          <t>3.1</t>
        </is>
      </c>
      <c r="L925" t="n">
        <v>17.74</v>
      </c>
      <c r="M925" s="1" t="inlineStr">
        <is>
          <t>472.26%</t>
        </is>
      </c>
      <c r="N925" s="7" t="n">
        <v>149.97</v>
      </c>
      <c r="O925" t="n">
        <v>5</v>
      </c>
      <c r="P925" t="n">
        <v>4</v>
      </c>
      <c r="R925" t="inlineStr">
        <is>
          <t>InStock</t>
        </is>
      </c>
      <c r="S925" t="inlineStr">
        <is>
          <t>undefined</t>
        </is>
      </c>
      <c r="T925" t="inlineStr">
        <is>
          <t>6224638771373</t>
        </is>
      </c>
    </row>
    <row r="926" hidden="1" ht="15.75" customHeight="1">
      <c r="A926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926" s="2">
        <f>HYPERLINK("https://edmondsonsupply.com/products/cambridge-3-4-pvc-liquid-tight-conduit-fitting-straight", "https://edmondsonsupply.com/products/cambridge-3-4-pvc-liquid-tight-conduit-fitting-straight")</f>
        <v/>
      </c>
      <c r="C926" t="inlineStr">
        <is>
          <t>Cambridge 3/4" PVC Liquid Tight Conduit Fitting - Straight</t>
        </is>
      </c>
      <c r="D926" t="inlineStr">
        <is>
          <t>LifCratms 4Pcs NPT 3/4" 180D Electrical Conduit Connector Fittings, PVC Nonmetallic Liquid Tight Straight Conduit Connector</t>
        </is>
      </c>
      <c r="E926" s="2">
        <f>HYPERLINK("https://www.amazon.com/LifCratms-Electrical-Connector-Fittings-Nonmetallic/dp/B0BJJM3CZ5/ref=sr_1_8?keywords=Cambridge+3%2F4%22+PVC+Liquid+Tight+Conduit+Fitting+-+Straight&amp;qid=1694734855&amp;sr=8-8", "https://www.amazon.com/LifCratms-Electrical-Connector-Fittings-Nonmetallic/dp/B0BJJM3CZ5/ref=sr_1_8?keywords=Cambridge+3%2F4%22+PVC+Liquid+Tight+Conduit+Fitting+-+Straight&amp;qid=1694734855&amp;sr=8-8")</f>
        <v/>
      </c>
      <c r="F926" t="inlineStr">
        <is>
          <t>B0BJJM3CZ5</t>
        </is>
      </c>
      <c r="G926">
        <f>_xludf.IMAGE("https://edmondsonsupply.com/cdn/shop/files/W14656_01.jpg?v=1692277615")</f>
        <v/>
      </c>
      <c r="H926">
        <f>_xludf.IMAGE("https://m.media-amazon.com/images/I/619+NFIpeEL._AC_UL320_.jpg")</f>
        <v/>
      </c>
      <c r="K926" t="inlineStr">
        <is>
          <t>1.5</t>
        </is>
      </c>
      <c r="L926" t="n">
        <v>8.539999999999999</v>
      </c>
      <c r="M926" s="1" t="inlineStr">
        <is>
          <t>469.33%</t>
        </is>
      </c>
      <c r="N926" s="1" t="n">
        <v>149.92</v>
      </c>
      <c r="O926" t="n">
        <v>5</v>
      </c>
      <c r="P926" t="n">
        <v>4</v>
      </c>
      <c r="R926" t="inlineStr">
        <is>
          <t>InStock</t>
        </is>
      </c>
      <c r="S926" t="inlineStr">
        <is>
          <t>undefined</t>
        </is>
      </c>
      <c r="T926" t="inlineStr">
        <is>
          <t>8028223897816</t>
        </is>
      </c>
    </row>
    <row r="927" hidden="1" ht="15.75" customHeight="1">
      <c r="A927" s="2">
        <f>HYPERLINK("https://edmondsonsupply.com/collections/hvac/products/supco-bpv31-bullet%C2%AE-piercing-valve-1-4-5-16-3-8-o-d", "https://edmondsonsupply.com/collections/hvac/products/supco-bpv31-bullet%C2%AE-piercing-valve-1-4-5-16-3-8-o-d")</f>
        <v/>
      </c>
      <c r="B927" s="2">
        <f>HYPERLINK("https://edmondsonsupply.com/products/supco-bpv31-bullet%c2%ae-piercing-valve-1-4-5-16-3-8-o-d", "https://edmondsonsupply.com/products/supco-bpv31-bullet%c2%ae-piercing-valve-1-4-5-16-3-8-o-d")</f>
        <v/>
      </c>
      <c r="C927" t="inlineStr">
        <is>
          <t>Supco BPV31 BULLET® Piercing Valve - 1/4", 5/16 &amp; 3/8" O.D.</t>
        </is>
      </c>
      <c r="D927" t="inlineStr">
        <is>
          <t>skyehomo 6 Pcs BPV31 Bullet Piercing Tap Valve Line Tap Valve Kits, Compatible with 1/4", 5/16", 3/8"Outside Diameter Pipes,Replace for AP4502525, BPV31D, GPV14, GPV31, GPV38, GPV56, MPV31</t>
        </is>
      </c>
      <c r="E927" s="2">
        <f>HYPERLINK("https://www.amazon.com/skyehomo-Piercing-Compatible-Diameter-AP4502525/dp/B0C3B2TTFF/ref=sr_1_10?keywords=Supco+BPV31+BULLET%C2%AE+Piercing+Valve+-+1%2F4%22%2C+5%2F16+%26+3%2F8%22+O.D.&amp;qid=1694734615&amp;sr=8-10", "https://www.amazon.com/skyehomo-Piercing-Compatible-Diameter-AP4502525/dp/B0C3B2TTFF/ref=sr_1_10?keywords=Supco+BPV31+BULLET%C2%AE+Piercing+Valve+-+1%2F4%22%2C+5%2F16+%26+3%2F8%22+O.D.&amp;qid=1694734615&amp;sr=8-10")</f>
        <v/>
      </c>
      <c r="F927" t="inlineStr">
        <is>
          <t>B0C3B2TTFF</t>
        </is>
      </c>
      <c r="G927">
        <f>_xludf.IMAGE("https://edmondsonsupply.com/cdn/shop/products/B11-039-2.jpg?v=1633030031")</f>
        <v/>
      </c>
      <c r="H927">
        <f>_xludf.IMAGE("https://m.media-amazon.com/images/I/71h6t3dHP4L._AC_UY218_.jpg")</f>
        <v/>
      </c>
      <c r="K927" t="inlineStr">
        <is>
          <t>3.49</t>
        </is>
      </c>
      <c r="L927" t="n">
        <v>19.65</v>
      </c>
      <c r="M927" s="1" t="inlineStr">
        <is>
          <t>463.04%</t>
        </is>
      </c>
      <c r="N927" s="1" t="n">
        <v>149.78</v>
      </c>
      <c r="O927" t="n">
        <v>3</v>
      </c>
      <c r="P927" t="n">
        <v>3</v>
      </c>
      <c r="R927" t="inlineStr">
        <is>
          <t>InStock</t>
        </is>
      </c>
      <c r="S927" t="inlineStr">
        <is>
          <t>undefined</t>
        </is>
      </c>
      <c r="T927" t="inlineStr">
        <is>
          <t>2632316715108</t>
        </is>
      </c>
    </row>
    <row r="928" ht="87" customHeight="1">
      <c r="A928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928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928" t="inlineStr">
        <is>
          <t>Klein Tools NCVT-2PKIT Dual Range Non-Contact Voltage Tester with Receptacle Tester</t>
        </is>
      </c>
      <c r="D928" t="inlineStr">
        <is>
          <t>Klein Tools HVNCVT-1 Dual-Range Non-Contact High-Voltage Tester, Dual-Range, Audio/Visual Indicators, Water Resistant, With Case and Battery, Black</t>
        </is>
      </c>
      <c r="E928" s="2">
        <f>HYPERLINK("https://www.amazon.com/Voltage-Tester-Klein-Tools-HVNCVT-1/dp/B015KU2EXU/ref=sr_1_9?keywords=Klein+Tools+NCVT-2PKIT+Dual+Range+Non-Contact+Voltage+Tester+with+Receptacle+Tester&amp;qid=1694734814&amp;sr=8-9", "https://www.amazon.com/Voltage-Tester-Klein-Tools-HVNCVT-1/dp/B015KU2EXU/ref=sr_1_9?keywords=Klein+Tools+NCVT-2PKIT+Dual+Range+Non-Contact+Voltage+Tester+with+Receptacle+Tester&amp;qid=1694734814&amp;sr=8-9")</f>
        <v/>
      </c>
      <c r="F928" t="inlineStr">
        <is>
          <t>B015KU2EXU</t>
        </is>
      </c>
      <c r="G928">
        <f>_xlfn.IMAGE("https://edmondsonsupply.com/cdn/shop/products/ncvt2pkit.jpg?v=1633030827")</f>
        <v/>
      </c>
      <c r="H928">
        <f>_xlfn.IMAGE("https://m.media-amazon.com/images/I/51vp8USEpSL._AC_UL320_.jpg")</f>
        <v/>
      </c>
      <c r="K928" t="inlineStr">
        <is>
          <t>29.99</t>
        </is>
      </c>
      <c r="L928" t="n">
        <v>168.19</v>
      </c>
      <c r="M928" s="1" t="inlineStr">
        <is>
          <t>460.82%</t>
        </is>
      </c>
      <c r="N928" s="7" t="n">
        <v>149.29</v>
      </c>
      <c r="O928" t="n">
        <v>4.4</v>
      </c>
      <c r="P928" t="n">
        <v>86</v>
      </c>
      <c r="R928" t="inlineStr">
        <is>
          <t>InStock</t>
        </is>
      </c>
      <c r="S928" t="inlineStr">
        <is>
          <t>41.28</t>
        </is>
      </c>
      <c r="T928" t="inlineStr">
        <is>
          <t>6082146238637</t>
        </is>
      </c>
    </row>
    <row r="929" ht="87" customHeight="1">
      <c r="A929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929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929" t="inlineStr">
        <is>
          <t>Klein Tools NCVT1XTKIT Non-Contact Voltage and GFCI Receptacle Premium Test Kit</t>
        </is>
      </c>
      <c r="D929" t="inlineStr">
        <is>
          <t>Klein Tools CL120VP Electrical Voltage Test Kit &amp; 80064 AC Circuit Breaker Kit with GFCI Digital Circuit Breaker Finder, Non-Contact Voltage Tester Pen and Zipper Bag, 3-Piece</t>
        </is>
      </c>
      <c r="E929" s="2">
        <f>HYPERLINK("https://www.amazon.com/Klein-Tools-CL120VP-Electrical-Non-Contact/dp/B0BC7ZMVBW/ref=sr_1_26?keywords=Klein+Tools+NCVT1XTKIT+Non-Contact+Voltage+and+GFCI+Receptacle+Premium+Test+Kit&amp;qid=1694734686&amp;sr=8-26", "https://www.amazon.com/Klein-Tools-CL120VP-Electrical-Non-Contact/dp/B0BC7ZMVBW/ref=sr_1_26?keywords=Klein+Tools+NCVT1XTKIT+Non-Contact+Voltage+and+GFCI+Receptacle+Premium+Test+Kit&amp;qid=1694734686&amp;sr=8-26")</f>
        <v/>
      </c>
      <c r="F929" t="inlineStr">
        <is>
          <t>B0BC7ZMVBW</t>
        </is>
      </c>
      <c r="G929">
        <f>_xlfn.IMAGE("https://edmondsonsupply.com/cdn/shop/products/ncvt1xtkit.jpg?v=1674497102")</f>
        <v/>
      </c>
      <c r="H929">
        <f>_xlfn.IMAGE("https://m.media-amazon.com/images/I/61a1FtIwunL._AC_UL320_.jpg")</f>
        <v/>
      </c>
      <c r="K929" t="inlineStr">
        <is>
          <t>24.99</t>
        </is>
      </c>
      <c r="L929" t="n">
        <v>139.97</v>
      </c>
      <c r="M929" s="1" t="inlineStr">
        <is>
          <t>460.10%</t>
        </is>
      </c>
      <c r="N929" s="7" t="n">
        <v>148.88</v>
      </c>
      <c r="O929" t="n">
        <v>4.9</v>
      </c>
      <c r="P929" t="n">
        <v>12</v>
      </c>
      <c r="R929" t="inlineStr">
        <is>
          <t>InStock</t>
        </is>
      </c>
      <c r="S929" t="inlineStr">
        <is>
          <t>32.98</t>
        </is>
      </c>
      <c r="T929" t="inlineStr">
        <is>
          <t>7931949187288</t>
        </is>
      </c>
    </row>
    <row r="930" ht="87" customHeight="1">
      <c r="A930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930" s="2">
        <f>HYPERLINK("https://edmondsonsupply.com/products/klein-tools-69417-rare-earth-magnetic-meter-hanger", "https://edmondsonsupply.com/products/klein-tools-69417-rare-earth-magnetic-meter-hanger")</f>
        <v/>
      </c>
      <c r="C930" t="inlineStr">
        <is>
          <t>Klein Tools 69417 Rare Earth Magnetic Meter Hanger, with Strap</t>
        </is>
      </c>
      <c r="D930" t="inlineStr">
        <is>
          <t>Klein Tools CL120KIT Electrical Tester/Auto-Ranging Digital Clamp Meter Kit, GFCI Tester, Line Splitter, Pouch, Leads, 3 x AAA &amp; 69417 Rare-Earth Magnetic Hanger, with Strap</t>
        </is>
      </c>
      <c r="E930" s="2">
        <f>HYPERLINK("https://www.amazon.com/Klein-Tools-Electrical-Auto-Ranging-Rare-Earth/dp/B0C5TJYFP2/ref=sr_1_24?keywords=Klein+Tools+69417+Rare+Earth+Magnetic+Meter+Hanger%2C+with+Strap&amp;qid=1694734820&amp;sr=8-24", "https://www.amazon.com/Klein-Tools-Electrical-Auto-Ranging-Rare-Earth/dp/B0C5TJYFP2/ref=sr_1_24?keywords=Klein+Tools+69417+Rare+Earth+Magnetic+Meter+Hanger%2C+with+Strap&amp;qid=1694734820&amp;sr=8-24")</f>
        <v/>
      </c>
      <c r="F930" t="inlineStr">
        <is>
          <t>B0C5TJYFP2</t>
        </is>
      </c>
      <c r="G930">
        <f>_xlfn.IMAGE("https://edmondsonsupply.com/cdn/shop/products/69417.jpg?v=1587150163")</f>
        <v/>
      </c>
      <c r="H930">
        <f>_xlfn.IMAGE("https://m.media-amazon.com/images/I/51nnNVCcUdL._AC_UL320_.jpg")</f>
        <v/>
      </c>
      <c r="K930" t="inlineStr">
        <is>
          <t>13.99</t>
        </is>
      </c>
      <c r="L930" t="n">
        <v>78.22</v>
      </c>
      <c r="M930" s="1" t="inlineStr">
        <is>
          <t>459.11%</t>
        </is>
      </c>
      <c r="N930" s="7" t="n">
        <v>148.84</v>
      </c>
      <c r="O930" t="n">
        <v>5</v>
      </c>
      <c r="P930" t="n">
        <v>1</v>
      </c>
      <c r="R930" t="inlineStr">
        <is>
          <t>InStock</t>
        </is>
      </c>
      <c r="S930" t="inlineStr">
        <is>
          <t>20.0</t>
        </is>
      </c>
      <c r="T930" t="inlineStr">
        <is>
          <t>1778073731172</t>
        </is>
      </c>
    </row>
    <row r="931" ht="87" customHeight="1">
      <c r="A931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931" s="2">
        <f>HYPERLINK("https://edmondsonsupply.com/products/nu-calgon-44171-75-evap-foam-no-rinse-aerosol-coil-cleaner", "https://edmondsonsupply.com/products/nu-calgon-44171-75-evap-foam-no-rinse-aerosol-coil-cleaner")</f>
        <v/>
      </c>
      <c r="C931" t="inlineStr">
        <is>
          <t>Nu-Calgon 4171-75 Evap Foam No Rinse, Aerosol Coil Cleaner (18 oz. can)</t>
        </is>
      </c>
      <c r="D931" t="inlineStr">
        <is>
          <t>Nu-Calgon 4171-75 Evap Foam No Rinse Evaporator Coil Cleaner, 18 oz. (18 oz. 4-Pack)</t>
        </is>
      </c>
      <c r="E931" s="2">
        <f>HYPERLINK("https://www.amazon.com/Nu-Calgon-4171-75-Evaporator-Cleaner-4-Pack/dp/B08245HBN9/ref=sr_1_8?keywords=Nu-Calgon+4171-75+Evap+Foam+No+Rinse%2C+Aerosol+Coil+Cleaner+%2818+oz.+can%29&amp;qid=1694734591&amp;sr=8-8", "https://www.amazon.com/Nu-Calgon-4171-75-Evaporator-Cleaner-4-Pack/dp/B08245HBN9/ref=sr_1_8?keywords=Nu-Calgon+4171-75+Evap+Foam+No+Rinse%2C+Aerosol+Coil+Cleaner+%2818+oz.+can%29&amp;qid=1694734591&amp;sr=8-8")</f>
        <v/>
      </c>
      <c r="F931" t="inlineStr">
        <is>
          <t>B08245HBN9</t>
        </is>
      </c>
      <c r="G931">
        <f>_xlfn.IMAGE("https://edmondsonsupply.com/cdn/shop/products/4171-75.jpg?v=1659099515")</f>
        <v/>
      </c>
      <c r="H931">
        <f>_xlfn.IMAGE("https://m.media-amazon.com/images/I/61D-8k+FXHL._AC_UL320_.jpg")</f>
        <v/>
      </c>
      <c r="K931" t="inlineStr">
        <is>
          <t>11.75</t>
        </is>
      </c>
      <c r="L931" t="n">
        <v>65.28</v>
      </c>
      <c r="M931" s="1" t="inlineStr">
        <is>
          <t>455.57%</t>
        </is>
      </c>
      <c r="N931" s="7" t="n">
        <v>148.65</v>
      </c>
      <c r="O931" t="n">
        <v>5</v>
      </c>
      <c r="P931" t="n">
        <v>1</v>
      </c>
      <c r="R931" t="inlineStr">
        <is>
          <t>InStock</t>
        </is>
      </c>
      <c r="S931" t="inlineStr">
        <is>
          <t>17.7</t>
        </is>
      </c>
      <c r="T931" t="inlineStr">
        <is>
          <t>7766316646616</t>
        </is>
      </c>
    </row>
    <row r="932" hidden="1" ht="15.75" customHeight="1">
      <c r="A932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932" s="2">
        <f>HYPERLINK("https://edmondsonsupply.com/products/cambridge-3-4-pvc-liquid-tight-conduit-fitting-90-degree", "https://edmondsonsupply.com/products/cambridge-3-4-pvc-liquid-tight-conduit-fitting-90-degree")</f>
        <v/>
      </c>
      <c r="C932" t="inlineStr">
        <is>
          <t>Cambridge 3/4" PVC Liquid Tight Conduit Fitting - 90 Degree</t>
        </is>
      </c>
      <c r="D932" t="inlineStr">
        <is>
          <t>heyous 4pcs PVC Liquid Tight 90 Degree Connector 3/4" NPT Electrical Conduit Fittings, Gray</t>
        </is>
      </c>
      <c r="E932" s="2">
        <f>HYPERLINK("https://www.amazon.com/heyous-Connector-Electrical-Conduit-Fittings/dp/B0BKRRG1QV/ref=sr_1_8?keywords=Cambridge+3%2F4%22+PVC+Liquid+Tight+Conduit+Fitting+-+90+Degree&amp;qid=1694734856&amp;sr=8-8", "https://www.amazon.com/heyous-Connector-Electrical-Conduit-Fittings/dp/B0BKRRG1QV/ref=sr_1_8?keywords=Cambridge+3%2F4%22+PVC+Liquid+Tight+Conduit+Fitting+-+90+Degree&amp;qid=1694734856&amp;sr=8-8")</f>
        <v/>
      </c>
      <c r="F932" t="inlineStr">
        <is>
          <t>B0BKRRG1QV</t>
        </is>
      </c>
      <c r="G932">
        <f>_xludf.IMAGE("https://edmondsonsupply.com/cdn/shop/files/W14657_01.jpg?v=1692278537")</f>
        <v/>
      </c>
      <c r="H932">
        <f>_xludf.IMAGE("https://m.media-amazon.com/images/I/610+OZaFd8L._AC_UL320_.jpg")</f>
        <v/>
      </c>
      <c r="K932" t="inlineStr">
        <is>
          <t>1.8</t>
        </is>
      </c>
      <c r="L932" t="n">
        <v>9.99</v>
      </c>
      <c r="M932" s="1" t="inlineStr">
        <is>
          <t>455.00%</t>
        </is>
      </c>
      <c r="N932" s="1" t="n">
        <v>148.5</v>
      </c>
      <c r="O932" t="n">
        <v>5</v>
      </c>
      <c r="P932" t="n">
        <v>2</v>
      </c>
      <c r="R932" t="inlineStr">
        <is>
          <t>InStock</t>
        </is>
      </c>
      <c r="S932" t="inlineStr">
        <is>
          <t>undefined</t>
        </is>
      </c>
      <c r="T932" t="inlineStr">
        <is>
          <t>8028225175768</t>
        </is>
      </c>
    </row>
    <row r="933" hidden="1" ht="15.75" customHeight="1">
      <c r="A933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933" s="2">
        <f>HYPERLINK("https://edmondsonsupply.com/products/cambridge-3-4-pvc-liquid-tight-conduit-fitting-90-degree", "https://edmondsonsupply.com/products/cambridge-3-4-pvc-liquid-tight-conduit-fitting-90-degree")</f>
        <v/>
      </c>
      <c r="C933" t="inlineStr">
        <is>
          <t>Cambridge 3/4" PVC Liquid Tight Conduit Fitting - 90 Degree</t>
        </is>
      </c>
      <c r="D933" t="inlineStr">
        <is>
          <t>ISPINNER 4pcs NPT 3/4" Nonmetallic Liquid Tight 90 Degree Electrical Conduit Connector Fittings, UL Listed, 94V-1, Pack of 4</t>
        </is>
      </c>
      <c r="E933" s="2">
        <f>HYPERLINK("https://www.amazon.com/ISPINNER-Nonmetallic-Electrical-Connector-Fittings/dp/B097GNQNTP/ref=sr_1_5?keywords=Cambridge+3%2F4%22+PVC+Liquid+Tight+Conduit+Fitting+-+90+Degree&amp;qid=1694734856&amp;sr=8-5", "https://www.amazon.com/ISPINNER-Nonmetallic-Electrical-Connector-Fittings/dp/B097GNQNTP/ref=sr_1_5?keywords=Cambridge+3%2F4%22+PVC+Liquid+Tight+Conduit+Fitting+-+90+Degree&amp;qid=1694734856&amp;sr=8-5")</f>
        <v/>
      </c>
      <c r="F933" t="inlineStr">
        <is>
          <t>B097GNQNTP</t>
        </is>
      </c>
      <c r="G933">
        <f>_xludf.IMAGE("https://edmondsonsupply.com/cdn/shop/files/W14657_01.jpg?v=1692278537")</f>
        <v/>
      </c>
      <c r="H933">
        <f>_xludf.IMAGE("https://m.media-amazon.com/images/I/71pAprchM7S._AC_UL320_.jpg")</f>
        <v/>
      </c>
      <c r="K933" t="inlineStr">
        <is>
          <t>1.8</t>
        </is>
      </c>
      <c r="L933" t="n">
        <v>9.99</v>
      </c>
      <c r="M933" s="1" t="inlineStr">
        <is>
          <t>455.00%</t>
        </is>
      </c>
      <c r="N933" s="1" t="n">
        <v>147.86</v>
      </c>
      <c r="O933" t="n">
        <v>4.6</v>
      </c>
      <c r="P933" t="n">
        <v>31</v>
      </c>
      <c r="R933" t="inlineStr">
        <is>
          <t>InStock</t>
        </is>
      </c>
      <c r="S933" t="inlineStr">
        <is>
          <t>undefined</t>
        </is>
      </c>
      <c r="T933" t="inlineStr">
        <is>
          <t>8028225175768</t>
        </is>
      </c>
    </row>
    <row r="934" ht="87" customHeight="1">
      <c r="A934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934" s="2">
        <f>HYPERLINK("https://edmondsonsupply.com/products/nu-calgon-44171-75-evap-foam-no-rinse-aerosol-coil-cleaner", "https://edmondsonsupply.com/products/nu-calgon-44171-75-evap-foam-no-rinse-aerosol-coil-cleaner")</f>
        <v/>
      </c>
      <c r="C934" t="inlineStr">
        <is>
          <t>Nu-Calgon 4171-75 Evap Foam No Rinse, Aerosol Coil Cleaner (18 oz. can)</t>
        </is>
      </c>
      <c r="D934" t="inlineStr">
        <is>
          <t>Nu-Calgon 4171-75 Evap Foam No Rinse Evaporator Coil Cleaner, 18 oz. (Fоur Расk)</t>
        </is>
      </c>
      <c r="E934" s="2">
        <f>HYPERLINK("https://www.amazon.com/Nu-Calgon-4171-75-Rinse-Evaporator-Cleaner/dp/B089M3X5CG/ref=sr_1_30?keywords=Nu-Calgon+4171-75+Evap+Foam+No+Rinse%2C+Aerosol+Coil+Cleaner+%2818+oz.+can%29&amp;qid=1694734591&amp;sr=8-30", "https://www.amazon.com/Nu-Calgon-4171-75-Rinse-Evaporator-Cleaner/dp/B089M3X5CG/ref=sr_1_30?keywords=Nu-Calgon+4171-75+Evap+Foam+No+Rinse%2C+Aerosol+Coil+Cleaner+%2818+oz.+can%29&amp;qid=1694734591&amp;sr=8-30")</f>
        <v/>
      </c>
      <c r="F934" t="inlineStr">
        <is>
          <t>B089M3X5CG</t>
        </is>
      </c>
      <c r="G934">
        <f>_xlfn.IMAGE("https://edmondsonsupply.com/cdn/shop/products/4171-75.jpg?v=1659099515")</f>
        <v/>
      </c>
      <c r="H934">
        <f>_xlfn.IMAGE("https://m.media-amazon.com/images/I/41Y+UGoZr2L._AC_UL320_.jpg")</f>
        <v/>
      </c>
      <c r="K934" t="inlineStr">
        <is>
          <t>11.75</t>
        </is>
      </c>
      <c r="L934" t="n">
        <v>65</v>
      </c>
      <c r="M934" s="1" t="inlineStr">
        <is>
          <t>453.19%</t>
        </is>
      </c>
      <c r="N934" s="7" t="n">
        <v>147.82</v>
      </c>
      <c r="O934" t="n">
        <v>5</v>
      </c>
      <c r="P934" t="n">
        <v>1</v>
      </c>
      <c r="R934" t="inlineStr">
        <is>
          <t>InStock</t>
        </is>
      </c>
      <c r="S934" t="inlineStr">
        <is>
          <t>17.7</t>
        </is>
      </c>
      <c r="T934" t="inlineStr">
        <is>
          <t>7766316646616</t>
        </is>
      </c>
    </row>
    <row r="935" ht="87" customHeight="1">
      <c r="A935" s="2">
        <f>HYPERLINK("https://edmondsonsupply.com/collections/hvac/products/ritchie-yellow-jacket-93843-45-1-4-compact-ball-valve-adapter", "https://edmondsonsupply.com/collections/hvac/products/ritchie-yellow-jacket-93843-45-1-4-compact-ball-valve-adapter")</f>
        <v/>
      </c>
      <c r="B935" s="2">
        <f>HYPERLINK("https://edmondsonsupply.com/products/ritchie-yellow-jacket-93843-45-1-4-compact-ball-valve-adapter", "https://edmondsonsupply.com/products/ritchie-yellow-jacket-93843-45-1-4-compact-ball-valve-adapter")</f>
        <v/>
      </c>
      <c r="C935" t="inlineStr">
        <is>
          <t>Yellow Jacket 93843 1/4" Compact Ball Valve Adapter - 45°</t>
        </is>
      </c>
      <c r="D935" t="inlineStr">
        <is>
          <t>Yellow Jacket 29986 Plus II 1/4" Hose with Compact Ball Valve, 72" (Pack of 3)</t>
        </is>
      </c>
      <c r="E935" s="2">
        <f>HYPERLINK("https://www.amazon.com/Yellow-Jacket-29986-Compact-Valve/dp/B0036UK0UQ/ref=sr_1_16?keywords=Yellow+Jacket+93843+1%2F4%22+Compact+Ball+Valve+Adapter+-+45%C2%B0&amp;qid=1694734740&amp;sr=8-16", "https://www.amazon.com/Yellow-Jacket-29986-Compact-Valve/dp/B0036UK0UQ/ref=sr_1_16?keywords=Yellow+Jacket+93843+1%2F4%22+Compact+Ball+Valve+Adapter+-+45%C2%B0&amp;qid=1694734740&amp;sr=8-16")</f>
        <v/>
      </c>
      <c r="F935" t="inlineStr">
        <is>
          <t>B0036UK0UQ</t>
        </is>
      </c>
      <c r="G935">
        <f>_xlfn.IMAGE("https://edmondsonsupply.com/cdn/shop/products/compact-ball-valves-14-516.jpg?v=1616455119")</f>
        <v/>
      </c>
      <c r="H935">
        <f>_xlfn.IMAGE("https://m.media-amazon.com/images/I/81U1hYka1XL._AC_UY218_.jpg")</f>
        <v/>
      </c>
      <c r="K935" t="inlineStr">
        <is>
          <t>27.31</t>
        </is>
      </c>
      <c r="L935" t="n">
        <v>151.07</v>
      </c>
      <c r="M935" s="1" t="inlineStr">
        <is>
          <t>453.17%</t>
        </is>
      </c>
      <c r="N935" s="7" t="n">
        <v>147.69</v>
      </c>
      <c r="O935" t="n">
        <v>4.8</v>
      </c>
      <c r="P935" t="n">
        <v>449</v>
      </c>
      <c r="R935" t="inlineStr">
        <is>
          <t>InStock</t>
        </is>
      </c>
      <c r="S935" t="inlineStr">
        <is>
          <t>undefined</t>
        </is>
      </c>
      <c r="T935" t="inlineStr">
        <is>
          <t>2442309501028</t>
        </is>
      </c>
    </row>
    <row r="936" ht="87" customHeight="1">
      <c r="A936" s="2">
        <f>HYPERLINK("https://edmondsonsupply.com/collections/hvac/products/viega-25011-1-x-1-megapressg-coupling-with-stop", "https://edmondsonsupply.com/collections/hvac/products/viega-25011-1-x-1-megapressg-coupling-with-stop")</f>
        <v/>
      </c>
      <c r="B936" s="2">
        <f>HYPERLINK("https://edmondsonsupply.com/products/viega-25011-1-x-1-megapressg-coupling-with-stop", "https://edmondsonsupply.com/products/viega-25011-1-x-1-megapressg-coupling-with-stop")</f>
        <v/>
      </c>
      <c r="C936" t="inlineStr">
        <is>
          <t>Viega 25011 1" x 1" MegaPressG Coupling with Stop</t>
        </is>
      </c>
      <c r="D936" t="inlineStr">
        <is>
          <t>VIEGA 78182 Propress Zero Lead Copper Coupling without Stop 1" Press x Press (10-Pack)</t>
        </is>
      </c>
      <c r="E936" s="2">
        <f>HYPERLINK("https://www.amazon.com/78182-Propress-Coupling-without-10-Pack/dp/B017BVXM0U/ref=sr_1_14?keywords=Viega+25011+1%22+x+1%22+MegaPressG+Coupling+with+Stop&amp;qid=1694734857&amp;sr=8-14", "https://www.amazon.com/78182-Propress-Coupling-without-10-Pack/dp/B017BVXM0U/ref=sr_1_14?keywords=Viega+25011+1%22+x+1%22+MegaPressG+Coupling+with+Stop&amp;qid=1694734857&amp;sr=8-14")</f>
        <v/>
      </c>
      <c r="F936" t="inlineStr">
        <is>
          <t>B017BVXM0U</t>
        </is>
      </c>
      <c r="G936">
        <f>_xlfn.IMAGE("https://edmondsonsupply.com/cdn/shop/files/PPm6615_d05a817b-7c50-4fcb-92d7-ae64f0563602.jpg?v=1692651489")</f>
        <v/>
      </c>
      <c r="H936">
        <f>_xlfn.IMAGE("https://m.media-amazon.com/images/I/61nJGjpHLVL._AC_UL320_.jpg")</f>
        <v/>
      </c>
      <c r="K936" t="inlineStr">
        <is>
          <t>19.72</t>
        </is>
      </c>
      <c r="L936" t="n">
        <v>109</v>
      </c>
      <c r="M936" s="1" t="inlineStr">
        <is>
          <t>452.74%</t>
        </is>
      </c>
      <c r="N936" s="7" t="n">
        <v>147.22</v>
      </c>
      <c r="O936" t="n">
        <v>4.7</v>
      </c>
      <c r="P936" t="n">
        <v>6</v>
      </c>
      <c r="R936" t="inlineStr">
        <is>
          <t>InStock</t>
        </is>
      </c>
      <c r="S936" t="inlineStr">
        <is>
          <t>34.0</t>
        </is>
      </c>
      <c r="T936" t="inlineStr">
        <is>
          <t>8029500342488</t>
        </is>
      </c>
    </row>
    <row r="937" ht="87" customHeight="1">
      <c r="A937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937" s="2">
        <f>HYPERLINK("https://edmondsonsupply.com/products/packard-pmj216-motor-start-capacitor-216-259-mfd-110-125-vac", "https://edmondsonsupply.com/products/packard-pmj216-motor-start-capacitor-216-259-mfd-110-125-vac")</f>
        <v/>
      </c>
      <c r="C937" t="inlineStr">
        <is>
          <t>Packard PMJ216 Motor Start Capacitor 216-259 MFD 110-125 VAC</t>
        </is>
      </c>
      <c r="D937" t="inlineStr">
        <is>
          <t>216-259 uF/MFD 110-125V Round Start Capacitor Replacement Part by Blue Stars - Exact Fit for AC Motor Run or Fan Start and Cool or Heat Pump Air Conditioner - Lot -1 - Packs of 2</t>
        </is>
      </c>
      <c r="E937" s="2">
        <f>HYPERLINK("https://www.amazon.com/216-259-110-125V-Round-Capacitor-Replacement/dp/B0BRSMS7M2/ref=sr_1_9?keywords=Packard+PMJ216+Motor+Start+Capacitor+216-259+MFD+110-125+VAC&amp;qid=1694734654&amp;sr=8-9", "https://www.amazon.com/216-259-110-125V-Round-Capacitor-Replacement/dp/B0BRSMS7M2/ref=sr_1_9?keywords=Packard+PMJ216+Motor+Start+Capacitor+216-259+MFD+110-125+VAC&amp;qid=1694734654&amp;sr=8-9")</f>
        <v/>
      </c>
      <c r="F937" t="inlineStr">
        <is>
          <t>B0BRSMS7M2</t>
        </is>
      </c>
      <c r="G937">
        <f>_xlfn.IMAGE("https://edmondsonsupply.com/cdn/shop/products/PMJ216-2.jpg?v=1633030107")</f>
        <v/>
      </c>
      <c r="H937">
        <f>_xlfn.IMAGE("https://m.media-amazon.com/images/I/815I46XUdJL._AC_UY218_.jpg")</f>
        <v/>
      </c>
      <c r="K937" t="inlineStr">
        <is>
          <t>3.63</t>
        </is>
      </c>
      <c r="L937" t="n">
        <v>19.99</v>
      </c>
      <c r="M937" s="1" t="inlineStr">
        <is>
          <t>450.69%</t>
        </is>
      </c>
      <c r="N937" s="7" t="n">
        <v>146.4</v>
      </c>
      <c r="O937" t="n">
        <v>5</v>
      </c>
      <c r="P937" t="n">
        <v>1</v>
      </c>
      <c r="R937" t="inlineStr">
        <is>
          <t>InStock</t>
        </is>
      </c>
      <c r="S937" t="inlineStr">
        <is>
          <t>undefined</t>
        </is>
      </c>
      <c r="T937" t="inlineStr">
        <is>
          <t>3600549642340</t>
        </is>
      </c>
    </row>
    <row r="938" ht="87" customHeight="1">
      <c r="A938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938" s="2">
        <f>HYPERLINK("https://edmondsonsupply.com/products/nu-calgon-44171-75-evap-foam-no-rinse-aerosol-coil-cleaner", "https://edmondsonsupply.com/products/nu-calgon-44171-75-evap-foam-no-rinse-aerosol-coil-cleaner")</f>
        <v/>
      </c>
      <c r="C938" t="inlineStr">
        <is>
          <t>Nu-Calgon 4171-75 Evap Foam No Rinse, Aerosol Coil Cleaner (18 oz. can)</t>
        </is>
      </c>
      <c r="D938" t="inlineStr">
        <is>
          <t>Nu-Calgon 4171-75 Evap Foam No Rinse Evaporator Coil Cleaner, 18 oz. (4-(Pack))</t>
        </is>
      </c>
      <c r="E938" s="2">
        <f>HYPERLINK("https://www.amazon.com/Nu-Calgon-4171-75-Rinse-Evaporator-Cleaner/dp/B07H9SS5V5/ref=sr_1_23?keywords=Nu-Calgon+4171-75+Evap+Foam+No+Rinse%2C+Aerosol+Coil+Cleaner+%2818+oz.+can%29&amp;qid=1694734591&amp;sr=8-23", "https://www.amazon.com/Nu-Calgon-4171-75-Rinse-Evaporator-Cleaner/dp/B07H9SS5V5/ref=sr_1_23?keywords=Nu-Calgon+4171-75+Evap+Foam+No+Rinse%2C+Aerosol+Coil+Cleaner+%2818+oz.+can%29&amp;qid=1694734591&amp;sr=8-23")</f>
        <v/>
      </c>
      <c r="F938" t="inlineStr">
        <is>
          <t>B07H9SS5V5</t>
        </is>
      </c>
      <c r="G938">
        <f>_xlfn.IMAGE("https://edmondsonsupply.com/cdn/shop/products/4171-75.jpg?v=1659099515")</f>
        <v/>
      </c>
      <c r="H938">
        <f>_xlfn.IMAGE("https://m.media-amazon.com/images/I/81rFp3LS-rL._AC_UL320_.jpg")</f>
        <v/>
      </c>
      <c r="K938" t="inlineStr">
        <is>
          <t>11.75</t>
        </is>
      </c>
      <c r="L938" t="n">
        <v>63.95</v>
      </c>
      <c r="M938" s="1" t="inlineStr">
        <is>
          <t>444.26%</t>
        </is>
      </c>
      <c r="N938" s="7" t="n">
        <v>146.02</v>
      </c>
      <c r="O938" t="n">
        <v>4.2</v>
      </c>
      <c r="P938" t="n">
        <v>13</v>
      </c>
      <c r="R938" t="inlineStr">
        <is>
          <t>InStock</t>
        </is>
      </c>
      <c r="S938" t="inlineStr">
        <is>
          <t>17.7</t>
        </is>
      </c>
      <c r="T938" t="inlineStr">
        <is>
          <t>7766316646616</t>
        </is>
      </c>
    </row>
    <row r="939" ht="87" customHeight="1">
      <c r="A939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939" s="2">
        <f>HYPERLINK("https://edmondsonsupply.com/products/klein-tools-935dag-digital-angle-gauge-and-level", "https://edmondsonsupply.com/products/klein-tools-935dag-digital-angle-gauge-and-level")</f>
        <v/>
      </c>
      <c r="C939" t="inlineStr">
        <is>
          <t>Klein Tools 935DAG Digital Angle Gauge and Level</t>
        </is>
      </c>
      <c r="D939" t="inlineStr">
        <is>
          <t>Fowler 54-422-450-1, Mini-Mag The Original Protractor &amp; Klein Tools 935DAG Digital Electronic Level and Angle Gauge, Measures 0 - 90 and 0 - 180 Degree Ranges, Measures and Sets Angles</t>
        </is>
      </c>
      <c r="E939" s="2">
        <f>HYPERLINK("https://www.amazon.com/Fowler-54-422-450-1-Mini-Mag-Protractor-Electronic/dp/B0BYHQ8JT4/ref=sr_1_12?keywords=Klein+Tools+935DAG+Digital+Angle+Gauge+and+Level&amp;qid=1694734733&amp;sr=8-12", "https://www.amazon.com/Fowler-54-422-450-1-Mini-Mag-Protractor-Electronic/dp/B0BYHQ8JT4/ref=sr_1_12?keywords=Klein+Tools+935DAG+Digital+Angle+Gauge+and+Level&amp;qid=1694734733&amp;sr=8-12")</f>
        <v/>
      </c>
      <c r="F939" t="inlineStr">
        <is>
          <t>B0BYHQ8JT4</t>
        </is>
      </c>
      <c r="G939">
        <f>_xlfn.IMAGE("https://edmondsonsupply.com/cdn/shop/products/935dag.jpg?v=1587145032")</f>
        <v/>
      </c>
      <c r="H939">
        <f>_xlfn.IMAGE("https://m.media-amazon.com/images/I/51AmoHgMrfL._AC_UL320_.jpg")</f>
        <v/>
      </c>
      <c r="K939" t="inlineStr">
        <is>
          <t>29.97</t>
        </is>
      </c>
      <c r="L939" t="n">
        <v>162.94</v>
      </c>
      <c r="M939" s="1" t="inlineStr">
        <is>
          <t>443.68%</t>
        </is>
      </c>
      <c r="N939" s="7" t="n">
        <v>145.08</v>
      </c>
      <c r="O939" t="n">
        <v>4.6</v>
      </c>
      <c r="P939" t="n">
        <v>123</v>
      </c>
      <c r="R939" t="inlineStr">
        <is>
          <t>InStock</t>
        </is>
      </c>
      <c r="S939" t="inlineStr">
        <is>
          <t>45.0</t>
        </is>
      </c>
      <c r="T939" t="inlineStr">
        <is>
          <t>4167487094884</t>
        </is>
      </c>
    </row>
    <row r="940" ht="87" customHeight="1">
      <c r="A940" s="2">
        <f>HYPERLINK("https://edmondsonsupply.com/collections/hvac/products/klein-tools-et10-magnetic-digital-pocket-thermometer", "https://edmondsonsupply.com/collections/hvac/products/klein-tools-et10-magnetic-digital-pocket-thermometer")</f>
        <v/>
      </c>
      <c r="B940" s="2">
        <f>HYPERLINK("https://edmondsonsupply.com/products/klein-tools-et10-magnetic-digital-pocket-thermometer", "https://edmondsonsupply.com/products/klein-tools-et10-magnetic-digital-pocket-thermometer")</f>
        <v/>
      </c>
      <c r="C940" t="inlineStr">
        <is>
          <t>Klein Tools ET10 Magnetic Digital Pocket Thermometer</t>
        </is>
      </c>
      <c r="D940" t="inlineStr">
        <is>
          <t>Klein Tools IR10 Infrared Thermometer, Digital Thermometer Gun with Dual Targeting Laser, 20:1 &amp; ET10 Magnetic Digital Pocket Thermometer</t>
        </is>
      </c>
      <c r="E940" s="2">
        <f>HYPERLINK("https://www.amazon.com/Klein-Tools-Infrared-Thermometer-Targeting/dp/B0BGJ6JX2Q/ref=sr_1_13?keywords=Klein+Tools+ET10+Magnetic+Digital+Pocket+Thermometer&amp;qid=1694734726&amp;sr=8-13", "https://www.amazon.com/Klein-Tools-Infrared-Thermometer-Targeting/dp/B0BGJ6JX2Q/ref=sr_1_13?keywords=Klein+Tools+ET10+Magnetic+Digital+Pocket+Thermometer&amp;qid=1694734726&amp;sr=8-13")</f>
        <v/>
      </c>
      <c r="F940" t="inlineStr">
        <is>
          <t>B0BGJ6JX2Q</t>
        </is>
      </c>
      <c r="G940">
        <f>_xlfn.IMAGE("https://edmondsonsupply.com/cdn/shop/products/et10.jpg?v=1587142916")</f>
        <v/>
      </c>
      <c r="H940">
        <f>_xlfn.IMAGE("https://m.media-amazon.com/images/I/51I0Gu41RPL._AC_UY218_.jpg")</f>
        <v/>
      </c>
      <c r="K940" t="inlineStr">
        <is>
          <t>22.99</t>
        </is>
      </c>
      <c r="L940" t="n">
        <v>123.98</v>
      </c>
      <c r="M940" s="1" t="inlineStr">
        <is>
          <t>439.28%</t>
        </is>
      </c>
      <c r="N940" s="7" t="n">
        <v>145.03</v>
      </c>
      <c r="O940" t="n">
        <v>5</v>
      </c>
      <c r="P940" t="n">
        <v>2</v>
      </c>
      <c r="R940" t="inlineStr">
        <is>
          <t>InStock</t>
        </is>
      </c>
      <c r="S940" t="inlineStr">
        <is>
          <t>34.08</t>
        </is>
      </c>
      <c r="T940" t="inlineStr">
        <is>
          <t>3690025943140</t>
        </is>
      </c>
    </row>
    <row r="941" hidden="1" ht="15.75" customHeight="1">
      <c r="A941" s="2">
        <f>HYPERLINK("https://edmondsonsupply.com/collections/hvac/products/holyoke-1051-12mpmh-3-4-male-pipe-thread-male-garden-hose-to-male-pipe-adapter", "https://edmondsonsupply.com/collections/hvac/products/holyoke-1051-12mpmh-3-4-male-pipe-thread-male-garden-hose-to-male-pipe-adapter")</f>
        <v/>
      </c>
      <c r="B941" s="2">
        <f>HYPERLINK("https://edmondsonsupply.com/products/holyoke-1051-12mpmh-3-4-male-pipe-thread-male-garden-hose-to-male-pipe-adapter", "https://edmondsonsupply.com/products/holyoke-1051-12mpmh-3-4-male-pipe-thread-male-garden-hose-to-male-pipe-adapter")</f>
        <v/>
      </c>
      <c r="C941" t="inlineStr">
        <is>
          <t>Holyoke Fittings 1051-12MPMH 3/4" Male Pipe Thread to Male Garden Hose Adapter</t>
        </is>
      </c>
      <c r="D941" t="inlineStr">
        <is>
          <t>STYDDI 3/4” GHT X 3/4” NPT Male Connector, Brass Garden Hose Convert Adapter Fitting, Garden Hose Thread to 3/4" Male Pipe Thread, with Extra 6 Washers</t>
        </is>
      </c>
      <c r="E941" s="2">
        <f>HYPERLINK("https://www.amazon.com/STYDDI-Connector-Convert-Adapter-Fitting/dp/B09336JH6L/ref=sr_1_1?keywords=Holyoke+Fittings+1051-12MPMH+3%2F4%22+Male+Pipe+Thread+to+Male+Garden+Hose+Adapter&amp;qid=1694734919&amp;sr=8-1", "https://www.amazon.com/STYDDI-Connector-Convert-Adapter-Fitting/dp/B09336JH6L/ref=sr_1_1?keywords=Holyoke+Fittings+1051-12MPMH+3%2F4%22+Male+Pipe+Thread+to+Male+Garden+Hose+Adapter&amp;qid=1694734919&amp;sr=8-1")</f>
        <v/>
      </c>
      <c r="F941" t="inlineStr">
        <is>
          <t>B09336JH6L</t>
        </is>
      </c>
      <c r="G941">
        <f>_xludf.IMAGE("https://edmondsonsupply.com/cdn/shop/files/1051-12MPMH.jpg?v=1686082879")</f>
        <v/>
      </c>
      <c r="H941">
        <f>_xludf.IMAGE("https://m.media-amazon.com/images/I/71T63vY2R8S._AC_UY218_.jpg")</f>
        <v/>
      </c>
      <c r="K941" t="inlineStr">
        <is>
          <t>2.79</t>
        </is>
      </c>
      <c r="L941" t="n">
        <v>14.99</v>
      </c>
      <c r="M941" s="1" t="inlineStr">
        <is>
          <t>437.28%</t>
        </is>
      </c>
      <c r="N941" s="1" t="n">
        <v>144.82</v>
      </c>
      <c r="O941" t="n">
        <v>4.7</v>
      </c>
      <c r="P941" t="n">
        <v>306</v>
      </c>
      <c r="R941" t="inlineStr">
        <is>
          <t>InStock</t>
        </is>
      </c>
      <c r="S941" t="inlineStr">
        <is>
          <t>4.13</t>
        </is>
      </c>
      <c r="T941" t="inlineStr">
        <is>
          <t>8002192834776</t>
        </is>
      </c>
    </row>
    <row r="942" ht="87" customHeight="1">
      <c r="A942" s="2">
        <f>HYPERLINK("https://edmondsonsupply.com/collections/hvac/products/packard-trc40-titan-pro-run-capacitor-40-mfd-370-volt-round", "https://edmondsonsupply.com/collections/hvac/products/packard-trc40-titan-pro-run-capacitor-40-mfd-370-volt-round")</f>
        <v/>
      </c>
      <c r="B942" s="2">
        <f>HYPERLINK("https://edmondsonsupply.com/products/packard-trc40-titan-pro-run-capacitor-40-mfd-370-volt-round", "https://edmondsonsupply.com/products/packard-trc40-titan-pro-run-capacitor-40-mfd-370-volt-round")</f>
        <v/>
      </c>
      <c r="C942" t="inlineStr">
        <is>
          <t>Packard TRC40 Titan PRO Run Capacitor 40 MFD 370 Volt Round</t>
        </is>
      </c>
      <c r="D942" t="inlineStr">
        <is>
          <t>Packard Trcfd403 Titan Pro Run Capacitor 40+3 Mfd 440/370 Volt Round</t>
        </is>
      </c>
      <c r="E942" s="2">
        <f>HYPERLINK("https://www.amazon.com/Packard-Trcfd403-Titan-Capacitor-Round/dp/B01JMAXOL0/ref=sr_1_2?keywords=Packard+TRC40+Titan+PRO+Run+Capacitor+40+MFD+370+Volt+Round&amp;qid=1694734814&amp;sr=8-2", "https://www.amazon.com/Packard-Trcfd403-Titan-Capacitor-Round/dp/B01JMAXOL0/ref=sr_1_2?keywords=Packard+TRC40+Titan+PRO+Run+Capacitor+40+MFD+370+Volt+Round&amp;qid=1694734814&amp;sr=8-2")</f>
        <v/>
      </c>
      <c r="F942" t="inlineStr">
        <is>
          <t>B01JMAXOL0</t>
        </is>
      </c>
      <c r="G942">
        <f>_xlfn.IMAGE("https://edmondsonsupply.com/cdn/shop/products/tp370-2_xl_1.jpg?v=1587148259")</f>
        <v/>
      </c>
      <c r="H942">
        <f>_xlfn.IMAGE("https://m.media-amazon.com/images/I/61ZOaIfuaxL._AC_UY218_.jpg")</f>
        <v/>
      </c>
      <c r="K942" t="inlineStr">
        <is>
          <t>4.6</t>
        </is>
      </c>
      <c r="L942" t="n">
        <v>24.55</v>
      </c>
      <c r="M942" s="1" t="inlineStr">
        <is>
          <t>433.70%</t>
        </is>
      </c>
      <c r="N942" s="7" t="n">
        <v>144.68</v>
      </c>
      <c r="O942" t="n">
        <v>5</v>
      </c>
      <c r="P942" t="n">
        <v>1</v>
      </c>
      <c r="R942" t="inlineStr">
        <is>
          <t>InStock</t>
        </is>
      </c>
      <c r="S942" t="inlineStr">
        <is>
          <t>undefined</t>
        </is>
      </c>
      <c r="T942" t="inlineStr">
        <is>
          <t>4343354654820</t>
        </is>
      </c>
    </row>
    <row r="943" hidden="1" ht="15.75" customHeight="1">
      <c r="A943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943" s="2">
        <f>HYPERLINK("https://edmondsonsupply.com/products/packard-titan-pro-toc5-motor-run-capacitor-5-mfd-370-volt-oval", "https://edmondsonsupply.com/products/packard-titan-pro-toc5-motor-run-capacitor-5-mfd-370-volt-oval")</f>
        <v/>
      </c>
      <c r="C943" t="inlineStr">
        <is>
          <t>Packard Titan PRO TOC5 Motor Run Capacitor 5 MFD 370 Volt Oval</t>
        </is>
      </c>
      <c r="D943" t="inlineStr">
        <is>
          <t>Titan Pro Oval Motor Run Capacitor, 5 Microfarad Rating, 370-440VAC Voltage - TOCF5</t>
        </is>
      </c>
      <c r="E943" s="2">
        <f>HYPERLINK("https://www.amazon.com/Capacitor-Microfarad-Rating-370-440VAC-Voltage/dp/B08TTKHC9D/ref=sr_1_5?keywords=Packard+Titan+PRO+TOC5+Motor+Run+Capacitor+5+MFD+370+Volt+Oval&amp;qid=1694734593&amp;sr=8-5", "https://www.amazon.com/Capacitor-Microfarad-Rating-370-440VAC-Voltage/dp/B08TTKHC9D/ref=sr_1_5?keywords=Packard+Titan+PRO+TOC5+Motor+Run+Capacitor+5+MFD+370+Volt+Oval&amp;qid=1694734593&amp;sr=8-5")</f>
        <v/>
      </c>
      <c r="F943" t="inlineStr">
        <is>
          <t>B08TTKHC9D</t>
        </is>
      </c>
      <c r="G943">
        <f>_xludf.IMAGE("https://edmondsonsupply.com/cdn/shop/products/TOC5-2_cb7d381d-e381-4aa5-9246-56c19cd39747.jpg?v=1587146064")</f>
        <v/>
      </c>
      <c r="H943">
        <f>_xludf.IMAGE("https://m.media-amazon.com/images/I/61OqR2WJMrL._AC_UY218_.jpg")</f>
        <v/>
      </c>
      <c r="K943" t="inlineStr">
        <is>
          <t>1.84</t>
        </is>
      </c>
      <c r="L943" t="n">
        <v>9.76</v>
      </c>
      <c r="M943" s="1" t="inlineStr">
        <is>
          <t>430.43%</t>
        </is>
      </c>
      <c r="N943" s="1" t="n">
        <v>144.09</v>
      </c>
      <c r="O943" t="n">
        <v>4.6</v>
      </c>
      <c r="P943" t="n">
        <v>50</v>
      </c>
      <c r="R943" t="inlineStr">
        <is>
          <t>InStock</t>
        </is>
      </c>
      <c r="S943" t="inlineStr">
        <is>
          <t>undefined</t>
        </is>
      </c>
      <c r="T943" t="inlineStr">
        <is>
          <t>3597257539684</t>
        </is>
      </c>
    </row>
    <row r="944" ht="87" customHeight="1">
      <c r="A944" s="2">
        <f>HYPERLINK("https://edmondsonsupply.com/collections/hvac/products/packard-prmj130-motor-start-capacitor-130-158-mfd-330-vac", "https://edmondsonsupply.com/collections/hvac/products/packard-prmj130-motor-start-capacitor-130-158-mfd-330-vac")</f>
        <v/>
      </c>
      <c r="B944" s="2">
        <f>HYPERLINK("https://edmondsonsupply.com/products/packard-prmj130-motor-start-capacitor-130-158-mfd-330-vac", "https://edmondsonsupply.com/products/packard-prmj130-motor-start-capacitor-130-158-mfd-330-vac")</f>
        <v/>
      </c>
      <c r="C944" t="inlineStr">
        <is>
          <t>Packard PRMJ130 Motor Start Capacitor 130-158 MFD 330 VAC</t>
        </is>
      </c>
      <c r="D944" t="inlineStr">
        <is>
          <t>130-156 uF x 330 VAC - Packard PRMJ130 Start Capacitor - BMI Replacement # 092A130B330CE7A - Made in The USA</t>
        </is>
      </c>
      <c r="E944" s="2">
        <f>HYPERLINK("https://www.amazon.com/130-156-330-VAC-Replacement-092A130B330CE7A/dp/B00TKQ2B6Q/ref=sr_1_4?keywords=Packard+PRMJ130+Motor+Start+Capacitor+130-158+MFD+330+VAC&amp;qid=1694734803&amp;sr=8-4", "https://www.amazon.com/130-156-330-VAC-Replacement-092A130B330CE7A/dp/B00TKQ2B6Q/ref=sr_1_4?keywords=Packard+PRMJ130+Motor+Start+Capacitor+130-158+MFD+330+VAC&amp;qid=1694734803&amp;sr=8-4")</f>
        <v/>
      </c>
      <c r="F944" t="inlineStr">
        <is>
          <t>B00TKQ2B6Q</t>
        </is>
      </c>
      <c r="G944">
        <f>_xlfn.IMAGE("https://edmondsonsupply.com/cdn/shop/products/PRMJ130-2.jpg?v=1587144436")</f>
        <v/>
      </c>
      <c r="H944">
        <f>_xlfn.IMAGE("https://m.media-amazon.com/images/I/41G8bEFHCZL._AC_UY218_.jpg")</f>
        <v/>
      </c>
      <c r="K944" t="inlineStr">
        <is>
          <t>3.9</t>
        </is>
      </c>
      <c r="L944" t="n">
        <v>20.6</v>
      </c>
      <c r="M944" s="1" t="inlineStr">
        <is>
          <t>428.21%</t>
        </is>
      </c>
      <c r="N944" s="7" t="n">
        <v>143.96</v>
      </c>
      <c r="O944" t="n">
        <v>5</v>
      </c>
      <c r="P944" t="n">
        <v>1</v>
      </c>
      <c r="R944" t="inlineStr">
        <is>
          <t>InStock</t>
        </is>
      </c>
      <c r="S944" t="inlineStr">
        <is>
          <t>undefined</t>
        </is>
      </c>
      <c r="T944" t="inlineStr">
        <is>
          <t>4432875946084</t>
        </is>
      </c>
    </row>
    <row r="945" hidden="1" ht="15.75" customHeight="1">
      <c r="A945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945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945" t="inlineStr">
        <is>
          <t>Diablo Tools DMAPL4210 5/8 in. x 4 in. x 6 in. Rebar Demon™ SDS‑Plus 4‑Cutter Full Carbide Head Hammer Bit</t>
        </is>
      </c>
      <c r="D945" t="inlineStr">
        <is>
          <t>Diablo DMAMX1180 7/8 in. x 16 in. x 21 in. Rebar Demon™ SDS-Max 4-Cutter Full Carbide Head Hammer Bit</t>
        </is>
      </c>
      <c r="E945" s="2">
        <f>HYPERLINK("https://www.amazon.com/Diablo-SDS-Max-4-Cutter-Carbide-Hammer/dp/B089KWFF8B/ref=sr_1_48?keywords=Diablo+Tools+DMAPL4210+5%2F8+in.+x+4+in.+x+6+in.+Rebar+Demon%E2%84%A2+SDS%E2%80%91Plus+4%E2%80%91Cutter+Full+Carbide+Head+Hammer+Bit&amp;qid=1694734723&amp;sr=8-48", "https://www.amazon.com/Diablo-SDS-Max-4-Cutter-Carbide-Hammer/dp/B089KWFF8B/ref=sr_1_48?keywords=Diablo+Tools+DMAPL4210+5%2F8+in.+x+4+in.+x+6+in.+Rebar+Demon%E2%84%A2+SDS%E2%80%91Plus+4%E2%80%91Cutter+Full+Carbide+Head+Hammer+Bit&amp;qid=1694734723&amp;sr=8-48")</f>
        <v/>
      </c>
      <c r="F945" t="inlineStr">
        <is>
          <t>B089KWFF8B</t>
        </is>
      </c>
      <c r="G945">
        <f>_xludf.IMAGE("https://edmondsonsupply.com/cdn/shop/products/DMAPL4210_Main-Image20200701.png?v=1633030426")</f>
        <v/>
      </c>
      <c r="H945">
        <f>_xludf.IMAGE("https://m.media-amazon.com/images/I/611fTcYRNFL._AC_UL320_.jpg")</f>
        <v/>
      </c>
      <c r="K945" t="inlineStr">
        <is>
          <t>9.97</t>
        </is>
      </c>
      <c r="L945" t="n">
        <v>52.51</v>
      </c>
      <c r="M945" s="1" t="inlineStr">
        <is>
          <t>426.68%</t>
        </is>
      </c>
      <c r="N945" s="1" t="n">
        <v>143.06</v>
      </c>
      <c r="O945" t="n">
        <v>3.5</v>
      </c>
      <c r="P945" t="n">
        <v>3</v>
      </c>
      <c r="R945" t="inlineStr">
        <is>
          <t>InStock</t>
        </is>
      </c>
      <c r="S945" t="inlineStr">
        <is>
          <t>13.77</t>
        </is>
      </c>
      <c r="T945" t="inlineStr">
        <is>
          <t>5326920482984</t>
        </is>
      </c>
    </row>
    <row r="946" ht="87" customHeight="1">
      <c r="A946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946" s="2">
        <f>HYPERLINK("https://edmondsonsupply.com/products/packard-pmj216-motor-start-capacitor-216-259-mfd-110-125-vac", "https://edmondsonsupply.com/products/packard-pmj216-motor-start-capacitor-216-259-mfd-110-125-vac")</f>
        <v/>
      </c>
      <c r="C946" t="inlineStr">
        <is>
          <t>Packard PMJ216 Motor Start Capacitor 216-259 MFD 110-125 VAC</t>
        </is>
      </c>
      <c r="D946" t="inlineStr">
        <is>
          <t>PRMJ216 - Packard Upgraded Replacement Motor Start Capacitor 216-259 MFD 330 Volt VAC</t>
        </is>
      </c>
      <c r="E946" s="2">
        <f>HYPERLINK("https://www.amazon.com/PRMJ216-Packard-Upgraded-Replacement-Capacitor/dp/B0773SJML1/ref=sr_1_4?keywords=Packard+PMJ216+Motor+Start+Capacitor+216-259+MFD+110-125+VAC&amp;qid=1694734654&amp;sr=8-4", "https://www.amazon.com/PRMJ216-Packard-Upgraded-Replacement-Capacitor/dp/B0773SJML1/ref=sr_1_4?keywords=Packard+PMJ216+Motor+Start+Capacitor+216-259+MFD+110-125+VAC&amp;qid=1694734654&amp;sr=8-4")</f>
        <v/>
      </c>
      <c r="F946" t="inlineStr">
        <is>
          <t>B0773SJML1</t>
        </is>
      </c>
      <c r="G946">
        <f>_xlfn.IMAGE("https://edmondsonsupply.com/cdn/shop/products/PMJ216-2.jpg?v=1633030107")</f>
        <v/>
      </c>
      <c r="H946">
        <f>_xlfn.IMAGE("https://m.media-amazon.com/images/I/41fqQrQgJaL._AC_UY218_.jpg")</f>
        <v/>
      </c>
      <c r="K946" t="inlineStr">
        <is>
          <t>3.63</t>
        </is>
      </c>
      <c r="L946" t="n">
        <v>18.99</v>
      </c>
      <c r="M946" s="1" t="inlineStr">
        <is>
          <t>423.14%</t>
        </is>
      </c>
      <c r="N946" s="7" t="n">
        <v>143.06</v>
      </c>
      <c r="O946" t="n">
        <v>5</v>
      </c>
      <c r="P946" t="n">
        <v>1</v>
      </c>
      <c r="R946" t="inlineStr">
        <is>
          <t>InStock</t>
        </is>
      </c>
      <c r="S946" t="inlineStr">
        <is>
          <t>undefined</t>
        </is>
      </c>
      <c r="T946" t="inlineStr">
        <is>
          <t>3600549642340</t>
        </is>
      </c>
    </row>
    <row r="947" ht="87" customHeight="1">
      <c r="A947" s="2">
        <f>HYPERLINK("https://edmondsonsupply.com/collections/hvac/products/supco-bpv31-bullet%C2%AE-piercing-valve-1-4-5-16-3-8-o-d", "https://edmondsonsupply.com/collections/hvac/products/supco-bpv31-bullet%C2%AE-piercing-valve-1-4-5-16-3-8-o-d")</f>
        <v/>
      </c>
      <c r="B947" s="2">
        <f>HYPERLINK("https://edmondsonsupply.com/products/supco-bpv31-bullet%c2%ae-piercing-valve-1-4-5-16-3-8-o-d", "https://edmondsonsupply.com/products/supco-bpv31-bullet%c2%ae-piercing-valve-1-4-5-16-3-8-o-d")</f>
        <v/>
      </c>
      <c r="C947" t="inlineStr">
        <is>
          <t>Supco BPV31 BULLET® Piercing Valve - 1/4", 5/16 &amp; 3/8" O.D.</t>
        </is>
      </c>
      <c r="D947" t="inlineStr">
        <is>
          <t>BPV31 6PACK Supco Bullet Piercing Valve Copper Tubing for 1/4", 5/16" and 3/8"</t>
        </is>
      </c>
      <c r="E947" s="2">
        <f>HYPERLINK("https://www.amazon.com/BPV31-Bullet-Piercing-Copper-Tubing/dp/B01MF4VUFZ/ref=sr_1_6?keywords=Supco+BPV31+BULLET%C2%AE+Piercing+Valve+-+1%2F4%22%2C+5%2F16+%26+3%2F8%22+O.D.&amp;qid=1694734615&amp;sr=8-6", "https://www.amazon.com/BPV31-Bullet-Piercing-Copper-Tubing/dp/B01MF4VUFZ/ref=sr_1_6?keywords=Supco+BPV31+BULLET%C2%AE+Piercing+Valve+-+1%2F4%22%2C+5%2F16+%26+3%2F8%22+O.D.&amp;qid=1694734615&amp;sr=8-6")</f>
        <v/>
      </c>
      <c r="F947" t="inlineStr">
        <is>
          <t>B01MF4VUFZ</t>
        </is>
      </c>
      <c r="G947">
        <f>_xlfn.IMAGE("https://edmondsonsupply.com/cdn/shop/products/B11-039-2.jpg?v=1633030031")</f>
        <v/>
      </c>
      <c r="H947">
        <f>_xlfn.IMAGE("https://m.media-amazon.com/images/I/518XCsJPSyL._AC_UY218_.jpg")</f>
        <v/>
      </c>
      <c r="K947" t="inlineStr">
        <is>
          <t>3.49</t>
        </is>
      </c>
      <c r="L947" t="n">
        <v>18.25</v>
      </c>
      <c r="M947" s="1" t="inlineStr">
        <is>
          <t>422.92%</t>
        </is>
      </c>
      <c r="N947" s="7" t="n">
        <v>142.92</v>
      </c>
      <c r="O947" t="n">
        <v>5</v>
      </c>
      <c r="P947" t="n">
        <v>4</v>
      </c>
      <c r="R947" t="inlineStr">
        <is>
          <t>InStock</t>
        </is>
      </c>
      <c r="S947" t="inlineStr">
        <is>
          <t>undefined</t>
        </is>
      </c>
      <c r="T947" t="inlineStr">
        <is>
          <t>2632316715108</t>
        </is>
      </c>
    </row>
    <row r="948" ht="87" customHeight="1">
      <c r="A948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948" s="2">
        <f>HYPERLINK("https://edmondsonsupply.com/products/packard-c240a-contactor-2-pole-40-amps-24-coil-voltage", "https://edmondsonsupply.com/products/packard-c240a-contactor-2-pole-40-amps-24-coil-voltage")</f>
        <v/>
      </c>
      <c r="C948" t="inlineStr">
        <is>
          <t>Packard C240A Contactor 2 Pole 40 AMPS 24 Coil Voltage</t>
        </is>
      </c>
      <c r="D948" t="inlineStr">
        <is>
          <t>(3-pack) Packard C240B Packard Contactor 2 Pole 40 Amps 120 Coil Voltage</t>
        </is>
      </c>
      <c r="E948" s="2">
        <f>HYPERLINK("https://www.amazon.com/3-pack-Packard-C240B-Contactor-Voltage/dp/B01AFWC8UC/ref=sr_1_7?keywords=Packard+C240A+Contactor+2+Pole+40+AMPS+24+Coil+Voltage&amp;qid=1694734591&amp;sr=8-7", "https://www.amazon.com/3-pack-Packard-C240B-Contactor-Voltage/dp/B01AFWC8UC/ref=sr_1_7?keywords=Packard+C240A+Contactor+2+Pole+40+AMPS+24+Coil+Voltage&amp;qid=1694734591&amp;sr=8-7")</f>
        <v/>
      </c>
      <c r="F948" t="inlineStr">
        <is>
          <t>B01AFWC8UC</t>
        </is>
      </c>
      <c r="G948">
        <f>_xlfn.IMAGE("https://edmondsonsupply.com/cdn/shop/products/C240A-1.jpg?v=1590239996")</f>
        <v/>
      </c>
      <c r="H948">
        <f>_xlfn.IMAGE("https://m.media-amazon.com/images/I/419VLLwWUML._AC_UY218_.jpg")</f>
        <v/>
      </c>
      <c r="K948" t="inlineStr">
        <is>
          <t>13.96</t>
        </is>
      </c>
      <c r="L948" t="n">
        <v>72.48999999999999</v>
      </c>
      <c r="M948" s="1" t="inlineStr">
        <is>
          <t>419.27%</t>
        </is>
      </c>
      <c r="N948" s="7" t="n">
        <v>141.27</v>
      </c>
      <c r="O948" t="n">
        <v>4.6</v>
      </c>
      <c r="P948" t="n">
        <v>2</v>
      </c>
      <c r="R948" t="inlineStr">
        <is>
          <t>InStock</t>
        </is>
      </c>
      <c r="S948" t="inlineStr">
        <is>
          <t>undefined</t>
        </is>
      </c>
      <c r="T948" t="inlineStr">
        <is>
          <t>4316288680036</t>
        </is>
      </c>
    </row>
    <row r="949" ht="87" customHeight="1">
      <c r="A949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949" s="2">
        <f>HYPERLINK("https://edmondsonsupply.com/products/klein-tools-32314-14-in-1-precision-screwdriver-nut-driver", "https://edmondsonsupply.com/products/klein-tools-32314-14-in-1-precision-screwdriver-nut-driver")</f>
        <v/>
      </c>
      <c r="C949" t="inlineStr">
        <is>
          <t>Klein Tools 32314 14-in-1 Precision Screwdriver/ Nut Driver</t>
        </is>
      </c>
      <c r="D949" t="inlineStr">
        <is>
          <t>Klein Tools 85148 Screwdriver Set with Magnetizer/Demagnetizer for Magnetic Tips &amp; 32314 Electronic Screwdriver, 14-in-1 with 8 Precision Tips, Slotted, Phillips</t>
        </is>
      </c>
      <c r="E949" s="2">
        <f>HYPERLINK("https://www.amazon.com/Klein-Tools-Screwdriver-Magnetizer-Demagnetizer/dp/B0CF2DTBCN/ref=sr_1_23?keywords=Klein+Tools+32314+14-in-1+Precision+Screwdriver%2F+Nut+Driver&amp;qid=1694734697&amp;sr=8-23", "https://www.amazon.com/Klein-Tools-Screwdriver-Magnetizer-Demagnetizer/dp/B0CF2DTBCN/ref=sr_1_23?keywords=Klein+Tools+32314+14-in-1+Precision+Screwdriver%2F+Nut+Driver&amp;qid=1694734697&amp;sr=8-23")</f>
        <v/>
      </c>
      <c r="F949" t="inlineStr">
        <is>
          <t>B0CF2DTBCN</t>
        </is>
      </c>
      <c r="G949">
        <f>_xlfn.IMAGE("https://edmondsonsupply.com/cdn/shop/products/32314.jpg?v=1646593726")</f>
        <v/>
      </c>
      <c r="H949">
        <f>_xlfn.IMAGE("https://m.media-amazon.com/images/I/51zJmEIr13L._AC_UL320_.jpg")</f>
        <v/>
      </c>
      <c r="K949" t="inlineStr">
        <is>
          <t>15.97</t>
        </is>
      </c>
      <c r="L949" t="n">
        <v>81.95999999999999</v>
      </c>
      <c r="M949" s="1" t="inlineStr">
        <is>
          <t>413.21%</t>
        </is>
      </c>
      <c r="N949" s="7" t="n">
        <v>140.82</v>
      </c>
      <c r="O949" t="n">
        <v>4.9</v>
      </c>
      <c r="P949" t="n">
        <v>1816</v>
      </c>
      <c r="R949" t="inlineStr">
        <is>
          <t>InStock</t>
        </is>
      </c>
      <c r="S949" t="inlineStr">
        <is>
          <t>22.38</t>
        </is>
      </c>
      <c r="T949" t="inlineStr">
        <is>
          <t>7626984947928</t>
        </is>
      </c>
    </row>
    <row r="950" ht="87" customHeight="1">
      <c r="A950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950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950" t="inlineStr">
        <is>
          <t>Holyoke Fittings 1055-12FPFH 3/4" Garden Hose Thread Fitting - Brass Nut Female to Female Pipe Swivel Adapter</t>
        </is>
      </c>
      <c r="D950" t="inlineStr">
        <is>
          <t>LitOrange (6 Pack Lead-Free Brass Garden Hose Threaded 3/4 to 1/2 NPT Fitting Connect, Green Thumb Quick Swivel Connector Adapter,Double Female Thread Size 3/4" x 1/2" NPT Pipe</t>
        </is>
      </c>
      <c r="E950" s="2">
        <f>HYPERLINK("https://www.amazon.com/Litorange-Industrial-Threaded-Fitting-Connector/dp/B07W1YRZDD/ref=sr_1_32?keywords=Holyoke+Fittings+1055-12FPFH+3%2F4%22+Garden+Hose+Thread+Fitting+-+Brass+Nut+Female+to+Female+Pipe+Swivel+Adapter&amp;qid=1694734917&amp;sr=8-32", "https://www.amazon.com/Litorange-Industrial-Threaded-Fitting-Connector/dp/B07W1YRZDD/ref=sr_1_32?keywords=Holyoke+Fittings+1055-12FPFH+3%2F4%22+Garden+Hose+Thread+Fitting+-+Brass+Nut+Female+to+Female+Pipe+Swivel+Adapter&amp;qid=1694734917&amp;sr=8-32")</f>
        <v/>
      </c>
      <c r="F950" t="inlineStr">
        <is>
          <t>B07W1YRZDD</t>
        </is>
      </c>
      <c r="G950">
        <f>_xlfn.IMAGE("https://edmondsonsupply.com/cdn/shop/files/1055-12FPFH_1.jpg?v=1686089478")</f>
        <v/>
      </c>
      <c r="H950">
        <f>_xlfn.IMAGE("https://m.media-amazon.com/images/I/61i8TrpzGOL._AC_UL320_.jpg")</f>
        <v/>
      </c>
      <c r="K950" t="inlineStr">
        <is>
          <t>4.29</t>
        </is>
      </c>
      <c r="L950" t="n">
        <v>21.99</v>
      </c>
      <c r="M950" s="1" t="inlineStr">
        <is>
          <t>412.59%</t>
        </is>
      </c>
      <c r="N950" s="7" t="n">
        <v>140.31</v>
      </c>
      <c r="O950" t="n">
        <v>4.5</v>
      </c>
      <c r="P950" t="n">
        <v>1421</v>
      </c>
      <c r="R950" t="inlineStr">
        <is>
          <t>InStock</t>
        </is>
      </c>
      <c r="S950" t="inlineStr">
        <is>
          <t>5.81</t>
        </is>
      </c>
      <c r="T950" t="inlineStr">
        <is>
          <t>8002208432344</t>
        </is>
      </c>
    </row>
    <row r="951" ht="87" customHeight="1">
      <c r="A951" s="2">
        <f>HYPERLINK("https://edmondsonsupply.com/collections/hvac/products/packard-prmj130-motor-start-capacitor-130-158-mfd-330-vac", "https://edmondsonsupply.com/collections/hvac/products/packard-prmj130-motor-start-capacitor-130-158-mfd-330-vac")</f>
        <v/>
      </c>
      <c r="B951" s="2">
        <f>HYPERLINK("https://edmondsonsupply.com/products/packard-prmj130-motor-start-capacitor-130-158-mfd-330-vac", "https://edmondsonsupply.com/products/packard-prmj130-motor-start-capacitor-130-158-mfd-330-vac")</f>
        <v/>
      </c>
      <c r="C951" t="inlineStr">
        <is>
          <t>Packard PRMJ130 Motor Start Capacitor 130-158 MFD 330 VAC</t>
        </is>
      </c>
      <c r="D951" t="inlineStr">
        <is>
          <t>Packard Motor Start Capacitor 135-162 uf MFD 330 Volt VAC, PRMJ135</t>
        </is>
      </c>
      <c r="E951" s="2">
        <f>HYPERLINK("https://www.amazon.com/Packard-Motor-Capacitor-135-162-PRMJ135/dp/B07FKSRJSW/ref=sr_1_5?keywords=Packard+PRMJ130+Motor+Start+Capacitor+130-158+MFD+330+VAC&amp;qid=1694734803&amp;sr=8-5", "https://www.amazon.com/Packard-Motor-Capacitor-135-162-PRMJ135/dp/B07FKSRJSW/ref=sr_1_5?keywords=Packard+PRMJ130+Motor+Start+Capacitor+130-158+MFD+330+VAC&amp;qid=1694734803&amp;sr=8-5")</f>
        <v/>
      </c>
      <c r="F951" t="inlineStr">
        <is>
          <t>B07FKSRJSW</t>
        </is>
      </c>
      <c r="G951">
        <f>_xlfn.IMAGE("https://edmondsonsupply.com/cdn/shop/products/PRMJ130-2.jpg?v=1587144436")</f>
        <v/>
      </c>
      <c r="H951">
        <f>_xlfn.IMAGE("https://m.media-amazon.com/images/I/31s6NjtEgLL._AC_UY218_.jpg")</f>
        <v/>
      </c>
      <c r="K951" t="inlineStr">
        <is>
          <t>3.9</t>
        </is>
      </c>
      <c r="L951" t="n">
        <v>19.99</v>
      </c>
      <c r="M951" s="1" t="inlineStr">
        <is>
          <t>412.56%</t>
        </is>
      </c>
      <c r="N951" s="7" t="n">
        <v>140.27</v>
      </c>
      <c r="O951" t="n">
        <v>4.5</v>
      </c>
      <c r="P951" t="n">
        <v>132</v>
      </c>
      <c r="R951" t="inlineStr">
        <is>
          <t>InStock</t>
        </is>
      </c>
      <c r="S951" t="inlineStr">
        <is>
          <t>undefined</t>
        </is>
      </c>
      <c r="T951" t="inlineStr">
        <is>
          <t>4432875946084</t>
        </is>
      </c>
    </row>
    <row r="952" hidden="1" ht="15.75" customHeight="1">
      <c r="A952" s="2">
        <f>HYPERLINK("https://edmondsonsupply.com/collections/hvac/products/packard-titan-pro-toc10-motor-run-capacitor-10-mfd-370-volt-oval", "https://edmondsonsupply.com/collections/hvac/products/packard-titan-pro-toc10-motor-run-capacitor-10-mfd-370-volt-oval")</f>
        <v/>
      </c>
      <c r="B952" s="2">
        <f>HYPERLINK("https://edmondsonsupply.com/products/packard-titan-pro-toc10-motor-run-capacitor-10-mfd-370-volt-oval", "https://edmondsonsupply.com/products/packard-titan-pro-toc10-motor-run-capacitor-10-mfd-370-volt-oval")</f>
        <v/>
      </c>
      <c r="C952" t="inlineStr">
        <is>
          <t>Packard Titan PRO TOC10 Motor Run Capacitor 10 MFD 370 Volt Oval</t>
        </is>
      </c>
      <c r="D952" t="inlineStr">
        <is>
          <t>Titan Pro Oval Motor Run Capacitor, 10 Microfarad Rating, 370-440VAC Voltage - TOCF10</t>
        </is>
      </c>
      <c r="E952" s="2">
        <f>HYPERLINK("https://www.amazon.com/Capacitor-Microfarad-Rating-370-440VAC-Voltage/dp/B08TTWXTVG/ref=sr_1_4?keywords=Packard+Titan+PRO+TOC10+Motor+Run+Capacitor+10+MFD+370+Volt+Oval&amp;qid=1694734594&amp;sr=8-4", "https://www.amazon.com/Capacitor-Microfarad-Rating-370-440VAC-Voltage/dp/B08TTWXTVG/ref=sr_1_4?keywords=Packard+Titan+PRO+TOC10+Motor+Run+Capacitor+10+MFD+370+Volt+Oval&amp;qid=1694734594&amp;sr=8-4")</f>
        <v/>
      </c>
      <c r="F952" t="inlineStr">
        <is>
          <t>B08TTWXTVG</t>
        </is>
      </c>
      <c r="G952">
        <f>_xludf.IMAGE("https://edmondsonsupply.com/cdn/shop/products/TOC10-2.jpg?v=1647209707")</f>
        <v/>
      </c>
      <c r="H952">
        <f>_xludf.IMAGE("https://m.media-amazon.com/images/I/61OqR2WJMrL._AC_UY218_.jpg")</f>
        <v/>
      </c>
      <c r="K952" t="inlineStr">
        <is>
          <t>2.22</t>
        </is>
      </c>
      <c r="L952" t="n">
        <v>11.34</v>
      </c>
      <c r="M952" s="1" t="inlineStr">
        <is>
          <t>410.81%</t>
        </is>
      </c>
      <c r="N952" s="1" t="n">
        <v>140.19</v>
      </c>
      <c r="O952" t="n">
        <v>4.8</v>
      </c>
      <c r="P952" t="n">
        <v>6</v>
      </c>
      <c r="R952" t="inlineStr">
        <is>
          <t>InStock</t>
        </is>
      </c>
      <c r="S952" t="inlineStr">
        <is>
          <t>undefined</t>
        </is>
      </c>
      <c r="T952" t="inlineStr">
        <is>
          <t>7634985910488</t>
        </is>
      </c>
    </row>
    <row r="953" ht="87" customHeight="1">
      <c r="A953" s="2">
        <f>HYPERLINK("https://edmondsonsupply.com/collections/hvac/products/wiha-tools-70486-6-piece-color-coded-magnetic-nut-setter-sae-set", "https://edmondsonsupply.com/collections/hvac/products/wiha-tools-70486-6-piece-color-coded-magnetic-nut-setter-sae-set")</f>
        <v/>
      </c>
      <c r="B953" s="2">
        <f>HYPERLINK("https://edmondsonsupply.com/products/wiha-tools-70486-6-piece-color-coded-magnetic-nut-setter-sae-set", "https://edmondsonsupply.com/products/wiha-tools-70486-6-piece-color-coded-magnetic-nut-setter-sae-set")</f>
        <v/>
      </c>
      <c r="C953" t="inlineStr">
        <is>
          <t>Wiha Tools 70486 6 Piece Color Coded Magnetic Nut Setter SAE Set</t>
        </is>
      </c>
      <c r="D953" t="inlineStr">
        <is>
          <t>Wiha 32095 Slotted and Phillips Insulated Screwdriver Set, 1000 Volt, 19 Piece &amp; 70486 | 6 Piece Color Coded Magnetic Nut Setter Set</t>
        </is>
      </c>
      <c r="E953" s="2">
        <f>HYPERLINK("https://www.amazon.com/Wiha-Phillips-Insulated-Screwdriver-Magnetic/dp/B0CB14SYQX/ref=sr_1_9?keywords=Wiha+Tools+70486+6+Piece+Color+Coded+Magnetic+Nut+Setter+SAE+Set&amp;qid=1694734870&amp;sr=8-9", "https://www.amazon.com/Wiha-Phillips-Insulated-Screwdriver-Magnetic/dp/B0CB14SYQX/ref=sr_1_9?keywords=Wiha+Tools+70486+6+Piece+Color+Coded+Magnetic+Nut+Setter+SAE+Set&amp;qid=1694734870&amp;sr=8-9")</f>
        <v/>
      </c>
      <c r="F953" t="inlineStr">
        <is>
          <t>B0CB14SYQX</t>
        </is>
      </c>
      <c r="G953">
        <f>_xlfn.IMAGE("https://edmondsonsupply.com/cdn/shop/files/yd5nbnqyuwli1mnwhztl_1000x_327efac2-5e06-44b8-a018-f96fc21e85ad.webp?v=1690908507")</f>
        <v/>
      </c>
      <c r="H953">
        <f>_xlfn.IMAGE("https://m.media-amazon.com/images/I/511D0NYOQgL._AC_UL320_.jpg")</f>
        <v/>
      </c>
      <c r="K953" t="inlineStr">
        <is>
          <t>39.98</t>
        </is>
      </c>
      <c r="L953" t="n">
        <v>203.7</v>
      </c>
      <c r="M953" s="1" t="inlineStr">
        <is>
          <t>409.50%</t>
        </is>
      </c>
      <c r="N953" s="7" t="n">
        <v>140.09</v>
      </c>
      <c r="O953" t="n">
        <v>4.8</v>
      </c>
      <c r="P953" t="n">
        <v>58</v>
      </c>
      <c r="R953" t="inlineStr">
        <is>
          <t>InStock</t>
        </is>
      </c>
      <c r="S953" t="inlineStr">
        <is>
          <t>57.18</t>
        </is>
      </c>
      <c r="T953" t="inlineStr">
        <is>
          <t>8023447011544</t>
        </is>
      </c>
    </row>
    <row r="954" ht="87" customHeight="1">
      <c r="A954" s="2">
        <f>HYPERLINK("https://edmondsonsupply.com/collections/hvac/products/klein-tools-69410-replacement-test-lead-set-right-angle", "https://edmondsonsupply.com/collections/hvac/products/klein-tools-69410-replacement-test-lead-set-right-angle")</f>
        <v/>
      </c>
      <c r="B954" s="2">
        <f>HYPERLINK("https://edmondsonsupply.com/products/klein-tools-69410-replacement-test-lead-set-right-angle", "https://edmondsonsupply.com/products/klein-tools-69410-replacement-test-lead-set-right-angle")</f>
        <v/>
      </c>
      <c r="C954" t="inlineStr">
        <is>
          <t>Klein Tools 69410 Replacement Test Lead Set, Right Angle</t>
        </is>
      </c>
      <c r="D954" t="inlineStr">
        <is>
          <t>Klein Tools MM720 Digital Multimeter, Auto-Ranging TRMS, Low Impedance (LOZ), 1000V AC/DC Voltage, 10A AC/DC Current, 60 MOhms Resistance,Orange/Black &amp; 69410 Replacement Test Lead Set, Right Angle</t>
        </is>
      </c>
      <c r="E954" s="2">
        <f>HYPERLINK("https://www.amazon.com/Klein-Tools-Auto-Ranging-MOhms-Resistance-Replacement/dp/B0C7QB94HG/ref=sr_1_4?keywords=Klein+Tools+69410+Replacement+Test+Lead+Set%2C+Right+Angle&amp;qid=1694734832&amp;sr=8-4", "https://www.amazon.com/Klein-Tools-Auto-Ranging-MOhms-Resistance-Replacement/dp/B0C7QB94HG/ref=sr_1_4?keywords=Klein+Tools+69410+Replacement+Test+Lead+Set%2C+Right+Angle&amp;qid=1694734832&amp;sr=8-4")</f>
        <v/>
      </c>
      <c r="F954" t="inlineStr">
        <is>
          <t>B0C7QB94HG</t>
        </is>
      </c>
      <c r="G954">
        <f>_xlfn.IMAGE("https://edmondsonsupply.com/cdn/shop/products/69410.jpg?v=1587143393")</f>
        <v/>
      </c>
      <c r="H954">
        <f>_xlfn.IMAGE("https://m.media-amazon.com/images/I/51iZGkiWnZL._AC_UY218_.jpg")</f>
        <v/>
      </c>
      <c r="K954" t="inlineStr">
        <is>
          <t>19.97</t>
        </is>
      </c>
      <c r="L954" t="n">
        <v>101.34</v>
      </c>
      <c r="M954" s="1" t="inlineStr">
        <is>
          <t>407.46%</t>
        </is>
      </c>
      <c r="N954" s="7" t="n">
        <v>140.06</v>
      </c>
      <c r="O954" t="n">
        <v>5</v>
      </c>
      <c r="P954" t="n">
        <v>1</v>
      </c>
      <c r="R954" t="inlineStr">
        <is>
          <t>InStock</t>
        </is>
      </c>
      <c r="S954" t="inlineStr">
        <is>
          <t>27.1</t>
        </is>
      </c>
      <c r="T954" t="inlineStr">
        <is>
          <t>4274171543652</t>
        </is>
      </c>
    </row>
    <row r="955" ht="87" customHeight="1">
      <c r="A955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955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955" t="inlineStr">
        <is>
          <t>Diablo Tools DMAPL4210 5/8 in. x 4 in. x 6 in. Rebar Demon™ SDS‑Plus 4‑Cutter Full Carbide Head Hammer Bit</t>
        </is>
      </c>
      <c r="D955" t="inlineStr">
        <is>
          <t>Diablo DMAMX1140 3/4 in. x 16 in. x 21 in. Rebar Demon™ SDS-Max 4-Cutter Full Carbide Head Hammer Bit</t>
        </is>
      </c>
      <c r="E955" s="2">
        <f>HYPERLINK("https://www.amazon.com/Diablo-SDS-Max-4-Cutter-Carbide-Hammer/dp/B089KWP4WK/ref=sr_1_36?keywords=Diablo+Tools+DMAPL4210+5%2F8+in.+x+4+in.+x+6+in.+Rebar+Demon%E2%84%A2+SDS%E2%80%91Plus+4%E2%80%91Cutter+Full+Carbide+Head+Hammer+Bit&amp;qid=1694734723&amp;sr=8-36", "https://www.amazon.com/Diablo-SDS-Max-4-Cutter-Carbide-Hammer/dp/B089KWP4WK/ref=sr_1_36?keywords=Diablo+Tools+DMAPL4210+5%2F8+in.+x+4+in.+x+6+in.+Rebar+Demon%E2%84%A2+SDS%E2%80%91Plus+4%E2%80%91Cutter+Full+Carbide+Head+Hammer+Bit&amp;qid=1694734723&amp;sr=8-36")</f>
        <v/>
      </c>
      <c r="F955" t="inlineStr">
        <is>
          <t>B089KWP4WK</t>
        </is>
      </c>
      <c r="G955">
        <f>_xlfn.IMAGE("https://edmondsonsupply.com/cdn/shop/products/DMAPL4210_Main-Image20200701.png?v=1633030426")</f>
        <v/>
      </c>
      <c r="H955">
        <f>_xlfn.IMAGE("https://m.media-amazon.com/images/I/61yWWNP1xrL._AC_UL320_.jpg")</f>
        <v/>
      </c>
      <c r="K955" t="inlineStr">
        <is>
          <t>9.97</t>
        </is>
      </c>
      <c r="L955" t="n">
        <v>50.26</v>
      </c>
      <c r="M955" s="1" t="inlineStr">
        <is>
          <t>404.11%</t>
        </is>
      </c>
      <c r="N955" s="7" t="n">
        <v>138.5</v>
      </c>
      <c r="O955" t="n">
        <v>5</v>
      </c>
      <c r="P955" t="n">
        <v>9</v>
      </c>
      <c r="R955" t="inlineStr">
        <is>
          <t>InStock</t>
        </is>
      </c>
      <c r="S955" t="inlineStr">
        <is>
          <t>13.77</t>
        </is>
      </c>
      <c r="T955" t="inlineStr">
        <is>
          <t>5326920482984</t>
        </is>
      </c>
    </row>
    <row r="956" ht="87" customHeight="1">
      <c r="A956" s="2">
        <f>HYPERLINK("https://edmondsonsupply.com/collections/hvac/products/solderweld-sw-alcu5k-al-cop-braze-aluminum-to-copper-brazing-rod-flux-core-5-rod-pack", "https://edmondsonsupply.com/collections/hvac/products/solderweld-sw-alcu5k-al-cop-braze-aluminum-to-copper-brazing-rod-flux-core-5-rod-pack")</f>
        <v/>
      </c>
      <c r="B956" s="2">
        <f>HYPERLINK("https://edmondsonsupply.com/products/solderweld-sw-alcu5k-al-cop-braze-aluminum-to-copper-brazing-rod-flux-core-5-rod-pack", "https://edmondsonsupply.com/products/solderweld-sw-alcu5k-al-cop-braze-aluminum-to-copper-brazing-rod-flux-core-5-rod-pack")</f>
        <v/>
      </c>
      <c r="C956" t="inlineStr">
        <is>
          <t>SolderWeld SW-AlCu5K Al-Cop Braze - Aluminum to Copper Brazing Rod - Flux Core, 5 Rod Pack</t>
        </is>
      </c>
      <c r="D956" t="inlineStr">
        <is>
          <t>Solderweld SW-HVAK00 Brazing Pack with Carrying Case includes 56% 0% Braze Rods Al-Cop Aluminum to Copper - Alloy Sol Repair Solder Rods Rods and Flux</t>
        </is>
      </c>
      <c r="E956" s="2">
        <f>HYPERLINK("https://www.amazon.com/Solderweld-SW-HVAK00-Brazing-Carrying-Aluminum/dp/B0B788V9X5/ref=sr_1_5?keywords=SolderWeld+SW-AlCu5K+Al-Cop+Braze+-+Aluminum+to+Copper+Brazing+Rod+-+Flux+Core%2C+5+Rod+Pack&amp;qid=1694734580&amp;sr=8-5", "https://www.amazon.com/Solderweld-SW-HVAK00-Brazing-Carrying-Aluminum/dp/B0B788V9X5/ref=sr_1_5?keywords=SolderWeld+SW-AlCu5K+Al-Cop+Braze+-+Aluminum+to+Copper+Brazing+Rod+-+Flux+Core%2C+5+Rod+Pack&amp;qid=1694734580&amp;sr=8-5")</f>
        <v/>
      </c>
      <c r="F956" t="inlineStr">
        <is>
          <t>B0B788V9X5</t>
        </is>
      </c>
      <c r="G956">
        <f>_xlfn.IMAGE("https://edmondsonsupply.com/cdn/shop/products/AlCopBraze_1024x1024_c03bc993-98ff-4fd2-9871-1a1e24a818d0.jpg?v=1633030235")</f>
        <v/>
      </c>
      <c r="H956">
        <f>_xlfn.IMAGE("https://m.media-amazon.com/images/I/71DJPsENWvL._AC_UL320_.jpg")</f>
        <v/>
      </c>
      <c r="K956" t="inlineStr">
        <is>
          <t>27.75</t>
        </is>
      </c>
      <c r="L956" t="n">
        <v>139.69</v>
      </c>
      <c r="M956" s="1" t="inlineStr">
        <is>
          <t>403.39%</t>
        </is>
      </c>
      <c r="N956" s="7" t="n">
        <v>138.5</v>
      </c>
      <c r="O956" t="n">
        <v>5</v>
      </c>
      <c r="P956" t="n">
        <v>2</v>
      </c>
      <c r="R956" t="inlineStr">
        <is>
          <t>InStock</t>
        </is>
      </c>
      <c r="S956" t="inlineStr">
        <is>
          <t>undefined</t>
        </is>
      </c>
      <c r="T956" t="inlineStr">
        <is>
          <t>4599315497060</t>
        </is>
      </c>
    </row>
    <row r="957" ht="87" customHeight="1">
      <c r="A957" s="2">
        <f>HYPERLINK("https://edmondsonsupply.com/collections/hvac/products/kroil-ks162-original-penetrant-aerosol-16oz-can", "https://edmondsonsupply.com/collections/hvac/products/kroil-ks162-original-penetrant-aerosol-16oz-can")</f>
        <v/>
      </c>
      <c r="B957" s="2">
        <f>HYPERLINK("https://edmondsonsupply.com/products/kroil-ks162-original-penetrant-aerosol-16oz-can", "https://edmondsonsupply.com/products/kroil-ks162-original-penetrant-aerosol-16oz-can")</f>
        <v/>
      </c>
      <c r="C957" t="inlineStr">
        <is>
          <t>Kroil KS162 Original Penetrant Aerosol 16.5oz can</t>
        </is>
      </c>
      <c r="D957" t="inlineStr">
        <is>
          <t>Kroil Original Penetrating Oil (Aerosol Spray-10oz Can-Case of 6) | Penetrant for Rusted Bolts, Metal, Hinges, Chains, Moving Parts | Rust, Corrosion Inhibitor (AZKS102C6)</t>
        </is>
      </c>
      <c r="E957" s="2">
        <f>HYPERLINK("https://www.amazon.com/Penetrating-Spray-10oz-Penetrant-Corrosion-AZKS102C6/dp/B08ZM4W7YT/ref=sr_1_6?keywords=Kroil+KS162+Original+Penetrant+Aerosol+16.5oz+can&amp;qid=1694734905&amp;sr=8-6", "https://www.amazon.com/Penetrating-Spray-10oz-Penetrant-Corrosion-AZKS102C6/dp/B08ZM4W7YT/ref=sr_1_6?keywords=Kroil+KS162+Original+Penetrant+Aerosol+16.5oz+can&amp;qid=1694734905&amp;sr=8-6")</f>
        <v/>
      </c>
      <c r="F957" t="inlineStr">
        <is>
          <t>B08ZM4W7YT</t>
        </is>
      </c>
      <c r="G957">
        <f>_xlfn.IMAGE("https://edmondsonsupply.com/cdn/shop/files/KS162.webp?v=1686779895")</f>
        <v/>
      </c>
      <c r="H957">
        <f>_xlfn.IMAGE("https://m.media-amazon.com/images/I/71shugOOErL._AC_UY218_.jpg")</f>
        <v/>
      </c>
      <c r="K957" t="inlineStr">
        <is>
          <t>27.89</t>
        </is>
      </c>
      <c r="L957" t="n">
        <v>139.99</v>
      </c>
      <c r="M957" s="1" t="inlineStr">
        <is>
          <t>401.94%</t>
        </is>
      </c>
      <c r="N957" s="7" t="n">
        <v>137.67</v>
      </c>
      <c r="O957" t="n">
        <v>5</v>
      </c>
      <c r="P957" t="n">
        <v>60</v>
      </c>
      <c r="R957" t="inlineStr">
        <is>
          <t>InStock</t>
        </is>
      </c>
      <c r="S957" t="inlineStr">
        <is>
          <t>32.0</t>
        </is>
      </c>
      <c r="T957" t="inlineStr">
        <is>
          <t>8005750685912</t>
        </is>
      </c>
    </row>
    <row r="958" ht="87" customHeight="1">
      <c r="A958" s="2">
        <f>HYPERLINK("https://edmondsonsupply.com/collections/hvac/products/kroil-ks162-original-penetrant-aerosol-16oz-can", "https://edmondsonsupply.com/collections/hvac/products/kroil-ks162-original-penetrant-aerosol-16oz-can")</f>
        <v/>
      </c>
      <c r="B958" s="2">
        <f>HYPERLINK("https://edmondsonsupply.com/products/kroil-ks162-original-penetrant-aerosol-16oz-can", "https://edmondsonsupply.com/products/kroil-ks162-original-penetrant-aerosol-16oz-can")</f>
        <v/>
      </c>
      <c r="C958" t="inlineStr">
        <is>
          <t>Kroil KS162 Original Penetrant Aerosol 16.5oz can</t>
        </is>
      </c>
      <c r="D958" t="inlineStr">
        <is>
          <t>Kroil Penetrating Oil with Silicone (Aerosol Spray-16.5oz Can-Case of 4) | Penetrant for Rusted Bolts, Metal | Lubricant for Hinges, Chains, Moving Parts (AZSK162C4)</t>
        </is>
      </c>
      <c r="E958" s="2">
        <f>HYPERLINK("https://www.amazon.com/Penetrating-Spray-16-5oz-Penetrant-Lubricant-AZSK162C4/dp/B08ZM7WM3Q/ref=sr_1_9?keywords=Kroil+KS162+Original+Penetrant+Aerosol+16.5oz+can&amp;qid=1694734905&amp;sr=8-9", "https://www.amazon.com/Penetrating-Spray-16-5oz-Penetrant-Lubricant-AZSK162C4/dp/B08ZM7WM3Q/ref=sr_1_9?keywords=Kroil+KS162+Original+Penetrant+Aerosol+16.5oz+can&amp;qid=1694734905&amp;sr=8-9")</f>
        <v/>
      </c>
      <c r="F958" t="inlineStr">
        <is>
          <t>B08ZM7WM3Q</t>
        </is>
      </c>
      <c r="G958">
        <f>_xlfn.IMAGE("https://edmondsonsupply.com/cdn/shop/files/KS162.webp?v=1686779895")</f>
        <v/>
      </c>
      <c r="H958">
        <f>_xlfn.IMAGE("https://m.media-amazon.com/images/I/71kvzFG-VeL._AC_UY218_.jpg")</f>
        <v/>
      </c>
      <c r="K958" t="inlineStr">
        <is>
          <t>27.89</t>
        </is>
      </c>
      <c r="L958" t="n">
        <v>139.99</v>
      </c>
      <c r="M958" s="1" t="inlineStr">
        <is>
          <t>401.94%</t>
        </is>
      </c>
      <c r="N958" s="7" t="n">
        <v>135.93</v>
      </c>
      <c r="O958" t="n">
        <v>5</v>
      </c>
      <c r="P958" t="n">
        <v>1</v>
      </c>
      <c r="R958" t="inlineStr">
        <is>
          <t>InStock</t>
        </is>
      </c>
      <c r="S958" t="inlineStr">
        <is>
          <t>32.0</t>
        </is>
      </c>
      <c r="T958" t="inlineStr">
        <is>
          <t>8005750685912</t>
        </is>
      </c>
    </row>
    <row r="959" ht="87" customHeight="1">
      <c r="A959" s="2">
        <f>HYPERLINK("https://edmondsonsupply.com/collections/hvac/products/klein-tools-mag2-magnetizer-demagnetizer", "https://edmondsonsupply.com/collections/hvac/products/klein-tools-mag2-magnetizer-demagnetizer")</f>
        <v/>
      </c>
      <c r="B959" s="2">
        <f>HYPERLINK("https://edmondsonsupply.com/products/klein-tools-mag2-magnetizer-demagnetizer", "https://edmondsonsupply.com/products/klein-tools-mag2-magnetizer-demagnetizer")</f>
        <v/>
      </c>
      <c r="C959" t="inlineStr">
        <is>
          <t>Klein Tools MAG2 Magnetizer / Demagnetizer</t>
        </is>
      </c>
      <c r="D959" t="inlineStr">
        <is>
          <t>Klein Tools 85146 Screwdriver Set with Magnetizer / Demagnetizer for Magnetic Tips 3 Slotted, 3 Phillips, Non-Slip Cushion Grip, 6-Piece</t>
        </is>
      </c>
      <c r="E959" s="2">
        <f>HYPERLINK("https://www.amazon.com/Klein-Tools-85146-Screwdriver-Demagnetizer/dp/B07W4LKR8D/ref=sr_1_22?keywords=Klein+Tools+MAG2+Magnetizer+%2F+Demagnetizer&amp;qid=1694734636&amp;sr=8-22", "https://www.amazon.com/Klein-Tools-85146-Screwdriver-Demagnetizer/dp/B07W4LKR8D/ref=sr_1_22?keywords=Klein+Tools+MAG2+Magnetizer+%2F+Demagnetizer&amp;qid=1694734636&amp;sr=8-22")</f>
        <v/>
      </c>
      <c r="F959" t="inlineStr">
        <is>
          <t>B07W4LKR8D</t>
        </is>
      </c>
      <c r="G959">
        <f>_xlfn.IMAGE("https://edmondsonsupply.com/cdn/shop/products/mag2.jpg?v=1587145008")</f>
        <v/>
      </c>
      <c r="H959">
        <f>_xlfn.IMAGE("https://m.media-amazon.com/images/I/61UOo0NmUkL._AC_UL320_.jpg")</f>
        <v/>
      </c>
      <c r="K959" t="inlineStr">
        <is>
          <t>9.97</t>
        </is>
      </c>
      <c r="L959" t="n">
        <v>49.99</v>
      </c>
      <c r="M959" s="1" t="inlineStr">
        <is>
          <t>401.40%</t>
        </is>
      </c>
      <c r="N959" s="7" t="n">
        <v>135.67</v>
      </c>
      <c r="O959" t="n">
        <v>4.9</v>
      </c>
      <c r="P959" t="n">
        <v>1806</v>
      </c>
      <c r="R959" t="inlineStr">
        <is>
          <t>InStock</t>
        </is>
      </c>
      <c r="S959" t="inlineStr">
        <is>
          <t>13.96</t>
        </is>
      </c>
      <c r="T959" t="inlineStr">
        <is>
          <t>1706086858852</t>
        </is>
      </c>
    </row>
    <row r="960" ht="87" customHeight="1">
      <c r="A960" s="2">
        <f>HYPERLINK("https://edmondsonsupply.com/collections/hvac/products/klein-tools-mag2-magnetizer-demagnetizer", "https://edmondsonsupply.com/collections/hvac/products/klein-tools-mag2-magnetizer-demagnetizer")</f>
        <v/>
      </c>
      <c r="B960" s="2">
        <f>HYPERLINK("https://edmondsonsupply.com/products/klein-tools-mag2-magnetizer-demagnetizer", "https://edmondsonsupply.com/products/klein-tools-mag2-magnetizer-demagnetizer")</f>
        <v/>
      </c>
      <c r="C960" t="inlineStr">
        <is>
          <t>Klein Tools MAG2 Magnetizer / Demagnetizer</t>
        </is>
      </c>
      <c r="D960" t="inlineStr">
        <is>
          <t>Klein Tools AEPJS2 Bluetooth Speaker, Wireless Portable Jobsite Speaker Plays Audio &amp; MAG2 Demagnetizer/Magnetizer for Screwdriver Bits and Tips, Makes Tools Magnetic</t>
        </is>
      </c>
      <c r="E960" s="2">
        <f>HYPERLINK("https://www.amazon.com/Klein-Tools-Demagnetizer-Magnetizer-Screwdriver/dp/B09Z918LTW/ref=sr_1_9?keywords=Klein+Tools+MAG2+Magnetizer+%2F+Demagnetizer&amp;qid=1694734636&amp;sr=8-9", "https://www.amazon.com/Klein-Tools-Demagnetizer-Magnetizer-Screwdriver/dp/B09Z918LTW/ref=sr_1_9?keywords=Klein+Tools+MAG2+Magnetizer+%2F+Demagnetizer&amp;qid=1694734636&amp;sr=8-9")</f>
        <v/>
      </c>
      <c r="F960" t="inlineStr">
        <is>
          <t>B09Z918LTW</t>
        </is>
      </c>
      <c r="G960">
        <f>_xlfn.IMAGE("https://edmondsonsupply.com/cdn/shop/products/mag2.jpg?v=1587145008")</f>
        <v/>
      </c>
      <c r="H960">
        <f>_xlfn.IMAGE("https://m.media-amazon.com/images/I/51W0D7+MmSL._AC_UL320_.jpg")</f>
        <v/>
      </c>
      <c r="K960" t="inlineStr">
        <is>
          <t>9.97</t>
        </is>
      </c>
      <c r="L960" t="n">
        <v>49.94</v>
      </c>
      <c r="M960" s="1" t="inlineStr">
        <is>
          <t>400.90%</t>
        </is>
      </c>
      <c r="N960" s="7" t="n">
        <v>135.67</v>
      </c>
      <c r="O960" t="n">
        <v>5</v>
      </c>
      <c r="P960" t="n">
        <v>2</v>
      </c>
      <c r="R960" t="inlineStr">
        <is>
          <t>InStock</t>
        </is>
      </c>
      <c r="S960" t="inlineStr">
        <is>
          <t>13.96</t>
        </is>
      </c>
      <c r="T960" t="inlineStr">
        <is>
          <t>1706086858852</t>
        </is>
      </c>
    </row>
    <row r="961" ht="87" customHeight="1">
      <c r="A961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961" s="2">
        <f>HYPERLINK("https://edmondsonsupply.com/products/klein-tools-65064-2-in-1-hex-head-screwdriver-1-4-5-16", "https://edmondsonsupply.com/products/klein-tools-65064-2-in-1-hex-head-screwdriver-1-4-5-16")</f>
        <v/>
      </c>
      <c r="C961" t="inlineStr">
        <is>
          <t>Klein Tools 65064 2-in-1 Nut Driver, Hex Head, 1/4-Inch and 5/16-Inch</t>
        </is>
      </c>
      <c r="D961" t="inlineStr">
        <is>
          <t>Klein Tools 635-6 Tool Set, Heavy Duty Magnetic Nut Drivers SAE Sizes 1/4, 5/16, 3/8, 7/16, 1/2, and 9/16-Inch Hex, 6-Inch, 6-Piece</t>
        </is>
      </c>
      <c r="E961" s="2">
        <f>HYPERLINK("https://www.amazon.com/Heavy-Duty-Driver-6-Piece-Klein-Tools/dp/B01DKNDHGM/ref=sr_1_33?keywords=Klein+Tools+65064+2-in-1+Nut+Driver%2C+Hex+Head%2C+1%2F4-Inch+and+5%2F16-Inch&amp;qid=1694734734&amp;sr=8-33", "https://www.amazon.com/Heavy-Duty-Driver-6-Piece-Klein-Tools/dp/B01DKNDHGM/ref=sr_1_33?keywords=Klein+Tools+65064+2-in-1+Nut+Driver%2C+Hex+Head%2C+1%2F4-Inch+and+5%2F16-Inch&amp;qid=1694734734&amp;sr=8-33")</f>
        <v/>
      </c>
      <c r="F961" t="inlineStr">
        <is>
          <t>B01DKNDHGM</t>
        </is>
      </c>
      <c r="G961">
        <f>_xlfn.IMAGE("https://edmondsonsupply.com/cdn/shop/products/65064.jpg?v=1587147719")</f>
        <v/>
      </c>
      <c r="H961">
        <f>_xlfn.IMAGE("https://m.media-amazon.com/images/I/61eypCy1RLL._AC_UL320_.jpg")</f>
        <v/>
      </c>
      <c r="K961" t="inlineStr">
        <is>
          <t>15.97</t>
        </is>
      </c>
      <c r="L961" t="n">
        <v>79.98999999999999</v>
      </c>
      <c r="M961" s="1" t="inlineStr">
        <is>
          <t>400.88%</t>
        </is>
      </c>
      <c r="N961" s="7" t="n">
        <v>135.67</v>
      </c>
      <c r="O961" t="n">
        <v>4.7</v>
      </c>
      <c r="P961" t="n">
        <v>943</v>
      </c>
      <c r="R961" t="inlineStr">
        <is>
          <t>InStock</t>
        </is>
      </c>
      <c r="S961" t="inlineStr">
        <is>
          <t>23.36</t>
        </is>
      </c>
      <c r="T961" t="inlineStr">
        <is>
          <t>1707342889060</t>
        </is>
      </c>
    </row>
    <row r="962" ht="87" customHeight="1">
      <c r="A962" s="2">
        <f>HYPERLINK("https://edmondsonsupply.com/collections/hvac/products/kroil-ks102-original-penetrant-aerosol-10oz-can", "https://edmondsonsupply.com/collections/hvac/products/kroil-ks102-original-penetrant-aerosol-10oz-can")</f>
        <v/>
      </c>
      <c r="B962" s="2">
        <f>HYPERLINK("https://edmondsonsupply.com/products/kroil-ks102-original-penetrant-aerosol-10oz-can", "https://edmondsonsupply.com/products/kroil-ks102-original-penetrant-aerosol-10oz-can")</f>
        <v/>
      </c>
      <c r="C962" t="inlineStr">
        <is>
          <t>Kroil KS102 Original Penetrant Aerosol 10oz can</t>
        </is>
      </c>
      <c r="D962" t="inlineStr">
        <is>
          <t>Kroil Penetrating Oil with Silicone (Aerosol Spray-10oz Can-Case of 4) | Penetrant for Rusted Bolts, Metal | Lubricant for Hinges, Chains, Moving Parts (AZSK102C4)</t>
        </is>
      </c>
      <c r="E962" s="2">
        <f>HYPERLINK("https://www.amazon.com/Penetrating-Spray-10oz-Penetrant-Lubricant-AZSK102C4/dp/B08ZM6ND3L/ref=sr_1_5?keywords=Kroil+KS102+Original+Penetrant+Aerosol+10oz+can&amp;qid=1694734906&amp;sr=8-5", "https://www.amazon.com/Penetrating-Spray-10oz-Penetrant-Lubricant-AZSK102C4/dp/B08ZM6ND3L/ref=sr_1_5?keywords=Kroil+KS102+Original+Penetrant+Aerosol+10oz+can&amp;qid=1694734906&amp;sr=8-5")</f>
        <v/>
      </c>
      <c r="F962" t="inlineStr">
        <is>
          <t>B08ZM6ND3L</t>
        </is>
      </c>
      <c r="G962">
        <f>_xlfn.IMAGE("https://edmondsonsupply.com/cdn/shop/files/KS102.webp?v=1686779653")</f>
        <v/>
      </c>
      <c r="H962">
        <f>_xlfn.IMAGE("https://m.media-amazon.com/images/I/71MJwRmkqzS._AC_UY218_.jpg")</f>
        <v/>
      </c>
      <c r="K962" t="inlineStr">
        <is>
          <t>19.98</t>
        </is>
      </c>
      <c r="L962" t="n">
        <v>99.98999999999999</v>
      </c>
      <c r="M962" s="1" t="inlineStr">
        <is>
          <t>400.45%</t>
        </is>
      </c>
      <c r="N962" s="7" t="n">
        <v>135.5</v>
      </c>
      <c r="O962" t="n">
        <v>4.5</v>
      </c>
      <c r="P962" t="n">
        <v>16</v>
      </c>
      <c r="R962" t="inlineStr">
        <is>
          <t>InStock</t>
        </is>
      </c>
      <c r="S962" t="inlineStr">
        <is>
          <t>22.9</t>
        </is>
      </c>
      <c r="T962" t="inlineStr">
        <is>
          <t>8005750391000</t>
        </is>
      </c>
    </row>
    <row r="963" ht="87" customHeight="1">
      <c r="A963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963" s="2">
        <f>HYPERLINK("https://edmondsonsupply.com/products/klein-tools-935dag-digital-angle-gauge-and-level", "https://edmondsonsupply.com/products/klein-tools-935dag-digital-angle-gauge-and-level")</f>
        <v/>
      </c>
      <c r="C963" t="inlineStr">
        <is>
          <t>Klein Tools 935DAG Digital Angle Gauge and Level</t>
        </is>
      </c>
      <c r="D963" t="inlineStr">
        <is>
          <t>Carhartt Legacy Tool Bag 18-Inch w/Molded Base, Carhartt Brown &amp; Klein Tools 935DAG Digital Electronic Level and Angle Gauge, Measures 0-90 and 0-180 Degree Ranges, Measures and Sets Angles</t>
        </is>
      </c>
      <c r="E963" s="2">
        <f>HYPERLINK("https://www.amazon.com/Carhartt-18-Inch-Digital-Electronic-Measures/dp/B0C9ZPF7K5/ref=sr_1_17?keywords=Klein+Tools+935DAG+Digital+Angle+Gauge+and+Level&amp;qid=1694734733&amp;sr=8-17", "https://www.amazon.com/Carhartt-18-Inch-Digital-Electronic-Measures/dp/B0C9ZPF7K5/ref=sr_1_17?keywords=Klein+Tools+935DAG+Digital+Angle+Gauge+and+Level&amp;qid=1694734733&amp;sr=8-17")</f>
        <v/>
      </c>
      <c r="F963" t="inlineStr">
        <is>
          <t>B0C9ZPF7K5</t>
        </is>
      </c>
      <c r="G963">
        <f>_xlfn.IMAGE("https://edmondsonsupply.com/cdn/shop/products/935dag.jpg?v=1587145032")</f>
        <v/>
      </c>
      <c r="H963">
        <f>_xlfn.IMAGE("https://m.media-amazon.com/images/I/51-1vfKbW2L._AC_UL320_.jpg")</f>
        <v/>
      </c>
      <c r="K963" t="inlineStr">
        <is>
          <t>29.97</t>
        </is>
      </c>
      <c r="L963" t="n">
        <v>149.96</v>
      </c>
      <c r="M963" s="1" t="inlineStr">
        <is>
          <t>400.37%</t>
        </is>
      </c>
      <c r="N963" s="7" t="n">
        <v>134.85</v>
      </c>
      <c r="O963" t="n">
        <v>5</v>
      </c>
      <c r="P963" t="n">
        <v>1</v>
      </c>
      <c r="R963" t="inlineStr">
        <is>
          <t>InStock</t>
        </is>
      </c>
      <c r="S963" t="inlineStr">
        <is>
          <t>45.0</t>
        </is>
      </c>
      <c r="T963" t="inlineStr">
        <is>
          <t>4167487094884</t>
        </is>
      </c>
    </row>
    <row r="964" ht="87" customHeight="1">
      <c r="A964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964" s="2">
        <f>HYPERLINK("https://edmondsonsupply.com/products/klein-tools-32314-14-in-1-precision-screwdriver-nut-driver", "https://edmondsonsupply.com/products/klein-tools-32314-14-in-1-precision-screwdriver-nut-driver")</f>
        <v/>
      </c>
      <c r="C964" t="inlineStr">
        <is>
          <t>Klein Tools 32314 14-in-1 Precision Screwdriver/ Nut Driver</t>
        </is>
      </c>
      <c r="D964" t="inlineStr">
        <is>
          <t>KNIPEX Tools - 2 Piece Cobra Pliers Set &amp; Klein Tools 32314 Electronic Screwdriver, 14-in-1 with 8 Precision Tips, Slotted, Phillips, and Tamperproof TORX Bits, 6 Precision Nut Drivers</t>
        </is>
      </c>
      <c r="E964" s="2">
        <f>HYPERLINK("https://www.amazon.com/KNIPEX-Tools-Screwdriver-14-Tamperproof/dp/B0B68DZ39K/ref=sr_1_5?keywords=Klein+Tools+32314+14-in-1+Precision+Screwdriver%2F+Nut+Driver&amp;qid=1694734697&amp;sr=8-5", "https://www.amazon.com/KNIPEX-Tools-Screwdriver-14-Tamperproof/dp/B0B68DZ39K/ref=sr_1_5?keywords=Klein+Tools+32314+14-in-1+Precision+Screwdriver%2F+Nut+Driver&amp;qid=1694734697&amp;sr=8-5")</f>
        <v/>
      </c>
      <c r="F964" t="inlineStr">
        <is>
          <t>B0B68DZ39K</t>
        </is>
      </c>
      <c r="G964">
        <f>_xlfn.IMAGE("https://edmondsonsupply.com/cdn/shop/products/32314.jpg?v=1646593726")</f>
        <v/>
      </c>
      <c r="H964">
        <f>_xlfn.IMAGE("https://m.media-amazon.com/images/I/41JvIFqr2hL._AC_UL320_.jpg")</f>
        <v/>
      </c>
      <c r="K964" t="inlineStr">
        <is>
          <t>15.97</t>
        </is>
      </c>
      <c r="L964" t="n">
        <v>79.90000000000001</v>
      </c>
      <c r="M964" s="1" t="inlineStr">
        <is>
          <t>400.31%</t>
        </is>
      </c>
      <c r="N964" s="7" t="n">
        <v>134.77</v>
      </c>
      <c r="O964" t="n">
        <v>4.9</v>
      </c>
      <c r="P964" t="n">
        <v>2248</v>
      </c>
      <c r="R964" t="inlineStr">
        <is>
          <t>InStock</t>
        </is>
      </c>
      <c r="S964" t="inlineStr">
        <is>
          <t>22.38</t>
        </is>
      </c>
      <c r="T964" t="inlineStr">
        <is>
          <t>7626984947928</t>
        </is>
      </c>
    </row>
    <row r="965" ht="87" customHeight="1">
      <c r="A965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965" s="2">
        <f>HYPERLINK("https://edmondsonsupply.com/products/klein-tools-610-stubby-nut-driver-set-1-1-2-inch-shafts-2-piece", "https://edmondsonsupply.com/products/klein-tools-610-stubby-nut-driver-set-1-1-2-inch-shafts-2-piece")</f>
        <v/>
      </c>
      <c r="C965" t="inlineStr">
        <is>
          <t>Klein Tools 610 Stubby Nut Driver Set 1-1/2-Inch Shafts 2-Piece</t>
        </is>
      </c>
      <c r="D965" t="inlineStr">
        <is>
          <t>Klein Tools 647M Tool Set, Magnetic Nut Drivers Sizes 3/16, 1/4, 5/16, 11/32, 3/8, 7/16, 1/2-Inch, 6-Inch Hollow Shafts, 7-Piece</t>
        </is>
      </c>
      <c r="E965" s="2">
        <f>HYPERLINK("https://www.amazon.com/Klein-Tools-647M-Magnetic-7-Piece/dp/B000MKIUYQ/ref=sr_1_24?keywords=Klein+Tools+610+Stubby+Nut+Driver+Set+1-1%2F2-Inch+Shafts+2-Piece&amp;qid=1694734809&amp;sr=8-24", "https://www.amazon.com/Klein-Tools-647M-Magnetic-7-Piece/dp/B000MKIUYQ/ref=sr_1_24?keywords=Klein+Tools+610+Stubby+Nut+Driver+Set+1-1%2F2-Inch+Shafts+2-Piece&amp;qid=1694734809&amp;sr=8-24")</f>
        <v/>
      </c>
      <c r="F965" t="inlineStr">
        <is>
          <t>B000MKIUYQ</t>
        </is>
      </c>
      <c r="G965">
        <f>_xlfn.IMAGE("https://edmondsonsupply.com/cdn/shop/products/610m_169714eb-6816-4f42-aa86-ea17ea5fcbbb.jpg?v=1633030110")</f>
        <v/>
      </c>
      <c r="H965">
        <f>_xlfn.IMAGE("https://m.media-amazon.com/images/I/61PNUE211uL._AC_UL320_.jpg")</f>
        <v/>
      </c>
      <c r="K965" t="inlineStr">
        <is>
          <t>15.99</t>
        </is>
      </c>
      <c r="L965" t="n">
        <v>79.98999999999999</v>
      </c>
      <c r="M965" s="1" t="inlineStr">
        <is>
          <t>400.25%</t>
        </is>
      </c>
      <c r="N965" s="7" t="n">
        <v>134.52</v>
      </c>
      <c r="O965" t="n">
        <v>4.8</v>
      </c>
      <c r="P965" t="n">
        <v>985</v>
      </c>
      <c r="R965" t="inlineStr">
        <is>
          <t>InStock</t>
        </is>
      </c>
      <c r="S965" t="inlineStr">
        <is>
          <t>24.26</t>
        </is>
      </c>
      <c r="T965" t="inlineStr">
        <is>
          <t>3671774855268</t>
        </is>
      </c>
    </row>
    <row r="966" ht="87" customHeight="1">
      <c r="A966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966" s="2">
        <f>HYPERLINK("https://edmondsonsupply.com/products/klein-tools-610-stubby-nut-driver-set-1-1-2-inch-shafts-2-piece", "https://edmondsonsupply.com/products/klein-tools-610-stubby-nut-driver-set-1-1-2-inch-shafts-2-piece")</f>
        <v/>
      </c>
      <c r="C966" t="inlineStr">
        <is>
          <t>Klein Tools 610 Stubby Nut Driver Set 1-1/2-Inch Shafts 2-Piece</t>
        </is>
      </c>
      <c r="D966" t="inlineStr">
        <is>
          <t>Klein Tools 635-6 Tool Set, Heavy Duty Magnetic Nut Drivers SAE Sizes 1/4, 5/16, 3/8, 7/16, 1/2, and 9/16-Inch Hex, 6-Inch, 6-Piece</t>
        </is>
      </c>
      <c r="E966" s="2">
        <f>HYPERLINK("https://www.amazon.com/Heavy-Duty-Driver-6-Piece-Klein-Tools/dp/B01DKNDHGM/ref=sr_1_16?keywords=Klein+Tools+610+Stubby+Nut+Driver+Set+1-1%2F2-Inch+Shafts+2-Piece&amp;qid=1694734809&amp;sr=8-16", "https://www.amazon.com/Heavy-Duty-Driver-6-Piece-Klein-Tools/dp/B01DKNDHGM/ref=sr_1_16?keywords=Klein+Tools+610+Stubby+Nut+Driver+Set+1-1%2F2-Inch+Shafts+2-Piece&amp;qid=1694734809&amp;sr=8-16")</f>
        <v/>
      </c>
      <c r="F966" t="inlineStr">
        <is>
          <t>B01DKNDHGM</t>
        </is>
      </c>
      <c r="G966">
        <f>_xlfn.IMAGE("https://edmondsonsupply.com/cdn/shop/products/610m_169714eb-6816-4f42-aa86-ea17ea5fcbbb.jpg?v=1633030110")</f>
        <v/>
      </c>
      <c r="H966">
        <f>_xlfn.IMAGE("https://m.media-amazon.com/images/I/61eypCy1RLL._AC_UL320_.jpg")</f>
        <v/>
      </c>
      <c r="K966" t="inlineStr">
        <is>
          <t>15.99</t>
        </is>
      </c>
      <c r="L966" t="n">
        <v>79.98999999999999</v>
      </c>
      <c r="M966" s="1" t="inlineStr">
        <is>
          <t>400.25%</t>
        </is>
      </c>
      <c r="N966" s="7" t="n">
        <v>133.81</v>
      </c>
      <c r="O966" t="n">
        <v>4.7</v>
      </c>
      <c r="P966" t="n">
        <v>943</v>
      </c>
      <c r="R966" t="inlineStr">
        <is>
          <t>InStock</t>
        </is>
      </c>
      <c r="S966" t="inlineStr">
        <is>
          <t>24.26</t>
        </is>
      </c>
      <c r="T966" t="inlineStr">
        <is>
          <t>3671774855268</t>
        </is>
      </c>
    </row>
    <row r="967" ht="87" customHeight="1">
      <c r="A967" s="2">
        <f>HYPERLINK("https://edmondsonsupply.com/collections/hvac/products/fresh-aire-uv-tuvp-er-pco-fresh-aire-uv-power-supply", "https://edmondsonsupply.com/collections/hvac/products/fresh-aire-uv-tuvp-er-pco-fresh-aire-uv-power-supply")</f>
        <v/>
      </c>
      <c r="B967" s="2">
        <f>HYPERLINK("https://edmondsonsupply.com/products/fresh-aire-uv-tuvp-er-pco-fresh-aire-uv-power-supply", "https://edmondsonsupply.com/products/fresh-aire-uv-tuvp-er-pco-fresh-aire-uv-power-supply")</f>
        <v/>
      </c>
      <c r="C967" t="inlineStr">
        <is>
          <t>Fresh-Aire UV TUVP-ER-PCO Fresh Aire UV Power Supply</t>
        </is>
      </c>
      <c r="D967" t="inlineStr">
        <is>
          <t>Fresh-Aire UV AHU Series Germicidal UV light system, Whole Home Air Purifier, Includes Two year Lamp and commercial grade power supply</t>
        </is>
      </c>
      <c r="E967" s="2">
        <f>HYPERLINK("https://www.amazon.com/Fresh-Aire-UV-Germicidal-Purifier-commercial/dp/B014MNU3BG/ref=sr_1_19?keywords=Fresh-Aire+UV+TUVP-ER-PCO+Fresh+Aire+UV+Power+Supply&amp;qid=1694734752&amp;sr=8-19", "https://www.amazon.com/Fresh-Aire-UV-Germicidal-Purifier-commercial/dp/B014MNU3BG/ref=sr_1_19?keywords=Fresh-Aire+UV+TUVP-ER-PCO+Fresh+Aire+UV+Power+Supply&amp;qid=1694734752&amp;sr=8-19")</f>
        <v/>
      </c>
      <c r="F967" t="inlineStr">
        <is>
          <t>B014MNU3BG</t>
        </is>
      </c>
      <c r="G967">
        <f>_xlfn.IMAGE("https://edmondsonsupply.com/cdn/shop/files/TUVP-ER-PCO.png?v=1692223340")</f>
        <v/>
      </c>
      <c r="H967">
        <f>_xlfn.IMAGE("https://m.media-amazon.com/images/I/71qtVfWwwxL._AC_UL320_.jpg")</f>
        <v/>
      </c>
      <c r="K967" t="inlineStr">
        <is>
          <t>77.22</t>
        </is>
      </c>
      <c r="L967" t="n">
        <v>385</v>
      </c>
      <c r="M967" s="1" t="inlineStr">
        <is>
          <t>398.58%</t>
        </is>
      </c>
      <c r="N967" s="7" t="n">
        <v>133.1</v>
      </c>
      <c r="O967" t="n">
        <v>5</v>
      </c>
      <c r="P967" t="n">
        <v>1</v>
      </c>
      <c r="R967" t="inlineStr">
        <is>
          <t>InStock</t>
        </is>
      </c>
      <c r="S967" t="inlineStr">
        <is>
          <t>undefined</t>
        </is>
      </c>
      <c r="T967" t="inlineStr">
        <is>
          <t>8028105605336</t>
        </is>
      </c>
    </row>
    <row r="968" ht="87" customHeight="1">
      <c r="A968" s="2">
        <f>HYPERLINK("https://edmondsonsupply.com/collections/hvac/products/nu-calgon-4291-18-nu-brite-aerosol-coil-cleaner", "https://edmondsonsupply.com/collections/hvac/products/nu-calgon-4291-18-nu-brite-aerosol-coil-cleaner")</f>
        <v/>
      </c>
      <c r="B968" s="2">
        <f>HYPERLINK("https://edmondsonsupply.com/products/nu-calgon-4291-18-nu-brite-aerosol-coil-cleaner", "https://edmondsonsupply.com/products/nu-calgon-4291-18-nu-brite-aerosol-coil-cleaner")</f>
        <v/>
      </c>
      <c r="C968" t="inlineStr">
        <is>
          <t>Nu-Calgon 4291-18 Nu-Brite Aerosol Coil Cleaner</t>
        </is>
      </c>
      <c r="D968" t="inlineStr">
        <is>
          <t>Nu Calgon 4291-18 Nu Brite Aerosol (Тhrее Расk)</t>
        </is>
      </c>
      <c r="E968" s="2">
        <f>HYPERLINK("https://www.amazon.com/Nu-Calgon-4291-18-Brite-Aerosol/dp/B07TYJJDKB/ref=sr_1_2?keywords=Nu-Calgon+4291-18+Nu-Brite+Aerosol+Coil+Cleaner&amp;qid=1694734638&amp;sr=8-2", "https://www.amazon.com/Nu-Calgon-4291-18-Brite-Aerosol/dp/B07TYJJDKB/ref=sr_1_2?keywords=Nu-Calgon+4291-18+Nu-Brite+Aerosol+Coil+Cleaner&amp;qid=1694734638&amp;sr=8-2")</f>
        <v/>
      </c>
      <c r="F968" t="inlineStr">
        <is>
          <t>B07TYJJDKB</t>
        </is>
      </c>
      <c r="G968">
        <f>_xlfn.IMAGE("https://edmondsonsupply.com/cdn/shop/products/4291-18.jpg?v=1658772777")</f>
        <v/>
      </c>
      <c r="H968">
        <f>_xlfn.IMAGE("https://m.media-amazon.com/images/I/41cvQ2V5MLL._AC_UL320_.jpg")</f>
        <v/>
      </c>
      <c r="K968" t="inlineStr">
        <is>
          <t>11.39</t>
        </is>
      </c>
      <c r="L968" t="n">
        <v>55.95</v>
      </c>
      <c r="M968" s="1" t="inlineStr">
        <is>
          <t>391.22%</t>
        </is>
      </c>
      <c r="N968" s="7" t="n">
        <v>132.94</v>
      </c>
      <c r="O968" t="n">
        <v>4.3</v>
      </c>
      <c r="P968" t="n">
        <v>34</v>
      </c>
      <c r="R968" t="inlineStr">
        <is>
          <t>InStock</t>
        </is>
      </c>
      <c r="S968" t="inlineStr">
        <is>
          <t>15.42</t>
        </is>
      </c>
      <c r="T968" t="inlineStr">
        <is>
          <t>7760576119000</t>
        </is>
      </c>
    </row>
    <row r="969" ht="87" customHeight="1">
      <c r="A969" s="2">
        <f>HYPERLINK("https://edmondsonsupply.com/collections/hvac/products/nu-calgon-4291-18-nu-brite-aerosol-coil-cleaner", "https://edmondsonsupply.com/collections/hvac/products/nu-calgon-4291-18-nu-brite-aerosol-coil-cleaner")</f>
        <v/>
      </c>
      <c r="B969" s="2">
        <f>HYPERLINK("https://edmondsonsupply.com/products/nu-calgon-4291-18-nu-brite-aerosol-coil-cleaner", "https://edmondsonsupply.com/products/nu-calgon-4291-18-nu-brite-aerosol-coil-cleaner")</f>
        <v/>
      </c>
      <c r="C969" t="inlineStr">
        <is>
          <t>Nu-Calgon 4291-18 Nu-Brite Aerosol Coil Cleaner</t>
        </is>
      </c>
      <c r="D969" t="inlineStr">
        <is>
          <t>Nu Calgon 4291-18 Nu Brite Aerosol (2 Pack)</t>
        </is>
      </c>
      <c r="E969" s="2">
        <f>HYPERLINK("https://www.amazon.com/Nu-Calgon-4291-18-Brite-Aerosol/dp/B07S1Y58FC/ref=sr_1_9?keywords=Nu-Calgon+4291-18+Nu-Brite+Aerosol+Coil+Cleaner&amp;qid=1694734638&amp;sr=8-9", "https://www.amazon.com/Nu-Calgon-4291-18-Brite-Aerosol/dp/B07S1Y58FC/ref=sr_1_9?keywords=Nu-Calgon+4291-18+Nu-Brite+Aerosol+Coil+Cleaner&amp;qid=1694734638&amp;sr=8-9")</f>
        <v/>
      </c>
      <c r="F969" t="inlineStr">
        <is>
          <t>B07S1Y58FC</t>
        </is>
      </c>
      <c r="G969">
        <f>_xlfn.IMAGE("https://edmondsonsupply.com/cdn/shop/products/4291-18.jpg?v=1658772777")</f>
        <v/>
      </c>
      <c r="H969">
        <f>_xlfn.IMAGE("https://m.media-amazon.com/images/I/61yL7LoEiaL._AC_UL320_.jpg")</f>
        <v/>
      </c>
      <c r="K969" t="inlineStr">
        <is>
          <t>11.39</t>
        </is>
      </c>
      <c r="L969" t="n">
        <v>55.82</v>
      </c>
      <c r="M969" s="1" t="inlineStr">
        <is>
          <t>390.08%</t>
        </is>
      </c>
      <c r="N969" s="7" t="n">
        <v>132.84</v>
      </c>
      <c r="O969" t="n">
        <v>5</v>
      </c>
      <c r="P969" t="n">
        <v>1</v>
      </c>
      <c r="R969" t="inlineStr">
        <is>
          <t>InStock</t>
        </is>
      </c>
      <c r="S969" t="inlineStr">
        <is>
          <t>15.42</t>
        </is>
      </c>
      <c r="T969" t="inlineStr">
        <is>
          <t>7760576119000</t>
        </is>
      </c>
    </row>
    <row r="970" ht="87" customHeight="1">
      <c r="A970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970" s="2">
        <f>HYPERLINK("https://edmondsonsupply.com/products/packard-pmj460-motor-start-capacitor-460-552-mfd-110-125-vac", "https://edmondsonsupply.com/products/packard-pmj460-motor-start-capacitor-460-552-mfd-110-125-vac")</f>
        <v/>
      </c>
      <c r="C970" t="inlineStr">
        <is>
          <t>Packard PMJ460 Motor Start Capacitor 460-552 MFD 110-125 VAC</t>
        </is>
      </c>
      <c r="D970" t="inlineStr">
        <is>
          <t>PTMJ460 - Packard Upgraded Replacement Motor Start Capacitor 460-552 MFD 220-250 Volt VAC</t>
        </is>
      </c>
      <c r="E970" s="2">
        <f>HYPERLINK("https://www.amazon.com/PTMJ460-Packard-Upgraded-Replacement-Capacitor/dp/B0773VHK69/ref=sr_1_4?keywords=Packard+PMJ460+Motor+Start+Capacitor+460-552+MFD+110-125+VAC&amp;qid=1694734651&amp;sr=8-4", "https://www.amazon.com/PTMJ460-Packard-Upgraded-Replacement-Capacitor/dp/B0773VHK69/ref=sr_1_4?keywords=Packard+PMJ460+Motor+Start+Capacitor+460-552+MFD+110-125+VAC&amp;qid=1694734651&amp;sr=8-4")</f>
        <v/>
      </c>
      <c r="F970" t="inlineStr">
        <is>
          <t>B0773VHK69</t>
        </is>
      </c>
      <c r="G970">
        <f>_xlfn.IMAGE("https://edmondsonsupply.com/cdn/shop/products/PMJ460-2.jpg?v=1633030333")</f>
        <v/>
      </c>
      <c r="H970">
        <f>_xlfn.IMAGE("https://m.media-amazon.com/images/I/41fqQrQgJaL._AC_UY218_.jpg")</f>
        <v/>
      </c>
      <c r="K970" t="inlineStr">
        <is>
          <t>5.06</t>
        </is>
      </c>
      <c r="L970" t="n">
        <v>24.7</v>
      </c>
      <c r="M970" s="1" t="inlineStr">
        <is>
          <t>388.14%</t>
        </is>
      </c>
      <c r="N970" s="7" t="n">
        <v>132.76</v>
      </c>
      <c r="O970" t="n">
        <v>5</v>
      </c>
      <c r="P970" t="n">
        <v>4</v>
      </c>
      <c r="R970" t="inlineStr">
        <is>
          <t>OutOfStock</t>
        </is>
      </c>
      <c r="S970" t="inlineStr">
        <is>
          <t>undefined</t>
        </is>
      </c>
      <c r="T970" t="inlineStr">
        <is>
          <t>5271944954024</t>
        </is>
      </c>
    </row>
    <row r="971" hidden="1" ht="15.75" customHeight="1">
      <c r="A971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971" s="2">
        <f>HYPERLINK("https://edmondsonsupply.com/products/packard-titan-pro-toc5-motor-run-capacitor-5-mfd-370-volt-oval", "https://edmondsonsupply.com/products/packard-titan-pro-toc5-motor-run-capacitor-5-mfd-370-volt-oval")</f>
        <v/>
      </c>
      <c r="C971" t="inlineStr">
        <is>
          <t>Packard Titan PRO TOC5 Motor Run Capacitor 5 MFD 370 Volt Oval</t>
        </is>
      </c>
      <c r="D971" t="inlineStr">
        <is>
          <t>Packard 10 MFD - 370 VAC Oval Motor Run Capacitor TOC10 HVAC Titan Pro</t>
        </is>
      </c>
      <c r="E971" s="2">
        <f>HYPERLINK("https://www.amazon.com/Packard-10-MFD-Motor-Capacitor/dp/B01KARDZTK/ref=sr_1_7?keywords=Packard+Titan+PRO+TOC5+Motor+Run+Capacitor+5+MFD+370+Volt+Oval&amp;qid=1694734593&amp;sr=8-7", "https://www.amazon.com/Packard-10-MFD-Motor-Capacitor/dp/B01KARDZTK/ref=sr_1_7?keywords=Packard+Titan+PRO+TOC5+Motor+Run+Capacitor+5+MFD+370+Volt+Oval&amp;qid=1694734593&amp;sr=8-7")</f>
        <v/>
      </c>
      <c r="F971" t="inlineStr">
        <is>
          <t>B01KARDZTK</t>
        </is>
      </c>
      <c r="G971">
        <f>_xludf.IMAGE("https://edmondsonsupply.com/cdn/shop/products/TOC5-2_cb7d381d-e381-4aa5-9246-56c19cd39747.jpg?v=1587146064")</f>
        <v/>
      </c>
      <c r="H971">
        <f>_xludf.IMAGE("https://m.media-amazon.com/images/I/715PjsYFipL._AC_UY218_.jpg")</f>
        <v/>
      </c>
      <c r="K971" t="inlineStr">
        <is>
          <t>1.84</t>
        </is>
      </c>
      <c r="L971" t="n">
        <v>8.960000000000001</v>
      </c>
      <c r="M971" s="1" t="inlineStr">
        <is>
          <t>386.96%</t>
        </is>
      </c>
      <c r="N971" s="1" t="n">
        <v>132.72</v>
      </c>
      <c r="O971" t="n">
        <v>4.5</v>
      </c>
      <c r="P971" t="n">
        <v>38</v>
      </c>
      <c r="R971" t="inlineStr">
        <is>
          <t>InStock</t>
        </is>
      </c>
      <c r="S971" t="inlineStr">
        <is>
          <t>undefined</t>
        </is>
      </c>
      <c r="T971" t="inlineStr">
        <is>
          <t>3597257539684</t>
        </is>
      </c>
    </row>
    <row r="972" ht="87" customHeight="1">
      <c r="A972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972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972" t="inlineStr">
        <is>
          <t>Diablo Tools DMAPL4210 5/8 in. x 4 in. x 6 in. Rebar Demon™ SDS‑Plus 4‑Cutter Full Carbide Head Hammer Bit</t>
        </is>
      </c>
      <c r="D972" t="inlineStr">
        <is>
          <t>Diablo DMAPL4310 1 in. x 16 in. x 18 in. Rebar Demon™ SDS-Plus 4-Cutter Full Carbide Head Hammer Bit</t>
        </is>
      </c>
      <c r="E972" s="2" t="n"/>
      <c r="F972" t="inlineStr">
        <is>
          <t>B089KX2VKR</t>
        </is>
      </c>
      <c r="G972">
        <f>_xlfn.IMAGE("https://edmondsonsupply.com/cdn/shop/products/DMAPL4210_Main-Image20200701.png?v=1633030426")</f>
        <v/>
      </c>
      <c r="H972">
        <f>_xlfn.IMAGE("https://m.media-amazon.com/images/I/61iwxfqG2VL._AC_UL320_.jpg")</f>
        <v/>
      </c>
      <c r="K972" t="inlineStr">
        <is>
          <t>9.97</t>
        </is>
      </c>
      <c r="L972" t="n">
        <v>48.49</v>
      </c>
      <c r="M972" s="1" t="inlineStr">
        <is>
          <t>386.36%</t>
        </is>
      </c>
      <c r="N972" s="7" t="n">
        <v>131.71</v>
      </c>
      <c r="O972" t="n">
        <v>4.5</v>
      </c>
      <c r="P972" t="n">
        <v>32</v>
      </c>
      <c r="R972" t="inlineStr">
        <is>
          <t>InStock</t>
        </is>
      </c>
      <c r="S972" t="inlineStr">
        <is>
          <t>13.77</t>
        </is>
      </c>
      <c r="T972" t="inlineStr">
        <is>
          <t>5326920482984</t>
        </is>
      </c>
    </row>
    <row r="973" hidden="1" ht="15.75" customHeight="1">
      <c r="A973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973" s="2">
        <f>HYPERLINK("https://edmondsonsupply.com/products/klein-tools-3005cr-ratcheting-crimper-10-22-awg", "https://edmondsonsupply.com/products/klein-tools-3005cr-ratcheting-crimper-10-22-awg")</f>
        <v/>
      </c>
      <c r="C973" t="inlineStr">
        <is>
          <t>Klein Tools 3005CR Ratcheting Crimper, 10-22 AWG - Insulated Terminals</t>
        </is>
      </c>
      <c r="D973" t="inlineStr">
        <is>
          <t>Klein Tools T1715 Insulated Crimper, Full Cycle Ratcheting, Insulated Terminals in Wires 22-16, 16-14, 12-10</t>
        </is>
      </c>
      <c r="E973" s="2">
        <f>HYPERLINK("https://www.amazon.com/Insulated-Ratcheting-Klein-Tools-T1715/dp/B0002RIA4E/ref=sr_1_28?keywords=Klein+Tools+3005CR+Ratcheting+Crimper%2C+10-22+AWG+-+Insulated+Terminals&amp;qid=1694734673&amp;sr=8-28", "https://www.amazon.com/Insulated-Ratcheting-Klein-Tools-T1715/dp/B0002RIA4E/ref=sr_1_28?keywords=Klein+Tools+3005CR+Ratcheting+Crimper%2C+10-22+AWG+-+Insulated+Terminals&amp;qid=1694734673&amp;sr=8-28")</f>
        <v/>
      </c>
      <c r="F973" t="inlineStr">
        <is>
          <t>B0002RIA4E</t>
        </is>
      </c>
      <c r="G973">
        <f>_xludf.IMAGE("https://edmondsonsupply.com/cdn/shop/products/3005cr.jpg?v=1587146892")</f>
        <v/>
      </c>
      <c r="H973">
        <f>_xludf.IMAGE("https://m.media-amazon.com/images/I/41TxUcfsK2L._AC_UL320_.jpg")</f>
        <v/>
      </c>
      <c r="K973" t="inlineStr">
        <is>
          <t>29.97</t>
        </is>
      </c>
      <c r="L973" t="n">
        <v>145.49</v>
      </c>
      <c r="M973" s="1" t="inlineStr">
        <is>
          <t>385.45%</t>
        </is>
      </c>
      <c r="N973" s="1" t="n">
        <v>131.31</v>
      </c>
      <c r="O973" t="n">
        <v>4</v>
      </c>
      <c r="P973" t="n">
        <v>28</v>
      </c>
      <c r="R973" t="inlineStr">
        <is>
          <t>InStock</t>
        </is>
      </c>
      <c r="S973" t="inlineStr">
        <is>
          <t>42.9</t>
        </is>
      </c>
      <c r="T973" t="inlineStr">
        <is>
          <t>3699388907620</t>
        </is>
      </c>
    </row>
    <row r="974" ht="87" customHeight="1">
      <c r="A974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974" s="2">
        <f>HYPERLINK("https://edmondsonsupply.com/products/packard-prmj108-motor-start-capacitor-108-130-mfd-330-volt", "https://edmondsonsupply.com/products/packard-prmj108-motor-start-capacitor-108-130-mfd-330-volt")</f>
        <v/>
      </c>
      <c r="C974" t="inlineStr">
        <is>
          <t>Packard PRMJ108 Motor Start Capacitor 108-130 MFD 330 Volt</t>
        </is>
      </c>
      <c r="D974" t="inlineStr">
        <is>
          <t>BlueStars 2 Packs 108-130 uf/MFD 110-125 VAC ±20% Volts Round Start Capacitor 50/60 Hz AC Electric Replacement Part - Exact Fit for Single-Phase Electric Motors</t>
        </is>
      </c>
      <c r="E974" s="2">
        <f>HYPERLINK("https://www.amazon.com/BlueStars-108-130-Capacitor-Electric-Replacement/dp/B0C2CTGWJ8/ref=sr_1_16?keywords=Packard+PRMJ108+Motor+Start+Capacitor+108-130+MFD+330+Volt&amp;qid=1694734796&amp;sr=8-16", "https://www.amazon.com/BlueStars-108-130-Capacitor-Electric-Replacement/dp/B0C2CTGWJ8/ref=sr_1_16?keywords=Packard+PRMJ108+Motor+Start+Capacitor+108-130+MFD+330+Volt&amp;qid=1694734796&amp;sr=8-16")</f>
        <v/>
      </c>
      <c r="F974" t="inlineStr">
        <is>
          <t>B0C2CTGWJ8</t>
        </is>
      </c>
      <c r="G974">
        <f>_xlfn.IMAGE("https://edmondsonsupply.com/cdn/shop/products/PRMJ108-2.jpg?v=1633030309")</f>
        <v/>
      </c>
      <c r="H974">
        <f>_xlfn.IMAGE("https://m.media-amazon.com/images/I/81omF63dGJL._AC_UY218_.jpg")</f>
        <v/>
      </c>
      <c r="K974" t="inlineStr">
        <is>
          <t>4.39</t>
        </is>
      </c>
      <c r="L974" t="n">
        <v>20.99</v>
      </c>
      <c r="M974" s="1" t="inlineStr">
        <is>
          <t>378.13%</t>
        </is>
      </c>
      <c r="N974" s="7" t="n">
        <v>131.13</v>
      </c>
      <c r="O974" t="n">
        <v>5</v>
      </c>
      <c r="P974" t="n">
        <v>2</v>
      </c>
      <c r="R974" t="inlineStr">
        <is>
          <t>InStock</t>
        </is>
      </c>
      <c r="S974" t="inlineStr">
        <is>
          <t>undefined</t>
        </is>
      </c>
      <c r="T974" t="inlineStr">
        <is>
          <t>5241928319144</t>
        </is>
      </c>
    </row>
    <row r="975" hidden="1" ht="15.75" customHeight="1">
      <c r="A975" s="2">
        <f>HYPERLINK("https://edmondsonsupply.com/collections/hvac/products/holyoke-fittings-41fpsw-4-1-4-swivel-forged-nut", "https://edmondsonsupply.com/collections/hvac/products/holyoke-fittings-41fpsw-4-1-4-swivel-forged-nut")</f>
        <v/>
      </c>
      <c r="B975" s="2">
        <f>HYPERLINK("https://edmondsonsupply.com/products/holyoke-fittings-41fpsw-4-1-4-swivel-forged-nut", "https://edmondsonsupply.com/products/holyoke-fittings-41fpsw-4-1-4-swivel-forged-nut")</f>
        <v/>
      </c>
      <c r="C975" t="inlineStr">
        <is>
          <t>Holyoke Fittings 41FPSW-4 1/4" Swivel Forged Flare Nut</t>
        </is>
      </c>
      <c r="D975" t="inlineStr">
        <is>
          <t>Highcraft G41GT-14-10 Forged Brass Short Nut for Flare Pipe Fittings 1/4" O.D. Connection (Pack of 10)</t>
        </is>
      </c>
      <c r="E975" s="2">
        <f>HYPERLINK("https://www.amazon.com/Highcraft-G41GT-14-10-Forged-Fittings-Connection/dp/B09JTTYXCY/ref=sr_1_4?keywords=Holyoke+Fittings+41FPSW-4+1%2F4%22+Swivel+Forged+Flare+Nut&amp;qid=1694734893&amp;sr=8-4", "https://www.amazon.com/Highcraft-G41GT-14-10-Forged-Fittings-Connection/dp/B09JTTYXCY/ref=sr_1_4?keywords=Holyoke+Fittings+41FPSW-4+1%2F4%22+Swivel+Forged+Flare+Nut&amp;qid=1694734893&amp;sr=8-4")</f>
        <v/>
      </c>
      <c r="F975" t="inlineStr">
        <is>
          <t>B09JTTYXCY</t>
        </is>
      </c>
      <c r="G975">
        <f>_xludf.IMAGE("https://edmondsonsupply.com/cdn/shop/files/41FPSW.jpg?v=1687988341")</f>
        <v/>
      </c>
      <c r="H975">
        <f>_xludf.IMAGE("https://m.media-amazon.com/images/I/71wOkzziXwL._AC_UL320_.jpg")</f>
        <v/>
      </c>
      <c r="K975" t="inlineStr">
        <is>
          <t>2.88</t>
        </is>
      </c>
      <c r="L975" t="n">
        <v>13.77</v>
      </c>
      <c r="M975" s="1" t="inlineStr">
        <is>
          <t>378.13%</t>
        </is>
      </c>
      <c r="N975" s="1" t="n">
        <v>130.69</v>
      </c>
      <c r="O975" t="n">
        <v>5</v>
      </c>
      <c r="P975" t="n">
        <v>3</v>
      </c>
      <c r="R975" t="inlineStr">
        <is>
          <t>InStock</t>
        </is>
      </c>
      <c r="S975" t="inlineStr">
        <is>
          <t>5.64</t>
        </is>
      </c>
      <c r="T975" t="inlineStr">
        <is>
          <t>8010851418328</t>
        </is>
      </c>
    </row>
    <row r="976" ht="87" customHeight="1">
      <c r="A976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976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976" t="inlineStr">
        <is>
          <t>Klein Tools 70550 Pro Folding Hex Key Set, 11-Key, SAE Sizes</t>
        </is>
      </c>
      <c r="D976" t="inlineStr">
        <is>
          <t>Klein Tools 55421BP14CAMO Tool Bag Backpack &amp; 70550 Hex Key Set, 11 SAE Sizes, Heavy Duty Folding Allen Wrench Tool with Extra Long Hex Keys</t>
        </is>
      </c>
      <c r="E976" s="2">
        <f>HYPERLINK("https://www.amazon.com/Klein-Tools-55421BP14CAMO-Backpack-Folding/dp/B0BD41LXPQ/ref=sr_1_7?keywords=Klein+Tools+70550+Pro+Folding+Hex+Key+Set%2C+11-Key%2C+SAE+Sizes&amp;qid=1694734808&amp;sr=8-7", "https://www.amazon.com/Klein-Tools-55421BP14CAMO-Backpack-Folding/dp/B0BD41LXPQ/ref=sr_1_7?keywords=Klein+Tools+70550+Pro+Folding+Hex+Key+Set%2C+11-Key%2C+SAE+Sizes&amp;qid=1694734808&amp;sr=8-7")</f>
        <v/>
      </c>
      <c r="F976" t="inlineStr">
        <is>
          <t>B0BD41LXPQ</t>
        </is>
      </c>
      <c r="G976">
        <f>_xlfn.IMAGE("https://edmondsonsupply.com/cdn/shop/products/70550.jpg?v=1587145237")</f>
        <v/>
      </c>
      <c r="H976">
        <f>_xlfn.IMAGE("https://m.media-amazon.com/images/I/51DXMpuvCmL._AC_UL320_.jpg")</f>
        <v/>
      </c>
      <c r="K976" t="inlineStr">
        <is>
          <t>19.97</t>
        </is>
      </c>
      <c r="L976" t="n">
        <v>94.97</v>
      </c>
      <c r="M976" s="1" t="inlineStr">
        <is>
          <t>375.56%</t>
        </is>
      </c>
      <c r="N976" s="7" t="n">
        <v>130.5</v>
      </c>
      <c r="O976" t="n">
        <v>4.4</v>
      </c>
      <c r="P976" t="n">
        <v>5</v>
      </c>
      <c r="R976" t="inlineStr">
        <is>
          <t>InStock</t>
        </is>
      </c>
      <c r="S976" t="inlineStr">
        <is>
          <t>27.18</t>
        </is>
      </c>
      <c r="T976" t="inlineStr">
        <is>
          <t>3693538082916</t>
        </is>
      </c>
    </row>
    <row r="977" ht="87" customHeight="1">
      <c r="A977" s="2">
        <f>HYPERLINK("https://edmondsonsupply.com/collections/hvac/products/malco-tools-12f-12-inch-sheet-metal-folding-tool", "https://edmondsonsupply.com/collections/hvac/products/malco-tools-12f-12-inch-sheet-metal-folding-tool")</f>
        <v/>
      </c>
      <c r="B977" s="2">
        <f>HYPERLINK("https://edmondsonsupply.com/products/malco-tools-12f-12-inch-sheet-metal-folding-tool", "https://edmondsonsupply.com/products/malco-tools-12f-12-inch-sheet-metal-folding-tool")</f>
        <v/>
      </c>
      <c r="C977" t="inlineStr">
        <is>
          <t>Malco Tools 12F 12-Inch Sheet Metal Folding Tool</t>
        </is>
      </c>
      <c r="D977" t="inlineStr">
        <is>
          <t>Malco TS1 Turbo Shear 20 Gauge Capacity Sheet Metal Cutting Attachment &amp; 12F 12 in. Folding Tool, Multi</t>
        </is>
      </c>
      <c r="E977" s="2">
        <f>HYPERLINK("https://www.amazon.com/Malco-Capacity-Cutting-Attachment-Folding/dp/B0BD3XBZKC/ref=sr_1_2?keywords=Malco+Tools+12F+12-Inch+Sheet+Metal+Folding+Tool&amp;qid=1694734739&amp;sr=8-2", "https://www.amazon.com/Malco-Capacity-Cutting-Attachment-Folding/dp/B0BD3XBZKC/ref=sr_1_2?keywords=Malco+Tools+12F+12-Inch+Sheet+Metal+Folding+Tool&amp;qid=1694734739&amp;sr=8-2")</f>
        <v/>
      </c>
      <c r="F977" t="inlineStr">
        <is>
          <t>B0BD3XBZKC</t>
        </is>
      </c>
      <c r="G977">
        <f>_xlfn.IMAGE("https://edmondsonsupply.com/cdn/shop/products/12f-big.jpg?v=1587148427")</f>
        <v/>
      </c>
      <c r="H977">
        <f>_xlfn.IMAGE("https://m.media-amazon.com/images/I/51R5Crrl4LL._AC_UL320_.jpg")</f>
        <v/>
      </c>
      <c r="K977" t="inlineStr">
        <is>
          <t>16.79</t>
        </is>
      </c>
      <c r="L977" t="n">
        <v>79.67</v>
      </c>
      <c r="M977" s="1" t="inlineStr">
        <is>
          <t>374.51%</t>
        </is>
      </c>
      <c r="N977" s="7" t="n">
        <v>130.01</v>
      </c>
      <c r="O977" t="n">
        <v>4.7</v>
      </c>
      <c r="P977" t="n">
        <v>2474</v>
      </c>
      <c r="R977" t="inlineStr">
        <is>
          <t>InStock</t>
        </is>
      </c>
      <c r="S977" t="inlineStr">
        <is>
          <t>18.11</t>
        </is>
      </c>
      <c r="T977" t="inlineStr">
        <is>
          <t>4410314555492</t>
        </is>
      </c>
    </row>
    <row r="978" ht="87" customHeight="1">
      <c r="A978" s="2">
        <f>HYPERLINK("https://edmondsonsupply.com/collections/hvac/products/icm-controls-icm401-3-phase-line-voltage-monitor", "https://edmondsonsupply.com/collections/hvac/products/icm-controls-icm401-3-phase-line-voltage-monitor")</f>
        <v/>
      </c>
      <c r="B978" s="2">
        <f>HYPERLINK("https://edmondsonsupply.com/products/icm-controls-icm401-3-phase-line-voltage-monitor", "https://edmondsonsupply.com/products/icm-controls-icm401-3-phase-line-voltage-monitor")</f>
        <v/>
      </c>
      <c r="C978" t="inlineStr">
        <is>
          <t>ICM Controls ICM401 3 Phase Line Voltage Monitor</t>
        </is>
      </c>
      <c r="D978" t="inlineStr">
        <is>
          <t>ICM Controls ICM409 Three-Phase Line Voltage Monitor Offering Protection Against Phase Loss/Reversal, Unbalance and High/Low Voltage, 50/60 Hz, 190-480 VAC, Din Rail Mount</t>
        </is>
      </c>
      <c r="E978" s="2">
        <f>HYPERLINK("https://www.amazon.com/ICM-Controls-Three-Phase-Protection-Unbalance/dp/B00DGB4PQU/ref=sr_1_4?keywords=ICM+Controls+ICM401+3+Phase+Line+Voltage+Monitor&amp;qid=1694734757&amp;sr=8-4", "https://www.amazon.com/ICM-Controls-Three-Phase-Protection-Unbalance/dp/B00DGB4PQU/ref=sr_1_4?keywords=ICM+Controls+ICM401+3+Phase+Line+Voltage+Monitor&amp;qid=1694734757&amp;sr=8-4")</f>
        <v/>
      </c>
      <c r="F978" t="inlineStr">
        <is>
          <t>B00DGB4PQU</t>
        </is>
      </c>
      <c r="G978">
        <f>_xlfn.IMAGE("https://edmondsonsupply.com/cdn/shop/products/photo_3653_medium_52cb7f2c-e5f0-4da1-ac53-d344fb2403c9.png?v=1665087171")</f>
        <v/>
      </c>
      <c r="H978">
        <f>_xlfn.IMAGE("https://m.media-amazon.com/images/I/61og6zGDF+L._AC_UL320_.jpg")</f>
        <v/>
      </c>
      <c r="K978" t="inlineStr">
        <is>
          <t>34.79</t>
        </is>
      </c>
      <c r="L978" t="n">
        <v>164.38</v>
      </c>
      <c r="M978" s="1" t="inlineStr">
        <is>
          <t>372.49%</t>
        </is>
      </c>
      <c r="N978" s="7" t="n">
        <v>129.82</v>
      </c>
      <c r="O978" t="n">
        <v>5</v>
      </c>
      <c r="P978" t="n">
        <v>2</v>
      </c>
      <c r="R978" t="inlineStr">
        <is>
          <t>InStock</t>
        </is>
      </c>
      <c r="S978" t="inlineStr">
        <is>
          <t>61.35</t>
        </is>
      </c>
      <c r="T978" t="inlineStr">
        <is>
          <t>7842404532440</t>
        </is>
      </c>
    </row>
    <row r="979" ht="87" customHeight="1">
      <c r="A979" s="2">
        <f>HYPERLINK("https://edmondsonsupply.com/collections/hvac/products/uei-dmg150-digital-micron-gauge", "https://edmondsonsupply.com/collections/hvac/products/uei-dmg150-digital-micron-gauge")</f>
        <v/>
      </c>
      <c r="B979" s="2">
        <f>HYPERLINK("https://edmondsonsupply.com/products/uei-dmg150-digital-micron-gauge", "https://edmondsonsupply.com/products/uei-dmg150-digital-micron-gauge")</f>
        <v/>
      </c>
      <c r="C979" t="inlineStr">
        <is>
          <t>UEi PDT650 Digital Folding Pocket Thermometer</t>
        </is>
      </c>
      <c r="D979" t="inlineStr">
        <is>
          <t>Aain® LX575 Digital Refrigerant Charging Weight Scale for HVAC A/C 220Lbs with LCD Display &amp; Three Measurement Unit Options &amp; UEi Test Instruments PDT650 Folding Pocket Digital Thermometer,Yellow</t>
        </is>
      </c>
      <c r="E979" s="2">
        <f>HYPERLINK("https://www.amazon.com/Refrigerant-Charging-Measurement-Instruments-Thermometer/dp/B0CF2HGH91/ref=sr_1_8?keywords=UEi+PDT650+Digital+Folding+Pocket+Thermometer&amp;qid=1694734589&amp;sr=8-8", "https://www.amazon.com/Refrigerant-Charging-Measurement-Instruments-Thermometer/dp/B0CF2HGH91/ref=sr_1_8?keywords=UEi+PDT650+Digital+Folding+Pocket+Thermometer&amp;qid=1694734589&amp;sr=8-8")</f>
        <v/>
      </c>
      <c r="F979" t="inlineStr">
        <is>
          <t>B0CF2HGH91</t>
        </is>
      </c>
      <c r="G979">
        <f>_xlfn.IMAGE("https://edmondsonsupply.com/cdn/shop/products/PDT650-1.png?v=1633030101")</f>
        <v/>
      </c>
      <c r="H979">
        <f>_xlfn.IMAGE("https://m.media-amazon.com/images/I/411mxyOYLQL._AC_UY218_.jpg")</f>
        <v/>
      </c>
      <c r="K979" t="inlineStr">
        <is>
          <t>19.51</t>
        </is>
      </c>
      <c r="L979" t="n">
        <v>91.98999999999999</v>
      </c>
      <c r="M979" s="1" t="inlineStr">
        <is>
          <t>371.50%</t>
        </is>
      </c>
      <c r="N979" s="7" t="n">
        <v>129.34</v>
      </c>
      <c r="O979" t="n">
        <v>4.7</v>
      </c>
      <c r="P979" t="n">
        <v>24</v>
      </c>
      <c r="R979" t="inlineStr">
        <is>
          <t>InStock</t>
        </is>
      </c>
      <c r="S979" t="inlineStr">
        <is>
          <t>22.95</t>
        </is>
      </c>
      <c r="T979" t="inlineStr">
        <is>
          <t>3569106649188</t>
        </is>
      </c>
    </row>
    <row r="980" ht="87" customHeight="1">
      <c r="A980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980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980" t="inlineStr">
        <is>
          <t>Klein Tools 646-1/4 1/4-Inch Nut Driver with 6-Inch Hollow Shaft</t>
        </is>
      </c>
      <c r="D980" t="inlineStr">
        <is>
          <t>Klein Tools 646M Tool Set, Magnetic Nut Drivers Sizes 1/4 and 5/16-Inch, 6-Inch Shafts, 2-Piece &amp; 65064 Hex Head 2-in-1 Nut Driver, 1/4-Inch and 5/16-Inch</t>
        </is>
      </c>
      <c r="E980" s="2">
        <f>HYPERLINK("https://www.amazon.com/Klein-Tools-Magnetic-Drivers-16-Inch/dp/B0BGPTVP3Z/ref=sr_1_14?keywords=Klein+Tools+646-1%2F4+1%2F4-Inch+Nut+Driver+with+6-Inch+Hollow+Shaft&amp;qid=1694734727&amp;sr=8-14", "https://www.amazon.com/Klein-Tools-Magnetic-Drivers-16-Inch/dp/B0BGPTVP3Z/ref=sr_1_14?keywords=Klein+Tools+646-1%2F4+1%2F4-Inch+Nut+Driver+with+6-Inch+Hollow+Shaft&amp;qid=1694734727&amp;sr=8-14")</f>
        <v/>
      </c>
      <c r="F980" t="inlineStr">
        <is>
          <t>B0BGPTVP3Z</t>
        </is>
      </c>
      <c r="G980">
        <f>_xlfn.IMAGE("https://edmondsonsupply.com/cdn/shop/products/646-1-2_08d87fa9-eac4-4869-8d3b-bb680d4b1d53.jpg?v=1587150676")</f>
        <v/>
      </c>
      <c r="H980">
        <f>_xlfn.IMAGE("https://m.media-amazon.com/images/I/41iqeifLYLL._AC_UL320_.jpg")</f>
        <v/>
      </c>
      <c r="K980" t="inlineStr">
        <is>
          <t>7.99</t>
        </is>
      </c>
      <c r="L980" t="n">
        <v>37.61</v>
      </c>
      <c r="M980" s="1" t="inlineStr">
        <is>
          <t>370.71%</t>
        </is>
      </c>
      <c r="N980" s="7" t="n">
        <v>129.33</v>
      </c>
      <c r="O980" t="n">
        <v>5</v>
      </c>
      <c r="P980" t="n">
        <v>1</v>
      </c>
      <c r="R980" t="inlineStr">
        <is>
          <t>InStock</t>
        </is>
      </c>
      <c r="S980" t="inlineStr">
        <is>
          <t>12.1</t>
        </is>
      </c>
      <c r="T980" t="inlineStr">
        <is>
          <t>4439433740388</t>
        </is>
      </c>
    </row>
    <row r="981" ht="87" customHeight="1">
      <c r="A981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981" s="2">
        <f>HYPERLINK("https://edmondsonsupply.com/products/klein-tools-646-5-16-5-16-inch-nut-driver-6-inch-hollow-shaft", "https://edmondsonsupply.com/products/klein-tools-646-5-16-5-16-inch-nut-driver-6-inch-hollow-shaft")</f>
        <v/>
      </c>
      <c r="C981" t="inlineStr">
        <is>
          <t>Klein Tools 646-5/16 5/16-Inch Nut Driver, 6-Inch Hollow Shaft</t>
        </is>
      </c>
      <c r="D981" t="inlineStr">
        <is>
          <t>Klein Tools 646M Tool Set, Magnetic Nut Drivers Sizes 1/4 and 5/16-Inch, 6-Inch Shafts, 2-Piece &amp; 65064 Hex Head 2-in-1 Nut Driver, 1/4-Inch and 5/16-Inch</t>
        </is>
      </c>
      <c r="E981" s="2">
        <f>HYPERLINK("https://www.amazon.com/Klein-Tools-Magnetic-Drivers-16-Inch/dp/B0BGPTVP3Z/ref=sr_1_14?keywords=Klein+Tools+646-5%2F16+5%2F16-Inch+Nut+Driver%2C+6-Inch+Hollow+Shaft&amp;qid=1694734728&amp;sr=8-14", "https://www.amazon.com/Klein-Tools-Magnetic-Drivers-16-Inch/dp/B0BGPTVP3Z/ref=sr_1_14?keywords=Klein+Tools+646-5%2F16+5%2F16-Inch+Nut+Driver%2C+6-Inch+Hollow+Shaft&amp;qid=1694734728&amp;sr=8-14")</f>
        <v/>
      </c>
      <c r="F981" t="inlineStr">
        <is>
          <t>B0BGPTVP3Z</t>
        </is>
      </c>
      <c r="G981">
        <f>_xlfn.IMAGE("https://edmondsonsupply.com/cdn/shop/products/646-1-2_e1540905-f750-4509-90c5-74ff653e4d83.jpg?v=1587145119")</f>
        <v/>
      </c>
      <c r="H981">
        <f>_xlfn.IMAGE("https://m.media-amazon.com/images/I/41iqeifLYLL._AC_UL320_.jpg")</f>
        <v/>
      </c>
      <c r="K981" t="inlineStr">
        <is>
          <t>7.99</t>
        </is>
      </c>
      <c r="L981" t="n">
        <v>37.61</v>
      </c>
      <c r="M981" s="1" t="inlineStr">
        <is>
          <t>370.71%</t>
        </is>
      </c>
      <c r="N981" s="7" t="n">
        <v>129.14</v>
      </c>
      <c r="O981" t="n">
        <v>5</v>
      </c>
      <c r="P981" t="n">
        <v>1</v>
      </c>
      <c r="R981" t="inlineStr">
        <is>
          <t>InStock</t>
        </is>
      </c>
      <c r="S981" t="inlineStr">
        <is>
          <t>12.1</t>
        </is>
      </c>
      <c r="T981" t="inlineStr">
        <is>
          <t>4395303272548</t>
        </is>
      </c>
    </row>
    <row r="982" ht="87" customHeight="1">
      <c r="A982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982" s="2">
        <f>HYPERLINK("https://edmondsonsupply.com/products/packard-pmj216-motor-start-capacitor-216-259-mfd-110-125-vac", "https://edmondsonsupply.com/products/packard-pmj216-motor-start-capacitor-216-259-mfd-110-125-vac")</f>
        <v/>
      </c>
      <c r="C982" t="inlineStr">
        <is>
          <t>Packard PMJ216 Motor Start Capacitor 216-259 MFD 110-125 VAC</t>
        </is>
      </c>
      <c r="D982" t="inlineStr">
        <is>
          <t>PTMJ216 - Packard Upgraded Replacement Motor Start Capacitor 216-259 MFD 220-250 Volt VAC</t>
        </is>
      </c>
      <c r="E982" s="2">
        <f>HYPERLINK("https://www.amazon.com/PTMJ216-Packard-Upgraded-Replacement-Capacitor/dp/B0773W4PTP/ref=sr_1_5?keywords=Packard+PMJ216+Motor+Start+Capacitor+216-259+MFD+110-125+VAC&amp;qid=1694734654&amp;sr=8-5", "https://www.amazon.com/PTMJ216-Packard-Upgraded-Replacement-Capacitor/dp/B0773W4PTP/ref=sr_1_5?keywords=Packard+PMJ216+Motor+Start+Capacitor+216-259+MFD+110-125+VAC&amp;qid=1694734654&amp;sr=8-5")</f>
        <v/>
      </c>
      <c r="F982" t="inlineStr">
        <is>
          <t>B0773W4PTP</t>
        </is>
      </c>
      <c r="G982">
        <f>_xlfn.IMAGE("https://edmondsonsupply.com/cdn/shop/products/PMJ216-2.jpg?v=1633030107")</f>
        <v/>
      </c>
      <c r="H982">
        <f>_xlfn.IMAGE("https://m.media-amazon.com/images/I/41fqQrQgJaL._AC_UY218_.jpg")</f>
        <v/>
      </c>
      <c r="K982" t="inlineStr">
        <is>
          <t>3.63</t>
        </is>
      </c>
      <c r="L982" t="n">
        <v>16.99</v>
      </c>
      <c r="M982" s="1" t="inlineStr">
        <is>
          <t>368.04%</t>
        </is>
      </c>
      <c r="N982" s="7" t="n">
        <v>129.14</v>
      </c>
      <c r="O982" t="n">
        <v>4.7</v>
      </c>
      <c r="P982" t="n">
        <v>8</v>
      </c>
      <c r="R982" t="inlineStr">
        <is>
          <t>InStock</t>
        </is>
      </c>
      <c r="S982" t="inlineStr">
        <is>
          <t>undefined</t>
        </is>
      </c>
      <c r="T982" t="inlineStr">
        <is>
          <t>3600549642340</t>
        </is>
      </c>
    </row>
    <row r="983" hidden="1" ht="15.75" customHeight="1">
      <c r="A983" s="2">
        <f>HYPERLINK("https://edmondsonsupply.com/collections/hvac/products/holyoke-1051-12mpmh-3-4-male-pipe-thread-male-garden-hose-to-male-pipe-adapter", "https://edmondsonsupply.com/collections/hvac/products/holyoke-1051-12mpmh-3-4-male-pipe-thread-male-garden-hose-to-male-pipe-adapter")</f>
        <v/>
      </c>
      <c r="B983" s="2">
        <f>HYPERLINK("https://edmondsonsupply.com/products/holyoke-1051-12mpmh-3-4-male-pipe-thread-male-garden-hose-to-male-pipe-adapter", "https://edmondsonsupply.com/products/holyoke-1051-12mpmh-3-4-male-pipe-thread-male-garden-hose-to-male-pipe-adapter")</f>
        <v/>
      </c>
      <c r="C983" t="inlineStr">
        <is>
          <t>Holyoke Fittings 1051-12MPMH 3/4" Male Pipe Thread to Male Garden Hose Adapter</t>
        </is>
      </c>
      <c r="D983" t="inlineStr">
        <is>
          <t>JOEJET Garden Hose Connector, 3/4'' GHT Female and Male to 3/4'' NPT Male, Metal Brass Water Hose to Pipe Thread Adapters and Fittings</t>
        </is>
      </c>
      <c r="E983" s="2">
        <f>HYPERLINK("https://www.amazon.com/JOEJET-Garden-Connector-Adapters-Fittings/dp/B09NJHPXL8/ref=sr_1_6?keywords=Holyoke+Fittings+1051-12MPMH+3%2F4%22+Male+Pipe+Thread+to+Male+Garden+Hose+Adapter&amp;qid=1694734919&amp;sr=8-6", "https://www.amazon.com/JOEJET-Garden-Connector-Adapters-Fittings/dp/B09NJHPXL8/ref=sr_1_6?keywords=Holyoke+Fittings+1051-12MPMH+3%2F4%22+Male+Pipe+Thread+to+Male+Garden+Hose+Adapter&amp;qid=1694734919&amp;sr=8-6")</f>
        <v/>
      </c>
      <c r="F983" t="inlineStr">
        <is>
          <t>B09NJHPXL8</t>
        </is>
      </c>
      <c r="G983">
        <f>_xludf.IMAGE("https://edmondsonsupply.com/cdn/shop/files/1051-12MPMH.jpg?v=1686082879")</f>
        <v/>
      </c>
      <c r="H983">
        <f>_xludf.IMAGE("https://m.media-amazon.com/images/I/81LqnebhZyL._AC_UY218_.jpg")</f>
        <v/>
      </c>
      <c r="K983" t="inlineStr">
        <is>
          <t>2.79</t>
        </is>
      </c>
      <c r="L983" t="n">
        <v>12.99</v>
      </c>
      <c r="M983" s="1" t="inlineStr">
        <is>
          <t>365.59%</t>
        </is>
      </c>
      <c r="N983" s="1" t="n">
        <v>128.9</v>
      </c>
      <c r="O983" t="n">
        <v>4.6</v>
      </c>
      <c r="P983" t="n">
        <v>176</v>
      </c>
      <c r="R983" t="inlineStr">
        <is>
          <t>InStock</t>
        </is>
      </c>
      <c r="S983" t="inlineStr">
        <is>
          <t>4.13</t>
        </is>
      </c>
      <c r="T983" t="inlineStr">
        <is>
          <t>8002192834776</t>
        </is>
      </c>
    </row>
    <row r="984" ht="87" customHeight="1">
      <c r="A984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984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984" t="inlineStr">
        <is>
          <t>Yellow Jacket 42001 Series 41 Manifold Only, 3-1/8" Gauges - R-22 / 404A / 410A</t>
        </is>
      </c>
      <c r="D984" t="inlineStr">
        <is>
          <t>Yellow Jacket 46013 Brute II Test and Charging Manifold, F/C, Red/Blue Gauge, psi, R-22/404A/410A</t>
        </is>
      </c>
      <c r="E984" s="2">
        <f>HYPERLINK("https://www.amazon.com/Yellow-Jacket-46013-Charging-Manifold/dp/B004JRXK0M/ref=sr_1_16?keywords=Yellow+Jacket+42001+Series+41+Manifold+Only%2C+3-1%2F8%22+Gauges+-+R-22+%2F+404A+%2F+410A&amp;qid=1694734681&amp;sr=8-16", "https://www.amazon.com/Yellow-Jacket-46013-Charging-Manifold/dp/B004JRXK0M/ref=sr_1_16?keywords=Yellow+Jacket+42001+Series+41+Manifold+Only%2C+3-1%2F8%22+Gauges+-+R-22+%2F+404A+%2F+410A&amp;qid=1694734681&amp;sr=8-16")</f>
        <v/>
      </c>
      <c r="F984" t="inlineStr">
        <is>
          <t>B004JRXK0M</t>
        </is>
      </c>
      <c r="G984">
        <f>_xlfn.IMAGE("https://edmondsonsupply.com/cdn/shop/products/series-41-manifolds-with-318-gauges.jpg?v=1633030025")</f>
        <v/>
      </c>
      <c r="H984">
        <f>_xlfn.IMAGE("https://m.media-amazon.com/images/I/81grT0jwtDL._AC_UL320_.jpg")</f>
        <v/>
      </c>
      <c r="K984" t="inlineStr">
        <is>
          <t>97.77</t>
        </is>
      </c>
      <c r="L984" t="n">
        <v>446.76</v>
      </c>
      <c r="M984" s="1" t="inlineStr">
        <is>
          <t>356.95%</t>
        </is>
      </c>
      <c r="N984" s="7" t="n">
        <v>128.55</v>
      </c>
      <c r="O984" t="n">
        <v>4.5</v>
      </c>
      <c r="P984" t="n">
        <v>116</v>
      </c>
      <c r="R984" t="inlineStr">
        <is>
          <t>InStock</t>
        </is>
      </c>
      <c r="S984" t="inlineStr">
        <is>
          <t>undefined</t>
        </is>
      </c>
      <c r="T984" t="inlineStr">
        <is>
          <t>2129997922404</t>
        </is>
      </c>
    </row>
    <row r="985" ht="87" customHeight="1">
      <c r="A985" s="2">
        <f>HYPERLINK("https://edmondsonsupply.com/collections/hvac/products/packard-prmj130-motor-start-capacitor-130-158-mfd-330-vac", "https://edmondsonsupply.com/collections/hvac/products/packard-prmj130-motor-start-capacitor-130-158-mfd-330-vac")</f>
        <v/>
      </c>
      <c r="B985" s="2">
        <f>HYPERLINK("https://edmondsonsupply.com/products/packard-prmj130-motor-start-capacitor-130-158-mfd-330-vac", "https://edmondsonsupply.com/products/packard-prmj130-motor-start-capacitor-130-158-mfd-330-vac")</f>
        <v/>
      </c>
      <c r="C985" t="inlineStr">
        <is>
          <t>Packard PRMJ130 Motor Start Capacitor 130-158 MFD 330 VAC</t>
        </is>
      </c>
      <c r="D985" t="inlineStr">
        <is>
          <t>PRMJ130 - Diversitech Aftermarket Replacement Motor Start Capacitor 130-156 MFD 330 Volt</t>
        </is>
      </c>
      <c r="E985" s="2">
        <f>HYPERLINK("https://www.amazon.com/PRMJ130-Diversitech-Aftermarket-Replacement-Capacitor/dp/B00IWYFJQG/ref=sr_1_6?keywords=Packard+PRMJ130+Motor+Start+Capacitor+130-158+MFD+330+VAC&amp;qid=1694734803&amp;sr=8-6", "https://www.amazon.com/PRMJ130-Diversitech-Aftermarket-Replacement-Capacitor/dp/B00IWYFJQG/ref=sr_1_6?keywords=Packard+PRMJ130+Motor+Start+Capacitor+130-158+MFD+330+VAC&amp;qid=1694734803&amp;sr=8-6")</f>
        <v/>
      </c>
      <c r="F985" t="inlineStr">
        <is>
          <t>B00IWYFJQG</t>
        </is>
      </c>
      <c r="G985">
        <f>_xlfn.IMAGE("https://edmondsonsupply.com/cdn/shop/products/PRMJ130-2.jpg?v=1587144436")</f>
        <v/>
      </c>
      <c r="H985">
        <f>_xlfn.IMAGE("https://m.media-amazon.com/images/I/41iN-8gLZyL._AC_UY218_.jpg")</f>
        <v/>
      </c>
      <c r="K985" t="inlineStr">
        <is>
          <t>3.9</t>
        </is>
      </c>
      <c r="L985" t="n">
        <v>17.74</v>
      </c>
      <c r="M985" s="1" t="inlineStr">
        <is>
          <t>354.87%</t>
        </is>
      </c>
      <c r="N985" s="7" t="n">
        <v>128.49</v>
      </c>
      <c r="O985" t="n">
        <v>5</v>
      </c>
      <c r="P985" t="n">
        <v>1</v>
      </c>
      <c r="R985" t="inlineStr">
        <is>
          <t>InStock</t>
        </is>
      </c>
      <c r="S985" t="inlineStr">
        <is>
          <t>undefined</t>
        </is>
      </c>
      <c r="T985" t="inlineStr">
        <is>
          <t>4432875946084</t>
        </is>
      </c>
    </row>
    <row r="986" ht="87" customHeight="1">
      <c r="A986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986" s="2">
        <f>HYPERLINK("https://edmondsonsupply.com/products/nu-calgon-44171-75-evap-foam-no-rinse-aerosol-coil-cleaner", "https://edmondsonsupply.com/products/nu-calgon-44171-75-evap-foam-no-rinse-aerosol-coil-cleaner")</f>
        <v/>
      </c>
      <c r="C986" t="inlineStr">
        <is>
          <t>Nu-Calgon 4171-75 Evap Foam No Rinse, Aerosol Coil Cleaner (18 oz. can)</t>
        </is>
      </c>
      <c r="D986" t="inlineStr">
        <is>
          <t>Nu-Calgon 4171-75 Evap Foam No Rinse Evaporator Coil Cleaner, 18 oz. (4-(Pack))</t>
        </is>
      </c>
      <c r="E986" s="2">
        <f>HYPERLINK("https://www.amazon.com/Nu-Calgon-4171-75-Evaporator-Cleaner-4-Pack/dp/B07MYMC7YH/ref=sr_1_4?keywords=Nu-Calgon+4171-75+Evap+Foam+No+Rinse%2C+Aerosol+Coil+Cleaner+%2818+oz.+can%29&amp;qid=1694734591&amp;sr=8-4", "https://www.amazon.com/Nu-Calgon-4171-75-Evaporator-Cleaner-4-Pack/dp/B07MYMC7YH/ref=sr_1_4?keywords=Nu-Calgon+4171-75+Evap+Foam+No+Rinse%2C+Aerosol+Coil+Cleaner+%2818+oz.+can%29&amp;qid=1694734591&amp;sr=8-4")</f>
        <v/>
      </c>
      <c r="F986" t="inlineStr">
        <is>
          <t>B07MYMC7YH</t>
        </is>
      </c>
      <c r="G986">
        <f>_xlfn.IMAGE("https://edmondsonsupply.com/cdn/shop/products/4171-75.jpg?v=1659099515")</f>
        <v/>
      </c>
      <c r="H986">
        <f>_xlfn.IMAGE("https://m.media-amazon.com/images/I/81IAXS6OMOL._AC_UL320_.jpg")</f>
        <v/>
      </c>
      <c r="K986" t="inlineStr">
        <is>
          <t>11.75</t>
        </is>
      </c>
      <c r="L986" t="n">
        <v>52.91</v>
      </c>
      <c r="M986" s="1" t="inlineStr">
        <is>
          <t>350.30%</t>
        </is>
      </c>
      <c r="N986" s="7" t="n">
        <v>127.6</v>
      </c>
      <c r="O986" t="n">
        <v>4.7</v>
      </c>
      <c r="P986" t="n">
        <v>428</v>
      </c>
      <c r="R986" t="inlineStr">
        <is>
          <t>InStock</t>
        </is>
      </c>
      <c r="S986" t="inlineStr">
        <is>
          <t>17.7</t>
        </is>
      </c>
      <c r="T986" t="inlineStr">
        <is>
          <t>7766316646616</t>
        </is>
      </c>
    </row>
    <row r="987" hidden="1" ht="15.75" customHeight="1">
      <c r="A987" s="2">
        <f>HYPERLINK("https://edmondsonsupply.com/collections/hvac/products/malco-tools-12f-12-inch-sheet-metal-folding-tool", "https://edmondsonsupply.com/collections/hvac/products/malco-tools-12f-12-inch-sheet-metal-folding-tool")</f>
        <v/>
      </c>
      <c r="B987" s="2">
        <f>HYPERLINK("https://edmondsonsupply.com/products/malco-tools-12f-12-inch-sheet-metal-folding-tool", "https://edmondsonsupply.com/products/malco-tools-12f-12-inch-sheet-metal-folding-tool")</f>
        <v/>
      </c>
      <c r="C987" t="inlineStr">
        <is>
          <t>Malco Tools 12F 12-Inch Sheet Metal Folding Tool</t>
        </is>
      </c>
      <c r="D987" t="inlineStr">
        <is>
          <t>Klein Tools 89552 Hole Cutter, Adjustable Cutter from 2 to 12 Inch, Cuts 24 Gauge Steel and 26 Gauge Stainless &amp; Malco 12F 12 in. Folding Tool, Multi</t>
        </is>
      </c>
      <c r="E987" s="2">
        <f>HYPERLINK("https://www.amazon.com/Klein-Tools-Adjustable-Stainless-Folding/dp/B0BGPT61JM/ref=sr_1_41?keywords=Malco+Tools+12F+12-Inch+Sheet+Metal+Folding+Tool&amp;qid=1694734739&amp;sr=8-41", "https://www.amazon.com/Klein-Tools-Adjustable-Stainless-Folding/dp/B0BGPT61JM/ref=sr_1_41?keywords=Malco+Tools+12F+12-Inch+Sheet+Metal+Folding+Tool&amp;qid=1694734739&amp;sr=8-41")</f>
        <v/>
      </c>
      <c r="F987" t="inlineStr">
        <is>
          <t>B0BGPT61JM</t>
        </is>
      </c>
      <c r="G987">
        <f>_xludf.IMAGE("https://edmondsonsupply.com/cdn/shop/products/12f-big.jpg?v=1587148427")</f>
        <v/>
      </c>
      <c r="H987">
        <f>_xludf.IMAGE("https://m.media-amazon.com/images/I/41z6Dk5s9bL._AC_UL320_.jpg")</f>
        <v/>
      </c>
      <c r="K987" t="inlineStr">
        <is>
          <t>16.79</t>
        </is>
      </c>
      <c r="L987" t="n">
        <v>74.98</v>
      </c>
      <c r="M987" s="1" t="inlineStr">
        <is>
          <t>346.58%</t>
        </is>
      </c>
      <c r="N987" s="1" t="n">
        <v>127.54</v>
      </c>
      <c r="O987" t="n">
        <v>4</v>
      </c>
      <c r="P987" t="n">
        <v>1</v>
      </c>
      <c r="R987" t="inlineStr">
        <is>
          <t>InStock</t>
        </is>
      </c>
      <c r="S987" t="inlineStr">
        <is>
          <t>18.11</t>
        </is>
      </c>
      <c r="T987" t="inlineStr">
        <is>
          <t>4410314555492</t>
        </is>
      </c>
    </row>
    <row r="988" ht="87" customHeight="1">
      <c r="A988" s="2">
        <f>HYPERLINK("https://edmondsonsupply.com/collections/hvac/products/uei-dmg150-digital-micron-gauge", "https://edmondsonsupply.com/collections/hvac/products/uei-dmg150-digital-micron-gauge")</f>
        <v/>
      </c>
      <c r="B988" s="2">
        <f>HYPERLINK("https://edmondsonsupply.com/products/uei-dmg150-digital-micron-gauge", "https://edmondsonsupply.com/products/uei-dmg150-digital-micron-gauge")</f>
        <v/>
      </c>
      <c r="C988" t="inlineStr">
        <is>
          <t>UEi PDT650 Digital Folding Pocket Thermometer</t>
        </is>
      </c>
      <c r="D988" t="inlineStr">
        <is>
          <t>Supco MFD10 Digital Capacitor Tester with LED Display, 0.01 to 10000mF Range, 5% Accuracy &amp; UEi Test Instruments PDT650 Folding Pocket Digital Thermometer,Yellow</t>
        </is>
      </c>
      <c r="E988" s="2">
        <f>HYPERLINK("https://www.amazon.com/Supco-Capacitor-Accuracy-Instruments-Thermometer/dp/B0C98WZWD6/ref=sr_1_15?keywords=UEi+PDT650+Digital+Folding+Pocket+Thermometer&amp;qid=1694734589&amp;sr=8-15", "https://www.amazon.com/Supco-Capacitor-Accuracy-Instruments-Thermometer/dp/B0C98WZWD6/ref=sr_1_15?keywords=UEi+PDT650+Digital+Folding+Pocket+Thermometer&amp;qid=1694734589&amp;sr=8-15")</f>
        <v/>
      </c>
      <c r="F988" t="inlineStr">
        <is>
          <t>B0C98WZWD6</t>
        </is>
      </c>
      <c r="G988">
        <f>_xlfn.IMAGE("https://edmondsonsupply.com/cdn/shop/products/PDT650-1.png?v=1633030101")</f>
        <v/>
      </c>
      <c r="H988">
        <f>_xlfn.IMAGE("https://m.media-amazon.com/images/I/41Tu2TW-8BL._AC_UY218_.jpg")</f>
        <v/>
      </c>
      <c r="K988" t="inlineStr">
        <is>
          <t>19.51</t>
        </is>
      </c>
      <c r="L988" t="n">
        <v>86.95999999999999</v>
      </c>
      <c r="M988" s="1" t="inlineStr">
        <is>
          <t>345.72%</t>
        </is>
      </c>
      <c r="N988" s="7" t="n">
        <v>127.22</v>
      </c>
      <c r="O988" t="n">
        <v>4.7</v>
      </c>
      <c r="P988" t="n">
        <v>665</v>
      </c>
      <c r="R988" t="inlineStr">
        <is>
          <t>InStock</t>
        </is>
      </c>
      <c r="S988" t="inlineStr">
        <is>
          <t>22.95</t>
        </is>
      </c>
      <c r="T988" t="inlineStr">
        <is>
          <t>3569106649188</t>
        </is>
      </c>
    </row>
    <row r="989" hidden="1" ht="15.75" customHeight="1">
      <c r="A989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989" s="2">
        <f>HYPERLINK("https://edmondsonsupply.com/products/packard-pmj88-motor-start-capacitor-88-108-mfd-110-125-vac", "https://edmondsonsupply.com/products/packard-pmj88-motor-start-capacitor-88-108-mfd-110-125-vac")</f>
        <v/>
      </c>
      <c r="C989" t="inlineStr">
        <is>
          <t>Packard PMJ88 Motor Start Capacitor 88-108 MFD 110-125 VAC</t>
        </is>
      </c>
      <c r="D989" t="inlineStr">
        <is>
          <t>PTMJ88 - Packard Upgraded Replacement Motor Start Capacitor 88-108 MFD 220-250 Volt VAC</t>
        </is>
      </c>
      <c r="E989" s="2">
        <f>HYPERLINK("https://www.amazon.com/PTMJ88-Packard-Upgraded-Replacement-Capacitor/dp/B0773WVSB6/ref=sr_1_4?keywords=Packard+PMJ88+Motor+Start+Capacitor+88-108+MFD+110-125+VAC&amp;qid=1694734709&amp;sr=8-4", "https://www.amazon.com/PTMJ88-Packard-Upgraded-Replacement-Capacitor/dp/B0773WVSB6/ref=sr_1_4?keywords=Packard+PMJ88+Motor+Start+Capacitor+88-108+MFD+110-125+VAC&amp;qid=1694734709&amp;sr=8-4")</f>
        <v/>
      </c>
      <c r="F989" t="inlineStr">
        <is>
          <t>B0773WVSB6</t>
        </is>
      </c>
      <c r="G989">
        <f>_xludf.IMAGE("https://edmondsonsupply.com/cdn/shop/products/PMJ88-2.jpg?v=1633030893")</f>
        <v/>
      </c>
      <c r="H989">
        <f>_xludf.IMAGE("https://m.media-amazon.com/images/I/41fqQrQgJaL._AC_UY218_.jpg")</f>
        <v/>
      </c>
      <c r="K989" t="inlineStr">
        <is>
          <t>3.1</t>
        </is>
      </c>
      <c r="L989" t="n">
        <v>13.7</v>
      </c>
      <c r="M989" s="1" t="inlineStr">
        <is>
          <t>341.94%</t>
        </is>
      </c>
      <c r="N989" s="1" t="n">
        <v>127.07</v>
      </c>
      <c r="O989" t="n">
        <v>5</v>
      </c>
      <c r="P989" t="n">
        <v>1</v>
      </c>
      <c r="R989" t="inlineStr">
        <is>
          <t>InStock</t>
        </is>
      </c>
      <c r="S989" t="inlineStr">
        <is>
          <t>undefined</t>
        </is>
      </c>
      <c r="T989" t="inlineStr">
        <is>
          <t>6224638771373</t>
        </is>
      </c>
    </row>
    <row r="990" hidden="1" ht="15.75" customHeight="1">
      <c r="A990" s="2">
        <f>HYPERLINK("https://edmondsonsupply.com/collections/hvac/products/packard-titan-pro-toc7-55-motor-run-capacitor-7-5-mfd-370-volt-oval", "https://edmondsonsupply.com/collections/hvac/products/packard-titan-pro-toc7-55-motor-run-capacitor-7-5-mfd-370-volt-oval")</f>
        <v/>
      </c>
      <c r="B990" s="2">
        <f>HYPERLINK("https://edmondsonsupply.com/products/packard-titan-pro-toc7-55-motor-run-capacitor-7-5-mfd-370-volt-oval", "https://edmondsonsupply.com/products/packard-titan-pro-toc7-55-motor-run-capacitor-7-5-mfd-370-volt-oval")</f>
        <v/>
      </c>
      <c r="C990" t="inlineStr">
        <is>
          <t>Packard Titan PRO TOC7.5 Motor Run Capacitor 7.5 MFD 370 Volt Oval</t>
        </is>
      </c>
      <c r="D990" t="inlineStr">
        <is>
          <t>Packard (Ship from USA Titan PRO TOCF7.5 Run Capacitor 7.5 MFD 440/370 Volt Oval (Made in The USA) /Item#H3NG UE-EW23D210882</t>
        </is>
      </c>
      <c r="E990" s="2">
        <f>HYPERLINK("https://www.amazon.com/Ship-TITAN-TOCF7-5-Capacitor-UE-EW23D210882/dp/B01IBV3OW0/ref=sr_1_3?keywords=Packard+Titan+PRO+TOC7.5+Motor+Run+Capacitor+7.5+MFD+370+Volt+Oval&amp;qid=1694734587&amp;sr=8-3", "https://www.amazon.com/Ship-TITAN-TOCF7-5-Capacitor-UE-EW23D210882/dp/B01IBV3OW0/ref=sr_1_3?keywords=Packard+Titan+PRO+TOC7.5+Motor+Run+Capacitor+7.5+MFD+370+Volt+Oval&amp;qid=1694734587&amp;sr=8-3")</f>
        <v/>
      </c>
      <c r="F990" t="inlineStr">
        <is>
          <t>B01IBV3OW0</t>
        </is>
      </c>
      <c r="G990">
        <f>_xludf.IMAGE("https://edmondsonsupply.com/cdn/shop/products/TOC7.5-2.jpg?v=1633030268")</f>
        <v/>
      </c>
      <c r="H990">
        <f>_xludf.IMAGE("https://m.media-amazon.com/images/I/31sjomcmQxL._AC_UY218_.jpg")</f>
        <v/>
      </c>
      <c r="K990" t="inlineStr">
        <is>
          <t>2.16</t>
        </is>
      </c>
      <c r="L990" t="n">
        <v>9.43</v>
      </c>
      <c r="M990" s="1" t="inlineStr">
        <is>
          <t>336.57%</t>
        </is>
      </c>
      <c r="N990" s="1" t="n">
        <v>127.07</v>
      </c>
      <c r="O990" t="n">
        <v>5</v>
      </c>
      <c r="P990" t="n">
        <v>9</v>
      </c>
      <c r="R990" t="inlineStr">
        <is>
          <t>InStock</t>
        </is>
      </c>
      <c r="S990" t="inlineStr">
        <is>
          <t>undefined</t>
        </is>
      </c>
      <c r="T990" t="inlineStr">
        <is>
          <t>4653533757540</t>
        </is>
      </c>
    </row>
    <row r="991" ht="87" customHeight="1">
      <c r="A991" s="2">
        <f>HYPERLINK("https://edmondsonsupply.com/collections/hvac/products/kroil-sk102-penetrant-with-silicone-aka-silikroil-10oz-can", "https://edmondsonsupply.com/collections/hvac/products/kroil-sk102-penetrant-with-silicone-aka-silikroil-10oz-can")</f>
        <v/>
      </c>
      <c r="B991" s="2">
        <f>HYPERLINK("https://edmondsonsupply.com/products/kroil-sk102-penetrant-with-silicone-aka-silikroil-10oz-can", "https://edmondsonsupply.com/products/kroil-sk102-penetrant-with-silicone-aka-silikroil-10oz-can")</f>
        <v/>
      </c>
      <c r="C991" t="inlineStr">
        <is>
          <t>Kroil SK102 Penetrant With Silicone (AKA Silikroil) Aerosol 10oz Can</t>
        </is>
      </c>
      <c r="D991" t="inlineStr">
        <is>
          <t>Kroil Penetrating Oil with Silicone (Aerosol Spray-10oz Can-Case of 4) | Penetrant for Rusted Bolts, Metal | Lubricant for Hinges, Chains, Moving Parts (AZSK102C4)</t>
        </is>
      </c>
      <c r="E991" s="2">
        <f>HYPERLINK("https://www.amazon.com/Penetrating-Spray-10oz-Penetrant-Lubricant-AZSK102C4/dp/B08ZM6ND3L/ref=sr_1_3?keywords=Kroil+SK102+Penetrant+With+Silicone+%28AKA+Silikroil%29+Aerosol+10oz+Can&amp;qid=1694734908&amp;sr=8-3", "https://www.amazon.com/Penetrating-Spray-10oz-Penetrant-Lubricant-AZSK102C4/dp/B08ZM6ND3L/ref=sr_1_3?keywords=Kroil+SK102+Penetrant+With+Silicone+%28AKA+Silikroil%29+Aerosol+10oz+Can&amp;qid=1694734908&amp;sr=8-3")</f>
        <v/>
      </c>
      <c r="F991" t="inlineStr">
        <is>
          <t>B08ZM6ND3L</t>
        </is>
      </c>
      <c r="G991">
        <f>_xlfn.IMAGE("https://edmondsonsupply.com/cdn/shop/files/SK102.webp?v=1686780967")</f>
        <v/>
      </c>
      <c r="H991">
        <f>_xlfn.IMAGE("https://m.media-amazon.com/images/I/71MJwRmkqzS._AC_UY218_.jpg")</f>
        <v/>
      </c>
      <c r="K991" t="inlineStr">
        <is>
          <t>22.98</t>
        </is>
      </c>
      <c r="L991" t="n">
        <v>99.98999999999999</v>
      </c>
      <c r="M991" s="1" t="inlineStr">
        <is>
          <t>335.12%</t>
        </is>
      </c>
      <c r="N991" s="7" t="n">
        <v>126.05</v>
      </c>
      <c r="O991" t="n">
        <v>4.5</v>
      </c>
      <c r="P991" t="n">
        <v>16</v>
      </c>
      <c r="R991" t="inlineStr">
        <is>
          <t>InStock</t>
        </is>
      </c>
      <c r="S991" t="inlineStr">
        <is>
          <t>24.0</t>
        </is>
      </c>
      <c r="T991" t="inlineStr">
        <is>
          <t>8005755699416</t>
        </is>
      </c>
    </row>
    <row r="992" ht="87" customHeight="1">
      <c r="A992" s="2">
        <f>HYPERLINK("https://edmondsonsupply.com/collections/hvac/products/malco-tools-msh14-1-4-x-1-3-4-magnetic-hex-chuck-driver", "https://edmondsonsupply.com/collections/hvac/products/malco-tools-msh14-1-4-x-1-3-4-magnetic-hex-chuck-driver")</f>
        <v/>
      </c>
      <c r="B992" s="2">
        <f>HYPERLINK("https://edmondsonsupply.com/products/malco-tools-msh14-1-4-x-1-3-4-magnetic-hex-chuck-driver", "https://edmondsonsupply.com/products/malco-tools-msh14-1-4-x-1-3-4-magnetic-hex-chuck-driver")</f>
        <v/>
      </c>
      <c r="C992" t="inlineStr">
        <is>
          <t>Malco Tools MSH14 1/4" x 1-3/4" Magnetic Hex Chuck Driver</t>
        </is>
      </c>
      <c r="D992" t="inlineStr">
        <is>
          <t>Malco 5/16 &amp; 3/8 x 4" Dual Sided Hex Driver~ Cleanable, Reversible, Magnetic. Easy to Clean- MSHMLC1</t>
        </is>
      </c>
      <c r="E992" s="2">
        <f>HYPERLINK("https://www.amazon.com/Malco-Cleanable-Reversible-Magnetic-MSHMLC1/dp/B082Q8BR87/ref=sr_1_24?keywords=Malco+Tools+MSH14+1%2F4+x+1-3%2F4+Magnetic+Hex+Chuck+Driver&amp;qid=1694734703&amp;sr=8-24", "https://www.amazon.com/Malco-Cleanable-Reversible-Magnetic-MSHMLC1/dp/B082Q8BR87/ref=sr_1_24?keywords=Malco+Tools+MSH14+1%2F4+x+1-3%2F4+Magnetic+Hex+Chuck+Driver&amp;qid=1694734703&amp;sr=8-24")</f>
        <v/>
      </c>
      <c r="F992" t="inlineStr">
        <is>
          <t>B082Q8BR87</t>
        </is>
      </c>
      <c r="G992">
        <f>_xlfn.IMAGE("https://edmondsonsupply.com/cdn/shop/products/msh14_catalog-big.jpg?v=1633030977")</f>
        <v/>
      </c>
      <c r="H992">
        <f>_xlfn.IMAGE("https://m.media-amazon.com/images/I/31bkCvvpJML._AC_UL320_.jpg")</f>
        <v/>
      </c>
      <c r="K992" t="inlineStr">
        <is>
          <t>3.99</t>
        </is>
      </c>
      <c r="L992" t="n">
        <v>17.24</v>
      </c>
      <c r="M992" s="1" t="inlineStr">
        <is>
          <t>332.08%</t>
        </is>
      </c>
      <c r="N992" s="7" t="n">
        <v>125.96</v>
      </c>
      <c r="O992" t="n">
        <v>4.7</v>
      </c>
      <c r="P992" t="n">
        <v>1208</v>
      </c>
      <c r="R992" t="inlineStr">
        <is>
          <t>InStock</t>
        </is>
      </c>
      <c r="S992" t="inlineStr">
        <is>
          <t>undefined</t>
        </is>
      </c>
      <c r="T992" t="inlineStr">
        <is>
          <t>6649898303661</t>
        </is>
      </c>
    </row>
    <row r="993" ht="87" customHeight="1">
      <c r="A993" s="2">
        <f>HYPERLINK("https://edmondsonsupply.com/collections/hvac/products/malco-tools-msh14-1-4-x-1-3-4-magnetic-hex-chuck-driver", "https://edmondsonsupply.com/collections/hvac/products/malco-tools-msh14-1-4-x-1-3-4-magnetic-hex-chuck-driver")</f>
        <v/>
      </c>
      <c r="B993" s="2">
        <f>HYPERLINK("https://edmondsonsupply.com/products/malco-tools-msh14-1-4-x-1-3-4-magnetic-hex-chuck-driver", "https://edmondsonsupply.com/products/malco-tools-msh14-1-4-x-1-3-4-magnetic-hex-chuck-driver")</f>
        <v/>
      </c>
      <c r="C993" t="inlineStr">
        <is>
          <t>Malco Tools MSH14 1/4" x 1-3/4" Magnetic Hex Chuck Driver</t>
        </is>
      </c>
      <c r="D993" t="inlineStr">
        <is>
          <t>Malco MSHXL14 1/4" Extra Long Red Magnetic Hex Chuck Driver</t>
        </is>
      </c>
      <c r="E993" s="2">
        <f>HYPERLINK("https://www.amazon.com/Malco-MSHXL14-Chuck-Driver-Inch/dp/B0028TB140/ref=sr_1_1?keywords=Malco+Tools+MSH14+1%2F4+x+1-3%2F4+Magnetic+Hex+Chuck+Driver&amp;qid=1694734703&amp;sr=8-1", "https://www.amazon.com/Malco-MSHXL14-Chuck-Driver-Inch/dp/B0028TB140/ref=sr_1_1?keywords=Malco+Tools+MSH14+1%2F4+x+1-3%2F4+Magnetic+Hex+Chuck+Driver&amp;qid=1694734703&amp;sr=8-1")</f>
        <v/>
      </c>
      <c r="F993" t="inlineStr">
        <is>
          <t>B0028TB140</t>
        </is>
      </c>
      <c r="G993">
        <f>_xlfn.IMAGE("https://edmondsonsupply.com/cdn/shop/products/msh14_catalog-big.jpg?v=1633030977")</f>
        <v/>
      </c>
      <c r="H993">
        <f>_xlfn.IMAGE("https://m.media-amazon.com/images/I/51Tix0DBCCL._AC_UL320_.jpg")</f>
        <v/>
      </c>
      <c r="K993" t="inlineStr">
        <is>
          <t>3.99</t>
        </is>
      </c>
      <c r="L993" t="n">
        <v>17.17</v>
      </c>
      <c r="M993" s="1" t="inlineStr">
        <is>
          <t>330.33%</t>
        </is>
      </c>
      <c r="N993" s="7" t="n">
        <v>125.17</v>
      </c>
      <c r="O993" t="n">
        <v>4.7</v>
      </c>
      <c r="P993" t="n">
        <v>580</v>
      </c>
      <c r="R993" t="inlineStr">
        <is>
          <t>InStock</t>
        </is>
      </c>
      <c r="S993" t="inlineStr">
        <is>
          <t>undefined</t>
        </is>
      </c>
      <c r="T993" t="inlineStr">
        <is>
          <t>6649898303661</t>
        </is>
      </c>
    </row>
    <row r="994" ht="87" customHeight="1">
      <c r="A994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994" s="2">
        <f>HYPERLINK("https://edmondsonsupply.com/products/klein-tools-69417-rare-earth-magnetic-meter-hanger", "https://edmondsonsupply.com/products/klein-tools-69417-rare-earth-magnetic-meter-hanger")</f>
        <v/>
      </c>
      <c r="C994" t="inlineStr">
        <is>
          <t>Klein Tools 69417 Rare Earth Magnetic Meter Hanger, with Strap</t>
        </is>
      </c>
      <c r="D994" t="inlineStr">
        <is>
          <t>Klein Tools MM400 Multimeter, Digital Auto Ranging, AC/DC Voltage, Current, Capacitance, Frequency, Duty-Cycle, Diode, Continuity, Temp 600V &amp; 69417 Rare-Earth Magnetic Hanger, with Strap</t>
        </is>
      </c>
      <c r="E994" s="2">
        <f>HYPERLINK("https://www.amazon.com/Klein-Tools-Multimeter-Auto-Ranging-Magnetic/dp/B095RFF319/ref=sr_1_7?keywords=Klein+Tools+69417+Rare+Earth+Magnetic+Meter+Hanger%2C+with+Strap&amp;qid=1694734820&amp;sr=8-7", "https://www.amazon.com/Klein-Tools-Multimeter-Auto-Ranging-Magnetic/dp/B095RFF319/ref=sr_1_7?keywords=Klein+Tools+69417+Rare+Earth+Magnetic+Meter+Hanger%2C+with+Strap&amp;qid=1694734820&amp;sr=8-7")</f>
        <v/>
      </c>
      <c r="F994" t="inlineStr">
        <is>
          <t>B095RFF319</t>
        </is>
      </c>
      <c r="G994">
        <f>_xlfn.IMAGE("https://edmondsonsupply.com/cdn/shop/products/69417.jpg?v=1587150163")</f>
        <v/>
      </c>
      <c r="H994">
        <f>_xlfn.IMAGE("https://m.media-amazon.com/images/I/51JeRgf8UeS._AC_UL320_.jpg")</f>
        <v/>
      </c>
      <c r="K994" t="inlineStr">
        <is>
          <t>13.99</t>
        </is>
      </c>
      <c r="L994" t="n">
        <v>59.9</v>
      </c>
      <c r="M994" s="1" t="inlineStr">
        <is>
          <t>328.16%</t>
        </is>
      </c>
      <c r="N994" s="7" t="n">
        <v>125.16</v>
      </c>
      <c r="O994" t="n">
        <v>4.8</v>
      </c>
      <c r="P994" t="n">
        <v>37</v>
      </c>
      <c r="R994" t="inlineStr">
        <is>
          <t>InStock</t>
        </is>
      </c>
      <c r="S994" t="inlineStr">
        <is>
          <t>20.0</t>
        </is>
      </c>
      <c r="T994" t="inlineStr">
        <is>
          <t>1778073731172</t>
        </is>
      </c>
    </row>
    <row r="995" ht="87" customHeight="1">
      <c r="A995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995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995" t="inlineStr">
        <is>
          <t>Klein Tools 70550 Pro Folding Hex Key Set, 11-Key, SAE Sizes</t>
        </is>
      </c>
      <c r="D995" t="inlineStr">
        <is>
          <t>Klein Tools 80020 Tool Set with Lineman's Pliers, Diagonal Cutters, 3-Piece &amp; 70550 Hex Key Set, 11 SAE Sizes, Heavy Duty Folding Allen Wrench Tool with Extra Long Hex Keys</t>
        </is>
      </c>
      <c r="E995" s="2">
        <f>HYPERLINK("https://www.amazon.com/Klein-Tools-Linemans-Diagonal-Cutters/dp/B0B56MW82C/ref=sr_1_38?keywords=Klein+Tools+70550+Pro+Folding+Hex+Key+Set%2C+11-Key%2C+SAE+Sizes&amp;qid=1694734808&amp;sr=8-38", "https://www.amazon.com/Klein-Tools-Linemans-Diagonal-Cutters/dp/B0B56MW82C/ref=sr_1_38?keywords=Klein+Tools+70550+Pro+Folding+Hex+Key+Set%2C+11-Key%2C+SAE+Sizes&amp;qid=1694734808&amp;sr=8-38")</f>
        <v/>
      </c>
      <c r="F995" t="inlineStr">
        <is>
          <t>B0B56MW82C</t>
        </is>
      </c>
      <c r="G995">
        <f>_xlfn.IMAGE("https://edmondsonsupply.com/cdn/shop/products/70550.jpg?v=1587145237")</f>
        <v/>
      </c>
      <c r="H995">
        <f>_xlfn.IMAGE("https://m.media-amazon.com/images/I/51btyG0YCQL._AC_UL320_.jpg")</f>
        <v/>
      </c>
      <c r="K995" t="inlineStr">
        <is>
          <t>19.97</t>
        </is>
      </c>
      <c r="L995" t="n">
        <v>84.95999999999999</v>
      </c>
      <c r="M995" s="1" t="inlineStr">
        <is>
          <t>325.44%</t>
        </is>
      </c>
      <c r="N995" s="7" t="n">
        <v>125.16</v>
      </c>
      <c r="O995" t="n">
        <v>4.8</v>
      </c>
      <c r="P995" t="n">
        <v>8</v>
      </c>
      <c r="R995" t="inlineStr">
        <is>
          <t>InStock</t>
        </is>
      </c>
      <c r="S995" t="inlineStr">
        <is>
          <t>27.18</t>
        </is>
      </c>
      <c r="T995" t="inlineStr">
        <is>
          <t>3693538082916</t>
        </is>
      </c>
    </row>
    <row r="996" ht="87" customHeight="1">
      <c r="A996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996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996" t="inlineStr">
        <is>
          <t>Yellow Jacket 25002 9" FLEXFLOW™ 1/4" Adaper Hose with Ball Valve - Yellow</t>
        </is>
      </c>
      <c r="D996" t="inlineStr">
        <is>
          <t>Yellow Jacket 29986 Plus II 1/4" Hose with Compact Ball Valve, 72" (Pack of 3)</t>
        </is>
      </c>
      <c r="E996" s="2">
        <f>HYPERLINK("https://www.amazon.com/Yellow-Jacket-29986-Compact-Valve/dp/B0036UK0UQ/ref=sr_1_2?keywords=Yellow+Jacket+25002+9%22+FLEXFLOW%E2%84%A2+1%2F4%22+Adaper+Hose+with+Ball+Valve+-+Yellow&amp;qid=1694734728&amp;sr=8-2", "https://www.amazon.com/Yellow-Jacket-29986-Compact-Valve/dp/B0036UK0UQ/ref=sr_1_2?keywords=Yellow+Jacket+25002+9%22+FLEXFLOW%E2%84%A2+1%2F4%22+Adaper+Hose+with+Ball+Valve+-+Yellow&amp;qid=1694734728&amp;sr=8-2")</f>
        <v/>
      </c>
      <c r="F996" t="inlineStr">
        <is>
          <t>B0036UK0UQ</t>
        </is>
      </c>
      <c r="G996">
        <f>_xlfn.IMAGE("https://edmondsonsupply.com/cdn/shop/products/Yellow_Jacket_25002.jpg?v=1587150917")</f>
        <v/>
      </c>
      <c r="H996">
        <f>_xlfn.IMAGE("https://m.media-amazon.com/images/I/81U1hYka1XL._AC_UL320_.jpg")</f>
        <v/>
      </c>
      <c r="K996" t="inlineStr">
        <is>
          <t>35.54</t>
        </is>
      </c>
      <c r="L996" t="n">
        <v>151.07</v>
      </c>
      <c r="M996" s="1" t="inlineStr">
        <is>
          <t>325.07%</t>
        </is>
      </c>
      <c r="N996" s="7" t="n">
        <v>125.05</v>
      </c>
      <c r="O996" t="n">
        <v>4.8</v>
      </c>
      <c r="P996" t="n">
        <v>449</v>
      </c>
      <c r="R996" t="inlineStr">
        <is>
          <t>InStock</t>
        </is>
      </c>
      <c r="S996" t="inlineStr">
        <is>
          <t>undefined</t>
        </is>
      </c>
      <c r="T996" t="inlineStr">
        <is>
          <t>2633213739108</t>
        </is>
      </c>
    </row>
    <row r="997" ht="87" customHeight="1">
      <c r="A997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997" s="2">
        <f>HYPERLINK("https://edmondsonsupply.com/products/packard-pmj216-motor-start-capacitor-216-259-mfd-110-125-vac", "https://edmondsonsupply.com/products/packard-pmj216-motor-start-capacitor-216-259-mfd-110-125-vac")</f>
        <v/>
      </c>
      <c r="C997" t="inlineStr">
        <is>
          <t>Packard PMJ216 Motor Start Capacitor 216-259 MFD 110-125 VAC</t>
        </is>
      </c>
      <c r="D997" t="inlineStr">
        <is>
          <t>Appli Parts motor start capacitor 216-259 Mfd (microfarads) uF 110-125 VAC universal fit for electric motor applications 1-7/16 in Diameter 3-3/8 in Height CON-216-110</t>
        </is>
      </c>
      <c r="E997" s="2">
        <f>HYPERLINK("https://www.amazon.com/Capacitor-microfarads-Universal-Electric-Applications/dp/B01FK7CCQ2/ref=sr_1_8?keywords=Packard+PMJ216+Motor+Start+Capacitor+216-259+MFD+110-125+VAC&amp;qid=1694734654&amp;sr=8-8", "https://www.amazon.com/Capacitor-microfarads-Universal-Electric-Applications/dp/B01FK7CCQ2/ref=sr_1_8?keywords=Packard+PMJ216+Motor+Start+Capacitor+216-259+MFD+110-125+VAC&amp;qid=1694734654&amp;sr=8-8")</f>
        <v/>
      </c>
      <c r="F997" t="inlineStr">
        <is>
          <t>B01FK7CCQ2</t>
        </is>
      </c>
      <c r="G997">
        <f>_xlfn.IMAGE("https://edmondsonsupply.com/cdn/shop/products/PMJ216-2.jpg?v=1633030107")</f>
        <v/>
      </c>
      <c r="H997">
        <f>_xlfn.IMAGE("https://m.media-amazon.com/images/I/51A-z928XRL._AC_UY218_.jpg")</f>
        <v/>
      </c>
      <c r="K997" t="inlineStr">
        <is>
          <t>3.63</t>
        </is>
      </c>
      <c r="L997" t="n">
        <v>15.39</v>
      </c>
      <c r="M997" s="1" t="inlineStr">
        <is>
          <t>323.97%</t>
        </is>
      </c>
      <c r="N997" s="7" t="n">
        <v>125.04</v>
      </c>
      <c r="O997" t="n">
        <v>4.5</v>
      </c>
      <c r="P997" t="n">
        <v>1387</v>
      </c>
      <c r="R997" t="inlineStr">
        <is>
          <t>InStock</t>
        </is>
      </c>
      <c r="S997" t="inlineStr">
        <is>
          <t>undefined</t>
        </is>
      </c>
      <c r="T997" t="inlineStr">
        <is>
          <t>3600549642340</t>
        </is>
      </c>
    </row>
    <row r="998" ht="87" customHeight="1">
      <c r="A998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998" s="2">
        <f>HYPERLINK("https://edmondsonsupply.com/products/klein-tools-630m-magnetic-nut-driver-set-3-inch-shafts-2-piece", "https://edmondsonsupply.com/products/klein-tools-630m-magnetic-nut-driver-set-3-inch-shafts-2-piece")</f>
        <v/>
      </c>
      <c r="C998" t="inlineStr">
        <is>
          <t>Klein Tools 630M Magnetic Nut Driver Set, 3-Inch Shafts, 2-Piece</t>
        </is>
      </c>
      <c r="D998" t="inlineStr">
        <is>
          <t>Klein Tools 647M Tool Set, Magnetic Nut Drivers Sizes 3/16, 1/4, 5/16, 11/32, 3/8, 7/16, 1/2-Inch, 6-Inch Hollow Shafts, 7-Piece</t>
        </is>
      </c>
      <c r="E998" s="2">
        <f>HYPERLINK("https://www.amazon.com/Klein-Tools-647M-Magnetic-7-Piece/dp/B000MKIUYQ/ref=sr_1_10?keywords=Klein+Tools+630M+Magnetic+Nut+Driver+Set%2C+3-Inch+Shafts%2C+2-Piece&amp;qid=1694734796&amp;sr=8-10", "https://www.amazon.com/Klein-Tools-647M-Magnetic-7-Piece/dp/B000MKIUYQ/ref=sr_1_10?keywords=Klein+Tools+630M+Magnetic+Nut+Driver+Set%2C+3-Inch+Shafts%2C+2-Piece&amp;qid=1694734796&amp;sr=8-10")</f>
        <v/>
      </c>
      <c r="F998" t="inlineStr">
        <is>
          <t>B000MKIUYQ</t>
        </is>
      </c>
      <c r="G998">
        <f>_xlfn.IMAGE("https://edmondsonsupply.com/cdn/shop/products/630m.jpg?v=1587143237")</f>
        <v/>
      </c>
      <c r="H998">
        <f>_xlfn.IMAGE("https://m.media-amazon.com/images/I/61PNUE211uL._AC_UL320_.jpg")</f>
        <v/>
      </c>
      <c r="K998" t="inlineStr">
        <is>
          <t>18.99</t>
        </is>
      </c>
      <c r="L998" t="n">
        <v>79.98999999999999</v>
      </c>
      <c r="M998" s="1" t="inlineStr">
        <is>
          <t>321.22%</t>
        </is>
      </c>
      <c r="N998" s="7" t="n">
        <v>124.89</v>
      </c>
      <c r="O998" t="n">
        <v>4.8</v>
      </c>
      <c r="P998" t="n">
        <v>985</v>
      </c>
      <c r="R998" t="inlineStr">
        <is>
          <t>InStock</t>
        </is>
      </c>
      <c r="S998" t="inlineStr">
        <is>
          <t>28.78</t>
        </is>
      </c>
      <c r="T998" t="inlineStr">
        <is>
          <t>4508216787044</t>
        </is>
      </c>
    </row>
    <row r="999" ht="87" customHeight="1">
      <c r="A999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999" s="2">
        <f>HYPERLINK("https://edmondsonsupply.com/products/klein-tools-630m-magnetic-nut-driver-set-3-inch-shafts-2-piece", "https://edmondsonsupply.com/products/klein-tools-630m-magnetic-nut-driver-set-3-inch-shafts-2-piece")</f>
        <v/>
      </c>
      <c r="C999" t="inlineStr">
        <is>
          <t>Klein Tools 630M Magnetic Nut Driver Set, 3-Inch Shafts, 2-Piece</t>
        </is>
      </c>
      <c r="D999" t="inlineStr">
        <is>
          <t>Klein Tools 635-6 Tool Set, Heavy Duty Magnetic Nut Drivers SAE Sizes 1/4, 5/16, 3/8, 7/16, 1/2, and 9/16-Inch Hex, 6-Inch, 6-Piece</t>
        </is>
      </c>
      <c r="E999" s="2">
        <f>HYPERLINK("https://www.amazon.com/Heavy-Duty-Driver-6-Piece-Klein-Tools/dp/B01DKNDHGM/ref=sr_1_9?keywords=Klein+Tools+630M+Magnetic+Nut+Driver+Set%2C+3-Inch+Shafts%2C+2-Piece&amp;qid=1694734796&amp;sr=8-9", "https://www.amazon.com/Heavy-Duty-Driver-6-Piece-Klein-Tools/dp/B01DKNDHGM/ref=sr_1_9?keywords=Klein+Tools+630M+Magnetic+Nut+Driver+Set%2C+3-Inch+Shafts%2C+2-Piece&amp;qid=1694734796&amp;sr=8-9")</f>
        <v/>
      </c>
      <c r="F999" t="inlineStr">
        <is>
          <t>B01DKNDHGM</t>
        </is>
      </c>
      <c r="G999">
        <f>_xlfn.IMAGE("https://edmondsonsupply.com/cdn/shop/products/630m.jpg?v=1587143237")</f>
        <v/>
      </c>
      <c r="H999">
        <f>_xlfn.IMAGE("https://m.media-amazon.com/images/I/61eypCy1RLL._AC_UL320_.jpg")</f>
        <v/>
      </c>
      <c r="K999" t="inlineStr">
        <is>
          <t>18.99</t>
        </is>
      </c>
      <c r="L999" t="n">
        <v>79.98999999999999</v>
      </c>
      <c r="M999" s="1" t="inlineStr">
        <is>
          <t>321.22%</t>
        </is>
      </c>
      <c r="N999" s="7" t="n">
        <v>124.46</v>
      </c>
      <c r="O999" t="n">
        <v>4.7</v>
      </c>
      <c r="P999" t="n">
        <v>943</v>
      </c>
      <c r="R999" t="inlineStr">
        <is>
          <t>InStock</t>
        </is>
      </c>
      <c r="S999" t="inlineStr">
        <is>
          <t>28.78</t>
        </is>
      </c>
      <c r="T999" t="inlineStr">
        <is>
          <t>4508216787044</t>
        </is>
      </c>
    </row>
    <row r="1000" ht="87" customHeight="1">
      <c r="A1000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1000" s="2">
        <f>HYPERLINK("https://edmondsonsupply.com/products/klein-tools-pnd-12-5-1-2-inch-power-nut-driver-5-inch-length", "https://edmondsonsupply.com/products/klein-tools-pnd-12-5-1-2-inch-power-nut-driver-5-inch-length")</f>
        <v/>
      </c>
      <c r="C1000" t="inlineStr">
        <is>
          <t>Klein Tools PND-12-5 1/2-Inch Power Nut Driver 5-Inch Length</t>
        </is>
      </c>
      <c r="D1000" t="inlineStr">
        <is>
          <t>Klein Tools 635-6 Tool Set, Heavy Duty Magnetic Nut Drivers SAE Sizes 1/4, 5/16, 3/8, 7/16, 1/2, and 9/16-Inch Hex, 6-Inch, 6-Piece</t>
        </is>
      </c>
      <c r="E1000" s="2">
        <f>HYPERLINK("https://www.amazon.com/Heavy-Duty-Driver-6-Piece-Klein-Tools/dp/B01DKNDHGM/ref=sr_1_5?keywords=Klein+Tools+PND-12-5+1%2F2-Inch+Power+Nut+Driver+5-Inch+Length&amp;qid=1694734708&amp;sr=8-5", "https://www.amazon.com/Heavy-Duty-Driver-6-Piece-Klein-Tools/dp/B01DKNDHGM/ref=sr_1_5?keywords=Klein+Tools+PND-12-5+1%2F2-Inch+Power+Nut+Driver+5-Inch+Length&amp;qid=1694734708&amp;sr=8-5")</f>
        <v/>
      </c>
      <c r="F1000" t="inlineStr">
        <is>
          <t>B01DKNDHGM</t>
        </is>
      </c>
      <c r="G1000">
        <f>_xlfn.IMAGE("https://edmondsonsupply.com/cdn/shop/products/pnd125.jpg?v=1633031028")</f>
        <v/>
      </c>
      <c r="H1000">
        <f>_xlfn.IMAGE("https://m.media-amazon.com/images/I/61eypCy1RLL._AC_UL320_.jpg")</f>
        <v/>
      </c>
      <c r="K1000" t="inlineStr">
        <is>
          <t>18.99</t>
        </is>
      </c>
      <c r="L1000" t="n">
        <v>79.98999999999999</v>
      </c>
      <c r="M1000" s="1" t="inlineStr">
        <is>
          <t>321.22%</t>
        </is>
      </c>
      <c r="N1000" s="7" t="n">
        <v>124.23</v>
      </c>
      <c r="O1000" t="n">
        <v>4.7</v>
      </c>
      <c r="P1000" t="n">
        <v>943</v>
      </c>
      <c r="R1000" t="inlineStr">
        <is>
          <t>InStock</t>
        </is>
      </c>
      <c r="S1000" t="inlineStr">
        <is>
          <t>30.98</t>
        </is>
      </c>
      <c r="T1000" t="inlineStr">
        <is>
          <t>6729466445997</t>
        </is>
      </c>
    </row>
    <row r="1001" hidden="1" ht="15.75" customHeight="1">
      <c r="A1001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1001" s="2">
        <f>HYPERLINK("https://edmondsonsupply.com/products/cambridge-1-2-pvc-liquid-tight-conduit-fitting-straight", "https://edmondsonsupply.com/products/cambridge-1-2-pvc-liquid-tight-conduit-fitting-straight")</f>
        <v/>
      </c>
      <c r="C1001" t="inlineStr">
        <is>
          <t>Cambridge 1/2" PVC Liquid Tight Conduit Fitting - Straight</t>
        </is>
      </c>
      <c r="D1001" t="inlineStr">
        <is>
          <t>LifCratms 2Pcs 1/2" NPT Liquid-Tight Connector, 90-Degree Electrical Conduit Connector Fitting Flexible Conduit Fittings</t>
        </is>
      </c>
      <c r="E1001" s="2">
        <f>HYPERLINK("https://www.amazon.com/LifCratms-Liquid-Tight-Connector-90-Degree-Electrical/dp/B0BJJVBYL5/ref=sr_1_25?keywords=Cambridge+1%2F2%22+PVC+Liquid+Tight+Conduit+Fitting+-+Straight&amp;qid=1694734855&amp;sr=8-25", "https://www.amazon.com/LifCratms-Liquid-Tight-Connector-90-Degree-Electrical/dp/B0BJJVBYL5/ref=sr_1_25?keywords=Cambridge+1%2F2%22+PVC+Liquid+Tight+Conduit+Fitting+-+Straight&amp;qid=1694734855&amp;sr=8-25")</f>
        <v/>
      </c>
      <c r="F1001" t="inlineStr">
        <is>
          <t>B0BJJVBYL5</t>
        </is>
      </c>
      <c r="G1001">
        <f>_xludf.IMAGE("https://edmondsonsupply.com/cdn/shop/files/W14658_01.jpg?v=1692277178")</f>
        <v/>
      </c>
      <c r="H1001">
        <f>_xludf.IMAGE("https://m.media-amazon.com/images/I/61xtyqGMY4L._AC_UL320_.jpg")</f>
        <v/>
      </c>
      <c r="K1001" t="inlineStr">
        <is>
          <t>1.19</t>
        </is>
      </c>
      <c r="L1001" t="n">
        <v>4.99</v>
      </c>
      <c r="M1001" s="1" t="inlineStr">
        <is>
          <t>319.33%</t>
        </is>
      </c>
      <c r="N1001" s="1" t="n">
        <v>122.7</v>
      </c>
      <c r="O1001" t="n">
        <v>4.7</v>
      </c>
      <c r="P1001" t="n">
        <v>4</v>
      </c>
      <c r="R1001" t="inlineStr">
        <is>
          <t>InStock</t>
        </is>
      </c>
      <c r="S1001" t="inlineStr">
        <is>
          <t>undefined</t>
        </is>
      </c>
      <c r="T1001" t="inlineStr">
        <is>
          <t>8028223144152</t>
        </is>
      </c>
    </row>
    <row r="1002" ht="87" customHeight="1">
      <c r="A1002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002" s="2">
        <f>HYPERLINK("https://edmondsonsupply.com/products/klein-tools-646-5-16-5-16-inch-nut-driver-6-inch-hollow-shaft", "https://edmondsonsupply.com/products/klein-tools-646-5-16-5-16-inch-nut-driver-6-inch-hollow-shaft")</f>
        <v/>
      </c>
      <c r="C1002" t="inlineStr">
        <is>
          <t>Klein Tools 646-5/16 5/16-Inch Nut Driver, 6-Inch Hollow Shaft</t>
        </is>
      </c>
      <c r="D1002" t="inlineStr">
        <is>
          <t>Klein Tools 646M Tool Set, Magnetic Nut Drivers Sizes 1/4 and 5/16-Inch, 6-Inch Shafts, 2-Piece &amp; 32561 Multi-Bit Screwdriver/Nut Driver, 6-in-1 Stubby Screwdriver with 2 Phillips</t>
        </is>
      </c>
      <c r="E1002" s="2">
        <f>HYPERLINK("https://www.amazon.com/Klein-Tools-Magnetic-Multi-Bit-Screwdriver/dp/B09Z921195/ref=sr_1_15?keywords=Klein+Tools+646-5%2F16+5%2F16-Inch+Nut+Driver%2C+6-Inch+Hollow+Shaft&amp;qid=1694734728&amp;sr=8-15", "https://www.amazon.com/Klein-Tools-Magnetic-Multi-Bit-Screwdriver/dp/B09Z921195/ref=sr_1_15?keywords=Klein+Tools+646-5%2F16+5%2F16-Inch+Nut+Driver%2C+6-Inch+Hollow+Shaft&amp;qid=1694734728&amp;sr=8-15")</f>
        <v/>
      </c>
      <c r="F1002" t="inlineStr">
        <is>
          <t>B09Z921195</t>
        </is>
      </c>
      <c r="G1002">
        <f>_xlfn.IMAGE("https://edmondsonsupply.com/cdn/shop/products/646-1-2_e1540905-f750-4509-90c5-74ff653e4d83.jpg?v=1587145119")</f>
        <v/>
      </c>
      <c r="H1002">
        <f>_xlfn.IMAGE("https://m.media-amazon.com/images/I/41K5zjxWQKL._AC_UL320_.jpg")</f>
        <v/>
      </c>
      <c r="K1002" t="inlineStr">
        <is>
          <t>7.99</t>
        </is>
      </c>
      <c r="L1002" t="n">
        <v>33.31</v>
      </c>
      <c r="M1002" s="1" t="inlineStr">
        <is>
          <t>316.90%</t>
        </is>
      </c>
      <c r="N1002" s="7" t="n">
        <v>121.45</v>
      </c>
      <c r="O1002" t="n">
        <v>5</v>
      </c>
      <c r="P1002" t="n">
        <v>1</v>
      </c>
      <c r="R1002" t="inlineStr">
        <is>
          <t>InStock</t>
        </is>
      </c>
      <c r="S1002" t="inlineStr">
        <is>
          <t>12.1</t>
        </is>
      </c>
      <c r="T1002" t="inlineStr">
        <is>
          <t>4395303272548</t>
        </is>
      </c>
    </row>
    <row r="1003" ht="87" customHeight="1">
      <c r="A1003" s="2">
        <f>HYPERLINK("https://edmondsonsupply.com/collections/hvac/products/packard-trc25-titan-pro-run-capacitor-25-mfd-370-volt-round", "https://edmondsonsupply.com/collections/hvac/products/packard-trc25-titan-pro-run-capacitor-25-mfd-370-volt-round")</f>
        <v/>
      </c>
      <c r="B1003" s="2">
        <f>HYPERLINK("https://edmondsonsupply.com/products/packard-trc25-titan-pro-run-capacitor-25-mfd-370-volt-round", "https://edmondsonsupply.com/products/packard-trc25-titan-pro-run-capacitor-25-mfd-370-volt-round")</f>
        <v/>
      </c>
      <c r="C1003" t="inlineStr">
        <is>
          <t>Packard TRC25 TITAN PRO Run Capacitor 25 MFD 370 Volt, Round</t>
        </is>
      </c>
      <c r="D1003" t="inlineStr">
        <is>
          <t>Packard TOCFD255 Titan Pro Motor Run Capacitor 25+5 MFD 440/370V OVAL Capacitor</t>
        </is>
      </c>
      <c r="E1003" s="2">
        <f>HYPERLINK("https://www.amazon.com/Packard-TOCFD255-Titan-Motor-Capacitor/dp/B009558O8G/ref=sr_1_9?keywords=Packard+TRC25+TITAN+PRO+Run+Capacitor+25+MFD+370+Volt%2C+Round&amp;qid=1694734783&amp;sr=8-9", "https://www.amazon.com/Packard-TOCFD255-Titan-Motor-Capacitor/dp/B009558O8G/ref=sr_1_9?keywords=Packard+TRC25+TITAN+PRO+Run+Capacitor+25+MFD+370+Volt%2C+Round&amp;qid=1694734783&amp;sr=8-9")</f>
        <v/>
      </c>
      <c r="F1003" t="inlineStr">
        <is>
          <t>B009558O8G</t>
        </is>
      </c>
      <c r="G1003">
        <f>_xlfn.IMAGE("https://edmondsonsupply.com/cdn/shop/products/TRC25-2.jpg?v=1633030571")</f>
        <v/>
      </c>
      <c r="H1003">
        <f>_xlfn.IMAGE("https://m.media-amazon.com/images/I/51ZHG4pO0nL._AC_UY218_.jpg")</f>
        <v/>
      </c>
      <c r="K1003" t="inlineStr">
        <is>
          <t>4.08</t>
        </is>
      </c>
      <c r="L1003" t="n">
        <v>16.79</v>
      </c>
      <c r="M1003" s="1" t="inlineStr">
        <is>
          <t>311.52%</t>
        </is>
      </c>
      <c r="N1003" s="7" t="n">
        <v>121.11</v>
      </c>
      <c r="O1003" t="n">
        <v>4.5</v>
      </c>
      <c r="P1003" t="n">
        <v>42</v>
      </c>
      <c r="R1003" t="inlineStr">
        <is>
          <t>InStock</t>
        </is>
      </c>
      <c r="S1003" t="inlineStr">
        <is>
          <t>undefined</t>
        </is>
      </c>
      <c r="T1003" t="inlineStr">
        <is>
          <t>5481010167976</t>
        </is>
      </c>
    </row>
    <row r="1004" hidden="1" ht="15.75" customHeight="1">
      <c r="A1004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004" s="2">
        <f>HYPERLINK("https://edmondsonsupply.com/products/packard-pmj216-motor-start-capacitor-216-259-mfd-110-125-vac", "https://edmondsonsupply.com/products/packard-pmj216-motor-start-capacitor-216-259-mfd-110-125-vac")</f>
        <v/>
      </c>
      <c r="C1004" t="inlineStr">
        <is>
          <t>Packard PMJ216 Motor Start Capacitor 216-259 MFD 110-125 VAC</t>
        </is>
      </c>
      <c r="D1004" t="inlineStr">
        <is>
          <t>JOCOSA Motor Start Capacitor 216-259 uf/MFD 110-125 VAC 50/60 Hz AC Electric Round Start Capacitor Universal Replacement for Electric Motor Applications</t>
        </is>
      </c>
      <c r="E1004" s="2">
        <f>HYPERLINK("https://www.amazon.com/JOCOSA-Capacitor-Universal-Replacement-Applications/dp/B0C88Z67NN/ref=sr_1_7?keywords=Packard+PMJ216+Motor+Start+Capacitor+216-259+MFD+110-125+VAC&amp;qid=1694734654&amp;sr=8-7", "https://www.amazon.com/JOCOSA-Capacitor-Universal-Replacement-Applications/dp/B0C88Z67NN/ref=sr_1_7?keywords=Packard+PMJ216+Motor+Start+Capacitor+216-259+MFD+110-125+VAC&amp;qid=1694734654&amp;sr=8-7")</f>
        <v/>
      </c>
      <c r="F1004" t="inlineStr">
        <is>
          <t>B0C88Z67NN</t>
        </is>
      </c>
      <c r="G1004">
        <f>_xludf.IMAGE("https://edmondsonsupply.com/cdn/shop/products/PMJ216-2.jpg?v=1633030107")</f>
        <v/>
      </c>
      <c r="H1004">
        <f>_xludf.IMAGE("https://m.media-amazon.com/images/I/51o934PIk3L._AC_UY218_.jpg")</f>
        <v/>
      </c>
      <c r="K1004" t="inlineStr">
        <is>
          <t>3.63</t>
        </is>
      </c>
      <c r="L1004" t="n">
        <v>14.89</v>
      </c>
      <c r="M1004" s="1" t="inlineStr">
        <is>
          <t>310.19%</t>
        </is>
      </c>
      <c r="N1004" s="1" t="n">
        <v>121.02</v>
      </c>
      <c r="O1004" t="n">
        <v>5</v>
      </c>
      <c r="P1004" t="n">
        <v>3</v>
      </c>
      <c r="R1004" t="inlineStr">
        <is>
          <t>InStock</t>
        </is>
      </c>
      <c r="S1004" t="inlineStr">
        <is>
          <t>undefined</t>
        </is>
      </c>
      <c r="T1004" t="inlineStr">
        <is>
          <t>3600549642340</t>
        </is>
      </c>
    </row>
    <row r="1005" ht="87" customHeight="1">
      <c r="A1005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005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005" t="inlineStr">
        <is>
          <t>Diablo Tools DMAPL4250 3/4 in. x 8 in. x 10 in. Rebar Demon™ SDS-Plus 4-Cutter Full Carbide Head Hammer Drill Bit</t>
        </is>
      </c>
      <c r="D1005" t="inlineStr">
        <is>
          <t>Diablo by Freud DMAPL4180-P25 1/2 in. x 4 in. x 6 in. Rebar Demon SDS-Plus 4-Cutter Full Carbide Head Hammer Bit (25-Pack) Multi, One Size</t>
        </is>
      </c>
      <c r="E1005" s="2">
        <f>HYPERLINK("https://www.amazon.com/Diablo-Rebar-4-Cutter-Carbide-Hammer/dp/B089LGWV7F/ref=sr_1_44?keywords=Diablo+Tools+DMAPL4250+3%2F4+in.+x+8+in.+x+10+in.+Rebar+Demon%E2%84%A2+SDS-Plus+4-Cutter+Full+Carbide+Head+Hammer+Drill+Bit&amp;qid=1694734913&amp;sr=8-44", "https://www.amazon.com/Diablo-Rebar-4-Cutter-Carbide-Hammer/dp/B089LGWV7F/ref=sr_1_44?keywords=Diablo+Tools+DMAPL4250+3%2F4+in.+x+8+in.+x+10+in.+Rebar+Demon%E2%84%A2+SDS-Plus+4-Cutter+Full+Carbide+Head+Hammer+Drill+Bit&amp;qid=1694734913&amp;sr=8-44")</f>
        <v/>
      </c>
      <c r="F1005" t="inlineStr">
        <is>
          <t>B089LGWV7F</t>
        </is>
      </c>
      <c r="G1005">
        <f>_xlfn.IMAGE("https://edmondsonsupply.com/cdn/shop/files/rltcbi253wmfv6otmtz6.webp?v=1686576913")</f>
        <v/>
      </c>
      <c r="H1005">
        <f>_xlfn.IMAGE("https://m.media-amazon.com/images/I/61q9iw+mKpL._AC_UL320_.jpg")</f>
        <v/>
      </c>
      <c r="K1005" t="inlineStr">
        <is>
          <t>24.47</t>
        </is>
      </c>
      <c r="L1005" t="n">
        <v>99.98999999999999</v>
      </c>
      <c r="M1005" s="1" t="inlineStr">
        <is>
          <t>308.62%</t>
        </is>
      </c>
      <c r="N1005" s="7" t="n">
        <v>121.01</v>
      </c>
      <c r="O1005" t="n">
        <v>5</v>
      </c>
      <c r="P1005" t="n">
        <v>2</v>
      </c>
      <c r="R1005" t="inlineStr">
        <is>
          <t>InStock</t>
        </is>
      </c>
      <c r="S1005" t="inlineStr">
        <is>
          <t>38.21</t>
        </is>
      </c>
      <c r="T1005" t="inlineStr">
        <is>
          <t>8004486168792</t>
        </is>
      </c>
    </row>
    <row r="1006" hidden="1" ht="15.75" customHeight="1">
      <c r="A1006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006" s="2">
        <f>HYPERLINK("https://edmondsonsupply.com/products/packard-pmj216-motor-start-capacitor-216-259-mfd-110-125-vac", "https://edmondsonsupply.com/products/packard-pmj216-motor-start-capacitor-216-259-mfd-110-125-vac")</f>
        <v/>
      </c>
      <c r="C1006" t="inlineStr">
        <is>
          <t>Packard PMJ216 Motor Start Capacitor 216-259 MFD 110-125 VAC</t>
        </is>
      </c>
      <c r="D1006" t="inlineStr">
        <is>
          <t>CD60 110-125 VAC 216-259 uf/MFD Round Motor Start Capacitor Replacement Parts, Fit for Central Air-Conditioners, Condenser Fan Motors and Heat Pumps</t>
        </is>
      </c>
      <c r="E1006" s="2">
        <f>HYPERLINK("https://www.amazon.com/110-125-Capacitor-Replacement-Air-Conditioners-Condenser/dp/B0C88MRHSB/ref=sr_1_13?keywords=Packard+PMJ216+Motor+Start+Capacitor+216-259+MFD+110-125+VAC&amp;qid=1694734654&amp;sr=8-13", "https://www.amazon.com/110-125-Capacitor-Replacement-Air-Conditioners-Condenser/dp/B0C88MRHSB/ref=sr_1_13?keywords=Packard+PMJ216+Motor+Start+Capacitor+216-259+MFD+110-125+VAC&amp;qid=1694734654&amp;sr=8-13")</f>
        <v/>
      </c>
      <c r="F1006" t="inlineStr">
        <is>
          <t>B0C88MRHSB</t>
        </is>
      </c>
      <c r="G1006">
        <f>_xludf.IMAGE("https://edmondsonsupply.com/cdn/shop/products/PMJ216-2.jpg?v=1633030107")</f>
        <v/>
      </c>
      <c r="H1006">
        <f>_xludf.IMAGE("https://m.media-amazon.com/images/I/61Rlk07YdtL._AC_UY218_.jpg")</f>
        <v/>
      </c>
      <c r="K1006" t="inlineStr">
        <is>
          <t>3.63</t>
        </is>
      </c>
      <c r="L1006" t="n">
        <v>14.79</v>
      </c>
      <c r="M1006" s="1" t="inlineStr">
        <is>
          <t>307.44%</t>
        </is>
      </c>
      <c r="N1006" s="1" t="n">
        <v>120.05</v>
      </c>
      <c r="O1006" t="n">
        <v>5</v>
      </c>
      <c r="P1006" t="n">
        <v>6</v>
      </c>
      <c r="R1006" t="inlineStr">
        <is>
          <t>InStock</t>
        </is>
      </c>
      <c r="S1006" t="inlineStr">
        <is>
          <t>undefined</t>
        </is>
      </c>
      <c r="T1006" t="inlineStr">
        <is>
          <t>3600549642340</t>
        </is>
      </c>
    </row>
    <row r="1007" hidden="1" ht="15.75" customHeight="1">
      <c r="A1007" s="2">
        <f>HYPERLINK("https://edmondsonsupply.com/collections/hvac/products/cambridge-3-4-pvc-liquid-tight-conduit-fitting-straight", "https://edmondsonsupply.com/collections/hvac/products/cambridge-3-4-pvc-liquid-tight-conduit-fitting-straight")</f>
        <v/>
      </c>
      <c r="B1007" s="2">
        <f>HYPERLINK("https://edmondsonsupply.com/products/cambridge-3-4-pvc-liquid-tight-conduit-fitting-straight", "https://edmondsonsupply.com/products/cambridge-3-4-pvc-liquid-tight-conduit-fitting-straight")</f>
        <v/>
      </c>
      <c r="C1007" t="inlineStr">
        <is>
          <t>Cambridge 3/4" PVC Liquid Tight Conduit Fitting - Straight</t>
        </is>
      </c>
      <c r="D1007" t="inlineStr">
        <is>
          <t>Sigma Engineered Solutions ProConnex 49431 Liquid-Tight Straight Connector 3/4-Inch Conduit Fitting, 1-Pack, Gray</t>
        </is>
      </c>
      <c r="E1007" s="2">
        <f>HYPERLINK("https://www.amazon.com/Sigma-Electric-ProConnex-49431-Liquid-Tight/dp/B000GATQ9K/ref=sr_1_10?keywords=Cambridge+3%2F4%22+PVC+Liquid+Tight+Conduit+Fitting+-+Straight&amp;qid=1694734855&amp;sr=8-10", "https://www.amazon.com/Sigma-Electric-ProConnex-49431-Liquid-Tight/dp/B000GATQ9K/ref=sr_1_10?keywords=Cambridge+3%2F4%22+PVC+Liquid+Tight+Conduit+Fitting+-+Straight&amp;qid=1694734855&amp;sr=8-10")</f>
        <v/>
      </c>
      <c r="F1007" t="inlineStr">
        <is>
          <t>B000GATQ9K</t>
        </is>
      </c>
      <c r="G1007">
        <f>_xludf.IMAGE("https://edmondsonsupply.com/cdn/shop/files/W14656_01.jpg?v=1692277615")</f>
        <v/>
      </c>
      <c r="H1007">
        <f>_xludf.IMAGE("https://m.media-amazon.com/images/I/61bVrAiRpBL._AC_UL320_.jpg")</f>
        <v/>
      </c>
      <c r="K1007" t="inlineStr">
        <is>
          <t>1.5</t>
        </is>
      </c>
      <c r="L1007" t="n">
        <v>6.1</v>
      </c>
      <c r="M1007" s="1" t="inlineStr">
        <is>
          <t>306.67%</t>
        </is>
      </c>
      <c r="N1007" s="1" t="n">
        <v>120.01</v>
      </c>
      <c r="O1007" t="n">
        <v>4.6</v>
      </c>
      <c r="P1007" t="n">
        <v>4</v>
      </c>
      <c r="R1007" t="inlineStr">
        <is>
          <t>InStock</t>
        </is>
      </c>
      <c r="S1007" t="inlineStr">
        <is>
          <t>undefined</t>
        </is>
      </c>
      <c r="T1007" t="inlineStr">
        <is>
          <t>8028223897816</t>
        </is>
      </c>
    </row>
    <row r="1008" ht="87" customHeight="1">
      <c r="A1008" s="2">
        <f>HYPERLINK("https://edmondsonsupply.com/collections/hvac/products/packard-prmj130-motor-start-capacitor-130-158-mfd-330-vac", "https://edmondsonsupply.com/collections/hvac/products/packard-prmj130-motor-start-capacitor-130-158-mfd-330-vac")</f>
        <v/>
      </c>
      <c r="B1008" s="2">
        <f>HYPERLINK("https://edmondsonsupply.com/products/packard-prmj130-motor-start-capacitor-130-158-mfd-330-vac", "https://edmondsonsupply.com/products/packard-prmj130-motor-start-capacitor-130-158-mfd-330-vac")</f>
        <v/>
      </c>
      <c r="C1008" t="inlineStr">
        <is>
          <t>Packard PRMJ130 Motor Start Capacitor 130-158 MFD 330 VAC</t>
        </is>
      </c>
      <c r="D1008" t="inlineStr">
        <is>
          <t>Appli Parts motor start capacitor 130-156 Mfd (microfarads) uF 330 VAC universal fit for electric motor applications 1-7/16 in Wide 3-3/8 in Height CON-130-330</t>
        </is>
      </c>
      <c r="E1008" s="2">
        <f>HYPERLINK("https://www.amazon.com/capacitor-microfarads-universal-electric-applications/dp/B01FSQQ0AO/ref=sr_1_15?keywords=Packard+PRMJ130+Motor+Start+Capacitor+130-158+MFD+330+VAC&amp;qid=1694734803&amp;sr=8-15", "https://www.amazon.com/capacitor-microfarads-universal-electric-applications/dp/B01FSQQ0AO/ref=sr_1_15?keywords=Packard+PRMJ130+Motor+Start+Capacitor+130-158+MFD+330+VAC&amp;qid=1694734803&amp;sr=8-15")</f>
        <v/>
      </c>
      <c r="F1008" t="inlineStr">
        <is>
          <t>B01FSQQ0AO</t>
        </is>
      </c>
      <c r="G1008">
        <f>_xlfn.IMAGE("https://edmondsonsupply.com/cdn/shop/products/PRMJ130-2.jpg?v=1587144436")</f>
        <v/>
      </c>
      <c r="H1008">
        <f>_xlfn.IMAGE("https://m.media-amazon.com/images/I/51QkU2axmZL._AC_UY218_.jpg")</f>
        <v/>
      </c>
      <c r="K1008" t="inlineStr">
        <is>
          <t>3.9</t>
        </is>
      </c>
      <c r="L1008" t="n">
        <v>15.79</v>
      </c>
      <c r="M1008" s="1" t="inlineStr">
        <is>
          <t>304.87%</t>
        </is>
      </c>
      <c r="N1008" s="7" t="n">
        <v>119.8</v>
      </c>
      <c r="O1008" t="n">
        <v>4.5</v>
      </c>
      <c r="P1008" t="n">
        <v>1387</v>
      </c>
      <c r="R1008" t="inlineStr">
        <is>
          <t>InStock</t>
        </is>
      </c>
      <c r="S1008" t="inlineStr">
        <is>
          <t>undefined</t>
        </is>
      </c>
      <c r="T1008" t="inlineStr">
        <is>
          <t>4432875946084</t>
        </is>
      </c>
    </row>
    <row r="1009" ht="87" customHeight="1">
      <c r="A1009" s="2">
        <f>HYPERLINK("https://edmondsonsupply.com/collections/hvac/products/jb-industries-dvo-12-black-gold-vacuum-pump-oil", "https://edmondsonsupply.com/collections/hvac/products/jb-industries-dvo-12-black-gold-vacuum-pump-oil")</f>
        <v/>
      </c>
      <c r="B1009" s="2">
        <f>HYPERLINK("https://edmondsonsupply.com/products/jb-industries-dvo-12-black-gold-vacuum-pump-oil", "https://edmondsonsupply.com/products/jb-industries-dvo-12-black-gold-vacuum-pump-oil")</f>
        <v/>
      </c>
      <c r="C1009" t="inlineStr">
        <is>
          <t>JB Industries DVO-12 BLACK GOLD Vacuum Pump Oil (1 Quart)</t>
        </is>
      </c>
      <c r="D1009" t="inlineStr">
        <is>
          <t>JB Industries DVO-24 Bottle of Black Gold Vacuum Pump Oil, 1 gallon - GIDDS-2463009</t>
        </is>
      </c>
      <c r="E1009" s="2" t="n"/>
      <c r="F1009" t="inlineStr">
        <is>
          <t>B001UH3L8K</t>
        </is>
      </c>
      <c r="G1009">
        <f>_xlfn.IMAGE("https://edmondsonsupply.com/cdn/shop/files/DVO-12-JB-Black-Gold-Vacuum-Pump-Oil-Quart_ccff144a-8836-43fe-b210-6b78cd839be8.webp?v=1687556840")</f>
        <v/>
      </c>
      <c r="H1009">
        <f>_xlfn.IMAGE("https://m.media-amazon.com/images/I/81QYb8rGB9L._AC_UL320_.jpg")</f>
        <v/>
      </c>
      <c r="K1009" t="inlineStr">
        <is>
          <t>14.83</t>
        </is>
      </c>
      <c r="L1009" t="n">
        <v>59.99</v>
      </c>
      <c r="M1009" s="1" t="inlineStr">
        <is>
          <t>304.52%</t>
        </is>
      </c>
      <c r="N1009" s="7" t="n">
        <v>119.57</v>
      </c>
      <c r="O1009" t="n">
        <v>4.8</v>
      </c>
      <c r="P1009" t="n">
        <v>795</v>
      </c>
      <c r="R1009" t="inlineStr">
        <is>
          <t>InStock</t>
        </is>
      </c>
      <c r="S1009" t="inlineStr">
        <is>
          <t>17.91</t>
        </is>
      </c>
      <c r="T1009" t="inlineStr">
        <is>
          <t>8008297939160</t>
        </is>
      </c>
    </row>
    <row r="1010" ht="87" customHeight="1">
      <c r="A1010" s="2">
        <f>HYPERLINK("https://edmondsonsupply.com/collections/hvac/products/jb-industries-dvo-12-black-gold-vacuum-pump-oil", "https://edmondsonsupply.com/collections/hvac/products/jb-industries-dvo-12-black-gold-vacuum-pump-oil")</f>
        <v/>
      </c>
      <c r="B1010" s="2">
        <f>HYPERLINK("https://edmondsonsupply.com/products/jb-industries-dvo-12-black-gold-vacuum-pump-oil", "https://edmondsonsupply.com/products/jb-industries-dvo-12-black-gold-vacuum-pump-oil")</f>
        <v/>
      </c>
      <c r="C1010" t="inlineStr">
        <is>
          <t>JB Industries DVO-12 BLACK GOLD Vacuum Pump Oil (1 Quart)</t>
        </is>
      </c>
      <c r="D1010" t="inlineStr">
        <is>
          <t>JB Industries DVO-24 Bottle of Black Gold Vacuum Pump Oil, 1 gallon - GIDDS-2463009</t>
        </is>
      </c>
      <c r="E1010" s="2">
        <f>HYPERLINK("https://www.amazon.com/JB-Industries-DVO-24-Bottle-Vacuum/dp/B001UH3L8K/ref=sr_1_2?keywords=JB+Industries+DVO-12+BLACK+GOLD+Vacuum+Pump+Oil+%281+Quart%29&amp;qid=1694734652&amp;sr=8-2", "https://www.amazon.com/JB-Industries-DVO-24-Bottle-Vacuum/dp/B001UH3L8K/ref=sr_1_2?keywords=JB+Industries+DVO-12+BLACK+GOLD+Vacuum+Pump+Oil+%281+Quart%29&amp;qid=1694734652&amp;sr=8-2")</f>
        <v/>
      </c>
      <c r="F1010" t="inlineStr">
        <is>
          <t>B001UH3L8K</t>
        </is>
      </c>
      <c r="G1010">
        <f>_xlfn.IMAGE("https://edmondsonsupply.com/cdn/shop/files/DVO-12-JB-Black-Gold-Vacuum-Pump-Oil-Quart_ccff144a-8836-43fe-b210-6b78cd839be8.webp?v=1687556840")</f>
        <v/>
      </c>
      <c r="H1010">
        <f>_xlfn.IMAGE("https://m.media-amazon.com/images/I/81QYb8rGB9L._AC_UL320_.jpg")</f>
        <v/>
      </c>
      <c r="K1010" t="inlineStr">
        <is>
          <t>14.83</t>
        </is>
      </c>
      <c r="L1010" t="n">
        <v>59.99</v>
      </c>
      <c r="M1010" s="1" t="inlineStr">
        <is>
          <t>304.52%</t>
        </is>
      </c>
      <c r="N1010" s="7" t="n">
        <v>119.52</v>
      </c>
      <c r="O1010" t="n">
        <v>4.8</v>
      </c>
      <c r="P1010" t="n">
        <v>795</v>
      </c>
      <c r="R1010" t="inlineStr">
        <is>
          <t>InStock</t>
        </is>
      </c>
      <c r="S1010" t="inlineStr">
        <is>
          <t>17.91</t>
        </is>
      </c>
      <c r="T1010" t="inlineStr">
        <is>
          <t>8008297939160</t>
        </is>
      </c>
    </row>
    <row r="1011" ht="87" customHeight="1">
      <c r="A1011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1011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1011" t="inlineStr">
        <is>
          <t>ICM Controls ICM2813 Furnace Control Board - Replacement for Lennox</t>
        </is>
      </c>
      <c r="D1011" t="inlineStr">
        <is>
          <t>ICM Controls ICM280 Furnace Control Replacement for OEM Models Including Goodman B18099-xx Series Control Boards, Multicolor (Twо Расk)</t>
        </is>
      </c>
      <c r="E1011" s="2">
        <f>HYPERLINK("https://www.amazon.com/ICM-Replacement-Including-B18099-xx-Multicolor/dp/B0893PWC76/ref=sr_1_14?keywords=ICM+Controls+ICM2813+Furnace+Control+Board+-+Replacement+for+Lennox&amp;qid=1694734575&amp;sr=8-14", "https://www.amazon.com/ICM-Replacement-Including-B18099-xx-Multicolor/dp/B0893PWC76/ref=sr_1_14?keywords=ICM+Controls+ICM2813+Furnace+Control+Board+-+Replacement+for+Lennox&amp;qid=1694734575&amp;sr=8-14")</f>
        <v/>
      </c>
      <c r="F1011" t="inlineStr">
        <is>
          <t>B0893PWC76</t>
        </is>
      </c>
      <c r="G1011">
        <f>_xlfn.IMAGE("https://edmondsonsupply.com/cdn/shop/products/ICM2813.jpg?v=1666552363")</f>
        <v/>
      </c>
      <c r="H1011">
        <f>_xlfn.IMAGE("https://m.media-amazon.com/images/I/61JykELT0fL._AC_UL320_.jpg")</f>
        <v/>
      </c>
      <c r="K1011" t="inlineStr">
        <is>
          <t>99.99</t>
        </is>
      </c>
      <c r="L1011" t="n">
        <v>403.68</v>
      </c>
      <c r="M1011" s="1" t="inlineStr">
        <is>
          <t>303.72%</t>
        </is>
      </c>
      <c r="N1011" s="7" t="n">
        <v>119.26</v>
      </c>
      <c r="O1011" t="n">
        <v>4.5</v>
      </c>
      <c r="P1011" t="n">
        <v>457</v>
      </c>
      <c r="R1011" t="inlineStr">
        <is>
          <t>InStock</t>
        </is>
      </c>
      <c r="S1011" t="inlineStr">
        <is>
          <t>111.21</t>
        </is>
      </c>
      <c r="T1011" t="inlineStr">
        <is>
          <t>7864012341464</t>
        </is>
      </c>
    </row>
    <row r="1012" hidden="1" ht="15.75" customHeight="1">
      <c r="A1012" s="2">
        <f>HYPERLINK("https://edmondsonsupply.com/collections/hvac/products/packard-titan-pro-toc10-motor-run-capacitor-10-mfd-370-volt-oval", "https://edmondsonsupply.com/collections/hvac/products/packard-titan-pro-toc10-motor-run-capacitor-10-mfd-370-volt-oval")</f>
        <v/>
      </c>
      <c r="B1012" s="2">
        <f>HYPERLINK("https://edmondsonsupply.com/products/packard-titan-pro-toc10-motor-run-capacitor-10-mfd-370-volt-oval", "https://edmondsonsupply.com/products/packard-titan-pro-toc10-motor-run-capacitor-10-mfd-370-volt-oval")</f>
        <v/>
      </c>
      <c r="C1012" t="inlineStr">
        <is>
          <t>Packard Titan PRO TOC10 Motor Run Capacitor 10 MFD 370 Volt Oval</t>
        </is>
      </c>
      <c r="D1012" t="inlineStr">
        <is>
          <t>Packard 10 MFD - 370 VAC Oval Motor Run Capacitor TOC10 HVAC Titan Pro</t>
        </is>
      </c>
      <c r="E1012" s="2">
        <f>HYPERLINK("https://www.amazon.com/Packard-10-MFD-Motor-Capacitor/dp/B01KARDZTK/ref=sr_1_1?keywords=Packard+Titan+PRO+TOC10+Motor+Run+Capacitor+10+MFD+370+Volt+Oval&amp;qid=1694734594&amp;sr=8-1", "https://www.amazon.com/Packard-10-MFD-Motor-Capacitor/dp/B01KARDZTK/ref=sr_1_1?keywords=Packard+Titan+PRO+TOC10+Motor+Run+Capacitor+10+MFD+370+Volt+Oval&amp;qid=1694734594&amp;sr=8-1")</f>
        <v/>
      </c>
      <c r="F1012" t="inlineStr">
        <is>
          <t>B01KARDZTK</t>
        </is>
      </c>
      <c r="G1012">
        <f>_xludf.IMAGE("https://edmondsonsupply.com/cdn/shop/products/TOC10-2.jpg?v=1647209707")</f>
        <v/>
      </c>
      <c r="H1012">
        <f>_xludf.IMAGE("https://m.media-amazon.com/images/I/715PjsYFipL._AC_UY218_.jpg")</f>
        <v/>
      </c>
      <c r="K1012" t="inlineStr">
        <is>
          <t>2.22</t>
        </is>
      </c>
      <c r="L1012" t="n">
        <v>8.960000000000001</v>
      </c>
      <c r="M1012" s="1" t="inlineStr">
        <is>
          <t>303.60%</t>
        </is>
      </c>
      <c r="N1012" s="1" t="n">
        <v>119.22</v>
      </c>
      <c r="O1012" t="n">
        <v>4.5</v>
      </c>
      <c r="P1012" t="n">
        <v>38</v>
      </c>
      <c r="R1012" t="inlineStr">
        <is>
          <t>InStock</t>
        </is>
      </c>
      <c r="S1012" t="inlineStr">
        <is>
          <t>undefined</t>
        </is>
      </c>
      <c r="T1012" t="inlineStr">
        <is>
          <t>7634985910488</t>
        </is>
      </c>
    </row>
    <row r="1013" ht="87" customHeight="1">
      <c r="A1013" s="2">
        <f>HYPERLINK("https://edmondsonsupply.com/collections/hvac/products/viega-22009-3-4-x-3-4-megapressg-coupling-with-stop", "https://edmondsonsupply.com/collections/hvac/products/viega-22009-3-4-x-3-4-megapressg-coupling-with-stop")</f>
        <v/>
      </c>
      <c r="B1013" s="2">
        <f>HYPERLINK("https://edmondsonsupply.com/products/viega-22009-3-4-x-3-4-megapressg-coupling-with-stop", "https://edmondsonsupply.com/products/viega-22009-3-4-x-3-4-megapressg-coupling-with-stop")</f>
        <v/>
      </c>
      <c r="C1013" t="inlineStr">
        <is>
          <t>Viega 22009 3/4" x 3/4" MegaPressG Coupling with Stop</t>
        </is>
      </c>
      <c r="D1013" t="inlineStr">
        <is>
          <t>VIEGA 78177 Propress Zero Lead Copper Coupling without Stop 3/4" Press x Press (5-Pack)</t>
        </is>
      </c>
      <c r="E1013" s="2">
        <f>HYPERLINK("https://www.amazon.com/78177-Propress-Copper-Coupling-without/dp/B017BVY81W/ref=sr_1_10?keywords=viega+22009+3%2F4+x+3%2F4+megapress+coupling+with+stop&amp;qid=1694734845&amp;sr=8-10", "https://www.amazon.com/78177-Propress-Copper-Coupling-without/dp/B017BVY81W/ref=sr_1_10?keywords=viega+22009+3%2F4+x+3%2F4+megapress+coupling+with+stop&amp;qid=1694734845&amp;sr=8-10")</f>
        <v/>
      </c>
      <c r="F1013" t="inlineStr">
        <is>
          <t>B017BVY81W</t>
        </is>
      </c>
      <c r="G1013">
        <f>_xlfn.IMAGE("https://edmondsonsupply.com/cdn/shop/files/PPm6615_850b9b62-d5db-4976-98a0-e6bf0baba94e.jpg?v=1692650922")</f>
        <v/>
      </c>
      <c r="H1013">
        <f>_xlfn.IMAGE("https://m.media-amazon.com/images/I/61nJGjpHLVL._AC_UL320_.jpg")</f>
        <v/>
      </c>
      <c r="K1013" t="inlineStr">
        <is>
          <t>13.34</t>
        </is>
      </c>
      <c r="L1013" t="n">
        <v>53.74</v>
      </c>
      <c r="M1013" s="1" t="inlineStr">
        <is>
          <t>302.85%</t>
        </is>
      </c>
      <c r="N1013" s="7" t="n">
        <v>118.91</v>
      </c>
      <c r="O1013" t="n">
        <v>5</v>
      </c>
      <c r="P1013" t="n">
        <v>1</v>
      </c>
      <c r="R1013" t="inlineStr">
        <is>
          <t>InStock</t>
        </is>
      </c>
      <c r="S1013" t="inlineStr">
        <is>
          <t>23.0</t>
        </is>
      </c>
      <c r="T1013" t="inlineStr">
        <is>
          <t>8029498179800</t>
        </is>
      </c>
    </row>
    <row r="1014" hidden="1" ht="15.75" customHeight="1">
      <c r="A1014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014" s="2">
        <f>HYPERLINK("https://edmondsonsupply.com/products/packard-ptmj56-motor-start-capacitor-53-64-mfd-220-250-vac", "https://edmondsonsupply.com/products/packard-ptmj56-motor-start-capacitor-53-64-mfd-220-250-vac")</f>
        <v/>
      </c>
      <c r="C1014" t="inlineStr">
        <is>
          <t>Packard PTMJ56 Motor Start Capacitor 53-64 MFD 220-250 VAC</t>
        </is>
      </c>
      <c r="D1014" t="inlineStr">
        <is>
          <t>TEMCo 53-64 uf/MFD 220-250 VAC Volts Round Start Capacitor 50/60 Hz AC Electric - Lot -1</t>
        </is>
      </c>
      <c r="E1014" s="2">
        <f>HYPERLINK("https://www.amazon.com/TEMCo-53-64-220-250-Capacitor-Electric/dp/B08546HFBD/ref=sr_1_3?keywords=Packard+PTMJ56+Motor+Start+Capacitor+53-64+MFD+220-250+VAC&amp;qid=1694734647&amp;sr=8-3", "https://www.amazon.com/TEMCo-53-64-220-250-Capacitor-Electric/dp/B08546HFBD/ref=sr_1_3?keywords=Packard+PTMJ56+Motor+Start+Capacitor+53-64+MFD+220-250+VAC&amp;qid=1694734647&amp;sr=8-3")</f>
        <v/>
      </c>
      <c r="F1014" t="inlineStr">
        <is>
          <t>B08546HFBD</t>
        </is>
      </c>
      <c r="G1014">
        <f>_xludf.IMAGE("https://edmondsonsupply.com/cdn/shop/products/PTMJ56-2.jpg?v=1633030199")</f>
        <v/>
      </c>
      <c r="H1014">
        <f>_xludf.IMAGE("https://m.media-amazon.com/images/I/51D02mV0fzL._AC_UY218_.jpg")</f>
        <v/>
      </c>
      <c r="K1014" t="inlineStr">
        <is>
          <t>3.59</t>
        </is>
      </c>
      <c r="L1014" t="n">
        <v>14.45</v>
      </c>
      <c r="M1014" s="1" t="inlineStr">
        <is>
          <t>302.51%</t>
        </is>
      </c>
      <c r="N1014" s="1" t="n">
        <v>118.46</v>
      </c>
      <c r="O1014" t="n">
        <v>3.5</v>
      </c>
      <c r="P1014" t="n">
        <v>16</v>
      </c>
      <c r="R1014" t="inlineStr">
        <is>
          <t>InStock</t>
        </is>
      </c>
      <c r="S1014" t="inlineStr">
        <is>
          <t>undefined</t>
        </is>
      </c>
      <c r="T1014" t="inlineStr">
        <is>
          <t>4414971347044</t>
        </is>
      </c>
    </row>
    <row r="1015" ht="87" customHeight="1">
      <c r="A1015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015" s="2">
        <f>HYPERLINK("https://edmondsonsupply.com/products/klein-tools-32907-7-in-1-impact-flip-socket-set-no-handle", "https://edmondsonsupply.com/products/klein-tools-32907-7-in-1-impact-flip-socket-set-no-handle")</f>
        <v/>
      </c>
      <c r="C1015" t="inlineStr">
        <is>
          <t>Klein Tools 32907 7-in-1 Impact Flip Socket Set, No Handle</t>
        </is>
      </c>
      <c r="D1015" t="inlineStr">
        <is>
          <t>Klein Tools 80019 Tool Set, 28 Different Industrial Strength Bits and Sizes, 4-Piece &amp; 32900 Impact Driver, 7-in-1 Impact Flip Socket Set with Handle, 6 Hex Driver Sizes plus a 1/4-Inch Bit Holder</t>
        </is>
      </c>
      <c r="E1015" s="2">
        <f>HYPERLINK("https://www.amazon.com/Klein-Tools-Different-Industrial-Strength/dp/B0BRMLCCLG/ref=sr_1_10?keywords=Klein+Tools+32907+7-in-1+Impact+Flip+Socket+Set%2C+No+Handle&amp;qid=1694734636&amp;sr=8-10", "https://www.amazon.com/Klein-Tools-Different-Industrial-Strength/dp/B0BRMLCCLG/ref=sr_1_10?keywords=Klein+Tools+32907+7-in-1+Impact+Flip+Socket+Set%2C+No+Handle&amp;qid=1694734636&amp;sr=8-10")</f>
        <v/>
      </c>
      <c r="F1015" t="inlineStr">
        <is>
          <t>B0BRMLCCLG</t>
        </is>
      </c>
      <c r="G1015">
        <f>_xlfn.IMAGE("https://edmondsonsupply.com/cdn/shop/products/32907_b.jpg?v=1666025282")</f>
        <v/>
      </c>
      <c r="H1015">
        <f>_xlfn.IMAGE("https://m.media-amazon.com/images/I/51P68yAbyEL._AC_UL320_.jpg")</f>
        <v/>
      </c>
      <c r="K1015" t="inlineStr">
        <is>
          <t>19.99</t>
        </is>
      </c>
      <c r="L1015" t="n">
        <v>79.95999999999999</v>
      </c>
      <c r="M1015" s="1" t="inlineStr">
        <is>
          <t>300.00%</t>
        </is>
      </c>
      <c r="N1015" s="7" t="n">
        <v>118.15</v>
      </c>
      <c r="O1015" t="n">
        <v>5</v>
      </c>
      <c r="P1015" t="n">
        <v>8</v>
      </c>
      <c r="R1015" t="inlineStr">
        <is>
          <t>InStock</t>
        </is>
      </c>
      <c r="S1015" t="inlineStr">
        <is>
          <t>29.18</t>
        </is>
      </c>
      <c r="T1015" t="inlineStr">
        <is>
          <t>7856653009112</t>
        </is>
      </c>
    </row>
    <row r="1016" ht="87" customHeight="1">
      <c r="A1016" s="2">
        <f>HYPERLINK("https://edmondsonsupply.com/collections/hvac/products/nu-calgon-4291-18-nu-brite-aerosol-coil-cleaner", "https://edmondsonsupply.com/collections/hvac/products/nu-calgon-4291-18-nu-brite-aerosol-coil-cleaner")</f>
        <v/>
      </c>
      <c r="B1016" s="2">
        <f>HYPERLINK("https://edmondsonsupply.com/products/nu-calgon-4291-18-nu-brite-aerosol-coil-cleaner", "https://edmondsonsupply.com/products/nu-calgon-4291-18-nu-brite-aerosol-coil-cleaner")</f>
        <v/>
      </c>
      <c r="C1016" t="inlineStr">
        <is>
          <t>Nu-Calgon 4291-18 Nu-Brite Aerosol Coil Cleaner</t>
        </is>
      </c>
      <c r="D1016" t="inlineStr">
        <is>
          <t>Nu-Calgon 4291-08 Nu-Brite Alkaline Based Coil Cleaner 1 Gallon</t>
        </is>
      </c>
      <c r="E1016" s="2">
        <f>HYPERLINK("https://www.amazon.com/Nu-Calgon-4291-08-Nu-Brite-Foaming-Cleaner/dp/B009AXXUKU/ref=sr_1_8?keywords=Nu-Calgon+4291-18+Nu-Brite+Aerosol+Coil+Cleaner&amp;qid=1694734638&amp;sr=8-8", "https://www.amazon.com/Nu-Calgon-4291-08-Nu-Brite-Foaming-Cleaner/dp/B009AXXUKU/ref=sr_1_8?keywords=Nu-Calgon+4291-18+Nu-Brite+Aerosol+Coil+Cleaner&amp;qid=1694734638&amp;sr=8-8")</f>
        <v/>
      </c>
      <c r="F1016" t="inlineStr">
        <is>
          <t>B009AXXUKU</t>
        </is>
      </c>
      <c r="G1016">
        <f>_xlfn.IMAGE("https://edmondsonsupply.com/cdn/shop/products/4291-18.jpg?v=1658772777")</f>
        <v/>
      </c>
      <c r="H1016">
        <f>_xlfn.IMAGE("https://m.media-amazon.com/images/I/41Vk89VXMYL._AC_UL320_.jpg")</f>
        <v/>
      </c>
      <c r="K1016" t="inlineStr">
        <is>
          <t>11.39</t>
        </is>
      </c>
      <c r="L1016" t="n">
        <v>45.5</v>
      </c>
      <c r="M1016" s="1" t="inlineStr">
        <is>
          <t>299.47%</t>
        </is>
      </c>
      <c r="N1016" s="7" t="n">
        <v>117.87</v>
      </c>
      <c r="O1016" t="n">
        <v>5</v>
      </c>
      <c r="P1016" t="n">
        <v>10</v>
      </c>
      <c r="R1016" t="inlineStr">
        <is>
          <t>InStock</t>
        </is>
      </c>
      <c r="S1016" t="inlineStr">
        <is>
          <t>15.42</t>
        </is>
      </c>
      <c r="T1016" t="inlineStr">
        <is>
          <t>7760576119000</t>
        </is>
      </c>
    </row>
    <row r="1017" hidden="1" ht="15.75" customHeight="1">
      <c r="A1017" s="2">
        <f>HYPERLINK("https://edmondsonsupply.com/collections/hvac/products/cambridge-3-4-pvc-liquid-tight-conduit-fitting-90-degree", "https://edmondsonsupply.com/collections/hvac/products/cambridge-3-4-pvc-liquid-tight-conduit-fitting-90-degree")</f>
        <v/>
      </c>
      <c r="B1017" s="2">
        <f>HYPERLINK("https://edmondsonsupply.com/products/cambridge-3-4-pvc-liquid-tight-conduit-fitting-90-degree", "https://edmondsonsupply.com/products/cambridge-3-4-pvc-liquid-tight-conduit-fitting-90-degree")</f>
        <v/>
      </c>
      <c r="C1017" t="inlineStr">
        <is>
          <t>Cambridge 3/4" PVC Liquid Tight Conduit Fitting - 90 Degree</t>
        </is>
      </c>
      <c r="D1017" t="inlineStr">
        <is>
          <t>LifCratms 2Pcs 3/4" NPT Liquid-Tight Connector, 90-Degree Electrical Conduit Connector Fitting Flexible Conduit Fittings</t>
        </is>
      </c>
      <c r="E1017" s="2">
        <f>HYPERLINK("https://www.amazon.com/LifCratms-Liquid-Tight-Connector-90-Degree-Electrical/dp/B0BJJVJP2C/ref=sr_1_10?keywords=Cambridge+3%2F4%22+PVC+Liquid+Tight+Conduit+Fitting+-+90+Degree&amp;qid=1694734856&amp;sr=8-10", "https://www.amazon.com/LifCratms-Liquid-Tight-Connector-90-Degree-Electrical/dp/B0BJJVJP2C/ref=sr_1_10?keywords=Cambridge+3%2F4%22+PVC+Liquid+Tight+Conduit+Fitting+-+90+Degree&amp;qid=1694734856&amp;sr=8-10")</f>
        <v/>
      </c>
      <c r="F1017" t="inlineStr">
        <is>
          <t>B0BJJVJP2C</t>
        </is>
      </c>
      <c r="G1017">
        <f>_xludf.IMAGE("https://edmondsonsupply.com/cdn/shop/files/W14657_01.jpg?v=1692278537")</f>
        <v/>
      </c>
      <c r="H1017">
        <f>_xludf.IMAGE("https://m.media-amazon.com/images/I/61kmHL+lEtL._AC_UL320_.jpg")</f>
        <v/>
      </c>
      <c r="K1017" t="inlineStr">
        <is>
          <t>1.8</t>
        </is>
      </c>
      <c r="L1017" t="n">
        <v>7.19</v>
      </c>
      <c r="M1017" s="1" t="inlineStr">
        <is>
          <t>299.44%</t>
        </is>
      </c>
      <c r="N1017" s="1" t="n">
        <v>117.7</v>
      </c>
      <c r="O1017" t="n">
        <v>4.7</v>
      </c>
      <c r="P1017" t="n">
        <v>4</v>
      </c>
      <c r="R1017" t="inlineStr">
        <is>
          <t>InStock</t>
        </is>
      </c>
      <c r="S1017" t="inlineStr">
        <is>
          <t>undefined</t>
        </is>
      </c>
      <c r="T1017" t="inlineStr">
        <is>
          <t>8028225175768</t>
        </is>
      </c>
    </row>
    <row r="1018" ht="87" customHeight="1">
      <c r="A1018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018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018" t="inlineStr">
        <is>
          <t>Yellow Jacket 25002 9" FLEXFLOW™ 1/4" Adaper Hose with Ball Valve - Yellow</t>
        </is>
      </c>
      <c r="D1018" t="inlineStr">
        <is>
          <t>Yellow Jacket 29125 Plus II 1/4" Hose with Compact Ball Valve, 25', Yellow</t>
        </is>
      </c>
      <c r="E1018" s="2">
        <f>HYPERLINK("https://www.amazon.com/Yellow-Jacket-29125-Compact-Valve/dp/B009AXAKBW/ref=sr_1_44?keywords=Yellow+Jacket+25002+9%22+FLEXFLOW%E2%84%A2+1%2F4%22+Adaper+Hose+with+Ball+Valve+-+Yellow&amp;qid=1694734728&amp;sr=8-44", "https://www.amazon.com/Yellow-Jacket-29125-Compact-Valve/dp/B009AXAKBW/ref=sr_1_44?keywords=Yellow+Jacket+25002+9%22+FLEXFLOW%E2%84%A2+1%2F4%22+Adaper+Hose+with+Ball+Valve+-+Yellow&amp;qid=1694734728&amp;sr=8-44")</f>
        <v/>
      </c>
      <c r="F1018" t="inlineStr">
        <is>
          <t>B009AXAKBW</t>
        </is>
      </c>
      <c r="G1018">
        <f>_xlfn.IMAGE("https://edmondsonsupply.com/cdn/shop/products/Yellow_Jacket_25002.jpg?v=1587150917")</f>
        <v/>
      </c>
      <c r="H1018">
        <f>_xlfn.IMAGE("https://m.media-amazon.com/images/I/71c5xo-DjOL._AC_UL320_.jpg")</f>
        <v/>
      </c>
      <c r="K1018" t="inlineStr">
        <is>
          <t>35.54</t>
        </is>
      </c>
      <c r="L1018" t="n">
        <v>140.92</v>
      </c>
      <c r="M1018" s="1" t="inlineStr">
        <is>
          <t>296.51%</t>
        </is>
      </c>
      <c r="N1018" s="7" t="n">
        <v>116.45</v>
      </c>
      <c r="O1018" t="n">
        <v>5</v>
      </c>
      <c r="P1018" t="n">
        <v>2</v>
      </c>
      <c r="R1018" t="inlineStr">
        <is>
          <t>InStock</t>
        </is>
      </c>
      <c r="S1018" t="inlineStr">
        <is>
          <t>undefined</t>
        </is>
      </c>
      <c r="T1018" t="inlineStr">
        <is>
          <t>2633213739108</t>
        </is>
      </c>
    </row>
    <row r="1019" ht="87" customHeight="1">
      <c r="A1019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019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019" t="inlineStr">
        <is>
          <t>Diablo Tools DMAPL4250 3/4 in. x 8 in. x 10 in. Rebar Demon™ SDS-Plus 4-Cutter Full Carbide Head Hammer Drill Bit</t>
        </is>
      </c>
      <c r="D1019" t="inlineStr">
        <is>
          <t>Diablo by Freud DMAMX1150 3/4 in. x 31 in. x 36 in. Rebar Demon SDS-Max 4-Cutter Full Carbide Head Hammer Bit</t>
        </is>
      </c>
      <c r="E1019" s="2">
        <f>HYPERLINK("https://www.amazon.com/Diablo-SDS-Max-4-Cutter-Carbide-Hammer/dp/B089KWVY6S/ref=sr_1_17?keywords=Diablo+Tools+DMAPL4250+3%2F4+in.+x+8+in.+x+10+in.+Rebar+Demon%E2%84%A2+SDS-Plus+4-Cutter+Full+Carbide+Head+Hammer+Drill+Bit&amp;qid=1694734913&amp;sr=8-17", "https://www.amazon.com/Diablo-SDS-Max-4-Cutter-Carbide-Hammer/dp/B089KWVY6S/ref=sr_1_17?keywords=Diablo+Tools+DMAPL4250+3%2F4+in.+x+8+in.+x+10+in.+Rebar+Demon%E2%84%A2+SDS-Plus+4-Cutter+Full+Carbide+Head+Hammer+Drill+Bit&amp;qid=1694734913&amp;sr=8-17")</f>
        <v/>
      </c>
      <c r="F1019" t="inlineStr">
        <is>
          <t>B089KWVY6S</t>
        </is>
      </c>
      <c r="G1019">
        <f>_xlfn.IMAGE("https://edmondsonsupply.com/cdn/shop/files/rltcbi253wmfv6otmtz6.webp?v=1686576913")</f>
        <v/>
      </c>
      <c r="H1019">
        <f>_xlfn.IMAGE("https://m.media-amazon.com/images/I/61yjTOwPY1L._AC_UL320_.jpg")</f>
        <v/>
      </c>
      <c r="K1019" t="inlineStr">
        <is>
          <t>24.47</t>
        </is>
      </c>
      <c r="L1019" t="n">
        <v>96.95999999999999</v>
      </c>
      <c r="M1019" s="1" t="inlineStr">
        <is>
          <t>296.24%</t>
        </is>
      </c>
      <c r="N1019" s="7" t="n">
        <v>116.31</v>
      </c>
      <c r="O1019" t="n">
        <v>5</v>
      </c>
      <c r="P1019" t="n">
        <v>3</v>
      </c>
      <c r="R1019" t="inlineStr">
        <is>
          <t>InStock</t>
        </is>
      </c>
      <c r="S1019" t="inlineStr">
        <is>
          <t>38.21</t>
        </is>
      </c>
      <c r="T1019" t="inlineStr">
        <is>
          <t>8004486168792</t>
        </is>
      </c>
    </row>
    <row r="1020" ht="87" customHeight="1">
      <c r="A1020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1020" s="2">
        <f>HYPERLINK("https://edmondsonsupply.com/products/klein-tools-630m-magnetic-nut-driver-set-3-inch-shafts-2-piece", "https://edmondsonsupply.com/products/klein-tools-630m-magnetic-nut-driver-set-3-inch-shafts-2-piece")</f>
        <v/>
      </c>
      <c r="C1020" t="inlineStr">
        <is>
          <t>Klein Tools 630M Magnetic Nut Driver Set, 3-Inch Shafts, 2-Piece</t>
        </is>
      </c>
      <c r="D1020" t="inlineStr">
        <is>
          <t>Klein Tools 631M Tool Set, Magnetic Nut Drivers Sizes 3/16, 1/4, 5/16, 11/32, 3/8, 7/16 and 1/2-Inch on 3-Inch Full Hollow Shaft, 7-Piece</t>
        </is>
      </c>
      <c r="E1020" s="2">
        <f>HYPERLINK("https://www.amazon.com/Driver-Magnetic-3-Inch-Hollow-Klein/dp/B001BQ0DNG/ref=sr_1_5?keywords=Klein+Tools+630M+Magnetic+Nut+Driver+Set%2C+3-Inch+Shafts%2C+2-Piece&amp;qid=1694734796&amp;sr=8-5", "https://www.amazon.com/Driver-Magnetic-3-Inch-Hollow-Klein/dp/B001BQ0DNG/ref=sr_1_5?keywords=Klein+Tools+630M+Magnetic+Nut+Driver+Set%2C+3-Inch+Shafts%2C+2-Piece&amp;qid=1694734796&amp;sr=8-5")</f>
        <v/>
      </c>
      <c r="F1020" t="inlineStr">
        <is>
          <t>B001BQ0DNG</t>
        </is>
      </c>
      <c r="G1020">
        <f>_xlfn.IMAGE("https://edmondsonsupply.com/cdn/shop/products/630m.jpg?v=1587143237")</f>
        <v/>
      </c>
      <c r="H1020">
        <f>_xlfn.IMAGE("https://m.media-amazon.com/images/I/61pMsoh2smL._AC_UL320_.jpg")</f>
        <v/>
      </c>
      <c r="K1020" t="inlineStr">
        <is>
          <t>18.99</t>
        </is>
      </c>
      <c r="L1020" t="n">
        <v>74.98999999999999</v>
      </c>
      <c r="M1020" s="1" t="inlineStr">
        <is>
          <t>294.89%</t>
        </is>
      </c>
      <c r="N1020" s="7" t="n">
        <v>115.25</v>
      </c>
      <c r="O1020" t="n">
        <v>4.8</v>
      </c>
      <c r="P1020" t="n">
        <v>1145</v>
      </c>
      <c r="R1020" t="inlineStr">
        <is>
          <t>InStock</t>
        </is>
      </c>
      <c r="S1020" t="inlineStr">
        <is>
          <t>28.78</t>
        </is>
      </c>
      <c r="T1020" t="inlineStr">
        <is>
          <t>4508216787044</t>
        </is>
      </c>
    </row>
    <row r="1021" ht="87" customHeight="1">
      <c r="A1021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1021" s="2">
        <f>HYPERLINK("https://edmondsonsupply.com/products/klein-tools-pnd-12-5-1-2-inch-power-nut-driver-5-inch-length", "https://edmondsonsupply.com/products/klein-tools-pnd-12-5-1-2-inch-power-nut-driver-5-inch-length")</f>
        <v/>
      </c>
      <c r="C1021" t="inlineStr">
        <is>
          <t>Klein Tools PND-12-5 1/2-Inch Power Nut Driver 5-Inch Length</t>
        </is>
      </c>
      <c r="D1021" t="inlineStr">
        <is>
          <t>Klein Tools 631M Tool Set, Magnetic Nut Drivers Sizes 3/16, 1/4, 5/16, 11/32, 3/8, 7/16 and 1/2-Inch on 3-Inch Full Hollow Shaft, 7-Piece</t>
        </is>
      </c>
      <c r="E1021" s="2">
        <f>HYPERLINK("https://www.amazon.com/Driver-Magnetic-3-Inch-Hollow-Klein/dp/B001BQ0DNG/ref=sr_1_11?keywords=Klein+Tools+PND-12-5+1%2F2-Inch+Power+Nut+Driver+5-Inch+Length&amp;qid=1694734708&amp;sr=8-11", "https://www.amazon.com/Driver-Magnetic-3-Inch-Hollow-Klein/dp/B001BQ0DNG/ref=sr_1_11?keywords=Klein+Tools+PND-12-5+1%2F2-Inch+Power+Nut+Driver+5-Inch+Length&amp;qid=1694734708&amp;sr=8-11")</f>
        <v/>
      </c>
      <c r="F1021" t="inlineStr">
        <is>
          <t>B001BQ0DNG</t>
        </is>
      </c>
      <c r="G1021">
        <f>_xlfn.IMAGE("https://edmondsonsupply.com/cdn/shop/products/pnd125.jpg?v=1633031028")</f>
        <v/>
      </c>
      <c r="H1021">
        <f>_xlfn.IMAGE("https://m.media-amazon.com/images/I/61pMsoh2smL._AC_UL320_.jpg")</f>
        <v/>
      </c>
      <c r="K1021" t="inlineStr">
        <is>
          <t>18.99</t>
        </is>
      </c>
      <c r="L1021" t="n">
        <v>74.98999999999999</v>
      </c>
      <c r="M1021" s="1" t="inlineStr">
        <is>
          <t>294.89%</t>
        </is>
      </c>
      <c r="N1021" s="7" t="n">
        <v>115.03</v>
      </c>
      <c r="O1021" t="n">
        <v>4.8</v>
      </c>
      <c r="P1021" t="n">
        <v>1145</v>
      </c>
      <c r="R1021" t="inlineStr">
        <is>
          <t>InStock</t>
        </is>
      </c>
      <c r="S1021" t="inlineStr">
        <is>
          <t>30.98</t>
        </is>
      </c>
      <c r="T1021" t="inlineStr">
        <is>
          <t>6729466445997</t>
        </is>
      </c>
    </row>
    <row r="1022" ht="87" customHeight="1">
      <c r="A1022" s="2">
        <f>HYPERLINK("https://edmondsonsupply.com/collections/hvac/products/navac-nmv1-micron-vacuum-gauge", "https://edmondsonsupply.com/collections/hvac/products/navac-nmv1-micron-vacuum-gauge")</f>
        <v/>
      </c>
      <c r="B1022" s="2">
        <f>HYPERLINK("https://edmondsonsupply.com/products/navac-nmv1-micron-vacuum-gauge", "https://edmondsonsupply.com/products/navac-nmv1-micron-vacuum-gauge")</f>
        <v/>
      </c>
      <c r="C1022" t="inlineStr">
        <is>
          <t>NAVAC NMV1 Micron Vacuum Gauge</t>
        </is>
      </c>
      <c r="D1022" t="inlineStr">
        <is>
          <t>NAVAC NRP8Di Master Series Vacuum Pump, 8 cfm, Dual-Stage, 15 Microns, Built-in Micron Gauge</t>
        </is>
      </c>
      <c r="E1022" s="2">
        <f>HYPERLINK("https://www.amazon.com/NAVAC-NRP8Di-Smart-Vacuum-Pump/dp/B07L76RBNK/ref=sr_1_7?keywords=NAVAC+NMV1+Micron+Vacuum+Gauge&amp;qid=1694734714&amp;sr=8-7", "https://www.amazon.com/NAVAC-NRP8Di-Smart-Vacuum-Pump/dp/B07L76RBNK/ref=sr_1_7?keywords=NAVAC+NMV1+Micron+Vacuum+Gauge&amp;qid=1694734714&amp;sr=8-7")</f>
        <v/>
      </c>
      <c r="F1022" t="inlineStr">
        <is>
          <t>B07L76RBNK</t>
        </is>
      </c>
      <c r="G1022">
        <f>_xlfn.IMAGE("https://edmondsonsupply.com/cdn/shop/products/NMV1.gif?v=1608573718")</f>
        <v/>
      </c>
      <c r="H1022">
        <f>_xlfn.IMAGE("https://m.media-amazon.com/images/I/61+BrvHCSdL._AC_UY218_.jpg")</f>
        <v/>
      </c>
      <c r="K1022" t="inlineStr">
        <is>
          <t>167.48</t>
        </is>
      </c>
      <c r="L1022" t="n">
        <v>659</v>
      </c>
      <c r="M1022" s="1" t="inlineStr">
        <is>
          <t>293.48%</t>
        </is>
      </c>
      <c r="N1022" s="7" t="n">
        <v>114.3</v>
      </c>
      <c r="O1022" t="n">
        <v>4.4</v>
      </c>
      <c r="P1022" t="n">
        <v>29</v>
      </c>
      <c r="R1022" t="inlineStr">
        <is>
          <t>InStock</t>
        </is>
      </c>
      <c r="S1022" t="inlineStr">
        <is>
          <t>207.0</t>
        </is>
      </c>
      <c r="T1022" t="inlineStr">
        <is>
          <t>5740466307240</t>
        </is>
      </c>
    </row>
    <row r="1023" ht="87" customHeight="1">
      <c r="A1023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023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023" t="inlineStr">
        <is>
          <t>Yellow Jacket 25002 9" FLEXFLOW™ 1/4" Adaper Hose with Ball Valve - Yellow</t>
        </is>
      </c>
      <c r="D1023" t="inlineStr">
        <is>
          <t>Yellow Jacket 29985 - Plus II 1/4" Hose with Compact Ball Valve End, 60" Length</t>
        </is>
      </c>
      <c r="E1023" s="2">
        <f>HYPERLINK("https://www.amazon.com/Yellow-Jacket-29985-Compact-Length/dp/B007ID1HK4/ref=sr_1_5?keywords=Yellow+Jacket+25002+9%22+FLEXFLOW%E2%84%A2+1%2F4%22+Adaper+Hose+with+Ball+Valve+-+Yellow&amp;qid=1694734728&amp;sr=8-5", "https://www.amazon.com/Yellow-Jacket-29985-Compact-Length/dp/B007ID1HK4/ref=sr_1_5?keywords=Yellow+Jacket+25002+9%22+FLEXFLOW%E2%84%A2+1%2F4%22+Adaper+Hose+with+Ball+Valve+-+Yellow&amp;qid=1694734728&amp;sr=8-5")</f>
        <v/>
      </c>
      <c r="F1023" t="inlineStr">
        <is>
          <t>B007ID1HK4</t>
        </is>
      </c>
      <c r="G1023">
        <f>_xlfn.IMAGE("https://edmondsonsupply.com/cdn/shop/products/Yellow_Jacket_25002.jpg?v=1587150917")</f>
        <v/>
      </c>
      <c r="H1023">
        <f>_xlfn.IMAGE("https://m.media-amazon.com/images/I/61JYQM06zqL._AC_UL320_.jpg")</f>
        <v/>
      </c>
      <c r="K1023" t="inlineStr">
        <is>
          <t>35.54</t>
        </is>
      </c>
      <c r="L1023" t="n">
        <v>139.83</v>
      </c>
      <c r="M1023" s="1" t="inlineStr">
        <is>
          <t>293.44%</t>
        </is>
      </c>
      <c r="N1023" s="7" t="n">
        <v>113.44</v>
      </c>
      <c r="O1023" t="n">
        <v>4.7</v>
      </c>
      <c r="P1023" t="n">
        <v>226</v>
      </c>
      <c r="R1023" t="inlineStr">
        <is>
          <t>InStock</t>
        </is>
      </c>
      <c r="S1023" t="inlineStr">
        <is>
          <t>undefined</t>
        </is>
      </c>
      <c r="T1023" t="inlineStr">
        <is>
          <t>2633213739108</t>
        </is>
      </c>
    </row>
    <row r="1024" hidden="1" ht="15.75" customHeight="1">
      <c r="A1024" s="2">
        <f>HYPERLINK("https://edmondsonsupply.com/collections/hvac/products/milwaukee-48-22-6330-6-10-comfort-grip-straight-jaw-pliers-set", "https://edmondsonsupply.com/collections/hvac/products/milwaukee-48-22-6330-6-10-comfort-grip-straight-jaw-pliers-set")</f>
        <v/>
      </c>
      <c r="B1024" s="2">
        <f>HYPERLINK("https://edmondsonsupply.com/products/milwaukee-48-22-6330-6-10-comfort-grip-straight-jaw-pliers-set", "https://edmondsonsupply.com/products/milwaukee-48-22-6330-6-10-comfort-grip-straight-jaw-pliers-set")</f>
        <v/>
      </c>
      <c r="C1024" t="inlineStr">
        <is>
          <t>Milwaukee 48-22-6330 6" &amp; 10" Comfort Grip Straight Jaw Pliers Set</t>
        </is>
      </c>
      <c r="D1024" t="inlineStr">
        <is>
          <t>For Milwaukee 48-22-6330 6" &amp; 10" Ream and Punch Straight Jaw Pliers Set</t>
        </is>
      </c>
      <c r="E1024" s="2">
        <f>HYPERLINK("https://www.amazon.com/Milwaukee-48-22-6330-Punch-Straight-Pliers/dp/B0C1G32TDX/ref=sr_1_1?keywords=Milwaukee+48-22-6330+6%22+%26+10%22+Comfort+Grip+Straight+Jaw+Pliers+Set&amp;qid=1694734730&amp;sr=8-1", "https://www.amazon.com/Milwaukee-48-22-6330-Punch-Straight-Pliers/dp/B0C1G32TDX/ref=sr_1_1?keywords=Milwaukee+48-22-6330+6%22+%26+10%22+Comfort+Grip+Straight+Jaw+Pliers+Set&amp;qid=1694734730&amp;sr=8-1")</f>
        <v/>
      </c>
      <c r="F1024" t="inlineStr">
        <is>
          <t>B0C1G32TDX</t>
        </is>
      </c>
      <c r="G1024">
        <f>_xludf.IMAGE("https://edmondsonsupply.com/cdn/shop/products/6330.png?v=1587146326")</f>
        <v/>
      </c>
      <c r="H1024">
        <f>_xludf.IMAGE("https://m.media-amazon.com/images/I/31v2Xd2bbGL._AC_UL320_.jpg")</f>
        <v/>
      </c>
      <c r="K1024" t="inlineStr">
        <is>
          <t>22.97</t>
        </is>
      </c>
      <c r="L1024" t="n">
        <v>89.98999999999999</v>
      </c>
      <c r="M1024" s="1" t="inlineStr">
        <is>
          <t>291.77%</t>
        </is>
      </c>
      <c r="N1024" s="1" t="n">
        <v>113.17</v>
      </c>
      <c r="O1024" t="n">
        <v>3</v>
      </c>
      <c r="P1024" t="n">
        <v>2</v>
      </c>
      <c r="R1024" t="inlineStr">
        <is>
          <t>InStock</t>
        </is>
      </c>
      <c r="S1024" t="inlineStr">
        <is>
          <t>41.4</t>
        </is>
      </c>
      <c r="T1024" t="inlineStr">
        <is>
          <t>4387850715236</t>
        </is>
      </c>
    </row>
    <row r="1025" ht="87" customHeight="1">
      <c r="A1025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025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025" t="inlineStr">
        <is>
          <t>Klein Tools 70550 Pro Folding Hex Key Set, 11-Key, SAE Sizes</t>
        </is>
      </c>
      <c r="D1025" t="inlineStr">
        <is>
          <t>Klein Tools CL120KIT Electrical Tester/Auto-Ranging Digital Clamp Meter Kit &amp; 70550 Hex Wrench Key Set, 11 SAE Sizes, Heavy Duty Folding Allen Wrench Tool with Extra Long Hex Keys</t>
        </is>
      </c>
      <c r="E1025" s="2">
        <f>HYPERLINK("https://www.amazon.com/Klein-Tools-CL120KIT-Electrical-Auto-Ranging/dp/B0C5TJ8W88/ref=sr_1_29?keywords=Klein+Tools+70550+Pro+Folding+Hex+Key+Set%2C+11-Key%2C+SAE+Sizes&amp;qid=1694734808&amp;sr=8-29", "https://www.amazon.com/Klein-Tools-CL120KIT-Electrical-Auto-Ranging/dp/B0C5TJ8W88/ref=sr_1_29?keywords=Klein+Tools+70550+Pro+Folding+Hex+Key+Set%2C+11-Key%2C+SAE+Sizes&amp;qid=1694734808&amp;sr=8-29")</f>
        <v/>
      </c>
      <c r="F1025" t="inlineStr">
        <is>
          <t>B0C5TJ8W88</t>
        </is>
      </c>
      <c r="G1025">
        <f>_xlfn.IMAGE("https://edmondsonsupply.com/cdn/shop/products/70550.jpg?v=1587145237")</f>
        <v/>
      </c>
      <c r="H1025">
        <f>_xlfn.IMAGE("https://m.media-amazon.com/images/I/51sfnzu6ZCL._AC_UL320_.jpg")</f>
        <v/>
      </c>
      <c r="K1025" t="inlineStr">
        <is>
          <t>19.97</t>
        </is>
      </c>
      <c r="L1025" t="n">
        <v>78.22</v>
      </c>
      <c r="M1025" s="1" t="inlineStr">
        <is>
          <t>291.69%</t>
        </is>
      </c>
      <c r="N1025" s="7" t="n">
        <v>112.42</v>
      </c>
      <c r="O1025" t="n">
        <v>5</v>
      </c>
      <c r="P1025" t="n">
        <v>1</v>
      </c>
      <c r="R1025" t="inlineStr">
        <is>
          <t>InStock</t>
        </is>
      </c>
      <c r="S1025" t="inlineStr">
        <is>
          <t>27.18</t>
        </is>
      </c>
      <c r="T1025" t="inlineStr">
        <is>
          <t>3693538082916</t>
        </is>
      </c>
    </row>
    <row r="1026" ht="87" customHeight="1">
      <c r="A1026" s="2">
        <f>HYPERLINK("https://edmondsonsupply.com/collections/hvac/products/midwest-mwt-6716b-bulldog-aviation-snip", "https://edmondsonsupply.com/collections/hvac/products/midwest-mwt-6716b-bulldog-aviation-snip")</f>
        <v/>
      </c>
      <c r="B1026" s="2">
        <f>HYPERLINK("https://edmondsonsupply.com/products/midwest-mwt-6716b-bulldog-aviation-snip", "https://edmondsonsupply.com/products/midwest-mwt-6716b-bulldog-aviation-snip")</f>
        <v/>
      </c>
      <c r="C1026" t="inlineStr">
        <is>
          <t>Midwest MWT-6716B Bulldog Aviation Snip</t>
        </is>
      </c>
      <c r="D1026" t="inlineStr">
        <is>
          <t>Aviation Bulldog Snips (Midwest #MWT-671B) - 9"</t>
        </is>
      </c>
      <c r="E1026" s="2">
        <f>HYPERLINK("https://www.amazon.com/Wright-Tool-9P6716B-Bulldog-Aviation/dp/B00A1BP4OK/ref=sr_1_5?keywords=Midwest+MWT-6716B+Bulldog+Aviation+Snip&amp;qid=1694734669&amp;sr=8-5", "https://www.amazon.com/Wright-Tool-9P6716B-Bulldog-Aviation/dp/B00A1BP4OK/ref=sr_1_5?keywords=Midwest+MWT-6716B+Bulldog+Aviation+Snip&amp;qid=1694734669&amp;sr=8-5")</f>
        <v/>
      </c>
      <c r="F1026" t="inlineStr">
        <is>
          <t>B00A1BP4OK</t>
        </is>
      </c>
      <c r="G1026">
        <f>_xlfn.IMAGE("https://edmondsonsupply.com/cdn/shop/products/mwt-6716b.png?v=1587151187")</f>
        <v/>
      </c>
      <c r="H1026">
        <f>_xlfn.IMAGE("https://m.media-amazon.com/images/I/71QEjpomi6L._AC_UL320_.jpg")</f>
        <v/>
      </c>
      <c r="K1026" t="inlineStr">
        <is>
          <t>21.2</t>
        </is>
      </c>
      <c r="L1026" t="n">
        <v>83</v>
      </c>
      <c r="M1026" s="1" t="inlineStr">
        <is>
          <t>291.51%</t>
        </is>
      </c>
      <c r="N1026" s="7" t="n">
        <v>112.42</v>
      </c>
      <c r="O1026" t="n">
        <v>5</v>
      </c>
      <c r="P1026" t="n">
        <v>1</v>
      </c>
      <c r="R1026" t="inlineStr">
        <is>
          <t>InStock</t>
        </is>
      </c>
      <c r="S1026" t="inlineStr">
        <is>
          <t>31.11</t>
        </is>
      </c>
      <c r="T1026" t="inlineStr">
        <is>
          <t>3688937390180</t>
        </is>
      </c>
    </row>
    <row r="1027" hidden="1" ht="15.75" customHeight="1">
      <c r="A1027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1027" s="2">
        <f>HYPERLINK("https://edmondsonsupply.com/products/packard-titan-pro-toc5-motor-run-capacitor-5-mfd-370-volt-oval", "https://edmondsonsupply.com/products/packard-titan-pro-toc5-motor-run-capacitor-5-mfd-370-volt-oval")</f>
        <v/>
      </c>
      <c r="C1027" t="inlineStr">
        <is>
          <t>Packard Titan PRO TOC5 Motor Run Capacitor 5 MFD 370 Volt Oval</t>
        </is>
      </c>
      <c r="D1027" t="inlineStr">
        <is>
          <t>Packard TOCF5 Titan Pro Motor Run Capacitor 5MFD 440/370V OVAL Capacitor</t>
        </is>
      </c>
      <c r="E1027" s="2">
        <f>HYPERLINK("https://www.amazon.com/Packard-TOCF5-Titan-Motor-Capacitor/dp/B009558H9C/ref=sr_1_6?keywords=Packard+Titan+PRO+TOC5+Motor+Run+Capacitor+5+MFD+370+Volt+Oval&amp;qid=1694734593&amp;sr=8-6", "https://www.amazon.com/Packard-TOCF5-Titan-Motor-Capacitor/dp/B009558H9C/ref=sr_1_6?keywords=Packard+Titan+PRO+TOC5+Motor+Run+Capacitor+5+MFD+370+Volt+Oval&amp;qid=1694734593&amp;sr=8-6")</f>
        <v/>
      </c>
      <c r="F1027" t="inlineStr">
        <is>
          <t>B009558H9C</t>
        </is>
      </c>
      <c r="G1027">
        <f>_xludf.IMAGE("https://edmondsonsupply.com/cdn/shop/products/TOC5-2_cb7d381d-e381-4aa5-9246-56c19cd39747.jpg?v=1587146064")</f>
        <v/>
      </c>
      <c r="H1027">
        <f>_xludf.IMAGE("https://m.media-amazon.com/images/I/51PhTNpqMTL._AC_UY218_.jpg")</f>
        <v/>
      </c>
      <c r="K1027" t="inlineStr">
        <is>
          <t>1.84</t>
        </is>
      </c>
      <c r="L1027" t="n">
        <v>7.19</v>
      </c>
      <c r="M1027" s="1" t="inlineStr">
        <is>
          <t>290.76%</t>
        </is>
      </c>
      <c r="N1027" s="1" t="n">
        <v>111.61</v>
      </c>
      <c r="O1027" t="n">
        <v>3.7</v>
      </c>
      <c r="P1027" t="n">
        <v>11</v>
      </c>
      <c r="R1027" t="inlineStr">
        <is>
          <t>InStock</t>
        </is>
      </c>
      <c r="S1027" t="inlineStr">
        <is>
          <t>undefined</t>
        </is>
      </c>
      <c r="T1027" t="inlineStr">
        <is>
          <t>3597257539684</t>
        </is>
      </c>
    </row>
    <row r="1028" hidden="1" ht="15.75" customHeight="1">
      <c r="A1028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1028" s="2">
        <f>HYPERLINK("https://edmondsonsupply.com/products/packard-titan-pro-toc5-motor-run-capacitor-5-mfd-370-volt-oval", "https://edmondsonsupply.com/products/packard-titan-pro-toc5-motor-run-capacitor-5-mfd-370-volt-oval")</f>
        <v/>
      </c>
      <c r="C1028" t="inlineStr">
        <is>
          <t>Packard Titan PRO TOC5 Motor Run Capacitor 5 MFD 370 Volt Oval</t>
        </is>
      </c>
      <c r="D1028" t="inlineStr">
        <is>
          <t>Packard TOC5 Motor Run Capacitor Oval/MFD: 5 / Volts: 370</t>
        </is>
      </c>
      <c r="E1028" s="2">
        <f>HYPERLINK("https://www.amazon.com/Packard-TOC5-Motor-Capacitor-Oval/dp/B01IUY2XZC/ref=sr_1_4?keywords=Packard+Titan+PRO+TOC5+Motor+Run+Capacitor+5+MFD+370+Volt+Oval&amp;qid=1694734593&amp;sr=8-4", "https://www.amazon.com/Packard-TOC5-Motor-Capacitor-Oval/dp/B01IUY2XZC/ref=sr_1_4?keywords=Packard+Titan+PRO+TOC5+Motor+Run+Capacitor+5+MFD+370+Volt+Oval&amp;qid=1694734593&amp;sr=8-4")</f>
        <v/>
      </c>
      <c r="F1028" t="inlineStr">
        <is>
          <t>B01IUY2XZC</t>
        </is>
      </c>
      <c r="G1028">
        <f>_xludf.IMAGE("https://edmondsonsupply.com/cdn/shop/products/TOC5-2_cb7d381d-e381-4aa5-9246-56c19cd39747.jpg?v=1587146064")</f>
        <v/>
      </c>
      <c r="H1028">
        <f>_xludf.IMAGE("https://m.media-amazon.com/images/I/81LtcJSzFZL._AC_UY218_.jpg")</f>
        <v/>
      </c>
      <c r="K1028" t="inlineStr">
        <is>
          <t>1.84</t>
        </is>
      </c>
      <c r="L1028" t="n">
        <v>7.15</v>
      </c>
      <c r="M1028" s="1" t="inlineStr">
        <is>
          <t>288.59%</t>
        </is>
      </c>
      <c r="N1028" s="1" t="n">
        <v>111.58</v>
      </c>
      <c r="O1028" t="n">
        <v>4.7</v>
      </c>
      <c r="P1028" t="n">
        <v>152</v>
      </c>
      <c r="R1028" t="inlineStr">
        <is>
          <t>InStock</t>
        </is>
      </c>
      <c r="S1028" t="inlineStr">
        <is>
          <t>undefined</t>
        </is>
      </c>
      <c r="T1028" t="inlineStr">
        <is>
          <t>3597257539684</t>
        </is>
      </c>
    </row>
    <row r="1029" hidden="1" ht="15.75" customHeight="1">
      <c r="A1029" s="2">
        <f>HYPERLINK("https://edmondsonsupply.com/collections/hvac/products/packard-titan-pro-toc5-motor-run-capacitor-5-mfd-370-volt-oval", "https://edmondsonsupply.com/collections/hvac/products/packard-titan-pro-toc5-motor-run-capacitor-5-mfd-370-volt-oval")</f>
        <v/>
      </c>
      <c r="B1029" s="2">
        <f>HYPERLINK("https://edmondsonsupply.com/products/packard-titan-pro-toc5-motor-run-capacitor-5-mfd-370-volt-oval", "https://edmondsonsupply.com/products/packard-titan-pro-toc5-motor-run-capacitor-5-mfd-370-volt-oval")</f>
        <v/>
      </c>
      <c r="C1029" t="inlineStr">
        <is>
          <t>Packard Titan PRO TOC5 Motor Run Capacitor 5 MFD 370 Volt Oval</t>
        </is>
      </c>
      <c r="D1029" t="inlineStr">
        <is>
          <t>Packard TOC7.5 Motor Run Capacitor Oval / MFD: 7.5 / Volts: 370</t>
        </is>
      </c>
      <c r="E1029" s="2" t="n"/>
      <c r="F1029" t="inlineStr">
        <is>
          <t>B01IUY5LS8</t>
        </is>
      </c>
      <c r="G1029">
        <f>_xludf.IMAGE("https://edmondsonsupply.com/cdn/shop/products/TOC5-2_cb7d381d-e381-4aa5-9246-56c19cd39747.jpg?v=1587146064")</f>
        <v/>
      </c>
      <c r="H1029">
        <f>_xludf.IMAGE("https://m.media-amazon.com/images/I/81WIaa2HqNL._AC_UY218_.jpg")</f>
        <v/>
      </c>
      <c r="K1029" t="inlineStr">
        <is>
          <t>1.84</t>
        </is>
      </c>
      <c r="L1029" t="n">
        <v>7.13</v>
      </c>
      <c r="M1029" s="1" t="inlineStr">
        <is>
          <t>287.50%</t>
        </is>
      </c>
      <c r="N1029" s="1" t="n">
        <v>110.13</v>
      </c>
      <c r="O1029" t="n">
        <v>4.5</v>
      </c>
      <c r="P1029" t="n">
        <v>118</v>
      </c>
      <c r="R1029" t="inlineStr">
        <is>
          <t>InStock</t>
        </is>
      </c>
      <c r="S1029" t="inlineStr">
        <is>
          <t>undefined</t>
        </is>
      </c>
      <c r="T1029" t="inlineStr">
        <is>
          <t>3597257539684</t>
        </is>
      </c>
    </row>
    <row r="1030" ht="87" customHeight="1">
      <c r="A1030" s="2">
        <f>HYPERLINK("https://edmondsonsupply.com/collections/hvac/products/packard-trc40-titan-pro-run-capacitor-40-mfd-370-volt-round", "https://edmondsonsupply.com/collections/hvac/products/packard-trc40-titan-pro-run-capacitor-40-mfd-370-volt-round")</f>
        <v/>
      </c>
      <c r="B1030" s="2">
        <f>HYPERLINK("https://edmondsonsupply.com/products/packard-trc40-titan-pro-run-capacitor-40-mfd-370-volt-round", "https://edmondsonsupply.com/products/packard-trc40-titan-pro-run-capacitor-40-mfd-370-volt-round")</f>
        <v/>
      </c>
      <c r="C1030" t="inlineStr">
        <is>
          <t>Packard TRC40 Titan PRO Run Capacitor 40 MFD 370 Volt Round</t>
        </is>
      </c>
      <c r="D1030" t="inlineStr">
        <is>
          <t>Titan TRCFD403 Dual Rated Motor Run Capacitor Round MFD 40/3 Volts 440/370</t>
        </is>
      </c>
      <c r="E1030" s="2">
        <f>HYPERLINK("https://www.amazon.com/Titan-TRCFD403-Rated-Motor-Capacitor/dp/B01IC5QQCU/ref=sr_1_13?keywords=Packard+TRC40+Titan+PRO+Run+Capacitor+40+MFD+370+Volt+Round&amp;qid=1694734814&amp;sr=8-13", "https://www.amazon.com/Titan-TRCFD403-Rated-Motor-Capacitor/dp/B01IC5QQCU/ref=sr_1_13?keywords=Packard+TRC40+Titan+PRO+Run+Capacitor+40+MFD+370+Volt+Round&amp;qid=1694734814&amp;sr=8-13")</f>
        <v/>
      </c>
      <c r="F1030" t="inlineStr">
        <is>
          <t>B01IC5QQCU</t>
        </is>
      </c>
      <c r="G1030">
        <f>_xlfn.IMAGE("https://edmondsonsupply.com/cdn/shop/products/tp370-2_xl_1.jpg?v=1587148259")</f>
        <v/>
      </c>
      <c r="H1030">
        <f>_xlfn.IMAGE("https://m.media-amazon.com/images/I/31rIunJqcaL._AC_UY218_.jpg")</f>
        <v/>
      </c>
      <c r="K1030" t="inlineStr">
        <is>
          <t>4.6</t>
        </is>
      </c>
      <c r="L1030" t="n">
        <v>17.77</v>
      </c>
      <c r="M1030" s="1" t="inlineStr">
        <is>
          <t>286.30%</t>
        </is>
      </c>
      <c r="N1030" s="7" t="n">
        <v>110.01</v>
      </c>
      <c r="O1030" t="n">
        <v>4.4</v>
      </c>
      <c r="P1030" t="n">
        <v>30</v>
      </c>
      <c r="R1030" t="inlineStr">
        <is>
          <t>InStock</t>
        </is>
      </c>
      <c r="S1030" t="inlineStr">
        <is>
          <t>undefined</t>
        </is>
      </c>
      <c r="T1030" t="inlineStr">
        <is>
          <t>4343354654820</t>
        </is>
      </c>
    </row>
    <row r="1031" ht="87" customHeight="1">
      <c r="A1031" s="2">
        <f>HYPERLINK("https://edmondsonsupply.com/collections/hvac/products/nu-calgon-4291-18-nu-brite-aerosol-coil-cleaner", "https://edmondsonsupply.com/collections/hvac/products/nu-calgon-4291-18-nu-brite-aerosol-coil-cleaner")</f>
        <v/>
      </c>
      <c r="B1031" s="2">
        <f>HYPERLINK("https://edmondsonsupply.com/products/nu-calgon-4291-18-nu-brite-aerosol-coil-cleaner", "https://edmondsonsupply.com/products/nu-calgon-4291-18-nu-brite-aerosol-coil-cleaner")</f>
        <v/>
      </c>
      <c r="C1031" t="inlineStr">
        <is>
          <t>Nu-Calgon 4291-18 Nu-Brite Aerosol Coil Cleaner</t>
        </is>
      </c>
      <c r="D1031" t="inlineStr">
        <is>
          <t>Nu-Calgon 4291-08 Nu-Brite Alkaline Based Coil Cleaner 1 Gallon</t>
        </is>
      </c>
      <c r="E1031" s="2">
        <f>HYPERLINK("https://www.amazon.com/Nu-Calgon-4291-08-Nu-Brite-Alkaline-Cleaner/dp/B009J5QGG4/ref=sr_1_4?keywords=Nu-Calgon+4291-18+Nu-Brite+Aerosol+Coil+Cleaner&amp;qid=1694734638&amp;sr=8-4", "https://www.amazon.com/Nu-Calgon-4291-08-Nu-Brite-Alkaline-Cleaner/dp/B009J5QGG4/ref=sr_1_4?keywords=Nu-Calgon+4291-18+Nu-Brite+Aerosol+Coil+Cleaner&amp;qid=1694734638&amp;sr=8-4")</f>
        <v/>
      </c>
      <c r="F1031" t="inlineStr">
        <is>
          <t>B009J5QGG4</t>
        </is>
      </c>
      <c r="G1031">
        <f>_xlfn.IMAGE("https://edmondsonsupply.com/cdn/shop/products/4291-18.jpg?v=1658772777")</f>
        <v/>
      </c>
      <c r="H1031">
        <f>_xlfn.IMAGE("https://m.media-amazon.com/images/I/21bLtk2S+IL._AC_UL320_.jpg")</f>
        <v/>
      </c>
      <c r="K1031" t="inlineStr">
        <is>
          <t>11.39</t>
        </is>
      </c>
      <c r="L1031" t="n">
        <v>43.93</v>
      </c>
      <c r="M1031" s="1" t="inlineStr">
        <is>
          <t>285.69%</t>
        </is>
      </c>
      <c r="N1031" s="7" t="n">
        <v>108.61</v>
      </c>
      <c r="O1031" t="n">
        <v>4.4</v>
      </c>
      <c r="P1031" t="n">
        <v>9</v>
      </c>
      <c r="R1031" t="inlineStr">
        <is>
          <t>InStock</t>
        </is>
      </c>
      <c r="S1031" t="inlineStr">
        <is>
          <t>15.42</t>
        </is>
      </c>
      <c r="T1031" t="inlineStr">
        <is>
          <t>7760576119000</t>
        </is>
      </c>
    </row>
    <row r="1032" hidden="1" ht="15.75" customHeight="1">
      <c r="A1032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032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032" t="inlineStr">
        <is>
          <t>Holyoke Fittings 1055-FHFH 3/4" Garden Hose Thread Fitting - Brass Female Garden Hose to Hose Swivel Adapter</t>
        </is>
      </c>
      <c r="D1032" t="inlineStr">
        <is>
          <t>Garden Hose Swivel Adapter,Female to Female,3/4"Solid Brass Hose Connectors Adapters,3/4 GHT Female x 3/4 GHT Fmale Hose Adapter Garden Hose Fittings</t>
        </is>
      </c>
      <c r="E1032" s="2">
        <f>HYPERLINK("https://www.amazon.com/Garden-Adapter-Connectors-Adapters-Fittings/dp/B0BY1JDCQ4/ref=sr_1_21?keywords=Holyoke+Fittings+1055-FHFH+3%2F4%22+Garden+Hose+Thread+Fitting+-+Brass+Female+Garden+Hose+to+Hose+Swivel+Adapter&amp;qid=1694734918&amp;sr=8-21", "https://www.amazon.com/Garden-Adapter-Connectors-Adapters-Fittings/dp/B0BY1JDCQ4/ref=sr_1_21?keywords=Holyoke+Fittings+1055-FHFH+3%2F4%22+Garden+Hose+Thread+Fitting+-+Brass+Female+Garden+Hose+to+Hose+Swivel+Adapter&amp;qid=1694734918&amp;sr=8-21")</f>
        <v/>
      </c>
      <c r="F1032" t="inlineStr">
        <is>
          <t>B0BY1JDCQ4</t>
        </is>
      </c>
      <c r="G1032">
        <f>_xludf.IMAGE("https://edmondsonsupply.com/cdn/shop/files/1055-FHFH.jpg?v=1686083814")</f>
        <v/>
      </c>
      <c r="H1032">
        <f>_xludf.IMAGE("https://m.media-amazon.com/images/I/41Aj4zVIvBL._AC_UL320_.jpg")</f>
        <v/>
      </c>
      <c r="K1032" t="inlineStr">
        <is>
          <t>3.59</t>
        </is>
      </c>
      <c r="L1032" t="n">
        <v>13.8</v>
      </c>
      <c r="M1032" s="1" t="inlineStr">
        <is>
          <t>284.40%</t>
        </is>
      </c>
      <c r="N1032" s="1" t="n">
        <v>108.04</v>
      </c>
      <c r="O1032" t="n">
        <v>4.2</v>
      </c>
      <c r="P1032" t="n">
        <v>8</v>
      </c>
      <c r="R1032" t="inlineStr">
        <is>
          <t>InStock</t>
        </is>
      </c>
      <c r="S1032" t="inlineStr">
        <is>
          <t>5.17</t>
        </is>
      </c>
      <c r="T1032" t="inlineStr">
        <is>
          <t>8002194342104</t>
        </is>
      </c>
    </row>
    <row r="1033" hidden="1" ht="15.75" customHeight="1">
      <c r="A1033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033" s="2">
        <f>HYPERLINK("https://edmondsonsupply.com/products/packard-pmj216-motor-start-capacitor-216-259-mfd-110-125-vac", "https://edmondsonsupply.com/products/packard-pmj216-motor-start-capacitor-216-259-mfd-110-125-vac")</f>
        <v/>
      </c>
      <c r="C1033" t="inlineStr">
        <is>
          <t>Packard PMJ216 Motor Start Capacitor 216-259 MFD 110-125 VAC</t>
        </is>
      </c>
      <c r="D1033" t="inlineStr">
        <is>
          <t>TEMCo 216-259 uf/MFD 110-125 VAC Volts Round Start Capacitor 50/60 Hz AC Electric - Lot -1</t>
        </is>
      </c>
      <c r="E1033" s="2">
        <f>HYPERLINK("https://www.amazon.com/TEMCo-Capacitor-SC0014-216-259-110-125-Electric/dp/B00EQH04AO/ref=sr_1_16?keywords=Packard+PMJ216+Motor+Start+Capacitor+216-259+MFD+110-125+VAC&amp;qid=1694734654&amp;sr=8-16", "https://www.amazon.com/TEMCo-Capacitor-SC0014-216-259-110-125-Electric/dp/B00EQH04AO/ref=sr_1_16?keywords=Packard+PMJ216+Motor+Start+Capacitor+216-259+MFD+110-125+VAC&amp;qid=1694734654&amp;sr=8-16")</f>
        <v/>
      </c>
      <c r="F1033" t="inlineStr">
        <is>
          <t>B00EQH04AO</t>
        </is>
      </c>
      <c r="G1033">
        <f>_xludf.IMAGE("https://edmondsonsupply.com/cdn/shop/products/PMJ216-2.jpg?v=1633030107")</f>
        <v/>
      </c>
      <c r="H1033">
        <f>_xludf.IMAGE("https://m.media-amazon.com/images/I/61Q0mdNTFjL._AC_UY218_.jpg")</f>
        <v/>
      </c>
      <c r="K1033" t="inlineStr">
        <is>
          <t>3.63</t>
        </is>
      </c>
      <c r="L1033" t="n">
        <v>13.95</v>
      </c>
      <c r="M1033" s="1" t="inlineStr">
        <is>
          <t>284.30%</t>
        </is>
      </c>
      <c r="N1033" s="1" t="n">
        <v>107.87</v>
      </c>
      <c r="O1033" t="n">
        <v>4.5</v>
      </c>
      <c r="P1033" t="n">
        <v>169</v>
      </c>
      <c r="R1033" t="inlineStr">
        <is>
          <t>InStock</t>
        </is>
      </c>
      <c r="S1033" t="inlineStr">
        <is>
          <t>undefined</t>
        </is>
      </c>
      <c r="T1033" t="inlineStr">
        <is>
          <t>3600549642340</t>
        </is>
      </c>
    </row>
    <row r="1034" ht="87" customHeight="1">
      <c r="A1034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1034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1034" t="inlineStr">
        <is>
          <t>Klein Tools NCVT1XTKIT Non-Contact Voltage and GFCI Receptacle Premium Test Kit</t>
        </is>
      </c>
      <c r="D1034" t="inlineStr">
        <is>
          <t>Klein Tools RT250KIT Non-Contact Voltage Tester and GFCI Receptacle Tester &amp; 80016 Circuit Breaker Finder Tool Kit with Accessories, 2-Piece Set, Includes Cat. No. ET310 and Cat. No. 69411</t>
        </is>
      </c>
      <c r="E1034" s="2">
        <f>HYPERLINK("https://www.amazon.com/Klein-Tools-Non-Contact-Receptacle-Accessories/dp/B0BC86DZ9N/ref=sr_1_9?keywords=Klein+Tools+NCVT1XTKIT+Non-Contact+Voltage+and+GFCI+Receptacle+Premium+Test+Kit&amp;qid=1694734686&amp;sr=8-9", "https://www.amazon.com/Klein-Tools-Non-Contact-Receptacle-Accessories/dp/B0BC86DZ9N/ref=sr_1_9?keywords=Klein+Tools+NCVT1XTKIT+Non-Contact+Voltage+and+GFCI+Receptacle+Premium+Test+Kit&amp;qid=1694734686&amp;sr=8-9")</f>
        <v/>
      </c>
      <c r="F1034" t="inlineStr">
        <is>
          <t>B0BC86DZ9N</t>
        </is>
      </c>
      <c r="G1034">
        <f>_xlfn.IMAGE("https://edmondsonsupply.com/cdn/shop/products/ncvt1xtkit.jpg?v=1674497102")</f>
        <v/>
      </c>
      <c r="H1034">
        <f>_xlfn.IMAGE("https://m.media-amazon.com/images/I/516iLL0IaEL._AC_UL320_.jpg")</f>
        <v/>
      </c>
      <c r="K1034" t="inlineStr">
        <is>
          <t>24.99</t>
        </is>
      </c>
      <c r="L1034" t="n">
        <v>94.98</v>
      </c>
      <c r="M1034" s="1" t="inlineStr">
        <is>
          <t>280.07%</t>
        </is>
      </c>
      <c r="N1034" s="7" t="n">
        <v>107.54</v>
      </c>
      <c r="O1034" t="n">
        <v>4.7</v>
      </c>
      <c r="P1034" t="n">
        <v>32</v>
      </c>
      <c r="R1034" t="inlineStr">
        <is>
          <t>InStock</t>
        </is>
      </c>
      <c r="S1034" t="inlineStr">
        <is>
          <t>32.98</t>
        </is>
      </c>
      <c r="T1034" t="inlineStr">
        <is>
          <t>7931949187288</t>
        </is>
      </c>
    </row>
    <row r="1035" hidden="1" ht="15.75" customHeight="1">
      <c r="A1035" s="2">
        <f>HYPERLINK("https://edmondsonsupply.com/collections/hvac/products/packard-titan-pro-toc15-motor-run-capacitor-15-mfd-370-volt-oval", "https://edmondsonsupply.com/collections/hvac/products/packard-titan-pro-toc15-motor-run-capacitor-15-mfd-370-volt-oval")</f>
        <v/>
      </c>
      <c r="B1035" s="2">
        <f>HYPERLINK("https://edmondsonsupply.com/products/packard-titan-pro-toc15-motor-run-capacitor-15-mfd-370-volt-oval", "https://edmondsonsupply.com/products/packard-titan-pro-toc15-motor-run-capacitor-15-mfd-370-volt-oval")</f>
        <v/>
      </c>
      <c r="C1035" t="inlineStr">
        <is>
          <t>Packard Titan PRO TOC15 Motor Run Capacitor 15 MFD 370 Volt Oval</t>
        </is>
      </c>
      <c r="D1035" t="inlineStr">
        <is>
          <t>Packard TOCFD2015 Titan Pro Motor Run Capacitor 20+15 MFD 440/370V OVAL Capacitor</t>
        </is>
      </c>
      <c r="E1035" s="2">
        <f>HYPERLINK("https://www.amazon.com/Packard-TOCFD2015-Titan-Motor-Capacitor/dp/B009558NQO/ref=sr_1_3?keywords=Packard+Titan+PRO+TOC15+Motor+Run+Capacitor+15+MFD+370+Volt+Oval&amp;qid=1694734633&amp;sr=8-3", "https://www.amazon.com/Packard-TOCFD2015-Titan-Motor-Capacitor/dp/B009558NQO/ref=sr_1_3?keywords=Packard+Titan+PRO+TOC15+Motor+Run+Capacitor+15+MFD+370+Volt+Oval&amp;qid=1694734633&amp;sr=8-3")</f>
        <v/>
      </c>
      <c r="F1035" t="inlineStr">
        <is>
          <t>B009558NQO</t>
        </is>
      </c>
      <c r="G1035">
        <f>_xludf.IMAGE("https://edmondsonsupply.com/cdn/shop/products/TOC15-2.jpg?v=1633030141")</f>
        <v/>
      </c>
      <c r="H1035">
        <f>_xludf.IMAGE("https://m.media-amazon.com/images/I/41uzXVL4zvL._AC_UY218_.jpg")</f>
        <v/>
      </c>
      <c r="K1035" t="inlineStr">
        <is>
          <t>3.37</t>
        </is>
      </c>
      <c r="L1035" t="n">
        <v>12.79</v>
      </c>
      <c r="M1035" s="1" t="inlineStr">
        <is>
          <t>279.53%</t>
        </is>
      </c>
      <c r="N1035" s="1" t="n">
        <v>107.29</v>
      </c>
      <c r="O1035" t="n">
        <v>5</v>
      </c>
      <c r="P1035" t="n">
        <v>1</v>
      </c>
      <c r="R1035" t="inlineStr">
        <is>
          <t>InStock</t>
        </is>
      </c>
      <c r="S1035" t="inlineStr">
        <is>
          <t>undefined</t>
        </is>
      </c>
      <c r="T1035" t="inlineStr">
        <is>
          <t>3726734131300</t>
        </is>
      </c>
    </row>
    <row r="1036" ht="87" customHeight="1">
      <c r="A1036" s="2">
        <f>HYPERLINK("https://edmondsonsupply.com/collections/hvac/products/packard-trc40-titan-pro-run-capacitor-40-mfd-370-volt-round", "https://edmondsonsupply.com/collections/hvac/products/packard-trc40-titan-pro-run-capacitor-40-mfd-370-volt-round")</f>
        <v/>
      </c>
      <c r="B1036" s="2">
        <f>HYPERLINK("https://edmondsonsupply.com/products/packard-trc40-titan-pro-run-capacitor-40-mfd-370-volt-round", "https://edmondsonsupply.com/products/packard-trc40-titan-pro-run-capacitor-40-mfd-370-volt-round")</f>
        <v/>
      </c>
      <c r="C1036" t="inlineStr">
        <is>
          <t>Packard TRC40 Titan PRO Run Capacitor 40 MFD 370 Volt Round</t>
        </is>
      </c>
      <c r="D1036" t="inlineStr">
        <is>
          <t>TITAN PRO TRCFD4075 Dual Rated Motor Run Capacitor Round MFD 40/7.5 Volts 440/370</t>
        </is>
      </c>
      <c r="E1036" s="2">
        <f>HYPERLINK("https://www.amazon.com/Titan-TRCFD4075-Rated-Motor-Capacitor/dp/B01IC27L72/ref=sr_1_6?keywords=Packard+TRC40+Titan+PRO+Run+Capacitor+40+MFD+370+Volt+Round&amp;qid=1694734814&amp;sr=8-6", "https://www.amazon.com/Titan-TRCFD4075-Rated-Motor-Capacitor/dp/B01IC27L72/ref=sr_1_6?keywords=Packard+TRC40+Titan+PRO+Run+Capacitor+40+MFD+370+Volt+Round&amp;qid=1694734814&amp;sr=8-6")</f>
        <v/>
      </c>
      <c r="F1036" t="inlineStr">
        <is>
          <t>B01IC27L72</t>
        </is>
      </c>
      <c r="G1036">
        <f>_xlfn.IMAGE("https://edmondsonsupply.com/cdn/shop/products/tp370-2_xl_1.jpg?v=1587148259")</f>
        <v/>
      </c>
      <c r="H1036">
        <f>_xlfn.IMAGE("https://m.media-amazon.com/images/I/81gL9btPv8L._AC_UY218_.jpg")</f>
        <v/>
      </c>
      <c r="K1036" t="inlineStr">
        <is>
          <t>4.6</t>
        </is>
      </c>
      <c r="L1036" t="n">
        <v>17.44</v>
      </c>
      <c r="M1036" s="1" t="inlineStr">
        <is>
          <t>279.13%</t>
        </is>
      </c>
      <c r="N1036" s="7" t="n">
        <v>106.55</v>
      </c>
      <c r="O1036" t="n">
        <v>4.6</v>
      </c>
      <c r="P1036" t="n">
        <v>46</v>
      </c>
      <c r="R1036" t="inlineStr">
        <is>
          <t>InStock</t>
        </is>
      </c>
      <c r="S1036" t="inlineStr">
        <is>
          <t>undefined</t>
        </is>
      </c>
      <c r="T1036" t="inlineStr">
        <is>
          <t>4343354654820</t>
        </is>
      </c>
    </row>
    <row r="1037" hidden="1" ht="15.75" customHeight="1">
      <c r="A1037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037" s="2">
        <f>HYPERLINK("https://edmondsonsupply.com/products/packard-ptmj56-motor-start-capacitor-53-64-mfd-220-250-vac", "https://edmondsonsupply.com/products/packard-ptmj56-motor-start-capacitor-53-64-mfd-220-250-vac")</f>
        <v/>
      </c>
      <c r="C1037" t="inlineStr">
        <is>
          <t>Packard PTMJ56 Motor Start Capacitor 53-64 MFD 220-250 VAC</t>
        </is>
      </c>
      <c r="D1037" t="inlineStr">
        <is>
          <t>PTMJ56 - Packard Upgraded Replacement Motor Start Capacitor 53-64 MFD 220-250 Volt VAC</t>
        </is>
      </c>
      <c r="E1037" s="2">
        <f>HYPERLINK("https://www.amazon.com/PTMJ56-Packard-Upgraded-Replacement-Capacitor/dp/B0773WZHQQ/ref=sr_1_1?keywords=Packard+PTMJ56+Motor+Start+Capacitor+53-64+MFD+220-250+VAC&amp;qid=1694734647&amp;sr=8-1", "https://www.amazon.com/PTMJ56-Packard-Upgraded-Replacement-Capacitor/dp/B0773WZHQQ/ref=sr_1_1?keywords=Packard+PTMJ56+Motor+Start+Capacitor+53-64+MFD+220-250+VAC&amp;qid=1694734647&amp;sr=8-1")</f>
        <v/>
      </c>
      <c r="F1037" t="inlineStr">
        <is>
          <t>B0773WZHQQ</t>
        </is>
      </c>
      <c r="G1037">
        <f>_xludf.IMAGE("https://edmondsonsupply.com/cdn/shop/products/PTMJ56-2.jpg?v=1633030199")</f>
        <v/>
      </c>
      <c r="H1037">
        <f>_xludf.IMAGE("https://m.media-amazon.com/images/I/41fqQrQgJaL._AC_UY218_.jpg")</f>
        <v/>
      </c>
      <c r="K1037" t="inlineStr">
        <is>
          <t>3.59</t>
        </is>
      </c>
      <c r="L1037" t="n">
        <v>13.49</v>
      </c>
      <c r="M1037" s="1" t="inlineStr">
        <is>
          <t>275.77%</t>
        </is>
      </c>
      <c r="N1037" s="1" t="n">
        <v>106.52</v>
      </c>
      <c r="O1037" t="n">
        <v>5</v>
      </c>
      <c r="P1037" t="n">
        <v>3</v>
      </c>
      <c r="R1037" t="inlineStr">
        <is>
          <t>InStock</t>
        </is>
      </c>
      <c r="S1037" t="inlineStr">
        <is>
          <t>undefined</t>
        </is>
      </c>
      <c r="T1037" t="inlineStr">
        <is>
          <t>4414971347044</t>
        </is>
      </c>
    </row>
    <row r="1038" hidden="1" ht="15.75" customHeight="1">
      <c r="A1038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038" s="2">
        <f>HYPERLINK("https://edmondsonsupply.com/products/packard-ptmj56-motor-start-capacitor-53-64-mfd-220-250-vac", "https://edmondsonsupply.com/products/packard-ptmj56-motor-start-capacitor-53-64-mfd-220-250-vac")</f>
        <v/>
      </c>
      <c r="C1038" t="inlineStr">
        <is>
          <t>Packard PTMJ56 Motor Start Capacitor 53-64 MFD 220-250 VAC</t>
        </is>
      </c>
      <c r="D1038" t="inlineStr">
        <is>
          <t>PTMJ64 - Packard Upgraded Replacement Motor Start Capacitor 64-77 MFD 220-250 Volt VAC</t>
        </is>
      </c>
      <c r="E1038" s="2">
        <f>HYPERLINK("https://www.amazon.com/PTMJ64-Packard-Upgraded-Replacement-Capacitor/dp/B0773W3KZ6/ref=sr_1_14?keywords=Packard+PTMJ56+Motor+Start+Capacitor+53-64+MFD+220-250+VAC&amp;qid=1694734647&amp;sr=8-14", "https://www.amazon.com/PTMJ64-Packard-Upgraded-Replacement-Capacitor/dp/B0773W3KZ6/ref=sr_1_14?keywords=Packard+PTMJ56+Motor+Start+Capacitor+53-64+MFD+220-250+VAC&amp;qid=1694734647&amp;sr=8-14")</f>
        <v/>
      </c>
      <c r="F1038" t="inlineStr">
        <is>
          <t>B0773W3KZ6</t>
        </is>
      </c>
      <c r="G1038">
        <f>_xludf.IMAGE("https://edmondsonsupply.com/cdn/shop/products/PTMJ56-2.jpg?v=1633030199")</f>
        <v/>
      </c>
      <c r="H1038">
        <f>_xludf.IMAGE("https://m.media-amazon.com/images/I/41fqQrQgJaL._AC_UY218_.jpg")</f>
        <v/>
      </c>
      <c r="K1038" t="inlineStr">
        <is>
          <t>3.59</t>
        </is>
      </c>
      <c r="L1038" t="n">
        <v>13.49</v>
      </c>
      <c r="M1038" s="1" t="inlineStr">
        <is>
          <t>275.77%</t>
        </is>
      </c>
      <c r="N1038" s="1" t="n">
        <v>105.46</v>
      </c>
      <c r="O1038" t="n">
        <v>3</v>
      </c>
      <c r="P1038" t="n">
        <v>1</v>
      </c>
      <c r="R1038" t="inlineStr">
        <is>
          <t>InStock</t>
        </is>
      </c>
      <c r="S1038" t="inlineStr">
        <is>
          <t>undefined</t>
        </is>
      </c>
      <c r="T1038" t="inlineStr">
        <is>
          <t>4414971347044</t>
        </is>
      </c>
    </row>
    <row r="1039" ht="87" customHeight="1">
      <c r="A1039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1039" s="2">
        <f>HYPERLINK("https://edmondsonsupply.com/products/klein-tools-69417-rare-earth-magnetic-meter-hanger", "https://edmondsonsupply.com/products/klein-tools-69417-rare-earth-magnetic-meter-hanger")</f>
        <v/>
      </c>
      <c r="C1039" t="inlineStr">
        <is>
          <t>Klein Tools 69417 Rare Earth Magnetic Meter Hanger, with Strap</t>
        </is>
      </c>
      <c r="D1039" t="inlineStr">
        <is>
          <t>Digital Multimeter Electrical Test Kit, Non-Contact Voltage Tester, Receptacle Tester, Carrying Case and Batteries Klein Tools MM320KIT &amp; 69417 Rare-Earth Magnetic Hanger, with Strap</t>
        </is>
      </c>
      <c r="E1039" s="2">
        <f>HYPERLINK("https://www.amazon.com/Multimeter-Electrical-Non-Contact-Klein-Tools/dp/B0CF2CFS1D/ref=sr_1_6?keywords=Klein+Tools+69417+Rare+Earth+Magnetic+Meter+Hanger%2C+with+Strap&amp;qid=1694734820&amp;sr=8-6", "https://www.amazon.com/Multimeter-Electrical-Non-Contact-Klein-Tools/dp/B0CF2CFS1D/ref=sr_1_6?keywords=Klein+Tools+69417+Rare+Earth+Magnetic+Meter+Hanger%2C+with+Strap&amp;qid=1694734820&amp;sr=8-6")</f>
        <v/>
      </c>
      <c r="F1039" t="inlineStr">
        <is>
          <t>B0CF2CFS1D</t>
        </is>
      </c>
      <c r="G1039">
        <f>_xlfn.IMAGE("https://edmondsonsupply.com/cdn/shop/products/69417.jpg?v=1587150163")</f>
        <v/>
      </c>
      <c r="H1039">
        <f>_xlfn.IMAGE("https://m.media-amazon.com/images/I/5182bo0BHaL._AC_UL320_.jpg")</f>
        <v/>
      </c>
      <c r="K1039" t="inlineStr">
        <is>
          <t>13.99</t>
        </is>
      </c>
      <c r="L1039" t="n">
        <v>52.49</v>
      </c>
      <c r="M1039" s="1" t="inlineStr">
        <is>
          <t>275.20%</t>
        </is>
      </c>
      <c r="N1039" s="7" t="n">
        <v>105.42</v>
      </c>
      <c r="O1039" t="n">
        <v>4.8</v>
      </c>
      <c r="P1039" t="n">
        <v>1447</v>
      </c>
      <c r="R1039" t="inlineStr">
        <is>
          <t>InStock</t>
        </is>
      </c>
      <c r="S1039" t="inlineStr">
        <is>
          <t>20.0</t>
        </is>
      </c>
      <c r="T1039" t="inlineStr">
        <is>
          <t>1778073731172</t>
        </is>
      </c>
    </row>
    <row r="1040" ht="87" customHeight="1">
      <c r="A1040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040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040" t="inlineStr">
        <is>
          <t>Klein Tools 646-1/4 1/4-Inch Nut Driver with 6-Inch Hollow Shaft</t>
        </is>
      </c>
      <c r="D1040" t="inlineStr">
        <is>
          <t>Klein Tools 32807MAG 7-in-1 Nut Driver, Magnetic Driver has SAE Hex Nut Sizes 1/4 to 9/16-Inch, Cushion Grip Handle for Added Torque</t>
        </is>
      </c>
      <c r="E1040" s="2">
        <f>HYPERLINK("https://www.amazon.com/Driver-Magnetic-Klein-Tools-32807MAG/dp/B07D4M51DQ/ref=sr_1_22?keywords=Klein+Tools+646-1%2F4+1%2F4-Inch+Nut+Driver+with+6-Inch+Hollow+Shaft&amp;qid=1694734727&amp;sr=8-22", "https://www.amazon.com/Driver-Magnetic-Klein-Tools-32807MAG/dp/B07D4M51DQ/ref=sr_1_22?keywords=Klein+Tools+646-1%2F4+1%2F4-Inch+Nut+Driver+with+6-Inch+Hollow+Shaft&amp;qid=1694734727&amp;sr=8-22")</f>
        <v/>
      </c>
      <c r="F1040" t="inlineStr">
        <is>
          <t>B07D4M51DQ</t>
        </is>
      </c>
      <c r="G1040">
        <f>_xlfn.IMAGE("https://edmondsonsupply.com/cdn/shop/products/646-1-2_08d87fa9-eac4-4869-8d3b-bb680d4b1d53.jpg?v=1587150676")</f>
        <v/>
      </c>
      <c r="H1040">
        <f>_xlfn.IMAGE("https://m.media-amazon.com/images/I/61gwAJBzDAL._AC_UL320_.jpg")</f>
        <v/>
      </c>
      <c r="K1040" t="inlineStr">
        <is>
          <t>7.99</t>
        </is>
      </c>
      <c r="L1040" t="n">
        <v>29.97</v>
      </c>
      <c r="M1040" s="1" t="inlineStr">
        <is>
          <t>275.09%</t>
        </is>
      </c>
      <c r="N1040" s="7" t="n">
        <v>105.39</v>
      </c>
      <c r="O1040" t="n">
        <v>4.7</v>
      </c>
      <c r="P1040" t="n">
        <v>9145</v>
      </c>
      <c r="R1040" t="inlineStr">
        <is>
          <t>InStock</t>
        </is>
      </c>
      <c r="S1040" t="inlineStr">
        <is>
          <t>12.1</t>
        </is>
      </c>
      <c r="T1040" t="inlineStr">
        <is>
          <t>4439433740388</t>
        </is>
      </c>
    </row>
    <row r="1041" ht="87" customHeight="1">
      <c r="A1041" s="2">
        <f>HYPERLINK("https://edmondsonsupply.com/collections/hvac/products/kroil-fl132-floway-degreaser-aerosol-13oz-can", "https://edmondsonsupply.com/collections/hvac/products/kroil-fl132-floway-degreaser-aerosol-13oz-can")</f>
        <v/>
      </c>
      <c r="B1041" s="2">
        <f>HYPERLINK("https://edmondsonsupply.com/products/kroil-fl132-floway-degreaser-aerosol-13oz-can", "https://edmondsonsupply.com/products/kroil-fl132-floway-degreaser-aerosol-13oz-can")</f>
        <v/>
      </c>
      <c r="C1041" t="inlineStr">
        <is>
          <t>Kroil FL132 Floway Degreaser Aerosol 13oz can</t>
        </is>
      </c>
      <c r="D1041" t="inlineStr">
        <is>
          <t>KROIL Floway Aerosol 13oz Can Amazon Case of 6</t>
        </is>
      </c>
      <c r="E1041" s="2">
        <f>HYPERLINK("https://www.amazon.com/Floway-Aerosol-13oz-Amazon-Case/dp/B0B31ZHRHN/ref=sr_1_2?keywords=Kroil+FL132+Floway+Degreaser+Aerosol+13oz+can&amp;qid=1694734906&amp;sr=8-2", "https://www.amazon.com/Floway-Aerosol-13oz-Amazon-Case/dp/B0B31ZHRHN/ref=sr_1_2?keywords=Kroil+FL132+Floway+Degreaser+Aerosol+13oz+can&amp;qid=1694734906&amp;sr=8-2")</f>
        <v/>
      </c>
      <c r="F1041" t="inlineStr">
        <is>
          <t>B0B31ZHRHN</t>
        </is>
      </c>
      <c r="G1041">
        <f>_xlfn.IMAGE("https://edmondsonsupply.com/cdn/shop/files/bottle-floway-13-313x800_png.webp?v=1686782369")</f>
        <v/>
      </c>
      <c r="H1041">
        <f>_xlfn.IMAGE("https://m.media-amazon.com/images/I/611KOI22HdL._AC_UL320_.jpg")</f>
        <v/>
      </c>
      <c r="K1041" t="inlineStr">
        <is>
          <t>21.45</t>
        </is>
      </c>
      <c r="L1041" t="n">
        <v>79.98999999999999</v>
      </c>
      <c r="M1041" s="1" t="inlineStr">
        <is>
          <t>272.91%</t>
        </is>
      </c>
      <c r="N1041" s="7" t="n">
        <v>105.3</v>
      </c>
      <c r="O1041" t="n">
        <v>5</v>
      </c>
      <c r="P1041" t="n">
        <v>1</v>
      </c>
      <c r="R1041" t="inlineStr">
        <is>
          <t>InStock</t>
        </is>
      </c>
      <c r="S1041" t="inlineStr">
        <is>
          <t>22.0</t>
        </is>
      </c>
      <c r="T1041" t="inlineStr">
        <is>
          <t>8005763170520</t>
        </is>
      </c>
    </row>
    <row r="1042" ht="87" customHeight="1">
      <c r="A1042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042" s="2">
        <f>HYPERLINK("https://edmondsonsupply.com/products/nu-calgon-44171-75-evap-foam-no-rinse-aerosol-coil-cleaner", "https://edmondsonsupply.com/products/nu-calgon-44171-75-evap-foam-no-rinse-aerosol-coil-cleaner")</f>
        <v/>
      </c>
      <c r="C1042" t="inlineStr">
        <is>
          <t>Nu-Calgon 4171-75 Evap Foam No Rinse, Aerosol Coil Cleaner (18 oz. can)</t>
        </is>
      </c>
      <c r="D1042" t="inlineStr">
        <is>
          <t>Nu-Calgon 4171-75 Evap Foam No Rinse Evaporator Coil Cleaner, 18 oz. (2-(Pack)) Limited Edition</t>
        </is>
      </c>
      <c r="E1042" s="2">
        <f>HYPERLINK("https://www.amazon.com/Nu-Calgon-4171-75-Evaporator-Cleaner-Limited/dp/B081QKSP3K/ref=sr_1_9?keywords=Nu-Calgon+4171-75+Evap+Foam+No+Rinse%2C+Aerosol+Coil+Cleaner+%2818+oz.+can%29&amp;qid=1694734591&amp;sr=8-9", "https://www.amazon.com/Nu-Calgon-4171-75-Evaporator-Cleaner-Limited/dp/B081QKSP3K/ref=sr_1_9?keywords=Nu-Calgon+4171-75+Evap+Foam+No+Rinse%2C+Aerosol+Coil+Cleaner+%2818+oz.+can%29&amp;qid=1694734591&amp;sr=8-9")</f>
        <v/>
      </c>
      <c r="F1042" t="inlineStr">
        <is>
          <t>B081QKSP3K</t>
        </is>
      </c>
      <c r="G1042">
        <f>_xlfn.IMAGE("https://edmondsonsupply.com/cdn/shop/products/4171-75.jpg?v=1659099515")</f>
        <v/>
      </c>
      <c r="H1042">
        <f>_xlfn.IMAGE("https://m.media-amazon.com/images/I/71kimWjVxqL._AC_UL320_.jpg")</f>
        <v/>
      </c>
      <c r="K1042" t="inlineStr">
        <is>
          <t>11.75</t>
        </is>
      </c>
      <c r="L1042" t="n">
        <v>43.74</v>
      </c>
      <c r="M1042" s="1" t="inlineStr">
        <is>
          <t>272.26%</t>
        </is>
      </c>
      <c r="N1042" s="7" t="n">
        <v>104.91</v>
      </c>
      <c r="O1042" t="n">
        <v>5</v>
      </c>
      <c r="P1042" t="n">
        <v>2</v>
      </c>
      <c r="R1042" t="inlineStr">
        <is>
          <t>InStock</t>
        </is>
      </c>
      <c r="S1042" t="inlineStr">
        <is>
          <t>17.7</t>
        </is>
      </c>
      <c r="T1042" t="inlineStr">
        <is>
          <t>7766316646616</t>
        </is>
      </c>
    </row>
    <row r="1043" ht="87" customHeight="1">
      <c r="A1043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043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043" t="inlineStr">
        <is>
          <t>Yellow Jacket 25002 9" FLEXFLOW™ 1/4" Adaper Hose with Ball Valve - Yellow</t>
        </is>
      </c>
      <c r="D1043" t="inlineStr">
        <is>
          <t>Yellow Jacket 29984 Plus II 1/4" Hose with Compact Ball Valve, 48" (Pack of 3)</t>
        </is>
      </c>
      <c r="E1043" s="2">
        <f>HYPERLINK("https://www.amazon.com/Yellow-Jacket-29984-Compact-Valve/dp/B0036UHYGO/ref=sr_1_7?keywords=Yellow+Jacket+25002+9%22+FLEXFLOW%E2%84%A2+1%2F4%22+Adaper+Hose+with+Ball+Valve+-+Yellow&amp;qid=1694734728&amp;sr=8-7", "https://www.amazon.com/Yellow-Jacket-29984-Compact-Valve/dp/B0036UHYGO/ref=sr_1_7?keywords=Yellow+Jacket+25002+9%22+FLEXFLOW%E2%84%A2+1%2F4%22+Adaper+Hose+with+Ball+Valve+-+Yellow&amp;qid=1694734728&amp;sr=8-7")</f>
        <v/>
      </c>
      <c r="F1043" t="inlineStr">
        <is>
          <t>B0036UHYGO</t>
        </is>
      </c>
      <c r="G1043">
        <f>_xlfn.IMAGE("https://edmondsonsupply.com/cdn/shop/products/Yellow_Jacket_25002.jpg?v=1587150917")</f>
        <v/>
      </c>
      <c r="H1043">
        <f>_xlfn.IMAGE("https://m.media-amazon.com/images/I/71C3evC8EML._AC_UL320_.jpg")</f>
        <v/>
      </c>
      <c r="K1043" t="inlineStr">
        <is>
          <t>35.54</t>
        </is>
      </c>
      <c r="L1043" t="n">
        <v>131.99</v>
      </c>
      <c r="M1043" s="1" t="inlineStr">
        <is>
          <t>271.38%</t>
        </is>
      </c>
      <c r="N1043" s="7" t="n">
        <v>104.67</v>
      </c>
      <c r="O1043" t="n">
        <v>4.6</v>
      </c>
      <c r="P1043" t="n">
        <v>70</v>
      </c>
      <c r="R1043" t="inlineStr">
        <is>
          <t>InStock</t>
        </is>
      </c>
      <c r="S1043" t="inlineStr">
        <is>
          <t>undefined</t>
        </is>
      </c>
      <c r="T1043" t="inlineStr">
        <is>
          <t>2633213739108</t>
        </is>
      </c>
    </row>
    <row r="1044" hidden="1" ht="15.75" customHeight="1">
      <c r="A1044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044" s="2">
        <f>HYPERLINK("https://edmondsonsupply.com/products/packard-ptmj56-motor-start-capacitor-53-64-mfd-220-250-vac", "https://edmondsonsupply.com/products/packard-ptmj56-motor-start-capacitor-53-64-mfd-220-250-vac")</f>
        <v/>
      </c>
      <c r="C1044" t="inlineStr">
        <is>
          <t>Packard PTMJ56 Motor Start Capacitor 53-64 MFD 220-250 VAC</t>
        </is>
      </c>
      <c r="D1044" t="inlineStr">
        <is>
          <t>PTMJ53 - Packard Upgraded Replacement Motor Start Capacitor 53-64 MFD 220-250 Volt VAC</t>
        </is>
      </c>
      <c r="E1044" s="2">
        <f>HYPERLINK("https://www.amazon.com/PTMJ53-Packard-Upgraded-Replacement-Capacitor/dp/B0773W73B5/ref=sr_1_2?keywords=Packard+PTMJ56+Motor+Start+Capacitor+53-64+MFD+220-250+VAC&amp;qid=1694734647&amp;sr=8-2", "https://www.amazon.com/PTMJ53-Packard-Upgraded-Replacement-Capacitor/dp/B0773W73B5/ref=sr_1_2?keywords=Packard+PTMJ56+Motor+Start+Capacitor+53-64+MFD+220-250+VAC&amp;qid=1694734647&amp;sr=8-2")</f>
        <v/>
      </c>
      <c r="F1044" t="inlineStr">
        <is>
          <t>B0773W73B5</t>
        </is>
      </c>
      <c r="G1044">
        <f>_xludf.IMAGE("https://edmondsonsupply.com/cdn/shop/products/PTMJ56-2.jpg?v=1633030199")</f>
        <v/>
      </c>
      <c r="H1044">
        <f>_xludf.IMAGE("https://m.media-amazon.com/images/I/41fqQrQgJaL._AC_UY218_.jpg")</f>
        <v/>
      </c>
      <c r="K1044" t="inlineStr">
        <is>
          <t>3.59</t>
        </is>
      </c>
      <c r="L1044" t="n">
        <v>13.24</v>
      </c>
      <c r="M1044" s="1" t="inlineStr">
        <is>
          <t>268.80%</t>
        </is>
      </c>
      <c r="N1044" s="1" t="n">
        <v>104.41</v>
      </c>
      <c r="O1044" t="n">
        <v>3.7</v>
      </c>
      <c r="P1044" t="n">
        <v>11</v>
      </c>
      <c r="R1044" t="inlineStr">
        <is>
          <t>InStock</t>
        </is>
      </c>
      <c r="S1044" t="inlineStr">
        <is>
          <t>undefined</t>
        </is>
      </c>
      <c r="T1044" t="inlineStr">
        <is>
          <t>4414971347044</t>
        </is>
      </c>
    </row>
    <row r="1045" hidden="1" ht="15.75" customHeight="1">
      <c r="A1045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045" s="2">
        <f>HYPERLINK("https://edmondsonsupply.com/products/packard-ptmj56-motor-start-capacitor-53-64-mfd-220-250-vac", "https://edmondsonsupply.com/products/packard-ptmj56-motor-start-capacitor-53-64-mfd-220-250-vac")</f>
        <v/>
      </c>
      <c r="C1045" t="inlineStr">
        <is>
          <t>Packard PTMJ56 Motor Start Capacitor 53-64 MFD 220-250 VAC</t>
        </is>
      </c>
      <c r="D1045" t="inlineStr">
        <is>
          <t>PTMJ43 - Packard Upgraded Replacement Motor Start Capacitor 43-53 MFD 220-250 Volt VAC</t>
        </is>
      </c>
      <c r="E1045" s="2">
        <f>HYPERLINK("https://www.amazon.com/PTMJ43-Packard-Upgraded-Replacement-Capacitor/dp/B0773XQVXN/ref=sr_1_6?keywords=Packard+PTMJ56+Motor+Start+Capacitor+53-64+MFD+220-250+VAC&amp;qid=1694734647&amp;sr=8-6", "https://www.amazon.com/PTMJ43-Packard-Upgraded-Replacement-Capacitor/dp/B0773XQVXN/ref=sr_1_6?keywords=Packard+PTMJ56+Motor+Start+Capacitor+53-64+MFD+220-250+VAC&amp;qid=1694734647&amp;sr=8-6")</f>
        <v/>
      </c>
      <c r="F1045" t="inlineStr">
        <is>
          <t>B0773XQVXN</t>
        </is>
      </c>
      <c r="G1045">
        <f>_xludf.IMAGE("https://edmondsonsupply.com/cdn/shop/products/PTMJ56-2.jpg?v=1633030199")</f>
        <v/>
      </c>
      <c r="H1045">
        <f>_xludf.IMAGE("https://m.media-amazon.com/images/I/41fqQrQgJaL._AC_UY218_.jpg")</f>
        <v/>
      </c>
      <c r="K1045" t="inlineStr">
        <is>
          <t>3.59</t>
        </is>
      </c>
      <c r="L1045" t="n">
        <v>13.24</v>
      </c>
      <c r="M1045" s="1" t="inlineStr">
        <is>
          <t>268.80%</t>
        </is>
      </c>
      <c r="N1045" s="1" t="n">
        <v>104.28</v>
      </c>
      <c r="O1045" t="n">
        <v>4.4</v>
      </c>
      <c r="P1045" t="n">
        <v>10</v>
      </c>
      <c r="R1045" t="inlineStr">
        <is>
          <t>InStock</t>
        </is>
      </c>
      <c r="S1045" t="inlineStr">
        <is>
          <t>undefined</t>
        </is>
      </c>
      <c r="T1045" t="inlineStr">
        <is>
          <t>4414971347044</t>
        </is>
      </c>
    </row>
    <row r="1046" hidden="1" ht="15.75" customHeight="1">
      <c r="A1046" s="2">
        <f>HYPERLINK("https://edmondsonsupply.com/collections/hvac/products/cambridge-1-2-pvc-liquid-tight-conduit-fitting-straight", "https://edmondsonsupply.com/collections/hvac/products/cambridge-1-2-pvc-liquid-tight-conduit-fitting-straight")</f>
        <v/>
      </c>
      <c r="B1046" s="2">
        <f>HYPERLINK("https://edmondsonsupply.com/products/cambridge-1-2-pvc-liquid-tight-conduit-fitting-straight", "https://edmondsonsupply.com/products/cambridge-1-2-pvc-liquid-tight-conduit-fitting-straight")</f>
        <v/>
      </c>
      <c r="C1046" t="inlineStr">
        <is>
          <t>Cambridge 1/2" PVC Liquid Tight Conduit Fitting - Straight</t>
        </is>
      </c>
      <c r="D1046" t="inlineStr">
        <is>
          <t>Sigma Engineered Solutions ProConnex 49430 Liquid-Tight Straight Connector 1/2-Inch Conduit Fitting, 1-Pack, Gray</t>
        </is>
      </c>
      <c r="E1046" s="2">
        <f>HYPERLINK("https://www.amazon.com/Sigma-Electric-ProConnex-49430-Liquid-Tight/dp/B000GAX2JU/ref=sr_1_39?keywords=Cambridge+1%2F2%22+PVC+Liquid+Tight+Conduit+Fitting+-+Straight&amp;qid=1694734855&amp;sr=8-39", "https://www.amazon.com/Sigma-Electric-ProConnex-49430-Liquid-Tight/dp/B000GAX2JU/ref=sr_1_39?keywords=Cambridge+1%2F2%22+PVC+Liquid+Tight+Conduit+Fitting+-+Straight&amp;qid=1694734855&amp;sr=8-39")</f>
        <v/>
      </c>
      <c r="F1046" t="inlineStr">
        <is>
          <t>B000GAX2JU</t>
        </is>
      </c>
      <c r="G1046">
        <f>_xludf.IMAGE("https://edmondsonsupply.com/cdn/shop/files/W14658_01.jpg?v=1692277178")</f>
        <v/>
      </c>
      <c r="H1046">
        <f>_xludf.IMAGE("https://m.media-amazon.com/images/I/61bVrAiRpBL._AC_UL320_.jpg")</f>
        <v/>
      </c>
      <c r="K1046" t="inlineStr">
        <is>
          <t>1.19</t>
        </is>
      </c>
      <c r="L1046" t="n">
        <v>4.38</v>
      </c>
      <c r="M1046" s="1" t="inlineStr">
        <is>
          <t>268.07%</t>
        </is>
      </c>
      <c r="N1046" s="1" t="n">
        <v>104.22</v>
      </c>
      <c r="O1046" t="n">
        <v>4.4</v>
      </c>
      <c r="P1046" t="n">
        <v>12</v>
      </c>
      <c r="R1046" t="inlineStr">
        <is>
          <t>InStock</t>
        </is>
      </c>
      <c r="S1046" t="inlineStr">
        <is>
          <t>undefined</t>
        </is>
      </c>
      <c r="T1046" t="inlineStr">
        <is>
          <t>8028223144152</t>
        </is>
      </c>
    </row>
    <row r="1047" ht="87" customHeight="1">
      <c r="A1047" s="2">
        <f>HYPERLINK("https://edmondsonsupply.com/collections/hvac/products/packard-trc40-titan-pro-run-capacitor-40-mfd-370-volt-round", "https://edmondsonsupply.com/collections/hvac/products/packard-trc40-titan-pro-run-capacitor-40-mfd-370-volt-round")</f>
        <v/>
      </c>
      <c r="B1047" s="2">
        <f>HYPERLINK("https://edmondsonsupply.com/products/packard-trc40-titan-pro-run-capacitor-40-mfd-370-volt-round", "https://edmondsonsupply.com/products/packard-trc40-titan-pro-run-capacitor-40-mfd-370-volt-round")</f>
        <v/>
      </c>
      <c r="C1047" t="inlineStr">
        <is>
          <t>Packard TRC40 Titan PRO Run Capacitor 40 MFD 370 Volt Round</t>
        </is>
      </c>
      <c r="D1047" t="inlineStr">
        <is>
          <t>New TitanPro TRC40 HVAC Round Motor Run Capacitor. 40 MFD/UF 370 Volts</t>
        </is>
      </c>
      <c r="E1047" s="2">
        <f>HYPERLINK("https://www.amazon.com/TitanPro-TRC40-Round-Motor-Capacitor/dp/B07P4LFJGV/ref=sr_1_1?keywords=Packard+TRC40+Titan+PRO+Run+Capacitor+40+MFD+370+Volt+Round&amp;qid=1694734814&amp;sr=8-1", "https://www.amazon.com/TitanPro-TRC40-Round-Motor-Capacitor/dp/B07P4LFJGV/ref=sr_1_1?keywords=Packard+TRC40+Titan+PRO+Run+Capacitor+40+MFD+370+Volt+Round&amp;qid=1694734814&amp;sr=8-1")</f>
        <v/>
      </c>
      <c r="F1047" t="inlineStr">
        <is>
          <t>B07P4LFJGV</t>
        </is>
      </c>
      <c r="G1047">
        <f>_xlfn.IMAGE("https://edmondsonsupply.com/cdn/shop/products/tp370-2_xl_1.jpg?v=1587148259")</f>
        <v/>
      </c>
      <c r="H1047">
        <f>_xlfn.IMAGE("https://m.media-amazon.com/images/I/816a5n4cvjL._AC_UY218_.jpg")</f>
        <v/>
      </c>
      <c r="K1047" t="inlineStr">
        <is>
          <t>4.6</t>
        </is>
      </c>
      <c r="L1047" t="n">
        <v>16.86</v>
      </c>
      <c r="M1047" s="1" t="inlineStr">
        <is>
          <t>266.52%</t>
        </is>
      </c>
      <c r="N1047" s="7" t="n">
        <v>104.21</v>
      </c>
      <c r="O1047" t="n">
        <v>5</v>
      </c>
      <c r="P1047" t="n">
        <v>2</v>
      </c>
      <c r="R1047" t="inlineStr">
        <is>
          <t>InStock</t>
        </is>
      </c>
      <c r="S1047" t="inlineStr">
        <is>
          <t>undefined</t>
        </is>
      </c>
      <c r="T1047" t="inlineStr">
        <is>
          <t>4343354654820</t>
        </is>
      </c>
    </row>
    <row r="1048" hidden="1" ht="15.75" customHeight="1">
      <c r="A1048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1048" s="2">
        <f>HYPERLINK("https://edmondsonsupply.com/products/packard-pmj88-motor-start-capacitor-88-108-mfd-110-125-vac", "https://edmondsonsupply.com/products/packard-pmj88-motor-start-capacitor-88-108-mfd-110-125-vac")</f>
        <v/>
      </c>
      <c r="C1048" t="inlineStr">
        <is>
          <t>Packard PMJ88 Motor Start Capacitor 88-108 MFD 110-125 VAC</t>
        </is>
      </c>
      <c r="D1048" t="inlineStr">
        <is>
          <t>USA Motor Start Capacitor 88-106 uF MFD 110 125 VAC Replaces 11009 11909 PMJ88 PMJ88A</t>
        </is>
      </c>
      <c r="E1048" s="2">
        <f>HYPERLINK("https://www.amazon.com/Motor-Capacitor-88-106-Replaces-PMJ88A/dp/B07M5MCQ5C/ref=sr_1_3?keywords=Packard+PMJ88+Motor+Start+Capacitor+88-108+MFD+110-125+VAC&amp;qid=1694734709&amp;sr=8-3", "https://www.amazon.com/Motor-Capacitor-88-106-Replaces-PMJ88A/dp/B07M5MCQ5C/ref=sr_1_3?keywords=Packard+PMJ88+Motor+Start+Capacitor+88-108+MFD+110-125+VAC&amp;qid=1694734709&amp;sr=8-3")</f>
        <v/>
      </c>
      <c r="F1048" t="inlineStr">
        <is>
          <t>B07M5MCQ5C</t>
        </is>
      </c>
      <c r="G1048">
        <f>_xludf.IMAGE("https://edmondsonsupply.com/cdn/shop/products/PMJ88-2.jpg?v=1633030893")</f>
        <v/>
      </c>
      <c r="H1048">
        <f>_xludf.IMAGE("https://m.media-amazon.com/images/I/41aJP8hfgYL._AC_UY218_.jpg")</f>
        <v/>
      </c>
      <c r="K1048" t="inlineStr">
        <is>
          <t>3.1</t>
        </is>
      </c>
      <c r="L1048" t="n">
        <v>11.35</v>
      </c>
      <c r="M1048" s="1" t="inlineStr">
        <is>
          <t>266.13%</t>
        </is>
      </c>
      <c r="N1048" s="1" t="n">
        <v>103.63</v>
      </c>
      <c r="O1048" t="n">
        <v>5</v>
      </c>
      <c r="P1048" t="n">
        <v>4</v>
      </c>
      <c r="R1048" t="inlineStr">
        <is>
          <t>InStock</t>
        </is>
      </c>
      <c r="S1048" t="inlineStr">
        <is>
          <t>undefined</t>
        </is>
      </c>
      <c r="T1048" t="inlineStr">
        <is>
          <t>6224638771373</t>
        </is>
      </c>
    </row>
    <row r="1049" ht="87" customHeight="1">
      <c r="A1049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049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049" t="inlineStr">
        <is>
          <t>Klein Tools 646-1/4 1/4-Inch Nut Driver with 6-Inch Hollow Shaft</t>
        </is>
      </c>
      <c r="D1049" t="inlineStr">
        <is>
          <t>Klein Tools 32900 Impact Driver, 7-in-1 Impact Flip Socket Set with Handle, 6 Hex Driver Sizes plus a 1/4-Inch Bit Holder</t>
        </is>
      </c>
      <c r="E1049" s="2">
        <f>HYPERLINK("https://www.amazon.com/Klein-Tools-32900-Impact-Driver/dp/B09PZG4F8X/ref=sr_1_35?keywords=Klein+Tools+646-1%2F4+1%2F4-Inch+Nut+Driver+with+6-Inch+Hollow+Shaft&amp;qid=1694734727&amp;sr=8-35", "https://www.amazon.com/Klein-Tools-32900-Impact-Driver/dp/B09PZG4F8X/ref=sr_1_35?keywords=Klein+Tools+646-1%2F4+1%2F4-Inch+Nut+Driver+with+6-Inch+Hollow+Shaft&amp;qid=1694734727&amp;sr=8-35")</f>
        <v/>
      </c>
      <c r="F1049" t="inlineStr">
        <is>
          <t>B09PZG4F8X</t>
        </is>
      </c>
      <c r="G1049">
        <f>_xlfn.IMAGE("https://edmondsonsupply.com/cdn/shop/products/646-1-2_08d87fa9-eac4-4869-8d3b-bb680d4b1d53.jpg?v=1587150676")</f>
        <v/>
      </c>
      <c r="H1049">
        <f>_xlfn.IMAGE("https://m.media-amazon.com/images/I/51qL2uXqcTL._AC_UL320_.jpg")</f>
        <v/>
      </c>
      <c r="K1049" t="inlineStr">
        <is>
          <t>7.99</t>
        </is>
      </c>
      <c r="L1049" t="n">
        <v>29.25</v>
      </c>
      <c r="M1049" s="1" t="inlineStr">
        <is>
          <t>266.08%</t>
        </is>
      </c>
      <c r="N1049" s="7" t="n">
        <v>102.41</v>
      </c>
      <c r="O1049" t="n">
        <v>4.7</v>
      </c>
      <c r="P1049" t="n">
        <v>2468</v>
      </c>
      <c r="R1049" t="inlineStr">
        <is>
          <t>InStock</t>
        </is>
      </c>
      <c r="S1049" t="inlineStr">
        <is>
          <t>12.1</t>
        </is>
      </c>
      <c r="T1049" t="inlineStr">
        <is>
          <t>4439433740388</t>
        </is>
      </c>
    </row>
    <row r="1050" hidden="1" ht="15.75" customHeight="1">
      <c r="A1050" s="2">
        <f>HYPERLINK("https://edmondsonsupply.com/collections/hvac/products/klein-tools-et10-magnetic-digital-pocket-thermometer", "https://edmondsonsupply.com/collections/hvac/products/klein-tools-et10-magnetic-digital-pocket-thermometer")</f>
        <v/>
      </c>
      <c r="B1050" s="2">
        <f>HYPERLINK("https://edmondsonsupply.com/products/klein-tools-et10-magnetic-digital-pocket-thermometer", "https://edmondsonsupply.com/products/klein-tools-et10-magnetic-digital-pocket-thermometer")</f>
        <v/>
      </c>
      <c r="C1050" t="inlineStr">
        <is>
          <t>Klein Tools ET10 Magnetic Digital Pocket Thermometer</t>
        </is>
      </c>
      <c r="D1050" t="inlineStr">
        <is>
          <t>Klein Tools IR5 Dual Laser 12:1 Infrared Thermometer &amp; ET10 Magnetic Digital Pocket Thermometer</t>
        </is>
      </c>
      <c r="E1050" s="2">
        <f>HYPERLINK("https://www.amazon.com/Klein-Tools-IR5-Dual-Laser/dp/B0BC82N9HS/ref=sr_1_8?keywords=Klein+Tools+ET10+Magnetic+Digital+Pocket+Thermometer&amp;qid=1694734726&amp;sr=8-8", "https://www.amazon.com/Klein-Tools-IR5-Dual-Laser/dp/B0BC82N9HS/ref=sr_1_8?keywords=Klein+Tools+ET10+Magnetic+Digital+Pocket+Thermometer&amp;qid=1694734726&amp;sr=8-8")</f>
        <v/>
      </c>
      <c r="F1050" t="inlineStr">
        <is>
          <t>B0BC82N9HS</t>
        </is>
      </c>
      <c r="G1050">
        <f>_xludf.IMAGE("https://edmondsonsupply.com/cdn/shop/products/et10.jpg?v=1587142916")</f>
        <v/>
      </c>
      <c r="H1050">
        <f>_xludf.IMAGE("https://m.media-amazon.com/images/I/41u4ikUsnGL._AC_UY218_.jpg")</f>
        <v/>
      </c>
      <c r="K1050" t="inlineStr">
        <is>
          <t>22.99</t>
        </is>
      </c>
      <c r="L1050" t="n">
        <v>83.81999999999999</v>
      </c>
      <c r="M1050" s="1" t="inlineStr">
        <is>
          <t>264.59%</t>
        </is>
      </c>
      <c r="N1050" s="1" t="n">
        <v>102.13</v>
      </c>
      <c r="O1050" t="n">
        <v>3</v>
      </c>
      <c r="P1050" t="n">
        <v>1</v>
      </c>
      <c r="R1050" t="inlineStr">
        <is>
          <t>InStock</t>
        </is>
      </c>
      <c r="S1050" t="inlineStr">
        <is>
          <t>34.08</t>
        </is>
      </c>
      <c r="T1050" t="inlineStr">
        <is>
          <t>3690025943140</t>
        </is>
      </c>
    </row>
    <row r="1051" ht="87" customHeight="1">
      <c r="A1051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1051" s="2">
        <f>HYPERLINK("https://edmondsonsupply.com/products/klein-tools-610-stubby-nut-driver-set-1-1-2-inch-shafts-2-piece", "https://edmondsonsupply.com/products/klein-tools-610-stubby-nut-driver-set-1-1-2-inch-shafts-2-piece")</f>
        <v/>
      </c>
      <c r="C1051" t="inlineStr">
        <is>
          <t>Klein Tools 610 Stubby Nut Driver Set 1-1/2-Inch Shafts 2-Piece</t>
        </is>
      </c>
      <c r="D1051" t="inlineStr">
        <is>
          <t>Klein Tools 647 Tool Set, Nut Drivers Sizes 3/16, 1/4, 5/16, 11/32, 3/8, 7/16, 1/2-Inch, Chrome-Plated 6-Inch Shafts, Cushion Grip, 7-Piece</t>
        </is>
      </c>
      <c r="E1051" s="2">
        <f>HYPERLINK("https://www.amazon.com/Driver-6-Inch-Klein-Tools-647/dp/B0014KRVXO/ref=sr_1_9?keywords=Klein+Tools+610+Stubby+Nut+Driver+Set+1-1%2F2-Inch+Shafts+2-Piece&amp;qid=1694734809&amp;sr=8-9", "https://www.amazon.com/Driver-6-Inch-Klein-Tools-647/dp/B0014KRVXO/ref=sr_1_9?keywords=Klein+Tools+610+Stubby+Nut+Driver+Set+1-1%2F2-Inch+Shafts+2-Piece&amp;qid=1694734809&amp;sr=8-9")</f>
        <v/>
      </c>
      <c r="F1051" t="inlineStr">
        <is>
          <t>B0014KRVXO</t>
        </is>
      </c>
      <c r="G1051">
        <f>_xlfn.IMAGE("https://edmondsonsupply.com/cdn/shop/products/610m_169714eb-6816-4f42-aa86-ea17ea5fcbbb.jpg?v=1633030110")</f>
        <v/>
      </c>
      <c r="H1051">
        <f>_xlfn.IMAGE("https://m.media-amazon.com/images/I/51usUk-EpGL._AC_UL320_.jpg")</f>
        <v/>
      </c>
      <c r="K1051" t="inlineStr">
        <is>
          <t>15.99</t>
        </is>
      </c>
      <c r="L1051" t="n">
        <v>57.99</v>
      </c>
      <c r="M1051" s="1" t="inlineStr">
        <is>
          <t>262.66%</t>
        </is>
      </c>
      <c r="N1051" s="7" t="n">
        <v>102.01</v>
      </c>
      <c r="O1051" t="n">
        <v>4.8</v>
      </c>
      <c r="P1051" t="n">
        <v>734</v>
      </c>
      <c r="R1051" t="inlineStr">
        <is>
          <t>InStock</t>
        </is>
      </c>
      <c r="S1051" t="inlineStr">
        <is>
          <t>24.26</t>
        </is>
      </c>
      <c r="T1051" t="inlineStr">
        <is>
          <t>3671774855268</t>
        </is>
      </c>
    </row>
    <row r="1052" hidden="1" ht="15.75" customHeight="1">
      <c r="A1052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052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052" t="inlineStr">
        <is>
          <t>Holyoke Fittings 1055-FHFH 3/4" Garden Hose Thread Fitting - Brass Female Garden Hose to Hose Swivel Adapter</t>
        </is>
      </c>
      <c r="D1052" t="inlineStr">
        <is>
          <t>Hooshing 3PCS Brass Garden Hose Swivel Adapter Connector 3/4" GHT to 3/4" NPT Thread Double Female Garden Hose Adapter</t>
        </is>
      </c>
      <c r="E1052" s="2">
        <f>HYPERLINK("https://www.amazon.com/Hooshing-Garden-Swivel-Adapter-Connector/dp/B09H2DXSMD/ref=sr_1_11?keywords=Holyoke+Fittings+1055-FHFH+3%2F4%22+Garden+Hose+Thread+Fitting+-+Brass+Female+Garden+Hose+to+Hose+Swivel+Adapter&amp;qid=1694734918&amp;sr=8-11", "https://www.amazon.com/Hooshing-Garden-Swivel-Adapter-Connector/dp/B09H2DXSMD/ref=sr_1_11?keywords=Holyoke+Fittings+1055-FHFH+3%2F4%22+Garden+Hose+Thread+Fitting+-+Brass+Female+Garden+Hose+to+Hose+Swivel+Adapter&amp;qid=1694734918&amp;sr=8-11")</f>
        <v/>
      </c>
      <c r="F1052" t="inlineStr">
        <is>
          <t>B09H2DXSMD</t>
        </is>
      </c>
      <c r="G1052">
        <f>_xludf.IMAGE("https://edmondsonsupply.com/cdn/shop/files/1055-FHFH.jpg?v=1686083814")</f>
        <v/>
      </c>
      <c r="H1052">
        <f>_xludf.IMAGE("https://m.media-amazon.com/images/I/51KU+phUSIL._AC_UL320_.jpg")</f>
        <v/>
      </c>
      <c r="K1052" t="inlineStr">
        <is>
          <t>3.59</t>
        </is>
      </c>
      <c r="L1052" t="n">
        <v>12.99</v>
      </c>
      <c r="M1052" s="1" t="inlineStr">
        <is>
          <t>261.84%</t>
        </is>
      </c>
      <c r="N1052" s="1" t="n">
        <v>101.59</v>
      </c>
      <c r="O1052" t="n">
        <v>4.3</v>
      </c>
      <c r="P1052" t="n">
        <v>113</v>
      </c>
      <c r="R1052" t="inlineStr">
        <is>
          <t>InStock</t>
        </is>
      </c>
      <c r="S1052" t="inlineStr">
        <is>
          <t>5.17</t>
        </is>
      </c>
      <c r="T1052" t="inlineStr">
        <is>
          <t>8002194342104</t>
        </is>
      </c>
    </row>
    <row r="1053" hidden="1" ht="15.75" customHeight="1">
      <c r="A1053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053" s="2">
        <f>HYPERLINK("https://edmondsonsupply.com/products/packard-ptmj56-motor-start-capacitor-53-64-mfd-220-250-vac", "https://edmondsonsupply.com/products/packard-ptmj56-motor-start-capacitor-53-64-mfd-220-250-vac")</f>
        <v/>
      </c>
      <c r="C1053" t="inlineStr">
        <is>
          <t>Packard PTMJ56 Motor Start Capacitor 53-64 MFD 220-250 VAC</t>
        </is>
      </c>
      <c r="D1053" t="inlineStr">
        <is>
          <t>PTMJ56 - Packard Aftermarket Replacement Motor Start Capacitor 56-72 MFD 220 250 Volt</t>
        </is>
      </c>
      <c r="E1053" s="2">
        <f>HYPERLINK("https://www.amazon.com/PTMJ56-Packard-Aftermarket-Replacement-Capacitor/dp/B00IWYH5UO/ref=sr_1_10?keywords=Packard+PTMJ56+Motor+Start+Capacitor+53-64+MFD+220-250+VAC&amp;qid=1694734647&amp;sr=8-10", "https://www.amazon.com/PTMJ56-Packard-Aftermarket-Replacement-Capacitor/dp/B00IWYH5UO/ref=sr_1_10?keywords=Packard+PTMJ56+Motor+Start+Capacitor+53-64+MFD+220-250+VAC&amp;qid=1694734647&amp;sr=8-10")</f>
        <v/>
      </c>
      <c r="F1053" t="inlineStr">
        <is>
          <t>B00IWYH5UO</t>
        </is>
      </c>
      <c r="G1053">
        <f>_xludf.IMAGE("https://edmondsonsupply.com/cdn/shop/products/PTMJ56-2.jpg?v=1633030199")</f>
        <v/>
      </c>
      <c r="H1053">
        <f>_xludf.IMAGE("https://m.media-amazon.com/images/I/41iN-8gLZyL._AC_UY218_.jpg")</f>
        <v/>
      </c>
      <c r="K1053" t="inlineStr">
        <is>
          <t>3.59</t>
        </is>
      </c>
      <c r="L1053" t="n">
        <v>12.99</v>
      </c>
      <c r="M1053" s="1" t="inlineStr">
        <is>
          <t>261.84%</t>
        </is>
      </c>
      <c r="N1053" s="1" t="n">
        <v>101.07</v>
      </c>
      <c r="O1053" t="n">
        <v>5</v>
      </c>
      <c r="P1053" t="n">
        <v>2</v>
      </c>
      <c r="R1053" t="inlineStr">
        <is>
          <t>InStock</t>
        </is>
      </c>
      <c r="S1053" t="inlineStr">
        <is>
          <t>undefined</t>
        </is>
      </c>
      <c r="T1053" t="inlineStr">
        <is>
          <t>4414971347044</t>
        </is>
      </c>
    </row>
    <row r="1054" hidden="1" ht="15.75" customHeight="1">
      <c r="A1054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054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054" t="inlineStr">
        <is>
          <t>Holyoke Fittings 1055-FHFH 3/4" Garden Hose Thread Fitting - Brass Female Garden Hose to Hose Swivel Adapter</t>
        </is>
      </c>
      <c r="D1054" t="inlineStr">
        <is>
          <t>JOEJET Garden Hose Connector, 3/4'' GHT Female and Male to 3/4'' NPT Male, Metal Brass Water Hose to Pipe Thread Adapters and Fittings</t>
        </is>
      </c>
      <c r="E1054" s="2">
        <f>HYPERLINK("https://www.amazon.com/JOEJET-Garden-Connector-Adapters-Fittings/dp/B09NJHPXL8/ref=sr_1_30?keywords=Holyoke+Fittings+1055-FHFH+3%2F4%22+Garden+Hose+Thread+Fitting+-+Brass+Female+Garden+Hose+to+Hose+Swivel+Adapter&amp;qid=1694734918&amp;sr=8-30", "https://www.amazon.com/JOEJET-Garden-Connector-Adapters-Fittings/dp/B09NJHPXL8/ref=sr_1_30?keywords=Holyoke+Fittings+1055-FHFH+3%2F4%22+Garden+Hose+Thread+Fitting+-+Brass+Female+Garden+Hose+to+Hose+Swivel+Adapter&amp;qid=1694734918&amp;sr=8-30")</f>
        <v/>
      </c>
      <c r="F1054" t="inlineStr">
        <is>
          <t>B09NJHPXL8</t>
        </is>
      </c>
      <c r="G1054">
        <f>_xludf.IMAGE("https://edmondsonsupply.com/cdn/shop/files/1055-FHFH.jpg?v=1686083814")</f>
        <v/>
      </c>
      <c r="H1054">
        <f>_xludf.IMAGE("https://m.media-amazon.com/images/I/81LqnebhZyL._AC_UL320_.jpg")</f>
        <v/>
      </c>
      <c r="K1054" t="inlineStr">
        <is>
          <t>3.59</t>
        </is>
      </c>
      <c r="L1054" t="n">
        <v>12.99</v>
      </c>
      <c r="M1054" s="1" t="inlineStr">
        <is>
          <t>261.84%</t>
        </is>
      </c>
      <c r="N1054" s="1" t="n">
        <v>100.56</v>
      </c>
      <c r="O1054" t="n">
        <v>4.6</v>
      </c>
      <c r="P1054" t="n">
        <v>176</v>
      </c>
      <c r="R1054" t="inlineStr">
        <is>
          <t>InStock</t>
        </is>
      </c>
      <c r="S1054" t="inlineStr">
        <is>
          <t>5.17</t>
        </is>
      </c>
      <c r="T1054" t="inlineStr">
        <is>
          <t>8002194342104</t>
        </is>
      </c>
    </row>
    <row r="1055" ht="87" customHeight="1">
      <c r="A1055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055" s="2">
        <f>HYPERLINK("https://edmondsonsupply.com/products/packard-prmj108-motor-start-capacitor-108-130-mfd-330-volt", "https://edmondsonsupply.com/products/packard-prmj108-motor-start-capacitor-108-130-mfd-330-volt")</f>
        <v/>
      </c>
      <c r="C1055" t="inlineStr">
        <is>
          <t>Packard PRMJ108 Motor Start Capacitor 108-130 MFD 330 Volt</t>
        </is>
      </c>
      <c r="D1055" t="inlineStr">
        <is>
          <t>11063 - Mars OEM Replacement Motor Start Capacitor 330 Volt 108-130 MFD</t>
        </is>
      </c>
      <c r="E1055" s="2">
        <f>HYPERLINK("https://www.amazon.com/11063-Replacement-Motor-Capacitor-108-130/dp/B06X9VNM1J/ref=sr_1_9?keywords=Packard+PRMJ108+Motor+Start+Capacitor+108-130+MFD+330+Volt&amp;qid=1694734796&amp;sr=8-9", "https://www.amazon.com/11063-Replacement-Motor-Capacitor-108-130/dp/B06X9VNM1J/ref=sr_1_9?keywords=Packard+PRMJ108+Motor+Start+Capacitor+108-130+MFD+330+Volt&amp;qid=1694734796&amp;sr=8-9")</f>
        <v/>
      </c>
      <c r="F1055" t="inlineStr">
        <is>
          <t>B06X9VNM1J</t>
        </is>
      </c>
      <c r="G1055">
        <f>_xlfn.IMAGE("https://edmondsonsupply.com/cdn/shop/products/PRMJ108-2.jpg?v=1633030309")</f>
        <v/>
      </c>
      <c r="H1055">
        <f>_xlfn.IMAGE("https://m.media-amazon.com/images/I/41-AlfaYVML._AC_UY218_.jpg")</f>
        <v/>
      </c>
      <c r="K1055" t="inlineStr">
        <is>
          <t>4.39</t>
        </is>
      </c>
      <c r="L1055" t="n">
        <v>15.83</v>
      </c>
      <c r="M1055" s="1" t="inlineStr">
        <is>
          <t>260.59%</t>
        </is>
      </c>
      <c r="N1055" s="7" t="n">
        <v>100.3</v>
      </c>
      <c r="O1055" t="n">
        <v>4.4</v>
      </c>
      <c r="P1055" t="n">
        <v>10</v>
      </c>
      <c r="R1055" t="inlineStr">
        <is>
          <t>InStock</t>
        </is>
      </c>
      <c r="S1055" t="inlineStr">
        <is>
          <t>undefined</t>
        </is>
      </c>
      <c r="T1055" t="inlineStr">
        <is>
          <t>5241928319144</t>
        </is>
      </c>
    </row>
    <row r="1056" ht="87" customHeight="1">
      <c r="A1056" s="2">
        <f>HYPERLINK("https://edmondsonsupply.com/collections/hvac/products/milwaukee-48-22-1500-fastback%E2%84%A2-compact-folding-utility-knife", "https://edmondsonsupply.com/collections/hvac/products/milwaukee-48-22-1500-fastback%E2%84%A2-compact-folding-utility-knife")</f>
        <v/>
      </c>
      <c r="B1056" s="2">
        <f>HYPERLINK("https://edmondsonsupply.com/products/milwaukee-48-22-1500-fastback%e2%84%a2-compact-folding-utility-knife", "https://edmondsonsupply.com/products/milwaukee-48-22-1500-fastback%e2%84%a2-compact-folding-utility-knife")</f>
        <v/>
      </c>
      <c r="C1056" t="inlineStr">
        <is>
          <t>Milwaukee 48-22-1500 FASTBACK™ Compact Folding Utility Knife</t>
        </is>
      </c>
      <c r="D1056" t="inlineStr">
        <is>
          <t>For Milwaukee Tool 48-22-1505 Fastback™ 6In1 Folding Utility Knife</t>
        </is>
      </c>
      <c r="E1056" s="2">
        <f>HYPERLINK("https://www.amazon.com/Milwaukee-48-22-1505-FastbackTM-Folding-Utility/dp/B0C69TGH9K/ref=sr_1_4?keywords=Milwaukee+48-22-1500+FASTBACK%E2%84%A2+Compact+Folding+Utility+Knife&amp;qid=1694734731&amp;sr=8-4", "https://www.amazon.com/Milwaukee-48-22-1505-FastbackTM-Folding-Utility/dp/B0C69TGH9K/ref=sr_1_4?keywords=Milwaukee+48-22-1500+FASTBACK%E2%84%A2+Compact+Folding+Utility+Knife&amp;qid=1694734731&amp;sr=8-4")</f>
        <v/>
      </c>
      <c r="F1056" t="inlineStr">
        <is>
          <t>B0C69TGH9K</t>
        </is>
      </c>
      <c r="G1056">
        <f>_xlfn.IMAGE("https://edmondsonsupply.com/cdn/shop/products/48-22-1500_3.png?v=1587142474")</f>
        <v/>
      </c>
      <c r="H1056">
        <f>_xlfn.IMAGE("https://m.media-amazon.com/images/I/41ZUsUsHByL._AC_UL320_.jpg")</f>
        <v/>
      </c>
      <c r="K1056" t="inlineStr">
        <is>
          <t>8.97</t>
        </is>
      </c>
      <c r="L1056" t="n">
        <v>32.19</v>
      </c>
      <c r="M1056" s="1" t="inlineStr">
        <is>
          <t>258.86%</t>
        </is>
      </c>
      <c r="N1056" s="7" t="n">
        <v>100.23</v>
      </c>
      <c r="O1056" t="n">
        <v>4.5</v>
      </c>
      <c r="P1056" t="n">
        <v>2</v>
      </c>
      <c r="R1056" t="inlineStr">
        <is>
          <t>InStock</t>
        </is>
      </c>
      <c r="S1056" t="inlineStr">
        <is>
          <t>13.0</t>
        </is>
      </c>
      <c r="T1056" t="inlineStr">
        <is>
          <t>4342633824356</t>
        </is>
      </c>
    </row>
    <row r="1057" ht="87" customHeight="1">
      <c r="A1057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057" s="2">
        <f>HYPERLINK("https://edmondsonsupply.com/products/packard-ttmj108-motor-start-capacitor-108-130-mfd-220-250-vac", "https://edmondsonsupply.com/products/packard-ttmj108-motor-start-capacitor-108-130-mfd-220-250-vac")</f>
        <v/>
      </c>
      <c r="C1057" t="inlineStr">
        <is>
          <t>Packard TTMJ108 Motor Start Capacitor 108-130 MFD 220-250 VAC</t>
        </is>
      </c>
      <c r="D1057" t="inlineStr">
        <is>
          <t>PTMJ108 - Packard Upgraded Replacement Motor Start Capacitor 108-130 MFD 220-250 Volt VAC</t>
        </is>
      </c>
      <c r="E1057" s="2">
        <f>HYPERLINK("https://www.amazon.com/PTMJ108-Packard-Upgraded-Replacement-Capacitor/dp/B0773VHXZP/ref=sr_1_2?keywords=Packard+TTMJ108+Motor+Start+Capacitor+108-130+MFD+220-250+VAC&amp;qid=1694734864&amp;sr=8-2", "https://www.amazon.com/PTMJ108-Packard-Upgraded-Replacement-Capacitor/dp/B0773VHXZP/ref=sr_1_2?keywords=Packard+TTMJ108+Motor+Start+Capacitor+108-130+MFD+220-250+VAC&amp;qid=1694734864&amp;sr=8-2")</f>
        <v/>
      </c>
      <c r="F1057" t="inlineStr">
        <is>
          <t>B0773VHXZP</t>
        </is>
      </c>
      <c r="G1057">
        <f>_xlfn.IMAGE("https://edmondsonsupply.com/cdn/shop/files/PTMJ108-2_c3537879-2bfc-401f-867d-9ee4aaa5c4bb.jpg?v=1692220228")</f>
        <v/>
      </c>
      <c r="H1057">
        <f>_xlfn.IMAGE("https://m.media-amazon.com/images/I/41fqQrQgJaL._AC_UY218_.jpg")</f>
        <v/>
      </c>
      <c r="I1057" t="n">
        <v>0</v>
      </c>
      <c r="J1057" t="inlineStr">
        <is>
          <t>low sales</t>
        </is>
      </c>
      <c r="K1057" t="inlineStr">
        <is>
          <t>4.39</t>
        </is>
      </c>
      <c r="L1057" t="n">
        <v>15.74</v>
      </c>
      <c r="M1057" s="1" t="inlineStr">
        <is>
          <t>258.54%</t>
        </is>
      </c>
      <c r="N1057" s="7" t="n">
        <v>100.15</v>
      </c>
      <c r="O1057" t="n">
        <v>4.4</v>
      </c>
      <c r="P1057" t="n">
        <v>3</v>
      </c>
      <c r="R1057" t="inlineStr">
        <is>
          <t>InStock</t>
        </is>
      </c>
      <c r="S1057" t="inlineStr">
        <is>
          <t>undefined</t>
        </is>
      </c>
      <c r="T1057" t="inlineStr">
        <is>
          <t>8028091154648</t>
        </is>
      </c>
    </row>
    <row r="1058" ht="87" customHeight="1">
      <c r="A1058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058" s="2">
        <f>HYPERLINK("https://edmondsonsupply.com/products/packard-prmj108-motor-start-capacitor-108-130-mfd-330-volt", "https://edmondsonsupply.com/products/packard-prmj108-motor-start-capacitor-108-130-mfd-330-volt")</f>
        <v/>
      </c>
      <c r="C1058" t="inlineStr">
        <is>
          <t>Packard PRMJ108 Motor Start Capacitor 108-130 MFD 330 Volt</t>
        </is>
      </c>
      <c r="D1058" t="inlineStr">
        <is>
          <t>PTMJ108 - Packard Upgraded Replacement Motor Start Capacitor 108-130 MFD 220-250 Volt VAC</t>
        </is>
      </c>
      <c r="E1058" s="2">
        <f>HYPERLINK("https://www.amazon.com/PTMJ108-Packard-Upgraded-Replacement-Capacitor/dp/B0773VHXZP/ref=sr_1_3?keywords=Packard+PRMJ108+Motor+Start+Capacitor+108-130+MFD+330+Volt&amp;qid=1694734796&amp;sr=8-3", "https://www.amazon.com/PTMJ108-Packard-Upgraded-Replacement-Capacitor/dp/B0773VHXZP/ref=sr_1_3?keywords=Packard+PRMJ108+Motor+Start+Capacitor+108-130+MFD+330+Volt&amp;qid=1694734796&amp;sr=8-3")</f>
        <v/>
      </c>
      <c r="F1058" t="inlineStr">
        <is>
          <t>B0773VHXZP</t>
        </is>
      </c>
      <c r="G1058">
        <f>_xlfn.IMAGE("https://edmondsonsupply.com/cdn/shop/products/PRMJ108-2.jpg?v=1633030309")</f>
        <v/>
      </c>
      <c r="H1058">
        <f>_xlfn.IMAGE("https://m.media-amazon.com/images/I/41fqQrQgJaL._AC_UY218_.jpg")</f>
        <v/>
      </c>
      <c r="K1058" t="inlineStr">
        <is>
          <t>4.39</t>
        </is>
      </c>
      <c r="L1058" t="n">
        <v>15.74</v>
      </c>
      <c r="M1058" s="1" t="inlineStr">
        <is>
          <t>258.54%</t>
        </is>
      </c>
      <c r="N1058" s="7" t="n">
        <v>100.14</v>
      </c>
      <c r="O1058" t="n">
        <v>4.4</v>
      </c>
      <c r="P1058" t="n">
        <v>3</v>
      </c>
      <c r="R1058" t="inlineStr">
        <is>
          <t>InStock</t>
        </is>
      </c>
      <c r="S1058" t="inlineStr">
        <is>
          <t>undefined</t>
        </is>
      </c>
      <c r="T1058" t="inlineStr">
        <is>
          <t>5241928319144</t>
        </is>
      </c>
    </row>
    <row r="1059" hidden="1" ht="15.75" customHeight="1">
      <c r="A1059" s="2">
        <f>HYPERLINK("https://edmondsonsupply.com/collections/hvac/products/holyoke-fittings-41fp-86-1-2-x-3-8-reducing-short-forged-nut", "https://edmondsonsupply.com/collections/hvac/products/holyoke-fittings-41fp-86-1-2-x-3-8-reducing-short-forged-nut")</f>
        <v/>
      </c>
      <c r="B1059" s="2">
        <f>HYPERLINK("https://edmondsonsupply.com/products/holyoke-fittings-41fp-86-1-2-x-3-8-reducing-short-forged-nut", "https://edmondsonsupply.com/products/holyoke-fittings-41fp-86-1-2-x-3-8-reducing-short-forged-nut")</f>
        <v/>
      </c>
      <c r="C1059" t="inlineStr">
        <is>
          <t>Holyoke Fittings 41FP-86 1/2" x 3/8" Reducing Short Forged Nut</t>
        </is>
      </c>
      <c r="D1059" t="inlineStr">
        <is>
          <t>highcraft G41GTS-1238 Short Reducing Nut for Flare Pipe Fittings 1/2" x 3/8" O.D. Connection Forged Brass</t>
        </is>
      </c>
      <c r="E1059" s="2">
        <f>HYPERLINK("https://www.amazon.com/highcraft-G41GTS-1238-Reducing-Fittings-Connection/dp/B08H5X9B9G/ref=sr_1_2?keywords=Holyoke+Fittings+41FP-86+1%2F2+x+3%2F8+Reducing+Short+Forged+Nut&amp;qid=1694734888&amp;sr=8-2", "https://www.amazon.com/highcraft-G41GTS-1238-Reducing-Fittings-Connection/dp/B08H5X9B9G/ref=sr_1_2?keywords=Holyoke+Fittings+41FP-86+1%2F2+x+3%2F8+Reducing+Short+Forged+Nut&amp;qid=1694734888&amp;sr=8-2")</f>
        <v/>
      </c>
      <c r="F1059" t="inlineStr">
        <is>
          <t>B08H5X9B9G</t>
        </is>
      </c>
      <c r="G1059">
        <f>_xludf.IMAGE("https://edmondsonsupply.com/cdn/shop/files/41FP-86.jpg?v=1687990569")</f>
        <v/>
      </c>
      <c r="H1059">
        <f>_xludf.IMAGE("https://m.media-amazon.com/images/I/71HOsWkDBPL._AC_UL320_.jpg")</f>
        <v/>
      </c>
      <c r="K1059" t="inlineStr">
        <is>
          <t>1.95</t>
        </is>
      </c>
      <c r="L1059" t="n">
        <v>6.99</v>
      </c>
      <c r="M1059" s="1" t="inlineStr">
        <is>
          <t>258.46%</t>
        </is>
      </c>
      <c r="N1059" s="1" t="n">
        <v>100.12</v>
      </c>
      <c r="O1059" t="n">
        <v>4.5</v>
      </c>
      <c r="P1059" t="n">
        <v>4</v>
      </c>
      <c r="R1059" t="inlineStr">
        <is>
          <t>InStock</t>
        </is>
      </c>
      <c r="S1059" t="inlineStr">
        <is>
          <t>3.35</t>
        </is>
      </c>
      <c r="T1059" t="inlineStr">
        <is>
          <t>8010883498200</t>
        </is>
      </c>
    </row>
    <row r="1060" ht="87" customHeight="1">
      <c r="A1060" s="2">
        <f>HYPERLINK("https://edmondsonsupply.com/collections/hvac/products/klein-tools-89552-hole-cutter-for-duct-and-sheet-metal-2-to-12-inch", "https://edmondsonsupply.com/collections/hvac/products/klein-tools-89552-hole-cutter-for-duct-and-sheet-metal-2-to-12-inch")</f>
        <v/>
      </c>
      <c r="B1060" s="2">
        <f>HYPERLINK("https://edmondsonsupply.com/products/klein-tools-89552-hole-cutter-for-duct-and-sheet-metal-2-to-12-inch", "https://edmondsonsupply.com/products/klein-tools-89552-hole-cutter-for-duct-and-sheet-metal-2-to-12-inch")</f>
        <v/>
      </c>
      <c r="C1060" t="inlineStr">
        <is>
          <t>Klein Tools 89552 Hole Cutter for Duct and Sheet Metal, 2 to 12-Inch</t>
        </is>
      </c>
      <c r="D1060" t="inlineStr">
        <is>
          <t>Malco C5A2 Impact Power Assisted Crimper &amp; Klein Tools 89552 Hole Cutter, Adjustable Cutter from 2 to 12 Inch, Cuts 24 gauge Steel and 26 gauge Stainless</t>
        </is>
      </c>
      <c r="E1060" s="2">
        <f>HYPERLINK("https://www.amazon.com/Malco-Assisted-Crimper-Adjustable-Stainless/dp/B0BD3XQQX3/ref=sr_1_7?keywords=Klein+Tools+89552+Hole+Cutter+for+Duct+and+Sheet+Metal%2C+2+to+12-Inch&amp;qid=1694734820&amp;sr=8-7", "https://www.amazon.com/Malco-Assisted-Crimper-Adjustable-Stainless/dp/B0BD3XQQX3/ref=sr_1_7?keywords=Klein+Tools+89552+Hole+Cutter+for+Duct+and+Sheet+Metal%2C+2+to+12-Inch&amp;qid=1694734820&amp;sr=8-7")</f>
        <v/>
      </c>
      <c r="F1060" t="inlineStr">
        <is>
          <t>B0BD3XQQX3</t>
        </is>
      </c>
      <c r="G1060">
        <f>_xlfn.IMAGE("https://edmondsonsupply.com/cdn/shop/products/89552.jpg?v=1587143132")</f>
        <v/>
      </c>
      <c r="H1060">
        <f>_xlfn.IMAGE("https://m.media-amazon.com/images/I/41TbDOXfeXL._AC_UL320_.jpg")</f>
        <v/>
      </c>
      <c r="K1060" t="inlineStr">
        <is>
          <t>56.99</t>
        </is>
      </c>
      <c r="L1060" t="n">
        <v>203.98</v>
      </c>
      <c r="M1060" s="1" t="inlineStr">
        <is>
          <t>257.92%</t>
        </is>
      </c>
      <c r="N1060" s="7" t="n">
        <v>100.11</v>
      </c>
      <c r="O1060" t="n">
        <v>5</v>
      </c>
      <c r="P1060" t="n">
        <v>1</v>
      </c>
      <c r="R1060" t="inlineStr">
        <is>
          <t>InStock</t>
        </is>
      </c>
      <c r="S1060" t="inlineStr">
        <is>
          <t>83.98</t>
        </is>
      </c>
      <c r="T1060" t="inlineStr">
        <is>
          <t>4169413165156</t>
        </is>
      </c>
    </row>
    <row r="1061" ht="87" customHeight="1">
      <c r="A1061" s="2">
        <f>HYPERLINK("https://edmondsonsupply.com/collections/hvac/products/wiha-tools-32264-1-4-insulated-softfinish-nut-driver", "https://edmondsonsupply.com/collections/hvac/products/wiha-tools-32264-1-4-insulated-softfinish-nut-driver")</f>
        <v/>
      </c>
      <c r="B1061" s="2">
        <f>HYPERLINK("https://edmondsonsupply.com/products/wiha-tools-32264-1-4-insulated-softfinish-nut-driver", "https://edmondsonsupply.com/products/wiha-tools-32264-1-4-insulated-softfinish-nut-driver")</f>
        <v/>
      </c>
      <c r="C1061" t="inlineStr">
        <is>
          <t>Wiha Tools 32264 1/4" Insulated SoftFinish Nut Driver</t>
        </is>
      </c>
      <c r="D1061" t="inlineStr">
        <is>
          <t>Wiha Tools - Softfinish Insulated Nut Drivers Insulated Nut Driver 9/16 X 125Mm: 817-32278 - insulated nut driver 9/16 x 125mm</t>
        </is>
      </c>
      <c r="E1061" s="2">
        <f>HYPERLINK("https://www.amazon.com/Wiha-Tools-Softfinish-Insulated-817-32278/dp/B00462C2Q8/ref=sr_1_11?keywords=Wiha+Tools+32264+1%2F4%22+Insulated+SoftFinish+Nut+Driver&amp;qid=1694734870&amp;sr=8-11", "https://www.amazon.com/Wiha-Tools-Softfinish-Insulated-817-32278/dp/B00462C2Q8/ref=sr_1_11?keywords=Wiha+Tools+32264+1%2F4%22+Insulated+SoftFinish+Nut+Driver&amp;qid=1694734870&amp;sr=8-11")</f>
        <v/>
      </c>
      <c r="F1061" t="inlineStr">
        <is>
          <t>B00462C2Q8</t>
        </is>
      </c>
      <c r="G1061">
        <f>_xlfn.IMAGE("https://edmondsonsupply.com/cdn/shop/files/mjzfjrchaodxvmjihxd4_1000x_adec1bb0-03a8-4f77-81f6-dd20f66f2dae.webp?v=1690930030")</f>
        <v/>
      </c>
      <c r="H1061">
        <f>_xlfn.IMAGE("https://m.media-amazon.com/images/I/21iQCrsshfL._AC_UL320_.jpg")</f>
        <v/>
      </c>
      <c r="K1061" t="inlineStr">
        <is>
          <t>9.99</t>
        </is>
      </c>
      <c r="L1061" t="n">
        <v>35.73</v>
      </c>
      <c r="M1061" s="1" t="inlineStr">
        <is>
          <t>257.66%</t>
        </is>
      </c>
      <c r="N1061" s="7" t="n">
        <v>100.1</v>
      </c>
      <c r="O1061" t="n">
        <v>5</v>
      </c>
      <c r="P1061" t="n">
        <v>2</v>
      </c>
      <c r="R1061" t="inlineStr">
        <is>
          <t>InStock</t>
        </is>
      </c>
      <c r="S1061" t="inlineStr">
        <is>
          <t>13.32</t>
        </is>
      </c>
      <c r="T1061" t="inlineStr">
        <is>
          <t>8023582539992</t>
        </is>
      </c>
    </row>
    <row r="1062" hidden="1" ht="15.75" customHeight="1">
      <c r="A1062" s="2">
        <f>HYPERLINK("https://edmondsonsupply.com/collections/hvac/products/packard-trc25-titan-pro-run-capacitor-25-mfd-370-volt-round", "https://edmondsonsupply.com/collections/hvac/products/packard-trc25-titan-pro-run-capacitor-25-mfd-370-volt-round")</f>
        <v/>
      </c>
      <c r="B1062" s="2">
        <f>HYPERLINK("https://edmondsonsupply.com/products/packard-trc25-titan-pro-run-capacitor-25-mfd-370-volt-round", "https://edmondsonsupply.com/products/packard-trc25-titan-pro-run-capacitor-25-mfd-370-volt-round")</f>
        <v/>
      </c>
      <c r="C1062" t="inlineStr">
        <is>
          <t>Packard TRC25 TITAN PRO Run Capacitor 25 MFD 370 Volt, Round</t>
        </is>
      </c>
      <c r="D1062" t="inlineStr">
        <is>
          <t>Packard TRC25 Titan Pro Run Capacitor 25 MFD 370 Volt Round</t>
        </is>
      </c>
      <c r="E1062" s="2">
        <f>HYPERLINK("https://www.amazon.com/Packard-TRC25-Titan-Capacitor-Round/dp/B09J1HKXXJ/ref=sr_1_1?keywords=Packard+TRC25+TITAN+PRO+Run+Capacitor+25+MFD+370+Volt%2C+Round&amp;qid=1694734783&amp;sr=8-1", "https://www.amazon.com/Packard-TRC25-Titan-Capacitor-Round/dp/B09J1HKXXJ/ref=sr_1_1?keywords=Packard+TRC25+TITAN+PRO+Run+Capacitor+25+MFD+370+Volt%2C+Round&amp;qid=1694734783&amp;sr=8-1")</f>
        <v/>
      </c>
      <c r="F1062" t="inlineStr">
        <is>
          <t>B09J1HKXXJ</t>
        </is>
      </c>
      <c r="G1062">
        <f>_xludf.IMAGE("https://edmondsonsupply.com/cdn/shop/products/TRC25-2.jpg?v=1633030571")</f>
        <v/>
      </c>
      <c r="H1062">
        <f>_xludf.IMAGE("https://m.media-amazon.com/images/I/310zeSAQB5L._AC_UY218_.jpg")</f>
        <v/>
      </c>
      <c r="K1062" t="inlineStr">
        <is>
          <t>4.08</t>
        </is>
      </c>
      <c r="L1062" t="n">
        <v>14.59</v>
      </c>
      <c r="M1062" s="1" t="inlineStr">
        <is>
          <t>257.60%</t>
        </is>
      </c>
      <c r="N1062" s="1" t="n">
        <v>100.1</v>
      </c>
      <c r="O1062" t="n">
        <v>5</v>
      </c>
      <c r="P1062" t="n">
        <v>5</v>
      </c>
      <c r="R1062" t="inlineStr">
        <is>
          <t>InStock</t>
        </is>
      </c>
      <c r="S1062" t="inlineStr">
        <is>
          <t>undefined</t>
        </is>
      </c>
      <c r="T1062" t="inlineStr">
        <is>
          <t>5481010167976</t>
        </is>
      </c>
    </row>
    <row r="1063" ht="87" customHeight="1">
      <c r="A1063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063" s="2">
        <f>HYPERLINK("https://edmondsonsupply.com/products/packard-pmj460-motor-start-capacitor-460-552-mfd-110-125-vac", "https://edmondsonsupply.com/products/packard-pmj460-motor-start-capacitor-460-552-mfd-110-125-vac")</f>
        <v/>
      </c>
      <c r="C1063" t="inlineStr">
        <is>
          <t>Packard PMJ460 Motor Start Capacitor 460-552 MFD 110-125 VAC</t>
        </is>
      </c>
      <c r="D1063" t="inlineStr">
        <is>
          <t>Appli Parts motor start capacitor 460-553 Mfd (microfarads) uF 110-125 VAC universal fit for electric motor applications 1-3/4 in Wide 3-3/8 in Height CON-460-110</t>
        </is>
      </c>
      <c r="E1063" s="2">
        <f>HYPERLINK("https://www.amazon.com/Capacitor-microfarads-Universal-Electric-Applications/dp/B01FMSLRK6/ref=sr_1_16?keywords=Packard+PMJ460+Motor+Start+Capacitor+460-552+MFD+110-125+VAC&amp;qid=1694734651&amp;sr=8-16", "https://www.amazon.com/Capacitor-microfarads-Universal-Electric-Applications/dp/B01FMSLRK6/ref=sr_1_16?keywords=Packard+PMJ460+Motor+Start+Capacitor+460-552+MFD+110-125+VAC&amp;qid=1694734651&amp;sr=8-16")</f>
        <v/>
      </c>
      <c r="F1063" t="inlineStr">
        <is>
          <t>B01FMSLRK6</t>
        </is>
      </c>
      <c r="G1063">
        <f>_xlfn.IMAGE("https://edmondsonsupply.com/cdn/shop/products/PMJ460-2.jpg?v=1633030333")</f>
        <v/>
      </c>
      <c r="H1063">
        <f>_xlfn.IMAGE("https://m.media-amazon.com/images/I/61FUWvyGmOL._AC_UY218_.jpg")</f>
        <v/>
      </c>
      <c r="K1063" t="inlineStr">
        <is>
          <t>5.06</t>
        </is>
      </c>
      <c r="L1063" t="n">
        <v>18</v>
      </c>
      <c r="M1063" s="1" t="inlineStr">
        <is>
          <t>255.73%</t>
        </is>
      </c>
      <c r="N1063" s="7" t="n">
        <v>100</v>
      </c>
      <c r="O1063" t="n">
        <v>4.5</v>
      </c>
      <c r="P1063" t="n">
        <v>1387</v>
      </c>
      <c r="R1063" t="inlineStr">
        <is>
          <t>OutOfStock</t>
        </is>
      </c>
      <c r="S1063" t="inlineStr">
        <is>
          <t>undefined</t>
        </is>
      </c>
      <c r="T1063" t="inlineStr">
        <is>
          <t>5271944954024</t>
        </is>
      </c>
    </row>
    <row r="1064" hidden="1" ht="15.75" customHeight="1">
      <c r="A1064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1064" s="2">
        <f>HYPERLINK("https://edmondsonsupply.com/products/packard-pmj88-motor-start-capacitor-88-108-mfd-110-125-vac", "https://edmondsonsupply.com/products/packard-pmj88-motor-start-capacitor-88-108-mfd-110-125-vac")</f>
        <v/>
      </c>
      <c r="C1064" t="inlineStr">
        <is>
          <t>Packard PMJ88 Motor Start Capacitor 88-108 MFD 110-125 VAC</t>
        </is>
      </c>
      <c r="D1064" t="inlineStr">
        <is>
          <t>108-130 uf/MFD 110-125 VAC ±20% Volts Round Start Capacitor 50/60 Hz AC Electric Replacement Part by Blue Stars - Exact Fit for Single-Phase Electric Motors</t>
        </is>
      </c>
      <c r="E1064" s="2">
        <f>HYPERLINK("https://www.amazon.com/108-130-110-125-Capacitor-Electric-Replacement/dp/B09C8MTD36/ref=sr_1_10?keywords=Packard+PMJ88+Motor+Start+Capacitor+88-108+MFD+110-125+VAC&amp;qid=1694734709&amp;sr=8-10", "https://www.amazon.com/108-130-110-125-Capacitor-Electric-Replacement/dp/B09C8MTD36/ref=sr_1_10?keywords=Packard+PMJ88+Motor+Start+Capacitor+88-108+MFD+110-125+VAC&amp;qid=1694734709&amp;sr=8-10")</f>
        <v/>
      </c>
      <c r="F1064" t="inlineStr">
        <is>
          <t>B09C8MTD36</t>
        </is>
      </c>
      <c r="G1064">
        <f>_xludf.IMAGE("https://edmondsonsupply.com/cdn/shop/products/PMJ88-2.jpg?v=1633030893")</f>
        <v/>
      </c>
      <c r="H1064">
        <f>_xludf.IMAGE("https://m.media-amazon.com/images/I/81dkaLbJLXL._AC_UY218_.jpg")</f>
        <v/>
      </c>
      <c r="K1064" t="inlineStr">
        <is>
          <t>3.1</t>
        </is>
      </c>
      <c r="L1064" t="n">
        <v>10.99</v>
      </c>
      <c r="M1064" s="1" t="inlineStr">
        <is>
          <t>254.52%</t>
        </is>
      </c>
      <c r="N1064" s="1" t="n">
        <v>100</v>
      </c>
      <c r="O1064" t="n">
        <v>4.6</v>
      </c>
      <c r="P1064" t="n">
        <v>77</v>
      </c>
      <c r="R1064" t="inlineStr">
        <is>
          <t>InStock</t>
        </is>
      </c>
      <c r="S1064" t="inlineStr">
        <is>
          <t>undefined</t>
        </is>
      </c>
      <c r="T1064" t="inlineStr">
        <is>
          <t>6224638771373</t>
        </is>
      </c>
    </row>
    <row r="1065" hidden="1" ht="15.75" customHeight="1">
      <c r="A1065" s="2">
        <f>HYPERLINK("https://edmondsonsupply.com/collections/hvac/products/supco-mb55-5-5-inch-motor-bracket", "https://edmondsonsupply.com/collections/hvac/products/supco-mb55-5-5-inch-motor-bracket")</f>
        <v/>
      </c>
      <c r="B1065" s="2">
        <f>HYPERLINK("https://edmondsonsupply.com/products/supco-mb55-5-5-inch-motor-bracket", "https://edmondsonsupply.com/products/supco-mb55-5-5-inch-motor-bracket")</f>
        <v/>
      </c>
      <c r="C1065" t="inlineStr">
        <is>
          <t>Supco MB55 5.5 Inch Motor Bracket</t>
        </is>
      </c>
      <c r="D1065" t="inlineStr">
        <is>
          <t>Replacement 5.5 inch Blower 3 Leg Motor Belly Ban Bracket Compatible with Fasco FM55, MB55</t>
        </is>
      </c>
      <c r="E1065" s="2">
        <f>HYPERLINK("https://www.amazon.com/Replacement-Blower-Bracket-Compatible-FM55/dp/B0BL3WV2GH/ref=sr_1_4?keywords=Supco+MB55+5.5+Inch+Motor+Bracket&amp;qid=1694734751&amp;sr=8-4", "https://www.amazon.com/Replacement-Blower-Bracket-Compatible-FM55/dp/B0BL3WV2GH/ref=sr_1_4?keywords=Supco+MB55+5.5+Inch+Motor+Bracket&amp;qid=1694734751&amp;sr=8-4")</f>
        <v/>
      </c>
      <c r="F1065" t="inlineStr">
        <is>
          <t>B0BL3WV2GH</t>
        </is>
      </c>
      <c r="G1065">
        <f>_xludf.IMAGE("https://edmondsonsupply.com/cdn/shop/products/MB55_L.png?v=1671842986")</f>
        <v/>
      </c>
      <c r="H1065">
        <f>_xludf.IMAGE("https://m.media-amazon.com/images/I/51IR41oAxiL._AC_UL320_.jpg")</f>
        <v/>
      </c>
      <c r="K1065" t="inlineStr">
        <is>
          <t>12.99</t>
        </is>
      </c>
      <c r="L1065" t="n">
        <v>45.99</v>
      </c>
      <c r="M1065" s="1" t="inlineStr">
        <is>
          <t>254.04%</t>
        </is>
      </c>
      <c r="N1065" s="1" t="n">
        <v>100</v>
      </c>
      <c r="O1065" t="n">
        <v>1</v>
      </c>
      <c r="P1065" t="n">
        <v>1</v>
      </c>
      <c r="R1065" t="inlineStr">
        <is>
          <t>InStock</t>
        </is>
      </c>
      <c r="S1065" t="inlineStr">
        <is>
          <t>undefined</t>
        </is>
      </c>
      <c r="T1065" t="inlineStr">
        <is>
          <t>7910808486104</t>
        </is>
      </c>
    </row>
    <row r="1066" ht="87" customHeight="1">
      <c r="A1066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1066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1066" t="inlineStr">
        <is>
          <t>Diablo Tools DMAPL4210 5/8 in. x 4 in. x 6 in. Rebar Demon™ SDS‑Plus 4‑Cutter Full Carbide Head Hammer Bit</t>
        </is>
      </c>
      <c r="D1066" t="inlineStr">
        <is>
          <t>Diablo by Freud DMAMX1090 5/8 in. x 8 in. x 13 in. Rebar Demon SDS-Max 4-Cutter Full Carbide Head Hammer Bit</t>
        </is>
      </c>
      <c r="E1066" s="2">
        <f>HYPERLINK("https://www.amazon.com/Diablo-SDS-Max-4-Cutter-Carbide-Hammer/dp/B089LGB35P/ref=sr_1_21?keywords=Diablo+Tools+DMAPL4210+5%2F8+in.+x+4+in.+x+6+in.+Rebar+Demon%E2%84%A2+SDS%E2%80%91Plus+4%E2%80%91Cutter+Full+Carbide+Head+Hammer+Bit&amp;qid=1694734723&amp;sr=8-21", "https://www.amazon.com/Diablo-SDS-Max-4-Cutter-Carbide-Hammer/dp/B089LGB35P/ref=sr_1_21?keywords=Diablo+Tools+DMAPL4210+5%2F8+in.+x+4+in.+x+6+in.+Rebar+Demon%E2%84%A2+SDS%E2%80%91Plus+4%E2%80%91Cutter+Full+Carbide+Head+Hammer+Bit&amp;qid=1694734723&amp;sr=8-21")</f>
        <v/>
      </c>
      <c r="F1066" t="inlineStr">
        <is>
          <t>B089LGB35P</t>
        </is>
      </c>
      <c r="G1066">
        <f>_xlfn.IMAGE("https://edmondsonsupply.com/cdn/shop/products/DMAPL4210_Main-Image20200701.png?v=1633030426")</f>
        <v/>
      </c>
      <c r="H1066">
        <f>_xlfn.IMAGE("https://m.media-amazon.com/images/I/61Wr1t8FMOL._AC_UL320_.jpg")</f>
        <v/>
      </c>
      <c r="K1066" t="inlineStr">
        <is>
          <t>9.97</t>
        </is>
      </c>
      <c r="L1066" t="n">
        <v>35.1</v>
      </c>
      <c r="M1066" s="1" t="inlineStr">
        <is>
          <t>252.06%</t>
        </is>
      </c>
      <c r="N1066" s="7" t="n">
        <v>100</v>
      </c>
      <c r="O1066" t="n">
        <v>4.2</v>
      </c>
      <c r="P1066" t="n">
        <v>5</v>
      </c>
      <c r="R1066" t="inlineStr">
        <is>
          <t>InStock</t>
        </is>
      </c>
      <c r="S1066" t="inlineStr">
        <is>
          <t>13.77</t>
        </is>
      </c>
      <c r="T1066" t="inlineStr">
        <is>
          <t>5326920482984</t>
        </is>
      </c>
    </row>
    <row r="1067" ht="87" customHeight="1">
      <c r="A1067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067" s="2">
        <f>HYPERLINK("https://edmondsonsupply.com/products/packard-pmj460-motor-start-capacitor-460-552-mfd-110-125-vac", "https://edmondsonsupply.com/products/packard-pmj460-motor-start-capacitor-460-552-mfd-110-125-vac")</f>
        <v/>
      </c>
      <c r="C1067" t="inlineStr">
        <is>
          <t>Packard PMJ460 Motor Start Capacitor 460-552 MFD 110-125 VAC</t>
        </is>
      </c>
      <c r="D1067" t="inlineStr">
        <is>
          <t>PMJ850 - Packard Upgraded Replacement Motor Start Capacitor 850-1020 MFD 110-125 Volt VAC</t>
        </is>
      </c>
      <c r="E1067" s="2">
        <f>HYPERLINK("https://www.amazon.com/PMJ850-Upgraded-Replacement-Capacitor-850-1020/dp/B0773VT257/ref=sr_1_6?keywords=Packard+PMJ460+Motor+Start+Capacitor+460-552+MFD+110-125+VAC&amp;qid=1694734651&amp;sr=8-6", "https://www.amazon.com/PMJ850-Upgraded-Replacement-Capacitor-850-1020/dp/B0773VT257/ref=sr_1_6?keywords=Packard+PMJ460+Motor+Start+Capacitor+460-552+MFD+110-125+VAC&amp;qid=1694734651&amp;sr=8-6")</f>
        <v/>
      </c>
      <c r="F1067" t="inlineStr">
        <is>
          <t>B0773VT257</t>
        </is>
      </c>
      <c r="G1067">
        <f>_xlfn.IMAGE("https://edmondsonsupply.com/cdn/shop/products/PMJ460-2.jpg?v=1633030333")</f>
        <v/>
      </c>
      <c r="H1067">
        <f>_xlfn.IMAGE("https://m.media-amazon.com/images/I/41fqQrQgJaL._AC_UY218_.jpg")</f>
        <v/>
      </c>
      <c r="K1067" t="inlineStr">
        <is>
          <t>5.06</t>
        </is>
      </c>
      <c r="L1067" t="n">
        <v>17.74</v>
      </c>
      <c r="M1067" s="1" t="inlineStr">
        <is>
          <t>250.59%</t>
        </is>
      </c>
      <c r="N1067" s="7" t="n">
        <v>100</v>
      </c>
      <c r="O1067" t="n">
        <v>5</v>
      </c>
      <c r="P1067" t="n">
        <v>4</v>
      </c>
      <c r="R1067" t="inlineStr">
        <is>
          <t>OutOfStock</t>
        </is>
      </c>
      <c r="S1067" t="inlineStr">
        <is>
          <t>undefined</t>
        </is>
      </c>
      <c r="T1067" t="inlineStr">
        <is>
          <t>5271944954024</t>
        </is>
      </c>
    </row>
    <row r="1068" ht="87" customHeight="1">
      <c r="A1068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068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068" t="inlineStr">
        <is>
          <t>Klein Tools 70550 Pro Folding Hex Key Set, 11-Key, SAE Sizes</t>
        </is>
      </c>
      <c r="D1068" t="inlineStr">
        <is>
          <t>Klein Tools 80019 Tool Set, Multi-Bit Screwdriver and Nut Driver Tool Kit, 4-Piece &amp; 70550 Hex Key Set, 11 SAE Sizes, Heavy Duty Folding Allen Wrench Tool with Extra Long Hex Keys</t>
        </is>
      </c>
      <c r="E1068" s="2">
        <f>HYPERLINK("https://www.amazon.com/Klein-Tools-Multi-Bit-Screwdriver-4-Piece/dp/B0BCTNRGX4/ref=sr_1_12?keywords=Klein+Tools+70550+Pro+Folding+Hex+Key+Set%2C+11-Key%2C+SAE+Sizes&amp;qid=1694734808&amp;sr=8-12", "https://www.amazon.com/Klein-Tools-Multi-Bit-Screwdriver-4-Piece/dp/B0BCTNRGX4/ref=sr_1_12?keywords=Klein+Tools+70550+Pro+Folding+Hex+Key+Set%2C+11-Key%2C+SAE+Sizes&amp;qid=1694734808&amp;sr=8-12")</f>
        <v/>
      </c>
      <c r="F1068" t="inlineStr">
        <is>
          <t>B0BCTNRGX4</t>
        </is>
      </c>
      <c r="G1068">
        <f>_xlfn.IMAGE("https://edmondsonsupply.com/cdn/shop/products/70550.jpg?v=1587145237")</f>
        <v/>
      </c>
      <c r="H1068">
        <f>_xlfn.IMAGE("https://m.media-amazon.com/images/I/51O1aiwjr9L._AC_UL320_.jpg")</f>
        <v/>
      </c>
      <c r="K1068" t="inlineStr">
        <is>
          <t>19.97</t>
        </is>
      </c>
      <c r="L1068" t="n">
        <v>69.95999999999999</v>
      </c>
      <c r="M1068" s="1" t="inlineStr">
        <is>
          <t>250.33%</t>
        </is>
      </c>
      <c r="N1068" s="7" t="n">
        <v>100</v>
      </c>
      <c r="O1068" t="n">
        <v>5</v>
      </c>
      <c r="P1068" t="n">
        <v>1</v>
      </c>
      <c r="R1068" t="inlineStr">
        <is>
          <t>InStock</t>
        </is>
      </c>
      <c r="S1068" t="inlineStr">
        <is>
          <t>27.18</t>
        </is>
      </c>
      <c r="T1068" t="inlineStr">
        <is>
          <t>3693538082916</t>
        </is>
      </c>
    </row>
    <row r="1069" ht="87" customHeight="1">
      <c r="A1069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069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069" t="inlineStr">
        <is>
          <t>Klein Tools 70550 Pro Folding Hex Key Set, 11-Key, SAE Sizes</t>
        </is>
      </c>
      <c r="D1069" t="inlineStr">
        <is>
          <t>Klein Tools 33736INS Klein Tools 33736INS Insulated Screwdriver Set, 6-Piece &amp; 70550 Hex Key Set, 11 SAE Sizes, Heavy Duty Folding Allen Wrench Tool with Extra Long Hex Keys</t>
        </is>
      </c>
      <c r="E1069" s="2">
        <f>HYPERLINK("https://www.amazon.com/Klein-Tools-33736INS-Insulated-Screwdriver/dp/B0BD42GFD1/ref=sr_1_41?keywords=Klein+Tools+70550+Pro+Folding+Hex+Key+Set%2C+11-Key%2C+SAE+Sizes&amp;qid=1694734808&amp;sr=8-41", "https://www.amazon.com/Klein-Tools-33736INS-Insulated-Screwdriver/dp/B0BD42GFD1/ref=sr_1_41?keywords=Klein+Tools+70550+Pro+Folding+Hex+Key+Set%2C+11-Key%2C+SAE+Sizes&amp;qid=1694734808&amp;sr=8-41")</f>
        <v/>
      </c>
      <c r="F1069" t="inlineStr">
        <is>
          <t>B0BD42GFD1</t>
        </is>
      </c>
      <c r="G1069">
        <f>_xlfn.IMAGE("https://edmondsonsupply.com/cdn/shop/products/70550.jpg?v=1587145237")</f>
        <v/>
      </c>
      <c r="H1069">
        <f>_xlfn.IMAGE("https://m.media-amazon.com/images/I/5150ntwoN2L._AC_UL320_.jpg")</f>
        <v/>
      </c>
      <c r="K1069" t="inlineStr">
        <is>
          <t>19.97</t>
        </is>
      </c>
      <c r="L1069" t="n">
        <v>69.95999999999999</v>
      </c>
      <c r="M1069" s="1" t="inlineStr">
        <is>
          <t>250.33%</t>
        </is>
      </c>
      <c r="N1069" s="7" t="n">
        <v>100</v>
      </c>
      <c r="O1069" t="n">
        <v>5</v>
      </c>
      <c r="P1069" t="n">
        <v>1</v>
      </c>
      <c r="R1069" t="inlineStr">
        <is>
          <t>InStock</t>
        </is>
      </c>
      <c r="S1069" t="inlineStr">
        <is>
          <t>27.18</t>
        </is>
      </c>
      <c r="T1069" t="inlineStr">
        <is>
          <t>3693538082916</t>
        </is>
      </c>
    </row>
    <row r="1070" hidden="1" ht="15.75" customHeight="1">
      <c r="A1070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070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070" t="inlineStr">
        <is>
          <t>Klein Tools 70550 Pro Folding Hex Key Set, 11-Key, SAE Sizes</t>
        </is>
      </c>
      <c r="D1070" t="inlineStr">
        <is>
          <t>Klein Tools 80073 Reaming Driver Kit with Conduit Reamer &amp; 70550 Hex Wrench Key Set, 11 SAE Sizes, Heavy Duty Folding Allen Wrench Tool with Extra Long Hex Keys</t>
        </is>
      </c>
      <c r="E1070" s="2">
        <f>HYPERLINK("https://www.amazon.com/Klein-Tools-Reaming-Conduit-Folding/dp/B0BGJ2ZPL9/ref=sr_1_28?keywords=Klein+Tools+70550+Pro+Folding+Hex+Key+Set%2C+11-Key%2C+SAE+Sizes&amp;qid=1694734808&amp;sr=8-28", "https://www.amazon.com/Klein-Tools-Reaming-Conduit-Folding/dp/B0BGJ2ZPL9/ref=sr_1_28?keywords=Klein+Tools+70550+Pro+Folding+Hex+Key+Set%2C+11-Key%2C+SAE+Sizes&amp;qid=1694734808&amp;sr=8-28")</f>
        <v/>
      </c>
      <c r="F1070" t="inlineStr">
        <is>
          <t>B0BGJ2ZPL9</t>
        </is>
      </c>
      <c r="G1070">
        <f>_xludf.IMAGE("https://edmondsonsupply.com/cdn/shop/products/70550.jpg?v=1587145237")</f>
        <v/>
      </c>
      <c r="H1070">
        <f>_xludf.IMAGE("https://m.media-amazon.com/images/I/51-ABk2oEXL._AC_UL320_.jpg")</f>
        <v/>
      </c>
      <c r="K1070" t="inlineStr">
        <is>
          <t>19.97</t>
        </is>
      </c>
      <c r="L1070" t="n">
        <v>69.95999999999999</v>
      </c>
      <c r="M1070" s="1" t="inlineStr">
        <is>
          <t>250.33%</t>
        </is>
      </c>
      <c r="N1070" s="1" t="n">
        <v>99.08</v>
      </c>
      <c r="O1070" t="n">
        <v>3.3</v>
      </c>
      <c r="P1070" t="n">
        <v>3</v>
      </c>
      <c r="R1070" t="inlineStr">
        <is>
          <t>InStock</t>
        </is>
      </c>
      <c r="S1070" t="inlineStr">
        <is>
          <t>27.18</t>
        </is>
      </c>
      <c r="T1070" t="inlineStr">
        <is>
          <t>3693538082916</t>
        </is>
      </c>
    </row>
    <row r="1071" ht="87" customHeight="1">
      <c r="A1071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071" s="2">
        <f>HYPERLINK("https://edmondsonsupply.com/products/klein-tools-32907-7-in-1-impact-flip-socket-set-no-handle", "https://edmondsonsupply.com/products/klein-tools-32907-7-in-1-impact-flip-socket-set-no-handle")</f>
        <v/>
      </c>
      <c r="C1071" t="inlineStr">
        <is>
          <t>Klein Tools 32907 7-in-1 Impact Flip Socket Set, No Handle</t>
        </is>
      </c>
      <c r="D1071" t="inlineStr">
        <is>
          <t>Klein Tools 32288 Insulated Screwdriver, 8-in-1 Screwdriver Set &amp; 7-in-1 Impact Flip Socket Set, 6 Hex Driver Sizes plus a 1/4-Inch Bit Holder Klein Tools 32907</t>
        </is>
      </c>
      <c r="E1071" s="2">
        <f>HYPERLINK("https://www.amazon.com/Klein-Tools-Insulated-Screwdriver-Impact/dp/B09Y87QSFY/ref=sr_1_11?keywords=Klein+Tools+32907+7-in-1+Impact+Flip+Socket+Set%2C+No+Handle&amp;qid=1694734636&amp;sr=8-11", "https://www.amazon.com/Klein-Tools-Insulated-Screwdriver-Impact/dp/B09Y87QSFY/ref=sr_1_11?keywords=Klein+Tools+32907+7-in-1+Impact+Flip+Socket+Set%2C+No+Handle&amp;qid=1694734636&amp;sr=8-11")</f>
        <v/>
      </c>
      <c r="F1071" t="inlineStr">
        <is>
          <t>B09Y87QSFY</t>
        </is>
      </c>
      <c r="G1071">
        <f>_xlfn.IMAGE("https://edmondsonsupply.com/cdn/shop/products/32907_b.jpg?v=1666025282")</f>
        <v/>
      </c>
      <c r="H1071">
        <f>_xlfn.IMAGE("https://m.media-amazon.com/images/I/517mVxBPtTL._AC_UL320_.jpg")</f>
        <v/>
      </c>
      <c r="K1071" t="inlineStr">
        <is>
          <t>19.99</t>
        </is>
      </c>
      <c r="L1071" t="n">
        <v>69.98</v>
      </c>
      <c r="M1071" s="1" t="inlineStr">
        <is>
          <t>250.08%</t>
        </is>
      </c>
      <c r="N1071" s="7" t="n">
        <v>98.77</v>
      </c>
      <c r="O1071" t="n">
        <v>4.7</v>
      </c>
      <c r="P1071" t="n">
        <v>7</v>
      </c>
      <c r="R1071" t="inlineStr">
        <is>
          <t>InStock</t>
        </is>
      </c>
      <c r="S1071" t="inlineStr">
        <is>
          <t>29.18</t>
        </is>
      </c>
      <c r="T1071" t="inlineStr">
        <is>
          <t>7856653009112</t>
        </is>
      </c>
    </row>
    <row r="1072" hidden="1" ht="15.75" customHeight="1">
      <c r="A1072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072" s="2">
        <f>HYPERLINK("https://edmondsonsupply.com/products/klein-tools-et120-combustible-gas-leak-detector", "https://edmondsonsupply.com/products/klein-tools-et120-combustible-gas-leak-detector")</f>
        <v/>
      </c>
      <c r="C1072" t="inlineStr">
        <is>
          <t>Klein Tools ET120 Combustible Gas Leak Detector</t>
        </is>
      </c>
      <c r="D1072" t="inlineStr">
        <is>
          <t>Rechargeable Thermal Imager &amp; ET120 Gas Leak Detector, Combustible Gas Leak Tester with 18-Inch Gooseneck Has Range 50-10,000 ppm, Includes Pouch, Batteries</t>
        </is>
      </c>
      <c r="E1072" s="2">
        <f>HYPERLINK("https://www.amazon.com/Klein-Tools-Rechargeable-Combustible-Gooseneck/dp/B09P846GLH/ref=sr_1_11?keywords=Klein+Tools+ET120+Combustible+Gas+Leak+Detector&amp;qid=1694734816&amp;sr=8-11", "https://www.amazon.com/Klein-Tools-Rechargeable-Combustible-Gooseneck/dp/B09P846GLH/ref=sr_1_11?keywords=Klein+Tools+ET120+Combustible+Gas+Leak+Detector&amp;qid=1694734816&amp;sr=8-11")</f>
        <v/>
      </c>
      <c r="F1072" t="inlineStr">
        <is>
          <t>B09P846GLH</t>
        </is>
      </c>
      <c r="G1072">
        <f>_xludf.IMAGE("https://edmondsonsupply.com/cdn/shop/products/et120.jpg?v=1587149243")</f>
        <v/>
      </c>
      <c r="H1072">
        <f>_xludf.IMAGE("https://m.media-amazon.com/images/I/51zoXmwmUHL._AC_UL320_.jpg")</f>
        <v/>
      </c>
      <c r="K1072" t="inlineStr">
        <is>
          <t>119.99</t>
        </is>
      </c>
      <c r="L1072" t="n">
        <v>419.98</v>
      </c>
      <c r="M1072" s="1" t="inlineStr">
        <is>
          <t>250.01%</t>
        </is>
      </c>
      <c r="N1072" s="1" t="n">
        <v>98.37</v>
      </c>
      <c r="O1072" t="n">
        <v>4</v>
      </c>
      <c r="P1072" t="n">
        <v>1</v>
      </c>
      <c r="R1072" t="inlineStr">
        <is>
          <t>InStock</t>
        </is>
      </c>
      <c r="S1072" t="inlineStr">
        <is>
          <t>179.32</t>
        </is>
      </c>
      <c r="T1072" t="inlineStr">
        <is>
          <t>1828453187684</t>
        </is>
      </c>
    </row>
    <row r="1073" ht="87" customHeight="1">
      <c r="A1073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073" s="2">
        <f>HYPERLINK("https://edmondsonsupply.com/products/klein-tools-et120-combustible-gas-leak-detector", "https://edmondsonsupply.com/products/klein-tools-et120-combustible-gas-leak-detector")</f>
        <v/>
      </c>
      <c r="C1073" t="inlineStr">
        <is>
          <t>Klein Tools ET120 Combustible Gas Leak Detector</t>
        </is>
      </c>
      <c r="D1073" t="inlineStr">
        <is>
          <t>FLIR One Pro LT iOS Pro-Grade Thermal Camera for Smartphones &amp; Klein Tools ET120 Gas Leak Detector, Combustible Gas Leak Tester</t>
        </is>
      </c>
      <c r="E1073" s="2">
        <f>HYPERLINK("https://www.amazon.com/FLIR-Pro-Grade-Smartphones-Detector-Combustible/dp/B09Y8436D8/ref=sr_1_10?keywords=Klein+Tools+ET120+Combustible+Gas+Leak+Detector&amp;qid=1694734816&amp;sr=8-10", "https://www.amazon.com/FLIR-Pro-Grade-Smartphones-Detector-Combustible/dp/B09Y8436D8/ref=sr_1_10?keywords=Klein+Tools+ET120+Combustible+Gas+Leak+Detector&amp;qid=1694734816&amp;sr=8-10")</f>
        <v/>
      </c>
      <c r="F1073" t="inlineStr">
        <is>
          <t>B09Y8436D8</t>
        </is>
      </c>
      <c r="G1073">
        <f>_xlfn.IMAGE("https://edmondsonsupply.com/cdn/shop/products/et120.jpg?v=1587149243")</f>
        <v/>
      </c>
      <c r="H1073">
        <f>_xlfn.IMAGE("https://m.media-amazon.com/images/I/41nnmPy6O+L._AC_UL320_.jpg")</f>
        <v/>
      </c>
      <c r="K1073" t="inlineStr">
        <is>
          <t>119.99</t>
        </is>
      </c>
      <c r="L1073" t="n">
        <v>418.99</v>
      </c>
      <c r="M1073" s="1" t="inlineStr">
        <is>
          <t>249.19%</t>
        </is>
      </c>
      <c r="N1073" s="7" t="n">
        <v>98.36</v>
      </c>
      <c r="O1073" t="n">
        <v>4.5</v>
      </c>
      <c r="P1073" t="n">
        <v>11</v>
      </c>
      <c r="R1073" t="inlineStr">
        <is>
          <t>InStock</t>
        </is>
      </c>
      <c r="S1073" t="inlineStr">
        <is>
          <t>179.32</t>
        </is>
      </c>
      <c r="T1073" t="inlineStr">
        <is>
          <t>1828453187684</t>
        </is>
      </c>
    </row>
    <row r="1074" ht="87" customHeight="1">
      <c r="A1074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1074" s="2">
        <f>HYPERLINK("https://edmondsonsupply.com/products/klein-tools-pnd-12-5-1-2-inch-power-nut-driver-5-inch-length", "https://edmondsonsupply.com/products/klein-tools-pnd-12-5-1-2-inch-power-nut-driver-5-inch-length")</f>
        <v/>
      </c>
      <c r="C1074" t="inlineStr">
        <is>
          <t>Klein Tools PND-12-5 1/2-Inch Power Nut Driver 5-Inch Length</t>
        </is>
      </c>
      <c r="D1074" t="inlineStr">
        <is>
          <t>Klein Tools 89904 Tool Set, Nut Drivers Sizes 3/16, 1/4, 5/16, 11/32, 3/8, 7/16, 1/2-Inch, 6-Inch Shafts, 7-Piece</t>
        </is>
      </c>
      <c r="E1074" s="2">
        <f>HYPERLINK("https://www.amazon.com/Klein-Tools-Nut-Driver-89904/dp/B000MB1JMU/ref=sr_1_29?keywords=Klein+Tools+PND-12-5+1%2F2-Inch+Power+Nut+Driver+5-Inch+Length&amp;qid=1694734708&amp;sr=8-29", "https://www.amazon.com/Klein-Tools-Nut-Driver-89904/dp/B000MB1JMU/ref=sr_1_29?keywords=Klein+Tools+PND-12-5+1%2F2-Inch+Power+Nut+Driver+5-Inch+Length&amp;qid=1694734708&amp;sr=8-29")</f>
        <v/>
      </c>
      <c r="F1074" t="inlineStr">
        <is>
          <t>B000MB1JMU</t>
        </is>
      </c>
      <c r="G1074">
        <f>_xlfn.IMAGE("https://edmondsonsupply.com/cdn/shop/products/pnd125.jpg?v=1633031028")</f>
        <v/>
      </c>
      <c r="H1074">
        <f>_xlfn.IMAGE("https://m.media-amazon.com/images/I/61cXQ4v0vvL._AC_UL320_.jpg")</f>
        <v/>
      </c>
      <c r="K1074" t="inlineStr">
        <is>
          <t>18.99</t>
        </is>
      </c>
      <c r="L1074" t="n">
        <v>66.23</v>
      </c>
      <c r="M1074" s="1" t="inlineStr">
        <is>
          <t>248.76%</t>
        </is>
      </c>
      <c r="N1074" s="7" t="n">
        <v>98.16</v>
      </c>
      <c r="O1074" t="n">
        <v>4.5</v>
      </c>
      <c r="P1074" t="n">
        <v>33</v>
      </c>
      <c r="R1074" t="inlineStr">
        <is>
          <t>InStock</t>
        </is>
      </c>
      <c r="S1074" t="inlineStr">
        <is>
          <t>30.98</t>
        </is>
      </c>
      <c r="T1074" t="inlineStr">
        <is>
          <t>6729466445997</t>
        </is>
      </c>
    </row>
    <row r="1075" ht="87" customHeight="1">
      <c r="A1075" s="2">
        <f>HYPERLINK("https://edmondsonsupply.com/collections/hvac/products/packard-trc40-titan-pro-run-capacitor-40-mfd-370-volt-round", "https://edmondsonsupply.com/collections/hvac/products/packard-trc40-titan-pro-run-capacitor-40-mfd-370-volt-round")</f>
        <v/>
      </c>
      <c r="B1075" s="2">
        <f>HYPERLINK("https://edmondsonsupply.com/products/packard-trc40-titan-pro-run-capacitor-40-mfd-370-volt-round", "https://edmondsonsupply.com/products/packard-trc40-titan-pro-run-capacitor-40-mfd-370-volt-round")</f>
        <v/>
      </c>
      <c r="C1075" t="inlineStr">
        <is>
          <t>Packard TRC40 Titan PRO Run Capacitor 40 MFD 370 Volt Round</t>
        </is>
      </c>
      <c r="D1075" t="inlineStr">
        <is>
          <t>Titan TRCFD455 Dual Rated Motor Run Capacitor Round MFD 40+5 Volts 440/370</t>
        </is>
      </c>
      <c r="E1075" s="2">
        <f>HYPERLINK("https://www.amazon.com/Titan-TRCFD455-Rated-Motor-Capacitor/dp/B01IC31EW4/ref=sr_1_9?keywords=Packard+TRC40+Titan+PRO+Run+Capacitor+40+MFD+370+Volt+Round&amp;qid=1694734814&amp;sr=8-9", "https://www.amazon.com/Titan-TRCFD455-Rated-Motor-Capacitor/dp/B01IC31EW4/ref=sr_1_9?keywords=Packard+TRC40+Titan+PRO+Run+Capacitor+40+MFD+370+Volt+Round&amp;qid=1694734814&amp;sr=8-9")</f>
        <v/>
      </c>
      <c r="F1075" t="inlineStr">
        <is>
          <t>B01IC31EW4</t>
        </is>
      </c>
      <c r="G1075">
        <f>_xlfn.IMAGE("https://edmondsonsupply.com/cdn/shop/products/tp370-2_xl_1.jpg?v=1587148259")</f>
        <v/>
      </c>
      <c r="H1075">
        <f>_xlfn.IMAGE("https://m.media-amazon.com/images/I/41PR+nyKvsL._AC_UY218_.jpg")</f>
        <v/>
      </c>
      <c r="K1075" t="inlineStr">
        <is>
          <t>4.6</t>
        </is>
      </c>
      <c r="L1075" t="n">
        <v>16.03</v>
      </c>
      <c r="M1075" s="1" t="inlineStr">
        <is>
          <t>248.48%</t>
        </is>
      </c>
      <c r="N1075" s="7" t="n">
        <v>97.93000000000001</v>
      </c>
      <c r="O1075" t="n">
        <v>4.1</v>
      </c>
      <c r="P1075" t="n">
        <v>38</v>
      </c>
      <c r="R1075" t="inlineStr">
        <is>
          <t>InStock</t>
        </is>
      </c>
      <c r="S1075" t="inlineStr">
        <is>
          <t>undefined</t>
        </is>
      </c>
      <c r="T1075" t="inlineStr">
        <is>
          <t>4343354654820</t>
        </is>
      </c>
    </row>
    <row r="1076" ht="87" customHeight="1">
      <c r="A1076" s="2">
        <f>HYPERLINK("https://edmondsonsupply.com/collections/hvac/products/channellock-428", "https://edmondsonsupply.com/collections/hvac/products/channellock-428")</f>
        <v/>
      </c>
      <c r="B1076" s="2">
        <f>HYPERLINK("https://edmondsonsupply.com/products/channellock-428", "https://edmondsonsupply.com/products/channellock-428")</f>
        <v/>
      </c>
      <c r="C1076" t="inlineStr">
        <is>
          <t>Channellock 428 8-Inch Straight Jaw Tongue &amp; Groove Pliers</t>
        </is>
      </c>
      <c r="D1076" t="inlineStr">
        <is>
          <t>Channellock 480 BIGAZZ Tongue and Groove Pliers | 20.25-Inch Straight Jaw Groove Joint Plier | 5.5-Inch Jaw Capacity | Laser Heat-Treated 90° Teeth| Forged High Carbon Steel | Made in USA</t>
        </is>
      </c>
      <c r="E1076" s="2">
        <f>HYPERLINK("https://www.amazon.com/Channellock-480-2-Inch-Capacity-20-Inch/dp/B00004SBCX/ref=sr_1_7?keywords=Channellock+428+8-Inch+Straight+Jaw+Tongue&amp;qid=1694734826&amp;sr=8-7", "https://www.amazon.com/Channellock-480-2-Inch-Capacity-20-Inch/dp/B00004SBCX/ref=sr_1_7?keywords=Channellock+428+8-Inch+Straight+Jaw+Tongue&amp;qid=1694734826&amp;sr=8-7")</f>
        <v/>
      </c>
      <c r="F1076" t="inlineStr">
        <is>
          <t>B00004SBCX</t>
        </is>
      </c>
      <c r="G1076">
        <f>_xlfn.IMAGE("https://edmondsonsupply.com/cdn/shop/products/428-683x1024.jpg?v=1587145854")</f>
        <v/>
      </c>
      <c r="H1076">
        <f>_xlfn.IMAGE("https://m.media-amazon.com/images/I/612L+6BugaL._AC_UL320_.jpg")</f>
        <v/>
      </c>
      <c r="K1076" t="inlineStr">
        <is>
          <t>16.95</t>
        </is>
      </c>
      <c r="L1076" t="n">
        <v>58.95</v>
      </c>
      <c r="M1076" s="1" t="inlineStr">
        <is>
          <t>247.79%</t>
        </is>
      </c>
      <c r="N1076" s="7" t="n">
        <v>97.67</v>
      </c>
      <c r="O1076" t="n">
        <v>4.8</v>
      </c>
      <c r="P1076" t="n">
        <v>870</v>
      </c>
      <c r="R1076" t="inlineStr">
        <is>
          <t>InStock</t>
        </is>
      </c>
      <c r="S1076" t="inlineStr">
        <is>
          <t>25.06</t>
        </is>
      </c>
      <c r="T1076" t="inlineStr">
        <is>
          <t>3523408527460</t>
        </is>
      </c>
    </row>
    <row r="1077" ht="87" customHeight="1">
      <c r="A1077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077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077" t="inlineStr">
        <is>
          <t>ICM Controls ICM2805A Furnace Control Board - Replacement for Nordyne</t>
        </is>
      </c>
      <c r="D1077" t="inlineStr">
        <is>
          <t>ICM Controls ICM280 Furnace Control Replacement for OEM Models Including Goodman B18099-xx Series Control Boards, Multicolor (Twо Расk)</t>
        </is>
      </c>
      <c r="E1077" s="2">
        <f>HYPERLINK("https://www.amazon.com/ICM-Replacement-Including-B18099-xx-Multicolor/dp/B0893PWC76/ref=sr_1_18?keywords=ICM+Controls+ICM2805A+Furnace+Control+Board+-+Replacement+for+Nordyne&amp;qid=1694734623&amp;sr=8-18", "https://www.amazon.com/ICM-Replacement-Including-B18099-xx-Multicolor/dp/B0893PWC76/ref=sr_1_18?keywords=ICM+Controls+ICM2805A+Furnace+Control+Board+-+Replacement+for+Nordyne&amp;qid=1694734623&amp;sr=8-18")</f>
        <v/>
      </c>
      <c r="F1077" t="inlineStr">
        <is>
          <t>B0893PWC76</t>
        </is>
      </c>
      <c r="G1077">
        <f>_xlfn.IMAGE("https://edmondsonsupply.com/cdn/shop/products/57_3_42a53dd2-02e8-4469-bc0c-0265897201e7.jpg?v=1633031145")</f>
        <v/>
      </c>
      <c r="H1077">
        <f>_xlfn.IMAGE("https://m.media-amazon.com/images/I/61JykELT0fL._AC_UL320_.jpg")</f>
        <v/>
      </c>
      <c r="K1077" t="inlineStr">
        <is>
          <t>116.59</t>
        </is>
      </c>
      <c r="L1077" t="n">
        <v>403.68</v>
      </c>
      <c r="M1077" s="1" t="inlineStr">
        <is>
          <t>246.24%</t>
        </is>
      </c>
      <c r="N1077" s="7" t="n">
        <v>97.59</v>
      </c>
      <c r="O1077" t="n">
        <v>4.5</v>
      </c>
      <c r="P1077" t="n">
        <v>457</v>
      </c>
      <c r="R1077" t="inlineStr">
        <is>
          <t>InStock</t>
        </is>
      </c>
      <c r="S1077" t="inlineStr">
        <is>
          <t>161.12</t>
        </is>
      </c>
      <c r="T1077" t="inlineStr">
        <is>
          <t>6892060639405</t>
        </is>
      </c>
    </row>
    <row r="1078" hidden="1" ht="15.75" customHeight="1">
      <c r="A1078" s="2">
        <f>HYPERLINK("https://edmondsonsupply.com/collections/hvac/products/packard-prmj130-motor-start-capacitor-130-158-mfd-330-vac", "https://edmondsonsupply.com/collections/hvac/products/packard-prmj130-motor-start-capacitor-130-158-mfd-330-vac")</f>
        <v/>
      </c>
      <c r="B1078" s="2">
        <f>HYPERLINK("https://edmondsonsupply.com/products/packard-prmj130-motor-start-capacitor-130-158-mfd-330-vac", "https://edmondsonsupply.com/products/packard-prmj130-motor-start-capacitor-130-158-mfd-330-vac")</f>
        <v/>
      </c>
      <c r="C1078" t="inlineStr">
        <is>
          <t>Packard PRMJ130 Motor Start Capacitor 130-158 MFD 330 VAC</t>
        </is>
      </c>
      <c r="D1078" t="inlineStr">
        <is>
          <t>PRMJ108 - Packard Aftermarket Replacement Motor Start Capacitor 108-130 MFD 330 Volt</t>
        </is>
      </c>
      <c r="E1078" s="2">
        <f>HYPERLINK("https://www.amazon.com/PRMJ108-Packard-Aftermarket-Replacement-Capacitor/dp/B00IWYEI1S/ref=sr_1_3?keywords=Packard+PRMJ130+Motor+Start+Capacitor+130-158+MFD+330+VAC&amp;qid=1694734803&amp;sr=8-3", "https://www.amazon.com/PRMJ108-Packard-Aftermarket-Replacement-Capacitor/dp/B00IWYEI1S/ref=sr_1_3?keywords=Packard+PRMJ130+Motor+Start+Capacitor+130-158+MFD+330+VAC&amp;qid=1694734803&amp;sr=8-3")</f>
        <v/>
      </c>
      <c r="F1078" t="inlineStr">
        <is>
          <t>B00IWYEI1S</t>
        </is>
      </c>
      <c r="G1078">
        <f>_xludf.IMAGE("https://edmondsonsupply.com/cdn/shop/products/PRMJ130-2.jpg?v=1587144436")</f>
        <v/>
      </c>
      <c r="H1078">
        <f>_xludf.IMAGE("https://m.media-amazon.com/images/I/41iN-8gLZyL._AC_UY218_.jpg")</f>
        <v/>
      </c>
      <c r="K1078" t="inlineStr">
        <is>
          <t>3.9</t>
        </is>
      </c>
      <c r="L1078" t="n">
        <v>13.49</v>
      </c>
      <c r="M1078" s="1" t="inlineStr">
        <is>
          <t>245.90%</t>
        </is>
      </c>
      <c r="N1078" s="1" t="n">
        <v>97.33</v>
      </c>
      <c r="O1078" t="n">
        <v>5</v>
      </c>
      <c r="P1078" t="n">
        <v>10</v>
      </c>
      <c r="R1078" t="inlineStr">
        <is>
          <t>InStock</t>
        </is>
      </c>
      <c r="S1078" t="inlineStr">
        <is>
          <t>undefined</t>
        </is>
      </c>
      <c r="T1078" t="inlineStr">
        <is>
          <t>4432875946084</t>
        </is>
      </c>
    </row>
    <row r="1079" hidden="1" ht="15.75" customHeight="1">
      <c r="A1079" s="2">
        <f>HYPERLINK("https://edmondsonsupply.com/collections/hvac/products/packard-ptmj43a-motor-start-capacitor-43-53-mfd-220-250-vac", "https://edmondsonsupply.com/collections/hvac/products/packard-ptmj43a-motor-start-capacitor-43-53-mfd-220-250-vac")</f>
        <v/>
      </c>
      <c r="B1079" s="2">
        <f>HYPERLINK("https://edmondsonsupply.com/products/packard-ptmj43a-motor-start-capacitor-43-53-mfd-220-250-vac", "https://edmondsonsupply.com/products/packard-ptmj43a-motor-start-capacitor-43-53-mfd-220-250-vac")</f>
        <v/>
      </c>
      <c r="C1079" t="inlineStr">
        <is>
          <t>Packard PTMJ43A Motor Start Capacitor 43-53 MFD 220-250 VAC</t>
        </is>
      </c>
      <c r="D1079" t="inlineStr">
        <is>
          <t>PTMJ56 - Packard Upgraded Replacement Motor Start Capacitor 53-64 MFD 220-250 Volt VAC</t>
        </is>
      </c>
      <c r="E1079" s="2">
        <f>HYPERLINK("https://www.amazon.com/PTMJ56-Packard-Upgraded-Replacement-Capacitor/dp/B0773WZHQQ/ref=sr_1_3?keywords=Packard+PTMJ43A+Motor+Start+Capacitor+43-53+MFD+220-250+VAC&amp;qid=1694734706&amp;sr=8-3", "https://www.amazon.com/PTMJ56-Packard-Upgraded-Replacement-Capacitor/dp/B0773WZHQQ/ref=sr_1_3?keywords=Packard+PTMJ43A+Motor+Start+Capacitor+43-53+MFD+220-250+VAC&amp;qid=1694734706&amp;sr=8-3")</f>
        <v/>
      </c>
      <c r="F1079" t="inlineStr">
        <is>
          <t>B0773WZHQQ</t>
        </is>
      </c>
      <c r="G1079">
        <f>_xludf.IMAGE("https://edmondsonsupply.com/cdn/shop/products/PTMJ43A-2.jpg?v=1633031033")</f>
        <v/>
      </c>
      <c r="H1079">
        <f>_xludf.IMAGE("https://m.media-amazon.com/images/I/41fqQrQgJaL._AC_UY218_.jpg")</f>
        <v/>
      </c>
      <c r="K1079" t="inlineStr">
        <is>
          <t>3.9</t>
        </is>
      </c>
      <c r="L1079" t="n">
        <v>13.49</v>
      </c>
      <c r="M1079" s="1" t="inlineStr">
        <is>
          <t>245.90%</t>
        </is>
      </c>
      <c r="N1079" s="1" t="n">
        <v>96.77</v>
      </c>
      <c r="O1079" t="n">
        <v>5</v>
      </c>
      <c r="P1079" t="n">
        <v>3</v>
      </c>
      <c r="R1079" t="inlineStr">
        <is>
          <t>InStock</t>
        </is>
      </c>
      <c r="S1079" t="inlineStr">
        <is>
          <t>undefined</t>
        </is>
      </c>
      <c r="T1079" t="inlineStr">
        <is>
          <t>6734444232877</t>
        </is>
      </c>
    </row>
    <row r="1080" hidden="1" ht="15.75" customHeight="1">
      <c r="A1080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080" s="2">
        <f>HYPERLINK("https://edmondsonsupply.com/products/packard-prmj108-motor-start-capacitor-108-130-mfd-330-vac", "https://edmondsonsupply.com/products/packard-prmj108-motor-start-capacitor-108-130-mfd-330-vac")</f>
        <v/>
      </c>
      <c r="C1080" t="inlineStr">
        <is>
          <t>Packard PRMJ56 Motor Start Capacitor 53-64 MFD 330 VAC</t>
        </is>
      </c>
      <c r="D1080" t="inlineStr">
        <is>
          <t>PRMJ64 - Packard Upgraded Replacement Motor Start Capacitor 64-77 MFD 330 Volt VAC</t>
        </is>
      </c>
      <c r="E1080" s="2">
        <f>HYPERLINK("https://www.amazon.com/PRMJ64-Packard-Upgraded-Replacement-Capacitor/dp/B0773WP25K/ref=sr_1_6?keywords=Packard+PRMJ56+Motor+Start+Capacitor+53-64+MFD+330+VAC&amp;qid=1694734833&amp;sr=8-6", "https://www.amazon.com/PRMJ64-Packard-Upgraded-Replacement-Capacitor/dp/B0773WP25K/ref=sr_1_6?keywords=Packard+PRMJ56+Motor+Start+Capacitor+53-64+MFD+330+VAC&amp;qid=1694734833&amp;sr=8-6")</f>
        <v/>
      </c>
      <c r="F1080" t="inlineStr">
        <is>
          <t>B0773WP25K</t>
        </is>
      </c>
      <c r="G1080">
        <f>_xludf.IMAGE("https://edmondsonsupply.com/cdn/shop/products/PRMJ56-2.jpg?v=1633030105")</f>
        <v/>
      </c>
      <c r="H1080">
        <f>_xludf.IMAGE("https://m.media-amazon.com/images/I/41fqQrQgJaL._AC_UY218_.jpg")</f>
        <v/>
      </c>
      <c r="K1080" t="inlineStr">
        <is>
          <t>3.92</t>
        </is>
      </c>
      <c r="L1080" t="n">
        <v>13.49</v>
      </c>
      <c r="M1080" s="1" t="inlineStr">
        <is>
          <t>244.13%</t>
        </is>
      </c>
      <c r="N1080" s="1" t="n">
        <v>96.48999999999999</v>
      </c>
      <c r="O1080" t="n">
        <v>4.7</v>
      </c>
      <c r="P1080" t="n">
        <v>8</v>
      </c>
      <c r="R1080" t="inlineStr">
        <is>
          <t>InStock</t>
        </is>
      </c>
      <c r="S1080" t="inlineStr">
        <is>
          <t>undefined</t>
        </is>
      </c>
      <c r="T1080" t="inlineStr">
        <is>
          <t>3575357505636</t>
        </is>
      </c>
    </row>
    <row r="1081" hidden="1" ht="15.75" customHeight="1">
      <c r="A1081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081" s="2">
        <f>HYPERLINK("https://edmondsonsupply.com/products/packard-prmj108-motor-start-capacitor-108-130-mfd-330-vac", "https://edmondsonsupply.com/products/packard-prmj108-motor-start-capacitor-108-130-mfd-330-vac")</f>
        <v/>
      </c>
      <c r="C1081" t="inlineStr">
        <is>
          <t>Packard PRMJ56 Motor Start Capacitor 53-64 MFD 330 VAC</t>
        </is>
      </c>
      <c r="D1081" t="inlineStr">
        <is>
          <t>PTMJ56 - Packard Upgraded Replacement Motor Start Capacitor 53-64 MFD 220-250 Volt VAC</t>
        </is>
      </c>
      <c r="E1081" s="2">
        <f>HYPERLINK("https://www.amazon.com/PTMJ56-Packard-Upgraded-Replacement-Capacitor/dp/B0773WZHQQ/ref=sr_1_2?keywords=Packard+PRMJ56+Motor+Start+Capacitor+53-64+MFD+330+VAC&amp;qid=1694734833&amp;sr=8-2", "https://www.amazon.com/PTMJ56-Packard-Upgraded-Replacement-Capacitor/dp/B0773WZHQQ/ref=sr_1_2?keywords=Packard+PRMJ56+Motor+Start+Capacitor+53-64+MFD+330+VAC&amp;qid=1694734833&amp;sr=8-2")</f>
        <v/>
      </c>
      <c r="F1081" t="inlineStr">
        <is>
          <t>B0773WZHQQ</t>
        </is>
      </c>
      <c r="G1081">
        <f>_xludf.IMAGE("https://edmondsonsupply.com/cdn/shop/products/PRMJ56-2.jpg?v=1633030105")</f>
        <v/>
      </c>
      <c r="H1081">
        <f>_xludf.IMAGE("https://m.media-amazon.com/images/I/41fqQrQgJaL._AC_UY218_.jpg")</f>
        <v/>
      </c>
      <c r="K1081" t="inlineStr">
        <is>
          <t>3.92</t>
        </is>
      </c>
      <c r="L1081" t="n">
        <v>13.49</v>
      </c>
      <c r="M1081" s="1" t="inlineStr">
        <is>
          <t>244.13%</t>
        </is>
      </c>
      <c r="N1081" s="1" t="n">
        <v>96.20999999999999</v>
      </c>
      <c r="O1081" t="n">
        <v>5</v>
      </c>
      <c r="P1081" t="n">
        <v>3</v>
      </c>
      <c r="R1081" t="inlineStr">
        <is>
          <t>InStock</t>
        </is>
      </c>
      <c r="S1081" t="inlineStr">
        <is>
          <t>undefined</t>
        </is>
      </c>
      <c r="T1081" t="inlineStr">
        <is>
          <t>3575357505636</t>
        </is>
      </c>
    </row>
    <row r="1082" ht="87" customHeight="1">
      <c r="A1082" s="2">
        <f>HYPERLINK("https://edmondsonsupply.com/collections/hvac/products/viega-25001-1-2-x-1-2-megapressg-coupling-with-stop", "https://edmondsonsupply.com/collections/hvac/products/viega-25001-1-2-x-1-2-megapressg-coupling-with-stop")</f>
        <v/>
      </c>
      <c r="B1082" s="2">
        <f>HYPERLINK("https://edmondsonsupply.com/products/viega-25001-1-2-x-1-2-megapressg-coupling-with-stop", "https://edmondsonsupply.com/products/viega-25001-1-2-x-1-2-megapressg-coupling-with-stop")</f>
        <v/>
      </c>
      <c r="C1082" t="inlineStr">
        <is>
          <t>Viega 25001 1/2" x 1/2" MegaPressG Coupling with Stop</t>
        </is>
      </c>
      <c r="D1082" t="inlineStr">
        <is>
          <t>VIEGA 78172 Propress Zero Lead Copper Coupling without Stop 1/2" Press x Press (5-Pack)</t>
        </is>
      </c>
      <c r="E1082" s="2">
        <f>HYPERLINK("https://www.amazon.com/78172-Propress-Copper-Coupling-without/dp/B017BVYKWO/ref=sr_1_4?keywords=Viega+25001+1%2F2%22+x+1%2F2%22+MegaPressG+Coupling+with+Stop&amp;qid=1694734861&amp;sr=8-4", "https://www.amazon.com/78172-Propress-Copper-Coupling-without/dp/B017BVYKWO/ref=sr_1_4?keywords=Viega+25001+1%2F2%22+x+1%2F2%22+MegaPressG+Coupling+with+Stop&amp;qid=1694734861&amp;sr=8-4")</f>
        <v/>
      </c>
      <c r="F1082" t="inlineStr">
        <is>
          <t>B017BVYKWO</t>
        </is>
      </c>
      <c r="G1082">
        <f>_xlfn.IMAGE("https://edmondsonsupply.com/cdn/shop/files/PPm6615.jpg?v=1692463277")</f>
        <v/>
      </c>
      <c r="H1082">
        <f>_xlfn.IMAGE("https://m.media-amazon.com/images/I/61nJGjpHLVL._AC_UL320_.jpg")</f>
        <v/>
      </c>
      <c r="K1082" t="inlineStr">
        <is>
          <t>11.63</t>
        </is>
      </c>
      <c r="L1082" t="n">
        <v>39.99</v>
      </c>
      <c r="M1082" s="1" t="inlineStr">
        <is>
          <t>243.85%</t>
        </is>
      </c>
      <c r="N1082" s="7" t="n">
        <v>96.08</v>
      </c>
      <c r="O1082" t="n">
        <v>4.7</v>
      </c>
      <c r="P1082" t="n">
        <v>15</v>
      </c>
      <c r="R1082" t="inlineStr">
        <is>
          <t>InStock</t>
        </is>
      </c>
      <c r="S1082" t="inlineStr">
        <is>
          <t>20.04</t>
        </is>
      </c>
      <c r="T1082" t="inlineStr">
        <is>
          <t>8028590178520</t>
        </is>
      </c>
    </row>
    <row r="1083" ht="87" customHeight="1">
      <c r="A1083" s="2">
        <f>HYPERLINK("https://edmondsonsupply.com/collections/hvac/products/uei-dmg150-digital-micron-gauge", "https://edmondsonsupply.com/collections/hvac/products/uei-dmg150-digital-micron-gauge")</f>
        <v/>
      </c>
      <c r="B1083" s="2">
        <f>HYPERLINK("https://edmondsonsupply.com/products/uei-dmg150-digital-micron-gauge", "https://edmondsonsupply.com/products/uei-dmg150-digital-micron-gauge")</f>
        <v/>
      </c>
      <c r="C1083" t="inlineStr">
        <is>
          <t>UEi PDT650 Digital Folding Pocket Thermometer</t>
        </is>
      </c>
      <c r="D1083" t="inlineStr">
        <is>
          <t>UEi Test Instruments PDT650 Folding Pocket Digital Thermometer,Yellow (2 Pack)</t>
        </is>
      </c>
      <c r="E1083" s="2">
        <f>HYPERLINK("https://www.amazon.com/UEi-Test-Instruments-Folding-Thermometer/dp/B096L2XYSW/ref=sr_1_6?keywords=UEi+PDT650+Digital+Folding+Pocket+Thermometer&amp;qid=1694734589&amp;sr=8-6", "https://www.amazon.com/UEi-Test-Instruments-Folding-Thermometer/dp/B096L2XYSW/ref=sr_1_6?keywords=UEi+PDT650+Digital+Folding+Pocket+Thermometer&amp;qid=1694734589&amp;sr=8-6")</f>
        <v/>
      </c>
      <c r="F1083" t="inlineStr">
        <is>
          <t>B096L2XYSW</t>
        </is>
      </c>
      <c r="G1083">
        <f>_xlfn.IMAGE("https://edmondsonsupply.com/cdn/shop/products/PDT650-1.png?v=1633030101")</f>
        <v/>
      </c>
      <c r="H1083">
        <f>_xlfn.IMAGE("https://m.media-amazon.com/images/I/51uRlvd12fS._AC_UY218_.jpg")</f>
        <v/>
      </c>
      <c r="I1083" t="n">
        <v>0</v>
      </c>
      <c r="J1083" t="inlineStr">
        <is>
          <t>you can buy 2 pcs and still profitable but low sales</t>
        </is>
      </c>
      <c r="K1083" t="inlineStr">
        <is>
          <t>19.51</t>
        </is>
      </c>
      <c r="L1083" t="n">
        <v>67</v>
      </c>
      <c r="M1083" s="1" t="inlineStr">
        <is>
          <t>243.41%</t>
        </is>
      </c>
      <c r="N1083" s="7" t="n">
        <v>95.98999999999999</v>
      </c>
      <c r="O1083" t="n">
        <v>5</v>
      </c>
      <c r="P1083" t="n">
        <v>1</v>
      </c>
      <c r="R1083" t="inlineStr">
        <is>
          <t>InStock</t>
        </is>
      </c>
      <c r="S1083" t="inlineStr">
        <is>
          <t>22.95</t>
        </is>
      </c>
      <c r="T1083" t="inlineStr">
        <is>
          <t>3569106649188</t>
        </is>
      </c>
    </row>
    <row r="1084" hidden="1" ht="15.75" customHeight="1">
      <c r="A1084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084" s="2">
        <f>HYPERLINK("https://edmondsonsupply.com/products/packard-ttmj108-motor-start-capacitor-108-130-mfd-220-250-vac", "https://edmondsonsupply.com/products/packard-ttmj108-motor-start-capacitor-108-130-mfd-220-250-vac")</f>
        <v/>
      </c>
      <c r="C1084" t="inlineStr">
        <is>
          <t>Packard TTMJ108 Motor Start Capacitor 108-130 MFD 220-250 VAC</t>
        </is>
      </c>
      <c r="D1084" t="inlineStr">
        <is>
          <t>TEMCo 108-130 uf/MFD 220-250 VAC Volts Round Start Capacitor 50/60 Hz AC Electric - Lot -1</t>
        </is>
      </c>
      <c r="E1084" s="2">
        <f>HYPERLINK("https://www.amazon.com/TEMCo-Capacitor-SC0065-108-130-220-250-Electric/dp/B00EQHO35G/ref=sr_1_8?keywords=Packard+TTMJ108+Motor+Start+Capacitor+108-130+MFD+220-250+VAC&amp;qid=1694734864&amp;sr=8-8", "https://www.amazon.com/TEMCo-Capacitor-SC0065-108-130-220-250-Electric/dp/B00EQHO35G/ref=sr_1_8?keywords=Packard+TTMJ108+Motor+Start+Capacitor+108-130+MFD+220-250+VAC&amp;qid=1694734864&amp;sr=8-8")</f>
        <v/>
      </c>
      <c r="F1084" t="inlineStr">
        <is>
          <t>B00EQHO35G</t>
        </is>
      </c>
      <c r="G1084">
        <f>_xludf.IMAGE("https://edmondsonsupply.com/cdn/shop/files/PTMJ108-2_c3537879-2bfc-401f-867d-9ee4aaa5c4bb.jpg?v=1692220228")</f>
        <v/>
      </c>
      <c r="H1084">
        <f>_xludf.IMAGE("https://m.media-amazon.com/images/I/51nF+nxUvHL._AC_UY218_.jpg")</f>
        <v/>
      </c>
      <c r="K1084" t="inlineStr">
        <is>
          <t>4.39</t>
        </is>
      </c>
      <c r="L1084" t="n">
        <v>14.95</v>
      </c>
      <c r="M1084" s="1" t="inlineStr">
        <is>
          <t>240.55%</t>
        </is>
      </c>
      <c r="N1084" s="1" t="n">
        <v>95.91</v>
      </c>
      <c r="O1084" t="n">
        <v>4.5</v>
      </c>
      <c r="P1084" t="n">
        <v>98</v>
      </c>
      <c r="R1084" t="inlineStr">
        <is>
          <t>InStock</t>
        </is>
      </c>
      <c r="S1084" t="inlineStr">
        <is>
          <t>undefined</t>
        </is>
      </c>
      <c r="T1084" t="inlineStr">
        <is>
          <t>8028091154648</t>
        </is>
      </c>
    </row>
    <row r="1085" ht="87" customHeight="1">
      <c r="A1085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1085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1085" t="inlineStr">
        <is>
          <t>Diablo Tools DMAPL4210 5/8 in. x 4 in. x 6 in. Rebar Demon™ SDS‑Plus 4‑Cutter Full Carbide Head Hammer Bit</t>
        </is>
      </c>
      <c r="D1085" t="inlineStr">
        <is>
          <t>Diablo by Freud DMAPL4300 1 in. x 8 in. x 10 in. Rebar Demon™ SDS-Plus 4-Cutter Full Carbide Head Hammer Bit</t>
        </is>
      </c>
      <c r="E1085" s="2">
        <f>HYPERLINK("https://www.amazon.com/Diablo-Freud-DMAPL4300-SDS-Plus-4-Cutter/dp/B089LL8JD8/ref=sr_1_20?keywords=Diablo+Tools+DMAPL4210+5%2F8+in.+x+4+in.+x+6+in.+Rebar+Demon%E2%84%A2+SDS%E2%80%91Plus+4%E2%80%91Cutter+Full+Carbide+Head+Hammer+Bit&amp;qid=1694734723&amp;sr=8-20", "https://www.amazon.com/Diablo-Freud-DMAPL4300-SDS-Plus-4-Cutter/dp/B089LL8JD8/ref=sr_1_20?keywords=Diablo+Tools+DMAPL4210+5%2F8+in.+x+4+in.+x+6+in.+Rebar+Demon%E2%84%A2+SDS%E2%80%91Plus+4%E2%80%91Cutter+Full+Carbide+Head+Hammer+Bit&amp;qid=1694734723&amp;sr=8-20")</f>
        <v/>
      </c>
      <c r="F1085" t="inlineStr">
        <is>
          <t>B089LL8JD8</t>
        </is>
      </c>
      <c r="G1085">
        <f>_xlfn.IMAGE("https://edmondsonsupply.com/cdn/shop/products/DMAPL4210_Main-Image20200701.png?v=1633030426")</f>
        <v/>
      </c>
      <c r="H1085">
        <f>_xlfn.IMAGE("https://m.media-amazon.com/images/I/616UiJGsK1L._AC_UL320_.jpg")</f>
        <v/>
      </c>
      <c r="K1085" t="inlineStr">
        <is>
          <t>9.97</t>
        </is>
      </c>
      <c r="L1085" t="n">
        <v>33.95</v>
      </c>
      <c r="M1085" s="1" t="inlineStr">
        <is>
          <t>240.52%</t>
        </is>
      </c>
      <c r="N1085" s="7" t="n">
        <v>95.91</v>
      </c>
      <c r="O1085" t="n">
        <v>4.5</v>
      </c>
      <c r="P1085" t="n">
        <v>16</v>
      </c>
      <c r="R1085" t="inlineStr">
        <is>
          <t>InStock</t>
        </is>
      </c>
      <c r="S1085" t="inlineStr">
        <is>
          <t>13.77</t>
        </is>
      </c>
      <c r="T1085" t="inlineStr">
        <is>
          <t>5326920482984</t>
        </is>
      </c>
    </row>
    <row r="1086" hidden="1" ht="15.75" customHeight="1">
      <c r="A1086" s="2">
        <f>HYPERLINK("https://edmondsonsupply.com/collections/hvac/products/packard-ptmj43a-motor-start-capacitor-43-53-mfd-220-250-vac", "https://edmondsonsupply.com/collections/hvac/products/packard-ptmj43a-motor-start-capacitor-43-53-mfd-220-250-vac")</f>
        <v/>
      </c>
      <c r="B1086" s="2">
        <f>HYPERLINK("https://edmondsonsupply.com/products/packard-ptmj43a-motor-start-capacitor-43-53-mfd-220-250-vac", "https://edmondsonsupply.com/products/packard-ptmj43a-motor-start-capacitor-43-53-mfd-220-250-vac")</f>
        <v/>
      </c>
      <c r="C1086" t="inlineStr">
        <is>
          <t>Packard PTMJ43A Motor Start Capacitor 43-53 MFD 220-250 VAC</t>
        </is>
      </c>
      <c r="D1086" t="inlineStr">
        <is>
          <t>PTMJ53 - Packard Upgraded Replacement Motor Start Capacitor 53-64 MFD 220-250 Volt VAC</t>
        </is>
      </c>
      <c r="E1086" s="2">
        <f>HYPERLINK("https://www.amazon.com/PTMJ53-Packard-Upgraded-Replacement-Capacitor/dp/B0773W73B5/ref=sr_1_10?keywords=Packard+PTMJ43A+Motor+Start+Capacitor+43-53+MFD+220-250+VAC&amp;qid=1694734706&amp;sr=8-10", "https://www.amazon.com/PTMJ53-Packard-Upgraded-Replacement-Capacitor/dp/B0773W73B5/ref=sr_1_10?keywords=Packard+PTMJ43A+Motor+Start+Capacitor+43-53+MFD+220-250+VAC&amp;qid=1694734706&amp;sr=8-10")</f>
        <v/>
      </c>
      <c r="F1086" t="inlineStr">
        <is>
          <t>B0773W73B5</t>
        </is>
      </c>
      <c r="G1086">
        <f>_xludf.IMAGE("https://edmondsonsupply.com/cdn/shop/products/PTMJ43A-2.jpg?v=1633031033")</f>
        <v/>
      </c>
      <c r="H1086">
        <f>_xludf.IMAGE("https://m.media-amazon.com/images/I/41fqQrQgJaL._AC_UY218_.jpg")</f>
        <v/>
      </c>
      <c r="K1086" t="inlineStr">
        <is>
          <t>3.9</t>
        </is>
      </c>
      <c r="L1086" t="n">
        <v>13.24</v>
      </c>
      <c r="M1086" s="1" t="inlineStr">
        <is>
          <t>239.49%</t>
        </is>
      </c>
      <c r="N1086" s="1" t="n">
        <v>95.64</v>
      </c>
      <c r="O1086" t="n">
        <v>3.7</v>
      </c>
      <c r="P1086" t="n">
        <v>11</v>
      </c>
      <c r="R1086" t="inlineStr">
        <is>
          <t>InStock</t>
        </is>
      </c>
      <c r="S1086" t="inlineStr">
        <is>
          <t>undefined</t>
        </is>
      </c>
      <c r="T1086" t="inlineStr">
        <is>
          <t>6734444232877</t>
        </is>
      </c>
    </row>
    <row r="1087" hidden="1" ht="15.75" customHeight="1">
      <c r="A1087" s="2">
        <f>HYPERLINK("https://edmondsonsupply.com/collections/hvac/products/packard-ptmj43a-motor-start-capacitor-43-53-mfd-220-250-vac", "https://edmondsonsupply.com/collections/hvac/products/packard-ptmj43a-motor-start-capacitor-43-53-mfd-220-250-vac")</f>
        <v/>
      </c>
      <c r="B1087" s="2">
        <f>HYPERLINK("https://edmondsonsupply.com/products/packard-ptmj43a-motor-start-capacitor-43-53-mfd-220-250-vac", "https://edmondsonsupply.com/products/packard-ptmj43a-motor-start-capacitor-43-53-mfd-220-250-vac")</f>
        <v/>
      </c>
      <c r="C1087" t="inlineStr">
        <is>
          <t>Packard PTMJ43A Motor Start Capacitor 43-53 MFD 220-250 VAC</t>
        </is>
      </c>
      <c r="D1087" t="inlineStr">
        <is>
          <t>PRMJ43 - Packard Upgraded Replacement Motor Start Capacitor 43-53 MFD 330 Volt VAC</t>
        </is>
      </c>
      <c r="E1087" s="2">
        <f>HYPERLINK("https://www.amazon.com/PRMJ43-Packard-Upgraded-Replacement-Capacitor/dp/B0773SJVXK/ref=sr_1_2?keywords=Packard+PTMJ43A+Motor+Start+Capacitor+43-53+MFD+220-250+VAC&amp;qid=1694734706&amp;sr=8-2", "https://www.amazon.com/PRMJ43-Packard-Upgraded-Replacement-Capacitor/dp/B0773SJVXK/ref=sr_1_2?keywords=Packard+PTMJ43A+Motor+Start+Capacitor+43-53+MFD+220-250+VAC&amp;qid=1694734706&amp;sr=8-2")</f>
        <v/>
      </c>
      <c r="F1087" t="inlineStr">
        <is>
          <t>B0773SJVXK</t>
        </is>
      </c>
      <c r="G1087">
        <f>_xludf.IMAGE("https://edmondsonsupply.com/cdn/shop/products/PTMJ43A-2.jpg?v=1633031033")</f>
        <v/>
      </c>
      <c r="H1087">
        <f>_xludf.IMAGE("https://m.media-amazon.com/images/I/41fqQrQgJaL._AC_UY218_.jpg")</f>
        <v/>
      </c>
      <c r="K1087" t="inlineStr">
        <is>
          <t>3.9</t>
        </is>
      </c>
      <c r="L1087" t="n">
        <v>13.24</v>
      </c>
      <c r="M1087" s="1" t="inlineStr">
        <is>
          <t>239.49%</t>
        </is>
      </c>
      <c r="N1087" s="1" t="n">
        <v>95.42</v>
      </c>
      <c r="O1087" t="n">
        <v>5</v>
      </c>
      <c r="P1087" t="n">
        <v>2</v>
      </c>
      <c r="R1087" t="inlineStr">
        <is>
          <t>InStock</t>
        </is>
      </c>
      <c r="S1087" t="inlineStr">
        <is>
          <t>undefined</t>
        </is>
      </c>
      <c r="T1087" t="inlineStr">
        <is>
          <t>6734444232877</t>
        </is>
      </c>
    </row>
    <row r="1088" hidden="1" ht="15.75" customHeight="1">
      <c r="A1088" s="2">
        <f>HYPERLINK("https://edmondsonsupply.com/collections/hvac/products/packard-ptmj43a-motor-start-capacitor-43-53-mfd-220-250-vac", "https://edmondsonsupply.com/collections/hvac/products/packard-ptmj43a-motor-start-capacitor-43-53-mfd-220-250-vac")</f>
        <v/>
      </c>
      <c r="B1088" s="2">
        <f>HYPERLINK("https://edmondsonsupply.com/products/packard-ptmj43a-motor-start-capacitor-43-53-mfd-220-250-vac", "https://edmondsonsupply.com/products/packard-ptmj43a-motor-start-capacitor-43-53-mfd-220-250-vac")</f>
        <v/>
      </c>
      <c r="C1088" t="inlineStr">
        <is>
          <t>Packard PTMJ43A Motor Start Capacitor 43-53 MFD 220-250 VAC</t>
        </is>
      </c>
      <c r="D1088" t="inlineStr">
        <is>
          <t>PTMJ43 - Packard Upgraded Replacement Motor Start Capacitor 43-53 MFD 220-250 Volt VAC</t>
        </is>
      </c>
      <c r="E1088" s="2">
        <f>HYPERLINK("https://www.amazon.com/PTMJ43-Packard-Upgraded-Replacement-Capacitor/dp/B0773XQVXN/ref=sr_1_1?keywords=Packard+PTMJ43A+Motor+Start+Capacitor+43-53+MFD+220-250+VAC&amp;qid=1694734706&amp;sr=8-1", "https://www.amazon.com/PTMJ43-Packard-Upgraded-Replacement-Capacitor/dp/B0773XQVXN/ref=sr_1_1?keywords=Packard+PTMJ43A+Motor+Start+Capacitor+43-53+MFD+220-250+VAC&amp;qid=1694734706&amp;sr=8-1")</f>
        <v/>
      </c>
      <c r="F1088" t="inlineStr">
        <is>
          <t>B0773XQVXN</t>
        </is>
      </c>
      <c r="G1088">
        <f>_xludf.IMAGE("https://edmondsonsupply.com/cdn/shop/products/PTMJ43A-2.jpg?v=1633031033")</f>
        <v/>
      </c>
      <c r="H1088">
        <f>_xludf.IMAGE("https://m.media-amazon.com/images/I/41fqQrQgJaL._AC_UY218_.jpg")</f>
        <v/>
      </c>
      <c r="K1088" t="inlineStr">
        <is>
          <t>3.9</t>
        </is>
      </c>
      <c r="L1088" t="n">
        <v>13.24</v>
      </c>
      <c r="M1088" s="1" t="inlineStr">
        <is>
          <t>239.49%</t>
        </is>
      </c>
      <c r="N1088" s="1" t="n">
        <v>95.33</v>
      </c>
      <c r="O1088" t="n">
        <v>4.4</v>
      </c>
      <c r="P1088" t="n">
        <v>10</v>
      </c>
      <c r="R1088" t="inlineStr">
        <is>
          <t>InStock</t>
        </is>
      </c>
      <c r="S1088" t="inlineStr">
        <is>
          <t>undefined</t>
        </is>
      </c>
      <c r="T1088" t="inlineStr">
        <is>
          <t>6734444232877</t>
        </is>
      </c>
    </row>
    <row r="1089" ht="87" customHeight="1">
      <c r="A1089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089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089" t="inlineStr">
        <is>
          <t>Klein Tools 32304 14-in-1 HVAC Adjustable-Length Impact Screwdriver with Flip Socket</t>
        </is>
      </c>
      <c r="D1089" t="inlineStr">
        <is>
          <t>Klein Tools 55419SP-14 Tool Bag with Shoulder Strap Has 14 Pockets for Tool Storage, Can Fit Long Screwdrivers &amp; 32304 Screwdriver, 14-in-1 Adjustable Screwdriver with Flip Socket,</t>
        </is>
      </c>
      <c r="E1089" s="2">
        <f>HYPERLINK("https://www.amazon.com/Klein-Tools-55419SP-14-Screwdrivers-Screwdriver/dp/B0CB1214M8/ref=sr_1_22?keywords=Klein+Tools+32304+14-in-1+HVAC+Adjustable-Length+Impact+Screwdriver+with+Flip+Socket&amp;qid=1694734657&amp;sr=8-22", "https://www.amazon.com/Klein-Tools-55419SP-14-Screwdrivers-Screwdriver/dp/B0CB1214M8/ref=sr_1_22?keywords=Klein+Tools+32304+14-in-1+HVAC+Adjustable-Length+Impact+Screwdriver+with+Flip+Socket&amp;qid=1694734657&amp;sr=8-22")</f>
        <v/>
      </c>
      <c r="F1089" t="inlineStr">
        <is>
          <t>B0CB1214M8</t>
        </is>
      </c>
      <c r="G1089">
        <f>_xlfn.IMAGE("https://edmondsonsupply.com/cdn/shop/products/32304.jpg?v=1666019479")</f>
        <v/>
      </c>
      <c r="H1089">
        <f>_xlfn.IMAGE("https://m.media-amazon.com/images/I/51wE8WzbqGL._AC_UL320_.jpg")</f>
        <v/>
      </c>
      <c r="K1089" t="inlineStr">
        <is>
          <t>24.97</t>
        </is>
      </c>
      <c r="L1089" t="n">
        <v>84.76000000000001</v>
      </c>
      <c r="M1089" s="1" t="inlineStr">
        <is>
          <t>239.45%</t>
        </is>
      </c>
      <c r="N1089" s="7" t="n">
        <v>95.33</v>
      </c>
      <c r="O1089" t="n">
        <v>4.8</v>
      </c>
      <c r="P1089" t="n">
        <v>2931</v>
      </c>
      <c r="R1089" t="inlineStr">
        <is>
          <t>InStock</t>
        </is>
      </c>
      <c r="S1089" t="inlineStr">
        <is>
          <t>34.98</t>
        </is>
      </c>
      <c r="T1089" t="inlineStr">
        <is>
          <t>7856604578008</t>
        </is>
      </c>
    </row>
    <row r="1090" hidden="1" ht="15.75" customHeight="1">
      <c r="A1090" s="2">
        <f>HYPERLINK("https://edmondsonsupply.com/collections/hvac/products/packard-titan-pro-tmj460-motor-start-capacitor-460-552-mfd-110-125-vac", "https://edmondsonsupply.com/collections/hvac/products/packard-titan-pro-tmj460-motor-start-capacitor-460-552-mfd-110-125-vac")</f>
        <v/>
      </c>
      <c r="B1090" s="2">
        <f>HYPERLINK("https://edmondsonsupply.com/products/packard-titan-pro-tmj460-motor-start-capacitor-460-552-mfd-110-125-vac", "https://edmondsonsupply.com/products/packard-titan-pro-tmj460-motor-start-capacitor-460-552-mfd-110-125-vac")</f>
        <v/>
      </c>
      <c r="C1090" t="inlineStr">
        <is>
          <t>Packard Titan Pro TMJ460 Motor Start Capacitor 460-552 MFD 110-125 VAC</t>
        </is>
      </c>
      <c r="D1090" t="inlineStr">
        <is>
          <t>PMJ460 - Packard Upgraded Replacement Motor Start Capacitor 460-552 MFD 110-125 Volt VAC</t>
        </is>
      </c>
      <c r="E1090" s="2">
        <f>HYPERLINK("https://www.amazon.com/PMJ460-Packard-Upgraded-Replacement-Capacitor/dp/B0773WC5NS/ref=sr_1_3?keywords=Packard+Titan+Pro+TMJ460+Motor+Start+Capacitor+460-552+MFD+110-125+VAC&amp;qid=1694734846&amp;sr=8-3", "https://www.amazon.com/PMJ460-Packard-Upgraded-Replacement-Capacitor/dp/B0773WC5NS/ref=sr_1_3?keywords=Packard+Titan+Pro+TMJ460+Motor+Start+Capacitor+460-552+MFD+110-125+VAC&amp;qid=1694734846&amp;sr=8-3")</f>
        <v/>
      </c>
      <c r="F1090" t="inlineStr">
        <is>
          <t>B0773WC5NS</t>
        </is>
      </c>
      <c r="G1090">
        <f>_xludf.IMAGE("https://edmondsonsupply.com/cdn/shop/files/PMJ460-2_80b2a77c-18d8-4fb8-88f4-92077b5e2d5c.jpg?v=1692630077")</f>
        <v/>
      </c>
      <c r="H1090">
        <f>_xludf.IMAGE("https://m.media-amazon.com/images/I/41fqQrQgJaL._AC_UY218_.jpg")</f>
        <v/>
      </c>
      <c r="K1090" t="inlineStr">
        <is>
          <t>4.64</t>
        </is>
      </c>
      <c r="L1090" t="n">
        <v>15.74</v>
      </c>
      <c r="M1090" s="1" t="inlineStr">
        <is>
          <t>239.22%</t>
        </is>
      </c>
      <c r="N1090" s="1" t="n">
        <v>95.08</v>
      </c>
      <c r="O1090" t="n">
        <v>3.8</v>
      </c>
      <c r="P1090" t="n">
        <v>5</v>
      </c>
      <c r="R1090" t="inlineStr">
        <is>
          <t>InStock</t>
        </is>
      </c>
      <c r="S1090" t="inlineStr">
        <is>
          <t>undefined</t>
        </is>
      </c>
      <c r="T1090" t="inlineStr">
        <is>
          <t>8029402071256</t>
        </is>
      </c>
    </row>
    <row r="1091" hidden="1" ht="15.75" customHeight="1">
      <c r="A1091" s="2">
        <f>HYPERLINK("https://edmondsonsupply.com/collections/hvac/products/icm-controls-icm492-single-phase-line-voltage-monitor", "https://edmondsonsupply.com/collections/hvac/products/icm-controls-icm492-single-phase-line-voltage-monitor")</f>
        <v/>
      </c>
      <c r="B1091" s="2">
        <f>HYPERLINK("https://edmondsonsupply.com/products/icm-controls-icm492-single-phase-line-voltage-monitor", "https://edmondsonsupply.com/products/icm-controls-icm492-single-phase-line-voltage-monitor")</f>
        <v/>
      </c>
      <c r="C1091" t="inlineStr">
        <is>
          <t>ICM Controls ICM492 Single Phase Line Voltage Monitor</t>
        </is>
      </c>
      <c r="D1091" t="inlineStr">
        <is>
          <t>ICM ICM493 Advanced Single-Phase line Voltage Monitor with a Bank of Surge arresters for Added Protection Against Lightning Strikes. Includes a Built-in 40A contactor. Ideal for Mini-Splits or Other</t>
        </is>
      </c>
      <c r="E1091" s="2">
        <f>HYPERLINK("https://www.amazon.com/ICM-Single-Phase-Protection-contactor-Mini-Splits/dp/B07SZ45HQH/ref=sr_1_12?keywords=ICM+Controls+ICM492+Single+Phase+Line+Voltage+Monitor&amp;qid=1694734589&amp;sr=8-12", "https://www.amazon.com/ICM-Single-Phase-Protection-contactor-Mini-Splits/dp/B07SZ45HQH/ref=sr_1_12?keywords=ICM+Controls+ICM492+Single+Phase+Line+Voltage+Monitor&amp;qid=1694734589&amp;sr=8-12")</f>
        <v/>
      </c>
      <c r="F1091" t="inlineStr">
        <is>
          <t>B07SZ45HQH</t>
        </is>
      </c>
      <c r="G1091">
        <f>_xludf.IMAGE("https://edmondsonsupply.com/cdn/shop/products/photo_3666_medium_19efda5b-a59a-4ff4-8872-2cd0c4aa35aa.png?v=1665085673")</f>
        <v/>
      </c>
      <c r="H1091">
        <f>_xludf.IMAGE("https://m.media-amazon.com/images/I/41b2VVsBxRL._AC_UL320_.jpg")</f>
        <v/>
      </c>
      <c r="K1091" t="inlineStr">
        <is>
          <t>89.99</t>
        </is>
      </c>
      <c r="L1091" t="n">
        <v>304.72</v>
      </c>
      <c r="M1091" s="1" t="inlineStr">
        <is>
          <t>238.62%</t>
        </is>
      </c>
      <c r="N1091" s="1" t="n">
        <v>94.89</v>
      </c>
      <c r="O1091" t="n">
        <v>1</v>
      </c>
      <c r="P1091" t="n">
        <v>1</v>
      </c>
      <c r="R1091" t="inlineStr">
        <is>
          <t>InStock</t>
        </is>
      </c>
      <c r="S1091" t="inlineStr">
        <is>
          <t>94.5</t>
        </is>
      </c>
      <c r="T1091" t="inlineStr">
        <is>
          <t>7842397257944</t>
        </is>
      </c>
    </row>
    <row r="1092" ht="87" customHeight="1">
      <c r="A1092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092" s="2">
        <f>HYPERLINK("https://edmondsonsupply.com/products/klein-tools-646-5-16-5-16-inch-nut-driver-6-inch-hollow-shaft", "https://edmondsonsupply.com/products/klein-tools-646-5-16-5-16-inch-nut-driver-6-inch-hollow-shaft")</f>
        <v/>
      </c>
      <c r="C1092" t="inlineStr">
        <is>
          <t>Klein Tools 646-5/16 5/16-Inch Nut Driver, 6-Inch Hollow Shaft</t>
        </is>
      </c>
      <c r="D1092" t="inlineStr">
        <is>
          <t>Klein Tools 646-5/8-INS 5/8-Inch Insulated Nut Driver with 6-Inch Hollow Shaft and Cushion Grip Handle</t>
        </is>
      </c>
      <c r="E1092" s="2">
        <f>HYPERLINK("https://www.amazon.com/Klein-Tools-646-5-8-INS-Insulated/dp/B000MKH632/ref=sr_1_24?keywords=Klein+Tools+646-5%2F16+5%2F16-Inch+Nut+Driver%2C+6-Inch+Hollow+Shaft&amp;qid=1694734728&amp;sr=8-24", "https://www.amazon.com/Klein-Tools-646-5-8-INS-Insulated/dp/B000MKH632/ref=sr_1_24?keywords=Klein+Tools+646-5%2F16+5%2F16-Inch+Nut+Driver%2C+6-Inch+Hollow+Shaft&amp;qid=1694734728&amp;sr=8-24")</f>
        <v/>
      </c>
      <c r="F1092" t="inlineStr">
        <is>
          <t>B000MKH632</t>
        </is>
      </c>
      <c r="G1092">
        <f>_xlfn.IMAGE("https://edmondsonsupply.com/cdn/shop/products/646-1-2_e1540905-f750-4509-90c5-74ff653e4d83.jpg?v=1587145119")</f>
        <v/>
      </c>
      <c r="H1092">
        <f>_xlfn.IMAGE("https://m.media-amazon.com/images/I/41dKI+dlEDL._AC_UL320_.jpg")</f>
        <v/>
      </c>
      <c r="K1092" t="inlineStr">
        <is>
          <t>7.99</t>
        </is>
      </c>
      <c r="L1092" t="n">
        <v>26.99</v>
      </c>
      <c r="M1092" s="1" t="inlineStr">
        <is>
          <t>237.80%</t>
        </is>
      </c>
      <c r="N1092" s="7" t="n">
        <v>93.55</v>
      </c>
      <c r="O1092" t="n">
        <v>4.8</v>
      </c>
      <c r="P1092" t="n">
        <v>10</v>
      </c>
      <c r="R1092" t="inlineStr">
        <is>
          <t>InStock</t>
        </is>
      </c>
      <c r="S1092" t="inlineStr">
        <is>
          <t>12.1</t>
        </is>
      </c>
      <c r="T1092" t="inlineStr">
        <is>
          <t>4395303272548</t>
        </is>
      </c>
    </row>
    <row r="1093" ht="87" customHeight="1">
      <c r="A1093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093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093" t="inlineStr">
        <is>
          <t>Klein Tools 646-1/4 1/4-Inch Nut Driver with 6-Inch Hollow Shaft</t>
        </is>
      </c>
      <c r="D1093" t="inlineStr">
        <is>
          <t>Klein Tools 646-5/8-INS 5/8-Inch Insulated Nut Driver with 6-Inch Hollow Shaft and Cushion Grip Handle</t>
        </is>
      </c>
      <c r="E1093" s="2">
        <f>HYPERLINK("https://www.amazon.com/Klein-Tools-646-5-8-INS-Insulated/dp/B000MKH632/ref=sr_1_17?keywords=Klein+Tools+646-1%2F4+1%2F4-Inch+Nut+Driver+with+6-Inch+Hollow+Shaft&amp;qid=1694734727&amp;sr=8-17", "https://www.amazon.com/Klein-Tools-646-5-8-INS-Insulated/dp/B000MKH632/ref=sr_1_17?keywords=Klein+Tools+646-1%2F4+1%2F4-Inch+Nut+Driver+with+6-Inch+Hollow+Shaft&amp;qid=1694734727&amp;sr=8-17")</f>
        <v/>
      </c>
      <c r="F1093" t="inlineStr">
        <is>
          <t>B000MKH632</t>
        </is>
      </c>
      <c r="G1093">
        <f>_xlfn.IMAGE("https://edmondsonsupply.com/cdn/shop/products/646-1-2_08d87fa9-eac4-4869-8d3b-bb680d4b1d53.jpg?v=1587150676")</f>
        <v/>
      </c>
      <c r="H1093">
        <f>_xlfn.IMAGE("https://m.media-amazon.com/images/I/41dKI+dlEDL._AC_UL320_.jpg")</f>
        <v/>
      </c>
      <c r="K1093" t="inlineStr">
        <is>
          <t>7.99</t>
        </is>
      </c>
      <c r="L1093" t="n">
        <v>26.99</v>
      </c>
      <c r="M1093" s="1" t="inlineStr">
        <is>
          <t>237.80%</t>
        </is>
      </c>
      <c r="N1093" s="7" t="n">
        <v>93.33</v>
      </c>
      <c r="O1093" t="n">
        <v>4.8</v>
      </c>
      <c r="P1093" t="n">
        <v>10</v>
      </c>
      <c r="R1093" t="inlineStr">
        <is>
          <t>InStock</t>
        </is>
      </c>
      <c r="S1093" t="inlineStr">
        <is>
          <t>12.1</t>
        </is>
      </c>
      <c r="T1093" t="inlineStr">
        <is>
          <t>4439433740388</t>
        </is>
      </c>
    </row>
    <row r="1094" hidden="1" ht="15.75" customHeight="1">
      <c r="A1094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094" s="2">
        <f>HYPERLINK("https://edmondsonsupply.com/products/packard-prmj108-motor-start-capacitor-108-130-mfd-330-vac", "https://edmondsonsupply.com/products/packard-prmj108-motor-start-capacitor-108-130-mfd-330-vac")</f>
        <v/>
      </c>
      <c r="C1094" t="inlineStr">
        <is>
          <t>Packard PRMJ56 Motor Start Capacitor 53-64 MFD 330 VAC</t>
        </is>
      </c>
      <c r="D1094" t="inlineStr">
        <is>
          <t>PTMJ43 - Packard Upgraded Replacement Motor Start Capacitor 43-53 MFD 220-250 Volt VAC</t>
        </is>
      </c>
      <c r="E1094" s="2">
        <f>HYPERLINK("https://www.amazon.com/PTMJ43-Packard-Upgraded-Replacement-Capacitor/dp/B0773XQVXN/ref=sr_1_16?keywords=Packard+PRMJ56+Motor+Start+Capacitor+53-64+MFD+330+VAC&amp;qid=1694734833&amp;sr=8-16", "https://www.amazon.com/PTMJ43-Packard-Upgraded-Replacement-Capacitor/dp/B0773XQVXN/ref=sr_1_16?keywords=Packard+PRMJ56+Motor+Start+Capacitor+53-64+MFD+330+VAC&amp;qid=1694734833&amp;sr=8-16")</f>
        <v/>
      </c>
      <c r="F1094" t="inlineStr">
        <is>
          <t>B0773XQVXN</t>
        </is>
      </c>
      <c r="G1094">
        <f>_xludf.IMAGE("https://edmondsonsupply.com/cdn/shop/products/PRMJ56-2.jpg?v=1633030105")</f>
        <v/>
      </c>
      <c r="H1094">
        <f>_xludf.IMAGE("https://m.media-amazon.com/images/I/41fqQrQgJaL._AC_UY218_.jpg")</f>
        <v/>
      </c>
      <c r="K1094" t="inlineStr">
        <is>
          <t>3.92</t>
        </is>
      </c>
      <c r="L1094" t="n">
        <v>13.24</v>
      </c>
      <c r="M1094" s="1" t="inlineStr">
        <is>
          <t>237.76%</t>
        </is>
      </c>
      <c r="N1094" s="1" t="n">
        <v>93.06</v>
      </c>
      <c r="O1094" t="n">
        <v>4.4</v>
      </c>
      <c r="P1094" t="n">
        <v>10</v>
      </c>
      <c r="R1094" t="inlineStr">
        <is>
          <t>InStock</t>
        </is>
      </c>
      <c r="S1094" t="inlineStr">
        <is>
          <t>undefined</t>
        </is>
      </c>
      <c r="T1094" t="inlineStr">
        <is>
          <t>3575357505636</t>
        </is>
      </c>
    </row>
    <row r="1095" hidden="1" ht="15.75" customHeight="1">
      <c r="A1095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095" s="2">
        <f>HYPERLINK("https://edmondsonsupply.com/products/packard-prmj108-motor-start-capacitor-108-130-mfd-330-vac", "https://edmondsonsupply.com/products/packard-prmj108-motor-start-capacitor-108-130-mfd-330-vac")</f>
        <v/>
      </c>
      <c r="C1095" t="inlineStr">
        <is>
          <t>Packard PRMJ56 Motor Start Capacitor 53-64 MFD 330 VAC</t>
        </is>
      </c>
      <c r="D1095" t="inlineStr">
        <is>
          <t>PTMJ53 - Packard Upgraded Replacement Motor Start Capacitor 53-64 MFD 220-250 Volt VAC</t>
        </is>
      </c>
      <c r="E1095" s="2">
        <f>HYPERLINK("https://www.amazon.com/PTMJ53-Packard-Upgraded-Replacement-Capacitor/dp/B0773W73B5/ref=sr_1_3?keywords=Packard+PRMJ56+Motor+Start+Capacitor+53-64+MFD+330+VAC&amp;qid=1694734833&amp;sr=8-3", "https://www.amazon.com/PTMJ53-Packard-Upgraded-Replacement-Capacitor/dp/B0773W73B5/ref=sr_1_3?keywords=Packard+PRMJ56+Motor+Start+Capacitor+53-64+MFD+330+VAC&amp;qid=1694734833&amp;sr=8-3")</f>
        <v/>
      </c>
      <c r="F1095" t="inlineStr">
        <is>
          <t>B0773W73B5</t>
        </is>
      </c>
      <c r="G1095">
        <f>_xludf.IMAGE("https://edmondsonsupply.com/cdn/shop/products/PRMJ56-2.jpg?v=1633030105")</f>
        <v/>
      </c>
      <c r="H1095">
        <f>_xludf.IMAGE("https://m.media-amazon.com/images/I/41fqQrQgJaL._AC_UY218_.jpg")</f>
        <v/>
      </c>
      <c r="K1095" t="inlineStr">
        <is>
          <t>3.92</t>
        </is>
      </c>
      <c r="L1095" t="n">
        <v>13.24</v>
      </c>
      <c r="M1095" s="1" t="inlineStr">
        <is>
          <t>237.76%</t>
        </is>
      </c>
      <c r="N1095" s="1" t="n">
        <v>92.98999999999999</v>
      </c>
      <c r="O1095" t="n">
        <v>3.7</v>
      </c>
      <c r="P1095" t="n">
        <v>11</v>
      </c>
      <c r="R1095" t="inlineStr">
        <is>
          <t>InStock</t>
        </is>
      </c>
      <c r="S1095" t="inlineStr">
        <is>
          <t>undefined</t>
        </is>
      </c>
      <c r="T1095" t="inlineStr">
        <is>
          <t>3575357505636</t>
        </is>
      </c>
    </row>
    <row r="1096" hidden="1" ht="15.75" customHeight="1">
      <c r="A1096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096" s="2">
        <f>HYPERLINK("https://edmondsonsupply.com/products/packard-prmj108-motor-start-capacitor-108-130-mfd-330-vac", "https://edmondsonsupply.com/products/packard-prmj108-motor-start-capacitor-108-130-mfd-330-vac")</f>
        <v/>
      </c>
      <c r="C1096" t="inlineStr">
        <is>
          <t>Packard PRMJ56 Motor Start Capacitor 53-64 MFD 330 VAC</t>
        </is>
      </c>
      <c r="D1096" t="inlineStr">
        <is>
          <t>PRMJ43 - Packard Upgraded Replacement Motor Start Capacitor 43-53 MFD 330 Volt VAC</t>
        </is>
      </c>
      <c r="E1096" s="2">
        <f>HYPERLINK("https://www.amazon.com/PRMJ43-Packard-Upgraded-Replacement-Capacitor/dp/B0773SJVXK/ref=sr_1_4?keywords=Packard+PRMJ56+Motor+Start+Capacitor+53-64+MFD+330+VAC&amp;qid=1694734833&amp;sr=8-4", "https://www.amazon.com/PRMJ43-Packard-Upgraded-Replacement-Capacitor/dp/B0773SJVXK/ref=sr_1_4?keywords=Packard+PRMJ56+Motor+Start+Capacitor+53-64+MFD+330+VAC&amp;qid=1694734833&amp;sr=8-4")</f>
        <v/>
      </c>
      <c r="F1096" t="inlineStr">
        <is>
          <t>B0773SJVXK</t>
        </is>
      </c>
      <c r="G1096">
        <f>_xludf.IMAGE("https://edmondsonsupply.com/cdn/shop/products/PRMJ56-2.jpg?v=1633030105")</f>
        <v/>
      </c>
      <c r="H1096">
        <f>_xludf.IMAGE("https://m.media-amazon.com/images/I/41fqQrQgJaL._AC_UY218_.jpg")</f>
        <v/>
      </c>
      <c r="K1096" t="inlineStr">
        <is>
          <t>3.92</t>
        </is>
      </c>
      <c r="L1096" t="n">
        <v>13.24</v>
      </c>
      <c r="M1096" s="1" t="inlineStr">
        <is>
          <t>237.76%</t>
        </is>
      </c>
      <c r="N1096" s="1" t="n">
        <v>92.98999999999999</v>
      </c>
      <c r="O1096" t="n">
        <v>5</v>
      </c>
      <c r="P1096" t="n">
        <v>2</v>
      </c>
      <c r="R1096" t="inlineStr">
        <is>
          <t>InStock</t>
        </is>
      </c>
      <c r="S1096" t="inlineStr">
        <is>
          <t>undefined</t>
        </is>
      </c>
      <c r="T1096" t="inlineStr">
        <is>
          <t>3575357505636</t>
        </is>
      </c>
    </row>
    <row r="1097" hidden="1" ht="15.75" customHeight="1">
      <c r="A1097" s="2">
        <f>HYPERLINK("https://edmondsonsupply.com/collections/hvac/products/cambridge-1-2-pvc-liquid-tight-conduit-fitting-90-degree", "https://edmondsonsupply.com/collections/hvac/products/cambridge-1-2-pvc-liquid-tight-conduit-fitting-90-degree")</f>
        <v/>
      </c>
      <c r="B1097" s="2">
        <f>HYPERLINK("https://edmondsonsupply.com/products/cambridge-1-2-pvc-liquid-tight-conduit-fitting-90-degree", "https://edmondsonsupply.com/products/cambridge-1-2-pvc-liquid-tight-conduit-fitting-90-degree")</f>
        <v/>
      </c>
      <c r="C1097" t="inlineStr">
        <is>
          <t>Cambridge 1/2" PVC Liquid Tight Conduit Fitting - 90 Degree</t>
        </is>
      </c>
      <c r="D1097" t="inlineStr">
        <is>
          <t>LifCratms 2Pcs 1/2" NPT Liquid-Tight Connector, 90-Degree Electrical Conduit Connector Fitting Flexible Conduit Fittings</t>
        </is>
      </c>
      <c r="E1097" s="2">
        <f>HYPERLINK("https://www.amazon.com/LifCratms-Liquid-Tight-Connector-90-Degree-Electrical/dp/B0BJJVBYL5/ref=sr_1_1?keywords=Cambridge+1%2F2%22+PVC+Liquid+Tight+Conduit+Fitting+-+90+Degree&amp;qid=1694734857&amp;sr=8-1", "https://www.amazon.com/LifCratms-Liquid-Tight-Connector-90-Degree-Electrical/dp/B0BJJVBYL5/ref=sr_1_1?keywords=Cambridge+1%2F2%22+PVC+Liquid+Tight+Conduit+Fitting+-+90+Degree&amp;qid=1694734857&amp;sr=8-1")</f>
        <v/>
      </c>
      <c r="F1097" t="inlineStr">
        <is>
          <t>B0BJJVBYL5</t>
        </is>
      </c>
      <c r="G1097">
        <f>_xludf.IMAGE("https://edmondsonsupply.com/cdn/shop/files/W14659_01.jpg?v=1692278106")</f>
        <v/>
      </c>
      <c r="H1097">
        <f>_xludf.IMAGE("https://m.media-amazon.com/images/I/61xtyqGMY4L._AC_UL320_.jpg")</f>
        <v/>
      </c>
      <c r="K1097" t="inlineStr">
        <is>
          <t>1.48</t>
        </is>
      </c>
      <c r="L1097" t="n">
        <v>4.99</v>
      </c>
      <c r="M1097" s="1" t="inlineStr">
        <is>
          <t>237.16%</t>
        </is>
      </c>
      <c r="N1097" s="1" t="n">
        <v>92.75</v>
      </c>
      <c r="O1097" t="n">
        <v>4.7</v>
      </c>
      <c r="P1097" t="n">
        <v>4</v>
      </c>
      <c r="R1097" t="inlineStr">
        <is>
          <t>InStock</t>
        </is>
      </c>
      <c r="S1097" t="inlineStr">
        <is>
          <t>undefined</t>
        </is>
      </c>
      <c r="T1097" t="inlineStr">
        <is>
          <t>8028224422104</t>
        </is>
      </c>
    </row>
    <row r="1098" ht="87" customHeight="1">
      <c r="A1098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1098" s="2">
        <f>HYPERLINK("https://edmondsonsupply.com/products/klein-tools-69417-rare-earth-magnetic-meter-hanger", "https://edmondsonsupply.com/products/klein-tools-69417-rare-earth-magnetic-meter-hanger")</f>
        <v/>
      </c>
      <c r="C1098" t="inlineStr">
        <is>
          <t>Klein Tools 69417 Rare Earth Magnetic Meter Hanger, with Strap</t>
        </is>
      </c>
      <c r="D1098" t="inlineStr">
        <is>
          <t>Klein Tools MM450 Multimeter, Slim Digital Meter, Auto-Ranging TRMS, 600V AC/DC Voltage, Current, Resistance, Temp, Frequency, Continuity &amp; 69417 Rare-Earth Magnetic Hanger, with Strap</t>
        </is>
      </c>
      <c r="E1098" s="2">
        <f>HYPERLINK("https://www.amazon.com/Klein-Tools-Multimeter-Auto-Ranging-Resistance/dp/B0CF1LF84V/ref=sr_1_20?keywords=Klein+Tools+69417+Rare+Earth+Magnetic+Meter+Hanger%2C+with+Strap&amp;qid=1694734820&amp;sr=8-20", "https://www.amazon.com/Klein-Tools-Multimeter-Auto-Ranging-Resistance/dp/B0CF1LF84V/ref=sr_1_20?keywords=Klein+Tools+69417+Rare+Earth+Magnetic+Meter+Hanger%2C+with+Strap&amp;qid=1694734820&amp;sr=8-20")</f>
        <v/>
      </c>
      <c r="F1098" t="inlineStr">
        <is>
          <t>B0CF1LF84V</t>
        </is>
      </c>
      <c r="G1098">
        <f>_xlfn.IMAGE("https://edmondsonsupply.com/cdn/shop/products/69417.jpg?v=1587150163")</f>
        <v/>
      </c>
      <c r="H1098">
        <f>_xlfn.IMAGE("https://m.media-amazon.com/images/I/51jBNo1wv+L._AC_UL320_.jpg")</f>
        <v/>
      </c>
      <c r="K1098" t="inlineStr">
        <is>
          <t>13.99</t>
        </is>
      </c>
      <c r="L1098" t="n">
        <v>46.9</v>
      </c>
      <c r="M1098" s="1" t="inlineStr">
        <is>
          <t>235.24%</t>
        </is>
      </c>
      <c r="N1098" s="7" t="n">
        <v>92.62</v>
      </c>
      <c r="O1098" t="n">
        <v>4.7</v>
      </c>
      <c r="P1098" t="n">
        <v>3806</v>
      </c>
      <c r="R1098" t="inlineStr">
        <is>
          <t>InStock</t>
        </is>
      </c>
      <c r="S1098" t="inlineStr">
        <is>
          <t>20.0</t>
        </is>
      </c>
      <c r="T1098" t="inlineStr">
        <is>
          <t>1778073731172</t>
        </is>
      </c>
    </row>
    <row r="1099" ht="87" customHeight="1">
      <c r="A1099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099" s="2">
        <f>HYPERLINK("https://edmondsonsupply.com/products/klein-tools-32907-7-in-1-impact-flip-socket-set-no-handle", "https://edmondsonsupply.com/products/klein-tools-32907-7-in-1-impact-flip-socket-set-no-handle")</f>
        <v/>
      </c>
      <c r="C1099" t="inlineStr">
        <is>
          <t>Klein Tools 32907 7-in-1 Impact Flip Socket Set, No Handle</t>
        </is>
      </c>
      <c r="D1099" t="inlineStr">
        <is>
          <t>Klein Tools 66070 Impact Socket Set, Impact Driver Flip Socket, Five Sockets with 1/4-Inch Hex and 1/2-Inch Square Socket Adapters, 7-Piece</t>
        </is>
      </c>
      <c r="E1099" s="2">
        <f>HYPERLINK("https://www.amazon.com/Klein-Tools-66070-Impact-7-Piece/dp/B0BGZPWNJQ/ref=sr_1_9?keywords=Klein+Tools+32907+7-in-1+Impact+Flip+Socket+Set%2C+No+Handle&amp;qid=1694734636&amp;sr=8-9", "https://www.amazon.com/Klein-Tools-66070-Impact-7-Piece/dp/B0BGZPWNJQ/ref=sr_1_9?keywords=Klein+Tools+32907+7-in-1+Impact+Flip+Socket+Set%2C+No+Handle&amp;qid=1694734636&amp;sr=8-9")</f>
        <v/>
      </c>
      <c r="F1099" t="inlineStr">
        <is>
          <t>B0BGZPWNJQ</t>
        </is>
      </c>
      <c r="G1099">
        <f>_xlfn.IMAGE("https://edmondsonsupply.com/cdn/shop/products/32907_b.jpg?v=1666025282")</f>
        <v/>
      </c>
      <c r="H1099">
        <f>_xlfn.IMAGE("https://m.media-amazon.com/images/I/519cDb-A9oL._AC_UL320_.jpg")</f>
        <v/>
      </c>
      <c r="K1099" t="inlineStr">
        <is>
          <t>19.99</t>
        </is>
      </c>
      <c r="L1099" t="n">
        <v>66.94</v>
      </c>
      <c r="M1099" s="1" t="inlineStr">
        <is>
          <t>234.87%</t>
        </is>
      </c>
      <c r="N1099" s="7" t="n">
        <v>92.55</v>
      </c>
      <c r="O1099" t="n">
        <v>4.8</v>
      </c>
      <c r="P1099" t="n">
        <v>18</v>
      </c>
      <c r="R1099" t="inlineStr">
        <is>
          <t>InStock</t>
        </is>
      </c>
      <c r="S1099" t="inlineStr">
        <is>
          <t>29.18</t>
        </is>
      </c>
      <c r="T1099" t="inlineStr">
        <is>
          <t>7856653009112</t>
        </is>
      </c>
    </row>
    <row r="1100" ht="87" customHeight="1">
      <c r="A1100" s="2">
        <f>HYPERLINK("https://edmondsonsupply.com/collections/hvac/products/mars-73133-3-4-in-clear-pvc-condensate-p-trap", "https://edmondsonsupply.com/collections/hvac/products/mars-73133-3-4-in-clear-pvc-condensate-p-trap")</f>
        <v/>
      </c>
      <c r="B1100" s="2">
        <f>HYPERLINK("https://edmondsonsupply.com/products/mars-73133-3-4-in-clear-pvc-condensate-p-trap", "https://edmondsonsupply.com/products/mars-73133-3-4-in-clear-pvc-condensate-p-trap")</f>
        <v/>
      </c>
      <c r="C1100" t="inlineStr">
        <is>
          <t>Mars 73133 3/4 in. Clear PVC Condensate P-Trap</t>
        </is>
      </c>
      <c r="D1100" t="inlineStr">
        <is>
          <t>3/4 Inch Standard Condensate Trap with Cleaning Brush, PVC U Trap for HVAC Systems, Air Conditioner, Effectively Drains Condensate (1 Pack)</t>
        </is>
      </c>
      <c r="E1100" s="2">
        <f>HYPERLINK("https://www.amazon.com/Standard-Condensate-Cleaning-Conditioner-Effectively/dp/B0BCWPDZ7G/ref=sr_1_6?keywords=Mars+73133+3%2F4+in.+Clear+PVC+Condensate+P-Trap&amp;qid=1694734609&amp;sr=8-6", "https://www.amazon.com/Standard-Condensate-Cleaning-Conditioner-Effectively/dp/B0BCWPDZ7G/ref=sr_1_6?keywords=Mars+73133+3%2F4+in.+Clear+PVC+Condensate+P-Trap&amp;qid=1694734609&amp;sr=8-6")</f>
        <v/>
      </c>
      <c r="F1100" t="inlineStr">
        <is>
          <t>B0BCWPDZ7G</t>
        </is>
      </c>
      <c r="G1100">
        <f>_xlfn.IMAGE("https://edmondsonsupply.com/cdn/shop/products/73133.jpg?v=1633031096")</f>
        <v/>
      </c>
      <c r="H1100">
        <f>_xlfn.IMAGE("https://m.media-amazon.com/images/I/71z2HyRPW7L._AC_UL320_.jpg")</f>
        <v/>
      </c>
      <c r="K1100" t="inlineStr">
        <is>
          <t>4.78</t>
        </is>
      </c>
      <c r="L1100" t="n">
        <v>15.99</v>
      </c>
      <c r="M1100" s="1" t="inlineStr">
        <is>
          <t>234.52%</t>
        </is>
      </c>
      <c r="N1100" s="7" t="n">
        <v>91.67</v>
      </c>
      <c r="O1100" t="n">
        <v>4.8</v>
      </c>
      <c r="P1100" t="n">
        <v>108</v>
      </c>
      <c r="R1100" t="inlineStr">
        <is>
          <t>OutOfStock</t>
        </is>
      </c>
      <c r="S1100" t="inlineStr">
        <is>
          <t>undefined</t>
        </is>
      </c>
      <c r="T1100" t="inlineStr">
        <is>
          <t>6841029787821</t>
        </is>
      </c>
    </row>
    <row r="1101" hidden="1" ht="15.75" customHeight="1">
      <c r="A1101" s="2">
        <f>HYPERLINK("https://edmondsonsupply.com/collections/hvac/products/packard-titan-pro-toc15-motor-run-capacitor-15-mfd-370-volt-oval", "https://edmondsonsupply.com/collections/hvac/products/packard-titan-pro-toc15-motor-run-capacitor-15-mfd-370-volt-oval")</f>
        <v/>
      </c>
      <c r="B1101" s="2">
        <f>HYPERLINK("https://edmondsonsupply.com/products/packard-titan-pro-toc15-motor-run-capacitor-15-mfd-370-volt-oval", "https://edmondsonsupply.com/products/packard-titan-pro-toc15-motor-run-capacitor-15-mfd-370-volt-oval")</f>
        <v/>
      </c>
      <c r="C1101" t="inlineStr">
        <is>
          <t>Packard Titan PRO TOC15 Motor Run Capacitor 15 MFD 370 Volt Oval</t>
        </is>
      </c>
      <c r="D1101" t="inlineStr">
        <is>
          <t>Titan Pro Oval Motor Run Capacitor, 15 Microfarad Rating, 370-440VAC Voltage - TOCF15</t>
        </is>
      </c>
      <c r="E1101" s="2">
        <f>HYPERLINK("https://www.amazon.com/Capacitor-Microfarad-Rating-370-440VAC-Voltage/dp/B08TT47VFY/ref=sr_1_6?keywords=Packard+Titan+PRO+TOC15+Motor+Run+Capacitor+15+MFD+370+Volt+Oval&amp;qid=1694734633&amp;sr=8-6", "https://www.amazon.com/Capacitor-Microfarad-Rating-370-440VAC-Voltage/dp/B08TT47VFY/ref=sr_1_6?keywords=Packard+Titan+PRO+TOC15+Motor+Run+Capacitor+15+MFD+370+Volt+Oval&amp;qid=1694734633&amp;sr=8-6")</f>
        <v/>
      </c>
      <c r="F1101" t="inlineStr">
        <is>
          <t>B08TT47VFY</t>
        </is>
      </c>
      <c r="G1101">
        <f>_xludf.IMAGE("https://edmondsonsupply.com/cdn/shop/products/TOC15-2.jpg?v=1633030141")</f>
        <v/>
      </c>
      <c r="H1101">
        <f>_xludf.IMAGE("https://m.media-amazon.com/images/I/61OqR2WJMrL._AC_UY218_.jpg")</f>
        <v/>
      </c>
      <c r="K1101" t="inlineStr">
        <is>
          <t>3.37</t>
        </is>
      </c>
      <c r="L1101" t="n">
        <v>11.27</v>
      </c>
      <c r="M1101" s="1" t="inlineStr">
        <is>
          <t>234.42%</t>
        </is>
      </c>
      <c r="N1101" s="1" t="n">
        <v>91.45</v>
      </c>
      <c r="O1101" t="n">
        <v>5</v>
      </c>
      <c r="P1101" t="n">
        <v>3</v>
      </c>
      <c r="R1101" t="inlineStr">
        <is>
          <t>InStock</t>
        </is>
      </c>
      <c r="S1101" t="inlineStr">
        <is>
          <t>undefined</t>
        </is>
      </c>
      <c r="T1101" t="inlineStr">
        <is>
          <t>3726734131300</t>
        </is>
      </c>
    </row>
    <row r="1102" hidden="1" ht="15.75" customHeight="1">
      <c r="A1102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102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102" t="inlineStr">
        <is>
          <t>Holyoke Fittings 1055-FHFH 3/4" Garden Hose Thread Fitting - Brass Female Garden Hose to Hose Swivel Adapter</t>
        </is>
      </c>
      <c r="D1102" t="inlineStr">
        <is>
          <t>JOEJET Female to Female Hose Adapter with Swivel-3/4 Inch Brass Garden Hose Adapter for Pressure Washer to Garden Hose-2 Pack Garden Hose Fittings-with 4 Extra Washers and 1 Filter</t>
        </is>
      </c>
      <c r="E1102" s="2">
        <f>HYPERLINK("https://www.amazon.com/JOEJET-Adapter-Swivel-3-Pressure-Fittings/dp/B0BQBJZ3MW/ref=sr_1_26?keywords=Holyoke+Fittings+1055-FHFH+3%2F4%22+Garden+Hose+Thread+Fitting+-+Brass+Female+Garden+Hose+to+Hose+Swivel+Adapter&amp;qid=1694734918&amp;sr=8-26", "https://www.amazon.com/JOEJET-Adapter-Swivel-3-Pressure-Fittings/dp/B0BQBJZ3MW/ref=sr_1_26?keywords=Holyoke+Fittings+1055-FHFH+3%2F4%22+Garden+Hose+Thread+Fitting+-+Brass+Female+Garden+Hose+to+Hose+Swivel+Adapter&amp;qid=1694734918&amp;sr=8-26")</f>
        <v/>
      </c>
      <c r="F1102" t="inlineStr">
        <is>
          <t>B0BQBJZ3MW</t>
        </is>
      </c>
      <c r="G1102">
        <f>_xludf.IMAGE("https://edmondsonsupply.com/cdn/shop/files/1055-FHFH.jpg?v=1686083814")</f>
        <v/>
      </c>
      <c r="H1102">
        <f>_xludf.IMAGE("https://m.media-amazon.com/images/I/81gr7YW3QAL._AC_UL320_.jpg")</f>
        <v/>
      </c>
      <c r="K1102" t="inlineStr">
        <is>
          <t>3.59</t>
        </is>
      </c>
      <c r="L1102" t="n">
        <v>11.99</v>
      </c>
      <c r="M1102" s="1" t="inlineStr">
        <is>
          <t>233.98%</t>
        </is>
      </c>
      <c r="N1102" s="1" t="n">
        <v>91.11</v>
      </c>
      <c r="O1102" t="n">
        <v>4.5</v>
      </c>
      <c r="P1102" t="n">
        <v>45</v>
      </c>
      <c r="R1102" t="inlineStr">
        <is>
          <t>InStock</t>
        </is>
      </c>
      <c r="S1102" t="inlineStr">
        <is>
          <t>5.17</t>
        </is>
      </c>
      <c r="T1102" t="inlineStr">
        <is>
          <t>8002194342104</t>
        </is>
      </c>
    </row>
    <row r="1103" ht="87" customHeight="1">
      <c r="A1103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103" s="2">
        <f>HYPERLINK("https://edmondsonsupply.com/products/klein-tools-11053-klein-kurve%c2%ae-wire-stripper-cutter", "https://edmondsonsupply.com/products/klein-tools-11053-klein-kurve%c2%ae-wire-stripper-cutter")</f>
        <v/>
      </c>
      <c r="C1103" t="inlineStr">
        <is>
          <t>Klein Tools 11053 Klein-Kurve® Wire Stripper/Cutter</t>
        </is>
      </c>
      <c r="D1103" t="inlineStr">
        <is>
          <t>Klein Tools 80043 Heavy Duty Tool Set, Includes Lineman's Side-Cutting Pliers, Diagonal Cutters and Wire Stripper, 3-Piece</t>
        </is>
      </c>
      <c r="E1103" s="2">
        <f>HYPERLINK("https://www.amazon.com/Linemans-Side-Cutting-Klein-Tools-80043/dp/B0977RM5G5/ref=sr_1_32?keywords=Klein+Tools+11053+Klein-Kurve%C2%AE+Wire+Stripper%2FCutter&amp;qid=1694734664&amp;sr=8-32", "https://www.amazon.com/Linemans-Side-Cutting-Klein-Tools-80043/dp/B0977RM5G5/ref=sr_1_32?keywords=Klein+Tools+11053+Klein-Kurve%C2%AE+Wire+Stripper%2FCutter&amp;qid=1694734664&amp;sr=8-32")</f>
        <v/>
      </c>
      <c r="F1103" t="inlineStr">
        <is>
          <t>B0977RM5G5</t>
        </is>
      </c>
      <c r="G1103">
        <f>_xlfn.IMAGE("https://edmondsonsupply.com/cdn/shop/products/11053.jpg?v=1633030511")</f>
        <v/>
      </c>
      <c r="H1103">
        <f>_xlfn.IMAGE("https://m.media-amazon.com/images/I/51t8JGB+SAS._AC_UL320_.jpg")</f>
        <v/>
      </c>
      <c r="K1103" t="inlineStr">
        <is>
          <t>20.97</t>
        </is>
      </c>
      <c r="L1103" t="n">
        <v>69.98999999999999</v>
      </c>
      <c r="M1103" s="1" t="inlineStr">
        <is>
          <t>233.76%</t>
        </is>
      </c>
      <c r="N1103" s="7" t="n">
        <v>91.11</v>
      </c>
      <c r="O1103" t="n">
        <v>4.8</v>
      </c>
      <c r="P1103" t="n">
        <v>1451</v>
      </c>
      <c r="R1103" t="inlineStr">
        <is>
          <t>InStock</t>
        </is>
      </c>
      <c r="S1103" t="inlineStr">
        <is>
          <t>31.76</t>
        </is>
      </c>
      <c r="T1103" t="inlineStr">
        <is>
          <t>5387171299496</t>
        </is>
      </c>
    </row>
    <row r="1104" hidden="1" ht="15.75" customHeight="1">
      <c r="A1104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104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104" t="inlineStr">
        <is>
          <t>Holyoke Fittings 1055-FHFH 3/4" Garden Hose Thread Fitting - Brass Female Garden Hose to Hose Swivel Adapter</t>
        </is>
      </c>
      <c r="D1104" t="inlineStr">
        <is>
          <t>YELUN Solid Brass Garden Hose Fittings Connectors Adapter Heavy Duty Brass Repair Male to Male, Female Faucet Leader Coupler Dual Water Hose Connector (3/4" GHT Double Male Double Female 4 Pcs)</t>
        </is>
      </c>
      <c r="E1104" s="2">
        <f>HYPERLINK("https://www.amazon.com/YELUN-Fittings-Connectors-Adapter-connector/dp/B092HN4RR9/ref=sr_1_19?keywords=Holyoke+Fittings+1055-FHFH+3%2F4%22+Garden+Hose+Thread+Fitting+-+Brass+Female+Garden+Hose+to+Hose+Swivel+Adapter&amp;qid=1694734918&amp;sr=8-19", "https://www.amazon.com/YELUN-Fittings-Connectors-Adapter-connector/dp/B092HN4RR9/ref=sr_1_19?keywords=Holyoke+Fittings+1055-FHFH+3%2F4%22+Garden+Hose+Thread+Fitting+-+Brass+Female+Garden+Hose+to+Hose+Swivel+Adapter&amp;qid=1694734918&amp;sr=8-19")</f>
        <v/>
      </c>
      <c r="F1104" t="inlineStr">
        <is>
          <t>B092HN4RR9</t>
        </is>
      </c>
      <c r="G1104">
        <f>_xludf.IMAGE("https://edmondsonsupply.com/cdn/shop/files/1055-FHFH.jpg?v=1686083814")</f>
        <v/>
      </c>
      <c r="H1104">
        <f>_xludf.IMAGE("https://m.media-amazon.com/images/I/71sg8O6noZL._AC_UL320_.jpg")</f>
        <v/>
      </c>
      <c r="K1104" t="inlineStr">
        <is>
          <t>3.59</t>
        </is>
      </c>
      <c r="L1104" t="n">
        <v>11.98</v>
      </c>
      <c r="M1104" s="1" t="inlineStr">
        <is>
          <t>233.70%</t>
        </is>
      </c>
      <c r="N1104" s="1" t="n">
        <v>90.61</v>
      </c>
      <c r="O1104" t="n">
        <v>4.6</v>
      </c>
      <c r="P1104" t="n">
        <v>461</v>
      </c>
      <c r="R1104" t="inlineStr">
        <is>
          <t>InStock</t>
        </is>
      </c>
      <c r="S1104" t="inlineStr">
        <is>
          <t>5.17</t>
        </is>
      </c>
      <c r="T1104" t="inlineStr">
        <is>
          <t>8002194342104</t>
        </is>
      </c>
    </row>
    <row r="1105" ht="87" customHeight="1">
      <c r="A1105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1105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1105" t="inlineStr">
        <is>
          <t>Klein Tools 60164 Professional Safety Glasses, Full Frame, Gray Lens</t>
        </is>
      </c>
      <c r="D1105" t="inlineStr">
        <is>
          <t>Klein Tools 80055 Safety Glasses Kit, Professional Safety Glasses with Full Frame, Gray Lens and Breakaway Lanyard, 8-Piece</t>
        </is>
      </c>
      <c r="E1105" s="2">
        <f>HYPERLINK("https://www.amazon.com/Klein-80055-Glasses-Professional-Breakaway/dp/B09HR9RV4H/ref=sr_1_2?keywords=Klein+Tools+60164+Professional+Safety+Glasses%2C+Full+Frame%2C+Gray+Lens&amp;qid=1694734778&amp;sr=8-2", "https://www.amazon.com/Klein-80055-Glasses-Professional-Breakaway/dp/B09HR9RV4H/ref=sr_1_2?keywords=Klein+Tools+60164+Professional+Safety+Glasses%2C+Full+Frame%2C+Gray+Lens&amp;qid=1694734778&amp;sr=8-2")</f>
        <v/>
      </c>
      <c r="F1105" t="inlineStr">
        <is>
          <t>B09HR9RV4H</t>
        </is>
      </c>
      <c r="G1105">
        <f>_xlfn.IMAGE("https://edmondsonsupply.com/cdn/shop/products/60164.jpg?v=1633030851")</f>
        <v/>
      </c>
      <c r="H1105">
        <f>_xlfn.IMAGE("https://m.media-amazon.com/images/I/61L5l7dmmiL._AC_UL320_.jpg")</f>
        <v/>
      </c>
      <c r="K1105" t="inlineStr">
        <is>
          <t>14.99</t>
        </is>
      </c>
      <c r="L1105" t="n">
        <v>49.99</v>
      </c>
      <c r="M1105" s="1" t="inlineStr">
        <is>
          <t>233.49%</t>
        </is>
      </c>
      <c r="N1105" s="7" t="n">
        <v>90.61</v>
      </c>
      <c r="O1105" t="n">
        <v>4.5</v>
      </c>
      <c r="P1105" t="n">
        <v>13</v>
      </c>
      <c r="R1105" t="inlineStr">
        <is>
          <t>InStock</t>
        </is>
      </c>
      <c r="S1105" t="inlineStr">
        <is>
          <t>20.98</t>
        </is>
      </c>
      <c r="T1105" t="inlineStr">
        <is>
          <t>6103189520557</t>
        </is>
      </c>
    </row>
    <row r="1106" ht="87" customHeight="1">
      <c r="A1106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1106" s="2">
        <f>HYPERLINK("https://edmondsonsupply.com/products/klein-tools-s8m-1-4-inch-magnetic-nut-driver-3-inch-shank", "https://edmondsonsupply.com/products/klein-tools-s8m-1-4-inch-magnetic-nut-driver-3-inch-shank")</f>
        <v/>
      </c>
      <c r="C1106" t="inlineStr">
        <is>
          <t>Klein Tools S8M 1/4-Inch Magnetic Nut Driver 3-Inch Shank</t>
        </is>
      </c>
      <c r="D1106" t="inlineStr">
        <is>
          <t>Klein Tools 32807MAG 7-in-1 Nut Driver, Magnetic Driver has SAE Hex Nut Sizes 1/4 to 9/16-Inch, Cushion Grip Handle for Added Torque</t>
        </is>
      </c>
      <c r="E1106" s="2">
        <f>HYPERLINK("https://www.amazon.com/Driver-Magnetic-Klein-Tools-32807MAG/dp/B07D4M51DQ/ref=sr_1_20?keywords=Klein+Tools+S8M+1%2F4-Inch+Magnetic+Nut+Driver+3-Inch+Shank&amp;qid=1694734781&amp;sr=8-20", "https://www.amazon.com/Driver-Magnetic-Klein-Tools-32807MAG/dp/B07D4M51DQ/ref=sr_1_20?keywords=Klein+Tools+S8M+1%2F4-Inch+Magnetic+Nut+Driver+3-Inch+Shank&amp;qid=1694734781&amp;sr=8-20")</f>
        <v/>
      </c>
      <c r="F1106" t="inlineStr">
        <is>
          <t>B07D4M51DQ</t>
        </is>
      </c>
      <c r="G1106">
        <f>_xlfn.IMAGE("https://edmondsonsupply.com/cdn/shop/products/s8m.jpg?v=1633030818")</f>
        <v/>
      </c>
      <c r="H1106">
        <f>_xlfn.IMAGE("https://m.media-amazon.com/images/I/61gwAJBzDAL._AC_UL320_.jpg")</f>
        <v/>
      </c>
      <c r="K1106" t="inlineStr">
        <is>
          <t>8.99</t>
        </is>
      </c>
      <c r="L1106" t="n">
        <v>29.97</v>
      </c>
      <c r="M1106" s="1" t="inlineStr">
        <is>
          <t>233.37%</t>
        </is>
      </c>
      <c r="N1106" s="7" t="n">
        <v>90.55</v>
      </c>
      <c r="O1106" t="n">
        <v>4.7</v>
      </c>
      <c r="P1106" t="n">
        <v>9145</v>
      </c>
      <c r="R1106" t="inlineStr">
        <is>
          <t>InStock</t>
        </is>
      </c>
      <c r="S1106" t="inlineStr">
        <is>
          <t>13.62</t>
        </is>
      </c>
      <c r="T1106" t="inlineStr">
        <is>
          <t>6072223957165</t>
        </is>
      </c>
    </row>
    <row r="1107" ht="87" customHeight="1">
      <c r="A1107" s="2">
        <f>HYPERLINK("https://edmondsonsupply.com/collections/hvac/products/kroil-ex161-exrust-rust-remover-16oz-bottle", "https://edmondsonsupply.com/collections/hvac/products/kroil-ex161-exrust-rust-remover-16oz-bottle")</f>
        <v/>
      </c>
      <c r="B1107" s="2">
        <f>HYPERLINK("https://edmondsonsupply.com/products/kroil-ex161-exrust-rust-remover-16oz-bottle", "https://edmondsonsupply.com/products/kroil-ex161-exrust-rust-remover-16oz-bottle")</f>
        <v/>
      </c>
      <c r="C1107" t="inlineStr">
        <is>
          <t>Kroil EX161 Exrust Rust Remover 16oz bottle</t>
        </is>
      </c>
      <c r="D1107" t="inlineStr">
        <is>
          <t>KROIL PENETRANT W Silicone 16.5oz + FLOWAY DEGREASER 13oz + KREEN Gas &amp; Oil Treatment 1qt + EXRUST Rust Remover 16oz "Kroil Engine Clean &amp; Prep" Bundle [4-Pack]</t>
        </is>
      </c>
      <c r="E1107" s="2">
        <f>HYPERLINK("https://www.amazon.com/KROIL-PENETRANT-Silicone-DEGREASER-Treatment/dp/B0BVLLZ81M/ref=sr_1_2?keywords=kroil+ex161+exhaust+rust+remover+16+oz+bottle&amp;qid=1694734905&amp;sr=8-2", "https://www.amazon.com/KROIL-PENETRANT-Silicone-DEGREASER-Treatment/dp/B0BVLLZ81M/ref=sr_1_2?keywords=kroil+ex161+exhaust+rust+remover+16+oz+bottle&amp;qid=1694734905&amp;sr=8-2")</f>
        <v/>
      </c>
      <c r="F1107" t="inlineStr">
        <is>
          <t>B0BVLLZ81M</t>
        </is>
      </c>
      <c r="G1107">
        <f>_xlfn.IMAGE("https://edmondsonsupply.com/cdn/shop/files/EX161.webp?v=1686782019")</f>
        <v/>
      </c>
      <c r="H1107">
        <f>_xlfn.IMAGE("https://m.media-amazon.com/images/I/61Vau-jNJtL._AC_UL320_.jpg")</f>
        <v/>
      </c>
      <c r="K1107" t="inlineStr">
        <is>
          <t>36.03</t>
        </is>
      </c>
      <c r="L1107" t="n">
        <v>119.99</v>
      </c>
      <c r="M1107" s="1" t="inlineStr">
        <is>
          <t>233.03%</t>
        </is>
      </c>
      <c r="N1107" s="7" t="n">
        <v>90.28</v>
      </c>
      <c r="O1107" t="n">
        <v>5</v>
      </c>
      <c r="P1107" t="n">
        <v>1</v>
      </c>
      <c r="R1107" t="inlineStr">
        <is>
          <t>InStock</t>
        </is>
      </c>
      <c r="S1107" t="inlineStr">
        <is>
          <t>undefined</t>
        </is>
      </c>
      <c r="T1107" t="inlineStr">
        <is>
          <t>8005762711768</t>
        </is>
      </c>
    </row>
    <row r="1108" hidden="1" ht="15.75" customHeight="1">
      <c r="A1108" s="2">
        <f>HYPERLINK("https://edmondsonsupply.com/collections/hvac/products/packard-ttmj43-motor-start-capacitor-43-53-mfd-220-250-vac", "https://edmondsonsupply.com/collections/hvac/products/packard-ttmj43-motor-start-capacitor-43-53-mfd-220-250-vac")</f>
        <v/>
      </c>
      <c r="B1108" s="2">
        <f>HYPERLINK("https://edmondsonsupply.com/products/packard-ttmj43-motor-start-capacitor-43-53-mfd-220-250-vac", "https://edmondsonsupply.com/products/packard-ttmj43-motor-start-capacitor-43-53-mfd-220-250-vac")</f>
        <v/>
      </c>
      <c r="C1108" t="inlineStr">
        <is>
          <t>Packard Titan Pro TTMJ43 Motor Start Capacitor 43-53 MFD 220-250 VAC</t>
        </is>
      </c>
      <c r="D1108" t="inlineStr">
        <is>
          <t>PTMJ43 - Packard Upgraded Replacement Motor Start Capacitor 43-53 MFD 220-250 Volt VAC</t>
        </is>
      </c>
      <c r="E1108" s="2">
        <f>HYPERLINK("https://www.amazon.com/PTMJ43-Packard-Upgraded-Replacement-Capacitor/dp/B0773XQVXN/ref=sr_1_2?keywords=Packard+Titan+Pro+TTMJ43+Motor+Start+Capacitor+43-53+MFD+220-250+VAC&amp;qid=1694734849&amp;sr=8-2", "https://www.amazon.com/PTMJ43-Packard-Upgraded-Replacement-Capacitor/dp/B0773XQVXN/ref=sr_1_2?keywords=Packard+Titan+Pro+TTMJ43+Motor+Start+Capacitor+43-53+MFD+220-250+VAC&amp;qid=1694734849&amp;sr=8-2")</f>
        <v/>
      </c>
      <c r="F1108" t="inlineStr">
        <is>
          <t>B0773XQVXN</t>
        </is>
      </c>
      <c r="G1108">
        <f>_xludf.IMAGE("https://edmondsonsupply.com/cdn/shop/files/PTMJ43-2_2fa72fae-ffc6-4e35-829c-09394471590a.jpg?v=1692631169")</f>
        <v/>
      </c>
      <c r="H1108">
        <f>_xludf.IMAGE("https://m.media-amazon.com/images/I/41fqQrQgJaL._AC_UY218_.jpg")</f>
        <v/>
      </c>
      <c r="K1108" t="inlineStr">
        <is>
          <t>3.98</t>
        </is>
      </c>
      <c r="L1108" t="n">
        <v>13.24</v>
      </c>
      <c r="M1108" s="1" t="inlineStr">
        <is>
          <t>232.66%</t>
        </is>
      </c>
      <c r="N1108" s="1" t="n">
        <v>90.09</v>
      </c>
      <c r="O1108" t="n">
        <v>4.4</v>
      </c>
      <c r="P1108" t="n">
        <v>10</v>
      </c>
      <c r="R1108" t="inlineStr">
        <is>
          <t>InStock</t>
        </is>
      </c>
      <c r="S1108" t="inlineStr">
        <is>
          <t>undefined</t>
        </is>
      </c>
      <c r="T1108" t="inlineStr">
        <is>
          <t>8029407346904</t>
        </is>
      </c>
    </row>
    <row r="1109" ht="87" customHeight="1">
      <c r="A1109" s="2">
        <f>HYPERLINK("https://edmondsonsupply.com/collections/hvac/products/mars-73133-3-4-in-clear-pvc-condensate-p-trap", "https://edmondsonsupply.com/collections/hvac/products/mars-73133-3-4-in-clear-pvc-condensate-p-trap")</f>
        <v/>
      </c>
      <c r="B1109" s="2">
        <f>HYPERLINK("https://edmondsonsupply.com/products/mars-73133-3-4-in-clear-pvc-condensate-p-trap", "https://edmondsonsupply.com/products/mars-73133-3-4-in-clear-pvc-condensate-p-trap")</f>
        <v/>
      </c>
      <c r="C1109" t="inlineStr">
        <is>
          <t>Mars 73133 3/4 in. Clear PVC Condensate P-Trap</t>
        </is>
      </c>
      <c r="D1109" t="inlineStr">
        <is>
          <t>DECOAIRCON 3/4 -inch Standard Condensate Trap with Cleaning Brush, PVC U Trap for HVAC Systems, Air Conditioner, Effectively Drains Condensate.</t>
        </is>
      </c>
      <c r="E1109" s="2">
        <f>HYPERLINK("https://www.amazon.com/DECOAIRCON-Condensate-Conditioner-Effectively-Condensate/dp/B0BR6J4GL6/ref=sr_1_3?keywords=Mars+73133+3%2F4+in.+Clear+PVC+Condensate+P-Trap&amp;qid=1694734609&amp;sr=8-3", "https://www.amazon.com/DECOAIRCON-Condensate-Conditioner-Effectively-Condensate/dp/B0BR6J4GL6/ref=sr_1_3?keywords=Mars+73133+3%2F4+in.+Clear+PVC+Condensate+P-Trap&amp;qid=1694734609&amp;sr=8-3")</f>
        <v/>
      </c>
      <c r="F1109" t="inlineStr">
        <is>
          <t>B0BR6J4GL6</t>
        </is>
      </c>
      <c r="G1109">
        <f>_xlfn.IMAGE("https://edmondsonsupply.com/cdn/shop/products/73133.jpg?v=1633031096")</f>
        <v/>
      </c>
      <c r="H1109">
        <f>_xlfn.IMAGE("https://m.media-amazon.com/images/I/615DsAK7vzL._AC_UL320_.jpg")</f>
        <v/>
      </c>
      <c r="K1109" t="inlineStr">
        <is>
          <t>4.78</t>
        </is>
      </c>
      <c r="L1109" t="n">
        <v>15.88</v>
      </c>
      <c r="M1109" s="1" t="inlineStr">
        <is>
          <t>232.22%</t>
        </is>
      </c>
      <c r="N1109" s="7" t="n">
        <v>90.04000000000001</v>
      </c>
      <c r="O1109" t="n">
        <v>4.4</v>
      </c>
      <c r="P1109" t="n">
        <v>32</v>
      </c>
      <c r="R1109" t="inlineStr">
        <is>
          <t>OutOfStock</t>
        </is>
      </c>
      <c r="S1109" t="inlineStr">
        <is>
          <t>undefined</t>
        </is>
      </c>
      <c r="T1109" t="inlineStr">
        <is>
          <t>6841029787821</t>
        </is>
      </c>
    </row>
    <row r="1110" hidden="1" ht="15.75" customHeight="1">
      <c r="A1110" s="2">
        <f>HYPERLINK("https://edmondsonsupply.com/collections/hvac/products/packard-prmj130-motor-start-capacitor-130-158-mfd-330-vac", "https://edmondsonsupply.com/collections/hvac/products/packard-prmj130-motor-start-capacitor-130-158-mfd-330-vac")</f>
        <v/>
      </c>
      <c r="B1110" s="2">
        <f>HYPERLINK("https://edmondsonsupply.com/products/packard-prmj130-motor-start-capacitor-130-158-mfd-330-vac", "https://edmondsonsupply.com/products/packard-prmj130-motor-start-capacitor-130-158-mfd-330-vac")</f>
        <v/>
      </c>
      <c r="C1110" t="inlineStr">
        <is>
          <t>Packard PRMJ130 Motor Start Capacitor 130-158 MFD 330 VAC</t>
        </is>
      </c>
      <c r="D1110" t="inlineStr">
        <is>
          <t>Room Air Conditioner Replacement Parts Packard PRMJ135 Motor Start Capacitor. 135-162 MFD UF / 330 VAC</t>
        </is>
      </c>
      <c r="E1110" s="2">
        <f>HYPERLINK("https://www.amazon.com/Air-Conditioner-Replacement-Parts-Capacitor/dp/B06XBHF333/ref=sr_1_14?keywords=Packard+PRMJ130+Motor+Start+Capacitor+130-158+MFD+330+VAC&amp;qid=1694734803&amp;sr=8-14", "https://www.amazon.com/Air-Conditioner-Replacement-Parts-Capacitor/dp/B06XBHF333/ref=sr_1_14?keywords=Packard+PRMJ130+Motor+Start+Capacitor+130-158+MFD+330+VAC&amp;qid=1694734803&amp;sr=8-14")</f>
        <v/>
      </c>
      <c r="F1110" t="inlineStr">
        <is>
          <t>B06XBHF333</t>
        </is>
      </c>
      <c r="G1110">
        <f>_xludf.IMAGE("https://edmondsonsupply.com/cdn/shop/products/PRMJ130-2.jpg?v=1587144436")</f>
        <v/>
      </c>
      <c r="H1110">
        <f>_xludf.IMAGE("https://m.media-amazon.com/images/I/41sUX4KxC-L._AC_UY218_.jpg")</f>
        <v/>
      </c>
      <c r="K1110" t="inlineStr">
        <is>
          <t>3.9</t>
        </is>
      </c>
      <c r="L1110" t="n">
        <v>12.95</v>
      </c>
      <c r="M1110" s="1" t="inlineStr">
        <is>
          <t>232.05%</t>
        </is>
      </c>
      <c r="N1110" s="1" t="n">
        <v>90.04000000000001</v>
      </c>
      <c r="O1110" t="n">
        <v>5</v>
      </c>
      <c r="P1110" t="n">
        <v>1</v>
      </c>
      <c r="R1110" t="inlineStr">
        <is>
          <t>InStock</t>
        </is>
      </c>
      <c r="S1110" t="inlineStr">
        <is>
          <t>undefined</t>
        </is>
      </c>
      <c r="T1110" t="inlineStr">
        <is>
          <t>4432875946084</t>
        </is>
      </c>
    </row>
    <row r="1111" hidden="1" ht="15.75" customHeight="1">
      <c r="A1111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111" s="2">
        <f>HYPERLINK("https://edmondsonsupply.com/products/packard-prmj108-motor-start-capacitor-108-130-mfd-330-vac", "https://edmondsonsupply.com/products/packard-prmj108-motor-start-capacitor-108-130-mfd-330-vac")</f>
        <v/>
      </c>
      <c r="C1111" t="inlineStr">
        <is>
          <t>Packard PRMJ56 Motor Start Capacitor 53-64 MFD 330 VAC</t>
        </is>
      </c>
      <c r="D1111" t="inlineStr">
        <is>
          <t>PRMJ56 - Packard Upgraded Replacement Motor Start Capacitor 56-64 MFD 330 Volt VAC</t>
        </is>
      </c>
      <c r="E1111" s="2">
        <f>HYPERLINK("https://www.amazon.com/PRMJ56-Packard-Upgraded-Replacement-Capacitor/dp/B0773X1WL8/ref=sr_1_1?keywords=Packard+PRMJ56+Motor+Start+Capacitor+53-64+MFD+330+VAC&amp;qid=1694734833&amp;sr=8-1", "https://www.amazon.com/PRMJ56-Packard-Upgraded-Replacement-Capacitor/dp/B0773X1WL8/ref=sr_1_1?keywords=Packard+PRMJ56+Motor+Start+Capacitor+53-64+MFD+330+VAC&amp;qid=1694734833&amp;sr=8-1")</f>
        <v/>
      </c>
      <c r="F1111" t="inlineStr">
        <is>
          <t>B0773X1WL8</t>
        </is>
      </c>
      <c r="G1111">
        <f>_xludf.IMAGE("https://edmondsonsupply.com/cdn/shop/products/PRMJ56-2.jpg?v=1633030105")</f>
        <v/>
      </c>
      <c r="H1111">
        <f>_xludf.IMAGE("https://m.media-amazon.com/images/I/41fqQrQgJaL._AC_UY218_.jpg")</f>
        <v/>
      </c>
      <c r="K1111" t="inlineStr">
        <is>
          <t>3.92</t>
        </is>
      </c>
      <c r="L1111" t="n">
        <v>12.99</v>
      </c>
      <c r="M1111" s="1" t="inlineStr">
        <is>
          <t>231.38%</t>
        </is>
      </c>
      <c r="N1111" s="1" t="n">
        <v>89.29000000000001</v>
      </c>
      <c r="O1111" t="n">
        <v>5</v>
      </c>
      <c r="P1111" t="n">
        <v>1</v>
      </c>
      <c r="R1111" t="inlineStr">
        <is>
          <t>InStock</t>
        </is>
      </c>
      <c r="S1111" t="inlineStr">
        <is>
          <t>undefined</t>
        </is>
      </c>
      <c r="T1111" t="inlineStr">
        <is>
          <t>3575357505636</t>
        </is>
      </c>
    </row>
    <row r="1112" hidden="1" ht="15.75" customHeight="1">
      <c r="A1112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112" s="2">
        <f>HYPERLINK("https://edmondsonsupply.com/products/packard-pmj216-motor-start-capacitor-216-259-mfd-110-125-vac", "https://edmondsonsupply.com/products/packard-pmj216-motor-start-capacitor-216-259-mfd-110-125-vac")</f>
        <v/>
      </c>
      <c r="C1112" t="inlineStr">
        <is>
          <t>Packard PMJ216 Motor Start Capacitor 216-259 MFD 110-125 VAC</t>
        </is>
      </c>
      <c r="D1112" t="inlineStr">
        <is>
          <t>216-259 uF/MFD 110-125V Round Start Capacitor Replacement Part by Blue Stars - Exact Fit for AC Motor Run or Fan Start and Cool or Heat Pump Air Conditioner - Lot -1</t>
        </is>
      </c>
      <c r="E1112" s="2">
        <f>HYPERLINK("https://www.amazon.com/216-259-110-125V-Round-Capacitor-Replacement/dp/B09TKVMGHC/ref=sr_1_6?keywords=Packard+PMJ216+Motor+Start+Capacitor+216-259+MFD+110-125+VAC&amp;qid=1694734654&amp;sr=8-6", "https://www.amazon.com/216-259-110-125V-Round-Capacitor-Replacement/dp/B09TKVMGHC/ref=sr_1_6?keywords=Packard+PMJ216+Motor+Start+Capacitor+216-259+MFD+110-125+VAC&amp;qid=1694734654&amp;sr=8-6")</f>
        <v/>
      </c>
      <c r="F1112" t="inlineStr">
        <is>
          <t>B09TKVMGHC</t>
        </is>
      </c>
      <c r="G1112">
        <f>_xludf.IMAGE("https://edmondsonsupply.com/cdn/shop/products/PMJ216-2.jpg?v=1633030107")</f>
        <v/>
      </c>
      <c r="H1112">
        <f>_xludf.IMAGE("https://m.media-amazon.com/images/I/81DWu7PELKL._AC_UY218_.jpg")</f>
        <v/>
      </c>
      <c r="K1112" t="inlineStr">
        <is>
          <t>3.63</t>
        </is>
      </c>
      <c r="L1112" t="n">
        <v>11.99</v>
      </c>
      <c r="M1112" s="1" t="inlineStr">
        <is>
          <t>230.30%</t>
        </is>
      </c>
      <c r="N1112" s="1" t="n">
        <v>89.15000000000001</v>
      </c>
      <c r="O1112" t="n">
        <v>4.4</v>
      </c>
      <c r="P1112" t="n">
        <v>36</v>
      </c>
      <c r="R1112" t="inlineStr">
        <is>
          <t>InStock</t>
        </is>
      </c>
      <c r="S1112" t="inlineStr">
        <is>
          <t>undefined</t>
        </is>
      </c>
      <c r="T1112" t="inlineStr">
        <is>
          <t>3600549642340</t>
        </is>
      </c>
    </row>
    <row r="1113" hidden="1" ht="15.75" customHeight="1">
      <c r="A1113" s="2">
        <f>HYPERLINK("https://edmondsonsupply.com/collections/hvac/products/packard-titan-pro-toc15-motor-run-capacitor-15-mfd-370-volt-oval", "https://edmondsonsupply.com/collections/hvac/products/packard-titan-pro-toc15-motor-run-capacitor-15-mfd-370-volt-oval")</f>
        <v/>
      </c>
      <c r="B1113" s="2">
        <f>HYPERLINK("https://edmondsonsupply.com/products/packard-titan-pro-toc15-motor-run-capacitor-15-mfd-370-volt-oval", "https://edmondsonsupply.com/products/packard-titan-pro-toc15-motor-run-capacitor-15-mfd-370-volt-oval")</f>
        <v/>
      </c>
      <c r="C1113" t="inlineStr">
        <is>
          <t>Packard Titan PRO TOC15 Motor Run Capacitor 15 MFD 370 Volt Oval</t>
        </is>
      </c>
      <c r="D1113" t="inlineStr">
        <is>
          <t>Packard Titan Pro 370 Motor Run Capacitor, Oval, 15 Mfd, 370 Volt, 15-370, TOC15</t>
        </is>
      </c>
      <c r="E1113" s="2">
        <f>HYPERLINK("https://www.amazon.com/Packard-Titan-Motor-Capacitor-15-370/dp/B07F79HNQ7/ref=sr_1_1?keywords=Packard+Titan+PRO+TOC15+Motor+Run+Capacitor+15+MFD+370+Volt+Oval&amp;qid=1694734633&amp;sr=8-1", "https://www.amazon.com/Packard-Titan-Motor-Capacitor-15-370/dp/B07F79HNQ7/ref=sr_1_1?keywords=Packard+Titan+PRO+TOC15+Motor+Run+Capacitor+15+MFD+370+Volt+Oval&amp;qid=1694734633&amp;sr=8-1")</f>
        <v/>
      </c>
      <c r="F1113" t="inlineStr">
        <is>
          <t>B07F79HNQ7</t>
        </is>
      </c>
      <c r="G1113">
        <f>_xludf.IMAGE("https://edmondsonsupply.com/cdn/shop/products/TOC15-2.jpg?v=1633030141")</f>
        <v/>
      </c>
      <c r="H1113">
        <f>_xludf.IMAGE("https://m.media-amazon.com/images/I/61p+cdqLa1L._AC_UY218_.jpg")</f>
        <v/>
      </c>
      <c r="K1113" t="inlineStr">
        <is>
          <t>3.37</t>
        </is>
      </c>
      <c r="L1113" t="n">
        <v>10.99</v>
      </c>
      <c r="M1113" s="1" t="inlineStr">
        <is>
          <t>226.11%</t>
        </is>
      </c>
      <c r="N1113" s="1" t="n">
        <v>88.91</v>
      </c>
      <c r="O1113" t="n">
        <v>4.7</v>
      </c>
      <c r="P1113" t="n">
        <v>33</v>
      </c>
      <c r="R1113" t="inlineStr">
        <is>
          <t>InStock</t>
        </is>
      </c>
      <c r="S1113" t="inlineStr">
        <is>
          <t>undefined</t>
        </is>
      </c>
      <c r="T1113" t="inlineStr">
        <is>
          <t>3726734131300</t>
        </is>
      </c>
    </row>
    <row r="1114" ht="87" customHeight="1">
      <c r="A1114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114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114" t="inlineStr">
        <is>
          <t>Klein Tools JTH4E11 3/16-Inch Hex Key with Journeyman T-Handle, 4-Inch</t>
        </is>
      </c>
      <c r="D1114" t="inlineStr">
        <is>
          <t>Klein Tools JTH9M8 8 mm Hex Key with Journeyman T-Handle, 9-Inch</t>
        </is>
      </c>
      <c r="E1114" s="2">
        <f>HYPERLINK("https://www.amazon.com/Journeyman-T-Handle-Klein-Tools-JTH9M8/dp/B005G3HJSC/ref=sr_1_13?keywords=Klein+Tools+JTH4E11+3%2F16-Inch+Hex+Key+with+Journeyman+T-Handle%2C+4-Inch&amp;qid=1694734725&amp;sr=8-13", "https://www.amazon.com/Journeyman-T-Handle-Klein-Tools-JTH9M8/dp/B005G3HJSC/ref=sr_1_13?keywords=Klein+Tools+JTH4E11+3%2F16-Inch+Hex+Key+with+Journeyman+T-Handle%2C+4-Inch&amp;qid=1694734725&amp;sr=8-13")</f>
        <v/>
      </c>
      <c r="F1114" t="inlineStr">
        <is>
          <t>B005G3HJSC</t>
        </is>
      </c>
      <c r="G1114">
        <f>_xlfn.IMAGE("https://edmondsonsupply.com/cdn/shop/products/jth4e17.jpg?v=1587144836")</f>
        <v/>
      </c>
      <c r="H1114">
        <f>_xlfn.IMAGE("https://m.media-amazon.com/images/I/51+1x0vz9XL._AC_UL320_.jpg")</f>
        <v/>
      </c>
      <c r="K1114" t="inlineStr">
        <is>
          <t>4.99</t>
        </is>
      </c>
      <c r="L1114" t="n">
        <v>16.27</v>
      </c>
      <c r="M1114" s="1" t="inlineStr">
        <is>
          <t>226.05%</t>
        </is>
      </c>
      <c r="N1114" s="7" t="n">
        <v>88.91</v>
      </c>
      <c r="O1114" t="n">
        <v>5</v>
      </c>
      <c r="P1114" t="n">
        <v>4</v>
      </c>
      <c r="R1114" t="inlineStr">
        <is>
          <t>InStock</t>
        </is>
      </c>
      <c r="S1114" t="inlineStr">
        <is>
          <t>7.6</t>
        </is>
      </c>
      <c r="T1114" t="inlineStr">
        <is>
          <t>4432217964644</t>
        </is>
      </c>
    </row>
    <row r="1115" ht="87" customHeight="1">
      <c r="A1115" s="2">
        <f>HYPERLINK("https://edmondsonsupply.com/collections/hvac/products/klein-tools-et05-digital-pocket-thermometer", "https://edmondsonsupply.com/collections/hvac/products/klein-tools-et05-digital-pocket-thermometer")</f>
        <v/>
      </c>
      <c r="B1115" s="2">
        <f>HYPERLINK("https://edmondsonsupply.com/products/klein-tools-et05-digital-pocket-thermometer", "https://edmondsonsupply.com/products/klein-tools-et05-digital-pocket-thermometer")</f>
        <v/>
      </c>
      <c r="C1115" t="inlineStr">
        <is>
          <t>Klein Tools ET05 Digital Pocket Thermometer</t>
        </is>
      </c>
      <c r="D1115" t="inlineStr">
        <is>
          <t>Klein Tools IR07 Dual Infrared (IR) and Probe Pocket Size LCD Digital Thermometer</t>
        </is>
      </c>
      <c r="E1115" s="2">
        <f>HYPERLINK("https://www.amazon.com/Klein-Tools-IR07-Infrared-Thermometer/dp/B07P9WM69C/ref=sr_1_5?keywords=Klein+Tools+ET05+Digital+Pocket+Thermometer&amp;qid=1694734826&amp;sr=8-5", "https://www.amazon.com/Klein-Tools-IR07-Infrared-Thermometer/dp/B07P9WM69C/ref=sr_1_5?keywords=Klein+Tools+ET05+Digital+Pocket+Thermometer&amp;qid=1694734826&amp;sr=8-5")</f>
        <v/>
      </c>
      <c r="F1115" t="inlineStr">
        <is>
          <t>B07P9WM69C</t>
        </is>
      </c>
      <c r="G1115">
        <f>_xlfn.IMAGE("https://edmondsonsupply.com/cdn/shop/products/et05.jpg?v=1587144900")</f>
        <v/>
      </c>
      <c r="H1115">
        <f>_xlfn.IMAGE("https://m.media-amazon.com/images/I/51JBUtWpWuS._AC_UY218_.jpg")</f>
        <v/>
      </c>
      <c r="K1115" t="inlineStr">
        <is>
          <t>15.97</t>
        </is>
      </c>
      <c r="L1115" t="n">
        <v>51.97</v>
      </c>
      <c r="M1115" s="1" t="inlineStr">
        <is>
          <t>225.42%</t>
        </is>
      </c>
      <c r="N1115" s="7" t="n">
        <v>88.79000000000001</v>
      </c>
      <c r="O1115" t="n">
        <v>4.7</v>
      </c>
      <c r="P1115" t="n">
        <v>777</v>
      </c>
      <c r="R1115" t="inlineStr">
        <is>
          <t>InStock</t>
        </is>
      </c>
      <c r="S1115" t="inlineStr">
        <is>
          <t>25.18</t>
        </is>
      </c>
      <c r="T1115" t="inlineStr">
        <is>
          <t>4300015763556</t>
        </is>
      </c>
    </row>
    <row r="1116" ht="87" customHeight="1">
      <c r="A1116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116" s="2">
        <f>HYPERLINK("https://edmondsonsupply.com/products/klein-tools-11046-wire-stripper-cutter-16-26-awg-stranded", "https://edmondsonsupply.com/products/klein-tools-11046-wire-stripper-cutter-16-26-awg-stranded")</f>
        <v/>
      </c>
      <c r="C1116" t="inlineStr">
        <is>
          <t>Klein Tools 11046 Wire Stripper/Cutter 16-26 AWG Stranded</t>
        </is>
      </c>
      <c r="D1116" t="inlineStr">
        <is>
          <t>Klein Tools 11063W Wire Cutter/Wire Stripper, Heavy Duty Wire Stripper Tool &amp; 11061 Wire Stripper/Wire Cutter for Solid and Stranded AWG Wire, Heavy Duty Kleins are Self Adjusting</t>
        </is>
      </c>
      <c r="E1116" s="2">
        <f>HYPERLINK("https://www.amazon.com/Klein-Tools-Stripper-Stranded-Adjusting/dp/B08ZPWWTN2/ref=sr_1_36?keywords=Klein+Tools+11046+Wire+Stripper%2FCutter+16-26+AWG+Stranded&amp;qid=1694734810&amp;sr=8-36", "https://www.amazon.com/Klein-Tools-Stripper-Stranded-Adjusting/dp/B08ZPWWTN2/ref=sr_1_36?keywords=Klein+Tools+11046+Wire+Stripper%2FCutter+16-26+AWG+Stranded&amp;qid=1694734810&amp;sr=8-36")</f>
        <v/>
      </c>
      <c r="F1116" t="inlineStr">
        <is>
          <t>B08ZPWWTN2</t>
        </is>
      </c>
      <c r="G1116">
        <f>_xlfn.IMAGE("https://edmondsonsupply.com/cdn/shop/products/11046.jpg?v=1587147965")</f>
        <v/>
      </c>
      <c r="H1116">
        <f>_xlfn.IMAGE("https://m.media-amazon.com/images/I/41+WzGiz14L._AC_UL320_.jpg")</f>
        <v/>
      </c>
      <c r="K1116" t="inlineStr">
        <is>
          <t>15.97</t>
        </is>
      </c>
      <c r="L1116" t="n">
        <v>51.94</v>
      </c>
      <c r="M1116" s="1" t="inlineStr">
        <is>
          <t>225.23%</t>
        </is>
      </c>
      <c r="N1116" s="7" t="n">
        <v>88.36</v>
      </c>
      <c r="O1116" t="n">
        <v>4.8</v>
      </c>
      <c r="P1116" t="n">
        <v>84</v>
      </c>
      <c r="R1116" t="inlineStr">
        <is>
          <t>InStock</t>
        </is>
      </c>
      <c r="S1116" t="inlineStr">
        <is>
          <t>23.56</t>
        </is>
      </c>
      <c r="T1116" t="inlineStr">
        <is>
          <t>3688603910244</t>
        </is>
      </c>
    </row>
    <row r="1117" hidden="1" ht="15.75" customHeight="1">
      <c r="A1117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1117" s="2">
        <f>HYPERLINK("https://edmondsonsupply.com/products/packard-pmj88-motor-start-capacitor-88-108-mfd-110-125-vac", "https://edmondsonsupply.com/products/packard-pmj88-motor-start-capacitor-88-108-mfd-110-125-vac")</f>
        <v/>
      </c>
      <c r="C1117" t="inlineStr">
        <is>
          <t>Packard PMJ88 Motor Start Capacitor 88-108 MFD 110-125 VAC</t>
        </is>
      </c>
      <c r="D1117" t="inlineStr">
        <is>
          <t>11009 - Mars OEM Replacement Motor Start Capacitor 110-125 Volt 88-108 MFD</t>
        </is>
      </c>
      <c r="E1117" s="2">
        <f>HYPERLINK("https://www.amazon.com/11009-Replacement-Capacitor-110-125-88-108/dp/B00IWV20P2/ref=sr_1_16?keywords=Packard+PMJ88+Motor+Start+Capacitor+88-108+MFD+110-125+VAC&amp;qid=1694734709&amp;sr=8-16", "https://www.amazon.com/11009-Replacement-Capacitor-110-125-88-108/dp/B00IWV20P2/ref=sr_1_16?keywords=Packard+PMJ88+Motor+Start+Capacitor+88-108+MFD+110-125+VAC&amp;qid=1694734709&amp;sr=8-16")</f>
        <v/>
      </c>
      <c r="F1117" t="inlineStr">
        <is>
          <t>B00IWV20P2</t>
        </is>
      </c>
      <c r="G1117">
        <f>_xludf.IMAGE("https://edmondsonsupply.com/cdn/shop/products/PMJ88-2.jpg?v=1633030893")</f>
        <v/>
      </c>
      <c r="H1117">
        <f>_xludf.IMAGE("https://m.media-amazon.com/images/I/41dwGWBBUpL._AC_UY218_.jpg")</f>
        <v/>
      </c>
      <c r="K1117" t="inlineStr">
        <is>
          <t>3.1</t>
        </is>
      </c>
      <c r="L1117" t="n">
        <v>10.06</v>
      </c>
      <c r="M1117" s="1" t="inlineStr">
        <is>
          <t>224.52%</t>
        </is>
      </c>
      <c r="N1117" s="1" t="n">
        <v>87.84999999999999</v>
      </c>
      <c r="O1117" t="n">
        <v>4.7</v>
      </c>
      <c r="P1117" t="n">
        <v>2</v>
      </c>
      <c r="R1117" t="inlineStr">
        <is>
          <t>InStock</t>
        </is>
      </c>
      <c r="S1117" t="inlineStr">
        <is>
          <t>undefined</t>
        </is>
      </c>
      <c r="T1117" t="inlineStr">
        <is>
          <t>6224638771373</t>
        </is>
      </c>
    </row>
    <row r="1118" ht="87" customHeight="1">
      <c r="A1118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118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118" t="inlineStr">
        <is>
          <t>Yellow Jacket 25002 9" FLEXFLOW™ 1/4" Adaper Hose with Ball Valve - Yellow</t>
        </is>
      </c>
      <c r="D1118" t="inlineStr">
        <is>
          <t>Yellow Jacket 29993 Plus II 1/4" Hose with Compact Ball Valve, 36" (Pack of 3)</t>
        </is>
      </c>
      <c r="E1118" s="2">
        <f>HYPERLINK("https://www.amazon.com/Yellow-Jacket-29993-Compact-Valve/dp/B009AXDOEM/ref=sr_1_10?keywords=Yellow+Jacket+25002+9%22+FLEXFLOW%E2%84%A2+1%2F4%22+Adaper+Hose+with+Ball+Valve+-+Yellow&amp;qid=1694734728&amp;sr=8-10", "https://www.amazon.com/Yellow-Jacket-29993-Compact-Valve/dp/B009AXDOEM/ref=sr_1_10?keywords=Yellow+Jacket+25002+9%22+FLEXFLOW%E2%84%A2+1%2F4%22+Adaper+Hose+with+Ball+Valve+-+Yellow&amp;qid=1694734728&amp;sr=8-10")</f>
        <v/>
      </c>
      <c r="F1118" t="inlineStr">
        <is>
          <t>B009AXDOEM</t>
        </is>
      </c>
      <c r="G1118">
        <f>_xlfn.IMAGE("https://edmondsonsupply.com/cdn/shop/products/Yellow_Jacket_25002.jpg?v=1587150917")</f>
        <v/>
      </c>
      <c r="H1118">
        <f>_xlfn.IMAGE("https://m.media-amazon.com/images/I/81y+CVHF5eL._AC_UL320_.jpg")</f>
        <v/>
      </c>
      <c r="K1118" t="inlineStr">
        <is>
          <t>35.54</t>
        </is>
      </c>
      <c r="L1118" t="n">
        <v>115.23</v>
      </c>
      <c r="M1118" s="1" t="inlineStr">
        <is>
          <t>224.23%</t>
        </is>
      </c>
      <c r="N1118" s="7" t="n">
        <v>87.79000000000001</v>
      </c>
      <c r="O1118" t="n">
        <v>4.3</v>
      </c>
      <c r="P1118" t="n">
        <v>3</v>
      </c>
      <c r="R1118" t="inlineStr">
        <is>
          <t>InStock</t>
        </is>
      </c>
      <c r="S1118" t="inlineStr">
        <is>
          <t>undefined</t>
        </is>
      </c>
      <c r="T1118" t="inlineStr">
        <is>
          <t>2633213739108</t>
        </is>
      </c>
    </row>
    <row r="1119" ht="87" customHeight="1">
      <c r="A1119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119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119" t="inlineStr">
        <is>
          <t>Diablo Tools DMAPL4250 3/4 in. x 8 in. x 10 in. Rebar Demon™ SDS-Plus 4-Cutter Full Carbide Head Hammer Drill Bit</t>
        </is>
      </c>
      <c r="D1119" t="inlineStr">
        <is>
          <t>Diablo DMAMX1110 5/8 in. x 24 in. x 29 in. Rebar Demon™ SDS-Max 4-Cutter Full Carbide Head Hammer Bit</t>
        </is>
      </c>
      <c r="E1119" s="2">
        <f>HYPERLINK("https://www.amazon.com/Diablo-SDS-Max-4-Cutter-Carbide-Hammer/dp/B089LJ9GHW/ref=sr_1_28?keywords=Diablo+Tools+DMAPL4250+3%2F4+in.+x+8+in.+x+10+in.+Rebar+Demon%E2%84%A2+SDS-Plus+4-Cutter+Full+Carbide+Head+Hammer+Drill+Bit&amp;qid=1694734913&amp;sr=8-28", "https://www.amazon.com/Diablo-SDS-Max-4-Cutter-Carbide-Hammer/dp/B089LJ9GHW/ref=sr_1_28?keywords=Diablo+Tools+DMAPL4250+3%2F4+in.+x+8+in.+x+10+in.+Rebar+Demon%E2%84%A2+SDS-Plus+4-Cutter+Full+Carbide+Head+Hammer+Drill+Bit&amp;qid=1694734913&amp;sr=8-28")</f>
        <v/>
      </c>
      <c r="F1119" t="inlineStr">
        <is>
          <t>B089LJ9GHW</t>
        </is>
      </c>
      <c r="G1119">
        <f>_xlfn.IMAGE("https://edmondsonsupply.com/cdn/shop/files/rltcbi253wmfv6otmtz6.webp?v=1686576913")</f>
        <v/>
      </c>
      <c r="H1119">
        <f>_xlfn.IMAGE("https://m.media-amazon.com/images/I/61vWAd-z8eL._AC_UL320_.jpg")</f>
        <v/>
      </c>
      <c r="K1119" t="inlineStr">
        <is>
          <t>24.47</t>
        </is>
      </c>
      <c r="L1119" t="n">
        <v>78.98999999999999</v>
      </c>
      <c r="M1119" s="1" t="inlineStr">
        <is>
          <t>222.80%</t>
        </is>
      </c>
      <c r="N1119" s="7" t="n">
        <v>87.66</v>
      </c>
      <c r="O1119" t="n">
        <v>4.7</v>
      </c>
      <c r="P1119" t="n">
        <v>4</v>
      </c>
      <c r="R1119" t="inlineStr">
        <is>
          <t>InStock</t>
        </is>
      </c>
      <c r="S1119" t="inlineStr">
        <is>
          <t>38.21</t>
        </is>
      </c>
      <c r="T1119" t="inlineStr">
        <is>
          <t>8004486168792</t>
        </is>
      </c>
    </row>
    <row r="1120" ht="87" customHeight="1">
      <c r="A1120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1120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1120" t="inlineStr">
        <is>
          <t>ICM Controls ICM2813 Furnace Control Board - Replacement for Lennox</t>
        </is>
      </c>
      <c r="D1120" t="inlineStr">
        <is>
          <t>63K2401-Lennox ICM Replacement Furnace Control Board</t>
        </is>
      </c>
      <c r="E1120" s="2">
        <f>HYPERLINK("https://www.amazon.com/63K2401-Lennox-ICM-Replacement-Furnace-Control/dp/B00G03B7AS/ref=sr_1_2?keywords=ICM+Controls+ICM2813+Furnace+Control+Board+-+Replacement+for+Lennox&amp;qid=1694734575&amp;sr=8-2", "https://www.amazon.com/63K2401-Lennox-ICM-Replacement-Furnace-Control/dp/B00G03B7AS/ref=sr_1_2?keywords=ICM+Controls+ICM2813+Furnace+Control+Board+-+Replacement+for+Lennox&amp;qid=1694734575&amp;sr=8-2")</f>
        <v/>
      </c>
      <c r="F1120" t="inlineStr">
        <is>
          <t>B00G03B7AS</t>
        </is>
      </c>
      <c r="G1120">
        <f>_xlfn.IMAGE("https://edmondsonsupply.com/cdn/shop/products/ICM2813.jpg?v=1666552363")</f>
        <v/>
      </c>
      <c r="H1120">
        <f>_xlfn.IMAGE("https://m.media-amazon.com/images/I/51a6vZwTLyL._AC_UL320_.jpg")</f>
        <v/>
      </c>
      <c r="K1120" t="inlineStr">
        <is>
          <t>99.99</t>
        </is>
      </c>
      <c r="L1120" t="n">
        <v>321.95</v>
      </c>
      <c r="M1120" s="1" t="inlineStr">
        <is>
          <t>221.98%</t>
        </is>
      </c>
      <c r="N1120" s="7" t="n">
        <v>87.66</v>
      </c>
      <c r="O1120" t="n">
        <v>5</v>
      </c>
      <c r="P1120" t="n">
        <v>1</v>
      </c>
      <c r="R1120" t="inlineStr">
        <is>
          <t>InStock</t>
        </is>
      </c>
      <c r="S1120" t="inlineStr">
        <is>
          <t>111.21</t>
        </is>
      </c>
      <c r="T1120" t="inlineStr">
        <is>
          <t>7864012341464</t>
        </is>
      </c>
    </row>
    <row r="1121" ht="87" customHeight="1">
      <c r="A1121" s="2">
        <f>HYPERLINK("https://edmondsonsupply.com/collections/hvac/products/klein-tools-et10-magnetic-digital-pocket-thermometer", "https://edmondsonsupply.com/collections/hvac/products/klein-tools-et10-magnetic-digital-pocket-thermometer")</f>
        <v/>
      </c>
      <c r="B1121" s="2">
        <f>HYPERLINK("https://edmondsonsupply.com/products/klein-tools-et10-magnetic-digital-pocket-thermometer", "https://edmondsonsupply.com/products/klein-tools-et10-magnetic-digital-pocket-thermometer")</f>
        <v/>
      </c>
      <c r="C1121" t="inlineStr">
        <is>
          <t>Klein Tools ET10 Magnetic Digital Pocket Thermometer</t>
        </is>
      </c>
      <c r="D1121" t="inlineStr">
        <is>
          <t>Klein Tools IR07 Dual Infrared (IR) and Probe Pocket Size LCD Digital Thermometer &amp; ET10 Magnetic Digital Pocket Thermometer</t>
        </is>
      </c>
      <c r="E1121" s="2">
        <f>HYPERLINK("https://www.amazon.com/Klein-Tools-Infrared-Thermometer-Magnetic/dp/B0BD3SYSCZ/ref=sr_1_2?keywords=Klein+Tools+ET10+Magnetic+Digital+Pocket+Thermometer&amp;qid=1694734726&amp;sr=8-2", "https://www.amazon.com/Klein-Tools-Infrared-Thermometer-Magnetic/dp/B0BD3SYSCZ/ref=sr_1_2?keywords=Klein+Tools+ET10+Magnetic+Digital+Pocket+Thermometer&amp;qid=1694734726&amp;sr=8-2")</f>
        <v/>
      </c>
      <c r="F1121" t="inlineStr">
        <is>
          <t>B0BD3SYSCZ</t>
        </is>
      </c>
      <c r="G1121">
        <f>_xlfn.IMAGE("https://edmondsonsupply.com/cdn/shop/products/et10.jpg?v=1587142916")</f>
        <v/>
      </c>
      <c r="H1121">
        <f>_xlfn.IMAGE("https://m.media-amazon.com/images/I/41ps9o9q35L._AC_UY218_.jpg")</f>
        <v/>
      </c>
      <c r="K1121" t="inlineStr">
        <is>
          <t>22.99</t>
        </is>
      </c>
      <c r="L1121" t="n">
        <v>73.95999999999999</v>
      </c>
      <c r="M1121" s="1" t="inlineStr">
        <is>
          <t>221.71%</t>
        </is>
      </c>
      <c r="N1121" s="7" t="n">
        <v>87.66</v>
      </c>
      <c r="O1121" t="n">
        <v>5</v>
      </c>
      <c r="P1121" t="n">
        <v>2</v>
      </c>
      <c r="R1121" t="inlineStr">
        <is>
          <t>InStock</t>
        </is>
      </c>
      <c r="S1121" t="inlineStr">
        <is>
          <t>34.08</t>
        </is>
      </c>
      <c r="T1121" t="inlineStr">
        <is>
          <t>3690025943140</t>
        </is>
      </c>
    </row>
    <row r="1122" ht="87" customHeight="1">
      <c r="A1122" s="2">
        <f>HYPERLINK("https://edmondsonsupply.com/collections/hvac/products/packard-trcfd255-titan-pro-run-capacitor-25-5-mfd-440-370-volt-round", "https://edmondsonsupply.com/collections/hvac/products/packard-trcfd255-titan-pro-run-capacitor-25-5-mfd-440-370-volt-round")</f>
        <v/>
      </c>
      <c r="B1122" s="2">
        <f>HYPERLINK("https://edmondsonsupply.com/products/packard-trcfd255-titan-pro-run-capacitor-25-5-mfd-440-370-volt-round", "https://edmondsonsupply.com/products/packard-trcfd255-titan-pro-run-capacitor-25-5-mfd-440-370-volt-round")</f>
        <v/>
      </c>
      <c r="C1122" t="inlineStr">
        <is>
          <t>Packard TRCFD255 Titan PRO Run Capacitor 25+5 MFD 440/370 Volt, Round</t>
        </is>
      </c>
      <c r="D1122" t="inlineStr">
        <is>
          <t>Titan Pro Round Motor Dual Run Capacitor, 25/5 Microfarad Rating, 370-440VAC Voltage - TRCFD255- Pack of 2</t>
        </is>
      </c>
      <c r="E1122" s="2">
        <f>HYPERLINK("https://www.amazon.com/Capacitor-Microfarad-Rating-370-440VAC-Voltage/dp/B07L55T4PQ/ref=sr_1_2?keywords=Packard+TRCFD255+Titan+PRO+Run+Capacitor+25%2B5+MFD+440%2F370+Volt%2C+Round&amp;qid=1694734735&amp;sr=8-2", "https://www.amazon.com/Capacitor-Microfarad-Rating-370-440VAC-Voltage/dp/B07L55T4PQ/ref=sr_1_2?keywords=Packard+TRCFD255+Titan+PRO+Run+Capacitor+25%2B5+MFD+440%2F370+Volt%2C+Round&amp;qid=1694734735&amp;sr=8-2")</f>
        <v/>
      </c>
      <c r="F1122" t="inlineStr">
        <is>
          <t>B07L55T4PQ</t>
        </is>
      </c>
      <c r="G1122">
        <f>_xlfn.IMAGE("https://edmondsonsupply.com/cdn/shop/products/TRCFD255-2.jpg?v=1587142300")</f>
        <v/>
      </c>
      <c r="H1122">
        <f>_xlfn.IMAGE("https://m.media-amazon.com/images/I/61ND9O2kk-L._AC_UY218_.jpg")</f>
        <v/>
      </c>
      <c r="K1122" t="inlineStr">
        <is>
          <t>6.02</t>
        </is>
      </c>
      <c r="L1122" t="n">
        <v>19.35</v>
      </c>
      <c r="M1122" s="1" t="inlineStr">
        <is>
          <t>221.43%</t>
        </is>
      </c>
      <c r="N1122" s="7" t="n">
        <v>87.66</v>
      </c>
      <c r="O1122" t="n">
        <v>5</v>
      </c>
      <c r="P1122" t="n">
        <v>1</v>
      </c>
      <c r="R1122" t="inlineStr">
        <is>
          <t>InStock</t>
        </is>
      </c>
      <c r="S1122" t="inlineStr">
        <is>
          <t>undefined</t>
        </is>
      </c>
      <c r="T1122" t="inlineStr">
        <is>
          <t>4299522080868</t>
        </is>
      </c>
    </row>
    <row r="1123" ht="87" customHeight="1">
      <c r="A1123" s="2">
        <f>HYPERLINK("https://edmondsonsupply.com/collections/hvac/products/testo-0564-2552-01-552i-app-controlled-wireless-vacuum-probe", "https://edmondsonsupply.com/collections/hvac/products/testo-0564-2552-01-552i-app-controlled-wireless-vacuum-probe")</f>
        <v/>
      </c>
      <c r="B1123" s="2">
        <f>HYPERLINK("https://edmondsonsupply.com/products/testo-0564-2552-01-552i-app-controlled-wireless-vacuum-probe", "https://edmondsonsupply.com/products/testo-0564-2552-01-552i-app-controlled-wireless-vacuum-probe")</f>
        <v/>
      </c>
      <c r="C1123" t="inlineStr">
        <is>
          <t>Testo 0564 2552 01 552i App-Controlled Wireless Vacuum Probe</t>
        </is>
      </c>
      <c r="D1123" t="inlineStr">
        <is>
          <t>Testo 550s Kit I App Operated Digital Manifold for HVAC and Refrigeration with 2 x Wired Temperature clamp Probes &amp; 552i App-Controlled Wireless Vacuum Probe I for HVAC Systems – with Bluetooth</t>
        </is>
      </c>
      <c r="E1123" s="2">
        <f>HYPERLINK("https://www.amazon.com/Testo-Operated-Refrigeration-Temperature-App-Controlled/dp/B0BS2YTS4Y/ref=sr_1_6?keywords=Testo+0564+2552+01+552i+App-Controlled+Wireless+Vacuum+Probe&amp;qid=1694734776&amp;sr=8-6", "https://www.amazon.com/Testo-Operated-Refrigeration-Temperature-App-Controlled/dp/B0BS2YTS4Y/ref=sr_1_6?keywords=Testo+0564+2552+01+552i+App-Controlled+Wireless+Vacuum+Probe&amp;qid=1694734776&amp;sr=8-6")</f>
        <v/>
      </c>
      <c r="F1123" t="inlineStr">
        <is>
          <t>B0BS2YTS4Y</t>
        </is>
      </c>
      <c r="G1123">
        <f>_xlfn.IMAGE("https://edmondsonsupply.com/cdn/shop/products/testo-552i-front_master.jpg?v=1633031193")</f>
        <v/>
      </c>
      <c r="H1123">
        <f>_xlfn.IMAGE("https://m.media-amazon.com/images/I/41SIoDg1SRL._AC_UY218_.jpg")</f>
        <v/>
      </c>
      <c r="K1123" t="inlineStr">
        <is>
          <t>177.65</t>
        </is>
      </c>
      <c r="L1123" t="n">
        <v>568.65</v>
      </c>
      <c r="M1123" s="1" t="inlineStr">
        <is>
          <t>220.10%</t>
        </is>
      </c>
      <c r="N1123" s="7" t="n">
        <v>87.26000000000001</v>
      </c>
      <c r="O1123" t="n">
        <v>5</v>
      </c>
      <c r="P1123" t="n">
        <v>1</v>
      </c>
      <c r="R1123" t="inlineStr">
        <is>
          <t>InStock</t>
        </is>
      </c>
      <c r="S1123" t="inlineStr">
        <is>
          <t>209.0</t>
        </is>
      </c>
      <c r="T1123" t="inlineStr">
        <is>
          <t>6939345223853</t>
        </is>
      </c>
    </row>
    <row r="1124" ht="87" customHeight="1">
      <c r="A1124" s="2">
        <f>HYPERLINK("https://edmondsonsupply.com/collections/hvac/products/copy-of-klein-tools-55918-tradesman-pro%E2%84%A2-modular-tool-belt", "https://edmondsonsupply.com/collections/hvac/products/copy-of-klein-tools-55918-tradesman-pro%E2%84%A2-modular-tool-belt")</f>
        <v/>
      </c>
      <c r="B1124" s="2">
        <f>HYPERLINK("https://edmondsonsupply.com/products/copy-of-klein-tools-55918-tradesman-pro%e2%84%a2-modular-tool-belt", "https://edmondsonsupply.com/products/copy-of-klein-tools-55918-tradesman-pro%e2%84%a2-modular-tool-belt")</f>
        <v/>
      </c>
      <c r="C1124" t="inlineStr">
        <is>
          <t>Klein Tools 55919 Tradesman Pro™ Modular Tool Belt - L</t>
        </is>
      </c>
      <c r="D1124" t="inlineStr">
        <is>
          <t>Klein Tools 55428 Tradesman Pro Electrician's Padded Tool Belt and Tool Pouch Combo for Long-wear Comfort and Durability Size Large, Black</t>
        </is>
      </c>
      <c r="E1124" s="2">
        <f>HYPERLINK("https://www.amazon.com/Klein-Tools-55428-Electricians-Durability/dp/B00BZXA376/ref=sr_1_3?keywords=Klein+Tools+55919+Tradesman+Pro%E2%84%A2+Modular+Tool+Belt+-+L&amp;qid=1694734799&amp;sr=8-3", "https://www.amazon.com/Klein-Tools-55428-Electricians-Durability/dp/B00BZXA376/ref=sr_1_3?keywords=Klein+Tools+55919+Tradesman+Pro%E2%84%A2+Modular+Tool+Belt+-+L&amp;qid=1694734799&amp;sr=8-3")</f>
        <v/>
      </c>
      <c r="F1124" t="inlineStr">
        <is>
          <t>B00BZXA376</t>
        </is>
      </c>
      <c r="G1124">
        <f>_xlfn.IMAGE("https://edmondsonsupply.com/cdn/shop/products/55919_6b1c1646-91d8-4915-b7bf-b52c8c6994c7.jpg?v=1587143413")</f>
        <v/>
      </c>
      <c r="H1124">
        <f>_xlfn.IMAGE("https://m.media-amazon.com/images/I/61hBX21HbTL._AC_UL320_.jpg")</f>
        <v/>
      </c>
      <c r="K1124" t="inlineStr">
        <is>
          <t>35.99</t>
        </is>
      </c>
      <c r="L1124" t="n">
        <v>115</v>
      </c>
      <c r="M1124" s="1" t="inlineStr">
        <is>
          <t>219.53%</t>
        </is>
      </c>
      <c r="N1124" s="7" t="n">
        <v>87.11</v>
      </c>
      <c r="O1124" t="n">
        <v>4.3</v>
      </c>
      <c r="P1124" t="n">
        <v>527</v>
      </c>
      <c r="R1124" t="inlineStr">
        <is>
          <t>InStock</t>
        </is>
      </c>
      <c r="S1124" t="inlineStr">
        <is>
          <t>50.58</t>
        </is>
      </c>
      <c r="T1124" t="inlineStr">
        <is>
          <t>4498961760356</t>
        </is>
      </c>
    </row>
    <row r="1125" ht="87" customHeight="1">
      <c r="A1125" s="2">
        <f>HYPERLINK("https://edmondsonsupply.com/collections/hvac/products/packard-trcf25-titan-pro-run-capacitor-25-mfd-440-370-volt-round", "https://edmondsonsupply.com/collections/hvac/products/packard-trcf25-titan-pro-run-capacitor-25-mfd-440-370-volt-round")</f>
        <v/>
      </c>
      <c r="B1125" s="2">
        <f>HYPERLINK("https://edmondsonsupply.com/products/packard-trcf25-titan-pro-run-capacitor-25-mfd-440-370-volt-round", "https://edmondsonsupply.com/products/packard-trcf25-titan-pro-run-capacitor-25-mfd-440-370-volt-round")</f>
        <v/>
      </c>
      <c r="C1125" t="inlineStr">
        <is>
          <t>Packard TRCF25 TITAN PRO Run Capacitor 25 MFD 440/370 Volt, Round</t>
        </is>
      </c>
      <c r="D1125" t="inlineStr">
        <is>
          <t>Packard TOCFD255 Titan Pro Motor Run Capacitor 25+5 MFD 440/370V OVAL Capacitor</t>
        </is>
      </c>
      <c r="E1125" s="2">
        <f>HYPERLINK("https://www.amazon.com/Packard-TOCFD255-Titan-Motor-Capacitor/dp/B009558O8G/ref=sr_1_6?keywords=Packard+TRCF25+TITAN+PRO+Run+Capacitor+25+MFD+440%2F370+Volt%2C+Round&amp;qid=1694734709&amp;sr=8-6", "https://www.amazon.com/Packard-TOCFD255-Titan-Motor-Capacitor/dp/B009558O8G/ref=sr_1_6?keywords=Packard+TRCF25+TITAN+PRO+Run+Capacitor+25+MFD+440%2F370+Volt%2C+Round&amp;qid=1694734709&amp;sr=8-6")</f>
        <v/>
      </c>
      <c r="F1125" t="inlineStr">
        <is>
          <t>B009558O8G</t>
        </is>
      </c>
      <c r="G1125">
        <f>_xlfn.IMAGE("https://edmondsonsupply.com/cdn/shop/products/TRCF25-2.jpg?v=1633030930")</f>
        <v/>
      </c>
      <c r="H1125">
        <f>_xlfn.IMAGE("https://m.media-amazon.com/images/I/51ZHG4pO0nL._AC_UY218_.jpg")</f>
        <v/>
      </c>
      <c r="K1125" t="inlineStr">
        <is>
          <t>5.33</t>
        </is>
      </c>
      <c r="L1125" t="n">
        <v>17.03</v>
      </c>
      <c r="M1125" s="1" t="inlineStr">
        <is>
          <t>219.51%</t>
        </is>
      </c>
      <c r="N1125" s="7" t="n">
        <v>86.76000000000001</v>
      </c>
      <c r="O1125" t="n">
        <v>4.5</v>
      </c>
      <c r="P1125" t="n">
        <v>42</v>
      </c>
      <c r="R1125" t="inlineStr">
        <is>
          <t>InStock</t>
        </is>
      </c>
      <c r="S1125" t="inlineStr">
        <is>
          <t>undefined</t>
        </is>
      </c>
      <c r="T1125" t="inlineStr">
        <is>
          <t>6556600631469</t>
        </is>
      </c>
    </row>
    <row r="1126" hidden="1" ht="15.75" customHeight="1">
      <c r="A1126" s="2">
        <f>HYPERLINK("https://edmondsonsupply.com/collections/hvac/products/packard-titan-pro-toc7-55-motor-run-capacitor-7-5-mfd-370-volt-oval", "https://edmondsonsupply.com/collections/hvac/products/packard-titan-pro-toc7-55-motor-run-capacitor-7-5-mfd-370-volt-oval")</f>
        <v/>
      </c>
      <c r="B1126" s="2">
        <f>HYPERLINK("https://edmondsonsupply.com/products/packard-titan-pro-toc7-55-motor-run-capacitor-7-5-mfd-370-volt-oval", "https://edmondsonsupply.com/products/packard-titan-pro-toc7-55-motor-run-capacitor-7-5-mfd-370-volt-oval")</f>
        <v/>
      </c>
      <c r="C1126" t="inlineStr">
        <is>
          <t>Packard Titan PRO TOC7.5 Motor Run Capacitor 7.5 MFD 370 Volt Oval</t>
        </is>
      </c>
      <c r="D1126" t="inlineStr">
        <is>
          <t>Packard TOC7.5 Motor Run Capacitor Oval / MFD: 7.5 / Volts: 370</t>
        </is>
      </c>
      <c r="E1126" s="2">
        <f>HYPERLINK("https://www.amazon.com/Packard-TOC7-5-Motor-Capacitor-Oval/dp/B01IUY5LS8/ref=sr_1_2?keywords=Packard+Titan+PRO+TOC7.5+Motor+Run+Capacitor+7.5+MFD+370+Volt+Oval&amp;qid=1694734587&amp;sr=8-2", "https://www.amazon.com/Packard-TOC7-5-Motor-Capacitor-Oval/dp/B01IUY5LS8/ref=sr_1_2?keywords=Packard+Titan+PRO+TOC7.5+Motor+Run+Capacitor+7.5+MFD+370+Volt+Oval&amp;qid=1694734587&amp;sr=8-2")</f>
        <v/>
      </c>
      <c r="F1126" t="inlineStr">
        <is>
          <t>B01IUY5LS8</t>
        </is>
      </c>
      <c r="G1126">
        <f>_xludf.IMAGE("https://edmondsonsupply.com/cdn/shop/products/TOC7.5-2.jpg?v=1633030268")</f>
        <v/>
      </c>
      <c r="H1126">
        <f>_xludf.IMAGE("https://m.media-amazon.com/images/I/81WIaa2HqNL._AC_UY218_.jpg")</f>
        <v/>
      </c>
      <c r="K1126" t="inlineStr">
        <is>
          <t>2.16</t>
        </is>
      </c>
      <c r="L1126" t="n">
        <v>6.88</v>
      </c>
      <c r="M1126" s="1" t="inlineStr">
        <is>
          <t>218.52%</t>
        </is>
      </c>
      <c r="N1126" s="1" t="n">
        <v>86.39</v>
      </c>
      <c r="O1126" t="n">
        <v>4.5</v>
      </c>
      <c r="P1126" t="n">
        <v>118</v>
      </c>
      <c r="R1126" t="inlineStr">
        <is>
          <t>InStock</t>
        </is>
      </c>
      <c r="S1126" t="inlineStr">
        <is>
          <t>undefined</t>
        </is>
      </c>
      <c r="T1126" t="inlineStr">
        <is>
          <t>4653533757540</t>
        </is>
      </c>
    </row>
    <row r="1127" hidden="1" ht="15.75" customHeight="1">
      <c r="A1127" s="2">
        <f>HYPERLINK("https://edmondsonsupply.com/collections/hvac/products/hilmor-1839052-dbur-deburrer-1-4-to-1-5-8", "https://edmondsonsupply.com/collections/hvac/products/hilmor-1839052-dbur-deburrer-1-4-to-1-5-8")</f>
        <v/>
      </c>
      <c r="B1127" s="2">
        <f>HYPERLINK("https://edmondsonsupply.com/products/hilmor-1839052-dbur-deburrer-1-4-to-1-5-8", "https://edmondsonsupply.com/products/hilmor-1839052-dbur-deburrer-1-4-to-1-5-8")</f>
        <v/>
      </c>
      <c r="C1127" t="inlineStr">
        <is>
          <t>Hilmor 1839052 DBUR Deburrer, 1/4" to 1-5/8"</t>
        </is>
      </c>
      <c r="D1127" t="inlineStr">
        <is>
          <t>hilmor 1839008 Punch Swage Set, 5 Piece, 1/4" to 5/8"</t>
        </is>
      </c>
      <c r="E1127" s="2">
        <f>HYPERLINK("https://www.amazon.com/hilmor-1839008-Punch-Swage-Piece/dp/B00IOROSA4/ref=sr_1_3?keywords=Hilmor+1839052+DBUR+Deburrer%2C+1%2F4%22+to+1-5%2F8%22&amp;qid=1694734620&amp;sr=8-3", "https://www.amazon.com/hilmor-1839008-Punch-Swage-Piece/dp/B00IOROSA4/ref=sr_1_3?keywords=Hilmor+1839052+DBUR+Deburrer%2C+1%2F4%22+to+1-5%2F8%22&amp;qid=1694734620&amp;sr=8-3")</f>
        <v/>
      </c>
      <c r="F1127" t="inlineStr">
        <is>
          <t>B00IOROSA4</t>
        </is>
      </c>
      <c r="G1127">
        <f>_xludf.IMAGE("https://edmondsonsupply.com/cdn/shop/products/1839052-2.jpg?v=1587150270")</f>
        <v/>
      </c>
      <c r="H1127">
        <f>_xludf.IMAGE("https://m.media-amazon.com/images/I/81KVN7DgtXL._AC_UY218_.jpg")</f>
        <v/>
      </c>
      <c r="K1127" t="inlineStr">
        <is>
          <t>14.49</t>
        </is>
      </c>
      <c r="L1127" t="n">
        <v>45.99</v>
      </c>
      <c r="M1127" s="1" t="inlineStr">
        <is>
          <t>217.39%</t>
        </is>
      </c>
      <c r="N1127" s="1" t="n">
        <v>85.73999999999999</v>
      </c>
      <c r="O1127" t="n">
        <v>3.6</v>
      </c>
      <c r="P1127" t="n">
        <v>3</v>
      </c>
      <c r="R1127" t="inlineStr">
        <is>
          <t>InStock</t>
        </is>
      </c>
      <c r="S1127" t="inlineStr">
        <is>
          <t>47.24</t>
        </is>
      </c>
      <c r="T1127" t="inlineStr">
        <is>
          <t>4337582178404</t>
        </is>
      </c>
    </row>
    <row r="1128" ht="87" customHeight="1">
      <c r="A1128" s="2">
        <f>HYPERLINK("https://edmondsonsupply.com/collections/hvac/products/milwaukee-48-22-2930-4-in-1-precision-multi-bit-screwdriver", "https://edmondsonsupply.com/collections/hvac/products/milwaukee-48-22-2930-4-in-1-precision-multi-bit-screwdriver")</f>
        <v/>
      </c>
      <c r="B1128" s="2">
        <f>HYPERLINK("https://edmondsonsupply.com/products/milwaukee-48-22-2930-4-in-1-precision-multi-bit-screwdriver", "https://edmondsonsupply.com/products/milwaukee-48-22-2930-4-in-1-precision-multi-bit-screwdriver")</f>
        <v/>
      </c>
      <c r="C1128" t="inlineStr">
        <is>
          <t>Milwaukee 48-22-2930 4-in-1 Precision Multi-Bit Screwdriver</t>
        </is>
      </c>
      <c r="D1128" t="inlineStr">
        <is>
          <t>Milwaukee 11-in-1 Multi-Tip Screwdriver with Square Drive Bits and 13-in-1 Multi-Tip Cushion Grip Screwdriver Sets (48-22-2880-2761)</t>
        </is>
      </c>
      <c r="E1128" s="2">
        <f>HYPERLINK("https://www.amazon.com/Milwaukee-Multi-Tip-Screwdriver-Cushion-48-22-2880-2761/dp/B0BS435YZ2/ref=sr_1_2?keywords=Milwaukee+48-22-2930+4-in-1+Precision+Multi-Bit+Screwdriver&amp;qid=1694734746&amp;sr=8-2", "https://www.amazon.com/Milwaukee-Multi-Tip-Screwdriver-Cushion-48-22-2880-2761/dp/B0BS435YZ2/ref=sr_1_2?keywords=Milwaukee+48-22-2930+4-in-1+Precision+Multi-Bit+Screwdriver&amp;qid=1694734746&amp;sr=8-2")</f>
        <v/>
      </c>
      <c r="F1128" t="inlineStr">
        <is>
          <t>B0BS435YZ2</t>
        </is>
      </c>
      <c r="G1128">
        <f>_xlfn.IMAGE("https://edmondsonsupply.com/cdn/shop/files/48-22-2930_PrimaryImage_WEB.webp?v=1686154438")</f>
        <v/>
      </c>
      <c r="H1128">
        <f>_xlfn.IMAGE("https://m.media-amazon.com/images/I/6147KLqShzL._AC_UL320_.jpg")</f>
        <v/>
      </c>
      <c r="K1128" t="inlineStr">
        <is>
          <t>12.97</t>
        </is>
      </c>
      <c r="L1128" t="n">
        <v>40.99</v>
      </c>
      <c r="M1128" s="1" t="inlineStr">
        <is>
          <t>216.04%</t>
        </is>
      </c>
      <c r="N1128" s="7" t="n">
        <v>85.63</v>
      </c>
      <c r="O1128" t="n">
        <v>5</v>
      </c>
      <c r="P1128" t="n">
        <v>2</v>
      </c>
      <c r="R1128" t="inlineStr">
        <is>
          <t>InStock</t>
        </is>
      </c>
      <c r="S1128" t="inlineStr">
        <is>
          <t>17.3</t>
        </is>
      </c>
      <c r="T1128" t="inlineStr">
        <is>
          <t>7970427142360</t>
        </is>
      </c>
    </row>
    <row r="1129" ht="87" customHeight="1">
      <c r="A1129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129" s="2">
        <f>HYPERLINK("https://edmondsonsupply.com/products/packard-pmj590-motor-start-capacitor-590-708-mfd-110-125-volt", "https://edmondsonsupply.com/products/packard-pmj590-motor-start-capacitor-590-708-mfd-110-125-volt")</f>
        <v/>
      </c>
      <c r="C1129" t="inlineStr">
        <is>
          <t>Packard PMJ590 Motor Start Capacitor 590-708 MFD 110-125 Volt</t>
        </is>
      </c>
      <c r="D1129" t="inlineStr">
        <is>
          <t>Appli Parts motor start capacitor 590-708 Mfd (microfarads) uF 110-125 VAC universal fit for electric motor applications 1-3/4 in Wide 3-3/8 in Height CON-590-110</t>
        </is>
      </c>
      <c r="E1129" s="2">
        <f>HYPERLINK("https://www.amazon.com/Capacitor-microfarads-Universal-Electric-Applications/dp/B01FMSM5KW/ref=sr_1_8?keywords=Packard+PMJ590+Motor+Start+Capacitor+590-708+MFD+110-125+Volt&amp;qid=1694734721&amp;sr=8-8", "https://www.amazon.com/Capacitor-microfarads-Universal-Electric-Applications/dp/B01FMSM5KW/ref=sr_1_8?keywords=Packard+PMJ590+Motor+Start+Capacitor+590-708+MFD+110-125+Volt&amp;qid=1694734721&amp;sr=8-8")</f>
        <v/>
      </c>
      <c r="F1129" t="inlineStr">
        <is>
          <t>B01FMSM5KW</t>
        </is>
      </c>
      <c r="G1129">
        <f>_xlfn.IMAGE("https://edmondsonsupply.com/cdn/shop/products/PMJ590-2.jpg?v=1633030307")</f>
        <v/>
      </c>
      <c r="H1129">
        <f>_xlfn.IMAGE("https://m.media-amazon.com/images/I/616FYZCDTPL._AC_UY218_.jpg")</f>
        <v/>
      </c>
      <c r="K1129" t="inlineStr">
        <is>
          <t>6.18</t>
        </is>
      </c>
      <c r="L1129" t="n">
        <v>19.49</v>
      </c>
      <c r="M1129" s="1" t="inlineStr">
        <is>
          <t>215.37%</t>
        </is>
      </c>
      <c r="N1129" s="7" t="n">
        <v>85.45999999999999</v>
      </c>
      <c r="O1129" t="n">
        <v>4.5</v>
      </c>
      <c r="P1129" t="n">
        <v>1387</v>
      </c>
      <c r="R1129" t="inlineStr">
        <is>
          <t>InStock</t>
        </is>
      </c>
      <c r="S1129" t="inlineStr">
        <is>
          <t>undefined</t>
        </is>
      </c>
      <c r="T1129" t="inlineStr">
        <is>
          <t>5241729712296</t>
        </is>
      </c>
    </row>
    <row r="1130" hidden="1" ht="15.75" customHeight="1">
      <c r="A1130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130" s="2">
        <f>HYPERLINK("https://edmondsonsupply.com/products/packard-prmj108-motor-start-capacitor-108-130-mfd-330-volt", "https://edmondsonsupply.com/products/packard-prmj108-motor-start-capacitor-108-130-mfd-330-volt")</f>
        <v/>
      </c>
      <c r="C1130" t="inlineStr">
        <is>
          <t>Packard PRMJ108 Motor Start Capacitor 108-130 MFD 330 Volt</t>
        </is>
      </c>
      <c r="D1130" t="inlineStr">
        <is>
          <t>Appli Parts motor start capacitor 108-130 Mfd (microfarads) uF 330 VAC universal fit for electric motor applications 1-7/16 in Wide 3-3/8 in Height CON-108-330</t>
        </is>
      </c>
      <c r="E1130" s="2">
        <f>HYPERLINK("https://www.amazon.com/capacitor-microfarads-universal-electric-applications/dp/B01FSQQ2AW/ref=sr_1_12?keywords=Packard+PRMJ108+Motor+Start+Capacitor+108-130+MFD+330+Volt&amp;qid=1694734796&amp;sr=8-12", "https://www.amazon.com/capacitor-microfarads-universal-electric-applications/dp/B01FSQQ2AW/ref=sr_1_12?keywords=Packard+PRMJ108+Motor+Start+Capacitor+108-130+MFD+330+Volt&amp;qid=1694734796&amp;sr=8-12")</f>
        <v/>
      </c>
      <c r="F1130" t="inlineStr">
        <is>
          <t>B01FSQQ2AW</t>
        </is>
      </c>
      <c r="G1130">
        <f>_xludf.IMAGE("https://edmondsonsupply.com/cdn/shop/products/PRMJ108-2.jpg?v=1633030309")</f>
        <v/>
      </c>
      <c r="H1130">
        <f>_xludf.IMAGE("https://m.media-amazon.com/images/I/51NBTwnpEIL._AC_UY218_.jpg")</f>
        <v/>
      </c>
      <c r="K1130" t="inlineStr">
        <is>
          <t>4.39</t>
        </is>
      </c>
      <c r="L1130" t="n">
        <v>13.79</v>
      </c>
      <c r="M1130" s="1" t="inlineStr">
        <is>
          <t>214.12%</t>
        </is>
      </c>
      <c r="N1130" s="1" t="n">
        <v>85.36</v>
      </c>
      <c r="O1130" t="n">
        <v>4.5</v>
      </c>
      <c r="P1130" t="n">
        <v>1387</v>
      </c>
      <c r="R1130" t="inlineStr">
        <is>
          <t>InStock</t>
        </is>
      </c>
      <c r="S1130" t="inlineStr">
        <is>
          <t>undefined</t>
        </is>
      </c>
      <c r="T1130" t="inlineStr">
        <is>
          <t>5241928319144</t>
        </is>
      </c>
    </row>
    <row r="1131" hidden="1" ht="15.75" customHeight="1">
      <c r="A1131" s="2">
        <f>HYPERLINK("https://edmondsonsupply.com/collections/hvac/products/packard-ptmj43a-motor-start-capacitor-43-53-mfd-220-250-vac", "https://edmondsonsupply.com/collections/hvac/products/packard-ptmj43a-motor-start-capacitor-43-53-mfd-220-250-vac")</f>
        <v/>
      </c>
      <c r="B1131" s="2">
        <f>HYPERLINK("https://edmondsonsupply.com/products/packard-ptmj43a-motor-start-capacitor-43-53-mfd-220-250-vac", "https://edmondsonsupply.com/products/packard-ptmj43a-motor-start-capacitor-43-53-mfd-220-250-vac")</f>
        <v/>
      </c>
      <c r="C1131" t="inlineStr">
        <is>
          <t>Packard PTMJ43A Motor Start Capacitor 43-53 MFD 220-250 VAC</t>
        </is>
      </c>
      <c r="D1131" t="inlineStr">
        <is>
          <t>Home &amp; Appliances Packard PTMJ43 Packard 220-250V Start Capacitor 43-53 MFD Model:</t>
        </is>
      </c>
      <c r="E1131" s="2">
        <f>HYPERLINK("https://www.amazon.com/Packard-PTMJ43-220-250V-Start-Capacitor/dp/B0123MPXTK/ref=sr_1_7?keywords=Packard+PTMJ43A+Motor+Start+Capacitor+43-53+MFD+220-250+VAC&amp;qid=1694734706&amp;sr=8-7", "https://www.amazon.com/Packard-PTMJ43-220-250V-Start-Capacitor/dp/B0123MPXTK/ref=sr_1_7?keywords=Packard+PTMJ43A+Motor+Start+Capacitor+43-53+MFD+220-250+VAC&amp;qid=1694734706&amp;sr=8-7")</f>
        <v/>
      </c>
      <c r="F1131" t="inlineStr">
        <is>
          <t>B0123MPXTK</t>
        </is>
      </c>
      <c r="G1131">
        <f>_xludf.IMAGE("https://edmondsonsupply.com/cdn/shop/products/PTMJ43A-2.jpg?v=1633031033")</f>
        <v/>
      </c>
      <c r="H1131">
        <f>_xludf.IMAGE("https://m.media-amazon.com/images/I/5121kYYatkL._AC_UY218_.jpg")</f>
        <v/>
      </c>
      <c r="K1131" t="inlineStr">
        <is>
          <t>3.9</t>
        </is>
      </c>
      <c r="L1131" t="n">
        <v>12.2</v>
      </c>
      <c r="M1131" s="1" t="inlineStr">
        <is>
          <t>212.82%</t>
        </is>
      </c>
      <c r="N1131" s="1" t="n">
        <v>85.22</v>
      </c>
      <c r="O1131" t="n">
        <v>3.8</v>
      </c>
      <c r="P1131" t="n">
        <v>25</v>
      </c>
      <c r="R1131" t="inlineStr">
        <is>
          <t>InStock</t>
        </is>
      </c>
      <c r="S1131" t="inlineStr">
        <is>
          <t>undefined</t>
        </is>
      </c>
      <c r="T1131" t="inlineStr">
        <is>
          <t>6734444232877</t>
        </is>
      </c>
    </row>
    <row r="1132" ht="87" customHeight="1">
      <c r="A1132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1132" s="2">
        <f>HYPERLINK("https://edmondsonsupply.com/products/klein-tools-610-stubby-nut-driver-set-1-1-2-inch-shafts-2-piece", "https://edmondsonsupply.com/products/klein-tools-610-stubby-nut-driver-set-1-1-2-inch-shafts-2-piece")</f>
        <v/>
      </c>
      <c r="C1132" t="inlineStr">
        <is>
          <t>Klein Tools 610 Stubby Nut Driver Set 1-1/2-Inch Shafts 2-Piece</t>
        </is>
      </c>
      <c r="D1132" t="inlineStr">
        <is>
          <t>Klein Tools 65160 Tool Set, Metric Nut Driver Set Sizes 5, 5.5, 6, 7, 8, 9, and 10 mm, 3-Inch Chrome-Plate Hollow Shafts, 7-Piece</t>
        </is>
      </c>
      <c r="E1132" s="2">
        <f>HYPERLINK("https://www.amazon.com/Driver-Metric-3-Inch-7-Piece-Klein/dp/B0009ORXQQ/ref=sr_1_19?keywords=Klein+Tools+610+Stubby+Nut+Driver+Set+1-1%2F2-Inch+Shafts+2-Piece&amp;qid=1694734809&amp;sr=8-19", "https://www.amazon.com/Driver-Metric-3-Inch-7-Piece-Klein/dp/B0009ORXQQ/ref=sr_1_19?keywords=Klein+Tools+610+Stubby+Nut+Driver+Set+1-1%2F2-Inch+Shafts+2-Piece&amp;qid=1694734809&amp;sr=8-19")</f>
        <v/>
      </c>
      <c r="F1132" t="inlineStr">
        <is>
          <t>B0009ORXQQ</t>
        </is>
      </c>
      <c r="G1132">
        <f>_xlfn.IMAGE("https://edmondsonsupply.com/cdn/shop/products/610m_169714eb-6816-4f42-aa86-ea17ea5fcbbb.jpg?v=1633030110")</f>
        <v/>
      </c>
      <c r="H1132">
        <f>_xlfn.IMAGE("https://m.media-amazon.com/images/I/61CnDJJyViL._AC_UL320_.jpg")</f>
        <v/>
      </c>
      <c r="K1132" t="inlineStr">
        <is>
          <t>15.99</t>
        </is>
      </c>
      <c r="L1132" t="n">
        <v>49.99</v>
      </c>
      <c r="M1132" s="1" t="inlineStr">
        <is>
          <t>212.63%</t>
        </is>
      </c>
      <c r="N1132" s="7" t="n">
        <v>84.98</v>
      </c>
      <c r="O1132" t="n">
        <v>4.8</v>
      </c>
      <c r="P1132" t="n">
        <v>588</v>
      </c>
      <c r="R1132" t="inlineStr">
        <is>
          <t>InStock</t>
        </is>
      </c>
      <c r="S1132" t="inlineStr">
        <is>
          <t>24.26</t>
        </is>
      </c>
      <c r="T1132" t="inlineStr">
        <is>
          <t>3671774855268</t>
        </is>
      </c>
    </row>
    <row r="1133" hidden="1" ht="15.75" customHeight="1">
      <c r="A1133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1133" s="2">
        <f>HYPERLINK("https://edmondsonsupply.com/products/packard-pmj88-motor-start-capacitor-88-108-mfd-110-125-vac", "https://edmondsonsupply.com/products/packard-pmj88-motor-start-capacitor-88-108-mfd-110-125-vac")</f>
        <v/>
      </c>
      <c r="C1133" t="inlineStr">
        <is>
          <t>Packard PMJ88 Motor Start Capacitor 88-108 MFD 110-125 VAC</t>
        </is>
      </c>
      <c r="D1133" t="inlineStr">
        <is>
          <t>Canamax Premium 108-130 uf/MFD 110-125 VAC ±20% Volts Round Start Capacitor 50/60 Hz AC Electric - Exact Fit for Single-Phase Electric Motors</t>
        </is>
      </c>
      <c r="E1133" s="2">
        <f>HYPERLINK("https://www.amazon.com/Canamax-Premium-108-130-Capacitor-Electric/dp/B0B1DF2X7K/ref=sr_1_14?keywords=Packard+PMJ88+Motor+Start+Capacitor+88-108+MFD+110-125+VAC&amp;qid=1694734709&amp;sr=8-14", "https://www.amazon.com/Canamax-Premium-108-130-Capacitor-Electric/dp/B0B1DF2X7K/ref=sr_1_14?keywords=Packard+PMJ88+Motor+Start+Capacitor+88-108+MFD+110-125+VAC&amp;qid=1694734709&amp;sr=8-14")</f>
        <v/>
      </c>
      <c r="F1133" t="inlineStr">
        <is>
          <t>B0B1DF2X7K</t>
        </is>
      </c>
      <c r="G1133">
        <f>_xludf.IMAGE("https://edmondsonsupply.com/cdn/shop/products/PMJ88-2.jpg?v=1633030893")</f>
        <v/>
      </c>
      <c r="H1133">
        <f>_xludf.IMAGE("https://m.media-amazon.com/images/I/81Y4jNR-2GL._AC_UY218_.jpg")</f>
        <v/>
      </c>
      <c r="K1133" t="inlineStr">
        <is>
          <t>3.1</t>
        </is>
      </c>
      <c r="L1133" t="n">
        <v>9.67</v>
      </c>
      <c r="M1133" s="1" t="inlineStr">
        <is>
          <t>211.94%</t>
        </is>
      </c>
      <c r="N1133" s="1" t="n">
        <v>84.75</v>
      </c>
      <c r="O1133" t="n">
        <v>3.3</v>
      </c>
      <c r="P1133" t="n">
        <v>3</v>
      </c>
      <c r="R1133" t="inlineStr">
        <is>
          <t>InStock</t>
        </is>
      </c>
      <c r="S1133" t="inlineStr">
        <is>
          <t>undefined</t>
        </is>
      </c>
      <c r="T1133" t="inlineStr">
        <is>
          <t>6224638771373</t>
        </is>
      </c>
    </row>
    <row r="1134" hidden="1" ht="15.75" customHeight="1">
      <c r="A1134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134" s="2">
        <f>HYPERLINK("https://edmondsonsupply.com/products/packard-pmj460-motor-start-capacitor-460-552-mfd-110-125-vac", "https://edmondsonsupply.com/products/packard-pmj460-motor-start-capacitor-460-552-mfd-110-125-vac")</f>
        <v/>
      </c>
      <c r="C1134" t="inlineStr">
        <is>
          <t>Packard PMJ460 Motor Start Capacitor 460-552 MFD 110-125 VAC</t>
        </is>
      </c>
      <c r="D1134" t="inlineStr">
        <is>
          <t>PMJ460 - Packard Upgraded Replacement Motor Start Capacitor 460-552 MFD 110-125 Volt VAC</t>
        </is>
      </c>
      <c r="E1134" s="2">
        <f>HYPERLINK("https://www.amazon.com/PMJ460-Packard-Upgraded-Replacement-Capacitor/dp/B0773WC5NS/ref=sr_1_2?keywords=Packard+PMJ460+Motor+Start+Capacitor+460-552+MFD+110-125+VAC&amp;qid=1694734651&amp;sr=8-2", "https://www.amazon.com/PMJ460-Packard-Upgraded-Replacement-Capacitor/dp/B0773WC5NS/ref=sr_1_2?keywords=Packard+PMJ460+Motor+Start+Capacitor+460-552+MFD+110-125+VAC&amp;qid=1694734651&amp;sr=8-2")</f>
        <v/>
      </c>
      <c r="F1134" t="inlineStr">
        <is>
          <t>B0773WC5NS</t>
        </is>
      </c>
      <c r="G1134">
        <f>_xludf.IMAGE("https://edmondsonsupply.com/cdn/shop/products/PMJ460-2.jpg?v=1633030333")</f>
        <v/>
      </c>
      <c r="H1134">
        <f>_xludf.IMAGE("https://m.media-amazon.com/images/I/41fqQrQgJaL._AC_UY218_.jpg")</f>
        <v/>
      </c>
      <c r="K1134" t="inlineStr">
        <is>
          <t>5.06</t>
        </is>
      </c>
      <c r="L1134" t="n">
        <v>15.74</v>
      </c>
      <c r="M1134" s="1" t="inlineStr">
        <is>
          <t>211.07%</t>
        </is>
      </c>
      <c r="N1134" s="1" t="n">
        <v>84.62</v>
      </c>
      <c r="O1134" t="n">
        <v>3.8</v>
      </c>
      <c r="P1134" t="n">
        <v>5</v>
      </c>
      <c r="R1134" t="inlineStr">
        <is>
          <t>OutOfStock</t>
        </is>
      </c>
      <c r="S1134" t="inlineStr">
        <is>
          <t>undefined</t>
        </is>
      </c>
      <c r="T1134" t="inlineStr">
        <is>
          <t>5271944954024</t>
        </is>
      </c>
    </row>
    <row r="1135" ht="87" customHeight="1">
      <c r="A1135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135" s="2">
        <f>HYPERLINK("https://edmondsonsupply.com/products/nu-calgon-44171-75-evap-foam-no-rinse-aerosol-coil-cleaner", "https://edmondsonsupply.com/products/nu-calgon-44171-75-evap-foam-no-rinse-aerosol-coil-cleaner")</f>
        <v/>
      </c>
      <c r="C1135" t="inlineStr">
        <is>
          <t>Nu-Calgon 4171-75 Evap Foam No Rinse, Aerosol Coil Cleaner (18 oz. can)</t>
        </is>
      </c>
      <c r="D1135" t="inlineStr">
        <is>
          <t>Nu-Calgon 4171-75 Evap Foam No Rinse Evaporator Coil Cleaner, 18 oz. (Pack 2)</t>
        </is>
      </c>
      <c r="E1135" s="2">
        <f>HYPERLINK("https://www.amazon.com/Nu-Calgon-4171-75-Rinse-Evaporator-Cleaner/dp/B082L1QFXK/ref=sr_1_2?keywords=Nu-Calgon+4171-75+Evap+Foam+No+Rinse%2C+Aerosol+Coil+Cleaner+%2818+oz.+can%29&amp;qid=1694734591&amp;sr=8-2", "https://www.amazon.com/Nu-Calgon-4171-75-Rinse-Evaporator-Cleaner/dp/B082L1QFXK/ref=sr_1_2?keywords=Nu-Calgon+4171-75+Evap+Foam+No+Rinse%2C+Aerosol+Coil+Cleaner+%2818+oz.+can%29&amp;qid=1694734591&amp;sr=8-2")</f>
        <v/>
      </c>
      <c r="F1135" t="inlineStr">
        <is>
          <t>B082L1QFXK</t>
        </is>
      </c>
      <c r="G1135">
        <f>_xlfn.IMAGE("https://edmondsonsupply.com/cdn/shop/products/4171-75.jpg?v=1659099515")</f>
        <v/>
      </c>
      <c r="H1135">
        <f>_xlfn.IMAGE("https://m.media-amazon.com/images/I/61qmNmg20EL._AC_UL320_.jpg")</f>
        <v/>
      </c>
      <c r="K1135" t="inlineStr">
        <is>
          <t>11.75</t>
        </is>
      </c>
      <c r="L1135" t="n">
        <v>36.14</v>
      </c>
      <c r="M1135" s="1" t="inlineStr">
        <is>
          <t>207.57%</t>
        </is>
      </c>
      <c r="N1135" s="7" t="n">
        <v>84.39</v>
      </c>
      <c r="O1135" t="n">
        <v>4.4</v>
      </c>
      <c r="P1135" t="n">
        <v>30</v>
      </c>
      <c r="R1135" t="inlineStr">
        <is>
          <t>InStock</t>
        </is>
      </c>
      <c r="S1135" t="inlineStr">
        <is>
          <t>17.7</t>
        </is>
      </c>
      <c r="T1135" t="inlineStr">
        <is>
          <t>7766316646616</t>
        </is>
      </c>
    </row>
    <row r="1136" hidden="1" ht="15.75" customHeight="1">
      <c r="A1136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136" s="2">
        <f>HYPERLINK("https://edmondsonsupply.com/products/packard-prmj108-motor-start-capacitor-108-130-mfd-330-volt", "https://edmondsonsupply.com/products/packard-prmj108-motor-start-capacitor-108-130-mfd-330-volt")</f>
        <v/>
      </c>
      <c r="C1136" t="inlineStr">
        <is>
          <t>Packard PRMJ108 Motor Start Capacitor 108-130 MFD 330 Volt</t>
        </is>
      </c>
      <c r="D1136" t="inlineStr">
        <is>
          <t>PRMJ108 - Packard Aftermarket Replacement Motor Start Capacitor 108-130 MFD 330 Volt</t>
        </is>
      </c>
      <c r="E1136" s="2">
        <f>HYPERLINK("https://www.amazon.com/PRMJ108-Packard-Aftermarket-Replacement-Capacitor/dp/B00IWYEI1S/ref=sr_1_2?keywords=Packard+PRMJ108+Motor+Start+Capacitor+108-130+MFD+330+Volt&amp;qid=1694734796&amp;sr=8-2", "https://www.amazon.com/PRMJ108-Packard-Aftermarket-Replacement-Capacitor/dp/B00IWYEI1S/ref=sr_1_2?keywords=Packard+PRMJ108+Motor+Start+Capacitor+108-130+MFD+330+Volt&amp;qid=1694734796&amp;sr=8-2")</f>
        <v/>
      </c>
      <c r="F1136" t="inlineStr">
        <is>
          <t>B00IWYEI1S</t>
        </is>
      </c>
      <c r="G1136">
        <f>_xludf.IMAGE("https://edmondsonsupply.com/cdn/shop/products/PRMJ108-2.jpg?v=1633030309")</f>
        <v/>
      </c>
      <c r="H1136">
        <f>_xludf.IMAGE("https://m.media-amazon.com/images/I/41iN-8gLZyL._AC_UY218_.jpg")</f>
        <v/>
      </c>
      <c r="K1136" t="inlineStr">
        <is>
          <t>4.39</t>
        </is>
      </c>
      <c r="L1136" t="n">
        <v>13.49</v>
      </c>
      <c r="M1136" s="1" t="inlineStr">
        <is>
          <t>207.29%</t>
        </is>
      </c>
      <c r="N1136" s="1" t="n">
        <v>83.87</v>
      </c>
      <c r="O1136" t="n">
        <v>5</v>
      </c>
      <c r="P1136" t="n">
        <v>10</v>
      </c>
      <c r="R1136" t="inlineStr">
        <is>
          <t>InStock</t>
        </is>
      </c>
      <c r="S1136" t="inlineStr">
        <is>
          <t>undefined</t>
        </is>
      </c>
      <c r="T1136" t="inlineStr">
        <is>
          <t>5241928319144</t>
        </is>
      </c>
    </row>
    <row r="1137" hidden="1" ht="15.75" customHeight="1">
      <c r="A1137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137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137" t="inlineStr">
        <is>
          <t>Holyoke Fittings 1055-FHFH 3/4" Garden Hose Thread Fitting - Brass Female Garden Hose to Hose Swivel Adapter</t>
        </is>
      </c>
      <c r="D1137" t="inlineStr">
        <is>
          <t>Litorange Lead-Free 2 PCS Swivel 3/4"GHT Female x 1/2"NPT Male Connector,GHT to NPT Garden Hose Adapter Brass Fitting,Garden Pipe Joint Extension Repair Fitting(Pack of 2)</t>
        </is>
      </c>
      <c r="E1137" s="2">
        <f>HYPERLINK("https://www.amazon.com/Litorange-Lead-Free-Connector-Adapter-Extension/dp/B09QFJYGNS/ref=sr_1_6?keywords=Holyoke+Fittings+1055-FHFH+3%2F4%22+Garden+Hose+Thread+Fitting+-+Brass+Female+Garden+Hose+to+Hose+Swivel+Adapter&amp;qid=1694734918&amp;sr=8-6", "https://www.amazon.com/Litorange-Lead-Free-Connector-Adapter-Extension/dp/B09QFJYGNS/ref=sr_1_6?keywords=Holyoke+Fittings+1055-FHFH+3%2F4%22+Garden+Hose+Thread+Fitting+-+Brass+Female+Garden+Hose+to+Hose+Swivel+Adapter&amp;qid=1694734918&amp;sr=8-6")</f>
        <v/>
      </c>
      <c r="F1137" t="inlineStr">
        <is>
          <t>B09QFJYGNS</t>
        </is>
      </c>
      <c r="G1137">
        <f>_xludf.IMAGE("https://edmondsonsupply.com/cdn/shop/files/1055-FHFH.jpg?v=1686083814")</f>
        <v/>
      </c>
      <c r="H1137">
        <f>_xludf.IMAGE("https://m.media-amazon.com/images/I/61LyJrbohvL._AC_UL320_.jpg")</f>
        <v/>
      </c>
      <c r="K1137" t="inlineStr">
        <is>
          <t>3.59</t>
        </is>
      </c>
      <c r="L1137" t="n">
        <v>10.99</v>
      </c>
      <c r="M1137" s="1" t="inlineStr">
        <is>
          <t>206.13%</t>
        </is>
      </c>
      <c r="N1137" s="1" t="n">
        <v>83.47</v>
      </c>
      <c r="O1137" t="n">
        <v>4.7</v>
      </c>
      <c r="P1137" t="n">
        <v>17</v>
      </c>
      <c r="R1137" t="inlineStr">
        <is>
          <t>InStock</t>
        </is>
      </c>
      <c r="S1137" t="inlineStr">
        <is>
          <t>5.17</t>
        </is>
      </c>
      <c r="T1137" t="inlineStr">
        <is>
          <t>8002194342104</t>
        </is>
      </c>
    </row>
    <row r="1138" hidden="1" ht="15.75" customHeight="1">
      <c r="A1138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138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138" t="inlineStr">
        <is>
          <t>Holyoke Fittings 1055-FHFH 3/4" Garden Hose Thread Fitting - Brass Female Garden Hose to Hose Swivel Adapter</t>
        </is>
      </c>
      <c r="D1138" t="inlineStr">
        <is>
          <t>Minimprover 2PCS Brass Hex Swivel 1/4" NPT to 3/4 inch Female GHT Garden Hose Thread Connector Adapter,Garden Hose Pipe Fitting For Fuel/AIR/Water/Oil/Gas WOG</t>
        </is>
      </c>
      <c r="E1138" s="2">
        <f>HYPERLINK("https://www.amazon.com/Minimprover-Swivel-Connector-Adapter-Fitting/dp/B08ML1MZNC/ref=sr_1_10?keywords=Holyoke+Fittings+1055-FHFH+3%2F4%22+Garden+Hose+Thread+Fitting+-+Brass+Female+Garden+Hose+to+Hose+Swivel+Adapter&amp;qid=1694734918&amp;sr=8-10", "https://www.amazon.com/Minimprover-Swivel-Connector-Adapter-Fitting/dp/B08ML1MZNC/ref=sr_1_10?keywords=Holyoke+Fittings+1055-FHFH+3%2F4%22+Garden+Hose+Thread+Fitting+-+Brass+Female+Garden+Hose+to+Hose+Swivel+Adapter&amp;qid=1694734918&amp;sr=8-10")</f>
        <v/>
      </c>
      <c r="F1138" t="inlineStr">
        <is>
          <t>B08ML1MZNC</t>
        </is>
      </c>
      <c r="G1138">
        <f>_xludf.IMAGE("https://edmondsonsupply.com/cdn/shop/files/1055-FHFH.jpg?v=1686083814")</f>
        <v/>
      </c>
      <c r="H1138">
        <f>_xludf.IMAGE("https://m.media-amazon.com/images/I/612jDEqxCNL._AC_UL320_.jpg")</f>
        <v/>
      </c>
      <c r="K1138" t="inlineStr">
        <is>
          <t>3.59</t>
        </is>
      </c>
      <c r="L1138" t="n">
        <v>10.99</v>
      </c>
      <c r="M1138" s="1" t="inlineStr">
        <is>
          <t>206.13%</t>
        </is>
      </c>
      <c r="N1138" s="1" t="n">
        <v>82.83</v>
      </c>
      <c r="O1138" t="n">
        <v>4.7</v>
      </c>
      <c r="P1138" t="n">
        <v>263</v>
      </c>
      <c r="R1138" t="inlineStr">
        <is>
          <t>InStock</t>
        </is>
      </c>
      <c r="S1138" t="inlineStr">
        <is>
          <t>5.17</t>
        </is>
      </c>
      <c r="T1138" t="inlineStr">
        <is>
          <t>8002194342104</t>
        </is>
      </c>
    </row>
    <row r="1139" hidden="1" ht="15.75" customHeight="1">
      <c r="A1139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139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139" t="inlineStr">
        <is>
          <t>Holyoke Fittings 1055-FHFH 3/4" Garden Hose Thread Fitting - Brass Female Garden Hose to Hose Swivel Adapter</t>
        </is>
      </c>
      <c r="D1139" t="inlineStr">
        <is>
          <t>Litorange (2 Pack) Lead-free Brass Garden Hose to Pipe NPT Fitting Connect, Green Thumb Quick Swivel Connector Adapter,Double Male Thread Size GHT 3/4" x 3/4 NPT Male Inch or 1/2" NPT Female</t>
        </is>
      </c>
      <c r="E1139" s="2">
        <f>HYPERLINK("https://www.amazon.com/Litorange-Industrial-Fitting-Connect-Connector/dp/B07GCLGQWL/ref=sr_1_13?keywords=Holyoke+Fittings+1055-FHFH+3%2F4%22+Garden+Hose+Thread+Fitting+-+Brass+Female+Garden+Hose+to+Hose+Swivel+Adapter&amp;qid=1694734918&amp;sr=8-13", "https://www.amazon.com/Litorange-Industrial-Fitting-Connect-Connector/dp/B07GCLGQWL/ref=sr_1_13?keywords=Holyoke+Fittings+1055-FHFH+3%2F4%22+Garden+Hose+Thread+Fitting+-+Brass+Female+Garden+Hose+to+Hose+Swivel+Adapter&amp;qid=1694734918&amp;sr=8-13")</f>
        <v/>
      </c>
      <c r="F1139" t="inlineStr">
        <is>
          <t>B07GCLGQWL</t>
        </is>
      </c>
      <c r="G1139">
        <f>_xludf.IMAGE("https://edmondsonsupply.com/cdn/shop/files/1055-FHFH.jpg?v=1686083814")</f>
        <v/>
      </c>
      <c r="H1139">
        <f>_xludf.IMAGE("https://m.media-amazon.com/images/I/61n9ibW+tnL._AC_UL320_.jpg")</f>
        <v/>
      </c>
      <c r="K1139" t="inlineStr">
        <is>
          <t>3.59</t>
        </is>
      </c>
      <c r="L1139" t="n">
        <v>10.99</v>
      </c>
      <c r="M1139" s="1" t="inlineStr">
        <is>
          <t>206.13%</t>
        </is>
      </c>
      <c r="N1139" s="1" t="n">
        <v>82.66</v>
      </c>
      <c r="O1139" t="n">
        <v>4.5</v>
      </c>
      <c r="P1139" t="n">
        <v>265</v>
      </c>
      <c r="R1139" t="inlineStr">
        <is>
          <t>InStock</t>
        </is>
      </c>
      <c r="S1139" t="inlineStr">
        <is>
          <t>5.17</t>
        </is>
      </c>
      <c r="T1139" t="inlineStr">
        <is>
          <t>8002194342104</t>
        </is>
      </c>
    </row>
    <row r="1140" ht="87" customHeight="1">
      <c r="A1140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1140" s="2">
        <f>HYPERLINK("https://edmondsonsupply.com/products/klein-tools-630m-magnetic-nut-driver-set-3-inch-shafts-2-piece", "https://edmondsonsupply.com/products/klein-tools-630m-magnetic-nut-driver-set-3-inch-shafts-2-piece")</f>
        <v/>
      </c>
      <c r="C1140" t="inlineStr">
        <is>
          <t>Klein Tools 630M Magnetic Nut Driver Set, 3-Inch Shafts, 2-Piece</t>
        </is>
      </c>
      <c r="D1140" t="inlineStr">
        <is>
          <t>Klein Tools 647 Tool Set, Nut Drivers Sizes 3/16, 1/4, 5/16, 11/32, 3/8, 7/16, 1/2-Inch, Chrome-Plated 6-Inch Shafts, Cushion Grip, 7-Piece</t>
        </is>
      </c>
      <c r="E1140" s="2">
        <f>HYPERLINK("https://www.amazon.com/Driver-6-Inch-Klein-Tools-647/dp/B0014KRVXO/ref=sr_1_7?keywords=Klein+Tools+630M+Magnetic+Nut+Driver+Set%2C+3-Inch+Shafts%2C+2-Piece&amp;qid=1694734796&amp;sr=8-7", "https://www.amazon.com/Driver-6-Inch-Klein-Tools-647/dp/B0014KRVXO/ref=sr_1_7?keywords=Klein+Tools+630M+Magnetic+Nut+Driver+Set%2C+3-Inch+Shafts%2C+2-Piece&amp;qid=1694734796&amp;sr=8-7")</f>
        <v/>
      </c>
      <c r="F1140" t="inlineStr">
        <is>
          <t>B0014KRVXO</t>
        </is>
      </c>
      <c r="G1140">
        <f>_xlfn.IMAGE("https://edmondsonsupply.com/cdn/shop/products/630m.jpg?v=1587143237")</f>
        <v/>
      </c>
      <c r="H1140">
        <f>_xlfn.IMAGE("https://m.media-amazon.com/images/I/51usUk-EpGL._AC_UL320_.jpg")</f>
        <v/>
      </c>
      <c r="K1140" t="inlineStr">
        <is>
          <t>18.99</t>
        </is>
      </c>
      <c r="L1140" t="n">
        <v>57.99</v>
      </c>
      <c r="M1140" s="1" t="inlineStr">
        <is>
          <t>205.37%</t>
        </is>
      </c>
      <c r="N1140" s="7" t="n">
        <v>82.36</v>
      </c>
      <c r="O1140" t="n">
        <v>4.8</v>
      </c>
      <c r="P1140" t="n">
        <v>734</v>
      </c>
      <c r="R1140" t="inlineStr">
        <is>
          <t>InStock</t>
        </is>
      </c>
      <c r="S1140" t="inlineStr">
        <is>
          <t>28.78</t>
        </is>
      </c>
      <c r="T1140" t="inlineStr">
        <is>
          <t>4508216787044</t>
        </is>
      </c>
    </row>
    <row r="1141" ht="87" customHeight="1">
      <c r="A1141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1141" s="2">
        <f>HYPERLINK("https://edmondsonsupply.com/products/klein-tools-pnd-12-5-1-2-inch-power-nut-driver-5-inch-length", "https://edmondsonsupply.com/products/klein-tools-pnd-12-5-1-2-inch-power-nut-driver-5-inch-length")</f>
        <v/>
      </c>
      <c r="C1141" t="inlineStr">
        <is>
          <t>Klein Tools PND-12-5 1/2-Inch Power Nut Driver 5-Inch Length</t>
        </is>
      </c>
      <c r="D1141" t="inlineStr">
        <is>
          <t>Klein Tools 647 Tool Set, Nut Drivers Sizes 3/16, 1/4, 5/16, 11/32, 3/8, 7/16, 1/2-Inch, Chrome-Plated 6-Inch Shafts, Cushion Grip, 7-Piece</t>
        </is>
      </c>
      <c r="E1141" s="2">
        <f>HYPERLINK("https://www.amazon.com/Driver-6-Inch-Klein-Tools-647/dp/B0014KRVXO/ref=sr_1_14?keywords=Klein+Tools+PND-12-5+1%2F2-Inch+Power+Nut+Driver+5-Inch+Length&amp;qid=1694734708&amp;sr=8-14", "https://www.amazon.com/Driver-6-Inch-Klein-Tools-647/dp/B0014KRVXO/ref=sr_1_14?keywords=Klein+Tools+PND-12-5+1%2F2-Inch+Power+Nut+Driver+5-Inch+Length&amp;qid=1694734708&amp;sr=8-14")</f>
        <v/>
      </c>
      <c r="F1141" t="inlineStr">
        <is>
          <t>B0014KRVXO</t>
        </is>
      </c>
      <c r="G1141">
        <f>_xlfn.IMAGE("https://edmondsonsupply.com/cdn/shop/products/pnd125.jpg?v=1633031028")</f>
        <v/>
      </c>
      <c r="H1141">
        <f>_xlfn.IMAGE("https://m.media-amazon.com/images/I/51usUk-EpGL._AC_UL320_.jpg")</f>
        <v/>
      </c>
      <c r="K1141" t="inlineStr">
        <is>
          <t>18.99</t>
        </is>
      </c>
      <c r="L1141" t="n">
        <v>57.99</v>
      </c>
      <c r="M1141" s="1" t="inlineStr">
        <is>
          <t>205.37%</t>
        </is>
      </c>
      <c r="N1141" s="7" t="n">
        <v>81.77</v>
      </c>
      <c r="O1141" t="n">
        <v>4.8</v>
      </c>
      <c r="P1141" t="n">
        <v>734</v>
      </c>
      <c r="R1141" t="inlineStr">
        <is>
          <t>InStock</t>
        </is>
      </c>
      <c r="S1141" t="inlineStr">
        <is>
          <t>30.98</t>
        </is>
      </c>
      <c r="T1141" t="inlineStr">
        <is>
          <t>6729466445997</t>
        </is>
      </c>
    </row>
    <row r="1142" ht="87" customHeight="1">
      <c r="A1142" s="2">
        <f>HYPERLINK("https://edmondsonsupply.com/collections/hvac/products/uei-dmg150-digital-micron-gauge", "https://edmondsonsupply.com/collections/hvac/products/uei-dmg150-digital-micron-gauge")</f>
        <v/>
      </c>
      <c r="B1142" s="2">
        <f>HYPERLINK("https://edmondsonsupply.com/products/uei-dmg150-digital-micron-gauge", "https://edmondsonsupply.com/products/uei-dmg150-digital-micron-gauge")</f>
        <v/>
      </c>
      <c r="C1142" t="inlineStr">
        <is>
          <t>UEi PDT650 Digital Folding Pocket Thermometer</t>
        </is>
      </c>
      <c r="D1142" t="inlineStr">
        <is>
          <t>UEi Test Instruments PDT650 Folding Pocket Digital Thermometer (Twо Расk)</t>
        </is>
      </c>
      <c r="E1142" s="2">
        <f>HYPERLINK("https://www.amazon.com/UEi-Test-Instruments-Folding-Thermometer/dp/B084274DV2/ref=sr_1_2?keywords=UEi+PDT650+Digital+Folding+Pocket+Thermometer&amp;qid=1694734589&amp;sr=8-2", "https://www.amazon.com/UEi-Test-Instruments-Folding-Thermometer/dp/B084274DV2/ref=sr_1_2?keywords=UEi+PDT650+Digital+Folding+Pocket+Thermometer&amp;qid=1694734589&amp;sr=8-2")</f>
        <v/>
      </c>
      <c r="F1142" t="inlineStr">
        <is>
          <t>B084274DV2</t>
        </is>
      </c>
      <c r="G1142">
        <f>_xlfn.IMAGE("https://edmondsonsupply.com/cdn/shop/products/PDT650-1.png?v=1633030101")</f>
        <v/>
      </c>
      <c r="H1142">
        <f>_xlfn.IMAGE("https://m.media-amazon.com/images/I/314GK-mvUNL._AC_UY218_.jpg")</f>
        <v/>
      </c>
      <c r="I1142" t="n">
        <v>0</v>
      </c>
      <c r="J1142" t="inlineStr">
        <is>
          <t>you can buy 2 pcs and still profitable but low sales</t>
        </is>
      </c>
      <c r="K1142" t="inlineStr">
        <is>
          <t>19.51</t>
        </is>
      </c>
      <c r="L1142" t="n">
        <v>59.52</v>
      </c>
      <c r="M1142" s="1" t="inlineStr">
        <is>
          <t>205.07%</t>
        </is>
      </c>
      <c r="N1142" s="7" t="n">
        <v>81.77</v>
      </c>
      <c r="O1142" t="n">
        <v>5</v>
      </c>
      <c r="P1142" t="n">
        <v>5</v>
      </c>
      <c r="R1142" t="inlineStr">
        <is>
          <t>InStock</t>
        </is>
      </c>
      <c r="S1142" t="inlineStr">
        <is>
          <t>22.95</t>
        </is>
      </c>
      <c r="T1142" t="inlineStr">
        <is>
          <t>3569106649188</t>
        </is>
      </c>
    </row>
    <row r="1143" ht="87" customHeight="1">
      <c r="A1143" s="2">
        <f>HYPERLINK("https://edmondsonsupply.com/collections/hvac/products/uei-dmg150-digital-micron-gauge", "https://edmondsonsupply.com/collections/hvac/products/uei-dmg150-digital-micron-gauge")</f>
        <v/>
      </c>
      <c r="B1143" s="2">
        <f>HYPERLINK("https://edmondsonsupply.com/products/uei-dmg150-digital-micron-gauge", "https://edmondsonsupply.com/products/uei-dmg150-digital-micron-gauge")</f>
        <v/>
      </c>
      <c r="C1143" t="inlineStr">
        <is>
          <t>UEi PDT650 Digital Folding Pocket Thermometer</t>
        </is>
      </c>
      <c r="D1143" t="inlineStr">
        <is>
          <t>UEi Test Instruments PDT650 Folding Pocket Digital Thermometer (Pack of 2)</t>
        </is>
      </c>
      <c r="E1143" s="2">
        <f>HYPERLINK("https://www.amazon.com/UEi-Test-Instruments-Folding-Thermometer/dp/B085PY12P1/ref=sr_1_7?keywords=UEi+PDT650+Digital+Folding+Pocket+Thermometer&amp;qid=1694734589&amp;sr=8-7", "https://www.amazon.com/UEi-Test-Instruments-Folding-Thermometer/dp/B085PY12P1/ref=sr_1_7?keywords=UEi+PDT650+Digital+Folding+Pocket+Thermometer&amp;qid=1694734589&amp;sr=8-7")</f>
        <v/>
      </c>
      <c r="F1143" t="inlineStr">
        <is>
          <t>B085PY12P1</t>
        </is>
      </c>
      <c r="G1143">
        <f>_xlfn.IMAGE("https://edmondsonsupply.com/cdn/shop/products/PDT650-1.png?v=1633030101")</f>
        <v/>
      </c>
      <c r="H1143">
        <f>_xlfn.IMAGE("https://m.media-amazon.com/images/I/314GK-mvUNL._AC_UY218_.jpg")</f>
        <v/>
      </c>
      <c r="I1143" t="n">
        <v>0</v>
      </c>
      <c r="J1143" t="inlineStr">
        <is>
          <t>you can buy 2 pcs and still profitable but low sales</t>
        </is>
      </c>
      <c r="K1143" t="inlineStr">
        <is>
          <t>19.51</t>
        </is>
      </c>
      <c r="L1143" t="n">
        <v>59.4</v>
      </c>
      <c r="M1143" s="1" t="inlineStr">
        <is>
          <t>204.46%</t>
        </is>
      </c>
      <c r="N1143" s="7" t="n">
        <v>81.36</v>
      </c>
      <c r="O1143" t="n">
        <v>4.8</v>
      </c>
      <c r="P1143" t="n">
        <v>3</v>
      </c>
      <c r="R1143" t="inlineStr">
        <is>
          <t>InStock</t>
        </is>
      </c>
      <c r="S1143" t="inlineStr">
        <is>
          <t>22.95</t>
        </is>
      </c>
      <c r="T1143" t="inlineStr">
        <is>
          <t>3569106649188</t>
        </is>
      </c>
    </row>
    <row r="1144" ht="87" customHeight="1">
      <c r="A1144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144" s="2">
        <f>HYPERLINK("https://edmondsonsupply.com/products/nu-calgon-44171-75-evap-foam-no-rinse-aerosol-coil-cleaner", "https://edmondsonsupply.com/products/nu-calgon-44171-75-evap-foam-no-rinse-aerosol-coil-cleaner")</f>
        <v/>
      </c>
      <c r="C1144" t="inlineStr">
        <is>
          <t>Nu-Calgon 4171-75 Evap Foam No Rinse, Aerosol Coil Cleaner (18 oz. can)</t>
        </is>
      </c>
      <c r="D1144" t="inlineStr">
        <is>
          <t>Nu-Calgon 4171-75 Evap Foam No Rinse Evaporator Coil Cleaner, 18 oz. (2-Pack)</t>
        </is>
      </c>
      <c r="E1144" s="2">
        <f>HYPERLINK("https://www.amazon.com/Nu-Calgon-4171-75-Evaporator-Cleaner-2-Pack/dp/B07MYLLQS6/ref=sr_1_16?keywords=Nu-Calgon+4171-75+Evap+Foam+No+Rinse%2C+Aerosol+Coil+Cleaner+%2818+oz.+can%29&amp;qid=1694734591&amp;sr=8-16", "https://www.amazon.com/Nu-Calgon-4171-75-Evaporator-Cleaner-2-Pack/dp/B07MYLLQS6/ref=sr_1_16?keywords=Nu-Calgon+4171-75+Evap+Foam+No+Rinse%2C+Aerosol+Coil+Cleaner+%2818+oz.+can%29&amp;qid=1694734591&amp;sr=8-16")</f>
        <v/>
      </c>
      <c r="F1144" t="inlineStr">
        <is>
          <t>B07MYLLQS6</t>
        </is>
      </c>
      <c r="G1144">
        <f>_xlfn.IMAGE("https://edmondsonsupply.com/cdn/shop/products/4171-75.jpg?v=1659099515")</f>
        <v/>
      </c>
      <c r="H1144">
        <f>_xlfn.IMAGE("https://m.media-amazon.com/images/I/71IAB2kEhWL._AC_UL320_.jpg")</f>
        <v/>
      </c>
      <c r="K1144" t="inlineStr">
        <is>
          <t>11.75</t>
        </is>
      </c>
      <c r="L1144" t="n">
        <v>35.71</v>
      </c>
      <c r="M1144" s="1" t="inlineStr">
        <is>
          <t>203.91%</t>
        </is>
      </c>
      <c r="N1144" s="7" t="n">
        <v>81.33</v>
      </c>
      <c r="O1144" t="n">
        <v>5</v>
      </c>
      <c r="P1144" t="n">
        <v>1</v>
      </c>
      <c r="R1144" t="inlineStr">
        <is>
          <t>InStock</t>
        </is>
      </c>
      <c r="S1144" t="inlineStr">
        <is>
          <t>17.7</t>
        </is>
      </c>
      <c r="T1144" t="inlineStr">
        <is>
          <t>7766316646616</t>
        </is>
      </c>
    </row>
    <row r="1145" ht="87" customHeight="1">
      <c r="A1145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145" s="2">
        <f>HYPERLINK("https://edmondsonsupply.com/products/nu-calgon-44171-75-evap-foam-no-rinse-aerosol-coil-cleaner", "https://edmondsonsupply.com/products/nu-calgon-44171-75-evap-foam-no-rinse-aerosol-coil-cleaner")</f>
        <v/>
      </c>
      <c r="C1145" t="inlineStr">
        <is>
          <t>Nu-Calgon 4171-75 Evap Foam No Rinse, Aerosol Coil Cleaner (18 oz. can)</t>
        </is>
      </c>
      <c r="D1145" t="inlineStr">
        <is>
          <t>Nu-Calgon 4171-75 Evap Foam No Rinse Evaporator Coil Cleaner, 18 oz. (2-Pack)</t>
        </is>
      </c>
      <c r="E1145" s="2">
        <f>HYPERLINK("https://www.amazon.com/Nu-Calgon-4171-75-Evaporator-Cleaner-2-Pack/dp/B07PT8DDBC/ref=sr_1_15?keywords=Nu-Calgon+4171-75+Evap+Foam+No+Rinse%2C+Aerosol+Coil+Cleaner+%2818+oz.+can%29&amp;qid=1694734591&amp;sr=8-15", "https://www.amazon.com/Nu-Calgon-4171-75-Evaporator-Cleaner-2-Pack/dp/B07PT8DDBC/ref=sr_1_15?keywords=Nu-Calgon+4171-75+Evap+Foam+No+Rinse%2C+Aerosol+Coil+Cleaner+%2818+oz.+can%29&amp;qid=1694734591&amp;sr=8-15")</f>
        <v/>
      </c>
      <c r="F1145" t="inlineStr">
        <is>
          <t>B07PT8DDBC</t>
        </is>
      </c>
      <c r="G1145">
        <f>_xlfn.IMAGE("https://edmondsonsupply.com/cdn/shop/products/4171-75.jpg?v=1659099515")</f>
        <v/>
      </c>
      <c r="H1145">
        <f>_xlfn.IMAGE("https://m.media-amazon.com/images/I/71IAB2kEhWL._AC_UL320_.jpg")</f>
        <v/>
      </c>
      <c r="K1145" t="inlineStr">
        <is>
          <t>11.75</t>
        </is>
      </c>
      <c r="L1145" t="n">
        <v>35.71</v>
      </c>
      <c r="M1145" s="1" t="inlineStr">
        <is>
          <t>203.91%</t>
        </is>
      </c>
      <c r="N1145" s="7" t="n">
        <v>81.31</v>
      </c>
      <c r="O1145" t="n">
        <v>5</v>
      </c>
      <c r="P1145" t="n">
        <v>1</v>
      </c>
      <c r="R1145" t="inlineStr">
        <is>
          <t>InStock</t>
        </is>
      </c>
      <c r="S1145" t="inlineStr">
        <is>
          <t>17.7</t>
        </is>
      </c>
      <c r="T1145" t="inlineStr">
        <is>
          <t>7766316646616</t>
        </is>
      </c>
    </row>
    <row r="1146" ht="87" customHeight="1">
      <c r="A1146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146" s="2">
        <f>HYPERLINK("https://edmondsonsupply.com/products/nu-calgon-44171-75-evap-foam-no-rinse-aerosol-coil-cleaner", "https://edmondsonsupply.com/products/nu-calgon-44171-75-evap-foam-no-rinse-aerosol-coil-cleaner")</f>
        <v/>
      </c>
      <c r="C1146" t="inlineStr">
        <is>
          <t>Nu-Calgon 4171-75 Evap Foam No Rinse, Aerosol Coil Cleaner (18 oz. can)</t>
        </is>
      </c>
      <c r="D1146" t="inlineStr">
        <is>
          <t>Nu-Calgon 4171-75 Evap Foam No Rinse Evaporator Coil Cleaner, 18 oz. (2-(Pack))</t>
        </is>
      </c>
      <c r="E1146" s="2">
        <f>HYPERLINK("https://www.amazon.com/Nu-Calgon-4171-75-Rinse-Evaporator-Cleaner/dp/B07H9SN5CM/ref=sr_1_21?keywords=Nu-Calgon+4171-75+Evap+Foam+No+Rinse%2C+Aerosol+Coil+Cleaner+%2818+oz.+can%29&amp;qid=1694734591&amp;sr=8-21", "https://www.amazon.com/Nu-Calgon-4171-75-Rinse-Evaporator-Cleaner/dp/B07H9SN5CM/ref=sr_1_21?keywords=Nu-Calgon+4171-75+Evap+Foam+No+Rinse%2C+Aerosol+Coil+Cleaner+%2818+oz.+can%29&amp;qid=1694734591&amp;sr=8-21")</f>
        <v/>
      </c>
      <c r="F1146" t="inlineStr">
        <is>
          <t>B07H9SN5CM</t>
        </is>
      </c>
      <c r="G1146">
        <f>_xlfn.IMAGE("https://edmondsonsupply.com/cdn/shop/products/4171-75.jpg?v=1659099515")</f>
        <v/>
      </c>
      <c r="H1146">
        <f>_xlfn.IMAGE("https://m.media-amazon.com/images/I/71f+f7VAE3L._AC_UL320_.jpg")</f>
        <v/>
      </c>
      <c r="K1146" t="inlineStr">
        <is>
          <t>11.75</t>
        </is>
      </c>
      <c r="L1146" t="n">
        <v>35.71</v>
      </c>
      <c r="M1146" s="1" t="inlineStr">
        <is>
          <t>203.91%</t>
        </is>
      </c>
      <c r="N1146" s="7" t="n">
        <v>80.76000000000001</v>
      </c>
      <c r="O1146" t="n">
        <v>4.7</v>
      </c>
      <c r="P1146" t="n">
        <v>15</v>
      </c>
      <c r="R1146" t="inlineStr">
        <is>
          <t>InStock</t>
        </is>
      </c>
      <c r="S1146" t="inlineStr">
        <is>
          <t>17.7</t>
        </is>
      </c>
      <c r="T1146" t="inlineStr">
        <is>
          <t>7766316646616</t>
        </is>
      </c>
    </row>
    <row r="1147" ht="87" customHeight="1">
      <c r="A1147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147" s="2">
        <f>HYPERLINK("https://edmondsonsupply.com/products/nu-calgon-44171-75-evap-foam-no-rinse-aerosol-coil-cleaner", "https://edmondsonsupply.com/products/nu-calgon-44171-75-evap-foam-no-rinse-aerosol-coil-cleaner")</f>
        <v/>
      </c>
      <c r="C1147" t="inlineStr">
        <is>
          <t>Nu-Calgon 4171-75 Evap Foam No Rinse, Aerosol Coil Cleaner (18 oz. can)</t>
        </is>
      </c>
      <c r="D1147" t="inlineStr">
        <is>
          <t>Nu-Calgon 4171-75 Evap Foam No Rinse Evaporator Coil Cleaner, 18 oz. (Pack 2)</t>
        </is>
      </c>
      <c r="E1147" s="2">
        <f>HYPERLINK("https://www.amazon.com/Nu-Calgon-4171-75-Rinse-Evaporator-Cleaner/dp/B083FMW98Q/ref=sr_1_12?keywords=Nu-Calgon+4171-75+Evap+Foam+No+Rinse%2C+Aerosol+Coil+Cleaner+%2818+oz.+can%29&amp;qid=1694734591&amp;sr=8-12", "https://www.amazon.com/Nu-Calgon-4171-75-Rinse-Evaporator-Cleaner/dp/B083FMW98Q/ref=sr_1_12?keywords=Nu-Calgon+4171-75+Evap+Foam+No+Rinse%2C+Aerosol+Coil+Cleaner+%2818+oz.+can%29&amp;qid=1694734591&amp;sr=8-12")</f>
        <v/>
      </c>
      <c r="F1147" t="inlineStr">
        <is>
          <t>B083FMW98Q</t>
        </is>
      </c>
      <c r="G1147">
        <f>_xlfn.IMAGE("https://edmondsonsupply.com/cdn/shop/products/4171-75.jpg?v=1659099515")</f>
        <v/>
      </c>
      <c r="H1147">
        <f>_xlfn.IMAGE("https://m.media-amazon.com/images/I/512iFy8T2TL._AC_UL320_.jpg")</f>
        <v/>
      </c>
      <c r="K1147" t="inlineStr">
        <is>
          <t>11.75</t>
        </is>
      </c>
      <c r="L1147" t="n">
        <v>35.71</v>
      </c>
      <c r="M1147" s="1" t="inlineStr">
        <is>
          <t>203.91%</t>
        </is>
      </c>
      <c r="N1147" s="7" t="n">
        <v>80.51000000000001</v>
      </c>
      <c r="O1147" t="n">
        <v>5</v>
      </c>
      <c r="P1147" t="n">
        <v>3</v>
      </c>
      <c r="R1147" t="inlineStr">
        <is>
          <t>InStock</t>
        </is>
      </c>
      <c r="S1147" t="inlineStr">
        <is>
          <t>17.7</t>
        </is>
      </c>
      <c r="T1147" t="inlineStr">
        <is>
          <t>7766316646616</t>
        </is>
      </c>
    </row>
    <row r="1148" hidden="1" ht="15.75" customHeight="1">
      <c r="A1148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148" s="2">
        <f>HYPERLINK("https://edmondsonsupply.com/products/packard-pmj216-motor-start-capacitor-216-259-mfd-110-125-vac", "https://edmondsonsupply.com/products/packard-pmj216-motor-start-capacitor-216-259-mfd-110-125-vac")</f>
        <v/>
      </c>
      <c r="C1148" t="inlineStr">
        <is>
          <t>Packard PMJ216 Motor Start Capacitor 216-259 MFD 110-125 VAC</t>
        </is>
      </c>
      <c r="D1148" t="inlineStr">
        <is>
          <t>Canamax 216-259 uF/MFD 110-125V Round Start Capacitor - Replacement for AC Motor Run or Fan Start and Cool or Heat Pump Air Conditioner - Lot -1</t>
        </is>
      </c>
      <c r="E1148" s="2">
        <f>HYPERLINK("https://www.amazon.com/Canamax-216-259-110-125V-Round-Capacitor/dp/B0B1CWPSRT/ref=sr_1_11?keywords=Packard+PMJ216+Motor+Start+Capacitor+216-259+MFD+110-125+VAC&amp;qid=1694734654&amp;sr=8-11", "https://www.amazon.com/Canamax-216-259-110-125V-Round-Capacitor/dp/B0B1CWPSRT/ref=sr_1_11?keywords=Packard+PMJ216+Motor+Start+Capacitor+216-259+MFD+110-125+VAC&amp;qid=1694734654&amp;sr=8-11")</f>
        <v/>
      </c>
      <c r="F1148" t="inlineStr">
        <is>
          <t>B0B1CWPSRT</t>
        </is>
      </c>
      <c r="G1148">
        <f>_xludf.IMAGE("https://edmondsonsupply.com/cdn/shop/products/PMJ216-2.jpg?v=1633030107")</f>
        <v/>
      </c>
      <c r="H1148">
        <f>_xludf.IMAGE("https://m.media-amazon.com/images/I/71m-vZe3GVL._AC_UY218_.jpg")</f>
        <v/>
      </c>
      <c r="K1148" t="inlineStr">
        <is>
          <t>3.63</t>
        </is>
      </c>
      <c r="L1148" t="n">
        <v>10.99</v>
      </c>
      <c r="M1148" s="1" t="inlineStr">
        <is>
          <t>202.75%</t>
        </is>
      </c>
      <c r="N1148" s="1" t="n">
        <v>80.19</v>
      </c>
      <c r="O1148" t="n">
        <v>4.4</v>
      </c>
      <c r="P1148" t="n">
        <v>8</v>
      </c>
      <c r="R1148" t="inlineStr">
        <is>
          <t>InStock</t>
        </is>
      </c>
      <c r="S1148" t="inlineStr">
        <is>
          <t>undefined</t>
        </is>
      </c>
      <c r="T1148" t="inlineStr">
        <is>
          <t>3600549642340</t>
        </is>
      </c>
    </row>
    <row r="1149" ht="87" customHeight="1">
      <c r="A1149" s="2">
        <f>HYPERLINK("https://edmondsonsupply.com/collections/hvac/products/milwaukee-48-22-2930-4-in-1-precision-multi-bit-screwdriver", "https://edmondsonsupply.com/collections/hvac/products/milwaukee-48-22-2930-4-in-1-precision-multi-bit-screwdriver")</f>
        <v/>
      </c>
      <c r="B1149" s="2">
        <f>HYPERLINK("https://edmondsonsupply.com/products/milwaukee-48-22-2930-4-in-1-precision-multi-bit-screwdriver", "https://edmondsonsupply.com/products/milwaukee-48-22-2930-4-in-1-precision-multi-bit-screwdriver")</f>
        <v/>
      </c>
      <c r="C1149" t="inlineStr">
        <is>
          <t>Milwaukee 48-22-2930 4-in-1 Precision Multi-Bit Screwdriver</t>
        </is>
      </c>
      <c r="D1149" t="inlineStr">
        <is>
          <t>48-22-2330 for Milwaukee 8-in-1 Compact Ratcheting Multi-Bit Screwdriver</t>
        </is>
      </c>
      <c r="E1149" s="2">
        <f>HYPERLINK("https://www.amazon.com/48-22-2330-Milwaukee-Ratcheting-Multi-Bit-Screwdriver/dp/B0C2VXJ8ZN/ref=sr_1_1?keywords=Milwaukee+48-22-2930+4-in-1+Precision+Multi-Bit+Screwdriver&amp;qid=1694734746&amp;sr=8-1", "https://www.amazon.com/48-22-2330-Milwaukee-Ratcheting-Multi-Bit-Screwdriver/dp/B0C2VXJ8ZN/ref=sr_1_1?keywords=Milwaukee+48-22-2930+4-in-1+Precision+Multi-Bit+Screwdriver&amp;qid=1694734746&amp;sr=8-1")</f>
        <v/>
      </c>
      <c r="F1149" t="inlineStr">
        <is>
          <t>B0C2VXJ8ZN</t>
        </is>
      </c>
      <c r="G1149">
        <f>_xlfn.IMAGE("https://edmondsonsupply.com/cdn/shop/files/48-22-2930_PrimaryImage_WEB.webp?v=1686154438")</f>
        <v/>
      </c>
      <c r="H1149">
        <f>_xlfn.IMAGE("https://m.media-amazon.com/images/I/51NHRcqTkvL._AC_UL320_.jpg")</f>
        <v/>
      </c>
      <c r="K1149" t="inlineStr">
        <is>
          <t>12.97</t>
        </is>
      </c>
      <c r="L1149" t="n">
        <v>39.26</v>
      </c>
      <c r="M1149" s="1" t="inlineStr">
        <is>
          <t>202.70%</t>
        </is>
      </c>
      <c r="N1149" s="7" t="n">
        <v>79.92</v>
      </c>
      <c r="O1149" t="n">
        <v>5</v>
      </c>
      <c r="P1149" t="n">
        <v>1</v>
      </c>
      <c r="R1149" t="inlineStr">
        <is>
          <t>InStock</t>
        </is>
      </c>
      <c r="S1149" t="inlineStr">
        <is>
          <t>17.3</t>
        </is>
      </c>
      <c r="T1149" t="inlineStr">
        <is>
          <t>7970427142360</t>
        </is>
      </c>
    </row>
    <row r="1150" ht="87" customHeight="1">
      <c r="A1150" s="2">
        <f>HYPERLINK("https://edmondsonsupply.com/collections/hvac/products/midwest-mwt-6716b-bulldog-aviation-snip", "https://edmondsonsupply.com/collections/hvac/products/midwest-mwt-6716b-bulldog-aviation-snip")</f>
        <v/>
      </c>
      <c r="B1150" s="2">
        <f>HYPERLINK("https://edmondsonsupply.com/products/midwest-mwt-6716b-bulldog-aviation-snip", "https://edmondsonsupply.com/products/midwest-mwt-6716b-bulldog-aviation-snip")</f>
        <v/>
      </c>
      <c r="C1150" t="inlineStr">
        <is>
          <t>Midwest MWT-6716B Bulldog Aviation Snip</t>
        </is>
      </c>
      <c r="D1150" t="inlineStr">
        <is>
          <t>Estwing T3-18 18 Oz Tinner's Hammer &amp; MIDWEST Bulldog Aviation Tin Snip - Straight Cut Regular Tin Cutting Shears with Forged Blade &amp; KUSH'N-POWER Comfort Grips - MWT-6716B</t>
        </is>
      </c>
      <c r="E1150" s="2">
        <f>HYPERLINK("https://www.amazon.com/Estwing-Tinners-MIDWEST-Bulldog-Aviation/dp/B0BFXT2SPF/ref=sr_1_3?keywords=Midwest+MWT-6716B+Bulldog+Aviation+Snip&amp;qid=1694734669&amp;sr=8-3", "https://www.amazon.com/Estwing-Tinners-MIDWEST-Bulldog-Aviation/dp/B0BFXT2SPF/ref=sr_1_3?keywords=Midwest+MWT-6716B+Bulldog+Aviation+Snip&amp;qid=1694734669&amp;sr=8-3")</f>
        <v/>
      </c>
      <c r="F1150" t="inlineStr">
        <is>
          <t>B0BFXT2SPF</t>
        </is>
      </c>
      <c r="G1150">
        <f>_xlfn.IMAGE("https://edmondsonsupply.com/cdn/shop/products/mwt-6716b.png?v=1587151187")</f>
        <v/>
      </c>
      <c r="H1150">
        <f>_xlfn.IMAGE("https://m.media-amazon.com/images/I/41uD9kRvb2L._AC_UL320_.jpg")</f>
        <v/>
      </c>
      <c r="K1150" t="inlineStr">
        <is>
          <t>21.2</t>
        </is>
      </c>
      <c r="L1150" t="n">
        <v>63.67</v>
      </c>
      <c r="M1150" s="1" t="inlineStr">
        <is>
          <t>200.33%</t>
        </is>
      </c>
      <c r="N1150" s="7" t="n">
        <v>79.41</v>
      </c>
      <c r="O1150" t="n">
        <v>4.8</v>
      </c>
      <c r="P1150" t="n">
        <v>3086</v>
      </c>
      <c r="R1150" t="inlineStr">
        <is>
          <t>InStock</t>
        </is>
      </c>
      <c r="S1150" t="inlineStr">
        <is>
          <t>31.11</t>
        </is>
      </c>
      <c r="T1150" t="inlineStr">
        <is>
          <t>3688937390180</t>
        </is>
      </c>
    </row>
    <row r="1151" ht="87" customHeight="1">
      <c r="A1151" s="2">
        <f>HYPERLINK("https://edmondsonsupply.com/collections/hvac/products/klein-tools-et05-digital-pocket-thermometer", "https://edmondsonsupply.com/collections/hvac/products/klein-tools-et05-digital-pocket-thermometer")</f>
        <v/>
      </c>
      <c r="B1151" s="2">
        <f>HYPERLINK("https://edmondsonsupply.com/products/klein-tools-et05-digital-pocket-thermometer", "https://edmondsonsupply.com/products/klein-tools-et05-digital-pocket-thermometer")</f>
        <v/>
      </c>
      <c r="C1151" t="inlineStr">
        <is>
          <t>Klein Tools ET05 Digital Pocket Thermometer</t>
        </is>
      </c>
      <c r="D1151" t="inlineStr">
        <is>
          <t>Klein Tools IR1 Infrared Thermometer, Digital Laser Gun is Non-Contact Thermometer with a Temperature Range -4 to 752-Degree Fahrenheit &amp; ET05 Digital Pocket Thermometer</t>
        </is>
      </c>
      <c r="E1151" s="2">
        <f>HYPERLINK("https://www.amazon.com/Klein-Tools-Thermometer-Non-Contact-Temperature/dp/B0BC88SF8V/ref=sr_1_3?keywords=Klein+Tools+ET05+Digital+Pocket+Thermometer&amp;qid=1694734826&amp;sr=8-3", "https://www.amazon.com/Klein-Tools-Thermometer-Non-Contact-Temperature/dp/B0BC88SF8V/ref=sr_1_3?keywords=Klein+Tools+ET05+Digital+Pocket+Thermometer&amp;qid=1694734826&amp;sr=8-3")</f>
        <v/>
      </c>
      <c r="F1151" t="inlineStr">
        <is>
          <t>B0BC88SF8V</t>
        </is>
      </c>
      <c r="G1151">
        <f>_xlfn.IMAGE("https://edmondsonsupply.com/cdn/shop/products/et05.jpg?v=1587144900")</f>
        <v/>
      </c>
      <c r="H1151">
        <f>_xlfn.IMAGE("https://m.media-amazon.com/images/I/41SkeuD-HkL._AC_UY218_.jpg")</f>
        <v/>
      </c>
      <c r="K1151" t="inlineStr">
        <is>
          <t>15.97</t>
        </is>
      </c>
      <c r="L1151" t="n">
        <v>47.96</v>
      </c>
      <c r="M1151" s="1" t="inlineStr">
        <is>
          <t>200.31%</t>
        </is>
      </c>
      <c r="N1151" s="7" t="n">
        <v>79.26000000000001</v>
      </c>
      <c r="O1151" t="n">
        <v>5</v>
      </c>
      <c r="P1151" t="n">
        <v>4</v>
      </c>
      <c r="R1151" t="inlineStr">
        <is>
          <t>InStock</t>
        </is>
      </c>
      <c r="S1151" t="inlineStr">
        <is>
          <t>25.18</t>
        </is>
      </c>
      <c r="T1151" t="inlineStr">
        <is>
          <t>4300015763556</t>
        </is>
      </c>
    </row>
    <row r="1152" ht="87" customHeight="1">
      <c r="A1152" s="2">
        <f>HYPERLINK("https://edmondsonsupply.com/collections/hvac/products/klein-tools-mag2-magnetizer-demagnetizer", "https://edmondsonsupply.com/collections/hvac/products/klein-tools-mag2-magnetizer-demagnetizer")</f>
        <v/>
      </c>
      <c r="B1152" s="2">
        <f>HYPERLINK("https://edmondsonsupply.com/products/klein-tools-mag2-magnetizer-demagnetizer", "https://edmondsonsupply.com/products/klein-tools-mag2-magnetizer-demagnetizer")</f>
        <v/>
      </c>
      <c r="C1152" t="inlineStr">
        <is>
          <t>Klein Tools MAG2 Magnetizer / Demagnetizer</t>
        </is>
      </c>
      <c r="D1152" t="inlineStr">
        <is>
          <t>Klein ToolsKlein Tools 55895 Magnetic Wristband &amp; MAG2 Demagnetizer/Magnetizer for Screwdriver Bits and Tips, Makes Tools Magnetic with Powerful Rare-Earth MagnetKlein Tools</t>
        </is>
      </c>
      <c r="E1152" s="2">
        <f>HYPERLINK("https://www.amazon.com/Klein-Tools-Demagnetizer-Screwdriver-MagnetKlein/dp/B0BSKR7CQX/ref=sr_1_5?keywords=Klein+Tools+MAG2+Magnetizer+%2F+Demagnetizer&amp;qid=1694734636&amp;sr=8-5", "https://www.amazon.com/Klein-Tools-Demagnetizer-Screwdriver-MagnetKlein/dp/B0BSKR7CQX/ref=sr_1_5?keywords=Klein+Tools+MAG2+Magnetizer+%2F+Demagnetizer&amp;qid=1694734636&amp;sr=8-5")</f>
        <v/>
      </c>
      <c r="F1152" t="inlineStr">
        <is>
          <t>B0BSKR7CQX</t>
        </is>
      </c>
      <c r="G1152">
        <f>_xlfn.IMAGE("https://edmondsonsupply.com/cdn/shop/products/mag2.jpg?v=1587145008")</f>
        <v/>
      </c>
      <c r="H1152">
        <f>_xlfn.IMAGE("https://m.media-amazon.com/images/I/415MdIpH5SL._AC_UL320_.jpg")</f>
        <v/>
      </c>
      <c r="K1152" t="inlineStr">
        <is>
          <t>9.97</t>
        </is>
      </c>
      <c r="L1152" t="n">
        <v>29.94</v>
      </c>
      <c r="M1152" s="1" t="inlineStr">
        <is>
          <t>200.30%</t>
        </is>
      </c>
      <c r="N1152" s="7" t="n">
        <v>79.18000000000001</v>
      </c>
      <c r="O1152" t="n">
        <v>5</v>
      </c>
      <c r="P1152" t="n">
        <v>1</v>
      </c>
      <c r="R1152" t="inlineStr">
        <is>
          <t>InStock</t>
        </is>
      </c>
      <c r="S1152" t="inlineStr">
        <is>
          <t>13.96</t>
        </is>
      </c>
      <c r="T1152" t="inlineStr">
        <is>
          <t>1706086858852</t>
        </is>
      </c>
    </row>
    <row r="1153" ht="87" customHeight="1">
      <c r="A1153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153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153" t="inlineStr">
        <is>
          <t>Klein Tools 70550 Pro Folding Hex Key Set, 11-Key, SAE Sizes</t>
        </is>
      </c>
      <c r="D1153" t="inlineStr">
        <is>
          <t>Klein Tools J63050 Cable Cutter &amp; 70550 Hex Wrench Key Set, 11 SAE Sizes, Heavy Duty Folding Allen Wrench Tool with Extra Long Hex Keys</t>
        </is>
      </c>
      <c r="E1153" s="2">
        <f>HYPERLINK("https://www.amazon.com/Klein-Tools-J63050-Cutter-Folding/dp/B0BGRFTTHG/ref=sr_1_24?keywords=Klein+Tools+70550+Pro+Folding+Hex+Key+Set%2C+11-Key%2C+SAE+Sizes&amp;qid=1694734808&amp;sr=8-24", "https://www.amazon.com/Klein-Tools-J63050-Cutter-Folding/dp/B0BGRFTTHG/ref=sr_1_24?keywords=Klein+Tools+70550+Pro+Folding+Hex+Key+Set%2C+11-Key%2C+SAE+Sizes&amp;qid=1694734808&amp;sr=8-24")</f>
        <v/>
      </c>
      <c r="F1153" t="inlineStr">
        <is>
          <t>B0BGRFTTHG</t>
        </is>
      </c>
      <c r="G1153">
        <f>_xlfn.IMAGE("https://edmondsonsupply.com/cdn/shop/products/70550.jpg?v=1587145237")</f>
        <v/>
      </c>
      <c r="H1153">
        <f>_xlfn.IMAGE("https://m.media-amazon.com/images/I/41idJXfJBsL._AC_UL320_.jpg")</f>
        <v/>
      </c>
      <c r="K1153" t="inlineStr">
        <is>
          <t>19.97</t>
        </is>
      </c>
      <c r="L1153" t="n">
        <v>59.96</v>
      </c>
      <c r="M1153" s="1" t="inlineStr">
        <is>
          <t>200.25%</t>
        </is>
      </c>
      <c r="N1153" s="7" t="n">
        <v>78.73</v>
      </c>
      <c r="O1153" t="n">
        <v>5</v>
      </c>
      <c r="P1153" t="n">
        <v>1</v>
      </c>
      <c r="R1153" t="inlineStr">
        <is>
          <t>InStock</t>
        </is>
      </c>
      <c r="S1153" t="inlineStr">
        <is>
          <t>27.18</t>
        </is>
      </c>
      <c r="T1153" t="inlineStr">
        <is>
          <t>3693538082916</t>
        </is>
      </c>
    </row>
    <row r="1154" hidden="1" ht="15.75" customHeight="1">
      <c r="A1154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1154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1154" t="inlineStr">
        <is>
          <t>Holyoke Fittings 1055-12FPFH 3/4" Garden Hose Thread Fitting - Brass Nut Female to Female Pipe Swivel Adapter</t>
        </is>
      </c>
      <c r="D1154" t="inlineStr">
        <is>
          <t>Garden Hose Adapter Double Female Brass Swivel Thread Size 1/2" NPT (F) to 3/4" GHT(F) Garden Pipe Joint Extension Repair Fitting(4PCS)</t>
        </is>
      </c>
      <c r="E1154" s="2">
        <f>HYPERLINK("https://www.amazon.com/HZFJ-Connector-Adapter-Industrial-Threaded/dp/B08CT81YN8/ref=sr_1_10?keywords=Holyoke+Fittings+1055-12FPFH+3%2F4%22+Garden+Hose+Thread+Fitting+-+Brass+Nut+Female+to+Female+Pipe+Swivel+Adapter&amp;qid=1694734917&amp;sr=8-10", "https://www.amazon.com/HZFJ-Connector-Adapter-Industrial-Threaded/dp/B08CT81YN8/ref=sr_1_10?keywords=Holyoke+Fittings+1055-12FPFH+3%2F4%22+Garden+Hose+Thread+Fitting+-+Brass+Nut+Female+to+Female+Pipe+Swivel+Adapter&amp;qid=1694734917&amp;sr=8-10")</f>
        <v/>
      </c>
      <c r="F1154" t="inlineStr">
        <is>
          <t>B08CT81YN8</t>
        </is>
      </c>
      <c r="G1154">
        <f>_xludf.IMAGE("https://edmondsonsupply.com/cdn/shop/files/1055-12FPFH_1.jpg?v=1686089478")</f>
        <v/>
      </c>
      <c r="H1154">
        <f>_xludf.IMAGE("https://m.media-amazon.com/images/I/71NWNfmHHyL._AC_UL320_.jpg")</f>
        <v/>
      </c>
      <c r="K1154" t="inlineStr">
        <is>
          <t>4.29</t>
        </is>
      </c>
      <c r="L1154" t="n">
        <v>12.88</v>
      </c>
      <c r="M1154" s="1" t="inlineStr">
        <is>
          <t>200.23%</t>
        </is>
      </c>
      <c r="N1154" s="1" t="n">
        <v>78.51000000000001</v>
      </c>
      <c r="O1154" t="n">
        <v>3.9</v>
      </c>
      <c r="P1154" t="n">
        <v>34</v>
      </c>
      <c r="R1154" t="inlineStr">
        <is>
          <t>InStock</t>
        </is>
      </c>
      <c r="S1154" t="inlineStr">
        <is>
          <t>5.81</t>
        </is>
      </c>
      <c r="T1154" t="inlineStr">
        <is>
          <t>8002208432344</t>
        </is>
      </c>
    </row>
    <row r="1155" ht="87" customHeight="1">
      <c r="A1155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155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155" t="inlineStr">
        <is>
          <t>Klein Tools 70550 Pro Folding Hex Key Set, 11-Key, SAE Sizes</t>
        </is>
      </c>
      <c r="D1155" t="inlineStr">
        <is>
          <t>Klein Tools D213-9NE-CR Lineman's Crimping Pliers, Streamlined High-Leverage Design &amp; 70550 Hex Wrench Key Set, 11 SAE Sizes, Heavy Duty Folding Allen Wrench Tool</t>
        </is>
      </c>
      <c r="E1155" s="2">
        <f>HYPERLINK("https://www.amazon.com/Klein-Tools-D213-9NE-CR-Streamlined-High-Leverage/dp/B0CF2DX69F/ref=sr_1_6?keywords=Klein+Tools+70550+Pro+Folding+Hex+Key+Set%2C+11-Key%2C+SAE+Sizes&amp;qid=1694734808&amp;sr=8-6", "https://www.amazon.com/Klein-Tools-D213-9NE-CR-Streamlined-High-Leverage/dp/B0CF2DX69F/ref=sr_1_6?keywords=Klein+Tools+70550+Pro+Folding+Hex+Key+Set%2C+11-Key%2C+SAE+Sizes&amp;qid=1694734808&amp;sr=8-6")</f>
        <v/>
      </c>
      <c r="F1155" t="inlineStr">
        <is>
          <t>B0CF2DX69F</t>
        </is>
      </c>
      <c r="G1155">
        <f>_xlfn.IMAGE("https://edmondsonsupply.com/cdn/shop/products/70550.jpg?v=1587145237")</f>
        <v/>
      </c>
      <c r="H1155">
        <f>_xlfn.IMAGE("https://m.media-amazon.com/images/I/41y47GmHWhL._AC_UL320_.jpg")</f>
        <v/>
      </c>
      <c r="K1155" t="inlineStr">
        <is>
          <t>19.97</t>
        </is>
      </c>
      <c r="L1155" t="n">
        <v>59.94</v>
      </c>
      <c r="M1155" s="1" t="inlineStr">
        <is>
          <t>200.15%</t>
        </is>
      </c>
      <c r="N1155" s="7" t="n">
        <v>78.51000000000001</v>
      </c>
      <c r="O1155" t="n">
        <v>4.8</v>
      </c>
      <c r="P1155" t="n">
        <v>4116</v>
      </c>
      <c r="R1155" t="inlineStr">
        <is>
          <t>InStock</t>
        </is>
      </c>
      <c r="S1155" t="inlineStr">
        <is>
          <t>27.18</t>
        </is>
      </c>
      <c r="T1155" t="inlineStr">
        <is>
          <t>3693538082916</t>
        </is>
      </c>
    </row>
    <row r="1156" ht="87" customHeight="1">
      <c r="A1156" s="2">
        <f>HYPERLINK("https://edmondsonsupply.com/collections/hvac/products/klein-tools-33736ins", "https://edmondsonsupply.com/collections/hvac/products/klein-tools-33736ins")</f>
        <v/>
      </c>
      <c r="B1156" s="2">
        <f>HYPERLINK("https://edmondsonsupply.com/products/klein-tools-33736ins", "https://edmondsonsupply.com/products/klein-tools-33736ins")</f>
        <v/>
      </c>
      <c r="C1156" t="inlineStr">
        <is>
          <t>Klein Tools 33736INS Screwdriver Set, 1000V Slim-Tip Insulated and Magnetizer, 6-Piece</t>
        </is>
      </c>
      <c r="D1156" t="inlineStr">
        <is>
          <t>Klein Tools 94130 1000V Insulated Screwdriver Tool Set &amp; 33736INS Klein Tools 33736INS Insulated Screwdriver Set, 1000V Slim-Tip Driver with Phillips, 6-Piece</t>
        </is>
      </c>
      <c r="E1156" s="2">
        <f>HYPERLINK("https://www.amazon.com/Klein-Tools-Insulated-Screwdriver-33736INS/dp/B0B68LYZC5/ref=sr_1_12?keywords=Klein+Tools+33736INS+Screwdriver+Set%2C+1000V+Slim-Tip+Insulated+and+Magnetizer%2C+6-Piece&amp;qid=1694734753&amp;sr=8-12", "https://www.amazon.com/Klein-Tools-Insulated-Screwdriver-33736INS/dp/B0B68LYZC5/ref=sr_1_12?keywords=Klein+Tools+33736INS+Screwdriver+Set%2C+1000V+Slim-Tip+Insulated+and+Magnetizer%2C+6-Piece&amp;qid=1694734753&amp;sr=8-12")</f>
        <v/>
      </c>
      <c r="F1156" t="inlineStr">
        <is>
          <t>B0B68LYZC5</t>
        </is>
      </c>
      <c r="G1156">
        <f>_xlfn.IMAGE("https://edmondsonsupply.com/cdn/shop/products/33736ins.jpg?v=1664807705")</f>
        <v/>
      </c>
      <c r="H1156">
        <f>_xlfn.IMAGE("https://m.media-amazon.com/images/I/51pS8BxuJGL._AC_UL320_.jpg")</f>
        <v/>
      </c>
      <c r="K1156" t="inlineStr">
        <is>
          <t>49.99</t>
        </is>
      </c>
      <c r="L1156" t="n">
        <v>149.98</v>
      </c>
      <c r="M1156" s="1" t="inlineStr">
        <is>
          <t>200.02%</t>
        </is>
      </c>
      <c r="N1156" s="7" t="n">
        <v>78.31</v>
      </c>
      <c r="O1156" t="n">
        <v>4.9</v>
      </c>
      <c r="P1156" t="n">
        <v>11</v>
      </c>
      <c r="R1156" t="inlineStr">
        <is>
          <t>InStock</t>
        </is>
      </c>
      <c r="S1156" t="inlineStr">
        <is>
          <t>73.98</t>
        </is>
      </c>
      <c r="T1156" t="inlineStr">
        <is>
          <t>7837641375960</t>
        </is>
      </c>
    </row>
    <row r="1157" hidden="1" ht="15.75" customHeight="1">
      <c r="A1157" s="2">
        <f>HYPERLINK("https://edmondsonsupply.com/collections/hvac/products/packard-pmj88-motor-start-capacitor-88-108-mfd-110-125-vac", "https://edmondsonsupply.com/collections/hvac/products/packard-pmj88-motor-start-capacitor-88-108-mfd-110-125-vac")</f>
        <v/>
      </c>
      <c r="B1157" s="2">
        <f>HYPERLINK("https://edmondsonsupply.com/products/packard-pmj88-motor-start-capacitor-88-108-mfd-110-125-vac", "https://edmondsonsupply.com/products/packard-pmj88-motor-start-capacitor-88-108-mfd-110-125-vac")</f>
        <v/>
      </c>
      <c r="C1157" t="inlineStr">
        <is>
          <t>Packard PMJ88 Motor Start Capacitor 88-108 MFD 110-125 VAC</t>
        </is>
      </c>
      <c r="D1157" t="inlineStr">
        <is>
          <t>USA Motor Start Capacitor 88-108 uF MFD 110 125 VAC Replaces 11009 11909 PMJ88 PMJ88A</t>
        </is>
      </c>
      <c r="E1157" s="2">
        <f>HYPERLINK("https://www.amazon.com/Motor-Capacitor-88-108-Replaces-PMJ88A/dp/B07M5MD13K/ref=sr_1_2?keywords=Packard+PMJ88+Motor+Start+Capacitor+88-108+MFD+110-125+VAC&amp;qid=1694734709&amp;sr=8-2", "https://www.amazon.com/Motor-Capacitor-88-108-Replaces-PMJ88A/dp/B07M5MD13K/ref=sr_1_2?keywords=Packard+PMJ88+Motor+Start+Capacitor+88-108+MFD+110-125+VAC&amp;qid=1694734709&amp;sr=8-2")</f>
        <v/>
      </c>
      <c r="F1157" t="inlineStr">
        <is>
          <t>B07M5MD13K</t>
        </is>
      </c>
      <c r="G1157">
        <f>_xludf.IMAGE("https://edmondsonsupply.com/cdn/shop/products/PMJ88-2.jpg?v=1633030893")</f>
        <v/>
      </c>
      <c r="H1157">
        <f>_xludf.IMAGE("https://m.media-amazon.com/images/I/41R9VZrTw0L._AC_UY218_.jpg")</f>
        <v/>
      </c>
      <c r="K1157" t="inlineStr">
        <is>
          <t>3.1</t>
        </is>
      </c>
      <c r="L1157" t="n">
        <v>9.300000000000001</v>
      </c>
      <c r="M1157" s="1" t="inlineStr">
        <is>
          <t>200.00%</t>
        </is>
      </c>
      <c r="N1157" s="1" t="n">
        <v>78.3</v>
      </c>
      <c r="O1157" t="n">
        <v>4.8</v>
      </c>
      <c r="P1157" t="n">
        <v>14</v>
      </c>
      <c r="R1157" t="inlineStr">
        <is>
          <t>InStock</t>
        </is>
      </c>
      <c r="S1157" t="inlineStr">
        <is>
          <t>undefined</t>
        </is>
      </c>
      <c r="T1157" t="inlineStr">
        <is>
          <t>6224638771373</t>
        </is>
      </c>
    </row>
    <row r="1158" ht="87" customHeight="1">
      <c r="A1158" s="2">
        <f>HYPERLINK("https://edmondsonsupply.com/collections/hvac/products/wiha-tools-32267-5-16-insulated-softfinish-nut-driver", "https://edmondsonsupply.com/collections/hvac/products/wiha-tools-32267-5-16-insulated-softfinish-nut-driver")</f>
        <v/>
      </c>
      <c r="B1158" s="2">
        <f>HYPERLINK("https://edmondsonsupply.com/products/wiha-tools-32267-5-16-insulated-softfinish-nut-driver", "https://edmondsonsupply.com/products/wiha-tools-32267-5-16-insulated-softfinish-nut-driver")</f>
        <v/>
      </c>
      <c r="C1158" t="inlineStr">
        <is>
          <t>Wiha Tools 32267 5/16" Insulated SoftFinish Nut Driver</t>
        </is>
      </c>
      <c r="D1158" t="inlineStr">
        <is>
          <t>Wiha Tools - Softfinish Insulated Nut Drivers Insulated Nut Driver 9/16 X 125Mm: 817-32278 - insulated nut driver 9/16 x 125mm</t>
        </is>
      </c>
      <c r="E1158" s="2">
        <f>HYPERLINK("https://www.amazon.com/Wiha-Tools-Softfinish-Insulated-817-32278/dp/B00462C2Q8/ref=sr_1_7?keywords=Wiha+Tools+32267+5%2F16%22+Insulated+SoftFinish+Nut+Driver&amp;qid=1694734866&amp;sr=8-7", "https://www.amazon.com/Wiha-Tools-Softfinish-Insulated-817-32278/dp/B00462C2Q8/ref=sr_1_7?keywords=Wiha+Tools+32267+5%2F16%22+Insulated+SoftFinish+Nut+Driver&amp;qid=1694734866&amp;sr=8-7")</f>
        <v/>
      </c>
      <c r="F1158" t="inlineStr">
        <is>
          <t>B00462C2Q8</t>
        </is>
      </c>
      <c r="G1158">
        <f>_xlfn.IMAGE("https://edmondsonsupply.com/cdn/shop/files/rciu0sq7tzs63xknaigt_1000x_e86d418b-6e53-4045-8f98-eeef581842a3.webp?v=1690929607")</f>
        <v/>
      </c>
      <c r="H1158">
        <f>_xlfn.IMAGE("https://m.media-amazon.com/images/I/21iQCrsshfL._AC_UL320_.jpg")</f>
        <v/>
      </c>
      <c r="K1158" t="inlineStr">
        <is>
          <t>11.92</t>
        </is>
      </c>
      <c r="L1158" t="n">
        <v>35.73</v>
      </c>
      <c r="M1158" s="1" t="inlineStr">
        <is>
          <t>199.75%</t>
        </is>
      </c>
      <c r="N1158" s="7" t="n">
        <v>77.40000000000001</v>
      </c>
      <c r="O1158" t="n">
        <v>5</v>
      </c>
      <c r="P1158" t="n">
        <v>2</v>
      </c>
      <c r="R1158" t="inlineStr">
        <is>
          <t>InStock</t>
        </is>
      </c>
      <c r="S1158" t="inlineStr">
        <is>
          <t>15.9</t>
        </is>
      </c>
      <c r="T1158" t="inlineStr">
        <is>
          <t>8023582146776</t>
        </is>
      </c>
    </row>
    <row r="1159" ht="87" customHeight="1">
      <c r="A1159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159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159" t="inlineStr">
        <is>
          <t>Klein Tools 32304 14-in-1 HVAC Adjustable-Length Impact Screwdriver with Flip Socket</t>
        </is>
      </c>
      <c r="D1159" t="inlineStr">
        <is>
          <t>Klein Tools 80019 Tool Set, 4-Piece &amp; 14-in-1 Adjustable Screwdriver with Flip Socket, HVAC Nut Drivers and Bits, Impact Rated Klein Tools 32304</t>
        </is>
      </c>
      <c r="E1159" s="2">
        <f>HYPERLINK("https://www.amazon.com/Klein-Tools-4-Piece-Adjustable-Screwdriver/dp/B0BNL5HQM7/ref=sr_1_7?keywords=Klein+Tools+32304+14-in-1+HVAC+Adjustable-Length+Impact+Screwdriver+with+Flip+Socket&amp;qid=1694734657&amp;sr=8-7", "https://www.amazon.com/Klein-Tools-4-Piece-Adjustable-Screwdriver/dp/B0BNL5HQM7/ref=sr_1_7?keywords=Klein+Tools+32304+14-in-1+HVAC+Adjustable-Length+Impact+Screwdriver+with+Flip+Socket&amp;qid=1694734657&amp;sr=8-7")</f>
        <v/>
      </c>
      <c r="F1159" t="inlineStr">
        <is>
          <t>B0BNL5HQM7</t>
        </is>
      </c>
      <c r="G1159">
        <f>_xlfn.IMAGE("https://edmondsonsupply.com/cdn/shop/products/32304.jpg?v=1666019479")</f>
        <v/>
      </c>
      <c r="H1159">
        <f>_xlfn.IMAGE("https://m.media-amazon.com/images/I/51dN3TkXfJL._AC_UL320_.jpg")</f>
        <v/>
      </c>
      <c r="K1159" t="inlineStr">
        <is>
          <t>24.97</t>
        </is>
      </c>
      <c r="L1159" t="n">
        <v>74.76000000000001</v>
      </c>
      <c r="M1159" s="1" t="inlineStr">
        <is>
          <t>199.40%</t>
        </is>
      </c>
      <c r="N1159" s="7" t="n">
        <v>76.72</v>
      </c>
      <c r="O1159" t="n">
        <v>5</v>
      </c>
      <c r="P1159" t="n">
        <v>8</v>
      </c>
      <c r="R1159" t="inlineStr">
        <is>
          <t>InStock</t>
        </is>
      </c>
      <c r="S1159" t="inlineStr">
        <is>
          <t>34.98</t>
        </is>
      </c>
      <c r="T1159" t="inlineStr">
        <is>
          <t>7856604578008</t>
        </is>
      </c>
    </row>
    <row r="1160" ht="87" customHeight="1">
      <c r="A1160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1160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1160" t="inlineStr">
        <is>
          <t>ICM Controls ICM289 Furnace Control Board - Replacement for Lennox</t>
        </is>
      </c>
      <c r="D1160" t="inlineStr">
        <is>
          <t>ICM Controls ICM280 Furnace Control Replacement for OEM Models Including Goodman B18099-xx Series Control Boards, Multicolor (Twо Расk)</t>
        </is>
      </c>
      <c r="E1160" s="2">
        <f>HYPERLINK("https://www.amazon.com/ICM-Replacement-Including-B18099-xx-Multicolor/dp/B0893PWC76/ref=sr_1_24?keywords=ICM+Controls+ICM289+Furnace+Control+Board+-+Replacement+for+Lennox&amp;qid=1694734661&amp;sr=8-24", "https://www.amazon.com/ICM-Replacement-Including-B18099-xx-Multicolor/dp/B0893PWC76/ref=sr_1_24?keywords=ICM+Controls+ICM289+Furnace+Control+Board+-+Replacement+for+Lennox&amp;qid=1694734661&amp;sr=8-24")</f>
        <v/>
      </c>
      <c r="F1160" t="inlineStr">
        <is>
          <t>B0893PWC76</t>
        </is>
      </c>
      <c r="G1160">
        <f>_xlfn.IMAGE("https://edmondsonsupply.com/cdn/shop/products/photo_3601_medium_abc82be0-5d13-465a-9be5-04a6748e2d27.png?v=1656728911")</f>
        <v/>
      </c>
      <c r="H1160">
        <f>_xlfn.IMAGE("https://m.media-amazon.com/images/I/61JykELT0fL._AC_UL320_.jpg")</f>
        <v/>
      </c>
      <c r="K1160" t="inlineStr">
        <is>
          <t>134.99</t>
        </is>
      </c>
      <c r="L1160" t="n">
        <v>403.68</v>
      </c>
      <c r="M1160" s="1" t="inlineStr">
        <is>
          <t>199.04%</t>
        </is>
      </c>
      <c r="N1160" s="7" t="n">
        <v>76.63</v>
      </c>
      <c r="O1160" t="n">
        <v>4.5</v>
      </c>
      <c r="P1160" t="n">
        <v>457</v>
      </c>
      <c r="R1160" t="inlineStr">
        <is>
          <t>OutOfStock</t>
        </is>
      </c>
      <c r="S1160" t="inlineStr">
        <is>
          <t>198.98</t>
        </is>
      </c>
      <c r="T1160" t="inlineStr">
        <is>
          <t>7735114432728</t>
        </is>
      </c>
    </row>
    <row r="1161" ht="87" customHeight="1">
      <c r="A1161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161" s="2">
        <f>HYPERLINK("https://edmondsonsupply.com/products/klein-tools-935dag-digital-angle-gauge-and-level", "https://edmondsonsupply.com/products/klein-tools-935dag-digital-angle-gauge-and-level")</f>
        <v/>
      </c>
      <c r="C1161" t="inlineStr">
        <is>
          <t>Klein Tools 935DAG Digital Angle Gauge and Level</t>
        </is>
      </c>
      <c r="D1161" t="inlineStr">
        <is>
          <t>Klein Tools 935DAGL Digital Level Angle Finder &amp; 935DAG Digital Electronic Level and Angle Gauge, Measures 0-90 and 0-180 Degree Ranges, Measures and Sets Angles</t>
        </is>
      </c>
      <c r="E1161" s="2">
        <f>HYPERLINK("https://www.amazon.com/Klein-Tools-935DAGL-Electronic-Measures/dp/B0BNL46JTV/ref=sr_1_5?keywords=Klein+Tools+935DAG+Digital+Angle+Gauge+and+Level&amp;qid=1694734733&amp;sr=8-5", "https://www.amazon.com/Klein-Tools-935DAGL-Electronic-Measures/dp/B0BNL46JTV/ref=sr_1_5?keywords=Klein+Tools+935DAG+Digital+Angle+Gauge+and+Level&amp;qid=1694734733&amp;sr=8-5")</f>
        <v/>
      </c>
      <c r="F1161" t="inlineStr">
        <is>
          <t>B0BNL46JTV</t>
        </is>
      </c>
      <c r="G1161">
        <f>_xlfn.IMAGE("https://edmondsonsupply.com/cdn/shop/products/935dag.jpg?v=1587145032")</f>
        <v/>
      </c>
      <c r="H1161">
        <f>_xlfn.IMAGE("https://m.media-amazon.com/images/I/518pZRTQawL._AC_UL320_.jpg")</f>
        <v/>
      </c>
      <c r="K1161" t="inlineStr">
        <is>
          <t>29.97</t>
        </is>
      </c>
      <c r="L1161" t="n">
        <v>89.54000000000001</v>
      </c>
      <c r="M1161" s="1" t="inlineStr">
        <is>
          <t>198.77%</t>
        </is>
      </c>
      <c r="N1161" s="7" t="n">
        <v>76.45</v>
      </c>
      <c r="O1161" t="n">
        <v>4.7</v>
      </c>
      <c r="P1161" t="n">
        <v>5</v>
      </c>
      <c r="R1161" t="inlineStr">
        <is>
          <t>InStock</t>
        </is>
      </c>
      <c r="S1161" t="inlineStr">
        <is>
          <t>45.0</t>
        </is>
      </c>
      <c r="T1161" t="inlineStr">
        <is>
          <t>4167487094884</t>
        </is>
      </c>
    </row>
    <row r="1162" ht="87" customHeight="1">
      <c r="A1162" s="2">
        <f>HYPERLINK("https://edmondsonsupply.com/collections/hvac/products/klein-tools-55580-tradesman-tumbler", "https://edmondsonsupply.com/collections/hvac/products/klein-tools-55580-tradesman-tumbler")</f>
        <v/>
      </c>
      <c r="B1162" s="2">
        <f>HYPERLINK("https://edmondsonsupply.com/products/klein-tools-55580-tradesman-tumbler", "https://edmondsonsupply.com/products/klein-tools-55580-tradesman-tumbler")</f>
        <v/>
      </c>
      <c r="C1162" t="inlineStr">
        <is>
          <t>Klein Tools 55580 Tradesman Tumbler</t>
        </is>
      </c>
      <c r="D1162" t="inlineStr">
        <is>
          <t>Klein Tools 55600 Work Cooler, 17-Quart Lunch Box Holds 18 Cans &amp; Klein Tools 55580 Stainless Steel Tumbler with Flip-top Lid, Insulated 20 oz. Tradesman's Double Wall Vacuum Mug</t>
        </is>
      </c>
      <c r="E1162" s="2">
        <f>HYPERLINK("https://www.amazon.com/Klein-Tools-Stainless-Insulated-Tradesmans/dp/B09P846GLG/ref=sr_1_3?keywords=Klein+Tools+55580+Tradesman+Tumbler&amp;qid=1694734719&amp;sr=8-3", "https://www.amazon.com/Klein-Tools-Stainless-Insulated-Tradesmans/dp/B09P846GLG/ref=sr_1_3?keywords=Klein+Tools+55580+Tradesman+Tumbler&amp;qid=1694734719&amp;sr=8-3")</f>
        <v/>
      </c>
      <c r="F1162" t="inlineStr">
        <is>
          <t>B09P846GLG</t>
        </is>
      </c>
      <c r="G1162">
        <f>_xlfn.IMAGE("https://edmondsonsupply.com/cdn/shop/products/55580.jpg?v=1633030612")</f>
        <v/>
      </c>
      <c r="H1162">
        <f>_xlfn.IMAGE("https://m.media-amazon.com/images/I/51EpNPyb4WL._AC_UL320_.jpg")</f>
        <v/>
      </c>
      <c r="K1162" t="inlineStr">
        <is>
          <t>29.97</t>
        </is>
      </c>
      <c r="L1162" t="n">
        <v>89.33</v>
      </c>
      <c r="M1162" s="1" t="inlineStr">
        <is>
          <t>198.06%</t>
        </is>
      </c>
      <c r="N1162" s="7" t="n">
        <v>75.90000000000001</v>
      </c>
      <c r="O1162" t="n">
        <v>4.7</v>
      </c>
      <c r="P1162" t="n">
        <v>33</v>
      </c>
      <c r="R1162" t="inlineStr">
        <is>
          <t>InStock</t>
        </is>
      </c>
      <c r="S1162" t="inlineStr">
        <is>
          <t>41.98</t>
        </is>
      </c>
      <c r="T1162" t="inlineStr">
        <is>
          <t>5647227846824</t>
        </is>
      </c>
    </row>
    <row r="1163" ht="87" customHeight="1">
      <c r="A1163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163" s="2">
        <f>HYPERLINK("https://edmondsonsupply.com/products/midwest-mwt-6510s-straight-offset-aviation-snip", "https://edmondsonsupply.com/products/midwest-mwt-6510s-straight-offset-aviation-snip")</f>
        <v/>
      </c>
      <c r="C1163" t="inlineStr">
        <is>
          <t>Midwest MWT-6510S Straight Offset Aviation Snip</t>
        </is>
      </c>
      <c r="D1163" t="inlineStr">
        <is>
          <t>MIDWEST Aviation Snip - Left and Right Cut Offset Stainless Steel Cutting Shears with Forged Blade &amp; KUSH'N-POWER Comfort Grips - MWT-SS6510C</t>
        </is>
      </c>
      <c r="E1163" s="2">
        <f>HYPERLINK("https://www.amazon.com/MIDWEST-Aviation-Snip-Set-KUSHN-POWER/dp/B07RC7ZBK9/ref=sr_1_4?keywords=Midwest+MWT-6510S+Straight+Offset+Aviation+Snip&amp;qid=1694734608&amp;sr=8-4", "https://www.amazon.com/MIDWEST-Aviation-Snip-Set-KUSHN-POWER/dp/B07RC7ZBK9/ref=sr_1_4?keywords=Midwest+MWT-6510S+Straight+Offset+Aviation+Snip&amp;qid=1694734608&amp;sr=8-4")</f>
        <v/>
      </c>
      <c r="F1163" t="inlineStr">
        <is>
          <t>B07RC7ZBK9</t>
        </is>
      </c>
      <c r="G1163">
        <f>_xlfn.IMAGE("https://edmondsonsupply.com/cdn/shop/products/MWT-6510S-1.jpg?v=1587150061")</f>
        <v/>
      </c>
      <c r="H1163">
        <f>_xlfn.IMAGE("https://m.media-amazon.com/images/I/71438hbSyHL._AC_UL320_.jpg")</f>
        <v/>
      </c>
      <c r="K1163" t="inlineStr">
        <is>
          <t>23.49</t>
        </is>
      </c>
      <c r="L1163" t="n">
        <v>69.98999999999999</v>
      </c>
      <c r="M1163" s="1" t="inlineStr">
        <is>
          <t>197.96%</t>
        </is>
      </c>
      <c r="N1163" s="7" t="n">
        <v>75.79000000000001</v>
      </c>
      <c r="O1163" t="n">
        <v>4.4</v>
      </c>
      <c r="P1163" t="n">
        <v>1128</v>
      </c>
      <c r="R1163" t="inlineStr">
        <is>
          <t>OutOfStock</t>
        </is>
      </c>
      <c r="S1163" t="inlineStr">
        <is>
          <t>33.49</t>
        </is>
      </c>
      <c r="T1163" t="inlineStr">
        <is>
          <t>4436158677092</t>
        </is>
      </c>
    </row>
    <row r="1164" ht="87" customHeight="1">
      <c r="A1164" s="2">
        <f>HYPERLINK("https://edmondsonsupply.com/collections/hvac/products/packard-trcfd505-titan-pro-run-capacitor-50-5-mfd-440-370-volt-round", "https://edmondsonsupply.com/collections/hvac/products/packard-trcfd505-titan-pro-run-capacitor-50-5-mfd-440-370-volt-round")</f>
        <v/>
      </c>
      <c r="B1164" s="2">
        <f>HYPERLINK("https://edmondsonsupply.com/products/packard-trcfd505-titan-pro-run-capacitor-50-5-mfd-440-370-volt-round", "https://edmondsonsupply.com/products/packard-trcfd505-titan-pro-run-capacitor-50-5-mfd-440-370-volt-round")</f>
        <v/>
      </c>
      <c r="C1164" t="inlineStr">
        <is>
          <t>Packard TRCFD505 TITAN PRO Run Capacitor 50+5 MFD 440/370 Volt Round</t>
        </is>
      </c>
      <c r="D1164" t="inlineStr">
        <is>
          <t>Titan Pro Round Motor Dual Run Capacitor, 50/5 Microfarad Rating, 370-440VAC Voltage - TRCFD505, (Pack of 2)</t>
        </is>
      </c>
      <c r="E1164" s="2">
        <f>HYPERLINK("https://www.amazon.com/Capacitor-Microfarad-Rating-370-440VAC-Voltage/dp/B07L85MNHF/ref=sr_1_2?keywords=Packard+TRCFD505+TITAN+PRO+Run+Capacitor+50+5+MFD+440%2F370+Volt+Round&amp;qid=1694734622&amp;sr=8-2", "https://www.amazon.com/Capacitor-Microfarad-Rating-370-440VAC-Voltage/dp/B07L85MNHF/ref=sr_1_2?keywords=Packard+TRCFD505+TITAN+PRO+Run+Capacitor+50+5+MFD+440%2F370+Volt+Round&amp;qid=1694734622&amp;sr=8-2")</f>
        <v/>
      </c>
      <c r="F1164" t="inlineStr">
        <is>
          <t>B07L85MNHF</t>
        </is>
      </c>
      <c r="G1164">
        <f>_xlfn.IMAGE("https://edmondsonsupply.com/cdn/shop/products/TRCFD505-2.jpg?v=1633030571")</f>
        <v/>
      </c>
      <c r="H1164">
        <f>_xlfn.IMAGE("https://m.media-amazon.com/images/I/611T+JHIHRL._AC_UY218_.jpg")</f>
        <v/>
      </c>
      <c r="K1164" t="inlineStr">
        <is>
          <t>9.96</t>
        </is>
      </c>
      <c r="L1164" t="n">
        <v>29.66</v>
      </c>
      <c r="M1164" s="1" t="inlineStr">
        <is>
          <t>197.79%</t>
        </is>
      </c>
      <c r="N1164" s="7" t="n">
        <v>75.78</v>
      </c>
      <c r="O1164" t="n">
        <v>5</v>
      </c>
      <c r="P1164" t="n">
        <v>1</v>
      </c>
      <c r="R1164" t="inlineStr">
        <is>
          <t>InStock</t>
        </is>
      </c>
      <c r="S1164" t="inlineStr">
        <is>
          <t>undefined</t>
        </is>
      </c>
      <c r="T1164" t="inlineStr">
        <is>
          <t>5480944271528</t>
        </is>
      </c>
    </row>
    <row r="1165" ht="87" customHeight="1">
      <c r="A1165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165" s="2">
        <f>HYPERLINK("https://edmondsonsupply.com/products/nu-calgon-44171-75-evap-foam-no-rinse-aerosol-coil-cleaner", "https://edmondsonsupply.com/products/nu-calgon-44171-75-evap-foam-no-rinse-aerosol-coil-cleaner")</f>
        <v/>
      </c>
      <c r="C1165" t="inlineStr">
        <is>
          <t>Nu-Calgon 4171-75 Evap Foam No Rinse, Aerosol Coil Cleaner (18 oz. can)</t>
        </is>
      </c>
      <c r="D1165" t="inlineStr">
        <is>
          <t>Nu-Calgon 4171-75 Evap Foam No Rinse Evaporator Coil Cleaner, 18 oz. (2 PACK)</t>
        </is>
      </c>
      <c r="E1165" s="2">
        <f>HYPERLINK("https://www.amazon.com/Nu-Calgon-4171-75-Rinse-Evaporator-Cleaner/dp/B079MGRQZ9/ref=sr_1_5?keywords=Nu-Calgon+4171-75+Evap+Foam+No+Rinse%2C+Aerosol+Coil+Cleaner+%2818+oz.+can%29&amp;qid=1694734591&amp;sr=8-5", "https://www.amazon.com/Nu-Calgon-4171-75-Rinse-Evaporator-Cleaner/dp/B079MGRQZ9/ref=sr_1_5?keywords=Nu-Calgon+4171-75+Evap+Foam+No+Rinse%2C+Aerosol+Coil+Cleaner+%2818+oz.+can%29&amp;qid=1694734591&amp;sr=8-5")</f>
        <v/>
      </c>
      <c r="F1165" t="inlineStr">
        <is>
          <t>B079MGRQZ9</t>
        </is>
      </c>
      <c r="G1165">
        <f>_xlfn.IMAGE("https://edmondsonsupply.com/cdn/shop/products/4171-75.jpg?v=1659099515")</f>
        <v/>
      </c>
      <c r="H1165">
        <f>_xlfn.IMAGE("https://m.media-amazon.com/images/I/71dbi-7waTL._AC_UL320_.jpg")</f>
        <v/>
      </c>
      <c r="K1165" t="inlineStr">
        <is>
          <t>11.75</t>
        </is>
      </c>
      <c r="L1165" t="n">
        <v>34.9</v>
      </c>
      <c r="M1165" s="1" t="inlineStr">
        <is>
          <t>197.02%</t>
        </is>
      </c>
      <c r="N1165" s="7" t="n">
        <v>75.78</v>
      </c>
      <c r="O1165" t="n">
        <v>4.5</v>
      </c>
      <c r="P1165" t="n">
        <v>191</v>
      </c>
      <c r="R1165" t="inlineStr">
        <is>
          <t>InStock</t>
        </is>
      </c>
      <c r="S1165" t="inlineStr">
        <is>
          <t>17.7</t>
        </is>
      </c>
      <c r="T1165" t="inlineStr">
        <is>
          <t>7766316646616</t>
        </is>
      </c>
    </row>
    <row r="1166" ht="87" customHeight="1">
      <c r="A1166" s="2">
        <f>HYPERLINK("https://edmondsonsupply.com/collections/hvac/products/midwest-mwt-6716b-bulldog-aviation-snip", "https://edmondsonsupply.com/collections/hvac/products/midwest-mwt-6716b-bulldog-aviation-snip")</f>
        <v/>
      </c>
      <c r="B1166" s="2">
        <f>HYPERLINK("https://edmondsonsupply.com/products/midwest-mwt-6716b-bulldog-aviation-snip", "https://edmondsonsupply.com/products/midwest-mwt-6716b-bulldog-aviation-snip")</f>
        <v/>
      </c>
      <c r="C1166" t="inlineStr">
        <is>
          <t>Midwest MWT-6716B Bulldog Aviation Snip</t>
        </is>
      </c>
      <c r="D1166" t="inlineStr">
        <is>
          <t>Malco C5R 5-Blade Pipe Crimper &amp; MIDWEST Bulldog Aviation Tin Snip - Straight Cut Regular Tin Cutting Shears with Forged Blade &amp; KUSH'N-POWER Comfort Grips - MWT-6716B</t>
        </is>
      </c>
      <c r="E1166" s="2">
        <f>HYPERLINK("https://www.amazon.com/Malco-5-Blade-Crimper-MIDWEST-Aviation/dp/B0CB11PTFT/ref=sr_1_4?keywords=Midwest+MWT-6716B+Bulldog+Aviation+Snip&amp;qid=1694734669&amp;sr=8-4", "https://www.amazon.com/Malco-5-Blade-Crimper-MIDWEST-Aviation/dp/B0CB11PTFT/ref=sr_1_4?keywords=Midwest+MWT-6716B+Bulldog+Aviation+Snip&amp;qid=1694734669&amp;sr=8-4")</f>
        <v/>
      </c>
      <c r="F1166" t="inlineStr">
        <is>
          <t>B0CB11PTFT</t>
        </is>
      </c>
      <c r="G1166">
        <f>_xlfn.IMAGE("https://edmondsonsupply.com/cdn/shop/products/mwt-6716b.png?v=1587151187")</f>
        <v/>
      </c>
      <c r="H1166">
        <f>_xlfn.IMAGE("https://m.media-amazon.com/images/I/41xOJQAMAlL._AC_UL320_.jpg")</f>
        <v/>
      </c>
      <c r="K1166" t="inlineStr">
        <is>
          <t>21.2</t>
        </is>
      </c>
      <c r="L1166" t="n">
        <v>62.96</v>
      </c>
      <c r="M1166" s="1" t="inlineStr">
        <is>
          <t>196.98%</t>
        </is>
      </c>
      <c r="N1166" s="7" t="n">
        <v>75.36</v>
      </c>
      <c r="O1166" t="n">
        <v>4.8</v>
      </c>
      <c r="P1166" t="n">
        <v>1965</v>
      </c>
      <c r="R1166" t="inlineStr">
        <is>
          <t>InStock</t>
        </is>
      </c>
      <c r="S1166" t="inlineStr">
        <is>
          <t>31.11</t>
        </is>
      </c>
      <c r="T1166" t="inlineStr">
        <is>
          <t>3688937390180</t>
        </is>
      </c>
    </row>
    <row r="1167" ht="87" customHeight="1">
      <c r="A1167" s="2">
        <f>HYPERLINK("https://edmondsonsupply.com/collections/hvac/products/icm-controls-icm103-delay-on-make-timer-with-1-1-023-second-time-delay-universal-18-240-vac", "https://edmondsonsupply.com/collections/hvac/products/icm-controls-icm103-delay-on-make-timer-with-1-1-023-second-time-delay-universal-18-240-vac")</f>
        <v/>
      </c>
      <c r="B1167" s="2">
        <f>HYPERLINK("https://edmondsonsupply.com/products/icm-controls-icm103-delay-on-make-timer-with-1-1-023-second-time-delay-universal-18-240-vac", "https://edmondsonsupply.com/products/icm-controls-icm103-delay-on-make-timer-with-1-1-023-second-time-delay-universal-18-240-vac")</f>
        <v/>
      </c>
      <c r="C1167" t="inlineStr">
        <is>
          <t>ICM Controls ICM103 Delay on Make Timer with 1-1,023 Second Time Delay, Universal 18-240 VAC</t>
        </is>
      </c>
      <c r="D1167" t="inlineStr">
        <is>
          <t>ICM Controls ICM104 Delay-on-Make Timer with 10-1,000 Seconds Adjustable Time Delay and SPDT Relay Output, 18-30 VAC</t>
        </is>
      </c>
      <c r="E1167" s="2">
        <f>HYPERLINK("https://www.amazon.com/ICM-Controls-ICM104-Seconds-Adjustable/dp/B00GIP4LCO/ref=sr_1_5?keywords=ICM+Controls+ICM103+Delay+on+Make+Timer+with+1-1%2C023+Second+Time+Delay%2C+Universal+18-240+VAC&amp;qid=1694734597&amp;sr=8-5", "https://www.amazon.com/ICM-Controls-ICM104-Seconds-Adjustable/dp/B00GIP4LCO/ref=sr_1_5?keywords=ICM+Controls+ICM103+Delay+on+Make+Timer+with+1-1%2C023+Second+Time+Delay%2C+Universal+18-240+VAC&amp;qid=1694734597&amp;sr=8-5")</f>
        <v/>
      </c>
      <c r="F1167" t="inlineStr">
        <is>
          <t>B00GIP4LCO</t>
        </is>
      </c>
      <c r="G1167">
        <f>_xlfn.IMAGE("https://edmondsonsupply.com/cdn/shop/products/icm103.png?v=1587150533")</f>
        <v/>
      </c>
      <c r="H1167">
        <f>_xlfn.IMAGE("https://m.media-amazon.com/images/I/61RFS2vXJzL._AC_UL320_.jpg")</f>
        <v/>
      </c>
      <c r="K1167" t="inlineStr">
        <is>
          <t>16.99</t>
        </is>
      </c>
      <c r="L1167" t="n">
        <v>50.45</v>
      </c>
      <c r="M1167" s="1" t="inlineStr">
        <is>
          <t>196.94%</t>
        </is>
      </c>
      <c r="N1167" s="7" t="n">
        <v>75.20999999999999</v>
      </c>
      <c r="O1167" t="n">
        <v>4.7</v>
      </c>
      <c r="P1167" t="n">
        <v>6</v>
      </c>
      <c r="R1167" t="inlineStr">
        <is>
          <t>InStock</t>
        </is>
      </c>
      <c r="S1167" t="inlineStr">
        <is>
          <t>24.02</t>
        </is>
      </c>
      <c r="T1167" t="inlineStr">
        <is>
          <t>4368343105636</t>
        </is>
      </c>
    </row>
    <row r="1168" ht="87" customHeight="1">
      <c r="A1168" s="2">
        <f>HYPERLINK("https://edmondsonsupply.com/collections/hvac/products/channellock-431", "https://edmondsonsupply.com/collections/hvac/products/channellock-431")</f>
        <v/>
      </c>
      <c r="B1168" s="2">
        <f>HYPERLINK("https://edmondsonsupply.com/products/channellock-431", "https://edmondsonsupply.com/products/channellock-431")</f>
        <v/>
      </c>
      <c r="C1168" t="inlineStr">
        <is>
          <t>Channellock 432 10-Inch V-Jaw Tongue &amp; Groove Pliers</t>
        </is>
      </c>
      <c r="D1168" t="inlineStr">
        <is>
          <t>Channellock 480 BIGAZZ Tongue and Groove Pliers | 20.25-Inch Straight Jaw Groove Joint Plier | 5.5-Inch Jaw Capacity | Laser Heat-Treated 90° Teeth| Forged High Carbon Steel | Made in USA</t>
        </is>
      </c>
      <c r="E1168" s="2">
        <f>HYPERLINK("https://www.amazon.com/Channellock-480-2-Inch-Capacity-20-Inch/dp/B00004SBCX/ref=sr_1_16?keywords=Channellock+432+10-Inch+V-Jaw+Tongue+%26+Groove+Pliers&amp;qid=1694734826&amp;sr=8-16", "https://www.amazon.com/Channellock-480-2-Inch-Capacity-20-Inch/dp/B00004SBCX/ref=sr_1_16?keywords=Channellock+432+10-Inch+V-Jaw+Tongue+%26+Groove+Pliers&amp;qid=1694734826&amp;sr=8-16")</f>
        <v/>
      </c>
      <c r="F1168" t="inlineStr">
        <is>
          <t>B00004SBCX</t>
        </is>
      </c>
      <c r="G1168">
        <f>_xlfn.IMAGE("https://edmondsonsupply.com/cdn/shop/products/432-683x1024.jpg?v=1587147134")</f>
        <v/>
      </c>
      <c r="H1168">
        <f>_xlfn.IMAGE("https://m.media-amazon.com/images/I/612L+6BugaL._AC_UL320_.jpg")</f>
        <v/>
      </c>
      <c r="K1168" t="inlineStr">
        <is>
          <t>19.95</t>
        </is>
      </c>
      <c r="L1168" t="n">
        <v>58.95</v>
      </c>
      <c r="M1168" s="1" t="inlineStr">
        <is>
          <t>195.49%</t>
        </is>
      </c>
      <c r="N1168" s="7" t="n">
        <v>75.06</v>
      </c>
      <c r="O1168" t="n">
        <v>4.8</v>
      </c>
      <c r="P1168" t="n">
        <v>870</v>
      </c>
      <c r="R1168" t="inlineStr">
        <is>
          <t>InStock</t>
        </is>
      </c>
      <c r="S1168" t="inlineStr">
        <is>
          <t>27.63</t>
        </is>
      </c>
      <c r="T1168" t="inlineStr">
        <is>
          <t>3553468317796</t>
        </is>
      </c>
    </row>
    <row r="1169" hidden="1" ht="15.75" customHeight="1">
      <c r="A1169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169" s="2">
        <f>HYPERLINK("https://edmondsonsupply.com/products/packard-pmj460-motor-start-capacitor-460-552-mfd-110-125-vac", "https://edmondsonsupply.com/products/packard-pmj460-motor-start-capacitor-460-552-mfd-110-125-vac")</f>
        <v/>
      </c>
      <c r="C1169" t="inlineStr">
        <is>
          <t>Packard PMJ460 Motor Start Capacitor 460-552 MFD 110-125 VAC</t>
        </is>
      </c>
      <c r="D1169" t="inlineStr">
        <is>
          <t>TEMCo 460-552 uf/MFD 110-125 VAC Volts Round Start Capacitor 50/60 Hz AC Electric - Lot -1</t>
        </is>
      </c>
      <c r="E1169" s="2">
        <f>HYPERLINK("https://www.amazon.com/TEMCo-Capacitor-SC0035-460-552-110-125-Electric/dp/B00EQH6IPE/ref=sr_1_13?keywords=Packard+PMJ460+Motor+Start+Capacitor+460-552+MFD+110-125+VAC&amp;qid=1694734651&amp;sr=8-13", "https://www.amazon.com/TEMCo-Capacitor-SC0035-460-552-110-125-Electric/dp/B00EQH6IPE/ref=sr_1_13?keywords=Packard+PMJ460+Motor+Start+Capacitor+460-552+MFD+110-125+VAC&amp;qid=1694734651&amp;sr=8-13")</f>
        <v/>
      </c>
      <c r="F1169" t="inlineStr">
        <is>
          <t>B00EQH6IPE</t>
        </is>
      </c>
      <c r="G1169">
        <f>_xludf.IMAGE("https://edmondsonsupply.com/cdn/shop/products/PMJ460-2.jpg?v=1633030333")</f>
        <v/>
      </c>
      <c r="H1169">
        <f>_xludf.IMAGE("https://m.media-amazon.com/images/I/610oiffV94L._AC_UY218_.jpg")</f>
        <v/>
      </c>
      <c r="K1169" t="inlineStr">
        <is>
          <t>5.06</t>
        </is>
      </c>
      <c r="L1169" t="n">
        <v>14.95</v>
      </c>
      <c r="M1169" s="1" t="inlineStr">
        <is>
          <t>195.45%</t>
        </is>
      </c>
      <c r="N1169" s="1" t="n">
        <v>75.06</v>
      </c>
      <c r="O1169" t="n">
        <v>4.5</v>
      </c>
      <c r="P1169" t="n">
        <v>121</v>
      </c>
      <c r="R1169" t="inlineStr">
        <is>
          <t>OutOfStock</t>
        </is>
      </c>
      <c r="S1169" t="inlineStr">
        <is>
          <t>undefined</t>
        </is>
      </c>
      <c r="T1169" t="inlineStr">
        <is>
          <t>5271944954024</t>
        </is>
      </c>
    </row>
    <row r="1170" ht="87" customHeight="1">
      <c r="A1170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170" s="2">
        <f>HYPERLINK("https://edmondsonsupply.com/products/klein-tools-646-5-16-5-16-inch-nut-driver-6-inch-hollow-shaft", "https://edmondsonsupply.com/products/klein-tools-646-5-16-5-16-inch-nut-driver-6-inch-hollow-shaft")</f>
        <v/>
      </c>
      <c r="C1170" t="inlineStr">
        <is>
          <t>Klein Tools 646-5/16 5/16-Inch Nut Driver, 6-Inch Hollow Shaft</t>
        </is>
      </c>
      <c r="D1170" t="inlineStr">
        <is>
          <t>Klein Tools 646-5/16-INS 5/16-Inch Insulated Cushion Grip Nut Driver with 6-Inch Shank</t>
        </is>
      </c>
      <c r="E1170" s="2">
        <f>HYPERLINK("https://www.amazon.com/Insulated-Klein-Tools-646-5-16-INS/dp/B000MKIUVE/ref=sr_1_11?keywords=Klein+Tools+646-5%2F16+5%2F16-Inch+Nut+Driver%2C+6-Inch+Hollow+Shaft&amp;qid=1694734728&amp;sr=8-11", "https://www.amazon.com/Insulated-Klein-Tools-646-5-16-INS/dp/B000MKIUVE/ref=sr_1_11?keywords=Klein+Tools+646-5%2F16+5%2F16-Inch+Nut+Driver%2C+6-Inch+Hollow+Shaft&amp;qid=1694734728&amp;sr=8-11")</f>
        <v/>
      </c>
      <c r="F1170" t="inlineStr">
        <is>
          <t>B000MKIUVE</t>
        </is>
      </c>
      <c r="G1170">
        <f>_xlfn.IMAGE("https://edmondsonsupply.com/cdn/shop/products/646-1-2_e1540905-f750-4509-90c5-74ff653e4d83.jpg?v=1587145119")</f>
        <v/>
      </c>
      <c r="H1170">
        <f>_xlfn.IMAGE("https://m.media-amazon.com/images/I/41xL3ElB6uL._AC_UL320_.jpg")</f>
        <v/>
      </c>
      <c r="K1170" t="inlineStr">
        <is>
          <t>7.99</t>
        </is>
      </c>
      <c r="L1170" t="n">
        <v>23.59</v>
      </c>
      <c r="M1170" s="1" t="inlineStr">
        <is>
          <t>195.24%</t>
        </is>
      </c>
      <c r="N1170" s="7" t="n">
        <v>74.95999999999999</v>
      </c>
      <c r="O1170" t="n">
        <v>4.7</v>
      </c>
      <c r="P1170" t="n">
        <v>272</v>
      </c>
      <c r="R1170" t="inlineStr">
        <is>
          <t>InStock</t>
        </is>
      </c>
      <c r="S1170" t="inlineStr">
        <is>
          <t>12.1</t>
        </is>
      </c>
      <c r="T1170" t="inlineStr">
        <is>
          <t>4395303272548</t>
        </is>
      </c>
    </row>
    <row r="1171" hidden="1" ht="15.75" customHeight="1">
      <c r="A1171" s="2">
        <f>HYPERLINK("https://edmondsonsupply.com/collections/hvac/products/packard-ptmj43a-motor-start-capacitor-43-53-mfd-220-250-vac", "https://edmondsonsupply.com/collections/hvac/products/packard-ptmj43a-motor-start-capacitor-43-53-mfd-220-250-vac")</f>
        <v/>
      </c>
      <c r="B1171" s="2">
        <f>HYPERLINK("https://edmondsonsupply.com/products/packard-ptmj43a-motor-start-capacitor-43-53-mfd-220-250-vac", "https://edmondsonsupply.com/products/packard-ptmj43a-motor-start-capacitor-43-53-mfd-220-250-vac")</f>
        <v/>
      </c>
      <c r="C1171" t="inlineStr">
        <is>
          <t>Packard PTMJ43A Motor Start Capacitor 43-53 MFD 220-250 VAC</t>
        </is>
      </c>
      <c r="D1171" t="inlineStr">
        <is>
          <t>PTMJ43 - Packard Aftermarket Replacement Motor Start Capacitor 43-56 MFD 220 250 Volt</t>
        </is>
      </c>
      <c r="E1171" s="2">
        <f>HYPERLINK("https://www.amazon.com/PTMJ43-Packard-Aftermarket-Replacement-Capacitor/dp/B00IWYGE7E/ref=sr_1_4?keywords=Packard+PTMJ43A+Motor+Start+Capacitor+43-53+MFD+220-250+VAC&amp;qid=1694734706&amp;sr=8-4", "https://www.amazon.com/PTMJ43-Packard-Aftermarket-Replacement-Capacitor/dp/B00IWYGE7E/ref=sr_1_4?keywords=Packard+PTMJ43A+Motor+Start+Capacitor+43-53+MFD+220-250+VAC&amp;qid=1694734706&amp;sr=8-4")</f>
        <v/>
      </c>
      <c r="F1171" t="inlineStr">
        <is>
          <t>B00IWYGE7E</t>
        </is>
      </c>
      <c r="G1171">
        <f>_xludf.IMAGE("https://edmondsonsupply.com/cdn/shop/products/PTMJ43A-2.jpg?v=1633031033")</f>
        <v/>
      </c>
      <c r="H1171">
        <f>_xludf.IMAGE("https://m.media-amazon.com/images/I/41iN-8gLZyL._AC_UY218_.jpg")</f>
        <v/>
      </c>
      <c r="K1171" t="inlineStr">
        <is>
          <t>3.9</t>
        </is>
      </c>
      <c r="L1171" t="n">
        <v>11.5</v>
      </c>
      <c r="M1171" s="1" t="inlineStr">
        <is>
          <t>194.87%</t>
        </is>
      </c>
      <c r="N1171" s="1" t="n">
        <v>74.89</v>
      </c>
      <c r="O1171" t="n">
        <v>5</v>
      </c>
      <c r="P1171" t="n">
        <v>1</v>
      </c>
      <c r="R1171" t="inlineStr">
        <is>
          <t>InStock</t>
        </is>
      </c>
      <c r="S1171" t="inlineStr">
        <is>
          <t>undefined</t>
        </is>
      </c>
      <c r="T1171" t="inlineStr">
        <is>
          <t>6734444232877</t>
        </is>
      </c>
    </row>
    <row r="1172" ht="87" customHeight="1">
      <c r="A1172" s="2">
        <f>HYPERLINK("https://edmondsonsupply.com/collections/hvac/products/channellock-428", "https://edmondsonsupply.com/collections/hvac/products/channellock-428")</f>
        <v/>
      </c>
      <c r="B1172" s="2">
        <f>HYPERLINK("https://edmondsonsupply.com/products/channellock-428", "https://edmondsonsupply.com/products/channellock-428")</f>
        <v/>
      </c>
      <c r="C1172" t="inlineStr">
        <is>
          <t>Channellock 428 8-Inch Straight Jaw Tongue &amp; Groove Pliers</t>
        </is>
      </c>
      <c r="D1172" t="inlineStr">
        <is>
          <t>Channellock GS-3 3 Piece Straight Jaw Tongue and Groove Pliers Set - 12-Inch, 9.5-Inch, 6.5-Inch | Groove Joint Pliers | Laser Heat-Treated 90° Teeth| Forged from High Carbon Steel | Patented Reinforcing Edge Minimizes Stress Breakage | Made in USA</t>
        </is>
      </c>
      <c r="E1172" s="2">
        <f>HYPERLINK("https://www.amazon.com/Channellock-2-Inch-12-Inch-Tongue-Groove/dp/B000189GSI/ref=sr_1_17?keywords=Channellock+428+8-Inch+Straight+Jaw+Tongue&amp;qid=1694734826&amp;sr=8-17", "https://www.amazon.com/Channellock-2-Inch-12-Inch-Tongue-Groove/dp/B000189GSI/ref=sr_1_17?keywords=Channellock+428+8-Inch+Straight+Jaw+Tongue&amp;qid=1694734826&amp;sr=8-17")</f>
        <v/>
      </c>
      <c r="F1172" t="inlineStr">
        <is>
          <t>B000189GSI</t>
        </is>
      </c>
      <c r="G1172">
        <f>_xlfn.IMAGE("https://edmondsonsupply.com/cdn/shop/products/428-683x1024.jpg?v=1587145854")</f>
        <v/>
      </c>
      <c r="H1172">
        <f>_xlfn.IMAGE("https://m.media-amazon.com/images/I/71Ywnx9+h8L._AC_UL320_.jpg")</f>
        <v/>
      </c>
      <c r="K1172" t="inlineStr">
        <is>
          <t>16.95</t>
        </is>
      </c>
      <c r="L1172" t="n">
        <v>49.95</v>
      </c>
      <c r="M1172" s="1" t="inlineStr">
        <is>
          <t>194.69%</t>
        </is>
      </c>
      <c r="N1172" s="7" t="n">
        <v>74.55</v>
      </c>
      <c r="O1172" t="n">
        <v>4.8</v>
      </c>
      <c r="P1172" t="n">
        <v>5484</v>
      </c>
      <c r="R1172" t="inlineStr">
        <is>
          <t>InStock</t>
        </is>
      </c>
      <c r="S1172" t="inlineStr">
        <is>
          <t>25.06</t>
        </is>
      </c>
      <c r="T1172" t="inlineStr">
        <is>
          <t>3523408527460</t>
        </is>
      </c>
    </row>
    <row r="1173" ht="87" customHeight="1">
      <c r="A1173" s="2">
        <f>HYPERLINK("https://edmondsonsupply.com/collections/hvac/products/diablo-tools-dsp2090-3-4-in-x-6-in-spade-bit", "https://edmondsonsupply.com/collections/hvac/products/diablo-tools-dsp2090-3-4-in-x-6-in-spade-bit")</f>
        <v/>
      </c>
      <c r="B1173" s="2">
        <f>HYPERLINK("https://edmondsonsupply.com/products/diablo-tools-dsp2090-3-4-in-x-6-in-spade-bit", "https://edmondsonsupply.com/products/diablo-tools-dsp2090-3-4-in-x-6-in-spade-bit")</f>
        <v/>
      </c>
      <c r="C1173" t="inlineStr">
        <is>
          <t>Diablo Tools DSP2090 3/4 in. x 6 in. Spade Bit</t>
        </is>
      </c>
      <c r="D1173" t="inlineStr">
        <is>
          <t>DEWALT Drill Bit, Spade, 3/4 Inch x 16 Inch (DW1593)</t>
        </is>
      </c>
      <c r="E1173" s="2">
        <f>HYPERLINK("https://www.amazon.com/DEWALT-DW1593-4-Inch-16-Inch-Spade/dp/B0001LQYVW/ref=sr_1_34?keywords=Diablo+Tools+DSP2090+3%2F4+in.+x+6+in.+Spade+Bit&amp;qid=1694734914&amp;sr=8-34", "https://www.amazon.com/DEWALT-DW1593-4-Inch-16-Inch-Spade/dp/B0001LQYVW/ref=sr_1_34?keywords=Diablo+Tools+DSP2090+3%2F4+in.+x+6+in.+Spade+Bit&amp;qid=1694734914&amp;sr=8-34")</f>
        <v/>
      </c>
      <c r="F1173" t="inlineStr">
        <is>
          <t>B0001LQYVW</t>
        </is>
      </c>
      <c r="G1173">
        <f>_xlfn.IMAGE("https://edmondsonsupply.com/cdn/shop/files/hg4rmyretai2aybkajqp.webp?v=1686587275")</f>
        <v/>
      </c>
      <c r="H1173">
        <f>_xlfn.IMAGE("https://m.media-amazon.com/images/I/51vSDJW0b2S._AC_UL320_.jpg")</f>
        <v/>
      </c>
      <c r="K1173" t="inlineStr">
        <is>
          <t>5.37</t>
        </is>
      </c>
      <c r="L1173" t="n">
        <v>15.8</v>
      </c>
      <c r="M1173" s="1" t="inlineStr">
        <is>
          <t>194.23%</t>
        </is>
      </c>
      <c r="N1173" s="7" t="n">
        <v>74.27</v>
      </c>
      <c r="O1173" t="n">
        <v>4.6</v>
      </c>
      <c r="P1173" t="n">
        <v>93</v>
      </c>
      <c r="R1173" t="inlineStr">
        <is>
          <t>InStock</t>
        </is>
      </c>
      <c r="S1173" t="inlineStr">
        <is>
          <t>undefined</t>
        </is>
      </c>
      <c r="T1173" t="inlineStr">
        <is>
          <t>8004512710872</t>
        </is>
      </c>
    </row>
    <row r="1174" hidden="1" ht="15.75" customHeight="1">
      <c r="A1174" s="2">
        <f>HYPERLINK("https://edmondsonsupply.com/collections/hvac/products/packard-titan-pro-tmj270-motor-start-capacitor-270-324-mfd-110-125-vac", "https://edmondsonsupply.com/collections/hvac/products/packard-titan-pro-tmj270-motor-start-capacitor-270-324-mfd-110-125-vac")</f>
        <v/>
      </c>
      <c r="B1174" s="2">
        <f>HYPERLINK("https://edmondsonsupply.com/products/packard-titan-pro-tmj270-motor-start-capacitor-270-324-mfd-110-125-vac", "https://edmondsonsupply.com/products/packard-titan-pro-tmj270-motor-start-capacitor-270-324-mfd-110-125-vac")</f>
        <v/>
      </c>
      <c r="C1174" t="inlineStr">
        <is>
          <t>Packard Titan Pro TMJ270 Motor Start Capacitor 270-324 MFD 110-125 VAC</t>
        </is>
      </c>
      <c r="D1174" t="inlineStr">
        <is>
          <t>PMJ270 - Packard Upgraded Replacement Motor Start Capacitor 270-324 MFD 110-125 Volt VAC</t>
        </is>
      </c>
      <c r="E1174" s="2">
        <f>HYPERLINK("https://www.amazon.com/PMJ270-Packard-Upgraded-Replacement-Capacitor/dp/B0773VP7SQ/ref=sr_1_6?keywords=Packard+Titan+Pro+TMJ270+Motor+Start+Capacitor+270-324+MFD+110-125+VAC&amp;qid=1694734847&amp;sr=8-6", "https://www.amazon.com/PMJ270-Packard-Upgraded-Replacement-Capacitor/dp/B0773VP7SQ/ref=sr_1_6?keywords=Packard+Titan+Pro+TMJ270+Motor+Start+Capacitor+270-324+MFD+110-125+VAC&amp;qid=1694734847&amp;sr=8-6")</f>
        <v/>
      </c>
      <c r="F1174" t="inlineStr">
        <is>
          <t>B0773VP7SQ</t>
        </is>
      </c>
      <c r="G1174">
        <f>_xludf.IMAGE("https://edmondsonsupply.com/cdn/shop/files/PMJ270-2_b521b26a-fa05-4c47-a95a-20aac83f69c8.jpg?v=1692630463")</f>
        <v/>
      </c>
      <c r="H1174">
        <f>_xludf.IMAGE("https://m.media-amazon.com/images/I/41fqQrQgJaL._AC_UY218_.jpg")</f>
        <v/>
      </c>
      <c r="K1174" t="inlineStr">
        <is>
          <t>3.49</t>
        </is>
      </c>
      <c r="L1174" t="n">
        <v>10.25</v>
      </c>
      <c r="M1174" s="1" t="inlineStr">
        <is>
          <t>193.70%</t>
        </is>
      </c>
      <c r="N1174" s="1" t="n">
        <v>74.05</v>
      </c>
      <c r="O1174" t="n">
        <v>4.3</v>
      </c>
      <c r="P1174" t="n">
        <v>29</v>
      </c>
      <c r="R1174" t="inlineStr">
        <is>
          <t>InStock</t>
        </is>
      </c>
      <c r="S1174" t="inlineStr">
        <is>
          <t>undefined</t>
        </is>
      </c>
      <c r="T1174" t="inlineStr">
        <is>
          <t>8029404135640</t>
        </is>
      </c>
    </row>
    <row r="1175" hidden="1" ht="15.75" customHeight="1">
      <c r="A1175" s="2">
        <f>HYPERLINK("https://edmondsonsupply.com/collections/hvac/products/mars-73133-3-4-in-clear-pvc-condensate-p-trap", "https://edmondsonsupply.com/collections/hvac/products/mars-73133-3-4-in-clear-pvc-condensate-p-trap")</f>
        <v/>
      </c>
      <c r="B1175" s="2">
        <f>HYPERLINK("https://edmondsonsupply.com/products/mars-73133-3-4-in-clear-pvc-condensate-p-trap", "https://edmondsonsupply.com/products/mars-73133-3-4-in-clear-pvc-condensate-p-trap")</f>
        <v/>
      </c>
      <c r="C1175" t="inlineStr">
        <is>
          <t>Mars 73133 3/4 in. Clear PVC Condensate P-Trap</t>
        </is>
      </c>
      <c r="D1175" t="inlineStr">
        <is>
          <t>Clear Condensate Trap 3/4 with Cleaning Brush, Next Level PVC U Trap Clear 3/4 PVC condensate trap with easy clean ports is an essential component to ensure optimal performance of your HVAC system.</t>
        </is>
      </c>
      <c r="E1175" s="2">
        <f>HYPERLINK("https://www.amazon.com/Condensate-condensate-essential-component-performance/dp/B0CG2VLHG8/ref=sr_1_9?keywords=Mars+73133+3%2F4+in.+Clear+PVC+Condensate+P-Trap&amp;qid=1694734609&amp;sr=8-9", "https://www.amazon.com/Condensate-condensate-essential-component-performance/dp/B0CG2VLHG8/ref=sr_1_9?keywords=Mars+73133+3%2F4+in.+Clear+PVC+Condensate+P-Trap&amp;qid=1694734609&amp;sr=8-9")</f>
        <v/>
      </c>
      <c r="F1175" t="inlineStr">
        <is>
          <t>B0CG2VLHG8</t>
        </is>
      </c>
      <c r="G1175">
        <f>_xludf.IMAGE("https://edmondsonsupply.com/cdn/shop/products/73133.jpg?v=1633031096")</f>
        <v/>
      </c>
      <c r="H1175">
        <f>_xludf.IMAGE("https://m.media-amazon.com/images/I/61S9BOxkfPL._AC_UL320_.jpg")</f>
        <v/>
      </c>
      <c r="K1175" t="inlineStr">
        <is>
          <t>4.78</t>
        </is>
      </c>
      <c r="L1175" t="n">
        <v>13.99</v>
      </c>
      <c r="M1175" s="1" t="inlineStr">
        <is>
          <t>192.68%</t>
        </is>
      </c>
      <c r="N1175" s="1" t="n">
        <v>73.92</v>
      </c>
      <c r="O1175" t="n">
        <v>5</v>
      </c>
      <c r="P1175" t="n">
        <v>1</v>
      </c>
      <c r="R1175" t="inlineStr">
        <is>
          <t>OutOfStock</t>
        </is>
      </c>
      <c r="S1175" t="inlineStr">
        <is>
          <t>undefined</t>
        </is>
      </c>
      <c r="T1175" t="inlineStr">
        <is>
          <t>6841029787821</t>
        </is>
      </c>
    </row>
    <row r="1176" ht="87" customHeight="1">
      <c r="A1176" s="2">
        <f>HYPERLINK("https://edmondsonsupply.com/collections/hvac/products/packard-trcfd405-titan-pro-run-capacitor-40-5-mfd-440-370-volt-round", "https://edmondsonsupply.com/collections/hvac/products/packard-trcfd405-titan-pro-run-capacitor-40-5-mfd-440-370-volt-round")</f>
        <v/>
      </c>
      <c r="B1176" s="2">
        <f>HYPERLINK("https://edmondsonsupply.com/products/packard-trcfd405-titan-pro-run-capacitor-40-5-mfd-440-370-volt-round", "https://edmondsonsupply.com/products/packard-trcfd405-titan-pro-run-capacitor-40-5-mfd-440-370-volt-round")</f>
        <v/>
      </c>
      <c r="C1176" t="inlineStr">
        <is>
          <t>Packard TRCFD405 Titan PRO Run Capacitor 40+5 MFD 440/370 Volt Round</t>
        </is>
      </c>
      <c r="D1176" t="inlineStr">
        <is>
          <t>Packard Trcfd403 Titan Pro Run Capacitor 40+3 Mfd 440/370 Volt Round</t>
        </is>
      </c>
      <c r="E1176" s="2">
        <f>HYPERLINK("https://www.amazon.com/Packard-Trcfd403-Titan-Capacitor-Round/dp/B01JMAXOL0/ref=sr_1_16?keywords=Packard+TRCFD405+Titan+PRO+Run+Capacitor+40+5+MFD+440%2F370+Volt+Round&amp;qid=1694734668&amp;sr=8-16", "https://www.amazon.com/Packard-Trcfd403-Titan-Capacitor-Round/dp/B01JMAXOL0/ref=sr_1_16?keywords=Packard+TRCFD405+Titan+PRO+Run+Capacitor+40+5+MFD+440%2F370+Volt+Round&amp;qid=1694734668&amp;sr=8-16")</f>
        <v/>
      </c>
      <c r="F1176" t="inlineStr">
        <is>
          <t>B01JMAXOL0</t>
        </is>
      </c>
      <c r="G1176">
        <f>_xlfn.IMAGE("https://edmondsonsupply.com/cdn/shop/products/TRCFD405-2.jpg?v=1633030399")</f>
        <v/>
      </c>
      <c r="H1176">
        <f>_xlfn.IMAGE("https://m.media-amazon.com/images/I/61ZOaIfuaxL._AC_UY218_.jpg")</f>
        <v/>
      </c>
      <c r="K1176" t="inlineStr">
        <is>
          <t>8.39</t>
        </is>
      </c>
      <c r="L1176" t="n">
        <v>24.55</v>
      </c>
      <c r="M1176" s="1" t="inlineStr">
        <is>
          <t>192.61%</t>
        </is>
      </c>
      <c r="N1176" s="7" t="n">
        <v>72.92</v>
      </c>
      <c r="O1176" t="n">
        <v>5</v>
      </c>
      <c r="P1176" t="n">
        <v>1</v>
      </c>
      <c r="R1176" t="inlineStr">
        <is>
          <t>OutOfStock</t>
        </is>
      </c>
      <c r="S1176" t="inlineStr">
        <is>
          <t>undefined</t>
        </is>
      </c>
      <c r="T1176" t="inlineStr">
        <is>
          <t>5302386950312</t>
        </is>
      </c>
    </row>
    <row r="1177" ht="87" customHeight="1">
      <c r="A1177" s="2">
        <f>HYPERLINK("https://edmondsonsupply.com/collections/hvac/products/ma-line-ma-12816-a-analog-multimeter", "https://edmondsonsupply.com/collections/hvac/products/ma-line-ma-12816-a-analog-multimeter")</f>
        <v/>
      </c>
      <c r="B1177" s="2">
        <f>HYPERLINK("https://edmondsonsupply.com/products/ma-line-ma-12816-a-analog-multimeter", "https://edmondsonsupply.com/products/ma-line-ma-12816-a-analog-multimeter")</f>
        <v/>
      </c>
      <c r="C1177" t="inlineStr">
        <is>
          <t>MA-Line MA-12816-A Analog Multimeter</t>
        </is>
      </c>
      <c r="D1177" t="inlineStr">
        <is>
          <t>Hioki 3030-10 HiTester Manual-Ranging, Average-Sensing Analog Multimeter, 600V, 3 Kilohms, 300 Milliamp</t>
        </is>
      </c>
      <c r="E1177" s="2">
        <f>HYPERLINK("https://www.amazon.com/Hioki-3030-10-Manual-Ranging-Average-Sensing-Multimeter/dp/B008S0CCHI/ref=sr_1_11?keywords=MA-Line+MA-12816-A+Analog+Multimeter&amp;qid=1694734819&amp;sr=8-11", "https://www.amazon.com/Hioki-3030-10-Manual-Ranging-Average-Sensing-Multimeter/dp/B008S0CCHI/ref=sr_1_11?keywords=MA-Line+MA-12816-A+Analog+Multimeter&amp;qid=1694734819&amp;sr=8-11")</f>
        <v/>
      </c>
      <c r="F1177" t="inlineStr">
        <is>
          <t>B008S0CCHI</t>
        </is>
      </c>
      <c r="G1177">
        <f>_xlfn.IMAGE("https://edmondsonsupply.com/cdn/shop/products/MA-12816-A.jpg?v=1587142675")</f>
        <v/>
      </c>
      <c r="H1177">
        <f>_xlfn.IMAGE("https://m.media-amazon.com/images/I/912t9KPDOVL._AC_UL320_.jpg")</f>
        <v/>
      </c>
      <c r="K1177" t="inlineStr">
        <is>
          <t>19.94</t>
        </is>
      </c>
      <c r="L1177" t="n">
        <v>58</v>
      </c>
      <c r="M1177" s="1" t="inlineStr">
        <is>
          <t>190.87%</t>
        </is>
      </c>
      <c r="N1177" s="7" t="n">
        <v>72.48999999999999</v>
      </c>
      <c r="O1177" t="n">
        <v>4.8</v>
      </c>
      <c r="P1177" t="n">
        <v>114</v>
      </c>
      <c r="R1177" t="inlineStr">
        <is>
          <t>InStock</t>
        </is>
      </c>
      <c r="S1177" t="inlineStr">
        <is>
          <t>undefined</t>
        </is>
      </c>
      <c r="T1177" t="inlineStr">
        <is>
          <t>4328880275556</t>
        </is>
      </c>
    </row>
    <row r="1178" hidden="1" ht="15.75" customHeight="1">
      <c r="A1178" s="2">
        <f>HYPERLINK("https://edmondsonsupply.com/collections/hvac/products/pro1-iaq-t705-digital-7-day-or-5-1-1-programmable-thermostat-1-heat-1-cool", "https://edmondsonsupply.com/collections/hvac/products/pro1-iaq-t705-digital-7-day-or-5-1-1-programmable-thermostat-1-heat-1-cool")</f>
        <v/>
      </c>
      <c r="B1178" s="2">
        <f>HYPERLINK("https://edmondsonsupply.com/products/pro1-iaq-t705-digital-7-day-or-5-1-1-programmable-thermostat-1-heat-1-cool", "https://edmondsonsupply.com/products/pro1-iaq-t705-digital-7-day-or-5-1-1-programmable-thermostat-1-heat-1-cool")</f>
        <v/>
      </c>
      <c r="C1178" t="inlineStr">
        <is>
          <t>PRO1 IAQ T705 Digital 7-Day or 5/1/1 Programmable Thermostat, 1 Heat - 1 Cool</t>
        </is>
      </c>
      <c r="D1178" t="inlineStr">
        <is>
          <t>Pro1 T855iSH WiFi Thermostat, 7 Day Programmable, Stages 4 Heat/2 Cool</t>
        </is>
      </c>
      <c r="E1178" s="2">
        <f>HYPERLINK("https://www.amazon.com/WiFi-Thermostat-Programmable-Stages-Heat/dp/B01D0BT80I/ref=sr_1_11?keywords=PRO1+IAQ+T705+Digital+7-Day+or+5%2F1%2F1+Programmable+Thermostat%2C+1+Heat+-+1+Cool&amp;qid=1694734878&amp;sr=8-11", "https://www.amazon.com/WiFi-Thermostat-Programmable-Stages-Heat/dp/B01D0BT80I/ref=sr_1_11?keywords=PRO1+IAQ+T705+Digital+7-Day+or+5%2F1%2F1+Programmable+Thermostat%2C+1+Heat+-+1+Cool&amp;qid=1694734878&amp;sr=8-11")</f>
        <v/>
      </c>
      <c r="F1178" t="inlineStr">
        <is>
          <t>B01D0BT80I</t>
        </is>
      </c>
      <c r="G1178">
        <f>_xludf.IMAGE("https://edmondsonsupply.com/cdn/shop/files/pro1-t705-hero.png?v=1690139090")</f>
        <v/>
      </c>
      <c r="H1178">
        <f>_xludf.IMAGE("https://m.media-amazon.com/images/I/51TIpGlBKiL._AC_UL320_.jpg")</f>
        <v/>
      </c>
      <c r="K1178" t="inlineStr">
        <is>
          <t>42.97</t>
        </is>
      </c>
      <c r="L1178" t="n">
        <v>124.9</v>
      </c>
      <c r="M1178" s="1" t="inlineStr">
        <is>
          <t>190.67%</t>
        </is>
      </c>
      <c r="N1178" s="1" t="n">
        <v>72.39</v>
      </c>
      <c r="O1178" t="n">
        <v>3.5</v>
      </c>
      <c r="P1178" t="n">
        <v>24</v>
      </c>
      <c r="R1178" t="inlineStr">
        <is>
          <t>InStock</t>
        </is>
      </c>
      <c r="S1178" t="inlineStr">
        <is>
          <t>100.27</t>
        </is>
      </c>
      <c r="T1178" t="inlineStr">
        <is>
          <t>8019962003672</t>
        </is>
      </c>
    </row>
    <row r="1179" ht="87" customHeight="1">
      <c r="A1179" s="2">
        <f>HYPERLINK("https://edmondsonsupply.com/collections/hvac/products/midwest-mwt-6510l-left-offset-aviation-snip", "https://edmondsonsupply.com/collections/hvac/products/midwest-mwt-6510l-left-offset-aviation-snip")</f>
        <v/>
      </c>
      <c r="B1179" s="2">
        <f>HYPERLINK("https://edmondsonsupply.com/products/midwest-mwt-6510l-left-offset-aviation-snip", "https://edmondsonsupply.com/products/midwest-mwt-6510l-left-offset-aviation-snip")</f>
        <v/>
      </c>
      <c r="C1179" t="inlineStr">
        <is>
          <t>Midwest MWT-6510L Left Offset Aviation Snip</t>
        </is>
      </c>
      <c r="D1179" t="inlineStr">
        <is>
          <t>Midwest P6510L Forged Snips Offset Left Aviation Snip (2-Pack)</t>
        </is>
      </c>
      <c r="E1179" s="2">
        <f>HYPERLINK("https://www.amazon.com/Midwest-P6510L-Forged-Offset-Aviation/dp/B07PSL7KG8/ref=sr_1_2?keywords=Midwest+MWT-6510L+Left+Offset+Aviation+Snip&amp;qid=1694734618&amp;sr=8-2", "https://www.amazon.com/Midwest-P6510L-Forged-Offset-Aviation/dp/B07PSL7KG8/ref=sr_1_2?keywords=Midwest+MWT-6510L+Left+Offset+Aviation+Snip&amp;qid=1694734618&amp;sr=8-2")</f>
        <v/>
      </c>
      <c r="F1179" t="inlineStr">
        <is>
          <t>B07PSL7KG8</t>
        </is>
      </c>
      <c r="G1179">
        <f>_xlfn.IMAGE("https://edmondsonsupply.com/cdn/shop/products/mwt-6510l.png?v=1587142880")</f>
        <v/>
      </c>
      <c r="H1179">
        <f>_xlfn.IMAGE("https://m.media-amazon.com/images/I/61hR-2Mv8fL._AC_UL320_.jpg")</f>
        <v/>
      </c>
      <c r="K1179" t="inlineStr">
        <is>
          <t>25.99</t>
        </is>
      </c>
      <c r="L1179" t="n">
        <v>75</v>
      </c>
      <c r="M1179" s="1" t="inlineStr">
        <is>
          <t>188.57%</t>
        </is>
      </c>
      <c r="N1179" s="7" t="n">
        <v>71.90000000000001</v>
      </c>
      <c r="O1179" t="n">
        <v>4.2</v>
      </c>
      <c r="P1179" t="n">
        <v>57</v>
      </c>
      <c r="R1179" t="inlineStr">
        <is>
          <t>InStock</t>
        </is>
      </c>
      <c r="S1179" t="inlineStr">
        <is>
          <t>33.49</t>
        </is>
      </c>
      <c r="T1179" t="inlineStr">
        <is>
          <t>3688846917732</t>
        </is>
      </c>
    </row>
    <row r="1180" ht="87" customHeight="1">
      <c r="A1180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180" s="2">
        <f>HYPERLINK("https://edmondsonsupply.com/products/packard-pmj590-motor-start-capacitor-590-708-mfd-110-125-volt", "https://edmondsonsupply.com/products/packard-pmj590-motor-start-capacitor-590-708-mfd-110-125-volt")</f>
        <v/>
      </c>
      <c r="C1180" t="inlineStr">
        <is>
          <t>Packard PMJ590 Motor Start Capacitor 590-708 MFD 110-125 Volt</t>
        </is>
      </c>
      <c r="D1180" t="inlineStr">
        <is>
          <t>PMJ850 - Packard Upgraded Replacement Motor Start Capacitor 850-1020 MFD 110-125 Volt VAC</t>
        </is>
      </c>
      <c r="E1180" s="2">
        <f>HYPERLINK("https://www.amazon.com/PMJ850-Upgraded-Replacement-Capacitor-850-1020/dp/B0773VT257/ref=sr_1_6?keywords=Packard+PMJ590+Motor+Start+Capacitor+590-708+MFD+110-125+Volt&amp;qid=1694734721&amp;sr=8-6", "https://www.amazon.com/PMJ850-Upgraded-Replacement-Capacitor-850-1020/dp/B0773VT257/ref=sr_1_6?keywords=Packard+PMJ590+Motor+Start+Capacitor+590-708+MFD+110-125+Volt&amp;qid=1694734721&amp;sr=8-6")</f>
        <v/>
      </c>
      <c r="F1180" t="inlineStr">
        <is>
          <t>B0773VT257</t>
        </is>
      </c>
      <c r="G1180">
        <f>_xlfn.IMAGE("https://edmondsonsupply.com/cdn/shop/products/PMJ590-2.jpg?v=1633030307")</f>
        <v/>
      </c>
      <c r="H1180">
        <f>_xlfn.IMAGE("https://m.media-amazon.com/images/I/41fqQrQgJaL._AC_UY218_.jpg")</f>
        <v/>
      </c>
      <c r="K1180" t="inlineStr">
        <is>
          <t>6.18</t>
        </is>
      </c>
      <c r="L1180" t="n">
        <v>17.74</v>
      </c>
      <c r="M1180" s="1" t="inlineStr">
        <is>
          <t>187.06%</t>
        </is>
      </c>
      <c r="N1180" s="7" t="n">
        <v>71.66</v>
      </c>
      <c r="O1180" t="n">
        <v>5</v>
      </c>
      <c r="P1180" t="n">
        <v>4</v>
      </c>
      <c r="R1180" t="inlineStr">
        <is>
          <t>InStock</t>
        </is>
      </c>
      <c r="S1180" t="inlineStr">
        <is>
          <t>undefined</t>
        </is>
      </c>
      <c r="T1180" t="inlineStr">
        <is>
          <t>5241729712296</t>
        </is>
      </c>
    </row>
    <row r="1181" ht="87" customHeight="1">
      <c r="A1181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181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181" t="inlineStr">
        <is>
          <t>Klein Tools 70550 Pro Folding Hex Key Set, 11-Key, SAE Sizes</t>
        </is>
      </c>
      <c r="D1181" t="inlineStr">
        <is>
          <t>Klein Tools 33734INS 1000V Slim Tip Insulated Screwdriver Set, 4-Piece &amp; 70550 Hex Wrench Key Set, 11 SAE Sizes, Heavy Duty Folding Allen Wrench Tool with Extra Long Hex Keys</t>
        </is>
      </c>
      <c r="E1181" s="2">
        <f>HYPERLINK("https://www.amazon.com/Klein-Tools-33734INS-Insulated-Screwdriver/dp/B0BNL5RT2L/ref=sr_1_46?keywords=Klein+Tools+70550+Pro+Folding+Hex+Key+Set%2C+11-Key%2C+SAE+Sizes&amp;qid=1694734808&amp;sr=8-46", "https://www.amazon.com/Klein-Tools-33734INS-Insulated-Screwdriver/dp/B0BNL5RT2L/ref=sr_1_46?keywords=Klein+Tools+70550+Pro+Folding+Hex+Key+Set%2C+11-Key%2C+SAE+Sizes&amp;qid=1694734808&amp;sr=8-46")</f>
        <v/>
      </c>
      <c r="F1181" t="inlineStr">
        <is>
          <t>B0BNL5RT2L</t>
        </is>
      </c>
      <c r="G1181">
        <f>_xlfn.IMAGE("https://edmondsonsupply.com/cdn/shop/products/70550.jpg?v=1587145237")</f>
        <v/>
      </c>
      <c r="H1181">
        <f>_xlfn.IMAGE("https://m.media-amazon.com/images/I/416PJTxdfJL._AC_UL320_.jpg")</f>
        <v/>
      </c>
      <c r="K1181" t="inlineStr">
        <is>
          <t>19.97</t>
        </is>
      </c>
      <c r="L1181" t="n">
        <v>57.31</v>
      </c>
      <c r="M1181" s="1" t="inlineStr">
        <is>
          <t>186.98%</t>
        </is>
      </c>
      <c r="N1181" s="7" t="n">
        <v>71.47</v>
      </c>
      <c r="O1181" t="n">
        <v>5</v>
      </c>
      <c r="P1181" t="n">
        <v>2</v>
      </c>
      <c r="R1181" t="inlineStr">
        <is>
          <t>InStock</t>
        </is>
      </c>
      <c r="S1181" t="inlineStr">
        <is>
          <t>27.18</t>
        </is>
      </c>
      <c r="T1181" t="inlineStr">
        <is>
          <t>3693538082916</t>
        </is>
      </c>
    </row>
    <row r="1182" ht="87" customHeight="1">
      <c r="A1182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1182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1182" t="inlineStr">
        <is>
          <t>Diablo Tools DMAPL2290 7/16 in. x 10 in. x 12 in. SDS-Plus 2-Cutter</t>
        </is>
      </c>
      <c r="D1182" t="inlineStr">
        <is>
          <t>Diablo by Freud DMAPL4270 27/32 in. x 8 in. x 10 in. Rebar Demon SDS-Plus 4-Cutter Full Carbide Head Hammer Bit</t>
        </is>
      </c>
      <c r="E1182" s="2">
        <f>HYPERLINK("https://www.amazon.com/Diablo-Freud-DMAPL4270-SDS-Plus-4-Cutter/dp/B089KXBGLM/ref=sr_1_48?keywords=Diablo+Tools+DMAPL2290+7%2F16+in.+x+10+in.+x+12+in.+SDS-Plus+2-Cutter&amp;qid=1694734916&amp;sr=8-48", "https://www.amazon.com/Diablo-Freud-DMAPL4270-SDS-Plus-4-Cutter/dp/B089KXBGLM/ref=sr_1_48?keywords=Diablo+Tools+DMAPL2290+7%2F16+in.+x+10+in.+x+12+in.+SDS-Plus+2-Cutter&amp;qid=1694734916&amp;sr=8-48")</f>
        <v/>
      </c>
      <c r="F1182" t="inlineStr">
        <is>
          <t>B089KXBGLM</t>
        </is>
      </c>
      <c r="G1182">
        <f>_xlfn.IMAGE("https://edmondsonsupply.com/cdn/shop/files/lgvfccwvf9ikjakt8qfb.webp?v=1686146379")</f>
        <v/>
      </c>
      <c r="H1182">
        <f>_xlfn.IMAGE("https://m.media-amazon.com/images/I/611A6sphG9L._AC_UL320_.jpg")</f>
        <v/>
      </c>
      <c r="K1182" t="inlineStr">
        <is>
          <t>10.5</t>
        </is>
      </c>
      <c r="L1182" t="n">
        <v>30.13</v>
      </c>
      <c r="M1182" s="1" t="inlineStr">
        <is>
          <t>186.95%</t>
        </is>
      </c>
      <c r="N1182" s="7" t="n">
        <v>70.81999999999999</v>
      </c>
      <c r="O1182" t="n">
        <v>5</v>
      </c>
      <c r="P1182" t="n">
        <v>2</v>
      </c>
      <c r="R1182" t="inlineStr">
        <is>
          <t>InStock</t>
        </is>
      </c>
      <c r="S1182" t="inlineStr">
        <is>
          <t>16.67</t>
        </is>
      </c>
      <c r="T1182" t="inlineStr">
        <is>
          <t>8002354872536</t>
        </is>
      </c>
    </row>
    <row r="1183" ht="87" customHeight="1">
      <c r="A1183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183" s="2">
        <f>HYPERLINK("https://edmondsonsupply.com/products/klein-tools-646-5-16-5-16-inch-nut-driver-6-inch-hollow-shaft", "https://edmondsonsupply.com/products/klein-tools-646-5-16-5-16-inch-nut-driver-6-inch-hollow-shaft")</f>
        <v/>
      </c>
      <c r="C1183" t="inlineStr">
        <is>
          <t>Klein Tools 646-5/16 5/16-Inch Nut Driver, 6-Inch Hollow Shaft</t>
        </is>
      </c>
      <c r="D1183" t="inlineStr">
        <is>
          <t>Klein Tools 618-5/16M Nut Driver, 5/16-Inch Magnetic Tip with 18-Inch Hollow Shaft</t>
        </is>
      </c>
      <c r="E1183" s="2">
        <f>HYPERLINK("https://www.amazon.com/Magnetic-Klein-Tools-618-5-16M/dp/B000TKF43E/ref=sr_1_13?keywords=Klein+Tools+646-5%2F16+5%2F16-Inch+Nut+Driver%2C+6-Inch+Hollow+Shaft&amp;qid=1694734728&amp;sr=8-13", "https://www.amazon.com/Magnetic-Klein-Tools-618-5-16M/dp/B000TKF43E/ref=sr_1_13?keywords=Klein+Tools+646-5%2F16+5%2F16-Inch+Nut+Driver%2C+6-Inch+Hollow+Shaft&amp;qid=1694734728&amp;sr=8-13")</f>
        <v/>
      </c>
      <c r="F1183" t="inlineStr">
        <is>
          <t>B000TKF43E</t>
        </is>
      </c>
      <c r="G1183">
        <f>_xlfn.IMAGE("https://edmondsonsupply.com/cdn/shop/products/646-1-2_e1540905-f750-4509-90c5-74ff653e4d83.jpg?v=1587145119")</f>
        <v/>
      </c>
      <c r="H1183">
        <f>_xlfn.IMAGE("https://m.media-amazon.com/images/I/41mbuHhYFHL._AC_UL320_.jpg")</f>
        <v/>
      </c>
      <c r="K1183" t="inlineStr">
        <is>
          <t>7.99</t>
        </is>
      </c>
      <c r="L1183" t="n">
        <v>22.84</v>
      </c>
      <c r="M1183" s="1" t="inlineStr">
        <is>
          <t>185.86%</t>
        </is>
      </c>
      <c r="N1183" s="7" t="n">
        <v>70.7</v>
      </c>
      <c r="O1183" t="n">
        <v>4.3</v>
      </c>
      <c r="P1183" t="n">
        <v>35</v>
      </c>
      <c r="R1183" t="inlineStr">
        <is>
          <t>InStock</t>
        </is>
      </c>
      <c r="S1183" t="inlineStr">
        <is>
          <t>12.1</t>
        </is>
      </c>
      <c r="T1183" t="inlineStr">
        <is>
          <t>4395303272548</t>
        </is>
      </c>
    </row>
    <row r="1184" ht="87" customHeight="1">
      <c r="A1184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184" s="2">
        <f>HYPERLINK("https://edmondsonsupply.com/products/klein-tools-11053-klein-kurve%c2%ae-wire-stripper-cutter", "https://edmondsonsupply.com/products/klein-tools-11053-klein-kurve%c2%ae-wire-stripper-cutter")</f>
        <v/>
      </c>
      <c r="C1184" t="inlineStr">
        <is>
          <t>Klein Tools 11053 Klein-Kurve® Wire Stripper/Cutter</t>
        </is>
      </c>
      <c r="D1184" t="inlineStr">
        <is>
          <t>Klein Tools 3005CR Wire Crimper Tool &amp; 11063W Wire Cutter/Wire Stripper, Heavy Duty Wire Stripper Tool for 8-20 AWG Solid and 10-22 AWG Stranded Electrical Wire</t>
        </is>
      </c>
      <c r="E1184" s="2">
        <f>HYPERLINK("https://www.amazon.com/Klein-Tools-Stripper-Stranded-Electrical/dp/B08XKMZF55/ref=sr_1_37?keywords=Klein+Tools+11053+Klein-Kurve%C2%AE+Wire+Stripper%2FCutter&amp;qid=1694734664&amp;sr=8-37", "https://www.amazon.com/Klein-Tools-Stripper-Stranded-Electrical/dp/B08XKMZF55/ref=sr_1_37?keywords=Klein+Tools+11053+Klein-Kurve%C2%AE+Wire+Stripper%2FCutter&amp;qid=1694734664&amp;sr=8-37")</f>
        <v/>
      </c>
      <c r="F1184" t="inlineStr">
        <is>
          <t>B08XKMZF55</t>
        </is>
      </c>
      <c r="G1184">
        <f>_xlfn.IMAGE("https://edmondsonsupply.com/cdn/shop/products/11053.jpg?v=1633030511")</f>
        <v/>
      </c>
      <c r="H1184">
        <f>_xlfn.IMAGE("https://m.media-amazon.com/images/I/410rkxkOErL._AC_UL320_.jpg")</f>
        <v/>
      </c>
      <c r="K1184" t="inlineStr">
        <is>
          <t>20.97</t>
        </is>
      </c>
      <c r="L1184" t="n">
        <v>59.94</v>
      </c>
      <c r="M1184" s="1" t="inlineStr">
        <is>
          <t>185.84%</t>
        </is>
      </c>
      <c r="N1184" s="7" t="n">
        <v>70.68000000000001</v>
      </c>
      <c r="O1184" t="n">
        <v>4.9</v>
      </c>
      <c r="P1184" t="n">
        <v>14</v>
      </c>
      <c r="R1184" t="inlineStr">
        <is>
          <t>InStock</t>
        </is>
      </c>
      <c r="S1184" t="inlineStr">
        <is>
          <t>31.76</t>
        </is>
      </c>
      <c r="T1184" t="inlineStr">
        <is>
          <t>5387171299496</t>
        </is>
      </c>
    </row>
    <row r="1185" hidden="1" ht="15.75" customHeight="1">
      <c r="A1185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1185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1185" t="inlineStr">
        <is>
          <t>Klein Tools KTSB03 Step Drill Bit Double Fluted #3, 1/4 to 3/4-Inch</t>
        </is>
      </c>
      <c r="D1185" t="inlineStr">
        <is>
          <t>Klein Tools 25951 Electrician's Step Drill Bit Set, Spiral Double Fluted, Titanium Nitride Coating, 1/4-Inch Impact Shank, Case, 3-Piece</t>
        </is>
      </c>
      <c r="E1185" s="2">
        <f>HYPERLINK("https://www.amazon.com/Klein-Tools-25951-Electricians-Titanium/dp/B0BLFRJLDX/ref=sr_1_4?keywords=Klein+Tools+KTSB03+Step+Drill+Bit+Double+Fluted+%233%2C+1%2F4+to+3%2F4-Inch&amp;qid=1694734821&amp;sr=8-4", "https://www.amazon.com/Klein-Tools-25951-Electricians-Titanium/dp/B0BLFRJLDX/ref=sr_1_4?keywords=Klein+Tools+KTSB03+Step+Drill+Bit+Double+Fluted+%233%2C+1%2F4+to+3%2F4-Inch&amp;qid=1694734821&amp;sr=8-4")</f>
        <v/>
      </c>
      <c r="F1185" t="inlineStr">
        <is>
          <t>B0BLFRJLDX</t>
        </is>
      </c>
      <c r="G1185">
        <f>_xludf.IMAGE("https://edmondsonsupply.com/cdn/shop/products/ktsb03.jpg?v=1666012212")</f>
        <v/>
      </c>
      <c r="H1185">
        <f>_xludf.IMAGE("https://m.media-amazon.com/images/I/61dZd3WvlgL._AC_UY218_.jpg")</f>
        <v/>
      </c>
      <c r="K1185" t="inlineStr">
        <is>
          <t>34.99</t>
        </is>
      </c>
      <c r="L1185" t="n">
        <v>99.98999999999999</v>
      </c>
      <c r="M1185" s="1" t="inlineStr">
        <is>
          <t>185.77%</t>
        </is>
      </c>
      <c r="N1185" s="1" t="n">
        <v>70.64</v>
      </c>
      <c r="O1185" t="n">
        <v>3.8</v>
      </c>
      <c r="P1185" t="n">
        <v>6</v>
      </c>
      <c r="R1185" t="inlineStr">
        <is>
          <t>InStock</t>
        </is>
      </c>
      <c r="S1185" t="inlineStr">
        <is>
          <t>47.68</t>
        </is>
      </c>
      <c r="T1185" t="inlineStr">
        <is>
          <t>4174339670116</t>
        </is>
      </c>
    </row>
    <row r="1186" hidden="1" ht="15.75" customHeight="1">
      <c r="A1186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186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186" t="inlineStr">
        <is>
          <t>ICM Controls ICM2811 Furnace Control Board - Replacement for Goodman</t>
        </is>
      </c>
      <c r="D1186" t="inlineStr">
        <is>
          <t>OEM Upgraded Replacement for Goodman Furnace Control Circuit Board B18099-04</t>
        </is>
      </c>
      <c r="E1186" s="2">
        <f>HYPERLINK("https://www.amazon.com/Upgraded-Replacement-Goodman-Furnace-B1809904/dp/B00EF5PI8U/ref=sr_1_35?keywords=ICM+Controls+ICM2811+Furnace+Control+Board+-+Replacement+for+Goodman&amp;qid=1694734652&amp;sr=8-35", "https://www.amazon.com/Upgraded-Replacement-Goodman-Furnace-B1809904/dp/B00EF5PI8U/ref=sr_1_35?keywords=ICM+Controls+ICM2811+Furnace+Control+Board+-+Replacement+for+Goodman&amp;qid=1694734652&amp;sr=8-35")</f>
        <v/>
      </c>
      <c r="F1186" t="inlineStr">
        <is>
          <t>B00EF5PI8U</t>
        </is>
      </c>
      <c r="G1186">
        <f>_xludf.IMAGE("https://edmondsonsupply.com/cdn/shop/products/photo_3800_medium_86f45e25-a764-4839-bc84-759a6ce1c7bd.jpg?v=1659910436")</f>
        <v/>
      </c>
      <c r="H1186">
        <f>_xludf.IMAGE("https://m.media-amazon.com/images/I/61MkWbwN8-L._AC_UL320_.jpg")</f>
        <v/>
      </c>
      <c r="K1186" t="inlineStr">
        <is>
          <t>68.99</t>
        </is>
      </c>
      <c r="L1186" t="n">
        <v>196.99</v>
      </c>
      <c r="M1186" s="1" t="inlineStr">
        <is>
          <t>185.53%</t>
        </is>
      </c>
      <c r="N1186" s="1" t="n">
        <v>70.42</v>
      </c>
      <c r="O1186" t="n">
        <v>3</v>
      </c>
      <c r="P1186" t="n">
        <v>1</v>
      </c>
      <c r="R1186" t="inlineStr">
        <is>
          <t>InStock</t>
        </is>
      </c>
      <c r="S1186" t="inlineStr">
        <is>
          <t>93.62</t>
        </is>
      </c>
      <c r="T1186" t="inlineStr">
        <is>
          <t>4345448202340</t>
        </is>
      </c>
    </row>
    <row r="1187" ht="87" customHeight="1">
      <c r="A1187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187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187" t="inlineStr">
        <is>
          <t>ICM Controls ICM2811 Furnace Control Board - Replacement for Goodman</t>
        </is>
      </c>
      <c r="D1187" t="inlineStr">
        <is>
          <t>OEM Upgraded Replacement for Goodman Furnace Control Circuit Board B18099-03</t>
        </is>
      </c>
      <c r="E1187" s="2">
        <f>HYPERLINK("https://www.amazon.com/Upgraded-Replacement-Goodman-Furnace-B18099-03/dp/B00EF5PC2W/ref=sr_1_41?keywords=ICM+Controls+ICM2811+Furnace+Control+Board+-+Replacement+for+Goodman&amp;qid=1694734652&amp;sr=8-41", "https://www.amazon.com/Upgraded-Replacement-Goodman-Furnace-B18099-03/dp/B00EF5PC2W/ref=sr_1_41?keywords=ICM+Controls+ICM2811+Furnace+Control+Board+-+Replacement+for+Goodman&amp;qid=1694734652&amp;sr=8-41")</f>
        <v/>
      </c>
      <c r="F1187" t="inlineStr">
        <is>
          <t>B00EF5PC2W</t>
        </is>
      </c>
      <c r="G1187">
        <f>_xlfn.IMAGE("https://edmondsonsupply.com/cdn/shop/products/photo_3800_medium_86f45e25-a764-4839-bc84-759a6ce1c7bd.jpg?v=1659910436")</f>
        <v/>
      </c>
      <c r="H1187">
        <f>_xlfn.IMAGE("https://m.media-amazon.com/images/I/51GqcEArwZL._AC_UL320_.jpg")</f>
        <v/>
      </c>
      <c r="K1187" t="inlineStr">
        <is>
          <t>68.99</t>
        </is>
      </c>
      <c r="L1187" t="n">
        <v>196.99</v>
      </c>
      <c r="M1187" s="1" t="inlineStr">
        <is>
          <t>185.53%</t>
        </is>
      </c>
      <c r="N1187" s="7" t="n">
        <v>70.3</v>
      </c>
      <c r="O1187" t="n">
        <v>5</v>
      </c>
      <c r="P1187" t="n">
        <v>1</v>
      </c>
      <c r="R1187" t="inlineStr">
        <is>
          <t>InStock</t>
        </is>
      </c>
      <c r="S1187" t="inlineStr">
        <is>
          <t>93.62</t>
        </is>
      </c>
      <c r="T1187" t="inlineStr">
        <is>
          <t>4345448202340</t>
        </is>
      </c>
    </row>
    <row r="1188" ht="87" customHeight="1">
      <c r="A1188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188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188" t="inlineStr">
        <is>
          <t>ICM Controls ICM2811 Furnace Control Board - Replacement for Goodman</t>
        </is>
      </c>
      <c r="D1188" t="inlineStr">
        <is>
          <t>ICM Controls ICM291 Furnace Control Replacement for Carrier LH33WP003/3A Control Boards, Multicolor</t>
        </is>
      </c>
      <c r="E1188" s="2">
        <f>HYPERLINK("https://www.amazon.com/ICM-Controls-ICM291-Replacement-LH33WP003/dp/B0046V6VF2/ref=sr_1_36?keywords=ICM+Controls+ICM2811+Furnace+Control+Board+-+Replacement+for+Goodman&amp;qid=1694734652&amp;sr=8-36", "https://www.amazon.com/ICM-Controls-ICM291-Replacement-LH33WP003/dp/B0046V6VF2/ref=sr_1_36?keywords=ICM+Controls+ICM2811+Furnace+Control+Board+-+Replacement+for+Goodman&amp;qid=1694734652&amp;sr=8-36")</f>
        <v/>
      </c>
      <c r="F1188" t="inlineStr">
        <is>
          <t>B0046V6VF2</t>
        </is>
      </c>
      <c r="G1188">
        <f>_xlfn.IMAGE("https://edmondsonsupply.com/cdn/shop/products/photo_3800_medium_86f45e25-a764-4839-bc84-759a6ce1c7bd.jpg?v=1659910436")</f>
        <v/>
      </c>
      <c r="H1188">
        <f>_xlfn.IMAGE("https://m.media-amazon.com/images/I/71uUnepi38L._AC_UL320_.jpg")</f>
        <v/>
      </c>
      <c r="K1188" t="inlineStr">
        <is>
          <t>68.99</t>
        </is>
      </c>
      <c r="L1188" t="n">
        <v>196.26</v>
      </c>
      <c r="M1188" s="1" t="inlineStr">
        <is>
          <t>184.48%</t>
        </is>
      </c>
      <c r="N1188" s="7" t="n">
        <v>70.12</v>
      </c>
      <c r="O1188" t="n">
        <v>4.2</v>
      </c>
      <c r="P1188" t="n">
        <v>74</v>
      </c>
      <c r="R1188" t="inlineStr">
        <is>
          <t>InStock</t>
        </is>
      </c>
      <c r="S1188" t="inlineStr">
        <is>
          <t>93.62</t>
        </is>
      </c>
      <c r="T1188" t="inlineStr">
        <is>
          <t>4345448202340</t>
        </is>
      </c>
    </row>
    <row r="1189" ht="87" customHeight="1">
      <c r="A1189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1189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1189" t="inlineStr">
        <is>
          <t>Midwest MWT-SS6716R Special Hardness Aviation Snip - Right-Cutting</t>
        </is>
      </c>
      <c r="D1189" t="inlineStr">
        <is>
          <t>MIDWEST Aviation Snip - Left and Right Cut Offset Stainless Steel Cutting Shears with Forged Blade &amp; KUSH'N-POWER Comfort Grips - MWT-SS6510C</t>
        </is>
      </c>
      <c r="E1189" s="2">
        <f>HYPERLINK("https://www.amazon.com/MIDWEST-Aviation-Snip-Set-KUSHN-POWER/dp/B07RC7ZBK9/ref=sr_1_2?keywords=Midwest+MWT-SS6716R+Special+Hardness+Aviation+Snip+-+Right-Cutting&amp;qid=1694734647&amp;sr=8-2", "https://www.amazon.com/MIDWEST-Aviation-Snip-Set-KUSHN-POWER/dp/B07RC7ZBK9/ref=sr_1_2?keywords=Midwest+MWT-SS6716R+Special+Hardness+Aviation+Snip+-+Right-Cutting&amp;qid=1694734647&amp;sr=8-2")</f>
        <v/>
      </c>
      <c r="F1189" t="inlineStr">
        <is>
          <t>B07RC7ZBK9</t>
        </is>
      </c>
      <c r="G1189">
        <f>_xlfn.IMAGE("https://edmondsonsupply.com/cdn/shop/products/MWT-SS6716R1.jpg?v=1587146219")</f>
        <v/>
      </c>
      <c r="H1189">
        <f>_xlfn.IMAGE("https://m.media-amazon.com/images/I/71438hbSyHL._AC_UL320_.jpg")</f>
        <v/>
      </c>
      <c r="K1189" t="inlineStr">
        <is>
          <t>24.66</t>
        </is>
      </c>
      <c r="L1189" t="n">
        <v>69.98999999999999</v>
      </c>
      <c r="M1189" s="1" t="inlineStr">
        <is>
          <t>183.82%</t>
        </is>
      </c>
      <c r="N1189" s="7" t="n">
        <v>70.05</v>
      </c>
      <c r="O1189" t="n">
        <v>4.4</v>
      </c>
      <c r="P1189" t="n">
        <v>1128</v>
      </c>
      <c r="R1189" t="inlineStr">
        <is>
          <t>InStock</t>
        </is>
      </c>
      <c r="S1189" t="inlineStr">
        <is>
          <t>36.2</t>
        </is>
      </c>
      <c r="T1189" t="inlineStr">
        <is>
          <t>4508658204772</t>
        </is>
      </c>
    </row>
    <row r="1190" ht="87" customHeight="1">
      <c r="A1190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1190" s="2">
        <f>HYPERLINK("https://edmondsonsupply.com/products/klein-tools-3005cr-ratcheting-crimper-10-22-awg", "https://edmondsonsupply.com/products/klein-tools-3005cr-ratcheting-crimper-10-22-awg")</f>
        <v/>
      </c>
      <c r="C1190" t="inlineStr">
        <is>
          <t>Klein Tools 3005CR Ratcheting Crimper, 10-22 AWG - Insulated Terminals</t>
        </is>
      </c>
      <c r="D1190" t="inlineStr">
        <is>
          <t>Automatic Wire Stripper 10-24 AWG &amp; Klein Tools 3005CR Wire Crimper Tool, Ratcheting Insulated Terminal Crimper for 10 to 22 AWG Wire</t>
        </is>
      </c>
      <c r="E1190" s="2">
        <f>HYPERLINK("https://www.amazon.com/Automatic-Stripper-Ratcheting-Insulated-Terminal/dp/B0BM3NKTGN/ref=sr_1_3?keywords=Klein+Tools+3005CR+Ratcheting+Crimper%2C+10-22+AWG+-+Insulated+Terminals&amp;qid=1694734673&amp;sr=8-3", "https://www.amazon.com/Automatic-Stripper-Ratcheting-Insulated-Terminal/dp/B0BM3NKTGN/ref=sr_1_3?keywords=Klein+Tools+3005CR+Ratcheting+Crimper%2C+10-22+AWG+-+Insulated+Terminals&amp;qid=1694734673&amp;sr=8-3")</f>
        <v/>
      </c>
      <c r="F1190" t="inlineStr">
        <is>
          <t>B0BM3NKTGN</t>
        </is>
      </c>
      <c r="G1190">
        <f>_xlfn.IMAGE("https://edmondsonsupply.com/cdn/shop/products/3005cr.jpg?v=1587146892")</f>
        <v/>
      </c>
      <c r="H1190">
        <f>_xlfn.IMAGE("https://m.media-amazon.com/images/I/41G9n+KVXLL._AC_UL320_.jpg")</f>
        <v/>
      </c>
      <c r="K1190" t="inlineStr">
        <is>
          <t>29.97</t>
        </is>
      </c>
      <c r="L1190" t="n">
        <v>84.98</v>
      </c>
      <c r="M1190" s="1" t="inlineStr">
        <is>
          <t>183.55%</t>
        </is>
      </c>
      <c r="N1190" s="7" t="n">
        <v>69.81</v>
      </c>
      <c r="O1190" t="n">
        <v>4.6</v>
      </c>
      <c r="P1190" t="n">
        <v>1240</v>
      </c>
      <c r="R1190" t="inlineStr">
        <is>
          <t>InStock</t>
        </is>
      </c>
      <c r="S1190" t="inlineStr">
        <is>
          <t>42.9</t>
        </is>
      </c>
      <c r="T1190" t="inlineStr">
        <is>
          <t>3699388907620</t>
        </is>
      </c>
    </row>
    <row r="1191" ht="87" customHeight="1">
      <c r="A1191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1191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1191" t="inlineStr">
        <is>
          <t>Klein Tools NCVT-2PKIT Dual Range Non-Contact Voltage Tester with Receptacle Tester</t>
        </is>
      </c>
      <c r="D1191" t="inlineStr">
        <is>
          <t>Klein Tools NCVT3PKIT Electrical Test Kit, Dual-Range Non-Contact Voltage Tester with Flashlight, AC/DC Voltage Tester and Carrying Case &amp; ET310 AC Circuit Breaker Finder</t>
        </is>
      </c>
      <c r="E1191" s="2">
        <f>HYPERLINK("https://www.amazon.com/Klein-Tools-Electrical-Dual-Range-Non-Contact/dp/B0BD3WBV6W/ref=sr_1_12?keywords=Klein+Tools+NCVT-2PKIT+Dual+Range+Non-Contact+Voltage+Tester+with+Receptacle+Tester&amp;qid=1694734814&amp;sr=8-12", "https://www.amazon.com/Klein-Tools-Electrical-Dual-Range-Non-Contact/dp/B0BD3WBV6W/ref=sr_1_12?keywords=Klein+Tools+NCVT-2PKIT+Dual+Range+Non-Contact+Voltage+Tester+with+Receptacle+Tester&amp;qid=1694734814&amp;sr=8-12")</f>
        <v/>
      </c>
      <c r="F1191" t="inlineStr">
        <is>
          <t>B0BD3WBV6W</t>
        </is>
      </c>
      <c r="G1191">
        <f>_xlfn.IMAGE("https://edmondsonsupply.com/cdn/shop/products/ncvt2pkit.jpg?v=1633030827")</f>
        <v/>
      </c>
      <c r="H1191">
        <f>_xlfn.IMAGE("https://m.media-amazon.com/images/I/51Bb9uu7nIL._AC_UL320_.jpg")</f>
        <v/>
      </c>
      <c r="K1191" t="inlineStr">
        <is>
          <t>29.99</t>
        </is>
      </c>
      <c r="L1191" t="n">
        <v>84.95999999999999</v>
      </c>
      <c r="M1191" s="1" t="inlineStr">
        <is>
          <t>183.29%</t>
        </is>
      </c>
      <c r="N1191" s="7" t="n">
        <v>69.81</v>
      </c>
      <c r="O1191" t="n">
        <v>5</v>
      </c>
      <c r="P1191" t="n">
        <v>1</v>
      </c>
      <c r="R1191" t="inlineStr">
        <is>
          <t>InStock</t>
        </is>
      </c>
      <c r="S1191" t="inlineStr">
        <is>
          <t>41.28</t>
        </is>
      </c>
      <c r="T1191" t="inlineStr">
        <is>
          <t>6082146238637</t>
        </is>
      </c>
    </row>
    <row r="1192" hidden="1" ht="15.75" customHeight="1">
      <c r="A1192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192" s="2">
        <f>HYPERLINK("https://edmondsonsupply.com/products/packard-ttmj108-motor-start-capacitor-108-130-mfd-220-250-vac", "https://edmondsonsupply.com/products/packard-ttmj108-motor-start-capacitor-108-130-mfd-220-250-vac")</f>
        <v/>
      </c>
      <c r="C1192" t="inlineStr">
        <is>
          <t>Packard TTMJ108 Motor Start Capacitor 108-130 MFD 220-250 VAC</t>
        </is>
      </c>
      <c r="D1192" t="inlineStr">
        <is>
          <t>PTMJ108 - Packard Aftermarket Replacement Motor Start Capacitor 108-130 MFD 220 250 Volt</t>
        </is>
      </c>
      <c r="E1192" s="2">
        <f>HYPERLINK("https://www.amazon.com/PTMJ108-Packard-Aftermarket-Replacement-Capacitor/dp/B00IWYEC8M/ref=sr_1_1?keywords=Packard+TTMJ108+Motor+Start+Capacitor+108-130+MFD+220-250+VAC&amp;qid=1694734864&amp;sr=8-1", "https://www.amazon.com/PTMJ108-Packard-Aftermarket-Replacement-Capacitor/dp/B00IWYEC8M/ref=sr_1_1?keywords=Packard+TTMJ108+Motor+Start+Capacitor+108-130+MFD+220-250+VAC&amp;qid=1694734864&amp;sr=8-1")</f>
        <v/>
      </c>
      <c r="F1192" t="inlineStr">
        <is>
          <t>B00IWYEC8M</t>
        </is>
      </c>
      <c r="G1192">
        <f>_xludf.IMAGE("https://edmondsonsupply.com/cdn/shop/files/PTMJ108-2_c3537879-2bfc-401f-867d-9ee4aaa5c4bb.jpg?v=1692220228")</f>
        <v/>
      </c>
      <c r="H1192">
        <f>_xludf.IMAGE("https://m.media-amazon.com/images/I/41k5rZblOYL._AC_UY218_.jpg")</f>
        <v/>
      </c>
      <c r="K1192" t="inlineStr">
        <is>
          <t>4.39</t>
        </is>
      </c>
      <c r="L1192" t="n">
        <v>12.43</v>
      </c>
      <c r="M1192" s="1" t="inlineStr">
        <is>
          <t>183.14%</t>
        </is>
      </c>
      <c r="N1192" s="1" t="n">
        <v>69.55</v>
      </c>
      <c r="O1192" t="n">
        <v>4.5</v>
      </c>
      <c r="P1192" t="n">
        <v>23</v>
      </c>
      <c r="R1192" t="inlineStr">
        <is>
          <t>InStock</t>
        </is>
      </c>
      <c r="S1192" t="inlineStr">
        <is>
          <t>undefined</t>
        </is>
      </c>
      <c r="T1192" t="inlineStr">
        <is>
          <t>8028091154648</t>
        </is>
      </c>
    </row>
    <row r="1193" hidden="1" ht="15.75" customHeight="1">
      <c r="A1193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193" s="2">
        <f>HYPERLINK("https://edmondsonsupply.com/products/packard-prmj108-motor-start-capacitor-108-130-mfd-330-volt", "https://edmondsonsupply.com/products/packard-prmj108-motor-start-capacitor-108-130-mfd-330-volt")</f>
        <v/>
      </c>
      <c r="C1193" t="inlineStr">
        <is>
          <t>Packard PRMJ108 Motor Start Capacitor 108-130 MFD 330 Volt</t>
        </is>
      </c>
      <c r="D1193" t="inlineStr">
        <is>
          <t>PTMJ108 - Packard Aftermarket Replacement Motor Start Capacitor 108-130 MFD 220 250 Volt</t>
        </is>
      </c>
      <c r="E1193" s="2">
        <f>HYPERLINK("https://www.amazon.com/PTMJ108-Packard-Aftermarket-Replacement-Capacitor/dp/B00IWYEC8M/ref=sr_1_15?keywords=Packard+PRMJ108+Motor+Start+Capacitor+108-130+MFD+330+Volt&amp;qid=1694734796&amp;sr=8-15", "https://www.amazon.com/PTMJ108-Packard-Aftermarket-Replacement-Capacitor/dp/B00IWYEC8M/ref=sr_1_15?keywords=Packard+PRMJ108+Motor+Start+Capacitor+108-130+MFD+330+Volt&amp;qid=1694734796&amp;sr=8-15")</f>
        <v/>
      </c>
      <c r="F1193" t="inlineStr">
        <is>
          <t>B00IWYEC8M</t>
        </is>
      </c>
      <c r="G1193">
        <f>_xludf.IMAGE("https://edmondsonsupply.com/cdn/shop/products/PRMJ108-2.jpg?v=1633030309")</f>
        <v/>
      </c>
      <c r="H1193">
        <f>_xludf.IMAGE("https://m.media-amazon.com/images/I/41k5rZblOYL._AC_UY218_.jpg")</f>
        <v/>
      </c>
      <c r="K1193" t="inlineStr">
        <is>
          <t>4.39</t>
        </is>
      </c>
      <c r="L1193" t="n">
        <v>12.43</v>
      </c>
      <c r="M1193" s="1" t="inlineStr">
        <is>
          <t>183.14%</t>
        </is>
      </c>
      <c r="N1193" s="1" t="n">
        <v>69.5</v>
      </c>
      <c r="O1193" t="n">
        <v>4.5</v>
      </c>
      <c r="P1193" t="n">
        <v>23</v>
      </c>
      <c r="R1193" t="inlineStr">
        <is>
          <t>InStock</t>
        </is>
      </c>
      <c r="S1193" t="inlineStr">
        <is>
          <t>undefined</t>
        </is>
      </c>
      <c r="T1193" t="inlineStr">
        <is>
          <t>5241928319144</t>
        </is>
      </c>
    </row>
    <row r="1194" ht="87" customHeight="1">
      <c r="A1194" s="2">
        <f>HYPERLINK("https://edmondsonsupply.com/collections/hvac/products/uei-dmg150-digital-micron-gauge", "https://edmondsonsupply.com/collections/hvac/products/uei-dmg150-digital-micron-gauge")</f>
        <v/>
      </c>
      <c r="B1194" s="2">
        <f>HYPERLINK("https://edmondsonsupply.com/products/uei-dmg150-digital-micron-gauge", "https://edmondsonsupply.com/products/uei-dmg150-digital-micron-gauge")</f>
        <v/>
      </c>
      <c r="C1194" t="inlineStr">
        <is>
          <t>UEi PDT650 Digital Folding Pocket Thermometer</t>
        </is>
      </c>
      <c r="D1194" t="inlineStr">
        <is>
          <t>Klein Tools IR1 Infrared Thermometer &amp; UEi Test Instruments PDT650 Folding Pocket Digital Thermometer,Yellow</t>
        </is>
      </c>
      <c r="E1194" s="2">
        <f>HYPERLINK("https://www.amazon.com/Klein-Tools-Infrared-Thermometer-Instruments/dp/B0B56MPSBN/ref=sr_1_13?keywords=UEi+PDT650+Digital+Folding+Pocket+Thermometer&amp;qid=1694734589&amp;sr=8-13", "https://www.amazon.com/Klein-Tools-Infrared-Thermometer-Instruments/dp/B0B56MPSBN/ref=sr_1_13?keywords=UEi+PDT650+Digital+Folding+Pocket+Thermometer&amp;qid=1694734589&amp;sr=8-13")</f>
        <v/>
      </c>
      <c r="F1194" t="inlineStr">
        <is>
          <t>B0B56MPSBN</t>
        </is>
      </c>
      <c r="G1194">
        <f>_xlfn.IMAGE("https://edmondsonsupply.com/cdn/shop/products/PDT650-1.png?v=1633030101")</f>
        <v/>
      </c>
      <c r="H1194">
        <f>_xlfn.IMAGE("https://m.media-amazon.com/images/I/41bPYmj9ZoL._AC_UY218_.jpg")</f>
        <v/>
      </c>
      <c r="K1194" t="inlineStr">
        <is>
          <t>19.51</t>
        </is>
      </c>
      <c r="L1194" t="n">
        <v>54.98</v>
      </c>
      <c r="M1194" s="1" t="inlineStr">
        <is>
          <t>181.80%</t>
        </is>
      </c>
      <c r="N1194" s="7" t="n">
        <v>69.5</v>
      </c>
      <c r="O1194" t="n">
        <v>4.7</v>
      </c>
      <c r="P1194" t="n">
        <v>16</v>
      </c>
      <c r="R1194" t="inlineStr">
        <is>
          <t>InStock</t>
        </is>
      </c>
      <c r="S1194" t="inlineStr">
        <is>
          <t>22.95</t>
        </is>
      </c>
      <c r="T1194" t="inlineStr">
        <is>
          <t>3569106649188</t>
        </is>
      </c>
    </row>
    <row r="1195" hidden="1" ht="15.75" customHeight="1">
      <c r="A1195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195" s="2">
        <f>HYPERLINK("https://edmondsonsupply.com/products/packard-prmj88-motor-start-capacitor-88-108-mfd-330-volt", "https://edmondsonsupply.com/products/packard-prmj88-motor-start-capacitor-88-108-mfd-330-volt")</f>
        <v/>
      </c>
      <c r="C1195" t="inlineStr">
        <is>
          <t>Packard PRMJ88 Motor Start Capacitor 88-108 MFD 330 Volt</t>
        </is>
      </c>
      <c r="D1195" t="inlineStr">
        <is>
          <t>PRMJ88 - Packard Upgraded Replacement Motor Start Capacitor 88-108 MFD 330 Volt VAC</t>
        </is>
      </c>
      <c r="E1195" s="2">
        <f>HYPERLINK("https://www.amazon.com/PRMJ88-Packard-Upgraded-Replacement-Capacitor/dp/B0773SJX5T/ref=sr_1_2?keywords=Packard+PRMJ88+Motor+Start+Capacitor+88-108+MFD+330+Volt&amp;qid=1694734788&amp;sr=8-2", "https://www.amazon.com/PRMJ88-Packard-Upgraded-Replacement-Capacitor/dp/B0773SJX5T/ref=sr_1_2?keywords=Packard+PRMJ88+Motor+Start+Capacitor+88-108+MFD+330+Volt&amp;qid=1694734788&amp;sr=8-2")</f>
        <v/>
      </c>
      <c r="F1195" t="inlineStr">
        <is>
          <t>B0773SJX5T</t>
        </is>
      </c>
      <c r="G1195">
        <f>_xludf.IMAGE("https://edmondsonsupply.com/cdn/shop/products/PRMJ88-2.jpg?v=1633030394")</f>
        <v/>
      </c>
      <c r="H1195">
        <f>_xludf.IMAGE("https://m.media-amazon.com/images/I/41fqQrQgJaL._AC_UY218_.jpg")</f>
        <v/>
      </c>
      <c r="K1195" t="inlineStr">
        <is>
          <t>5.59</t>
        </is>
      </c>
      <c r="L1195" t="n">
        <v>15.74</v>
      </c>
      <c r="M1195" s="1" t="inlineStr">
        <is>
          <t>181.57%</t>
        </is>
      </c>
      <c r="N1195" s="1" t="n">
        <v>69.43000000000001</v>
      </c>
      <c r="O1195" t="n">
        <v>3</v>
      </c>
      <c r="P1195" t="n">
        <v>1</v>
      </c>
      <c r="R1195" t="inlineStr">
        <is>
          <t>InStock</t>
        </is>
      </c>
      <c r="S1195" t="inlineStr">
        <is>
          <t>undefined</t>
        </is>
      </c>
      <c r="T1195" t="inlineStr">
        <is>
          <t>5302132179112</t>
        </is>
      </c>
    </row>
    <row r="1196" hidden="1" ht="15.75" customHeight="1">
      <c r="A1196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196" s="2">
        <f>HYPERLINK("https://edmondsonsupply.com/products/packard-prmj88-motor-start-capacitor-88-108-mfd-330-volt", "https://edmondsonsupply.com/products/packard-prmj88-motor-start-capacitor-88-108-mfd-330-volt")</f>
        <v/>
      </c>
      <c r="C1196" t="inlineStr">
        <is>
          <t>Packard PRMJ88 Motor Start Capacitor 88-108 MFD 330 Volt</t>
        </is>
      </c>
      <c r="D1196" t="inlineStr">
        <is>
          <t>PRMJ72 - Packard Upgraded Replacement Motor Start Capacitor 72-88 MFD 330 Volt VAC</t>
        </is>
      </c>
      <c r="E1196" s="2">
        <f>HYPERLINK("https://www.amazon.com/PRMJ72-Packard-Upgraded-Replacement-Capacitor/dp/B0773SJQXH/ref=sr_1_9?keywords=Packard+PRMJ88+Motor+Start+Capacitor+88-108+MFD+330+Volt&amp;qid=1694734788&amp;sr=8-9", "https://www.amazon.com/PRMJ72-Packard-Upgraded-Replacement-Capacitor/dp/B0773SJQXH/ref=sr_1_9?keywords=Packard+PRMJ88+Motor+Start+Capacitor+88-108+MFD+330+Volt&amp;qid=1694734788&amp;sr=8-9")</f>
        <v/>
      </c>
      <c r="F1196" t="inlineStr">
        <is>
          <t>B0773SJQXH</t>
        </is>
      </c>
      <c r="G1196">
        <f>_xludf.IMAGE("https://edmondsonsupply.com/cdn/shop/products/PRMJ88-2.jpg?v=1633030394")</f>
        <v/>
      </c>
      <c r="H1196">
        <f>_xludf.IMAGE("https://m.media-amazon.com/images/I/41fqQrQgJaL._AC_UY218_.jpg")</f>
        <v/>
      </c>
      <c r="K1196" t="inlineStr">
        <is>
          <t>5.59</t>
        </is>
      </c>
      <c r="L1196" t="n">
        <v>15.74</v>
      </c>
      <c r="M1196" s="1" t="inlineStr">
        <is>
          <t>181.57%</t>
        </is>
      </c>
      <c r="N1196" s="1" t="n">
        <v>69.06999999999999</v>
      </c>
      <c r="O1196" t="n">
        <v>1</v>
      </c>
      <c r="P1196" t="n">
        <v>1</v>
      </c>
      <c r="R1196" t="inlineStr">
        <is>
          <t>InStock</t>
        </is>
      </c>
      <c r="S1196" t="inlineStr">
        <is>
          <t>undefined</t>
        </is>
      </c>
      <c r="T1196" t="inlineStr">
        <is>
          <t>5302132179112</t>
        </is>
      </c>
    </row>
    <row r="1197" ht="87" customHeight="1">
      <c r="A1197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197" s="2">
        <f>HYPERLINK("https://edmondsonsupply.com/products/klein-tools-32314-14-in-1-precision-screwdriver-nut-driver", "https://edmondsonsupply.com/products/klein-tools-32314-14-in-1-precision-screwdriver-nut-driver")</f>
        <v/>
      </c>
      <c r="C1197" t="inlineStr">
        <is>
          <t>Klein Tools 32314 14-in-1 Precision Screwdriver/ Nut Driver</t>
        </is>
      </c>
      <c r="D1197" t="inlineStr">
        <is>
          <t>Klein Tools 32807MAG 7-in-1 Nut Driver &amp; 32314 Electronic Screwdriver, 14-in-1 with 8 Precision Tips, Slotted, Phillips, and Tamperproof TORX Bits, 6 Precision Nut Drivers</t>
        </is>
      </c>
      <c r="E1197" s="2">
        <f>HYPERLINK("https://www.amazon.com/Klein-Tools-Electronic-Screwdriver-Tamperproof/dp/B09Q66YZ6V/ref=sr_1_7?keywords=Klein+Tools+32314+14-in-1+Precision+Screwdriver%2F+Nut+Driver&amp;qid=1694734697&amp;sr=8-7", "https://www.amazon.com/Klein-Tools-Electronic-Screwdriver-Tamperproof/dp/B09Q66YZ6V/ref=sr_1_7?keywords=Klein+Tools+32314+14-in-1+Precision+Screwdriver%2F+Nut+Driver&amp;qid=1694734697&amp;sr=8-7")</f>
        <v/>
      </c>
      <c r="F1197" t="inlineStr">
        <is>
          <t>B09Q66YZ6V</t>
        </is>
      </c>
      <c r="G1197">
        <f>_xlfn.IMAGE("https://edmondsonsupply.com/cdn/shop/products/32314.jpg?v=1646593726")</f>
        <v/>
      </c>
      <c r="H1197">
        <f>_xlfn.IMAGE("https://m.media-amazon.com/images/I/41HuaH+HvHL._AC_UL320_.jpg")</f>
        <v/>
      </c>
      <c r="K1197" t="inlineStr">
        <is>
          <t>15.97</t>
        </is>
      </c>
      <c r="L1197" t="n">
        <v>44.94</v>
      </c>
      <c r="M1197" s="1" t="inlineStr">
        <is>
          <t>181.40%</t>
        </is>
      </c>
      <c r="N1197" s="7" t="n">
        <v>69.05</v>
      </c>
      <c r="O1197" t="n">
        <v>4.7</v>
      </c>
      <c r="P1197" t="n">
        <v>7</v>
      </c>
      <c r="R1197" t="inlineStr">
        <is>
          <t>InStock</t>
        </is>
      </c>
      <c r="S1197" t="inlineStr">
        <is>
          <t>22.38</t>
        </is>
      </c>
      <c r="T1197" t="inlineStr">
        <is>
          <t>7626984947928</t>
        </is>
      </c>
    </row>
    <row r="1198" ht="87" customHeight="1">
      <c r="A1198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198" s="2">
        <f>HYPERLINK("https://edmondsonsupply.com/products/klein-tools-32314-14-in-1-precision-screwdriver-nut-driver", "https://edmondsonsupply.com/products/klein-tools-32314-14-in-1-precision-screwdriver-nut-driver")</f>
        <v/>
      </c>
      <c r="C1198" t="inlineStr">
        <is>
          <t>Klein Tools 32314 14-in-1 Precision Screwdriver/ Nut Driver</t>
        </is>
      </c>
      <c r="D1198" t="inlineStr">
        <is>
          <t>Klein Tools 32717 Precision Screwdriver Set &amp; 32314 Electronic Screwdriver, 14-in-1 with 8 Precision Tips, Slotted, Phillips, and Tamperproof TORX Bits, 6 Precision Nut Drivers</t>
        </is>
      </c>
      <c r="E1198" s="2">
        <f>HYPERLINK("https://www.amazon.com/Klein-Tools-Screwdriver-Electronic-Tamperproof/dp/B0BF5CJP5B/ref=sr_1_6?keywords=Klein+Tools+32314+14-in-1+Precision+Screwdriver%2F+Nut+Driver&amp;qid=1694734697&amp;sr=8-6", "https://www.amazon.com/Klein-Tools-Screwdriver-Electronic-Tamperproof/dp/B0BF5CJP5B/ref=sr_1_6?keywords=Klein+Tools+32314+14-in-1+Precision+Screwdriver%2F+Nut+Driver&amp;qid=1694734697&amp;sr=8-6")</f>
        <v/>
      </c>
      <c r="F1198" t="inlineStr">
        <is>
          <t>B0BF5CJP5B</t>
        </is>
      </c>
      <c r="G1198">
        <f>_xlfn.IMAGE("https://edmondsonsupply.com/cdn/shop/products/32314.jpg?v=1646593726")</f>
        <v/>
      </c>
      <c r="H1198">
        <f>_xlfn.IMAGE("https://m.media-amazon.com/images/I/51UXV8J5F1L._AC_UL320_.jpg")</f>
        <v/>
      </c>
      <c r="K1198" t="inlineStr">
        <is>
          <t>15.97</t>
        </is>
      </c>
      <c r="L1198" t="n">
        <v>44.94</v>
      </c>
      <c r="M1198" s="1" t="inlineStr">
        <is>
          <t>181.40%</t>
        </is>
      </c>
      <c r="N1198" s="7" t="n">
        <v>68.84999999999999</v>
      </c>
      <c r="O1198" t="n">
        <v>4.9</v>
      </c>
      <c r="P1198" t="n">
        <v>9</v>
      </c>
      <c r="R1198" t="inlineStr">
        <is>
          <t>InStock</t>
        </is>
      </c>
      <c r="S1198" t="inlineStr">
        <is>
          <t>22.38</t>
        </is>
      </c>
      <c r="T1198" t="inlineStr">
        <is>
          <t>7626984947928</t>
        </is>
      </c>
    </row>
    <row r="1199" ht="87" customHeight="1">
      <c r="A1199" s="2">
        <f>HYPERLINK("https://edmondsonsupply.com/collections/hvac/products/midwest-mwt-6510r-right-offset-aviation-snip", "https://edmondsonsupply.com/collections/hvac/products/midwest-mwt-6510r-right-offset-aviation-snip")</f>
        <v/>
      </c>
      <c r="B1199" s="2">
        <f>HYPERLINK("https://edmondsonsupply.com/products/midwest-mwt-6510r-right-offset-aviation-snip", "https://edmondsonsupply.com/products/midwest-mwt-6510r-right-offset-aviation-snip")</f>
        <v/>
      </c>
      <c r="C1199" t="inlineStr">
        <is>
          <t>Midwest MWT-6510R Right Offset Aviation Snip</t>
        </is>
      </c>
      <c r="D1199" t="inlineStr">
        <is>
          <t>MIDWEST Aviation Snip - Left and Right Cut Offset Stainless Steel Cutting Shears with Forged Blade &amp; KUSH'N-POWER Comfort Grips - MWT-SS6510C</t>
        </is>
      </c>
      <c r="E1199" s="2">
        <f>HYPERLINK("https://www.amazon.com/MIDWEST-Aviation-Snip-Set-KUSHN-POWER/dp/B07RC7ZBK9/ref=sr_1_8?keywords=Midwest+MWT-6510R+Right+Offset+Aviation+Snip&amp;qid=1694734735&amp;sr=8-8", "https://www.amazon.com/MIDWEST-Aviation-Snip-Set-KUSHN-POWER/dp/B07RC7ZBK9/ref=sr_1_8?keywords=Midwest+MWT-6510R+Right+Offset+Aviation+Snip&amp;qid=1694734735&amp;sr=8-8")</f>
        <v/>
      </c>
      <c r="F1199" t="inlineStr">
        <is>
          <t>B07RC7ZBK9</t>
        </is>
      </c>
      <c r="G1199">
        <f>_xlfn.IMAGE("https://edmondsonsupply.com/cdn/shop/products/MWT-6510R.png?v=1587144877")</f>
        <v/>
      </c>
      <c r="H1199">
        <f>_xlfn.IMAGE("https://m.media-amazon.com/images/I/71438hbSyHL._AC_UL320_.jpg")</f>
        <v/>
      </c>
      <c r="K1199" t="inlineStr">
        <is>
          <t>24.89</t>
        </is>
      </c>
      <c r="L1199" t="n">
        <v>69.98999999999999</v>
      </c>
      <c r="M1199" s="1" t="inlineStr">
        <is>
          <t>181.20%</t>
        </is>
      </c>
      <c r="N1199" s="7" t="n">
        <v>68.84</v>
      </c>
      <c r="O1199" t="n">
        <v>4.4</v>
      </c>
      <c r="P1199" t="n">
        <v>1128</v>
      </c>
      <c r="R1199" t="inlineStr">
        <is>
          <t>InStock</t>
        </is>
      </c>
      <c r="S1199" t="inlineStr">
        <is>
          <t>33.49</t>
        </is>
      </c>
      <c r="T1199" t="inlineStr">
        <is>
          <t>4414962597988</t>
        </is>
      </c>
    </row>
    <row r="1200" ht="87" customHeight="1">
      <c r="A1200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200" s="2">
        <f>HYPERLINK("https://edmondsonsupply.com/products/klein-tools-32314-14-in-1-precision-screwdriver-nut-driver", "https://edmondsonsupply.com/products/klein-tools-32314-14-in-1-precision-screwdriver-nut-driver")</f>
        <v/>
      </c>
      <c r="C1200" t="inlineStr">
        <is>
          <t>Klein Tools 32314 14-in-1 Precision Screwdriver/ Nut Driver</t>
        </is>
      </c>
      <c r="D1200" t="inlineStr">
        <is>
          <t>Impact Driver, 7-in-1 Impact Flip Socket Set &amp; 14-in-1 Adjustable Screwdriver with Flip Socket, HVAC Nut Drivers and Bits, Impact Rated Klein Tools 32304</t>
        </is>
      </c>
      <c r="E1200" s="2">
        <f>HYPERLINK("https://www.amazon.com/Adjustable-Screwdriver-Drivers-Klein-Tools/dp/B09Y84RPSB/ref=sr_1_31?keywords=Klein+Tools+32314+14-in-1+Precision+Screwdriver%2F+Nut+Driver&amp;qid=1694734697&amp;sr=8-31", "https://www.amazon.com/Adjustable-Screwdriver-Drivers-Klein-Tools/dp/B09Y84RPSB/ref=sr_1_31?keywords=Klein+Tools+32314+14-in-1+Precision+Screwdriver%2F+Nut+Driver&amp;qid=1694734697&amp;sr=8-31")</f>
        <v/>
      </c>
      <c r="F1200" t="inlineStr">
        <is>
          <t>B09Y84RPSB</t>
        </is>
      </c>
      <c r="G1200">
        <f>_xlfn.IMAGE("https://edmondsonsupply.com/cdn/shop/products/32314.jpg?v=1646593726")</f>
        <v/>
      </c>
      <c r="H1200">
        <f>_xlfn.IMAGE("https://m.media-amazon.com/images/I/41KTNungRUL._AC_UL320_.jpg")</f>
        <v/>
      </c>
      <c r="K1200" t="inlineStr">
        <is>
          <t>15.97</t>
        </is>
      </c>
      <c r="L1200" t="n">
        <v>44.76</v>
      </c>
      <c r="M1200" s="1" t="inlineStr">
        <is>
          <t>180.28%</t>
        </is>
      </c>
      <c r="N1200" s="7" t="n">
        <v>68.56</v>
      </c>
      <c r="O1200" t="n">
        <v>4.8</v>
      </c>
      <c r="P1200" t="n">
        <v>87</v>
      </c>
      <c r="R1200" t="inlineStr">
        <is>
          <t>InStock</t>
        </is>
      </c>
      <c r="S1200" t="inlineStr">
        <is>
          <t>22.38</t>
        </is>
      </c>
      <c r="T1200" t="inlineStr">
        <is>
          <t>7626984947928</t>
        </is>
      </c>
    </row>
    <row r="1201" ht="87" customHeight="1">
      <c r="A1201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201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201" t="inlineStr">
        <is>
          <t>Klein Tools 70550 Pro Folding Hex Key Set, 11-Key, SAE Sizes</t>
        </is>
      </c>
      <c r="D1201" t="inlineStr">
        <is>
          <t>Klein Tools 935RBLT Level, 9-Inch Lighted Torpedo Level with Magnet, 3 Vials and V-Groove &amp; 70550 Hex Wrench Key Set, 11 SAE Sizes, Heavy Duty Folding Allen Wrench Tool</t>
        </is>
      </c>
      <c r="E1201" s="2">
        <f>HYPERLINK("https://www.amazon.com/Klein-Tools-935RBLT-Lighted-V-Groove/dp/B0CGZKQCWG/ref=sr_1_5?keywords=Klein+Tools+70550+Pro+Folding+Hex+Key+Set%2C+11-Key%2C+SAE+Sizes&amp;qid=1694734808&amp;sr=8-5", "https://www.amazon.com/Klein-Tools-935RBLT-Lighted-V-Groove/dp/B0CGZKQCWG/ref=sr_1_5?keywords=Klein+Tools+70550+Pro+Folding+Hex+Key+Set%2C+11-Key%2C+SAE+Sizes&amp;qid=1694734808&amp;sr=8-5")</f>
        <v/>
      </c>
      <c r="F1201" t="inlineStr">
        <is>
          <t>B0CGZKQCWG</t>
        </is>
      </c>
      <c r="G1201">
        <f>_xlfn.IMAGE("https://edmondsonsupply.com/cdn/shop/products/70550.jpg?v=1587145237")</f>
        <v/>
      </c>
      <c r="H1201">
        <f>_xlfn.IMAGE("https://m.media-amazon.com/images/I/41SgM5hcilL._AC_UL320_.jpg")</f>
        <v/>
      </c>
      <c r="K1201" t="inlineStr">
        <is>
          <t>19.97</t>
        </is>
      </c>
      <c r="L1201" t="n">
        <v>55.94</v>
      </c>
      <c r="M1201" s="1" t="inlineStr">
        <is>
          <t>180.12%</t>
        </is>
      </c>
      <c r="N1201" s="7" t="n">
        <v>68.12</v>
      </c>
      <c r="O1201" t="n">
        <v>4.8</v>
      </c>
      <c r="P1201" t="n">
        <v>3195</v>
      </c>
      <c r="R1201" t="inlineStr">
        <is>
          <t>InStock</t>
        </is>
      </c>
      <c r="S1201" t="inlineStr">
        <is>
          <t>27.18</t>
        </is>
      </c>
      <c r="T1201" t="inlineStr">
        <is>
          <t>3693538082916</t>
        </is>
      </c>
    </row>
    <row r="1202" ht="87" customHeight="1">
      <c r="A1202" s="2">
        <f>HYPERLINK("https://edmondsonsupply.com/collections/hvac/products/fieldpiece-sr47-wireless-refrigerant-scale", "https://edmondsonsupply.com/collections/hvac/products/fieldpiece-sr47-wireless-refrigerant-scale")</f>
        <v/>
      </c>
      <c r="B1202" s="2">
        <f>HYPERLINK("https://edmondsonsupply.com/products/fieldpiece-sr47-wireless-refrigerant-scale", "https://edmondsonsupply.com/products/fieldpiece-sr47-wireless-refrigerant-scale")</f>
        <v/>
      </c>
      <c r="C1202" t="inlineStr">
        <is>
          <t>Fieldpiece SR47 Wireless Refrigerant Scale</t>
        </is>
      </c>
      <c r="D1202" t="inlineStr">
        <is>
          <t>Fieldpiece Wireless Refrigerant Scale Srs3</t>
        </is>
      </c>
      <c r="E1202" s="2">
        <f>HYPERLINK("https://www.amazon.com/Fieldpiece-Wireless-Refrigerant-Scale-Srs3/dp/B082MQ7B8J/ref=sr_1_3?keywords=Fieldpiece+SR47+Wireless+Refrigerant+Scale&amp;qid=1694734757&amp;sr=8-3", "https://www.amazon.com/Fieldpiece-Wireless-Refrigerant-Scale-Srs3/dp/B082MQ7B8J/ref=sr_1_3?keywords=Fieldpiece+SR47+Wireless+Refrigerant+Scale&amp;qid=1694734757&amp;sr=8-3")</f>
        <v/>
      </c>
      <c r="F1202" t="inlineStr">
        <is>
          <t>B082MQ7B8J</t>
        </is>
      </c>
      <c r="G1202">
        <f>_xlfn.IMAGE("https://edmondsonsupply.com/cdn/shop/products/SR47.png?v=1669930210")</f>
        <v/>
      </c>
      <c r="H1202">
        <f>_xlfn.IMAGE("https://m.media-amazon.com/images/I/31wBB3OMIXL._AC_UL320_.jpg")</f>
        <v/>
      </c>
      <c r="K1202" t="inlineStr">
        <is>
          <t>357.0</t>
        </is>
      </c>
      <c r="L1202" t="n">
        <v>999.99</v>
      </c>
      <c r="M1202" s="1" t="inlineStr">
        <is>
          <t>180.11%</t>
        </is>
      </c>
      <c r="N1202" s="7" t="n">
        <v>68</v>
      </c>
      <c r="O1202" t="n">
        <v>5</v>
      </c>
      <c r="P1202" t="n">
        <v>1</v>
      </c>
      <c r="R1202" t="inlineStr">
        <is>
          <t>InStock</t>
        </is>
      </c>
      <c r="S1202" t="inlineStr">
        <is>
          <t>420.0</t>
        </is>
      </c>
      <c r="T1202" t="inlineStr">
        <is>
          <t>7897207701720</t>
        </is>
      </c>
    </row>
    <row r="1203" ht="87" customHeight="1">
      <c r="A1203" s="2">
        <f>HYPERLINK("https://edmondsonsupply.com/collections/hvac/products/malco-tools-mshml14-1-4-extra-long-magnetic-hex-chuck-driver-4-long", "https://edmondsonsupply.com/collections/hvac/products/malco-tools-mshml14-1-4-extra-long-magnetic-hex-chuck-driver-4-long")</f>
        <v/>
      </c>
      <c r="B1203" s="2">
        <f>HYPERLINK("https://edmondsonsupply.com/products/malco-tools-mshml14-1-4-extra-long-magnetic-hex-chuck-driver-4-long", "https://edmondsonsupply.com/products/malco-tools-mshml14-1-4-extra-long-magnetic-hex-chuck-driver-4-long")</f>
        <v/>
      </c>
      <c r="C1203" t="inlineStr">
        <is>
          <t>Malco Tools MSHML14 1/4" Extra Long Magnetic Hex Chuck Driver - 4" Long</t>
        </is>
      </c>
      <c r="D1203" t="inlineStr">
        <is>
          <t>Malco MSHML14 4 in. Magnetic Hex Chuck Drivers (1-4")- 2 pack</t>
        </is>
      </c>
      <c r="E1203" s="2">
        <f>HYPERLINK("https://www.amazon.com/Malco-MSHML14-Magnetic-Chuck-Drivers/dp/B0BGT38Z6W/ref=sr_1_3?keywords=Malco+Tools+MSHML14+1%2F4%22+Extra+Long+Magnetic+Hex+Chuck+Driver+-+4%22+Long&amp;qid=1694734799&amp;sr=8-3", "https://www.amazon.com/Malco-MSHML14-Magnetic-Chuck-Drivers/dp/B0BGT38Z6W/ref=sr_1_3?keywords=Malco+Tools+MSHML14+1%2F4%22+Extra+Long+Magnetic+Hex+Chuck+Driver+-+4%22+Long&amp;qid=1694734799&amp;sr=8-3")</f>
        <v/>
      </c>
      <c r="F1203" t="inlineStr">
        <is>
          <t>B0BGT38Z6W</t>
        </is>
      </c>
      <c r="G1203">
        <f>_xlfn.IMAGE("https://edmondsonsupply.com/cdn/shop/products/mshml14_catalog-big-e1529595240703.jpg?v=1587142629")</f>
        <v/>
      </c>
      <c r="H1203">
        <f>_xlfn.IMAGE("https://m.media-amazon.com/images/I/31L8V0NrlDL._AC_UL320_.jpg")</f>
        <v/>
      </c>
      <c r="K1203" t="inlineStr">
        <is>
          <t>9.47</t>
        </is>
      </c>
      <c r="L1203" t="n">
        <v>26.52</v>
      </c>
      <c r="M1203" s="1" t="inlineStr">
        <is>
          <t>180.04%</t>
        </is>
      </c>
      <c r="N1203" s="7" t="n">
        <v>67.84</v>
      </c>
      <c r="O1203" t="n">
        <v>5</v>
      </c>
      <c r="P1203" t="n">
        <v>1</v>
      </c>
      <c r="R1203" t="inlineStr">
        <is>
          <t>InStock</t>
        </is>
      </c>
      <c r="S1203" t="inlineStr">
        <is>
          <t>undefined</t>
        </is>
      </c>
      <c r="T1203" t="inlineStr">
        <is>
          <t>4522926375012</t>
        </is>
      </c>
    </row>
    <row r="1204" ht="87" customHeight="1">
      <c r="A1204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204" s="2">
        <f>HYPERLINK("https://edmondsonsupply.com/products/klein-tools-646-5-16-5-16-inch-nut-driver-6-inch-hollow-shaft", "https://edmondsonsupply.com/products/klein-tools-646-5-16-5-16-inch-nut-driver-6-inch-hollow-shaft")</f>
        <v/>
      </c>
      <c r="C1204" t="inlineStr">
        <is>
          <t>Klein Tools 646-5/16 5/16-Inch Nut Driver, 6-Inch Hollow Shaft</t>
        </is>
      </c>
      <c r="D1204" t="inlineStr">
        <is>
          <t>Klein Tools 646M Tool Set, Magnetic Nut Drivers Sizes 1/4 and 5/16-Inch, 6-Inch Shafts, 2-Piece</t>
        </is>
      </c>
      <c r="E1204" s="2">
        <f>HYPERLINK("https://www.amazon.com/Magnetic-16-Inch-Klein-Tools-646M/dp/B000936QV0/ref=sr_1_7?keywords=Klein+Tools+646-5%2F16+5%2F16-Inch+Nut+Driver%2C+6-Inch+Hollow+Shaft&amp;qid=1694734728&amp;sr=8-7", "https://www.amazon.com/Magnetic-16-Inch-Klein-Tools-646M/dp/B000936QV0/ref=sr_1_7?keywords=Klein+Tools+646-5%2F16+5%2F16-Inch+Nut+Driver%2C+6-Inch+Hollow+Shaft&amp;qid=1694734728&amp;sr=8-7")</f>
        <v/>
      </c>
      <c r="F1204" t="inlineStr">
        <is>
          <t>B000936QV0</t>
        </is>
      </c>
      <c r="G1204">
        <f>_xlfn.IMAGE("https://edmondsonsupply.com/cdn/shop/products/646-1-2_e1540905-f750-4509-90c5-74ff653e4d83.jpg?v=1587145119")</f>
        <v/>
      </c>
      <c r="H1204">
        <f>_xlfn.IMAGE("https://m.media-amazon.com/images/I/41lkJ6KRq9L._AC_UL320_.jpg")</f>
        <v/>
      </c>
      <c r="K1204" t="inlineStr">
        <is>
          <t>7.99</t>
        </is>
      </c>
      <c r="L1204" t="n">
        <v>22.34</v>
      </c>
      <c r="M1204" s="1" t="inlineStr">
        <is>
          <t>179.60%</t>
        </is>
      </c>
      <c r="N1204" s="7" t="n">
        <v>67.31999999999999</v>
      </c>
      <c r="O1204" t="n">
        <v>4.8</v>
      </c>
      <c r="P1204" t="n">
        <v>1652</v>
      </c>
      <c r="R1204" t="inlineStr">
        <is>
          <t>InStock</t>
        </is>
      </c>
      <c r="S1204" t="inlineStr">
        <is>
          <t>12.1</t>
        </is>
      </c>
      <c r="T1204" t="inlineStr">
        <is>
          <t>4395303272548</t>
        </is>
      </c>
    </row>
    <row r="1205" ht="87" customHeight="1">
      <c r="A1205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205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205" t="inlineStr">
        <is>
          <t>Klein Tools 646-1/4 1/4-Inch Nut Driver with 6-Inch Hollow Shaft</t>
        </is>
      </c>
      <c r="D1205" t="inlineStr">
        <is>
          <t>Klein Tools 646M Tool Set, Magnetic Nut Drivers Sizes 1/4 and 5/16-Inch, 6-Inch Shafts, 2-Piece</t>
        </is>
      </c>
      <c r="E1205" s="2">
        <f>HYPERLINK("https://www.amazon.com/Magnetic-16-Inch-Klein-Tools-646M/dp/B000936QV0/ref=sr_1_5?keywords=Klein+Tools+646-1%2F4+1%2F4-Inch+Nut+Driver+with+6-Inch+Hollow+Shaft&amp;qid=1694734727&amp;sr=8-5", "https://www.amazon.com/Magnetic-16-Inch-Klein-Tools-646M/dp/B000936QV0/ref=sr_1_5?keywords=Klein+Tools+646-1%2F4+1%2F4-Inch+Nut+Driver+with+6-Inch+Hollow+Shaft&amp;qid=1694734727&amp;sr=8-5")</f>
        <v/>
      </c>
      <c r="F1205" t="inlineStr">
        <is>
          <t>B000936QV0</t>
        </is>
      </c>
      <c r="G1205">
        <f>_xlfn.IMAGE("https://edmondsonsupply.com/cdn/shop/products/646-1-2_08d87fa9-eac4-4869-8d3b-bb680d4b1d53.jpg?v=1587150676")</f>
        <v/>
      </c>
      <c r="H1205">
        <f>_xlfn.IMAGE("https://m.media-amazon.com/images/I/41lkJ6KRq9L._AC_UL320_.jpg")</f>
        <v/>
      </c>
      <c r="K1205" t="inlineStr">
        <is>
          <t>7.99</t>
        </is>
      </c>
      <c r="L1205" t="n">
        <v>22.34</v>
      </c>
      <c r="M1205" s="1" t="inlineStr">
        <is>
          <t>179.60%</t>
        </is>
      </c>
      <c r="N1205" s="7" t="n">
        <v>67.16</v>
      </c>
      <c r="O1205" t="n">
        <v>4.8</v>
      </c>
      <c r="P1205" t="n">
        <v>1652</v>
      </c>
      <c r="R1205" t="inlineStr">
        <is>
          <t>InStock</t>
        </is>
      </c>
      <c r="S1205" t="inlineStr">
        <is>
          <t>12.1</t>
        </is>
      </c>
      <c r="T1205" t="inlineStr">
        <is>
          <t>4439433740388</t>
        </is>
      </c>
    </row>
    <row r="1206" ht="87" customHeight="1">
      <c r="A1206" s="2">
        <f>HYPERLINK("https://edmondsonsupply.com/collections/hvac/products/packard-trcfd255-titan-pro-run-capacitor-25-5-mfd-440-370-volt-round", "https://edmondsonsupply.com/collections/hvac/products/packard-trcfd255-titan-pro-run-capacitor-25-5-mfd-440-370-volt-round")</f>
        <v/>
      </c>
      <c r="B1206" s="2">
        <f>HYPERLINK("https://edmondsonsupply.com/products/packard-trcfd255-titan-pro-run-capacitor-25-5-mfd-440-370-volt-round", "https://edmondsonsupply.com/products/packard-trcfd255-titan-pro-run-capacitor-25-5-mfd-440-370-volt-round")</f>
        <v/>
      </c>
      <c r="C1206" t="inlineStr">
        <is>
          <t>Packard TRCFD255 Titan PRO Run Capacitor 25+5 MFD 440/370 Volt, Round</t>
        </is>
      </c>
      <c r="D1206" t="inlineStr">
        <is>
          <t>Packard TOCFD255 Titan Pro Motor Run Capacitor 25+5 MFD 440/370V OVAL Capacitor</t>
        </is>
      </c>
      <c r="E1206" s="2">
        <f>HYPERLINK("https://www.amazon.com/Packard-TOCFD255-Titan-Motor-Capacitor/dp/B009558O8G/ref=sr_1_6?keywords=Packard+TRCFD255+Titan+PRO+Run+Capacitor+25%2B5+MFD+440%2F370+Volt%2C+Round&amp;qid=1694734735&amp;sr=8-6", "https://www.amazon.com/Packard-TOCFD255-Titan-Motor-Capacitor/dp/B009558O8G/ref=sr_1_6?keywords=Packard+TRCFD255+Titan+PRO+Run+Capacitor+25%2B5+MFD+440%2F370+Volt%2C+Round&amp;qid=1694734735&amp;sr=8-6")</f>
        <v/>
      </c>
      <c r="F1206" t="inlineStr">
        <is>
          <t>B009558O8G</t>
        </is>
      </c>
      <c r="G1206">
        <f>_xlfn.IMAGE("https://edmondsonsupply.com/cdn/shop/products/TRCFD255-2.jpg?v=1587142300")</f>
        <v/>
      </c>
      <c r="H1206">
        <f>_xlfn.IMAGE("https://m.media-amazon.com/images/I/51ZHG4pO0nL._AC_UY218_.jpg")</f>
        <v/>
      </c>
      <c r="K1206" t="inlineStr">
        <is>
          <t>6.02</t>
        </is>
      </c>
      <c r="L1206" t="n">
        <v>16.79</v>
      </c>
      <c r="M1206" s="1" t="inlineStr">
        <is>
          <t>178.90%</t>
        </is>
      </c>
      <c r="N1206" s="7" t="n">
        <v>67.16</v>
      </c>
      <c r="O1206" t="n">
        <v>4.5</v>
      </c>
      <c r="P1206" t="n">
        <v>42</v>
      </c>
      <c r="R1206" t="inlineStr">
        <is>
          <t>InStock</t>
        </is>
      </c>
      <c r="S1206" t="inlineStr">
        <is>
          <t>undefined</t>
        </is>
      </c>
      <c r="T1206" t="inlineStr">
        <is>
          <t>4299522080868</t>
        </is>
      </c>
    </row>
    <row r="1207" ht="87" customHeight="1">
      <c r="A1207" s="2">
        <f>HYPERLINK("https://edmondsonsupply.com/collections/hvac/products/klein-tools-85616-precision-screwdriver-set-torx%C2%AE-4-piece", "https://edmondsonsupply.com/collections/hvac/products/klein-tools-85616-precision-screwdriver-set-torx%C2%AE-4-piece")</f>
        <v/>
      </c>
      <c r="B1207" s="2">
        <f>HYPERLINK("https://edmondsonsupply.com/products/klein-tools-85616-precision-screwdriver-set-torx%c2%ae-4-piece", "https://edmondsonsupply.com/products/klein-tools-85616-precision-screwdriver-set-torx%c2%ae-4-piece")</f>
        <v/>
      </c>
      <c r="C1207" t="inlineStr">
        <is>
          <t>Klein Tools 85616 Precision Screwdriver Set, TORX® 4-Piece</t>
        </is>
      </c>
      <c r="D1207" t="inlineStr">
        <is>
          <t>Klein Tools 85614 Precision Screwdriver Set, Electronics Slotted and Phillips Screwdrivers with Rotating Caps and Color-Coded Rings, 5-Piece</t>
        </is>
      </c>
      <c r="E1207" s="2">
        <f>HYPERLINK("https://www.amazon.com/Klein-Tools-85614-Electronic-Screwdriver/dp/B0076RWZMQ/ref=sr_1_4?keywords=Klein+Tools+85616+Precision+Screwdriver+Set%2C+TORX%C2%AE+4-Piece&amp;qid=1694734879&amp;sr=8-4", "https://www.amazon.com/Klein-Tools-85614-Electronic-Screwdriver/dp/B0076RWZMQ/ref=sr_1_4?keywords=Klein+Tools+85616+Precision+Screwdriver+Set%2C+TORX%C2%AE+4-Piece&amp;qid=1694734879&amp;sr=8-4")</f>
        <v/>
      </c>
      <c r="F1207" t="inlineStr">
        <is>
          <t>B0076RWZMQ</t>
        </is>
      </c>
      <c r="G1207">
        <f>_xlfn.IMAGE("https://edmondsonsupply.com/cdn/shop/files/85616_kit.jpg?v=1689873488")</f>
        <v/>
      </c>
      <c r="H1207">
        <f>_xlfn.IMAGE("https://m.media-amazon.com/images/I/510TMeDdIiL._AC_UL320_.jpg")</f>
        <v/>
      </c>
      <c r="K1207" t="inlineStr">
        <is>
          <t>19.97</t>
        </is>
      </c>
      <c r="L1207" t="n">
        <v>55.67</v>
      </c>
      <c r="M1207" s="1" t="inlineStr">
        <is>
          <t>178.77%</t>
        </is>
      </c>
      <c r="N1207" s="7" t="n">
        <v>66.90000000000001</v>
      </c>
      <c r="O1207" t="n">
        <v>4.8</v>
      </c>
      <c r="P1207" t="n">
        <v>590</v>
      </c>
      <c r="R1207" t="inlineStr">
        <is>
          <t>InStock</t>
        </is>
      </c>
      <c r="S1207" t="inlineStr">
        <is>
          <t>27.98</t>
        </is>
      </c>
      <c r="T1207" t="inlineStr">
        <is>
          <t>8018843861208</t>
        </is>
      </c>
    </row>
    <row r="1208" ht="87" customHeight="1">
      <c r="A1208" s="2">
        <f>HYPERLINK("https://edmondsonsupply.com/collections/hvac/products/robertshaw-41-401-hot-surface-furnace-ignitor-amana-replacement", "https://edmondsonsupply.com/collections/hvac/products/robertshaw-41-401-hot-surface-furnace-ignitor-amana-replacement")</f>
        <v/>
      </c>
      <c r="B1208" s="2">
        <f>HYPERLINK("https://edmondsonsupply.com/products/robertshaw-41-401-hot-surface-furnace-ignitor-amana-replacement", "https://edmondsonsupply.com/products/robertshaw-41-401-hot-surface-furnace-ignitor-amana-replacement")</f>
        <v/>
      </c>
      <c r="C1208" t="inlineStr">
        <is>
          <t>Robertshaw 41-401 Hot Surface Furnace Ignitor, Amana Replacement</t>
        </is>
      </c>
      <c r="D1208" t="inlineStr">
        <is>
          <t>Robertshaw 41-602 Hot Surface Furnace Mini-Ignitor, Amana 20165702, White Rodgers 767A-378</t>
        </is>
      </c>
      <c r="E1208" s="2">
        <f>HYPERLINK("https://www.amazon.com/Robertshaw-41-602-Mini-Ignitor-20165702-767A-378/dp/B003AST41U/ref=sr_1_1?keywords=Robertshaw+41-401+Hot+Surface+Furnace+Ignitor%2C+Amana+Replacement&amp;qid=1694734708&amp;sr=8-1", "https://www.amazon.com/Robertshaw-41-602-Mini-Ignitor-20165702-767A-378/dp/B003AST41U/ref=sr_1_1?keywords=Robertshaw+41-401+Hot+Surface+Furnace+Ignitor%2C+Amana+Replacement&amp;qid=1694734708&amp;sr=8-1")</f>
        <v/>
      </c>
      <c r="F1208" t="inlineStr">
        <is>
          <t>B003AST41U</t>
        </is>
      </c>
      <c r="G1208">
        <f>_xlfn.IMAGE("https://edmondsonsupply.com/cdn/shop/products/41-401.jpg?v=1633030866")</f>
        <v/>
      </c>
      <c r="H1208">
        <f>_xlfn.IMAGE("https://m.media-amazon.com/images/I/61apSaBH7NL._AC_UL320_.jpg")</f>
        <v/>
      </c>
      <c r="K1208" t="inlineStr">
        <is>
          <t>17.61</t>
        </is>
      </c>
      <c r="L1208" t="n">
        <v>49.05</v>
      </c>
      <c r="M1208" s="1" t="inlineStr">
        <is>
          <t>178.53%</t>
        </is>
      </c>
      <c r="N1208" s="7" t="n">
        <v>66.8</v>
      </c>
      <c r="O1208" t="n">
        <v>4.3</v>
      </c>
      <c r="P1208" t="n">
        <v>26</v>
      </c>
      <c r="R1208" t="inlineStr">
        <is>
          <t>InStock</t>
        </is>
      </c>
      <c r="S1208" t="inlineStr">
        <is>
          <t>undefined</t>
        </is>
      </c>
      <c r="T1208" t="inlineStr">
        <is>
          <t>6126276575405</t>
        </is>
      </c>
    </row>
    <row r="1209" hidden="1" ht="15.75" customHeight="1">
      <c r="A1209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09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09" t="inlineStr">
        <is>
          <t>Holyoke Fittings 1055-FHFH 3/4" Garden Hose Thread Fitting - Brass Female Garden Hose to Hose Swivel Adapter</t>
        </is>
      </c>
      <c r="D1209" t="inlineStr">
        <is>
          <t>LitOrange (2 Pack Lead-Free Brass Garden Hose Threaded 3/4" GHT to 1/2 NPT Fitting Connect, Green Thumb Quick Swivel Connector Adapter,Double Female Thread 3/4" x 1/2" NPT Pipe</t>
        </is>
      </c>
      <c r="E1209" s="2">
        <f>HYPERLINK("https://www.amazon.com/Litorange-Industrial-Threaded-Fitting-Connector/dp/B07VZYF1FL/ref=sr_1_14?keywords=Holyoke+Fittings+1055-FHFH+3%2F4%22+Garden+Hose+Thread+Fitting+-+Brass+Female+Garden+Hose+to+Hose+Swivel+Adapter&amp;qid=1694734918&amp;sr=8-14", "https://www.amazon.com/Litorange-Industrial-Threaded-Fitting-Connector/dp/B07VZYF1FL/ref=sr_1_14?keywords=Holyoke+Fittings+1055-FHFH+3%2F4%22+Garden+Hose+Thread+Fitting+-+Brass+Female+Garden+Hose+to+Hose+Swivel+Adapter&amp;qid=1694734918&amp;sr=8-14")</f>
        <v/>
      </c>
      <c r="F1209" t="inlineStr">
        <is>
          <t>B07VZYF1FL</t>
        </is>
      </c>
      <c r="G1209">
        <f>_xludf.IMAGE("https://edmondsonsupply.com/cdn/shop/files/1055-FHFH.jpg?v=1686083814")</f>
        <v/>
      </c>
      <c r="H1209">
        <f>_xludf.IMAGE("https://m.media-amazon.com/images/I/716nNBggSuL._AC_UL320_.jpg")</f>
        <v/>
      </c>
      <c r="K1209" t="inlineStr">
        <is>
          <t>3.59</t>
        </is>
      </c>
      <c r="L1209" t="n">
        <v>9.99</v>
      </c>
      <c r="M1209" s="1" t="inlineStr">
        <is>
          <t>178.27%</t>
        </is>
      </c>
      <c r="N1209" s="1" t="n">
        <v>66.73999999999999</v>
      </c>
      <c r="O1209" t="n">
        <v>4.5</v>
      </c>
      <c r="P1209" t="n">
        <v>1421</v>
      </c>
      <c r="R1209" t="inlineStr">
        <is>
          <t>InStock</t>
        </is>
      </c>
      <c r="S1209" t="inlineStr">
        <is>
          <t>5.17</t>
        </is>
      </c>
      <c r="T1209" t="inlineStr">
        <is>
          <t>8002194342104</t>
        </is>
      </c>
    </row>
    <row r="1210" ht="87" customHeight="1">
      <c r="A1210" s="2">
        <f>HYPERLINK("https://edmondsonsupply.com/collections/hvac/products/nu-calgon-4289-01-4179-05", "https://edmondsonsupply.com/collections/hvac/products/nu-calgon-4289-01-4179-05")</f>
        <v/>
      </c>
      <c r="B1210" s="2">
        <f>HYPERLINK("https://edmondsonsupply.com/products/nu-calgon-4289-01-4179-05", "https://edmondsonsupply.com/products/nu-calgon-4289-01-4179-05")</f>
        <v/>
      </c>
      <c r="C1210" t="inlineStr">
        <is>
          <t>Nu-Calgon 4179-05 Gallo Gun Cannon</t>
        </is>
      </c>
      <c r="D1210" t="inlineStr">
        <is>
          <t>Nu-Calgon 4179-01 (1 Pack) Gallo Gun-Clears Condensate Drain Lines</t>
        </is>
      </c>
      <c r="E1210" s="2">
        <f>HYPERLINK("https://www.amazon.com/Nu-Calgon-4179-01-Gallo-Gun-Clears-Condensate/dp/B0BSG1NW8T/ref=sr_1_1?keywords=Nu-Calgon+4179-05+Gallo+Gun+Cannon&amp;qid=1694734580&amp;sr=8-1", "https://www.amazon.com/Nu-Calgon-4179-01-Gallo-Gun-Clears-Condensate/dp/B0BSG1NW8T/ref=sr_1_1?keywords=Nu-Calgon+4179-05+Gallo+Gun+Cannon&amp;qid=1694734580&amp;sr=8-1")</f>
        <v/>
      </c>
      <c r="F1210" t="inlineStr">
        <is>
          <t>B0BSG1NW8T</t>
        </is>
      </c>
      <c r="G1210">
        <f>_xlfn.IMAGE("https://edmondsonsupply.com/cdn/shop/files/4179-05_20220222.jpg?v=1686757087")</f>
        <v/>
      </c>
      <c r="H1210">
        <f>_xlfn.IMAGE("https://m.media-amazon.com/images/I/7158+93inqL._AC_UL320_.jpg")</f>
        <v/>
      </c>
      <c r="K1210" t="inlineStr">
        <is>
          <t>19.89</t>
        </is>
      </c>
      <c r="L1210" t="n">
        <v>55.2</v>
      </c>
      <c r="M1210" s="1" t="inlineStr">
        <is>
          <t>177.53%</t>
        </is>
      </c>
      <c r="N1210" s="7" t="n">
        <v>66.37</v>
      </c>
      <c r="O1210" t="n">
        <v>4.2</v>
      </c>
      <c r="P1210" t="n">
        <v>7</v>
      </c>
      <c r="R1210" t="inlineStr">
        <is>
          <t>InStock</t>
        </is>
      </c>
      <c r="S1210" t="inlineStr">
        <is>
          <t>28.5</t>
        </is>
      </c>
      <c r="T1210" t="inlineStr">
        <is>
          <t>8005597364440</t>
        </is>
      </c>
    </row>
    <row r="1211" ht="87" customHeight="1">
      <c r="A1211" s="2">
        <f>HYPERLINK("https://edmondsonsupply.com/collections/hvac/products/midwest-mwt-6900r-upright-right-cutting-aviation-snip", "https://edmondsonsupply.com/collections/hvac/products/midwest-mwt-6900r-upright-right-cutting-aviation-snip")</f>
        <v/>
      </c>
      <c r="B1211" s="2">
        <f>HYPERLINK("https://edmondsonsupply.com/products/midwest-mwt-6900r-upright-right-cutting-aviation-snip", "https://edmondsonsupply.com/products/midwest-mwt-6900r-upright-right-cutting-aviation-snip")</f>
        <v/>
      </c>
      <c r="C1211" t="inlineStr">
        <is>
          <t>Midwest MWT-6900R Upright Right-Cutting Aviation Snip</t>
        </is>
      </c>
      <c r="D1211" t="inlineStr">
        <is>
          <t>MIDWEST Aviation Snip - Left and Right Cut Offset Stainless Steel Cutting Shears with Forged Blade &amp; KUSH'N-POWER Comfort Grips - MWT-SS6510C</t>
        </is>
      </c>
      <c r="E1211" s="2">
        <f>HYPERLINK("https://www.amazon.com/MIDWEST-Aviation-Snip-Set-KUSHN-POWER/dp/B07RC7ZBK9/ref=sr_1_4?keywords=Midwest+MWT-6900R+Upright+Right-Cutting+Aviation+Snip&amp;qid=1694734651&amp;sr=8-4", "https://www.amazon.com/MIDWEST-Aviation-Snip-Set-KUSHN-POWER/dp/B07RC7ZBK9/ref=sr_1_4?keywords=Midwest+MWT-6900R+Upright+Right-Cutting+Aviation+Snip&amp;qid=1694734651&amp;sr=8-4")</f>
        <v/>
      </c>
      <c r="F1211" t="inlineStr">
        <is>
          <t>B07RC7ZBK9</t>
        </is>
      </c>
      <c r="G1211">
        <f>_xlfn.IMAGE("https://edmondsonsupply.com/cdn/shop/products/MW-P6900R1.jpg?v=1587142622")</f>
        <v/>
      </c>
      <c r="H1211">
        <f>_xlfn.IMAGE("https://m.media-amazon.com/images/I/71438hbSyHL._AC_UL320_.jpg")</f>
        <v/>
      </c>
      <c r="K1211" t="inlineStr">
        <is>
          <t>25.29</t>
        </is>
      </c>
      <c r="L1211" t="n">
        <v>69.98999999999999</v>
      </c>
      <c r="M1211" s="1" t="inlineStr">
        <is>
          <t>176.75%</t>
        </is>
      </c>
      <c r="N1211" s="7" t="n">
        <v>66.23</v>
      </c>
      <c r="O1211" t="n">
        <v>4.4</v>
      </c>
      <c r="P1211" t="n">
        <v>1128</v>
      </c>
      <c r="R1211" t="inlineStr">
        <is>
          <t>InStock</t>
        </is>
      </c>
      <c r="S1211" t="inlineStr">
        <is>
          <t>37.05</t>
        </is>
      </c>
      <c r="T1211" t="inlineStr">
        <is>
          <t>4509684596836</t>
        </is>
      </c>
    </row>
    <row r="1212" ht="87" customHeight="1">
      <c r="A1212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212" s="2">
        <f>HYPERLINK("https://edmondsonsupply.com/products/midwest-mwt-6510s-straight-offset-aviation-snip", "https://edmondsonsupply.com/products/midwest-mwt-6510s-straight-offset-aviation-snip")</f>
        <v/>
      </c>
      <c r="C1212" t="inlineStr">
        <is>
          <t>Midwest MWT-6510S Straight Offset Aviation Snip</t>
        </is>
      </c>
      <c r="D1212" t="inlineStr">
        <is>
          <t>Midwest Tools and Cutlery MWT-6510C Midwest Snips Forged Blade Offset Aviation Snips Set (Pack of 2)</t>
        </is>
      </c>
      <c r="E1212" s="2">
        <f>HYPERLINK("https://www.amazon.com/Midwest-Tools-Cutlery-MWT-6510C-Aviation/dp/B01J9IC5D8/ref=sr_1_2?keywords=Midwest+MWT-6510S+Straight+Offset+Aviation+Snip&amp;qid=1694734608&amp;sr=8-2", "https://www.amazon.com/Midwest-Tools-Cutlery-MWT-6510C-Aviation/dp/B01J9IC5D8/ref=sr_1_2?keywords=Midwest+MWT-6510S+Straight+Offset+Aviation+Snip&amp;qid=1694734608&amp;sr=8-2")</f>
        <v/>
      </c>
      <c r="F1212" t="inlineStr">
        <is>
          <t>B01J9IC5D8</t>
        </is>
      </c>
      <c r="G1212">
        <f>_xlfn.IMAGE("https://edmondsonsupply.com/cdn/shop/products/MWT-6510S-1.jpg?v=1587150061")</f>
        <v/>
      </c>
      <c r="H1212">
        <f>_xlfn.IMAGE("https://m.media-amazon.com/images/I/71GdMeiK3LL._AC_UL320_.jpg")</f>
        <v/>
      </c>
      <c r="K1212" t="inlineStr">
        <is>
          <t>23.49</t>
        </is>
      </c>
      <c r="L1212" t="n">
        <v>64.79000000000001</v>
      </c>
      <c r="M1212" s="1" t="inlineStr">
        <is>
          <t>175.82%</t>
        </is>
      </c>
      <c r="N1212" s="7" t="n">
        <v>66.23</v>
      </c>
      <c r="O1212" t="n">
        <v>4.7</v>
      </c>
      <c r="P1212" t="n">
        <v>403</v>
      </c>
      <c r="R1212" t="inlineStr">
        <is>
          <t>OutOfStock</t>
        </is>
      </c>
      <c r="S1212" t="inlineStr">
        <is>
          <t>33.49</t>
        </is>
      </c>
      <c r="T1212" t="inlineStr">
        <is>
          <t>4436158677092</t>
        </is>
      </c>
    </row>
    <row r="1213" hidden="1" ht="15.75" customHeight="1">
      <c r="A1213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213" s="2">
        <f>HYPERLINK("https://edmondsonsupply.com/products/packard-pmj216-motor-start-capacitor-216-259-mfd-110-125-vac", "https://edmondsonsupply.com/products/packard-pmj216-motor-start-capacitor-216-259-mfd-110-125-vac")</f>
        <v/>
      </c>
      <c r="C1213" t="inlineStr">
        <is>
          <t>Packard PMJ216 Motor Start Capacitor 216-259 MFD 110-125 VAC</t>
        </is>
      </c>
      <c r="D1213" t="inlineStr">
        <is>
          <t>216-259 uf/MFD 110-125 VAC Round Start Capacitor ±20% 50/60 Hz CD60 Round Motor Well Pump Start Capacitor (216-259 uf/MFD)</t>
        </is>
      </c>
      <c r="E1213" s="2">
        <f>HYPERLINK("https://www.amazon.com/216-259-MFD-110-125-Round-Capacitor/dp/B0C2KRY85W/ref=sr_1_10?keywords=Packard+PMJ216+Motor+Start+Capacitor+216-259+MFD+110-125+VAC&amp;qid=1694734654&amp;sr=8-10", "https://www.amazon.com/216-259-MFD-110-125-Round-Capacitor/dp/B0C2KRY85W/ref=sr_1_10?keywords=Packard+PMJ216+Motor+Start+Capacitor+216-259+MFD+110-125+VAC&amp;qid=1694734654&amp;sr=8-10")</f>
        <v/>
      </c>
      <c r="F1213" t="inlineStr">
        <is>
          <t>B0C2KRY85W</t>
        </is>
      </c>
      <c r="G1213">
        <f>_xludf.IMAGE("https://edmondsonsupply.com/cdn/shop/products/PMJ216-2.jpg?v=1633030107")</f>
        <v/>
      </c>
      <c r="H1213">
        <f>_xludf.IMAGE("https://m.media-amazon.com/images/I/51JFRyIaT-L._AC_UY218_.jpg")</f>
        <v/>
      </c>
      <c r="K1213" t="inlineStr">
        <is>
          <t>3.63</t>
        </is>
      </c>
      <c r="L1213" t="n">
        <v>9.99</v>
      </c>
      <c r="M1213" s="1" t="inlineStr">
        <is>
          <t>175.21%</t>
        </is>
      </c>
      <c r="N1213" s="1" t="n">
        <v>66.22</v>
      </c>
      <c r="O1213" t="n">
        <v>4.7</v>
      </c>
      <c r="P1213" t="n">
        <v>21</v>
      </c>
      <c r="R1213" t="inlineStr">
        <is>
          <t>InStock</t>
        </is>
      </c>
      <c r="S1213" t="inlineStr">
        <is>
          <t>undefined</t>
        </is>
      </c>
      <c r="T1213" t="inlineStr">
        <is>
          <t>3600549642340</t>
        </is>
      </c>
    </row>
    <row r="1214" ht="87" customHeight="1">
      <c r="A1214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1214" s="2">
        <f>HYPERLINK("https://edmondsonsupply.com/products/midwest-mwt-ss6716l-special-hardness-aviation-snip-left-cutting", "https://edmondsonsupply.com/products/midwest-mwt-ss6716l-special-hardness-aviation-snip-left-cutting")</f>
        <v/>
      </c>
      <c r="C1214" t="inlineStr">
        <is>
          <t>Midwest MWT-SS6716L Special Hardness Aviation Snip - Left-Cutting</t>
        </is>
      </c>
      <c r="D1214" t="inlineStr">
        <is>
          <t>MIDWEST Aviation Snip - Left and Right Cut Offset Stainless Steel Cutting Shears with Forged Blade &amp; KUSH'N-POWER Comfort Grips - MWT-SS6510C</t>
        </is>
      </c>
      <c r="E1214" s="2">
        <f>HYPERLINK("https://www.amazon.com/MIDWEST-Aviation-Snip-Set-KUSHN-POWER/dp/B07RC7ZBK9/ref=sr_1_1?keywords=Midwest+MWT-SS6716L+Special+Hardness+Aviation+Snip+-+Left-Cutting&amp;qid=1694734623&amp;sr=8-1", "https://www.amazon.com/MIDWEST-Aviation-Snip-Set-KUSHN-POWER/dp/B07RC7ZBK9/ref=sr_1_1?keywords=Midwest+MWT-SS6716L+Special+Hardness+Aviation+Snip+-+Left-Cutting&amp;qid=1694734623&amp;sr=8-1")</f>
        <v/>
      </c>
      <c r="F1214" t="inlineStr">
        <is>
          <t>B07RC7ZBK9</t>
        </is>
      </c>
      <c r="G1214">
        <f>_xlfn.IMAGE("https://edmondsonsupply.com/cdn/shop/products/MWT-SS6716L1.jpg?v=1587151241")</f>
        <v/>
      </c>
      <c r="H1214">
        <f>_xlfn.IMAGE("https://m.media-amazon.com/images/I/71438hbSyHL._AC_UL320_.jpg")</f>
        <v/>
      </c>
      <c r="K1214" t="inlineStr">
        <is>
          <t>25.49</t>
        </is>
      </c>
      <c r="L1214" t="n">
        <v>69.98999999999999</v>
      </c>
      <c r="M1214" s="1" t="inlineStr">
        <is>
          <t>174.58%</t>
        </is>
      </c>
      <c r="N1214" s="7" t="n">
        <v>65.94</v>
      </c>
      <c r="O1214" t="n">
        <v>4.4</v>
      </c>
      <c r="P1214" t="n">
        <v>1128</v>
      </c>
      <c r="R1214" t="inlineStr">
        <is>
          <t>InStock</t>
        </is>
      </c>
      <c r="S1214" t="inlineStr">
        <is>
          <t>36.2</t>
        </is>
      </c>
      <c r="T1214" t="inlineStr">
        <is>
          <t>4508646277220</t>
        </is>
      </c>
    </row>
    <row r="1215" ht="87" customHeight="1">
      <c r="A1215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215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215" t="inlineStr">
        <is>
          <t>Klein Tools 646-1/4 1/4-Inch Nut Driver with 6-Inch Hollow Shaft</t>
        </is>
      </c>
      <c r="D1215" t="inlineStr">
        <is>
          <t>Klein Tools 646-1/4-INS Insulated 1/4-Inch Nut Driver with 6-Inch Hollow Shaft and Cushion Grip Handle</t>
        </is>
      </c>
      <c r="E1215" s="2">
        <f>HYPERLINK("https://www.amazon.com/Insulated-Klein-Tools-646-1-4-INS/dp/B000MKMH5O/ref=sr_1_2?keywords=Klein+Tools+646-1%2F4+1%2F4-Inch+Nut+Driver+with+6-Inch+Hollow+Shaft&amp;qid=1694734727&amp;sr=8-2", "https://www.amazon.com/Insulated-Klein-Tools-646-1-4-INS/dp/B000MKMH5O/ref=sr_1_2?keywords=Klein+Tools+646-1%2F4+1%2F4-Inch+Nut+Driver+with+6-Inch+Hollow+Shaft&amp;qid=1694734727&amp;sr=8-2")</f>
        <v/>
      </c>
      <c r="F1215" t="inlineStr">
        <is>
          <t>B000MKMH5O</t>
        </is>
      </c>
      <c r="G1215">
        <f>_xlfn.IMAGE("https://edmondsonsupply.com/cdn/shop/products/646-1-2_08d87fa9-eac4-4869-8d3b-bb680d4b1d53.jpg?v=1587150676")</f>
        <v/>
      </c>
      <c r="H1215">
        <f>_xlfn.IMAGE("https://m.media-amazon.com/images/I/41Nr0vSgHCL._AC_UL320_.jpg")</f>
        <v/>
      </c>
      <c r="K1215" t="inlineStr">
        <is>
          <t>7.99</t>
        </is>
      </c>
      <c r="L1215" t="n">
        <v>21.91</v>
      </c>
      <c r="M1215" s="1" t="inlineStr">
        <is>
          <t>174.22%</t>
        </is>
      </c>
      <c r="N1215" s="7" t="n">
        <v>65.81</v>
      </c>
      <c r="O1215" t="n">
        <v>4.7</v>
      </c>
      <c r="P1215" t="n">
        <v>272</v>
      </c>
      <c r="R1215" t="inlineStr">
        <is>
          <t>InStock</t>
        </is>
      </c>
      <c r="S1215" t="inlineStr">
        <is>
          <t>12.1</t>
        </is>
      </c>
      <c r="T1215" t="inlineStr">
        <is>
          <t>4439433740388</t>
        </is>
      </c>
    </row>
    <row r="1216" hidden="1" ht="15.75" customHeight="1">
      <c r="A1216" s="2">
        <f>HYPERLINK("https://edmondsonsupply.com/collections/hvac/products/packard-trcf25-titan-pro-run-capacitor-25-mfd-440-370-volt-round", "https://edmondsonsupply.com/collections/hvac/products/packard-trcf25-titan-pro-run-capacitor-25-mfd-440-370-volt-round")</f>
        <v/>
      </c>
      <c r="B1216" s="2">
        <f>HYPERLINK("https://edmondsonsupply.com/products/packard-trcf25-titan-pro-run-capacitor-25-mfd-440-370-volt-round", "https://edmondsonsupply.com/products/packard-trcf25-titan-pro-run-capacitor-25-mfd-440-370-volt-round")</f>
        <v/>
      </c>
      <c r="C1216" t="inlineStr">
        <is>
          <t>Packard TRCF25 TITAN PRO Run Capacitor 25 MFD 440/370 Volt, Round</t>
        </is>
      </c>
      <c r="D1216" t="inlineStr">
        <is>
          <t>Packard TRC25 Titan Pro Run Capacitor 25 MFD 370 Volt Round</t>
        </is>
      </c>
      <c r="E1216" s="2">
        <f>HYPERLINK("https://www.amazon.com/Packard-TRC25-Titan-Capacitor-Round/dp/B09J1HKXXJ/ref=sr_1_7?keywords=Packard+TRCF25+TITAN+PRO+Run+Capacitor+25+MFD+440%2F370+Volt%2C+Round&amp;qid=1694734709&amp;sr=8-7", "https://www.amazon.com/Packard-TRC25-Titan-Capacitor-Round/dp/B09J1HKXXJ/ref=sr_1_7?keywords=Packard+TRCF25+TITAN+PRO+Run+Capacitor+25+MFD+440%2F370+Volt%2C+Round&amp;qid=1694734709&amp;sr=8-7")</f>
        <v/>
      </c>
      <c r="F1216" t="inlineStr">
        <is>
          <t>B09J1HKXXJ</t>
        </is>
      </c>
      <c r="G1216">
        <f>_xludf.IMAGE("https://edmondsonsupply.com/cdn/shop/products/TRCF25-2.jpg?v=1633030930")</f>
        <v/>
      </c>
      <c r="H1216">
        <f>_xludf.IMAGE("https://m.media-amazon.com/images/I/310zeSAQB5L._AC_UY218_.jpg")</f>
        <v/>
      </c>
      <c r="K1216" t="inlineStr">
        <is>
          <t>5.33</t>
        </is>
      </c>
      <c r="L1216" t="n">
        <v>14.59</v>
      </c>
      <c r="M1216" s="1" t="inlineStr">
        <is>
          <t>173.73%</t>
        </is>
      </c>
      <c r="N1216" s="1" t="n">
        <v>65.65000000000001</v>
      </c>
      <c r="O1216" t="n">
        <v>5</v>
      </c>
      <c r="P1216" t="n">
        <v>5</v>
      </c>
      <c r="R1216" t="inlineStr">
        <is>
          <t>InStock</t>
        </is>
      </c>
      <c r="S1216" t="inlineStr">
        <is>
          <t>undefined</t>
        </is>
      </c>
      <c r="T1216" t="inlineStr">
        <is>
          <t>6556600631469</t>
        </is>
      </c>
    </row>
    <row r="1217" ht="87" customHeight="1">
      <c r="A1217" s="2">
        <f>HYPERLINK("https://edmondsonsupply.com/collections/hvac/products/packard-trcfd305-titan-pro-run-capacitor-30-5-mfd-440-370-volt-round", "https://edmondsonsupply.com/collections/hvac/products/packard-trcfd305-titan-pro-run-capacitor-30-5-mfd-440-370-volt-round")</f>
        <v/>
      </c>
      <c r="B1217" s="2">
        <f>HYPERLINK("https://edmondsonsupply.com/products/packard-trcfd305-titan-pro-run-capacitor-30-5-mfd-440-370-volt-round", "https://edmondsonsupply.com/products/packard-trcfd305-titan-pro-run-capacitor-30-5-mfd-440-370-volt-round")</f>
        <v/>
      </c>
      <c r="C1217" t="inlineStr">
        <is>
          <t>Packard TRCFD305 Titan PRO Run Capacitor 30+5 MFD 440/370 Volt, Round</t>
        </is>
      </c>
      <c r="D1217" t="inlineStr">
        <is>
          <t>TitanPro TRCFD305 HVAC Round Dual Motor Run Capacitor 30/5 MFD/UF440/370 Volts</t>
        </is>
      </c>
      <c r="E1217" s="2">
        <f>HYPERLINK("https://www.amazon.com/TitanPro-TRCFD305-Round-Motor-Capacitor/dp/B06XHDG9PZ/ref=sr_1_6?keywords=Packard+TRCFD305+Titan+PRO+Run+Capacitor+30+5+MFD+440%2F370+Volt%2C+Round&amp;qid=1694734673&amp;sr=8-6", "https://www.amazon.com/TitanPro-TRCFD305-Round-Motor-Capacitor/dp/B06XHDG9PZ/ref=sr_1_6?keywords=Packard+TRCFD305+Titan+PRO+Run+Capacitor+30+5+MFD+440%2F370+Volt%2C+Round&amp;qid=1694734673&amp;sr=8-6")</f>
        <v/>
      </c>
      <c r="F1217" t="inlineStr">
        <is>
          <t>B06XHDG9PZ</t>
        </is>
      </c>
      <c r="G1217">
        <f>_xlfn.IMAGE("https://edmondsonsupply.com/cdn/shop/products/TRCFD305-2.jpg?v=1587144425")</f>
        <v/>
      </c>
      <c r="H1217">
        <f>_xlfn.IMAGE("https://m.media-amazon.com/images/I/61szuZnZP1L._AC_UY218_.jpg")</f>
        <v/>
      </c>
      <c r="K1217" t="inlineStr">
        <is>
          <t>7.29</t>
        </is>
      </c>
      <c r="L1217" t="n">
        <v>19.81</v>
      </c>
      <c r="M1217" s="1" t="inlineStr">
        <is>
          <t>171.74%</t>
        </is>
      </c>
      <c r="N1217" s="7" t="n">
        <v>65.53</v>
      </c>
      <c r="O1217" t="n">
        <v>4.7</v>
      </c>
      <c r="P1217" t="n">
        <v>3</v>
      </c>
      <c r="R1217" t="inlineStr">
        <is>
          <t>OutOfStock</t>
        </is>
      </c>
      <c r="S1217" t="inlineStr">
        <is>
          <t>undefined</t>
        </is>
      </c>
      <c r="T1217" t="inlineStr">
        <is>
          <t>4339324911716</t>
        </is>
      </c>
    </row>
    <row r="1218" ht="87" customHeight="1">
      <c r="A1218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218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218" t="inlineStr">
        <is>
          <t>Yellow Jacket 42001 Series 41 Manifold Only, 3-1/8" Gauges - R-22 / 404A / 410A</t>
        </is>
      </c>
      <c r="D1218" t="inlineStr">
        <is>
          <t>Yellow Jacket 49868 Titan 2-Valve Test and Charging Manifold Degrees F, psi Scale, R-22/404A/410A Refrigerant, Red/Blue Gauges</t>
        </is>
      </c>
      <c r="E1218" s="2">
        <f>HYPERLINK("https://www.amazon.com/Yellow-Jacket-49868-Charging-Refrigerant/dp/B0036FJWNC/ref=sr_1_13?keywords=Yellow+Jacket+42001+Series+41+Manifold+Only%2C+3-1%2F8%22+Gauges+-+R-22+%2F+404A+%2F+410A&amp;qid=1694734681&amp;sr=8-13", "https://www.amazon.com/Yellow-Jacket-49868-Charging-Refrigerant/dp/B0036FJWNC/ref=sr_1_13?keywords=Yellow+Jacket+42001+Series+41+Manifold+Only%2C+3-1%2F8%22+Gauges+-+R-22+%2F+404A+%2F+410A&amp;qid=1694734681&amp;sr=8-13")</f>
        <v/>
      </c>
      <c r="F1218" t="inlineStr">
        <is>
          <t>B0036FJWNC</t>
        </is>
      </c>
      <c r="G1218">
        <f>_xlfn.IMAGE("https://edmondsonsupply.com/cdn/shop/products/series-41-manifolds-with-318-gauges.jpg?v=1633030025")</f>
        <v/>
      </c>
      <c r="H1218">
        <f>_xlfn.IMAGE("https://m.media-amazon.com/images/I/91du9g+yLRL._AC_UL320_.jpg")</f>
        <v/>
      </c>
      <c r="K1218" t="inlineStr">
        <is>
          <t>97.77</t>
        </is>
      </c>
      <c r="L1218" t="n">
        <v>265.37</v>
      </c>
      <c r="M1218" s="1" t="inlineStr">
        <is>
          <t>171.42%</t>
        </is>
      </c>
      <c r="N1218" s="7" t="n">
        <v>65.45999999999999</v>
      </c>
      <c r="O1218" t="n">
        <v>4.5</v>
      </c>
      <c r="P1218" t="n">
        <v>55</v>
      </c>
      <c r="R1218" t="inlineStr">
        <is>
          <t>InStock</t>
        </is>
      </c>
      <c r="S1218" t="inlineStr">
        <is>
          <t>undefined</t>
        </is>
      </c>
      <c r="T1218" t="inlineStr">
        <is>
          <t>2129997922404</t>
        </is>
      </c>
    </row>
    <row r="1219" ht="87" customHeight="1">
      <c r="A1219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219" s="2">
        <f>HYPERLINK("https://edmondsonsupply.com/products/midwest-mwt-6510s-straight-offset-aviation-snip", "https://edmondsonsupply.com/products/midwest-mwt-6510s-straight-offset-aviation-snip")</f>
        <v/>
      </c>
      <c r="C1219" t="inlineStr">
        <is>
          <t>Midwest MWT-6510S Straight Offset Aviation Snip</t>
        </is>
      </c>
      <c r="D1219" t="inlineStr">
        <is>
          <t>Midwest Tools and Cutlery MWT-SS6510R Snips Forged Blade Special Hardness Offset Right Aviation Snip, Cuts Stainless Steel</t>
        </is>
      </c>
      <c r="E1219" s="2">
        <f>HYPERLINK("https://www.amazon.com/Midwest-Tools-Cutlery-MWT-SS6510R-Stainless/dp/B01J7IOB64/ref=sr_1_6?keywords=Midwest+MWT-6510S+Straight+Offset+Aviation+Snip&amp;qid=1694734608&amp;sr=8-6", "https://www.amazon.com/Midwest-Tools-Cutlery-MWT-SS6510R-Stainless/dp/B01J7IOB64/ref=sr_1_6?keywords=Midwest+MWT-6510S+Straight+Offset+Aviation+Snip&amp;qid=1694734608&amp;sr=8-6")</f>
        <v/>
      </c>
      <c r="F1219" t="inlineStr">
        <is>
          <t>B01J7IOB64</t>
        </is>
      </c>
      <c r="G1219">
        <f>_xlfn.IMAGE("https://edmondsonsupply.com/cdn/shop/products/MWT-6510S-1.jpg?v=1587150061")</f>
        <v/>
      </c>
      <c r="H1219">
        <f>_xlfn.IMAGE("https://m.media-amazon.com/images/I/61rvvPEnRIL._AC_UL320_.jpg")</f>
        <v/>
      </c>
      <c r="K1219" t="inlineStr">
        <is>
          <t>23.49</t>
        </is>
      </c>
      <c r="L1219" t="n">
        <v>63.44</v>
      </c>
      <c r="M1219" s="1" t="inlineStr">
        <is>
          <t>170.07%</t>
        </is>
      </c>
      <c r="N1219" s="7" t="n">
        <v>65.23</v>
      </c>
      <c r="O1219" t="n">
        <v>4.4</v>
      </c>
      <c r="P1219" t="n">
        <v>28</v>
      </c>
      <c r="R1219" t="inlineStr">
        <is>
          <t>OutOfStock</t>
        </is>
      </c>
      <c r="S1219" t="inlineStr">
        <is>
          <t>33.49</t>
        </is>
      </c>
      <c r="T1219" t="inlineStr">
        <is>
          <t>4436158677092</t>
        </is>
      </c>
    </row>
    <row r="1220" ht="87" customHeight="1">
      <c r="A1220" s="2">
        <f>HYPERLINK("https://edmondsonsupply.com/collections/hvac/products/midwest-mwt-6510l-left-offset-aviation-snip", "https://edmondsonsupply.com/collections/hvac/products/midwest-mwt-6510l-left-offset-aviation-snip")</f>
        <v/>
      </c>
      <c r="B1220" s="2">
        <f>HYPERLINK("https://edmondsonsupply.com/products/midwest-mwt-6510l-left-offset-aviation-snip", "https://edmondsonsupply.com/products/midwest-mwt-6510l-left-offset-aviation-snip")</f>
        <v/>
      </c>
      <c r="C1220" t="inlineStr">
        <is>
          <t>Midwest MWT-6510L Left Offset Aviation Snip</t>
        </is>
      </c>
      <c r="D1220" t="inlineStr">
        <is>
          <t>MIDWEST Aviation Snip - Left and Right Cut Offset Stainless Steel Cutting Shears with Forged Blade &amp; KUSH'N-POWER Comfort Grips - MWT-SS6510C</t>
        </is>
      </c>
      <c r="E1220" s="2">
        <f>HYPERLINK("https://www.amazon.com/MIDWEST-Aviation-Snip-Set-KUSHN-POWER/dp/B07RC7ZBK9/ref=sr_1_4?keywords=Midwest+MWT-6510L+Left+Offset+Aviation+Snip&amp;qid=1694734618&amp;sr=8-4", "https://www.amazon.com/MIDWEST-Aviation-Snip-Set-KUSHN-POWER/dp/B07RC7ZBK9/ref=sr_1_4?keywords=Midwest+MWT-6510L+Left+Offset+Aviation+Snip&amp;qid=1694734618&amp;sr=8-4")</f>
        <v/>
      </c>
      <c r="F1220" t="inlineStr">
        <is>
          <t>B07RC7ZBK9</t>
        </is>
      </c>
      <c r="G1220">
        <f>_xlfn.IMAGE("https://edmondsonsupply.com/cdn/shop/products/mwt-6510l.png?v=1587142880")</f>
        <v/>
      </c>
      <c r="H1220">
        <f>_xlfn.IMAGE("https://m.media-amazon.com/images/I/71438hbSyHL._AC_UL320_.jpg")</f>
        <v/>
      </c>
      <c r="K1220" t="inlineStr">
        <is>
          <t>25.99</t>
        </is>
      </c>
      <c r="L1220" t="n">
        <v>69.98999999999999</v>
      </c>
      <c r="M1220" s="1" t="inlineStr">
        <is>
          <t>169.30%</t>
        </is>
      </c>
      <c r="N1220" s="7" t="n">
        <v>65.09999999999999</v>
      </c>
      <c r="O1220" t="n">
        <v>4.4</v>
      </c>
      <c r="P1220" t="n">
        <v>1128</v>
      </c>
      <c r="R1220" t="inlineStr">
        <is>
          <t>InStock</t>
        </is>
      </c>
      <c r="S1220" t="inlineStr">
        <is>
          <t>33.49</t>
        </is>
      </c>
      <c r="T1220" t="inlineStr">
        <is>
          <t>3688846917732</t>
        </is>
      </c>
    </row>
    <row r="1221" ht="87" customHeight="1">
      <c r="A1221" s="2">
        <f>HYPERLINK("https://edmondsonsupply.com/collections/hvac/products/midwest-mwt-6900l-upright-left-cutting-offset-aviation-snip", "https://edmondsonsupply.com/collections/hvac/products/midwest-mwt-6900l-upright-left-cutting-offset-aviation-snip")</f>
        <v/>
      </c>
      <c r="B1221" s="2">
        <f>HYPERLINK("https://edmondsonsupply.com/products/midwest-mwt-6900l-upright-left-cutting-offset-aviation-snip", "https://edmondsonsupply.com/products/midwest-mwt-6900l-upright-left-cutting-offset-aviation-snip")</f>
        <v/>
      </c>
      <c r="C1221" t="inlineStr">
        <is>
          <t>Midwest MWT-6900L Upright Left-Cutting Aviation Snip</t>
        </is>
      </c>
      <c r="D1221" t="inlineStr">
        <is>
          <t>MIDWEST Aviation Snip - Left and Right Cut Offset Stainless Steel Cutting Shears with Forged Blade &amp; KUSH'N-POWER Comfort Grips - MWT-SS6510C</t>
        </is>
      </c>
      <c r="E1221" s="2">
        <f>HYPERLINK("https://www.amazon.com/MIDWEST-Aviation-Snip-Set-KUSHN-POWER/dp/B07RC7ZBK9/ref=sr_1_3?keywords=Midwest+MWT-6900L+Upright+Left-Cutting+Aviation+Snip&amp;qid=1694734627&amp;sr=8-3", "https://www.amazon.com/MIDWEST-Aviation-Snip-Set-KUSHN-POWER/dp/B07RC7ZBK9/ref=sr_1_3?keywords=Midwest+MWT-6900L+Upright+Left-Cutting+Aviation+Snip&amp;qid=1694734627&amp;sr=8-3")</f>
        <v/>
      </c>
      <c r="F1221" t="inlineStr">
        <is>
          <t>B07RC7ZBK9</t>
        </is>
      </c>
      <c r="G1221">
        <f>_xlfn.IMAGE("https://edmondsonsupply.com/cdn/shop/products/MWT-6900L1.jpg?v=1587146265")</f>
        <v/>
      </c>
      <c r="H1221">
        <f>_xlfn.IMAGE("https://m.media-amazon.com/images/I/71438hbSyHL._AC_UL320_.jpg")</f>
        <v/>
      </c>
      <c r="K1221" t="inlineStr">
        <is>
          <t>25.99</t>
        </is>
      </c>
      <c r="L1221" t="n">
        <v>69.98999999999999</v>
      </c>
      <c r="M1221" s="1" t="inlineStr">
        <is>
          <t>169.30%</t>
        </is>
      </c>
      <c r="N1221" s="7" t="n">
        <v>65.06999999999999</v>
      </c>
      <c r="O1221" t="n">
        <v>4.4</v>
      </c>
      <c r="P1221" t="n">
        <v>1128</v>
      </c>
      <c r="R1221" t="inlineStr">
        <is>
          <t>InStock</t>
        </is>
      </c>
      <c r="S1221" t="inlineStr">
        <is>
          <t>37.05</t>
        </is>
      </c>
      <c r="T1221" t="inlineStr">
        <is>
          <t>4470064250980</t>
        </is>
      </c>
    </row>
    <row r="1222" hidden="1" ht="15.75" customHeight="1">
      <c r="A1222" s="2">
        <f>HYPERLINK("https://edmondsonsupply.com/collections/hvac/products/diablo-tools-dsp2090-3-4-in-x-6-in-spade-bit", "https://edmondsonsupply.com/collections/hvac/products/diablo-tools-dsp2090-3-4-in-x-6-in-spade-bit")</f>
        <v/>
      </c>
      <c r="B1222" s="2">
        <f>HYPERLINK("https://edmondsonsupply.com/products/diablo-tools-dsp2090-3-4-in-x-6-in-spade-bit", "https://edmondsonsupply.com/products/diablo-tools-dsp2090-3-4-in-x-6-in-spade-bit")</f>
        <v/>
      </c>
      <c r="C1222" t="inlineStr">
        <is>
          <t>Diablo Tools DSP2090 3/4 in. x 6 in. Spade Bit</t>
        </is>
      </c>
      <c r="D1222" t="inlineStr">
        <is>
          <t>UStoolsupply Replacement for Bosch 5 Pack of 3/4 In. x 6 In. Daredevil Spade Bits (Bulk) # DSB1009B-5PK</t>
        </is>
      </c>
      <c r="E1222" s="2">
        <f>HYPERLINK("https://www.amazon.com/UStoolsupply-Replacement-Bosch-Daredevil-DSB1009B-5PK/dp/B08V998SQV/ref=sr_1_7?keywords=Diablo+Tools+DSP2090+3%2F4+in.+x+6+in.+Spade+Bit&amp;qid=1694734914&amp;sr=8-7", "https://www.amazon.com/UStoolsupply-Replacement-Bosch-Daredevil-DSB1009B-5PK/dp/B08V998SQV/ref=sr_1_7?keywords=Diablo+Tools+DSP2090+3%2F4+in.+x+6+in.+Spade+Bit&amp;qid=1694734914&amp;sr=8-7")</f>
        <v/>
      </c>
      <c r="F1222" t="inlineStr">
        <is>
          <t>B08V998SQV</t>
        </is>
      </c>
      <c r="G1222">
        <f>_xludf.IMAGE("https://edmondsonsupply.com/cdn/shop/files/hg4rmyretai2aybkajqp.webp?v=1686587275")</f>
        <v/>
      </c>
      <c r="H1222">
        <f>_xludf.IMAGE("https://m.media-amazon.com/images/I/318X0a82rcL._AC_UL320_.jpg")</f>
        <v/>
      </c>
      <c r="K1222" t="inlineStr">
        <is>
          <t>5.37</t>
        </is>
      </c>
      <c r="L1222" t="n">
        <v>14.45</v>
      </c>
      <c r="M1222" s="1" t="inlineStr">
        <is>
          <t>169.09%</t>
        </is>
      </c>
      <c r="N1222" s="1" t="n">
        <v>64.97</v>
      </c>
      <c r="O1222" t="n">
        <v>5</v>
      </c>
      <c r="P1222" t="n">
        <v>3</v>
      </c>
      <c r="R1222" t="inlineStr">
        <is>
          <t>InStock</t>
        </is>
      </c>
      <c r="S1222" t="inlineStr">
        <is>
          <t>undefined</t>
        </is>
      </c>
      <c r="T1222" t="inlineStr">
        <is>
          <t>8004512710872</t>
        </is>
      </c>
    </row>
    <row r="1223" ht="87" customHeight="1">
      <c r="A1223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223" s="2">
        <f>HYPERLINK("https://edmondsonsupply.com/products/midwest-mwt-6510s-straight-offset-aviation-snip", "https://edmondsonsupply.com/products/midwest-mwt-6510s-straight-offset-aviation-snip")</f>
        <v/>
      </c>
      <c r="C1223" t="inlineStr">
        <is>
          <t>Midwest MWT-6510S Straight Offset Aviation Snip</t>
        </is>
      </c>
      <c r="D1223" t="inlineStr">
        <is>
          <t>MIDWEST Aviation Snip Set - Left and Right Cut Offset Tin Cutting Shears with Forged Blade &amp; KUSH'N-POWER Comfort Grips - MWT-6510C</t>
        </is>
      </c>
      <c r="E1223" s="2">
        <f>HYPERLINK("https://www.amazon.com/MIDWEST-Aviation-Snip-Set-KUSHN-POWER/dp/B00OCGQG3S/ref=sr_1_7?keywords=Midwest+MWT-6510S+Straight+Offset+Aviation+Snip&amp;qid=1694734608&amp;sr=8-7", "https://www.amazon.com/MIDWEST-Aviation-Snip-Set-KUSHN-POWER/dp/B00OCGQG3S/ref=sr_1_7?keywords=Midwest+MWT-6510S+Straight+Offset+Aviation+Snip&amp;qid=1694734608&amp;sr=8-7")</f>
        <v/>
      </c>
      <c r="F1223" t="inlineStr">
        <is>
          <t>B00OCGQG3S</t>
        </is>
      </c>
      <c r="G1223">
        <f>_xlfn.IMAGE("https://edmondsonsupply.com/cdn/shop/products/MWT-6510S-1.jpg?v=1587150061")</f>
        <v/>
      </c>
      <c r="H1223">
        <f>_xlfn.IMAGE("https://m.media-amazon.com/images/I/71J9tcnJ-SL._AC_UL320_.jpg")</f>
        <v/>
      </c>
      <c r="K1223" t="inlineStr">
        <is>
          <t>23.49</t>
        </is>
      </c>
      <c r="L1223" t="n">
        <v>63.17</v>
      </c>
      <c r="M1223" s="1" t="inlineStr">
        <is>
          <t>168.92%</t>
        </is>
      </c>
      <c r="N1223" s="7" t="n">
        <v>64.97</v>
      </c>
      <c r="O1223" t="n">
        <v>4.7</v>
      </c>
      <c r="P1223" t="n">
        <v>5991</v>
      </c>
      <c r="R1223" t="inlineStr">
        <is>
          <t>OutOfStock</t>
        </is>
      </c>
      <c r="S1223" t="inlineStr">
        <is>
          <t>33.49</t>
        </is>
      </c>
      <c r="T1223" t="inlineStr">
        <is>
          <t>4436158677092</t>
        </is>
      </c>
    </row>
    <row r="1224" ht="87" customHeight="1">
      <c r="A1224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1224" s="2">
        <f>HYPERLINK("https://edmondsonsupply.com/products/fresh-aire-uv-tuvl-215p-2-year-blue-tube-replacement-uv-lamp", "https://edmondsonsupply.com/products/fresh-aire-uv-tuvl-215p-2-year-blue-tube-replacement-uv-lamp")</f>
        <v/>
      </c>
      <c r="C1224" t="inlineStr">
        <is>
          <t>Fresh-Aire UV TUVL-215P, 2-Year Blue-Tube Replacement UV Lamp</t>
        </is>
      </c>
      <c r="D1224" t="inlineStr">
        <is>
          <t>Fresh-Aire UV Blue-Tube UV Low Voltage (24-32V) UV System with 2 Year UV-C Lamp</t>
        </is>
      </c>
      <c r="E1224" s="2">
        <f>HYPERLINK("https://www.amazon.com/Fresh-Aire-Blue-Tube-UV-Voltage-germicidal/dp/B014MNU0Z0/ref=sr_1_9?keywords=Fresh-Aire+UV+TUVL-215P%2C+2-Year+Blue-Tube+Replacement+UV+Lamp&amp;qid=1694734568&amp;sr=8-9", "https://www.amazon.com/Fresh-Aire-Blue-Tube-UV-Voltage-germicidal/dp/B014MNU0Z0/ref=sr_1_9?keywords=Fresh-Aire+UV+TUVL-215P%2C+2-Year+Blue-Tube+Replacement+UV+Lamp&amp;qid=1694734568&amp;sr=8-9")</f>
        <v/>
      </c>
      <c r="F1224" t="inlineStr">
        <is>
          <t>B014MNU0Z0</t>
        </is>
      </c>
      <c r="G1224">
        <f>_xlfn.IMAGE("https://edmondsonsupply.com/cdn/shop/products/TUVL-215P.jpg?v=1633030216")</f>
        <v/>
      </c>
      <c r="H1224">
        <f>_xlfn.IMAGE("https://m.media-amazon.com/images/I/51KvZNQtFiL._AC_UL320_.jpg")</f>
        <v/>
      </c>
      <c r="K1224" t="inlineStr">
        <is>
          <t>108.03</t>
        </is>
      </c>
      <c r="L1224" t="n">
        <v>289.89</v>
      </c>
      <c r="M1224" s="1" t="inlineStr">
        <is>
          <t>168.34%</t>
        </is>
      </c>
      <c r="N1224" s="7" t="n">
        <v>64.58</v>
      </c>
      <c r="O1224" t="n">
        <v>4.3</v>
      </c>
      <c r="P1224" t="n">
        <v>22</v>
      </c>
      <c r="R1224" t="inlineStr">
        <is>
          <t>InStock</t>
        </is>
      </c>
      <c r="S1224" t="inlineStr">
        <is>
          <t>undefined</t>
        </is>
      </c>
      <c r="T1224" t="inlineStr">
        <is>
          <t>4452670537828</t>
        </is>
      </c>
    </row>
    <row r="1225" ht="87" customHeight="1">
      <c r="A1225" s="2">
        <f>HYPERLINK("https://edmondsonsupply.com/collections/hvac/products/packard-trcfd3575-titan-pro-run-capacitor-35-7-5-mfd-440-370-volt-round", "https://edmondsonsupply.com/collections/hvac/products/packard-trcfd3575-titan-pro-run-capacitor-35-7-5-mfd-440-370-volt-round")</f>
        <v/>
      </c>
      <c r="B1225" s="2">
        <f>HYPERLINK("https://edmondsonsupply.com/products/packard-trcfd3575-titan-pro-run-capacitor-35-7-5-mfd-440-370-volt-round", "https://edmondsonsupply.com/products/packard-trcfd3575-titan-pro-run-capacitor-35-7-5-mfd-440-370-volt-round")</f>
        <v/>
      </c>
      <c r="C1225" t="inlineStr">
        <is>
          <t>Packard TRCFD3575 Titan PRO Run Capacitor 35+7.5 MFD 440/370 Volt Round</t>
        </is>
      </c>
      <c r="D1225" t="inlineStr">
        <is>
          <t>Titan Pro Round Motor Dual Run Capacitor, 35/7.5 Microfarad Rating, 370-440VAC Voltage - TRCFD3575</t>
        </is>
      </c>
      <c r="E1225" s="2">
        <f>HYPERLINK("https://www.amazon.com/Capacitor-Microfarad-Rating-370-440VAC-Voltage/dp/B08TTFTD3M/ref=sr_1_1?keywords=Packard+TRCFD3575+Titan+PRO+Run+Capacitor+35+7.5+MFD+440%2F370+Volt+Round&amp;qid=1694734662&amp;sr=8-1", "https://www.amazon.com/Capacitor-Microfarad-Rating-370-440VAC-Voltage/dp/B08TTFTD3M/ref=sr_1_1?keywords=Packard+TRCFD3575+Titan+PRO+Run+Capacitor+35+7.5+MFD+440%2F370+Volt+Round&amp;qid=1694734662&amp;sr=8-1")</f>
        <v/>
      </c>
      <c r="F1225" t="inlineStr">
        <is>
          <t>B08TTFTD3M</t>
        </is>
      </c>
      <c r="G1225">
        <f>_xlfn.IMAGE("https://edmondsonsupply.com/cdn/shop/products/trcfd-2_xl_1.jpg?v=1633030977")</f>
        <v/>
      </c>
      <c r="H1225">
        <f>_xlfn.IMAGE("https://m.media-amazon.com/images/I/61rN-CX2SUL._AC_UY218_.jpg")</f>
        <v/>
      </c>
      <c r="K1225" t="inlineStr">
        <is>
          <t>8.73</t>
        </is>
      </c>
      <c r="L1225" t="n">
        <v>23.41</v>
      </c>
      <c r="M1225" s="1" t="inlineStr">
        <is>
          <t>168.16%</t>
        </is>
      </c>
      <c r="N1225" s="7" t="n">
        <v>63.86</v>
      </c>
      <c r="O1225" t="n">
        <v>5</v>
      </c>
      <c r="P1225" t="n">
        <v>1</v>
      </c>
      <c r="R1225" t="inlineStr">
        <is>
          <t>InStock</t>
        </is>
      </c>
      <c r="S1225" t="inlineStr">
        <is>
          <t>undefined</t>
        </is>
      </c>
      <c r="T1225" t="inlineStr">
        <is>
          <t>6649855475885</t>
        </is>
      </c>
    </row>
    <row r="1226" ht="87" customHeight="1">
      <c r="A1226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226" s="2">
        <f>HYPERLINK("https://edmondsonsupply.com/products/midwest-mwt-6510s-straight-offset-aviation-snip", "https://edmondsonsupply.com/products/midwest-mwt-6510s-straight-offset-aviation-snip")</f>
        <v/>
      </c>
      <c r="C1226" t="inlineStr">
        <is>
          <t>Midwest MWT-6510S Straight Offset Aviation Snip</t>
        </is>
      </c>
      <c r="D1226" t="inlineStr">
        <is>
          <t>Malco C5R 5-Blade Pipe Crimper &amp; MIDWEST Bulldog Aviation Tin Snip - Straight Cut Regular Tin Cutting Shears with Forged Blade &amp; KUSH'N-POWER Comfort Grips - MWT-6716B</t>
        </is>
      </c>
      <c r="E1226" s="2">
        <f>HYPERLINK("https://www.amazon.com/Malco-5-Blade-Crimper-MIDWEST-Aviation/dp/B0CB11PTFT/ref=sr_1_24?keywords=Midwest+MWT-6510S+Straight+Offset+Aviation+Snip&amp;qid=1694734608&amp;sr=8-24", "https://www.amazon.com/Malco-5-Blade-Crimper-MIDWEST-Aviation/dp/B0CB11PTFT/ref=sr_1_24?keywords=Midwest+MWT-6510S+Straight+Offset+Aviation+Snip&amp;qid=1694734608&amp;sr=8-24")</f>
        <v/>
      </c>
      <c r="F1226" t="inlineStr">
        <is>
          <t>B0CB11PTFT</t>
        </is>
      </c>
      <c r="G1226">
        <f>_xlfn.IMAGE("https://edmondsonsupply.com/cdn/shop/products/MWT-6510S-1.jpg?v=1587150061")</f>
        <v/>
      </c>
      <c r="H1226">
        <f>_xlfn.IMAGE("https://m.media-amazon.com/images/I/41xOJQAMAlL._AC_UL320_.jpg")</f>
        <v/>
      </c>
      <c r="K1226" t="inlineStr">
        <is>
          <t>23.49</t>
        </is>
      </c>
      <c r="L1226" t="n">
        <v>62.96</v>
      </c>
      <c r="M1226" s="1" t="inlineStr">
        <is>
          <t>168.03%</t>
        </is>
      </c>
      <c r="N1226" s="7" t="n">
        <v>63.84</v>
      </c>
      <c r="O1226" t="n">
        <v>4.8</v>
      </c>
      <c r="P1226" t="n">
        <v>1965</v>
      </c>
      <c r="R1226" t="inlineStr">
        <is>
          <t>OutOfStock</t>
        </is>
      </c>
      <c r="S1226" t="inlineStr">
        <is>
          <t>33.49</t>
        </is>
      </c>
      <c r="T1226" t="inlineStr">
        <is>
          <t>4436158677092</t>
        </is>
      </c>
    </row>
    <row r="1227" ht="87" customHeight="1">
      <c r="A1227" s="2">
        <f>HYPERLINK("https://edmondsonsupply.com/collections/hvac/products/supco-q103-24v-heat-sequencer-replacement-for-24a34-3", "https://edmondsonsupply.com/collections/hvac/products/supco-q103-24v-heat-sequencer-replacement-for-24a34-3")</f>
        <v/>
      </c>
      <c r="B1227" s="2">
        <f>HYPERLINK("https://edmondsonsupply.com/products/supco-q103-24v-heat-sequencer-replacement-for-24a34-3", "https://edmondsonsupply.com/products/supco-q103-24v-heat-sequencer-replacement-for-24a34-3")</f>
        <v/>
      </c>
      <c r="C1227" t="inlineStr">
        <is>
          <t>Supco Q103 24V Heat Sequencer - Replacement for 24A34-3</t>
        </is>
      </c>
      <c r="D1227" t="inlineStr">
        <is>
          <t>MCCONS OEM Parts Q101 Electric Heat Sequencer Control 24 Volt Replacement for 24A34-1 B1290906</t>
        </is>
      </c>
      <c r="E1227" s="2">
        <f>HYPERLINK("https://www.amazon.com/MCCONS-Electric-Sequencer-Replacement-B1290906/dp/B0BYHXX8TQ/ref=sr_1_12?keywords=Supco+Q103+24V+Heat+Sequencer+-+Replacement+for+24A34-3&amp;qid=1694734765&amp;sr=8-12", "https://www.amazon.com/MCCONS-Electric-Sequencer-Replacement-B1290906/dp/B0BYHXX8TQ/ref=sr_1_12?keywords=Supco+Q103+24V+Heat+Sequencer+-+Replacement+for+24A34-3&amp;qid=1694734765&amp;sr=8-12")</f>
        <v/>
      </c>
      <c r="F1227" t="inlineStr">
        <is>
          <t>B0BYHXX8TQ</t>
        </is>
      </c>
      <c r="G1227">
        <f>_xlfn.IMAGE("https://edmondsonsupply.com/cdn/shop/products/57_1.png?v=1639359803")</f>
        <v/>
      </c>
      <c r="H1227">
        <f>_xlfn.IMAGE("https://m.media-amazon.com/images/I/51hxqNJm7tL._AC_UY218_.jpg")</f>
        <v/>
      </c>
      <c r="K1227" t="inlineStr">
        <is>
          <t>11.25</t>
        </is>
      </c>
      <c r="L1227" t="n">
        <v>30.13</v>
      </c>
      <c r="M1227" s="1" t="inlineStr">
        <is>
          <t>167.82%</t>
        </is>
      </c>
      <c r="N1227" s="7" t="n">
        <v>63.76</v>
      </c>
      <c r="O1227" t="n">
        <v>5</v>
      </c>
      <c r="P1227" t="n">
        <v>1</v>
      </c>
      <c r="R1227" t="inlineStr">
        <is>
          <t>InStock</t>
        </is>
      </c>
      <c r="S1227" t="inlineStr">
        <is>
          <t>undefined</t>
        </is>
      </c>
      <c r="T1227" t="inlineStr">
        <is>
          <t>7546363216088</t>
        </is>
      </c>
    </row>
    <row r="1228" ht="87" customHeight="1">
      <c r="A1228" s="2">
        <f>HYPERLINK("https://edmondsonsupply.com/collections/hvac/products/supco-q104-24v-heat-sequencer-replacement-for-24a34-4", "https://edmondsonsupply.com/collections/hvac/products/supco-q104-24v-heat-sequencer-replacement-for-24a34-4")</f>
        <v/>
      </c>
      <c r="B1228" s="2">
        <f>HYPERLINK("https://edmondsonsupply.com/products/supco-q104-24v-heat-sequencer-replacement-for-24a34-4", "https://edmondsonsupply.com/products/supco-q104-24v-heat-sequencer-replacement-for-24a34-4")</f>
        <v/>
      </c>
      <c r="C1228" t="inlineStr">
        <is>
          <t>Supco Q104 24V Heat Sequencer - Replacement for 24A34-4</t>
        </is>
      </c>
      <c r="D1228" t="inlineStr">
        <is>
          <t>MCCONS OEM Parts Q101 Electric Heat Sequencer Control 24 Volt Replacement for 24A34-1 B1290906</t>
        </is>
      </c>
      <c r="E1228" s="2">
        <f>HYPERLINK("https://www.amazon.com/MCCONS-Electric-Sequencer-Replacement-B1290906/dp/B0BYHXX8TQ/ref=sr_1_10?keywords=Supco+Q104+24V+Heat+Sequencer+-+Replacement+for+24A34-4&amp;qid=1694734841&amp;sr=8-10", "https://www.amazon.com/MCCONS-Electric-Sequencer-Replacement-B1290906/dp/B0BYHXX8TQ/ref=sr_1_10?keywords=Supco+Q104+24V+Heat+Sequencer+-+Replacement+for+24A34-4&amp;qid=1694734841&amp;sr=8-10")</f>
        <v/>
      </c>
      <c r="F1228" t="inlineStr">
        <is>
          <t>B0BYHXX8TQ</t>
        </is>
      </c>
      <c r="G1228">
        <f>_xlfn.IMAGE("https://edmondsonsupply.com/cdn/shop/files/Q104.png?v=1693336999")</f>
        <v/>
      </c>
      <c r="H1228">
        <f>_xlfn.IMAGE("https://m.media-amazon.com/images/I/51hxqNJm7tL._AC_UY218_.jpg")</f>
        <v/>
      </c>
      <c r="K1228" t="inlineStr">
        <is>
          <t>11.25</t>
        </is>
      </c>
      <c r="L1228" t="n">
        <v>30.13</v>
      </c>
      <c r="M1228" s="1" t="inlineStr">
        <is>
          <t>167.82%</t>
        </is>
      </c>
      <c r="N1228" s="7" t="n">
        <v>63.4</v>
      </c>
      <c r="O1228" t="n">
        <v>5</v>
      </c>
      <c r="P1228" t="n">
        <v>1</v>
      </c>
      <c r="R1228" t="inlineStr">
        <is>
          <t>InStock</t>
        </is>
      </c>
      <c r="S1228" t="inlineStr">
        <is>
          <t>undefined</t>
        </is>
      </c>
      <c r="T1228" t="inlineStr">
        <is>
          <t>8032398704856</t>
        </is>
      </c>
    </row>
    <row r="1229" ht="87" customHeight="1">
      <c r="A1229" s="2">
        <f>HYPERLINK("https://edmondsonsupply.com/collections/hvac/products/klein-tools-ir07-dual-ir-probe-thermometer", "https://edmondsonsupply.com/collections/hvac/products/klein-tools-ir07-dual-ir-probe-thermometer")</f>
        <v/>
      </c>
      <c r="B1229" s="2">
        <f>HYPERLINK("https://edmondsonsupply.com/products/klein-tools-ir07-dual-ir-probe-thermometer", "https://edmondsonsupply.com/products/klein-tools-ir07-dual-ir-probe-thermometer")</f>
        <v/>
      </c>
      <c r="C1229" t="inlineStr">
        <is>
          <t>Klein Tools IR07 Dual IR/Probe Thermometer</t>
        </is>
      </c>
      <c r="D1229" t="inlineStr">
        <is>
          <t>Klein Tools IR10 Infrared Thermometer, Digital Thermometer Gun with Dual Targeting Laser, 20:1 &amp; IR07 Dual Infrared (IR) and Probe Pocket Size LCD Digital Thermometer</t>
        </is>
      </c>
      <c r="E1229" s="2">
        <f>HYPERLINK("https://www.amazon.com/Klein-Tools-Infrared-Thermometer-Targeting/dp/B0C3BBXTM4/ref=sr_1_11?keywords=Klein+Tools+IR07+Dual+IR%2FProbe+Thermometer&amp;qid=1694734825&amp;sr=8-11", "https://www.amazon.com/Klein-Tools-Infrared-Thermometer-Targeting/dp/B0C3BBXTM4/ref=sr_1_11?keywords=Klein+Tools+IR07+Dual+IR%2FProbe+Thermometer&amp;qid=1694734825&amp;sr=8-11")</f>
        <v/>
      </c>
      <c r="F1229" t="inlineStr">
        <is>
          <t>B0C3BBXTM4</t>
        </is>
      </c>
      <c r="G1229">
        <f>_xlfn.IMAGE("https://edmondsonsupply.com/cdn/shop/products/ir07.jpg?v=1599003623")</f>
        <v/>
      </c>
      <c r="H1229">
        <f>_xlfn.IMAGE("https://m.media-amazon.com/images/I/51HE6pBjWLL._AC_UY218_.jpg")</f>
        <v/>
      </c>
      <c r="K1229" t="inlineStr">
        <is>
          <t>57.49</t>
        </is>
      </c>
      <c r="L1229" t="n">
        <v>153.96</v>
      </c>
      <c r="M1229" s="1" t="inlineStr">
        <is>
          <t>167.80%</t>
        </is>
      </c>
      <c r="N1229" s="7" t="n">
        <v>63.36</v>
      </c>
      <c r="O1229" t="n">
        <v>5</v>
      </c>
      <c r="P1229" t="n">
        <v>1</v>
      </c>
      <c r="R1229" t="inlineStr">
        <is>
          <t>InStock</t>
        </is>
      </c>
      <c r="S1229" t="inlineStr">
        <is>
          <t>72.06</t>
        </is>
      </c>
      <c r="T1229" t="inlineStr">
        <is>
          <t>3320746770532</t>
        </is>
      </c>
    </row>
    <row r="1230" hidden="1" ht="15.75" customHeight="1">
      <c r="A1230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230" s="2">
        <f>HYPERLINK("https://edmondsonsupply.com/products/packard-ttmj108-motor-start-capacitor-108-130-mfd-220-250-vac", "https://edmondsonsupply.com/products/packard-ttmj108-motor-start-capacitor-108-130-mfd-220-250-vac")</f>
        <v/>
      </c>
      <c r="C1230" t="inlineStr">
        <is>
          <t>Packard TTMJ108 Motor Start Capacitor 108-130 MFD 220-250 VAC</t>
        </is>
      </c>
      <c r="D1230" t="inlineStr">
        <is>
          <t>Motor Start Capacitor 108-130 uf MFD 220-250 Volt VAC MARS2 11946</t>
        </is>
      </c>
      <c r="E1230" s="2" t="n"/>
      <c r="F1230" t="inlineStr">
        <is>
          <t>B00C0VZ76E</t>
        </is>
      </c>
      <c r="G1230">
        <f>_xludf.IMAGE("https://edmondsonsupply.com/cdn/shop/files/PTMJ108-2_c3537879-2bfc-401f-867d-9ee4aaa5c4bb.jpg?v=1692220228")</f>
        <v/>
      </c>
      <c r="H1230">
        <f>_xludf.IMAGE("https://m.media-amazon.com/images/I/41Aj4DTIUuL._AC_UY218_.jpg")</f>
        <v/>
      </c>
      <c r="K1230" t="inlineStr">
        <is>
          <t>4.39</t>
        </is>
      </c>
      <c r="L1230" t="n">
        <v>11.75</v>
      </c>
      <c r="M1230" s="1" t="inlineStr">
        <is>
          <t>167.65%</t>
        </is>
      </c>
      <c r="N1230" s="1" t="n">
        <v>62.89</v>
      </c>
      <c r="O1230" t="n">
        <v>4.3</v>
      </c>
      <c r="P1230" t="n">
        <v>2</v>
      </c>
      <c r="R1230" t="inlineStr">
        <is>
          <t>InStock</t>
        </is>
      </c>
      <c r="S1230" t="inlineStr">
        <is>
          <t>undefined</t>
        </is>
      </c>
      <c r="T1230" t="inlineStr">
        <is>
          <t>8028091154648</t>
        </is>
      </c>
    </row>
    <row r="1231" hidden="1" ht="15.75" customHeight="1">
      <c r="A1231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231" s="2">
        <f>HYPERLINK("https://edmondsonsupply.com/products/packard-prmj189-motor-start-capacitor-189-227-mfd-330-vac", "https://edmondsonsupply.com/products/packard-prmj189-motor-start-capacitor-189-227-mfd-330-vac")</f>
        <v/>
      </c>
      <c r="C1231" t="inlineStr">
        <is>
          <t>Packard PRMJ189 Motor Start Capacitor 189-227 MFD 330 VAC</t>
        </is>
      </c>
      <c r="D1231" t="inlineStr">
        <is>
          <t>HC95DE090 - Payne Replacement Motor Start Capacitor 330 Volt 189-227 MFD</t>
        </is>
      </c>
      <c r="E1231" s="2">
        <f>HYPERLINK("https://www.amazon.com/HC95DE090-Payne-Replacement-Capacitor-189-227/dp/B00IWV30CY/ref=sr_1_8?keywords=Packard+PRMJ189+Motor+Start+Capacitor+189-227+MFD+330+VAC&amp;qid=1694734820&amp;sr=8-8", "https://www.amazon.com/HC95DE090-Payne-Replacement-Capacitor-189-227/dp/B00IWV30CY/ref=sr_1_8?keywords=Packard+PRMJ189+Motor+Start+Capacitor+189-227+MFD+330+VAC&amp;qid=1694734820&amp;sr=8-8")</f>
        <v/>
      </c>
      <c r="F1231" t="inlineStr">
        <is>
          <t>B00IWV30CY</t>
        </is>
      </c>
      <c r="G1231">
        <f>_xludf.IMAGE("https://edmondsonsupply.com/cdn/shop/products/PRMJ189-2.jpg?v=1663378512")</f>
        <v/>
      </c>
      <c r="H1231">
        <f>_xludf.IMAGE("https://m.media-amazon.com/images/I/41iN-8gLZyL._AC_UY218_.jpg")</f>
        <v/>
      </c>
      <c r="K1231" t="inlineStr">
        <is>
          <t>8.59</t>
        </is>
      </c>
      <c r="L1231" t="n">
        <v>22.99</v>
      </c>
      <c r="M1231" s="1" t="inlineStr">
        <is>
          <t>167.64%</t>
        </is>
      </c>
      <c r="N1231" s="1" t="n">
        <v>62.88</v>
      </c>
      <c r="O1231" t="n">
        <v>4</v>
      </c>
      <c r="P1231" t="n">
        <v>1</v>
      </c>
      <c r="R1231" t="inlineStr">
        <is>
          <t>InStock</t>
        </is>
      </c>
      <c r="S1231" t="inlineStr">
        <is>
          <t>undefined</t>
        </is>
      </c>
      <c r="T1231" t="inlineStr">
        <is>
          <t>4298778378340</t>
        </is>
      </c>
    </row>
    <row r="1232" ht="87" customHeight="1">
      <c r="A1232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1232" s="2">
        <f>HYPERLINK("https://edmondsonsupply.com/products/klein-tools-3005cr-ratcheting-crimper-10-22-awg", "https://edmondsonsupply.com/products/klein-tools-3005cr-ratcheting-crimper-10-22-awg")</f>
        <v/>
      </c>
      <c r="C1232" t="inlineStr">
        <is>
          <t>Klein Tools 3005CR Ratcheting Crimper, 10-22 AWG - Insulated Terminals</t>
        </is>
      </c>
      <c r="D1232" t="inlineStr">
        <is>
          <t>Dismantling Knife-1000V Insulated &amp; Klein Tools 3005CR Wire Crimper Tool, Ratcheting Insulated Terminal Crimper for 10 to 22 AWG Wire</t>
        </is>
      </c>
      <c r="E1232" s="2">
        <f>HYPERLINK("https://www.amazon.com/Dismantling-Knife-1000V-Insulated-Ratcheting-Terminal/dp/B0BGJ84H4F/ref=sr_1_2?keywords=Klein+Tools+3005CR+Ratcheting+Crimper%2C+10-22+AWG+-+Insulated+Terminals&amp;qid=1694734673&amp;sr=8-2", "https://www.amazon.com/Dismantling-Knife-1000V-Insulated-Ratcheting-Terminal/dp/B0BGJ84H4F/ref=sr_1_2?keywords=Klein+Tools+3005CR+Ratcheting+Crimper%2C+10-22+AWG+-+Insulated+Terminals&amp;qid=1694734673&amp;sr=8-2")</f>
        <v/>
      </c>
      <c r="F1232" t="inlineStr">
        <is>
          <t>B0BGJ84H4F</t>
        </is>
      </c>
      <c r="G1232">
        <f>_xlfn.IMAGE("https://edmondsonsupply.com/cdn/shop/products/3005cr.jpg?v=1587146892")</f>
        <v/>
      </c>
      <c r="H1232">
        <f>_xlfn.IMAGE("https://m.media-amazon.com/images/I/41tkLMUuJaL._AC_UL320_.jpg")</f>
        <v/>
      </c>
      <c r="K1232" t="inlineStr">
        <is>
          <t>29.97</t>
        </is>
      </c>
      <c r="L1232" t="n">
        <v>80.18000000000001</v>
      </c>
      <c r="M1232" s="1" t="inlineStr">
        <is>
          <t>167.53%</t>
        </is>
      </c>
      <c r="N1232" s="7" t="n">
        <v>62.68</v>
      </c>
      <c r="O1232" t="n">
        <v>4.8</v>
      </c>
      <c r="P1232" t="n">
        <v>793</v>
      </c>
      <c r="R1232" t="inlineStr">
        <is>
          <t>InStock</t>
        </is>
      </c>
      <c r="S1232" t="inlineStr">
        <is>
          <t>42.9</t>
        </is>
      </c>
      <c r="T1232" t="inlineStr">
        <is>
          <t>3699388907620</t>
        </is>
      </c>
    </row>
    <row r="1233" ht="87" customHeight="1">
      <c r="A1233" s="2">
        <f>HYPERLINK("https://edmondsonsupply.com/collections/hvac/products/milwaukee-48-39-0521-18-tpi-band-saw-blade-deep-cut-3-pack", "https://edmondsonsupply.com/collections/hvac/products/milwaukee-48-39-0521-18-tpi-band-saw-blade-deep-cut-3-pack")</f>
        <v/>
      </c>
      <c r="B1233" s="2">
        <f>HYPERLINK("https://edmondsonsupply.com/products/milwaukee-48-39-0521-18-tpi-band-saw-blade-deep-cut-3-pack", "https://edmondsonsupply.com/products/milwaukee-48-39-0521-18-tpi-band-saw-blade-deep-cut-3-pack")</f>
        <v/>
      </c>
      <c r="C1233" t="inlineStr">
        <is>
          <t>Milwaukee 48-39-0521 18 TPI Band Saw Blade, Deep Cut- 3 Pack</t>
        </is>
      </c>
      <c r="D1233" t="inlineStr">
        <is>
          <t>Milwaukee 48-39-0572 18 TPI Sub-Compact Portable Band Saw Blade, 3 Per Pack, 3 Pack</t>
        </is>
      </c>
      <c r="E1233" s="2">
        <f>HYPERLINK("https://www.amazon.com/Milwaukee-48-39-0572-Sub-Compact-Portable-Blade/dp/B083W3GY5W/ref=sr_1_17?keywords=Milwaukee+48-39-0521+18+TPI+Band+Saw+Blade%2C+Deep+Cut-+3+Pack&amp;qid=1694734906&amp;sr=8-17", "https://www.amazon.com/Milwaukee-48-39-0572-Sub-Compact-Portable-Blade/dp/B083W3GY5W/ref=sr_1_17?keywords=Milwaukee+48-39-0521+18+TPI+Band+Saw+Blade%2C+Deep+Cut-+3+Pack&amp;qid=1694734906&amp;sr=8-17")</f>
        <v/>
      </c>
      <c r="F1233" t="inlineStr">
        <is>
          <t>B083W3GY5W</t>
        </is>
      </c>
      <c r="G1233">
        <f>_xlfn.IMAGE("https://edmondsonsupply.com/cdn/shop/files/21432_48-39-0510_1.jpg?v=1686932969")</f>
        <v/>
      </c>
      <c r="H1233">
        <f>_xlfn.IMAGE("https://m.media-amazon.com/images/I/71vFJYQfiQL._AC_UL320_.jpg")</f>
        <v/>
      </c>
      <c r="K1233" t="inlineStr">
        <is>
          <t>21.97</t>
        </is>
      </c>
      <c r="L1233" t="n">
        <v>58.76</v>
      </c>
      <c r="M1233" s="1" t="inlineStr">
        <is>
          <t>167.46%</t>
        </is>
      </c>
      <c r="N1233" s="7" t="n">
        <v>62.66</v>
      </c>
      <c r="O1233" t="n">
        <v>4.5</v>
      </c>
      <c r="P1233" t="n">
        <v>45</v>
      </c>
      <c r="R1233" t="inlineStr">
        <is>
          <t>InStock</t>
        </is>
      </c>
      <c r="S1233" t="inlineStr">
        <is>
          <t>27.9</t>
        </is>
      </c>
      <c r="T1233" t="inlineStr">
        <is>
          <t>8006180339928</t>
        </is>
      </c>
    </row>
    <row r="1234" ht="87" customHeight="1">
      <c r="A1234" s="2">
        <f>HYPERLINK("https://edmondsonsupply.com/collections/hvac/products/packard-trc35-titan-pro-run-capacitor-35-mfd-370-volt-round", "https://edmondsonsupply.com/collections/hvac/products/packard-trc35-titan-pro-run-capacitor-35-mfd-370-volt-round")</f>
        <v/>
      </c>
      <c r="B1234" s="2">
        <f>HYPERLINK("https://edmondsonsupply.com/products/packard-trc35-titan-pro-run-capacitor-35-mfd-370-volt-round", "https://edmondsonsupply.com/products/packard-trc35-titan-pro-run-capacitor-35-mfd-370-volt-round")</f>
        <v/>
      </c>
      <c r="C1234" t="inlineStr">
        <is>
          <t>Packard TRC35 TITAN PRO Run Capacitor 35 MFD 370 Volt, Round</t>
        </is>
      </c>
      <c r="D1234" t="inlineStr">
        <is>
          <t>TitanPro TRCD3575 HVAC Round Dual Motor Run Capacitor. 35/7.5 MFD/UF 370 Volts</t>
        </is>
      </c>
      <c r="E1234" s="2">
        <f>HYPERLINK("https://www.amazon.com/TitanPro-TRCD3575-Round-Motor-Capacitor/dp/B0722PL3J7/ref=sr_1_1?keywords=Packard+TRC35+TITAN+PRO+Run+Capacitor+35+MFD+370+Volt%2C+Round&amp;qid=1694734697&amp;sr=8-1", "https://www.amazon.com/TitanPro-TRCD3575-Round-Motor-Capacitor/dp/B0722PL3J7/ref=sr_1_1?keywords=Packard+TRC35+TITAN+PRO+Run+Capacitor+35+MFD+370+Volt%2C+Round&amp;qid=1694734697&amp;sr=8-1")</f>
        <v/>
      </c>
      <c r="F1234" t="inlineStr">
        <is>
          <t>B0722PL3J7</t>
        </is>
      </c>
      <c r="G1234">
        <f>_xlfn.IMAGE("https://edmondsonsupply.com/cdn/shop/products/TRC35-2.jpg?v=1647824336")</f>
        <v/>
      </c>
      <c r="H1234">
        <f>_xlfn.IMAGE("https://m.media-amazon.com/images/I/710w3GOwaUL._AC_UY218_.jpg")</f>
        <v/>
      </c>
      <c r="K1234" t="inlineStr">
        <is>
          <t>6.04</t>
        </is>
      </c>
      <c r="L1234" t="n">
        <v>16.12</v>
      </c>
      <c r="M1234" s="1" t="inlineStr">
        <is>
          <t>166.89%</t>
        </is>
      </c>
      <c r="N1234" s="7" t="n">
        <v>62.43</v>
      </c>
      <c r="O1234" t="n">
        <v>5</v>
      </c>
      <c r="P1234" t="n">
        <v>1</v>
      </c>
      <c r="R1234" t="inlineStr">
        <is>
          <t>InStock</t>
        </is>
      </c>
      <c r="S1234" t="inlineStr">
        <is>
          <t>undefined</t>
        </is>
      </c>
      <c r="T1234" t="inlineStr">
        <is>
          <t>7640304681176</t>
        </is>
      </c>
    </row>
    <row r="1235" hidden="1" ht="15.75" customHeight="1">
      <c r="A1235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235" s="2">
        <f>HYPERLINK("https://edmondsonsupply.com/products/packard-prmj108-motor-start-capacitor-108-130-mfd-330-volt", "https://edmondsonsupply.com/products/packard-prmj108-motor-start-capacitor-108-130-mfd-330-volt")</f>
        <v/>
      </c>
      <c r="C1235" t="inlineStr">
        <is>
          <t>Packard PRMJ108 Motor Start Capacitor 108-130 MFD 330 Volt</t>
        </is>
      </c>
      <c r="D1235" t="inlineStr">
        <is>
          <t>108-130 uF x 330 VAC - Packard PRMJ108 Start Capacitor - BMI Replacement # 092A108B330CE7A - Made in the USA</t>
        </is>
      </c>
      <c r="E1235" s="2">
        <f>HYPERLINK("https://www.amazon.com/108-130-330-VAC-Replacement-092A108B330CE7A/dp/B00TKQ1D7Y/ref=sr_1_11?keywords=Packard+PRMJ108+Motor+Start+Capacitor+108-130+MFD+330+Volt&amp;qid=1694734796&amp;sr=8-11", "https://www.amazon.com/108-130-330-VAC-Replacement-092A108B330CE7A/dp/B00TKQ1D7Y/ref=sr_1_11?keywords=Packard+PRMJ108+Motor+Start+Capacitor+108-130+MFD+330+Volt&amp;qid=1694734796&amp;sr=8-11")</f>
        <v/>
      </c>
      <c r="F1235" t="inlineStr">
        <is>
          <t>B00TKQ1D7Y</t>
        </is>
      </c>
      <c r="G1235">
        <f>_xludf.IMAGE("https://edmondsonsupply.com/cdn/shop/products/PRMJ108-2.jpg?v=1633030309")</f>
        <v/>
      </c>
      <c r="H1235">
        <f>_xludf.IMAGE("https://m.media-amazon.com/images/I/41WTmwN0uKL._AC_UY218_.jpg")</f>
        <v/>
      </c>
      <c r="K1235" t="inlineStr">
        <is>
          <t>4.39</t>
        </is>
      </c>
      <c r="L1235" t="n">
        <v>11.7</v>
      </c>
      <c r="M1235" s="1" t="inlineStr">
        <is>
          <t>166.51%</t>
        </is>
      </c>
      <c r="N1235" s="1" t="n">
        <v>62.38</v>
      </c>
      <c r="O1235" t="n">
        <v>3.8</v>
      </c>
      <c r="P1235" t="n">
        <v>2</v>
      </c>
      <c r="R1235" t="inlineStr">
        <is>
          <t>InStock</t>
        </is>
      </c>
      <c r="S1235" t="inlineStr">
        <is>
          <t>undefined</t>
        </is>
      </c>
      <c r="T1235" t="inlineStr">
        <is>
          <t>5241928319144</t>
        </is>
      </c>
    </row>
    <row r="1236" hidden="1" ht="15.75" customHeight="1">
      <c r="A1236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236" s="2">
        <f>HYPERLINK("https://edmondsonsupply.com/products/packard-ttmj108-motor-start-capacitor-108-130-mfd-220-250-vac", "https://edmondsonsupply.com/products/packard-ttmj108-motor-start-capacitor-108-130-mfd-220-250-vac")</f>
        <v/>
      </c>
      <c r="C1236" t="inlineStr">
        <is>
          <t>Packard TTMJ108 Motor Start Capacitor 108-130 MFD 220-250 VAC</t>
        </is>
      </c>
      <c r="D1236" t="inlineStr">
        <is>
          <t>Packard 220-250V Start Capacitor 108-130 MFD</t>
        </is>
      </c>
      <c r="E1236" s="2">
        <f>HYPERLINK("https://www.amazon.com/Packard-220-250V-Start-Capacitor-108-130/dp/B005YN5ZV2/ref=sr_1_11?keywords=Packard+TTMJ108+Motor+Start+Capacitor+108-130+MFD+220-250+VAC&amp;qid=1694734864&amp;sr=8-11", "https://www.amazon.com/Packard-220-250V-Start-Capacitor-108-130/dp/B005YN5ZV2/ref=sr_1_11?keywords=Packard+TTMJ108+Motor+Start+Capacitor+108-130+MFD+220-250+VAC&amp;qid=1694734864&amp;sr=8-11")</f>
        <v/>
      </c>
      <c r="F1236" t="inlineStr">
        <is>
          <t>B005YN5ZV2</t>
        </is>
      </c>
      <c r="G1236">
        <f>_xludf.IMAGE("https://edmondsonsupply.com/cdn/shop/files/PTMJ108-2_c3537879-2bfc-401f-867d-9ee4aaa5c4bb.jpg?v=1692220228")</f>
        <v/>
      </c>
      <c r="H1236">
        <f>_xludf.IMAGE("https://m.media-amazon.com/images/I/71dKSAtFuqL._AC_UY218_.jpg")</f>
        <v/>
      </c>
      <c r="K1236" t="inlineStr">
        <is>
          <t>4.39</t>
        </is>
      </c>
      <c r="L1236" t="n">
        <v>11.7</v>
      </c>
      <c r="M1236" s="1" t="inlineStr">
        <is>
          <t>166.51%</t>
        </is>
      </c>
      <c r="N1236" s="1" t="n">
        <v>61.64</v>
      </c>
      <c r="O1236" t="n">
        <v>4.7</v>
      </c>
      <c r="P1236" t="n">
        <v>33</v>
      </c>
      <c r="R1236" t="inlineStr">
        <is>
          <t>InStock</t>
        </is>
      </c>
      <c r="S1236" t="inlineStr">
        <is>
          <t>undefined</t>
        </is>
      </c>
      <c r="T1236" t="inlineStr">
        <is>
          <t>8028091154648</t>
        </is>
      </c>
    </row>
    <row r="1237" hidden="1" ht="15.75" customHeight="1">
      <c r="A1237" s="2">
        <f>HYPERLINK("https://edmondsonsupply.com/collections/hvac/products/packard-titan-pro-toc15-motor-run-capacitor-15-mfd-370-volt-oval", "https://edmondsonsupply.com/collections/hvac/products/packard-titan-pro-toc15-motor-run-capacitor-15-mfd-370-volt-oval")</f>
        <v/>
      </c>
      <c r="B1237" s="2">
        <f>HYPERLINK("https://edmondsonsupply.com/products/packard-titan-pro-toc15-motor-run-capacitor-15-mfd-370-volt-oval", "https://edmondsonsupply.com/products/packard-titan-pro-toc15-motor-run-capacitor-15-mfd-370-volt-oval")</f>
        <v/>
      </c>
      <c r="C1237" t="inlineStr">
        <is>
          <t>Packard Titan PRO TOC15 Motor Run Capacitor 15 MFD 370 Volt Oval</t>
        </is>
      </c>
      <c r="D1237" t="inlineStr">
        <is>
          <t>Packard 10 MFD - 370 VAC Oval Motor Run Capacitor TOC10 HVAC Titan Pro</t>
        </is>
      </c>
      <c r="E1237" s="2">
        <f>HYPERLINK("https://www.amazon.com/Packard-10-MFD-Motor-Capacitor/dp/B01KARDZTK/ref=sr_1_9?keywords=Packard+Titan+PRO+TOC15+Motor+Run+Capacitor+15+MFD+370+Volt+Oval&amp;qid=1694734633&amp;sr=8-9", "https://www.amazon.com/Packard-10-MFD-Motor-Capacitor/dp/B01KARDZTK/ref=sr_1_9?keywords=Packard+Titan+PRO+TOC15+Motor+Run+Capacitor+15+MFD+370+Volt+Oval&amp;qid=1694734633&amp;sr=8-9")</f>
        <v/>
      </c>
      <c r="F1237" t="inlineStr">
        <is>
          <t>B01KARDZTK</t>
        </is>
      </c>
      <c r="G1237">
        <f>_xludf.IMAGE("https://edmondsonsupply.com/cdn/shop/products/TOC15-2.jpg?v=1633030141")</f>
        <v/>
      </c>
      <c r="H1237">
        <f>_xludf.IMAGE("https://m.media-amazon.com/images/I/715PjsYFipL._AC_UY218_.jpg")</f>
        <v/>
      </c>
      <c r="K1237" t="inlineStr">
        <is>
          <t>3.37</t>
        </is>
      </c>
      <c r="L1237" t="n">
        <v>8.960000000000001</v>
      </c>
      <c r="M1237" s="1" t="inlineStr">
        <is>
          <t>165.88%</t>
        </is>
      </c>
      <c r="N1237" s="1" t="n">
        <v>61.54</v>
      </c>
      <c r="O1237" t="n">
        <v>4.5</v>
      </c>
      <c r="P1237" t="n">
        <v>38</v>
      </c>
      <c r="R1237" t="inlineStr">
        <is>
          <t>InStock</t>
        </is>
      </c>
      <c r="S1237" t="inlineStr">
        <is>
          <t>undefined</t>
        </is>
      </c>
      <c r="T1237" t="inlineStr">
        <is>
          <t>3726734131300</t>
        </is>
      </c>
    </row>
    <row r="1238" ht="87" customHeight="1">
      <c r="A1238" s="2">
        <f>HYPERLINK("https://edmondsonsupply.com/collections/hvac/products/packard-titan-pro-trcd305-run-capacitor-30-5-mfd-370-volt-round", "https://edmondsonsupply.com/collections/hvac/products/packard-titan-pro-trcd305-run-capacitor-30-5-mfd-370-volt-round")</f>
        <v/>
      </c>
      <c r="B1238" s="2">
        <f>HYPERLINK("https://edmondsonsupply.com/products/packard-titan-pro-trcd305-run-capacitor-30-5-mfd-370-volt-round", "https://edmondsonsupply.com/products/packard-titan-pro-trcd305-run-capacitor-30-5-mfd-370-volt-round")</f>
        <v/>
      </c>
      <c r="C1238" t="inlineStr">
        <is>
          <t>Packard Titan PRO TRCD305 Run Capacitor 30+5 MFD 370 Volt Round</t>
        </is>
      </c>
      <c r="D1238" t="inlineStr">
        <is>
          <t>PRCD305 - Aftermarket Replacement for Packard Round Dual Run Capacitor 30 + 5 uf MFD 370 Volt</t>
        </is>
      </c>
      <c r="E1238" s="2">
        <f>HYPERLINK("https://www.amazon.com/PRCD305-Aftermarket-Replacement-Packard-Capacitor/dp/B00IGB7ACG/ref=sr_1_15?keywords=Packard+Titan+PRO+TRCD305+Run+Capacitor+30%2B5+MFD+370+Volt+Round&amp;qid=1694734786&amp;sr=8-15", "https://www.amazon.com/PRCD305-Aftermarket-Replacement-Packard-Capacitor/dp/B00IGB7ACG/ref=sr_1_15?keywords=Packard+Titan+PRO+TRCD305+Run+Capacitor+30%2B5+MFD+370+Volt+Round&amp;qid=1694734786&amp;sr=8-15")</f>
        <v/>
      </c>
      <c r="F1238" t="inlineStr">
        <is>
          <t>B00IGB7ACG</t>
        </is>
      </c>
      <c r="G1238">
        <f>_xlfn.IMAGE("https://edmondsonsupply.com/cdn/shop/products/TRCD305-2.jpg?v=1633030487")</f>
        <v/>
      </c>
      <c r="H1238">
        <f>_xlfn.IMAGE("https://m.media-amazon.com/images/I/41VWZXgc61L._AC_UY218_.jpg")</f>
        <v/>
      </c>
      <c r="K1238" t="inlineStr">
        <is>
          <t>7.92</t>
        </is>
      </c>
      <c r="L1238" t="n">
        <v>20.99</v>
      </c>
      <c r="M1238" s="1" t="inlineStr">
        <is>
          <t>165.03%</t>
        </is>
      </c>
      <c r="N1238" s="7" t="n">
        <v>61.35</v>
      </c>
      <c r="O1238" t="n">
        <v>4.6</v>
      </c>
      <c r="P1238" t="n">
        <v>2</v>
      </c>
      <c r="R1238" t="inlineStr">
        <is>
          <t>InStock</t>
        </is>
      </c>
      <c r="S1238" t="inlineStr">
        <is>
          <t>undefined</t>
        </is>
      </c>
      <c r="T1238" t="inlineStr">
        <is>
          <t>5373456646312</t>
        </is>
      </c>
    </row>
    <row r="1239" ht="87" customHeight="1">
      <c r="A1239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1239" s="2">
        <f>HYPERLINK("https://edmondsonsupply.com/products/klein-tools-630m-magnetic-nut-driver-set-3-inch-shafts-2-piece", "https://edmondsonsupply.com/products/klein-tools-630m-magnetic-nut-driver-set-3-inch-shafts-2-piece")</f>
        <v/>
      </c>
      <c r="C1239" t="inlineStr">
        <is>
          <t>Klein Tools 630M Magnetic Nut Driver Set, 3-Inch Shafts, 2-Piece</t>
        </is>
      </c>
      <c r="D1239" t="inlineStr">
        <is>
          <t>Klein Tools 65160 Tool Set, Metric Nut Driver Set Sizes 5, 5.5, 6, 7, 8, 9, and 10 mm, 3-Inch Chrome-Plate Hollow Shafts, 7-Piece</t>
        </is>
      </c>
      <c r="E1239" s="2">
        <f>HYPERLINK("https://www.amazon.com/Driver-Metric-3-Inch-7-Piece-Klein/dp/B0009ORXQQ/ref=sr_1_8?keywords=Klein+Tools+630M+Magnetic+Nut+Driver+Set%2C+3-Inch+Shafts%2C+2-Piece&amp;qid=1694734796&amp;sr=8-8", "https://www.amazon.com/Driver-Metric-3-Inch-7-Piece-Klein/dp/B0009ORXQQ/ref=sr_1_8?keywords=Klein+Tools+630M+Magnetic+Nut+Driver+Set%2C+3-Inch+Shafts%2C+2-Piece&amp;qid=1694734796&amp;sr=8-8")</f>
        <v/>
      </c>
      <c r="F1239" t="inlineStr">
        <is>
          <t>B0009ORXQQ</t>
        </is>
      </c>
      <c r="G1239">
        <f>_xlfn.IMAGE("https://edmondsonsupply.com/cdn/shop/products/630m.jpg?v=1587143237")</f>
        <v/>
      </c>
      <c r="H1239">
        <f>_xlfn.IMAGE("https://m.media-amazon.com/images/I/61CnDJJyViL._AC_UL320_.jpg")</f>
        <v/>
      </c>
      <c r="K1239" t="inlineStr">
        <is>
          <t>18.99</t>
        </is>
      </c>
      <c r="L1239" t="n">
        <v>49.99</v>
      </c>
      <c r="M1239" s="1" t="inlineStr">
        <is>
          <t>163.24%</t>
        </is>
      </c>
      <c r="N1239" s="7" t="n">
        <v>61.03</v>
      </c>
      <c r="O1239" t="n">
        <v>4.8</v>
      </c>
      <c r="P1239" t="n">
        <v>588</v>
      </c>
      <c r="R1239" t="inlineStr">
        <is>
          <t>InStock</t>
        </is>
      </c>
      <c r="S1239" t="inlineStr">
        <is>
          <t>28.78</t>
        </is>
      </c>
      <c r="T1239" t="inlineStr">
        <is>
          <t>4508216787044</t>
        </is>
      </c>
    </row>
    <row r="1240" hidden="1" ht="15.75" customHeight="1">
      <c r="A1240" s="2">
        <f>HYPERLINK("https://edmondsonsupply.com/collections/hvac/products/jb-industries-a31999-25-1-4-valve-core-replacement-25-pack", "https://edmondsonsupply.com/collections/hvac/products/jb-industries-a31999-25-1-4-valve-core-replacement-25-pack")</f>
        <v/>
      </c>
      <c r="B1240" s="2">
        <f>HYPERLINK("https://edmondsonsupply.com/products/jb-industries-a31999-25-1-4-valve-core-replacement-25-pack", "https://edmondsonsupply.com/products/jb-industries-a31999-25-1-4-valve-core-replacement-25-pack")</f>
        <v/>
      </c>
      <c r="C1240" t="inlineStr">
        <is>
          <t>JB Industries A31999-25 1/4" Valve Core Replacement (25 Pack)</t>
        </is>
      </c>
      <c r="D1240" t="inlineStr">
        <is>
          <t>JB Industries A31999 Replacement Valve Core, 1/4"</t>
        </is>
      </c>
      <c r="E1240" s="2">
        <f>HYPERLINK("https://www.amazon.com/JB-Industries-A31999-Replacement-Valve/dp/B00E1NKERG/ref=sr_1_1?keywords=JB+Industries+A31999-25+1%2F4%22+Valve+Core+Replacement+%2825+Pack%29&amp;qid=1694734852&amp;sr=8-1", "https://www.amazon.com/JB-Industries-A31999-Replacement-Valve/dp/B00E1NKERG/ref=sr_1_1?keywords=JB+Industries+A31999-25+1%2F4%22+Valve+Core+Replacement+%2825+Pack%29&amp;qid=1694734852&amp;sr=8-1")</f>
        <v/>
      </c>
      <c r="F1240" t="inlineStr">
        <is>
          <t>B00E1NKERG</t>
        </is>
      </c>
      <c r="G1240">
        <f>_xludf.IMAGE("https://edmondsonsupply.com/cdn/shop/files/A31999-JB-Valve-Cores-Access-Valves_616d27d9-8a81-4013-906a-27e17f45b957.png?v=1692480819")</f>
        <v/>
      </c>
      <c r="H1240">
        <f>_xludf.IMAGE("https://m.media-amazon.com/images/I/61QUbDxctPL._AC_UL320_.jpg")</f>
        <v/>
      </c>
      <c r="K1240" t="inlineStr">
        <is>
          <t>3.99</t>
        </is>
      </c>
      <c r="L1240" t="n">
        <v>10.5</v>
      </c>
      <c r="M1240" s="1" t="inlineStr">
        <is>
          <t>163.16%</t>
        </is>
      </c>
      <c r="N1240" s="1" t="n">
        <v>60.27</v>
      </c>
      <c r="O1240" t="n">
        <v>5</v>
      </c>
      <c r="P1240" t="n">
        <v>3</v>
      </c>
      <c r="R1240" t="inlineStr">
        <is>
          <t>InStock</t>
        </is>
      </c>
      <c r="S1240" t="inlineStr">
        <is>
          <t>5.98</t>
        </is>
      </c>
      <c r="T1240" t="inlineStr">
        <is>
          <t>8028648603864</t>
        </is>
      </c>
    </row>
    <row r="1241" hidden="1" ht="15.75" customHeight="1">
      <c r="A1241" s="2">
        <f>HYPERLINK("https://edmondsonsupply.com/collections/hvac/products/jb-industries-a31999-1-4-valve-core-replacement-5-pack", "https://edmondsonsupply.com/collections/hvac/products/jb-industries-a31999-1-4-valve-core-replacement-5-pack")</f>
        <v/>
      </c>
      <c r="B1241" s="2">
        <f>HYPERLINK("https://edmondsonsupply.com/products/jb-industries-a31999-1-4-valve-core-replacement-5-pack", "https://edmondsonsupply.com/products/jb-industries-a31999-1-4-valve-core-replacement-5-pack")</f>
        <v/>
      </c>
      <c r="C1241" t="inlineStr">
        <is>
          <t>JB Industries A31999 1/4" Valve Core Replacement (5 Pack)</t>
        </is>
      </c>
      <c r="D1241" t="inlineStr">
        <is>
          <t>JB Industries A31999 Replacement Valve Core, 1/4"</t>
        </is>
      </c>
      <c r="E1241" s="2">
        <f>HYPERLINK("https://www.amazon.com/JB-Industries-A31999-Replacement-Valve/dp/B00E1NKERG/ref=sr_1_1?keywords=JB+Industries+A31999+1%2F4%22+Valve+Core+Replacement+%285+Pack%29&amp;qid=1694734679&amp;sr=8-1", "https://www.amazon.com/JB-Industries-A31999-Replacement-Valve/dp/B00E1NKERG/ref=sr_1_1?keywords=JB+Industries+A31999+1%2F4%22+Valve+Core+Replacement+%285+Pack%29&amp;qid=1694734679&amp;sr=8-1")</f>
        <v/>
      </c>
      <c r="F1241" t="inlineStr">
        <is>
          <t>B00E1NKERG</t>
        </is>
      </c>
      <c r="G1241">
        <f>_xludf.IMAGE("https://edmondsonsupply.com/cdn/shop/files/A31999-JB-Valve-Cores-Access-Valves.png?v=1682528644")</f>
        <v/>
      </c>
      <c r="H1241">
        <f>_xludf.IMAGE("https://m.media-amazon.com/images/I/61QUbDxctPL._AC_UL320_.jpg")</f>
        <v/>
      </c>
      <c r="K1241" t="inlineStr">
        <is>
          <t>3.99</t>
        </is>
      </c>
      <c r="L1241" t="n">
        <v>10.5</v>
      </c>
      <c r="M1241" s="1" t="inlineStr">
        <is>
          <t>163.16%</t>
        </is>
      </c>
      <c r="N1241" s="1" t="n">
        <v>60.22</v>
      </c>
      <c r="O1241" t="n">
        <v>5</v>
      </c>
      <c r="P1241" t="n">
        <v>3</v>
      </c>
      <c r="R1241" t="inlineStr">
        <is>
          <t>InStock</t>
        </is>
      </c>
      <c r="S1241" t="inlineStr">
        <is>
          <t>5.98</t>
        </is>
      </c>
      <c r="T1241" t="inlineStr">
        <is>
          <t>7984173547736</t>
        </is>
      </c>
    </row>
    <row r="1242" ht="87" customHeight="1">
      <c r="A1242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242" s="2">
        <f>HYPERLINK("https://edmondsonsupply.com/products/klein-tools-11046-wire-stripper-cutter-16-26-awg-stranded", "https://edmondsonsupply.com/products/klein-tools-11046-wire-stripper-cutter-16-26-awg-stranded")</f>
        <v/>
      </c>
      <c r="C1242" t="inlineStr">
        <is>
          <t>Klein Tools 11046 Wire Stripper/Cutter 16-26 AWG Stranded</t>
        </is>
      </c>
      <c r="D1242" t="inlineStr">
        <is>
          <t>Klein Tools 11049-INS Wire Stripper/Cutter 8-16 AWG Stranded</t>
        </is>
      </c>
      <c r="E1242" s="2">
        <f>HYPERLINK("https://www.amazon.com/Stripper-Stranded-Klein-Tools-11049-INS/dp/B000MKFWRO/ref=sr_1_20?keywords=Klein+Tools+11046+Wire+Stripper%2FCutter+16-26+AWG+Stranded&amp;qid=1694734810&amp;sr=8-20", "https://www.amazon.com/Stripper-Stranded-Klein-Tools-11049-INS/dp/B000MKFWRO/ref=sr_1_20?keywords=Klein+Tools+11046+Wire+Stripper%2FCutter+16-26+AWG+Stranded&amp;qid=1694734810&amp;sr=8-20")</f>
        <v/>
      </c>
      <c r="F1242" t="inlineStr">
        <is>
          <t>B000MKFWRO</t>
        </is>
      </c>
      <c r="G1242">
        <f>_xlfn.IMAGE("https://edmondsonsupply.com/cdn/shop/products/11046.jpg?v=1587147965")</f>
        <v/>
      </c>
      <c r="H1242">
        <f>_xlfn.IMAGE("https://m.media-amazon.com/images/I/5107mwIuX5L._AC_UL320_.jpg")</f>
        <v/>
      </c>
      <c r="K1242" t="inlineStr">
        <is>
          <t>15.97</t>
        </is>
      </c>
      <c r="L1242" t="n">
        <v>41.69</v>
      </c>
      <c r="M1242" s="1" t="inlineStr">
        <is>
          <t>161.05%</t>
        </is>
      </c>
      <c r="N1242" s="7" t="n">
        <v>60.09</v>
      </c>
      <c r="O1242" t="n">
        <v>4.6</v>
      </c>
      <c r="P1242" t="n">
        <v>8</v>
      </c>
      <c r="R1242" t="inlineStr">
        <is>
          <t>InStock</t>
        </is>
      </c>
      <c r="S1242" t="inlineStr">
        <is>
          <t>23.56</t>
        </is>
      </c>
      <c r="T1242" t="inlineStr">
        <is>
          <t>3688603910244</t>
        </is>
      </c>
    </row>
    <row r="1243" ht="87" customHeight="1">
      <c r="A1243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243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243" t="inlineStr">
        <is>
          <t>ICM Controls ICM2811 Furnace Control Board - Replacement for Goodman</t>
        </is>
      </c>
      <c r="D1243" t="inlineStr">
        <is>
          <t>ICM Controls ICM282A OEM Replacement, Carrier HK42FZ004, HK42FZ007, HK42FZ008, HK42FZ009, HK42FZ011, HK42FZ013, HK42FZ016 and HK42FZ0-xx Series Furnace Control Board Module</t>
        </is>
      </c>
      <c r="E1243" s="2">
        <f>HYPERLINK("https://www.amazon.com/ICM-Controls-ICM282A-Replacement-325878-751/dp/B00441X9H2/ref=sr_1_29?keywords=ICM+Controls+ICM2811+Furnace+Control+Board+-+Replacement+for+Goodman&amp;qid=1694734652&amp;sr=8-29", "https://www.amazon.com/ICM-Controls-ICM282A-Replacement-325878-751/dp/B00441X9H2/ref=sr_1_29?keywords=ICM+Controls+ICM2811+Furnace+Control+Board+-+Replacement+for+Goodman&amp;qid=1694734652&amp;sr=8-29")</f>
        <v/>
      </c>
      <c r="F1243" t="inlineStr">
        <is>
          <t>B00441X9H2</t>
        </is>
      </c>
      <c r="G1243">
        <f>_xlfn.IMAGE("https://edmondsonsupply.com/cdn/shop/products/photo_3800_medium_86f45e25-a764-4839-bc84-759a6ce1c7bd.jpg?v=1659910436")</f>
        <v/>
      </c>
      <c r="H1243">
        <f>_xlfn.IMAGE("https://m.media-amazon.com/images/I/71-vNRHt45L._AC_UL320_.jpg")</f>
        <v/>
      </c>
      <c r="K1243" t="inlineStr">
        <is>
          <t>68.99</t>
        </is>
      </c>
      <c r="L1243" t="n">
        <v>179.99</v>
      </c>
      <c r="M1243" s="1" t="inlineStr">
        <is>
          <t>160.89%</t>
        </is>
      </c>
      <c r="N1243" s="7" t="n">
        <v>60.06</v>
      </c>
      <c r="O1243" t="n">
        <v>4.7</v>
      </c>
      <c r="P1243" t="n">
        <v>551</v>
      </c>
      <c r="R1243" t="inlineStr">
        <is>
          <t>InStock</t>
        </is>
      </c>
      <c r="S1243" t="inlineStr">
        <is>
          <t>93.62</t>
        </is>
      </c>
      <c r="T1243" t="inlineStr">
        <is>
          <t>4345448202340</t>
        </is>
      </c>
    </row>
    <row r="1244" ht="87" customHeight="1">
      <c r="A1244" s="2">
        <f>HYPERLINK("https://edmondsonsupply.com/collections/hvac/products/malco-mshlc-2-5-8-c-rhex-cleanable-reversible-magnetic-hex-driver-1-4-5-16", "https://edmondsonsupply.com/collections/hvac/products/malco-mshlc-2-5-8-c-rhex-cleanable-reversible-magnetic-hex-driver-1-4-5-16")</f>
        <v/>
      </c>
      <c r="B1244" s="2">
        <f>HYPERLINK("https://edmondsonsupply.com/products/malco-mshlc-2-5-8-c-rhex-cleanable-reversible-magnetic-hex-driver-1-4-5-16", "https://edmondsonsupply.com/products/malco-mshlc-2-5-8-c-rhex-cleanable-reversible-magnetic-hex-driver-1-4-5-16")</f>
        <v/>
      </c>
      <c r="C1244" t="inlineStr">
        <is>
          <t>Malco Tools MSHLC 2-5/8" C-Rhex Cleanable, Reversible Magnetic Hex Driver, 1/4" &amp; 5/16"</t>
        </is>
      </c>
      <c r="D1244" t="inlineStr">
        <is>
          <t>Malco MSH2XLC2 C-RHEX® Building Construction Series Cleanable, Reversible Magnetic Hex Driver (1/4" &amp; 5/16")</t>
        </is>
      </c>
      <c r="E1244" s="2">
        <f>HYPERLINK("https://www.amazon.com/Malco-MSH2XLC2-Construction-Cleanable-Reversible/dp/B0BX79N2BV/ref=sr_1_3?keywords=Malco+Tools+MSHLC+2-5%2F8%22+C-Rhex+Cleanable%2C+Reversible+Magnetic+Hex+Driver%2C+1%2F4%22+%26+5%2F16%22&amp;qid=1694734604&amp;sr=8-3", "https://www.amazon.com/Malco-MSH2XLC2-Construction-Cleanable-Reversible/dp/B0BX79N2BV/ref=sr_1_3?keywords=Malco+Tools+MSHLC+2-5%2F8%22+C-Rhex+Cleanable%2C+Reversible+Magnetic+Hex+Driver%2C+1%2F4%22+%26+5%2F16%22&amp;qid=1694734604&amp;sr=8-3")</f>
        <v/>
      </c>
      <c r="F1244" t="inlineStr">
        <is>
          <t>B0BX79N2BV</t>
        </is>
      </c>
      <c r="G1244">
        <f>_xlfn.IMAGE("https://edmondsonsupply.com/cdn/shop/products/Malco-MSHLC-CRHEX-Slim-Design.jpg?v=1654737733")</f>
        <v/>
      </c>
      <c r="H1244">
        <f>_xlfn.IMAGE("https://m.media-amazon.com/images/I/31odlSGS4kL._AC_UL320_.jpg")</f>
        <v/>
      </c>
      <c r="K1244" t="inlineStr">
        <is>
          <t>8.76</t>
        </is>
      </c>
      <c r="L1244" t="n">
        <v>22.85</v>
      </c>
      <c r="M1244" s="1" t="inlineStr">
        <is>
          <t>160.84%</t>
        </is>
      </c>
      <c r="N1244" s="7" t="n">
        <v>60.03</v>
      </c>
      <c r="O1244" t="n">
        <v>5</v>
      </c>
      <c r="P1244" t="n">
        <v>1</v>
      </c>
      <c r="R1244" t="inlineStr">
        <is>
          <t>InStock</t>
        </is>
      </c>
      <c r="S1244" t="inlineStr">
        <is>
          <t>9.45</t>
        </is>
      </c>
      <c r="T1244" t="inlineStr">
        <is>
          <t>4102686015588</t>
        </is>
      </c>
    </row>
    <row r="1245" ht="87" customHeight="1">
      <c r="A1245" s="2">
        <f>HYPERLINK("https://edmondsonsupply.com/collections/hvac/products/midwest-mwt-6510r-right-offset-aviation-snip", "https://edmondsonsupply.com/collections/hvac/products/midwest-mwt-6510r-right-offset-aviation-snip")</f>
        <v/>
      </c>
      <c r="B1245" s="2">
        <f>HYPERLINK("https://edmondsonsupply.com/products/midwest-mwt-6510r-right-offset-aviation-snip", "https://edmondsonsupply.com/products/midwest-mwt-6510r-right-offset-aviation-snip")</f>
        <v/>
      </c>
      <c r="C1245" t="inlineStr">
        <is>
          <t>Midwest MWT-6510R Right Offset Aviation Snip</t>
        </is>
      </c>
      <c r="D1245" t="inlineStr">
        <is>
          <t>Midwest Tools and Cutlery MWT-6510C Midwest Snips Forged Blade Offset Aviation Snips Set (Pack of 2)</t>
        </is>
      </c>
      <c r="E1245" s="2">
        <f>HYPERLINK("https://www.amazon.com/Midwest-Tools-Cutlery-MWT-6510C-Aviation/dp/B01J9IC5D8/ref=sr_1_6?keywords=Midwest+MWT-6510R+Right+Offset+Aviation+Snip&amp;qid=1694734735&amp;sr=8-6", "https://www.amazon.com/Midwest-Tools-Cutlery-MWT-6510C-Aviation/dp/B01J9IC5D8/ref=sr_1_6?keywords=Midwest+MWT-6510R+Right+Offset+Aviation+Snip&amp;qid=1694734735&amp;sr=8-6")</f>
        <v/>
      </c>
      <c r="F1245" t="inlineStr">
        <is>
          <t>B01J9IC5D8</t>
        </is>
      </c>
      <c r="G1245">
        <f>_xlfn.IMAGE("https://edmondsonsupply.com/cdn/shop/products/MWT-6510R.png?v=1587144877")</f>
        <v/>
      </c>
      <c r="H1245">
        <f>_xlfn.IMAGE("https://m.media-amazon.com/images/I/71GdMeiK3LL._AC_UL320_.jpg")</f>
        <v/>
      </c>
      <c r="K1245" t="inlineStr">
        <is>
          <t>24.89</t>
        </is>
      </c>
      <c r="L1245" t="n">
        <v>64.79000000000001</v>
      </c>
      <c r="M1245" s="1" t="inlineStr">
        <is>
          <t>160.31%</t>
        </is>
      </c>
      <c r="N1245" s="7" t="n">
        <v>60.02</v>
      </c>
      <c r="O1245" t="n">
        <v>4.7</v>
      </c>
      <c r="P1245" t="n">
        <v>403</v>
      </c>
      <c r="R1245" t="inlineStr">
        <is>
          <t>InStock</t>
        </is>
      </c>
      <c r="S1245" t="inlineStr">
        <is>
          <t>33.49</t>
        </is>
      </c>
      <c r="T1245" t="inlineStr">
        <is>
          <t>4414962597988</t>
        </is>
      </c>
    </row>
    <row r="1246" ht="87" customHeight="1">
      <c r="A1246" s="2">
        <f>HYPERLINK("https://edmondsonsupply.com/collections/hvac/products/klein-tools-mag2-magnetizer-demagnetizer", "https://edmondsonsupply.com/collections/hvac/products/klein-tools-mag2-magnetizer-demagnetizer")</f>
        <v/>
      </c>
      <c r="B1246" s="2">
        <f>HYPERLINK("https://edmondsonsupply.com/products/klein-tools-mag2-magnetizer-demagnetizer", "https://edmondsonsupply.com/products/klein-tools-mag2-magnetizer-demagnetizer")</f>
        <v/>
      </c>
      <c r="C1246" t="inlineStr">
        <is>
          <t>Klein Tools MAG2 Magnetizer / Demagnetizer</t>
        </is>
      </c>
      <c r="D1246" t="inlineStr">
        <is>
          <t>Klein Tools 65200 Ratchet Set, 5-Piece Mini Ratchet Set with Phillips, Slotted &amp; MAG2 Demagnetizer/Magnetizer for Screwdriver Bits and Tips, Makes Tools Magnetic with Powerful Rare-Earth Magnet</t>
        </is>
      </c>
      <c r="E1246" s="2">
        <f>HYPERLINK("https://www.amazon.com/Klein-Tools-Demagnetizer-Magnetizer-Screwdriver/dp/B09Z917XB6/ref=sr_1_8?keywords=Klein+Tools+MAG2+Magnetizer+%2F+Demagnetizer&amp;qid=1694734636&amp;sr=8-8", "https://www.amazon.com/Klein-Tools-Demagnetizer-Magnetizer-Screwdriver/dp/B09Z917XB6/ref=sr_1_8?keywords=Klein+Tools+MAG2+Magnetizer+%2F+Demagnetizer&amp;qid=1694734636&amp;sr=8-8")</f>
        <v/>
      </c>
      <c r="F1246" t="inlineStr">
        <is>
          <t>B09Z917XB6</t>
        </is>
      </c>
      <c r="G1246">
        <f>_xlfn.IMAGE("https://edmondsonsupply.com/cdn/shop/products/mag2.jpg?v=1587145008")</f>
        <v/>
      </c>
      <c r="H1246">
        <f>_xlfn.IMAGE("https://m.media-amazon.com/images/I/41yfZTQhEVL._AC_UL320_.jpg")</f>
        <v/>
      </c>
      <c r="K1246" t="inlineStr">
        <is>
          <t>9.97</t>
        </is>
      </c>
      <c r="L1246" t="n">
        <v>25.93</v>
      </c>
      <c r="M1246" s="1" t="inlineStr">
        <is>
          <t>160.08%</t>
        </is>
      </c>
      <c r="N1246" s="7" t="n">
        <v>59.49</v>
      </c>
      <c r="O1246" t="n">
        <v>4.9</v>
      </c>
      <c r="P1246" t="n">
        <v>17</v>
      </c>
      <c r="R1246" t="inlineStr">
        <is>
          <t>InStock</t>
        </is>
      </c>
      <c r="S1246" t="inlineStr">
        <is>
          <t>13.96</t>
        </is>
      </c>
      <c r="T1246" t="inlineStr">
        <is>
          <t>1706086858852</t>
        </is>
      </c>
    </row>
    <row r="1247" ht="87" customHeight="1">
      <c r="A1247" s="2">
        <f>HYPERLINK("https://edmondsonsupply.com/collections/hvac/products/malco-tools-lp7r-eagle-grip-7-straight-jaw-locking-pliers", "https://edmondsonsupply.com/collections/hvac/products/malco-tools-lp7r-eagle-grip-7-straight-jaw-locking-pliers")</f>
        <v/>
      </c>
      <c r="B1247" s="2">
        <f>HYPERLINK("https://edmondsonsupply.com/products/malco-tools-lp7r-eagle-grip-7-straight-jaw-locking-pliers", "https://edmondsonsupply.com/products/malco-tools-lp7r-eagle-grip-7-straight-jaw-locking-pliers")</f>
        <v/>
      </c>
      <c r="C1247" t="inlineStr">
        <is>
          <t>Malco Tools LP7R Eagle Grip 7″ Straight Jaw Locking Pliers</t>
        </is>
      </c>
      <c r="D1247" t="inlineStr">
        <is>
          <t>Eagle Grip LP10R Locking Tool, 10" Straight Jaw &amp; Grip by Malco LP7R 7 in. Straight Jaw Locking Pliers &amp; Grip by Malco LP7WC 7 in. Curved Jaw Locking Pliers with Wire Cutter</t>
        </is>
      </c>
      <c r="E1247" s="2">
        <f>HYPERLINK("https://www.amazon.com/Locking-Straight-Malco-Pliers-Curved/dp/B0CC7MTMSQ/ref=sr_1_3?keywords=Malco+Tools+LP7R+Eagle+Grip+7%E2%80%B3+Straight+Jaw+Locking+Pliers&amp;qid=1694734637&amp;sr=8-3", "https://www.amazon.com/Locking-Straight-Malco-Pliers-Curved/dp/B0CC7MTMSQ/ref=sr_1_3?keywords=Malco+Tools+LP7R+Eagle+Grip+7%E2%80%B3+Straight+Jaw+Locking+Pliers&amp;qid=1694734637&amp;sr=8-3")</f>
        <v/>
      </c>
      <c r="F1247" t="inlineStr">
        <is>
          <t>B0CC7MTMSQ</t>
        </is>
      </c>
      <c r="G1247">
        <f>_xlfn.IMAGE("https://edmondsonsupply.com/cdn/shop/products/LP7R-eagle-grip-locking-pliers-in-hand.jpg?v=1657291391")</f>
        <v/>
      </c>
      <c r="H1247">
        <f>_xlfn.IMAGE("https://m.media-amazon.com/images/I/51hCE5iB5fL._AC_UL320_.jpg")</f>
        <v/>
      </c>
      <c r="K1247" t="inlineStr">
        <is>
          <t>49.99</t>
        </is>
      </c>
      <c r="L1247" t="n">
        <v>130.01</v>
      </c>
      <c r="M1247" s="1" t="inlineStr">
        <is>
          <t>160.07%</t>
        </is>
      </c>
      <c r="N1247" s="7" t="n">
        <v>59.39</v>
      </c>
      <c r="O1247" t="n">
        <v>5</v>
      </c>
      <c r="P1247" t="n">
        <v>189</v>
      </c>
      <c r="R1247" t="inlineStr">
        <is>
          <t>InStock</t>
        </is>
      </c>
      <c r="S1247" t="inlineStr">
        <is>
          <t>54.67</t>
        </is>
      </c>
      <c r="T1247" t="inlineStr">
        <is>
          <t>7742222270680</t>
        </is>
      </c>
    </row>
    <row r="1248" ht="87" customHeight="1">
      <c r="A1248" s="2">
        <f>HYPERLINK("https://edmondsonsupply.com/collections/hvac/products/viega-25001-1-2-x-1-2-megapressg-coupling-with-stop", "https://edmondsonsupply.com/collections/hvac/products/viega-25001-1-2-x-1-2-megapressg-coupling-with-stop")</f>
        <v/>
      </c>
      <c r="B1248" s="2">
        <f>HYPERLINK("https://edmondsonsupply.com/products/viega-25001-1-2-x-1-2-megapressg-coupling-with-stop", "https://edmondsonsupply.com/products/viega-25001-1-2-x-1-2-megapressg-coupling-with-stop")</f>
        <v/>
      </c>
      <c r="C1248" t="inlineStr">
        <is>
          <t>Viega 25001 1/2" x 1/2" MegaPressG Coupling with Stop</t>
        </is>
      </c>
      <c r="D1248" t="inlineStr">
        <is>
          <t>1/2" Propress Viega Couplings with Stop 78047 5 Pack</t>
        </is>
      </c>
      <c r="E1248" s="2">
        <f>HYPERLINK("https://www.amazon.com/Propress-Viega-Couplings-Stop-78047/dp/B095Q1XVQX/ref=sr_1_7?keywords=Viega+25001+1%2F2%22+x+1%2F2%22+MegaPressG+Coupling+with+Stop&amp;qid=1694734861&amp;sr=8-7", "https://www.amazon.com/Propress-Viega-Couplings-Stop-78047/dp/B095Q1XVQX/ref=sr_1_7?keywords=Viega+25001+1%2F2%22+x+1%2F2%22+MegaPressG+Coupling+with+Stop&amp;qid=1694734861&amp;sr=8-7")</f>
        <v/>
      </c>
      <c r="F1248" t="inlineStr">
        <is>
          <t>B095Q1XVQX</t>
        </is>
      </c>
      <c r="G1248">
        <f>_xlfn.IMAGE("https://edmondsonsupply.com/cdn/shop/files/PPm6615.jpg?v=1692463277")</f>
        <v/>
      </c>
      <c r="H1248">
        <f>_xlfn.IMAGE("https://m.media-amazon.com/images/I/31BO0W7n2iS._AC_UL320_.jpg")</f>
        <v/>
      </c>
      <c r="K1248" t="inlineStr">
        <is>
          <t>11.63</t>
        </is>
      </c>
      <c r="L1248" t="n">
        <v>30.2</v>
      </c>
      <c r="M1248" s="1" t="inlineStr">
        <is>
          <t>159.67%</t>
        </is>
      </c>
      <c r="N1248" s="7" t="n">
        <v>59.37</v>
      </c>
      <c r="O1248" t="n">
        <v>5</v>
      </c>
      <c r="P1248" t="n">
        <v>1</v>
      </c>
      <c r="R1248" t="inlineStr">
        <is>
          <t>InStock</t>
        </is>
      </c>
      <c r="S1248" t="inlineStr">
        <is>
          <t>20.04</t>
        </is>
      </c>
      <c r="T1248" t="inlineStr">
        <is>
          <t>8028590178520</t>
        </is>
      </c>
    </row>
    <row r="1249" ht="87" customHeight="1">
      <c r="A1249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249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249" t="inlineStr">
        <is>
          <t>Klein Tools 32304 14-in-1 HVAC Adjustable-Length Impact Screwdriver with Flip Socket</t>
        </is>
      </c>
      <c r="D1249" t="inlineStr">
        <is>
          <t>Klein Tools Recharge Headlamp Fabric Strap 400 Lumens All Day Runtime &amp; 32304 Screwdriver, 14-in-1 Adjustable Screwdriver with Flip Socket, HVAC Nut Drivers and Bits, Impact Rated</t>
        </is>
      </c>
      <c r="E1249" s="2">
        <f>HYPERLINK("https://www.amazon.com/Klein-Tools-Recharge-Screwdriver-Adjustable/dp/B0BRN2J2B7/ref=sr_1_14?keywords=Klein+Tools+32304+14-in-1+HVAC+Adjustable-Length+Impact+Screwdriver+with+Flip+Socket&amp;qid=1694734657&amp;sr=8-14", "https://www.amazon.com/Klein-Tools-Recharge-Screwdriver-Adjustable/dp/B0BRN2J2B7/ref=sr_1_14?keywords=Klein+Tools+32304+14-in-1+HVAC+Adjustable-Length+Impact+Screwdriver+with+Flip+Socket&amp;qid=1694734657&amp;sr=8-14")</f>
        <v/>
      </c>
      <c r="F1249" t="inlineStr">
        <is>
          <t>B0BRN2J2B7</t>
        </is>
      </c>
      <c r="G1249">
        <f>_xlfn.IMAGE("https://edmondsonsupply.com/cdn/shop/products/32304.jpg?v=1666019479")</f>
        <v/>
      </c>
      <c r="H1249">
        <f>_xlfn.IMAGE("https://m.media-amazon.com/images/I/513GXi8yR1L._AC_UL320_.jpg")</f>
        <v/>
      </c>
      <c r="K1249" t="inlineStr">
        <is>
          <t>24.97</t>
        </is>
      </c>
      <c r="L1249" t="n">
        <v>64.73999999999999</v>
      </c>
      <c r="M1249" s="1" t="inlineStr">
        <is>
          <t>159.27%</t>
        </is>
      </c>
      <c r="N1249" s="7" t="n">
        <v>59.23</v>
      </c>
      <c r="O1249" t="n">
        <v>4.6</v>
      </c>
      <c r="P1249" t="n">
        <v>842</v>
      </c>
      <c r="R1249" t="inlineStr">
        <is>
          <t>InStock</t>
        </is>
      </c>
      <c r="S1249" t="inlineStr">
        <is>
          <t>34.98</t>
        </is>
      </c>
      <c r="T1249" t="inlineStr">
        <is>
          <t>7856604578008</t>
        </is>
      </c>
    </row>
    <row r="1250" ht="87" customHeight="1">
      <c r="A1250" s="2">
        <f>HYPERLINK("https://edmondsonsupply.com/collections/hvac/products/packard-trcfd405-titan-pro-run-capacitor-40-5-mfd-440-370-volt-round", "https://edmondsonsupply.com/collections/hvac/products/packard-trcfd405-titan-pro-run-capacitor-40-5-mfd-440-370-volt-round")</f>
        <v/>
      </c>
      <c r="B1250" s="2">
        <f>HYPERLINK("https://edmondsonsupply.com/products/packard-trcfd405-titan-pro-run-capacitor-40-5-mfd-440-370-volt-round", "https://edmondsonsupply.com/products/packard-trcfd405-titan-pro-run-capacitor-40-5-mfd-440-370-volt-round")</f>
        <v/>
      </c>
      <c r="C1250" t="inlineStr">
        <is>
          <t>Packard TRCFD405 Titan PRO Run Capacitor 40+5 MFD 440/370 Volt Round</t>
        </is>
      </c>
      <c r="D1250" t="inlineStr">
        <is>
          <t>Titan Pro Round Motor Dual Run Capacitor, 40/5 Microfarad Rating, 370-440VAC Voltage - TRCFD405</t>
        </is>
      </c>
      <c r="E1250" s="2">
        <f>HYPERLINK("https://www.amazon.com/Capacitor-Microfarad-Rating-370-440VAC-Voltage/dp/B08TT9FDLR/ref=sr_1_5?keywords=Packard+TRCFD405+Titan+PRO+Run+Capacitor+40+5+MFD+440%2F370+Volt+Round&amp;qid=1694734668&amp;sr=8-5", "https://www.amazon.com/Capacitor-Microfarad-Rating-370-440VAC-Voltage/dp/B08TT9FDLR/ref=sr_1_5?keywords=Packard+TRCFD405+Titan+PRO+Run+Capacitor+40+5+MFD+440%2F370+Volt+Round&amp;qid=1694734668&amp;sr=8-5")</f>
        <v/>
      </c>
      <c r="F1250" t="inlineStr">
        <is>
          <t>B08TT9FDLR</t>
        </is>
      </c>
      <c r="G1250">
        <f>_xlfn.IMAGE("https://edmondsonsupply.com/cdn/shop/products/TRCFD405-2.jpg?v=1633030399")</f>
        <v/>
      </c>
      <c r="H1250">
        <f>_xlfn.IMAGE("https://m.media-amazon.com/images/I/61cQEVPjCNL._AC_UY218_.jpg")</f>
        <v/>
      </c>
      <c r="K1250" t="inlineStr">
        <is>
          <t>8.39</t>
        </is>
      </c>
      <c r="L1250" t="n">
        <v>21.72</v>
      </c>
      <c r="M1250" s="1" t="inlineStr">
        <is>
          <t>158.88%</t>
        </is>
      </c>
      <c r="N1250" s="7" t="n">
        <v>59.15</v>
      </c>
      <c r="O1250" t="n">
        <v>4.5</v>
      </c>
      <c r="P1250" t="n">
        <v>8</v>
      </c>
      <c r="R1250" t="inlineStr">
        <is>
          <t>OutOfStock</t>
        </is>
      </c>
      <c r="S1250" t="inlineStr">
        <is>
          <t>undefined</t>
        </is>
      </c>
      <c r="T1250" t="inlineStr">
        <is>
          <t>5302386950312</t>
        </is>
      </c>
    </row>
    <row r="1251" ht="87" customHeight="1">
      <c r="A1251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251" s="2">
        <f>HYPERLINK("https://edmondsonsupply.com/products/klein-tools-et120-combustible-gas-leak-detector", "https://edmondsonsupply.com/products/klein-tools-et120-combustible-gas-leak-detector")</f>
        <v/>
      </c>
      <c r="C1251" t="inlineStr">
        <is>
          <t>Klein Tools ET120 Combustible Gas Leak Detector</t>
        </is>
      </c>
      <c r="D1251" t="inlineStr">
        <is>
          <t>RIDGID 36163 Model Micro CD-100 Combustible Gas Detector, Gas Leak Detector &amp; Klein Tools ET120 Gas Leak Detector, Combustible Gas Leak Tester</t>
        </is>
      </c>
      <c r="E1251" s="2">
        <f>HYPERLINK("https://www.amazon.com/RIDGID-CD-100-Combustible-Detector-Tester/dp/B0BNL9BF1T/ref=sr_1_2?keywords=Klein+Tools+ET120+Combustible+Gas+Leak+Detector&amp;qid=1694734816&amp;sr=8-2", "https://www.amazon.com/RIDGID-CD-100-Combustible-Detector-Tester/dp/B0BNL9BF1T/ref=sr_1_2?keywords=Klein+Tools+ET120+Combustible+Gas+Leak+Detector&amp;qid=1694734816&amp;sr=8-2")</f>
        <v/>
      </c>
      <c r="F1251" t="inlineStr">
        <is>
          <t>B0BNL9BF1T</t>
        </is>
      </c>
      <c r="G1251">
        <f>_xlfn.IMAGE("https://edmondsonsupply.com/cdn/shop/products/et120.jpg?v=1587149243")</f>
        <v/>
      </c>
      <c r="H1251">
        <f>_xlfn.IMAGE("https://m.media-amazon.com/images/I/41nf-no3bpL._AC_UL320_.jpg")</f>
        <v/>
      </c>
      <c r="K1251" t="inlineStr">
        <is>
          <t>119.99</t>
        </is>
      </c>
      <c r="L1251" t="n">
        <v>309.23</v>
      </c>
      <c r="M1251" s="1" t="inlineStr">
        <is>
          <t>157.71%</t>
        </is>
      </c>
      <c r="N1251" s="7" t="n">
        <v>59.02</v>
      </c>
      <c r="O1251" t="n">
        <v>4.5</v>
      </c>
      <c r="P1251" t="n">
        <v>754</v>
      </c>
      <c r="R1251" t="inlineStr">
        <is>
          <t>InStock</t>
        </is>
      </c>
      <c r="S1251" t="inlineStr">
        <is>
          <t>179.32</t>
        </is>
      </c>
      <c r="T1251" t="inlineStr">
        <is>
          <t>1828453187684</t>
        </is>
      </c>
    </row>
    <row r="1252" ht="87" customHeight="1">
      <c r="A1252" s="2">
        <f>HYPERLINK("https://edmondsonsupply.com/collections/hvac/products/yellow-jacket-yjii-vacuum-pump-5-cfm-93266", "https://edmondsonsupply.com/collections/hvac/products/yellow-jacket-yjii-vacuum-pump-5-cfm-93266")</f>
        <v/>
      </c>
      <c r="B1252" s="2">
        <f>HYPERLINK("https://edmondsonsupply.com/products/yellow-jacket-yjii-vacuum-pump-5-cfm-93266", "https://edmondsonsupply.com/products/yellow-jacket-yjii-vacuum-pump-5-cfm-93266")</f>
        <v/>
      </c>
      <c r="C1252" t="inlineStr">
        <is>
          <t>Yellow Jacket 93266 YJII™ 5 CFM Vacuum Pump</t>
        </is>
      </c>
      <c r="D1252" t="inlineStr">
        <is>
          <t>Yellow Jacket 93780 SuperEvac Plus II 1/2 hp 8 CFM Vacuum Pump, 115VAC</t>
        </is>
      </c>
      <c r="E1252" s="2">
        <f>HYPERLINK("https://www.amazon.com/Yellow-Jacket-SuperEvac-Vacuum-115VAC/dp/B095XK6GVG/ref=sr_1_3?keywords=Yellow+Jacket+93266+YJII%E2%84%A2+5+CFM+Vacuum+Pump&amp;qid=1694734612&amp;sr=8-3", "https://www.amazon.com/Yellow-Jacket-SuperEvac-Vacuum-115VAC/dp/B095XK6GVG/ref=sr_1_3?keywords=Yellow+Jacket+93266+YJII%E2%84%A2+5+CFM+Vacuum+Pump&amp;qid=1694734612&amp;sr=8-3")</f>
        <v/>
      </c>
      <c r="F1252" t="inlineStr">
        <is>
          <t>B095XK6GVG</t>
        </is>
      </c>
      <c r="G1252">
        <f>_xlfn.IMAGE("https://edmondsonsupply.com/cdn/shop/products/93266-YJII-Vacuum-Pump-484x416.jpg?v=1605058989")</f>
        <v/>
      </c>
      <c r="H1252">
        <f>_xlfn.IMAGE("https://m.media-amazon.com/images/I/510W-CASg+L._AC_UL320_.jpg")</f>
        <v/>
      </c>
      <c r="K1252" t="inlineStr">
        <is>
          <t>322.56</t>
        </is>
      </c>
      <c r="L1252" t="n">
        <v>830</v>
      </c>
      <c r="M1252" s="1" t="inlineStr">
        <is>
          <t>157.32%</t>
        </is>
      </c>
      <c r="N1252" s="7" t="n">
        <v>58.89</v>
      </c>
      <c r="O1252" t="n">
        <v>4.7</v>
      </c>
      <c r="P1252" t="n">
        <v>4</v>
      </c>
      <c r="R1252" t="inlineStr">
        <is>
          <t>InStock</t>
        </is>
      </c>
      <c r="S1252" t="inlineStr">
        <is>
          <t>undefined</t>
        </is>
      </c>
      <c r="T1252" t="inlineStr">
        <is>
          <t>3599841165412</t>
        </is>
      </c>
    </row>
    <row r="1253" ht="87" customHeight="1">
      <c r="A1253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1253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1253" t="inlineStr">
        <is>
          <t>Midwest MWT-SS6716R Special Hardness Aviation Snip - Right-Cutting</t>
        </is>
      </c>
      <c r="D1253" t="inlineStr">
        <is>
          <t>Midwest Tools and Cutlery MWT-SS6510R Snips Forged Blade Special Hardness Offset Right Aviation Snip, Cuts Stainless Steel</t>
        </is>
      </c>
      <c r="E1253" s="2">
        <f>HYPERLINK("https://www.amazon.com/Midwest-Tools-Cutlery-MWT-SS6510R-Stainless/dp/B01J7IOB64/ref=sr_1_1?keywords=Midwest+MWT-SS6716R+Special+Hardness+Aviation+Snip+-+Right-Cutting&amp;qid=1694734647&amp;sr=8-1", "https://www.amazon.com/Midwest-Tools-Cutlery-MWT-SS6510R-Stainless/dp/B01J7IOB64/ref=sr_1_1?keywords=Midwest+MWT-SS6716R+Special+Hardness+Aviation+Snip+-+Right-Cutting&amp;qid=1694734647&amp;sr=8-1")</f>
        <v/>
      </c>
      <c r="F1253" t="inlineStr">
        <is>
          <t>B01J7IOB64</t>
        </is>
      </c>
      <c r="G1253">
        <f>_xlfn.IMAGE("https://edmondsonsupply.com/cdn/shop/products/MWT-SS6716R1.jpg?v=1587146219")</f>
        <v/>
      </c>
      <c r="H1253">
        <f>_xlfn.IMAGE("https://m.media-amazon.com/images/I/61rvvPEnRIL._AC_UL320_.jpg")</f>
        <v/>
      </c>
      <c r="K1253" t="inlineStr">
        <is>
          <t>24.66</t>
        </is>
      </c>
      <c r="L1253" t="n">
        <v>63.44</v>
      </c>
      <c r="M1253" s="1" t="inlineStr">
        <is>
          <t>157.26%</t>
        </is>
      </c>
      <c r="N1253" s="7" t="n">
        <v>58.76</v>
      </c>
      <c r="O1253" t="n">
        <v>4.4</v>
      </c>
      <c r="P1253" t="n">
        <v>28</v>
      </c>
      <c r="R1253" t="inlineStr">
        <is>
          <t>InStock</t>
        </is>
      </c>
      <c r="S1253" t="inlineStr">
        <is>
          <t>36.2</t>
        </is>
      </c>
      <c r="T1253" t="inlineStr">
        <is>
          <t>4508658204772</t>
        </is>
      </c>
    </row>
    <row r="1254" ht="87" customHeight="1">
      <c r="A1254" s="2">
        <f>HYPERLINK("https://edmondsonsupply.com/collections/hvac/products/diablo-tools-dsp3050-7-8-in-x-16-in-spade-bit", "https://edmondsonsupply.com/collections/hvac/products/diablo-tools-dsp3050-7-8-in-x-16-in-spade-bit")</f>
        <v/>
      </c>
      <c r="B1254" s="2">
        <f>HYPERLINK("https://edmondsonsupply.com/products/diablo-tools-dsp3050-7-8-in-x-16-in-spade-bit", "https://edmondsonsupply.com/products/diablo-tools-dsp3050-7-8-in-x-16-in-spade-bit")</f>
        <v/>
      </c>
      <c r="C1254" t="inlineStr">
        <is>
          <t>Diablo Tools DSP3050 7/8 in. x 16 in. Spade Bit</t>
        </is>
      </c>
      <c r="D1254" t="inlineStr">
        <is>
          <t>UStoolsupply Replacement for Bosch 5 Pack of 7/8 In. x 6 In. Daredevil Spade Bits (Bulk) # DSB1011B-5PK</t>
        </is>
      </c>
      <c r="E1254" s="2">
        <f>HYPERLINK("https://www.amazon.com/UStoolsupply-Replacement-Bosch-Daredevil-DSB1011B-5PK/dp/B08V995V79/ref=sr_1_16?keywords=Diablo+Tools+DSP3050+7%2F8+in.+x+16+in.+Spade+Bit&amp;qid=1694734919&amp;sr=8-16", "https://www.amazon.com/UStoolsupply-Replacement-Bosch-Daredevil-DSB1011B-5PK/dp/B08V995V79/ref=sr_1_16?keywords=Diablo+Tools+DSP3050+7%2F8+in.+x+16+in.+Spade+Bit&amp;qid=1694734919&amp;sr=8-16")</f>
        <v/>
      </c>
      <c r="F1254" t="inlineStr">
        <is>
          <t>B08V995V79</t>
        </is>
      </c>
      <c r="G1254">
        <f>_xlfn.IMAGE("https://edmondsonsupply.com/cdn/shop/files/y2jtkhe6p1ztkurhqyvu.webp?v=1685722260")</f>
        <v/>
      </c>
      <c r="H1254">
        <f>_xlfn.IMAGE("https://m.media-amazon.com/images/I/41cUDgPws-L._AC_UL320_.jpg")</f>
        <v/>
      </c>
      <c r="K1254" t="inlineStr">
        <is>
          <t>6.99</t>
        </is>
      </c>
      <c r="L1254" t="n">
        <v>17.95</v>
      </c>
      <c r="M1254" s="1" t="inlineStr">
        <is>
          <t>156.80%</t>
        </is>
      </c>
      <c r="N1254" s="7" t="n">
        <v>58.42</v>
      </c>
      <c r="O1254" t="n">
        <v>4.1</v>
      </c>
      <c r="P1254" t="n">
        <v>10</v>
      </c>
      <c r="R1254" t="inlineStr">
        <is>
          <t>InStock</t>
        </is>
      </c>
      <c r="S1254" t="inlineStr">
        <is>
          <t>11.19</t>
        </is>
      </c>
      <c r="T1254" t="inlineStr">
        <is>
          <t>7999598330072</t>
        </is>
      </c>
    </row>
    <row r="1255" hidden="1" ht="15.75" customHeight="1">
      <c r="A1255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255" s="2">
        <f>HYPERLINK("https://edmondsonsupply.com/products/packard-pmj460-motor-start-capacitor-460-552-mfd-110-125-vac", "https://edmondsonsupply.com/products/packard-pmj460-motor-start-capacitor-460-552-mfd-110-125-vac")</f>
        <v/>
      </c>
      <c r="C1255" t="inlineStr">
        <is>
          <t>Packard PMJ460 Motor Start Capacitor 460-552 MFD 110-125 VAC</t>
        </is>
      </c>
      <c r="D1255" t="inlineStr">
        <is>
          <t>BlueStars 460-552 uf MFD 50/60 Hz 110-125 VAC Volts Round Start Capacitor - Universal Fit for Air Conditioner and Other Electric Motor Applications - Pack of 1</t>
        </is>
      </c>
      <c r="E1255" s="2">
        <f>HYPERLINK("https://www.amazon.com/BlueStars-460-552-MFD-110-125-VAC/dp/B0BDV543B9/ref=sr_1_10?keywords=Packard+PMJ460+Motor+Start+Capacitor+460-552+MFD+110-125+VAC&amp;qid=1694734651&amp;sr=8-10", "https://www.amazon.com/BlueStars-460-552-MFD-110-125-VAC/dp/B0BDV543B9/ref=sr_1_10?keywords=Packard+PMJ460+Motor+Start+Capacitor+460-552+MFD+110-125+VAC&amp;qid=1694734651&amp;sr=8-10")</f>
        <v/>
      </c>
      <c r="F1255" t="inlineStr">
        <is>
          <t>B0BDV543B9</t>
        </is>
      </c>
      <c r="G1255">
        <f>_xludf.IMAGE("https://edmondsonsupply.com/cdn/shop/products/PMJ460-2.jpg?v=1633030333")</f>
        <v/>
      </c>
      <c r="H1255">
        <f>_xludf.IMAGE("https://m.media-amazon.com/images/I/81ftnrX7HQL._AC_UY218_.jpg")</f>
        <v/>
      </c>
      <c r="K1255" t="inlineStr">
        <is>
          <t>5.06</t>
        </is>
      </c>
      <c r="L1255" t="n">
        <v>12.99</v>
      </c>
      <c r="M1255" s="1" t="inlineStr">
        <is>
          <t>156.72%</t>
        </is>
      </c>
      <c r="N1255" s="1" t="n">
        <v>58.31</v>
      </c>
      <c r="O1255" t="n">
        <v>4.4</v>
      </c>
      <c r="P1255" t="n">
        <v>7</v>
      </c>
      <c r="R1255" t="inlineStr">
        <is>
          <t>OutOfStock</t>
        </is>
      </c>
      <c r="S1255" t="inlineStr">
        <is>
          <t>undefined</t>
        </is>
      </c>
      <c r="T1255" t="inlineStr">
        <is>
          <t>5271944954024</t>
        </is>
      </c>
    </row>
    <row r="1256" hidden="1" ht="15.75" customHeight="1">
      <c r="A1256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256" s="2">
        <f>HYPERLINK("https://edmondsonsupply.com/products/packard-pmj216-motor-start-capacitor-216-259-mfd-110-125-vac", "https://edmondsonsupply.com/products/packard-pmj216-motor-start-capacitor-216-259-mfd-110-125-vac")</f>
        <v/>
      </c>
      <c r="C1256" t="inlineStr">
        <is>
          <t>Packard PMJ216 Motor Start Capacitor 216-259 MFD 110-125 VAC</t>
        </is>
      </c>
      <c r="D1256" t="inlineStr">
        <is>
          <t>PMJ216 - Packard Upgraded Replacement Motor Start Capacitor 216-259 MFD 110-125 Volt VAC</t>
        </is>
      </c>
      <c r="E1256" s="2">
        <f>HYPERLINK("https://www.amazon.com/PMJ216-Packard-Upgraded-Replacement-Capacitor/dp/B0773XR2MH/ref=sr_1_2?keywords=Packard+PMJ216+Motor+Start+Capacitor+216-259+MFD+110-125+VAC&amp;qid=1694734654&amp;sr=8-2", "https://www.amazon.com/PMJ216-Packard-Upgraded-Replacement-Capacitor/dp/B0773XR2MH/ref=sr_1_2?keywords=Packard+PMJ216+Motor+Start+Capacitor+216-259+MFD+110-125+VAC&amp;qid=1694734654&amp;sr=8-2")</f>
        <v/>
      </c>
      <c r="F1256" t="inlineStr">
        <is>
          <t>B0773XR2MH</t>
        </is>
      </c>
      <c r="G1256">
        <f>_xludf.IMAGE("https://edmondsonsupply.com/cdn/shop/products/PMJ216-2.jpg?v=1633030107")</f>
        <v/>
      </c>
      <c r="H1256">
        <f>_xludf.IMAGE("https://m.media-amazon.com/images/I/41fqQrQgJaL._AC_UY218_.jpg")</f>
        <v/>
      </c>
      <c r="K1256" t="inlineStr">
        <is>
          <t>3.63</t>
        </is>
      </c>
      <c r="L1256" t="n">
        <v>9.300000000000001</v>
      </c>
      <c r="M1256" s="1" t="inlineStr">
        <is>
          <t>156.20%</t>
        </is>
      </c>
      <c r="N1256" s="1" t="n">
        <v>58.09</v>
      </c>
      <c r="O1256" t="n">
        <v>4</v>
      </c>
      <c r="P1256" t="n">
        <v>10</v>
      </c>
      <c r="R1256" t="inlineStr">
        <is>
          <t>InStock</t>
        </is>
      </c>
      <c r="S1256" t="inlineStr">
        <is>
          <t>undefined</t>
        </is>
      </c>
      <c r="T1256" t="inlineStr">
        <is>
          <t>3600549642340</t>
        </is>
      </c>
    </row>
    <row r="1257" hidden="1" ht="15.75" customHeight="1">
      <c r="A1257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1257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1257" t="inlineStr">
        <is>
          <t>Holyoke Fittings 1055-12FPFH 3/4" Garden Hose Thread Fitting - Brass Nut Female to Female Pipe Swivel Adapter</t>
        </is>
      </c>
      <c r="D1257" t="inlineStr">
        <is>
          <t>Litorange (2 Pack) Lead-free Brass Garden Hose to Pipe NPT Fitting Connect, Green Thumb Quick Swivel Connector Adapter,Double Male Thread Size GHT 3/4" x 3/4 NPT Male Inch or 1/2" NPT Female</t>
        </is>
      </c>
      <c r="E1257" s="2">
        <f>HYPERLINK("https://www.amazon.com/Litorange-Industrial-Fitting-Connect-Connector/dp/B07GCLGQWL/ref=sr_1_25?keywords=Holyoke+Fittings+1055-12FPFH+3%2F4%22+Garden+Hose+Thread+Fitting+-+Brass+Nut+Female+to+Female+Pipe+Swivel+Adapter&amp;qid=1694734917&amp;sr=8-25", "https://www.amazon.com/Litorange-Industrial-Fitting-Connect-Connector/dp/B07GCLGQWL/ref=sr_1_25?keywords=Holyoke+Fittings+1055-12FPFH+3%2F4%22+Garden+Hose+Thread+Fitting+-+Brass+Nut+Female+to+Female+Pipe+Swivel+Adapter&amp;qid=1694734917&amp;sr=8-25")</f>
        <v/>
      </c>
      <c r="F1257" t="inlineStr">
        <is>
          <t>B07GCLGQWL</t>
        </is>
      </c>
      <c r="G1257">
        <f>_xludf.IMAGE("https://edmondsonsupply.com/cdn/shop/files/1055-12FPFH_1.jpg?v=1686089478")</f>
        <v/>
      </c>
      <c r="H1257">
        <f>_xludf.IMAGE("https://m.media-amazon.com/images/I/61n9ibW+tnL._AC_UL320_.jpg")</f>
        <v/>
      </c>
      <c r="K1257" t="inlineStr">
        <is>
          <t>4.29</t>
        </is>
      </c>
      <c r="L1257" t="n">
        <v>10.99</v>
      </c>
      <c r="M1257" s="1" t="inlineStr">
        <is>
          <t>156.18%</t>
        </is>
      </c>
      <c r="N1257" s="1" t="n">
        <v>58.05</v>
      </c>
      <c r="O1257" t="n">
        <v>4.5</v>
      </c>
      <c r="P1257" t="n">
        <v>265</v>
      </c>
      <c r="R1257" t="inlineStr">
        <is>
          <t>InStock</t>
        </is>
      </c>
      <c r="S1257" t="inlineStr">
        <is>
          <t>5.81</t>
        </is>
      </c>
      <c r="T1257" t="inlineStr">
        <is>
          <t>8002208432344</t>
        </is>
      </c>
    </row>
    <row r="1258" hidden="1" ht="15.75" customHeight="1">
      <c r="A1258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1258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1258" t="inlineStr">
        <is>
          <t>Holyoke Fittings 1055-12FPFH 3/4" Garden Hose Thread Fitting - Brass Nut Female to Female Pipe Swivel Adapter</t>
        </is>
      </c>
      <c r="D1258" t="inlineStr">
        <is>
          <t>Minimprover 2PCS Brass Hex Swivel 1/4" NPT to 3/4 inch Female GHT Garden Hose Thread Connector Adapter,Garden Hose Pipe Fitting For Fuel/AIR/Water/Oil/Gas WOG</t>
        </is>
      </c>
      <c r="E1258" s="2">
        <f>HYPERLINK("https://www.amazon.com/Minimprover-Swivel-Connector-Adapter-Fitting/dp/B08ML1MZNC/ref=sr_1_4?keywords=Holyoke+Fittings+1055-12FPFH+3%2F4%22+Garden+Hose+Thread+Fitting+-+Brass+Nut+Female+to+Female+Pipe+Swivel+Adapter&amp;qid=1694734917&amp;sr=8-4", "https://www.amazon.com/Minimprover-Swivel-Connector-Adapter-Fitting/dp/B08ML1MZNC/ref=sr_1_4?keywords=Holyoke+Fittings+1055-12FPFH+3%2F4%22+Garden+Hose+Thread+Fitting+-+Brass+Nut+Female+to+Female+Pipe+Swivel+Adapter&amp;qid=1694734917&amp;sr=8-4")</f>
        <v/>
      </c>
      <c r="F1258" t="inlineStr">
        <is>
          <t>B08ML1MZNC</t>
        </is>
      </c>
      <c r="G1258">
        <f>_xludf.IMAGE("https://edmondsonsupply.com/cdn/shop/files/1055-12FPFH_1.jpg?v=1686089478")</f>
        <v/>
      </c>
      <c r="H1258">
        <f>_xludf.IMAGE("https://m.media-amazon.com/images/I/612jDEqxCNL._AC_UL320_.jpg")</f>
        <v/>
      </c>
      <c r="K1258" t="inlineStr">
        <is>
          <t>4.29</t>
        </is>
      </c>
      <c r="L1258" t="n">
        <v>10.99</v>
      </c>
      <c r="M1258" s="1" t="inlineStr">
        <is>
          <t>156.18%</t>
        </is>
      </c>
      <c r="N1258" s="1" t="n">
        <v>57.85</v>
      </c>
      <c r="O1258" t="n">
        <v>4.7</v>
      </c>
      <c r="P1258" t="n">
        <v>263</v>
      </c>
      <c r="R1258" t="inlineStr">
        <is>
          <t>InStock</t>
        </is>
      </c>
      <c r="S1258" t="inlineStr">
        <is>
          <t>5.81</t>
        </is>
      </c>
      <c r="T1258" t="inlineStr">
        <is>
          <t>8002208432344</t>
        </is>
      </c>
    </row>
    <row r="1259" ht="87" customHeight="1">
      <c r="A1259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1259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1259" t="inlineStr">
        <is>
          <t>Midwest MWT-SS6716R Special Hardness Aviation Snip - Right-Cutting</t>
        </is>
      </c>
      <c r="D1259" t="inlineStr">
        <is>
          <t>MIDWEST Aviation Snip Set - Left and Right Cut Offset Tin Cutting Shears with Forged Blade &amp; KUSH'N-POWER Comfort Grips - MWT-6510C</t>
        </is>
      </c>
      <c r="E1259" s="2">
        <f>HYPERLINK("https://www.amazon.com/MIDWEST-Aviation-Snip-Set-KUSHN-POWER/dp/B00OCGQG3S/ref=sr_1_7?keywords=Midwest+MWT-SS6716R+Special+Hardness+Aviation+Snip+-+Right-Cutting&amp;qid=1694734647&amp;sr=8-7", "https://www.amazon.com/MIDWEST-Aviation-Snip-Set-KUSHN-POWER/dp/B00OCGQG3S/ref=sr_1_7?keywords=Midwest+MWT-SS6716R+Special+Hardness+Aviation+Snip+-+Right-Cutting&amp;qid=1694734647&amp;sr=8-7")</f>
        <v/>
      </c>
      <c r="F1259" t="inlineStr">
        <is>
          <t>B00OCGQG3S</t>
        </is>
      </c>
      <c r="G1259">
        <f>_xlfn.IMAGE("https://edmondsonsupply.com/cdn/shop/products/MWT-SS6716R1.jpg?v=1587146219")</f>
        <v/>
      </c>
      <c r="H1259">
        <f>_xlfn.IMAGE("https://m.media-amazon.com/images/I/71J9tcnJ-SL._AC_UL320_.jpg")</f>
        <v/>
      </c>
      <c r="K1259" t="inlineStr">
        <is>
          <t>24.66</t>
        </is>
      </c>
      <c r="L1259" t="n">
        <v>63.17</v>
      </c>
      <c r="M1259" s="1" t="inlineStr">
        <is>
          <t>156.16%</t>
        </is>
      </c>
      <c r="N1259" s="7" t="n">
        <v>57.16</v>
      </c>
      <c r="O1259" t="n">
        <v>4.7</v>
      </c>
      <c r="P1259" t="n">
        <v>5991</v>
      </c>
      <c r="R1259" t="inlineStr">
        <is>
          <t>InStock</t>
        </is>
      </c>
      <c r="S1259" t="inlineStr">
        <is>
          <t>36.2</t>
        </is>
      </c>
      <c r="T1259" t="inlineStr">
        <is>
          <t>4508658204772</t>
        </is>
      </c>
    </row>
    <row r="1260" hidden="1" ht="15.75" customHeight="1">
      <c r="A1260" s="2">
        <f>HYPERLINK("https://edmondsonsupply.com/collections/hvac/products/packard-titan-pro-toc15-motor-run-capacitor-15-mfd-370-volt-oval", "https://edmondsonsupply.com/collections/hvac/products/packard-titan-pro-toc15-motor-run-capacitor-15-mfd-370-volt-oval")</f>
        <v/>
      </c>
      <c r="B1260" s="2">
        <f>HYPERLINK("https://edmondsonsupply.com/products/packard-titan-pro-toc15-motor-run-capacitor-15-mfd-370-volt-oval", "https://edmondsonsupply.com/products/packard-titan-pro-toc15-motor-run-capacitor-15-mfd-370-volt-oval")</f>
        <v/>
      </c>
      <c r="C1260" t="inlineStr">
        <is>
          <t>Packard Titan PRO TOC15 Motor Run Capacitor 15 MFD 370 Volt Oval</t>
        </is>
      </c>
      <c r="D1260" t="inlineStr">
        <is>
          <t>Packard Titan Pro Motor Run Capacitor Oval Toc15</t>
        </is>
      </c>
      <c r="E1260" s="2">
        <f>HYPERLINK("https://www.amazon.com/Packard-Titan-Motor-Capacitor-Toc15/dp/B082MPZFNL/ref=sr_1_2?keywords=Packard+Titan+PRO+TOC15+Motor+Run+Capacitor+15+MFD+370+Volt+Oval&amp;qid=1694734633&amp;sr=8-2", "https://www.amazon.com/Packard-Titan-Motor-Capacitor-Toc15/dp/B082MPZFNL/ref=sr_1_2?keywords=Packard+Titan+PRO+TOC15+Motor+Run+Capacitor+15+MFD+370+Volt+Oval&amp;qid=1694734633&amp;sr=8-2")</f>
        <v/>
      </c>
      <c r="F1260" t="inlineStr">
        <is>
          <t>B082MPZFNL</t>
        </is>
      </c>
      <c r="G1260">
        <f>_xludf.IMAGE("https://edmondsonsupply.com/cdn/shop/products/TOC15-2.jpg?v=1633030141")</f>
        <v/>
      </c>
      <c r="H1260">
        <f>_xludf.IMAGE("https://m.media-amazon.com/images/I/31Qs7FCPXhL._AC_UY218_.jpg")</f>
        <v/>
      </c>
      <c r="K1260" t="inlineStr">
        <is>
          <t>3.37</t>
        </is>
      </c>
      <c r="L1260" t="n">
        <v>8.630000000000001</v>
      </c>
      <c r="M1260" s="1" t="inlineStr">
        <is>
          <t>156.08%</t>
        </is>
      </c>
      <c r="N1260" s="1" t="n">
        <v>56.74</v>
      </c>
      <c r="O1260" t="n">
        <v>3.3</v>
      </c>
      <c r="P1260" t="n">
        <v>4</v>
      </c>
      <c r="R1260" t="inlineStr">
        <is>
          <t>InStock</t>
        </is>
      </c>
      <c r="S1260" t="inlineStr">
        <is>
          <t>undefined</t>
        </is>
      </c>
      <c r="T1260" t="inlineStr">
        <is>
          <t>3726734131300</t>
        </is>
      </c>
    </row>
    <row r="1261" ht="87" customHeight="1">
      <c r="A1261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261" s="2">
        <f>HYPERLINK("https://edmondsonsupply.com/products/nu-calgon-44171-75-evap-foam-no-rinse-aerosol-coil-cleaner", "https://edmondsonsupply.com/products/nu-calgon-44171-75-evap-foam-no-rinse-aerosol-coil-cleaner")</f>
        <v/>
      </c>
      <c r="C1261" t="inlineStr">
        <is>
          <t>Nu-Calgon 4171-75 Evap Foam No Rinse, Aerosol Coil Cleaner (18 oz. can)</t>
        </is>
      </c>
      <c r="D1261" t="inlineStr">
        <is>
          <t>Nu-Calgon 4171-75 Evap Foam No Rinse Evaporator Coil Cleaner, 18 oz. (Pack of 2)</t>
        </is>
      </c>
      <c r="E1261" s="2">
        <f>HYPERLINK("https://www.amazon.com/Nu-Calgon-4171-75-Rinse-Evaporator-Cleaner/dp/B07TT1JMR2/ref=sr_1_13?keywords=Nu-Calgon+4171-75+Evap+Foam+No+Rinse%2C+Aerosol+Coil+Cleaner+%2818+oz.+can%29&amp;qid=1694734591&amp;sr=8-13", "https://www.amazon.com/Nu-Calgon-4171-75-Rinse-Evaporator-Cleaner/dp/B07TT1JMR2/ref=sr_1_13?keywords=Nu-Calgon+4171-75+Evap+Foam+No+Rinse%2C+Aerosol+Coil+Cleaner+%2818+oz.+can%29&amp;qid=1694734591&amp;sr=8-13")</f>
        <v/>
      </c>
      <c r="F1261" t="inlineStr">
        <is>
          <t>B07TT1JMR2</t>
        </is>
      </c>
      <c r="G1261">
        <f>_xlfn.IMAGE("https://edmondsonsupply.com/cdn/shop/products/4171-75.jpg?v=1659099515")</f>
        <v/>
      </c>
      <c r="H1261">
        <f>_xlfn.IMAGE("https://m.media-amazon.com/images/I/71b8ecuFl0L._AC_UL320_.jpg")</f>
        <v/>
      </c>
      <c r="K1261" t="inlineStr">
        <is>
          <t>11.75</t>
        </is>
      </c>
      <c r="L1261" t="n">
        <v>29.99</v>
      </c>
      <c r="M1261" s="1" t="inlineStr">
        <is>
          <t>155.23%</t>
        </is>
      </c>
      <c r="N1261" s="7" t="n">
        <v>56.74</v>
      </c>
      <c r="O1261" t="n">
        <v>4.6</v>
      </c>
      <c r="P1261" t="n">
        <v>446</v>
      </c>
      <c r="R1261" t="inlineStr">
        <is>
          <t>InStock</t>
        </is>
      </c>
      <c r="S1261" t="inlineStr">
        <is>
          <t>17.7</t>
        </is>
      </c>
      <c r="T1261" t="inlineStr">
        <is>
          <t>7766316646616</t>
        </is>
      </c>
    </row>
    <row r="1262" ht="87" customHeight="1">
      <c r="A1262" s="2">
        <f>HYPERLINK("https://edmondsonsupply.com/collections/hvac/products/midwest-mwt-6510r-right-offset-aviation-snip", "https://edmondsonsupply.com/collections/hvac/products/midwest-mwt-6510r-right-offset-aviation-snip")</f>
        <v/>
      </c>
      <c r="B1262" s="2">
        <f>HYPERLINK("https://edmondsonsupply.com/products/midwest-mwt-6510r-right-offset-aviation-snip", "https://edmondsonsupply.com/products/midwest-mwt-6510r-right-offset-aviation-snip")</f>
        <v/>
      </c>
      <c r="C1262" t="inlineStr">
        <is>
          <t>Midwest MWT-6510R Right Offset Aviation Snip</t>
        </is>
      </c>
      <c r="D1262" t="inlineStr">
        <is>
          <t>Midwest Tools and Cutlery MWT-SS6510R Snips Forged Blade Special Hardness Offset Right Aviation Snip, Cuts Stainless Steel</t>
        </is>
      </c>
      <c r="E1262" s="2">
        <f>HYPERLINK("https://www.amazon.com/Midwest-Tools-Cutlery-MWT-SS6510R-Stainless/dp/B01J7IOB64/ref=sr_1_3?keywords=Midwest+MWT-6510R+Right+Offset+Aviation+Snip&amp;qid=1694734735&amp;sr=8-3", "https://www.amazon.com/Midwest-Tools-Cutlery-MWT-SS6510R-Stainless/dp/B01J7IOB64/ref=sr_1_3?keywords=Midwest+MWT-6510R+Right+Offset+Aviation+Snip&amp;qid=1694734735&amp;sr=8-3")</f>
        <v/>
      </c>
      <c r="F1262" t="inlineStr">
        <is>
          <t>B01J7IOB64</t>
        </is>
      </c>
      <c r="G1262">
        <f>_xlfn.IMAGE("https://edmondsonsupply.com/cdn/shop/products/MWT-6510R.png?v=1587144877")</f>
        <v/>
      </c>
      <c r="H1262">
        <f>_xlfn.IMAGE("https://m.media-amazon.com/images/I/61rvvPEnRIL._AC_UL320_.jpg")</f>
        <v/>
      </c>
      <c r="I1262" t="n">
        <v>0</v>
      </c>
      <c r="J1262" t="inlineStr">
        <is>
          <t>found the exact sku in the same page but has low sales</t>
        </is>
      </c>
      <c r="K1262" t="inlineStr">
        <is>
          <t>24.89</t>
        </is>
      </c>
      <c r="L1262" t="n">
        <v>63.44</v>
      </c>
      <c r="M1262" s="1" t="inlineStr">
        <is>
          <t>154.88%</t>
        </is>
      </c>
      <c r="N1262" s="7" t="n">
        <v>56.36</v>
      </c>
      <c r="O1262" t="n">
        <v>4.4</v>
      </c>
      <c r="P1262" t="n">
        <v>28</v>
      </c>
      <c r="R1262" t="inlineStr">
        <is>
          <t>InStock</t>
        </is>
      </c>
      <c r="S1262" t="inlineStr">
        <is>
          <t>33.49</t>
        </is>
      </c>
      <c r="T1262" t="inlineStr">
        <is>
          <t>4414962597988</t>
        </is>
      </c>
    </row>
    <row r="1263" ht="87" customHeight="1">
      <c r="A1263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263" s="2">
        <f>HYPERLINK("https://edmondsonsupply.com/products/packard-pmj590-motor-start-capacitor-590-708-mfd-110-125-volt", "https://edmondsonsupply.com/products/packard-pmj590-motor-start-capacitor-590-708-mfd-110-125-volt")</f>
        <v/>
      </c>
      <c r="C1263" t="inlineStr">
        <is>
          <t>Packard PMJ590 Motor Start Capacitor 590-708 MFD 110-125 Volt</t>
        </is>
      </c>
      <c r="D1263" t="inlineStr">
        <is>
          <t>PMJ590 - Packard Upgraded Replacement Motor Start Capacitor 590-708 MFD 110-125 Volt VAC</t>
        </is>
      </c>
      <c r="E1263" s="2">
        <f>HYPERLINK("https://www.amazon.com/PMJ590-Packard-Upgraded-Replacement-Capacitor/dp/B0773WXTQP/ref=sr_1_2?keywords=Packard+PMJ590+Motor+Start+Capacitor+590-708+MFD+110-125+Volt&amp;qid=1694734721&amp;sr=8-2", "https://www.amazon.com/PMJ590-Packard-Upgraded-Replacement-Capacitor/dp/B0773WXTQP/ref=sr_1_2?keywords=Packard+PMJ590+Motor+Start+Capacitor+590-708+MFD+110-125+Volt&amp;qid=1694734721&amp;sr=8-2")</f>
        <v/>
      </c>
      <c r="F1263" t="inlineStr">
        <is>
          <t>B0773WXTQP</t>
        </is>
      </c>
      <c r="G1263">
        <f>_xlfn.IMAGE("https://edmondsonsupply.com/cdn/shop/products/PMJ590-2.jpg?v=1633030307")</f>
        <v/>
      </c>
      <c r="H1263">
        <f>_xlfn.IMAGE("https://m.media-amazon.com/images/I/41fqQrQgJaL._AC_UY218_.jpg")</f>
        <v/>
      </c>
      <c r="K1263" t="inlineStr">
        <is>
          <t>6.18</t>
        </is>
      </c>
      <c r="L1263" t="n">
        <v>15.74</v>
      </c>
      <c r="M1263" s="1" t="inlineStr">
        <is>
          <t>154.69%</t>
        </is>
      </c>
      <c r="N1263" s="7" t="n">
        <v>56.02</v>
      </c>
      <c r="O1263" t="n">
        <v>4.1</v>
      </c>
      <c r="P1263" t="n">
        <v>8</v>
      </c>
      <c r="R1263" t="inlineStr">
        <is>
          <t>InStock</t>
        </is>
      </c>
      <c r="S1263" t="inlineStr">
        <is>
          <t>undefined</t>
        </is>
      </c>
      <c r="T1263" t="inlineStr">
        <is>
          <t>5241729712296</t>
        </is>
      </c>
    </row>
    <row r="1264" ht="87" customHeight="1">
      <c r="A1264" s="2">
        <f>HYPERLINK("https://edmondsonsupply.com/collections/hvac/products/midwest-mwt-6510r-right-offset-aviation-snip", "https://edmondsonsupply.com/collections/hvac/products/midwest-mwt-6510r-right-offset-aviation-snip")</f>
        <v/>
      </c>
      <c r="B1264" s="2">
        <f>HYPERLINK("https://edmondsonsupply.com/products/midwest-mwt-6510r-right-offset-aviation-snip", "https://edmondsonsupply.com/products/midwest-mwt-6510r-right-offset-aviation-snip")</f>
        <v/>
      </c>
      <c r="C1264" t="inlineStr">
        <is>
          <t>Midwest MWT-6510R Right Offset Aviation Snip</t>
        </is>
      </c>
      <c r="D1264" t="inlineStr">
        <is>
          <t>MIDWEST Aviation Snip Set - Left and Right Cut Offset Tin Cutting Shears with Forged Blade &amp; KUSH'N-POWER Comfort Grips - MWT-6510C</t>
        </is>
      </c>
      <c r="E1264" s="2">
        <f>HYPERLINK("https://www.amazon.com/MIDWEST-Aviation-Snip-Set-KUSHN-POWER/dp/B00OCGQG3S/ref=sr_1_2?keywords=Midwest+MWT-6510R+Right+Offset+Aviation+Snip&amp;qid=1694734735&amp;sr=8-2", "https://www.amazon.com/MIDWEST-Aviation-Snip-Set-KUSHN-POWER/dp/B00OCGQG3S/ref=sr_1_2?keywords=Midwest+MWT-6510R+Right+Offset+Aviation+Snip&amp;qid=1694734735&amp;sr=8-2")</f>
        <v/>
      </c>
      <c r="F1264" t="inlineStr">
        <is>
          <t>B00OCGQG3S</t>
        </is>
      </c>
      <c r="G1264">
        <f>_xlfn.IMAGE("https://edmondsonsupply.com/cdn/shop/products/MWT-6510R.png?v=1587144877")</f>
        <v/>
      </c>
      <c r="H1264">
        <f>_xlfn.IMAGE("https://m.media-amazon.com/images/I/71J9tcnJ-SL._AC_UL320_.jpg")</f>
        <v/>
      </c>
      <c r="K1264" t="inlineStr">
        <is>
          <t>24.89</t>
        </is>
      </c>
      <c r="L1264" t="n">
        <v>63.17</v>
      </c>
      <c r="M1264" s="1" t="inlineStr">
        <is>
          <t>153.80%</t>
        </is>
      </c>
      <c r="N1264" s="7" t="n">
        <v>55.37</v>
      </c>
      <c r="O1264" t="n">
        <v>4.7</v>
      </c>
      <c r="P1264" t="n">
        <v>5991</v>
      </c>
      <c r="R1264" t="inlineStr">
        <is>
          <t>InStock</t>
        </is>
      </c>
      <c r="S1264" t="inlineStr">
        <is>
          <t>33.49</t>
        </is>
      </c>
      <c r="T1264" t="inlineStr">
        <is>
          <t>4414962597988</t>
        </is>
      </c>
    </row>
    <row r="1265" ht="87" customHeight="1">
      <c r="A1265" s="2">
        <f>HYPERLINK("https://edmondsonsupply.com/collections/hvac/products/yellow-jacket-60632-3-8-ratchet-head-accessory", "https://edmondsonsupply.com/collections/hvac/products/yellow-jacket-60632-3-8-ratchet-head-accessory")</f>
        <v/>
      </c>
      <c r="B1265" s="2">
        <f>HYPERLINK("https://edmondsonsupply.com/products/yellow-jacket-60632-3-8-ratchet-head-accessory", "https://edmondsonsupply.com/products/yellow-jacket-60632-3-8-ratchet-head-accessory")</f>
        <v/>
      </c>
      <c r="C1265" t="inlineStr">
        <is>
          <t>Yellow Jacket 60632 3/8” Ratchet Head Accessory</t>
        </is>
      </c>
      <c r="D1265" t="inlineStr">
        <is>
          <t>Yellow Jacket 60632 3/8 Drive Ratchet Head for Torque Wrench</t>
        </is>
      </c>
      <c r="E1265" s="2">
        <f>HYPERLINK("https://www.amazon.com/Yellow-Jacket-Ratchet-Torque-Wrench/dp/B07QRRW83T/ref=sr_1_1?keywords=Yellow+Jacket+60632+3%2F8%E2%80%9D+Ratchet+Head+Accessory&amp;qid=1694734608&amp;sr=8-1", "https://www.amazon.com/Yellow-Jacket-Ratchet-Torque-Wrench/dp/B07QRRW83T/ref=sr_1_1?keywords=Yellow+Jacket+60632+3%2F8%E2%80%9D+Ratchet+Head+Accessory&amp;qid=1694734608&amp;sr=8-1")</f>
        <v/>
      </c>
      <c r="F1265" t="inlineStr">
        <is>
          <t>B07QRRW83T</t>
        </is>
      </c>
      <c r="G1265">
        <f>_xlfn.IMAGE("https://edmondsonsupply.com/cdn/shop/products/60632.jpg?v=1661459213")</f>
        <v/>
      </c>
      <c r="H1265">
        <f>_xlfn.IMAGE("https://m.media-amazon.com/images/I/61WOLzYuMCL._AC_UL320_.jpg")</f>
        <v/>
      </c>
      <c r="I1265" t="n">
        <v>0</v>
      </c>
      <c r="J1265" t="inlineStr">
        <is>
          <t>low sales ($24.87 in checkout)</t>
        </is>
      </c>
      <c r="K1265" t="inlineStr">
        <is>
          <t>26.17</t>
        </is>
      </c>
      <c r="L1265" t="n">
        <v>66.29000000000001</v>
      </c>
      <c r="M1265" s="1" t="inlineStr">
        <is>
          <t>153.31%</t>
        </is>
      </c>
      <c r="N1265" s="7" t="n">
        <v>55.37</v>
      </c>
      <c r="O1265" t="n">
        <v>4.6</v>
      </c>
      <c r="P1265" t="n">
        <v>55</v>
      </c>
      <c r="R1265" t="inlineStr">
        <is>
          <t>InStock</t>
        </is>
      </c>
      <c r="S1265" t="inlineStr">
        <is>
          <t>undefined</t>
        </is>
      </c>
      <c r="T1265" t="inlineStr">
        <is>
          <t>7794350915800</t>
        </is>
      </c>
    </row>
    <row r="1266" hidden="1" ht="15.75" customHeight="1">
      <c r="A1266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266" s="2">
        <f>HYPERLINK("https://edmondsonsupply.com/products/packard-pmj460-motor-start-capacitor-460-552-mfd-110-125-vac", "https://edmondsonsupply.com/products/packard-pmj460-motor-start-capacitor-460-552-mfd-110-125-vac")</f>
        <v/>
      </c>
      <c r="C1266" t="inlineStr">
        <is>
          <t>Packard PMJ460 Motor Start Capacitor 460-552 MFD 110-125 VAC</t>
        </is>
      </c>
      <c r="D1266" t="inlineStr">
        <is>
          <t>11025 - Mars OEM Replacement Motor Start Capacitor 110-125 Volt 460-552 MFD</t>
        </is>
      </c>
      <c r="E1266" s="2">
        <f>HYPERLINK("https://www.amazon.com/11025-Replacement-Capacitor-110-125-460-552/dp/B00IWV2CSW/ref=sr_1_14?keywords=Packard+PMJ460+Motor+Start+Capacitor+460-552+MFD+110-125+VAC&amp;qid=1694734651&amp;sr=8-14", "https://www.amazon.com/11025-Replacement-Capacitor-110-125-460-552/dp/B00IWV2CSW/ref=sr_1_14?keywords=Packard+PMJ460+Motor+Start+Capacitor+460-552+MFD+110-125+VAC&amp;qid=1694734651&amp;sr=8-14")</f>
        <v/>
      </c>
      <c r="F1266" t="inlineStr">
        <is>
          <t>B00IWV2CSW</t>
        </is>
      </c>
      <c r="G1266">
        <f>_xludf.IMAGE("https://edmondsonsupply.com/cdn/shop/products/PMJ460-2.jpg?v=1633030333")</f>
        <v/>
      </c>
      <c r="H1266">
        <f>_xludf.IMAGE("https://m.media-amazon.com/images/I/51R1owxQvqL._AC_UY218_.jpg")</f>
        <v/>
      </c>
      <c r="K1266" t="inlineStr">
        <is>
          <t>5.06</t>
        </is>
      </c>
      <c r="L1266" t="n">
        <v>12.8</v>
      </c>
      <c r="M1266" s="1" t="inlineStr">
        <is>
          <t>152.96%</t>
        </is>
      </c>
      <c r="N1266" s="1" t="n">
        <v>55.32</v>
      </c>
      <c r="O1266" t="n">
        <v>2.5</v>
      </c>
      <c r="P1266" t="n">
        <v>2</v>
      </c>
      <c r="R1266" t="inlineStr">
        <is>
          <t>OutOfStock</t>
        </is>
      </c>
      <c r="S1266" t="inlineStr">
        <is>
          <t>undefined</t>
        </is>
      </c>
      <c r="T1266" t="inlineStr">
        <is>
          <t>5271944954024</t>
        </is>
      </c>
    </row>
    <row r="1267" ht="87" customHeight="1">
      <c r="A1267" s="2">
        <f>HYPERLINK("https://edmondsonsupply.com/collections/hvac/products/appion-mgavcr-5-16in-valve-core-removal-tool", "https://edmondsonsupply.com/collections/hvac/products/appion-mgavcr-5-16in-valve-core-removal-tool")</f>
        <v/>
      </c>
      <c r="B1267" s="2">
        <f>HYPERLINK("https://edmondsonsupply.com/products/appion-mgavcr-5-16in-valve-core-removal-tool", "https://edmondsonsupply.com/products/appion-mgavcr-5-16in-valve-core-removal-tool")</f>
        <v/>
      </c>
      <c r="C1267" t="inlineStr">
        <is>
          <t>Appion MGAVCR 5/16in Valve Core Removal Tool</t>
        </is>
      </c>
      <c r="D1267" t="inlineStr">
        <is>
          <t>Appion MGAVCR Mega Flow Vacuum Rated Valve Core Removal Tool – 5/16" System Connection (2-(Pack))</t>
        </is>
      </c>
      <c r="E1267" s="2">
        <f>HYPERLINK("https://www.amazon.com/Appion-MGAVCR-Vacuum-Rated-Removal/dp/B07L9H16Z7/ref=sr_1_2?keywords=Appion+MGAVCR+5%2F16in+Valve+Core+Removal+Tool&amp;qid=1694734653&amp;sr=8-2", "https://www.amazon.com/Appion-MGAVCR-Vacuum-Rated-Removal/dp/B07L9H16Z7/ref=sr_1_2?keywords=Appion+MGAVCR+5%2F16in+Valve+Core+Removal+Tool&amp;qid=1694734653&amp;sr=8-2")</f>
        <v/>
      </c>
      <c r="F1267" t="inlineStr">
        <is>
          <t>B07L9H16Z7</t>
        </is>
      </c>
      <c r="G1267">
        <f>_xlfn.IMAGE("https://edmondsonsupply.com/cdn/shop/products/MGAVCR_1080.png?v=1678239697")</f>
        <v/>
      </c>
      <c r="H1267">
        <f>_xlfn.IMAGE("https://m.media-amazon.com/images/I/31uRhQn4PFL._AC_UL320_.jpg")</f>
        <v/>
      </c>
      <c r="K1267" t="inlineStr">
        <is>
          <t>69.99</t>
        </is>
      </c>
      <c r="L1267" t="n">
        <v>176.54</v>
      </c>
      <c r="M1267" s="1" t="inlineStr">
        <is>
          <t>152.24%</t>
        </is>
      </c>
      <c r="N1267" s="7" t="n">
        <v>55.17</v>
      </c>
      <c r="O1267" t="n">
        <v>5</v>
      </c>
      <c r="P1267" t="n">
        <v>24</v>
      </c>
      <c r="R1267" t="inlineStr">
        <is>
          <t>InStock</t>
        </is>
      </c>
      <c r="S1267" t="inlineStr">
        <is>
          <t>89.99</t>
        </is>
      </c>
      <c r="T1267" t="inlineStr">
        <is>
          <t>7957758673112</t>
        </is>
      </c>
    </row>
    <row r="1268" ht="87" customHeight="1">
      <c r="A1268" s="2">
        <f>HYPERLINK("https://edmondsonsupply.com/collections/hvac/products/appion-mgavct-1-4in-valve-core-removal-tool", "https://edmondsonsupply.com/collections/hvac/products/appion-mgavct-1-4in-valve-core-removal-tool")</f>
        <v/>
      </c>
      <c r="B1268" s="2">
        <f>HYPERLINK("https://edmondsonsupply.com/products/appion-mgavct-1-4in-valve-core-removal-tool", "https://edmondsonsupply.com/products/appion-mgavct-1-4in-valve-core-removal-tool")</f>
        <v/>
      </c>
      <c r="C1268" t="inlineStr">
        <is>
          <t>Appion MGAVCT 1/4in Valve Core Removal Tool</t>
        </is>
      </c>
      <c r="D1268" t="inlineStr">
        <is>
          <t>Appion MGAVCR Mega Flow Vacuum Rated Valve Core Removal Tool – 5/16" System Connection (2-(Pack))</t>
        </is>
      </c>
      <c r="E1268" s="2">
        <f>HYPERLINK("https://www.amazon.com/Appion-MGAVCR-Vacuum-Rated-Removal/dp/B07L9H16Z7/ref=sr_1_5?keywords=Appion+MGAVCT+1%2F4in+Valve+Core+Removal+Tool&amp;qid=1694734577&amp;sr=8-5", "https://www.amazon.com/Appion-MGAVCR-Vacuum-Rated-Removal/dp/B07L9H16Z7/ref=sr_1_5?keywords=Appion+MGAVCT+1%2F4in+Valve+Core+Removal+Tool&amp;qid=1694734577&amp;sr=8-5")</f>
        <v/>
      </c>
      <c r="F1268" t="inlineStr">
        <is>
          <t>B07L9H16Z7</t>
        </is>
      </c>
      <c r="G1268">
        <f>_xlfn.IMAGE("https://edmondsonsupply.com/cdn/shop/products/MGAVCT_1080.png?v=1678240814")</f>
        <v/>
      </c>
      <c r="H1268">
        <f>_xlfn.IMAGE("https://m.media-amazon.com/images/I/31uRhQn4PFL._AC_UL320_.jpg")</f>
        <v/>
      </c>
      <c r="K1268" t="inlineStr">
        <is>
          <t>69.99</t>
        </is>
      </c>
      <c r="L1268" t="n">
        <v>176.54</v>
      </c>
      <c r="M1268" s="1" t="inlineStr">
        <is>
          <t>152.24%</t>
        </is>
      </c>
      <c r="N1268" s="7" t="n">
        <v>55.1</v>
      </c>
      <c r="O1268" t="n">
        <v>5</v>
      </c>
      <c r="P1268" t="n">
        <v>24</v>
      </c>
      <c r="R1268" t="inlineStr">
        <is>
          <t>InStock</t>
        </is>
      </c>
      <c r="S1268" t="inlineStr">
        <is>
          <t>89.99</t>
        </is>
      </c>
      <c r="T1268" t="inlineStr">
        <is>
          <t>7957780267224</t>
        </is>
      </c>
    </row>
    <row r="1269" ht="87" customHeight="1">
      <c r="A1269" s="2">
        <f>HYPERLINK("https://edmondsonsupply.com/collections/hvac/products/nu-calgon-4185-15-condensate-pan-gel-tabs-15-ton", "https://edmondsonsupply.com/collections/hvac/products/nu-calgon-4185-15-condensate-pan-gel-tabs-15-ton")</f>
        <v/>
      </c>
      <c r="B1269" s="2">
        <f>HYPERLINK("https://edmondsonsupply.com/products/nu-calgon-4185-15-condensate-pan-gel-tabs-15-ton", "https://edmondsonsupply.com/products/nu-calgon-4185-15-condensate-pan-gel-tabs-15-ton")</f>
        <v/>
      </c>
      <c r="C1269" t="inlineStr">
        <is>
          <t>Nu-Calgon 4185-15 Condensate Pan Gel Tab, 15 ton</t>
        </is>
      </c>
      <c r="D1269" t="inlineStr">
        <is>
          <t>(12) Pack/Nu-Calgon Gel-Tab # 4185-05, Condensate Pan Treatment up to 5 Tons</t>
        </is>
      </c>
      <c r="E1269" s="2">
        <f>HYPERLINK("https://www.amazon.com/12-Nu-Calgon-Gel-Tab-Condensate-Treatment/dp/B07W3N6H62/ref=sr_1_8?keywords=Nu-Calgon+4185-15+Condensate+Pan+Gel+Tab%2C+15+ton&amp;qid=1694734758&amp;sr=8-8", "https://www.amazon.com/12-Nu-Calgon-Gel-Tab-Condensate-Treatment/dp/B07W3N6H62/ref=sr_1_8?keywords=Nu-Calgon+4185-15+Condensate+Pan+Gel+Tab%2C+15+ton&amp;qid=1694734758&amp;sr=8-8")</f>
        <v/>
      </c>
      <c r="F1269" t="inlineStr">
        <is>
          <t>B07W3N6H62</t>
        </is>
      </c>
      <c r="G1269">
        <f>_xlfn.IMAGE("https://edmondsonsupply.com/cdn/shop/products/4185-15.jpg?v=1659378611")</f>
        <v/>
      </c>
      <c r="H1269">
        <f>_xlfn.IMAGE("https://m.media-amazon.com/images/I/616ooDlxi7L._AC_UY218_.jpg")</f>
        <v/>
      </c>
      <c r="K1269" t="inlineStr">
        <is>
          <t>18.49</t>
        </is>
      </c>
      <c r="L1269" t="n">
        <v>46.5</v>
      </c>
      <c r="M1269" s="1" t="inlineStr">
        <is>
          <t>151.49%</t>
        </is>
      </c>
      <c r="N1269" s="7" t="n">
        <v>55</v>
      </c>
      <c r="O1269" t="n">
        <v>4.6</v>
      </c>
      <c r="P1269" t="n">
        <v>5</v>
      </c>
      <c r="R1269" t="inlineStr">
        <is>
          <t>InStock</t>
        </is>
      </c>
      <c r="S1269" t="inlineStr">
        <is>
          <t>27.68</t>
        </is>
      </c>
      <c r="T1269" t="inlineStr">
        <is>
          <t>7769420529880</t>
        </is>
      </c>
    </row>
    <row r="1270" ht="87" customHeight="1">
      <c r="A1270" s="2">
        <f>HYPERLINK("https://edmondsonsupply.com/collections/hvac/products/packard-titan-pro-trcd305-run-capacitor-30-5-mfd-370-volt-round", "https://edmondsonsupply.com/collections/hvac/products/packard-titan-pro-trcd305-run-capacitor-30-5-mfd-370-volt-round")</f>
        <v/>
      </c>
      <c r="B1270" s="2">
        <f>HYPERLINK("https://edmondsonsupply.com/products/packard-titan-pro-trcd305-run-capacitor-30-5-mfd-370-volt-round", "https://edmondsonsupply.com/products/packard-titan-pro-trcd305-run-capacitor-30-5-mfd-370-volt-round")</f>
        <v/>
      </c>
      <c r="C1270" t="inlineStr">
        <is>
          <t>Packard Titan PRO TRCD305 Run Capacitor 30+5 MFD 370 Volt Round</t>
        </is>
      </c>
      <c r="D1270" t="inlineStr">
        <is>
          <t>Packard TRCD455 Titan Pro 45+5 MFD 370V Round Run Capacitor Replaces PRCD455</t>
        </is>
      </c>
      <c r="E1270" s="2">
        <f>HYPERLINK("https://www.amazon.com/PACKARD-TRCD455-Capacitor-Replaces-PRCD455/dp/B01N55F81Z/ref=sr_1_6?keywords=Packard+Titan+PRO+TRCD305+Run+Capacitor+30%2B5+MFD+370+Volt+Round&amp;qid=1694734786&amp;sr=8-6", "https://www.amazon.com/PACKARD-TRCD455-Capacitor-Replaces-PRCD455/dp/B01N55F81Z/ref=sr_1_6?keywords=Packard+Titan+PRO+TRCD305+Run+Capacitor+30%2B5+MFD+370+Volt+Round&amp;qid=1694734786&amp;sr=8-6")</f>
        <v/>
      </c>
      <c r="F1270" t="inlineStr">
        <is>
          <t>B01N55F81Z</t>
        </is>
      </c>
      <c r="G1270">
        <f>_xlfn.IMAGE("https://edmondsonsupply.com/cdn/shop/products/TRCD305-2.jpg?v=1633030487")</f>
        <v/>
      </c>
      <c r="H1270">
        <f>_xlfn.IMAGE("https://m.media-amazon.com/images/I/41CL3hacDyL._AC_UY218_.jpg")</f>
        <v/>
      </c>
      <c r="K1270" t="inlineStr">
        <is>
          <t>7.92</t>
        </is>
      </c>
      <c r="L1270" t="n">
        <v>19.87</v>
      </c>
      <c r="M1270" s="1" t="inlineStr">
        <is>
          <t>150.88%</t>
        </is>
      </c>
      <c r="N1270" s="7" t="n">
        <v>54.93</v>
      </c>
      <c r="O1270" t="n">
        <v>5</v>
      </c>
      <c r="P1270" t="n">
        <v>2</v>
      </c>
      <c r="R1270" t="inlineStr">
        <is>
          <t>InStock</t>
        </is>
      </c>
      <c r="S1270" t="inlineStr">
        <is>
          <t>undefined</t>
        </is>
      </c>
      <c r="T1270" t="inlineStr">
        <is>
          <t>5373456646312</t>
        </is>
      </c>
    </row>
    <row r="1271" ht="87" customHeight="1">
      <c r="A1271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271" s="2">
        <f>HYPERLINK("https://edmondsonsupply.com/products/packard-pmj590-motor-start-capacitor-590-708-mfd-110-125-volt", "https://edmondsonsupply.com/products/packard-pmj590-motor-start-capacitor-590-708-mfd-110-125-volt")</f>
        <v/>
      </c>
      <c r="C1271" t="inlineStr">
        <is>
          <t>Packard PMJ590 Motor Start Capacitor 590-708 MFD 110-125 Volt</t>
        </is>
      </c>
      <c r="D1271" t="inlineStr">
        <is>
          <t>Canamax 708-850 MFD uf 50/60 Hz 110-125 VAC Volts Round Start Capacitor - Replacement for AC Motor Run or Fan Start and Cool or Heat Pump Air Conditioner - Replaces 11028 11928 PMJ708 PMJ708A</t>
        </is>
      </c>
      <c r="E1271" s="2">
        <f>HYPERLINK("https://www.amazon.com/Canamax-708-850-110-125-Volts-Capacitor/dp/B0BTHN9D35/ref=sr_1_15?keywords=Packard+PMJ590+Motor+Start+Capacitor+590-708+MFD+110-125+Volt&amp;qid=1694734721&amp;sr=8-15", "https://www.amazon.com/Canamax-708-850-110-125-Volts-Capacitor/dp/B0BTHN9D35/ref=sr_1_15?keywords=Packard+PMJ590+Motor+Start+Capacitor+590-708+MFD+110-125+Volt&amp;qid=1694734721&amp;sr=8-15")</f>
        <v/>
      </c>
      <c r="F1271" t="inlineStr">
        <is>
          <t>B0BTHN9D35</t>
        </is>
      </c>
      <c r="G1271">
        <f>_xlfn.IMAGE("https://edmondsonsupply.com/cdn/shop/products/PMJ590-2.jpg?v=1633030307")</f>
        <v/>
      </c>
      <c r="H1271">
        <f>_xlfn.IMAGE("https://m.media-amazon.com/images/I/71elYzLuOpL._AC_UY218_.jpg")</f>
        <v/>
      </c>
      <c r="K1271" t="inlineStr">
        <is>
          <t>6.18</t>
        </is>
      </c>
      <c r="L1271" t="n">
        <v>15.49</v>
      </c>
      <c r="M1271" s="1" t="inlineStr">
        <is>
          <t>150.65%</t>
        </is>
      </c>
      <c r="N1271" s="7" t="n">
        <v>54.92</v>
      </c>
      <c r="O1271" t="n">
        <v>5</v>
      </c>
      <c r="P1271" t="n">
        <v>2</v>
      </c>
      <c r="R1271" t="inlineStr">
        <is>
          <t>InStock</t>
        </is>
      </c>
      <c r="S1271" t="inlineStr">
        <is>
          <t>undefined</t>
        </is>
      </c>
      <c r="T1271" t="inlineStr">
        <is>
          <t>5241729712296</t>
        </is>
      </c>
    </row>
    <row r="1272" hidden="1" ht="15.75" customHeight="1">
      <c r="A1272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72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72" t="inlineStr">
        <is>
          <t>Holyoke Fittings 1055-FHFH 3/4" Garden Hose Thread Fitting - Brass Female Garden Hose to Hose Swivel Adapter</t>
        </is>
      </c>
      <c r="D1272" t="inlineStr">
        <is>
          <t>YOUHO Solid brass Garden Hose Fittings Connectors Adapter Heavy Duty Brass Repair Female to Female Double Female dual water hose connector(3/4" GHT Female to 1/2" NPT Female) 2 Pcs</t>
        </is>
      </c>
      <c r="E1272" s="2">
        <f>HYPERLINK("https://www.amazon.com/YOUHO-Garden-Adapter-Extension-Fitting/dp/B07XBZ1ZCS/ref=sr_1_12?keywords=Holyoke+Fittings+1055-FHFH+3%2F4%22+Garden+Hose+Thread+Fitting+-+Brass+Female+Garden+Hose+to+Hose+Swivel+Adapter&amp;qid=1694734918&amp;sr=8-12", "https://www.amazon.com/YOUHO-Garden-Adapter-Extension-Fitting/dp/B07XBZ1ZCS/ref=sr_1_12?keywords=Holyoke+Fittings+1055-FHFH+3%2F4%22+Garden+Hose+Thread+Fitting+-+Brass+Female+Garden+Hose+to+Hose+Swivel+Adapter&amp;qid=1694734918&amp;sr=8-12")</f>
        <v/>
      </c>
      <c r="F1272" t="inlineStr">
        <is>
          <t>B07XBZ1ZCS</t>
        </is>
      </c>
      <c r="G1272">
        <f>_xludf.IMAGE("https://edmondsonsupply.com/cdn/shop/files/1055-FHFH.jpg?v=1686083814")</f>
        <v/>
      </c>
      <c r="H1272">
        <f>_xludf.IMAGE("https://m.media-amazon.com/images/I/7109UfCX30L._AC_UL320_.jpg")</f>
        <v/>
      </c>
      <c r="K1272" t="inlineStr">
        <is>
          <t>3.59</t>
        </is>
      </c>
      <c r="L1272" t="n">
        <v>8.99</v>
      </c>
      <c r="M1272" s="1" t="inlineStr">
        <is>
          <t>150.42%</t>
        </is>
      </c>
      <c r="N1272" s="1" t="n">
        <v>54.9</v>
      </c>
      <c r="O1272" t="n">
        <v>4.4</v>
      </c>
      <c r="P1272" t="n">
        <v>378</v>
      </c>
      <c r="R1272" t="inlineStr">
        <is>
          <t>InStock</t>
        </is>
      </c>
      <c r="S1272" t="inlineStr">
        <is>
          <t>5.17</t>
        </is>
      </c>
      <c r="T1272" t="inlineStr">
        <is>
          <t>8002194342104</t>
        </is>
      </c>
    </row>
    <row r="1273" hidden="1" ht="15.75" customHeight="1">
      <c r="A1273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73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73" t="inlineStr">
        <is>
          <t>Holyoke Fittings 1055-FHFH 3/4" Garden Hose Thread Fitting - Brass Female Garden Hose to Hose Swivel Adapter</t>
        </is>
      </c>
      <c r="D1273" t="inlineStr">
        <is>
          <t>YELUN Solid brass Garden Hose Fittings Connectors Adapter Heavy Duty Brass Repair female to female double female faucet leader coupler ​dual water hose connector(3/4"GHT) 2 Pcs</t>
        </is>
      </c>
      <c r="E1273" s="2">
        <f>HYPERLINK("https://www.amazon.com/YELUN-Fittings-Connectors-Adapter-connector/dp/B092HVFP3N/ref=sr_1_36?keywords=Holyoke+Fittings+1055-FHFH+3%2F4%22+Garden+Hose+Thread+Fitting+-+Brass+Female+Garden+Hose+to+Hose+Swivel+Adapter&amp;qid=1694734918&amp;sr=8-36", "https://www.amazon.com/YELUN-Fittings-Connectors-Adapter-connector/dp/B092HVFP3N/ref=sr_1_36?keywords=Holyoke+Fittings+1055-FHFH+3%2F4%22+Garden+Hose+Thread+Fitting+-+Brass+Female+Garden+Hose+to+Hose+Swivel+Adapter&amp;qid=1694734918&amp;sr=8-36")</f>
        <v/>
      </c>
      <c r="F1273" t="inlineStr">
        <is>
          <t>B092HVFP3N</t>
        </is>
      </c>
      <c r="G1273">
        <f>_xludf.IMAGE("https://edmondsonsupply.com/cdn/shop/files/1055-FHFH.jpg?v=1686083814")</f>
        <v/>
      </c>
      <c r="H1273">
        <f>_xludf.IMAGE("https://m.media-amazon.com/images/I/718UR+iXT5L._AC_UL320_.jpg")</f>
        <v/>
      </c>
      <c r="K1273" t="inlineStr">
        <is>
          <t>3.59</t>
        </is>
      </c>
      <c r="L1273" t="n">
        <v>8.99</v>
      </c>
      <c r="M1273" s="1" t="inlineStr">
        <is>
          <t>150.42%</t>
        </is>
      </c>
      <c r="N1273" s="1" t="n">
        <v>54.87</v>
      </c>
      <c r="O1273" t="n">
        <v>4.7</v>
      </c>
      <c r="P1273" t="n">
        <v>1165</v>
      </c>
      <c r="R1273" t="inlineStr">
        <is>
          <t>InStock</t>
        </is>
      </c>
      <c r="S1273" t="inlineStr">
        <is>
          <t>5.17</t>
        </is>
      </c>
      <c r="T1273" t="inlineStr">
        <is>
          <t>8002194342104</t>
        </is>
      </c>
    </row>
    <row r="1274" hidden="1" ht="15.75" customHeight="1">
      <c r="A1274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74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74" t="inlineStr">
        <is>
          <t>Holyoke Fittings 1055-FHFH 3/4" Garden Hose Thread Fitting - Brass Female Garden Hose to Hose Swivel Adapter</t>
        </is>
      </c>
      <c r="D1274" t="inlineStr">
        <is>
          <t>Enoch's Land Brass Garden Hose Fittings Connectors Adapter,Female 3/4" GHT to Female 1/2" NPT</t>
        </is>
      </c>
      <c r="E1274" s="2">
        <f>HYPERLINK("https://www.amazon.com/Enochs-Land-Fittings-Connectors-Adapter/dp/B0C1NHYLZC/ref=sr_1_2?keywords=Holyoke+Fittings+1055-FHFH+3%2F4%22+Garden+Hose+Thread+Fitting+-+Brass+Female+Garden+Hose+to+Hose+Swivel+Adapter&amp;qid=1694734918&amp;sr=8-2", "https://www.amazon.com/Enochs-Land-Fittings-Connectors-Adapter/dp/B0C1NHYLZC/ref=sr_1_2?keywords=Holyoke+Fittings+1055-FHFH+3%2F4%22+Garden+Hose+Thread+Fitting+-+Brass+Female+Garden+Hose+to+Hose+Swivel+Adapter&amp;qid=1694734918&amp;sr=8-2")</f>
        <v/>
      </c>
      <c r="F1274" t="inlineStr">
        <is>
          <t>B0C1NHYLZC</t>
        </is>
      </c>
      <c r="G1274">
        <f>_xludf.IMAGE("https://edmondsonsupply.com/cdn/shop/files/1055-FHFH.jpg?v=1686083814")</f>
        <v/>
      </c>
      <c r="H1274">
        <f>_xludf.IMAGE("https://m.media-amazon.com/images/I/61FDN00UzUL._AC_UL320_.jpg")</f>
        <v/>
      </c>
      <c r="K1274" t="inlineStr">
        <is>
          <t>3.59</t>
        </is>
      </c>
      <c r="L1274" t="n">
        <v>8.99</v>
      </c>
      <c r="M1274" s="1" t="inlineStr">
        <is>
          <t>150.42%</t>
        </is>
      </c>
      <c r="N1274" s="1" t="n">
        <v>53.72</v>
      </c>
      <c r="O1274" t="n">
        <v>5</v>
      </c>
      <c r="P1274" t="n">
        <v>6</v>
      </c>
      <c r="R1274" t="inlineStr">
        <is>
          <t>InStock</t>
        </is>
      </c>
      <c r="S1274" t="inlineStr">
        <is>
          <t>5.17</t>
        </is>
      </c>
      <c r="T1274" t="inlineStr">
        <is>
          <t>8002194342104</t>
        </is>
      </c>
    </row>
    <row r="1275" hidden="1" ht="15.75" customHeight="1">
      <c r="A1275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75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75" t="inlineStr">
        <is>
          <t>Holyoke Fittings 1055-FHFH 3/4" Garden Hose Thread Fitting - Brass Female Garden Hose to Hose Swivel Adapter</t>
        </is>
      </c>
      <c r="D1275" t="inlineStr">
        <is>
          <t>ceaeso (2-piece brass garden hose, threaded 3/4" GHT to 1/2" NPT connection), quick swivel adapter, double female 3/4" x 1/2" NPT pipe…</t>
        </is>
      </c>
      <c r="E1275" s="2">
        <f>HYPERLINK("https://www.amazon.com/ceaeso-2-piece-threaded-connection-adapter/dp/B0BYC7NQJ1/ref=sr_1_7?keywords=Holyoke+Fittings+1055-FHFH+3%2F4%22+Garden+Hose+Thread+Fitting+-+Brass+Female+Garden+Hose+to+Hose+Swivel+Adapter&amp;qid=1694734918&amp;sr=8-7", "https://www.amazon.com/ceaeso-2-piece-threaded-connection-adapter/dp/B0BYC7NQJ1/ref=sr_1_7?keywords=Holyoke+Fittings+1055-FHFH+3%2F4%22+Garden+Hose+Thread+Fitting+-+Brass+Female+Garden+Hose+to+Hose+Swivel+Adapter&amp;qid=1694734918&amp;sr=8-7")</f>
        <v/>
      </c>
      <c r="F1275" t="inlineStr">
        <is>
          <t>B0BYC7NQJ1</t>
        </is>
      </c>
      <c r="G1275">
        <f>_xludf.IMAGE("https://edmondsonsupply.com/cdn/shop/files/1055-FHFH.jpg?v=1686083814")</f>
        <v/>
      </c>
      <c r="H1275">
        <f>_xludf.IMAGE("https://m.media-amazon.com/images/I/61i9FHc6cFL._AC_UL320_.jpg")</f>
        <v/>
      </c>
      <c r="K1275" t="inlineStr">
        <is>
          <t>3.59</t>
        </is>
      </c>
      <c r="L1275" t="n">
        <v>8.99</v>
      </c>
      <c r="M1275" s="1" t="inlineStr">
        <is>
          <t>150.42%</t>
        </is>
      </c>
      <c r="N1275" s="1" t="n">
        <v>53.42</v>
      </c>
      <c r="O1275" t="n">
        <v>4.8</v>
      </c>
      <c r="P1275" t="n">
        <v>36</v>
      </c>
      <c r="R1275" t="inlineStr">
        <is>
          <t>InStock</t>
        </is>
      </c>
      <c r="S1275" t="inlineStr">
        <is>
          <t>5.17</t>
        </is>
      </c>
      <c r="T1275" t="inlineStr">
        <is>
          <t>8002194342104</t>
        </is>
      </c>
    </row>
    <row r="1276" hidden="1" ht="15.75" customHeight="1">
      <c r="A1276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76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76" t="inlineStr">
        <is>
          <t>Holyoke Fittings 1055-FHFH 3/4" Garden Hose Thread Fitting - Brass Female Garden Hose to Hose Swivel Adapter</t>
        </is>
      </c>
      <c r="D1276" t="inlineStr">
        <is>
          <t>YELUN Solid brass Garden Hose Fittings Connectors Adapter Heavy Duty Brass Repair Female to Female Double Female dual water hose connector(3/4" GHT Female to 1/2" NPT Female) 2 Pcs</t>
        </is>
      </c>
      <c r="E1276" s="2">
        <f>HYPERLINK("https://www.amazon.com/YELUN-Fittings-Connectors-Adapter-connector/dp/B092HZLXPD/ref=sr_1_9?keywords=Holyoke+Fittings+1055-FHFH+3%2F4%22+Garden+Hose+Thread+Fitting+-+Brass+Female+Garden+Hose+to+Hose+Swivel+Adapter&amp;qid=1694734918&amp;sr=8-9", "https://www.amazon.com/YELUN-Fittings-Connectors-Adapter-connector/dp/B092HZLXPD/ref=sr_1_9?keywords=Holyoke+Fittings+1055-FHFH+3%2F4%22+Garden+Hose+Thread+Fitting+-+Brass+Female+Garden+Hose+to+Hose+Swivel+Adapter&amp;qid=1694734918&amp;sr=8-9")</f>
        <v/>
      </c>
      <c r="F1276" t="inlineStr">
        <is>
          <t>B092HZLXPD</t>
        </is>
      </c>
      <c r="G1276">
        <f>_xludf.IMAGE("https://edmondsonsupply.com/cdn/shop/files/1055-FHFH.jpg?v=1686083814")</f>
        <v/>
      </c>
      <c r="H1276">
        <f>_xludf.IMAGE("https://m.media-amazon.com/images/I/7154E3TizmL._AC_UL320_.jpg")</f>
        <v/>
      </c>
      <c r="K1276" t="inlineStr">
        <is>
          <t>3.59</t>
        </is>
      </c>
      <c r="L1276" t="n">
        <v>8.99</v>
      </c>
      <c r="M1276" s="1" t="inlineStr">
        <is>
          <t>150.42%</t>
        </is>
      </c>
      <c r="N1276" s="1" t="n">
        <v>53.23</v>
      </c>
      <c r="O1276" t="n">
        <v>4.6</v>
      </c>
      <c r="P1276" t="n">
        <v>604</v>
      </c>
      <c r="R1276" t="inlineStr">
        <is>
          <t>InStock</t>
        </is>
      </c>
      <c r="S1276" t="inlineStr">
        <is>
          <t>5.17</t>
        </is>
      </c>
      <c r="T1276" t="inlineStr">
        <is>
          <t>8002194342104</t>
        </is>
      </c>
    </row>
    <row r="1277" hidden="1" ht="15.75" customHeight="1">
      <c r="A1277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277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277" t="inlineStr">
        <is>
          <t>Holyoke Fittings 1055-FHFH 3/4" Garden Hose Thread Fitting - Brass Female Garden Hose to Hose Swivel Adapter</t>
        </is>
      </c>
      <c r="D1277" t="inlineStr">
        <is>
          <t>M MINGLE Garden Hose Adapter, Female to Female, 3/4 Inch Heavy Duty Brass Connect Fittings with Dual Swivel, Pressure Washer to Garden Hose Connector, 2-Pack with Extra 4 Washers and 1 Filter</t>
        </is>
      </c>
      <c r="E1277" s="2">
        <f>HYPERLINK("https://www.amazon.com/MINGLE-Adapter-Fittings-Pressure-Connector/dp/B09P322DT8/ref=sr_1_5?keywords=Holyoke+Fittings+1055-FHFH+3%2F4%22+Garden+Hose+Thread+Fitting+-+Brass+Female+Garden+Hose+to+Hose+Swivel+Adapter&amp;qid=1694734918&amp;sr=8-5", "https://www.amazon.com/MINGLE-Adapter-Fittings-Pressure-Connector/dp/B09P322DT8/ref=sr_1_5?keywords=Holyoke+Fittings+1055-FHFH+3%2F4%22+Garden+Hose+Thread+Fitting+-+Brass+Female+Garden+Hose+to+Hose+Swivel+Adapter&amp;qid=1694734918&amp;sr=8-5")</f>
        <v/>
      </c>
      <c r="F1277" t="inlineStr">
        <is>
          <t>B09P322DT8</t>
        </is>
      </c>
      <c r="G1277">
        <f>_xludf.IMAGE("https://edmondsonsupply.com/cdn/shop/files/1055-FHFH.jpg?v=1686083814")</f>
        <v/>
      </c>
      <c r="H1277">
        <f>_xludf.IMAGE("https://m.media-amazon.com/images/I/81pvDhu1smL._AC_UL320_.jpg")</f>
        <v/>
      </c>
      <c r="K1277" t="inlineStr">
        <is>
          <t>3.59</t>
        </is>
      </c>
      <c r="L1277" t="n">
        <v>8.99</v>
      </c>
      <c r="M1277" s="1" t="inlineStr">
        <is>
          <t>150.42%</t>
        </is>
      </c>
      <c r="N1277" s="1" t="n">
        <v>53.18</v>
      </c>
      <c r="O1277" t="n">
        <v>4.5</v>
      </c>
      <c r="P1277" t="n">
        <v>261</v>
      </c>
      <c r="R1277" t="inlineStr">
        <is>
          <t>InStock</t>
        </is>
      </c>
      <c r="S1277" t="inlineStr">
        <is>
          <t>5.17</t>
        </is>
      </c>
      <c r="T1277" t="inlineStr">
        <is>
          <t>8002194342104</t>
        </is>
      </c>
    </row>
    <row r="1278" hidden="1" ht="15.75" customHeight="1">
      <c r="A1278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278" s="2">
        <f>HYPERLINK("https://edmondsonsupply.com/products/packard-ttmj108-motor-start-capacitor-108-130-mfd-220-250-vac", "https://edmondsonsupply.com/products/packard-ttmj108-motor-start-capacitor-108-130-mfd-220-250-vac")</f>
        <v/>
      </c>
      <c r="C1278" t="inlineStr">
        <is>
          <t>Packard TTMJ108 Motor Start Capacitor 108-130 MFD 220-250 VAC</t>
        </is>
      </c>
      <c r="D1278" t="inlineStr">
        <is>
          <t>108-130 uf/MFD 220-250 VAC ±20% Volts Round Start Capacitor 50/60 Hz AC Electric Replacement Part by Blue Stars - Exact Fit for Single-Phase Electric Motors</t>
        </is>
      </c>
      <c r="E1278" s="2">
        <f>HYPERLINK("https://www.amazon.com/108-130-220-250-Capacitor-Electric-Replacement/dp/B09TKWCV7P/ref=sr_1_5?keywords=Packard+TTMJ108+Motor+Start+Capacitor+108-130+MFD+220-250+VAC&amp;qid=1694734864&amp;sr=8-5", "https://www.amazon.com/108-130-220-250-Capacitor-Electric-Replacement/dp/B09TKWCV7P/ref=sr_1_5?keywords=Packard+TTMJ108+Motor+Start+Capacitor+108-130+MFD+220-250+VAC&amp;qid=1694734864&amp;sr=8-5")</f>
        <v/>
      </c>
      <c r="F1278" t="inlineStr">
        <is>
          <t>B09TKWCV7P</t>
        </is>
      </c>
      <c r="G1278">
        <f>_xludf.IMAGE("https://edmondsonsupply.com/cdn/shop/files/PTMJ108-2_c3537879-2bfc-401f-867d-9ee4aaa5c4bb.jpg?v=1692220228")</f>
        <v/>
      </c>
      <c r="H1278">
        <f>_xludf.IMAGE("https://m.media-amazon.com/images/I/81gGvd1CUNL._AC_UY218_.jpg")</f>
        <v/>
      </c>
      <c r="K1278" t="inlineStr">
        <is>
          <t>4.39</t>
        </is>
      </c>
      <c r="L1278" t="n">
        <v>10.99</v>
      </c>
      <c r="M1278" s="1" t="inlineStr">
        <is>
          <t>150.34%</t>
        </is>
      </c>
      <c r="N1278" s="1" t="n">
        <v>53.03</v>
      </c>
      <c r="O1278" t="n">
        <v>4.6</v>
      </c>
      <c r="P1278" t="n">
        <v>77</v>
      </c>
      <c r="R1278" t="inlineStr">
        <is>
          <t>InStock</t>
        </is>
      </c>
      <c r="S1278" t="inlineStr">
        <is>
          <t>undefined</t>
        </is>
      </c>
      <c r="T1278" t="inlineStr">
        <is>
          <t>8028091154648</t>
        </is>
      </c>
    </row>
    <row r="1279" hidden="1" ht="15.75" customHeight="1">
      <c r="A1279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279" s="2">
        <f>HYPERLINK("https://edmondsonsupply.com/products/packard-prmj108-motor-start-capacitor-108-130-mfd-330-volt", "https://edmondsonsupply.com/products/packard-prmj108-motor-start-capacitor-108-130-mfd-330-volt")</f>
        <v/>
      </c>
      <c r="C1279" t="inlineStr">
        <is>
          <t>Packard PRMJ108 Motor Start Capacitor 108-130 MFD 330 Volt</t>
        </is>
      </c>
      <c r="D1279" t="inlineStr">
        <is>
          <t>108-130 uf/MFD 110-125 VAC ±20% Volts Round Start Capacitor 50/60 Hz AC Electric Replacement Part by Blue Stars - Exact Fit for Single-Phase Electric Motors</t>
        </is>
      </c>
      <c r="E1279" s="2">
        <f>HYPERLINK("https://www.amazon.com/108-130-110-125-Capacitor-Electric-Replacement/dp/B09C8MTD36/ref=sr_1_13?keywords=Packard+PRMJ108+Motor+Start+Capacitor+108-130+MFD+330+Volt&amp;qid=1694734796&amp;sr=8-13", "https://www.amazon.com/108-130-110-125-Capacitor-Electric-Replacement/dp/B09C8MTD36/ref=sr_1_13?keywords=Packard+PRMJ108+Motor+Start+Capacitor+108-130+MFD+330+Volt&amp;qid=1694734796&amp;sr=8-13")</f>
        <v/>
      </c>
      <c r="F1279" t="inlineStr">
        <is>
          <t>B09C8MTD36</t>
        </is>
      </c>
      <c r="G1279">
        <f>_xludf.IMAGE("https://edmondsonsupply.com/cdn/shop/products/PRMJ108-2.jpg?v=1633030309")</f>
        <v/>
      </c>
      <c r="H1279">
        <f>_xludf.IMAGE("https://m.media-amazon.com/images/I/81dkaLbJLXL._AC_UY218_.jpg")</f>
        <v/>
      </c>
      <c r="K1279" t="inlineStr">
        <is>
          <t>4.39</t>
        </is>
      </c>
      <c r="L1279" t="n">
        <v>10.99</v>
      </c>
      <c r="M1279" s="1" t="inlineStr">
        <is>
          <t>150.34%</t>
        </is>
      </c>
      <c r="N1279" s="1" t="n">
        <v>52.72</v>
      </c>
      <c r="O1279" t="n">
        <v>4.6</v>
      </c>
      <c r="P1279" t="n">
        <v>77</v>
      </c>
      <c r="R1279" t="inlineStr">
        <is>
          <t>InStock</t>
        </is>
      </c>
      <c r="S1279" t="inlineStr">
        <is>
          <t>undefined</t>
        </is>
      </c>
      <c r="T1279" t="inlineStr">
        <is>
          <t>5241928319144</t>
        </is>
      </c>
    </row>
    <row r="1280" hidden="1" ht="15.75" customHeight="1">
      <c r="A1280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280" s="2">
        <f>HYPERLINK("https://edmondsonsupply.com/products/packard-ttmj108-motor-start-capacitor-108-130-mfd-220-250-vac", "https://edmondsonsupply.com/products/packard-ttmj108-motor-start-capacitor-108-130-mfd-220-250-vac")</f>
        <v/>
      </c>
      <c r="C1280" t="inlineStr">
        <is>
          <t>Packard TTMJ108 Motor Start Capacitor 108-130 MFD 220-250 VAC</t>
        </is>
      </c>
      <c r="D1280" t="inlineStr">
        <is>
          <t>88-108 uf mfd 220-250VAC Volts Round Motor Start Capacitor 50/60 Hz AC Electric Replacement Part by Blue Stars</t>
        </is>
      </c>
      <c r="E1280" s="2">
        <f>HYPERLINK("https://www.amazon.com/88-108-220-250VAC-Capacitor-Electric-Replacement/dp/B0B24XGW1N/ref=sr_1_15?keywords=Packard+TTMJ108+Motor+Start+Capacitor+108-130+MFD+220-250+VAC&amp;qid=1694734864&amp;sr=8-15", "https://www.amazon.com/88-108-220-250VAC-Capacitor-Electric-Replacement/dp/B0B24XGW1N/ref=sr_1_15?keywords=Packard+TTMJ108+Motor+Start+Capacitor+108-130+MFD+220-250+VAC&amp;qid=1694734864&amp;sr=8-15")</f>
        <v/>
      </c>
      <c r="F1280" t="inlineStr">
        <is>
          <t>B0B24XGW1N</t>
        </is>
      </c>
      <c r="G1280">
        <f>_xludf.IMAGE("https://edmondsonsupply.com/cdn/shop/files/PTMJ108-2_c3537879-2bfc-401f-867d-9ee4aaa5c4bb.jpg?v=1692220228")</f>
        <v/>
      </c>
      <c r="H1280">
        <f>_xludf.IMAGE("https://m.media-amazon.com/images/I/81xv34Y3GHL._AC_UY218_.jpg")</f>
        <v/>
      </c>
      <c r="K1280" t="inlineStr">
        <is>
          <t>4.39</t>
        </is>
      </c>
      <c r="L1280" t="n">
        <v>10.99</v>
      </c>
      <c r="M1280" s="1" t="inlineStr">
        <is>
          <t>150.34%</t>
        </is>
      </c>
      <c r="N1280" s="1" t="n">
        <v>52.54</v>
      </c>
      <c r="O1280" t="n">
        <v>4.5</v>
      </c>
      <c r="P1280" t="n">
        <v>37</v>
      </c>
      <c r="R1280" t="inlineStr">
        <is>
          <t>InStock</t>
        </is>
      </c>
      <c r="S1280" t="inlineStr">
        <is>
          <t>undefined</t>
        </is>
      </c>
      <c r="T1280" t="inlineStr">
        <is>
          <t>8028091154648</t>
        </is>
      </c>
    </row>
    <row r="1281" ht="87" customHeight="1">
      <c r="A1281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281" s="2">
        <f>HYPERLINK("https://edmondsonsupply.com/products/klein-tools-11046-wire-stripper-cutter-16-26-awg-stranded", "https://edmondsonsupply.com/products/klein-tools-11046-wire-stripper-cutter-16-26-awg-stranded")</f>
        <v/>
      </c>
      <c r="C1281" t="inlineStr">
        <is>
          <t>Klein Tools 11046 Wire Stripper/Cutter 16-26 AWG Stranded</t>
        </is>
      </c>
      <c r="D1281" t="inlineStr">
        <is>
          <t>Klein Tools K12065CR Wire Stripper / Cutter / Crimper Tool for Cutting, Stripping, Crimping, Twisting (8-18 AWG solid, 10-20 AWG stranded)</t>
        </is>
      </c>
      <c r="E1281" s="2">
        <f>HYPERLINK("https://www.amazon.com/Heavy-Stripper-Cutter-Crimper-Multi/dp/B08BX9RTPX/ref=sr_1_17?keywords=Klein+Tools+11046+Wire+Stripper%2FCutter+16-26+AWG+Stranded&amp;qid=1694734810&amp;sr=8-17", "https://www.amazon.com/Heavy-Stripper-Cutter-Crimper-Multi/dp/B08BX9RTPX/ref=sr_1_17?keywords=Klein+Tools+11046+Wire+Stripper%2FCutter+16-26+AWG+Stranded&amp;qid=1694734810&amp;sr=8-17")</f>
        <v/>
      </c>
      <c r="F1281" t="inlineStr">
        <is>
          <t>B08BX9RTPX</t>
        </is>
      </c>
      <c r="G1281">
        <f>_xlfn.IMAGE("https://edmondsonsupply.com/cdn/shop/products/11046.jpg?v=1587147965")</f>
        <v/>
      </c>
      <c r="H1281">
        <f>_xlfn.IMAGE("https://m.media-amazon.com/images/I/51Oylu1vHoL._AC_UL320_.jpg")</f>
        <v/>
      </c>
      <c r="K1281" t="inlineStr">
        <is>
          <t>15.97</t>
        </is>
      </c>
      <c r="L1281" t="n">
        <v>39.97</v>
      </c>
      <c r="M1281" s="1" t="inlineStr">
        <is>
          <t>150.28%</t>
        </is>
      </c>
      <c r="N1281" s="7" t="n">
        <v>52.53</v>
      </c>
      <c r="O1281" t="n">
        <v>4.7</v>
      </c>
      <c r="P1281" t="n">
        <v>723</v>
      </c>
      <c r="R1281" t="inlineStr">
        <is>
          <t>InStock</t>
        </is>
      </c>
      <c r="S1281" t="inlineStr">
        <is>
          <t>23.56</t>
        </is>
      </c>
      <c r="T1281" t="inlineStr">
        <is>
          <t>3688603910244</t>
        </is>
      </c>
    </row>
    <row r="1282" ht="87" customHeight="1">
      <c r="A1282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282" s="2">
        <f>HYPERLINK("https://edmondsonsupply.com/products/klein-tools-11046-wire-stripper-cutter-16-26-awg-stranded", "https://edmondsonsupply.com/products/klein-tools-11046-wire-stripper-cutter-16-26-awg-stranded")</f>
        <v/>
      </c>
      <c r="C1282" t="inlineStr">
        <is>
          <t>Klein Tools 11046 Wire Stripper/Cutter 16-26 AWG Stranded</t>
        </is>
      </c>
      <c r="D1282" t="inlineStr">
        <is>
          <t>Klein Tools 2005N Wire Cutter, Stripper, Crimper Tool, Strips 10-18 AWG Stranded, Crimps 10-22 AWG Terminals, with Shear Cutter Red</t>
        </is>
      </c>
      <c r="E1282" s="2">
        <f>HYPERLINK("https://www.amazon.com/Klein-Tools-2005N-Crimper-Stripper/dp/B07WTRVZ18/ref=sr_1_14?keywords=Klein+Tools+11046+Wire+Stripper%2FCutter+16-26+AWG+Stranded&amp;qid=1694734810&amp;sr=8-14", "https://www.amazon.com/Klein-Tools-2005N-Crimper-Stripper/dp/B07WTRVZ18/ref=sr_1_14?keywords=Klein+Tools+11046+Wire+Stripper%2FCutter+16-26+AWG+Stranded&amp;qid=1694734810&amp;sr=8-14")</f>
        <v/>
      </c>
      <c r="F1282" t="inlineStr">
        <is>
          <t>B07WTRVZ18</t>
        </is>
      </c>
      <c r="G1282">
        <f>_xlfn.IMAGE("https://edmondsonsupply.com/cdn/shop/products/11046.jpg?v=1587147965")</f>
        <v/>
      </c>
      <c r="H1282">
        <f>_xlfn.IMAGE("https://m.media-amazon.com/images/I/51HDCyutY4L._AC_UL320_.jpg")</f>
        <v/>
      </c>
      <c r="K1282" t="inlineStr">
        <is>
          <t>15.97</t>
        </is>
      </c>
      <c r="L1282" t="n">
        <v>39.97</v>
      </c>
      <c r="M1282" s="1" t="inlineStr">
        <is>
          <t>150.28%</t>
        </is>
      </c>
      <c r="N1282" s="7" t="n">
        <v>52.47</v>
      </c>
      <c r="O1282" t="n">
        <v>4.8</v>
      </c>
      <c r="P1282" t="n">
        <v>1009</v>
      </c>
      <c r="R1282" t="inlineStr">
        <is>
          <t>InStock</t>
        </is>
      </c>
      <c r="S1282" t="inlineStr">
        <is>
          <t>23.56</t>
        </is>
      </c>
      <c r="T1282" t="inlineStr">
        <is>
          <t>3688603910244</t>
        </is>
      </c>
    </row>
    <row r="1283" ht="87" customHeight="1">
      <c r="A1283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283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283" t="inlineStr">
        <is>
          <t>Klein Tools 70550 Pro Folding Hex Key Set, 11-Key, SAE Sizes</t>
        </is>
      </c>
      <c r="D1283" t="inlineStr">
        <is>
          <t>Klein Tools 80045 Screwdriver and Nut Driver Tool Kit, Includes Magnetic 11 in 1 &amp; 70550 Hex Wrench Key Set, 11 SAE Sizes, Heavy Duty Folding Allen Wrench Tool with Extra Long Hex Keys</t>
        </is>
      </c>
      <c r="E1283" s="2">
        <f>HYPERLINK("https://www.amazon.com/Klein-Tools-Screwdriver-Magnetic-Folding/dp/B0BFXRHH2Y/ref=sr_1_43?keywords=Klein+Tools+70550+Pro+Folding+Hex+Key+Set%2C+11-Key%2C+SAE+Sizes&amp;qid=1694734808&amp;sr=8-43", "https://www.amazon.com/Klein-Tools-Screwdriver-Magnetic-Folding/dp/B0BFXRHH2Y/ref=sr_1_43?keywords=Klein+Tools+70550+Pro+Folding+Hex+Key+Set%2C+11-Key%2C+SAE+Sizes&amp;qid=1694734808&amp;sr=8-43")</f>
        <v/>
      </c>
      <c r="F1283" t="inlineStr">
        <is>
          <t>B0BFXRHH2Y</t>
        </is>
      </c>
      <c r="G1283">
        <f>_xlfn.IMAGE("https://edmondsonsupply.com/cdn/shop/products/70550.jpg?v=1587145237")</f>
        <v/>
      </c>
      <c r="H1283">
        <f>_xlfn.IMAGE("https://m.media-amazon.com/images/I/51blxliW4XL._AC_UL320_.jpg")</f>
        <v/>
      </c>
      <c r="K1283" t="inlineStr">
        <is>
          <t>19.97</t>
        </is>
      </c>
      <c r="L1283" t="n">
        <v>49.96</v>
      </c>
      <c r="M1283" s="1" t="inlineStr">
        <is>
          <t>150.18%</t>
        </is>
      </c>
      <c r="N1283" s="7" t="n">
        <v>52</v>
      </c>
      <c r="O1283" t="n">
        <v>5</v>
      </c>
      <c r="P1283" t="n">
        <v>2</v>
      </c>
      <c r="R1283" t="inlineStr">
        <is>
          <t>InStock</t>
        </is>
      </c>
      <c r="S1283" t="inlineStr">
        <is>
          <t>27.18</t>
        </is>
      </c>
      <c r="T1283" t="inlineStr">
        <is>
          <t>3693538082916</t>
        </is>
      </c>
    </row>
    <row r="1284" ht="87" customHeight="1">
      <c r="A1284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284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284" t="inlineStr">
        <is>
          <t>Klein Tools 70550 Pro Folding Hex Key Set, 11-Key, SAE Sizes</t>
        </is>
      </c>
      <c r="D1284" t="inlineStr">
        <is>
          <t>Klein Tools 32900 Impact Driver, 7-in-1 Impact Flip Socket Set &amp; 70550 Hex Wrench Key Set, 11 SAE Sizes, Heavy Duty Folding Allen Wrench Tool</t>
        </is>
      </c>
      <c r="E1284" s="2">
        <f>HYPERLINK("https://www.amazon.com/Klein-Tools-Impact-Driver-Folding/dp/B0BR8XN681/ref=sr_1_27?keywords=Klein+Tools+70550+Pro+Folding+Hex+Key+Set%2C+11-Key%2C+SAE+Sizes&amp;qid=1694734808&amp;sr=8-27", "https://www.amazon.com/Klein-Tools-Impact-Driver-Folding/dp/B0BR8XN681/ref=sr_1_27?keywords=Klein+Tools+70550+Pro+Folding+Hex+Key+Set%2C+11-Key%2C+SAE+Sizes&amp;qid=1694734808&amp;sr=8-27")</f>
        <v/>
      </c>
      <c r="F1284" t="inlineStr">
        <is>
          <t>B0BR8XN681</t>
        </is>
      </c>
      <c r="G1284">
        <f>_xlfn.IMAGE("https://edmondsonsupply.com/cdn/shop/products/70550.jpg?v=1587145237")</f>
        <v/>
      </c>
      <c r="H1284">
        <f>_xlfn.IMAGE("https://m.media-amazon.com/images/I/513UQCun-IL._AC_UL320_.jpg")</f>
        <v/>
      </c>
      <c r="K1284" t="inlineStr">
        <is>
          <t>19.97</t>
        </is>
      </c>
      <c r="L1284" t="n">
        <v>49.94</v>
      </c>
      <c r="M1284" s="1" t="inlineStr">
        <is>
          <t>150.08%</t>
        </is>
      </c>
      <c r="N1284" s="7" t="n">
        <v>51.7</v>
      </c>
      <c r="O1284" t="n">
        <v>5</v>
      </c>
      <c r="P1284" t="n">
        <v>1</v>
      </c>
      <c r="R1284" t="inlineStr">
        <is>
          <t>InStock</t>
        </is>
      </c>
      <c r="S1284" t="inlineStr">
        <is>
          <t>27.18</t>
        </is>
      </c>
      <c r="T1284" t="inlineStr">
        <is>
          <t>3693538082916</t>
        </is>
      </c>
    </row>
    <row r="1285" ht="87" customHeight="1">
      <c r="A1285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285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285" t="inlineStr">
        <is>
          <t>Klein Tools 70550 Pro Folding Hex Key Set, 11-Key, SAE Sizes</t>
        </is>
      </c>
      <c r="D1285" t="inlineStr">
        <is>
          <t>Klein Tools 935DAG Digital Electronic Level and Angle Gauge &amp; 70550 Hex Key Set, 11 SAE Sizes, Heavy Duty Folding Allen Wrench Tool with Extra Long Hex Keys</t>
        </is>
      </c>
      <c r="E1285" s="2">
        <f>HYPERLINK("https://www.amazon.com/Klein-Tools-Digital-Electronic-Folding/dp/B08KHQV6B2/ref=sr_1_3?keywords=Klein+Tools+70550+Pro+Folding+Hex+Key+Set%2C+11-Key%2C+SAE+Sizes&amp;qid=1694734808&amp;sr=8-3", "https://www.amazon.com/Klein-Tools-Digital-Electronic-Folding/dp/B08KHQV6B2/ref=sr_1_3?keywords=Klein+Tools+70550+Pro+Folding+Hex+Key+Set%2C+11-Key%2C+SAE+Sizes&amp;qid=1694734808&amp;sr=8-3")</f>
        <v/>
      </c>
      <c r="F1285" t="inlineStr">
        <is>
          <t>B08KHQV6B2</t>
        </is>
      </c>
      <c r="G1285">
        <f>_xlfn.IMAGE("https://edmondsonsupply.com/cdn/shop/products/70550.jpg?v=1587145237")</f>
        <v/>
      </c>
      <c r="H1285">
        <f>_xlfn.IMAGE("https://m.media-amazon.com/images/I/513upRrvYQL._AC_UL320_.jpg")</f>
        <v/>
      </c>
      <c r="K1285" t="inlineStr">
        <is>
          <t>19.97</t>
        </is>
      </c>
      <c r="L1285" t="n">
        <v>49.94</v>
      </c>
      <c r="M1285" s="1" t="inlineStr">
        <is>
          <t>150.08%</t>
        </is>
      </c>
      <c r="N1285" s="7" t="n">
        <v>51.6</v>
      </c>
      <c r="O1285" t="n">
        <v>4.8</v>
      </c>
      <c r="P1285" t="n">
        <v>64</v>
      </c>
      <c r="R1285" t="inlineStr">
        <is>
          <t>InStock</t>
        </is>
      </c>
      <c r="S1285" t="inlineStr">
        <is>
          <t>27.18</t>
        </is>
      </c>
      <c r="T1285" t="inlineStr">
        <is>
          <t>3693538082916</t>
        </is>
      </c>
    </row>
    <row r="1286" ht="87" customHeight="1">
      <c r="A1286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286" s="2">
        <f>HYPERLINK("https://edmondsonsupply.com/products/klein-tools-32907-7-in-1-impact-flip-socket-set-no-handle", "https://edmondsonsupply.com/products/klein-tools-32907-7-in-1-impact-flip-socket-set-no-handle")</f>
        <v/>
      </c>
      <c r="C1286" t="inlineStr">
        <is>
          <t>Klein Tools 32907 7-in-1 Impact Flip Socket Set, No Handle</t>
        </is>
      </c>
      <c r="D1286" t="inlineStr">
        <is>
          <t>Klein Tools 66070 Impact Socket Set, Impact Driver Flip Socket, Five Sockets with 1/4-Inch Hex and 1/2-Inch Square Socket Adapters, 7-Piece</t>
        </is>
      </c>
      <c r="E1286" s="2">
        <f>HYPERLINK("https://www.amazon.com/Klein-Tools-66070-Sockets-Adapters/dp/B0B33XLXD1/ref=sr_1_14?keywords=Klein+Tools+32907+7-in-1+Impact+Flip+Socket+Set%2C+No+Handle&amp;qid=1694734636&amp;sr=8-14", "https://www.amazon.com/Klein-Tools-66070-Sockets-Adapters/dp/B0B33XLXD1/ref=sr_1_14?keywords=Klein+Tools+32907+7-in-1+Impact+Flip+Socket+Set%2C+No+Handle&amp;qid=1694734636&amp;sr=8-14")</f>
        <v/>
      </c>
      <c r="F1286" t="inlineStr">
        <is>
          <t>B0B33XLXD1</t>
        </is>
      </c>
      <c r="G1286">
        <f>_xlfn.IMAGE("https://edmondsonsupply.com/cdn/shop/products/32907_b.jpg?v=1666025282")</f>
        <v/>
      </c>
      <c r="H1286">
        <f>_xlfn.IMAGE("https://m.media-amazon.com/images/I/71D23SffznL._AC_UL320_.jpg")</f>
        <v/>
      </c>
      <c r="K1286" t="inlineStr">
        <is>
          <t>19.99</t>
        </is>
      </c>
      <c r="L1286" t="n">
        <v>49.97</v>
      </c>
      <c r="M1286" s="1" t="inlineStr">
        <is>
          <t>149.97%</t>
        </is>
      </c>
      <c r="N1286" s="7" t="n">
        <v>51.6</v>
      </c>
      <c r="O1286" t="n">
        <v>4.8</v>
      </c>
      <c r="P1286" t="n">
        <v>1150</v>
      </c>
      <c r="R1286" t="inlineStr">
        <is>
          <t>InStock</t>
        </is>
      </c>
      <c r="S1286" t="inlineStr">
        <is>
          <t>29.18</t>
        </is>
      </c>
      <c r="T1286" t="inlineStr">
        <is>
          <t>7856653009112</t>
        </is>
      </c>
    </row>
    <row r="1287" ht="87" customHeight="1">
      <c r="A1287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287" s="2">
        <f>HYPERLINK("https://edmondsonsupply.com/products/klein-tools-32907-7-in-1-impact-flip-socket-set-no-handle", "https://edmondsonsupply.com/products/klein-tools-32907-7-in-1-impact-flip-socket-set-no-handle")</f>
        <v/>
      </c>
      <c r="C1287" t="inlineStr">
        <is>
          <t>Klein Tools 32907 7-in-1 Impact Flip Socket Set, No Handle</t>
        </is>
      </c>
      <c r="D1287" t="inlineStr">
        <is>
          <t>Klein Tools 1005 Cutting/Crimping Tool for 10-22 AWG Terminals and Connectors &amp; Impact Driver, 7-in-1 Impact Flip Socket Set, 6 Hex Driver Sizes plus a 1/4-Inch Bit Holder 32907</t>
        </is>
      </c>
      <c r="E1287" s="2">
        <f>HYPERLINK("https://www.amazon.com/Klein-Tools-Crimping-Terminals-Connectors/dp/B0CF2CKLLP/ref=sr_1_12?keywords=Klein+Tools+32907+7-in-1+Impact+Flip+Socket+Set%2C+No+Handle&amp;qid=1694734636&amp;sr=8-12", "https://www.amazon.com/Klein-Tools-Crimping-Terminals-Connectors/dp/B0CF2CKLLP/ref=sr_1_12?keywords=Klein+Tools+32907+7-in-1+Impact+Flip+Socket+Set%2C+No+Handle&amp;qid=1694734636&amp;sr=8-12")</f>
        <v/>
      </c>
      <c r="F1287" t="inlineStr">
        <is>
          <t>B0CF2CKLLP</t>
        </is>
      </c>
      <c r="G1287">
        <f>_xlfn.IMAGE("https://edmondsonsupply.com/cdn/shop/products/32907_b.jpg?v=1666025282")</f>
        <v/>
      </c>
      <c r="H1287">
        <f>_xlfn.IMAGE("https://m.media-amazon.com/images/I/41qBLmw5s2L._AC_UL320_.jpg")</f>
        <v/>
      </c>
      <c r="K1287" t="inlineStr">
        <is>
          <t>19.99</t>
        </is>
      </c>
      <c r="L1287" t="n">
        <v>49.96</v>
      </c>
      <c r="M1287" s="1" t="inlineStr">
        <is>
          <t>149.92%</t>
        </is>
      </c>
      <c r="N1287" s="7" t="n">
        <v>51.53</v>
      </c>
      <c r="O1287" t="n">
        <v>4.9</v>
      </c>
      <c r="P1287" t="n">
        <v>3897</v>
      </c>
      <c r="R1287" t="inlineStr">
        <is>
          <t>InStock</t>
        </is>
      </c>
      <c r="S1287" t="inlineStr">
        <is>
          <t>29.18</t>
        </is>
      </c>
      <c r="T1287" t="inlineStr">
        <is>
          <t>7856653009112</t>
        </is>
      </c>
    </row>
    <row r="1288" ht="87" customHeight="1">
      <c r="A1288" s="2">
        <f>HYPERLINK("https://edmondsonsupply.com/collections/hvac/products/midwest-mwt-6900r-upright-right-cutting-aviation-snip", "https://edmondsonsupply.com/collections/hvac/products/midwest-mwt-6900r-upright-right-cutting-aviation-snip")</f>
        <v/>
      </c>
      <c r="B1288" s="2">
        <f>HYPERLINK("https://edmondsonsupply.com/products/midwest-mwt-6900r-upright-right-cutting-aviation-snip", "https://edmondsonsupply.com/products/midwest-mwt-6900r-upright-right-cutting-aviation-snip")</f>
        <v/>
      </c>
      <c r="C1288" t="inlineStr">
        <is>
          <t>Midwest MWT-6900R Upright Right-Cutting Aviation Snip</t>
        </is>
      </c>
      <c r="D1288" t="inlineStr">
        <is>
          <t>MIDWEST Aviation Snip Set - Left and Right Cut Offset Tin Cutting Shears with Forged Blade &amp; KUSH'N-POWER Comfort Grips - MWT-6510C</t>
        </is>
      </c>
      <c r="E1288" s="2">
        <f>HYPERLINK("https://www.amazon.com/MIDWEST-Aviation-Snip-Set-KUSHN-POWER/dp/B00OCGQG3S/ref=sr_1_5?keywords=Midwest+MWT-6900R+Upright+Right-Cutting+Aviation+Snip&amp;qid=1694734651&amp;sr=8-5", "https://www.amazon.com/MIDWEST-Aviation-Snip-Set-KUSHN-POWER/dp/B00OCGQG3S/ref=sr_1_5?keywords=Midwest+MWT-6900R+Upright+Right-Cutting+Aviation+Snip&amp;qid=1694734651&amp;sr=8-5")</f>
        <v/>
      </c>
      <c r="F1288" t="inlineStr">
        <is>
          <t>B00OCGQG3S</t>
        </is>
      </c>
      <c r="G1288">
        <f>_xlfn.IMAGE("https://edmondsonsupply.com/cdn/shop/products/MW-P6900R1.jpg?v=1587142622")</f>
        <v/>
      </c>
      <c r="H1288">
        <f>_xlfn.IMAGE("https://m.media-amazon.com/images/I/71J9tcnJ-SL._AC_UL320_.jpg")</f>
        <v/>
      </c>
      <c r="K1288" t="inlineStr">
        <is>
          <t>25.29</t>
        </is>
      </c>
      <c r="L1288" t="n">
        <v>63.17</v>
      </c>
      <c r="M1288" s="1" t="inlineStr">
        <is>
          <t>149.78%</t>
        </is>
      </c>
      <c r="N1288" s="7" t="n">
        <v>51.15</v>
      </c>
      <c r="O1288" t="n">
        <v>4.7</v>
      </c>
      <c r="P1288" t="n">
        <v>5991</v>
      </c>
      <c r="R1288" t="inlineStr">
        <is>
          <t>InStock</t>
        </is>
      </c>
      <c r="S1288" t="inlineStr">
        <is>
          <t>37.05</t>
        </is>
      </c>
      <c r="T1288" t="inlineStr">
        <is>
          <t>4509684596836</t>
        </is>
      </c>
    </row>
    <row r="1289" ht="87" customHeight="1">
      <c r="A1289" s="2">
        <f>HYPERLINK("https://edmondsonsupply.com/collections/hvac/products/midwest-mwt-6510l-left-offset-aviation-snip", "https://edmondsonsupply.com/collections/hvac/products/midwest-mwt-6510l-left-offset-aviation-snip")</f>
        <v/>
      </c>
      <c r="B1289" s="2">
        <f>HYPERLINK("https://edmondsonsupply.com/products/midwest-mwt-6510l-left-offset-aviation-snip", "https://edmondsonsupply.com/products/midwest-mwt-6510l-left-offset-aviation-snip")</f>
        <v/>
      </c>
      <c r="C1289" t="inlineStr">
        <is>
          <t>Midwest MWT-6510L Left Offset Aviation Snip</t>
        </is>
      </c>
      <c r="D1289" t="inlineStr">
        <is>
          <t>Midwest Tools and Cutlery MWT-6510C Midwest Snips Forged Blade Offset Aviation Snips Set (Pack of 2)</t>
        </is>
      </c>
      <c r="E1289" s="2">
        <f>HYPERLINK("https://www.amazon.com/Midwest-Tools-Cutlery-MWT-6510C-Aviation/dp/B01J9IC5D8/ref=sr_1_6?keywords=Midwest+MWT-6510L+Left+Offset+Aviation+Snip&amp;qid=1694734618&amp;sr=8-6", "https://www.amazon.com/Midwest-Tools-Cutlery-MWT-6510C-Aviation/dp/B01J9IC5D8/ref=sr_1_6?keywords=Midwest+MWT-6510L+Left+Offset+Aviation+Snip&amp;qid=1694734618&amp;sr=8-6")</f>
        <v/>
      </c>
      <c r="F1289" t="inlineStr">
        <is>
          <t>B01J9IC5D8</t>
        </is>
      </c>
      <c r="G1289">
        <f>_xlfn.IMAGE("https://edmondsonsupply.com/cdn/shop/products/mwt-6510l.png?v=1587142880")</f>
        <v/>
      </c>
      <c r="H1289">
        <f>_xlfn.IMAGE("https://m.media-amazon.com/images/I/71GdMeiK3LL._AC_UL320_.jpg")</f>
        <v/>
      </c>
      <c r="K1289" t="inlineStr">
        <is>
          <t>25.99</t>
        </is>
      </c>
      <c r="L1289" t="n">
        <v>64.79000000000001</v>
      </c>
      <c r="M1289" s="1" t="inlineStr">
        <is>
          <t>149.29%</t>
        </is>
      </c>
      <c r="N1289" s="7" t="n">
        <v>51.02</v>
      </c>
      <c r="O1289" t="n">
        <v>4.7</v>
      </c>
      <c r="P1289" t="n">
        <v>403</v>
      </c>
      <c r="R1289" t="inlineStr">
        <is>
          <t>InStock</t>
        </is>
      </c>
      <c r="S1289" t="inlineStr">
        <is>
          <t>33.49</t>
        </is>
      </c>
      <c r="T1289" t="inlineStr">
        <is>
          <t>3688846917732</t>
        </is>
      </c>
    </row>
    <row r="1290" ht="87" customHeight="1">
      <c r="A1290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1290" s="2">
        <f>HYPERLINK("https://edmondsonsupply.com/products/midwest-mwt-ss6716l-special-hardness-aviation-snip-left-cutting", "https://edmondsonsupply.com/products/midwest-mwt-ss6716l-special-hardness-aviation-snip-left-cutting")</f>
        <v/>
      </c>
      <c r="C1290" t="inlineStr">
        <is>
          <t>Midwest MWT-SS6716L Special Hardness Aviation Snip - Left-Cutting</t>
        </is>
      </c>
      <c r="D1290" t="inlineStr">
        <is>
          <t>Midwest Tools and Cutlery MWT-SS6510R Snips Forged Blade Special Hardness Offset Right Aviation Snip, Cuts Stainless Steel</t>
        </is>
      </c>
      <c r="E1290" s="2">
        <f>HYPERLINK("https://www.amazon.com/Midwest-Tools-Cutlery-MWT-SS6510R-Stainless/dp/B01J7IOB64/ref=sr_1_3?keywords=Midwest+MWT-SS6716L+Special+Hardness+Aviation+Snip+-+Left-Cutting&amp;qid=1694734623&amp;sr=8-3", "https://www.amazon.com/Midwest-Tools-Cutlery-MWT-SS6510R-Stainless/dp/B01J7IOB64/ref=sr_1_3?keywords=Midwest+MWT-SS6716L+Special+Hardness+Aviation+Snip+-+Left-Cutting&amp;qid=1694734623&amp;sr=8-3")</f>
        <v/>
      </c>
      <c r="F1290" t="inlineStr">
        <is>
          <t>B01J7IOB64</t>
        </is>
      </c>
      <c r="G1290">
        <f>_xlfn.IMAGE("https://edmondsonsupply.com/cdn/shop/products/MWT-SS6716L1.jpg?v=1587151241")</f>
        <v/>
      </c>
      <c r="H1290">
        <f>_xlfn.IMAGE("https://m.media-amazon.com/images/I/61rvvPEnRIL._AC_UL320_.jpg")</f>
        <v/>
      </c>
      <c r="K1290" t="inlineStr">
        <is>
          <t>25.49</t>
        </is>
      </c>
      <c r="L1290" t="n">
        <v>63.44</v>
      </c>
      <c r="M1290" s="1" t="inlineStr">
        <is>
          <t>148.88%</t>
        </is>
      </c>
      <c r="N1290" s="7" t="n">
        <v>51.02</v>
      </c>
      <c r="O1290" t="n">
        <v>4.4</v>
      </c>
      <c r="P1290" t="n">
        <v>28</v>
      </c>
      <c r="R1290" t="inlineStr">
        <is>
          <t>InStock</t>
        </is>
      </c>
      <c r="S1290" t="inlineStr">
        <is>
          <t>36.2</t>
        </is>
      </c>
      <c r="T1290" t="inlineStr">
        <is>
          <t>4508646277220</t>
        </is>
      </c>
    </row>
    <row r="1291" ht="87" customHeight="1">
      <c r="A1291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291" s="2">
        <f>HYPERLINK("https://edmondsonsupply.com/products/klein-tools-32314-14-in-1-precision-screwdriver-nut-driver", "https://edmondsonsupply.com/products/klein-tools-32314-14-in-1-precision-screwdriver-nut-driver")</f>
        <v/>
      </c>
      <c r="C1291" t="inlineStr">
        <is>
          <t>Klein Tools 32314 14-in-1 Precision Screwdriver/ Nut Driver</t>
        </is>
      </c>
      <c r="D1291" t="inlineStr">
        <is>
          <t>Screwdriver, 14-in-1 Adjustable Screwdriver with Flip Socket, HVAC Nut Drivers and Bits &amp; Klein Tools 32314 Electronic Screwdriver, 14-in-1 with 8 Precision Tips, Slotted, 6 Precision Nut Drivers</t>
        </is>
      </c>
      <c r="E1291" s="2">
        <f>HYPERLINK("https://www.amazon.com/Screwdriver-Adjustable-Klein-Tools-Electronic/dp/B0BM34Q1QR/ref=sr_1_4?keywords=Klein+Tools+32314+14-in-1+Precision+Screwdriver%2F+Nut+Driver&amp;qid=1694734697&amp;sr=8-4", "https://www.amazon.com/Screwdriver-Adjustable-Klein-Tools-Electronic/dp/B0BM34Q1QR/ref=sr_1_4?keywords=Klein+Tools+32314+14-in-1+Precision+Screwdriver%2F+Nut+Driver&amp;qid=1694734697&amp;sr=8-4")</f>
        <v/>
      </c>
      <c r="F1291" t="inlineStr">
        <is>
          <t>B0BM34Q1QR</t>
        </is>
      </c>
      <c r="G1291">
        <f>_xlfn.IMAGE("https://edmondsonsupply.com/cdn/shop/products/32314.jpg?v=1646593726")</f>
        <v/>
      </c>
      <c r="H1291">
        <f>_xlfn.IMAGE("https://m.media-amazon.com/images/I/41C5e4ThtpL._AC_UL320_.jpg")</f>
        <v/>
      </c>
      <c r="K1291" t="inlineStr">
        <is>
          <t>15.97</t>
        </is>
      </c>
      <c r="L1291" t="n">
        <v>39.74</v>
      </c>
      <c r="M1291" s="1" t="inlineStr">
        <is>
          <t>148.84%</t>
        </is>
      </c>
      <c r="N1291" s="7" t="n">
        <v>50.86</v>
      </c>
      <c r="O1291" t="n">
        <v>5</v>
      </c>
      <c r="P1291" t="n">
        <v>1</v>
      </c>
      <c r="R1291" t="inlineStr">
        <is>
          <t>InStock</t>
        </is>
      </c>
      <c r="S1291" t="inlineStr">
        <is>
          <t>22.38</t>
        </is>
      </c>
      <c r="T1291" t="inlineStr">
        <is>
          <t>7626984947928</t>
        </is>
      </c>
    </row>
    <row r="1292" ht="87" customHeight="1">
      <c r="A1292" s="2">
        <f>HYPERLINK("https://edmondsonsupply.com/collections/hvac/products/nu-calgon-4372-24-triclean-2x-coil-cleaner-1-quart", "https://edmondsonsupply.com/collections/hvac/products/nu-calgon-4372-24-triclean-2x-coil-cleaner-1-quart")</f>
        <v/>
      </c>
      <c r="B1292" s="2">
        <f>HYPERLINK("https://edmondsonsupply.com/products/nu-calgon-4372-24-triclean-2x-coil-cleaner-1-quart", "https://edmondsonsupply.com/products/nu-calgon-4372-24-triclean-2x-coil-cleaner-1-quart")</f>
        <v/>
      </c>
      <c r="C1292" t="inlineStr">
        <is>
          <t>Nu-Calgon 4372-24 TriClean 2x Coil Cleaner, 1 quart</t>
        </is>
      </c>
      <c r="D1292" t="inlineStr">
        <is>
          <t>Nu-Calgon 4372-24 TriClean 2x Concentrated Coil Cleaner w/Hose Connector, Pack of 2</t>
        </is>
      </c>
      <c r="E1292" s="2">
        <f>HYPERLINK("https://www.amazon.com/Nu-Calgon-4372-24-TriClean-Concentrated-Connector/dp/B07C1YSTDC/ref=sr_1_3?keywords=Nu-Calgon+4372-24+TriClean+2x+Coil+Cleaner%2C+1+quart&amp;qid=1694734636&amp;sr=8-3", "https://www.amazon.com/Nu-Calgon-4372-24-TriClean-Concentrated-Connector/dp/B07C1YSTDC/ref=sr_1_3?keywords=Nu-Calgon+4372-24+TriClean+2x+Coil+Cleaner%2C+1+quart&amp;qid=1694734636&amp;sr=8-3")</f>
        <v/>
      </c>
      <c r="F1292" t="inlineStr">
        <is>
          <t>B07C1YSTDC</t>
        </is>
      </c>
      <c r="G1292">
        <f>_xlfn.IMAGE("https://edmondsonsupply.com/cdn/shop/products/4372-24.jpg?v=1658873195")</f>
        <v/>
      </c>
      <c r="H1292">
        <f>_xlfn.IMAGE("https://m.media-amazon.com/images/I/61dmMbjxglL._AC_UL320_.jpg")</f>
        <v/>
      </c>
      <c r="K1292" t="inlineStr">
        <is>
          <t>23.29</t>
        </is>
      </c>
      <c r="L1292" t="n">
        <v>57.91</v>
      </c>
      <c r="M1292" s="1" t="inlineStr">
        <is>
          <t>148.65%</t>
        </is>
      </c>
      <c r="N1292" s="7" t="n">
        <v>50.68</v>
      </c>
      <c r="O1292" t="n">
        <v>5</v>
      </c>
      <c r="P1292" t="n">
        <v>2</v>
      </c>
      <c r="R1292" t="inlineStr">
        <is>
          <t>InStock</t>
        </is>
      </c>
      <c r="S1292" t="inlineStr">
        <is>
          <t>33.48</t>
        </is>
      </c>
      <c r="T1292" t="inlineStr">
        <is>
          <t>7761828315352</t>
        </is>
      </c>
    </row>
    <row r="1293" ht="87" customHeight="1">
      <c r="A1293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1293" s="2">
        <f>HYPERLINK("https://edmondsonsupply.com/products/klein-tools-s8m-1-4-inch-magnetic-nut-driver-3-inch-shank", "https://edmondsonsupply.com/products/klein-tools-s8m-1-4-inch-magnetic-nut-driver-3-inch-shank")</f>
        <v/>
      </c>
      <c r="C1293" t="inlineStr">
        <is>
          <t>Klein Tools S8M 1/4-Inch Magnetic Nut Driver 3-Inch Shank</t>
        </is>
      </c>
      <c r="D1293" t="inlineStr">
        <is>
          <t>Klein Tools 646M Tool Set, Magnetic Nut Drivers Sizes 1/4 and 5/16-Inch, 6-Inch Shafts, 2-Piece</t>
        </is>
      </c>
      <c r="E1293" s="2">
        <f>HYPERLINK("https://www.amazon.com/Magnetic-16-Inch-Klein-Tools-646M/dp/B000936QV0/ref=sr_1_13?keywords=Klein+Tools+S8M+1%2F4-Inch+Magnetic+Nut+Driver+3-Inch+Shank&amp;qid=1694734781&amp;sr=8-13", "https://www.amazon.com/Magnetic-16-Inch-Klein-Tools-646M/dp/B000936QV0/ref=sr_1_13?keywords=Klein+Tools+S8M+1%2F4-Inch+Magnetic+Nut+Driver+3-Inch+Shank&amp;qid=1694734781&amp;sr=8-13")</f>
        <v/>
      </c>
      <c r="F1293" t="inlineStr">
        <is>
          <t>B000936QV0</t>
        </is>
      </c>
      <c r="G1293">
        <f>_xlfn.IMAGE("https://edmondsonsupply.com/cdn/shop/products/s8m.jpg?v=1633030818")</f>
        <v/>
      </c>
      <c r="H1293">
        <f>_xlfn.IMAGE("https://m.media-amazon.com/images/I/41lkJ6KRq9L._AC_UL320_.jpg")</f>
        <v/>
      </c>
      <c r="K1293" t="inlineStr">
        <is>
          <t>8.99</t>
        </is>
      </c>
      <c r="L1293" t="n">
        <v>22.34</v>
      </c>
      <c r="M1293" s="1" t="inlineStr">
        <is>
          <t>148.50%</t>
        </is>
      </c>
      <c r="N1293" s="7" t="n">
        <v>50.6</v>
      </c>
      <c r="O1293" t="n">
        <v>4.8</v>
      </c>
      <c r="P1293" t="n">
        <v>1652</v>
      </c>
      <c r="R1293" t="inlineStr">
        <is>
          <t>InStock</t>
        </is>
      </c>
      <c r="S1293" t="inlineStr">
        <is>
          <t>13.62</t>
        </is>
      </c>
      <c r="T1293" t="inlineStr">
        <is>
          <t>6072223957165</t>
        </is>
      </c>
    </row>
    <row r="1294" hidden="1" ht="15.75" customHeight="1">
      <c r="A1294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294" s="2">
        <f>HYPERLINK("https://edmondsonsupply.com/products/packard-ptmj56-motor-start-capacitor-53-64-mfd-220-250-vac", "https://edmondsonsupply.com/products/packard-ptmj56-motor-start-capacitor-53-64-mfd-220-250-vac")</f>
        <v/>
      </c>
      <c r="C1294" t="inlineStr">
        <is>
          <t>Packard PTMJ56 Motor Start Capacitor 53-64 MFD 220-250 VAC</t>
        </is>
      </c>
      <c r="D1294" t="inlineStr">
        <is>
          <t>HQRP 53-64uf 220V Start Capacitor Works with AC Electric Motor Start HVAC Blower Compressor Pump Garage Door Opener 53-64MFD CD60 UL Listed</t>
        </is>
      </c>
      <c r="E1294" s="2">
        <f>HYPERLINK("https://www.amazon.com/HQRP-Capacitor-Electric-Compressor-53-64MFD/dp/B088HFCPZ7/ref=sr_1_13?keywords=Packard+PTMJ56+Motor+Start+Capacitor+53-64+MFD+220-250+VAC&amp;qid=1694734647&amp;sr=8-13", "https://www.amazon.com/HQRP-Capacitor-Electric-Compressor-53-64MFD/dp/B088HFCPZ7/ref=sr_1_13?keywords=Packard+PTMJ56+Motor+Start+Capacitor+53-64+MFD+220-250+VAC&amp;qid=1694734647&amp;sr=8-13")</f>
        <v/>
      </c>
      <c r="F1294" t="inlineStr">
        <is>
          <t>B088HFCPZ7</t>
        </is>
      </c>
      <c r="G1294">
        <f>_xludf.IMAGE("https://edmondsonsupply.com/cdn/shop/products/PTMJ56-2.jpg?v=1633030199")</f>
        <v/>
      </c>
      <c r="H1294">
        <f>_xludf.IMAGE("https://m.media-amazon.com/images/I/81Neybur8jL._AC_UY218_.jpg")</f>
        <v/>
      </c>
      <c r="K1294" t="inlineStr">
        <is>
          <t>3.59</t>
        </is>
      </c>
      <c r="L1294" t="n">
        <v>8.91</v>
      </c>
      <c r="M1294" s="1" t="inlineStr">
        <is>
          <t>148.19%</t>
        </is>
      </c>
      <c r="N1294" s="1" t="n">
        <v>50.54</v>
      </c>
      <c r="O1294" t="n">
        <v>4.5</v>
      </c>
      <c r="P1294" t="n">
        <v>1054</v>
      </c>
      <c r="R1294" t="inlineStr">
        <is>
          <t>InStock</t>
        </is>
      </c>
      <c r="S1294" t="inlineStr">
        <is>
          <t>undefined</t>
        </is>
      </c>
      <c r="T1294" t="inlineStr">
        <is>
          <t>4414971347044</t>
        </is>
      </c>
    </row>
    <row r="1295" ht="87" customHeight="1">
      <c r="A1295" s="2">
        <f>HYPERLINK("https://edmondsonsupply.com/collections/hvac/products/packard-c140b-contactor-1-pole-40-amps-120-coil-voltage", "https://edmondsonsupply.com/collections/hvac/products/packard-c140b-contactor-1-pole-40-amps-120-coil-voltage")</f>
        <v/>
      </c>
      <c r="B1295" s="2">
        <f>HYPERLINK("https://edmondsonsupply.com/products/packard-c140b-contactor-1-pole-40-amps-120-coil-voltage", "https://edmondsonsupply.com/products/packard-c140b-contactor-1-pole-40-amps-120-coil-voltage")</f>
        <v/>
      </c>
      <c r="C1295" t="inlineStr">
        <is>
          <t>Packard C140B Contactor 1 Pole 40 Amps 120 Coil Voltage</t>
        </is>
      </c>
      <c r="D1295" t="inlineStr">
        <is>
          <t>Packard C340B 3 Pole 40 Amp Contactor 120 Volt Coil Contactor</t>
        </is>
      </c>
      <c r="E1295" s="2">
        <f>HYPERLINK("https://www.amazon.com/Packard-C340B-Pole-Contactor-Volt/dp/B004ZRWG9C/ref=sr_1_13?keywords=Packard+C140B+Contactor+1+Pole+40+Amps+120+Coil+Voltage&amp;qid=1694734666&amp;sr=8-13", "https://www.amazon.com/Packard-C340B-Pole-Contactor-Volt/dp/B004ZRWG9C/ref=sr_1_13?keywords=Packard+C140B+Contactor+1+Pole+40+Amps+120+Coil+Voltage&amp;qid=1694734666&amp;sr=8-13")</f>
        <v/>
      </c>
      <c r="F1295" t="inlineStr">
        <is>
          <t>B004ZRWG9C</t>
        </is>
      </c>
      <c r="G1295">
        <f>_xlfn.IMAGE("https://edmondsonsupply.com/cdn/shop/products/C140B-1.jpg?v=1633030391")</f>
        <v/>
      </c>
      <c r="H1295">
        <f>_xlfn.IMAGE("https://m.media-amazon.com/images/I/51gHoreDQdS._AC_UY218_.jpg")</f>
        <v/>
      </c>
      <c r="K1295" t="inlineStr">
        <is>
          <t>9.82</t>
        </is>
      </c>
      <c r="L1295" t="n">
        <v>24.34</v>
      </c>
      <c r="M1295" s="1" t="inlineStr">
        <is>
          <t>147.86%</t>
        </is>
      </c>
      <c r="N1295" s="7" t="n">
        <v>50.53</v>
      </c>
      <c r="O1295" t="n">
        <v>4.2</v>
      </c>
      <c r="P1295" t="n">
        <v>53</v>
      </c>
      <c r="R1295" t="inlineStr">
        <is>
          <t>InStock</t>
        </is>
      </c>
      <c r="S1295" t="inlineStr">
        <is>
          <t>undefined</t>
        </is>
      </c>
      <c r="T1295" t="inlineStr">
        <is>
          <t>5301666218152</t>
        </is>
      </c>
    </row>
    <row r="1296" ht="87" customHeight="1">
      <c r="A1296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1296" s="2">
        <f>HYPERLINK("https://edmondsonsupply.com/products/midwest-mwt-ss6716l-special-hardness-aviation-snip-left-cutting", "https://edmondsonsupply.com/products/midwest-mwt-ss6716l-special-hardness-aviation-snip-left-cutting")</f>
        <v/>
      </c>
      <c r="C1296" t="inlineStr">
        <is>
          <t>Midwest MWT-SS6716L Special Hardness Aviation Snip - Left-Cutting</t>
        </is>
      </c>
      <c r="D1296" t="inlineStr">
        <is>
          <t>MIDWEST Aviation Snip Set - Left and Right Cut Offset Tin Cutting Shears with Forged Blade &amp; KUSH'N-POWER Comfort Grips - MWT-6510C</t>
        </is>
      </c>
      <c r="E1296" s="2">
        <f>HYPERLINK("https://www.amazon.com/MIDWEST-Aviation-Snip-Set-KUSHN-POWER/dp/B00OCGQG3S/ref=sr_1_5?keywords=Midwest+MWT-SS6716L+Special+Hardness+Aviation+Snip+-+Left-Cutting&amp;qid=1694734623&amp;sr=8-5", "https://www.amazon.com/MIDWEST-Aviation-Snip-Set-KUSHN-POWER/dp/B00OCGQG3S/ref=sr_1_5?keywords=Midwest+MWT-SS6716L+Special+Hardness+Aviation+Snip+-+Left-Cutting&amp;qid=1694734623&amp;sr=8-5")</f>
        <v/>
      </c>
      <c r="F1296" t="inlineStr">
        <is>
          <t>B00OCGQG3S</t>
        </is>
      </c>
      <c r="G1296">
        <f>_xlfn.IMAGE("https://edmondsonsupply.com/cdn/shop/products/MWT-SS6716L1.jpg?v=1587151241")</f>
        <v/>
      </c>
      <c r="H1296">
        <f>_xlfn.IMAGE("https://m.media-amazon.com/images/I/71J9tcnJ-SL._AC_UL320_.jpg")</f>
        <v/>
      </c>
      <c r="K1296" t="inlineStr">
        <is>
          <t>25.49</t>
        </is>
      </c>
      <c r="L1296" t="n">
        <v>63.17</v>
      </c>
      <c r="M1296" s="1" t="inlineStr">
        <is>
          <t>147.82%</t>
        </is>
      </c>
      <c r="N1296" s="7" t="n">
        <v>50.46</v>
      </c>
      <c r="O1296" t="n">
        <v>4.7</v>
      </c>
      <c r="P1296" t="n">
        <v>5991</v>
      </c>
      <c r="R1296" t="inlineStr">
        <is>
          <t>InStock</t>
        </is>
      </c>
      <c r="S1296" t="inlineStr">
        <is>
          <t>36.2</t>
        </is>
      </c>
      <c r="T1296" t="inlineStr">
        <is>
          <t>4508646277220</t>
        </is>
      </c>
    </row>
    <row r="1297" ht="87" customHeight="1">
      <c r="A1297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297" s="2">
        <f>HYPERLINK("https://edmondsonsupply.com/products/klein-tools-11053-klein-kurve%c2%ae-wire-stripper-cutter", "https://edmondsonsupply.com/products/klein-tools-11053-klein-kurve%c2%ae-wire-stripper-cutter")</f>
        <v/>
      </c>
      <c r="C1297" t="inlineStr">
        <is>
          <t>Klein Tools 11053 Klein-Kurve® Wire Stripper/Cutter</t>
        </is>
      </c>
      <c r="D1297" t="inlineStr">
        <is>
          <t>Klein Tools 11063W Wire Cutter/Wire Stripper, Heavy Duty Wire Stripper Tool &amp; 11061 Wire Stripper/Wire Cutter for Solid and Stranded AWG Wire, Heavy Duty Kleins are Self Adjusting</t>
        </is>
      </c>
      <c r="E1297" s="2">
        <f>HYPERLINK("https://www.amazon.com/Klein-Tools-Stripper-Stranded-Adjusting/dp/B08ZPWWTN2/ref=sr_1_35?keywords=Klein+Tools+11053+Klein-Kurve%C2%AE+Wire+Stripper%2FCutter&amp;qid=1694734664&amp;sr=8-35", "https://www.amazon.com/Klein-Tools-Stripper-Stranded-Adjusting/dp/B08ZPWWTN2/ref=sr_1_35?keywords=Klein+Tools+11053+Klein-Kurve%C2%AE+Wire+Stripper%2FCutter&amp;qid=1694734664&amp;sr=8-35")</f>
        <v/>
      </c>
      <c r="F1297" t="inlineStr">
        <is>
          <t>B08ZPWWTN2</t>
        </is>
      </c>
      <c r="G1297">
        <f>_xlfn.IMAGE("https://edmondsonsupply.com/cdn/shop/products/11053.jpg?v=1633030511")</f>
        <v/>
      </c>
      <c r="H1297">
        <f>_xlfn.IMAGE("https://m.media-amazon.com/images/I/41+WzGiz14L._AC_UL320_.jpg")</f>
        <v/>
      </c>
      <c r="K1297" t="inlineStr">
        <is>
          <t>20.97</t>
        </is>
      </c>
      <c r="L1297" t="n">
        <v>51.94</v>
      </c>
      <c r="M1297" s="1" t="inlineStr">
        <is>
          <t>147.69%</t>
        </is>
      </c>
      <c r="N1297" s="7" t="n">
        <v>50.13</v>
      </c>
      <c r="O1297" t="n">
        <v>4.8</v>
      </c>
      <c r="P1297" t="n">
        <v>84</v>
      </c>
      <c r="R1297" t="inlineStr">
        <is>
          <t>InStock</t>
        </is>
      </c>
      <c r="S1297" t="inlineStr">
        <is>
          <t>31.76</t>
        </is>
      </c>
      <c r="T1297" t="inlineStr">
        <is>
          <t>5387171299496</t>
        </is>
      </c>
    </row>
    <row r="1298" ht="87" customHeight="1">
      <c r="A1298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298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298" t="inlineStr">
        <is>
          <t>Klein Tools 32304 14-in-1 HVAC Adjustable-Length Impact Screwdriver with Flip Socket</t>
        </is>
      </c>
      <c r="D1298" t="inlineStr">
        <is>
          <t>Klein Tools 32304 Screwdriver, 14-in-1 Adjustable Screwdriver &amp; Impact Driver, 7-in-1 Impact Flip Socket Set &amp; Multi-bit Stubby Screwdriver, Impact Rated 8-in-1 Adjustable Magnetic Tool</t>
        </is>
      </c>
      <c r="E1298" s="2">
        <f>HYPERLINK("https://www.amazon.com/Klein-Tools-Screwdriver-Adjustable-Multi-bit/dp/B0C9994NG7/ref=sr_1_6?keywords=Klein+Tools+32304+14-in-1+HVAC+Adjustable-Length+Impact+Screwdriver+with+Flip+Socket&amp;qid=1694734657&amp;sr=8-6", "https://www.amazon.com/Klein-Tools-Screwdriver-Adjustable-Multi-bit/dp/B0C9994NG7/ref=sr_1_6?keywords=Klein+Tools+32304+14-in-1+HVAC+Adjustable-Length+Impact+Screwdriver+with+Flip+Socket&amp;qid=1694734657&amp;sr=8-6")</f>
        <v/>
      </c>
      <c r="F1298" t="inlineStr">
        <is>
          <t>B0C9994NG7</t>
        </is>
      </c>
      <c r="G1298">
        <f>_xlfn.IMAGE("https://edmondsonsupply.com/cdn/shop/products/32304.jpg?v=1666019479")</f>
        <v/>
      </c>
      <c r="H1298">
        <f>_xlfn.IMAGE("https://m.media-amazon.com/images/I/51++VSv2MoL._AC_UL320_.jpg")</f>
        <v/>
      </c>
      <c r="K1298" t="inlineStr">
        <is>
          <t>24.97</t>
        </is>
      </c>
      <c r="L1298" t="n">
        <v>61.73</v>
      </c>
      <c r="M1298" s="1" t="inlineStr">
        <is>
          <t>147.22%</t>
        </is>
      </c>
      <c r="N1298" s="7" t="n">
        <v>50.11</v>
      </c>
      <c r="O1298" t="n">
        <v>5</v>
      </c>
      <c r="P1298" t="n">
        <v>1</v>
      </c>
      <c r="R1298" t="inlineStr">
        <is>
          <t>InStock</t>
        </is>
      </c>
      <c r="S1298" t="inlineStr">
        <is>
          <t>34.98</t>
        </is>
      </c>
      <c r="T1298" t="inlineStr">
        <is>
          <t>7856604578008</t>
        </is>
      </c>
    </row>
    <row r="1299" hidden="1" ht="15.75" customHeight="1">
      <c r="A1299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299" s="2">
        <f>HYPERLINK("https://edmondsonsupply.com/products/packard-prmj88-motor-start-capacitor-88-108-mfd-330-volt", "https://edmondsonsupply.com/products/packard-prmj88-motor-start-capacitor-88-108-mfd-330-volt")</f>
        <v/>
      </c>
      <c r="C1299" t="inlineStr">
        <is>
          <t>Packard PRMJ88 Motor Start Capacitor 88-108 MFD 330 Volt</t>
        </is>
      </c>
      <c r="D1299" t="inlineStr">
        <is>
          <t>Appli Parts motor start capacitor 88-108 Mfd (microfarads) uF 330 VAC universal fit for electric motor applications 1-7/16 in Wide 3-3/8 in Height CON-88-330</t>
        </is>
      </c>
      <c r="E1299" s="2">
        <f>HYPERLINK("https://www.amazon.com/capacitor-microfarads-universal-electric-applications/dp/B01FSQQ5HM/ref=sr_1_13?keywords=Packard+PRMJ88+Motor+Start+Capacitor+88-108+MFD+330+Volt&amp;qid=1694734788&amp;sr=8-13", "https://www.amazon.com/capacitor-microfarads-universal-electric-applications/dp/B01FSQQ5HM/ref=sr_1_13?keywords=Packard+PRMJ88+Motor+Start+Capacitor+88-108+MFD+330+Volt&amp;qid=1694734788&amp;sr=8-13")</f>
        <v/>
      </c>
      <c r="F1299" t="inlineStr">
        <is>
          <t>B01FSQQ5HM</t>
        </is>
      </c>
      <c r="G1299">
        <f>_xludf.IMAGE("https://edmondsonsupply.com/cdn/shop/products/PRMJ88-2.jpg?v=1633030394")</f>
        <v/>
      </c>
      <c r="H1299">
        <f>_xludf.IMAGE("https://m.media-amazon.com/images/I/51Ua5s7fh-L._AC_UY218_.jpg")</f>
        <v/>
      </c>
      <c r="K1299" t="inlineStr">
        <is>
          <t>5.59</t>
        </is>
      </c>
      <c r="L1299" t="n">
        <v>13.79</v>
      </c>
      <c r="M1299" s="1" t="inlineStr">
        <is>
          <t>146.69%</t>
        </is>
      </c>
      <c r="N1299" s="1" t="n">
        <v>50.03</v>
      </c>
      <c r="O1299" t="n">
        <v>4.5</v>
      </c>
      <c r="P1299" t="n">
        <v>1387</v>
      </c>
      <c r="R1299" t="inlineStr">
        <is>
          <t>InStock</t>
        </is>
      </c>
      <c r="S1299" t="inlineStr">
        <is>
          <t>undefined</t>
        </is>
      </c>
      <c r="T1299" t="inlineStr">
        <is>
          <t>5302132179112</t>
        </is>
      </c>
    </row>
    <row r="1300" ht="87" customHeight="1">
      <c r="A1300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300" s="2">
        <f>HYPERLINK("https://edmondsonsupply.com/products/midwest-mwt-6510s-straight-offset-aviation-snip", "https://edmondsonsupply.com/products/midwest-mwt-6510s-straight-offset-aviation-snip")</f>
        <v/>
      </c>
      <c r="C1300" t="inlineStr">
        <is>
          <t>Midwest MWT-6510S Straight Offset Aviation Snip</t>
        </is>
      </c>
      <c r="D1300" t="inlineStr">
        <is>
          <t>MIDWEST Blackout Series Aviation Snip - Left Cut Offset Tin Cutting Shears with Forged Blade &amp; KUSH'N-POWER Comfort Grips - MWT-6510LO</t>
        </is>
      </c>
      <c r="E1300" s="2">
        <f>HYPERLINK("https://www.amazon.com/MIDWEST-Blackout-Aviation-Snip-KUSHN-POWER/dp/B00TJQL91U/ref=sr_1_11?keywords=Midwest+MWT-6510S+Straight+Offset+Aviation+Snip&amp;qid=1694734608&amp;sr=8-11", "https://www.amazon.com/MIDWEST-Blackout-Aviation-Snip-KUSHN-POWER/dp/B00TJQL91U/ref=sr_1_11?keywords=Midwest+MWT-6510S+Straight+Offset+Aviation+Snip&amp;qid=1694734608&amp;sr=8-11")</f>
        <v/>
      </c>
      <c r="F1300" t="inlineStr">
        <is>
          <t>B00TJQL91U</t>
        </is>
      </c>
      <c r="G1300">
        <f>_xlfn.IMAGE("https://edmondsonsupply.com/cdn/shop/products/MWT-6510S-1.jpg?v=1587150061")</f>
        <v/>
      </c>
      <c r="H1300">
        <f>_xlfn.IMAGE("https://m.media-amazon.com/images/I/51OW3TahYsL._AC_UL320_.jpg")</f>
        <v/>
      </c>
      <c r="K1300" t="inlineStr">
        <is>
          <t>23.49</t>
        </is>
      </c>
      <c r="L1300" t="n">
        <v>57.88</v>
      </c>
      <c r="M1300" s="1" t="inlineStr">
        <is>
          <t>146.40%</t>
        </is>
      </c>
      <c r="N1300" s="7" t="n">
        <v>50.03</v>
      </c>
      <c r="O1300" t="n">
        <v>4.7</v>
      </c>
      <c r="P1300" t="n">
        <v>1397</v>
      </c>
      <c r="R1300" t="inlineStr">
        <is>
          <t>OutOfStock</t>
        </is>
      </c>
      <c r="S1300" t="inlineStr">
        <is>
          <t>33.49</t>
        </is>
      </c>
      <c r="T1300" t="inlineStr">
        <is>
          <t>4436158677092</t>
        </is>
      </c>
    </row>
    <row r="1301" ht="87" customHeight="1">
      <c r="A1301" s="2">
        <f>HYPERLINK("https://edmondsonsupply.com/collections/hvac/products/uniweld-type17-1-oxyacetylene-welding-brazing-tip", "https://edmondsonsupply.com/collections/hvac/products/uniweld-type17-1-oxyacetylene-welding-brazing-tip")</f>
        <v/>
      </c>
      <c r="B1301" s="2">
        <f>HYPERLINK("https://edmondsonsupply.com/products/uniweld-type17-1-oxyacetylene-welding-brazing-tip", "https://edmondsonsupply.com/products/uniweld-type17-1-oxyacetylene-welding-brazing-tip")</f>
        <v/>
      </c>
      <c r="C1301" t="inlineStr">
        <is>
          <t>Uniweld Type17-1 Oxyacetylene Welding &amp; Brazing Tip</t>
        </is>
      </c>
      <c r="D1301" t="inlineStr">
        <is>
          <t>Uniweld TYPE17-15 Rosebud Brazing &amp; Heating Tip #15</t>
        </is>
      </c>
      <c r="E1301" s="2">
        <f>HYPERLINK("https://www.amazon.com/Uniweld-Type17-15-Rosebud-Heating-Tip/dp/B00FI1J1V0/ref=sr_1_4?keywords=uniweld+type17-1+oxy+acetylene+welding&amp;qid=1694734787&amp;sr=8-4", "https://www.amazon.com/Uniweld-Type17-15-Rosebud-Heating-Tip/dp/B00FI1J1V0/ref=sr_1_4?keywords=uniweld+type17-1+oxy+acetylene+welding&amp;qid=1694734787&amp;sr=8-4")</f>
        <v/>
      </c>
      <c r="F1301" t="inlineStr">
        <is>
          <t>B00FI1J1V0</t>
        </is>
      </c>
      <c r="G1301">
        <f>_xlfn.IMAGE("https://edmondsonsupply.com/cdn/shop/products/type17-1.jpg?v=1633030476")</f>
        <v/>
      </c>
      <c r="H1301">
        <f>_xlfn.IMAGE("https://m.media-amazon.com/images/I/51L7GasrP9L._AC_UL320_.jpg")</f>
        <v/>
      </c>
      <c r="K1301" t="inlineStr">
        <is>
          <t>29.79</t>
        </is>
      </c>
      <c r="L1301" t="n">
        <v>73.29000000000001</v>
      </c>
      <c r="M1301" s="1" t="inlineStr">
        <is>
          <t>146.02%</t>
        </is>
      </c>
      <c r="N1301" s="7" t="n">
        <v>50.01</v>
      </c>
      <c r="O1301" t="n">
        <v>4.3</v>
      </c>
      <c r="P1301" t="n">
        <v>98</v>
      </c>
      <c r="R1301" t="inlineStr">
        <is>
          <t>InStock</t>
        </is>
      </c>
      <c r="S1301" t="inlineStr">
        <is>
          <t>37.78</t>
        </is>
      </c>
      <c r="T1301" t="inlineStr">
        <is>
          <t>5365601042600</t>
        </is>
      </c>
    </row>
    <row r="1302" hidden="1" ht="15.75" customHeight="1">
      <c r="A1302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302" s="2">
        <f>HYPERLINK("https://edmondsonsupply.com/products/packard-prmj88-motor-start-capacitor-88-108-mfd-330-volt", "https://edmondsonsupply.com/products/packard-prmj88-motor-start-capacitor-88-108-mfd-330-volt")</f>
        <v/>
      </c>
      <c r="C1302" t="inlineStr">
        <is>
          <t>Packard PRMJ88 Motor Start Capacitor 88-108 MFD 330 Volt</t>
        </is>
      </c>
      <c r="D1302" t="inlineStr">
        <is>
          <t>PTMJ88 - Packard Upgraded Replacement Motor Start Capacitor 88-108 MFD 220-250 Volt VAC</t>
        </is>
      </c>
      <c r="E1302" s="2">
        <f>HYPERLINK("https://www.amazon.com/PTMJ88-Packard-Upgraded-Replacement-Capacitor/dp/B0773WVSB6/ref=sr_1_4?keywords=Packard+PRMJ88+Motor+Start+Capacitor+88-108+MFD+330+Volt&amp;qid=1694734788&amp;sr=8-4", "https://www.amazon.com/PTMJ88-Packard-Upgraded-Replacement-Capacitor/dp/B0773WVSB6/ref=sr_1_4?keywords=Packard+PRMJ88+Motor+Start+Capacitor+88-108+MFD+330+Volt&amp;qid=1694734788&amp;sr=8-4")</f>
        <v/>
      </c>
      <c r="F1302" t="inlineStr">
        <is>
          <t>B0773WVSB6</t>
        </is>
      </c>
      <c r="G1302">
        <f>_xludf.IMAGE("https://edmondsonsupply.com/cdn/shop/products/PRMJ88-2.jpg?v=1633030394")</f>
        <v/>
      </c>
      <c r="H1302">
        <f>_xludf.IMAGE("https://m.media-amazon.com/images/I/41fqQrQgJaL._AC_UY218_.jpg")</f>
        <v/>
      </c>
      <c r="K1302" t="inlineStr">
        <is>
          <t>5.59</t>
        </is>
      </c>
      <c r="L1302" t="n">
        <v>13.7</v>
      </c>
      <c r="M1302" s="1" t="inlineStr">
        <is>
          <t>145.08%</t>
        </is>
      </c>
      <c r="N1302" s="1" t="n">
        <v>49.99</v>
      </c>
      <c r="O1302" t="n">
        <v>5</v>
      </c>
      <c r="P1302" t="n">
        <v>1</v>
      </c>
      <c r="R1302" t="inlineStr">
        <is>
          <t>InStock</t>
        </is>
      </c>
      <c r="S1302" t="inlineStr">
        <is>
          <t>undefined</t>
        </is>
      </c>
      <c r="T1302" t="inlineStr">
        <is>
          <t>5302132179112</t>
        </is>
      </c>
    </row>
    <row r="1303" ht="87" customHeight="1">
      <c r="A1303" s="2">
        <f>HYPERLINK("https://edmondsonsupply.com/collections/hvac/products/midwest-mwt-c5-5-blade-sheet-metal-crimper", "https://edmondsonsupply.com/collections/hvac/products/midwest-mwt-c5-5-blade-sheet-metal-crimper")</f>
        <v/>
      </c>
      <c r="B1303" s="2">
        <f>HYPERLINK("https://edmondsonsupply.com/products/midwest-mwt-c5-5-blade-sheet-metal-crimper", "https://edmondsonsupply.com/products/midwest-mwt-c5-5-blade-sheet-metal-crimper")</f>
        <v/>
      </c>
      <c r="C1303" t="inlineStr">
        <is>
          <t>Midwest MWT-C5 5-Blade Sheet Metal Crimper</t>
        </is>
      </c>
      <c r="D1303" t="inlineStr">
        <is>
          <t>Malco C5R 5-Blade Pipe Crimper &amp; MIDWEST Bulldog Aviation Tin Snip - Straight Cut Regular Tin Cutting Shears with Forged Blade &amp; KUSH'N-POWER Comfort Grips - MWT-6716B</t>
        </is>
      </c>
      <c r="E1303" s="2">
        <f>HYPERLINK("https://www.amazon.com/Malco-5-Blade-Crimper-MIDWEST-Aviation/dp/B0CB11PTFT/ref=sr_1_9?keywords=Midwest+MWT-C5+5-Blade+Sheet+Metal+Crimper&amp;qid=1694734676&amp;sr=8-9", "https://www.amazon.com/Malco-5-Blade-Crimper-MIDWEST-Aviation/dp/B0CB11PTFT/ref=sr_1_9?keywords=Midwest+MWT-C5+5-Blade+Sheet+Metal+Crimper&amp;qid=1694734676&amp;sr=8-9")</f>
        <v/>
      </c>
      <c r="F1303" t="inlineStr">
        <is>
          <t>B0CB11PTFT</t>
        </is>
      </c>
      <c r="G1303">
        <f>_xlfn.IMAGE("https://edmondsonsupply.com/cdn/shop/products/MWT-C51.jpg?v=1587151243")</f>
        <v/>
      </c>
      <c r="H1303">
        <f>_xlfn.IMAGE("https://m.media-amazon.com/images/I/41xOJQAMAlL._AC_UL320_.jpg")</f>
        <v/>
      </c>
      <c r="K1303" t="inlineStr">
        <is>
          <t>25.69</t>
        </is>
      </c>
      <c r="L1303" t="n">
        <v>62.96</v>
      </c>
      <c r="M1303" s="1" t="inlineStr">
        <is>
          <t>145.08%</t>
        </is>
      </c>
      <c r="N1303" s="7" t="n">
        <v>49.97</v>
      </c>
      <c r="O1303" t="n">
        <v>4.8</v>
      </c>
      <c r="P1303" t="n">
        <v>1965</v>
      </c>
      <c r="R1303" t="inlineStr">
        <is>
          <t>OutOfStock</t>
        </is>
      </c>
      <c r="S1303" t="inlineStr">
        <is>
          <t>35.04</t>
        </is>
      </c>
      <c r="T1303" t="inlineStr">
        <is>
          <t>4409568428132</t>
        </is>
      </c>
    </row>
    <row r="1304" ht="87" customHeight="1">
      <c r="A1304" s="2">
        <f>HYPERLINK("https://edmondsonsupply.com/collections/hvac/products/supco-spp5-solid-state-relay-hard-start-capacitor-starter-pow-r-pak", "https://edmondsonsupply.com/collections/hvac/products/supco-spp5-solid-state-relay-hard-start-capacitor-starter-pow-r-pak")</f>
        <v/>
      </c>
      <c r="B1304" s="2">
        <f>HYPERLINK("https://edmondsonsupply.com/products/supco-spp5-solid-state-relay-hard-start-capacitor-starter-pow-r-pak", "https://edmondsonsupply.com/products/supco-spp5-solid-state-relay-hard-start-capacitor-starter-pow-r-pak")</f>
        <v/>
      </c>
      <c r="C1304" t="inlineStr">
        <is>
          <t>Supco SPP5 Solid State Relay &amp; Hard Start Capacitor Starter POW-R-PAK</t>
        </is>
      </c>
      <c r="D1304" t="inlineStr">
        <is>
          <t>SPP5 Supco Solid State HVAC HS5 Relay &amp; Hard Start Capacitor Pow-R-Pak</t>
        </is>
      </c>
      <c r="E1304" s="2">
        <f>HYPERLINK("https://www.amazon.com/Supco-Solid-State-Capacitor-Pow-R-Pak/dp/B01MF4CCJJ/ref=sr_1_2?keywords=Supco+SPP5+Solid+State+Relay&amp;qid=1694734823&amp;sr=8-2", "https://www.amazon.com/Supco-Solid-State-Capacitor-Pow-R-Pak/dp/B01MF4CCJJ/ref=sr_1_2?keywords=Supco+SPP5+Solid+State+Relay&amp;qid=1694734823&amp;sr=8-2")</f>
        <v/>
      </c>
      <c r="F1304" t="inlineStr">
        <is>
          <t>B01MF4CCJJ</t>
        </is>
      </c>
      <c r="G1304">
        <f>_xlfn.IMAGE("https://edmondsonsupply.com/cdn/shop/products/SPP5.jpg?v=1587144645")</f>
        <v/>
      </c>
      <c r="H1304">
        <f>_xlfn.IMAGE("https://m.media-amazon.com/images/I/31Vnbq8fm9L._AC_UY218_.jpg")</f>
        <v/>
      </c>
      <c r="K1304" t="inlineStr">
        <is>
          <t>9.95</t>
        </is>
      </c>
      <c r="L1304" t="n">
        <v>24.38</v>
      </c>
      <c r="M1304" s="1" t="inlineStr">
        <is>
          <t>145.03%</t>
        </is>
      </c>
      <c r="N1304" s="7" t="n">
        <v>49.96</v>
      </c>
      <c r="O1304" t="n">
        <v>4.7</v>
      </c>
      <c r="P1304" t="n">
        <v>2</v>
      </c>
      <c r="R1304" t="inlineStr">
        <is>
          <t>InStock</t>
        </is>
      </c>
      <c r="S1304" t="inlineStr">
        <is>
          <t>undefined</t>
        </is>
      </c>
      <c r="T1304" t="inlineStr">
        <is>
          <t>3564190171236</t>
        </is>
      </c>
    </row>
    <row r="1305" ht="87" customHeight="1">
      <c r="A1305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305" s="2">
        <f>HYPERLINK("https://edmondsonsupply.com/products/packard-pmj708-motor-start-capacitor-708-850-mfd-110-125-vac", "https://edmondsonsupply.com/products/packard-pmj708-motor-start-capacitor-708-850-mfd-110-125-vac")</f>
        <v/>
      </c>
      <c r="C1305" t="inlineStr">
        <is>
          <t>Packard PMJ708 Motor Start Capacitor 708-850 MFD 110-125 VAC</t>
        </is>
      </c>
      <c r="D1305" t="inlineStr">
        <is>
          <t>USA Motor Start Capacitor 708-850 uF MFD 110 125 VAC Replaces 11028 11928 PMJ708 PMJ708A</t>
        </is>
      </c>
      <c r="E1305" s="2">
        <f>HYPERLINK("https://www.amazon.com/Capacitor-708-850-Replaces-PMJ708-PMJ708A/dp/B07M5HQLFY/ref=sr_1_4?keywords=Packard+PMJ708+Motor+Start+Capacitor+708-850+MFD+110-125+VAC&amp;qid=1694734808&amp;sr=8-4", "https://www.amazon.com/Capacitor-708-850-Replaces-PMJ708-PMJ708A/dp/B07M5HQLFY/ref=sr_1_4?keywords=Packard+PMJ708+Motor+Start+Capacitor+708-850+MFD+110-125+VAC&amp;qid=1694734808&amp;sr=8-4")</f>
        <v/>
      </c>
      <c r="F1305" t="inlineStr">
        <is>
          <t>B07M5HQLFY</t>
        </is>
      </c>
      <c r="G1305">
        <f>_xlfn.IMAGE("https://edmondsonsupply.com/cdn/shop/products/PMJ708-2.jpg?v=1633030334")</f>
        <v/>
      </c>
      <c r="H1305">
        <f>_xlfn.IMAGE("https://m.media-amazon.com/images/I/41Br07uBitL._AC_UY218_.jpg")</f>
        <v/>
      </c>
      <c r="K1305" t="inlineStr">
        <is>
          <t>6.76</t>
        </is>
      </c>
      <c r="L1305" t="n">
        <v>16.55</v>
      </c>
      <c r="M1305" s="1" t="inlineStr">
        <is>
          <t>144.82%</t>
        </is>
      </c>
      <c r="N1305" s="7" t="n">
        <v>49.92</v>
      </c>
      <c r="O1305" t="n">
        <v>5</v>
      </c>
      <c r="P1305" t="n">
        <v>2</v>
      </c>
      <c r="R1305" t="inlineStr">
        <is>
          <t>InStock</t>
        </is>
      </c>
      <c r="S1305" t="inlineStr">
        <is>
          <t>undefined</t>
        </is>
      </c>
      <c r="T1305" t="inlineStr">
        <is>
          <t>5271970021544</t>
        </is>
      </c>
    </row>
    <row r="1306" ht="87" customHeight="1">
      <c r="A1306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1306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1306" t="inlineStr">
        <is>
          <t>Klein Tools 605-6 1/4-Inch Cabinet Tip Screwdriver, Heavy Duty, 6-Inch</t>
        </is>
      </c>
      <c r="D1306" t="inlineStr">
        <is>
          <t>Klein Tools 605-7-INS Insulated 1/4-Inch Cabinet Tip Screwdriver, 7-Inch</t>
        </is>
      </c>
      <c r="E1306" s="2">
        <f>HYPERLINK("https://www.amazon.com/Insulated-Screwdriver-Klein-Tools-605-7-INS/dp/B00J9S1EX6/ref=sr_1_20?keywords=Klein+Tools+605-6+1%2F4-Inch+Cabinet+Tip+Screwdriver%2C+Heavy+Duty%2C+6-Inch&amp;qid=1694734725&amp;sr=8-20", "https://www.amazon.com/Insulated-Screwdriver-Klein-Tools-605-7-INS/dp/B00J9S1EX6/ref=sr_1_20?keywords=Klein+Tools+605-6+1%2F4-Inch+Cabinet+Tip+Screwdriver%2C+Heavy+Duty%2C+6-Inch&amp;qid=1694734725&amp;sr=8-20")</f>
        <v/>
      </c>
      <c r="F1306" t="inlineStr">
        <is>
          <t>B00J9S1EX6</t>
        </is>
      </c>
      <c r="G1306">
        <f>_xlfn.IMAGE("https://edmondsonsupply.com/cdn/shop/products/605-6.jpg?v=1587149759")</f>
        <v/>
      </c>
      <c r="H1306">
        <f>_xlfn.IMAGE("https://m.media-amazon.com/images/I/41PbqrqWh2L._AC_UL320_.jpg")</f>
        <v/>
      </c>
      <c r="K1306" t="inlineStr">
        <is>
          <t>9.49</t>
        </is>
      </c>
      <c r="L1306" t="n">
        <v>23.22</v>
      </c>
      <c r="M1306" s="1" t="inlineStr">
        <is>
          <t>144.68%</t>
        </is>
      </c>
      <c r="N1306" s="7" t="n">
        <v>49.76</v>
      </c>
      <c r="O1306" t="n">
        <v>4.8</v>
      </c>
      <c r="P1306" t="n">
        <v>1068</v>
      </c>
      <c r="R1306" t="inlineStr">
        <is>
          <t>InStock</t>
        </is>
      </c>
      <c r="S1306" t="inlineStr">
        <is>
          <t>14.38</t>
        </is>
      </c>
      <c r="T1306" t="inlineStr">
        <is>
          <t>4512371310692</t>
        </is>
      </c>
    </row>
    <row r="1307" ht="87" customHeight="1">
      <c r="A1307" s="2">
        <f>HYPERLINK("https://edmondsonsupply.com/collections/hvac/products/midwest-mwt-6510l-left-offset-aviation-snip", "https://edmondsonsupply.com/collections/hvac/products/midwest-mwt-6510l-left-offset-aviation-snip")</f>
        <v/>
      </c>
      <c r="B1307" s="2">
        <f>HYPERLINK("https://edmondsonsupply.com/products/midwest-mwt-6510l-left-offset-aviation-snip", "https://edmondsonsupply.com/products/midwest-mwt-6510l-left-offset-aviation-snip")</f>
        <v/>
      </c>
      <c r="C1307" t="inlineStr">
        <is>
          <t>Midwest MWT-6510L Left Offset Aviation Snip</t>
        </is>
      </c>
      <c r="D1307" t="inlineStr">
        <is>
          <t>Midwest Tools and Cutlery MWT-SS6510R Snips Forged Blade Special Hardness Offset Right Aviation Snip, Cuts Stainless Steel</t>
        </is>
      </c>
      <c r="E1307" s="2">
        <f>HYPERLINK("https://www.amazon.com/Midwest-Tools-Cutlery-MWT-SS6510R-Stainless/dp/B01J7IOB64/ref=sr_1_13?keywords=Midwest+MWT-6510L+Left+Offset+Aviation+Snip&amp;qid=1694734618&amp;sr=8-13", "https://www.amazon.com/Midwest-Tools-Cutlery-MWT-SS6510R-Stainless/dp/B01J7IOB64/ref=sr_1_13?keywords=Midwest+MWT-6510L+Left+Offset+Aviation+Snip&amp;qid=1694734618&amp;sr=8-13")</f>
        <v/>
      </c>
      <c r="F1307" t="inlineStr">
        <is>
          <t>B01J7IOB64</t>
        </is>
      </c>
      <c r="G1307">
        <f>_xlfn.IMAGE("https://edmondsonsupply.com/cdn/shop/products/mwt-6510l.png?v=1587142880")</f>
        <v/>
      </c>
      <c r="H1307">
        <f>_xlfn.IMAGE("https://m.media-amazon.com/images/I/61rvvPEnRIL._AC_UL320_.jpg")</f>
        <v/>
      </c>
      <c r="K1307" t="inlineStr">
        <is>
          <t>25.99</t>
        </is>
      </c>
      <c r="L1307" t="n">
        <v>63.44</v>
      </c>
      <c r="M1307" s="1" t="inlineStr">
        <is>
          <t>144.09%</t>
        </is>
      </c>
      <c r="N1307" s="7" t="n">
        <v>49.75</v>
      </c>
      <c r="O1307" t="n">
        <v>4.4</v>
      </c>
      <c r="P1307" t="n">
        <v>28</v>
      </c>
      <c r="R1307" t="inlineStr">
        <is>
          <t>InStock</t>
        </is>
      </c>
      <c r="S1307" t="inlineStr">
        <is>
          <t>33.49</t>
        </is>
      </c>
      <c r="T1307" t="inlineStr">
        <is>
          <t>3688846917732</t>
        </is>
      </c>
    </row>
    <row r="1308" ht="87" customHeight="1">
      <c r="A1308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308" s="2">
        <f>HYPERLINK("https://edmondsonsupply.com/products/klein-tools-32314-14-in-1-precision-screwdriver-nut-driver", "https://edmondsonsupply.com/products/klein-tools-32314-14-in-1-precision-screwdriver-nut-driver")</f>
        <v/>
      </c>
      <c r="C1308" t="inlineStr">
        <is>
          <t>Klein Tools 32314 14-in-1 Precision Screwdriver/ Nut Driver</t>
        </is>
      </c>
      <c r="D1308" t="inlineStr">
        <is>
          <t>Klein Tools 32596 Multi-Bit Screwdriver/Nut Driver, 8-in-1 HVAC Slide Drive Tool with Magnetic Hex, Phillips, Schrader Bits.</t>
        </is>
      </c>
      <c r="E1308" s="2">
        <f>HYPERLINK("https://www.amazon.com/Screwdriver-Driver-Klein-Tools-32596/dp/B073R7RT1V/ref=sr_1_47?keywords=Klein+Tools+32314+14-in-1+Precision+Screwdriver%2F+Nut+Driver&amp;qid=1694734697&amp;sr=8-47", "https://www.amazon.com/Screwdriver-Driver-Klein-Tools-32596/dp/B073R7RT1V/ref=sr_1_47?keywords=Klein+Tools+32314+14-in-1+Precision+Screwdriver%2F+Nut+Driver&amp;qid=1694734697&amp;sr=8-47")</f>
        <v/>
      </c>
      <c r="F1308" t="inlineStr">
        <is>
          <t>B073R7RT1V</t>
        </is>
      </c>
      <c r="G1308">
        <f>_xlfn.IMAGE("https://edmondsonsupply.com/cdn/shop/products/32314.jpg?v=1646593726")</f>
        <v/>
      </c>
      <c r="H1308">
        <f>_xlfn.IMAGE("https://m.media-amazon.com/images/I/51mrDa5uZYL._AC_UL320_.jpg")</f>
        <v/>
      </c>
      <c r="K1308" t="inlineStr">
        <is>
          <t>15.97</t>
        </is>
      </c>
      <c r="L1308" t="n">
        <v>38.96</v>
      </c>
      <c r="M1308" s="1" t="inlineStr">
        <is>
          <t>143.96%</t>
        </is>
      </c>
      <c r="N1308" s="7" t="n">
        <v>49.65</v>
      </c>
      <c r="O1308" t="n">
        <v>4.8</v>
      </c>
      <c r="P1308" t="n">
        <v>2259</v>
      </c>
      <c r="R1308" t="inlineStr">
        <is>
          <t>InStock</t>
        </is>
      </c>
      <c r="S1308" t="inlineStr">
        <is>
          <t>22.38</t>
        </is>
      </c>
      <c r="T1308" t="inlineStr">
        <is>
          <t>7626984947928</t>
        </is>
      </c>
    </row>
    <row r="1309" hidden="1" ht="15.75" customHeight="1">
      <c r="A1309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309" s="2">
        <f>HYPERLINK("https://edmondsonsupply.com/products/packard-prmj88-motor-start-capacitor-88-108-mfd-330-volt", "https://edmondsonsupply.com/products/packard-prmj88-motor-start-capacitor-88-108-mfd-330-volt")</f>
        <v/>
      </c>
      <c r="C1309" t="inlineStr">
        <is>
          <t>Packard PRMJ88 Motor Start Capacitor 88-108 MFD 330 Volt</t>
        </is>
      </c>
      <c r="D1309" t="inlineStr">
        <is>
          <t>CD60 330 VAC 88-108 uf/MFD Round Motor Start Capacitor Replacement Parts, Fit for Central Air-Conditioners, Condenser Fan Motors and Heat Pumps</t>
        </is>
      </c>
      <c r="E1309" s="2">
        <f>HYPERLINK("https://www.amazon.com/Capacitor-Replacement-Central-Air-Conditioners-Condenser/dp/B0C888LX6X/ref=sr_1_14?keywords=Packard+PRMJ88+Motor+Start+Capacitor+88-108+MFD+330+Volt&amp;qid=1694734788&amp;sr=8-14", "https://www.amazon.com/Capacitor-Replacement-Central-Air-Conditioners-Condenser/dp/B0C888LX6X/ref=sr_1_14?keywords=Packard+PRMJ88+Motor+Start+Capacitor+88-108+MFD+330+Volt&amp;qid=1694734788&amp;sr=8-14")</f>
        <v/>
      </c>
      <c r="F1309" t="inlineStr">
        <is>
          <t>B0C888LX6X</t>
        </is>
      </c>
      <c r="G1309">
        <f>_xludf.IMAGE("https://edmondsonsupply.com/cdn/shop/products/PRMJ88-2.jpg?v=1633030394")</f>
        <v/>
      </c>
      <c r="H1309">
        <f>_xludf.IMAGE("https://m.media-amazon.com/images/I/61T6FzKN1YL._AC_UY218_.jpg")</f>
        <v/>
      </c>
      <c r="K1309" t="inlineStr">
        <is>
          <t>5.59</t>
        </is>
      </c>
      <c r="L1309" t="n">
        <v>13.6</v>
      </c>
      <c r="M1309" s="1" t="inlineStr">
        <is>
          <t>143.29%</t>
        </is>
      </c>
      <c r="N1309" s="1" t="n">
        <v>49.63</v>
      </c>
      <c r="O1309" t="n">
        <v>5</v>
      </c>
      <c r="P1309" t="n">
        <v>6</v>
      </c>
      <c r="R1309" t="inlineStr">
        <is>
          <t>InStock</t>
        </is>
      </c>
      <c r="S1309" t="inlineStr">
        <is>
          <t>undefined</t>
        </is>
      </c>
      <c r="T1309" t="inlineStr">
        <is>
          <t>5302132179112</t>
        </is>
      </c>
    </row>
    <row r="1310" ht="87" customHeight="1">
      <c r="A1310" s="2">
        <f>HYPERLINK("https://edmondsonsupply.com/collections/hvac/products/midwest-mwt-6510l-left-offset-aviation-snip", "https://edmondsonsupply.com/collections/hvac/products/midwest-mwt-6510l-left-offset-aviation-snip")</f>
        <v/>
      </c>
      <c r="B1310" s="2">
        <f>HYPERLINK("https://edmondsonsupply.com/products/midwest-mwt-6510l-left-offset-aviation-snip", "https://edmondsonsupply.com/products/midwest-mwt-6510l-left-offset-aviation-snip")</f>
        <v/>
      </c>
      <c r="C1310" t="inlineStr">
        <is>
          <t>Midwest MWT-6510L Left Offset Aviation Snip</t>
        </is>
      </c>
      <c r="D1310" t="inlineStr">
        <is>
          <t>MIDWEST Aviation Snip Set - Left and Right Cut Offset Tin Cutting Shears with Forged Blade &amp; KUSH'N-POWER Comfort Grips - MWT-6510C</t>
        </is>
      </c>
      <c r="E1310" s="2">
        <f>HYPERLINK("https://www.amazon.com/MIDWEST-Aviation-Snip-Set-KUSHN-POWER/dp/B00OCGQG3S/ref=sr_1_3?keywords=Midwest+MWT-6510L+Left+Offset+Aviation+Snip&amp;qid=1694734618&amp;sr=8-3", "https://www.amazon.com/MIDWEST-Aviation-Snip-Set-KUSHN-POWER/dp/B00OCGQG3S/ref=sr_1_3?keywords=Midwest+MWT-6510L+Left+Offset+Aviation+Snip&amp;qid=1694734618&amp;sr=8-3")</f>
        <v/>
      </c>
      <c r="F1310" t="inlineStr">
        <is>
          <t>B00OCGQG3S</t>
        </is>
      </c>
      <c r="G1310">
        <f>_xlfn.IMAGE("https://edmondsonsupply.com/cdn/shop/products/mwt-6510l.png?v=1587142880")</f>
        <v/>
      </c>
      <c r="H1310">
        <f>_xlfn.IMAGE("https://m.media-amazon.com/images/I/71J9tcnJ-SL._AC_UL320_.jpg")</f>
        <v/>
      </c>
      <c r="K1310" t="inlineStr">
        <is>
          <t>25.99</t>
        </is>
      </c>
      <c r="L1310" t="n">
        <v>63.17</v>
      </c>
      <c r="M1310" s="1" t="inlineStr">
        <is>
          <t>143.06%</t>
        </is>
      </c>
      <c r="N1310" s="7" t="n">
        <v>49.63</v>
      </c>
      <c r="O1310" t="n">
        <v>4.7</v>
      </c>
      <c r="P1310" t="n">
        <v>5991</v>
      </c>
      <c r="R1310" t="inlineStr">
        <is>
          <t>InStock</t>
        </is>
      </c>
      <c r="S1310" t="inlineStr">
        <is>
          <t>33.49</t>
        </is>
      </c>
      <c r="T1310" t="inlineStr">
        <is>
          <t>3688846917732</t>
        </is>
      </c>
    </row>
    <row r="1311" ht="87" customHeight="1">
      <c r="A1311" s="2">
        <f>HYPERLINK("https://edmondsonsupply.com/collections/hvac/products/midwest-mwt-6900l-upright-left-cutting-offset-aviation-snip", "https://edmondsonsupply.com/collections/hvac/products/midwest-mwt-6900l-upright-left-cutting-offset-aviation-snip")</f>
        <v/>
      </c>
      <c r="B1311" s="2">
        <f>HYPERLINK("https://edmondsonsupply.com/products/midwest-mwt-6900l-upright-left-cutting-offset-aviation-snip", "https://edmondsonsupply.com/products/midwest-mwt-6900l-upright-left-cutting-offset-aviation-snip")</f>
        <v/>
      </c>
      <c r="C1311" t="inlineStr">
        <is>
          <t>Midwest MWT-6900L Upright Left-Cutting Aviation Snip</t>
        </is>
      </c>
      <c r="D1311" t="inlineStr">
        <is>
          <t>MIDWEST Aviation Snip Set - Left and Right Cut Offset Tin Cutting Shears with Forged Blade &amp; KUSH'N-POWER Comfort Grips - MWT-6510C</t>
        </is>
      </c>
      <c r="E1311" s="2">
        <f>HYPERLINK("https://www.amazon.com/MIDWEST-Aviation-Snip-Set-KUSHN-POWER/dp/B00OCGQG3S/ref=sr_1_6?keywords=Midwest+MWT-6900L+Upright+Left-Cutting+Aviation+Snip&amp;qid=1694734627&amp;sr=8-6", "https://www.amazon.com/MIDWEST-Aviation-Snip-Set-KUSHN-POWER/dp/B00OCGQG3S/ref=sr_1_6?keywords=Midwest+MWT-6900L+Upright+Left-Cutting+Aviation+Snip&amp;qid=1694734627&amp;sr=8-6")</f>
        <v/>
      </c>
      <c r="F1311" t="inlineStr">
        <is>
          <t>B00OCGQG3S</t>
        </is>
      </c>
      <c r="G1311">
        <f>_xlfn.IMAGE("https://edmondsonsupply.com/cdn/shop/products/MWT-6900L1.jpg?v=1587146265")</f>
        <v/>
      </c>
      <c r="H1311">
        <f>_xlfn.IMAGE("https://m.media-amazon.com/images/I/71J9tcnJ-SL._AC_UL320_.jpg")</f>
        <v/>
      </c>
      <c r="K1311" t="inlineStr">
        <is>
          <t>25.99</t>
        </is>
      </c>
      <c r="L1311" t="n">
        <v>63.17</v>
      </c>
      <c r="M1311" s="1" t="inlineStr">
        <is>
          <t>143.06%</t>
        </is>
      </c>
      <c r="N1311" s="7" t="n">
        <v>49.44</v>
      </c>
      <c r="O1311" t="n">
        <v>4.7</v>
      </c>
      <c r="P1311" t="n">
        <v>5991</v>
      </c>
      <c r="R1311" t="inlineStr">
        <is>
          <t>InStock</t>
        </is>
      </c>
      <c r="S1311" t="inlineStr">
        <is>
          <t>37.05</t>
        </is>
      </c>
      <c r="T1311" t="inlineStr">
        <is>
          <t>4470064250980</t>
        </is>
      </c>
    </row>
    <row r="1312" ht="87" customHeight="1">
      <c r="A1312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312" s="2">
        <f>HYPERLINK("https://edmondsonsupply.com/products/klein-tools-11053-klein-kurve%c2%ae-wire-stripper-cutter", "https://edmondsonsupply.com/products/klein-tools-11053-klein-kurve%c2%ae-wire-stripper-cutter")</f>
        <v/>
      </c>
      <c r="C1312" t="inlineStr">
        <is>
          <t>Klein Tools 11053 Klein-Kurve® Wire Stripper/Cutter</t>
        </is>
      </c>
      <c r="D1312" t="inlineStr">
        <is>
          <t>Klein Tools 1019 Klein Kurve Wire Stripper/Crimper/Cutter &amp; 1005 Cutting/Crimping Tool</t>
        </is>
      </c>
      <c r="E1312" s="2">
        <f>HYPERLINK("https://www.amazon.com/Klein-Tools-Stripper-Crimper-Crimping/dp/B0C3BB6FBS/ref=sr_1_24?keywords=Klein+Tools+11053+Klein-Kurve%C2%AE+Wire+Stripper%2FCutter&amp;qid=1694734664&amp;sr=8-24", "https://www.amazon.com/Klein-Tools-Stripper-Crimper-Crimping/dp/B0C3BB6FBS/ref=sr_1_24?keywords=Klein+Tools+11053+Klein-Kurve%C2%AE+Wire+Stripper%2FCutter&amp;qid=1694734664&amp;sr=8-24")</f>
        <v/>
      </c>
      <c r="F1312" t="inlineStr">
        <is>
          <t>B0C3BB6FBS</t>
        </is>
      </c>
      <c r="G1312">
        <f>_xlfn.IMAGE("https://edmondsonsupply.com/cdn/shop/products/11053.jpg?v=1633030511")</f>
        <v/>
      </c>
      <c r="H1312">
        <f>_xlfn.IMAGE("https://m.media-amazon.com/images/I/41lew3ze97L._AC_UL320_.jpg")</f>
        <v/>
      </c>
      <c r="K1312" t="inlineStr">
        <is>
          <t>20.97</t>
        </is>
      </c>
      <c r="L1312" t="n">
        <v>50.94</v>
      </c>
      <c r="M1312" s="1" t="inlineStr">
        <is>
          <t>142.92%</t>
        </is>
      </c>
      <c r="N1312" s="7" t="n">
        <v>49.1</v>
      </c>
      <c r="O1312" t="n">
        <v>5</v>
      </c>
      <c r="P1312" t="n">
        <v>3</v>
      </c>
      <c r="R1312" t="inlineStr">
        <is>
          <t>InStock</t>
        </is>
      </c>
      <c r="S1312" t="inlineStr">
        <is>
          <t>31.76</t>
        </is>
      </c>
      <c r="T1312" t="inlineStr">
        <is>
          <t>5387171299496</t>
        </is>
      </c>
    </row>
    <row r="1313" hidden="1" ht="15.75" customHeight="1">
      <c r="A1313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313" s="2">
        <f>HYPERLINK("https://edmondsonsupply.com/products/packard-pmj590-motor-start-capacitor-590-708-mfd-110-125-volt", "https://edmondsonsupply.com/products/packard-pmj590-motor-start-capacitor-590-708-mfd-110-125-volt")</f>
        <v/>
      </c>
      <c r="C1313" t="inlineStr">
        <is>
          <t>Packard PMJ590 Motor Start Capacitor 590-708 MFD 110-125 Volt</t>
        </is>
      </c>
      <c r="D1313" t="inlineStr">
        <is>
          <t>TEMCo 590-708 uf/MFD 110-125 VAC Volts Round Start Capacitor 50/60 Hz AC Electric - Lot -1</t>
        </is>
      </c>
      <c r="E1313" s="2">
        <f>HYPERLINK("https://www.amazon.com/TEMCo-Capacitor-SC0041-590-708-110-125-Electric/dp/B00EQH9NZ6/ref=sr_1_12?keywords=Packard+PMJ590+Motor+Start+Capacitor+590-708+MFD+110-125+Volt&amp;qid=1694734721&amp;sr=8-12", "https://www.amazon.com/TEMCo-Capacitor-SC0041-590-708-110-125-Electric/dp/B00EQH9NZ6/ref=sr_1_12?keywords=Packard+PMJ590+Motor+Start+Capacitor+590-708+MFD+110-125+Volt&amp;qid=1694734721&amp;sr=8-12")</f>
        <v/>
      </c>
      <c r="F1313" t="inlineStr">
        <is>
          <t>B00EQH9NZ6</t>
        </is>
      </c>
      <c r="G1313">
        <f>_xludf.IMAGE("https://edmondsonsupply.com/cdn/shop/products/PMJ590-2.jpg?v=1633030307")</f>
        <v/>
      </c>
      <c r="H1313">
        <f>_xludf.IMAGE("https://m.media-amazon.com/images/I/61nnx6rNXpL._AC_UY218_.jpg")</f>
        <v/>
      </c>
      <c r="K1313" t="inlineStr">
        <is>
          <t>6.18</t>
        </is>
      </c>
      <c r="L1313" t="n">
        <v>14.95</v>
      </c>
      <c r="M1313" s="1" t="inlineStr">
        <is>
          <t>141.91%</t>
        </is>
      </c>
      <c r="N1313" s="1" t="n">
        <v>49.08</v>
      </c>
      <c r="O1313" t="n">
        <v>4.7</v>
      </c>
      <c r="P1313" t="n">
        <v>88</v>
      </c>
      <c r="R1313" t="inlineStr">
        <is>
          <t>InStock</t>
        </is>
      </c>
      <c r="S1313" t="inlineStr">
        <is>
          <t>undefined</t>
        </is>
      </c>
      <c r="T1313" t="inlineStr">
        <is>
          <t>5241729712296</t>
        </is>
      </c>
    </row>
    <row r="1314" hidden="1" ht="15.75" customHeight="1">
      <c r="A1314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314" s="2">
        <f>HYPERLINK("https://edmondsonsupply.com/products/packard-prmj88-motor-start-capacitor-88-108-mfd-330-volt", "https://edmondsonsupply.com/products/packard-prmj88-motor-start-capacitor-88-108-mfd-330-volt")</f>
        <v/>
      </c>
      <c r="C1314" t="inlineStr">
        <is>
          <t>Packard PRMJ88 Motor Start Capacitor 88-108 MFD 330 Volt</t>
        </is>
      </c>
      <c r="D1314" t="inlineStr">
        <is>
          <t>PRMJ108 - Packard Aftermarket Replacement Motor Start Capacitor 108-130 MFD 330 Volt</t>
        </is>
      </c>
      <c r="E1314" s="2">
        <f>HYPERLINK("https://www.amazon.com/PRMJ108-Packard-Aftermarket-Replacement-Capacitor/dp/B00IWYEI1S/ref=sr_1_7?keywords=Packard+PRMJ88+Motor+Start+Capacitor+88-108+MFD+330+Volt&amp;qid=1694734788&amp;sr=8-7", "https://www.amazon.com/PRMJ108-Packard-Aftermarket-Replacement-Capacitor/dp/B00IWYEI1S/ref=sr_1_7?keywords=Packard+PRMJ88+Motor+Start+Capacitor+88-108+MFD+330+Volt&amp;qid=1694734788&amp;sr=8-7")</f>
        <v/>
      </c>
      <c r="F1314" t="inlineStr">
        <is>
          <t>B00IWYEI1S</t>
        </is>
      </c>
      <c r="G1314">
        <f>_xludf.IMAGE("https://edmondsonsupply.com/cdn/shop/products/PRMJ88-2.jpg?v=1633030394")</f>
        <v/>
      </c>
      <c r="H1314">
        <f>_xludf.IMAGE("https://m.media-amazon.com/images/I/41iN-8gLZyL._AC_UY218_.jpg")</f>
        <v/>
      </c>
      <c r="K1314" t="inlineStr">
        <is>
          <t>5.59</t>
        </is>
      </c>
      <c r="L1314" t="n">
        <v>13.49</v>
      </c>
      <c r="M1314" s="1" t="inlineStr">
        <is>
          <t>141.32%</t>
        </is>
      </c>
      <c r="N1314" s="1" t="n">
        <v>48.72</v>
      </c>
      <c r="O1314" t="n">
        <v>5</v>
      </c>
      <c r="P1314" t="n">
        <v>10</v>
      </c>
      <c r="R1314" t="inlineStr">
        <is>
          <t>InStock</t>
        </is>
      </c>
      <c r="S1314" t="inlineStr">
        <is>
          <t>undefined</t>
        </is>
      </c>
      <c r="T1314" t="inlineStr">
        <is>
          <t>5302132179112</t>
        </is>
      </c>
    </row>
    <row r="1315" ht="87" customHeight="1">
      <c r="A1315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315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315" t="inlineStr">
        <is>
          <t>ICM Controls ICM2811 Furnace Control Board - Replacement for Goodman</t>
        </is>
      </c>
      <c r="D1315" t="inlineStr">
        <is>
          <t>B18099-04-Goodman ICM Replacement Furnace Control Board</t>
        </is>
      </c>
      <c r="E1315" s="2">
        <f>HYPERLINK("https://www.amazon.com/B18099-04-Goodman-ICM-Replacement-Furnace-Control/dp/B00G036QKO/ref=sr_1_3?keywords=ICM+Controls+ICM2811+Furnace+Control+Board+-+Replacement+for+Goodman&amp;qid=1694734652&amp;sr=8-3", "https://www.amazon.com/B18099-04-Goodman-ICM-Replacement-Furnace-Control/dp/B00G036QKO/ref=sr_1_3?keywords=ICM+Controls+ICM2811+Furnace+Control+Board+-+Replacement+for+Goodman&amp;qid=1694734652&amp;sr=8-3")</f>
        <v/>
      </c>
      <c r="F1315" t="inlineStr">
        <is>
          <t>B00G036QKO</t>
        </is>
      </c>
      <c r="G1315">
        <f>_xlfn.IMAGE("https://edmondsonsupply.com/cdn/shop/products/photo_3800_medium_86f45e25-a764-4839-bc84-759a6ce1c7bd.jpg?v=1659910436")</f>
        <v/>
      </c>
      <c r="H1315">
        <f>_xlfn.IMAGE("https://m.media-amazon.com/images/I/612tjJ9d1OL._AC_UL320_.jpg")</f>
        <v/>
      </c>
      <c r="K1315" t="inlineStr">
        <is>
          <t>68.99</t>
        </is>
      </c>
      <c r="L1315" t="n">
        <v>166.45</v>
      </c>
      <c r="M1315" s="1" t="inlineStr">
        <is>
          <t>141.27%</t>
        </is>
      </c>
      <c r="N1315" s="7" t="n">
        <v>48.46</v>
      </c>
      <c r="O1315" t="n">
        <v>5</v>
      </c>
      <c r="P1315" t="n">
        <v>1</v>
      </c>
      <c r="R1315" t="inlineStr">
        <is>
          <t>InStock</t>
        </is>
      </c>
      <c r="S1315" t="inlineStr">
        <is>
          <t>93.62</t>
        </is>
      </c>
      <c r="T1315" t="inlineStr">
        <is>
          <t>4345448202340</t>
        </is>
      </c>
    </row>
    <row r="1316" ht="87" customHeight="1">
      <c r="A1316" s="2">
        <f>HYPERLINK("https://edmondsonsupply.com/collections/hvac/products/robertshaw-1751-013-add-on-pressure-regulator-kit-lp-gas", "https://edmondsonsupply.com/collections/hvac/products/robertshaw-1751-013-add-on-pressure-regulator-kit-lp-gas")</f>
        <v/>
      </c>
      <c r="B1316" s="2">
        <f>HYPERLINK("https://edmondsonsupply.com/products/robertshaw-1751-013-add-on-pressure-regulator-kit-lp-gas", "https://edmondsonsupply.com/products/robertshaw-1751-013-add-on-pressure-regulator-kit-lp-gas")</f>
        <v/>
      </c>
      <c r="C1316" t="inlineStr">
        <is>
          <t>Robertshaw 1751-013 Add-On Pressure Regulator Kit, LP Gas</t>
        </is>
      </c>
      <c r="D1316" t="inlineStr">
        <is>
          <t>LP Gas Converstion Pressure Regulator Kit Replaces Robertshaw 1751-013 HVAC Part</t>
        </is>
      </c>
      <c r="E1316" s="2">
        <f>HYPERLINK("https://www.amazon.com/Converstion-Pressure-Regulator-Robertshaw-HVAC/dp/B07KJQN5QM/ref=sr_1_1?keywords=Robertshaw+1751-013+Add-On+Pressure+Regulator+Kit%2C+LP+Gas&amp;qid=1694734712&amp;sr=8-1", "https://www.amazon.com/Converstion-Pressure-Regulator-Robertshaw-HVAC/dp/B07KJQN5QM/ref=sr_1_1?keywords=Robertshaw+1751-013+Add-On+Pressure+Regulator+Kit%2C+LP+Gas&amp;qid=1694734712&amp;sr=8-1")</f>
        <v/>
      </c>
      <c r="F1316" t="inlineStr">
        <is>
          <t>B07KJQN5QM</t>
        </is>
      </c>
      <c r="G1316">
        <f>_xlfn.IMAGE("https://edmondsonsupply.com/cdn/shop/products/1751-013smaller.jpg?v=1633030771")</f>
        <v/>
      </c>
      <c r="H1316">
        <f>_xlfn.IMAGE("https://m.media-amazon.com/images/I/51lR399Z+4L._AC_UL320_.jpg")</f>
        <v/>
      </c>
      <c r="K1316" t="inlineStr">
        <is>
          <t>26.21</t>
        </is>
      </c>
      <c r="L1316" t="n">
        <v>63.12</v>
      </c>
      <c r="M1316" s="1" t="inlineStr">
        <is>
          <t>140.82%</t>
        </is>
      </c>
      <c r="N1316" s="7" t="n">
        <v>48.25</v>
      </c>
      <c r="O1316" t="n">
        <v>4.5</v>
      </c>
      <c r="P1316" t="n">
        <v>2</v>
      </c>
      <c r="R1316" t="inlineStr">
        <is>
          <t>InStock</t>
        </is>
      </c>
      <c r="S1316" t="inlineStr">
        <is>
          <t>undefined</t>
        </is>
      </c>
      <c r="T1316" t="inlineStr">
        <is>
          <t>5945285247144</t>
        </is>
      </c>
    </row>
    <row r="1317" ht="87" customHeight="1">
      <c r="A1317" s="2">
        <f>HYPERLINK("https://edmondsonsupply.com/collections/hvac/products/milwaukee-48-22-0305-folding-jab-saw", "https://edmondsonsupply.com/collections/hvac/products/milwaukee-48-22-0305-folding-jab-saw")</f>
        <v/>
      </c>
      <c r="B1317" s="2">
        <f>HYPERLINK("https://edmondsonsupply.com/products/milwaukee-48-22-0305-folding-jab-saw", "https://edmondsonsupply.com/products/milwaukee-48-22-0305-folding-jab-saw")</f>
        <v/>
      </c>
      <c r="C1317" t="inlineStr">
        <is>
          <t>Milwaukee 48-22-0305 Folding Jab Saw</t>
        </is>
      </c>
      <c r="D1317" t="inlineStr">
        <is>
          <t>Milwaukee 48-22-0305 6 Inch Folding Jab Saw Compatible with Sawzall Reciprocating Saw Blades (Multi Purpose Blade Included), 2 Pack</t>
        </is>
      </c>
      <c r="E1317" s="2">
        <f>HYPERLINK("https://www.amazon.com/Milwaukee-48-22-0305-Compatible-Reciprocating-Included/dp/B082ZR5YFG/ref=sr_1_2?keywords=Milwaukee+48-22-0305+Folding+Jab+Saw&amp;qid=1694734816&amp;sr=8-2", "https://www.amazon.com/Milwaukee-48-22-0305-Compatible-Reciprocating-Included/dp/B082ZR5YFG/ref=sr_1_2?keywords=Milwaukee+48-22-0305+Folding+Jab+Saw&amp;qid=1694734816&amp;sr=8-2")</f>
        <v/>
      </c>
      <c r="F1317" t="inlineStr">
        <is>
          <t>B082ZR5YFG</t>
        </is>
      </c>
      <c r="G1317">
        <f>_xlfn.IMAGE("https://edmondsonsupply.com/cdn/shop/products/49678_48-22-0305-lg.jpg?v=1587148349")</f>
        <v/>
      </c>
      <c r="H1317">
        <f>_xlfn.IMAGE("https://m.media-amazon.com/images/I/61OX-FKNXSL._AC_UL320_.jpg")</f>
        <v/>
      </c>
      <c r="K1317" t="inlineStr">
        <is>
          <t>19.97</t>
        </is>
      </c>
      <c r="L1317" t="n">
        <v>47.99</v>
      </c>
      <c r="M1317" s="1" t="inlineStr">
        <is>
          <t>140.31%</t>
        </is>
      </c>
      <c r="N1317" s="7" t="n">
        <v>47.85</v>
      </c>
      <c r="O1317" t="n">
        <v>5</v>
      </c>
      <c r="P1317" t="n">
        <v>3</v>
      </c>
      <c r="R1317" t="inlineStr">
        <is>
          <t>InStock</t>
        </is>
      </c>
      <c r="S1317" t="inlineStr">
        <is>
          <t>31.1</t>
        </is>
      </c>
      <c r="T1317" t="inlineStr">
        <is>
          <t>4349655449700</t>
        </is>
      </c>
    </row>
    <row r="1318" ht="87" customHeight="1">
      <c r="A1318" s="2">
        <f>HYPERLINK("https://edmondsonsupply.com/collections/hvac/products/packard-titan-pro-trcd5-run-capacitor-40-5-mfd-370-volt-round", "https://edmondsonsupply.com/collections/hvac/products/packard-titan-pro-trcd5-run-capacitor-40-5-mfd-370-volt-round")</f>
        <v/>
      </c>
      <c r="B1318" s="2">
        <f>HYPERLINK("https://edmondsonsupply.com/products/packard-titan-pro-trcd5-run-capacitor-40-5-mfd-370-volt-round", "https://edmondsonsupply.com/products/packard-titan-pro-trcd5-run-capacitor-40-5-mfd-370-volt-round")</f>
        <v/>
      </c>
      <c r="C1318" t="inlineStr">
        <is>
          <t>Packard Titan PRO TRCD405 Run Capacitor 40+5 MFD 370 Volt Round</t>
        </is>
      </c>
      <c r="D1318" t="inlineStr">
        <is>
          <t>Titan Pro Round Motor Dual Run Capacitor, 40/5 Microfarad Rating, 370-440VAC Voltage - TRCFD405</t>
        </is>
      </c>
      <c r="E1318" s="2">
        <f>HYPERLINK("https://www.amazon.com/Capacitor-Microfarad-Rating-370-440VAC-Voltage/dp/B08TT9FDLR/ref=sr_1_7?keywords=Packard+Titan+PRO+TRCD405+Run+Capacitor+40+5+MFD+370+Volt+Round&amp;qid=1694734787&amp;sr=8-7", "https://www.amazon.com/Capacitor-Microfarad-Rating-370-440VAC-Voltage/dp/B08TT9FDLR/ref=sr_1_7?keywords=Packard+Titan+PRO+TRCD405+Run+Capacitor+40+5+MFD+370+Volt+Round&amp;qid=1694734787&amp;sr=8-7")</f>
        <v/>
      </c>
      <c r="F1318" t="inlineStr">
        <is>
          <t>B08TT9FDLR</t>
        </is>
      </c>
      <c r="G1318">
        <f>_xlfn.IMAGE("https://edmondsonsupply.com/cdn/shop/products/TRCD405-2.jpg?v=1633030397")</f>
        <v/>
      </c>
      <c r="H1318">
        <f>_xlfn.IMAGE("https://m.media-amazon.com/images/I/61cQEVPjCNL._AC_UY218_.jpg")</f>
        <v/>
      </c>
      <c r="K1318" t="inlineStr">
        <is>
          <t>9.04</t>
        </is>
      </c>
      <c r="L1318" t="n">
        <v>21.72</v>
      </c>
      <c r="M1318" s="1" t="inlineStr">
        <is>
          <t>140.27%</t>
        </is>
      </c>
      <c r="N1318" s="7" t="n">
        <v>47.49</v>
      </c>
      <c r="O1318" t="n">
        <v>4.5</v>
      </c>
      <c r="P1318" t="n">
        <v>8</v>
      </c>
      <c r="R1318" t="inlineStr">
        <is>
          <t>InStock</t>
        </is>
      </c>
      <c r="S1318" t="inlineStr">
        <is>
          <t>undefined</t>
        </is>
      </c>
      <c r="T1318" t="inlineStr">
        <is>
          <t>5302353002664</t>
        </is>
      </c>
    </row>
    <row r="1319" hidden="1" ht="15.75" customHeight="1">
      <c r="A1319" s="2">
        <f>HYPERLINK("https://edmondsonsupply.com/collections/hvac/products/packard-trc40-titan-pro-run-capacitor-40-mfd-370-volt-round", "https://edmondsonsupply.com/collections/hvac/products/packard-trc40-titan-pro-run-capacitor-40-mfd-370-volt-round")</f>
        <v/>
      </c>
      <c r="B1319" s="2">
        <f>HYPERLINK("https://edmondsonsupply.com/products/packard-trc40-titan-pro-run-capacitor-40-mfd-370-volt-round", "https://edmondsonsupply.com/products/packard-trc40-titan-pro-run-capacitor-40-mfd-370-volt-round")</f>
        <v/>
      </c>
      <c r="C1319" t="inlineStr">
        <is>
          <t>Packard TRC40 Titan PRO Run Capacitor 40 MFD 370 Volt Round</t>
        </is>
      </c>
      <c r="D1319" t="inlineStr">
        <is>
          <t>Titan TRCFD405 Dual Rated Motor Run Capacitor Round MFD 40/5 Volts 440/370</t>
        </is>
      </c>
      <c r="E1319" s="2">
        <f>HYPERLINK("https://www.amazon.com/Titan-TRCFD405-Rated-Motor-Capacitor/dp/B01HPK5ANO/ref=sr_1_4?keywords=Packard+TRC40+Titan+PRO+Run+Capacitor+40+MFD+370+Volt+Round&amp;qid=1694734814&amp;sr=8-4", "https://www.amazon.com/Titan-TRCFD405-Rated-Motor-Capacitor/dp/B01HPK5ANO/ref=sr_1_4?keywords=Packard+TRC40+Titan+PRO+Run+Capacitor+40+MFD+370+Volt+Round&amp;qid=1694734814&amp;sr=8-4")</f>
        <v/>
      </c>
      <c r="F1319" t="inlineStr">
        <is>
          <t>B01HPK5ANO</t>
        </is>
      </c>
      <c r="G1319">
        <f>_xludf.IMAGE("https://edmondsonsupply.com/cdn/shop/products/tp370-2_xl_1.jpg?v=1587148259")</f>
        <v/>
      </c>
      <c r="H1319">
        <f>_xludf.IMAGE("https://m.media-amazon.com/images/I/31rIunJqcaL._AC_UY218_.jpg")</f>
        <v/>
      </c>
      <c r="K1319" t="inlineStr">
        <is>
          <t>4.6</t>
        </is>
      </c>
      <c r="L1319" t="n">
        <v>11.05</v>
      </c>
      <c r="M1319" s="1" t="inlineStr">
        <is>
          <t>140.22%</t>
        </is>
      </c>
      <c r="N1319" s="1" t="n">
        <v>47.2</v>
      </c>
      <c r="O1319" t="n">
        <v>4.7</v>
      </c>
      <c r="P1319" t="n">
        <v>392</v>
      </c>
      <c r="R1319" t="inlineStr">
        <is>
          <t>InStock</t>
        </is>
      </c>
      <c r="S1319" t="inlineStr">
        <is>
          <t>undefined</t>
        </is>
      </c>
      <c r="T1319" t="inlineStr">
        <is>
          <t>4343354654820</t>
        </is>
      </c>
    </row>
    <row r="1320" ht="87" customHeight="1">
      <c r="A1320" s="2">
        <f>HYPERLINK("https://edmondsonsupply.com/collections/hvac/products/robertshaw-ldk-110000-070-reversing-valve-solenoid-coil-24v", "https://edmondsonsupply.com/collections/hvac/products/robertshaw-ldk-110000-070-reversing-valve-solenoid-coil-24v")</f>
        <v/>
      </c>
      <c r="B1320" s="2">
        <f>HYPERLINK("https://edmondsonsupply.com/products/robertshaw-ldk-110000-070-reversing-valve-solenoid-coil-24v", "https://edmondsonsupply.com/products/robertshaw-ldk-110000-070-reversing-valve-solenoid-coil-24v")</f>
        <v/>
      </c>
      <c r="C1320" t="inlineStr">
        <is>
          <t>Ranco LDK-110000-070 Reversing Valve Solenoid Coil, 24V</t>
        </is>
      </c>
      <c r="D1320" t="inlineStr">
        <is>
          <t>Replacement for Ranco LDK-110000-070 Solenoid Coil 24 VAC for Heat Pump Reversing Valves</t>
        </is>
      </c>
      <c r="E1320" s="2">
        <f>HYPERLINK("https://www.amazon.com/Replacement-LDK-110000-070-Solenoid-Reversing-Valves/dp/B09Y4BS2XC/ref=sr_1_4?keywords=Ranco+LDK-110000-070+Reversing+Valve+Solenoid+Coil%2C+24V&amp;qid=1694734712&amp;sr=8-4", "https://www.amazon.com/Replacement-LDK-110000-070-Solenoid-Reversing-Valves/dp/B09Y4BS2XC/ref=sr_1_4?keywords=Ranco+LDK-110000-070+Reversing+Valve+Solenoid+Coil%2C+24V&amp;qid=1694734712&amp;sr=8-4")</f>
        <v/>
      </c>
      <c r="F1320" t="inlineStr">
        <is>
          <t>B09Y4BS2XC</t>
        </is>
      </c>
      <c r="G1320">
        <f>_xlfn.IMAGE("https://edmondsonsupply.com/cdn/shop/products/LDK-110000-070.jpg?v=1633030794")</f>
        <v/>
      </c>
      <c r="H1320">
        <f>_xlfn.IMAGE("https://m.media-amazon.com/images/I/61WExo8YLUL._AC_UY218_.jpg")</f>
        <v/>
      </c>
      <c r="K1320" t="inlineStr">
        <is>
          <t>22.79</t>
        </is>
      </c>
      <c r="L1320" t="n">
        <v>54.74</v>
      </c>
      <c r="M1320" s="1" t="inlineStr">
        <is>
          <t>140.19%</t>
        </is>
      </c>
      <c r="N1320" s="7" t="n">
        <v>46.64</v>
      </c>
      <c r="O1320" t="n">
        <v>5</v>
      </c>
      <c r="P1320" t="n">
        <v>1</v>
      </c>
      <c r="R1320" t="inlineStr">
        <is>
          <t>InStock</t>
        </is>
      </c>
      <c r="S1320" t="inlineStr">
        <is>
          <t>77.06</t>
        </is>
      </c>
      <c r="T1320" t="inlineStr">
        <is>
          <t>5994116907176</t>
        </is>
      </c>
    </row>
    <row r="1321" ht="87" customHeight="1">
      <c r="A1321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1321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1321" t="inlineStr">
        <is>
          <t>Klein Tools 60164 Professional Safety Glasses, Full Frame, Gray Lens</t>
        </is>
      </c>
      <c r="D1321" t="inlineStr">
        <is>
          <t>Klein Tools 60539 Safety Glasses, Professional PPE Protective Eyewear, Full Frame, Scratch Resistant and Anti-Fog, Polarized Lens</t>
        </is>
      </c>
      <c r="E1321" s="2">
        <f>HYPERLINK("https://www.amazon.com/Klein-Tools-60539-Professional-Protective/dp/B0BLQ6F4MQ/ref=sr_1_8?keywords=Klein+Tools+60164+Professional+Safety+Glasses%2C+Full+Frame%2C+Gray+Lens&amp;qid=1694734778&amp;sr=8-8", "https://www.amazon.com/Klein-Tools-60539-Professional-Protective/dp/B0BLQ6F4MQ/ref=sr_1_8?keywords=Klein+Tools+60164+Professional+Safety+Glasses%2C+Full+Frame%2C+Gray+Lens&amp;qid=1694734778&amp;sr=8-8")</f>
        <v/>
      </c>
      <c r="F1321" t="inlineStr">
        <is>
          <t>B0BLQ6F4MQ</t>
        </is>
      </c>
      <c r="G1321">
        <f>_xlfn.IMAGE("https://edmondsonsupply.com/cdn/shop/products/60164.jpg?v=1633030851")</f>
        <v/>
      </c>
      <c r="H1321">
        <f>_xlfn.IMAGE("https://m.media-amazon.com/images/I/41z93jotzdL._AC_UL320_.jpg")</f>
        <v/>
      </c>
      <c r="K1321" t="inlineStr">
        <is>
          <t>14.99</t>
        </is>
      </c>
      <c r="L1321" t="n">
        <v>35.99</v>
      </c>
      <c r="M1321" s="1" t="inlineStr">
        <is>
          <t>140.09%</t>
        </is>
      </c>
      <c r="N1321" s="7" t="n">
        <v>46.5</v>
      </c>
      <c r="O1321" t="n">
        <v>4.4</v>
      </c>
      <c r="P1321" t="n">
        <v>11</v>
      </c>
      <c r="R1321" t="inlineStr">
        <is>
          <t>InStock</t>
        </is>
      </c>
      <c r="S1321" t="inlineStr">
        <is>
          <t>20.98</t>
        </is>
      </c>
      <c r="T1321" t="inlineStr">
        <is>
          <t>6103189520557</t>
        </is>
      </c>
    </row>
    <row r="1322" ht="87" customHeight="1">
      <c r="A1322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1322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1322" t="inlineStr">
        <is>
          <t>Klein Tools NCVT1XTKIT Non-Contact Voltage and GFCI Receptacle Premium Test Kit</t>
        </is>
      </c>
      <c r="D1322" t="inlineStr">
        <is>
          <t>Klein Tools 80064 AC Circuit Breaker Kit with GFCI Digital Circuit Breaker Finder, Non-Contact Voltage Tester Pen and Zipper Bag, 3-Piece</t>
        </is>
      </c>
      <c r="E1322" s="2">
        <f>HYPERLINK("https://www.amazon.com/Klein-Tools-80064-Circuit-Non-Contact/dp/B09WJKKBP2/ref=sr_1_6?keywords=Klein+Tools+NCVT1XTKIT+Non-Contact+Voltage+and+GFCI+Receptacle+Premium+Test+Kit&amp;qid=1694734686&amp;sr=8-6", "https://www.amazon.com/Klein-Tools-80064-Circuit-Non-Contact/dp/B09WJKKBP2/ref=sr_1_6?keywords=Klein+Tools+NCVT1XTKIT+Non-Contact+Voltage+and+GFCI+Receptacle+Premium+Test+Kit&amp;qid=1694734686&amp;sr=8-6")</f>
        <v/>
      </c>
      <c r="F1322" t="inlineStr">
        <is>
          <t>B09WJKKBP2</t>
        </is>
      </c>
      <c r="G1322">
        <f>_xlfn.IMAGE("https://edmondsonsupply.com/cdn/shop/products/ncvt1xtkit.jpg?v=1674497102")</f>
        <v/>
      </c>
      <c r="H1322">
        <f>_xlfn.IMAGE("https://m.media-amazon.com/images/I/717V+W-xvwL._AC_UL320_.jpg")</f>
        <v/>
      </c>
      <c r="K1322" t="inlineStr">
        <is>
          <t>24.99</t>
        </is>
      </c>
      <c r="L1322" t="n">
        <v>59.99</v>
      </c>
      <c r="M1322" s="1" t="inlineStr">
        <is>
          <t>140.06%</t>
        </is>
      </c>
      <c r="N1322" s="7" t="n">
        <v>46.32</v>
      </c>
      <c r="O1322" t="n">
        <v>4.7</v>
      </c>
      <c r="P1322" t="n">
        <v>19527</v>
      </c>
      <c r="R1322" t="inlineStr">
        <is>
          <t>InStock</t>
        </is>
      </c>
      <c r="S1322" t="inlineStr">
        <is>
          <t>32.98</t>
        </is>
      </c>
      <c r="T1322" t="inlineStr">
        <is>
          <t>7931949187288</t>
        </is>
      </c>
    </row>
    <row r="1323" hidden="1" ht="15.75" customHeight="1">
      <c r="A1323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323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323" t="inlineStr">
        <is>
          <t>ICM Controls ICM2811 Furnace Control Board - Replacement for Goodman</t>
        </is>
      </c>
      <c r="D1323" t="inlineStr">
        <is>
          <t>ICM282A Replacement ICM Controls, Carrier HK42FZ004, HK42FZ007, HK42FZ008, HK42FZ009, HK42FZ011, HK42FZ013, HK42FZ016 and HK42FZ0 Series Furnace Control Board Module</t>
        </is>
      </c>
      <c r="E1323" s="2">
        <f>HYPERLINK("https://www.amazon.com/ICM282A-Replacement-HK42FZ004-HK42FZ007-HK42FZ008/dp/B0C5LZFXDK/ref=sr_1_28?keywords=ICM+Controls+ICM2811+Furnace+Control+Board+-+Replacement+for+Goodman&amp;qid=1694734652&amp;sr=8-28", "https://www.amazon.com/ICM282A-Replacement-HK42FZ004-HK42FZ007-HK42FZ008/dp/B0C5LZFXDK/ref=sr_1_28?keywords=ICM+Controls+ICM2811+Furnace+Control+Board+-+Replacement+for+Goodman&amp;qid=1694734652&amp;sr=8-28")</f>
        <v/>
      </c>
      <c r="F1323" t="inlineStr">
        <is>
          <t>B0C5LZFXDK</t>
        </is>
      </c>
      <c r="G1323">
        <f>_xludf.IMAGE("https://edmondsonsupply.com/cdn/shop/products/photo_3800_medium_86f45e25-a764-4839-bc84-759a6ce1c7bd.jpg?v=1659910436")</f>
        <v/>
      </c>
      <c r="H1323">
        <f>_xludf.IMAGE("https://m.media-amazon.com/images/I/711ATMo0g6L._AC_UL320_.jpg")</f>
        <v/>
      </c>
      <c r="K1323" t="inlineStr">
        <is>
          <t>68.99</t>
        </is>
      </c>
      <c r="L1323" t="n">
        <v>165</v>
      </c>
      <c r="M1323" s="1" t="inlineStr">
        <is>
          <t>139.17%</t>
        </is>
      </c>
      <c r="N1323" s="1" t="n">
        <v>46.19</v>
      </c>
      <c r="O1323" t="n">
        <v>1</v>
      </c>
      <c r="P1323" t="n">
        <v>2</v>
      </c>
      <c r="R1323" t="inlineStr">
        <is>
          <t>InStock</t>
        </is>
      </c>
      <c r="S1323" t="inlineStr">
        <is>
          <t>93.62</t>
        </is>
      </c>
      <c r="T1323" t="inlineStr">
        <is>
          <t>4345448202340</t>
        </is>
      </c>
    </row>
    <row r="1324" ht="87" customHeight="1">
      <c r="A1324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1324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1324" t="inlineStr">
        <is>
          <t>ICM Controls ICM289 Furnace Control Board - Replacement for Lennox</t>
        </is>
      </c>
      <c r="D1324" t="inlineStr">
        <is>
          <t>63K2401-Lennox ICM Replacement Furnace Control Board</t>
        </is>
      </c>
      <c r="E1324" s="2">
        <f>HYPERLINK("https://www.amazon.com/63K2401-Lennox-ICM-Replacement-Furnace-Control/dp/B00G03B7AS/ref=sr_1_4?keywords=ICM+Controls+ICM289+Furnace+Control+Board+-+Replacement+for+Lennox&amp;qid=1694734661&amp;sr=8-4", "https://www.amazon.com/63K2401-Lennox-ICM-Replacement-Furnace-Control/dp/B00G03B7AS/ref=sr_1_4?keywords=ICM+Controls+ICM289+Furnace+Control+Board+-+Replacement+for+Lennox&amp;qid=1694734661&amp;sr=8-4")</f>
        <v/>
      </c>
      <c r="F1324" t="inlineStr">
        <is>
          <t>B00G03B7AS</t>
        </is>
      </c>
      <c r="G1324">
        <f>_xlfn.IMAGE("https://edmondsonsupply.com/cdn/shop/products/photo_3601_medium_abc82be0-5d13-465a-9be5-04a6748e2d27.png?v=1656728911")</f>
        <v/>
      </c>
      <c r="H1324">
        <f>_xlfn.IMAGE("https://m.media-amazon.com/images/I/51a6vZwTLyL._AC_UL320_.jpg")</f>
        <v/>
      </c>
      <c r="K1324" t="inlineStr">
        <is>
          <t>134.99</t>
        </is>
      </c>
      <c r="L1324" t="n">
        <v>321.95</v>
      </c>
      <c r="M1324" s="1" t="inlineStr">
        <is>
          <t>138.50%</t>
        </is>
      </c>
      <c r="N1324" s="7" t="n">
        <v>45.51</v>
      </c>
      <c r="O1324" t="n">
        <v>5</v>
      </c>
      <c r="P1324" t="n">
        <v>1</v>
      </c>
      <c r="R1324" t="inlineStr">
        <is>
          <t>OutOfStock</t>
        </is>
      </c>
      <c r="S1324" t="inlineStr">
        <is>
          <t>198.98</t>
        </is>
      </c>
      <c r="T1324" t="inlineStr">
        <is>
          <t>7735114432728</t>
        </is>
      </c>
    </row>
    <row r="1325" ht="87" customHeight="1">
      <c r="A1325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1325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1325" t="inlineStr">
        <is>
          <t>ICM Controls ICM289 Furnace Control Board - Replacement for Lennox</t>
        </is>
      </c>
      <c r="D1325" t="inlineStr">
        <is>
          <t>18G9101-Lennox ICM Replacement Furnace Control Board</t>
        </is>
      </c>
      <c r="E1325" s="2">
        <f>HYPERLINK("https://www.amazon.com/18G9101-Lennox-ICM-Replacement-Furnace-Control/dp/B00G03B9BK/ref=sr_1_11?keywords=ICM+Controls+ICM289+Furnace+Control+Board+-+Replacement+for+Lennox&amp;qid=1694734661&amp;sr=8-11", "https://www.amazon.com/18G9101-Lennox-ICM-Replacement-Furnace-Control/dp/B00G03B9BK/ref=sr_1_11?keywords=ICM+Controls+ICM289+Furnace+Control+Board+-+Replacement+for+Lennox&amp;qid=1694734661&amp;sr=8-11")</f>
        <v/>
      </c>
      <c r="F1325" t="inlineStr">
        <is>
          <t>B00G03B9BK</t>
        </is>
      </c>
      <c r="G1325">
        <f>_xlfn.IMAGE("https://edmondsonsupply.com/cdn/shop/products/photo_3601_medium_abc82be0-5d13-465a-9be5-04a6748e2d27.png?v=1656728911")</f>
        <v/>
      </c>
      <c r="H1325">
        <f>_xlfn.IMAGE("https://m.media-amazon.com/images/I/51a6vZwTLyL._AC_UL320_.jpg")</f>
        <v/>
      </c>
      <c r="K1325" t="inlineStr">
        <is>
          <t>134.99</t>
        </is>
      </c>
      <c r="L1325" t="n">
        <v>321.95</v>
      </c>
      <c r="M1325" s="1" t="inlineStr">
        <is>
          <t>138.50%</t>
        </is>
      </c>
      <c r="N1325" s="7" t="n">
        <v>45.45</v>
      </c>
      <c r="O1325" t="n">
        <v>5</v>
      </c>
      <c r="P1325" t="n">
        <v>1</v>
      </c>
      <c r="R1325" t="inlineStr">
        <is>
          <t>OutOfStock</t>
        </is>
      </c>
      <c r="S1325" t="inlineStr">
        <is>
          <t>198.98</t>
        </is>
      </c>
      <c r="T1325" t="inlineStr">
        <is>
          <t>7735114432728</t>
        </is>
      </c>
    </row>
    <row r="1326" ht="87" customHeight="1">
      <c r="A1326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326" s="2">
        <f>HYPERLINK("https://edmondsonsupply.com/products/klein-tools-646-5-16-5-16-inch-nut-driver-6-inch-hollow-shaft", "https://edmondsonsupply.com/products/klein-tools-646-5-16-5-16-inch-nut-driver-6-inch-hollow-shaft")</f>
        <v/>
      </c>
      <c r="C1326" t="inlineStr">
        <is>
          <t>Klein Tools 646-5/16 5/16-Inch Nut Driver, 6-Inch Hollow Shaft</t>
        </is>
      </c>
      <c r="D1326" t="inlineStr">
        <is>
          <t>Klein Tools PND9165 9/16-Inch Power Nut Driver, 5-Inch Out-of-Chuck</t>
        </is>
      </c>
      <c r="E1326" s="2">
        <f>HYPERLINK("https://www.amazon.com/16-Inch-Driver-Klein-Tools-PND9165/dp/B00ELGQM9C/ref=sr_1_17?keywords=Klein+Tools+646-5%2F16+5%2F16-Inch+Nut+Driver%2C+6-Inch+Hollow+Shaft&amp;qid=1694734728&amp;sr=8-17", "https://www.amazon.com/16-Inch-Driver-Klein-Tools-PND9165/dp/B00ELGQM9C/ref=sr_1_17?keywords=Klein+Tools+646-5%2F16+5%2F16-Inch+Nut+Driver%2C+6-Inch+Hollow+Shaft&amp;qid=1694734728&amp;sr=8-17")</f>
        <v/>
      </c>
      <c r="F1326" t="inlineStr">
        <is>
          <t>B00ELGQM9C</t>
        </is>
      </c>
      <c r="G1326">
        <f>_xlfn.IMAGE("https://edmondsonsupply.com/cdn/shop/products/646-1-2_e1540905-f750-4509-90c5-74ff653e4d83.jpg?v=1587145119")</f>
        <v/>
      </c>
      <c r="H1326">
        <f>_xlfn.IMAGE("https://m.media-amazon.com/images/I/419piFtDHiL._AC_UL320_.jpg")</f>
        <v/>
      </c>
      <c r="K1326" t="inlineStr">
        <is>
          <t>7.99</t>
        </is>
      </c>
      <c r="L1326" t="n">
        <v>18.99</v>
      </c>
      <c r="M1326" s="1" t="inlineStr">
        <is>
          <t>137.67%</t>
        </is>
      </c>
      <c r="N1326" s="7" t="n">
        <v>45.43</v>
      </c>
      <c r="O1326" t="n">
        <v>4.6</v>
      </c>
      <c r="P1326" t="n">
        <v>1105</v>
      </c>
      <c r="R1326" t="inlineStr">
        <is>
          <t>InStock</t>
        </is>
      </c>
      <c r="S1326" t="inlineStr">
        <is>
          <t>12.1</t>
        </is>
      </c>
      <c r="T1326" t="inlineStr">
        <is>
          <t>4395303272548</t>
        </is>
      </c>
    </row>
    <row r="1327" hidden="1" ht="15.75" customHeight="1">
      <c r="A1327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327" s="2">
        <f>HYPERLINK("https://edmondsonsupply.com/products/packard-pmj460-motor-start-capacitor-460-552-mfd-110-125-vac", "https://edmondsonsupply.com/products/packard-pmj460-motor-start-capacitor-460-552-mfd-110-125-vac")</f>
        <v/>
      </c>
      <c r="C1327" t="inlineStr">
        <is>
          <t>Packard PMJ460 Motor Start Capacitor 460-552 MFD 110-125 VAC</t>
        </is>
      </c>
      <c r="D1327" t="inlineStr">
        <is>
          <t>460-552 uf/MFD 110-125 VAC Round Start Capacitor ±20% 50/60 Hz CD60 Round Motor Well Pump Start Capacitor (460-552 uf/MFD)</t>
        </is>
      </c>
      <c r="E1327" s="2">
        <f>HYPERLINK("https://www.amazon.com/460-552-MFD-110-125-Round-Capacitor/dp/B0C2KRV74C/ref=sr_1_11?keywords=Packard+PMJ460+Motor+Start+Capacitor+460-552+MFD+110-125+VAC&amp;qid=1694734651&amp;sr=8-11", "https://www.amazon.com/460-552-MFD-110-125-Round-Capacitor/dp/B0C2KRV74C/ref=sr_1_11?keywords=Packard+PMJ460+Motor+Start+Capacitor+460-552+MFD+110-125+VAC&amp;qid=1694734651&amp;sr=8-11")</f>
        <v/>
      </c>
      <c r="F1327" t="inlineStr">
        <is>
          <t>B0C2KRV74C</t>
        </is>
      </c>
      <c r="G1327">
        <f>_xludf.IMAGE("https://edmondsonsupply.com/cdn/shop/products/PMJ460-2.jpg?v=1633030333")</f>
        <v/>
      </c>
      <c r="H1327">
        <f>_xludf.IMAGE("https://m.media-amazon.com/images/I/51SoYAVAgLL._AC_UY218_.jpg")</f>
        <v/>
      </c>
      <c r="K1327" t="inlineStr">
        <is>
          <t>5.06</t>
        </is>
      </c>
      <c r="L1327" t="n">
        <v>11.99</v>
      </c>
      <c r="M1327" s="1" t="inlineStr">
        <is>
          <t>136.96%</t>
        </is>
      </c>
      <c r="N1327" s="1" t="n">
        <v>45.4</v>
      </c>
      <c r="O1327" t="n">
        <v>4.7</v>
      </c>
      <c r="P1327" t="n">
        <v>21</v>
      </c>
      <c r="R1327" t="inlineStr">
        <is>
          <t>OutOfStock</t>
        </is>
      </c>
      <c r="S1327" t="inlineStr">
        <is>
          <t>undefined</t>
        </is>
      </c>
      <c r="T1327" t="inlineStr">
        <is>
          <t>5271944954024</t>
        </is>
      </c>
    </row>
    <row r="1328" hidden="1" ht="15.75" customHeight="1">
      <c r="A1328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328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328" t="inlineStr">
        <is>
          <t>Holyoke Fittings 1055-FHFH 3/4" Garden Hose Thread Fitting - Brass Female Garden Hose to Hose Swivel Adapter</t>
        </is>
      </c>
      <c r="D1328" t="inlineStr">
        <is>
          <t>BRUFER 5022H Brass Female Garden Hose Thread Swivel With 1/2" Barb x 3/4"GHT, Includes Stainless Steel Clamps - Pack of 2 Complete Fittings with Clamps</t>
        </is>
      </c>
      <c r="E1328" s="2">
        <f>HYPERLINK("https://www.amazon.com/BRUFER-Female-Garden-Thread-Galvanized/dp/B07ZS23CKP/ref=sr_1_37?keywords=Holyoke+Fittings+1055-FHFH+3%2F4%22+Garden+Hose+Thread+Fitting+-+Brass+Female+Garden+Hose+to+Hose+Swivel+Adapter&amp;qid=1694734918&amp;sr=8-37", "https://www.amazon.com/BRUFER-Female-Garden-Thread-Galvanized/dp/B07ZS23CKP/ref=sr_1_37?keywords=Holyoke+Fittings+1055-FHFH+3%2F4%22+Garden+Hose+Thread+Fitting+-+Brass+Female+Garden+Hose+to+Hose+Swivel+Adapter&amp;qid=1694734918&amp;sr=8-37")</f>
        <v/>
      </c>
      <c r="F1328" t="inlineStr">
        <is>
          <t>B07ZS23CKP</t>
        </is>
      </c>
      <c r="G1328">
        <f>_xludf.IMAGE("https://edmondsonsupply.com/cdn/shop/files/1055-FHFH.jpg?v=1686083814")</f>
        <v/>
      </c>
      <c r="H1328">
        <f>_xludf.IMAGE("https://m.media-amazon.com/images/I/61NqRpo+Q2L._AC_UL320_.jpg")</f>
        <v/>
      </c>
      <c r="K1328" t="inlineStr">
        <is>
          <t>3.59</t>
        </is>
      </c>
      <c r="L1328" t="n">
        <v>8.49</v>
      </c>
      <c r="M1328" s="1" t="inlineStr">
        <is>
          <t>136.49%</t>
        </is>
      </c>
      <c r="N1328" s="1" t="n">
        <v>45.34</v>
      </c>
      <c r="O1328" t="n">
        <v>4.4</v>
      </c>
      <c r="P1328" t="n">
        <v>307</v>
      </c>
      <c r="R1328" t="inlineStr">
        <is>
          <t>InStock</t>
        </is>
      </c>
      <c r="S1328" t="inlineStr">
        <is>
          <t>5.17</t>
        </is>
      </c>
      <c r="T1328" t="inlineStr">
        <is>
          <t>8002194342104</t>
        </is>
      </c>
    </row>
    <row r="1329" ht="87" customHeight="1">
      <c r="A1329" s="2">
        <f>HYPERLINK("https://edmondsonsupply.com/collections/hvac/products/channellock-804", "https://edmondsonsupply.com/collections/hvac/products/channellock-804")</f>
        <v/>
      </c>
      <c r="B1329" s="2">
        <f>HYPERLINK("https://edmondsonsupply.com/products/channellock-804", "https://edmondsonsupply.com/products/channellock-804")</f>
        <v/>
      </c>
      <c r="C1329" t="inlineStr">
        <is>
          <t>Channellock 804 4-Inch Chrome Adjustable Wrench</t>
        </is>
      </c>
      <c r="D1329" t="inlineStr">
        <is>
          <t>DURATECH 4-Piece Adjustable Wrench Set, 6-inch, 8-inch, 10-inch, 12-inch, 3-in-1 Spanner with Box End/Hex Function, CR-V Steel, Chrome-plated, Bi-material soft Grip, with Rolling Bag</t>
        </is>
      </c>
      <c r="E1329" s="2">
        <f>HYPERLINK("https://www.amazon.com/DURATECH-Adjustable-Function-Chrome-plated-Bi-material/dp/B08G8SXYXQ/ref=sr_1_15?keywords=Channellock+804+4-Inch+Chrome+Adjustable+Wrench&amp;qid=1694734791&amp;sr=8-15", "https://www.amazon.com/DURATECH-Adjustable-Function-Chrome-plated-Bi-material/dp/B08G8SXYXQ/ref=sr_1_15?keywords=Channellock+804+4-Inch+Chrome+Adjustable+Wrench&amp;qid=1694734791&amp;sr=8-15")</f>
        <v/>
      </c>
      <c r="F1329" t="inlineStr">
        <is>
          <t>B08G8SXYXQ</t>
        </is>
      </c>
      <c r="G1329">
        <f>_xlfn.IMAGE("https://edmondsonsupply.com/cdn/shop/products/804-683x1024.jpg?v=1587145853")</f>
        <v/>
      </c>
      <c r="H1329">
        <f>_xlfn.IMAGE("https://m.media-amazon.com/images/I/81pxtBdQpiL._AC_UL320_.jpg")</f>
        <v/>
      </c>
      <c r="K1329" t="inlineStr">
        <is>
          <t>16.95</t>
        </is>
      </c>
      <c r="L1329" t="n">
        <v>39.99</v>
      </c>
      <c r="M1329" s="1" t="inlineStr">
        <is>
          <t>135.93%</t>
        </is>
      </c>
      <c r="N1329" s="7" t="n">
        <v>45.31</v>
      </c>
      <c r="O1329" t="n">
        <v>4.6</v>
      </c>
      <c r="P1329" t="n">
        <v>516</v>
      </c>
      <c r="R1329" t="inlineStr">
        <is>
          <t>InStock</t>
        </is>
      </c>
      <c r="S1329" t="inlineStr">
        <is>
          <t>26.62</t>
        </is>
      </c>
      <c r="T1329" t="inlineStr">
        <is>
          <t>4094611488868</t>
        </is>
      </c>
    </row>
    <row r="1330" ht="87" customHeight="1">
      <c r="A1330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330" s="2">
        <f>HYPERLINK("https://edmondsonsupply.com/products/packard-c230b-contactor-2-pole-30-amps-120-coil-voltage", "https://edmondsonsupply.com/products/packard-c230b-contactor-2-pole-30-amps-120-coil-voltage")</f>
        <v/>
      </c>
      <c r="C1330" t="inlineStr">
        <is>
          <t>Packard C230B Contactor 2 Pole 30 AMPS 120 Coil Voltage</t>
        </is>
      </c>
      <c r="D1330" t="inlineStr">
        <is>
          <t>Furnas 45EG20AF - Replaced by Eaton/Cutler Hammer C25BNB230A Contactor, 2-Pole, 30 Amp, 120 VAC Coil Voltage</t>
        </is>
      </c>
      <c r="E1330" s="2">
        <f>HYPERLINK("https://www.amazon.com/Furnas-45EG20AF-Replaced-C25BNB230A-Contactor/dp/B07GSD7WRV/ref=sr_1_3?keywords=Packard+C230B+Contactor+2+Pole+30+AMPS+120+Coil+Voltage&amp;qid=1694734817&amp;sr=8-3", "https://www.amazon.com/Furnas-45EG20AF-Replaced-C25BNB230A-Contactor/dp/B07GSD7WRV/ref=sr_1_3?keywords=Packard+C230B+Contactor+2+Pole+30+AMPS+120+Coil+Voltage&amp;qid=1694734817&amp;sr=8-3")</f>
        <v/>
      </c>
      <c r="F1330" t="inlineStr">
        <is>
          <t>B07GSD7WRV</t>
        </is>
      </c>
      <c r="G1330">
        <f>_xlfn.IMAGE("https://edmondsonsupply.com/cdn/shop/products/C230B-1.jpg?v=1587142333")</f>
        <v/>
      </c>
      <c r="H1330">
        <f>_xlfn.IMAGE("https://m.media-amazon.com/images/I/41mfO5g+QfL._AC_UY218_.jpg")</f>
        <v/>
      </c>
      <c r="K1330" t="inlineStr">
        <is>
          <t>10.82</t>
        </is>
      </c>
      <c r="L1330" t="n">
        <v>25.5</v>
      </c>
      <c r="M1330" s="1" t="inlineStr">
        <is>
          <t>135.67%</t>
        </is>
      </c>
      <c r="N1330" s="7" t="n">
        <v>45.01</v>
      </c>
      <c r="O1330" t="n">
        <v>5</v>
      </c>
      <c r="P1330" t="n">
        <v>2</v>
      </c>
      <c r="R1330" t="inlineStr">
        <is>
          <t>InStock</t>
        </is>
      </c>
      <c r="S1330" t="inlineStr">
        <is>
          <t>undefined</t>
        </is>
      </c>
      <c r="T1330" t="inlineStr">
        <is>
          <t>4367983673444</t>
        </is>
      </c>
    </row>
    <row r="1331" ht="87" customHeight="1">
      <c r="A1331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331" s="2">
        <f>HYPERLINK("https://edmondsonsupply.com/products/packard-c230b-contactor-2-pole-30-amps-120-coil-voltage", "https://edmondsonsupply.com/products/packard-c230b-contactor-2-pole-30-amps-120-coil-voltage")</f>
        <v/>
      </c>
      <c r="C1331" t="inlineStr">
        <is>
          <t>Packard C230B Contactor 2 Pole 30 AMPS 120 Coil Voltage</t>
        </is>
      </c>
      <c r="D1331" t="inlineStr">
        <is>
          <t>Square D 8910DP32V02 - Replaced by Eaton/Cutler Hammer C25BNB230A Contactor, 2-Pole, 30 Amp, 120 VAC Coil Voltage</t>
        </is>
      </c>
      <c r="E1331" s="2">
        <f>HYPERLINK("https://www.amazon.com/Square-8910DP32V02-Replaced-C25BNB230A-Contactor/dp/B07GSFKM61/ref=sr_1_11?keywords=Packard+C230B+Contactor+2+Pole+30+AMPS+120+Coil+Voltage&amp;qid=1694734817&amp;sr=8-11", "https://www.amazon.com/Square-8910DP32V02-Replaced-C25BNB230A-Contactor/dp/B07GSFKM61/ref=sr_1_11?keywords=Packard+C230B+Contactor+2+Pole+30+AMPS+120+Coil+Voltage&amp;qid=1694734817&amp;sr=8-11")</f>
        <v/>
      </c>
      <c r="F1331" t="inlineStr">
        <is>
          <t>B07GSFKM61</t>
        </is>
      </c>
      <c r="G1331">
        <f>_xlfn.IMAGE("https://edmondsonsupply.com/cdn/shop/products/C230B-1.jpg?v=1587142333")</f>
        <v/>
      </c>
      <c r="H1331">
        <f>_xlfn.IMAGE("https://m.media-amazon.com/images/I/41mfO5g+QfL._AC_UY218_.jpg")</f>
        <v/>
      </c>
      <c r="K1331" t="inlineStr">
        <is>
          <t>10.82</t>
        </is>
      </c>
      <c r="L1331" t="n">
        <v>25.5</v>
      </c>
      <c r="M1331" s="1" t="inlineStr">
        <is>
          <t>135.67%</t>
        </is>
      </c>
      <c r="N1331" s="7" t="n">
        <v>44.78</v>
      </c>
      <c r="O1331" t="n">
        <v>5</v>
      </c>
      <c r="P1331" t="n">
        <v>4</v>
      </c>
      <c r="R1331" t="inlineStr">
        <is>
          <t>InStock</t>
        </is>
      </c>
      <c r="S1331" t="inlineStr">
        <is>
          <t>undefined</t>
        </is>
      </c>
      <c r="T1331" t="inlineStr">
        <is>
          <t>4367983673444</t>
        </is>
      </c>
    </row>
    <row r="1332" ht="87" customHeight="1">
      <c r="A1332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1332" s="2">
        <f>HYPERLINK("https://edmondsonsupply.com/products/klein-tools-69417-rare-earth-magnetic-meter-hanger", "https://edmondsonsupply.com/products/klein-tools-69417-rare-earth-magnetic-meter-hanger")</f>
        <v/>
      </c>
      <c r="C1332" t="inlineStr">
        <is>
          <t>Klein Tools 69417 Rare Earth Magnetic Meter Hanger, with Strap</t>
        </is>
      </c>
      <c r="D1332" t="inlineStr">
        <is>
          <t>Replacement Test Lead Set, Right Angle Klein Tools 69410 &amp; 69417 Rare-Earth Magnetic Hanger, with Strap</t>
        </is>
      </c>
      <c r="E1332" s="2">
        <f>HYPERLINK("https://www.amazon.com/Replacement-Klein-Tools-Rare-Earth-Magnetic/dp/B0BGJ4RHHH/ref=sr_1_12?keywords=Klein+Tools+69417+Rare+Earth+Magnetic+Meter+Hanger%2C+with+Strap&amp;qid=1694734820&amp;sr=8-12", "https://www.amazon.com/Replacement-Klein-Tools-Rare-Earth-Magnetic/dp/B0BGJ4RHHH/ref=sr_1_12?keywords=Klein+Tools+69417+Rare+Earth+Magnetic+Meter+Hanger%2C+with+Strap&amp;qid=1694734820&amp;sr=8-12")</f>
        <v/>
      </c>
      <c r="F1332" t="inlineStr">
        <is>
          <t>B0BGJ4RHHH</t>
        </is>
      </c>
      <c r="G1332">
        <f>_xlfn.IMAGE("https://edmondsonsupply.com/cdn/shop/products/69417.jpg?v=1587150163")</f>
        <v/>
      </c>
      <c r="H1332">
        <f>_xlfn.IMAGE("https://m.media-amazon.com/images/I/51XR88q6Q5L._AC_UL320_.jpg")</f>
        <v/>
      </c>
      <c r="K1332" t="inlineStr">
        <is>
          <t>13.99</t>
        </is>
      </c>
      <c r="L1332" t="n">
        <v>32.97</v>
      </c>
      <c r="M1332" s="1" t="inlineStr">
        <is>
          <t>135.67%</t>
        </is>
      </c>
      <c r="N1332" s="7" t="n">
        <v>44.72</v>
      </c>
      <c r="O1332" t="n">
        <v>4.5</v>
      </c>
      <c r="P1332" t="n">
        <v>10</v>
      </c>
      <c r="R1332" t="inlineStr">
        <is>
          <t>InStock</t>
        </is>
      </c>
      <c r="S1332" t="inlineStr">
        <is>
          <t>20.0</t>
        </is>
      </c>
      <c r="T1332" t="inlineStr">
        <is>
          <t>1778073731172</t>
        </is>
      </c>
    </row>
    <row r="1333" hidden="1" ht="15.75" customHeight="1">
      <c r="A1333" s="2">
        <f>HYPERLINK("https://edmondsonsupply.com/collections/hvac/products/packard-pmj216-motor-start-capacitor-216-259-mfd-110-125-vac", "https://edmondsonsupply.com/collections/hvac/products/packard-pmj216-motor-start-capacitor-216-259-mfd-110-125-vac")</f>
        <v/>
      </c>
      <c r="B1333" s="2">
        <f>HYPERLINK("https://edmondsonsupply.com/products/packard-pmj216-motor-start-capacitor-216-259-mfd-110-125-vac", "https://edmondsonsupply.com/products/packard-pmj216-motor-start-capacitor-216-259-mfd-110-125-vac")</f>
        <v/>
      </c>
      <c r="C1333" t="inlineStr">
        <is>
          <t>Packard PMJ216 Motor Start Capacitor 216-259 MFD 110-125 VAC</t>
        </is>
      </c>
      <c r="D1333" t="inlineStr">
        <is>
          <t>Packard PMJ216 Motor Start Capacitor. 216-259 MFD UF / 110-125 VAC</t>
        </is>
      </c>
      <c r="E1333" s="2">
        <f>HYPERLINK("https://www.amazon.com/Packard-PMJ216-Capacitor-216-259-110-125v/dp/B0054JJ51C/ref=sr_1_1?keywords=Packard+PMJ216+Motor+Start+Capacitor+216-259+MFD+110-125+VAC&amp;qid=1694734654&amp;sr=8-1", "https://www.amazon.com/Packard-PMJ216-Capacitor-216-259-110-125v/dp/B0054JJ51C/ref=sr_1_1?keywords=Packard+PMJ216+Motor+Start+Capacitor+216-259+MFD+110-125+VAC&amp;qid=1694734654&amp;sr=8-1")</f>
        <v/>
      </c>
      <c r="F1333" t="inlineStr">
        <is>
          <t>B0054JJ51C</t>
        </is>
      </c>
      <c r="G1333">
        <f>_xludf.IMAGE("https://edmondsonsupply.com/cdn/shop/products/PMJ216-2.jpg?v=1633030107")</f>
        <v/>
      </c>
      <c r="H1333">
        <f>_xludf.IMAGE("https://m.media-amazon.com/images/I/81AeXmtCESL._AC_UY218_.jpg")</f>
        <v/>
      </c>
      <c r="K1333" t="inlineStr">
        <is>
          <t>3.63</t>
        </is>
      </c>
      <c r="L1333" t="n">
        <v>8.550000000000001</v>
      </c>
      <c r="M1333" s="1" t="inlineStr">
        <is>
          <t>135.54%</t>
        </is>
      </c>
      <c r="N1333" s="1" t="n">
        <v>44.01</v>
      </c>
      <c r="O1333" t="n">
        <v>4.4</v>
      </c>
      <c r="P1333" t="n">
        <v>105</v>
      </c>
      <c r="R1333" t="inlineStr">
        <is>
          <t>InStock</t>
        </is>
      </c>
      <c r="S1333" t="inlineStr">
        <is>
          <t>undefined</t>
        </is>
      </c>
      <c r="T1333" t="inlineStr">
        <is>
          <t>3600549642340</t>
        </is>
      </c>
    </row>
    <row r="1334" ht="87" customHeight="1">
      <c r="A1334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1334" s="2">
        <f>HYPERLINK("https://edmondsonsupply.com/products/klein-tools-65064-2-in-1-hex-head-screwdriver-1-4-5-16", "https://edmondsonsupply.com/products/klein-tools-65064-2-in-1-hex-head-screwdriver-1-4-5-16")</f>
        <v/>
      </c>
      <c r="C1334" t="inlineStr">
        <is>
          <t>Klein Tools 65064 2-in-1 Nut Driver, Hex Head, 1/4-Inch and 5/16-Inch</t>
        </is>
      </c>
      <c r="D1334" t="inlineStr">
        <is>
          <t>Klein Tools 646M Tool Set, Magnetic Nut Drivers Sizes 1/4 and 5/16-Inch, 6-Inch Shafts, 2-Piece &amp; 65064 Hex Head 2-in-1 Nut Driver, 1/4-Inch and 5/16-Inch</t>
        </is>
      </c>
      <c r="E1334" s="2">
        <f>HYPERLINK("https://www.amazon.com/Klein-Tools-Magnetic-Drivers-16-Inch/dp/B0BGPTVP3Z/ref=sr_1_3?keywords=Klein+Tools+65064+2-in-1+Nut+Driver%2C+Hex+Head%2C+1%2F4-Inch+and+5%2F16-Inch&amp;qid=1694734734&amp;sr=8-3", "https://www.amazon.com/Klein-Tools-Magnetic-Drivers-16-Inch/dp/B0BGPTVP3Z/ref=sr_1_3?keywords=Klein+Tools+65064+2-in-1+Nut+Driver%2C+Hex+Head%2C+1%2F4-Inch+and+5%2F16-Inch&amp;qid=1694734734&amp;sr=8-3")</f>
        <v/>
      </c>
      <c r="F1334" t="inlineStr">
        <is>
          <t>B0BGPTVP3Z</t>
        </is>
      </c>
      <c r="G1334">
        <f>_xlfn.IMAGE("https://edmondsonsupply.com/cdn/shop/products/65064.jpg?v=1587147719")</f>
        <v/>
      </c>
      <c r="H1334">
        <f>_xlfn.IMAGE("https://m.media-amazon.com/images/I/41iqeifLYLL._AC_UL320_.jpg")</f>
        <v/>
      </c>
      <c r="K1334" t="inlineStr">
        <is>
          <t>15.97</t>
        </is>
      </c>
      <c r="L1334" t="n">
        <v>37.61</v>
      </c>
      <c r="M1334" s="1" t="inlineStr">
        <is>
          <t>135.50%</t>
        </is>
      </c>
      <c r="N1334" s="7" t="n">
        <v>43.75</v>
      </c>
      <c r="O1334" t="n">
        <v>5</v>
      </c>
      <c r="P1334" t="n">
        <v>1</v>
      </c>
      <c r="R1334" t="inlineStr">
        <is>
          <t>InStock</t>
        </is>
      </c>
      <c r="S1334" t="inlineStr">
        <is>
          <t>23.36</t>
        </is>
      </c>
      <c r="T1334" t="inlineStr">
        <is>
          <t>1707342889060</t>
        </is>
      </c>
    </row>
    <row r="1335" hidden="1" ht="15.75" customHeight="1">
      <c r="A1335" s="2">
        <f>HYPERLINK("https://edmondsonsupply.com/collections/hvac/products/rectorseal-66733-nokink-3-8-x-3-flexible-refrigerant-line-connector", "https://edmondsonsupply.com/collections/hvac/products/rectorseal-66733-nokink-3-8-x-3-flexible-refrigerant-line-connector")</f>
        <v/>
      </c>
      <c r="B1335" s="2">
        <f>HYPERLINK("https://edmondsonsupply.com/products/rectorseal-66733-nokink-3-8-x-3-flexible-refrigerant-line-connector", "https://edmondsonsupply.com/products/rectorseal-66733-nokink-3-8-x-3-flexible-refrigerant-line-connector")</f>
        <v/>
      </c>
      <c r="C1335" t="inlineStr">
        <is>
          <t>RectorSeal 66733 NoKink 3/8" x 3' Flexible Refrigerant Line Connector</t>
        </is>
      </c>
      <c r="D1335" t="inlineStr">
        <is>
          <t>Rectorseal 68235 NoKink Flexible Refrigerant Line Connector, 5/8" x 72"</t>
        </is>
      </c>
      <c r="E1335" s="2">
        <f>HYPERLINK("https://www.amazon.com/Rectorseal-68235-Flexible-Refrigerant-Connector/dp/B01ALRVLTA/ref=sr_1_1?keywords=RectorSeal+66733+NoKink+3%2F8%22+x+3%27+Flexible+Refrigerant+Line+Connector&amp;qid=1694734582&amp;sr=8-1", "https://www.amazon.com/Rectorseal-68235-Flexible-Refrigerant-Connector/dp/B01ALRVLTA/ref=sr_1_1?keywords=RectorSeal+66733+NoKink+3%2F8%22+x+3%27+Flexible+Refrigerant+Line+Connector&amp;qid=1694734582&amp;sr=8-1")</f>
        <v/>
      </c>
      <c r="F1335" t="inlineStr">
        <is>
          <t>B01ALRVLTA</t>
        </is>
      </c>
      <c r="G1335">
        <f>_xludf.IMAGE("https://edmondsonsupply.com/cdn/shop/products/66733-1.jpg?v=1632264229")</f>
        <v/>
      </c>
      <c r="H1335">
        <f>_xludf.IMAGE("https://m.media-amazon.com/images/I/51pjB6ZOm9L._AC_UL320_.jpg")</f>
        <v/>
      </c>
      <c r="K1335" t="inlineStr">
        <is>
          <t>62.99</t>
        </is>
      </c>
      <c r="L1335" t="n">
        <v>148.08</v>
      </c>
      <c r="M1335" s="1" t="inlineStr">
        <is>
          <t>135.08%</t>
        </is>
      </c>
      <c r="N1335" s="1" t="n">
        <v>43.57</v>
      </c>
      <c r="O1335" t="n">
        <v>4</v>
      </c>
      <c r="P1335" t="n">
        <v>5</v>
      </c>
      <c r="R1335" t="inlineStr">
        <is>
          <t>InStock</t>
        </is>
      </c>
      <c r="S1335" t="inlineStr">
        <is>
          <t>undefined</t>
        </is>
      </c>
      <c r="T1335" t="inlineStr">
        <is>
          <t>6957674758317</t>
        </is>
      </c>
    </row>
    <row r="1336" hidden="1" ht="15.75" customHeight="1">
      <c r="A1336" s="2">
        <f>HYPERLINK("https://edmondsonsupply.com/collections/hvac/products/packard-trc20-titan-pro-run-capacitor-20-mfd-370-volt-round", "https://edmondsonsupply.com/collections/hvac/products/packard-trc20-titan-pro-run-capacitor-20-mfd-370-volt-round")</f>
        <v/>
      </c>
      <c r="B1336" s="2">
        <f>HYPERLINK("https://edmondsonsupply.com/products/packard-trc20-titan-pro-run-capacitor-20-mfd-370-volt-round", "https://edmondsonsupply.com/products/packard-trc20-titan-pro-run-capacitor-20-mfd-370-volt-round")</f>
        <v/>
      </c>
      <c r="C1336" t="inlineStr">
        <is>
          <t>Packard TRC20 Titan PRO Run Capacitor 20 MFD 370 Volt Round</t>
        </is>
      </c>
      <c r="D1336" t="inlineStr">
        <is>
          <t>Titan Pro TRC20 20 MFD 370V Round Capacitor</t>
        </is>
      </c>
      <c r="E1336" s="2">
        <f>HYPERLINK("https://www.amazon.com/TITAN-PRO-TRC20-ROUND-Capacitor/dp/B00FQQLVSS/ref=sr_1_1?keywords=Packard+TRC20+Titan+PRO+Run+Capacitor+20+MFD+370+Volt+Round&amp;qid=1694734733&amp;sr=8-1", "https://www.amazon.com/TITAN-PRO-TRC20-ROUND-Capacitor/dp/B00FQQLVSS/ref=sr_1_1?keywords=Packard+TRC20+Titan+PRO+Run+Capacitor+20+MFD+370+Volt+Round&amp;qid=1694734733&amp;sr=8-1")</f>
        <v/>
      </c>
      <c r="F1336" t="inlineStr">
        <is>
          <t>B00FQQLVSS</t>
        </is>
      </c>
      <c r="G1336">
        <f>_xludf.IMAGE("https://edmondsonsupply.com/cdn/shop/products/trc20.jpg?v=1587150772")</f>
        <v/>
      </c>
      <c r="H1336">
        <f>_xludf.IMAGE("https://m.media-amazon.com/images/I/31ChsFTjidL._AC_UY218_.jpg")</f>
        <v/>
      </c>
      <c r="K1336" t="inlineStr">
        <is>
          <t>3.61</t>
        </is>
      </c>
      <c r="L1336" t="n">
        <v>8.48</v>
      </c>
      <c r="M1336" s="1" t="inlineStr">
        <is>
          <t>134.90%</t>
        </is>
      </c>
      <c r="N1336" s="1" t="n">
        <v>43.44</v>
      </c>
      <c r="O1336" t="n">
        <v>5</v>
      </c>
      <c r="P1336" t="n">
        <v>2</v>
      </c>
      <c r="R1336" t="inlineStr">
        <is>
          <t>InStock</t>
        </is>
      </c>
      <c r="S1336" t="inlineStr">
        <is>
          <t>undefined</t>
        </is>
      </c>
      <c r="T1336" t="inlineStr">
        <is>
          <t>4363583357028</t>
        </is>
      </c>
    </row>
    <row r="1337" ht="87" customHeight="1">
      <c r="A1337" s="2">
        <f>HYPERLINK("https://edmondsonsupply.com/collections/hvac/products/klein-tools-69410-replacement-test-lead-set-right-angle", "https://edmondsonsupply.com/collections/hvac/products/klein-tools-69410-replacement-test-lead-set-right-angle")</f>
        <v/>
      </c>
      <c r="B1337" s="2">
        <f>HYPERLINK("https://edmondsonsupply.com/products/klein-tools-69410-replacement-test-lead-set-right-angle", "https://edmondsonsupply.com/products/klein-tools-69410-replacement-test-lead-set-right-angle")</f>
        <v/>
      </c>
      <c r="C1337" t="inlineStr">
        <is>
          <t>Klein Tools 69410 Replacement Test Lead Set, Right Angle</t>
        </is>
      </c>
      <c r="D1337" t="inlineStr">
        <is>
          <t>Klein Tools MM450 Multimeter, Slim Digital Meter, Auto-Ranging TRMS, 600V AC/DC Voltage, Current, Resistance, Temp, Frequency, Continuity &amp; 69410 Replacement Test Lead Set, Right Angle</t>
        </is>
      </c>
      <c r="E1337" s="2">
        <f>HYPERLINK("https://www.amazon.com/Klein-Tools-Multimeter-Auto-Ranging-Replacement/dp/B0CF1HLRLZ/ref=sr_1_3?keywords=Klein+Tools+69410+Replacement+Test+Lead+Set%2C+Right+Angle&amp;qid=1694734832&amp;sr=8-3", "https://www.amazon.com/Klein-Tools-Multimeter-Auto-Ranging-Replacement/dp/B0CF1HLRLZ/ref=sr_1_3?keywords=Klein+Tools+69410+Replacement+Test+Lead+Set%2C+Right+Angle&amp;qid=1694734832&amp;sr=8-3")</f>
        <v/>
      </c>
      <c r="F1337" t="inlineStr">
        <is>
          <t>B0CF1HLRLZ</t>
        </is>
      </c>
      <c r="G1337">
        <f>_xlfn.IMAGE("https://edmondsonsupply.com/cdn/shop/products/69410.jpg?v=1587143393")</f>
        <v/>
      </c>
      <c r="H1337">
        <f>_xlfn.IMAGE("https://m.media-amazon.com/images/I/511gqqz-o+L._AC_UY218_.jpg")</f>
        <v/>
      </c>
      <c r="K1337" t="inlineStr">
        <is>
          <t>19.97</t>
        </is>
      </c>
      <c r="L1337" t="n">
        <v>46.9</v>
      </c>
      <c r="M1337" s="1" t="inlineStr">
        <is>
          <t>134.85%</t>
        </is>
      </c>
      <c r="N1337" s="7" t="n">
        <v>43.37</v>
      </c>
      <c r="O1337" t="n">
        <v>4.7</v>
      </c>
      <c r="P1337" t="n">
        <v>3806</v>
      </c>
      <c r="R1337" t="inlineStr">
        <is>
          <t>InStock</t>
        </is>
      </c>
      <c r="S1337" t="inlineStr">
        <is>
          <t>27.1</t>
        </is>
      </c>
      <c r="T1337" t="inlineStr">
        <is>
          <t>4274171543652</t>
        </is>
      </c>
    </row>
    <row r="1338" ht="87" customHeight="1">
      <c r="A1338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338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338" t="inlineStr">
        <is>
          <t>Yellow Jacket 42001 Series 41 Manifold Only, 3-1/8" Gauges - R-22 / 404A / 410A</t>
        </is>
      </c>
      <c r="D1338" t="inlineStr">
        <is>
          <t>Yellow Jacket 46010 Brute II 4-Valve Manifold with Red/Blue Gauges, bar/psi, R-22/404A/410A</t>
        </is>
      </c>
      <c r="E1338" s="2">
        <f>HYPERLINK("https://www.amazon.com/Yellow-Jacket-46010-4-Valve-Manifold/dp/B0036EI91O/ref=sr_1_11?keywords=Yellow+Jacket+42001+Series+41+Manifold+Only%2C+3-1%2F8%22+Gauges+-+R-22+%2F+404A+%2F+410A&amp;qid=1694734681&amp;sr=8-11", "https://www.amazon.com/Yellow-Jacket-46010-4-Valve-Manifold/dp/B0036EI91O/ref=sr_1_11?keywords=Yellow+Jacket+42001+Series+41+Manifold+Only%2C+3-1%2F8%22+Gauges+-+R-22+%2F+404A+%2F+410A&amp;qid=1694734681&amp;sr=8-11")</f>
        <v/>
      </c>
      <c r="F1338" t="inlineStr">
        <is>
          <t>B0036EI91O</t>
        </is>
      </c>
      <c r="G1338">
        <f>_xlfn.IMAGE("https://edmondsonsupply.com/cdn/shop/products/series-41-manifolds-with-318-gauges.jpg?v=1633030025")</f>
        <v/>
      </c>
      <c r="H1338">
        <f>_xlfn.IMAGE("https://m.media-amazon.com/images/I/91fdThAmzjL._AC_UL320_.jpg")</f>
        <v/>
      </c>
      <c r="K1338" t="inlineStr">
        <is>
          <t>97.77</t>
        </is>
      </c>
      <c r="L1338" t="n">
        <v>229.53</v>
      </c>
      <c r="M1338" s="1" t="inlineStr">
        <is>
          <t>134.77%</t>
        </is>
      </c>
      <c r="N1338" s="7" t="n">
        <v>43.28</v>
      </c>
      <c r="O1338" t="n">
        <v>4.7</v>
      </c>
      <c r="P1338" t="n">
        <v>119</v>
      </c>
      <c r="R1338" t="inlineStr">
        <is>
          <t>InStock</t>
        </is>
      </c>
      <c r="S1338" t="inlineStr">
        <is>
          <t>undefined</t>
        </is>
      </c>
      <c r="T1338" t="inlineStr">
        <is>
          <t>2129997922404</t>
        </is>
      </c>
    </row>
    <row r="1339" ht="87" customHeight="1">
      <c r="A1339" s="2">
        <f>HYPERLINK("https://edmondsonsupply.com/collections/hvac/products/lucas-milhaupt-95177-sil-fos-15-7-rods-15-silver-1", "https://edmondsonsupply.com/collections/hvac/products/lucas-milhaupt-95177-sil-fos-15-7-rods-15-silver-1")</f>
        <v/>
      </c>
      <c r="B1339" s="2">
        <f>HYPERLINK("https://edmondsonsupply.com/products/lucas-milhaupt-95177-sil-fos-15-7-rods-15-silver-1", "https://edmondsonsupply.com/products/lucas-milhaupt-95177-sil-fos-15-7-rods-15-silver-1")</f>
        <v/>
      </c>
      <c r="C1339" t="inlineStr">
        <is>
          <t>Lucas Milhaupt 99088 AL 822 Aluminum Solder, 4 Rods</t>
        </is>
      </c>
      <c r="D1339" t="inlineStr">
        <is>
          <t>2 PACKAGES*** Lucas Milhaupt AL 822 Flux Cored Aluminum Solder, 4 Rods, Brazing Alloy, 99088</t>
        </is>
      </c>
      <c r="E1339" s="2">
        <f>HYPERLINK("https://www.amazon.com/PACKAGES-Lucas-Milhaupt-AL-822/dp/B07ZJN4V46/ref=sr_1_1?keywords=Lucas+Milhaupt+99088+AL+822+Aluminum+Solder%2C+4+Rods&amp;qid=1694734567&amp;sr=8-1", "https://www.amazon.com/PACKAGES-Lucas-Milhaupt-AL-822/dp/B07ZJN4V46/ref=sr_1_1?keywords=Lucas+Milhaupt+99088+AL+822+Aluminum+Solder%2C+4+Rods&amp;qid=1694734567&amp;sr=8-1")</f>
        <v/>
      </c>
      <c r="F1339" t="inlineStr">
        <is>
          <t>B07ZJN4V46</t>
        </is>
      </c>
      <c r="G1339">
        <f>_xlfn.IMAGE("https://edmondsonsupply.com/cdn/shop/products/99088-2.jpg?v=1587147488")</f>
        <v/>
      </c>
      <c r="H1339">
        <f>_xlfn.IMAGE("https://m.media-amazon.com/images/I/61S5L1EiKmL._AC_UL320_.jpg")</f>
        <v/>
      </c>
      <c r="K1339" t="inlineStr">
        <is>
          <t>25.58</t>
        </is>
      </c>
      <c r="L1339" t="n">
        <v>59.99</v>
      </c>
      <c r="M1339" s="1" t="inlineStr">
        <is>
          <t>134.52%</t>
        </is>
      </c>
      <c r="N1339" s="7" t="n">
        <v>43.25</v>
      </c>
      <c r="O1339" t="n">
        <v>5</v>
      </c>
      <c r="P1339" t="n">
        <v>39</v>
      </c>
      <c r="R1339" t="inlineStr">
        <is>
          <t>InStock</t>
        </is>
      </c>
      <c r="S1339" t="inlineStr">
        <is>
          <t>undefined</t>
        </is>
      </c>
      <c r="T1339" t="inlineStr">
        <is>
          <t>3567265251428</t>
        </is>
      </c>
    </row>
    <row r="1340" ht="87" customHeight="1">
      <c r="A1340" s="2">
        <f>HYPERLINK("https://edmondsonsupply.com/collections/hvac/products/packard-c340a-contactor-3-pole-40-amps-24-coil-voltage", "https://edmondsonsupply.com/collections/hvac/products/packard-c340a-contactor-3-pole-40-amps-24-coil-voltage")</f>
        <v/>
      </c>
      <c r="B1340" s="2">
        <f>HYPERLINK("https://edmondsonsupply.com/products/packard-c340a-contactor-3-pole-40-amps-24-coil-voltage", "https://edmondsonsupply.com/products/packard-c340a-contactor-3-pole-40-amps-24-coil-voltage")</f>
        <v/>
      </c>
      <c r="C1340" t="inlineStr">
        <is>
          <t>Packard C340A Contactor 3 Pole 40 Amps 24 Coil Voltage</t>
        </is>
      </c>
      <c r="D1340" t="inlineStr">
        <is>
          <t>Packard C350A Packard Contactor 3 Pole 50 Amps 24 Coil Voltage</t>
        </is>
      </c>
      <c r="E1340" s="2">
        <f>HYPERLINK("https://www.amazon.com/Packard-C350A-Contactor-Pole-Voltage/dp/B004ZU4Q06/ref=sr_1_4?keywords=Packard+C340A+Contactor+3+Pole+40+Amps+24+Coil+Voltage&amp;qid=1694734727&amp;sr=8-4", "https://www.amazon.com/Packard-C350A-Contactor-Pole-Voltage/dp/B004ZU4Q06/ref=sr_1_4?keywords=Packard+C340A+Contactor+3+Pole+40+Amps+24+Coil+Voltage&amp;qid=1694734727&amp;sr=8-4")</f>
        <v/>
      </c>
      <c r="F1340" t="inlineStr">
        <is>
          <t>B004ZU4Q06</t>
        </is>
      </c>
      <c r="G1340">
        <f>_xlfn.IMAGE("https://edmondsonsupply.com/cdn/shop/products/C340A-2.jpg?v=1633030393")</f>
        <v/>
      </c>
      <c r="H1340">
        <f>_xlfn.IMAGE("https://m.media-amazon.com/images/I/51c25R-4qEL._AC_UY218_.jpg")</f>
        <v/>
      </c>
      <c r="K1340" t="inlineStr">
        <is>
          <t>22.24</t>
        </is>
      </c>
      <c r="L1340" t="n">
        <v>52</v>
      </c>
      <c r="M1340" s="1" t="inlineStr">
        <is>
          <t>133.81%</t>
        </is>
      </c>
      <c r="N1340" s="7" t="n">
        <v>43.24</v>
      </c>
      <c r="O1340" t="n">
        <v>5</v>
      </c>
      <c r="P1340" t="n">
        <v>1</v>
      </c>
      <c r="R1340" t="inlineStr">
        <is>
          <t>InStock</t>
        </is>
      </c>
      <c r="S1340" t="inlineStr">
        <is>
          <t>undefined</t>
        </is>
      </c>
      <c r="T1340" t="inlineStr">
        <is>
          <t>5301718810792</t>
        </is>
      </c>
    </row>
    <row r="1341" hidden="1" ht="15.75" customHeight="1">
      <c r="A1341" s="2">
        <f>HYPERLINK("https://edmondsonsupply.com/collections/hvac/products/klein-tools-56403-rechargeable-personal-worklight", "https://edmondsonsupply.com/collections/hvac/products/klein-tools-56403-rechargeable-personal-worklight")</f>
        <v/>
      </c>
      <c r="B1341" s="2">
        <f>HYPERLINK("https://edmondsonsupply.com/products/klein-tools-56403-rechargeable-personal-worklight", "https://edmondsonsupply.com/products/klein-tools-56403-rechargeable-personal-worklight")</f>
        <v/>
      </c>
      <c r="C1341" t="inlineStr">
        <is>
          <t>Klein Tools 56403 Rechargeable Personal Worklight</t>
        </is>
      </c>
      <c r="D1341" t="inlineStr">
        <is>
          <t>Klein Tools AEPJS3 Bluetooth 4.2 Speaker, with Magnet and Hook &amp; 56403 LED Light, Rechargeable Flashlight/Worklight with Kickstand and Carabiner, Charges Small Electronics, for Work, Camping</t>
        </is>
      </c>
      <c r="E1341" s="2">
        <f>HYPERLINK("https://www.amazon.com/Klein-Tools-Rechargeable-Flashlight-Electronics/dp/B0BBMCPTPL/ref=sr_1_25?keywords=Klein+Tools+56403+Rechargeable+Personal+Worklight&amp;qid=1694734817&amp;sr=8-25", "https://www.amazon.com/Klein-Tools-Rechargeable-Flashlight-Electronics/dp/B0BBMCPTPL/ref=sr_1_25?keywords=Klein+Tools+56403+Rechargeable+Personal+Worklight&amp;qid=1694734817&amp;sr=8-25")</f>
        <v/>
      </c>
      <c r="F1341" t="inlineStr">
        <is>
          <t>B0BBMCPTPL</t>
        </is>
      </c>
      <c r="G1341">
        <f>_xludf.IMAGE("https://edmondsonsupply.com/cdn/shop/products/56403.jpg?v=1587143308")</f>
        <v/>
      </c>
      <c r="H1341">
        <f>_xludf.IMAGE("https://m.media-amazon.com/images/I/618c+wFF+1L._AC_UL320_.jpg")</f>
        <v/>
      </c>
      <c r="K1341" t="inlineStr">
        <is>
          <t>49.97</t>
        </is>
      </c>
      <c r="L1341" t="n">
        <v>116.49</v>
      </c>
      <c r="M1341" s="1" t="inlineStr">
        <is>
          <t>133.12%</t>
        </is>
      </c>
      <c r="N1341" s="1" t="n">
        <v>43.19</v>
      </c>
      <c r="O1341" t="n">
        <v>1.9</v>
      </c>
      <c r="P1341" t="n">
        <v>2</v>
      </c>
      <c r="R1341" t="inlineStr">
        <is>
          <t>InStock</t>
        </is>
      </c>
      <c r="S1341" t="inlineStr">
        <is>
          <t>71.02</t>
        </is>
      </c>
      <c r="T1341" t="inlineStr">
        <is>
          <t>3618963947620</t>
        </is>
      </c>
    </row>
    <row r="1342" ht="87" customHeight="1">
      <c r="A1342" s="2">
        <f>HYPERLINK("https://edmondsonsupply.com/collections/hvac/products/fresh-aire-uv-tuvp-er-pco-fresh-aire-uv-power-supply", "https://edmondsonsupply.com/collections/hvac/products/fresh-aire-uv-tuvp-er-pco-fresh-aire-uv-power-supply")</f>
        <v/>
      </c>
      <c r="B1342" s="2">
        <f>HYPERLINK("https://edmondsonsupply.com/products/fresh-aire-uv-tuvp-er-pco-fresh-aire-uv-power-supply", "https://edmondsonsupply.com/products/fresh-aire-uv-tuvp-er-pco-fresh-aire-uv-power-supply")</f>
        <v/>
      </c>
      <c r="C1342" t="inlineStr">
        <is>
          <t>Fresh-Aire UV TUVP-ER-PCO Fresh Aire UV Power Supply</t>
        </is>
      </c>
      <c r="D1342" t="inlineStr">
        <is>
          <t>Fresh-Aire UV 3-Year Replacement UV-C Lamp for APCO-X Series, 15-Inch Length</t>
        </is>
      </c>
      <c r="E1342" s="2">
        <f>HYPERLINK("https://www.amazon.com/APCO-Fresh-Aire-TUVL-315-TUVL315-Replacement/dp/B09B7WYCC2/ref=sr_1_8?keywords=Fresh-Aire+UV+TUVP-ER-PCO+Fresh+Aire+UV+Power+Supply&amp;qid=1694734752&amp;sr=8-8", "https://www.amazon.com/APCO-Fresh-Aire-TUVL-315-TUVL315-Replacement/dp/B09B7WYCC2/ref=sr_1_8?keywords=Fresh-Aire+UV+TUVP-ER-PCO+Fresh+Aire+UV+Power+Supply&amp;qid=1694734752&amp;sr=8-8")</f>
        <v/>
      </c>
      <c r="F1342" t="inlineStr">
        <is>
          <t>B09B7WYCC2</t>
        </is>
      </c>
      <c r="G1342">
        <f>_xlfn.IMAGE("https://edmondsonsupply.com/cdn/shop/files/TUVP-ER-PCO.png?v=1692223340")</f>
        <v/>
      </c>
      <c r="H1342">
        <f>_xlfn.IMAGE("https://m.media-amazon.com/images/I/21ORtJD7dsS._AC_UL320_.jpg")</f>
        <v/>
      </c>
      <c r="K1342" t="inlineStr">
        <is>
          <t>77.22</t>
        </is>
      </c>
      <c r="L1342" t="n">
        <v>180</v>
      </c>
      <c r="M1342" s="1" t="inlineStr">
        <is>
          <t>133.10%</t>
        </is>
      </c>
      <c r="N1342" s="7" t="n">
        <v>42.92</v>
      </c>
      <c r="O1342" t="n">
        <v>5</v>
      </c>
      <c r="P1342" t="n">
        <v>3</v>
      </c>
      <c r="R1342" t="inlineStr">
        <is>
          <t>InStock</t>
        </is>
      </c>
      <c r="S1342" t="inlineStr">
        <is>
          <t>undefined</t>
        </is>
      </c>
      <c r="T1342" t="inlineStr">
        <is>
          <t>8028105605336</t>
        </is>
      </c>
    </row>
    <row r="1343" ht="87" customHeight="1">
      <c r="A1343" s="2">
        <f>HYPERLINK("https://edmondsonsupply.com/collections/hvac/products/packard-titan-pro-trcd355-run-capacitor-35-5-mfd-370-volt-round", "https://edmondsonsupply.com/collections/hvac/products/packard-titan-pro-trcd355-run-capacitor-35-5-mfd-370-volt-round")</f>
        <v/>
      </c>
      <c r="B1343" s="2">
        <f>HYPERLINK("https://edmondsonsupply.com/products/packard-titan-pro-trcd355-run-capacitor-35-5-mfd-370-volt-round", "https://edmondsonsupply.com/products/packard-titan-pro-trcd355-run-capacitor-35-5-mfd-370-volt-round")</f>
        <v/>
      </c>
      <c r="C1343" t="inlineStr">
        <is>
          <t>Packard Titan PRO TRCD355 Run Capacitor 35+5 MFD 370 Volt Round</t>
        </is>
      </c>
      <c r="D1343" t="inlineStr">
        <is>
          <t>Packard TRCD455 Titan Pro 45+5 MFD 370V Round Run Capacitor Replaces PRCD455</t>
        </is>
      </c>
      <c r="E1343" s="2">
        <f>HYPERLINK("https://www.amazon.com/PACKARD-TRCD455-Capacitor-Replaces-PRCD455/dp/B01N55F81Z/ref=sr_1_14?keywords=Packard+Titan+PRO+TRCD355+Run+Capacitor+35%2B5+MFD+370+Volt+Round&amp;qid=1694734648&amp;sr=8-14", "https://www.amazon.com/PACKARD-TRCD455-Capacitor-Replaces-PRCD455/dp/B01N55F81Z/ref=sr_1_14?keywords=Packard+Titan+PRO+TRCD355+Run+Capacitor+35%2B5+MFD+370+Volt+Round&amp;qid=1694734648&amp;sr=8-14")</f>
        <v/>
      </c>
      <c r="F1343" t="inlineStr">
        <is>
          <t>B01N55F81Z</t>
        </is>
      </c>
      <c r="G1343">
        <f>_xlfn.IMAGE("https://edmondsonsupply.com/cdn/shop/products/TRCD355-2.jpg?v=1633030395")</f>
        <v/>
      </c>
      <c r="H1343">
        <f>_xlfn.IMAGE("https://m.media-amazon.com/images/I/41CL3hacDyL._AC_UY218_.jpg")</f>
        <v/>
      </c>
      <c r="K1343" t="inlineStr">
        <is>
          <t>8.53</t>
        </is>
      </c>
      <c r="L1343" t="n">
        <v>19.87</v>
      </c>
      <c r="M1343" s="1" t="inlineStr">
        <is>
          <t>132.94%</t>
        </is>
      </c>
      <c r="N1343" s="7" t="n">
        <v>42.92</v>
      </c>
      <c r="O1343" t="n">
        <v>5</v>
      </c>
      <c r="P1343" t="n">
        <v>2</v>
      </c>
      <c r="R1343" t="inlineStr">
        <is>
          <t>InStock</t>
        </is>
      </c>
      <c r="S1343" t="inlineStr">
        <is>
          <t>undefined</t>
        </is>
      </c>
      <c r="T1343" t="inlineStr">
        <is>
          <t>5302188998824</t>
        </is>
      </c>
    </row>
    <row r="1344" hidden="1" ht="15.75" customHeight="1">
      <c r="A1344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1344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1344" t="inlineStr">
        <is>
          <t>Holyoke Fittings 1055-12FPFH 3/4" Garden Hose Thread Fitting - Brass Nut Female to Female Pipe Swivel Adapter</t>
        </is>
      </c>
      <c r="D1344" t="inlineStr">
        <is>
          <t>Joywayus Brass Swivel Pipe Fitting 3/4"GHT x 1/4"NPT Double Female Thread Garden Hose Threaded to Pipe Threaded Adapter (Pack of 2)</t>
        </is>
      </c>
      <c r="E1344" s="2">
        <f>HYPERLINK("https://www.amazon.com/Joywayus-Swivel-Fitting-Threaded-Adapter/dp/B0CCDK5M4S/ref=sr_1_36?keywords=Holyoke+Fittings+1055-12FPFH+3%2F4%22+Garden+Hose+Thread+Fitting+-+Brass+Nut+Female+to+Female+Pipe+Swivel+Adapter&amp;qid=1694734917&amp;sr=8-36", "https://www.amazon.com/Joywayus-Swivel-Fitting-Threaded-Adapter/dp/B0CCDK5M4S/ref=sr_1_36?keywords=Holyoke+Fittings+1055-12FPFH+3%2F4%22+Garden+Hose+Thread+Fitting+-+Brass+Nut+Female+to+Female+Pipe+Swivel+Adapter&amp;qid=1694734917&amp;sr=8-36")</f>
        <v/>
      </c>
      <c r="F1344" t="inlineStr">
        <is>
          <t>B0CCDK5M4S</t>
        </is>
      </c>
      <c r="G1344">
        <f>_xludf.IMAGE("https://edmondsonsupply.com/cdn/shop/files/1055-12FPFH_1.jpg?v=1686089478")</f>
        <v/>
      </c>
      <c r="H1344">
        <f>_xludf.IMAGE("https://m.media-amazon.com/images/I/5110zTXsUKL._AC_UL320_.jpg")</f>
        <v/>
      </c>
      <c r="K1344" t="inlineStr">
        <is>
          <t>4.29</t>
        </is>
      </c>
      <c r="L1344" t="n">
        <v>9.99</v>
      </c>
      <c r="M1344" s="1" t="inlineStr">
        <is>
          <t>132.87%</t>
        </is>
      </c>
      <c r="N1344" s="1" t="n">
        <v>42.92</v>
      </c>
      <c r="O1344" t="n">
        <v>4.4</v>
      </c>
      <c r="P1344" t="n">
        <v>27</v>
      </c>
      <c r="R1344" t="inlineStr">
        <is>
          <t>InStock</t>
        </is>
      </c>
      <c r="S1344" t="inlineStr">
        <is>
          <t>5.81</t>
        </is>
      </c>
      <c r="T1344" t="inlineStr">
        <is>
          <t>8002208432344</t>
        </is>
      </c>
    </row>
    <row r="1345" ht="87" customHeight="1">
      <c r="A1345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345" s="2">
        <f>HYPERLINK("https://edmondsonsupply.com/products/packard-pmj708-motor-start-capacitor-708-850-mfd-110-125-vac", "https://edmondsonsupply.com/products/packard-pmj708-motor-start-capacitor-708-850-mfd-110-125-vac")</f>
        <v/>
      </c>
      <c r="C1345" t="inlineStr">
        <is>
          <t>Packard PMJ708 Motor Start Capacitor 708-850 MFD 110-125 VAC</t>
        </is>
      </c>
      <c r="D1345" t="inlineStr">
        <is>
          <t>PMJ590 - Packard Upgraded Replacement Motor Start Capacitor 590-708 MFD 110-125 Volt VAC</t>
        </is>
      </c>
      <c r="E1345" s="2">
        <f>HYPERLINK("https://www.amazon.com/PMJ590-Packard-Upgraded-Replacement-Capacitor/dp/B0773WXTQP/ref=sr_1_8?keywords=Packard+PMJ708+Motor+Start+Capacitor+708-850+MFD+110-125+VAC&amp;qid=1694734808&amp;sr=8-8", "https://www.amazon.com/PMJ590-Packard-Upgraded-Replacement-Capacitor/dp/B0773WXTQP/ref=sr_1_8?keywords=Packard+PMJ708+Motor+Start+Capacitor+708-850+MFD+110-125+VAC&amp;qid=1694734808&amp;sr=8-8")</f>
        <v/>
      </c>
      <c r="F1345" t="inlineStr">
        <is>
          <t>B0773WXTQP</t>
        </is>
      </c>
      <c r="G1345">
        <f>_xlfn.IMAGE("https://edmondsonsupply.com/cdn/shop/products/PMJ708-2.jpg?v=1633030334")</f>
        <v/>
      </c>
      <c r="H1345">
        <f>_xlfn.IMAGE("https://m.media-amazon.com/images/I/41fqQrQgJaL._AC_UY218_.jpg")</f>
        <v/>
      </c>
      <c r="K1345" t="inlineStr">
        <is>
          <t>6.76</t>
        </is>
      </c>
      <c r="L1345" t="n">
        <v>15.74</v>
      </c>
      <c r="M1345" s="1" t="inlineStr">
        <is>
          <t>132.84%</t>
        </is>
      </c>
      <c r="N1345" s="7" t="n">
        <v>42.9</v>
      </c>
      <c r="O1345" t="n">
        <v>4.1</v>
      </c>
      <c r="P1345" t="n">
        <v>8</v>
      </c>
      <c r="R1345" t="inlineStr">
        <is>
          <t>InStock</t>
        </is>
      </c>
      <c r="S1345" t="inlineStr">
        <is>
          <t>undefined</t>
        </is>
      </c>
      <c r="T1345" t="inlineStr">
        <is>
          <t>5271970021544</t>
        </is>
      </c>
    </row>
    <row r="1346" ht="87" customHeight="1">
      <c r="A1346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346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346" t="inlineStr">
        <is>
          <t>Klein Tools JTH6E14 5/16-Inch Hex Key with Journeyman T-Handle, 6-Inch</t>
        </is>
      </c>
      <c r="D1346" t="inlineStr">
        <is>
          <t>Klein Tools JTH9M8 8 mm Hex Key with Journeyman T-Handle, 9-Inch</t>
        </is>
      </c>
      <c r="E1346" s="2">
        <f>HYPERLINK("https://www.amazon.com/Journeyman-T-Handle-Klein-Tools-JTH9M8/dp/B005G3HJSC/ref=sr_1_14?keywords=Klein+Tools+JTH6E14+5%2F16-Inch+Hex+Key+with+Journeyman+T-Handle%2C+6-Inch&amp;qid=1694734648&amp;sr=8-14", "https://www.amazon.com/Journeyman-T-Handle-Klein-Tools-JTH9M8/dp/B005G3HJSC/ref=sr_1_14?keywords=Klein+Tools+JTH6E14+5%2F16-Inch+Hex+Key+with+Journeyman+T-Handle%2C+6-Inch&amp;qid=1694734648&amp;sr=8-14")</f>
        <v/>
      </c>
      <c r="F1346" t="inlineStr">
        <is>
          <t>B005G3HJSC</t>
        </is>
      </c>
      <c r="G1346">
        <f>_xlfn.IMAGE("https://edmondsonsupply.com/cdn/shop/products/jth6e15.jpg?v=1587148489")</f>
        <v/>
      </c>
      <c r="H1346">
        <f>_xlfn.IMAGE("https://m.media-amazon.com/images/I/51+1x0vz9XL._AC_UL320_.jpg")</f>
        <v/>
      </c>
      <c r="K1346" t="inlineStr">
        <is>
          <t>6.99</t>
        </is>
      </c>
      <c r="L1346" t="n">
        <v>16.27</v>
      </c>
      <c r="M1346" s="1" t="inlineStr">
        <is>
          <t>132.76%</t>
        </is>
      </c>
      <c r="N1346" s="7" t="n">
        <v>42.86</v>
      </c>
      <c r="O1346" t="n">
        <v>5</v>
      </c>
      <c r="P1346" t="n">
        <v>4</v>
      </c>
      <c r="R1346" t="inlineStr">
        <is>
          <t>InStock</t>
        </is>
      </c>
      <c r="S1346" t="inlineStr">
        <is>
          <t>10.5</t>
        </is>
      </c>
      <c r="T1346" t="inlineStr">
        <is>
          <t>3694843822180</t>
        </is>
      </c>
    </row>
    <row r="1347" ht="87" customHeight="1">
      <c r="A1347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347" s="2">
        <f>HYPERLINK("https://edmondsonsupply.com/products/packard-c230b-contactor-2-pole-30-amps-120-coil-voltage", "https://edmondsonsupply.com/products/packard-c230b-contactor-2-pole-30-amps-120-coil-voltage")</f>
        <v/>
      </c>
      <c r="C1347" t="inlineStr">
        <is>
          <t>Packard C230B Contactor 2 Pole 30 AMPS 120 Coil Voltage</t>
        </is>
      </c>
      <c r="D1347" t="inlineStr">
        <is>
          <t>PLXparts Contactor C240B 2 Pole 40 Amp 120 Coil Voltage Packard Direct Replacement</t>
        </is>
      </c>
      <c r="E1347" s="2">
        <f>HYPERLINK("https://www.amazon.com/PLXparts-Contactor-Voltage-Packard-Replacement/dp/B07XQLVWW3/ref=sr_1_5?keywords=Packard+C230B+Contactor+2+Pole+30+AMPS+120+Coil+Voltage&amp;qid=1694734817&amp;sr=8-5", "https://www.amazon.com/PLXparts-Contactor-Voltage-Packard-Replacement/dp/B07XQLVWW3/ref=sr_1_5?keywords=Packard+C230B+Contactor+2+Pole+30+AMPS+120+Coil+Voltage&amp;qid=1694734817&amp;sr=8-5")</f>
        <v/>
      </c>
      <c r="F1347" t="inlineStr">
        <is>
          <t>B07XQLVWW3</t>
        </is>
      </c>
      <c r="G1347">
        <f>_xlfn.IMAGE("https://edmondsonsupply.com/cdn/shop/products/C230B-1.jpg?v=1587142333")</f>
        <v/>
      </c>
      <c r="H1347">
        <f>_xlfn.IMAGE("https://m.media-amazon.com/images/I/51NOEn6NUFL._AC_UY218_.jpg")</f>
        <v/>
      </c>
      <c r="K1347" t="inlineStr">
        <is>
          <t>10.82</t>
        </is>
      </c>
      <c r="L1347" t="n">
        <v>25.18</v>
      </c>
      <c r="M1347" s="1" t="inlineStr">
        <is>
          <t>132.72%</t>
        </is>
      </c>
      <c r="N1347" s="7" t="n">
        <v>42.83</v>
      </c>
      <c r="O1347" t="n">
        <v>5</v>
      </c>
      <c r="P1347" t="n">
        <v>1</v>
      </c>
      <c r="R1347" t="inlineStr">
        <is>
          <t>InStock</t>
        </is>
      </c>
      <c r="S1347" t="inlineStr">
        <is>
          <t>undefined</t>
        </is>
      </c>
      <c r="T1347" t="inlineStr">
        <is>
          <t>4367983673444</t>
        </is>
      </c>
    </row>
    <row r="1348" hidden="1" ht="15.75" customHeight="1">
      <c r="A1348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348" s="2">
        <f>HYPERLINK("https://edmondsonsupply.com/products/packard-prmj88-motor-start-capacitor-88-108-mfd-330-volt", "https://edmondsonsupply.com/products/packard-prmj88-motor-start-capacitor-88-108-mfd-330-volt")</f>
        <v/>
      </c>
      <c r="C1348" t="inlineStr">
        <is>
          <t>Packard PRMJ88 Motor Start Capacitor 88-108 MFD 330 Volt</t>
        </is>
      </c>
      <c r="D1348" t="inlineStr">
        <is>
          <t>Canamax Premium 88-108 uf/mfd 330VAC Volts Round Motor Start Capacitor 50/60 Hz AC Electric - Exact Fit for AC Motor Run or Fan Start and Cool or Heat Pump Air Conditioner</t>
        </is>
      </c>
      <c r="E1348" s="2">
        <f>HYPERLINK("https://www.amazon.com/Canamax-Premium-88-108-Capacitor-Electric/dp/B0B2197H9M/ref=sr_1_10?keywords=Packard+PRMJ88+Motor+Start+Capacitor+88-108+MFD+330+Volt&amp;qid=1694734788&amp;sr=8-10", "https://www.amazon.com/Canamax-Premium-88-108-Capacitor-Electric/dp/B0B2197H9M/ref=sr_1_10?keywords=Packard+PRMJ88+Motor+Start+Capacitor+88-108+MFD+330+Volt&amp;qid=1694734788&amp;sr=8-10")</f>
        <v/>
      </c>
      <c r="F1348" t="inlineStr">
        <is>
          <t>B0B2197H9M</t>
        </is>
      </c>
      <c r="G1348">
        <f>_xludf.IMAGE("https://edmondsonsupply.com/cdn/shop/products/PRMJ88-2.jpg?v=1633030394")</f>
        <v/>
      </c>
      <c r="H1348">
        <f>_xludf.IMAGE("https://m.media-amazon.com/images/I/81tP7HbjkvL._AC_UY218_.jpg")</f>
        <v/>
      </c>
      <c r="K1348" t="inlineStr">
        <is>
          <t>5.59</t>
        </is>
      </c>
      <c r="L1348" t="n">
        <v>12.99</v>
      </c>
      <c r="M1348" s="1" t="inlineStr">
        <is>
          <t>132.38%</t>
        </is>
      </c>
      <c r="N1348" s="1" t="n">
        <v>42.79</v>
      </c>
      <c r="O1348" t="n">
        <v>5</v>
      </c>
      <c r="P1348" t="n">
        <v>10</v>
      </c>
      <c r="R1348" t="inlineStr">
        <is>
          <t>InStock</t>
        </is>
      </c>
      <c r="S1348" t="inlineStr">
        <is>
          <t>undefined</t>
        </is>
      </c>
      <c r="T1348" t="inlineStr">
        <is>
          <t>5302132179112</t>
        </is>
      </c>
    </row>
    <row r="1349" hidden="1" ht="15.75" customHeight="1">
      <c r="A1349" s="2">
        <f>HYPERLINK("https://edmondsonsupply.com/collections/hvac/products/jb-industries-p90009-1-4-replacement-o-ring-10-pack", "https://edmondsonsupply.com/collections/hvac/products/jb-industries-p90009-1-4-replacement-o-ring-10-pack")</f>
        <v/>
      </c>
      <c r="B1349" s="2">
        <f>HYPERLINK("https://edmondsonsupply.com/products/jb-industries-p90009-1-4-replacement-o-ring-10-pack", "https://edmondsonsupply.com/products/jb-industries-p90009-1-4-replacement-o-ring-10-pack")</f>
        <v/>
      </c>
      <c r="C1349" t="inlineStr">
        <is>
          <t>JB Industries P90009 1/4" Replacement O-Ring, 10-Pack</t>
        </is>
      </c>
      <c r="D1349" t="inlineStr">
        <is>
          <t>JB Industries P90009 1/4 in. Replacement O-Ring in Packs of 10</t>
        </is>
      </c>
      <c r="E1349" s="2">
        <f>HYPERLINK("https://www.amazon.com/JB-Industries-P90009-Replacement-Ring/dp/B07SZ5BGHD/ref=sr_1_1?keywords=JB+Industries+P90009+1%2F4%22+Replacement+O-Ring%2C+10-Pack&amp;qid=1694734584&amp;sr=8-1", "https://www.amazon.com/JB-Industries-P90009-Replacement-Ring/dp/B07SZ5BGHD/ref=sr_1_1?keywords=JB+Industries+P90009+1%2F4%22+Replacement+O-Ring%2C+10-Pack&amp;qid=1694734584&amp;sr=8-1")</f>
        <v/>
      </c>
      <c r="F1349" t="inlineStr">
        <is>
          <t>B07SZ5BGHD</t>
        </is>
      </c>
      <c r="G1349">
        <f>_xludf.IMAGE("https://edmondsonsupply.com/cdn/shop/products/p90009.jpg?v=1633030966")</f>
        <v/>
      </c>
      <c r="H1349">
        <f>_xludf.IMAGE("https://m.media-amazon.com/images/I/219yI0EPAeL._AC_UY218_.jpg")</f>
        <v/>
      </c>
      <c r="K1349" t="inlineStr">
        <is>
          <t>4.31</t>
        </is>
      </c>
      <c r="L1349" t="n">
        <v>9.99</v>
      </c>
      <c r="M1349" s="1" t="inlineStr">
        <is>
          <t>131.79%</t>
        </is>
      </c>
      <c r="N1349" s="1" t="n">
        <v>42.52</v>
      </c>
      <c r="O1349" t="n">
        <v>4.8</v>
      </c>
      <c r="P1349" t="n">
        <v>6</v>
      </c>
      <c r="R1349" t="inlineStr">
        <is>
          <t>InStock</t>
        </is>
      </c>
      <c r="S1349" t="inlineStr">
        <is>
          <t>6.38</t>
        </is>
      </c>
      <c r="T1349" t="inlineStr">
        <is>
          <t>6631490125997</t>
        </is>
      </c>
    </row>
    <row r="1350" ht="87" customHeight="1">
      <c r="A1350" s="2">
        <f>HYPERLINK("https://edmondsonsupply.com/collections/hvac/products/midwest-mwt-6716s-straight-aviation-snip-blackout-series", "https://edmondsonsupply.com/collections/hvac/products/midwest-mwt-6716s-straight-aviation-snip-blackout-series")</f>
        <v/>
      </c>
      <c r="B1350" s="2">
        <f>HYPERLINK("https://edmondsonsupply.com/products/midwest-mwt-6716s-straight-aviation-snip-blackout-series", "https://edmondsonsupply.com/products/midwest-mwt-6716s-straight-aviation-snip-blackout-series")</f>
        <v/>
      </c>
      <c r="C1350" t="inlineStr">
        <is>
          <t>Midwest MWT-6716SO Straight Aviation Snip - Blackout Series</t>
        </is>
      </c>
      <c r="D1350" t="inlineStr">
        <is>
          <t>MIDWEST Blackout Series Aviation Snip - Left Cut Offset Tin Cutting Shears with Forged Blade &amp; KUSH'N-POWER Comfort Grips - MWT-6510LO</t>
        </is>
      </c>
      <c r="E1350" s="2">
        <f>HYPERLINK("https://www.amazon.com/MIDWEST-Blackout-Aviation-Snip-KUSHN-POWER/dp/B00TJQL91U/ref=sr_1_3?keywords=Midwest+MWT-6716SO+Straight+Aviation+Snip+-+Blackout+Series&amp;qid=1694734781&amp;sr=8-3", "https://www.amazon.com/MIDWEST-Blackout-Aviation-Snip-KUSHN-POWER/dp/B00TJQL91U/ref=sr_1_3?keywords=Midwest+MWT-6716SO+Straight+Aviation+Snip+-+Blackout+Series&amp;qid=1694734781&amp;sr=8-3")</f>
        <v/>
      </c>
      <c r="F1350" t="inlineStr">
        <is>
          <t>B00TJQL91U</t>
        </is>
      </c>
      <c r="G1350">
        <f>_xlfn.IMAGE("https://edmondsonsupply.com/cdn/shop/products/mwt-6716so.jpg?v=1633030747")</f>
        <v/>
      </c>
      <c r="H1350">
        <f>_xlfn.IMAGE("https://m.media-amazon.com/images/I/51OW3TahYsL._AC_UL320_.jpg")</f>
        <v/>
      </c>
      <c r="K1350" t="inlineStr">
        <is>
          <t>24.98</t>
        </is>
      </c>
      <c r="L1350" t="n">
        <v>57.88</v>
      </c>
      <c r="M1350" s="1" t="inlineStr">
        <is>
          <t>131.71%</t>
        </is>
      </c>
      <c r="N1350" s="7" t="n">
        <v>42.52</v>
      </c>
      <c r="O1350" t="n">
        <v>4.7</v>
      </c>
      <c r="P1350" t="n">
        <v>1397</v>
      </c>
      <c r="R1350" t="inlineStr">
        <is>
          <t>InStock</t>
        </is>
      </c>
      <c r="S1350" t="inlineStr">
        <is>
          <t>36.65</t>
        </is>
      </c>
      <c r="T1350" t="inlineStr">
        <is>
          <t>5889374322856</t>
        </is>
      </c>
    </row>
    <row r="1351" hidden="1" ht="15.75" customHeight="1">
      <c r="A1351" s="2">
        <f>HYPERLINK("https://edmondsonsupply.com/collections/hvac/products/klein-tools-et05-digital-pocket-thermometer", "https://edmondsonsupply.com/collections/hvac/products/klein-tools-et05-digital-pocket-thermometer")</f>
        <v/>
      </c>
      <c r="B1351" s="2">
        <f>HYPERLINK("https://edmondsonsupply.com/products/klein-tools-et05-digital-pocket-thermometer", "https://edmondsonsupply.com/products/klein-tools-et05-digital-pocket-thermometer")</f>
        <v/>
      </c>
      <c r="C1351" t="inlineStr">
        <is>
          <t>Klein Tools ET05 Digital Pocket Thermometer</t>
        </is>
      </c>
      <c r="D1351" t="inlineStr">
        <is>
          <t>Klein Tools ET05 Digital Pocket Thermometer &amp; UEi Test Instruments PDT650 Folding Pocket Digital Thermometer,Yellow</t>
        </is>
      </c>
      <c r="E1351" s="2">
        <f>HYPERLINK("https://www.amazon.com/Klein-Tools-Digital-Thermometer-Instruments/dp/B0BGPW6Q6B/ref=sr_1_2?keywords=Klein+Tools+ET05+Digital+Pocket+Thermometer&amp;qid=1694734826&amp;sr=8-2", "https://www.amazon.com/Klein-Tools-Digital-Thermometer-Instruments/dp/B0BGPW6Q6B/ref=sr_1_2?keywords=Klein+Tools+ET05+Digital+Pocket+Thermometer&amp;qid=1694734826&amp;sr=8-2")</f>
        <v/>
      </c>
      <c r="F1351" t="inlineStr">
        <is>
          <t>B0BGPW6Q6B</t>
        </is>
      </c>
      <c r="G1351">
        <f>_xludf.IMAGE("https://edmondsonsupply.com/cdn/shop/products/et05.jpg?v=1587144900")</f>
        <v/>
      </c>
      <c r="H1351">
        <f>_xludf.IMAGE("https://m.media-amazon.com/images/I/31gA144H34L._AC_UY218_.jpg")</f>
        <v/>
      </c>
      <c r="K1351" t="inlineStr">
        <is>
          <t>15.97</t>
        </is>
      </c>
      <c r="L1351" t="n">
        <v>36.96</v>
      </c>
      <c r="M1351" s="1" t="inlineStr">
        <is>
          <t>131.43%</t>
        </is>
      </c>
      <c r="N1351" s="1" t="n">
        <v>42.22</v>
      </c>
      <c r="O1351" t="n">
        <v>3.5</v>
      </c>
      <c r="P1351" t="n">
        <v>2</v>
      </c>
      <c r="R1351" t="inlineStr">
        <is>
          <t>InStock</t>
        </is>
      </c>
      <c r="S1351" t="inlineStr">
        <is>
          <t>25.18</t>
        </is>
      </c>
      <c r="T1351" t="inlineStr">
        <is>
          <t>4300015763556</t>
        </is>
      </c>
    </row>
    <row r="1352" ht="87" customHeight="1">
      <c r="A1352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352" s="2">
        <f>HYPERLINK("https://edmondsonsupply.com/products/klein-tools-32314-14-in-1-precision-screwdriver-nut-driver", "https://edmondsonsupply.com/products/klein-tools-32314-14-in-1-precision-screwdriver-nut-driver")</f>
        <v/>
      </c>
      <c r="C1352" t="inlineStr">
        <is>
          <t>Klein Tools 32314 14-in-1 Precision Screwdriver/ Nut Driver</t>
        </is>
      </c>
      <c r="D1352" t="inlineStr">
        <is>
          <t>Klein Tools 32305 Multi-bit Ratcheting Screwdriver &amp; 32314 Electronic Screwdriver, 14-in-1 with 8 Precision Tips, Slotted, Phillips, and Tamperproof TORX Bits, 6 Precision Nut Drivers</t>
        </is>
      </c>
      <c r="E1352" s="2">
        <f>HYPERLINK("https://www.amazon.com/Klein-Tools-Ratcheting-Screwdriver-Tamperproof/dp/B09Y88M7X7/ref=sr_1_3?keywords=Klein+Tools+32314+14-in-1+Precision+Screwdriver%2F+Nut+Driver&amp;qid=1694734697&amp;sr=8-3", "https://www.amazon.com/Klein-Tools-Ratcheting-Screwdriver-Tamperproof/dp/B09Y88M7X7/ref=sr_1_3?keywords=Klein+Tools+32314+14-in-1+Precision+Screwdriver%2F+Nut+Driver&amp;qid=1694734697&amp;sr=8-3")</f>
        <v/>
      </c>
      <c r="F1352" t="inlineStr">
        <is>
          <t>B09Y88M7X7</t>
        </is>
      </c>
      <c r="G1352">
        <f>_xlfn.IMAGE("https://edmondsonsupply.com/cdn/shop/products/32314.jpg?v=1646593726")</f>
        <v/>
      </c>
      <c r="H1352">
        <f>_xlfn.IMAGE("https://m.media-amazon.com/images/I/41GYmy8nNDL._AC_UL320_.jpg")</f>
        <v/>
      </c>
      <c r="K1352" t="inlineStr">
        <is>
          <t>15.97</t>
        </is>
      </c>
      <c r="L1352" t="n">
        <v>36.94</v>
      </c>
      <c r="M1352" s="1" t="inlineStr">
        <is>
          <t>131.31%</t>
        </is>
      </c>
      <c r="N1352" s="7" t="n">
        <v>42.2</v>
      </c>
      <c r="O1352" t="n">
        <v>4.7</v>
      </c>
      <c r="P1352" t="n">
        <v>22</v>
      </c>
      <c r="R1352" t="inlineStr">
        <is>
          <t>InStock</t>
        </is>
      </c>
      <c r="S1352" t="inlineStr">
        <is>
          <t>22.38</t>
        </is>
      </c>
      <c r="T1352" t="inlineStr">
        <is>
          <t>7626984947928</t>
        </is>
      </c>
    </row>
    <row r="1353" ht="87" customHeight="1">
      <c r="A1353" s="2">
        <f>HYPERLINK("https://edmondsonsupply.com/collections/hvac/products/viega-25001-1-2-x-1-2-megapressg-coupling-with-stop", "https://edmondsonsupply.com/collections/hvac/products/viega-25001-1-2-x-1-2-megapressg-coupling-with-stop")</f>
        <v/>
      </c>
      <c r="B1353" s="2">
        <f>HYPERLINK("https://edmondsonsupply.com/products/viega-25001-1-2-x-1-2-megapressg-coupling-with-stop", "https://edmondsonsupply.com/products/viega-25001-1-2-x-1-2-megapressg-coupling-with-stop")</f>
        <v/>
      </c>
      <c r="C1353" t="inlineStr">
        <is>
          <t>Viega 25001 1/2" x 1/2" MegaPressG Coupling with Stop</t>
        </is>
      </c>
      <c r="D1353" t="inlineStr">
        <is>
          <t>(10PK) EZ-FLUID Plumbing Heavy Duty 1/2" Press x Press LF Copper Propress Coupling With Stop Pressure Copper Fitting,ProPress Press Copper Fitting Connection for Residential,Commercial</t>
        </is>
      </c>
      <c r="E1353" s="2">
        <f>HYPERLINK("https://www.amazon.com/EZ-FLUID-Plumbing-Connection-Residential-Commercial/dp/B0968VVTC6/ref=sr_1_11?keywords=Viega+25001+1%2F2%22+x+1%2F2%22+MegaPressG+Coupling+with+Stop&amp;qid=1694734861&amp;sr=8-11", "https://www.amazon.com/EZ-FLUID-Plumbing-Connection-Residential-Commercial/dp/B0968VVTC6/ref=sr_1_11?keywords=Viega+25001+1%2F2%22+x+1%2F2%22+MegaPressG+Coupling+with+Stop&amp;qid=1694734861&amp;sr=8-11")</f>
        <v/>
      </c>
      <c r="F1353" t="inlineStr">
        <is>
          <t>B0968VVTC6</t>
        </is>
      </c>
      <c r="G1353">
        <f>_xlfn.IMAGE("https://edmondsonsupply.com/cdn/shop/files/PPm6615.jpg?v=1692463277")</f>
        <v/>
      </c>
      <c r="H1353">
        <f>_xlfn.IMAGE("https://m.media-amazon.com/images/I/71sw-CxMMGL._AC_UL320_.jpg")</f>
        <v/>
      </c>
      <c r="K1353" t="inlineStr">
        <is>
          <t>11.63</t>
        </is>
      </c>
      <c r="L1353" t="n">
        <v>26.88</v>
      </c>
      <c r="M1353" s="1" t="inlineStr">
        <is>
          <t>131.13%</t>
        </is>
      </c>
      <c r="N1353" s="7" t="n">
        <v>42.09</v>
      </c>
      <c r="O1353" t="n">
        <v>4.5</v>
      </c>
      <c r="P1353" t="n">
        <v>22</v>
      </c>
      <c r="R1353" t="inlineStr">
        <is>
          <t>InStock</t>
        </is>
      </c>
      <c r="S1353" t="inlineStr">
        <is>
          <t>20.04</t>
        </is>
      </c>
      <c r="T1353" t="inlineStr">
        <is>
          <t>8028590178520</t>
        </is>
      </c>
    </row>
    <row r="1354" hidden="1" ht="15.75" customHeight="1">
      <c r="A1354" s="2">
        <f>HYPERLINK("https://edmondsonsupply.com/collections/hvac/products/packard-trc35-titan-pro-run-capacitor-35-mfd-370-volt-round", "https://edmondsonsupply.com/collections/hvac/products/packard-trc35-titan-pro-run-capacitor-35-mfd-370-volt-round")</f>
        <v/>
      </c>
      <c r="B1354" s="2">
        <f>HYPERLINK("https://edmondsonsupply.com/products/packard-trc35-titan-pro-run-capacitor-35-mfd-370-volt-round", "https://edmondsonsupply.com/products/packard-trc35-titan-pro-run-capacitor-35-mfd-370-volt-round")</f>
        <v/>
      </c>
      <c r="C1354" t="inlineStr">
        <is>
          <t>Packard TRC35 TITAN PRO Run Capacitor 35 MFD 370 Volt, Round</t>
        </is>
      </c>
      <c r="D1354" t="inlineStr">
        <is>
          <t>Packard TOCF35 Titan Pro Motor Run Capacitor 35 MFD 440/370V OVAL Capacitor</t>
        </is>
      </c>
      <c r="E1354" s="2">
        <f>HYPERLINK("https://www.amazon.com/Packard-TOCF35-Titan-Motor-Capacitor/dp/B009558DPK/ref=sr_1_13?keywords=Packard+TRC35+TITAN+PRO+Run+Capacitor+35+MFD+370+Volt%2C+Round&amp;qid=1694734697&amp;sr=8-13", "https://www.amazon.com/Packard-TOCF35-Titan-Motor-Capacitor/dp/B009558DPK/ref=sr_1_13?keywords=Packard+TRC35+TITAN+PRO+Run+Capacitor+35+MFD+370+Volt%2C+Round&amp;qid=1694734697&amp;sr=8-13")</f>
        <v/>
      </c>
      <c r="F1354" t="inlineStr">
        <is>
          <t>B009558DPK</t>
        </is>
      </c>
      <c r="G1354">
        <f>_xludf.IMAGE("https://edmondsonsupply.com/cdn/shop/products/TRC35-2.jpg?v=1647824336")</f>
        <v/>
      </c>
      <c r="H1354">
        <f>_xludf.IMAGE("https://m.media-amazon.com/images/I/4151Dyd80cL._AC_UY218_.jpg")</f>
        <v/>
      </c>
      <c r="K1354" t="inlineStr">
        <is>
          <t>6.04</t>
        </is>
      </c>
      <c r="L1354" t="n">
        <v>13.94</v>
      </c>
      <c r="M1354" s="1" t="inlineStr">
        <is>
          <t>130.79%</t>
        </is>
      </c>
      <c r="N1354" s="1" t="n">
        <v>41.85</v>
      </c>
      <c r="O1354" t="n">
        <v>4.8</v>
      </c>
      <c r="P1354" t="n">
        <v>4</v>
      </c>
      <c r="R1354" t="inlineStr">
        <is>
          <t>InStock</t>
        </is>
      </c>
      <c r="S1354" t="inlineStr">
        <is>
          <t>undefined</t>
        </is>
      </c>
      <c r="T1354" t="inlineStr">
        <is>
          <t>7640304681176</t>
        </is>
      </c>
    </row>
    <row r="1355" ht="87" customHeight="1">
      <c r="A1355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1355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1355" t="inlineStr">
        <is>
          <t>Diablo Tools DMAPL4210 5/8 in. x 4 in. x 6 in. Rebar Demon™ SDS‑Plus 4‑Cutter Full Carbide Head Hammer Bit</t>
        </is>
      </c>
      <c r="D1355" t="inlineStr">
        <is>
          <t>Diablo by Freud DMAPL4200 1/2 in. x 16 in. x 18 in. Rebar Demon SDS-Plus 4-Cutter Full Carbide Head Hammer Bit</t>
        </is>
      </c>
      <c r="E1355" s="2">
        <f>HYPERLINK("https://www.amazon.com/Diablo-Freud-DMAPL4200-SDS-Plus-4-Cutter/dp/B089KW2QV1/ref=sr_1_22?keywords=Diablo+Tools+DMAPL4210+5%2F8+in.+x+4+in.+x+6+in.+Rebar+Demon%E2%84%A2+SDS%E2%80%91Plus+4%E2%80%91Cutter+Full+Carbide+Head+Hammer+Bit&amp;qid=1694734723&amp;sr=8-22", "https://www.amazon.com/Diablo-Freud-DMAPL4200-SDS-Plus-4-Cutter/dp/B089KW2QV1/ref=sr_1_22?keywords=Diablo+Tools+DMAPL4210+5%2F8+in.+x+4+in.+x+6+in.+Rebar+Demon%E2%84%A2+SDS%E2%80%91Plus+4%E2%80%91Cutter+Full+Carbide+Head+Hammer+Bit&amp;qid=1694734723&amp;sr=8-22")</f>
        <v/>
      </c>
      <c r="F1355" t="inlineStr">
        <is>
          <t>B089KW2QV1</t>
        </is>
      </c>
      <c r="G1355">
        <f>_xlfn.IMAGE("https://edmondsonsupply.com/cdn/shop/products/DMAPL4210_Main-Image20200701.png?v=1633030426")</f>
        <v/>
      </c>
      <c r="H1355">
        <f>_xlfn.IMAGE("https://m.media-amazon.com/images/I/61rW+ROVmNL._AC_UL320_.jpg")</f>
        <v/>
      </c>
      <c r="K1355" t="inlineStr">
        <is>
          <t>9.97</t>
        </is>
      </c>
      <c r="L1355" t="n">
        <v>23</v>
      </c>
      <c r="M1355" s="1" t="inlineStr">
        <is>
          <t>130.69%</t>
        </is>
      </c>
      <c r="N1355" s="7" t="n">
        <v>41.72</v>
      </c>
      <c r="O1355" t="n">
        <v>4.7</v>
      </c>
      <c r="P1355" t="n">
        <v>18</v>
      </c>
      <c r="R1355" t="inlineStr">
        <is>
          <t>InStock</t>
        </is>
      </c>
      <c r="S1355" t="inlineStr">
        <is>
          <t>13.77</t>
        </is>
      </c>
      <c r="T1355" t="inlineStr">
        <is>
          <t>5326920482984</t>
        </is>
      </c>
    </row>
    <row r="1356" ht="87" customHeight="1">
      <c r="A1356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356" s="2">
        <f>HYPERLINK("https://edmondsonsupply.com/products/packard-prmj189-motor-start-capacitor-189-227-mfd-330-vac", "https://edmondsonsupply.com/products/packard-prmj189-motor-start-capacitor-189-227-mfd-330-vac")</f>
        <v/>
      </c>
      <c r="C1356" t="inlineStr">
        <is>
          <t>Packard PRMJ189 Motor Start Capacitor 189-227 MFD 330 VAC</t>
        </is>
      </c>
      <c r="D1356" t="inlineStr">
        <is>
          <t>Packard PSMJ189 Motor Start Capacitor. 189-227 MFD UF / 165 VAC</t>
        </is>
      </c>
      <c r="E1356" s="2">
        <f>HYPERLINK("https://www.amazon.com/Packard-PSMJ189-Motor-Capacitor-189-227/dp/B0BH4H7WKH/ref=sr_1_12?keywords=Packard+PRMJ189+Motor+Start+Capacitor+189-227+MFD+330+VAC&amp;qid=1694734820&amp;sr=8-12", "https://www.amazon.com/Packard-PSMJ189-Motor-Capacitor-189-227/dp/B0BH4H7WKH/ref=sr_1_12?keywords=Packard+PRMJ189+Motor+Start+Capacitor+189-227+MFD+330+VAC&amp;qid=1694734820&amp;sr=8-12")</f>
        <v/>
      </c>
      <c r="F1356" t="inlineStr">
        <is>
          <t>B0BH4H7WKH</t>
        </is>
      </c>
      <c r="G1356">
        <f>_xlfn.IMAGE("https://edmondsonsupply.com/cdn/shop/products/PRMJ189-2.jpg?v=1663378512")</f>
        <v/>
      </c>
      <c r="H1356">
        <f>_xlfn.IMAGE("https://m.media-amazon.com/images/I/41tyQQsUERL._AC_UY218_.jpg")</f>
        <v/>
      </c>
      <c r="K1356" t="inlineStr">
        <is>
          <t>8.59</t>
        </is>
      </c>
      <c r="L1356" t="n">
        <v>19.8</v>
      </c>
      <c r="M1356" s="1" t="inlineStr">
        <is>
          <t>130.50%</t>
        </is>
      </c>
      <c r="N1356" s="7" t="n">
        <v>41.72</v>
      </c>
      <c r="O1356" t="n">
        <v>5</v>
      </c>
      <c r="P1356" t="n">
        <v>1</v>
      </c>
      <c r="R1356" t="inlineStr">
        <is>
          <t>InStock</t>
        </is>
      </c>
      <c r="S1356" t="inlineStr">
        <is>
          <t>undefined</t>
        </is>
      </c>
      <c r="T1356" t="inlineStr">
        <is>
          <t>4298778378340</t>
        </is>
      </c>
    </row>
    <row r="1357" hidden="1" ht="15.75" customHeight="1">
      <c r="A1357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357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357" t="inlineStr">
        <is>
          <t>Holyoke Fittings 1055-FHFH 3/4" Garden Hose Thread Fitting - Brass Female Garden Hose to Hose Swivel Adapter</t>
        </is>
      </c>
      <c r="D1357" t="inlineStr">
        <is>
          <t>G1/2 Female to GHT 3/4 Male Hose Adapter Brass Threaded Pipe Fitting Hose Connector Hose Coupler Water Hose Adapter Garden Hose Swivel (2 Pieces)</t>
        </is>
      </c>
      <c r="E1357" s="2">
        <f>HYPERLINK("https://www.amazon.com/Adapter-Threaded-Fitting-Connector-Coupler/dp/B09J8RSXCD/ref=sr_1_24?keywords=Holyoke+Fittings+1055-FHFH+3%2F4%22+Garden+Hose+Thread+Fitting+-+Brass+Female+Garden+Hose+to+Hose+Swivel+Adapter&amp;qid=1694734918&amp;sr=8-24", "https://www.amazon.com/Adapter-Threaded-Fitting-Connector-Coupler/dp/B09J8RSXCD/ref=sr_1_24?keywords=Holyoke+Fittings+1055-FHFH+3%2F4%22+Garden+Hose+Thread+Fitting+-+Brass+Female+Garden+Hose+to+Hose+Swivel+Adapter&amp;qid=1694734918&amp;sr=8-24")</f>
        <v/>
      </c>
      <c r="F1357" t="inlineStr">
        <is>
          <t>B09J8RSXCD</t>
        </is>
      </c>
      <c r="G1357">
        <f>_xludf.IMAGE("https://edmondsonsupply.com/cdn/shop/files/1055-FHFH.jpg?v=1686083814")</f>
        <v/>
      </c>
      <c r="H1357">
        <f>_xludf.IMAGE("https://m.media-amazon.com/images/I/71yUvngJicL._AC_UL320_.jpg")</f>
        <v/>
      </c>
      <c r="K1357" t="inlineStr">
        <is>
          <t>3.59</t>
        </is>
      </c>
      <c r="L1357" t="n">
        <v>8.26</v>
      </c>
      <c r="M1357" s="1" t="inlineStr">
        <is>
          <t>130.08%</t>
        </is>
      </c>
      <c r="N1357" s="1" t="n">
        <v>41.7</v>
      </c>
      <c r="O1357" t="n">
        <v>4.5</v>
      </c>
      <c r="P1357" t="n">
        <v>124</v>
      </c>
      <c r="R1357" t="inlineStr">
        <is>
          <t>InStock</t>
        </is>
      </c>
      <c r="S1357" t="inlineStr">
        <is>
          <t>5.17</t>
        </is>
      </c>
      <c r="T1357" t="inlineStr">
        <is>
          <t>8002194342104</t>
        </is>
      </c>
    </row>
    <row r="1358" ht="87" customHeight="1">
      <c r="A1358" s="2">
        <f>HYPERLINK("https://edmondsonsupply.com/collections/hvac/products/klein-tools-94130-1000v-insulated-tool-kit-5-piece", "https://edmondsonsupply.com/collections/hvac/products/klein-tools-94130-1000v-insulated-tool-kit-5-piece")</f>
        <v/>
      </c>
      <c r="B1358" s="2">
        <f>HYPERLINK("https://edmondsonsupply.com/products/klein-tools-94130-1000v-insulated-tool-kit-5-piece", "https://edmondsonsupply.com/products/klein-tools-94130-1000v-insulated-tool-kit-5-piece")</f>
        <v/>
      </c>
      <c r="C1358" t="inlineStr">
        <is>
          <t>Klein Tools 94130 1000V Insulated Tool Kit, 5-Piece</t>
        </is>
      </c>
      <c r="D1358" t="inlineStr">
        <is>
          <t>Klein Tools 33524 Tool Kit, 1000V Insulated Nut Driver Set, Sizes 3/16, 1/4, 5/16, 11/32, 3/8,7/16,1/2,9/16,5/8-Inch, with Case, 9-Piece</t>
        </is>
      </c>
      <c r="E1358" s="2">
        <f>HYPERLINK("https://www.amazon.com/Insulated-9-Piece-Klein-Tools-33524/dp/B000MKIR9E/ref=sr_1_1?keywords=Klein+Tools+94130+1000V+Insulated+Tool+Kit%2C+5-Piece&amp;qid=1694734718&amp;sr=8-1", "https://www.amazon.com/Insulated-9-Piece-Klein-Tools-33524/dp/B000MKIR9E/ref=sr_1_1?keywords=Klein+Tools+94130+1000V+Insulated+Tool+Kit%2C+5-Piece&amp;qid=1694734718&amp;sr=8-1")</f>
        <v/>
      </c>
      <c r="F1358" t="inlineStr">
        <is>
          <t>B000MKIR9E</t>
        </is>
      </c>
      <c r="G1358">
        <f>_xlfn.IMAGE("https://edmondsonsupply.com/cdn/shop/products/94130.jpg?v=1633030386")</f>
        <v/>
      </c>
      <c r="H1358">
        <f>_xlfn.IMAGE("https://m.media-amazon.com/images/I/71+Db525CfL._AC_UL320_.jpg")</f>
        <v/>
      </c>
      <c r="K1358" t="inlineStr">
        <is>
          <t>99.99</t>
        </is>
      </c>
      <c r="L1358" t="n">
        <v>229.99</v>
      </c>
      <c r="M1358" s="1" t="inlineStr">
        <is>
          <t>130.01%</t>
        </is>
      </c>
      <c r="N1358" s="7" t="n">
        <v>41.67</v>
      </c>
      <c r="O1358" t="n">
        <v>4.4</v>
      </c>
      <c r="P1358" t="n">
        <v>26</v>
      </c>
      <c r="R1358" t="inlineStr">
        <is>
          <t>InStock</t>
        </is>
      </c>
      <c r="S1358" t="inlineStr">
        <is>
          <t>149.98</t>
        </is>
      </c>
      <c r="T1358" t="inlineStr">
        <is>
          <t>5299145146536</t>
        </is>
      </c>
    </row>
    <row r="1359" ht="87" customHeight="1">
      <c r="A1359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359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359" t="inlineStr">
        <is>
          <t>ICM Controls ICM2805A Furnace Control Board - Replacement for Nordyne</t>
        </is>
      </c>
      <c r="D1359" t="inlineStr">
        <is>
          <t>OEM Upgraded Replacement for Nordyne Furnace Control Circuit Board 624591-0</t>
        </is>
      </c>
      <c r="E1359" s="2">
        <f>HYPERLINK("https://www.amazon.com/Upgraded-Replacement-Nordyne-Furnace-624591-0/dp/B00EFAXOUY/ref=sr_1_21?keywords=ICM+Controls+ICM2805A+Furnace+Control+Board+-+Replacement+for+Nordyne&amp;qid=1694734623&amp;sr=8-21", "https://www.amazon.com/Upgraded-Replacement-Nordyne-Furnace-624591-0/dp/B00EFAXOUY/ref=sr_1_21?keywords=ICM+Controls+ICM2805A+Furnace+Control+Board+-+Replacement+for+Nordyne&amp;qid=1694734623&amp;sr=8-21")</f>
        <v/>
      </c>
      <c r="F1359" t="inlineStr">
        <is>
          <t>B00EFAXOUY</t>
        </is>
      </c>
      <c r="G1359">
        <f>_xlfn.IMAGE("https://edmondsonsupply.com/cdn/shop/products/57_3_42a53dd2-02e8-4469-bc0c-0265897201e7.jpg?v=1633031145")</f>
        <v/>
      </c>
      <c r="H1359">
        <f>_xlfn.IMAGE("https://m.media-amazon.com/images/I/51lgv59vxuL._AC_UL320_.jpg")</f>
        <v/>
      </c>
      <c r="K1359" t="inlineStr">
        <is>
          <t>116.59</t>
        </is>
      </c>
      <c r="L1359" t="n">
        <v>267.95</v>
      </c>
      <c r="M1359" s="1" t="inlineStr">
        <is>
          <t>129.82%</t>
        </is>
      </c>
      <c r="N1359" s="7" t="n">
        <v>41.53</v>
      </c>
      <c r="O1359" t="n">
        <v>5</v>
      </c>
      <c r="P1359" t="n">
        <v>1</v>
      </c>
      <c r="R1359" t="inlineStr">
        <is>
          <t>InStock</t>
        </is>
      </c>
      <c r="S1359" t="inlineStr">
        <is>
          <t>161.12</t>
        </is>
      </c>
      <c r="T1359" t="inlineStr">
        <is>
          <t>6892060639405</t>
        </is>
      </c>
    </row>
    <row r="1360" hidden="1" ht="15.75" customHeight="1">
      <c r="A1360" s="2">
        <f>HYPERLINK("https://edmondsonsupply.com/collections/hvac/products/malco-tools-mshml14-1-4-extra-long-magnetic-hex-chuck-driver-4-long", "https://edmondsonsupply.com/collections/hvac/products/malco-tools-mshml14-1-4-extra-long-magnetic-hex-chuck-driver-4-long")</f>
        <v/>
      </c>
      <c r="B1360" s="2">
        <f>HYPERLINK("https://edmondsonsupply.com/products/malco-tools-mshml14-1-4-extra-long-magnetic-hex-chuck-driver-4-long", "https://edmondsonsupply.com/products/malco-tools-mshml14-1-4-extra-long-magnetic-hex-chuck-driver-4-long")</f>
        <v/>
      </c>
      <c r="C1360" t="inlineStr">
        <is>
          <t>Malco Tools MSHML14 1/4" Extra Long Magnetic Hex Chuck Driver - 4" Long</t>
        </is>
      </c>
      <c r="D1360" t="inlineStr">
        <is>
          <t>Malco MSHXL516IS 5/16 in. Extra Long Magnetic Impact Hex Chuck Driver</t>
        </is>
      </c>
      <c r="E1360" s="2">
        <f>HYPERLINK("https://www.amazon.com/Malco-MSHXL516IS-Impact-Grade-Magnetic-Drivers/dp/B07119VPBJ/ref=sr_1_14?keywords=Malco+Tools+MSHML14+1%2F4%22+Extra+Long+Magnetic+Hex+Chuck+Driver+-+4%22+Long&amp;qid=1694734799&amp;sr=8-14", "https://www.amazon.com/Malco-MSHXL516IS-Impact-Grade-Magnetic-Drivers/dp/B07119VPBJ/ref=sr_1_14?keywords=Malco+Tools+MSHML14+1%2F4%22+Extra+Long+Magnetic+Hex+Chuck+Driver+-+4%22+Long&amp;qid=1694734799&amp;sr=8-14")</f>
        <v/>
      </c>
      <c r="F1360" t="inlineStr">
        <is>
          <t>B07119VPBJ</t>
        </is>
      </c>
      <c r="G1360">
        <f>_xludf.IMAGE("https://edmondsonsupply.com/cdn/shop/products/mshml14_catalog-big-e1529595240703.jpg?v=1587142629")</f>
        <v/>
      </c>
      <c r="H1360">
        <f>_xludf.IMAGE("https://m.media-amazon.com/images/I/51vsDauvP6L._AC_UL320_.jpg")</f>
        <v/>
      </c>
      <c r="K1360" t="inlineStr">
        <is>
          <t>9.47</t>
        </is>
      </c>
      <c r="L1360" t="n">
        <v>21.74</v>
      </c>
      <c r="M1360" s="1" t="inlineStr">
        <is>
          <t>129.57%</t>
        </is>
      </c>
      <c r="N1360" s="1" t="n">
        <v>41.21</v>
      </c>
      <c r="O1360" t="n">
        <v>3.6</v>
      </c>
      <c r="P1360" t="n">
        <v>3</v>
      </c>
      <c r="R1360" t="inlineStr">
        <is>
          <t>InStock</t>
        </is>
      </c>
      <c r="S1360" t="inlineStr">
        <is>
          <t>undefined</t>
        </is>
      </c>
      <c r="T1360" t="inlineStr">
        <is>
          <t>4522926375012</t>
        </is>
      </c>
    </row>
    <row r="1361" ht="87" customHeight="1">
      <c r="A1361" s="2">
        <f>HYPERLINK("https://edmondsonsupply.com/collections/hvac/products/inficon-d-tek-3", "https://edmondsonsupply.com/collections/hvac/products/inficon-d-tek-3")</f>
        <v/>
      </c>
      <c r="B1361" s="2">
        <f>HYPERLINK("https://edmondsonsupply.com/products/inficon-d-tek-3", "https://edmondsonsupply.com/products/inficon-d-tek-3")</f>
        <v/>
      </c>
      <c r="C1361" t="inlineStr">
        <is>
          <t>Inficon D-TEK® 3 Refrigerant Leak Detector</t>
        </is>
      </c>
      <c r="D1361" t="inlineStr">
        <is>
          <t>Inficon AST 300 PPM Refrigerant Leak Detector with PPM Display (Model: AST300PPM)</t>
        </is>
      </c>
      <c r="E1361" s="2">
        <f>HYPERLINK("https://www.amazon.com/Inficon-Refrigerant-Detector-Display-Model/dp/B08YLGQDZ5/ref=sr_1_7?keywords=Inficon+D-TEK%C2%AE+3+Refrigerant+Leak+Detector&amp;qid=1694734644&amp;sr=8-7", "https://www.amazon.com/Inficon-Refrigerant-Detector-Display-Model/dp/B08YLGQDZ5/ref=sr_1_7?keywords=Inficon+D-TEK%C2%AE+3+Refrigerant+Leak+Detector&amp;qid=1694734644&amp;sr=8-7")</f>
        <v/>
      </c>
      <c r="F1361" t="inlineStr">
        <is>
          <t>B08YLGQDZ5</t>
        </is>
      </c>
      <c r="G1361">
        <f>_xlfn.IMAGE("https://edmondsonsupply.com/cdn/shop/products/dtek3.png?v=1633030772")</f>
        <v/>
      </c>
      <c r="H1361">
        <f>_xlfn.IMAGE("https://m.media-amazon.com/images/I/61sAy87NU1L._AC_UL320_.jpg")</f>
        <v/>
      </c>
      <c r="K1361" t="inlineStr">
        <is>
          <t>516.99</t>
        </is>
      </c>
      <c r="L1361" t="n">
        <v>1185.68</v>
      </c>
      <c r="M1361" s="1" t="inlineStr">
        <is>
          <t>129.34%</t>
        </is>
      </c>
      <c r="N1361" s="7" t="n">
        <v>41.13</v>
      </c>
      <c r="O1361" t="n">
        <v>5</v>
      </c>
      <c r="P1361" t="n">
        <v>2</v>
      </c>
      <c r="R1361" t="inlineStr">
        <is>
          <t>InStock</t>
        </is>
      </c>
      <c r="S1361" t="inlineStr">
        <is>
          <t>645.0</t>
        </is>
      </c>
      <c r="T1361" t="inlineStr">
        <is>
          <t>5950406623400</t>
        </is>
      </c>
    </row>
    <row r="1362" ht="87" customHeight="1">
      <c r="A1362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1362" s="2">
        <f>HYPERLINK("https://edmondsonsupply.com/products/milwaukee-48-22-1540-fastback%e2%84%a2-5-in-1-folding-knife", "https://edmondsonsupply.com/products/milwaukee-48-22-1540-fastback%e2%84%a2-5-in-1-folding-knife")</f>
        <v/>
      </c>
      <c r="C1362" t="inlineStr">
        <is>
          <t>Milwaukee 48-22-1540 FASTBACK™ 5-in-1 Folding Knife</t>
        </is>
      </c>
      <c r="D1362" t="inlineStr">
        <is>
          <t>Milwaukee Electric Tool 48-22-1997 2.5" Hardline Smooth Blade Pocket Knife, Plastic, 1" x 9.25" x 3.9"</t>
        </is>
      </c>
      <c r="E1362" s="2">
        <f>HYPERLINK("https://www.amazon.com/Milwaukee-Electric-Tool-48-22-1997-Hardline/dp/B01HQQ11L2/ref=sr_1_45?keywords=Milwaukee+48-22-1540+FASTBACK%E2%84%A2+5-in-1+Folding+Knife&amp;qid=1694734631&amp;sr=8-45", "https://www.amazon.com/Milwaukee-Electric-Tool-48-22-1997-Hardline/dp/B01HQQ11L2/ref=sr_1_45?keywords=Milwaukee+48-22-1540+FASTBACK%E2%84%A2+5-in-1+Folding+Knife&amp;qid=1694734631&amp;sr=8-45")</f>
        <v/>
      </c>
      <c r="F1362" t="inlineStr">
        <is>
          <t>B01HQQ11L2</t>
        </is>
      </c>
      <c r="G1362">
        <f>_xlfn.IMAGE("https://edmondsonsupply.com/cdn/shop/products/48-22-1540_1.png?v=1587142762")</f>
        <v/>
      </c>
      <c r="H1362">
        <f>_xlfn.IMAGE("https://m.media-amazon.com/images/I/51sQpjs0FFL._AC_UL320_.jpg")</f>
        <v/>
      </c>
      <c r="K1362" t="inlineStr">
        <is>
          <t>23.97</t>
        </is>
      </c>
      <c r="L1362" t="n">
        <v>54.97</v>
      </c>
      <c r="M1362" s="1" t="inlineStr">
        <is>
          <t>129.33%</t>
        </is>
      </c>
      <c r="N1362" s="7" t="n">
        <v>41.09</v>
      </c>
      <c r="O1362" t="n">
        <v>4.2</v>
      </c>
      <c r="P1362" t="n">
        <v>41</v>
      </c>
      <c r="R1362" t="inlineStr">
        <is>
          <t>InStock</t>
        </is>
      </c>
      <c r="S1362" t="inlineStr">
        <is>
          <t>39.0</t>
        </is>
      </c>
      <c r="T1362" t="inlineStr">
        <is>
          <t>4452621090916</t>
        </is>
      </c>
    </row>
    <row r="1363" ht="87" customHeight="1">
      <c r="A1363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363" s="2">
        <f>HYPERLINK("https://edmondsonsupply.com/products/packard-pmj708-motor-start-capacitor-708-850-mfd-110-125-vac", "https://edmondsonsupply.com/products/packard-pmj708-motor-start-capacitor-708-850-mfd-110-125-vac")</f>
        <v/>
      </c>
      <c r="C1363" t="inlineStr">
        <is>
          <t>Packard PMJ708 Motor Start Capacitor 708-850 MFD 110-125 VAC</t>
        </is>
      </c>
      <c r="D1363" t="inlineStr">
        <is>
          <t>Canamax 708-850 MFD uf 50/60 Hz 110-125 VAC Volts Round Start Capacitor - Replacement for AC Motor Run or Fan Start and Cool or Heat Pump Air Conditioner - Replaces 11028 11928 PMJ708 PMJ708A</t>
        </is>
      </c>
      <c r="E1363" s="2" t="n"/>
      <c r="F1363" t="inlineStr">
        <is>
          <t>B0BTHN9D35</t>
        </is>
      </c>
      <c r="G1363">
        <f>_xlfn.IMAGE("https://edmondsonsupply.com/cdn/shop/products/PMJ708-2.jpg?v=1633030334")</f>
        <v/>
      </c>
      <c r="H1363">
        <f>_xlfn.IMAGE("https://m.media-amazon.com/images/I/71elYzLuOpL._AC_UY218_.jpg")</f>
        <v/>
      </c>
      <c r="K1363" t="inlineStr">
        <is>
          <t>6.76</t>
        </is>
      </c>
      <c r="L1363" t="n">
        <v>15.49</v>
      </c>
      <c r="M1363" s="1" t="inlineStr">
        <is>
          <t>129.14%</t>
        </is>
      </c>
      <c r="N1363" s="7" t="n">
        <v>40.94</v>
      </c>
      <c r="O1363" t="n">
        <v>5</v>
      </c>
      <c r="P1363" t="n">
        <v>2</v>
      </c>
      <c r="R1363" t="inlineStr">
        <is>
          <t>InStock</t>
        </is>
      </c>
      <c r="S1363" t="inlineStr">
        <is>
          <t>undefined</t>
        </is>
      </c>
      <c r="T1363" t="inlineStr">
        <is>
          <t>5271970021544</t>
        </is>
      </c>
    </row>
    <row r="1364" ht="87" customHeight="1">
      <c r="A1364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364" s="2">
        <f>HYPERLINK("https://edmondsonsupply.com/products/packard-pmj708-motor-start-capacitor-708-850-mfd-110-125-vac", "https://edmondsonsupply.com/products/packard-pmj708-motor-start-capacitor-708-850-mfd-110-125-vac")</f>
        <v/>
      </c>
      <c r="C1364" t="inlineStr">
        <is>
          <t>Packard PMJ708 Motor Start Capacitor 708-850 MFD 110-125 VAC</t>
        </is>
      </c>
      <c r="D1364" t="inlineStr">
        <is>
          <t>Canamax 708-850 MFD uf 50/60 Hz 110-125 VAC Volts Round Start Capacitor - Replacement for AC Motor Run or Fan Start and Cool or Heat Pump Air Conditioner - Replaces 11028 11928 PMJ708 PMJ708A</t>
        </is>
      </c>
      <c r="E1364" s="2">
        <f>HYPERLINK("https://www.amazon.com/Canamax-708-850-110-125-Volts-Capacitor/dp/B0BTHN9D35/ref=sr_1_3?keywords=Packard+PMJ708+Motor+Start+Capacitor+708-850+MFD+110-125+VAC&amp;qid=1694734808&amp;sr=8-3", "https://www.amazon.com/Canamax-708-850-110-125-Volts-Capacitor/dp/B0BTHN9D35/ref=sr_1_3?keywords=Packard+PMJ708+Motor+Start+Capacitor+708-850+MFD+110-125+VAC&amp;qid=1694734808&amp;sr=8-3")</f>
        <v/>
      </c>
      <c r="F1364" t="inlineStr">
        <is>
          <t>B0BTHN9D35</t>
        </is>
      </c>
      <c r="G1364">
        <f>_xlfn.IMAGE("https://edmondsonsupply.com/cdn/shop/products/PMJ708-2.jpg?v=1633030334")</f>
        <v/>
      </c>
      <c r="H1364">
        <f>_xlfn.IMAGE("https://m.media-amazon.com/images/I/71elYzLuOpL._AC_UY218_.jpg")</f>
        <v/>
      </c>
      <c r="K1364" t="inlineStr">
        <is>
          <t>6.76</t>
        </is>
      </c>
      <c r="L1364" t="n">
        <v>15.49</v>
      </c>
      <c r="M1364" s="1" t="inlineStr">
        <is>
          <t>129.14%</t>
        </is>
      </c>
      <c r="N1364" s="7" t="n">
        <v>40.72</v>
      </c>
      <c r="O1364" t="n">
        <v>5</v>
      </c>
      <c r="P1364" t="n">
        <v>2</v>
      </c>
      <c r="R1364" t="inlineStr">
        <is>
          <t>InStock</t>
        </is>
      </c>
      <c r="S1364" t="inlineStr">
        <is>
          <t>undefined</t>
        </is>
      </c>
      <c r="T1364" t="inlineStr">
        <is>
          <t>5271970021544</t>
        </is>
      </c>
    </row>
    <row r="1365" ht="87" customHeight="1">
      <c r="A1365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1365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1365" t="inlineStr">
        <is>
          <t>Diablo Tools DMAMX1300 1-1/4 in. x 16 in. x 21 in. Rebar Demon™ SDS-Max 4-Cutter Full Carbide Head Hammer Drill Bit</t>
        </is>
      </c>
      <c r="D1365" t="inlineStr">
        <is>
          <t>Diablo by Freud DMAMX1400 2 in. x 16 in. x 21 in. Rebar Demon SDS-Max 4-Cutter Carbide-Tipped Hammer Bit</t>
        </is>
      </c>
      <c r="E1365" s="2">
        <f>HYPERLINK("https://www.amazon.com/Diablo-SDS-Max-4-Cutter-Carbide-Tipped-Hammer/dp/B089LHKFQ2/ref=sr_1_34?keywords=Diablo+Tools+DMAMX1300+1-1%2F4+in.+x+16+in.+x+21+in.+Rebar+Demon%E2%84%A2+SDS-Max+4-Cutter+Full+Carbide+Head+Hammer+Drill+Bit&amp;qid=1694734676&amp;sr=8-34", "https://www.amazon.com/Diablo-SDS-Max-4-Cutter-Carbide-Tipped-Hammer/dp/B089LHKFQ2/ref=sr_1_34?keywords=Diablo+Tools+DMAMX1300+1-1%2F4+in.+x+16+in.+x+21+in.+Rebar+Demon%E2%84%A2+SDS-Max+4-Cutter+Full+Carbide+Head+Hammer+Drill+Bit&amp;qid=1694734676&amp;sr=8-34")</f>
        <v/>
      </c>
      <c r="F1365" t="inlineStr">
        <is>
          <t>B089LHKFQ2</t>
        </is>
      </c>
      <c r="G1365">
        <f>_xlfn.IMAGE("https://edmondsonsupply.com/cdn/shop/files/immoyh7jjmbau4fzhuq6_7dd7fd73-2865-4c12-9443-da45b48dbd51.webp?v=1685465465")</f>
        <v/>
      </c>
      <c r="H1365">
        <f>_xlfn.IMAGE("https://m.media-amazon.com/images/I/61p4Q032qYL._AC_UL320_.jpg")</f>
        <v/>
      </c>
      <c r="K1365" t="inlineStr">
        <is>
          <t>66.4</t>
        </is>
      </c>
      <c r="L1365" t="n">
        <v>151.99</v>
      </c>
      <c r="M1365" s="1" t="inlineStr">
        <is>
          <t>128.90%</t>
        </is>
      </c>
      <c r="N1365" s="7" t="n">
        <v>40.47</v>
      </c>
      <c r="O1365" t="n">
        <v>4.4</v>
      </c>
      <c r="P1365" t="n">
        <v>4</v>
      </c>
      <c r="R1365" t="inlineStr">
        <is>
          <t>OutOfStock</t>
        </is>
      </c>
      <c r="S1365" t="inlineStr">
        <is>
          <t>105.4</t>
        </is>
      </c>
      <c r="T1365" t="inlineStr">
        <is>
          <t>7997856874712</t>
        </is>
      </c>
    </row>
    <row r="1366" ht="87" customHeight="1">
      <c r="A1366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366" s="2">
        <f>HYPERLINK("https://edmondsonsupply.com/products/packard-pmj708-motor-start-capacitor-708-850-mfd-110-125-vac", "https://edmondsonsupply.com/products/packard-pmj708-motor-start-capacitor-708-850-mfd-110-125-vac")</f>
        <v/>
      </c>
      <c r="C1366" t="inlineStr">
        <is>
          <t>Packard PMJ708 Motor Start Capacitor 708-850 MFD 110-125 VAC</t>
        </is>
      </c>
      <c r="D1366" t="inlineStr">
        <is>
          <t>TEMCo 708-850 uf/MFD 110-125 VAC Volts Round Start Capacitor 50/60 Hz AC Electric - Lot -1</t>
        </is>
      </c>
      <c r="E1366" s="2">
        <f>HYPERLINK("https://www.amazon.com/TEMCo-Capacitor-SC0044-708-850-110-125-Electric/dp/B00EQHE9TQ/ref=sr_1_16?keywords=Packard+PMJ708+Motor+Start+Capacitor+708-850+MFD+110-125+VAC&amp;qid=1694734808&amp;sr=8-16", "https://www.amazon.com/TEMCo-Capacitor-SC0044-708-850-110-125-Electric/dp/B00EQHE9TQ/ref=sr_1_16?keywords=Packard+PMJ708+Motor+Start+Capacitor+708-850+MFD+110-125+VAC&amp;qid=1694734808&amp;sr=8-16")</f>
        <v/>
      </c>
      <c r="F1366" t="inlineStr">
        <is>
          <t>B00EQHE9TQ</t>
        </is>
      </c>
      <c r="G1366">
        <f>_xlfn.IMAGE("https://edmondsonsupply.com/cdn/shop/products/PMJ708-2.jpg?v=1633030334")</f>
        <v/>
      </c>
      <c r="H1366">
        <f>_xlfn.IMAGE("https://m.media-amazon.com/images/I/61TNzfABxwL._AC_UY218_.jpg")</f>
        <v/>
      </c>
      <c r="K1366" t="inlineStr">
        <is>
          <t>6.76</t>
        </is>
      </c>
      <c r="L1366" t="n">
        <v>15.45</v>
      </c>
      <c r="M1366" s="1" t="inlineStr">
        <is>
          <t>128.55%</t>
        </is>
      </c>
      <c r="N1366" s="7" t="n">
        <v>40.44</v>
      </c>
      <c r="O1366" t="n">
        <v>4.1</v>
      </c>
      <c r="P1366" t="n">
        <v>34</v>
      </c>
      <c r="R1366" t="inlineStr">
        <is>
          <t>InStock</t>
        </is>
      </c>
      <c r="S1366" t="inlineStr">
        <is>
          <t>undefined</t>
        </is>
      </c>
      <c r="T1366" t="inlineStr">
        <is>
          <t>5271970021544</t>
        </is>
      </c>
    </row>
    <row r="1367" ht="87" customHeight="1">
      <c r="A1367" s="2">
        <f>HYPERLINK("https://edmondsonsupply.com/collections/hvac/products/icm-controls-icm102f-delay-on-make-timer-with-03-10-minute-adjustable-time-delay-universal-18-240-vac-6-wire-leads", "https://edmondsonsupply.com/collections/hvac/products/icm-controls-icm102f-delay-on-make-timer-with-03-10-minute-adjustable-time-delay-universal-18-240-vac-6-wire-leads")</f>
        <v/>
      </c>
      <c r="B1367" s="2">
        <f>HYPERLINK("https://edmondsonsupply.com/products/icm-controls-icm102f-delay-on-make-timer-with-03-10-minute-adjustable-time-delay-universal-18-240-vac-6-wire-leads", "https://edmondsonsupply.com/products/icm-controls-icm102f-delay-on-make-timer-with-03-10-minute-adjustable-time-delay-universal-18-240-vac-6-wire-leads")</f>
        <v/>
      </c>
      <c r="C1367" t="inlineStr">
        <is>
          <t>ICM Controls ICM102F Delay on Make Timer with .03-10 Minute Adjustable Time Delay, Universal 18-240 VAC, 6" Wire Leads</t>
        </is>
      </c>
      <c r="D1367" t="inlineStr">
        <is>
          <t>ICM Controls ICM105 Delay-on-Make Timer with 0.03-10 Minute Adjustable Delay, Universal 18-240 VAC</t>
        </is>
      </c>
      <c r="E1367" s="2">
        <f>HYPERLINK("https://www.amazon.com/ICM-Controls-ICM105-Adjustable-Universal/dp/B00441XZXK/ref=sr_1_3?keywords=ICM+Controls+ICM102F+Delay+on+Make+Timer+with+.03-10+Minute+Adjustable+Time+Delay%2C+Universal+18-240+VAC%2C+6%22+Wire+Leads&amp;qid=1694734588&amp;sr=8-3", "https://www.amazon.com/ICM-Controls-ICM105-Adjustable-Universal/dp/B00441XZXK/ref=sr_1_3?keywords=ICM+Controls+ICM102F+Delay+on+Make+Timer+with+.03-10+Minute+Adjustable+Time+Delay%2C+Universal+18-240+VAC%2C+6%22+Wire+Leads&amp;qid=1694734588&amp;sr=8-3")</f>
        <v/>
      </c>
      <c r="F1367" t="inlineStr">
        <is>
          <t>B00441XZXK</t>
        </is>
      </c>
      <c r="G1367">
        <f>_xlfn.IMAGE("https://edmondsonsupply.com/cdn/shop/products/photo_3545_medium_d329bffe-3d22-4bac-b354-b39ca1a8ae18.png?v=1633030882")</f>
        <v/>
      </c>
      <c r="H1367">
        <f>_xlfn.IMAGE("https://m.media-amazon.com/images/I/61Fd+ZYvG1L._AC_UL320_.jpg")</f>
        <v/>
      </c>
      <c r="K1367" t="inlineStr">
        <is>
          <t>14.99</t>
        </is>
      </c>
      <c r="L1367" t="n">
        <v>34.25</v>
      </c>
      <c r="M1367" s="1" t="inlineStr">
        <is>
          <t>128.49%</t>
        </is>
      </c>
      <c r="N1367" s="7" t="n">
        <v>40.21</v>
      </c>
      <c r="O1367" t="n">
        <v>4.3</v>
      </c>
      <c r="P1367" t="n">
        <v>4</v>
      </c>
      <c r="R1367" t="inlineStr">
        <is>
          <t>InStock</t>
        </is>
      </c>
      <c r="S1367" t="inlineStr">
        <is>
          <t>19.53</t>
        </is>
      </c>
      <c r="T1367" t="inlineStr">
        <is>
          <t>6183498743981</t>
        </is>
      </c>
    </row>
    <row r="1368" ht="87" customHeight="1">
      <c r="A1368" s="2">
        <f>HYPERLINK("https://edmondsonsupply.com/collections/hvac/products/tajima-lcb-65-20-rock-hard-blade%E2%84%A2-h-utility-knife-blades-7-point-20-blade-hard-pack", "https://edmondsonsupply.com/collections/hvac/products/tajima-lcb-65-20-rock-hard-blade%E2%84%A2-h-utility-knife-blades-7-point-20-blade-hard-pack")</f>
        <v/>
      </c>
      <c r="B1368" s="2">
        <f>HYPERLINK("https://edmondsonsupply.com/products/tajima-lcb-65-20-rock-hard-blade%e2%84%a2-h-utility-knife-blades-7-point-20-blade-hard-pack", "https://edmondsonsupply.com/products/tajima-lcb-65-20-rock-hard-blade%e2%84%a2-h-utility-knife-blades-7-point-20-blade-hard-pack")</f>
        <v/>
      </c>
      <c r="C1368" t="inlineStr">
        <is>
          <t>Tajima LCB-65-20 Rock Hard Blade™ H Utility Knife Blades, 7-Point, 20-Blade Hard Pack</t>
        </is>
      </c>
      <c r="D1368" t="inlineStr">
        <is>
          <t>2 Pack Tajima LCB-65-20 1" x 7-point Replacement Snap-Blades for Aluminist &amp; Rock Hard Knives 20-blade hard pack</t>
        </is>
      </c>
      <c r="E1368" s="2">
        <f>HYPERLINK("https://www.amazon.com/Tajima-LCB-65-20-Replacement-Snap-Blades-Aluminist/dp/B0757V77QS/ref=sr_1_1?keywords=Tajima+LCB-65-20+Rock+Hard+Blade%E2%84%A2+H+Utility+Knife+Blades%2C+7-Point%2C+20-Blade+Hard+Pack&amp;qid=1694734780&amp;sr=8-1", "https://www.amazon.com/Tajima-LCB-65-20-Replacement-Snap-Blades-Aluminist/dp/B0757V77QS/ref=sr_1_1?keywords=Tajima+LCB-65-20+Rock+Hard+Blade%E2%84%A2+H+Utility+Knife+Blades%2C+7-Point%2C+20-Blade+Hard+Pack&amp;qid=1694734780&amp;sr=8-1")</f>
        <v/>
      </c>
      <c r="F1368" t="inlineStr">
        <is>
          <t>B0757V77QS</t>
        </is>
      </c>
      <c r="G1368">
        <f>_xlfn.IMAGE("https://edmondsonsupply.com/cdn/shop/products/LCB-65-20.jpg?v=1633031161")</f>
        <v/>
      </c>
      <c r="H1368">
        <f>_xlfn.IMAGE("https://m.media-amazon.com/images/I/41iB2Ns9RDL._AC_UL320_.jpg")</f>
        <v/>
      </c>
      <c r="K1368" t="inlineStr">
        <is>
          <t>25.29</t>
        </is>
      </c>
      <c r="L1368" t="n">
        <v>57.56</v>
      </c>
      <c r="M1368" s="1" t="inlineStr">
        <is>
          <t>127.60%</t>
        </is>
      </c>
      <c r="N1368" s="7" t="n">
        <v>40.1</v>
      </c>
      <c r="O1368" t="n">
        <v>4.2</v>
      </c>
      <c r="P1368" t="n">
        <v>14</v>
      </c>
      <c r="R1368" t="inlineStr">
        <is>
          <t>InStock</t>
        </is>
      </c>
      <c r="S1368" t="inlineStr">
        <is>
          <t>25.29</t>
        </is>
      </c>
      <c r="T1368" t="inlineStr">
        <is>
          <t>6897388028077</t>
        </is>
      </c>
    </row>
    <row r="1369" hidden="1" ht="15.75" customHeight="1">
      <c r="A1369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369" s="2">
        <f>HYPERLINK("https://edmondsonsupply.com/products/packard-ttmj108-motor-start-capacitor-108-130-mfd-220-250-vac", "https://edmondsonsupply.com/products/packard-ttmj108-motor-start-capacitor-108-130-mfd-220-250-vac")</f>
        <v/>
      </c>
      <c r="C1369" t="inlineStr">
        <is>
          <t>Packard TTMJ108 Motor Start Capacitor 108-130 MFD 220-250 VAC</t>
        </is>
      </c>
      <c r="D1369" t="inlineStr">
        <is>
          <t>Canamax Premium 88-108 uf mfd 220-250VAC Volts Round Motor Start Capacitor 50/60 Hz AC Electric - Exact Fit for OEM Single Phase Motor Capacitors Condenser Straight Cool or Heat Pump Air Conditioner</t>
        </is>
      </c>
      <c r="E1369" s="2">
        <f>HYPERLINK("https://www.amazon.com/Canamax-Premium-220-250VAC-Capacitor-Electric/dp/B0B253ZNKF/ref=sr_1_10?keywords=Packard+TTMJ108+Motor+Start+Capacitor+108-130+MFD+220-250+VAC&amp;qid=1694734864&amp;sr=8-10", "https://www.amazon.com/Canamax-Premium-220-250VAC-Capacitor-Electric/dp/B0B253ZNKF/ref=sr_1_10?keywords=Packard+TTMJ108+Motor+Start+Capacitor+108-130+MFD+220-250+VAC&amp;qid=1694734864&amp;sr=8-10")</f>
        <v/>
      </c>
      <c r="F1369" t="inlineStr">
        <is>
          <t>B0B253ZNKF</t>
        </is>
      </c>
      <c r="G1369">
        <f>_xludf.IMAGE("https://edmondsonsupply.com/cdn/shop/files/PTMJ108-2_c3537879-2bfc-401f-867d-9ee4aaa5c4bb.jpg?v=1692220228")</f>
        <v/>
      </c>
      <c r="H1369">
        <f>_xludf.IMAGE("https://m.media-amazon.com/images/I/81vDEmTyXNL._AC_UY218_.jpg")</f>
        <v/>
      </c>
      <c r="K1369" t="inlineStr">
        <is>
          <t>4.39</t>
        </is>
      </c>
      <c r="L1369" t="n">
        <v>9.99</v>
      </c>
      <c r="M1369" s="1" t="inlineStr">
        <is>
          <t>127.56%</t>
        </is>
      </c>
      <c r="N1369" s="1" t="n">
        <v>40.03</v>
      </c>
      <c r="O1369" t="n">
        <v>5</v>
      </c>
      <c r="P1369" t="n">
        <v>2</v>
      </c>
      <c r="R1369" t="inlineStr">
        <is>
          <t>InStock</t>
        </is>
      </c>
      <c r="S1369" t="inlineStr">
        <is>
          <t>undefined</t>
        </is>
      </c>
      <c r="T1369" t="inlineStr">
        <is>
          <t>8028091154648</t>
        </is>
      </c>
    </row>
    <row r="1370" ht="87" customHeight="1">
      <c r="A1370" s="2">
        <f>HYPERLINK("https://edmondsonsupply.com/collections/hvac/products/klein-tools-85073ins-screwdriver-set-1000v-insulated-3-piece", "https://edmondsonsupply.com/collections/hvac/products/klein-tools-85073ins-screwdriver-set-1000v-insulated-3-piece")</f>
        <v/>
      </c>
      <c r="B1370" s="2">
        <f>HYPERLINK("https://edmondsonsupply.com/products/klein-tools-85073ins-screwdriver-set-1000v-insulated-3-piece", "https://edmondsonsupply.com/products/klein-tools-85073ins-screwdriver-set-1000v-insulated-3-piece")</f>
        <v/>
      </c>
      <c r="C1370" t="inlineStr">
        <is>
          <t>Klein Tools 85073INS Screwdriver Set, 1000V Insulated, 3-Piece</t>
        </is>
      </c>
      <c r="D1370" t="inlineStr">
        <is>
          <t>Klein Tools 33736INS Insulated Screwdriver Set, 1000V Slim-Tip Driver with Phillips, Cabinet and Square Bits and a Magnetizer, 6-Piece</t>
        </is>
      </c>
      <c r="E1370" s="2">
        <f>HYPERLINK("https://www.amazon.com/Klein-Tools-33736INS-Screwdriver-Magnetizer/dp/B09GPZPMTD/ref=sr_1_3?keywords=Klein+Tools+85073INS+Screwdriver+Set%2C+1000V+Insulated%2C+3-Piece&amp;qid=1694734656&amp;sr=8-3", "https://www.amazon.com/Klein-Tools-33736INS-Screwdriver-Magnetizer/dp/B09GPZPMTD/ref=sr_1_3?keywords=Klein+Tools+85073INS+Screwdriver+Set%2C+1000V+Insulated%2C+3-Piece&amp;qid=1694734656&amp;sr=8-3")</f>
        <v/>
      </c>
      <c r="F1370" t="inlineStr">
        <is>
          <t>B09GPZPMTD</t>
        </is>
      </c>
      <c r="G1370">
        <f>_xlfn.IMAGE("https://edmondsonsupply.com/cdn/shop/products/85073ins.jpg?v=1664890503")</f>
        <v/>
      </c>
      <c r="H1370">
        <f>_xlfn.IMAGE("https://m.media-amazon.com/images/I/51W2DUA3c7L._AC_UL320_.jpg")</f>
        <v/>
      </c>
      <c r="K1370" t="inlineStr">
        <is>
          <t>21.97</t>
        </is>
      </c>
      <c r="L1370" t="n">
        <v>49.99</v>
      </c>
      <c r="M1370" s="1" t="inlineStr">
        <is>
          <t>127.54%</t>
        </is>
      </c>
      <c r="N1370" s="7" t="n">
        <v>39.99</v>
      </c>
      <c r="O1370" t="n">
        <v>4.8</v>
      </c>
      <c r="P1370" t="n">
        <v>414</v>
      </c>
      <c r="R1370" t="inlineStr">
        <is>
          <t>InStock</t>
        </is>
      </c>
      <c r="S1370" t="inlineStr">
        <is>
          <t>32.98</t>
        </is>
      </c>
      <c r="T1370" t="inlineStr">
        <is>
          <t>7839219613912</t>
        </is>
      </c>
    </row>
    <row r="1371" hidden="1" ht="15.75" customHeight="1">
      <c r="A1371" s="2">
        <f>HYPERLINK("https://edmondsonsupply.com/collections/hvac/products/robertshaw-802-electric-heat-line-voltage-thermostat-dpst", "https://edmondsonsupply.com/collections/hvac/products/robertshaw-802-electric-heat-line-voltage-thermostat-dpst")</f>
        <v/>
      </c>
      <c r="B1371" s="2">
        <f>HYPERLINK("https://edmondsonsupply.com/products/robertshaw-802-electric-heat-line-voltage-thermostat-dpst", "https://edmondsonsupply.com/products/robertshaw-802-electric-heat-line-voltage-thermostat-dpst")</f>
        <v/>
      </c>
      <c r="C1371" t="inlineStr">
        <is>
          <t>Robertshaw 802 Electric Heat Line Voltage Thermostat, DPST</t>
        </is>
      </c>
      <c r="D1371" t="inlineStr">
        <is>
          <t>Robertshaw DPST Line Voltage Electric Heat Thermostat 802</t>
        </is>
      </c>
      <c r="E1371" s="2">
        <f>HYPERLINK("https://www.amazon.com/Robertshaw-802-Line-Voltage-Thermostat/dp/B08WYMZ861/ref=sr_1_1?keywords=Robertshaw+802+Electric+Heat+Line+Voltage+Thermostat%2C+DPST&amp;qid=1694734710&amp;sr=8-1", "https://www.amazon.com/Robertshaw-802-Line-Voltage-Thermostat/dp/B08WYMZ861/ref=sr_1_1?keywords=Robertshaw+802+Electric+Heat+Line+Voltage+Thermostat%2C+DPST&amp;qid=1694734710&amp;sr=8-1")</f>
        <v/>
      </c>
      <c r="F1371" t="inlineStr">
        <is>
          <t>B08WYMZ861</t>
        </is>
      </c>
      <c r="G1371">
        <f>_xludf.IMAGE("https://edmondsonsupply.com/cdn/shop/products/802.jpg?v=1633030794")</f>
        <v/>
      </c>
      <c r="H1371">
        <f>_xludf.IMAGE("https://m.media-amazon.com/images/I/61AsMCqUbQL._AC_UL320_.jpg")</f>
        <v/>
      </c>
      <c r="K1371" t="inlineStr">
        <is>
          <t>15.37</t>
        </is>
      </c>
      <c r="L1371" t="n">
        <v>34.95</v>
      </c>
      <c r="M1371" s="1" t="inlineStr">
        <is>
          <t>127.39%</t>
        </is>
      </c>
      <c r="N1371" s="1" t="n">
        <v>39.95</v>
      </c>
      <c r="O1371" t="n">
        <v>3.7</v>
      </c>
      <c r="P1371" t="n">
        <v>11</v>
      </c>
      <c r="R1371" t="inlineStr">
        <is>
          <t>InStock</t>
        </is>
      </c>
      <c r="S1371" t="inlineStr">
        <is>
          <t>undefined</t>
        </is>
      </c>
      <c r="T1371" t="inlineStr">
        <is>
          <t>5993956737192</t>
        </is>
      </c>
    </row>
    <row r="1372" ht="87" customHeight="1">
      <c r="A1372" s="2">
        <f>HYPERLINK("https://edmondsonsupply.com/collections/hvac/products/white-rodgers-90-340-switching-fan-relay-dpdt-24v", "https://edmondsonsupply.com/collections/hvac/products/white-rodgers-90-340-switching-fan-relay-dpdt-24v")</f>
        <v/>
      </c>
      <c r="B1372" s="2">
        <f>HYPERLINK("https://edmondsonsupply.com/products/white-rodgers-90-340-switching-fan-relay-dpdt-24v", "https://edmondsonsupply.com/products/white-rodgers-90-340-switching-fan-relay-dpdt-24v")</f>
        <v/>
      </c>
      <c r="C1372" t="inlineStr">
        <is>
          <t>White Rodgers 90-340 Switching Fan Relay, DPDT, 24V</t>
        </is>
      </c>
      <c r="D1372" t="inlineStr">
        <is>
          <t>JARD Replacement Blower Fan Relay - Replaces White Rodgers 90-340 Relay, DPDT 24V Coil</t>
        </is>
      </c>
      <c r="E1372" s="2">
        <f>HYPERLINK("https://www.amazon.com/JARD-Replacement-Blower-Fan-Relay/dp/B07NF4JCKN/ref=sr_1_2?keywords=White+Rodgers+90-340+Switching+Fan+Relay%2C+DPDT%2C+24V&amp;qid=1694734663&amp;sr=8-2", "https://www.amazon.com/JARD-Replacement-Blower-Fan-Relay/dp/B07NF4JCKN/ref=sr_1_2?keywords=White+Rodgers+90-340+Switching+Fan+Relay%2C+DPDT%2C+24V&amp;qid=1694734663&amp;sr=8-2")</f>
        <v/>
      </c>
      <c r="F1372" t="inlineStr">
        <is>
          <t>B07NF4JCKN</t>
        </is>
      </c>
      <c r="G1372">
        <f>_xlfn.IMAGE("https://edmondsonsupply.com/cdn/shop/products/90-340-r01-c22.jpg?v=1633030880")</f>
        <v/>
      </c>
      <c r="H1372">
        <f>_xlfn.IMAGE("https://m.media-amazon.com/images/I/513Ebmh7nWL._AC_UY218_.jpg")</f>
        <v/>
      </c>
      <c r="K1372" t="inlineStr">
        <is>
          <t>8.78</t>
        </is>
      </c>
      <c r="L1372" t="n">
        <v>19.95</v>
      </c>
      <c r="M1372" s="1" t="inlineStr">
        <is>
          <t>127.22%</t>
        </is>
      </c>
      <c r="N1372" s="7" t="n">
        <v>39.89</v>
      </c>
      <c r="O1372" t="n">
        <v>5</v>
      </c>
      <c r="P1372" t="n">
        <v>2</v>
      </c>
      <c r="R1372" t="inlineStr">
        <is>
          <t>InStock</t>
        </is>
      </c>
      <c r="S1372" t="inlineStr">
        <is>
          <t>21.63</t>
        </is>
      </c>
      <c r="T1372" t="inlineStr">
        <is>
          <t>6155057627309</t>
        </is>
      </c>
    </row>
    <row r="1373" ht="87" customHeight="1">
      <c r="A1373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373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373" t="inlineStr">
        <is>
          <t>Yellow Jacket 42001 Series 41 Manifold Only, 3-1/8" Gauges - R-22 / 404A / 410A</t>
        </is>
      </c>
      <c r="D1373" t="inlineStr">
        <is>
          <t>Yellow Jacket 49867 Titan 2-Valve Test and Charging Manifold Degrees F, psi Scale, R-22/404A/410A Refrigerant, Red/Blue Gauges</t>
        </is>
      </c>
      <c r="E1373" s="2">
        <f>HYPERLINK("https://www.amazon.com/Yellow-Jacket-49867-Charging-Refrigerant/dp/B0016H0EQG/ref=sr_1_15?keywords=Yellow+Jacket+42001+Series+41+Manifold+Only%2C+3-1%2F8%22+Gauges+-+R-22+%2F+404A+%2F+410A&amp;qid=1694734681&amp;sr=8-15", "https://www.amazon.com/Yellow-Jacket-49867-Charging-Refrigerant/dp/B0016H0EQG/ref=sr_1_15?keywords=Yellow+Jacket+42001+Series+41+Manifold+Only%2C+3-1%2F8%22+Gauges+-+R-22+%2F+404A+%2F+410A&amp;qid=1694734681&amp;sr=8-15")</f>
        <v/>
      </c>
      <c r="F1373" t="inlineStr">
        <is>
          <t>B0016H0EQG</t>
        </is>
      </c>
      <c r="G1373">
        <f>_xlfn.IMAGE("https://edmondsonsupply.com/cdn/shop/products/series-41-manifolds-with-318-gauges.jpg?v=1633030025")</f>
        <v/>
      </c>
      <c r="H1373">
        <f>_xlfn.IMAGE("https://m.media-amazon.com/images/I/81gSF5m--xL._AC_UL320_.jpg")</f>
        <v/>
      </c>
      <c r="K1373" t="inlineStr">
        <is>
          <t>97.77</t>
        </is>
      </c>
      <c r="L1373" t="n">
        <v>222.01</v>
      </c>
      <c r="M1373" s="1" t="inlineStr">
        <is>
          <t>127.07%</t>
        </is>
      </c>
      <c r="N1373" s="7" t="n">
        <v>39.82</v>
      </c>
      <c r="O1373" t="n">
        <v>4.7</v>
      </c>
      <c r="P1373" t="n">
        <v>53</v>
      </c>
      <c r="R1373" t="inlineStr">
        <is>
          <t>InStock</t>
        </is>
      </c>
      <c r="S1373" t="inlineStr">
        <is>
          <t>undefined</t>
        </is>
      </c>
      <c r="T1373" t="inlineStr">
        <is>
          <t>2129997922404</t>
        </is>
      </c>
    </row>
    <row r="1374" ht="87" customHeight="1">
      <c r="A1374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1374" s="2">
        <f>HYPERLINK("https://edmondsonsupply.com/products/midwest-mwt-ss6716l-special-hardness-aviation-snip-left-cutting", "https://edmondsonsupply.com/products/midwest-mwt-ss6716l-special-hardness-aviation-snip-left-cutting")</f>
        <v/>
      </c>
      <c r="C1374" t="inlineStr">
        <is>
          <t>Midwest MWT-SS6716L Special Hardness Aviation Snip - Left-Cutting</t>
        </is>
      </c>
      <c r="D1374" t="inlineStr">
        <is>
          <t>MIDWEST Blackout Series Aviation Snip - Left Cut Offset Tin Cutting Shears with Forged Blade &amp; KUSH'N-POWER Comfort Grips - MWT-6510LO</t>
        </is>
      </c>
      <c r="E1374" s="2">
        <f>HYPERLINK("https://www.amazon.com/MIDWEST-Blackout-Aviation-Snip-KUSHN-POWER/dp/B00TJQL91U/ref=sr_1_6?keywords=Midwest+MWT-SS6716L+Special+Hardness+Aviation+Snip+-+Left-Cutting&amp;qid=1694734623&amp;sr=8-6", "https://www.amazon.com/MIDWEST-Blackout-Aviation-Snip-KUSHN-POWER/dp/B00TJQL91U/ref=sr_1_6?keywords=Midwest+MWT-SS6716L+Special+Hardness+Aviation+Snip+-+Left-Cutting&amp;qid=1694734623&amp;sr=8-6")</f>
        <v/>
      </c>
      <c r="F1374" t="inlineStr">
        <is>
          <t>B00TJQL91U</t>
        </is>
      </c>
      <c r="G1374">
        <f>_xlfn.IMAGE("https://edmondsonsupply.com/cdn/shop/products/MWT-SS6716L1.jpg?v=1587151241")</f>
        <v/>
      </c>
      <c r="H1374">
        <f>_xlfn.IMAGE("https://m.media-amazon.com/images/I/51OW3TahYsL._AC_UL320_.jpg")</f>
        <v/>
      </c>
      <c r="K1374" t="inlineStr">
        <is>
          <t>25.49</t>
        </is>
      </c>
      <c r="L1374" t="n">
        <v>57.88</v>
      </c>
      <c r="M1374" s="1" t="inlineStr">
        <is>
          <t>127.07%</t>
        </is>
      </c>
      <c r="N1374" s="7" t="n">
        <v>39.77</v>
      </c>
      <c r="O1374" t="n">
        <v>4.7</v>
      </c>
      <c r="P1374" t="n">
        <v>1397</v>
      </c>
      <c r="R1374" t="inlineStr">
        <is>
          <t>InStock</t>
        </is>
      </c>
      <c r="S1374" t="inlineStr">
        <is>
          <t>36.2</t>
        </is>
      </c>
      <c r="T1374" t="inlineStr">
        <is>
          <t>4508646277220</t>
        </is>
      </c>
    </row>
    <row r="1375" hidden="1" ht="15.75" customHeight="1">
      <c r="A1375" s="2">
        <f>HYPERLINK("https://edmondsonsupply.com/collections/hvac/products/fieldpiece-jl3pr", "https://edmondsonsupply.com/collections/hvac/products/fieldpiece-jl3pr")</f>
        <v/>
      </c>
      <c r="B1375" s="2">
        <f>HYPERLINK("https://edmondsonsupply.com/products/fieldpiece-jl3pr", "https://edmondsonsupply.com/products/fieldpiece-jl3pr")</f>
        <v/>
      </c>
      <c r="C1375" t="inlineStr">
        <is>
          <t>Fieldpiece JL3PR Job Link® System Pressure Probe</t>
        </is>
      </c>
      <c r="D1375" t="inlineStr">
        <is>
          <t>Fieldpiece JL3PR, Job Link Probe-Pressure (Pack of 2 pcs)</t>
        </is>
      </c>
      <c r="E1375" s="2">
        <f>HYPERLINK("https://www.amazon.com/Fieldpiece-JL3PR-Link-Probe-Pressure-Pack/dp/B0856V74HP/ref=sr_1_2?keywords=Fieldpiece+JL3PR+Job+Link%C2%AE+System+Pressure+Probe&amp;qid=1694734677&amp;sr=8-2", "https://www.amazon.com/Fieldpiece-JL3PR-Link-Probe-Pressure-Pack/dp/B0856V74HP/ref=sr_1_2?keywords=Fieldpiece+JL3PR+Job+Link%C2%AE+System+Pressure+Probe&amp;qid=1694734677&amp;sr=8-2")</f>
        <v/>
      </c>
      <c r="F1375" t="inlineStr">
        <is>
          <t>B0856V74HP</t>
        </is>
      </c>
      <c r="G1375">
        <f>_xludf.IMAGE("https://edmondsonsupply.com/cdn/shop/products/JL3PR-SCR-Product.jpg?v=1633030078")</f>
        <v/>
      </c>
      <c r="H1375">
        <f>_xludf.IMAGE("https://m.media-amazon.com/images/I/31T5iLwbN+S._AC_UL320_.jpg")</f>
        <v/>
      </c>
      <c r="K1375" t="inlineStr">
        <is>
          <t>121.55</t>
        </is>
      </c>
      <c r="L1375" t="n">
        <v>275.7</v>
      </c>
      <c r="M1375" s="1" t="inlineStr">
        <is>
          <t>126.82%</t>
        </is>
      </c>
      <c r="N1375" s="1" t="n">
        <v>39.71</v>
      </c>
      <c r="O1375" t="n">
        <v>3.8</v>
      </c>
      <c r="P1375" t="n">
        <v>3</v>
      </c>
      <c r="R1375" t="inlineStr">
        <is>
          <t>InStock</t>
        </is>
      </c>
      <c r="S1375" t="inlineStr">
        <is>
          <t>143.0</t>
        </is>
      </c>
      <c r="T1375" t="inlineStr">
        <is>
          <t>3548630712420</t>
        </is>
      </c>
    </row>
    <row r="1376" ht="87" customHeight="1">
      <c r="A1376" s="2">
        <f>HYPERLINK("https://edmondsonsupply.com/collections/hvac/products/klein-tools-et10-magnetic-digital-pocket-thermometer", "https://edmondsonsupply.com/collections/hvac/products/klein-tools-et10-magnetic-digital-pocket-thermometer")</f>
        <v/>
      </c>
      <c r="B1376" s="2">
        <f>HYPERLINK("https://edmondsonsupply.com/products/klein-tools-et10-magnetic-digital-pocket-thermometer", "https://edmondsonsupply.com/products/klein-tools-et10-magnetic-digital-pocket-thermometer")</f>
        <v/>
      </c>
      <c r="C1376" t="inlineStr">
        <is>
          <t>Klein Tools ET10 Magnetic Digital Pocket Thermometer</t>
        </is>
      </c>
      <c r="D1376" t="inlineStr">
        <is>
          <t>Klein Tools IR07 Dual Infrared (IR) and Probe Pocket Size LCD Digital Thermometer</t>
        </is>
      </c>
      <c r="E1376" s="2">
        <f>HYPERLINK("https://www.amazon.com/Klein-Tools-IR07-Infrared-Thermometer/dp/B07P9WM69C/ref=sr_1_5?keywords=Klein+Tools+ET10+Magnetic+Digital+Pocket+Thermometer&amp;qid=1694734726&amp;sr=8-5", "https://www.amazon.com/Klein-Tools-IR07-Infrared-Thermometer/dp/B07P9WM69C/ref=sr_1_5?keywords=Klein+Tools+ET10+Magnetic+Digital+Pocket+Thermometer&amp;qid=1694734726&amp;sr=8-5")</f>
        <v/>
      </c>
      <c r="F1376" t="inlineStr">
        <is>
          <t>B07P9WM69C</t>
        </is>
      </c>
      <c r="G1376">
        <f>_xlfn.IMAGE("https://edmondsonsupply.com/cdn/shop/products/et10.jpg?v=1587142916")</f>
        <v/>
      </c>
      <c r="H1376">
        <f>_xlfn.IMAGE("https://m.media-amazon.com/images/I/51JBUtWpWuS._AC_UY218_.jpg")</f>
        <v/>
      </c>
      <c r="K1376" t="inlineStr">
        <is>
          <t>22.99</t>
        </is>
      </c>
      <c r="L1376" t="n">
        <v>51.97</v>
      </c>
      <c r="M1376" s="1" t="inlineStr">
        <is>
          <t>126.05%</t>
        </is>
      </c>
      <c r="N1376" s="7" t="n">
        <v>39.59</v>
      </c>
      <c r="O1376" t="n">
        <v>4.7</v>
      </c>
      <c r="P1376" t="n">
        <v>777</v>
      </c>
      <c r="R1376" t="inlineStr">
        <is>
          <t>InStock</t>
        </is>
      </c>
      <c r="S1376" t="inlineStr">
        <is>
          <t>34.08</t>
        </is>
      </c>
      <c r="T1376" t="inlineStr">
        <is>
          <t>3690025943140</t>
        </is>
      </c>
    </row>
    <row r="1377" ht="87" customHeight="1">
      <c r="A1377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377" s="2">
        <f>HYPERLINK("https://edmondsonsupply.com/products/nu-calgon-44171-75-evap-foam-no-rinse-aerosol-coil-cleaner", "https://edmondsonsupply.com/products/nu-calgon-44171-75-evap-foam-no-rinse-aerosol-coil-cleaner")</f>
        <v/>
      </c>
      <c r="C1377" t="inlineStr">
        <is>
          <t>Nu-Calgon 4171-75 Evap Foam No Rinse, Aerosol Coil Cleaner (18 oz. can)</t>
        </is>
      </c>
      <c r="D1377" t="inlineStr">
        <is>
          <t>NU-Calgon 4171-75 Evap Foam No Rinse Evaporator Coil Cleaner, 18 oz. &amp; Frost King ACF19 Foam Coil Cleaner, 19Oz, 19 Ounce</t>
        </is>
      </c>
      <c r="E1377" s="2">
        <f>HYPERLINK("https://www.amazon.com/Nu-Calgon-417175-Frost-ACF19-Cleaner/dp/B0B14R55MY/ref=sr_1_14?keywords=Nu-Calgon+4171-75+Evap+Foam+No+Rinse%2C+Aerosol+Coil+Cleaner+%2818+oz.+can%29&amp;qid=1694734591&amp;sr=8-14", "https://www.amazon.com/Nu-Calgon-417175-Frost-ACF19-Cleaner/dp/B0B14R55MY/ref=sr_1_14?keywords=Nu-Calgon+4171-75+Evap+Foam+No+Rinse%2C+Aerosol+Coil+Cleaner+%2818+oz.+can%29&amp;qid=1694734591&amp;sr=8-14")</f>
        <v/>
      </c>
      <c r="F1377" t="inlineStr">
        <is>
          <t>B0B14R55MY</t>
        </is>
      </c>
      <c r="G1377">
        <f>_xlfn.IMAGE("https://edmondsonsupply.com/cdn/shop/products/4171-75.jpg?v=1659099515")</f>
        <v/>
      </c>
      <c r="H1377">
        <f>_xlfn.IMAGE("https://m.media-amazon.com/images/I/513m8DCz7DL._AC_UL320_.jpg")</f>
        <v/>
      </c>
      <c r="K1377" t="inlineStr">
        <is>
          <t>11.75</t>
        </is>
      </c>
      <c r="L1377" t="n">
        <v>26.55</v>
      </c>
      <c r="M1377" s="1" t="inlineStr">
        <is>
          <t>125.96%</t>
        </is>
      </c>
      <c r="N1377" s="7" t="n">
        <v>39.53</v>
      </c>
      <c r="O1377" t="n">
        <v>4.8</v>
      </c>
      <c r="P1377" t="n">
        <v>45</v>
      </c>
      <c r="R1377" t="inlineStr">
        <is>
          <t>InStock</t>
        </is>
      </c>
      <c r="S1377" t="inlineStr">
        <is>
          <t>17.7</t>
        </is>
      </c>
      <c r="T1377" t="inlineStr">
        <is>
          <t>7766316646616</t>
        </is>
      </c>
    </row>
    <row r="1378" ht="87" customHeight="1">
      <c r="A1378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378" s="2">
        <f>HYPERLINK("https://edmondsonsupply.com/products/klein-tools-11046-wire-stripper-cutter-16-26-awg-stranded", "https://edmondsonsupply.com/products/klein-tools-11046-wire-stripper-cutter-16-26-awg-stranded")</f>
        <v/>
      </c>
      <c r="C1378" t="inlineStr">
        <is>
          <t>Klein Tools 11046 Wire Stripper/Cutter 16-26 AWG Stranded</t>
        </is>
      </c>
      <c r="D1378" t="inlineStr">
        <is>
          <t>Klein Tools 11046 Wire Stripper/Cutter 16-26 AWG Stranded &amp; 11055 Wire Cutter and Wire Stripper, Stranded Wire Cutter, Solid Wire Cutter, Cuts Copper Wire</t>
        </is>
      </c>
      <c r="E1378" s="2">
        <f>HYPERLINK("https://www.amazon.com/Klein-Tools-Stripper-Cutter-Stranded/dp/B0BNL42TPG/ref=sr_1_5?keywords=Klein+Tools+11046+Wire+Stripper%2FCutter+16-26+AWG+Stranded&amp;qid=1694734810&amp;sr=8-5", "https://www.amazon.com/Klein-Tools-Stripper-Cutter-Stranded/dp/B0BNL42TPG/ref=sr_1_5?keywords=Klein+Tools+11046+Wire+Stripper%2FCutter+16-26+AWG+Stranded&amp;qid=1694734810&amp;sr=8-5")</f>
        <v/>
      </c>
      <c r="F1378" t="inlineStr">
        <is>
          <t>B0BNL42TPG</t>
        </is>
      </c>
      <c r="G1378">
        <f>_xlfn.IMAGE("https://edmondsonsupply.com/cdn/shop/products/11046.jpg?v=1587147965")</f>
        <v/>
      </c>
      <c r="H1378">
        <f>_xlfn.IMAGE("https://m.media-amazon.com/images/I/41Mnz0ZqGoL._AC_UL320_.jpg")</f>
        <v/>
      </c>
      <c r="K1378" t="inlineStr">
        <is>
          <t>15.97</t>
        </is>
      </c>
      <c r="L1378" t="n">
        <v>35.96</v>
      </c>
      <c r="M1378" s="1" t="inlineStr">
        <is>
          <t>125.17%</t>
        </is>
      </c>
      <c r="N1378" s="7" t="n">
        <v>39.29</v>
      </c>
      <c r="O1378" t="n">
        <v>4.7</v>
      </c>
      <c r="P1378" t="n">
        <v>4</v>
      </c>
      <c r="R1378" t="inlineStr">
        <is>
          <t>InStock</t>
        </is>
      </c>
      <c r="S1378" t="inlineStr">
        <is>
          <t>23.56</t>
        </is>
      </c>
      <c r="T1378" t="inlineStr">
        <is>
          <t>3688603910244</t>
        </is>
      </c>
    </row>
    <row r="1379" ht="87" customHeight="1">
      <c r="A1379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379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379" t="inlineStr">
        <is>
          <t>Klein Tools 646-1/4 1/4-Inch Nut Driver with 6-Inch Hollow Shaft</t>
        </is>
      </c>
      <c r="D1379" t="inlineStr">
        <is>
          <t>Klein Tools 610M Tool Set, Magnetic Nut Driver Set with Stubby Nut Driver Sizes 1/4 and 5/16-Inch, Full Hollow Shaft, 2-Piece</t>
        </is>
      </c>
      <c r="E1379" s="2">
        <f>HYPERLINK("https://www.amazon.com/Klein-Tools-610M-16-Inch-Magnetic/dp/B00093DZO6/ref=sr_1_24?keywords=Klein+Tools+646-1%2F4+1%2F4-Inch+Nut+Driver+with+6-Inch+Hollow+Shaft&amp;qid=1694734727&amp;sr=8-24", "https://www.amazon.com/Klein-Tools-610M-16-Inch-Magnetic/dp/B00093DZO6/ref=sr_1_24?keywords=Klein+Tools+646-1%2F4+1%2F4-Inch+Nut+Driver+with+6-Inch+Hollow+Shaft&amp;qid=1694734727&amp;sr=8-24")</f>
        <v/>
      </c>
      <c r="F1379" t="inlineStr">
        <is>
          <t>B00093DZO6</t>
        </is>
      </c>
      <c r="G1379">
        <f>_xlfn.IMAGE("https://edmondsonsupply.com/cdn/shop/products/646-1-2_08d87fa9-eac4-4869-8d3b-bb680d4b1d53.jpg?v=1587150676")</f>
        <v/>
      </c>
      <c r="H1379">
        <f>_xlfn.IMAGE("https://m.media-amazon.com/images/I/51lgiheW64L._AC_UL320_.jpg")</f>
        <v/>
      </c>
      <c r="K1379" t="inlineStr">
        <is>
          <t>7.99</t>
        </is>
      </c>
      <c r="L1379" t="n">
        <v>17.99</v>
      </c>
      <c r="M1379" s="1" t="inlineStr">
        <is>
          <t>125.16%</t>
        </is>
      </c>
      <c r="N1379" s="7" t="n">
        <v>39.29</v>
      </c>
      <c r="O1379" t="n">
        <v>4.8</v>
      </c>
      <c r="P1379" t="n">
        <v>559</v>
      </c>
      <c r="R1379" t="inlineStr">
        <is>
          <t>InStock</t>
        </is>
      </c>
      <c r="S1379" t="inlineStr">
        <is>
          <t>12.1</t>
        </is>
      </c>
      <c r="T1379" t="inlineStr">
        <is>
          <t>4439433740388</t>
        </is>
      </c>
    </row>
    <row r="1380" ht="87" customHeight="1">
      <c r="A1380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380" s="2">
        <f>HYPERLINK("https://edmondsonsupply.com/products/klein-tools-646-5-16-5-16-inch-nut-driver-6-inch-hollow-shaft", "https://edmondsonsupply.com/products/klein-tools-646-5-16-5-16-inch-nut-driver-6-inch-hollow-shaft")</f>
        <v/>
      </c>
      <c r="C1380" t="inlineStr">
        <is>
          <t>Klein Tools 646-5/16 5/16-Inch Nut Driver, 6-Inch Hollow Shaft</t>
        </is>
      </c>
      <c r="D1380" t="inlineStr">
        <is>
          <t>Klein Tools 610M Tool Set, Magnetic Nut Driver Set with Stubby Nut Driver Sizes 1/4 and 5/16-Inch, Full Hollow Shaft, 2-Piece</t>
        </is>
      </c>
      <c r="E1380" s="2">
        <f>HYPERLINK("https://www.amazon.com/Klein-Tools-610M-16-Inch-Magnetic/dp/B00093DZO6/ref=sr_1_25?keywords=Klein+Tools+646-5%2F16+5%2F16-Inch+Nut+Driver%2C+6-Inch+Hollow+Shaft&amp;qid=1694734728&amp;sr=8-25", "https://www.amazon.com/Klein-Tools-610M-16-Inch-Magnetic/dp/B00093DZO6/ref=sr_1_25?keywords=Klein+Tools+646-5%2F16+5%2F16-Inch+Nut+Driver%2C+6-Inch+Hollow+Shaft&amp;qid=1694734728&amp;sr=8-25")</f>
        <v/>
      </c>
      <c r="F1380" t="inlineStr">
        <is>
          <t>B00093DZO6</t>
        </is>
      </c>
      <c r="G1380">
        <f>_xlfn.IMAGE("https://edmondsonsupply.com/cdn/shop/products/646-1-2_e1540905-f750-4509-90c5-74ff653e4d83.jpg?v=1587145119")</f>
        <v/>
      </c>
      <c r="H1380">
        <f>_xlfn.IMAGE("https://m.media-amazon.com/images/I/51lgiheW64L._AC_UL320_.jpg")</f>
        <v/>
      </c>
      <c r="K1380" t="inlineStr">
        <is>
          <t>7.99</t>
        </is>
      </c>
      <c r="L1380" t="n">
        <v>17.99</v>
      </c>
      <c r="M1380" s="1" t="inlineStr">
        <is>
          <t>125.16%</t>
        </is>
      </c>
      <c r="N1380" s="7" t="n">
        <v>39.28</v>
      </c>
      <c r="O1380" t="n">
        <v>4.8</v>
      </c>
      <c r="P1380" t="n">
        <v>559</v>
      </c>
      <c r="R1380" t="inlineStr">
        <is>
          <t>InStock</t>
        </is>
      </c>
      <c r="S1380" t="inlineStr">
        <is>
          <t>12.1</t>
        </is>
      </c>
      <c r="T1380" t="inlineStr">
        <is>
          <t>4395303272548</t>
        </is>
      </c>
    </row>
    <row r="1381" ht="87" customHeight="1">
      <c r="A1381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381" s="2">
        <f>HYPERLINK("https://edmondsonsupply.com/products/klein-tools-32314-14-in-1-precision-screwdriver-nut-driver", "https://edmondsonsupply.com/products/klein-tools-32314-14-in-1-precision-screwdriver-nut-driver")</f>
        <v/>
      </c>
      <c r="C1381" t="inlineStr">
        <is>
          <t>Klein Tools 32314 14-in-1 Precision Screwdriver/ Nut Driver</t>
        </is>
      </c>
      <c r="D1381" t="inlineStr">
        <is>
          <t>Klein Tools 32500MAG Magnetic Multi-Bit Screwdriver/Nut Driver &amp; 32314 Electronic Screwdriver, 14-in-1 with 8 Precision Tips, Slotted, Phillips, and Tamperproof TORX Bits, 6 Precision Nut Drivers</t>
        </is>
      </c>
      <c r="E1381" s="2">
        <f>HYPERLINK("https://www.amazon.com/Klein-Tools-Screwdriver-Electronic-Tamperproof/dp/B0BC81C7SH/ref=sr_1_17?keywords=Klein+Tools+32314+14-in-1+Precision+Screwdriver%2F+Nut+Driver&amp;qid=1694734697&amp;sr=8-17", "https://www.amazon.com/Klein-Tools-Screwdriver-Electronic-Tamperproof/dp/B0BC81C7SH/ref=sr_1_17?keywords=Klein+Tools+32314+14-in-1+Precision+Screwdriver%2F+Nut+Driver&amp;qid=1694734697&amp;sr=8-17")</f>
        <v/>
      </c>
      <c r="F1381" t="inlineStr">
        <is>
          <t>B0BC81C7SH</t>
        </is>
      </c>
      <c r="G1381">
        <f>_xlfn.IMAGE("https://edmondsonsupply.com/cdn/shop/products/32314.jpg?v=1646593726")</f>
        <v/>
      </c>
      <c r="H1381">
        <f>_xlfn.IMAGE("https://m.media-amazon.com/images/I/412Eu5ze4AL._AC_UL320_.jpg")</f>
        <v/>
      </c>
      <c r="K1381" t="inlineStr">
        <is>
          <t>15.97</t>
        </is>
      </c>
      <c r="L1381" t="n">
        <v>35.94</v>
      </c>
      <c r="M1381" s="1" t="inlineStr">
        <is>
          <t>125.05%</t>
        </is>
      </c>
      <c r="N1381" s="7" t="n">
        <v>39.02</v>
      </c>
      <c r="O1381" t="n">
        <v>5</v>
      </c>
      <c r="P1381" t="n">
        <v>2</v>
      </c>
      <c r="R1381" t="inlineStr">
        <is>
          <t>InStock</t>
        </is>
      </c>
      <c r="S1381" t="inlineStr">
        <is>
          <t>22.38</t>
        </is>
      </c>
      <c r="T1381" t="inlineStr">
        <is>
          <t>7626984947928</t>
        </is>
      </c>
    </row>
    <row r="1382" ht="87" customHeight="1">
      <c r="A1382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382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382" t="inlineStr">
        <is>
          <t>Klein Tools 70550 Pro Folding Hex Key Set, 11-Key, SAE Sizes</t>
        </is>
      </c>
      <c r="D1382" t="inlineStr">
        <is>
          <t>Klein Tools 9225 Tape Measure, Heavy-Duty Measuring Tape &amp; 70550 Hex Key Set, 11 SAE Sizes, Heavy Duty Folding Allen Wrench Tool with Extra Long Hex Keys</t>
        </is>
      </c>
      <c r="E1382" s="2">
        <f>HYPERLINK("https://www.amazon.com/Klein-Tools-Measure-Heavy-Duty-Measuring/dp/B0BD3ZVMNW/ref=sr_1_23?keywords=Klein+Tools+70550+Pro+Folding+Hex+Key+Set%2C+11-Key%2C+SAE+Sizes&amp;qid=1694734808&amp;sr=8-23", "https://www.amazon.com/Klein-Tools-Measure-Heavy-Duty-Measuring/dp/B0BD3ZVMNW/ref=sr_1_23?keywords=Klein+Tools+70550+Pro+Folding+Hex+Key+Set%2C+11-Key%2C+SAE+Sizes&amp;qid=1694734808&amp;sr=8-23")</f>
        <v/>
      </c>
      <c r="F1382" t="inlineStr">
        <is>
          <t>B0BD3ZVMNW</t>
        </is>
      </c>
      <c r="G1382">
        <f>_xlfn.IMAGE("https://edmondsonsupply.com/cdn/shop/products/70550.jpg?v=1587145237")</f>
        <v/>
      </c>
      <c r="H1382">
        <f>_xlfn.IMAGE("https://m.media-amazon.com/images/I/51+YbW9dAiL._AC_UL320_.jpg")</f>
        <v/>
      </c>
      <c r="K1382" t="inlineStr">
        <is>
          <t>19.97</t>
        </is>
      </c>
      <c r="L1382" t="n">
        <v>44.94</v>
      </c>
      <c r="M1382" s="1" t="inlineStr">
        <is>
          <t>125.04%</t>
        </is>
      </c>
      <c r="N1382" s="7" t="n">
        <v>38.9</v>
      </c>
      <c r="O1382" t="n">
        <v>5</v>
      </c>
      <c r="P1382" t="n">
        <v>1</v>
      </c>
      <c r="R1382" t="inlineStr">
        <is>
          <t>InStock</t>
        </is>
      </c>
      <c r="S1382" t="inlineStr">
        <is>
          <t>27.18</t>
        </is>
      </c>
      <c r="T1382" t="inlineStr">
        <is>
          <t>3693538082916</t>
        </is>
      </c>
    </row>
    <row r="1383" ht="87" customHeight="1">
      <c r="A1383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383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383" t="inlineStr">
        <is>
          <t>ICM Controls ICM2811 Furnace Control Board - Replacement for Goodman</t>
        </is>
      </c>
      <c r="D1383" t="inlineStr">
        <is>
          <t>ICM Controls ICM289 Furnace Control Replacement for Lennox Control Boards, Replaces All BCC1, BCC2 and BCC3 Circuit Boards</t>
        </is>
      </c>
      <c r="E1383" s="2">
        <f>HYPERLINK("https://www.amazon.com/ICM-Controls-ICM289-Replacement-Replaces/dp/B004I55HHY/ref=sr_1_26?keywords=ICM+Controls+ICM2811+Furnace+Control+Board+-+Replacement+for+Goodman&amp;qid=1694734652&amp;sr=8-26", "https://www.amazon.com/ICM-Controls-ICM289-Replacement-Replaces/dp/B004I55HHY/ref=sr_1_26?keywords=ICM+Controls+ICM2811+Furnace+Control+Board+-+Replacement+for+Goodman&amp;qid=1694734652&amp;sr=8-26")</f>
        <v/>
      </c>
      <c r="F1383" t="inlineStr">
        <is>
          <t>B004I55HHY</t>
        </is>
      </c>
      <c r="G1383">
        <f>_xlfn.IMAGE("https://edmondsonsupply.com/cdn/shop/products/photo_3800_medium_86f45e25-a764-4839-bc84-759a6ce1c7bd.jpg?v=1659910436")</f>
        <v/>
      </c>
      <c r="H1383">
        <f>_xlfn.IMAGE("https://m.media-amazon.com/images/I/617eMhg9d2L._AC_UL320_.jpg")</f>
        <v/>
      </c>
      <c r="K1383" t="inlineStr">
        <is>
          <t>68.99</t>
        </is>
      </c>
      <c r="L1383" t="n">
        <v>155.15</v>
      </c>
      <c r="M1383" s="1" t="inlineStr">
        <is>
          <t>124.89%</t>
        </is>
      </c>
      <c r="N1383" s="7" t="n">
        <v>38.36</v>
      </c>
      <c r="O1383" t="n">
        <v>4.8</v>
      </c>
      <c r="P1383" t="n">
        <v>156</v>
      </c>
      <c r="R1383" t="inlineStr">
        <is>
          <t>InStock</t>
        </is>
      </c>
      <c r="S1383" t="inlineStr">
        <is>
          <t>93.62</t>
        </is>
      </c>
      <c r="T1383" t="inlineStr">
        <is>
          <t>4345448202340</t>
        </is>
      </c>
    </row>
    <row r="1384" ht="87" customHeight="1">
      <c r="A1384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384" s="2">
        <f>HYPERLINK("https://edmondsonsupply.com/products/klein-tools-11053-klein-kurve%c2%ae-wire-stripper-cutter", "https://edmondsonsupply.com/products/klein-tools-11053-klein-kurve%c2%ae-wire-stripper-cutter")</f>
        <v/>
      </c>
      <c r="C1384" t="inlineStr">
        <is>
          <t>Klein Tools 11053 Klein-Kurve® Wire Stripper/Cutter</t>
        </is>
      </c>
      <c r="D1384" t="inlineStr">
        <is>
          <t>Klein Tools 11055-INS Insulated Klein-Kurve Wire Stripper/Cutter, Orange</t>
        </is>
      </c>
      <c r="E1384" s="2">
        <f>HYPERLINK("https://www.amazon.com/Insulated-Klein-Kurve-Klein-Tools-11055-INS/dp/B000MKIPPU/ref=sr_1_9?keywords=Klein+Tools+11053+Klein-Kurve%C2%AE+Wire+Stripper%2FCutter&amp;qid=1694734664&amp;sr=8-9", "https://www.amazon.com/Insulated-Klein-Kurve-Klein-Tools-11055-INS/dp/B000MKIPPU/ref=sr_1_9?keywords=Klein+Tools+11053+Klein-Kurve%C2%AE+Wire+Stripper%2FCutter&amp;qid=1694734664&amp;sr=8-9")</f>
        <v/>
      </c>
      <c r="F1384" t="inlineStr">
        <is>
          <t>B000MKIPPU</t>
        </is>
      </c>
      <c r="G1384">
        <f>_xlfn.IMAGE("https://edmondsonsupply.com/cdn/shop/products/11053.jpg?v=1633030511")</f>
        <v/>
      </c>
      <c r="H1384">
        <f>_xlfn.IMAGE("https://m.media-amazon.com/images/I/51U7ZuALPYL._AC_UL320_.jpg")</f>
        <v/>
      </c>
      <c r="K1384" t="inlineStr">
        <is>
          <t>20.97</t>
        </is>
      </c>
      <c r="L1384" t="n">
        <v>47.07</v>
      </c>
      <c r="M1384" s="1" t="inlineStr">
        <is>
          <t>124.46%</t>
        </is>
      </c>
      <c r="N1384" s="7" t="n">
        <v>38.11</v>
      </c>
      <c r="O1384" t="n">
        <v>4.1</v>
      </c>
      <c r="P1384" t="n">
        <v>17</v>
      </c>
      <c r="R1384" t="inlineStr">
        <is>
          <t>InStock</t>
        </is>
      </c>
      <c r="S1384" t="inlineStr">
        <is>
          <t>31.76</t>
        </is>
      </c>
      <c r="T1384" t="inlineStr">
        <is>
          <t>5387171299496</t>
        </is>
      </c>
    </row>
    <row r="1385" ht="87" customHeight="1">
      <c r="A1385" s="2">
        <f>HYPERLINK("https://edmondsonsupply.com/collections/hvac/products/viega-25306-3-4-x-3-4-x-3-4-megapressg-tee", "https://edmondsonsupply.com/collections/hvac/products/viega-25306-3-4-x-3-4-x-3-4-megapressg-tee")</f>
        <v/>
      </c>
      <c r="B1385" s="2">
        <f>HYPERLINK("https://edmondsonsupply.com/products/viega-25306-3-4-x-3-4-x-3-4-megapressg-tee", "https://edmondsonsupply.com/products/viega-25306-3-4-x-3-4-x-3-4-megapressg-tee")</f>
        <v/>
      </c>
      <c r="C1385" t="inlineStr">
        <is>
          <t>Viega 25306 3/4" x 3/4" x 3/4" MegaPressG Tee</t>
        </is>
      </c>
      <c r="D1385" t="inlineStr">
        <is>
          <t>SUNGATOR (25-Pack) 3/4 Inch PEX Tee Brass Crimp Fitting, 3/4" x 3/4" x 3/4", No Lead Brass</t>
        </is>
      </c>
      <c r="E1385" s="2">
        <f>HYPERLINK("https://www.amazon.com/SUNGATOR-25-Pack-Brass-Crimp-Fitting/dp/B0BTDF6WYB/ref=sr_1_19?keywords=Viega+25306+3%2F4%22+x+3%2F4%22+x+3%2F4%22+MegaPressG+Tee&amp;qid=1694734857&amp;sr=8-19", "https://www.amazon.com/SUNGATOR-25-Pack-Brass-Crimp-Fitting/dp/B0BTDF6WYB/ref=sr_1_19?keywords=Viega+25306+3%2F4%22+x+3%2F4%22+x+3%2F4%22+MegaPressG+Tee&amp;qid=1694734857&amp;sr=8-19")</f>
        <v/>
      </c>
      <c r="F1385" t="inlineStr">
        <is>
          <t>B0BTDF6WYB</t>
        </is>
      </c>
      <c r="G1385">
        <f>_xlfn.IMAGE("https://edmondsonsupply.com/cdn/shop/files/PPm6618_c19b93a9-ada2-4a2c-b4ba-ad5d5af9c9b6.jpg?v=1692569569")</f>
        <v/>
      </c>
      <c r="H1385">
        <f>_xlfn.IMAGE("https://m.media-amazon.com/images/I/71y9SgHveiL._AC_UL320_.jpg")</f>
        <v/>
      </c>
      <c r="K1385" t="inlineStr">
        <is>
          <t>22.74</t>
        </is>
      </c>
      <c r="L1385" t="n">
        <v>50.99</v>
      </c>
      <c r="M1385" s="1" t="inlineStr">
        <is>
          <t>124.23%</t>
        </is>
      </c>
      <c r="N1385" s="7" t="n">
        <v>37.69</v>
      </c>
      <c r="O1385" t="n">
        <v>4.8</v>
      </c>
      <c r="P1385" t="n">
        <v>1282</v>
      </c>
      <c r="R1385" t="inlineStr">
        <is>
          <t>InStock</t>
        </is>
      </c>
      <c r="S1385" t="inlineStr">
        <is>
          <t>39.2</t>
        </is>
      </c>
      <c r="T1385" t="inlineStr">
        <is>
          <t>8029272408280</t>
        </is>
      </c>
    </row>
    <row r="1386" ht="87" customHeight="1">
      <c r="A1386" s="2">
        <f>HYPERLINK("https://edmondsonsupply.com/collections/hvac/products/midwest-mwt-6510l-left-offset-aviation-snip", "https://edmondsonsupply.com/collections/hvac/products/midwest-mwt-6510l-left-offset-aviation-snip")</f>
        <v/>
      </c>
      <c r="B1386" s="2">
        <f>HYPERLINK("https://edmondsonsupply.com/products/midwest-mwt-6510l-left-offset-aviation-snip", "https://edmondsonsupply.com/products/midwest-mwt-6510l-left-offset-aviation-snip")</f>
        <v/>
      </c>
      <c r="C1386" t="inlineStr">
        <is>
          <t>Midwest MWT-6510L Left Offset Aviation Snip</t>
        </is>
      </c>
      <c r="D1386" t="inlineStr">
        <is>
          <t>MIDWEST Blackout Series Aviation Snip - Left Cut Offset Tin Cutting Shears with Forged Blade &amp; KUSH'N-POWER Comfort Grips - MWT-6510LO</t>
        </is>
      </c>
      <c r="E1386" s="2">
        <f>HYPERLINK("https://www.amazon.com/MIDWEST-Blackout-Aviation-Snip-KUSHN-POWER/dp/B00TJQL91U/ref=sr_1_9?keywords=Midwest+MWT-6510L+Left+Offset+Aviation+Snip&amp;qid=1694734618&amp;sr=8-9", "https://www.amazon.com/MIDWEST-Blackout-Aviation-Snip-KUSHN-POWER/dp/B00TJQL91U/ref=sr_1_9?keywords=Midwest+MWT-6510L+Left+Offset+Aviation+Snip&amp;qid=1694734618&amp;sr=8-9")</f>
        <v/>
      </c>
      <c r="F1386" t="inlineStr">
        <is>
          <t>B00TJQL91U</t>
        </is>
      </c>
      <c r="G1386">
        <f>_xlfn.IMAGE("https://edmondsonsupply.com/cdn/shop/products/mwt-6510l.png?v=1587142880")</f>
        <v/>
      </c>
      <c r="H1386">
        <f>_xlfn.IMAGE("https://m.media-amazon.com/images/I/51OW3TahYsL._AC_UL320_.jpg")</f>
        <v/>
      </c>
      <c r="I1386" s="10" t="inlineStr">
        <is>
          <t>10pc</t>
        </is>
      </c>
      <c r="J1386" t="inlineStr">
        <is>
          <t>free shipping</t>
        </is>
      </c>
      <c r="K1386" t="inlineStr">
        <is>
          <t>25.99</t>
        </is>
      </c>
      <c r="L1386" t="n">
        <v>57.88</v>
      </c>
      <c r="M1386" s="1" t="inlineStr">
        <is>
          <t>122.70%</t>
        </is>
      </c>
      <c r="N1386" s="7" t="n">
        <v>37.67</v>
      </c>
      <c r="O1386" t="n">
        <v>4.7</v>
      </c>
      <c r="P1386" t="n">
        <v>1397</v>
      </c>
      <c r="R1386" t="inlineStr">
        <is>
          <t>InStock</t>
        </is>
      </c>
      <c r="S1386" t="inlineStr">
        <is>
          <t>33.49</t>
        </is>
      </c>
      <c r="T1386" t="inlineStr">
        <is>
          <t>3688846917732</t>
        </is>
      </c>
    </row>
    <row r="1387" hidden="1" ht="15.75" customHeight="1">
      <c r="A1387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387" s="2">
        <f>HYPERLINK("https://edmondsonsupply.com/products/packard-pmj590-motor-start-capacitor-590-708-mfd-110-125-volt", "https://edmondsonsupply.com/products/packard-pmj590-motor-start-capacitor-590-708-mfd-110-125-volt")</f>
        <v/>
      </c>
      <c r="C1387" t="inlineStr">
        <is>
          <t>Packard PMJ590 Motor Start Capacitor 590-708 MFD 110-125 Volt</t>
        </is>
      </c>
      <c r="D1387" t="inlineStr">
        <is>
          <t>Motor Start Capacitor 590-708 uf MFD 110-125 Volt VAC MARS2 11927</t>
        </is>
      </c>
      <c r="E1387" s="2">
        <f>HYPERLINK("https://www.amazon.com/Motor-Start-Capacitor-590-708-110-125/dp/B00C0VYSIM/ref=sr_1_13?keywords=Packard+PMJ590+Motor+Start+Capacitor+590-708+MFD+110-125+Volt&amp;qid=1694734721&amp;sr=8-13", "https://www.amazon.com/Motor-Start-Capacitor-590-708-110-125/dp/B00C0VYSIM/ref=sr_1_13?keywords=Packard+PMJ590+Motor+Start+Capacitor+590-708+MFD+110-125+Volt&amp;qid=1694734721&amp;sr=8-13")</f>
        <v/>
      </c>
      <c r="F1387" t="inlineStr">
        <is>
          <t>B00C0VYSIM</t>
        </is>
      </c>
      <c r="G1387">
        <f>_xludf.IMAGE("https://edmondsonsupply.com/cdn/shop/products/PMJ590-2.jpg?v=1633030307")</f>
        <v/>
      </c>
      <c r="H1387">
        <f>_xludf.IMAGE("https://m.media-amazon.com/images/I/317yNNdEDIL._AC_UY218_.jpg")</f>
        <v/>
      </c>
      <c r="K1387" t="inlineStr">
        <is>
          <t>6.18</t>
        </is>
      </c>
      <c r="L1387" t="n">
        <v>13.76</v>
      </c>
      <c r="M1387" s="1" t="inlineStr">
        <is>
          <t>122.65%</t>
        </is>
      </c>
      <c r="N1387" s="1" t="n">
        <v>37.57</v>
      </c>
      <c r="O1387" t="n">
        <v>3.5</v>
      </c>
      <c r="P1387" t="n">
        <v>7</v>
      </c>
      <c r="R1387" t="inlineStr">
        <is>
          <t>InStock</t>
        </is>
      </c>
      <c r="S1387" t="inlineStr">
        <is>
          <t>undefined</t>
        </is>
      </c>
      <c r="T1387" t="inlineStr">
        <is>
          <t>5241729712296</t>
        </is>
      </c>
    </row>
    <row r="1388" hidden="1" ht="15.75" customHeight="1">
      <c r="A1388" s="2">
        <f>HYPERLINK("https://edmondsonsupply.com/collections/hvac/products/packard-ptmj56-motor-start-capacitor-53-64-mfd-220-250-vac", "https://edmondsonsupply.com/collections/hvac/products/packard-ptmj56-motor-start-capacitor-53-64-mfd-220-250-vac")</f>
        <v/>
      </c>
      <c r="B1388" s="2">
        <f>HYPERLINK("https://edmondsonsupply.com/products/packard-ptmj56-motor-start-capacitor-53-64-mfd-220-250-vac", "https://edmondsonsupply.com/products/packard-ptmj56-motor-start-capacitor-53-64-mfd-220-250-vac")</f>
        <v/>
      </c>
      <c r="C1388" t="inlineStr">
        <is>
          <t>Packard PTMJ56 Motor Start Capacitor 53-64 MFD 220-250 VAC</t>
        </is>
      </c>
      <c r="D1388" t="inlineStr">
        <is>
          <t>weideer 53-64 uf/MFD Motor Start Capacitor 250 VAC Volts 50/60 Hz for Well Pump and Others</t>
        </is>
      </c>
      <c r="E1388" s="2">
        <f>HYPERLINK("https://www.amazon.com/weideer-53-64-Motor-Capacitor-Others/dp/B0B86Z795Y/ref=sr_1_9?keywords=Packard+PTMJ56+Motor+Start+Capacitor+53-64+MFD+220-250+VAC&amp;qid=1694734647&amp;sr=8-9", "https://www.amazon.com/weideer-53-64-Motor-Capacitor-Others/dp/B0B86Z795Y/ref=sr_1_9?keywords=Packard+PTMJ56+Motor+Start+Capacitor+53-64+MFD+220-250+VAC&amp;qid=1694734647&amp;sr=8-9")</f>
        <v/>
      </c>
      <c r="F1388" t="inlineStr">
        <is>
          <t>B0B86Z795Y</t>
        </is>
      </c>
      <c r="G1388">
        <f>_xludf.IMAGE("https://edmondsonsupply.com/cdn/shop/products/PTMJ56-2.jpg?v=1633030199")</f>
        <v/>
      </c>
      <c r="H1388">
        <f>_xludf.IMAGE("https://m.media-amazon.com/images/I/51eCils-EqL._AC_UY218_.jpg")</f>
        <v/>
      </c>
      <c r="K1388" t="inlineStr">
        <is>
          <t>3.59</t>
        </is>
      </c>
      <c r="L1388" t="n">
        <v>7.99</v>
      </c>
      <c r="M1388" s="1" t="inlineStr">
        <is>
          <t>122.56%</t>
        </is>
      </c>
      <c r="N1388" s="1" t="n">
        <v>37.57</v>
      </c>
      <c r="O1388" t="n">
        <v>3.2</v>
      </c>
      <c r="P1388" t="n">
        <v>19</v>
      </c>
      <c r="R1388" t="inlineStr">
        <is>
          <t>InStock</t>
        </is>
      </c>
      <c r="S1388" t="inlineStr">
        <is>
          <t>undefined</t>
        </is>
      </c>
      <c r="T1388" t="inlineStr">
        <is>
          <t>4414971347044</t>
        </is>
      </c>
    </row>
    <row r="1389" ht="87" customHeight="1">
      <c r="A1389" s="2">
        <f>HYPERLINK("https://edmondsonsupply.com/collections/hvac/products/packard-titan-pro-trcd355-run-capacitor-35-5-mfd-370-volt-round", "https://edmondsonsupply.com/collections/hvac/products/packard-titan-pro-trcd355-run-capacitor-35-5-mfd-370-volt-round")</f>
        <v/>
      </c>
      <c r="B1389" s="2">
        <f>HYPERLINK("https://edmondsonsupply.com/products/packard-titan-pro-trcd355-run-capacitor-35-5-mfd-370-volt-round", "https://edmondsonsupply.com/products/packard-titan-pro-trcd355-run-capacitor-35-5-mfd-370-volt-round")</f>
        <v/>
      </c>
      <c r="C1389" t="inlineStr">
        <is>
          <t>Packard Titan PRO TRCD355 Run Capacitor 35+5 MFD 370 Volt Round</t>
        </is>
      </c>
      <c r="D1389" t="inlineStr">
        <is>
          <t>Titan TRCD355 Dual Rated Motor Run Capacitor Round MFD 35/5 Volts 440/370</t>
        </is>
      </c>
      <c r="E1389" s="2">
        <f>HYPERLINK("https://www.amazon.com/Titan-TRCD355-Rated-Motor-Capacitor/dp/B01HQH22HS/ref=sr_1_2?keywords=Packard+Titan+PRO+TRCD355+Run+Capacitor+35%2B5+MFD+370+Volt+Round&amp;qid=1694734648&amp;sr=8-2", "https://www.amazon.com/Titan-TRCD355-Rated-Motor-Capacitor/dp/B01HQH22HS/ref=sr_1_2?keywords=Packard+Titan+PRO+TRCD355+Run+Capacitor+35%2B5+MFD+370+Volt+Round&amp;qid=1694734648&amp;sr=8-2")</f>
        <v/>
      </c>
      <c r="F1389" t="inlineStr">
        <is>
          <t>B01HQH22HS</t>
        </is>
      </c>
      <c r="G1389">
        <f>_xlfn.IMAGE("https://edmondsonsupply.com/cdn/shop/products/TRCD355-2.jpg?v=1633030395")</f>
        <v/>
      </c>
      <c r="H1389">
        <f>_xlfn.IMAGE("https://m.media-amazon.com/images/I/31bSurdbasL._AC_UY218_.jpg")</f>
        <v/>
      </c>
      <c r="K1389" t="inlineStr">
        <is>
          <t>8.53</t>
        </is>
      </c>
      <c r="L1389" t="n">
        <v>18.89</v>
      </c>
      <c r="M1389" s="1" t="inlineStr">
        <is>
          <t>121.45%</t>
        </is>
      </c>
      <c r="N1389" s="7" t="n">
        <v>37.57</v>
      </c>
      <c r="O1389" t="n">
        <v>4.6</v>
      </c>
      <c r="P1389" t="n">
        <v>4</v>
      </c>
      <c r="R1389" t="inlineStr">
        <is>
          <t>InStock</t>
        </is>
      </c>
      <c r="S1389" t="inlineStr">
        <is>
          <t>undefined</t>
        </is>
      </c>
      <c r="T1389" t="inlineStr">
        <is>
          <t>5302188998824</t>
        </is>
      </c>
    </row>
    <row r="1390" ht="87" customHeight="1">
      <c r="A1390" s="2">
        <f>HYPERLINK("https://edmondsonsupply.com/collections/hvac/products/klein-tools-ncvt-4ir-non-contact-voltage-tester-pen-12-1000v-with-infrared-thermometer", "https://edmondsonsupply.com/collections/hvac/products/klein-tools-ncvt-4ir-non-contact-voltage-tester-pen-12-1000v-with-infrared-thermometer")</f>
        <v/>
      </c>
      <c r="B1390" s="2">
        <f>HYPERLINK("https://edmondsonsupply.com/products/klein-tools-ncvt-4ir-non-contact-voltage-tester-pen-12-1000v-with-infrared-thermometer", "https://edmondsonsupply.com/products/klein-tools-ncvt-4ir-non-contact-voltage-tester-pen-12-1000v-with-infrared-thermometer")</f>
        <v/>
      </c>
      <c r="C1390" t="inlineStr">
        <is>
          <t>Klein Tools NCVT-4IR Non-Contact Voltage Tester Pen, 12-1000V, with Infrared Thermometer</t>
        </is>
      </c>
      <c r="D1390" t="inlineStr">
        <is>
          <t>Klein Tools NCVT-4IR Non-Contact Volt Tester, 12-1000V AC Pen with IR Thermometer -22 to 482 deg F &amp; Klein Tools ET310 AC Circuit Breaker Finder, Electric Tester with Integrated GFCI Outlet Tester</t>
        </is>
      </c>
      <c r="E1390" s="2">
        <f>HYPERLINK("https://www.amazon.com/Klein-Tools-Non-Contact-Thermometer-Integrated/dp/B0BM3TDBXK/ref=sr_1_3?keywords=Klein+Tools+NCVT-4IR+Non-Contact+Voltage+Tester+Pen%2C+12-1000V%2C+with+Infrared+Thermometer&amp;qid=1694734723&amp;sr=8-3", "https://www.amazon.com/Klein-Tools-Non-Contact-Thermometer-Integrated/dp/B0BM3TDBXK/ref=sr_1_3?keywords=Klein+Tools+NCVT-4IR+Non-Contact+Voltage+Tester+Pen%2C+12-1000V%2C+with+Infrared+Thermometer&amp;qid=1694734723&amp;sr=8-3")</f>
        <v/>
      </c>
      <c r="F1390" t="inlineStr">
        <is>
          <t>B0BM3TDBXK</t>
        </is>
      </c>
      <c r="G1390">
        <f>_xlfn.IMAGE("https://edmondsonsupply.com/cdn/shop/products/ncvt4ir.jpg?v=1633030412")</f>
        <v/>
      </c>
      <c r="H1390">
        <f>_xlfn.IMAGE("https://m.media-amazon.com/images/I/51jvhfhaE+L._AC_UL320_.jpg")</f>
        <v/>
      </c>
      <c r="K1390" t="inlineStr">
        <is>
          <t>39.99</t>
        </is>
      </c>
      <c r="L1390" t="n">
        <v>88.42</v>
      </c>
      <c r="M1390" s="1" t="inlineStr">
        <is>
          <t>121.11%</t>
        </is>
      </c>
      <c r="N1390" s="7" t="n">
        <v>37.49</v>
      </c>
      <c r="O1390" t="n">
        <v>5</v>
      </c>
      <c r="P1390" t="n">
        <v>1</v>
      </c>
      <c r="R1390" t="inlineStr">
        <is>
          <t>InStock</t>
        </is>
      </c>
      <c r="S1390" t="inlineStr">
        <is>
          <t>58.58</t>
        </is>
      </c>
      <c r="T1390" t="inlineStr">
        <is>
          <t>5310387617960</t>
        </is>
      </c>
    </row>
    <row r="1391" ht="87" customHeight="1">
      <c r="A1391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1391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1391" t="inlineStr">
        <is>
          <t>Packard TRCFD455 Titan PRO Run Capacitor 45+5 MFD 440/370 Volt Round</t>
        </is>
      </c>
      <c r="D1391" t="inlineStr">
        <is>
          <t>Packard TRCD455 Titan Pro 45+5 MFD 370V Round Run Capacitor Replaces PRCD455</t>
        </is>
      </c>
      <c r="E1391" s="2">
        <f>HYPERLINK("https://www.amazon.com/PACKARD-TRCD455-Capacitor-Replaces-PRCD455/dp/B01N55F81Z/ref=sr_1_11?keywords=Packard+TRCFD455+Titan+PRO+Run+Capacitor+45%2B5+MFD+440%2F370+Volt+Round&amp;qid=1694734617&amp;sr=8-11", "https://www.amazon.com/PACKARD-TRCD455-Capacitor-Replaces-PRCD455/dp/B01N55F81Z/ref=sr_1_11?keywords=Packard+TRCFD455+Titan+PRO+Run+Capacitor+45%2B5+MFD+440%2F370+Volt+Round&amp;qid=1694734617&amp;sr=8-11")</f>
        <v/>
      </c>
      <c r="F1391" t="inlineStr">
        <is>
          <t>B01N55F81Z</t>
        </is>
      </c>
      <c r="G1391">
        <f>_xlfn.IMAGE("https://edmondsonsupply.com/cdn/shop/products/TRCFD455-2.jpg?v=1587147298")</f>
        <v/>
      </c>
      <c r="H1391">
        <f>_xlfn.IMAGE("https://m.media-amazon.com/images/I/41CL3hacDyL._AC_UY218_.jpg")</f>
        <v/>
      </c>
      <c r="K1391" t="inlineStr">
        <is>
          <t>8.99</t>
        </is>
      </c>
      <c r="L1391" t="n">
        <v>19.87</v>
      </c>
      <c r="M1391" s="1" t="inlineStr">
        <is>
          <t>121.02%</t>
        </is>
      </c>
      <c r="N1391" s="7" t="n">
        <v>37.49</v>
      </c>
      <c r="O1391" t="n">
        <v>5</v>
      </c>
      <c r="P1391" t="n">
        <v>2</v>
      </c>
      <c r="R1391" t="inlineStr">
        <is>
          <t>OutOfStock</t>
        </is>
      </c>
      <c r="S1391" t="inlineStr">
        <is>
          <t>undefined</t>
        </is>
      </c>
      <c r="T1391" t="inlineStr">
        <is>
          <t>4309334556772</t>
        </is>
      </c>
    </row>
    <row r="1392" ht="87" customHeight="1">
      <c r="A1392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1392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1392" t="inlineStr">
        <is>
          <t>ICM Controls ICM2813 Furnace Control Board - Replacement for Lennox</t>
        </is>
      </c>
      <c r="D1392" t="inlineStr">
        <is>
          <t>ICM Controls ICM2902 IPI Gas Ignition Control Replacement for Popular Models, Including Lennox 30W33 and JCI G776RGD-14 Series Controls</t>
        </is>
      </c>
      <c r="E1392" s="2">
        <f>HYPERLINK("https://www.amazon.com/ICM-Controls-ICM2902-Replacement-G776RGD-14/dp/B00QW2FW94/ref=sr_1_10?keywords=ICM+Controls+ICM2813+Furnace+Control+Board+-+Replacement+for+Lennox&amp;qid=1694734575&amp;sr=8-10", "https://www.amazon.com/ICM-Controls-ICM2902-Replacement-G776RGD-14/dp/B00QW2FW94/ref=sr_1_10?keywords=ICM+Controls+ICM2813+Furnace+Control+Board+-+Replacement+for+Lennox&amp;qid=1694734575&amp;sr=8-10")</f>
        <v/>
      </c>
      <c r="F1392" t="inlineStr">
        <is>
          <t>B00QW2FW94</t>
        </is>
      </c>
      <c r="G1392">
        <f>_xlfn.IMAGE("https://edmondsonsupply.com/cdn/shop/products/ICM2813.jpg?v=1666552363")</f>
        <v/>
      </c>
      <c r="H1392">
        <f>_xlfn.IMAGE("https://m.media-amazon.com/images/I/71uPME+Gw3L._AC_UL320_.jpg")</f>
        <v/>
      </c>
      <c r="K1392" t="inlineStr">
        <is>
          <t>99.99</t>
        </is>
      </c>
      <c r="L1392" t="n">
        <v>220.99</v>
      </c>
      <c r="M1392" s="1" t="inlineStr">
        <is>
          <t>121.01%</t>
        </is>
      </c>
      <c r="N1392" s="7" t="n">
        <v>37.14</v>
      </c>
      <c r="O1392" t="n">
        <v>4.2</v>
      </c>
      <c r="P1392" t="n">
        <v>61</v>
      </c>
      <c r="R1392" t="inlineStr">
        <is>
          <t>InStock</t>
        </is>
      </c>
      <c r="S1392" t="inlineStr">
        <is>
          <t>111.21</t>
        </is>
      </c>
      <c r="T1392" t="inlineStr">
        <is>
          <t>7864012341464</t>
        </is>
      </c>
    </row>
    <row r="1393" hidden="1" ht="15.75" customHeight="1">
      <c r="A1393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393" s="2">
        <f>HYPERLINK("https://edmondsonsupply.com/products/packard-prmj108-motor-start-capacitor-108-130-mfd-330-volt", "https://edmondsonsupply.com/products/packard-prmj108-motor-start-capacitor-108-130-mfd-330-volt")</f>
        <v/>
      </c>
      <c r="C1393" t="inlineStr">
        <is>
          <t>Packard PRMJ108 Motor Start Capacitor 108-130 MFD 330 Volt</t>
        </is>
      </c>
      <c r="D1393" t="inlineStr">
        <is>
          <t>PMJ108 - Packard Aftermarket Replacement Motor Start Capacitor 108-130 MFD 11...</t>
        </is>
      </c>
      <c r="E1393" s="2">
        <f>HYPERLINK("https://www.amazon.com/PMJ108-Packard-Aftermarket-Replacement-Capacitor/dp/B00IWYE5P2/ref=sr_1_5?keywords=Packard+PRMJ108+Motor+Start+Capacitor+108-130+MFD+330+Volt&amp;qid=1694734796&amp;sr=8-5", "https://www.amazon.com/PMJ108-Packard-Aftermarket-Replacement-Capacitor/dp/B00IWYE5P2/ref=sr_1_5?keywords=Packard+PRMJ108+Motor+Start+Capacitor+108-130+MFD+330+Volt&amp;qid=1694734796&amp;sr=8-5")</f>
        <v/>
      </c>
      <c r="F1393" t="inlineStr">
        <is>
          <t>B00IWYE5P2</t>
        </is>
      </c>
      <c r="G1393">
        <f>_xludf.IMAGE("https://edmondsonsupply.com/cdn/shop/products/PRMJ108-2.jpg?v=1633030309")</f>
        <v/>
      </c>
      <c r="H1393">
        <f>_xludf.IMAGE("https://m.media-amazon.com/images/I/411oKZNAihL._AC_UY218_.jpg")</f>
        <v/>
      </c>
      <c r="K1393" t="inlineStr">
        <is>
          <t>4.39</t>
        </is>
      </c>
      <c r="L1393" t="n">
        <v>9.68</v>
      </c>
      <c r="M1393" s="1" t="inlineStr">
        <is>
          <t>120.50%</t>
        </is>
      </c>
      <c r="N1393" s="1" t="n">
        <v>37.1</v>
      </c>
      <c r="O1393" t="n">
        <v>4.4</v>
      </c>
      <c r="P1393" t="n">
        <v>74</v>
      </c>
      <c r="R1393" t="inlineStr">
        <is>
          <t>InStock</t>
        </is>
      </c>
      <c r="S1393" t="inlineStr">
        <is>
          <t>undefined</t>
        </is>
      </c>
      <c r="T1393" t="inlineStr">
        <is>
          <t>5241928319144</t>
        </is>
      </c>
    </row>
    <row r="1394" hidden="1" ht="15.75" customHeight="1">
      <c r="A1394" s="2">
        <f>HYPERLINK("https://edmondsonsupply.com/collections/hvac/products/packard-prmj108-motor-start-capacitor-108-130-mfd-330-volt", "https://edmondsonsupply.com/collections/hvac/products/packard-prmj108-motor-start-capacitor-108-130-mfd-330-volt")</f>
        <v/>
      </c>
      <c r="B1394" s="2">
        <f>HYPERLINK("https://edmondsonsupply.com/products/packard-prmj108-motor-start-capacitor-108-130-mfd-330-volt", "https://edmondsonsupply.com/products/packard-prmj108-motor-start-capacitor-108-130-mfd-330-volt")</f>
        <v/>
      </c>
      <c r="C1394" t="inlineStr">
        <is>
          <t>Packard PRMJ108 Motor Start Capacitor 108-130 MFD 330 Volt</t>
        </is>
      </c>
      <c r="D1394" t="inlineStr">
        <is>
          <t>Canamax Premium 108-130 uf/MFD 110-125 VAC ±20% Volts Round Start Capacitor 50/60 Hz AC Electric - Exact Fit for Single-Phase Electric Motors</t>
        </is>
      </c>
      <c r="E1394" s="2">
        <f>HYPERLINK("https://www.amazon.com/Canamax-Premium-108-130-Capacitor-Electric/dp/B0B1DF2X7K/ref=sr_1_14?keywords=Packard+PRMJ108+Motor+Start+Capacitor+108-130+MFD+330+Volt&amp;qid=1694734796&amp;sr=8-14", "https://www.amazon.com/Canamax-Premium-108-130-Capacitor-Electric/dp/B0B1DF2X7K/ref=sr_1_14?keywords=Packard+PRMJ108+Motor+Start+Capacitor+108-130+MFD+330+Volt&amp;qid=1694734796&amp;sr=8-14")</f>
        <v/>
      </c>
      <c r="F1394" t="inlineStr">
        <is>
          <t>B0B1DF2X7K</t>
        </is>
      </c>
      <c r="G1394">
        <f>_xludf.IMAGE("https://edmondsonsupply.com/cdn/shop/products/PRMJ108-2.jpg?v=1633030309")</f>
        <v/>
      </c>
      <c r="H1394">
        <f>_xludf.IMAGE("https://m.media-amazon.com/images/I/81Y4jNR-2GL._AC_UY218_.jpg")</f>
        <v/>
      </c>
      <c r="K1394" t="inlineStr">
        <is>
          <t>4.39</t>
        </is>
      </c>
      <c r="L1394" t="n">
        <v>9.67</v>
      </c>
      <c r="M1394" s="1" t="inlineStr">
        <is>
          <t>120.27%</t>
        </is>
      </c>
      <c r="N1394" s="1" t="n">
        <v>37.06</v>
      </c>
      <c r="O1394" t="n">
        <v>3.3</v>
      </c>
      <c r="P1394" t="n">
        <v>3</v>
      </c>
      <c r="R1394" t="inlineStr">
        <is>
          <t>InStock</t>
        </is>
      </c>
      <c r="S1394" t="inlineStr">
        <is>
          <t>undefined</t>
        </is>
      </c>
      <c r="T1394" t="inlineStr">
        <is>
          <t>5241928319144</t>
        </is>
      </c>
    </row>
    <row r="1395" ht="87" customHeight="1">
      <c r="A1395" s="2">
        <f>HYPERLINK("https://edmondsonsupply.com/collections/hvac/products/channellock-431", "https://edmondsonsupply.com/collections/hvac/products/channellock-431")</f>
        <v/>
      </c>
      <c r="B1395" s="2">
        <f>HYPERLINK("https://edmondsonsupply.com/products/channellock-431", "https://edmondsonsupply.com/products/channellock-431")</f>
        <v/>
      </c>
      <c r="C1395" t="inlineStr">
        <is>
          <t>Channellock 432 10-Inch V-Jaw Tongue &amp; Groove Pliers</t>
        </is>
      </c>
      <c r="D1395" t="inlineStr">
        <is>
          <t>Channellock 440 Tongue and Groove Pliers | 12-Inch Straight Jaw Groove Joint Plier with Comfort Grips| Made in USA, Black, Blue, Silver &amp; 442 Tongue and Groove Pliers, 12 In, Black, Blue, Silver</t>
        </is>
      </c>
      <c r="E1395" s="2">
        <f>HYPERLINK("https://www.amazon.com/Channellock-Tongue-12-Inch-Straight-Comfort/dp/B0BFXP68V9/ref=sr_1_36?keywords=Channellock+432+10-Inch+V-Jaw+Tongue+%26+Groove+Pliers&amp;qid=1694734826&amp;sr=8-36", "https://www.amazon.com/Channellock-Tongue-12-Inch-Straight-Comfort/dp/B0BFXP68V9/ref=sr_1_36?keywords=Channellock+432+10-Inch+V-Jaw+Tongue+%26+Groove+Pliers&amp;qid=1694734826&amp;sr=8-36")</f>
        <v/>
      </c>
      <c r="F1395" t="inlineStr">
        <is>
          <t>B0BFXP68V9</t>
        </is>
      </c>
      <c r="G1395">
        <f>_xlfn.IMAGE("https://edmondsonsupply.com/cdn/shop/products/432-683x1024.jpg?v=1587147134")</f>
        <v/>
      </c>
      <c r="H1395">
        <f>_xlfn.IMAGE("https://m.media-amazon.com/images/I/41d-z+Tl0SL._AC_UL320_.jpg")</f>
        <v/>
      </c>
      <c r="K1395" t="inlineStr">
        <is>
          <t>19.95</t>
        </is>
      </c>
      <c r="L1395" t="n">
        <v>43.9</v>
      </c>
      <c r="M1395" s="1" t="inlineStr">
        <is>
          <t>120.05%</t>
        </is>
      </c>
      <c r="N1395" s="7" t="n">
        <v>37.05</v>
      </c>
      <c r="O1395" t="n">
        <v>5</v>
      </c>
      <c r="P1395" t="n">
        <v>2</v>
      </c>
      <c r="R1395" t="inlineStr">
        <is>
          <t>InStock</t>
        </is>
      </c>
      <c r="S1395" t="inlineStr">
        <is>
          <t>27.63</t>
        </is>
      </c>
      <c r="T1395" t="inlineStr">
        <is>
          <t>3553468317796</t>
        </is>
      </c>
    </row>
    <row r="1396" ht="87" customHeight="1">
      <c r="A1396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396" s="2">
        <f>HYPERLINK("https://edmondsonsupply.com/products/klein-tools-32907-7-in-1-impact-flip-socket-set-no-handle", "https://edmondsonsupply.com/products/klein-tools-32907-7-in-1-impact-flip-socket-set-no-handle")</f>
        <v/>
      </c>
      <c r="C1396" t="inlineStr">
        <is>
          <t>Klein Tools 32907 7-in-1 Impact Flip Socket Set, No Handle</t>
        </is>
      </c>
      <c r="D1396" t="inlineStr">
        <is>
          <t>LENOX Tools Jab Saw, Folding (20997TFHS618636) &amp; Impact Driver, 7-in-1 Impact Flip Socket Set, 6 Hex Driver Sizes plus a 1/4-Inch Bit Holder Klein Tools 32907</t>
        </is>
      </c>
      <c r="E1396" s="2">
        <f>HYPERLINK("https://www.amazon.com/Folding-20997TFHS618636-Impact-Driver-Socket/dp/B0CF2HPH97/ref=sr_1_7?keywords=Klein+Tools+32907+7-in-1+Impact+Flip+Socket+Set%2C+No+Handle&amp;qid=1694734636&amp;sr=8-7", "https://www.amazon.com/Folding-20997TFHS618636-Impact-Driver-Socket/dp/B0CF2HPH97/ref=sr_1_7?keywords=Klein+Tools+32907+7-in-1+Impact+Flip+Socket+Set%2C+No+Handle&amp;qid=1694734636&amp;sr=8-7")</f>
        <v/>
      </c>
      <c r="F1396" t="inlineStr">
        <is>
          <t>B0CF2HPH97</t>
        </is>
      </c>
      <c r="G1396">
        <f>_xlfn.IMAGE("https://edmondsonsupply.com/cdn/shop/products/32907_b.jpg?v=1666025282")</f>
        <v/>
      </c>
      <c r="H1396">
        <f>_xlfn.IMAGE("https://m.media-amazon.com/images/I/51ARCE+JBfL._AC_UL320_.jpg")</f>
        <v/>
      </c>
      <c r="K1396" t="inlineStr">
        <is>
          <t>19.99</t>
        </is>
      </c>
      <c r="L1396" t="n">
        <v>43.98</v>
      </c>
      <c r="M1396" s="1" t="inlineStr">
        <is>
          <t>120.01%</t>
        </is>
      </c>
      <c r="N1396" s="7" t="n">
        <v>36.4</v>
      </c>
      <c r="O1396" t="n">
        <v>4.5</v>
      </c>
      <c r="P1396" t="n">
        <v>776</v>
      </c>
      <c r="R1396" t="inlineStr">
        <is>
          <t>InStock</t>
        </is>
      </c>
      <c r="S1396" t="inlineStr">
        <is>
          <t>29.18</t>
        </is>
      </c>
      <c r="T1396" t="inlineStr">
        <is>
          <t>7856653009112</t>
        </is>
      </c>
    </row>
    <row r="1397" ht="87" customHeight="1">
      <c r="A1397" s="2">
        <f>HYPERLINK("https://edmondsonsupply.com/collections/hvac/products/packard-titan-pro-trcd5-run-capacitor-40-5-mfd-370-volt-round", "https://edmondsonsupply.com/collections/hvac/products/packard-titan-pro-trcd5-run-capacitor-40-5-mfd-370-volt-round")</f>
        <v/>
      </c>
      <c r="B1397" s="2">
        <f>HYPERLINK("https://edmondsonsupply.com/products/packard-titan-pro-trcd5-run-capacitor-40-5-mfd-370-volt-round", "https://edmondsonsupply.com/products/packard-titan-pro-trcd5-run-capacitor-40-5-mfd-370-volt-round")</f>
        <v/>
      </c>
      <c r="C1397" t="inlineStr">
        <is>
          <t>Packard Titan PRO TRCD405 Run Capacitor 40+5 MFD 370 Volt Round</t>
        </is>
      </c>
      <c r="D1397" t="inlineStr">
        <is>
          <t>Packard TRCD455 Titan Pro 45+5 MFD 370V Round Run Capacitor Replaces PRCD455</t>
        </is>
      </c>
      <c r="E1397" s="2">
        <f>HYPERLINK("https://www.amazon.com/PACKARD-TRCD455-Capacitor-Replaces-PRCD455/dp/B01N55F81Z/ref=sr_1_1?keywords=Packard+Titan+PRO+TRCD405+Run+Capacitor+40+5+MFD+370+Volt+Round&amp;qid=1694734787&amp;sr=8-1", "https://www.amazon.com/PACKARD-TRCD455-Capacitor-Replaces-PRCD455/dp/B01N55F81Z/ref=sr_1_1?keywords=Packard+Titan+PRO+TRCD405+Run+Capacitor+40+5+MFD+370+Volt+Round&amp;qid=1694734787&amp;sr=8-1")</f>
        <v/>
      </c>
      <c r="F1397" t="inlineStr">
        <is>
          <t>B01N55F81Z</t>
        </is>
      </c>
      <c r="G1397">
        <f>_xlfn.IMAGE("https://edmondsonsupply.com/cdn/shop/products/TRCD405-2.jpg?v=1633030397")</f>
        <v/>
      </c>
      <c r="H1397">
        <f>_xlfn.IMAGE("https://m.media-amazon.com/images/I/41CL3hacDyL._AC_UY218_.jpg")</f>
        <v/>
      </c>
      <c r="K1397" t="inlineStr">
        <is>
          <t>9.04</t>
        </is>
      </c>
      <c r="L1397" t="n">
        <v>19.87</v>
      </c>
      <c r="M1397" s="1" t="inlineStr">
        <is>
          <t>119.80%</t>
        </is>
      </c>
      <c r="N1397" s="7" t="n">
        <v>36.22</v>
      </c>
      <c r="O1397" t="n">
        <v>5</v>
      </c>
      <c r="P1397" t="n">
        <v>2</v>
      </c>
      <c r="R1397" t="inlineStr">
        <is>
          <t>InStock</t>
        </is>
      </c>
      <c r="S1397" t="inlineStr">
        <is>
          <t>undefined</t>
        </is>
      </c>
      <c r="T1397" t="inlineStr">
        <is>
          <t>5302353002664</t>
        </is>
      </c>
    </row>
    <row r="1398" ht="87" customHeight="1">
      <c r="A1398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398" s="2">
        <f>HYPERLINK("https://edmondsonsupply.com/products/packard-prmj145a-motor-start-capacitor-145-174-mfd", "https://edmondsonsupply.com/products/packard-prmj145a-motor-start-capacitor-145-174-mfd")</f>
        <v/>
      </c>
      <c r="C1398" t="inlineStr">
        <is>
          <t>Packard PRMJ145A Motor Start Capacitor 145-174 MFD</t>
        </is>
      </c>
      <c r="D1398" t="inlineStr">
        <is>
          <t>PRMJ145 - Packard Upgraded Replacement Motor Start Capacitor 145-174 MFD 330 Volt VAC</t>
        </is>
      </c>
      <c r="E1398" s="2">
        <f>HYPERLINK("https://www.amazon.com/PRMJ145-Packard-Upgraded-Replacement-Capacitor/dp/B0773VZKWV/ref=sr_1_3?keywords=Packard+PRMJ145A+Motor+Start+Capacitor+145-174+MFD&amp;qid=1694734791&amp;sr=8-3", "https://www.amazon.com/PRMJ145-Packard-Upgraded-Replacement-Capacitor/dp/B0773VZKWV/ref=sr_1_3?keywords=Packard+PRMJ145A+Motor+Start+Capacitor+145-174+MFD&amp;qid=1694734791&amp;sr=8-3")</f>
        <v/>
      </c>
      <c r="F1398" t="inlineStr">
        <is>
          <t>B0773VZKWV</t>
        </is>
      </c>
      <c r="G1398">
        <f>_xlfn.IMAGE("https://edmondsonsupply.com/cdn/shop/products/PRMJ145A-2.jpg?v=1633030335")</f>
        <v/>
      </c>
      <c r="H1398">
        <f>_xlfn.IMAGE("https://m.media-amazon.com/images/I/41fqQrQgJaL._AC_UY218_.jpg")</f>
        <v/>
      </c>
      <c r="K1398" t="inlineStr">
        <is>
          <t>7.51</t>
        </is>
      </c>
      <c r="L1398" t="n">
        <v>16.49</v>
      </c>
      <c r="M1398" s="1" t="inlineStr">
        <is>
          <t>119.57%</t>
        </is>
      </c>
      <c r="N1398" s="7" t="n">
        <v>36.09</v>
      </c>
      <c r="O1398" t="n">
        <v>5</v>
      </c>
      <c r="P1398" t="n">
        <v>2</v>
      </c>
      <c r="R1398" t="inlineStr">
        <is>
          <t>InStock</t>
        </is>
      </c>
      <c r="S1398" t="inlineStr">
        <is>
          <t>undefined</t>
        </is>
      </c>
      <c r="T1398" t="inlineStr">
        <is>
          <t>5272211062952</t>
        </is>
      </c>
    </row>
    <row r="1399" ht="87" customHeight="1">
      <c r="A1399" s="2">
        <f>HYPERLINK("https://edmondsonsupply.com/collections/hvac/products/fluke-62-max-mini-infrared-thermometer", "https://edmondsonsupply.com/collections/hvac/products/fluke-62-max-mini-infrared-thermometer")</f>
        <v/>
      </c>
      <c r="B1399" s="2">
        <f>HYPERLINK("https://edmondsonsupply.com/products/fluke-62-max-mini-infrared-thermometer", "https://edmondsonsupply.com/products/fluke-62-max-mini-infrared-thermometer")</f>
        <v/>
      </c>
      <c r="C1399" t="inlineStr">
        <is>
          <t>Fluke 62 MAX Mini Infrared Thermometer</t>
        </is>
      </c>
      <c r="D1399" t="inlineStr">
        <is>
          <t>FLUKE FLUKE-62 MAX+ INFRARED THERMOMETER, -30C to +650C / -22F to +1202F</t>
        </is>
      </c>
      <c r="E1399" s="2">
        <f>HYPERLINK("https://www.amazon.com/FLUKE-FLUKE-62-INFRARED-THERMOMETER-1202F/dp/B00BX8RMAY/ref=sr_1_4?keywords=Fluke+62+MAX+Mini+Infrared+Thermometer&amp;qid=1694734710&amp;sr=8-4", "https://www.amazon.com/FLUKE-FLUKE-62-INFRARED-THERMOMETER-1202F/dp/B00BX8RMAY/ref=sr_1_4?keywords=Fluke+62+MAX+Mini+Infrared+Thermometer&amp;qid=1694734710&amp;sr=8-4")</f>
        <v/>
      </c>
      <c r="F1399" t="inlineStr">
        <is>
          <t>B00BX8RMAY</t>
        </is>
      </c>
      <c r="G1399">
        <f>_xlfn.IMAGE("https://edmondsonsupply.com/cdn/shop/products/62max.jpg?v=1633030769")</f>
        <v/>
      </c>
      <c r="H1399">
        <f>_xlfn.IMAGE("https://m.media-amazon.com/images/I/51OF-Dz5VLL._AC_UY218_.jpg")</f>
        <v/>
      </c>
      <c r="K1399" t="inlineStr">
        <is>
          <t>122.99</t>
        </is>
      </c>
      <c r="L1399" t="n">
        <v>269.99</v>
      </c>
      <c r="M1399" s="1" t="inlineStr">
        <is>
          <t>119.52%</t>
        </is>
      </c>
      <c r="N1399" s="7" t="n">
        <v>35.68</v>
      </c>
      <c r="O1399" t="n">
        <v>5</v>
      </c>
      <c r="P1399" t="n">
        <v>3</v>
      </c>
      <c r="R1399" t="inlineStr">
        <is>
          <t>OutOfStock</t>
        </is>
      </c>
      <c r="S1399" t="inlineStr">
        <is>
          <t>134.99</t>
        </is>
      </c>
      <c r="T1399" t="inlineStr">
        <is>
          <t>5931906334888</t>
        </is>
      </c>
    </row>
    <row r="1400" ht="87" customHeight="1">
      <c r="A1400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1400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1400" t="inlineStr">
        <is>
          <t>Diablo Tools DMAPL4210 5/8 in. x 4 in. x 6 in. Rebar Demon™ SDS‑Plus 4‑Cutter Full Carbide Head Hammer Bit</t>
        </is>
      </c>
      <c r="D1400" t="inlineStr">
        <is>
          <t>Diablo by Freud DMAPL4230 5/8 in. x 10 in. x 12 in. Rebar Demon SDS-Plus 4-Cutter Full Carbide Head Hammer Bit</t>
        </is>
      </c>
      <c r="E1400" s="2">
        <f>HYPERLINK("https://www.amazon.com/Diablo-Freud-DMAPL4230-SDS-Plus-4-Cutter/dp/B089LCN234/ref=sr_1_15?keywords=Diablo+Tools+DMAPL4210+5%2F8+in.+x+4+in.+x+6+in.+Rebar+Demon%E2%84%A2+SDS%E2%80%91Plus+4%E2%80%91Cutter+Full+Carbide+Head+Hammer+Bit&amp;qid=1694734723&amp;sr=8-15", "https://www.amazon.com/Diablo-Freud-DMAPL4230-SDS-Plus-4-Cutter/dp/B089LCN234/ref=sr_1_15?keywords=Diablo+Tools+DMAPL4210+5%2F8+in.+x+4+in.+x+6+in.+Rebar+Demon%E2%84%A2+SDS%E2%80%91Plus+4%E2%80%91Cutter+Full+Carbide+Head+Hammer+Bit&amp;qid=1694734723&amp;sr=8-15")</f>
        <v/>
      </c>
      <c r="F1400" t="inlineStr">
        <is>
          <t>B089LCN234</t>
        </is>
      </c>
      <c r="G1400">
        <f>_xlfn.IMAGE("https://edmondsonsupply.com/cdn/shop/products/DMAPL4210_Main-Image20200701.png?v=1633030426")</f>
        <v/>
      </c>
      <c r="H1400">
        <f>_xlfn.IMAGE("https://m.media-amazon.com/images/I/61r649wmyhL._AC_UL320_.jpg")</f>
        <v/>
      </c>
      <c r="K1400" t="inlineStr">
        <is>
          <t>9.97</t>
        </is>
      </c>
      <c r="L1400" t="n">
        <v>21.86</v>
      </c>
      <c r="M1400" s="1" t="inlineStr">
        <is>
          <t>119.26%</t>
        </is>
      </c>
      <c r="N1400" s="7" t="n">
        <v>35.49</v>
      </c>
      <c r="O1400" t="n">
        <v>4.7</v>
      </c>
      <c r="P1400" t="n">
        <v>47</v>
      </c>
      <c r="R1400" t="inlineStr">
        <is>
          <t>InStock</t>
        </is>
      </c>
      <c r="S1400" t="inlineStr">
        <is>
          <t>13.77</t>
        </is>
      </c>
      <c r="T1400" t="inlineStr">
        <is>
          <t>5326920482984</t>
        </is>
      </c>
    </row>
    <row r="1401" ht="87" customHeight="1">
      <c r="A1401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401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401" t="inlineStr">
        <is>
          <t>Klein Tools 32304 14-in-1 HVAC Adjustable-Length Impact Screwdriver with Flip Socket</t>
        </is>
      </c>
      <c r="D1401" t="inlineStr">
        <is>
          <t>Klein Tools 32717 Precision Screwdriver Set &amp; 14-in-1 Adjustable Screwdriver with Flip Socket, HVAC Nut Drivers and Bits, Impact Rated Klein Tools 32304</t>
        </is>
      </c>
      <c r="E1401" s="2">
        <f>HYPERLINK("https://www.amazon.com/Klein-Tools-Precision-Screwdriver-Adjustable/dp/B0BRM3HJY8/ref=sr_1_9?keywords=Klein+Tools+32304+14-in-1+HVAC+Adjustable-Length+Impact+Screwdriver+with+Flip+Socket&amp;qid=1694734657&amp;sr=8-9", "https://www.amazon.com/Klein-Tools-Precision-Screwdriver-Adjustable/dp/B0BRM3HJY8/ref=sr_1_9?keywords=Klein+Tools+32304+14-in-1+HVAC+Adjustable-Length+Impact+Screwdriver+with+Flip+Socket&amp;qid=1694734657&amp;sr=8-9")</f>
        <v/>
      </c>
      <c r="F1401" t="inlineStr">
        <is>
          <t>B0BRM3HJY8</t>
        </is>
      </c>
      <c r="G1401">
        <f>_xlfn.IMAGE("https://edmondsonsupply.com/cdn/shop/products/32304.jpg?v=1666019479")</f>
        <v/>
      </c>
      <c r="H1401">
        <f>_xlfn.IMAGE("https://m.media-amazon.com/images/I/513WrxifIfL._AC_UL320_.jpg")</f>
        <v/>
      </c>
      <c r="K1401" t="inlineStr">
        <is>
          <t>24.97</t>
        </is>
      </c>
      <c r="L1401" t="n">
        <v>54.74</v>
      </c>
      <c r="M1401" s="1" t="inlineStr">
        <is>
          <t>119.22%</t>
        </is>
      </c>
      <c r="N1401" s="7" t="n">
        <v>35.39</v>
      </c>
      <c r="O1401" t="n">
        <v>4.9</v>
      </c>
      <c r="P1401" t="n">
        <v>9</v>
      </c>
      <c r="R1401" t="inlineStr">
        <is>
          <t>InStock</t>
        </is>
      </c>
      <c r="S1401" t="inlineStr">
        <is>
          <t>34.98</t>
        </is>
      </c>
      <c r="T1401" t="inlineStr">
        <is>
          <t>7856604578008</t>
        </is>
      </c>
    </row>
    <row r="1402" ht="87" customHeight="1">
      <c r="A1402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402" s="2">
        <f>HYPERLINK("https://edmondsonsupply.com/products/klein-tools-32314-14-in-1-precision-screwdriver-nut-driver", "https://edmondsonsupply.com/products/klein-tools-32314-14-in-1-precision-screwdriver-nut-driver")</f>
        <v/>
      </c>
      <c r="C1402" t="inlineStr">
        <is>
          <t>Klein Tools 32314 14-in-1 Precision Screwdriver/ Nut Driver</t>
        </is>
      </c>
      <c r="D1402" t="inlineStr">
        <is>
          <t>Klein Tools 32314 Electronic Screwdriver, 14-in-1 &amp; 7-in-1 Impact Flip Socket Set, 6 Hex Driver Sizes plus a 1/4-Inch Bit Holder Klein Tools 32907</t>
        </is>
      </c>
      <c r="E1402" s="2">
        <f>HYPERLINK("https://www.amazon.com/Klein-Tools-Electronic-Screwdriver-Impact/dp/B0BNL3ZWPN/ref=sr_1_22?keywords=Klein+Tools+32314+14-in-1+Precision+Screwdriver%2F+Nut+Driver&amp;qid=1694734697&amp;sr=8-22", "https://www.amazon.com/Klein-Tools-Electronic-Screwdriver-Impact/dp/B0BNL3ZWPN/ref=sr_1_22?keywords=Klein+Tools+32314+14-in-1+Precision+Screwdriver%2F+Nut+Driver&amp;qid=1694734697&amp;sr=8-22")</f>
        <v/>
      </c>
      <c r="F1402" t="inlineStr">
        <is>
          <t>B0BNL3ZWPN</t>
        </is>
      </c>
      <c r="G1402">
        <f>_xlfn.IMAGE("https://edmondsonsupply.com/cdn/shop/products/32314.jpg?v=1646593726")</f>
        <v/>
      </c>
      <c r="H1402">
        <f>_xlfn.IMAGE("https://m.media-amazon.com/images/I/41B80JnhFnL._AC_UL320_.jpg")</f>
        <v/>
      </c>
      <c r="K1402" t="inlineStr">
        <is>
          <t>15.97</t>
        </is>
      </c>
      <c r="L1402" t="n">
        <v>34.96</v>
      </c>
      <c r="M1402" s="1" t="inlineStr">
        <is>
          <t>118.91%</t>
        </is>
      </c>
      <c r="N1402" s="7" t="n">
        <v>35.18</v>
      </c>
      <c r="O1402" t="n">
        <v>5</v>
      </c>
      <c r="P1402" t="n">
        <v>1</v>
      </c>
      <c r="R1402" t="inlineStr">
        <is>
          <t>InStock</t>
        </is>
      </c>
      <c r="S1402" t="inlineStr">
        <is>
          <t>22.38</t>
        </is>
      </c>
      <c r="T1402" t="inlineStr">
        <is>
          <t>7626984947928</t>
        </is>
      </c>
    </row>
    <row r="1403" hidden="1" ht="15.75" customHeight="1">
      <c r="A1403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403" s="2">
        <f>HYPERLINK("https://edmondsonsupply.com/products/klein-tools-32314-14-in-1-precision-screwdriver-nut-driver", "https://edmondsonsupply.com/products/klein-tools-32314-14-in-1-precision-screwdriver-nut-driver")</f>
        <v/>
      </c>
      <c r="C1403" t="inlineStr">
        <is>
          <t>Klein Tools 32314 14-in-1 Precision Screwdriver/ Nut Driver</t>
        </is>
      </c>
      <c r="D1403" t="inlineStr">
        <is>
          <t>Klein Tools 32303 Multi-Bit Screwdriver/Nut Driver, Impact Rated 14-in-1 Magnetic Screwdriver Set &amp; 32314 Electronic Screwdriver, 14-in-1</t>
        </is>
      </c>
      <c r="E1403" s="2">
        <f>HYPERLINK("https://www.amazon.com/Klein-Tools-Multi-Bit-Screwdriver-Electronic/dp/B0B7VV5FF2/ref=sr_1_12?keywords=Klein+Tools+32314+14-in-1+Precision+Screwdriver%2F+Nut+Driver&amp;qid=1694734697&amp;sr=8-12", "https://www.amazon.com/Klein-Tools-Multi-Bit-Screwdriver-Electronic/dp/B0B7VV5FF2/ref=sr_1_12?keywords=Klein+Tools+32314+14-in-1+Precision+Screwdriver%2F+Nut+Driver&amp;qid=1694734697&amp;sr=8-12")</f>
        <v/>
      </c>
      <c r="F1403" t="inlineStr">
        <is>
          <t>B0B7VV5FF2</t>
        </is>
      </c>
      <c r="G1403">
        <f>_xludf.IMAGE("https://edmondsonsupply.com/cdn/shop/products/32314.jpg?v=1646593726")</f>
        <v/>
      </c>
      <c r="H1403">
        <f>_xludf.IMAGE("https://m.media-amazon.com/images/I/41HBumDKSDL._AC_UL320_.jpg")</f>
        <v/>
      </c>
      <c r="K1403" t="inlineStr">
        <is>
          <t>15.97</t>
        </is>
      </c>
      <c r="L1403" t="n">
        <v>34.94</v>
      </c>
      <c r="M1403" s="1" t="inlineStr">
        <is>
          <t>118.79%</t>
        </is>
      </c>
      <c r="N1403" s="1" t="n">
        <v>35.17</v>
      </c>
      <c r="O1403" t="n">
        <v>4</v>
      </c>
      <c r="P1403" t="n">
        <v>1</v>
      </c>
      <c r="R1403" t="inlineStr">
        <is>
          <t>InStock</t>
        </is>
      </c>
      <c r="S1403" t="inlineStr">
        <is>
          <t>22.38</t>
        </is>
      </c>
      <c r="T1403" t="inlineStr">
        <is>
          <t>7626984947928</t>
        </is>
      </c>
    </row>
    <row r="1404" ht="87" customHeight="1">
      <c r="A1404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1404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1404" t="inlineStr">
        <is>
          <t>Packard TRCFD455 Titan PRO Run Capacitor 45+5 MFD 440/370 Volt Round</t>
        </is>
      </c>
      <c r="D1404" t="inlineStr">
        <is>
          <t>Titan TRCFD455 Dual Rated Motor Run Capacitor Round MFD 45/5 Volts 440</t>
        </is>
      </c>
      <c r="E1404" s="2">
        <f>HYPERLINK("https://www.amazon.com/Titan-TRCFD455-Rated-Motor-Capacitor/dp/B01HPIYGXG/ref=sr_1_4?keywords=Packard+TRCFD455+Titan+PRO+Run+Capacitor+45%2B5+MFD+440%2F370+Volt+Round&amp;qid=1694734617&amp;sr=8-4", "https://www.amazon.com/Titan-TRCFD455-Rated-Motor-Capacitor/dp/B01HPIYGXG/ref=sr_1_4?keywords=Packard+TRCFD455+Titan+PRO+Run+Capacitor+45%2B5+MFD+440%2F370+Volt+Round&amp;qid=1694734617&amp;sr=8-4")</f>
        <v/>
      </c>
      <c r="F1404" t="inlineStr">
        <is>
          <t>B01HPIYGXG</t>
        </is>
      </c>
      <c r="G1404">
        <f>_xlfn.IMAGE("https://edmondsonsupply.com/cdn/shop/products/TRCFD455-2.jpg?v=1587147298")</f>
        <v/>
      </c>
      <c r="H1404">
        <f>_xlfn.IMAGE("https://m.media-amazon.com/images/I/41PR+nyKvsL._AC_UY218_.jpg")</f>
        <v/>
      </c>
      <c r="K1404" t="inlineStr">
        <is>
          <t>8.99</t>
        </is>
      </c>
      <c r="L1404" t="n">
        <v>19.64</v>
      </c>
      <c r="M1404" s="1" t="inlineStr">
        <is>
          <t>118.46%</t>
        </is>
      </c>
      <c r="N1404" s="7" t="n">
        <v>35.12</v>
      </c>
      <c r="O1404" t="n">
        <v>4.7</v>
      </c>
      <c r="P1404" t="n">
        <v>231</v>
      </c>
      <c r="R1404" t="inlineStr">
        <is>
          <t>OutOfStock</t>
        </is>
      </c>
      <c r="S1404" t="inlineStr">
        <is>
          <t>undefined</t>
        </is>
      </c>
      <c r="T1404" t="inlineStr">
        <is>
          <t>4309334556772</t>
        </is>
      </c>
    </row>
    <row r="1405" hidden="1" ht="15.75" customHeight="1">
      <c r="A1405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405" s="2">
        <f>HYPERLINK("https://edmondsonsupply.com/products/packard-pmj590-motor-start-capacitor-590-708-mfd-110-125-volt", "https://edmondsonsupply.com/products/packard-pmj590-motor-start-capacitor-590-708-mfd-110-125-volt")</f>
        <v/>
      </c>
      <c r="C1405" t="inlineStr">
        <is>
          <t>Packard PMJ590 Motor Start Capacitor 590-708 MFD 110-125 Volt</t>
        </is>
      </c>
      <c r="D1405" t="inlineStr">
        <is>
          <t>590-708 mfd uF 110-125VAC ±20% Volts Round Motor Start Capacitor 50/60 Hz AC Electric Replacement Part by Blue Stars</t>
        </is>
      </c>
      <c r="E1405" s="2">
        <f>HYPERLINK("https://www.amazon.com/590-708-110-125VAC-Capacitor-Electric-Replacement/dp/B0B7VR1PM8/ref=sr_1_7?keywords=Packard+PMJ590+Motor+Start+Capacitor+590-708+MFD+110-125+Volt&amp;qid=1694734721&amp;sr=8-7", "https://www.amazon.com/590-708-110-125VAC-Capacitor-Electric-Replacement/dp/B0B7VR1PM8/ref=sr_1_7?keywords=Packard+PMJ590+Motor+Start+Capacitor+590-708+MFD+110-125+Volt&amp;qid=1694734721&amp;sr=8-7")</f>
        <v/>
      </c>
      <c r="F1405" t="inlineStr">
        <is>
          <t>B0B7VR1PM8</t>
        </is>
      </c>
      <c r="G1405">
        <f>_xludf.IMAGE("https://edmondsonsupply.com/cdn/shop/products/PMJ590-2.jpg?v=1633030307")</f>
        <v/>
      </c>
      <c r="H1405">
        <f>_xludf.IMAGE("https://m.media-amazon.com/images/I/71lwYOaucJL._AC_UY218_.jpg")</f>
        <v/>
      </c>
      <c r="K1405" t="inlineStr">
        <is>
          <t>6.18</t>
        </is>
      </c>
      <c r="L1405" t="n">
        <v>13.49</v>
      </c>
      <c r="M1405" s="1" t="inlineStr">
        <is>
          <t>118.28%</t>
        </is>
      </c>
      <c r="N1405" s="1" t="n">
        <v>35.09</v>
      </c>
      <c r="O1405" t="n">
        <v>4.6</v>
      </c>
      <c r="P1405" t="n">
        <v>12</v>
      </c>
      <c r="R1405" t="inlineStr">
        <is>
          <t>InStock</t>
        </is>
      </c>
      <c r="S1405" t="inlineStr">
        <is>
          <t>undefined</t>
        </is>
      </c>
      <c r="T1405" t="inlineStr">
        <is>
          <t>5241729712296</t>
        </is>
      </c>
    </row>
    <row r="1406" ht="87" customHeight="1">
      <c r="A1406" s="2">
        <f>HYPERLINK("https://edmondsonsupply.com/collections/hvac/products/icm-controls-icm203-delay-on-break-timer-with-03-10-minute-adjustable-time-delay-universal-18-240-vac", "https://edmondsonsupply.com/collections/hvac/products/icm-controls-icm203-delay-on-break-timer-with-03-10-minute-adjustable-time-delay-universal-18-240-vac")</f>
        <v/>
      </c>
      <c r="B1406" s="2">
        <f>HYPERLINK("https://edmondsonsupply.com/products/icm-controls-icm203-delay-on-break-timer-with-03-10-minute-adjustable-time-delay-universal-18-240-vac", "https://edmondsonsupply.com/products/icm-controls-icm203-delay-on-break-timer-with-03-10-minute-adjustable-time-delay-universal-18-240-vac")</f>
        <v/>
      </c>
      <c r="C1406" t="inlineStr">
        <is>
          <t>ICM Controls ICM203 Delay on Break Timer with .03-10 Minute Adjustable Time Delay, Universal 18-240 VAC</t>
        </is>
      </c>
      <c r="D1406" t="inlineStr">
        <is>
          <t>ICM Controls ICM105 Delay-on-Make Timer with 0.03-10 Minute Adjustable Delay, Universal 18-240 VAC</t>
        </is>
      </c>
      <c r="E1406" s="2">
        <f>HYPERLINK("https://www.amazon.com/ICM-Controls-ICM105-Adjustable-Universal/dp/B00441XZXK/ref=sr_1_1?keywords=ICM+Controls+ICM203+Delay+on+Break+Timer+with+.03-10+Minute+Adjustable+Time+Delay%2C+Universal+18-240+VAC&amp;qid=1694734641&amp;sr=8-1", "https://www.amazon.com/ICM-Controls-ICM105-Adjustable-Universal/dp/B00441XZXK/ref=sr_1_1?keywords=ICM+Controls+ICM203+Delay+on+Break+Timer+with+.03-10+Minute+Adjustable+Time+Delay%2C+Universal+18-240+VAC&amp;qid=1694734641&amp;sr=8-1")</f>
        <v/>
      </c>
      <c r="F1406" t="inlineStr">
        <is>
          <t>B00441XZXK</t>
        </is>
      </c>
      <c r="G1406">
        <f>_xlfn.IMAGE("https://edmondsonsupply.com/cdn/shop/products/icm203.jpg?v=1587148866")</f>
        <v/>
      </c>
      <c r="H1406">
        <f>_xlfn.IMAGE("https://m.media-amazon.com/images/I/61Fd+ZYvG1L._AC_UL320_.jpg")</f>
        <v/>
      </c>
      <c r="K1406" t="inlineStr">
        <is>
          <t>15.7</t>
        </is>
      </c>
      <c r="L1406" t="n">
        <v>34.25</v>
      </c>
      <c r="M1406" s="1" t="inlineStr">
        <is>
          <t>118.15%</t>
        </is>
      </c>
      <c r="N1406" s="7" t="n">
        <v>35.07</v>
      </c>
      <c r="O1406" t="n">
        <v>4.3</v>
      </c>
      <c r="P1406" t="n">
        <v>4</v>
      </c>
      <c r="R1406" t="inlineStr">
        <is>
          <t>InStock</t>
        </is>
      </c>
      <c r="S1406" t="inlineStr">
        <is>
          <t>18.92</t>
        </is>
      </c>
      <c r="T1406" t="inlineStr">
        <is>
          <t>4169307979876</t>
        </is>
      </c>
    </row>
    <row r="1407" ht="87" customHeight="1">
      <c r="A1407" s="2">
        <f>HYPERLINK("https://edmondsonsupply.com/collections/hvac/products/milwaukee-49-56-7000-small-thread-arbor-7-16-shank", "https://edmondsonsupply.com/collections/hvac/products/milwaukee-49-56-7000-small-thread-arbor-7-16-shank")</f>
        <v/>
      </c>
      <c r="B1407" s="2">
        <f>HYPERLINK("https://edmondsonsupply.com/products/milwaukee-49-56-7000-small-thread-arbor-7-16-shank", "https://edmondsonsupply.com/products/milwaukee-49-56-7000-small-thread-arbor-7-16-shank")</f>
        <v/>
      </c>
      <c r="C1407" t="inlineStr">
        <is>
          <t>Milwaukee 49-56-7000 Small Thread Arbor, 7/16" Shank</t>
        </is>
      </c>
      <c r="D1407" t="inlineStr">
        <is>
          <t>MILWAUKEE'S Hole Saw Arbor, 7/16 Shank, 5/8-18 Thread, 1/2 in, 49-56-9100</t>
        </is>
      </c>
      <c r="E1407" s="2">
        <f>HYPERLINK("https://www.amazon.com/Milwaukee-49-56-9100-16-Inch-Hole-Arbor/dp/B0019VAV2G/ref=sr_1_2?keywords=Milwaukee+49-56-7000+Small+Thread+Arbor%2C+7%2F16%22+Shank&amp;qid=1694734919&amp;sr=8-2", "https://www.amazon.com/Milwaukee-49-56-9100-16-Inch-Hole-Arbor/dp/B0019VAV2G/ref=sr_1_2?keywords=Milwaukee+49-56-7000+Small+Thread+Arbor%2C+7%2F16%22+Shank&amp;qid=1694734919&amp;sr=8-2")</f>
        <v/>
      </c>
      <c r="F1407" t="inlineStr">
        <is>
          <t>B0019VAV2G</t>
        </is>
      </c>
      <c r="G1407">
        <f>_xlfn.IMAGE("https://edmondsonsupply.com/cdn/shop/files/51029_49-56-7000-lg.jpg?v=1686151660")</f>
        <v/>
      </c>
      <c r="H1407">
        <f>_xlfn.IMAGE("https://m.media-amazon.com/images/I/41OTK6p0M-S._AC_UL320_.jpg")</f>
        <v/>
      </c>
      <c r="K1407" t="inlineStr">
        <is>
          <t>10.97</t>
        </is>
      </c>
      <c r="L1407" t="n">
        <v>23.9</v>
      </c>
      <c r="M1407" s="1" t="inlineStr">
        <is>
          <t>117.87%</t>
        </is>
      </c>
      <c r="N1407" s="7" t="n">
        <v>34.98</v>
      </c>
      <c r="O1407" t="n">
        <v>4.6</v>
      </c>
      <c r="P1407" t="n">
        <v>93</v>
      </c>
      <c r="R1407" t="inlineStr">
        <is>
          <t>InStock</t>
        </is>
      </c>
      <c r="S1407" t="inlineStr">
        <is>
          <t>19.0</t>
        </is>
      </c>
      <c r="T1407" t="inlineStr">
        <is>
          <t>8002379284696</t>
        </is>
      </c>
    </row>
    <row r="1408" ht="87" customHeight="1">
      <c r="A1408" s="2">
        <f>HYPERLINK("https://edmondsonsupply.com/collections/hvac/products/midwest-mwt-ss6510r-special-hardness-offset-aviation-snip-right-cutting", "https://edmondsonsupply.com/collections/hvac/products/midwest-mwt-ss6510r-special-hardness-offset-aviation-snip-right-cutting")</f>
        <v/>
      </c>
      <c r="B1408" s="2">
        <f>HYPERLINK("https://edmondsonsupply.com/products/midwest-mwt-ss6510r-special-hardness-offset-aviation-snip-right-cutting", "https://edmondsonsupply.com/products/midwest-mwt-ss6510r-special-hardness-offset-aviation-snip-right-cutting")</f>
        <v/>
      </c>
      <c r="C1408" t="inlineStr">
        <is>
          <t>Midwest MWT-SS6510R Special Hardness Offset Aviation Snip - Right-Cutting</t>
        </is>
      </c>
      <c r="D1408" t="inlineStr">
        <is>
          <t>MIDWEST Aviation Snip - Left and Right Cut Offset Stainless Steel Cutting Shears with Forged Blade &amp; KUSH'N-POWER Comfort Grips - MWT-SS6510C</t>
        </is>
      </c>
      <c r="E1408" s="2">
        <f>HYPERLINK("https://www.amazon.com/MIDWEST-Aviation-Snip-Set-KUSHN-POWER/dp/B07RC7ZBK9/ref=sr_1_3?keywords=Midwest+MWT-SS6510R+Special+Hardness+Offset+Aviation+Snip+-+Right-Cutting&amp;qid=1694734585&amp;sr=8-3", "https://www.amazon.com/MIDWEST-Aviation-Snip-Set-KUSHN-POWER/dp/B07RC7ZBK9/ref=sr_1_3?keywords=Midwest+MWT-SS6510R+Special+Hardness+Offset+Aviation+Snip+-+Right-Cutting&amp;qid=1694734585&amp;sr=8-3")</f>
        <v/>
      </c>
      <c r="F1408" t="inlineStr">
        <is>
          <t>B07RC7ZBK9</t>
        </is>
      </c>
      <c r="G1408">
        <f>_xlfn.IMAGE("https://edmondsonsupply.com/cdn/shop/products/MWT-SSP6510R.jpg?v=1587142544")</f>
        <v/>
      </c>
      <c r="H1408">
        <f>_xlfn.IMAGE("https://m.media-amazon.com/images/I/71438hbSyHL._AC_UL320_.jpg")</f>
        <v/>
      </c>
      <c r="K1408" t="inlineStr">
        <is>
          <t>32.15</t>
        </is>
      </c>
      <c r="L1408" t="n">
        <v>69.98999999999999</v>
      </c>
      <c r="M1408" s="1" t="inlineStr">
        <is>
          <t>117.70%</t>
        </is>
      </c>
      <c r="N1408" s="7" t="n">
        <v>34.82</v>
      </c>
      <c r="O1408" t="n">
        <v>4.4</v>
      </c>
      <c r="P1408" t="n">
        <v>1128</v>
      </c>
      <c r="R1408" t="inlineStr">
        <is>
          <t>OutOfStock</t>
        </is>
      </c>
      <c r="S1408" t="inlineStr">
        <is>
          <t>47.17</t>
        </is>
      </c>
      <c r="T1408" t="inlineStr">
        <is>
          <t>4473073107044</t>
        </is>
      </c>
    </row>
    <row r="1409" ht="87" customHeight="1">
      <c r="A1409" s="2">
        <f>HYPERLINK("https://edmondsonsupply.com/collections/hvac/products/packard-c240c-contactor-2-pole-40-amps-208-240-coil-voltage", "https://edmondsonsupply.com/collections/hvac/products/packard-c240c-contactor-2-pole-40-amps-208-240-coil-voltage")</f>
        <v/>
      </c>
      <c r="B1409" s="2">
        <f>HYPERLINK("https://edmondsonsupply.com/products/packard-c240c-contactor-2-pole-40-amps-208-240-coil-voltage", "https://edmondsonsupply.com/products/packard-c240c-contactor-2-pole-40-amps-208-240-coil-voltage")</f>
        <v/>
      </c>
      <c r="C1409" t="inlineStr">
        <is>
          <t>Packard C240C Contactor 2 Pole 40 AMPS 208/240 Coil Voltage</t>
        </is>
      </c>
      <c r="D1409" t="inlineStr">
        <is>
          <t>Packard C340C 3 Pole 40 Amp Contactor 208/240 Volt Coil Contactor</t>
        </is>
      </c>
      <c r="E1409" s="2">
        <f>HYPERLINK("https://www.amazon.com/Packard-C340C-Pole-Contactor-Volt/dp/B004ZRWGGA/ref=sr_1_3?keywords=Packard+C240C+Contactor+2+Pole+40+AMPS+208%2F240+Coil+Voltage&amp;qid=1694734584&amp;sr=8-3", "https://www.amazon.com/Packard-C340C-Pole-Contactor-Volt/dp/B004ZRWGGA/ref=sr_1_3?keywords=Packard+C240C+Contactor+2+Pole+40+AMPS+208%2F240+Coil+Voltage&amp;qid=1694734584&amp;sr=8-3")</f>
        <v/>
      </c>
      <c r="F1409" t="inlineStr">
        <is>
          <t>B004ZRWGGA</t>
        </is>
      </c>
      <c r="G1409">
        <f>_xlfn.IMAGE("https://edmondsonsupply.com/cdn/shop/products/C240C-1.jpg?v=1633030123")</f>
        <v/>
      </c>
      <c r="H1409">
        <f>_xlfn.IMAGE("https://m.media-amazon.com/images/I/71LfPG7H6RL._AC_UY218_.jpg")</f>
        <v/>
      </c>
      <c r="K1409" t="inlineStr">
        <is>
          <t>12.22</t>
        </is>
      </c>
      <c r="L1409" t="n">
        <v>26.45</v>
      </c>
      <c r="M1409" s="1" t="inlineStr">
        <is>
          <t>116.45%</t>
        </is>
      </c>
      <c r="N1409" s="7" t="n">
        <v>34.66</v>
      </c>
      <c r="O1409" t="n">
        <v>4.4</v>
      </c>
      <c r="P1409" t="n">
        <v>131</v>
      </c>
      <c r="R1409" t="inlineStr">
        <is>
          <t>InStock</t>
        </is>
      </c>
      <c r="S1409" t="inlineStr">
        <is>
          <t>undefined</t>
        </is>
      </c>
      <c r="T1409" t="inlineStr">
        <is>
          <t>3691103715428</t>
        </is>
      </c>
    </row>
    <row r="1410" ht="87" customHeight="1">
      <c r="A1410" s="2">
        <f>HYPERLINK("https://edmondsonsupply.com/collections/hvac/products/freud-99-240-2-drawer-lock-bit", "https://edmondsonsupply.com/collections/hvac/products/freud-99-240-2-drawer-lock-bit")</f>
        <v/>
      </c>
      <c r="B1410" s="2">
        <f>HYPERLINK("https://edmondsonsupply.com/products/freud-99-240-2-drawer-lock-bit", "https://edmondsonsupply.com/products/freud-99-240-2-drawer-lock-bit")</f>
        <v/>
      </c>
      <c r="C1410" t="inlineStr">
        <is>
          <t>Freud 99-240 2" Drawer Lock Bit</t>
        </is>
      </c>
      <c r="D1410" t="inlineStr">
        <is>
          <t>Freud 99-035: 2-11/64" (Dia.) Lock Miter Bit with 1/2" Shank</t>
        </is>
      </c>
      <c r="E1410" s="2">
        <f>HYPERLINK("https://www.amazon.com/Freud-2-11-Miter-Shank-99-035/dp/B0002TUDLU/ref=sr_1_2?keywords=Freud+99-240+2%22+Drawer+Lock+Bit&amp;qid=1694734902&amp;sr=8-2", "https://www.amazon.com/Freud-2-11-Miter-Shank-99-035/dp/B0002TUDLU/ref=sr_1_2?keywords=Freud+99-240+2%22+Drawer+Lock+Bit&amp;qid=1694734902&amp;sr=8-2")</f>
        <v/>
      </c>
      <c r="F1410" t="inlineStr">
        <is>
          <t>B0002TUDLU</t>
        </is>
      </c>
      <c r="G1410">
        <f>_xlfn.IMAGE("https://edmondsonsupply.com/cdn/shop/files/2-dia-drawer-lock-bit.webp?v=1687359925")</f>
        <v/>
      </c>
      <c r="H1410">
        <f>_xlfn.IMAGE("https://m.media-amazon.com/images/I/71TanKAl+QL._AC_UL320_.jpg")</f>
        <v/>
      </c>
      <c r="K1410" t="inlineStr">
        <is>
          <t>36.98</t>
        </is>
      </c>
      <c r="L1410" t="n">
        <v>79.98999999999999</v>
      </c>
      <c r="M1410" s="1" t="inlineStr">
        <is>
          <t>116.31%</t>
        </is>
      </c>
      <c r="N1410" s="7" t="n">
        <v>34.63</v>
      </c>
      <c r="O1410" t="n">
        <v>4.3</v>
      </c>
      <c r="P1410" t="n">
        <v>57</v>
      </c>
      <c r="R1410" t="inlineStr">
        <is>
          <t>InStock</t>
        </is>
      </c>
      <c r="S1410" t="inlineStr">
        <is>
          <t>63.21</t>
        </is>
      </c>
      <c r="T1410" t="inlineStr">
        <is>
          <t>8007803601112</t>
        </is>
      </c>
    </row>
    <row r="1411" ht="87" customHeight="1">
      <c r="A1411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411" s="2">
        <f>HYPERLINK("https://edmondsonsupply.com/products/packard-prmj189-motor-start-capacitor-189-227-mfd-330-vac", "https://edmondsonsupply.com/products/packard-prmj189-motor-start-capacitor-189-227-mfd-330-vac")</f>
        <v/>
      </c>
      <c r="C1411" t="inlineStr">
        <is>
          <t>Packard PRMJ189 Motor Start Capacitor 189-227 MFD 330 VAC</t>
        </is>
      </c>
      <c r="D1411" t="inlineStr">
        <is>
          <t>PRMJ189 - Packard Aftermarket Replacement Motor Start Capacitor 189-227 MFD 330 Volt</t>
        </is>
      </c>
      <c r="E1411" s="2">
        <f>HYPERLINK("https://www.amazon.com/PRMJ189-Packard-Aftermarket-Replacement-Capacitor/dp/B00IWYGOTM/ref=sr_1_3?keywords=Packard+PRMJ189+Motor+Start+Capacitor+189-227+MFD+330+VAC&amp;qid=1694734820&amp;sr=8-3", "https://www.amazon.com/PRMJ189-Packard-Aftermarket-Replacement-Capacitor/dp/B00IWYGOTM/ref=sr_1_3?keywords=Packard+PRMJ189+Motor+Start+Capacitor+189-227+MFD+330+VAC&amp;qid=1694734820&amp;sr=8-3")</f>
        <v/>
      </c>
      <c r="F1411" t="inlineStr">
        <is>
          <t>B00IWYGOTM</t>
        </is>
      </c>
      <c r="G1411">
        <f>_xlfn.IMAGE("https://edmondsonsupply.com/cdn/shop/products/PRMJ189-2.jpg?v=1663378512")</f>
        <v/>
      </c>
      <c r="H1411">
        <f>_xlfn.IMAGE("https://m.media-amazon.com/images/I/41iN-8gLZyL._AC_UY218_.jpg")</f>
        <v/>
      </c>
      <c r="K1411" t="inlineStr">
        <is>
          <t>8.59</t>
        </is>
      </c>
      <c r="L1411" t="n">
        <v>18.49</v>
      </c>
      <c r="M1411" s="1" t="inlineStr">
        <is>
          <t>115.25%</t>
        </is>
      </c>
      <c r="N1411" s="7" t="n">
        <v>34.47</v>
      </c>
      <c r="O1411" t="n">
        <v>5</v>
      </c>
      <c r="P1411" t="n">
        <v>1</v>
      </c>
      <c r="R1411" t="inlineStr">
        <is>
          <t>InStock</t>
        </is>
      </c>
      <c r="S1411" t="inlineStr">
        <is>
          <t>undefined</t>
        </is>
      </c>
      <c r="T1411" t="inlineStr">
        <is>
          <t>4298778378340</t>
        </is>
      </c>
    </row>
    <row r="1412" hidden="1" ht="15.75" customHeight="1">
      <c r="A1412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412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412" t="inlineStr">
        <is>
          <t>Klein Tools JTH4E11 3/16-Inch Hex Key with Journeyman T-Handle, 4-Inch</t>
        </is>
      </c>
      <c r="D1412" t="inlineStr">
        <is>
          <t>Klein Tools 70575 Grip-It Hex Key Set, 9-Key, 3-3/4-Inch Handle, SAE Sizes</t>
        </is>
      </c>
      <c r="E1412" s="2">
        <f>HYPERLINK("https://www.amazon.com/Grip-Square-Klein-Tools-70575/dp/B0002RI8PK/ref=sr_1_40?keywords=Klein+Tools+JTH4E11+3%2F16-Inch+Hex+Key+with+Journeyman+T-Handle%2C+4-Inch&amp;qid=1694734725&amp;sr=8-40", "https://www.amazon.com/Grip-Square-Klein-Tools-70575/dp/B0002RI8PK/ref=sr_1_40?keywords=Klein+Tools+JTH4E11+3%2F16-Inch+Hex+Key+with+Journeyman+T-Handle%2C+4-Inch&amp;qid=1694734725&amp;sr=8-40")</f>
        <v/>
      </c>
      <c r="F1412" t="inlineStr">
        <is>
          <t>B0002RI8PK</t>
        </is>
      </c>
      <c r="G1412">
        <f>_xludf.IMAGE("https://edmondsonsupply.com/cdn/shop/products/jth4e17.jpg?v=1587144836")</f>
        <v/>
      </c>
      <c r="H1412">
        <f>_xludf.IMAGE("https://m.media-amazon.com/images/I/51C7aw6OxTL._AC_UL320_.jpg")</f>
        <v/>
      </c>
      <c r="K1412" t="inlineStr">
        <is>
          <t>4.99</t>
        </is>
      </c>
      <c r="L1412" t="n">
        <v>10.74</v>
      </c>
      <c r="M1412" s="1" t="inlineStr">
        <is>
          <t>115.23%</t>
        </is>
      </c>
      <c r="N1412" s="1" t="n">
        <v>34.29</v>
      </c>
      <c r="O1412" t="n">
        <v>4.4</v>
      </c>
      <c r="P1412" t="n">
        <v>65</v>
      </c>
      <c r="R1412" t="inlineStr">
        <is>
          <t>InStock</t>
        </is>
      </c>
      <c r="S1412" t="inlineStr">
        <is>
          <t>7.6</t>
        </is>
      </c>
      <c r="T1412" t="inlineStr">
        <is>
          <t>4432217964644</t>
        </is>
      </c>
    </row>
    <row r="1413" ht="87" customHeight="1">
      <c r="A1413" s="2">
        <f>HYPERLINK("https://edmondsonsupply.com/collections/hvac/products/milwaukee-48-22-1502-fastback%E2%84%A2-folding-utility-knife-w-blade-storage", "https://edmondsonsupply.com/collections/hvac/products/milwaukee-48-22-1502-fastback%E2%84%A2-folding-utility-knife-w-blade-storage")</f>
        <v/>
      </c>
      <c r="B1413" s="2">
        <f>HYPERLINK("https://edmondsonsupply.com/products/milwaukee-48-22-1502-fastback%e2%84%a2-folding-utility-knife-w-blade-storage", "https://edmondsonsupply.com/products/milwaukee-48-22-1502-fastback%e2%84%a2-folding-utility-knife-w-blade-storage")</f>
        <v/>
      </c>
      <c r="C1413" t="inlineStr">
        <is>
          <t>Milwaukee 48-22-1502 FASTBACK™ Folding Utility Knife w/ Blade Storage</t>
        </is>
      </c>
      <c r="D1413" t="inlineStr">
        <is>
          <t>For Milwaukee Tool 48-22-1505 Fastback™ 6In1 Folding Utility Knife</t>
        </is>
      </c>
      <c r="E1413" s="2">
        <f>HYPERLINK("https://www.amazon.com/Milwaukee-48-22-1505-FastbackTM-Folding-Utility/dp/B0C69TGH9K/ref=sr_1_6?keywords=Milwaukee+48-22-1502+FASTBACK%E2%84%A2+Folding+Utility+Knife+w%2F+Blade+Storage&amp;qid=1694734633&amp;sr=8-6", "https://www.amazon.com/Milwaukee-48-22-1505-FastbackTM-Folding-Utility/dp/B0C69TGH9K/ref=sr_1_6?keywords=Milwaukee+48-22-1502+FASTBACK%E2%84%A2+Folding+Utility+Knife+w%2F+Blade+Storage&amp;qid=1694734633&amp;sr=8-6")</f>
        <v/>
      </c>
      <c r="F1413" t="inlineStr">
        <is>
          <t>B0C69TGH9K</t>
        </is>
      </c>
      <c r="G1413">
        <f>_xlfn.IMAGE("https://edmondsonsupply.com/cdn/shop/products/48-22-1502_3.png?v=1587148345")</f>
        <v/>
      </c>
      <c r="H1413">
        <f>_xlfn.IMAGE("https://m.media-amazon.com/images/I/41ZUsUsHByL._AC_UL320_.jpg")</f>
        <v/>
      </c>
      <c r="K1413" t="inlineStr">
        <is>
          <t>14.97</t>
        </is>
      </c>
      <c r="L1413" t="n">
        <v>32.19</v>
      </c>
      <c r="M1413" s="1" t="inlineStr">
        <is>
          <t>115.03%</t>
        </is>
      </c>
      <c r="N1413" s="7" t="n">
        <v>34.15</v>
      </c>
      <c r="O1413" t="n">
        <v>4.5</v>
      </c>
      <c r="P1413" t="n">
        <v>2</v>
      </c>
      <c r="R1413" t="inlineStr">
        <is>
          <t>InStock</t>
        </is>
      </c>
      <c r="S1413" t="inlineStr">
        <is>
          <t>23.0</t>
        </is>
      </c>
      <c r="T1413" t="inlineStr">
        <is>
          <t>4399154069604</t>
        </is>
      </c>
    </row>
    <row r="1414" hidden="1" ht="15.75" customHeight="1">
      <c r="A1414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414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414" t="inlineStr">
        <is>
          <t>Klein Tools 70550 Pro Folding Hex Key Set, 11-Key, SAE Sizes</t>
        </is>
      </c>
      <c r="D1414" t="inlineStr">
        <is>
          <t>Klein Tools 9216 Tape Measure, Heavy-Duty Measuring Tape &amp; 70550 Hex Wrench Key Set, 11 SAE Sizes, Heavy Duty Folding Allen Wrench Tool with Extra Long Hex Keys</t>
        </is>
      </c>
      <c r="E1414" s="2">
        <f>HYPERLINK("https://www.amazon.com/Klein-Tools-Measure-Heavy-Duty-Measuring/dp/B0BNL7Y8XB/ref=sr_1_10?keywords=Klein+Tools+70550+Pro+Folding+Hex+Key+Set%2C+11-Key%2C+SAE+Sizes&amp;qid=1694734808&amp;sr=8-10", "https://www.amazon.com/Klein-Tools-Measure-Heavy-Duty-Measuring/dp/B0BNL7Y8XB/ref=sr_1_10?keywords=Klein+Tools+70550+Pro+Folding+Hex+Key+Set%2C+11-Key%2C+SAE+Sizes&amp;qid=1694734808&amp;sr=8-10")</f>
        <v/>
      </c>
      <c r="F1414" t="inlineStr">
        <is>
          <t>B0BNL7Y8XB</t>
        </is>
      </c>
      <c r="G1414">
        <f>_xludf.IMAGE("https://edmondsonsupply.com/cdn/shop/products/70550.jpg?v=1587145237")</f>
        <v/>
      </c>
      <c r="H1414">
        <f>_xludf.IMAGE("https://m.media-amazon.com/images/I/51KQf51gyFL._AC_UL320_.jpg")</f>
        <v/>
      </c>
      <c r="K1414" t="inlineStr">
        <is>
          <t>19.97</t>
        </is>
      </c>
      <c r="L1414" t="n">
        <v>42.94</v>
      </c>
      <c r="M1414" s="1" t="inlineStr">
        <is>
          <t>115.02%</t>
        </is>
      </c>
      <c r="N1414" s="1" t="n">
        <v>34.03</v>
      </c>
      <c r="O1414" t="n">
        <v>3.8</v>
      </c>
      <c r="P1414" t="n">
        <v>4</v>
      </c>
      <c r="R1414" t="inlineStr">
        <is>
          <t>InStock</t>
        </is>
      </c>
      <c r="S1414" t="inlineStr">
        <is>
          <t>27.18</t>
        </is>
      </c>
      <c r="T1414" t="inlineStr">
        <is>
          <t>3693538082916</t>
        </is>
      </c>
    </row>
    <row r="1415" hidden="1" ht="15.75" customHeight="1">
      <c r="A1415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415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415" t="inlineStr">
        <is>
          <t>Diablo Tools DMAPL4250 3/4 in. x 8 in. x 10 in. Rebar Demon™ SDS-Plus 4-Cutter Full Carbide Head Hammer Drill Bit</t>
        </is>
      </c>
      <c r="D1415" t="inlineStr">
        <is>
          <t>Diablo DMAMX1180 7/8 in. x 16 in. x 21 in. Rebar Demon™ SDS-Max 4-Cutter Full Carbide Head Hammer Bit</t>
        </is>
      </c>
      <c r="E1415" s="2">
        <f>HYPERLINK("https://www.amazon.com/Diablo-SDS-Max-4-Cutter-Carbide-Hammer/dp/B089KWFF8B/ref=sr_1_30?keywords=Diablo+Tools+DMAPL4250+3%2F4+in.+x+8+in.+x+10+in.+Rebar+Demon%E2%84%A2+SDS-Plus+4-Cutter+Full+Carbide+Head+Hammer+Drill+Bit&amp;qid=1694734913&amp;sr=8-30", "https://www.amazon.com/Diablo-SDS-Max-4-Cutter-Carbide-Hammer/dp/B089KWFF8B/ref=sr_1_30?keywords=Diablo+Tools+DMAPL4250+3%2F4+in.+x+8+in.+x+10+in.+Rebar+Demon%E2%84%A2+SDS-Plus+4-Cutter+Full+Carbide+Head+Hammer+Drill+Bit&amp;qid=1694734913&amp;sr=8-30")</f>
        <v/>
      </c>
      <c r="F1415" t="inlineStr">
        <is>
          <t>B089KWFF8B</t>
        </is>
      </c>
      <c r="G1415">
        <f>_xludf.IMAGE("https://edmondsonsupply.com/cdn/shop/files/rltcbi253wmfv6otmtz6.webp?v=1686576913")</f>
        <v/>
      </c>
      <c r="H1415">
        <f>_xludf.IMAGE("https://m.media-amazon.com/images/I/611fTcYRNFL._AC_UL320_.jpg")</f>
        <v/>
      </c>
      <c r="K1415" t="inlineStr">
        <is>
          <t>24.47</t>
        </is>
      </c>
      <c r="L1415" t="n">
        <v>52.51</v>
      </c>
      <c r="M1415" s="1" t="inlineStr">
        <is>
          <t>114.59%</t>
        </is>
      </c>
      <c r="N1415" s="1" t="n">
        <v>33.98</v>
      </c>
      <c r="O1415" t="n">
        <v>3.5</v>
      </c>
      <c r="P1415" t="n">
        <v>3</v>
      </c>
      <c r="R1415" t="inlineStr">
        <is>
          <t>InStock</t>
        </is>
      </c>
      <c r="S1415" t="inlineStr">
        <is>
          <t>38.21</t>
        </is>
      </c>
      <c r="T1415" t="inlineStr">
        <is>
          <t>8004486168792</t>
        </is>
      </c>
    </row>
    <row r="1416" ht="87" customHeight="1">
      <c r="A1416" s="2">
        <f>HYPERLINK("https://edmondsonsupply.com/collections/hvac/products/refrigeration-technologies-rt375a-viper-aerosol-foaming-coil-cleaner", "https://edmondsonsupply.com/collections/hvac/products/refrigeration-technologies-rt375a-viper-aerosol-foaming-coil-cleaner")</f>
        <v/>
      </c>
      <c r="B1416" s="2">
        <f>HYPERLINK("https://edmondsonsupply.com/products/refrigeration-technologies-rt375a-viper-aerosol-foaming-coil-cleaner", "https://edmondsonsupply.com/products/refrigeration-technologies-rt375a-viper-aerosol-foaming-coil-cleaner")</f>
        <v/>
      </c>
      <c r="C1416" t="inlineStr">
        <is>
          <t>Refrigeration Technologies RT375A Viper Aerosol Foaming Coil Cleaner</t>
        </is>
      </c>
      <c r="D1416" t="inlineStr">
        <is>
          <t>AMZ-Warehouse Refrigeration Technologies RT375A Viper Aerosol Foaming Coil Cleaner Degreaser Food Grade Expanding Foam 18oz (1)</t>
        </is>
      </c>
      <c r="E1416" s="2">
        <f>HYPERLINK("https://www.amazon.com/AMZ-Warehouse-Refrigeration-Technologies-Degreaser-Expanding/dp/B0C28S8MRL/ref=sr_1_1?keywords=Refrigeration+Technologies+RT375A+Viper+Aerosol+Foaming+Coil+Cleaner&amp;qid=1694734567&amp;sr=8-1", "https://www.amazon.com/AMZ-Warehouse-Refrigeration-Technologies-Degreaser-Expanding/dp/B0C28S8MRL/ref=sr_1_1?keywords=Refrigeration+Technologies+RT375A+Viper+Aerosol+Foaming+Coil+Cleaner&amp;qid=1694734567&amp;sr=8-1")</f>
        <v/>
      </c>
      <c r="F1416" t="inlineStr">
        <is>
          <t>B0C28S8MRL</t>
        </is>
      </c>
      <c r="G1416">
        <f>_xlfn.IMAGE("https://edmondsonsupply.com/cdn/shop/products/Viper_Aerosol_Reflection-o17r8mukbuad3cksp9inhu09n67txxt340x6dk69z4.jpg?v=1633030253")</f>
        <v/>
      </c>
      <c r="H1416">
        <f>_xlfn.IMAGE("https://m.media-amazon.com/images/I/51BjhQQoOpL._AC_UL320_.jpg")</f>
        <v/>
      </c>
      <c r="K1416" t="inlineStr">
        <is>
          <t>9.79</t>
        </is>
      </c>
      <c r="L1416" t="n">
        <v>20.98</v>
      </c>
      <c r="M1416" s="1" t="inlineStr">
        <is>
          <t>114.30%</t>
        </is>
      </c>
      <c r="N1416" s="7" t="n">
        <v>33.95</v>
      </c>
      <c r="O1416" t="n">
        <v>4.8</v>
      </c>
      <c r="P1416" t="n">
        <v>16</v>
      </c>
      <c r="R1416" t="inlineStr">
        <is>
          <t>InStock</t>
        </is>
      </c>
      <c r="S1416" t="inlineStr">
        <is>
          <t>10.81</t>
        </is>
      </c>
      <c r="T1416" t="inlineStr">
        <is>
          <t>4628294926436</t>
        </is>
      </c>
    </row>
    <row r="1417" hidden="1" ht="15.75" customHeight="1">
      <c r="A1417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1417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1417" t="inlineStr">
        <is>
          <t>Klein Tools JTH6E11 3/16-Inch Hex Key, Journeyman T-Handle, 6-Inch</t>
        </is>
      </c>
      <c r="D1417" t="inlineStr">
        <is>
          <t>Klein Tools JTH6E11BE 3/16-Inch Ball End Hex Key with Journeyman T-Handle, 6-Inch (Pack of 2)</t>
        </is>
      </c>
      <c r="E1417" s="2">
        <f>HYPERLINK("https://www.amazon.com/Klein-Tools-JTH6E11BE-Journeyman-T-Handle/dp/B0CF2WPG6T/ref=sr_1_2?keywords=Klein+Tools+JTH6E11+3%2F16-Inch+Hex+Key%2C+Journeyman+T-Handle%2C+6-Inch&amp;qid=1694734729&amp;sr=8-2", "https://www.amazon.com/Klein-Tools-JTH6E11BE-Journeyman-T-Handle/dp/B0CF2WPG6T/ref=sr_1_2?keywords=Klein+Tools+JTH6E11+3%2F16-Inch+Hex+Key%2C+Journeyman+T-Handle%2C+6-Inch&amp;qid=1694734729&amp;sr=8-2")</f>
        <v/>
      </c>
      <c r="F1417" t="inlineStr">
        <is>
          <t>B0CF2WPG6T</t>
        </is>
      </c>
      <c r="G1417">
        <f>_xludf.IMAGE("https://edmondsonsupply.com/cdn/shop/products/jth6e15_0266106d-0a3b-44ba-997b-66db7749d83f.jpg?v=1587144829")</f>
        <v/>
      </c>
      <c r="H1417">
        <f>_xludf.IMAGE("https://m.media-amazon.com/images/I/41bN+I19ReL._AC_UL320_.jpg")</f>
        <v/>
      </c>
      <c r="K1417" t="inlineStr">
        <is>
          <t>4.99</t>
        </is>
      </c>
      <c r="L1417" t="n">
        <v>10.68</v>
      </c>
      <c r="M1417" s="1" t="inlineStr">
        <is>
          <t>114.03%</t>
        </is>
      </c>
      <c r="N1417" s="1" t="n">
        <v>33.87</v>
      </c>
      <c r="O1417" t="n">
        <v>4.8</v>
      </c>
      <c r="P1417" t="n">
        <v>454</v>
      </c>
      <c r="R1417" t="inlineStr">
        <is>
          <t>InStock</t>
        </is>
      </c>
      <c r="S1417" t="inlineStr">
        <is>
          <t>7.56</t>
        </is>
      </c>
      <c r="T1417" t="inlineStr">
        <is>
          <t>4396293947492</t>
        </is>
      </c>
    </row>
    <row r="1418" hidden="1" ht="15.75" customHeight="1">
      <c r="A1418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418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418" t="inlineStr">
        <is>
          <t>Klein Tools JTH4E11 3/16-Inch Hex Key with Journeyman T-Handle, 4-Inch</t>
        </is>
      </c>
      <c r="D1418" t="inlineStr">
        <is>
          <t>Klein Tools JTH6E11BE 3/16-Inch Ball End Hex Key with Journeyman T-Handle, 6-Inch (Pack of 2)</t>
        </is>
      </c>
      <c r="E1418" s="2">
        <f>HYPERLINK("https://www.amazon.com/Klein-Tools-JTH6E11BE-Journeyman-T-Handle/dp/B0CF2WPG6T/ref=sr_1_2?keywords=Klein+Tools+JTH4E11+3%2F16-Inch+Hex+Key+with+Journeyman+T-Handle%2C+4-Inch&amp;qid=1694734725&amp;sr=8-2", "https://www.amazon.com/Klein-Tools-JTH6E11BE-Journeyman-T-Handle/dp/B0CF2WPG6T/ref=sr_1_2?keywords=Klein+Tools+JTH4E11+3%2F16-Inch+Hex+Key+with+Journeyman+T-Handle%2C+4-Inch&amp;qid=1694734725&amp;sr=8-2")</f>
        <v/>
      </c>
      <c r="F1418" t="inlineStr">
        <is>
          <t>B0CF2WPG6T</t>
        </is>
      </c>
      <c r="G1418">
        <f>_xludf.IMAGE("https://edmondsonsupply.com/cdn/shop/products/jth4e17.jpg?v=1587144836")</f>
        <v/>
      </c>
      <c r="H1418">
        <f>_xludf.IMAGE("https://m.media-amazon.com/images/I/41bN+I19ReL._AC_UL320_.jpg")</f>
        <v/>
      </c>
      <c r="K1418" t="inlineStr">
        <is>
          <t>4.99</t>
        </is>
      </c>
      <c r="L1418" t="n">
        <v>10.68</v>
      </c>
      <c r="M1418" s="1" t="inlineStr">
        <is>
          <t>114.03%</t>
        </is>
      </c>
      <c r="N1418" s="1" t="n">
        <v>33.78</v>
      </c>
      <c r="O1418" t="n">
        <v>4.8</v>
      </c>
      <c r="P1418" t="n">
        <v>454</v>
      </c>
      <c r="R1418" t="inlineStr">
        <is>
          <t>InStock</t>
        </is>
      </c>
      <c r="S1418" t="inlineStr">
        <is>
          <t>7.6</t>
        </is>
      </c>
      <c r="T1418" t="inlineStr">
        <is>
          <t>4432217964644</t>
        </is>
      </c>
    </row>
    <row r="1419" ht="87" customHeight="1">
      <c r="A1419" s="2">
        <f>HYPERLINK("https://edmondsonsupply.com/collections/hvac/products/freud-99-240-2-drawer-lock-bit", "https://edmondsonsupply.com/collections/hvac/products/freud-99-240-2-drawer-lock-bit")</f>
        <v/>
      </c>
      <c r="B1419" s="2">
        <f>HYPERLINK("https://edmondsonsupply.com/products/freud-99-240-2-drawer-lock-bit", "https://edmondsonsupply.com/products/freud-99-240-2-drawer-lock-bit")</f>
        <v/>
      </c>
      <c r="C1419" t="inlineStr">
        <is>
          <t>Freud 99-240 2" Drawer Lock Bit</t>
        </is>
      </c>
      <c r="D1419" t="inlineStr">
        <is>
          <t>Freud 2-3/4" (Dia.) Lock Miter Bit with 1/2" Shank (99-034), Pack of 1, Perma-SHIELD Coating Red</t>
        </is>
      </c>
      <c r="E1419" s="2">
        <f>HYPERLINK("https://www.amazon.com/Freud-Dia-Miter-Shank-99-034/dp/B0000225XP/ref=sr_1_3?keywords=Freud+99-240+2%22+Drawer+Lock+Bit&amp;qid=1694734902&amp;sr=8-3", "https://www.amazon.com/Freud-Dia-Miter-Shank-99-034/dp/B0000225XP/ref=sr_1_3?keywords=Freud+99-240+2%22+Drawer+Lock+Bit&amp;qid=1694734902&amp;sr=8-3")</f>
        <v/>
      </c>
      <c r="F1419" t="inlineStr">
        <is>
          <t>B0000225XP</t>
        </is>
      </c>
      <c r="G1419">
        <f>_xlfn.IMAGE("https://edmondsonsupply.com/cdn/shop/files/2-dia-drawer-lock-bit.webp?v=1687359925")</f>
        <v/>
      </c>
      <c r="H1419">
        <f>_xlfn.IMAGE("https://m.media-amazon.com/images/I/61UI34sipzS._AC_UL320_.jpg")</f>
        <v/>
      </c>
      <c r="K1419" t="inlineStr">
        <is>
          <t>36.98</t>
        </is>
      </c>
      <c r="L1419" t="n">
        <v>78.93000000000001</v>
      </c>
      <c r="M1419" s="1" t="inlineStr">
        <is>
          <t>113.44%</t>
        </is>
      </c>
      <c r="N1419" s="7" t="n">
        <v>33.51</v>
      </c>
      <c r="O1419" t="n">
        <v>4.5</v>
      </c>
      <c r="P1419" t="n">
        <v>218</v>
      </c>
      <c r="R1419" t="inlineStr">
        <is>
          <t>InStock</t>
        </is>
      </c>
      <c r="S1419" t="inlineStr">
        <is>
          <t>63.21</t>
        </is>
      </c>
      <c r="T1419" t="inlineStr">
        <is>
          <t>8007803601112</t>
        </is>
      </c>
    </row>
    <row r="1420" ht="87" customHeight="1">
      <c r="A1420" s="2">
        <f>HYPERLINK("https://edmondsonsupply.com/collections/hvac/products/packard-trcfd305-titan-pro-run-capacitor-30-5-mfd-440-370-volt-round", "https://edmondsonsupply.com/collections/hvac/products/packard-trcfd305-titan-pro-run-capacitor-30-5-mfd-440-370-volt-round")</f>
        <v/>
      </c>
      <c r="B1420" s="2">
        <f>HYPERLINK("https://edmondsonsupply.com/products/packard-trcfd305-titan-pro-run-capacitor-30-5-mfd-440-370-volt-round", "https://edmondsonsupply.com/products/packard-trcfd305-titan-pro-run-capacitor-30-5-mfd-440-370-volt-round")</f>
        <v/>
      </c>
      <c r="C1420" t="inlineStr">
        <is>
          <t>Packard TRCFD305 Titan PRO Run Capacitor 30+5 MFD 440/370 Volt, Round</t>
        </is>
      </c>
      <c r="D1420" t="inlineStr">
        <is>
          <t>Titan Pro Round Motor Dual Run Capacitor, 30/5 Microfarad Rating, 370-440VAC Voltage - TRCFD305</t>
        </is>
      </c>
      <c r="E1420" s="2">
        <f>HYPERLINK("https://www.amazon.com/Capacitor-Microfarad-Rating-370-440VAC-Voltage/dp/B08TTPB9QZ/ref=sr_1_2?keywords=Packard+TRCFD305+Titan+PRO+Run+Capacitor+30+5+MFD+440%2F370+Volt%2C+Round&amp;qid=1694734673&amp;sr=8-2", "https://www.amazon.com/Capacitor-Microfarad-Rating-370-440VAC-Voltage/dp/B08TTPB9QZ/ref=sr_1_2?keywords=Packard+TRCFD305+Titan+PRO+Run+Capacitor+30+5+MFD+440%2F370+Volt%2C+Round&amp;qid=1694734673&amp;sr=8-2")</f>
        <v/>
      </c>
      <c r="F1420" t="inlineStr">
        <is>
          <t>B08TTPB9QZ</t>
        </is>
      </c>
      <c r="G1420">
        <f>_xlfn.IMAGE("https://edmondsonsupply.com/cdn/shop/products/TRCFD305-2.jpg?v=1587144425")</f>
        <v/>
      </c>
      <c r="H1420">
        <f>_xlfn.IMAGE("https://m.media-amazon.com/images/I/61rN-CX2SUL._AC_UY218_.jpg")</f>
        <v/>
      </c>
      <c r="K1420" t="inlineStr">
        <is>
          <t>7.29</t>
        </is>
      </c>
      <c r="L1420" t="n">
        <v>15.54</v>
      </c>
      <c r="M1420" s="1" t="inlineStr">
        <is>
          <t>113.17%</t>
        </is>
      </c>
      <c r="N1420" s="7" t="n">
        <v>33.47</v>
      </c>
      <c r="O1420" t="n">
        <v>5</v>
      </c>
      <c r="P1420" t="n">
        <v>4</v>
      </c>
      <c r="R1420" t="inlineStr">
        <is>
          <t>OutOfStock</t>
        </is>
      </c>
      <c r="S1420" t="inlineStr">
        <is>
          <t>undefined</t>
        </is>
      </c>
      <c r="T1420" t="inlineStr">
        <is>
          <t>4339324911716</t>
        </is>
      </c>
    </row>
    <row r="1421" hidden="1" ht="15.75" customHeight="1">
      <c r="A1421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421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421" t="inlineStr">
        <is>
          <t>Klein Tools JTH6E14 5/16-Inch Hex Key with Journeyman T-Handle, 6-Inch</t>
        </is>
      </c>
      <c r="D1421" t="inlineStr">
        <is>
          <t>Klein Tools JTH9E14 5/16-Inch Hex Key, Journeyman T-Handle, 9-Inch (Pack of 2)</t>
        </is>
      </c>
      <c r="E1421" s="2">
        <f>HYPERLINK("https://www.amazon.com/Klein-Tools-JTH9E14-Journeyman-T-Handle/dp/B0CF2VDSX2/ref=sr_1_4?keywords=Klein+Tools+JTH6E14+5%2F16-Inch+Hex+Key+with+Journeyman+T-Handle%2C+6-Inch&amp;qid=1694734648&amp;sr=8-4", "https://www.amazon.com/Klein-Tools-JTH9E14-Journeyman-T-Handle/dp/B0CF2VDSX2/ref=sr_1_4?keywords=Klein+Tools+JTH6E14+5%2F16-Inch+Hex+Key+with+Journeyman+T-Handle%2C+6-Inch&amp;qid=1694734648&amp;sr=8-4")</f>
        <v/>
      </c>
      <c r="F1421" t="inlineStr">
        <is>
          <t>B0CF2VDSX2</t>
        </is>
      </c>
      <c r="G1421">
        <f>_xludf.IMAGE("https://edmondsonsupply.com/cdn/shop/products/jth6e15.jpg?v=1587148489")</f>
        <v/>
      </c>
      <c r="H1421">
        <f>_xludf.IMAGE("https://m.media-amazon.com/images/I/317IAARii7L._AC_UL320_.jpg")</f>
        <v/>
      </c>
      <c r="K1421" t="inlineStr">
        <is>
          <t>6.99</t>
        </is>
      </c>
      <c r="L1421" t="n">
        <v>14.88</v>
      </c>
      <c r="M1421" s="1" t="inlineStr">
        <is>
          <t>112.88%</t>
        </is>
      </c>
      <c r="N1421" s="1" t="n">
        <v>33.37</v>
      </c>
      <c r="O1421" t="n">
        <v>4.7</v>
      </c>
      <c r="P1421" t="n">
        <v>390</v>
      </c>
      <c r="R1421" t="inlineStr">
        <is>
          <t>InStock</t>
        </is>
      </c>
      <c r="S1421" t="inlineStr">
        <is>
          <t>10.5</t>
        </is>
      </c>
      <c r="T1421" t="inlineStr">
        <is>
          <t>3694843822180</t>
        </is>
      </c>
    </row>
    <row r="1422" ht="87" customHeight="1">
      <c r="A1422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422" s="2">
        <f>HYPERLINK("https://edmondsonsupply.com/products/packard-prmj216-motor-start-capacitor-216-259-mfd-330-vac", "https://edmondsonsupply.com/products/packard-prmj216-motor-start-capacitor-216-259-mfd-330-vac")</f>
        <v/>
      </c>
      <c r="C1422" t="inlineStr">
        <is>
          <t>Packard PRMJ216 Motor Start Capacitor 216-259 MFD 330 VAC</t>
        </is>
      </c>
      <c r="D1422" t="inlineStr">
        <is>
          <t>216-259 uF/MFD 330V Round Start Capacitor Replacement Part by Blue Stars - Exact Fit for AC Motor Run or Fan Start and Cool or Heat Pump Air Conditioner</t>
        </is>
      </c>
      <c r="E1422" s="2">
        <f>HYPERLINK("https://www.amazon.com/216-259-Round-Start-Capacitor-Replacement/dp/B09TKY5WPZ/ref=sr_1_11?keywords=Packard+PRMJ216+Motor+Start+Capacitor+216-259+MFD+330+VAC&amp;qid=1694734827&amp;sr=8-11", "https://www.amazon.com/216-259-Round-Start-Capacitor-Replacement/dp/B09TKY5WPZ/ref=sr_1_11?keywords=Packard+PRMJ216+Motor+Start+Capacitor+216-259+MFD+330+VAC&amp;qid=1694734827&amp;sr=8-11")</f>
        <v/>
      </c>
      <c r="F1422" t="inlineStr">
        <is>
          <t>B09TKY5WPZ</t>
        </is>
      </c>
      <c r="G1422">
        <f>_xlfn.IMAGE("https://edmondsonsupply.com/cdn/shop/products/PRMJ216-2.jpg?v=1633030106")</f>
        <v/>
      </c>
      <c r="H1422">
        <f>_xlfn.IMAGE("https://m.media-amazon.com/images/I/81P7VX6ArQL._AC_UY218_.jpg")</f>
        <v/>
      </c>
      <c r="K1422" t="inlineStr">
        <is>
          <t>8.94</t>
        </is>
      </c>
      <c r="L1422" t="n">
        <v>18.99</v>
      </c>
      <c r="M1422" s="1" t="inlineStr">
        <is>
          <t>112.42%</t>
        </is>
      </c>
      <c r="N1422" s="7" t="n">
        <v>33.22</v>
      </c>
      <c r="O1422" t="n">
        <v>4.4</v>
      </c>
      <c r="P1422" t="n">
        <v>36</v>
      </c>
      <c r="R1422" t="inlineStr">
        <is>
          <t>InStock</t>
        </is>
      </c>
      <c r="S1422" t="inlineStr">
        <is>
          <t>undefined</t>
        </is>
      </c>
      <c r="T1422" t="inlineStr">
        <is>
          <t>3595512217700</t>
        </is>
      </c>
    </row>
    <row r="1423" ht="87" customHeight="1">
      <c r="A1423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423" s="2">
        <f>HYPERLINK("https://edmondsonsupply.com/products/packard-prmj216-motor-start-capacitor-216-259-mfd-330-vac", "https://edmondsonsupply.com/products/packard-prmj216-motor-start-capacitor-216-259-mfd-330-vac")</f>
        <v/>
      </c>
      <c r="C1423" t="inlineStr">
        <is>
          <t>Packard PRMJ216 Motor Start Capacitor 216-259 MFD 330 VAC</t>
        </is>
      </c>
      <c r="D1423" t="inlineStr">
        <is>
          <t>PRMJ216 - Packard Upgraded Replacement Motor Start Capacitor 216-259 MFD 330 Volt VAC</t>
        </is>
      </c>
      <c r="E1423" s="2">
        <f>HYPERLINK("https://www.amazon.com/PRMJ216-Packard-Upgraded-Replacement-Capacitor/dp/B0773SJML1/ref=sr_1_1?keywords=Packard+PRMJ216+Motor+Start+Capacitor+216-259+MFD+330+VAC&amp;qid=1694734827&amp;sr=8-1", "https://www.amazon.com/PRMJ216-Packard-Upgraded-Replacement-Capacitor/dp/B0773SJML1/ref=sr_1_1?keywords=Packard+PRMJ216+Motor+Start+Capacitor+216-259+MFD+330+VAC&amp;qid=1694734827&amp;sr=8-1")</f>
        <v/>
      </c>
      <c r="F1423" t="inlineStr">
        <is>
          <t>B0773SJML1</t>
        </is>
      </c>
      <c r="G1423">
        <f>_xlfn.IMAGE("https://edmondsonsupply.com/cdn/shop/products/PRMJ216-2.jpg?v=1633030106")</f>
        <v/>
      </c>
      <c r="H1423">
        <f>_xlfn.IMAGE("https://m.media-amazon.com/images/I/41fqQrQgJaL._AC_UY218_.jpg")</f>
        <v/>
      </c>
      <c r="K1423" t="inlineStr">
        <is>
          <t>8.94</t>
        </is>
      </c>
      <c r="L1423" t="n">
        <v>18.99</v>
      </c>
      <c r="M1423" s="1" t="inlineStr">
        <is>
          <t>112.42%</t>
        </is>
      </c>
      <c r="N1423" s="7" t="n">
        <v>32.72</v>
      </c>
      <c r="O1423" t="n">
        <v>5</v>
      </c>
      <c r="P1423" t="n">
        <v>1</v>
      </c>
      <c r="R1423" t="inlineStr">
        <is>
          <t>InStock</t>
        </is>
      </c>
      <c r="S1423" t="inlineStr">
        <is>
          <t>undefined</t>
        </is>
      </c>
      <c r="T1423" t="inlineStr">
        <is>
          <t>3595512217700</t>
        </is>
      </c>
    </row>
    <row r="1424" hidden="1" ht="15.75" customHeight="1">
      <c r="A1424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424" s="2">
        <f>HYPERLINK("https://edmondsonsupply.com/products/packard-pmj460-motor-start-capacitor-460-552-mfd-110-125-vac", "https://edmondsonsupply.com/products/packard-pmj460-motor-start-capacitor-460-552-mfd-110-125-vac")</f>
        <v/>
      </c>
      <c r="C1424" t="inlineStr">
        <is>
          <t>Packard PMJ460 Motor Start Capacitor 460-552 MFD 110-125 VAC</t>
        </is>
      </c>
      <c r="D1424" t="inlineStr">
        <is>
          <t>PACKARD PMJ460 460-552 MFD 110-125 Volt, Start Capacitor, Discontinued by Manufacturer, Diameter: 1-7/16" Height: 3-3/8"</t>
        </is>
      </c>
      <c r="E1424" s="2">
        <f>HYPERLINK("https://www.amazon.com/PMJ460-Packard-Aftermarket-Replacement-Capacitor/dp/B00IWYGPRS/ref=sr_1_1?keywords=Packard+PMJ460+Motor+Start+Capacitor+460-552+MFD+110-125+VAC&amp;qid=1694734651&amp;sr=8-1", "https://www.amazon.com/PMJ460-Packard-Aftermarket-Replacement-Capacitor/dp/B00IWYGPRS/ref=sr_1_1?keywords=Packard+PMJ460+Motor+Start+Capacitor+460-552+MFD+110-125+VAC&amp;qid=1694734651&amp;sr=8-1")</f>
        <v/>
      </c>
      <c r="F1424" t="inlineStr">
        <is>
          <t>B00IWYGPRS</t>
        </is>
      </c>
      <c r="G1424">
        <f>_xludf.IMAGE("https://edmondsonsupply.com/cdn/shop/products/PMJ460-2.jpg?v=1633030333")</f>
        <v/>
      </c>
      <c r="H1424">
        <f>_xludf.IMAGE("https://m.media-amazon.com/images/I/41Aj4DTIUuL._AC_UY218_.jpg")</f>
        <v/>
      </c>
      <c r="K1424" t="inlineStr">
        <is>
          <t>5.06</t>
        </is>
      </c>
      <c r="L1424" t="n">
        <v>10.73</v>
      </c>
      <c r="M1424" s="1" t="inlineStr">
        <is>
          <t>112.06%</t>
        </is>
      </c>
      <c r="N1424" s="1" t="n">
        <v>32.53</v>
      </c>
      <c r="O1424" t="n">
        <v>4.7</v>
      </c>
      <c r="P1424" t="n">
        <v>23</v>
      </c>
      <c r="R1424" t="inlineStr">
        <is>
          <t>OutOfStock</t>
        </is>
      </c>
      <c r="S1424" t="inlineStr">
        <is>
          <t>undefined</t>
        </is>
      </c>
      <c r="T1424" t="inlineStr">
        <is>
          <t>5271944954024</t>
        </is>
      </c>
    </row>
    <row r="1425" hidden="1" ht="15.75" customHeight="1">
      <c r="A1425" s="2">
        <f>HYPERLINK("https://edmondsonsupply.com/collections/hvac/products/white-rodgers-24a34-5-24v-electric-heat-sequencer-dpst-spst", "https://edmondsonsupply.com/collections/hvac/products/white-rodgers-24a34-5-24v-electric-heat-sequencer-dpst-spst")</f>
        <v/>
      </c>
      <c r="B1425" s="2">
        <f>HYPERLINK("https://edmondsonsupply.com/products/white-rodgers-24a34-5-24v-electric-heat-sequencer-dpst-spst", "https://edmondsonsupply.com/products/white-rodgers-24a34-5-24v-electric-heat-sequencer-dpst-spst")</f>
        <v/>
      </c>
      <c r="C1425" t="inlineStr">
        <is>
          <t>White-Rodgers 24A34-5 24V Electric Heat Sequencer, DPST-SPST</t>
        </is>
      </c>
      <c r="D1425" t="inlineStr">
        <is>
          <t>Q105 Electric Heat Sequencer Control DPST-SPST 24Volt 24A34-5 525-37327-000</t>
        </is>
      </c>
      <c r="E1425" s="2">
        <f>HYPERLINK("https://www.amazon.com/Electric-Sequencer-Control-DPST-SPST-525-37327-000/dp/B0BMPTJH7C/ref=sr_1_3?keywords=White-Rodgers+24A34-5+24V+Electric+Heat+Sequencer%2C+DPST-SPST&amp;qid=1694734650&amp;sr=8-3", "https://www.amazon.com/Electric-Sequencer-Control-DPST-SPST-525-37327-000/dp/B0BMPTJH7C/ref=sr_1_3?keywords=White-Rodgers+24A34-5+24V+Electric+Heat+Sequencer%2C+DPST-SPST&amp;qid=1694734650&amp;sr=8-3")</f>
        <v/>
      </c>
      <c r="F1425" t="inlineStr">
        <is>
          <t>B0BMPTJH7C</t>
        </is>
      </c>
      <c r="G1425">
        <f>_xludf.IMAGE("https://edmondsonsupply.com/cdn/shop/products/24A34-5.jpg?v=1633030752")</f>
        <v/>
      </c>
      <c r="H1425">
        <f>_xludf.IMAGE("https://m.media-amazon.com/images/I/61MCgLlwPBL._AC_UL320_.jpg")</f>
        <v/>
      </c>
      <c r="K1425" t="inlineStr">
        <is>
          <t>18.31</t>
        </is>
      </c>
      <c r="L1425" t="n">
        <v>38.8</v>
      </c>
      <c r="M1425" s="1" t="inlineStr">
        <is>
          <t>111.91%</t>
        </is>
      </c>
      <c r="N1425" s="1" t="n">
        <v>32.31</v>
      </c>
      <c r="O1425" t="n">
        <v>3</v>
      </c>
      <c r="P1425" t="n">
        <v>1</v>
      </c>
      <c r="R1425" t="inlineStr">
        <is>
          <t>InStock</t>
        </is>
      </c>
      <c r="S1425" t="inlineStr">
        <is>
          <t>46.56</t>
        </is>
      </c>
      <c r="T1425" t="inlineStr">
        <is>
          <t>5891615162536</t>
        </is>
      </c>
    </row>
    <row r="1426" ht="87" customHeight="1">
      <c r="A1426" s="2">
        <f>HYPERLINK("https://edmondsonsupply.com/collections/hvac/products/packard-titan-pro-trcd455-run-capacitor-45-5-mfd-370-volt-round", "https://edmondsonsupply.com/collections/hvac/products/packard-titan-pro-trcd455-run-capacitor-45-5-mfd-370-volt-round")</f>
        <v/>
      </c>
      <c r="B1426" s="2">
        <f>HYPERLINK("https://edmondsonsupply.com/products/packard-titan-pro-trcd455-run-capacitor-45-5-mfd-370-volt-round", "https://edmondsonsupply.com/products/packard-titan-pro-trcd455-run-capacitor-45-5-mfd-370-volt-round")</f>
        <v/>
      </c>
      <c r="C1426" t="inlineStr">
        <is>
          <t>Packard Titan PRO TRCD455 Run Capacitor 45+5 MFD 370 Volt, Round</t>
        </is>
      </c>
      <c r="D1426" t="inlineStr">
        <is>
          <t>Packard TRCD455 Titan Pro 45+5 MFD 370V Round Run Capacitor Replaces PRCD455</t>
        </is>
      </c>
      <c r="E1426" s="2">
        <f>HYPERLINK("https://www.amazon.com/PACKARD-TRCD455-Capacitor-Replaces-PRCD455/dp/B01N55F81Z/ref=sr_1_2?keywords=Packard+Titan+PRO+TRCD455+Run+Capacitor+45%2B5+MFD+370+Volt%2C+Round&amp;qid=1694734586&amp;sr=8-2", "https://www.amazon.com/PACKARD-TRCD455-Capacitor-Replaces-PRCD455/dp/B01N55F81Z/ref=sr_1_2?keywords=Packard+Titan+PRO+TRCD455+Run+Capacitor+45%2B5+MFD+370+Volt%2C+Round&amp;qid=1694734586&amp;sr=8-2")</f>
        <v/>
      </c>
      <c r="F1426" t="inlineStr">
        <is>
          <t>B01N55F81Z</t>
        </is>
      </c>
      <c r="G1426">
        <f>_xlfn.IMAGE("https://edmondsonsupply.com/cdn/shop/products/TRCD455-2.jpg?v=1633030398")</f>
        <v/>
      </c>
      <c r="H1426">
        <f>_xlfn.IMAGE("https://m.media-amazon.com/images/I/41CL3hacDyL._AC_UY218_.jpg")</f>
        <v/>
      </c>
      <c r="K1426" t="inlineStr">
        <is>
          <t>9.39</t>
        </is>
      </c>
      <c r="L1426" t="n">
        <v>19.87</v>
      </c>
      <c r="M1426" s="1" t="inlineStr">
        <is>
          <t>111.61%</t>
        </is>
      </c>
      <c r="N1426" s="7" t="n">
        <v>32.2</v>
      </c>
      <c r="O1426" t="n">
        <v>5</v>
      </c>
      <c r="P1426" t="n">
        <v>2</v>
      </c>
      <c r="R1426" t="inlineStr">
        <is>
          <t>InStock</t>
        </is>
      </c>
      <c r="S1426" t="inlineStr">
        <is>
          <t>undefined</t>
        </is>
      </c>
      <c r="T1426" t="inlineStr">
        <is>
          <t>5302371090600</t>
        </is>
      </c>
    </row>
    <row r="1427" ht="87" customHeight="1">
      <c r="A1427" s="2">
        <f>HYPERLINK("https://edmondsonsupply.com/collections/hvac/products/midwest-mwt-6900l-upright-left-cutting-offset-aviation-snip", "https://edmondsonsupply.com/collections/hvac/products/midwest-mwt-6900l-upright-left-cutting-offset-aviation-snip")</f>
        <v/>
      </c>
      <c r="B1427" s="2">
        <f>HYPERLINK("https://edmondsonsupply.com/products/midwest-mwt-6900l-upright-left-cutting-offset-aviation-snip", "https://edmondsonsupply.com/products/midwest-mwt-6900l-upright-left-cutting-offset-aviation-snip")</f>
        <v/>
      </c>
      <c r="C1427" t="inlineStr">
        <is>
          <t>Midwest MWT-6900L Upright Left-Cutting Aviation Snip</t>
        </is>
      </c>
      <c r="D1427" t="inlineStr">
        <is>
          <t>MIDWEST Blackout Series Aviation Snip - Left Cut Offset Tin Cutting Shears with Forged Blade &amp; KUSH'N-POWER Comfort Grips - MWT-6510LO</t>
        </is>
      </c>
      <c r="E1427" s="2">
        <f>HYPERLINK("https://www.amazon.com/MIDWEST-Blackout-Aviation-Snip-KUSHN-POWER/dp/B00TJQL91U/ref=sr_1_8?keywords=Midwest+MWT-6900L+Upright+Left-Cutting+Aviation+Snip&amp;qid=1694734627&amp;sr=8-8", "https://www.amazon.com/MIDWEST-Blackout-Aviation-Snip-KUSHN-POWER/dp/B00TJQL91U/ref=sr_1_8?keywords=Midwest+MWT-6900L+Upright+Left-Cutting+Aviation+Snip&amp;qid=1694734627&amp;sr=8-8")</f>
        <v/>
      </c>
      <c r="F1427" t="inlineStr">
        <is>
          <t>B00TJQL91U</t>
        </is>
      </c>
      <c r="G1427">
        <f>_xlfn.IMAGE("https://edmondsonsupply.com/cdn/shop/products/MWT-6900L1.jpg?v=1587146265")</f>
        <v/>
      </c>
      <c r="H1427">
        <f>_xlfn.IMAGE("https://m.media-amazon.com/images/I/51OW3TahYsL._AC_UL320_.jpg")</f>
        <v/>
      </c>
      <c r="K1427" t="inlineStr">
        <is>
          <t>25.99</t>
        </is>
      </c>
      <c r="L1427" t="n">
        <v>54.99</v>
      </c>
      <c r="M1427" s="1" t="inlineStr">
        <is>
          <t>111.58%</t>
        </is>
      </c>
      <c r="N1427" s="7" t="n">
        <v>32.07</v>
      </c>
      <c r="O1427" t="n">
        <v>4.7</v>
      </c>
      <c r="P1427" t="n">
        <v>1397</v>
      </c>
      <c r="R1427" t="inlineStr">
        <is>
          <t>InStock</t>
        </is>
      </c>
      <c r="S1427" t="inlineStr">
        <is>
          <t>37.05</t>
        </is>
      </c>
      <c r="T1427" t="inlineStr">
        <is>
          <t>4470064250980</t>
        </is>
      </c>
    </row>
    <row r="1428" hidden="1" ht="15.75" customHeight="1">
      <c r="A1428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428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428" t="inlineStr">
        <is>
          <t>Klein Tools JTH4E11 3/16-Inch Hex Key with Journeyman T-Handle, 4-Inch</t>
        </is>
      </c>
      <c r="D1428" t="inlineStr">
        <is>
          <t>Klein Tools JTH6E13BE 1/4-Inch Ball End Hex Key with Journeyman T-Handle, 6-Inch</t>
        </is>
      </c>
      <c r="E1428" s="2">
        <f>HYPERLINK("https://www.amazon.com/Journeyman-T-Handle-Klein-Tools-JTH6E13BE/dp/B004QW52YW/ref=sr_1_8?keywords=Klein+Tools+JTH4E11+3%2F16-Inch+Hex+Key+with+Journeyman+T-Handle%2C+4-Inch&amp;qid=1694734725&amp;sr=8-8", "https://www.amazon.com/Journeyman-T-Handle-Klein-Tools-JTH6E13BE/dp/B004QW52YW/ref=sr_1_8?keywords=Klein+Tools+JTH4E11+3%2F16-Inch+Hex+Key+with+Journeyman+T-Handle%2C+4-Inch&amp;qid=1694734725&amp;sr=8-8")</f>
        <v/>
      </c>
      <c r="F1428" t="inlineStr">
        <is>
          <t>B004QW52YW</t>
        </is>
      </c>
      <c r="G1428">
        <f>_xludf.IMAGE("https://edmondsonsupply.com/cdn/shop/products/jth4e17.jpg?v=1587144836")</f>
        <v/>
      </c>
      <c r="H1428">
        <f>_xludf.IMAGE("https://m.media-amazon.com/images/I/51f9vBFVXgL._AC_UL320_.jpg")</f>
        <v/>
      </c>
      <c r="K1428" t="inlineStr">
        <is>
          <t>4.99</t>
        </is>
      </c>
      <c r="L1428" t="n">
        <v>10.55</v>
      </c>
      <c r="M1428" s="1" t="inlineStr">
        <is>
          <t>111.42%</t>
        </is>
      </c>
      <c r="N1428" s="1" t="n">
        <v>32.07</v>
      </c>
      <c r="O1428" t="n">
        <v>4.7</v>
      </c>
      <c r="P1428" t="n">
        <v>32</v>
      </c>
      <c r="R1428" t="inlineStr">
        <is>
          <t>InStock</t>
        </is>
      </c>
      <c r="S1428" t="inlineStr">
        <is>
          <t>7.6</t>
        </is>
      </c>
      <c r="T1428" t="inlineStr">
        <is>
          <t>4432217964644</t>
        </is>
      </c>
    </row>
    <row r="1429" hidden="1" ht="15.75" customHeight="1">
      <c r="A1429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1429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1429" t="inlineStr">
        <is>
          <t>Klein Tools JTH6E11 3/16-Inch Hex Key, Journeyman T-Handle, 6-Inch</t>
        </is>
      </c>
      <c r="D1429" t="inlineStr">
        <is>
          <t>Klein Tools JTH6E13BE 1/4-Inch Ball End Hex Key with Journeyman T-Handle, 6-Inch</t>
        </is>
      </c>
      <c r="E1429" s="2">
        <f>HYPERLINK("https://www.amazon.com/Journeyman-T-Handle-Klein-Tools-JTH6E13BE/dp/B004QW52YW/ref=sr_1_7?keywords=Klein+Tools+JTH6E11+3%2F16-Inch+Hex+Key%2C+Journeyman+T-Handle%2C+6-Inch&amp;qid=1694734729&amp;sr=8-7", "https://www.amazon.com/Journeyman-T-Handle-Klein-Tools-JTH6E13BE/dp/B004QW52YW/ref=sr_1_7?keywords=Klein+Tools+JTH6E11+3%2F16-Inch+Hex+Key%2C+Journeyman+T-Handle%2C+6-Inch&amp;qid=1694734729&amp;sr=8-7")</f>
        <v/>
      </c>
      <c r="F1429" t="inlineStr">
        <is>
          <t>B004QW52YW</t>
        </is>
      </c>
      <c r="G1429">
        <f>_xludf.IMAGE("https://edmondsonsupply.com/cdn/shop/products/jth6e15_0266106d-0a3b-44ba-997b-66db7749d83f.jpg?v=1587144829")</f>
        <v/>
      </c>
      <c r="H1429">
        <f>_xludf.IMAGE("https://m.media-amazon.com/images/I/51f9vBFVXgL._AC_UL320_.jpg")</f>
        <v/>
      </c>
      <c r="K1429" t="inlineStr">
        <is>
          <t>4.99</t>
        </is>
      </c>
      <c r="L1429" t="n">
        <v>10.55</v>
      </c>
      <c r="M1429" s="1" t="inlineStr">
        <is>
          <t>111.42%</t>
        </is>
      </c>
      <c r="N1429" s="1" t="n">
        <v>32.07</v>
      </c>
      <c r="O1429" t="n">
        <v>4.7</v>
      </c>
      <c r="P1429" t="n">
        <v>32</v>
      </c>
      <c r="R1429" t="inlineStr">
        <is>
          <t>InStock</t>
        </is>
      </c>
      <c r="S1429" t="inlineStr">
        <is>
          <t>7.56</t>
        </is>
      </c>
      <c r="T1429" t="inlineStr">
        <is>
          <t>4396293947492</t>
        </is>
      </c>
    </row>
    <row r="1430" hidden="1" ht="15.75" customHeight="1">
      <c r="A1430" s="2">
        <f>HYPERLINK("https://edmondsonsupply.com/collections/hvac/products/fresh-aire-uv-apco-tuv-apco-er2", "https://edmondsonsupply.com/collections/hvac/products/fresh-aire-uv-apco-tuv-apco-er2")</f>
        <v/>
      </c>
      <c r="B1430" s="2">
        <f>HYPERLINK("https://edmondsonsupply.com/products/fresh-aire-uv-apco-tuv-apco-er2", "https://edmondsonsupply.com/products/fresh-aire-uv-apco-tuv-apco-er2")</f>
        <v/>
      </c>
      <c r="C1430" t="inlineStr">
        <is>
          <t>Fresh-Aire UV APCO TUV-APCO-ER2 18-32 VAC, 2-Year UV Lamp</t>
        </is>
      </c>
      <c r="D1430" t="inlineStr">
        <is>
          <t>APCO Carbon Matrix HVAC UV Air Purifier, Includes Dual 2-Year UVC Lamp for Coils and Air Handler (18-32 VAC Series) # TUV-APCO-DE2</t>
        </is>
      </c>
      <c r="E1430" s="2">
        <f>HYPERLINK("https://www.amazon.com/Duct-System-Remote-2-Year-TUV-APCO-DER2/dp/B09P9S9GXM/ref=sr_1_12?keywords=Fresh-Aire+UV+APCO+TUV-APCO-ER2+18-32+VAC%2C+2-Year+UV+Lamp&amp;qid=1694734608&amp;sr=8-12", "https://www.amazon.com/Duct-System-Remote-2-Year-TUV-APCO-DER2/dp/B09P9S9GXM/ref=sr_1_12?keywords=Fresh-Aire+UV+APCO+TUV-APCO-ER2+18-32+VAC%2C+2-Year+UV+Lamp&amp;qid=1694734608&amp;sr=8-12")</f>
        <v/>
      </c>
      <c r="F1430" t="inlineStr">
        <is>
          <t>B09P9S9GXM</t>
        </is>
      </c>
      <c r="G1430">
        <f>_xludf.IMAGE("https://edmondsonsupply.com/cdn/shop/products/fresh-aire-uv_tuv-apco-er2_article_1367841289911_en_normal.jpg?v=1587143929")</f>
        <v/>
      </c>
      <c r="H1430">
        <f>_xludf.IMAGE("https://m.media-amazon.com/images/I/71eH9k6ibZL._AC_UL320_.jpg")</f>
        <v/>
      </c>
      <c r="K1430" t="inlineStr">
        <is>
          <t>385.99</t>
        </is>
      </c>
      <c r="L1430" t="n">
        <v>814</v>
      </c>
      <c r="M1430" s="1" t="inlineStr">
        <is>
          <t>110.89%</t>
        </is>
      </c>
      <c r="N1430" s="1" t="n">
        <v>32.07</v>
      </c>
      <c r="O1430" t="n">
        <v>1</v>
      </c>
      <c r="P1430" t="n">
        <v>1</v>
      </c>
      <c r="R1430" t="inlineStr">
        <is>
          <t>InStock</t>
        </is>
      </c>
      <c r="S1430" t="inlineStr">
        <is>
          <t>undefined</t>
        </is>
      </c>
      <c r="T1430" t="inlineStr">
        <is>
          <t>4429144260708</t>
        </is>
      </c>
    </row>
    <row r="1431" hidden="1" ht="15.75" customHeight="1">
      <c r="A1431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431" s="2">
        <f>HYPERLINK("https://edmondsonsupply.com/products/klein-tools-et120-combustible-gas-leak-detector", "https://edmondsonsupply.com/products/klein-tools-et120-combustible-gas-leak-detector")</f>
        <v/>
      </c>
      <c r="C1431" t="inlineStr">
        <is>
          <t>Klein Tools ET120 Combustible Gas Leak Detector</t>
        </is>
      </c>
      <c r="D1431" t="inlineStr">
        <is>
          <t>General Tools CGD900 Intrinsically Safe MSHA Approved Combustible Gas Leak Detector</t>
        </is>
      </c>
      <c r="E1431" s="2">
        <f>HYPERLINK("https://www.amazon.com/General-Tools-CGD900-Intrinsically-Combustible/dp/B004UXR3LW/ref=sr_1_45?keywords=Klein+Tools+ET120+Combustible+Gas+Leak+Detector&amp;qid=1694734816&amp;sr=8-45", "https://www.amazon.com/General-Tools-CGD900-Intrinsically-Combustible/dp/B004UXR3LW/ref=sr_1_45?keywords=Klein+Tools+ET120+Combustible+Gas+Leak+Detector&amp;qid=1694734816&amp;sr=8-45")</f>
        <v/>
      </c>
      <c r="F1431" t="inlineStr">
        <is>
          <t>B004UXR3LW</t>
        </is>
      </c>
      <c r="G1431">
        <f>_xludf.IMAGE("https://edmondsonsupply.com/cdn/shop/products/et120.jpg?v=1587149243")</f>
        <v/>
      </c>
      <c r="H1431">
        <f>_xludf.IMAGE("https://m.media-amazon.com/images/I/510U1caarDL._AC_UL320_.jpg")</f>
        <v/>
      </c>
      <c r="K1431" t="inlineStr">
        <is>
          <t>119.99</t>
        </is>
      </c>
      <c r="L1431" t="n">
        <v>252.99</v>
      </c>
      <c r="M1431" s="1" t="inlineStr">
        <is>
          <t>110.84%</t>
        </is>
      </c>
      <c r="N1431" s="1" t="n">
        <v>31.83</v>
      </c>
      <c r="O1431" t="n">
        <v>4</v>
      </c>
      <c r="P1431" t="n">
        <v>28</v>
      </c>
      <c r="R1431" t="inlineStr">
        <is>
          <t>InStock</t>
        </is>
      </c>
      <c r="S1431" t="inlineStr">
        <is>
          <t>179.32</t>
        </is>
      </c>
      <c r="T1431" t="inlineStr">
        <is>
          <t>1828453187684</t>
        </is>
      </c>
    </row>
    <row r="1432" hidden="1" ht="15.75" customHeight="1">
      <c r="A1432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432" s="2">
        <f>HYPERLINK("https://edmondsonsupply.com/products/packard-pmj590-motor-start-capacitor-590-708-mfd-110-125-volt", "https://edmondsonsupply.com/products/packard-pmj590-motor-start-capacitor-590-708-mfd-110-125-volt")</f>
        <v/>
      </c>
      <c r="C1432" t="inlineStr">
        <is>
          <t>Packard PMJ590 Motor Start Capacitor 590-708 MFD 110-125 Volt</t>
        </is>
      </c>
      <c r="D1432" t="inlineStr">
        <is>
          <t>Canamax 590-708 MFD uf 50/60 Hz 110-125 VAC Volts Round Start Capacitor - Replacement for AC Motor Run or Fan Start and Cool or Heat Pump Air Conditioner - Replaces 6FLL3 2MDU7 CAP-590-110</t>
        </is>
      </c>
      <c r="E1432" s="2">
        <f>HYPERLINK("https://www.amazon.com/Canamax-590-708-110-125-Volts-Capacitor/dp/B0BTHNF9R1/ref=sr_1_9?keywords=Packard+PMJ590+Motor+Start+Capacitor+590-708+MFD+110-125+Volt&amp;qid=1694734721&amp;sr=8-9", "https://www.amazon.com/Canamax-590-708-110-125-Volts-Capacitor/dp/B0BTHNF9R1/ref=sr_1_9?keywords=Packard+PMJ590+Motor+Start+Capacitor+590-708+MFD+110-125+Volt&amp;qid=1694734721&amp;sr=8-9")</f>
        <v/>
      </c>
      <c r="F1432" t="inlineStr">
        <is>
          <t>B0BTHNF9R1</t>
        </is>
      </c>
      <c r="G1432">
        <f>_xludf.IMAGE("https://edmondsonsupply.com/cdn/shop/products/PMJ590-2.jpg?v=1633030307")</f>
        <v/>
      </c>
      <c r="H1432">
        <f>_xludf.IMAGE("https://m.media-amazon.com/images/I/61GBWPEtQ3L._AC_UY218_.jpg")</f>
        <v/>
      </c>
      <c r="K1432" t="inlineStr">
        <is>
          <t>6.18</t>
        </is>
      </c>
      <c r="L1432" t="n">
        <v>12.99</v>
      </c>
      <c r="M1432" s="1" t="inlineStr">
        <is>
          <t>110.19%</t>
        </is>
      </c>
      <c r="N1432" s="1" t="n">
        <v>31.81</v>
      </c>
      <c r="O1432" t="n">
        <v>3.5</v>
      </c>
      <c r="P1432" t="n">
        <v>2</v>
      </c>
      <c r="R1432" t="inlineStr">
        <is>
          <t>InStock</t>
        </is>
      </c>
      <c r="S1432" t="inlineStr">
        <is>
          <t>undefined</t>
        </is>
      </c>
      <c r="T1432" t="inlineStr">
        <is>
          <t>5241729712296</t>
        </is>
      </c>
    </row>
    <row r="1433" hidden="1" ht="15.75" customHeight="1">
      <c r="A1433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433" s="2">
        <f>HYPERLINK("https://edmondsonsupply.com/products/packard-pmj590-motor-start-capacitor-590-708-mfd-110-125-volt", "https://edmondsonsupply.com/products/packard-pmj590-motor-start-capacitor-590-708-mfd-110-125-volt")</f>
        <v/>
      </c>
      <c r="C1433" t="inlineStr">
        <is>
          <t>Packard PMJ590 Motor Start Capacitor 590-708 MFD 110-125 Volt</t>
        </is>
      </c>
      <c r="D1433" t="inlineStr">
        <is>
          <t>590-708 uf/MFD 110-125 VAC Round Start Capacitor ±20% 50/60 Hz CD60 Round Motor Well Pump Start Capacitor (590-708 uf/MFD)</t>
        </is>
      </c>
      <c r="E1433" s="2">
        <f>HYPERLINK("https://www.amazon.com/590-708-MFD-110-125-Round-Capacitor/dp/B0BGBQ2JLS/ref=sr_1_10?keywords=Packard+PMJ590+Motor+Start+Capacitor+590-708+MFD+110-125+Volt&amp;qid=1694734721&amp;sr=8-10", "https://www.amazon.com/590-708-MFD-110-125-Round-Capacitor/dp/B0BGBQ2JLS/ref=sr_1_10?keywords=Packard+PMJ590+Motor+Start+Capacitor+590-708+MFD+110-125+Volt&amp;qid=1694734721&amp;sr=8-10")</f>
        <v/>
      </c>
      <c r="F1433" t="inlineStr">
        <is>
          <t>B0BGBQ2JLS</t>
        </is>
      </c>
      <c r="G1433">
        <f>_xludf.IMAGE("https://edmondsonsupply.com/cdn/shop/products/PMJ590-2.jpg?v=1633030307")</f>
        <v/>
      </c>
      <c r="H1433">
        <f>_xludf.IMAGE("https://m.media-amazon.com/images/I/51fD9hl6fVL._AC_UY218_.jpg")</f>
        <v/>
      </c>
      <c r="K1433" t="inlineStr">
        <is>
          <t>6.18</t>
        </is>
      </c>
      <c r="L1433" t="n">
        <v>12.99</v>
      </c>
      <c r="M1433" s="1" t="inlineStr">
        <is>
          <t>110.19%</t>
        </is>
      </c>
      <c r="N1433" s="1" t="n">
        <v>31.75</v>
      </c>
      <c r="O1433" t="n">
        <v>4.7</v>
      </c>
      <c r="P1433" t="n">
        <v>21</v>
      </c>
      <c r="R1433" t="inlineStr">
        <is>
          <t>InStock</t>
        </is>
      </c>
      <c r="S1433" t="inlineStr">
        <is>
          <t>undefined</t>
        </is>
      </c>
      <c r="T1433" t="inlineStr">
        <is>
          <t>5241729712296</t>
        </is>
      </c>
    </row>
    <row r="1434" hidden="1" ht="15.75" customHeight="1">
      <c r="A1434" s="2">
        <f>HYPERLINK("https://edmondsonsupply.com/collections/hvac/products/greenlee-gsb01-1-2-step-bit-1", "https://edmondsonsupply.com/collections/hvac/products/greenlee-gsb01-1-2-step-bit-1")</f>
        <v/>
      </c>
      <c r="B1434" s="2">
        <f>HYPERLINK("https://edmondsonsupply.com/products/greenlee-gsb01-1-2-step-bit-1", "https://edmondsonsupply.com/products/greenlee-gsb01-1-2-step-bit-1")</f>
        <v/>
      </c>
      <c r="C1434" t="inlineStr">
        <is>
          <t>Greenlee GSB01 1/2" Step Bit (#1)</t>
        </is>
      </c>
      <c r="D1434" t="inlineStr">
        <is>
          <t>Greenlee GSB09 1-1/8" Step Bit (#9) Metal Cutter with Patented Split-Step Design, 1-1/8" Metal Cutting Tool for 1/2" Drill Chucks</t>
        </is>
      </c>
      <c r="E1434" s="2">
        <f>HYPERLINK("https://www.amazon.com/Greenlee-Patented-Split-Step-Design-Cutting/dp/B08TVGF4MS/ref=sr_1_7?keywords=Greenlee+GSB01+1%2F2%22+Step+Bit+%28%231%29&amp;qid=1694734894&amp;sr=8-7", "https://www.amazon.com/Greenlee-Patented-Split-Step-Design-Cutting/dp/B08TVGF4MS/ref=sr_1_7?keywords=Greenlee+GSB01+1%2F2%22+Step+Bit+%28%231%29&amp;qid=1694734894&amp;sr=8-7")</f>
        <v/>
      </c>
      <c r="F1434" t="inlineStr">
        <is>
          <t>B08TVGF4MS</t>
        </is>
      </c>
      <c r="G1434">
        <f>_xludf.IMAGE("https://edmondsonsupply.com/cdn/shop/files/GSB01_CAT1_72dpi_1.jpg?v=1687790366")</f>
        <v/>
      </c>
      <c r="H1434">
        <f>_xludf.IMAGE("https://m.media-amazon.com/images/I/41J5YEXJLpL._AC_UY218_.jpg")</f>
        <v/>
      </c>
      <c r="K1434" t="inlineStr">
        <is>
          <t>31.22</t>
        </is>
      </c>
      <c r="L1434" t="n">
        <v>65.61</v>
      </c>
      <c r="M1434" s="1" t="inlineStr">
        <is>
          <t>110.15%</t>
        </is>
      </c>
      <c r="N1434" s="1" t="n">
        <v>31.66</v>
      </c>
      <c r="O1434" t="n">
        <v>3.8</v>
      </c>
      <c r="P1434" t="n">
        <v>5</v>
      </c>
      <c r="R1434" t="inlineStr">
        <is>
          <t>InStock</t>
        </is>
      </c>
      <c r="S1434" t="inlineStr">
        <is>
          <t>undefined</t>
        </is>
      </c>
      <c r="T1434" t="inlineStr">
        <is>
          <t>8009320628440</t>
        </is>
      </c>
    </row>
    <row r="1435" ht="87" customHeight="1">
      <c r="A1435" s="2">
        <f>HYPERLINK("https://edmondsonsupply.com/collections/hvac/products/icm-controls-icm203-delay-on-break-timer-with-03-10-minute-adjustable-time-delay-universal-18-240-vac", "https://edmondsonsupply.com/collections/hvac/products/icm-controls-icm203-delay-on-break-timer-with-03-10-minute-adjustable-time-delay-universal-18-240-vac")</f>
        <v/>
      </c>
      <c r="B1435" s="2">
        <f>HYPERLINK("https://edmondsonsupply.com/products/icm-controls-icm203-delay-on-break-timer-with-03-10-minute-adjustable-time-delay-universal-18-240-vac", "https://edmondsonsupply.com/products/icm-controls-icm203-delay-on-break-timer-with-03-10-minute-adjustable-time-delay-universal-18-240-vac")</f>
        <v/>
      </c>
      <c r="C1435" t="inlineStr">
        <is>
          <t>ICM Controls ICM203 Delay on Break Timer with .03-10 Minute Adjustable Time Delay, Universal 18-240 VAC</t>
        </is>
      </c>
      <c r="D1435" t="inlineStr">
        <is>
          <t>ICM Controls ICM203F Delay On Break Timer with 0.03-10 Minutes Adjustable Timing and 6 Lead Wires,Multicolor</t>
        </is>
      </c>
      <c r="E1435" s="2">
        <f>HYPERLINK("https://www.amazon.com/ICM-Controls-ICM203F-0-03-10-Adjustable/dp/B00GIOYTJ0/ref=sr_1_2?keywords=ICM+Controls+ICM203+Delay+on+Break+Timer+with+.03-10+Minute+Adjustable+Time+Delay%2C+Universal+18-240+VAC&amp;qid=1694734641&amp;sr=8-2", "https://www.amazon.com/ICM-Controls-ICM203F-0-03-10-Adjustable/dp/B00GIOYTJ0/ref=sr_1_2?keywords=ICM+Controls+ICM203+Delay+on+Break+Timer+with+.03-10+Minute+Adjustable+Time+Delay%2C+Universal+18-240+VAC&amp;qid=1694734641&amp;sr=8-2")</f>
        <v/>
      </c>
      <c r="F1435" t="inlineStr">
        <is>
          <t>B00GIOYTJ0</t>
        </is>
      </c>
      <c r="G1435">
        <f>_xlfn.IMAGE("https://edmondsonsupply.com/cdn/shop/products/icm203.jpg?v=1587148866")</f>
        <v/>
      </c>
      <c r="H1435">
        <f>_xlfn.IMAGE("https://m.media-amazon.com/images/I/71FyhlA+HhL._AC_UL320_.jpg")</f>
        <v/>
      </c>
      <c r="K1435" t="inlineStr">
        <is>
          <t>15.7</t>
        </is>
      </c>
      <c r="L1435" t="n">
        <v>32.99</v>
      </c>
      <c r="M1435" s="1" t="inlineStr">
        <is>
          <t>110.13%</t>
        </is>
      </c>
      <c r="N1435" s="7" t="n">
        <v>31.65</v>
      </c>
      <c r="O1435" t="n">
        <v>4.2</v>
      </c>
      <c r="P1435" t="n">
        <v>51</v>
      </c>
      <c r="R1435" t="inlineStr">
        <is>
          <t>InStock</t>
        </is>
      </c>
      <c r="S1435" t="inlineStr">
        <is>
          <t>18.92</t>
        </is>
      </c>
      <c r="T1435" t="inlineStr">
        <is>
          <t>4169307979876</t>
        </is>
      </c>
    </row>
    <row r="1436" ht="87" customHeight="1">
      <c r="A1436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436" s="2">
        <f>HYPERLINK("https://edmondsonsupply.com/products/klein-tools-32907-7-in-1-impact-flip-socket-set-no-handle", "https://edmondsonsupply.com/products/klein-tools-32907-7-in-1-impact-flip-socket-set-no-handle")</f>
        <v/>
      </c>
      <c r="C1436" t="inlineStr">
        <is>
          <t>Klein Tools 32907 7-in-1 Impact Flip Socket Set, No Handle</t>
        </is>
      </c>
      <c r="D1436" t="inlineStr">
        <is>
          <t>Klein Tools 80027 Screwdriver Set, 11-in-1 Multi-bit Screwdriver, 6-in-1 Stubby Screwdriver &amp; Impact Driver, 7-in-1 Impact Flip Socket Set, 6 Hex Driver Sizes plus a 1/4-Inch Bit Holder 32907</t>
        </is>
      </c>
      <c r="E1436" s="2">
        <f>HYPERLINK("https://www.amazon.com/Klein-Tools-Screwdriver-Multi-bit-Stubby/dp/B0CF2F1JXG/ref=sr_1_5?keywords=Klein+Tools+32907+7-in-1+Impact+Flip+Socket+Set%2C+No+Handle&amp;qid=1694734636&amp;sr=8-5", "https://www.amazon.com/Klein-Tools-Screwdriver-Multi-bit-Stubby/dp/B0CF2F1JXG/ref=sr_1_5?keywords=Klein+Tools+32907+7-in-1+Impact+Flip+Socket+Set%2C+No+Handle&amp;qid=1694734636&amp;sr=8-5")</f>
        <v/>
      </c>
      <c r="F1436" t="inlineStr">
        <is>
          <t>B0CF2F1JXG</t>
        </is>
      </c>
      <c r="G1436">
        <f>_xlfn.IMAGE("https://edmondsonsupply.com/cdn/shop/products/32907_b.jpg?v=1666025282")</f>
        <v/>
      </c>
      <c r="H1436">
        <f>_xlfn.IMAGE("https://m.media-amazon.com/images/I/41r3ulT1BkL._AC_UL320_.jpg")</f>
        <v/>
      </c>
      <c r="K1436" t="inlineStr">
        <is>
          <t>19.99</t>
        </is>
      </c>
      <c r="L1436" t="n">
        <v>41.98</v>
      </c>
      <c r="M1436" s="1" t="inlineStr">
        <is>
          <t>110.01%</t>
        </is>
      </c>
      <c r="N1436" s="7" t="n">
        <v>31.64</v>
      </c>
      <c r="O1436" t="n">
        <v>4.8</v>
      </c>
      <c r="P1436" t="n">
        <v>13254</v>
      </c>
      <c r="R1436" t="inlineStr">
        <is>
          <t>InStock</t>
        </is>
      </c>
      <c r="S1436" t="inlineStr">
        <is>
          <t>29.18</t>
        </is>
      </c>
      <c r="T1436" t="inlineStr">
        <is>
          <t>7856653009112</t>
        </is>
      </c>
    </row>
    <row r="1437" ht="87" customHeight="1">
      <c r="A1437" s="2">
        <f>HYPERLINK("https://edmondsonsupply.com/collections/hvac/products/klein-tools-et10-magnetic-digital-pocket-thermometer", "https://edmondsonsupply.com/collections/hvac/products/klein-tools-et10-magnetic-digital-pocket-thermometer")</f>
        <v/>
      </c>
      <c r="B1437" s="2">
        <f>HYPERLINK("https://edmondsonsupply.com/products/klein-tools-et10-magnetic-digital-pocket-thermometer", "https://edmondsonsupply.com/products/klein-tools-et10-magnetic-digital-pocket-thermometer")</f>
        <v/>
      </c>
      <c r="C1437" t="inlineStr">
        <is>
          <t>Klein Tools ET10 Magnetic Digital Pocket Thermometer</t>
        </is>
      </c>
      <c r="D1437" t="inlineStr">
        <is>
          <t>Klein Tools IR1 Infrared Thermometer, Digital Laser Gun is Non-Contact Thermometer with a Temperature Range -4 to 752-Degree Fahrenheit &amp; ET05 Digital Pocket Thermometer</t>
        </is>
      </c>
      <c r="E1437" s="2">
        <f>HYPERLINK("https://www.amazon.com/Klein-Tools-Thermometer-Non-Contact-Temperature/dp/B0BC88SF8V/ref=sr_1_11?keywords=Klein+Tools+ET10+Magnetic+Digital+Pocket+Thermometer&amp;qid=1694734726&amp;sr=8-11", "https://www.amazon.com/Klein-Tools-Thermometer-Non-Contact-Temperature/dp/B0BC88SF8V/ref=sr_1_11?keywords=Klein+Tools+ET10+Magnetic+Digital+Pocket+Thermometer&amp;qid=1694734726&amp;sr=8-11")</f>
        <v/>
      </c>
      <c r="F1437" t="inlineStr">
        <is>
          <t>B0BC88SF8V</t>
        </is>
      </c>
      <c r="G1437">
        <f>_xlfn.IMAGE("https://edmondsonsupply.com/cdn/shop/products/et10.jpg?v=1587142916")</f>
        <v/>
      </c>
      <c r="H1437">
        <f>_xlfn.IMAGE("https://m.media-amazon.com/images/I/41SkeuD-HkL._AC_UY218_.jpg")</f>
        <v/>
      </c>
      <c r="K1437" t="inlineStr">
        <is>
          <t>22.99</t>
        </is>
      </c>
      <c r="L1437" t="n">
        <v>47.96</v>
      </c>
      <c r="M1437" s="1" t="inlineStr">
        <is>
          <t>108.61%</t>
        </is>
      </c>
      <c r="N1437" s="7" t="n">
        <v>31.41</v>
      </c>
      <c r="O1437" t="n">
        <v>5</v>
      </c>
      <c r="P1437" t="n">
        <v>4</v>
      </c>
      <c r="R1437" t="inlineStr">
        <is>
          <t>InStock</t>
        </is>
      </c>
      <c r="S1437" t="inlineStr">
        <is>
          <t>34.08</t>
        </is>
      </c>
      <c r="T1437" t="inlineStr">
        <is>
          <t>3690025943140</t>
        </is>
      </c>
    </row>
    <row r="1438" hidden="1" ht="15.75" customHeight="1">
      <c r="A1438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438" s="2">
        <f>HYPERLINK("https://edmondsonsupply.com/products/packard-ttmj108-motor-start-capacitor-108-130-mfd-220-250-vac", "https://edmondsonsupply.com/products/packard-ttmj108-motor-start-capacitor-108-130-mfd-220-250-vac")</f>
        <v/>
      </c>
      <c r="C1438" t="inlineStr">
        <is>
          <t>Packard TTMJ108 Motor Start Capacitor 108-130 MFD 220-250 VAC</t>
        </is>
      </c>
      <c r="D1438" t="inlineStr">
        <is>
          <t>Packard PTMJ108 Start Capacitor 108-130 MFD 220-250 Volt</t>
        </is>
      </c>
      <c r="E1438" s="2">
        <f>HYPERLINK("https://www.amazon.com/PACKARD-CAPACITOR-PTMJ108-108-130MFD-220-250VAC/dp/B00C0Z216O/ref=sr_1_7?keywords=Packard+TTMJ108+Motor+Start+Capacitor+108-130+MFD+220-250+VAC&amp;qid=1694734864&amp;sr=8-7", "https://www.amazon.com/PACKARD-CAPACITOR-PTMJ108-108-130MFD-220-250VAC/dp/B00C0Z216O/ref=sr_1_7?keywords=Packard+TTMJ108+Motor+Start+Capacitor+108-130+MFD+220-250+VAC&amp;qid=1694734864&amp;sr=8-7")</f>
        <v/>
      </c>
      <c r="F1438" t="inlineStr">
        <is>
          <t>B00C0Z216O</t>
        </is>
      </c>
      <c r="G1438">
        <f>_xludf.IMAGE("https://edmondsonsupply.com/cdn/shop/files/PTMJ108-2_c3537879-2bfc-401f-867d-9ee4aaa5c4bb.jpg?v=1692220228")</f>
        <v/>
      </c>
      <c r="H1438">
        <f>_xludf.IMAGE("https://m.media-amazon.com/images/I/411E6VF3v0L._AC_UY218_.jpg")</f>
        <v/>
      </c>
      <c r="K1438" t="inlineStr">
        <is>
          <t>4.39</t>
        </is>
      </c>
      <c r="L1438" t="n">
        <v>9.15</v>
      </c>
      <c r="M1438" s="1" t="inlineStr">
        <is>
          <t>108.43%</t>
        </is>
      </c>
      <c r="N1438" s="1" t="n">
        <v>31.39</v>
      </c>
      <c r="O1438" t="n">
        <v>4.5</v>
      </c>
      <c r="P1438" t="n">
        <v>21</v>
      </c>
      <c r="R1438" t="inlineStr">
        <is>
          <t>InStock</t>
        </is>
      </c>
      <c r="S1438" t="inlineStr">
        <is>
          <t>undefined</t>
        </is>
      </c>
      <c r="T1438" t="inlineStr">
        <is>
          <t>8028091154648</t>
        </is>
      </c>
    </row>
    <row r="1439" ht="87" customHeight="1">
      <c r="A1439" s="2">
        <f>HYPERLINK("https://edmondsonsupply.com/collections/hvac/products/midwest-mwt-6510c-left-right-offset-aviation-2-piece-set", "https://edmondsonsupply.com/collections/hvac/products/midwest-mwt-6510c-left-right-offset-aviation-2-piece-set")</f>
        <v/>
      </c>
      <c r="B1439" s="2">
        <f>HYPERLINK("https://edmondsonsupply.com/products/midwest-mwt-6510c-left-right-offset-aviation-2-piece-set", "https://edmondsonsupply.com/products/midwest-mwt-6510c-left-right-offset-aviation-2-piece-set")</f>
        <v/>
      </c>
      <c r="C1439" t="inlineStr">
        <is>
          <t>Midwest MWT-6510C Left &amp; Right Offset Aviation 2-Piece Set</t>
        </is>
      </c>
      <c r="D1439" t="inlineStr">
        <is>
          <t>MIDWEST Aviation Snip Set - Left, Right and Straight Cut Offset Tin Cutting Shears with Forged Blade &amp; KUSH'N-POWER Comfort Grips - MWT-6510RLS</t>
        </is>
      </c>
      <c r="E1439" s="2">
        <f>HYPERLINK("https://www.amazon.com/MIDWEST-Aviation-Snip-Set-KUSHN-POWER/dp/B008PH12VG/ref=sr_1_5?keywords=Midwest+MWT-6510C+Left+%26+Right+Offset+Aviation+2-Piece+Set&amp;qid=1694734567&amp;sr=8-5", "https://www.amazon.com/MIDWEST-Aviation-Snip-Set-KUSHN-POWER/dp/B008PH12VG/ref=sr_1_5?keywords=Midwest+MWT-6510C+Left+%26+Right+Offset+Aviation+2-Piece+Set&amp;qid=1694734567&amp;sr=8-5")</f>
        <v/>
      </c>
      <c r="F1439" t="inlineStr">
        <is>
          <t>B008PH12VG</t>
        </is>
      </c>
      <c r="G1439">
        <f>_xlfn.IMAGE("https://edmondsonsupply.com/cdn/shop/products/mwt-6510c.jpg?v=1587144863")</f>
        <v/>
      </c>
      <c r="H1439">
        <f>_xlfn.IMAGE("https://m.media-amazon.com/images/I/61kp6K+LchL._AC_UL320_.jpg")</f>
        <v/>
      </c>
      <c r="K1439" t="inlineStr">
        <is>
          <t>46.77</t>
        </is>
      </c>
      <c r="L1439" t="n">
        <v>97.3</v>
      </c>
      <c r="M1439" s="1" t="inlineStr">
        <is>
          <t>108.04%</t>
        </is>
      </c>
      <c r="N1439" s="7" t="n">
        <v>31.31</v>
      </c>
      <c r="O1439" t="n">
        <v>4.7</v>
      </c>
      <c r="P1439" t="n">
        <v>2712</v>
      </c>
      <c r="R1439" t="inlineStr">
        <is>
          <t>InStock</t>
        </is>
      </c>
      <c r="S1439" t="inlineStr">
        <is>
          <t>63.63</t>
        </is>
      </c>
      <c r="T1439" t="inlineStr">
        <is>
          <t>3688829616228</t>
        </is>
      </c>
    </row>
    <row r="1440" ht="87" customHeight="1">
      <c r="A1440" s="2">
        <f>HYPERLINK("https://edmondsonsupply.com/collections/hvac/products/packard-trcfd405-titan-pro-run-capacitor-40-5-mfd-440-370-volt-round", "https://edmondsonsupply.com/collections/hvac/products/packard-trcfd405-titan-pro-run-capacitor-40-5-mfd-440-370-volt-round")</f>
        <v/>
      </c>
      <c r="B1440" s="2">
        <f>HYPERLINK("https://edmondsonsupply.com/products/packard-trcfd405-titan-pro-run-capacitor-40-5-mfd-440-370-volt-round", "https://edmondsonsupply.com/products/packard-trcfd405-titan-pro-run-capacitor-40-5-mfd-440-370-volt-round")</f>
        <v/>
      </c>
      <c r="C1440" t="inlineStr">
        <is>
          <t>Packard TRCFD405 Titan PRO Run Capacitor 40+5 MFD 440/370 Volt Round</t>
        </is>
      </c>
      <c r="D1440" t="inlineStr">
        <is>
          <t>TITAN PRO TRCFD4075 Dual Rated Motor Run Capacitor Round MFD 40/7.5 Volts 440/370</t>
        </is>
      </c>
      <c r="E1440" s="2">
        <f>HYPERLINK("https://www.amazon.com/Titan-TRCFD4075-Rated-Motor-Capacitor/dp/B01IC27L72/ref=sr_1_7?keywords=Packard+TRCFD405+Titan+PRO+Run+Capacitor+40+5+MFD+440%2F370+Volt+Round&amp;qid=1694734668&amp;sr=8-7", "https://www.amazon.com/Titan-TRCFD4075-Rated-Motor-Capacitor/dp/B01IC27L72/ref=sr_1_7?keywords=Packard+TRCFD405+Titan+PRO+Run+Capacitor+40+5+MFD+440%2F370+Volt+Round&amp;qid=1694734668&amp;sr=8-7")</f>
        <v/>
      </c>
      <c r="F1440" t="inlineStr">
        <is>
          <t>B01IC27L72</t>
        </is>
      </c>
      <c r="G1440">
        <f>_xlfn.IMAGE("https://edmondsonsupply.com/cdn/shop/products/TRCFD405-2.jpg?v=1633030399")</f>
        <v/>
      </c>
      <c r="H1440">
        <f>_xlfn.IMAGE("https://m.media-amazon.com/images/I/81gL9btPv8L._AC_UY218_.jpg")</f>
        <v/>
      </c>
      <c r="K1440" t="inlineStr">
        <is>
          <t>8.39</t>
        </is>
      </c>
      <c r="L1440" t="n">
        <v>17.44</v>
      </c>
      <c r="M1440" s="1" t="inlineStr">
        <is>
          <t>107.87%</t>
        </is>
      </c>
      <c r="N1440" s="7" t="n">
        <v>31.31</v>
      </c>
      <c r="O1440" t="n">
        <v>4.6</v>
      </c>
      <c r="P1440" t="n">
        <v>46</v>
      </c>
      <c r="R1440" t="inlineStr">
        <is>
          <t>OutOfStock</t>
        </is>
      </c>
      <c r="S1440" t="inlineStr">
        <is>
          <t>undefined</t>
        </is>
      </c>
      <c r="T1440" t="inlineStr">
        <is>
          <t>5302386950312</t>
        </is>
      </c>
    </row>
    <row r="1441" hidden="1" ht="15.75" customHeight="1">
      <c r="A1441" s="2">
        <f>HYPERLINK("https://edmondsonsupply.com/collections/hvac/products/klein-tools-32484-replacement-bit-1-square-2-square", "https://edmondsonsupply.com/collections/hvac/products/klein-tools-32484-replacement-bit-1-square-2-square")</f>
        <v/>
      </c>
      <c r="B1441" s="2">
        <f>HYPERLINK("https://edmondsonsupply.com/products/klein-tools-32484-replacement-bit-1-square-2-square", "https://edmondsonsupply.com/products/klein-tools-32484-replacement-bit-1-square-2-square")</f>
        <v/>
      </c>
      <c r="C1441" t="inlineStr">
        <is>
          <t>Klein Tools 32484 Replacement Bit #1 Square &amp; #2 Square</t>
        </is>
      </c>
      <c r="D1441" t="inlineStr">
        <is>
          <t>Klein Tools 32709 Adjustable Length Screwdriver Blade Replacement, Square #1 and #2</t>
        </is>
      </c>
      <c r="E1441" s="2">
        <f>HYPERLINK("https://www.amazon.com/Klein-Tools-32709-Screwdriver-Replacement/dp/B01HD4HEZY/ref=sr_1_11?keywords=Klein+Tools+32484+Replacement+Bit+%231+Square+%26+%232+Square&amp;qid=1694734820&amp;sr=8-11", "https://www.amazon.com/Klein-Tools-32709-Screwdriver-Replacement/dp/B01HD4HEZY/ref=sr_1_11?keywords=Klein+Tools+32484+Replacement+Bit+%231+Square+%26+%232+Square&amp;qid=1694734820&amp;sr=8-11")</f>
        <v/>
      </c>
      <c r="F1441" t="inlineStr">
        <is>
          <t>B01HD4HEZY</t>
        </is>
      </c>
      <c r="G1441">
        <f>_xludf.IMAGE("https://edmondsonsupply.com/cdn/shop/products/32484.jpg?v=1587149345")</f>
        <v/>
      </c>
      <c r="H1441">
        <f>_xludf.IMAGE("https://m.media-amazon.com/images/I/41Jo9Qqxp-L._AC_UL320_.jpg")</f>
        <v/>
      </c>
      <c r="K1441" t="inlineStr">
        <is>
          <t>4.99</t>
        </is>
      </c>
      <c r="L1441" t="n">
        <v>10.37</v>
      </c>
      <c r="M1441" s="1" t="inlineStr">
        <is>
          <t>107.82%</t>
        </is>
      </c>
      <c r="N1441" s="1" t="n">
        <v>31.18</v>
      </c>
      <c r="O1441" t="n">
        <v>4.4</v>
      </c>
      <c r="P1441" t="n">
        <v>46</v>
      </c>
      <c r="R1441" t="inlineStr">
        <is>
          <t>InStock</t>
        </is>
      </c>
      <c r="S1441" t="inlineStr">
        <is>
          <t>7.48</t>
        </is>
      </c>
      <c r="T1441" t="inlineStr">
        <is>
          <t>4333072711780</t>
        </is>
      </c>
    </row>
    <row r="1442" ht="87" customHeight="1">
      <c r="A1442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442" s="2">
        <f>HYPERLINK("https://edmondsonsupply.com/products/klein-tools-935dag-digital-angle-gauge-and-level", "https://edmondsonsupply.com/products/klein-tools-935dag-digital-angle-gauge-and-level")</f>
        <v/>
      </c>
      <c r="C1442" t="inlineStr">
        <is>
          <t>Klein Tools 935DAG Digital Angle Gauge and Level</t>
        </is>
      </c>
      <c r="D1442" t="inlineStr">
        <is>
          <t>General Tools MMD4E Digital Moisture Meter, Grays &amp; Klein Tools 935DAG Digital Electronic Level and Angle Gauge, Measures 0-90 and 0-180 Degree Ranges, Measures and Sets Angles</t>
        </is>
      </c>
      <c r="E1442" s="2">
        <f>HYPERLINK("https://www.amazon.com/General-Tools-Moisture-Electronic-Measures/dp/B0B56TNZQD/ref=sr_1_18?keywords=Klein+Tools+935DAG+Digital+Angle+Gauge+and+Level&amp;qid=1694734733&amp;sr=8-18", "https://www.amazon.com/General-Tools-Moisture-Electronic-Measures/dp/B0B56TNZQD/ref=sr_1_18?keywords=Klein+Tools+935DAG+Digital+Angle+Gauge+and+Level&amp;qid=1694734733&amp;sr=8-18")</f>
        <v/>
      </c>
      <c r="F1442" t="inlineStr">
        <is>
          <t>B0B56TNZQD</t>
        </is>
      </c>
      <c r="G1442">
        <f>_xlfn.IMAGE("https://edmondsonsupply.com/cdn/shop/products/935dag.jpg?v=1587145032")</f>
        <v/>
      </c>
      <c r="H1442">
        <f>_xlfn.IMAGE("https://m.media-amazon.com/images/I/51GYcD1PxQL._AC_UL320_.jpg")</f>
        <v/>
      </c>
      <c r="K1442" t="inlineStr">
        <is>
          <t>29.97</t>
        </is>
      </c>
      <c r="L1442" t="n">
        <v>62.2</v>
      </c>
      <c r="M1442" s="1" t="inlineStr">
        <is>
          <t>107.54%</t>
        </is>
      </c>
      <c r="N1442" s="7" t="n">
        <v>31.15</v>
      </c>
      <c r="O1442" t="n">
        <v>4.5</v>
      </c>
      <c r="P1442" t="n">
        <v>5</v>
      </c>
      <c r="R1442" t="inlineStr">
        <is>
          <t>InStock</t>
        </is>
      </c>
      <c r="S1442" t="inlineStr">
        <is>
          <t>45.0</t>
        </is>
      </c>
      <c r="T1442" t="inlineStr">
        <is>
          <t>4167487094884</t>
        </is>
      </c>
    </row>
    <row r="1443" ht="87" customHeight="1">
      <c r="A1443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1443" s="2">
        <f>HYPERLINK("https://edmondsonsupply.com/products/klein-tools-69417-rare-earth-magnetic-meter-hanger", "https://edmondsonsupply.com/products/klein-tools-69417-rare-earth-magnetic-meter-hanger")</f>
        <v/>
      </c>
      <c r="C1443" t="inlineStr">
        <is>
          <t>Klein Tools 69417 Rare Earth Magnetic Meter Hanger, with Strap</t>
        </is>
      </c>
      <c r="D1443" t="inlineStr">
        <is>
          <t>Klein Tools 69417 Rare-Earth Magnetic Hanger, with Strap &amp; 69401 Multimeter Carrying Case</t>
        </is>
      </c>
      <c r="E1443" s="2">
        <f>HYPERLINK("https://www.amazon.com/Klein-Tools-Rare-Earth-Magnetic-Multimeter/dp/B0BGJ66GX4/ref=sr_1_2?keywords=Klein+Tools+69417+Rare+Earth+Magnetic+Meter+Hanger%2C+with+Strap&amp;qid=1694734820&amp;sr=8-2", "https://www.amazon.com/Klein-Tools-Rare-Earth-Magnetic-Multimeter/dp/B0BGJ66GX4/ref=sr_1_2?keywords=Klein+Tools+69417+Rare+Earth+Magnetic+Meter+Hanger%2C+with+Strap&amp;qid=1694734820&amp;sr=8-2")</f>
        <v/>
      </c>
      <c r="F1443" t="inlineStr">
        <is>
          <t>B0BGJ66GX4</t>
        </is>
      </c>
      <c r="G1443">
        <f>_xlfn.IMAGE("https://edmondsonsupply.com/cdn/shop/products/69417.jpg?v=1587150163")</f>
        <v/>
      </c>
      <c r="H1443">
        <f>_xlfn.IMAGE("https://m.media-amazon.com/images/I/51Em03gaEVL._AC_UL320_.jpg")</f>
        <v/>
      </c>
      <c r="K1443" t="inlineStr">
        <is>
          <t>13.99</t>
        </is>
      </c>
      <c r="L1443" t="n">
        <v>29</v>
      </c>
      <c r="M1443" s="1" t="inlineStr">
        <is>
          <t>107.29%</t>
        </is>
      </c>
      <c r="N1443" s="7" t="n">
        <v>30.79</v>
      </c>
      <c r="O1443" t="n">
        <v>5</v>
      </c>
      <c r="P1443" t="n">
        <v>2</v>
      </c>
      <c r="R1443" t="inlineStr">
        <is>
          <t>InStock</t>
        </is>
      </c>
      <c r="S1443" t="inlineStr">
        <is>
          <t>20.0</t>
        </is>
      </c>
      <c r="T1443" t="inlineStr">
        <is>
          <t>1778073731172</t>
        </is>
      </c>
    </row>
    <row r="1444" ht="87" customHeight="1">
      <c r="A1444" s="2">
        <f>HYPERLINK("https://edmondsonsupply.com/collections/hvac/products/packard-ptmj270a-motor-start-capacitor-220-250-volt-270-324-mfd", "https://edmondsonsupply.com/collections/hvac/products/packard-ptmj270a-motor-start-capacitor-220-250-volt-270-324-mfd")</f>
        <v/>
      </c>
      <c r="B1444" s="2">
        <f>HYPERLINK("https://edmondsonsupply.com/products/packard-ptmj270a-motor-start-capacitor-220-250-volt-270-324-mfd", "https://edmondsonsupply.com/products/packard-ptmj270a-motor-start-capacitor-220-250-volt-270-324-mfd")</f>
        <v/>
      </c>
      <c r="C1444" t="inlineStr">
        <is>
          <t>Packard PTMJ270A Motor Start Capacitor 220-250 Volt 270-324 MFD</t>
        </is>
      </c>
      <c r="D1444" t="inlineStr">
        <is>
          <t>PRMJ270 - Packard Upgraded Replacement Motor Start Capacitor 270-324 MFD 330 Volt VAC</t>
        </is>
      </c>
      <c r="E1444" s="2">
        <f>HYPERLINK("https://www.amazon.com/PRMJ270-Packard-Upgraded-Replacement-Capacitor/dp/B0773VZ1SY/ref=sr_1_5?keywords=Packard+PTMJ270A+Motor+Start+Capacitor+220-250+Volt+270-324+MFD&amp;qid=1694734791&amp;sr=8-5", "https://www.amazon.com/PRMJ270-Packard-Upgraded-Replacement-Capacitor/dp/B0773VZ1SY/ref=sr_1_5?keywords=Packard+PTMJ270A+Motor+Start+Capacitor+220-250+Volt+270-324+MFD&amp;qid=1694734791&amp;sr=8-5")</f>
        <v/>
      </c>
      <c r="F1444" t="inlineStr">
        <is>
          <t>B0773VZ1SY</t>
        </is>
      </c>
      <c r="G1444">
        <f>_xlfn.IMAGE("https://edmondsonsupply.com/cdn/shop/products/PTMJ270A-2.jpg?v=1633030308")</f>
        <v/>
      </c>
      <c r="H1444">
        <f>_xlfn.IMAGE("https://m.media-amazon.com/images/I/41fqQrQgJaL._AC_UY218_.jpg")</f>
        <v/>
      </c>
      <c r="K1444" t="inlineStr">
        <is>
          <t>9.92</t>
        </is>
      </c>
      <c r="L1444" t="n">
        <v>20.49</v>
      </c>
      <c r="M1444" s="1" t="inlineStr">
        <is>
          <t>106.55%</t>
        </is>
      </c>
      <c r="N1444" s="7" t="n">
        <v>30.79</v>
      </c>
      <c r="O1444" t="n">
        <v>5</v>
      </c>
      <c r="P1444" t="n">
        <v>11</v>
      </c>
      <c r="R1444" t="inlineStr">
        <is>
          <t>InStock</t>
        </is>
      </c>
      <c r="S1444" t="inlineStr">
        <is>
          <t>undefined</t>
        </is>
      </c>
      <c r="T1444" t="inlineStr">
        <is>
          <t>5241741181096</t>
        </is>
      </c>
    </row>
    <row r="1445" ht="87" customHeight="1">
      <c r="A1445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445" s="2">
        <f>HYPERLINK("https://edmondsonsupply.com/products/packard-prmj189-motor-start-capacitor-189-227-mfd-330-vac", "https://edmondsonsupply.com/products/packard-prmj189-motor-start-capacitor-189-227-mfd-330-vac")</f>
        <v/>
      </c>
      <c r="C1445" t="inlineStr">
        <is>
          <t>Packard PRMJ189 Motor Start Capacitor 189-227 MFD 330 VAC</t>
        </is>
      </c>
      <c r="D1445" t="inlineStr">
        <is>
          <t>PRMJ189 - Packard Upgraded Replacement Motor Start Capacitor 189-227 MFD 330 Volt VAC</t>
        </is>
      </c>
      <c r="E1445" s="2">
        <f>HYPERLINK("https://www.amazon.com/PRMJ189-Packard-Upgraded-Replacement-Capacitor/dp/B0773VVNGK/ref=sr_1_2?keywords=Packard+PRMJ189+Motor+Start+Capacitor+189-227+MFD+330+VAC&amp;qid=1694734820&amp;sr=8-2", "https://www.amazon.com/PRMJ189-Packard-Upgraded-Replacement-Capacitor/dp/B0773VVNGK/ref=sr_1_2?keywords=Packard+PRMJ189+Motor+Start+Capacitor+189-227+MFD+330+VAC&amp;qid=1694734820&amp;sr=8-2")</f>
        <v/>
      </c>
      <c r="F1445" t="inlineStr">
        <is>
          <t>B0773VVNGK</t>
        </is>
      </c>
      <c r="G1445">
        <f>_xlfn.IMAGE("https://edmondsonsupply.com/cdn/shop/products/PRMJ189-2.jpg?v=1663378512")</f>
        <v/>
      </c>
      <c r="H1445">
        <f>_xlfn.IMAGE("https://m.media-amazon.com/images/I/41fqQrQgJaL._AC_UY218_.jpg")</f>
        <v/>
      </c>
      <c r="K1445" t="inlineStr">
        <is>
          <t>8.59</t>
        </is>
      </c>
      <c r="L1445" t="n">
        <v>17.74</v>
      </c>
      <c r="M1445" s="1" t="inlineStr">
        <is>
          <t>106.52%</t>
        </is>
      </c>
      <c r="N1445" s="7" t="n">
        <v>30.49</v>
      </c>
      <c r="O1445" t="n">
        <v>5</v>
      </c>
      <c r="P1445" t="n">
        <v>1</v>
      </c>
      <c r="R1445" t="inlineStr">
        <is>
          <t>InStock</t>
        </is>
      </c>
      <c r="S1445" t="inlineStr">
        <is>
          <t>undefined</t>
        </is>
      </c>
      <c r="T1445" t="inlineStr">
        <is>
          <t>4298778378340</t>
        </is>
      </c>
    </row>
    <row r="1446" hidden="1" ht="15.75" customHeight="1">
      <c r="A1446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446" s="2">
        <f>HYPERLINK("https://edmondsonsupply.com/products/packard-pmj708-motor-start-capacitor-708-850-mfd-110-125-vac", "https://edmondsonsupply.com/products/packard-pmj708-motor-start-capacitor-708-850-mfd-110-125-vac")</f>
        <v/>
      </c>
      <c r="C1446" t="inlineStr">
        <is>
          <t>Packard PMJ708 Motor Start Capacitor 708-850 MFD 110-125 VAC</t>
        </is>
      </c>
      <c r="D1446" t="inlineStr">
        <is>
          <t>BlueStars 708-850 uf MFD 50/60 Hz 110-125 VAC Volts Round Start Capacitor by Blue Stars - Universal Fit for Air Conditioner and Other Electric Motor Applications - Pack of 1</t>
        </is>
      </c>
      <c r="E1446" s="2" t="n"/>
      <c r="F1446" t="inlineStr">
        <is>
          <t>B09TKWJRVH</t>
        </is>
      </c>
      <c r="G1446">
        <f>_xludf.IMAGE("https://edmondsonsupply.com/cdn/shop/products/PMJ708-2.jpg?v=1633030334")</f>
        <v/>
      </c>
      <c r="H1446">
        <f>_xludf.IMAGE("https://m.media-amazon.com/images/I/81f1PHfiNPL._AC_UY218_.jpg")</f>
        <v/>
      </c>
      <c r="K1446" t="inlineStr">
        <is>
          <t>6.76</t>
        </is>
      </c>
      <c r="L1446" t="n">
        <v>13.89</v>
      </c>
      <c r="M1446" s="1" t="inlineStr">
        <is>
          <t>105.47%</t>
        </is>
      </c>
      <c r="N1446" s="1" t="n">
        <v>30.44</v>
      </c>
      <c r="O1446" t="n">
        <v>4.9</v>
      </c>
      <c r="P1446" t="n">
        <v>15</v>
      </c>
      <c r="R1446" t="inlineStr">
        <is>
          <t>InStock</t>
        </is>
      </c>
      <c r="S1446" t="inlineStr">
        <is>
          <t>undefined</t>
        </is>
      </c>
      <c r="T1446" t="inlineStr">
        <is>
          <t>5271970021544</t>
        </is>
      </c>
    </row>
    <row r="1447" ht="87" customHeight="1">
      <c r="A1447" s="2">
        <f>HYPERLINK("https://edmondsonsupply.com/collections/hvac/products/rectorseal-97089-safe-t-switch-ss3", "https://edmondsonsupply.com/collections/hvac/products/rectorseal-97089-safe-t-switch-ss3")</f>
        <v/>
      </c>
      <c r="B1447" s="2">
        <f>HYPERLINK("https://edmondsonsupply.com/products/rectorseal-97089-safe-t-switch-ss3", "https://edmondsonsupply.com/products/rectorseal-97089-safe-t-switch-ss3")</f>
        <v/>
      </c>
      <c r="C1447" t="inlineStr">
        <is>
          <t>RectorSeal 97089 Safe-T-Switch SS3</t>
        </is>
      </c>
      <c r="D1447" t="inlineStr">
        <is>
          <t>Rectorseal 97089 SS3 3RD Generation Safe-T-Switch</t>
        </is>
      </c>
      <c r="E1447" s="2">
        <f>HYPERLINK("https://www.amazon.com/Rectorseal-97089-SS3-Generation-Safe-T-Switch/dp/B09QQS4DF5/ref=sr_1_1?keywords=RectorSeal+97089+Safe-T-Switch+SS3&amp;qid=1694734869&amp;sr=8-1", "https://www.amazon.com/Rectorseal-97089-SS3-Generation-Safe-T-Switch/dp/B09QQS4DF5/ref=sr_1_1?keywords=RectorSeal+97089+Safe-T-Switch+SS3&amp;qid=1694734869&amp;sr=8-1")</f>
        <v/>
      </c>
      <c r="F1447" t="inlineStr">
        <is>
          <t>B09QQS4DF5</t>
        </is>
      </c>
      <c r="G1447">
        <f>_xlfn.IMAGE("https://edmondsonsupply.com/cdn/shop/files/97089-ss3-safe-t-switch-image-img.webp?v=1690986443")</f>
        <v/>
      </c>
      <c r="H1447">
        <f>_xlfn.IMAGE("https://m.media-amazon.com/images/I/31Vm-8kRflL._AC_UY218_.jpg")</f>
        <v/>
      </c>
      <c r="I1447" t="n">
        <v>0</v>
      </c>
      <c r="J1447" t="inlineStr">
        <is>
          <t>low sales/ 1 seller</t>
        </is>
      </c>
      <c r="K1447" t="inlineStr">
        <is>
          <t>14.09</t>
        </is>
      </c>
      <c r="L1447" t="n">
        <v>28.95</v>
      </c>
      <c r="M1447" s="1" t="inlineStr">
        <is>
          <t>105.46%</t>
        </is>
      </c>
      <c r="N1447" s="7" t="n">
        <v>30.36</v>
      </c>
      <c r="O1447" t="n">
        <v>5</v>
      </c>
      <c r="P1447" t="n">
        <v>1</v>
      </c>
      <c r="R1447" t="inlineStr">
        <is>
          <t>InStock</t>
        </is>
      </c>
      <c r="S1447" t="inlineStr">
        <is>
          <t>17.85</t>
        </is>
      </c>
      <c r="T1447" t="inlineStr">
        <is>
          <t>8023711973592</t>
        </is>
      </c>
    </row>
    <row r="1448" ht="87" customHeight="1">
      <c r="A1448" s="2">
        <f>HYPERLINK("https://edmondsonsupply.com/collections/hvac/products/ritchie-yellow-jacket-93843-45-1-4-compact-ball-valve-adapter", "https://edmondsonsupply.com/collections/hvac/products/ritchie-yellow-jacket-93843-45-1-4-compact-ball-valve-adapter")</f>
        <v/>
      </c>
      <c r="B1448" s="2">
        <f>HYPERLINK("https://edmondsonsupply.com/products/ritchie-yellow-jacket-93843-45-1-4-compact-ball-valve-adapter", "https://edmondsonsupply.com/products/ritchie-yellow-jacket-93843-45-1-4-compact-ball-valve-adapter")</f>
        <v/>
      </c>
      <c r="C1448" t="inlineStr">
        <is>
          <t>Yellow Jacket 93843 1/4" Compact Ball Valve Adapter - 45°</t>
        </is>
      </c>
      <c r="D1448" t="inlineStr">
        <is>
          <t>Yellow Jacket 29036 Plus II Hose with 1/4" Compact Ball Valve Fittings, 36", Yellow</t>
        </is>
      </c>
      <c r="E1448" s="2">
        <f>HYPERLINK("https://www.amazon.com/Yellow-Jacket-29036-Compact-Fittings/dp/B009AXAC9C/ref=sr_1_11?keywords=Yellow+Jacket+93843+1%2F4%22+Compact+Ball+Valve+Adapter+-+45%C2%B0&amp;qid=1694734740&amp;sr=8-11", "https://www.amazon.com/Yellow-Jacket-29036-Compact-Fittings/dp/B009AXAC9C/ref=sr_1_11?keywords=Yellow+Jacket+93843+1%2F4%22+Compact+Ball+Valve+Adapter+-+45%C2%B0&amp;qid=1694734740&amp;sr=8-11")</f>
        <v/>
      </c>
      <c r="F1448" t="inlineStr">
        <is>
          <t>B009AXAC9C</t>
        </is>
      </c>
      <c r="G1448">
        <f>_xlfn.IMAGE("https://edmondsonsupply.com/cdn/shop/products/compact-ball-valves-14-516.jpg?v=1616455119")</f>
        <v/>
      </c>
      <c r="H1448">
        <f>_xlfn.IMAGE("https://m.media-amazon.com/images/I/810FI4NLi3L._AC_UY218_.jpg")</f>
        <v/>
      </c>
      <c r="K1448" t="inlineStr">
        <is>
          <t>27.31</t>
        </is>
      </c>
      <c r="L1448" t="n">
        <v>56.1</v>
      </c>
      <c r="M1448" s="1" t="inlineStr">
        <is>
          <t>105.42%</t>
        </is>
      </c>
      <c r="N1448" s="7" t="n">
        <v>30.06</v>
      </c>
      <c r="O1448" t="n">
        <v>4.8</v>
      </c>
      <c r="P1448" t="n">
        <v>9</v>
      </c>
      <c r="R1448" t="inlineStr">
        <is>
          <t>InStock</t>
        </is>
      </c>
      <c r="S1448" t="inlineStr">
        <is>
          <t>undefined</t>
        </is>
      </c>
      <c r="T1448" t="inlineStr">
        <is>
          <t>2442309501028</t>
        </is>
      </c>
    </row>
    <row r="1449" ht="87" customHeight="1">
      <c r="A1449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449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449" t="inlineStr">
        <is>
          <t>Diablo Tools DMAPL4250 3/4 in. x 8 in. x 10 in. Rebar Demon™ SDS-Plus 4-Cutter Full Carbide Head Hammer Drill Bit</t>
        </is>
      </c>
      <c r="D1449" t="inlineStr">
        <is>
          <t>Diablo DMAMX1140 3/4 in. x 16 in. x 21 in. Rebar Demon™ SDS-Max 4-Cutter Full Carbide Head Hammer Bit</t>
        </is>
      </c>
      <c r="E1449" s="2">
        <f>HYPERLINK("https://www.amazon.com/Diablo-SDS-Max-4-Cutter-Carbide-Hammer/dp/B089KWP4WK/ref=sr_1_23?keywords=Diablo+Tools+DMAPL4250+3%2F4+in.+x+8+in.+x+10+in.+Rebar+Demon%E2%84%A2+SDS-Plus+4-Cutter+Full+Carbide+Head+Hammer+Drill+Bit&amp;qid=1694734913&amp;sr=8-23", "https://www.amazon.com/Diablo-SDS-Max-4-Cutter-Carbide-Hammer/dp/B089KWP4WK/ref=sr_1_23?keywords=Diablo+Tools+DMAPL4250+3%2F4+in.+x+8+in.+x+10+in.+Rebar+Demon%E2%84%A2+SDS-Plus+4-Cutter+Full+Carbide+Head+Hammer+Drill+Bit&amp;qid=1694734913&amp;sr=8-23")</f>
        <v/>
      </c>
      <c r="F1449" t="inlineStr">
        <is>
          <t>B089KWP4WK</t>
        </is>
      </c>
      <c r="G1449">
        <f>_xlfn.IMAGE("https://edmondsonsupply.com/cdn/shop/files/rltcbi253wmfv6otmtz6.webp?v=1686576913")</f>
        <v/>
      </c>
      <c r="H1449">
        <f>_xlfn.IMAGE("https://m.media-amazon.com/images/I/61yWWNP1xrL._AC_UL320_.jpg")</f>
        <v/>
      </c>
      <c r="K1449" t="inlineStr">
        <is>
          <t>24.47</t>
        </is>
      </c>
      <c r="L1449" t="n">
        <v>50.26</v>
      </c>
      <c r="M1449" s="1" t="inlineStr">
        <is>
          <t>105.39%</t>
        </is>
      </c>
      <c r="N1449" s="7" t="n">
        <v>30.06</v>
      </c>
      <c r="O1449" t="n">
        <v>5</v>
      </c>
      <c r="P1449" t="n">
        <v>9</v>
      </c>
      <c r="R1449" t="inlineStr">
        <is>
          <t>InStock</t>
        </is>
      </c>
      <c r="S1449" t="inlineStr">
        <is>
          <t>38.21</t>
        </is>
      </c>
      <c r="T1449" t="inlineStr">
        <is>
          <t>8004486168792</t>
        </is>
      </c>
    </row>
    <row r="1450" ht="87" customHeight="1">
      <c r="A1450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1450" s="2">
        <f>HYPERLINK("https://edmondsonsupply.com/products/packard-c130a-contactor-1-pole-30-amps-24-coil-voltage", "https://edmondsonsupply.com/products/packard-c130a-contactor-1-pole-30-amps-24-coil-voltage")</f>
        <v/>
      </c>
      <c r="C1450" t="inlineStr">
        <is>
          <t>Packard C130A Contactor 1 Pole 30 Amps 24 Coil Voltage</t>
        </is>
      </c>
      <c r="D1450" t="inlineStr">
        <is>
          <t>Goodman • 30 Amp 1 Pole 24v Coil Packard Replacement Contactor C130A</t>
        </is>
      </c>
      <c r="E1450" s="2">
        <f>HYPERLINK("https://www.amazon.com/Goodman-Packard-Replacement-Contactor-C130A/dp/B00S8JKFIC/ref=sr_1_4?keywords=Packard+C130A+Contactor+1+Pole+30+Amps+24+Coil+Voltage&amp;qid=1694734616&amp;sr=8-4", "https://www.amazon.com/Goodman-Packard-Replacement-Contactor-C130A/dp/B00S8JKFIC/ref=sr_1_4?keywords=Packard+C130A+Contactor+1+Pole+30+Amps+24+Coil+Voltage&amp;qid=1694734616&amp;sr=8-4")</f>
        <v/>
      </c>
      <c r="F1450" t="inlineStr">
        <is>
          <t>B00S8JKFIC</t>
        </is>
      </c>
      <c r="G1450">
        <f>_xlfn.IMAGE("https://edmondsonsupply.com/cdn/shop/products/61bb566724620904123205.jpg?v=1650335931")</f>
        <v/>
      </c>
      <c r="H1450">
        <f>_xlfn.IMAGE("https://m.media-amazon.com/images/I/41lpHMZqPiL._AC_UY218_.jpg")</f>
        <v/>
      </c>
      <c r="K1450" t="inlineStr">
        <is>
          <t>9.62</t>
        </is>
      </c>
      <c r="L1450" t="n">
        <v>19.75</v>
      </c>
      <c r="M1450" s="1" t="inlineStr">
        <is>
          <t>105.30%</t>
        </is>
      </c>
      <c r="N1450" s="7" t="n">
        <v>30.01</v>
      </c>
      <c r="O1450" t="n">
        <v>4.6</v>
      </c>
      <c r="P1450" t="n">
        <v>132</v>
      </c>
      <c r="R1450" t="inlineStr">
        <is>
          <t>InStock</t>
        </is>
      </c>
      <c r="S1450" t="inlineStr">
        <is>
          <t>undefined</t>
        </is>
      </c>
      <c r="T1450" t="inlineStr">
        <is>
          <t>5301652095144</t>
        </is>
      </c>
    </row>
    <row r="1451" ht="87" customHeight="1">
      <c r="A1451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1451" s="2">
        <f>HYPERLINK("https://edmondsonsupply.com/products/klein-tools-d2000-28glw-diagonal-cutting-pliers-hi-viz-8-inch", "https://edmondsonsupply.com/products/klein-tools-d2000-28glw-diagonal-cutting-pliers-hi-viz-8-inch")</f>
        <v/>
      </c>
      <c r="C1451" t="inlineStr">
        <is>
          <t>Klein Tools D200028GLW Diagonal Cutting Pliers, High-Visibility, 8-Inch</t>
        </is>
      </c>
      <c r="D1451" t="inlineStr">
        <is>
          <t>Klein Tools D232-8 End-Cutting Pliers, High-Leverage Wide Throat Clearance with Extended Handles for Longer Reach, 8-Inch</t>
        </is>
      </c>
      <c r="E1451" s="2">
        <f>HYPERLINK("https://www.amazon.com/End-Cutting-Pliers-Klein-Tools-D232-8/dp/B0002RI9NQ/ref=sr_1_23?keywords=Klein+Tools+D200028GLW+Diagonal+Cutting+Pliers%2C+High-Visibility%2C+8-Inch&amp;qid=1694734781&amp;sr=8-23", "https://www.amazon.com/End-Cutting-Pliers-Klein-Tools-D232-8/dp/B0002RI9NQ/ref=sr_1_23?keywords=Klein+Tools+D200028GLW+Diagonal+Cutting+Pliers%2C+High-Visibility%2C+8-Inch&amp;qid=1694734781&amp;sr=8-23")</f>
        <v/>
      </c>
      <c r="F1451" t="inlineStr">
        <is>
          <t>B0002RI9NQ</t>
        </is>
      </c>
      <c r="G1451">
        <f>_xlfn.IMAGE("https://edmondsonsupply.com/cdn/shop/products/d200028glw.jpg?v=1633030701")</f>
        <v/>
      </c>
      <c r="H1451">
        <f>_xlfn.IMAGE("https://m.media-amazon.com/images/I/41BnDDbBWSL._AC_UL320_.jpg")</f>
        <v/>
      </c>
      <c r="K1451" t="inlineStr">
        <is>
          <t>37.49</t>
        </is>
      </c>
      <c r="L1451" t="n">
        <v>76.81999999999999</v>
      </c>
      <c r="M1451" s="1" t="inlineStr">
        <is>
          <t>104.91%</t>
        </is>
      </c>
      <c r="N1451" s="7" t="n">
        <v>29.95</v>
      </c>
      <c r="O1451" t="n">
        <v>4.5</v>
      </c>
      <c r="P1451" t="n">
        <v>287</v>
      </c>
      <c r="R1451" t="inlineStr">
        <is>
          <t>InStock</t>
        </is>
      </c>
      <c r="S1451" t="inlineStr">
        <is>
          <t>56.78</t>
        </is>
      </c>
      <c r="T1451" t="inlineStr">
        <is>
          <t>5848287477928</t>
        </is>
      </c>
    </row>
    <row r="1452" ht="87" customHeight="1">
      <c r="A1452" s="2">
        <f>HYPERLINK("https://edmondsonsupply.com/collections/hvac/products/white-rodgers-24a34-2-24v-electric-heat-sequencer-spst", "https://edmondsonsupply.com/collections/hvac/products/white-rodgers-24a34-2-24v-electric-heat-sequencer-spst")</f>
        <v/>
      </c>
      <c r="B1452" s="2">
        <f>HYPERLINK("https://edmondsonsupply.com/products/white-rodgers-24a34-2-24v-electric-heat-sequencer-spst", "https://edmondsonsupply.com/products/white-rodgers-24a34-2-24v-electric-heat-sequencer-spst")</f>
        <v/>
      </c>
      <c r="C1452" t="inlineStr">
        <is>
          <t>White-Rodgers 24A34-2 24V Electric Heat Sequencer, SPST</t>
        </is>
      </c>
      <c r="D1452" t="inlineStr">
        <is>
          <t>HVAC Parts Emerson White-Rodgers 24A34-4 24V Electric Heat Sequencer DPST</t>
        </is>
      </c>
      <c r="E1452" s="2">
        <f>HYPERLINK("https://www.amazon.com/HVAC-Parts-White-Rodgers-Electric-Sequencer/dp/B09N9VYKL1/ref=sr_1_5?keywords=White-Rodgers+24A34-2+24V+Electric+Heat+Sequencer%2C+SPST&amp;qid=1694734713&amp;sr=8-5", "https://www.amazon.com/HVAC-Parts-White-Rodgers-Electric-Sequencer/dp/B09N9VYKL1/ref=sr_1_5?keywords=White-Rodgers+24A34-2+24V+Electric+Heat+Sequencer%2C+SPST&amp;qid=1694734713&amp;sr=8-5")</f>
        <v/>
      </c>
      <c r="F1452" t="inlineStr">
        <is>
          <t>B09N9VYKL1</t>
        </is>
      </c>
      <c r="G1452">
        <f>_xlfn.IMAGE("https://edmondsonsupply.com/cdn/shop/products/24A34-2.jpg?v=1633030752")</f>
        <v/>
      </c>
      <c r="H1452">
        <f>_xlfn.IMAGE("https://m.media-amazon.com/images/I/71IXexQVGwL._AC_UL320_.jpg")</f>
        <v/>
      </c>
      <c r="K1452" t="inlineStr">
        <is>
          <t>11.99</t>
        </is>
      </c>
      <c r="L1452" t="n">
        <v>24.54</v>
      </c>
      <c r="M1452" s="1" t="inlineStr">
        <is>
          <t>104.67%</t>
        </is>
      </c>
      <c r="N1452" s="7" t="n">
        <v>29.69</v>
      </c>
      <c r="O1452" t="n">
        <v>5</v>
      </c>
      <c r="P1452" t="n">
        <v>1</v>
      </c>
      <c r="R1452" t="inlineStr">
        <is>
          <t>InStock</t>
        </is>
      </c>
      <c r="S1452" t="inlineStr">
        <is>
          <t>26.43</t>
        </is>
      </c>
      <c r="T1452" t="inlineStr">
        <is>
          <t>5896366424232</t>
        </is>
      </c>
    </row>
    <row r="1453" ht="87" customHeight="1">
      <c r="A1453" s="2">
        <f>HYPERLINK("https://edmondsonsupply.com/collections/hvac/products/rectorseal-97087-safe-t-switch-ss2-gen-3", "https://edmondsonsupply.com/collections/hvac/products/rectorseal-97087-safe-t-switch-ss2-gen-3")</f>
        <v/>
      </c>
      <c r="B1453" s="2">
        <f>HYPERLINK("https://edmondsonsupply.com/products/rectorseal-97087-safe-t-switch-ss2-gen-3", "https://edmondsonsupply.com/products/rectorseal-97087-safe-t-switch-ss2-gen-3")</f>
        <v/>
      </c>
      <c r="C1453" t="inlineStr">
        <is>
          <t>RectorSeal 97087 Safe-T-Switch SS2, Gen 3</t>
        </is>
      </c>
      <c r="D1453" t="inlineStr">
        <is>
          <t>Rectorseal 97085 Ss1 3rd Generation Safe-T-Switch</t>
        </is>
      </c>
      <c r="E1453" s="2">
        <f>HYPERLINK("https://www.amazon.com/Rectorseal-97085-Ss1-Generation-Safe-T-Switch/dp/B09QQR288Z/ref=sr_1_3?keywords=RectorSeal+97087+Safe-T-Switch+SS2%2C+Gen+3&amp;qid=1694734693&amp;sr=8-3", "https://www.amazon.com/Rectorseal-97085-Ss1-Generation-Safe-T-Switch/dp/B09QQR288Z/ref=sr_1_3?keywords=RectorSeal+97087+Safe-T-Switch+SS2%2C+Gen+3&amp;qid=1694734693&amp;sr=8-3")</f>
        <v/>
      </c>
      <c r="F1453" t="inlineStr">
        <is>
          <t>B09QQR288Z</t>
        </is>
      </c>
      <c r="G1453">
        <f>_xlfn.IMAGE("https://edmondsonsupply.com/cdn/shop/products/97087-ss2-safe-t-switch-image-img.webp?v=1662053885")</f>
        <v/>
      </c>
      <c r="H1453">
        <f>_xlfn.IMAGE("https://m.media-amazon.com/images/I/417pn6XuhaL._AC_UY218_.jpg")</f>
        <v/>
      </c>
      <c r="K1453" t="inlineStr">
        <is>
          <t>21.99</t>
        </is>
      </c>
      <c r="L1453" t="n">
        <v>44.95</v>
      </c>
      <c r="M1453" s="1" t="inlineStr">
        <is>
          <t>104.41%</t>
        </is>
      </c>
      <c r="N1453" s="7" t="n">
        <v>29.6</v>
      </c>
      <c r="O1453" t="n">
        <v>4.7</v>
      </c>
      <c r="P1453" t="n">
        <v>7</v>
      </c>
      <c r="R1453" t="inlineStr">
        <is>
          <t>InStock</t>
        </is>
      </c>
      <c r="S1453" t="inlineStr">
        <is>
          <t>30.67</t>
        </is>
      </c>
      <c r="T1453" t="inlineStr">
        <is>
          <t>7799440933080</t>
        </is>
      </c>
    </row>
    <row r="1454" ht="87" customHeight="1">
      <c r="A1454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454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454" t="inlineStr">
        <is>
          <t>ICM Controls ICM2811 Furnace Control Board - Replacement for Goodman</t>
        </is>
      </c>
      <c r="D1454" t="inlineStr">
        <is>
          <t>Upgraded Replacement for Goodman Furnace Control Circuit Board B18099-06</t>
        </is>
      </c>
      <c r="E1454" s="2">
        <f>HYPERLINK("https://www.amazon.com/Upgraded-Replacement-Goodman-Furnace-B18099-06/dp/B016AQSGBC/ref=sr_1_4?keywords=ICM+Controls+ICM2811+Furnace+Control+Board+-+Replacement+for+Goodman&amp;qid=1694734652&amp;sr=8-4", "https://www.amazon.com/Upgraded-Replacement-Goodman-Furnace-B18099-06/dp/B016AQSGBC/ref=sr_1_4?keywords=ICM+Controls+ICM2811+Furnace+Control+Board+-+Replacement+for+Goodman&amp;qid=1694734652&amp;sr=8-4")</f>
        <v/>
      </c>
      <c r="F1454" t="inlineStr">
        <is>
          <t>B016AQSGBC</t>
        </is>
      </c>
      <c r="G1454">
        <f>_xlfn.IMAGE("https://edmondsonsupply.com/cdn/shop/products/photo_3800_medium_86f45e25-a764-4839-bc84-759a6ce1c7bd.jpg?v=1659910436")</f>
        <v/>
      </c>
      <c r="H1454">
        <f>_xlfn.IMAGE("https://m.media-amazon.com/images/I/61OL0G07mUL._AC_UL320_.jpg")</f>
        <v/>
      </c>
      <c r="K1454" t="inlineStr">
        <is>
          <t>68.99</t>
        </is>
      </c>
      <c r="L1454" t="n">
        <v>140.93</v>
      </c>
      <c r="M1454" s="1" t="inlineStr">
        <is>
          <t>104.28%</t>
        </is>
      </c>
      <c r="N1454" s="7" t="n">
        <v>29.51</v>
      </c>
      <c r="O1454" t="n">
        <v>5</v>
      </c>
      <c r="P1454" t="n">
        <v>7</v>
      </c>
      <c r="R1454" t="inlineStr">
        <is>
          <t>InStock</t>
        </is>
      </c>
      <c r="S1454" t="inlineStr">
        <is>
          <t>93.62</t>
        </is>
      </c>
      <c r="T1454" t="inlineStr">
        <is>
          <t>4345448202340</t>
        </is>
      </c>
    </row>
    <row r="1455" ht="87" customHeight="1">
      <c r="A1455" s="2">
        <f>HYPERLINK("https://edmondsonsupply.com/collections/hvac/products/packard-trcfd505-titan-pro-run-capacitor-50-5-mfd-440-370-volt-round", "https://edmondsonsupply.com/collections/hvac/products/packard-trcfd505-titan-pro-run-capacitor-50-5-mfd-440-370-volt-round")</f>
        <v/>
      </c>
      <c r="B1455" s="2">
        <f>HYPERLINK("https://edmondsonsupply.com/products/packard-trcfd505-titan-pro-run-capacitor-50-5-mfd-440-370-volt-round", "https://edmondsonsupply.com/products/packard-trcfd505-titan-pro-run-capacitor-50-5-mfd-440-370-volt-round")</f>
        <v/>
      </c>
      <c r="C1455" t="inlineStr">
        <is>
          <t>Packard TRCFD505 TITAN PRO Run Capacitor 50+5 MFD 440/370 Volt Round</t>
        </is>
      </c>
      <c r="D1455" t="inlineStr">
        <is>
          <t>TitanPro TOCFD505 HVAC Oval Motor Run Dual Capacitor. 50/5 MFD/UF 440/370 Volts</t>
        </is>
      </c>
      <c r="E1455" s="2">
        <f>HYPERLINK("https://www.amazon.com/TitanPro-TOCFD505-Motor-Capacitor-Volts/dp/B01MRCX8PN/ref=sr_1_10?keywords=Packard+TRCFD505+TITAN+PRO+Run+Capacitor+50+5+MFD+440%2F370+Volt+Round&amp;qid=1694734622&amp;sr=8-10", "https://www.amazon.com/TitanPro-TOCFD505-Motor-Capacitor-Volts/dp/B01MRCX8PN/ref=sr_1_10?keywords=Packard+TRCFD505+TITAN+PRO+Run+Capacitor+50+5+MFD+440%2F370+Volt+Round&amp;qid=1694734622&amp;sr=8-10")</f>
        <v/>
      </c>
      <c r="F1455" t="inlineStr">
        <is>
          <t>B01MRCX8PN</t>
        </is>
      </c>
      <c r="G1455">
        <f>_xlfn.IMAGE("https://edmondsonsupply.com/cdn/shop/products/TRCFD505-2.jpg?v=1633030571")</f>
        <v/>
      </c>
      <c r="H1455">
        <f>_xlfn.IMAGE("https://m.media-amazon.com/images/I/71ad8K1rClL._AC_UY218_.jpg")</f>
        <v/>
      </c>
      <c r="K1455" t="inlineStr">
        <is>
          <t>9.96</t>
        </is>
      </c>
      <c r="L1455" t="n">
        <v>20.34</v>
      </c>
      <c r="M1455" s="1" t="inlineStr">
        <is>
          <t>104.22%</t>
        </is>
      </c>
      <c r="N1455" s="7" t="n">
        <v>29.5</v>
      </c>
      <c r="O1455" t="n">
        <v>4.7</v>
      </c>
      <c r="P1455" t="n">
        <v>5</v>
      </c>
      <c r="R1455" t="inlineStr">
        <is>
          <t>InStock</t>
        </is>
      </c>
      <c r="S1455" t="inlineStr">
        <is>
          <t>undefined</t>
        </is>
      </c>
      <c r="T1455" t="inlineStr">
        <is>
          <t>5480944271528</t>
        </is>
      </c>
    </row>
    <row r="1456" ht="87" customHeight="1">
      <c r="A1456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1456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1456" t="inlineStr">
        <is>
          <t>Klein Tools 605-6 1/4-Inch Cabinet Tip Screwdriver, Heavy Duty, 6-Inch</t>
        </is>
      </c>
      <c r="D1456" t="inlineStr">
        <is>
          <t>Klein Tools 603-4 Screwdriver, 2 Phillips Tip with Cushion Grip Handle, Precision Machined Electrician Screwdriver, 8-Inch &amp; 605-6 1/4-Inch Cabinet Tip Screwdriver, Heavy Duty, 6-Inch</t>
        </is>
      </c>
      <c r="E1456" s="2">
        <f>HYPERLINK("https://www.amazon.com/Klein-Tools-Screwdriver-Precision-Electrician/dp/B0BR23NNNH/ref=sr_1_2?keywords=Klein+Tools+605-6+1%2F4-Inch+Cabinet+Tip+Screwdriver%2C+Heavy+Duty%2C+6-Inch&amp;qid=1694734725&amp;sr=8-2", "https://www.amazon.com/Klein-Tools-Screwdriver-Precision-Electrician/dp/B0BR23NNNH/ref=sr_1_2?keywords=Klein+Tools+605-6+1%2F4-Inch+Cabinet+Tip+Screwdriver%2C+Heavy+Duty%2C+6-Inch&amp;qid=1694734725&amp;sr=8-2")</f>
        <v/>
      </c>
      <c r="F1456" t="inlineStr">
        <is>
          <t>B0BR23NNNH</t>
        </is>
      </c>
      <c r="G1456">
        <f>_xlfn.IMAGE("https://edmondsonsupply.com/cdn/shop/products/605-6.jpg?v=1587149759")</f>
        <v/>
      </c>
      <c r="H1456">
        <f>_xlfn.IMAGE("https://m.media-amazon.com/images/I/316TumgEKzL._AC_UL320_.jpg")</f>
        <v/>
      </c>
      <c r="K1456" t="inlineStr">
        <is>
          <t>9.49</t>
        </is>
      </c>
      <c r="L1456" t="n">
        <v>19.38</v>
      </c>
      <c r="M1456" s="1" t="inlineStr">
        <is>
          <t>104.21%</t>
        </is>
      </c>
      <c r="N1456" s="7" t="n">
        <v>29.34</v>
      </c>
      <c r="O1456" t="n">
        <v>5</v>
      </c>
      <c r="P1456" t="n">
        <v>3</v>
      </c>
      <c r="R1456" t="inlineStr">
        <is>
          <t>InStock</t>
        </is>
      </c>
      <c r="S1456" t="inlineStr">
        <is>
          <t>14.38</t>
        </is>
      </c>
      <c r="T1456" t="inlineStr">
        <is>
          <t>4512371310692</t>
        </is>
      </c>
    </row>
    <row r="1457" hidden="1" ht="15.75" customHeight="1">
      <c r="A1457" s="2">
        <f>HYPERLINK("https://edmondsonsupply.com/collections/hvac/products/packard-prmj108-motor-start-capacitor-108-130-mfd-330-vac", "https://edmondsonsupply.com/collections/hvac/products/packard-prmj108-motor-start-capacitor-108-130-mfd-330-vac")</f>
        <v/>
      </c>
      <c r="B1457" s="2">
        <f>HYPERLINK("https://edmondsonsupply.com/products/packard-prmj108-motor-start-capacitor-108-130-mfd-330-vac", "https://edmondsonsupply.com/products/packard-prmj108-motor-start-capacitor-108-130-mfd-330-vac")</f>
        <v/>
      </c>
      <c r="C1457" t="inlineStr">
        <is>
          <t>Packard PRMJ56 Motor Start Capacitor 53-64 MFD 330 VAC</t>
        </is>
      </c>
      <c r="D1457" t="inlineStr">
        <is>
          <t>weideer 53-64 uf/MFD Motor Start Capacitor 250 VAC Volts 50/60 Hz for Well Pump and Others</t>
        </is>
      </c>
      <c r="E1457" s="2">
        <f>HYPERLINK("https://www.amazon.com/weideer-53-64-Motor-Capacitor-Others/dp/B0B86Z795Y/ref=sr_1_10?keywords=Packard+PRMJ56+Motor+Start+Capacitor+53-64+MFD+330+VAC&amp;qid=1694734833&amp;sr=8-10", "https://www.amazon.com/weideer-53-64-Motor-Capacitor-Others/dp/B0B86Z795Y/ref=sr_1_10?keywords=Packard+PRMJ56+Motor+Start+Capacitor+53-64+MFD+330+VAC&amp;qid=1694734833&amp;sr=8-10")</f>
        <v/>
      </c>
      <c r="F1457" t="inlineStr">
        <is>
          <t>B0B86Z795Y</t>
        </is>
      </c>
      <c r="G1457">
        <f>_xludf.IMAGE("https://edmondsonsupply.com/cdn/shop/products/PRMJ56-2.jpg?v=1633030105")</f>
        <v/>
      </c>
      <c r="H1457">
        <f>_xludf.IMAGE("https://m.media-amazon.com/images/I/51eCils-EqL._AC_UY218_.jpg")</f>
        <v/>
      </c>
      <c r="K1457" t="inlineStr">
        <is>
          <t>3.92</t>
        </is>
      </c>
      <c r="L1457" t="n">
        <v>7.99</v>
      </c>
      <c r="M1457" s="1" t="inlineStr">
        <is>
          <t>103.83%</t>
        </is>
      </c>
      <c r="N1457" s="1" t="n">
        <v>29.28</v>
      </c>
      <c r="O1457" t="n">
        <v>3.2</v>
      </c>
      <c r="P1457" t="n">
        <v>19</v>
      </c>
      <c r="R1457" t="inlineStr">
        <is>
          <t>InStock</t>
        </is>
      </c>
      <c r="S1457" t="inlineStr">
        <is>
          <t>undefined</t>
        </is>
      </c>
      <c r="T1457" t="inlineStr">
        <is>
          <t>3575357505636</t>
        </is>
      </c>
    </row>
    <row r="1458" ht="87" customHeight="1">
      <c r="A1458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1458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1458" t="inlineStr">
        <is>
          <t>Diablo Tools DMAMX1300 1-1/4 in. x 16 in. x 21 in. Rebar Demon™ SDS-Max 4-Cutter Full Carbide Head Hammer Drill Bit</t>
        </is>
      </c>
      <c r="D1458" t="inlineStr">
        <is>
          <t>Diablo DMAMX1390 1-3/4 in. x 16 in. x 21 in. Rebar Demon™ SDS-Max 4-Cutter Carbide-Tipped Hammer Bit</t>
        </is>
      </c>
      <c r="E1458" s="2">
        <f>HYPERLINK("https://www.amazon.com/Diablo-DMAMX1390-SDS-Max-4-Cutter-Carbide-Tipped/dp/B089KW6C8V/ref=sr_1_19?keywords=Diablo+Tools+DMAMX1300+1-1%2F4+in.+x+16+in.+x+21+in.+Rebar+Demon%E2%84%A2+SDS-Max+4-Cutter+Full+Carbide+Head+Hammer+Drill+Bit&amp;qid=1694734676&amp;sr=8-19", "https://www.amazon.com/Diablo-DMAMX1390-SDS-Max-4-Cutter-Carbide-Tipped/dp/B089KW6C8V/ref=sr_1_19?keywords=Diablo+Tools+DMAMX1300+1-1%2F4+in.+x+16+in.+x+21+in.+Rebar+Demon%E2%84%A2+SDS-Max+4-Cutter+Full+Carbide+Head+Hammer+Drill+Bit&amp;qid=1694734676&amp;sr=8-19")</f>
        <v/>
      </c>
      <c r="F1458" t="inlineStr">
        <is>
          <t>B089KW6C8V</t>
        </is>
      </c>
      <c r="G1458">
        <f>_xlfn.IMAGE("https://edmondsonsupply.com/cdn/shop/files/immoyh7jjmbau4fzhuq6_7dd7fd73-2865-4c12-9443-da45b48dbd51.webp?v=1685465465")</f>
        <v/>
      </c>
      <c r="H1458">
        <f>_xlfn.IMAGE("https://m.media-amazon.com/images/I/61J-83UaGmL._AC_UL320_.jpg")</f>
        <v/>
      </c>
      <c r="K1458" t="inlineStr">
        <is>
          <t>66.4</t>
        </is>
      </c>
      <c r="L1458" t="n">
        <v>135.21</v>
      </c>
      <c r="M1458" s="1" t="inlineStr">
        <is>
          <t>103.63%</t>
        </is>
      </c>
      <c r="N1458" s="7" t="n">
        <v>29.25</v>
      </c>
      <c r="O1458" t="n">
        <v>5</v>
      </c>
      <c r="P1458" t="n">
        <v>9</v>
      </c>
      <c r="R1458" t="inlineStr">
        <is>
          <t>OutOfStock</t>
        </is>
      </c>
      <c r="S1458" t="inlineStr">
        <is>
          <t>105.4</t>
        </is>
      </c>
      <c r="T1458" t="inlineStr">
        <is>
          <t>7997856874712</t>
        </is>
      </c>
    </row>
    <row r="1459" hidden="1" ht="15.75" customHeight="1">
      <c r="A1459" s="2">
        <f>HYPERLINK("https://edmondsonsupply.com/collections/hvac/products/supco-fsc10-flame-sensor-cleaner", "https://edmondsonsupply.com/collections/hvac/products/supco-fsc10-flame-sensor-cleaner")</f>
        <v/>
      </c>
      <c r="B1459" s="2">
        <f>HYPERLINK("https://edmondsonsupply.com/products/supco-fsc10-flame-sensor-cleaner", "https://edmondsonsupply.com/products/supco-fsc10-flame-sensor-cleaner")</f>
        <v/>
      </c>
      <c r="C1459" t="inlineStr">
        <is>
          <t>Supco FSC10 Flame Sensor Cleaner</t>
        </is>
      </c>
      <c r="D1459" t="inlineStr">
        <is>
          <t>Edgewater Parts FSC10 Flame Sensor Cleaner</t>
        </is>
      </c>
      <c r="E1459" s="2">
        <f>HYPERLINK("https://www.amazon.com/Edgewater-Parts-FSC10-Sensor-Cleaner/dp/B0964C1QLV/ref=sr_1_5?keywords=Supco+FSC10+Flame+Sensor+Cleaner&amp;qid=1694734702&amp;sr=8-5", "https://www.amazon.com/Edgewater-Parts-FSC10-Sensor-Cleaner/dp/B0964C1QLV/ref=sr_1_5?keywords=Supco+FSC10+Flame+Sensor+Cleaner&amp;qid=1694734702&amp;sr=8-5")</f>
        <v/>
      </c>
      <c r="F1459" t="inlineStr">
        <is>
          <t>B0964C1QLV</t>
        </is>
      </c>
      <c r="G1459">
        <f>_xludf.IMAGE("https://edmondsonsupply.com/cdn/shop/products/FSC10_L.png?v=1633031127")</f>
        <v/>
      </c>
      <c r="H1459">
        <f>_xludf.IMAGE("https://m.media-amazon.com/images/I/51r80CDHzeS._AC_UL320_.jpg")</f>
        <v/>
      </c>
      <c r="K1459" t="inlineStr">
        <is>
          <t>7.13</t>
        </is>
      </c>
      <c r="L1459" t="n">
        <v>14.5</v>
      </c>
      <c r="M1459" s="1" t="inlineStr">
        <is>
          <t>103.37%</t>
        </is>
      </c>
      <c r="N1459" s="1" t="n">
        <v>29.25</v>
      </c>
      <c r="O1459" t="n">
        <v>3.7</v>
      </c>
      <c r="P1459" t="n">
        <v>12</v>
      </c>
      <c r="R1459" t="inlineStr">
        <is>
          <t>InStock</t>
        </is>
      </c>
      <c r="S1459" t="inlineStr">
        <is>
          <t>undefined</t>
        </is>
      </c>
      <c r="T1459" t="inlineStr">
        <is>
          <t>6870162079917</t>
        </is>
      </c>
    </row>
    <row r="1460" hidden="1" ht="15.75" customHeight="1">
      <c r="A1460" s="2">
        <f>HYPERLINK("https://edmondsonsupply.com/collections/hvac/products/icm-controls-icm450-3-phase-line-voltage-monitor", "https://edmondsonsupply.com/collections/hvac/products/icm-controls-icm450-3-phase-line-voltage-monitor")</f>
        <v/>
      </c>
      <c r="B1460" s="2">
        <f>HYPERLINK("https://edmondsonsupply.com/products/icm-controls-icm450-3-phase-line-voltage-monitor", "https://edmondsonsupply.com/products/icm-controls-icm450-3-phase-line-voltage-monitor")</f>
        <v/>
      </c>
      <c r="C1460" t="inlineStr">
        <is>
          <t>ICM Controls ICM450A 3 Phase Line Voltage Monitor</t>
        </is>
      </c>
      <c r="D1460" t="inlineStr">
        <is>
          <t>ICM ICM493 Advanced Single-Phase line Voltage Monitor with a Bank of Surge arresters for Added Protection Against Lightning Strikes. Includes a Built-in 40A contactor. Ideal for Mini-Splits or Other</t>
        </is>
      </c>
      <c r="E1460" s="2">
        <f>HYPERLINK("https://www.amazon.com/ICM-Single-Phase-Protection-contactor-Mini-Splits/dp/B07SZ45HQH/ref=sr_1_10?keywords=ICM+Controls+ICM450A+3+Phase+Line+Voltage+Monitor&amp;qid=1694734635&amp;sr=8-10", "https://www.amazon.com/ICM-Single-Phase-Protection-contactor-Mini-Splits/dp/B07SZ45HQH/ref=sr_1_10?keywords=ICM+Controls+ICM450A+3+Phase+Line+Voltage+Monitor&amp;qid=1694734635&amp;sr=8-10")</f>
        <v/>
      </c>
      <c r="F1460" t="inlineStr">
        <is>
          <t>B07SZ45HQH</t>
        </is>
      </c>
      <c r="G1460">
        <f>_xludf.IMAGE("https://edmondsonsupply.com/cdn/shop/products/450A.png?v=1666732398")</f>
        <v/>
      </c>
      <c r="H1460">
        <f>_xludf.IMAGE("https://m.media-amazon.com/images/I/41b2VVsBxRL._AC_UL320_.jpg")</f>
        <v/>
      </c>
      <c r="K1460" t="inlineStr">
        <is>
          <t>149.99</t>
        </is>
      </c>
      <c r="L1460" t="n">
        <v>304.72</v>
      </c>
      <c r="M1460" s="1" t="inlineStr">
        <is>
          <t>103.16%</t>
        </is>
      </c>
      <c r="N1460" s="1" t="n">
        <v>29.2</v>
      </c>
      <c r="O1460" t="n">
        <v>1</v>
      </c>
      <c r="P1460" t="n">
        <v>1</v>
      </c>
      <c r="R1460" t="inlineStr">
        <is>
          <t>InStock</t>
        </is>
      </c>
      <c r="S1460" t="inlineStr">
        <is>
          <t>202.72</t>
        </is>
      </c>
      <c r="T1460" t="inlineStr">
        <is>
          <t>7861482062040</t>
        </is>
      </c>
    </row>
    <row r="1461" ht="87" customHeight="1">
      <c r="A1461" s="2">
        <f>HYPERLINK("https://edmondsonsupply.com/collections/hvac/products/packard-trcfd3575-titan-pro-run-capacitor-35-7-5-mfd-440-370-volt-round", "https://edmondsonsupply.com/collections/hvac/products/packard-trcfd3575-titan-pro-run-capacitor-35-7-5-mfd-440-370-volt-round")</f>
        <v/>
      </c>
      <c r="B1461" s="2">
        <f>HYPERLINK("https://edmondsonsupply.com/products/packard-trcfd3575-titan-pro-run-capacitor-35-7-5-mfd-440-370-volt-round", "https://edmondsonsupply.com/products/packard-trcfd3575-titan-pro-run-capacitor-35-7-5-mfd-440-370-volt-round")</f>
        <v/>
      </c>
      <c r="C1461" t="inlineStr">
        <is>
          <t>Packard TRCFD3575 Titan PRO Run Capacitor 35+7.5 MFD 440/370 Volt Round</t>
        </is>
      </c>
      <c r="D1461" t="inlineStr">
        <is>
          <t>TITAN PRO TRCFD4075 Dual Rated Motor Run Capacitor Round MFD 40/7.5 Volts 440/370</t>
        </is>
      </c>
      <c r="E1461" s="2">
        <f>HYPERLINK("https://www.amazon.com/Titan-TRCFD4075-Rated-Motor-Capacitor/dp/B01IC27L72/ref=sr_1_12?keywords=Packard+TRCFD3575+Titan+PRO+Run+Capacitor+35+7.5+MFD+440%2F370+Volt+Round&amp;qid=1694734662&amp;sr=8-12", "https://www.amazon.com/Titan-TRCFD4075-Rated-Motor-Capacitor/dp/B01IC27L72/ref=sr_1_12?keywords=Packard+TRCFD3575+Titan+PRO+Run+Capacitor+35+7.5+MFD+440%2F370+Volt+Round&amp;qid=1694734662&amp;sr=8-12")</f>
        <v/>
      </c>
      <c r="F1461" t="inlineStr">
        <is>
          <t>B01IC27L72</t>
        </is>
      </c>
      <c r="G1461">
        <f>_xlfn.IMAGE("https://edmondsonsupply.com/cdn/shop/products/trcfd-2_xl_1.jpg?v=1633030977")</f>
        <v/>
      </c>
      <c r="H1461">
        <f>_xlfn.IMAGE("https://m.media-amazon.com/images/I/81gL9btPv8L._AC_UY218_.jpg")</f>
        <v/>
      </c>
      <c r="K1461" t="inlineStr">
        <is>
          <t>8.73</t>
        </is>
      </c>
      <c r="L1461" t="n">
        <v>17.67</v>
      </c>
      <c r="M1461" s="1" t="inlineStr">
        <is>
          <t>102.41%</t>
        </is>
      </c>
      <c r="N1461" s="7" t="n">
        <v>29.13</v>
      </c>
      <c r="O1461" t="n">
        <v>4.6</v>
      </c>
      <c r="P1461" t="n">
        <v>46</v>
      </c>
      <c r="R1461" t="inlineStr">
        <is>
          <t>InStock</t>
        </is>
      </c>
      <c r="S1461" t="inlineStr">
        <is>
          <t>undefined</t>
        </is>
      </c>
      <c r="T1461" t="inlineStr">
        <is>
          <t>6649855475885</t>
        </is>
      </c>
    </row>
    <row r="1462" ht="87" customHeight="1">
      <c r="A1462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462" s="2">
        <f>HYPERLINK("https://edmondsonsupply.com/products/klein-tools-646-5-16-5-16-inch-nut-driver-6-inch-hollow-shaft", "https://edmondsonsupply.com/products/klein-tools-646-5-16-5-16-inch-nut-driver-6-inch-hollow-shaft")</f>
        <v/>
      </c>
      <c r="C1462" t="inlineStr">
        <is>
          <t>Klein Tools 646-5/16 5/16-Inch Nut Driver, 6-Inch Hollow Shaft</t>
        </is>
      </c>
      <c r="D1462" t="inlineStr">
        <is>
          <t>Klein Tools S146 7/16-Inch Nut Driver with 6-Inch Hollow Shaft and Comfordome Handle</t>
        </is>
      </c>
      <c r="E1462" s="2">
        <f>HYPERLINK("https://www.amazon.com/16-Inch-Comfordome-Klein-Tools-S146/dp/B00093GD2C/ref=sr_1_16?keywords=Klein+Tools+646-5%2F16+5%2F16-Inch+Nut+Driver%2C+6-Inch+Hollow+Shaft&amp;qid=1694734728&amp;sr=8-16", "https://www.amazon.com/16-Inch-Comfordome-Klein-Tools-S146/dp/B00093GD2C/ref=sr_1_16?keywords=Klein+Tools+646-5%2F16+5%2F16-Inch+Nut+Driver%2C+6-Inch+Hollow+Shaft&amp;qid=1694734728&amp;sr=8-16")</f>
        <v/>
      </c>
      <c r="F1462" t="inlineStr">
        <is>
          <t>B00093GD2C</t>
        </is>
      </c>
      <c r="G1462">
        <f>_xlfn.IMAGE("https://edmondsonsupply.com/cdn/shop/products/646-1-2_e1540905-f750-4509-90c5-74ff653e4d83.jpg?v=1587145119")</f>
        <v/>
      </c>
      <c r="H1462">
        <f>_xlfn.IMAGE("https://m.media-amazon.com/images/I/31ij31KnKpL._AC_UL320_.jpg")</f>
        <v/>
      </c>
      <c r="K1462" t="inlineStr">
        <is>
          <t>7.99</t>
        </is>
      </c>
      <c r="L1462" t="n">
        <v>16.15</v>
      </c>
      <c r="M1462" s="1" t="inlineStr">
        <is>
          <t>102.13%</t>
        </is>
      </c>
      <c r="N1462" s="7" t="n">
        <v>28.98</v>
      </c>
      <c r="O1462" t="n">
        <v>4.7</v>
      </c>
      <c r="P1462" t="n">
        <v>47</v>
      </c>
      <c r="R1462" t="inlineStr">
        <is>
          <t>InStock</t>
        </is>
      </c>
      <c r="S1462" t="inlineStr">
        <is>
          <t>12.1</t>
        </is>
      </c>
      <c r="T1462" t="inlineStr">
        <is>
          <t>4395303272548</t>
        </is>
      </c>
    </row>
    <row r="1463" ht="87" customHeight="1">
      <c r="A1463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1463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1463" t="inlineStr">
        <is>
          <t>ICM Controls ICM2813 Furnace Control Board - Replacement for Lennox</t>
        </is>
      </c>
      <c r="D1463" t="inlineStr">
        <is>
          <t>65K29-Lennox ICM Replacement Furnace Control Board</t>
        </is>
      </c>
      <c r="E1463" s="2">
        <f>HYPERLINK("https://www.amazon.com/65K29-Lennox-ICM-Replacement-Furnace-Control/dp/B00G0394AS/ref=sr_1_5?keywords=ICM+Controls+ICM2813+Furnace+Control+Board+-+Replacement+for+Lennox&amp;qid=1694734575&amp;sr=8-5", "https://www.amazon.com/65K29-Lennox-ICM-Replacement-Furnace-Control/dp/B00G0394AS/ref=sr_1_5?keywords=ICM+Controls+ICM2813+Furnace+Control+Board+-+Replacement+for+Lennox&amp;qid=1694734575&amp;sr=8-5")</f>
        <v/>
      </c>
      <c r="F1463" t="inlineStr">
        <is>
          <t>B00G0394AS</t>
        </is>
      </c>
      <c r="G1463">
        <f>_xlfn.IMAGE("https://edmondsonsupply.com/cdn/shop/products/ICM2813.jpg?v=1666552363")</f>
        <v/>
      </c>
      <c r="H1463">
        <f>_xlfn.IMAGE("https://m.media-amazon.com/images/I/51FAYYdFMhL._AC_UL320_.jpg")</f>
        <v/>
      </c>
      <c r="K1463" t="inlineStr">
        <is>
          <t>99.99</t>
        </is>
      </c>
      <c r="L1463" t="n">
        <v>201.99</v>
      </c>
      <c r="M1463" s="1" t="inlineStr">
        <is>
          <t>102.01%</t>
        </is>
      </c>
      <c r="N1463" s="7" t="n">
        <v>28.88</v>
      </c>
      <c r="O1463" t="n">
        <v>5</v>
      </c>
      <c r="P1463" t="n">
        <v>1</v>
      </c>
      <c r="R1463" t="inlineStr">
        <is>
          <t>InStock</t>
        </is>
      </c>
      <c r="S1463" t="inlineStr">
        <is>
          <t>111.21</t>
        </is>
      </c>
      <c r="T1463" t="inlineStr">
        <is>
          <t>7864012341464</t>
        </is>
      </c>
    </row>
    <row r="1464" ht="87" customHeight="1">
      <c r="A1464" s="2">
        <f>HYPERLINK("https://edmondsonsupply.com/collections/hvac/products/icm-controls-icm103-delay-on-make-timer-with-1-1-023-second-time-delay-universal-18-240-vac", "https://edmondsonsupply.com/collections/hvac/products/icm-controls-icm103-delay-on-make-timer-with-1-1-023-second-time-delay-universal-18-240-vac")</f>
        <v/>
      </c>
      <c r="B1464" s="2">
        <f>HYPERLINK("https://edmondsonsupply.com/products/icm-controls-icm103-delay-on-make-timer-with-1-1-023-second-time-delay-universal-18-240-vac", "https://edmondsonsupply.com/products/icm-controls-icm103-delay-on-make-timer-with-1-1-023-second-time-delay-universal-18-240-vac")</f>
        <v/>
      </c>
      <c r="C1464" t="inlineStr">
        <is>
          <t>ICM Controls ICM103 Delay on Make Timer with 1-1,023 Second Time Delay, Universal 18-240 VAC</t>
        </is>
      </c>
      <c r="D1464" t="inlineStr">
        <is>
          <t>ICM Controls ICM105 Delay-on-Make Timer with 0.03-10 Minute Adjustable Delay, Universal 18-240 VAC</t>
        </is>
      </c>
      <c r="E1464" s="2">
        <f>HYPERLINK("https://www.amazon.com/ICM-Controls-ICM105-Adjustable-Universal/dp/B00441XZXK/ref=sr_1_1?keywords=ICM+Controls+ICM103+Delay+on+Make+Timer+with+1-1%2C023+Second+Time+Delay%2C+Universal+18-240+VAC&amp;qid=1694734597&amp;sr=8-1", "https://www.amazon.com/ICM-Controls-ICM105-Adjustable-Universal/dp/B00441XZXK/ref=sr_1_1?keywords=ICM+Controls+ICM103+Delay+on+Make+Timer+with+1-1%2C023+Second+Time+Delay%2C+Universal+18-240+VAC&amp;qid=1694734597&amp;sr=8-1")</f>
        <v/>
      </c>
      <c r="F1464" t="inlineStr">
        <is>
          <t>B00441XZXK</t>
        </is>
      </c>
      <c r="G1464">
        <f>_xlfn.IMAGE("https://edmondsonsupply.com/cdn/shop/products/icm103.png?v=1587150533")</f>
        <v/>
      </c>
      <c r="H1464">
        <f>_xlfn.IMAGE("https://m.media-amazon.com/images/I/61Fd+ZYvG1L._AC_UL320_.jpg")</f>
        <v/>
      </c>
      <c r="K1464" t="inlineStr">
        <is>
          <t>16.99</t>
        </is>
      </c>
      <c r="L1464" t="n">
        <v>34.25</v>
      </c>
      <c r="M1464" s="1" t="inlineStr">
        <is>
          <t>101.59%</t>
        </is>
      </c>
      <c r="N1464" s="7" t="n">
        <v>28.71</v>
      </c>
      <c r="O1464" t="n">
        <v>4.3</v>
      </c>
      <c r="P1464" t="n">
        <v>4</v>
      </c>
      <c r="R1464" t="inlineStr">
        <is>
          <t>InStock</t>
        </is>
      </c>
      <c r="S1464" t="inlineStr">
        <is>
          <t>24.02</t>
        </is>
      </c>
      <c r="T1464" t="inlineStr">
        <is>
          <t>4368343105636</t>
        </is>
      </c>
    </row>
    <row r="1465" hidden="1" ht="15.75" customHeight="1">
      <c r="A1465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465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465" t="inlineStr">
        <is>
          <t>Klein Tools JTH4E11 3/16-Inch Hex Key with Journeyman T-Handle, 4-Inch</t>
        </is>
      </c>
      <c r="D1465" t="inlineStr">
        <is>
          <t>Klein Tools JTH9M5 5 mm Hex Key with Journeyman T-Handle, 9-Inch</t>
        </is>
      </c>
      <c r="E1465" s="2">
        <f>HYPERLINK("https://www.amazon.com/Journeyman-T-Handle-Klein-Tools-JTH9M5/dp/B005G3HJDW/ref=sr_1_10?keywords=Klein+Tools+JTH4E11+3%2F16-Inch+Hex+Key+with+Journeyman+T-Handle%2C+4-Inch&amp;qid=1694734725&amp;sr=8-10", "https://www.amazon.com/Journeyman-T-Handle-Klein-Tools-JTH9M5/dp/B005G3HJDW/ref=sr_1_10?keywords=Klein+Tools+JTH4E11+3%2F16-Inch+Hex+Key+with+Journeyman+T-Handle%2C+4-Inch&amp;qid=1694734725&amp;sr=8-10")</f>
        <v/>
      </c>
      <c r="F1465" t="inlineStr">
        <is>
          <t>B005G3HJDW</t>
        </is>
      </c>
      <c r="G1465">
        <f>_xludf.IMAGE("https://edmondsonsupply.com/cdn/shop/products/jth4e17.jpg?v=1587144836")</f>
        <v/>
      </c>
      <c r="H1465">
        <f>_xludf.IMAGE("https://m.media-amazon.com/images/I/51O91N8K8wL._AC_UL320_.jpg")</f>
        <v/>
      </c>
      <c r="K1465" t="inlineStr">
        <is>
          <t>4.99</t>
        </is>
      </c>
      <c r="L1465" t="n">
        <v>10.04</v>
      </c>
      <c r="M1465" s="1" t="inlineStr">
        <is>
          <t>101.20%</t>
        </is>
      </c>
      <c r="N1465" s="1" t="n">
        <v>28.58</v>
      </c>
      <c r="O1465" t="n">
        <v>4.7</v>
      </c>
      <c r="P1465" t="n">
        <v>160</v>
      </c>
      <c r="R1465" t="inlineStr">
        <is>
          <t>InStock</t>
        </is>
      </c>
      <c r="S1465" t="inlineStr">
        <is>
          <t>7.6</t>
        </is>
      </c>
      <c r="T1465" t="inlineStr">
        <is>
          <t>4432217964644</t>
        </is>
      </c>
    </row>
    <row r="1466" ht="87" customHeight="1">
      <c r="A1466" s="2">
        <f>HYPERLINK("https://edmondsonsupply.com/collections/hvac/products/packard-titan-pro-ttmj216a-motor-start-capacitor-216-259-mfd-220-250-vac", "https://edmondsonsupply.com/collections/hvac/products/packard-titan-pro-ttmj216a-motor-start-capacitor-216-259-mfd-220-250-vac")</f>
        <v/>
      </c>
      <c r="B1466" s="2">
        <f>HYPERLINK("https://edmondsonsupply.com/products/packard-titan-pro-ttmj216a-motor-start-capacitor-216-259-mfd-220-250-vac", "https://edmondsonsupply.com/products/packard-titan-pro-ttmj216a-motor-start-capacitor-216-259-mfd-220-250-vac")</f>
        <v/>
      </c>
      <c r="C1466" t="inlineStr">
        <is>
          <t>Packard Titan Pro TTMJ216A Motor Start Capacitor 216-259 MFD 220-250 VAC</t>
        </is>
      </c>
      <c r="D1466" t="inlineStr">
        <is>
          <t>PTMJ216 - Packard Upgraded Replacement Motor Start Capacitor 216-259 MFD 220-250 Volt VAC</t>
        </is>
      </c>
      <c r="E1466" s="2">
        <f>HYPERLINK("https://www.amazon.com/PTMJ216-Packard-Upgraded-Replacement-Capacitor/dp/B0773W4PTP/ref=sr_1_8?keywords=Packard+Titan+Pro+TTMJ216A+Motor+Start+Capacitor+216-259+MFD+220-250+VAC&amp;qid=1694734890&amp;sr=8-8", "https://www.amazon.com/PTMJ216-Packard-Upgraded-Replacement-Capacitor/dp/B0773W4PTP/ref=sr_1_8?keywords=Packard+Titan+Pro+TTMJ216A+Motor+Start+Capacitor+216-259+MFD+220-250+VAC&amp;qid=1694734890&amp;sr=8-8")</f>
        <v/>
      </c>
      <c r="F1466" t="inlineStr">
        <is>
          <t>B0773W4PTP</t>
        </is>
      </c>
      <c r="G1466">
        <f>_xlfn.IMAGE("https://edmondsonsupply.com/cdn/shop/files/PTMJ216A-2_d8683830-7a66-471a-88e9-7ce46e5f4bae.jpg?v=1689211004")</f>
        <v/>
      </c>
      <c r="H1466">
        <f>_xlfn.IMAGE("https://m.media-amazon.com/images/I/41fqQrQgJaL._AC_UY218_.jpg")</f>
        <v/>
      </c>
      <c r="K1466" t="inlineStr">
        <is>
          <t>8.45</t>
        </is>
      </c>
      <c r="L1466" t="n">
        <v>16.99</v>
      </c>
      <c r="M1466" s="1" t="inlineStr">
        <is>
          <t>101.07%</t>
        </is>
      </c>
      <c r="N1466" s="7" t="n">
        <v>28.53</v>
      </c>
      <c r="O1466" t="n">
        <v>4.7</v>
      </c>
      <c r="P1466" t="n">
        <v>8</v>
      </c>
      <c r="R1466" t="inlineStr">
        <is>
          <t>InStock</t>
        </is>
      </c>
      <c r="S1466" t="inlineStr">
        <is>
          <t>undefined</t>
        </is>
      </c>
      <c r="T1466" t="inlineStr">
        <is>
          <t>8015882584280</t>
        </is>
      </c>
    </row>
    <row r="1467" hidden="1" ht="15.75" customHeight="1">
      <c r="A1467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467" s="2">
        <f>HYPERLINK("https://edmondsonsupply.com/products/packard-prmj216-motor-start-capacitor-216-259-mfd-330-vac", "https://edmondsonsupply.com/products/packard-prmj216-motor-start-capacitor-216-259-mfd-330-vac")</f>
        <v/>
      </c>
      <c r="C1467" t="inlineStr">
        <is>
          <t>Packard PRMJ216 Motor Start Capacitor 216-259 MFD 330 VAC</t>
        </is>
      </c>
      <c r="D1467" t="inlineStr">
        <is>
          <t>216-259 uF x 330 VAC - Packard PRMJ216 Start Capacitor - BMI Replacement # 092A216B330CE7A - Made in The USA</t>
        </is>
      </c>
      <c r="E1467" s="2">
        <f>HYPERLINK("https://www.amazon.com/216-Packard-Capacitor-Replacement-092A216B330CE7A/dp/B00TKQ3UX4/ref=sr_1_7?keywords=Packard+PRMJ216+Motor+Start+Capacitor+216-259+MFD+330+VAC&amp;qid=1694734827&amp;sr=8-7", "https://www.amazon.com/216-Packard-Capacitor-Replacement-092A216B330CE7A/dp/B00TKQ3UX4/ref=sr_1_7?keywords=Packard+PRMJ216+Motor+Start+Capacitor+216-259+MFD+330+VAC&amp;qid=1694734827&amp;sr=8-7")</f>
        <v/>
      </c>
      <c r="F1467" t="inlineStr">
        <is>
          <t>B00TKQ3UX4</t>
        </is>
      </c>
      <c r="G1467">
        <f>_xludf.IMAGE("https://edmondsonsupply.com/cdn/shop/products/PRMJ216-2.jpg?v=1633030106")</f>
        <v/>
      </c>
      <c r="H1467">
        <f>_xludf.IMAGE("https://m.media-amazon.com/images/I/41NQeYu6jwL._AC_UY218_.jpg")</f>
        <v/>
      </c>
      <c r="K1467" t="inlineStr">
        <is>
          <t>8.94</t>
        </is>
      </c>
      <c r="L1467" t="n">
        <v>17.95</v>
      </c>
      <c r="M1467" s="1" t="inlineStr">
        <is>
          <t>100.78%</t>
        </is>
      </c>
      <c r="N1467" s="1" t="n">
        <v>28.43</v>
      </c>
      <c r="O1467" t="n">
        <v>3.6</v>
      </c>
      <c r="P1467" t="n">
        <v>10</v>
      </c>
      <c r="R1467" t="inlineStr">
        <is>
          <t>InStock</t>
        </is>
      </c>
      <c r="S1467" t="inlineStr">
        <is>
          <t>undefined</t>
        </is>
      </c>
      <c r="T1467" t="inlineStr">
        <is>
          <t>3595512217700</t>
        </is>
      </c>
    </row>
    <row r="1468" ht="87" customHeight="1">
      <c r="A1468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468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468" t="inlineStr">
        <is>
          <t>Yellow Jacket 42001 Series 41 Manifold Only, 3-1/8" Gauges - R-22 / 404A / 410A</t>
        </is>
      </c>
      <c r="D1468" t="inlineStr">
        <is>
          <t>Yellow Jacket 49963 Manifold Only Degrees F, psi Scale, R-22/404A/410A Refrigerant, Red/Blue Gauges</t>
        </is>
      </c>
      <c r="E1468" s="2">
        <f>HYPERLINK("https://www.amazon.com/Yellow-Jacket-49963-Manifold-Refrigerant/dp/B0036FIGFC/ref=sr_1_8?keywords=Yellow+Jacket+42001+Series+41+Manifold+Only%2C+3-1%2F8%22+Gauges+-+R-22+%2F+404A+%2F+410A&amp;qid=1694734681&amp;sr=8-8", "https://www.amazon.com/Yellow-Jacket-49963-Manifold-Refrigerant/dp/B0036FIGFC/ref=sr_1_8?keywords=Yellow+Jacket+42001+Series+41+Manifold+Only%2C+3-1%2F8%22+Gauges+-+R-22+%2F+404A+%2F+410A&amp;qid=1694734681&amp;sr=8-8")</f>
        <v/>
      </c>
      <c r="F1468" t="inlineStr">
        <is>
          <t>B0036FIGFC</t>
        </is>
      </c>
      <c r="G1468">
        <f>_xlfn.IMAGE("https://edmondsonsupply.com/cdn/shop/products/series-41-manifolds-with-318-gauges.jpg?v=1633030025")</f>
        <v/>
      </c>
      <c r="H1468">
        <f>_xlfn.IMAGE("https://m.media-amazon.com/images/I/91mA1KpYbCL._AC_UL320_.jpg")</f>
        <v/>
      </c>
      <c r="K1468" t="inlineStr">
        <is>
          <t>97.77</t>
        </is>
      </c>
      <c r="L1468" t="n">
        <v>196.09</v>
      </c>
      <c r="M1468" s="1" t="inlineStr">
        <is>
          <t>100.56%</t>
        </is>
      </c>
      <c r="N1468" s="7" t="n">
        <v>28.33</v>
      </c>
      <c r="O1468" t="n">
        <v>4.7</v>
      </c>
      <c r="P1468" t="n">
        <v>454</v>
      </c>
      <c r="R1468" t="inlineStr">
        <is>
          <t>InStock</t>
        </is>
      </c>
      <c r="S1468" t="inlineStr">
        <is>
          <t>undefined</t>
        </is>
      </c>
      <c r="T1468" t="inlineStr">
        <is>
          <t>2129997922404</t>
        </is>
      </c>
    </row>
    <row r="1469" ht="87" customHeight="1">
      <c r="A1469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469" s="2">
        <f>HYPERLINK("https://edmondsonsupply.com/products/packard-c140a-contactor-1-pole-40-amps-24-coil-voltage", "https://edmondsonsupply.com/products/packard-c140a-contactor-1-pole-40-amps-24-coil-voltage")</f>
        <v/>
      </c>
      <c r="C1469" t="inlineStr">
        <is>
          <t>Packard C140A Contactor 1 Pole 40 AMPS 24 Coil Voltage</t>
        </is>
      </c>
      <c r="D1469" t="inlineStr">
        <is>
          <t>Dreyoo 2 Pack Carrier HVAC Motor Contactor, 24VAC 40 Amp Coil Single Pole/ 1 Pole Furnace Replacement Relays Compatible with C140A, Air Conditioner, Heat Pump, Refrigeration Systems(1 Pole 40A 24V)</t>
        </is>
      </c>
      <c r="E1469" s="2">
        <f>HYPERLINK("https://www.amazon.com/Dreyoo-Replacement-Compatible-Conditioner-Refrigeration/dp/B0BTLZVB22/ref=sr_1_15?keywords=Packard+C140A+Contactor+1+Pole+40+AMPS+24+Coil+Voltage&amp;qid=1694734583&amp;sr=8-15", "https://www.amazon.com/Dreyoo-Replacement-Compatible-Conditioner-Refrigeration/dp/B0BTLZVB22/ref=sr_1_15?keywords=Packard+C140A+Contactor+1+Pole+40+AMPS+24+Coil+Voltage&amp;qid=1694734583&amp;sr=8-15")</f>
        <v/>
      </c>
      <c r="F1469" t="inlineStr">
        <is>
          <t>B0BTLZVB22</t>
        </is>
      </c>
      <c r="G1469">
        <f>_xlfn.IMAGE("https://edmondsonsupply.com/cdn/shop/products/C140A-1.jpg?v=1587147314")</f>
        <v/>
      </c>
      <c r="H1469">
        <f>_xlfn.IMAGE("https://m.media-amazon.com/images/I/81KxeNW7pUL._AC_UY218_.jpg")</f>
        <v/>
      </c>
      <c r="K1469" t="inlineStr">
        <is>
          <t>9.98</t>
        </is>
      </c>
      <c r="L1469" t="n">
        <v>19.99</v>
      </c>
      <c r="M1469" s="1" t="inlineStr">
        <is>
          <t>100.30%</t>
        </is>
      </c>
      <c r="N1469" s="7" t="n">
        <v>28.2</v>
      </c>
      <c r="O1469" t="n">
        <v>4.4</v>
      </c>
      <c r="P1469" t="n">
        <v>20</v>
      </c>
      <c r="R1469" t="inlineStr">
        <is>
          <t>InStock</t>
        </is>
      </c>
      <c r="S1469" t="inlineStr">
        <is>
          <t>undefined</t>
        </is>
      </c>
      <c r="T1469" t="inlineStr">
        <is>
          <t>4359080607844</t>
        </is>
      </c>
    </row>
    <row r="1470" ht="87" customHeight="1">
      <c r="A1470" s="2">
        <f>HYPERLINK("https://edmondsonsupply.com/collections/hvac/products/packard-trcfd3575-titan-pro-run-capacitor-35-7-5-mfd-440-370-volt-round", "https://edmondsonsupply.com/collections/hvac/products/packard-trcfd3575-titan-pro-run-capacitor-35-7-5-mfd-440-370-volt-round")</f>
        <v/>
      </c>
      <c r="B1470" s="2">
        <f>HYPERLINK("https://edmondsonsupply.com/products/packard-trcfd3575-titan-pro-run-capacitor-35-7-5-mfd-440-370-volt-round", "https://edmondsonsupply.com/products/packard-trcfd3575-titan-pro-run-capacitor-35-7-5-mfd-440-370-volt-round")</f>
        <v/>
      </c>
      <c r="C1470" t="inlineStr">
        <is>
          <t>Packard TRCFD3575 Titan PRO Run Capacitor 35+7.5 MFD 440/370 Volt Round</t>
        </is>
      </c>
      <c r="D1470" t="inlineStr">
        <is>
          <t>Titan TRCFD3575 Dual Rated Motor Run Capacitor Round MFD 35/7.5 Volts 440/370</t>
        </is>
      </c>
      <c r="E1470" s="2">
        <f>HYPERLINK("https://www.amazon.com/Titan-TRCFD3575-Rated-Motor-Capacitor/dp/B01IC2PSSG/ref=sr_1_2?keywords=Packard+TRCFD3575+Titan+PRO+Run+Capacitor+35+7.5+MFD+440%2F370+Volt+Round&amp;qid=1694734662&amp;sr=8-2", "https://www.amazon.com/Titan-TRCFD3575-Rated-Motor-Capacitor/dp/B01IC2PSSG/ref=sr_1_2?keywords=Packard+TRCFD3575+Titan+PRO+Run+Capacitor+35+7.5+MFD+440%2F370+Volt+Round&amp;qid=1694734662&amp;sr=8-2")</f>
        <v/>
      </c>
      <c r="F1470" t="inlineStr">
        <is>
          <t>B01IC2PSSG</t>
        </is>
      </c>
      <c r="G1470">
        <f>_xlfn.IMAGE("https://edmondsonsupply.com/cdn/shop/products/trcfd-2_xl_1.jpg?v=1633030977")</f>
        <v/>
      </c>
      <c r="H1470">
        <f>_xlfn.IMAGE("https://m.media-amazon.com/images/I/91WrzKuKIsL._AC_UY218_.jpg")</f>
        <v/>
      </c>
      <c r="K1470" t="inlineStr">
        <is>
          <t>8.73</t>
        </is>
      </c>
      <c r="L1470" t="n">
        <v>17.48</v>
      </c>
      <c r="M1470" s="1" t="inlineStr">
        <is>
          <t>100.23%</t>
        </is>
      </c>
      <c r="N1470" s="7" t="n">
        <v>27.91</v>
      </c>
      <c r="O1470" t="n">
        <v>5</v>
      </c>
      <c r="P1470" t="n">
        <v>2</v>
      </c>
      <c r="R1470" t="inlineStr">
        <is>
          <t>InStock</t>
        </is>
      </c>
      <c r="S1470" t="inlineStr">
        <is>
          <t>undefined</t>
        </is>
      </c>
      <c r="T1470" t="inlineStr">
        <is>
          <t>6649855475885</t>
        </is>
      </c>
    </row>
    <row r="1471" hidden="1" ht="15.75" customHeight="1">
      <c r="A1471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471" s="2">
        <f>HYPERLINK("https://edmondsonsupply.com/products/packard-pmj590-motor-start-capacitor-590-708-mfd-110-125-volt", "https://edmondsonsupply.com/products/packard-pmj590-motor-start-capacitor-590-708-mfd-110-125-volt")</f>
        <v/>
      </c>
      <c r="C1471" t="inlineStr">
        <is>
          <t>Packard PMJ590 Motor Start Capacitor 590-708 MFD 110-125 Volt</t>
        </is>
      </c>
      <c r="D1471" t="inlineStr">
        <is>
          <t>PMJ590 - Packard Aftermarket Replacement Motor Start Capacitor 590-708 MFD 110 125 Volt</t>
        </is>
      </c>
      <c r="E1471" s="2">
        <f>HYPERLINK("https://www.amazon.com/PMJ590-Packard-Aftermarket-Replacement-Capacitor/dp/B00IWYHDTC/ref=sr_1_1?keywords=Packard+PMJ590+Motor+Start+Capacitor+590-708+MFD+110-125+Volt&amp;qid=1694734721&amp;sr=8-1", "https://www.amazon.com/PMJ590-Packard-Aftermarket-Replacement-Capacitor/dp/B00IWYHDTC/ref=sr_1_1?keywords=Packard+PMJ590+Motor+Start+Capacitor+590-708+MFD+110-125+Volt&amp;qid=1694734721&amp;sr=8-1")</f>
        <v/>
      </c>
      <c r="F1471" t="inlineStr">
        <is>
          <t>B00IWYHDTC</t>
        </is>
      </c>
      <c r="G1471">
        <f>_xludf.IMAGE("https://edmondsonsupply.com/cdn/shop/products/PMJ590-2.jpg?v=1633030307")</f>
        <v/>
      </c>
      <c r="H1471">
        <f>_xludf.IMAGE("https://m.media-amazon.com/images/I/41TAYo6O-UL._AC_UY218_.jpg")</f>
        <v/>
      </c>
      <c r="K1471" t="inlineStr">
        <is>
          <t>6.18</t>
        </is>
      </c>
      <c r="L1471" t="n">
        <v>12.37</v>
      </c>
      <c r="M1471" s="1" t="inlineStr">
        <is>
          <t>100.16%</t>
        </is>
      </c>
      <c r="N1471" s="1" t="n">
        <v>27.74</v>
      </c>
      <c r="O1471" t="n">
        <v>4.3</v>
      </c>
      <c r="P1471" t="n">
        <v>35</v>
      </c>
      <c r="R1471" t="inlineStr">
        <is>
          <t>InStock</t>
        </is>
      </c>
      <c r="S1471" t="inlineStr">
        <is>
          <t>undefined</t>
        </is>
      </c>
      <c r="T1471" t="inlineStr">
        <is>
          <t>5241729712296</t>
        </is>
      </c>
    </row>
    <row r="1472" ht="87" customHeight="1">
      <c r="A1472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472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472" t="inlineStr">
        <is>
          <t>Klein Tools 70550 Pro Folding Hex Key Set, 11-Key, SAE Sizes</t>
        </is>
      </c>
      <c r="D1472" t="inlineStr">
        <is>
          <t>Klein Tools 32807MAG 7-in-1 Nut Driver, Magnetic Driver with SAE Hex Nut Sizes and Spring Coil Bits &amp; 70550 Hex Key Set, 11 SAE Sizes, Heavy Duty Folding Allen Wrench Tool with Extra Long Hex Keys</t>
        </is>
      </c>
      <c r="E1472" s="2">
        <f>HYPERLINK("https://www.amazon.com/Klein-Tools-32807MAG-Magnetic-Folding/dp/B08MG1VRFH/ref=sr_1_11?keywords=Klein+Tools+70550+Pro+Folding+Hex+Key+Set%2C+11-Key%2C+SAE+Sizes&amp;qid=1694734808&amp;sr=8-11", "https://www.amazon.com/Klein-Tools-32807MAG-Magnetic-Folding/dp/B08MG1VRFH/ref=sr_1_11?keywords=Klein+Tools+70550+Pro+Folding+Hex+Key+Set%2C+11-Key%2C+SAE+Sizes&amp;qid=1694734808&amp;sr=8-11")</f>
        <v/>
      </c>
      <c r="F1472" t="inlineStr">
        <is>
          <t>B08MG1VRFH</t>
        </is>
      </c>
      <c r="G1472">
        <f>_xlfn.IMAGE("https://edmondsonsupply.com/cdn/shop/products/70550.jpg?v=1587145237")</f>
        <v/>
      </c>
      <c r="H1472">
        <f>_xlfn.IMAGE("https://m.media-amazon.com/images/I/41QzmHLwlNL._AC_UL320_.jpg")</f>
        <v/>
      </c>
      <c r="K1472" t="inlineStr">
        <is>
          <t>19.97</t>
        </is>
      </c>
      <c r="L1472" t="n">
        <v>39.97</v>
      </c>
      <c r="M1472" s="1" t="inlineStr">
        <is>
          <t>100.15%</t>
        </is>
      </c>
      <c r="N1472" s="7" t="n">
        <v>27.73</v>
      </c>
      <c r="O1472" t="n">
        <v>4.7</v>
      </c>
      <c r="P1472" t="n">
        <v>13</v>
      </c>
      <c r="R1472" t="inlineStr">
        <is>
          <t>InStock</t>
        </is>
      </c>
      <c r="S1472" t="inlineStr">
        <is>
          <t>27.18</t>
        </is>
      </c>
      <c r="T1472" t="inlineStr">
        <is>
          <t>3693538082916</t>
        </is>
      </c>
    </row>
    <row r="1473" ht="87" customHeight="1">
      <c r="A1473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473" s="2">
        <f>HYPERLINK("https://edmondsonsupply.com/products/klein-tools-11053-klein-kurve%c2%ae-wire-stripper-cutter", "https://edmondsonsupply.com/products/klein-tools-11053-klein-kurve%c2%ae-wire-stripper-cutter")</f>
        <v/>
      </c>
      <c r="C1473" t="inlineStr">
        <is>
          <t>Klein Tools 11053 Klein-Kurve® Wire Stripper/Cutter</t>
        </is>
      </c>
      <c r="D1473" t="inlineStr">
        <is>
          <t>Klein Tools J63225N Journeyman High-Leverage Wire Cable Cutter and Stripper for Cutting Aluminum, Soft Copper and Communications Cable,Red/Black</t>
        </is>
      </c>
      <c r="E1473" s="2">
        <f>HYPERLINK("https://www.amazon.com/High-Leverage-Communications-Klein-Tools-J63225N/dp/B08R8SNQCL/ref=sr_1_17?keywords=Klein+Tools+11053+Klein-Kurve%C2%AE+Wire+Stripper%2FCutter&amp;qid=1694734664&amp;sr=8-17", "https://www.amazon.com/High-Leverage-Communications-Klein-Tools-J63225N/dp/B08R8SNQCL/ref=sr_1_17?keywords=Klein+Tools+11053+Klein-Kurve%C2%AE+Wire+Stripper%2FCutter&amp;qid=1694734664&amp;sr=8-17")</f>
        <v/>
      </c>
      <c r="F1473" t="inlineStr">
        <is>
          <t>B08R8SNQCL</t>
        </is>
      </c>
      <c r="G1473">
        <f>_xlfn.IMAGE("https://edmondsonsupply.com/cdn/shop/products/11053.jpg?v=1633030511")</f>
        <v/>
      </c>
      <c r="H1473">
        <f>_xlfn.IMAGE("https://m.media-amazon.com/images/I/61+P5wW4RkL._AC_UL320_.jpg")</f>
        <v/>
      </c>
      <c r="K1473" t="inlineStr">
        <is>
          <t>20.97</t>
        </is>
      </c>
      <c r="L1473" t="n">
        <v>41.97</v>
      </c>
      <c r="M1473" s="1" t="inlineStr">
        <is>
          <t>100.14%</t>
        </is>
      </c>
      <c r="N1473" s="7" t="n">
        <v>27.37</v>
      </c>
      <c r="O1473" t="n">
        <v>4.7</v>
      </c>
      <c r="P1473" t="n">
        <v>424</v>
      </c>
      <c r="R1473" t="inlineStr">
        <is>
          <t>InStock</t>
        </is>
      </c>
      <c r="S1473" t="inlineStr">
        <is>
          <t>31.76</t>
        </is>
      </c>
      <c r="T1473" t="inlineStr">
        <is>
          <t>5387171299496</t>
        </is>
      </c>
    </row>
    <row r="1474" ht="87" customHeight="1">
      <c r="A1474" s="2">
        <f>HYPERLINK("https://edmondsonsupply.com/collections/hvac/products/robertshaw-rs8110-digital-non-programmable-thermostat-single-stage-1-heat-1-cool", "https://edmondsonsupply.com/collections/hvac/products/robertshaw-rs8110-digital-non-programmable-thermostat-single-stage-1-heat-1-cool")</f>
        <v/>
      </c>
      <c r="B1474" s="2">
        <f>HYPERLINK("https://edmondsonsupply.com/products/robertshaw-rs8110-digital-non-programmable-thermostat-single-stage-1-heat-1-cool", "https://edmondsonsupply.com/products/robertshaw-rs8110-digital-non-programmable-thermostat-single-stage-1-heat-1-cool")</f>
        <v/>
      </c>
      <c r="C1474" t="inlineStr">
        <is>
          <t>Robertshaw RS8110 Digital Non-Programmable Thermostat, Single Stage - 1 Heat/1 Cool</t>
        </is>
      </c>
      <c r="D1474" t="inlineStr">
        <is>
          <t>Robertshaw RS9110T Pro Series 5-1-1 Programmable Touchscreen Thermostat, Single-Stage, 1 Heat, 1Cool White</t>
        </is>
      </c>
      <c r="E1474" s="2">
        <f>HYPERLINK("https://www.amazon.com/Robertshaw-RS9110T-Programmable-Touchscreen-Single-Stage/dp/B0BM23W9SN/ref=sr_1_11?keywords=Robertshaw+RS8110+Digital+Non-Programmable+Thermostat%2C+Single+Stage+-+1+Heat%2F1+Cool&amp;qid=1694734638&amp;sr=8-11", "https://www.amazon.com/Robertshaw-RS9110T-Programmable-Touchscreen-Single-Stage/dp/B0BM23W9SN/ref=sr_1_11?keywords=Robertshaw+RS8110+Digital+Non-Programmable+Thermostat%2C+Single+Stage+-+1+Heat%2F1+Cool&amp;qid=1694734638&amp;sr=8-11")</f>
        <v/>
      </c>
      <c r="F1474" t="inlineStr">
        <is>
          <t>B0BM23W9SN</t>
        </is>
      </c>
      <c r="G1474">
        <f>_xlfn.IMAGE("https://edmondsonsupply.com/cdn/shop/products/RS8110.jpg?v=1633031027")</f>
        <v/>
      </c>
      <c r="H1474">
        <f>_xlfn.IMAGE("https://m.media-amazon.com/images/I/71+5NMHAlPL._AC_UL320_.jpg")</f>
        <v/>
      </c>
      <c r="K1474" t="inlineStr">
        <is>
          <t>32.96</t>
        </is>
      </c>
      <c r="L1474" t="n">
        <v>65.95999999999999</v>
      </c>
      <c r="M1474" s="1" t="inlineStr">
        <is>
          <t>100.12%</t>
        </is>
      </c>
      <c r="N1474" s="7" t="n">
        <v>27.37</v>
      </c>
      <c r="O1474" t="n">
        <v>5</v>
      </c>
      <c r="P1474" t="n">
        <v>1</v>
      </c>
      <c r="R1474" t="inlineStr">
        <is>
          <t>InStock</t>
        </is>
      </c>
      <c r="S1474" t="inlineStr">
        <is>
          <t>61.37</t>
        </is>
      </c>
      <c r="T1474" t="inlineStr">
        <is>
          <t>6728860827821</t>
        </is>
      </c>
    </row>
    <row r="1475" ht="87" customHeight="1">
      <c r="A1475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1475" s="2">
        <f>HYPERLINK("https://edmondsonsupply.com/products/klein-tools-s8m-1-4-inch-magnetic-nut-driver-3-inch-shank", "https://edmondsonsupply.com/products/klein-tools-s8m-1-4-inch-magnetic-nut-driver-3-inch-shank")</f>
        <v/>
      </c>
      <c r="C1475" t="inlineStr">
        <is>
          <t>Klein Tools S8M 1/4-Inch Magnetic Nut Driver 3-Inch Shank</t>
        </is>
      </c>
      <c r="D1475" t="inlineStr">
        <is>
          <t>Klein Tools 610M Tool Set, Magnetic Nut Driver Set with Stubby Nut Driver Sizes 1/4 and 5/16-Inch, Full Hollow Shaft, 2-Piece</t>
        </is>
      </c>
      <c r="E1475" s="2">
        <f>HYPERLINK("https://www.amazon.com/Klein-Tools-610M-16-Inch-Magnetic/dp/B00093DZO6/ref=sr_1_16?keywords=Klein+Tools+S8M+1%2F4-Inch+Magnetic+Nut+Driver+3-Inch+Shank&amp;qid=1694734781&amp;sr=8-16", "https://www.amazon.com/Klein-Tools-610M-16-Inch-Magnetic/dp/B00093DZO6/ref=sr_1_16?keywords=Klein+Tools+S8M+1%2F4-Inch+Magnetic+Nut+Driver+3-Inch+Shank&amp;qid=1694734781&amp;sr=8-16")</f>
        <v/>
      </c>
      <c r="F1475" t="inlineStr">
        <is>
          <t>B00093DZO6</t>
        </is>
      </c>
      <c r="G1475">
        <f>_xlfn.IMAGE("https://edmondsonsupply.com/cdn/shop/products/s8m.jpg?v=1633030818")</f>
        <v/>
      </c>
      <c r="H1475">
        <f>_xlfn.IMAGE("https://m.media-amazon.com/images/I/51lgiheW64L._AC_UL320_.jpg")</f>
        <v/>
      </c>
      <c r="K1475" t="inlineStr">
        <is>
          <t>8.99</t>
        </is>
      </c>
      <c r="L1475" t="n">
        <v>17.99</v>
      </c>
      <c r="M1475" s="1" t="inlineStr">
        <is>
          <t>100.11%</t>
        </is>
      </c>
      <c r="N1475" s="7" t="n">
        <v>27.28</v>
      </c>
      <c r="O1475" t="n">
        <v>4.8</v>
      </c>
      <c r="P1475" t="n">
        <v>559</v>
      </c>
      <c r="R1475" t="inlineStr">
        <is>
          <t>InStock</t>
        </is>
      </c>
      <c r="S1475" t="inlineStr">
        <is>
          <t>13.62</t>
        </is>
      </c>
      <c r="T1475" t="inlineStr">
        <is>
          <t>6072223957165</t>
        </is>
      </c>
    </row>
    <row r="1476" ht="87" customHeight="1">
      <c r="A1476" s="2">
        <f>HYPERLINK("https://edmondsonsupply.com/collections/hvac/products/klein-tools-56402-cap-visor-light-led", "https://edmondsonsupply.com/collections/hvac/products/klein-tools-56402-cap-visor-light-led")</f>
        <v/>
      </c>
      <c r="B1476" s="2">
        <f>HYPERLINK("https://edmondsonsupply.com/products/klein-tools-56402-cap-visor-light-led", "https://edmondsonsupply.com/products/klein-tools-56402-cap-visor-light-led")</f>
        <v/>
      </c>
      <c r="C1476" t="inlineStr">
        <is>
          <t>Klein Tools 56402 Cap Visor LED Light</t>
        </is>
      </c>
      <c r="D1476" t="inlineStr">
        <is>
          <t>Klein ToolsKlein Tools 56062 Rechargeable LED Headlamp/Worklight &amp; 60181 Cooling Helmet Liner, Under Hard Hat Cap with Mesh Fabric at CrownKlein Tools</t>
        </is>
      </c>
      <c r="E1476" s="2">
        <f>HYPERLINK("https://www.amazon.com/Klein-ToolsKlein-Tools-Rechargeable-CrownKlein/dp/B0BSKYB5BQ/ref=sr_1_13?keywords=Klein+Tools+56402+Cap+Visor+LED+Light&amp;qid=1694734825&amp;sr=8-13", "https://www.amazon.com/Klein-ToolsKlein-Tools-Rechargeable-CrownKlein/dp/B0BSKYB5BQ/ref=sr_1_13?keywords=Klein+Tools+56402+Cap+Visor+LED+Light&amp;qid=1694734825&amp;sr=8-13")</f>
        <v/>
      </c>
      <c r="F1476" t="inlineStr">
        <is>
          <t>B0BSKYB5BQ</t>
        </is>
      </c>
      <c r="G1476">
        <f>_xlfn.IMAGE("https://edmondsonsupply.com/cdn/shop/products/56402.jpg?v=1587143311")</f>
        <v/>
      </c>
      <c r="H1476">
        <f>_xlfn.IMAGE("https://m.media-amazon.com/images/I/51fFn-rpIJL._AC_UL320_.jpg")</f>
        <v/>
      </c>
      <c r="K1476" t="inlineStr">
        <is>
          <t>19.97</t>
        </is>
      </c>
      <c r="L1476" t="n">
        <v>39.96</v>
      </c>
      <c r="M1476" s="1" t="inlineStr">
        <is>
          <t>100.10%</t>
        </is>
      </c>
      <c r="N1476" s="7" t="n">
        <v>27.22</v>
      </c>
      <c r="O1476" t="n">
        <v>5</v>
      </c>
      <c r="P1476" t="n">
        <v>2</v>
      </c>
      <c r="R1476" t="inlineStr">
        <is>
          <t>InStock</t>
        </is>
      </c>
      <c r="S1476" t="inlineStr">
        <is>
          <t>27.22</t>
        </is>
      </c>
      <c r="T1476" t="inlineStr">
        <is>
          <t>3389909893220</t>
        </is>
      </c>
    </row>
    <row r="1477" ht="87" customHeight="1">
      <c r="A1477" s="2">
        <f>HYPERLINK("https://edmondsonsupply.com/collections/hvac/products/klein-tools-srs56038-polymer-fish-rod-set-glow-in-the-dark", "https://edmondsonsupply.com/collections/hvac/products/klein-tools-srs56038-polymer-fish-rod-set-glow-in-the-dark")</f>
        <v/>
      </c>
      <c r="B1477" s="2">
        <f>HYPERLINK("https://edmondsonsupply.com/products/klein-tools-srs56038-polymer-fish-rod-set-glow-in-the-dark", "https://edmondsonsupply.com/products/klein-tools-srs56038-polymer-fish-rod-set-glow-in-the-dark")</f>
        <v/>
      </c>
      <c r="C1477" t="inlineStr">
        <is>
          <t>Klein Tools SRS56038 Polymer Fish Rod Set Glow-in-The-Dark</t>
        </is>
      </c>
      <c r="D1477" t="inlineStr">
        <is>
          <t>Klein Tools 50660 Glow In The Dark Fish Tape, Fiberglass with Nylon Tip and Stainless-Steel Connector for Fish Rod Attachments, 40-Foot</t>
        </is>
      </c>
      <c r="E1477" s="2">
        <f>HYPERLINK("https://www.amazon.com/Klein-Tools-50660-Stainless-Steel-Attachments/dp/B0BVJXRH9J/ref=sr_1_4?keywords=Klein+Tools+SRS56038+Polymer+Fish+Rod+Set+Glow-in-The-Dark&amp;qid=1694734783&amp;sr=8-4", "https://www.amazon.com/Klein-Tools-50660-Stainless-Steel-Attachments/dp/B0BVJXRH9J/ref=sr_1_4?keywords=Klein+Tools+SRS56038+Polymer+Fish+Rod+Set+Glow-in-The-Dark&amp;qid=1694734783&amp;sr=8-4")</f>
        <v/>
      </c>
      <c r="F1477" t="inlineStr">
        <is>
          <t>B0BVJXRH9J</t>
        </is>
      </c>
      <c r="G1477">
        <f>_xlfn.IMAGE("https://edmondsonsupply.com/cdn/shop/products/srs56038.jpg?v=1633030781")</f>
        <v/>
      </c>
      <c r="H1477">
        <f>_xlfn.IMAGE("https://m.media-amazon.com/images/I/61TfZQjceGL._AC_UL320_.jpg")</f>
        <v/>
      </c>
      <c r="K1477" t="inlineStr">
        <is>
          <t>29.97</t>
        </is>
      </c>
      <c r="L1477" t="n">
        <v>59.97</v>
      </c>
      <c r="M1477" s="1" t="inlineStr">
        <is>
          <t>100.10%</t>
        </is>
      </c>
      <c r="N1477" s="7" t="n">
        <v>27.07</v>
      </c>
      <c r="O1477" t="n">
        <v>4.1</v>
      </c>
      <c r="P1477" t="n">
        <v>6</v>
      </c>
      <c r="R1477" t="inlineStr">
        <is>
          <t>InStock</t>
        </is>
      </c>
      <c r="S1477" t="inlineStr">
        <is>
          <t>40.0</t>
        </is>
      </c>
      <c r="T1477" t="inlineStr">
        <is>
          <t>5966785478824</t>
        </is>
      </c>
    </row>
    <row r="1478" ht="87" customHeight="1">
      <c r="A1478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478" s="2">
        <f>HYPERLINK("https://edmondsonsupply.com/products/klein-tools-935dag-digital-angle-gauge-and-level", "https://edmondsonsupply.com/products/klein-tools-935dag-digital-angle-gauge-and-level")</f>
        <v/>
      </c>
      <c r="C1478" t="inlineStr">
        <is>
          <t>Klein Tools 935DAG Digital Angle Gauge and Level</t>
        </is>
      </c>
      <c r="D1478" t="inlineStr">
        <is>
          <t>Klein Tools 935RB Level, 8-Inch Torpedo Level &amp; 935DAG Digital Electronic Level and Angle Gauge, Measures 0-90 and 0-180 Degree Ranges, Measures and Sets Angles</t>
        </is>
      </c>
      <c r="E1478" s="2">
        <f>HYPERLINK("https://www.amazon.com/Klein-Tools-Torpedo-Electronic-Measures/dp/B0BD41J2X7/ref=sr_1_16?keywords=Klein+Tools+935DAG+Digital+Angle+Gauge+and+Level&amp;qid=1694734733&amp;sr=8-16", "https://www.amazon.com/Klein-Tools-Torpedo-Electronic-Measures/dp/B0BD41J2X7/ref=sr_1_16?keywords=Klein+Tools+935DAG+Digital+Angle+Gauge+and+Level&amp;qid=1694734733&amp;sr=8-16")</f>
        <v/>
      </c>
      <c r="F1478" t="inlineStr">
        <is>
          <t>B0BD41J2X7</t>
        </is>
      </c>
      <c r="G1478">
        <f>_xlfn.IMAGE("https://edmondsonsupply.com/cdn/shop/products/935dag.jpg?v=1587145032")</f>
        <v/>
      </c>
      <c r="H1478">
        <f>_xlfn.IMAGE("https://m.media-amazon.com/images/I/51sh6Y6gSdL._AC_UL320_.jpg")</f>
        <v/>
      </c>
      <c r="K1478" t="inlineStr">
        <is>
          <t>29.97</t>
        </is>
      </c>
      <c r="L1478" t="n">
        <v>59.94</v>
      </c>
      <c r="M1478" s="1" t="inlineStr">
        <is>
          <t>100.00%</t>
        </is>
      </c>
      <c r="N1478" s="7" t="n">
        <v>27.07</v>
      </c>
      <c r="O1478" t="n">
        <v>5</v>
      </c>
      <c r="P1478" t="n">
        <v>9</v>
      </c>
      <c r="R1478" t="inlineStr">
        <is>
          <t>InStock</t>
        </is>
      </c>
      <c r="S1478" t="inlineStr">
        <is>
          <t>45.0</t>
        </is>
      </c>
      <c r="T1478" t="inlineStr">
        <is>
          <t>4167487094884</t>
        </is>
      </c>
    </row>
    <row r="1479" ht="87" customHeight="1">
      <c r="A1479" s="2">
        <f>HYPERLINK("https://edmondsonsupply.com/collections/hvac/products/klein-tools-94130-1000v-insulated-tool-kit-5-piece", "https://edmondsonsupply.com/collections/hvac/products/klein-tools-94130-1000v-insulated-tool-kit-5-piece")</f>
        <v/>
      </c>
      <c r="B1479" s="2">
        <f>HYPERLINK("https://edmondsonsupply.com/products/klein-tools-94130-1000v-insulated-tool-kit-5-piece", "https://edmondsonsupply.com/products/klein-tools-94130-1000v-insulated-tool-kit-5-piece")</f>
        <v/>
      </c>
      <c r="C1479" t="inlineStr">
        <is>
          <t>Klein Tools 94130 1000V Insulated Tool Kit, 5-Piece</t>
        </is>
      </c>
      <c r="D1479" t="inlineStr">
        <is>
          <t>Klein Tools 80021 Tool Set, Screwdriver and Nut Driver Tool Kit, 16-Piece &amp; 94130 1000V Insulated Screwdriver Tool Set with #2 Phillips and 1/4-Inch Cabinet Slim Tips, 2 Pliers and Wire Stripper</t>
        </is>
      </c>
      <c r="E1479" s="2">
        <f>HYPERLINK("https://www.amazon.com/Klein-Tools-Screwdriver-16-Piece-Insulated/dp/B0BD4188RR/ref=sr_1_8?keywords=Klein+Tools+94130+1000V+Insulated+Tool+Kit%2C+5-Piece&amp;qid=1694734718&amp;sr=8-8", "https://www.amazon.com/Klein-Tools-Screwdriver-16-Piece-Insulated/dp/B0BD4188RR/ref=sr_1_8?keywords=Klein+Tools+94130+1000V+Insulated+Tool+Kit%2C+5-Piece&amp;qid=1694734718&amp;sr=8-8")</f>
        <v/>
      </c>
      <c r="F1479" t="inlineStr">
        <is>
          <t>B0BD4188RR</t>
        </is>
      </c>
      <c r="G1479">
        <f>_xlfn.IMAGE("https://edmondsonsupply.com/cdn/shop/products/94130.jpg?v=1633030386")</f>
        <v/>
      </c>
      <c r="H1479">
        <f>_xlfn.IMAGE("https://m.media-amazon.com/images/I/51KtSSZfJ+L._AC_UL320_.jpg")</f>
        <v/>
      </c>
      <c r="K1479" t="inlineStr">
        <is>
          <t>99.99</t>
        </is>
      </c>
      <c r="L1479" t="n">
        <v>199.98</v>
      </c>
      <c r="M1479" s="1" t="inlineStr">
        <is>
          <t>100.00%</t>
        </is>
      </c>
      <c r="N1479" s="7" t="n">
        <v>26.65</v>
      </c>
      <c r="O1479" t="n">
        <v>5</v>
      </c>
      <c r="P1479" t="n">
        <v>1</v>
      </c>
      <c r="R1479" t="inlineStr">
        <is>
          <t>InStock</t>
        </is>
      </c>
      <c r="S1479" t="inlineStr">
        <is>
          <t>149.98</t>
        </is>
      </c>
      <c r="T1479" t="inlineStr">
        <is>
          <t>5299145146536</t>
        </is>
      </c>
    </row>
    <row r="1480" ht="87" customHeight="1">
      <c r="A1480" s="2">
        <f>HYPERLINK("https://edmondsonsupply.com/collections/hvac/products/channellock-432", "https://edmondsonsupply.com/collections/hvac/products/channellock-432")</f>
        <v/>
      </c>
      <c r="B1480" s="2">
        <f>HYPERLINK("https://edmondsonsupply.com/products/channellock-432", "https://edmondsonsupply.com/products/channellock-432")</f>
        <v/>
      </c>
      <c r="C1480" t="inlineStr">
        <is>
          <t>Channellock 440 12" Straight Jaw Tongue &amp; Groove Pliers</t>
        </is>
      </c>
      <c r="D1480" t="inlineStr">
        <is>
          <t>Channellock 440 Tongue and Groove Pliers | 12-Inch Straight Jaw Groove Joint Plier with Comfort Grips| Made in USA, Black, Blue, Silver &amp; 442 Tongue and Groove Pliers, 12 In, Black, Blue, Silver</t>
        </is>
      </c>
      <c r="E1480" s="2">
        <f>HYPERLINK("https://www.amazon.com/Channellock-Tongue-12-Inch-Straight-Comfort/dp/B0BFXP68V9/ref=sr_1_4?keywords=Channellock+440+12%22+Straight+Jaw+Tongue+%26+Groove+Pliers&amp;qid=1694734829&amp;sr=8-4", "https://www.amazon.com/Channellock-Tongue-12-Inch-Straight-Comfort/dp/B0BFXP68V9/ref=sr_1_4?keywords=Channellock+440+12%22+Straight+Jaw+Tongue+%26+Groove+Pliers&amp;qid=1694734829&amp;sr=8-4")</f>
        <v/>
      </c>
      <c r="F1480" t="inlineStr">
        <is>
          <t>B0BFXP68V9</t>
        </is>
      </c>
      <c r="G1480">
        <f>_xlfn.IMAGE("https://edmondsonsupply.com/cdn/shop/products/440-546x1024.jpg?v=1587148892")</f>
        <v/>
      </c>
      <c r="H1480">
        <f>_xlfn.IMAGE("https://m.media-amazon.com/images/I/41d-z+Tl0SL._AC_UL320_.jpg")</f>
        <v/>
      </c>
      <c r="K1480" t="inlineStr">
        <is>
          <t>21.95</t>
        </is>
      </c>
      <c r="L1480" t="n">
        <v>43.9</v>
      </c>
      <c r="M1480" s="1" t="inlineStr">
        <is>
          <t>100.00%</t>
        </is>
      </c>
      <c r="N1480" s="7" t="n">
        <v>26.52</v>
      </c>
      <c r="O1480" t="n">
        <v>5</v>
      </c>
      <c r="P1480" t="n">
        <v>2</v>
      </c>
      <c r="R1480" t="inlineStr">
        <is>
          <t>InStock</t>
        </is>
      </c>
      <c r="S1480" t="inlineStr">
        <is>
          <t>29.82</t>
        </is>
      </c>
      <c r="T1480" t="inlineStr">
        <is>
          <t>3553495908452</t>
        </is>
      </c>
    </row>
    <row r="1481" ht="87" customHeight="1">
      <c r="A1481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1481" s="2">
        <f>HYPERLINK("https://edmondsonsupply.com/products/klein-tools-3005cr-ratcheting-crimper-10-22-awg", "https://edmondsonsupply.com/products/klein-tools-3005cr-ratcheting-crimper-10-22-awg")</f>
        <v/>
      </c>
      <c r="C1481" t="inlineStr">
        <is>
          <t>Klein Tools 3005CR Ratcheting Crimper, 10-22 AWG - Insulated Terminals</t>
        </is>
      </c>
      <c r="D1481" t="inlineStr">
        <is>
          <t>Klein Tools 3005CR Wire Crimper Tool &amp; 1005 Cutting/Crimping Tool for 10-22 AWG Terminals and Connectors, Terminal Crimper for Insulated and Non-Insulated Terminals</t>
        </is>
      </c>
      <c r="E1481" s="2">
        <f>HYPERLINK("https://www.amazon.com/Klein-Tools-Terminals-Connectors-Non-Insulated/dp/B09T6YD8X4/ref=sr_1_4?keywords=Klein+Tools+3005CR+Ratcheting+Crimper%2C+10-22+AWG+-+Insulated+Terminals&amp;qid=1694734673&amp;sr=8-4", "https://www.amazon.com/Klein-Tools-Terminals-Connectors-Non-Insulated/dp/B09T6YD8X4/ref=sr_1_4?keywords=Klein+Tools+3005CR+Ratcheting+Crimper%2C+10-22+AWG+-+Insulated+Terminals&amp;qid=1694734673&amp;sr=8-4")</f>
        <v/>
      </c>
      <c r="F1481" t="inlineStr">
        <is>
          <t>B09T6YD8X4</t>
        </is>
      </c>
      <c r="G1481">
        <f>_xlfn.IMAGE("https://edmondsonsupply.com/cdn/shop/products/3005cr.jpg?v=1587146892")</f>
        <v/>
      </c>
      <c r="H1481">
        <f>_xlfn.IMAGE("https://m.media-amazon.com/images/I/41P2x5W+flL._AC_UL320_.jpg")</f>
        <v/>
      </c>
      <c r="K1481" t="inlineStr">
        <is>
          <t>29.97</t>
        </is>
      </c>
      <c r="L1481" t="n">
        <v>59.94</v>
      </c>
      <c r="M1481" s="1" t="inlineStr">
        <is>
          <t>100.00%</t>
        </is>
      </c>
      <c r="N1481" s="7" t="n">
        <v>26.23</v>
      </c>
      <c r="O1481" t="n">
        <v>5</v>
      </c>
      <c r="P1481" t="n">
        <v>1</v>
      </c>
      <c r="R1481" t="inlineStr">
        <is>
          <t>InStock</t>
        </is>
      </c>
      <c r="S1481" t="inlineStr">
        <is>
          <t>42.9</t>
        </is>
      </c>
      <c r="T1481" t="inlineStr">
        <is>
          <t>3699388907620</t>
        </is>
      </c>
    </row>
    <row r="1482" ht="87" customHeight="1">
      <c r="A1482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482" s="2">
        <f>HYPERLINK("https://edmondsonsupply.com/products/klein-tools-et120-combustible-gas-leak-detector", "https://edmondsonsupply.com/products/klein-tools-et120-combustible-gas-leak-detector")</f>
        <v/>
      </c>
      <c r="C1482" t="inlineStr">
        <is>
          <t>Klein Tools ET120 Combustible Gas Leak Detector</t>
        </is>
      </c>
      <c r="D1482" t="inlineStr">
        <is>
          <t>Klein Tools ET110 Carbon Monoxide Meter, with Exposure Limit Alarm &amp; ET120 Gas Leak Detector, Combustible Gas Leak Meter with 18-Inch Gooseneck Range 50-10,000 ppm, Includes Pouch, Batteries</t>
        </is>
      </c>
      <c r="E1482" s="2">
        <f>HYPERLINK("https://www.amazon.com/Klein-Tools-Monoxide-Combustible-Gooseneck/dp/B08MFZNS5M/ref=sr_1_4?keywords=Klein+Tools+ET120+Combustible+Gas+Leak+Detector&amp;qid=1694734816&amp;sr=8-4", "https://www.amazon.com/Klein-Tools-Monoxide-Combustible-Gooseneck/dp/B08MFZNS5M/ref=sr_1_4?keywords=Klein+Tools+ET120+Combustible+Gas+Leak+Detector&amp;qid=1694734816&amp;sr=8-4")</f>
        <v/>
      </c>
      <c r="F1482" t="inlineStr">
        <is>
          <t>B08MFZNS5M</t>
        </is>
      </c>
      <c r="G1482">
        <f>_xlfn.IMAGE("https://edmondsonsupply.com/cdn/shop/products/et120.jpg?v=1587149243")</f>
        <v/>
      </c>
      <c r="H1482">
        <f>_xlfn.IMAGE("https://m.media-amazon.com/images/I/51tDV7zUk7L._AC_UL320_.jpg")</f>
        <v/>
      </c>
      <c r="K1482" t="inlineStr">
        <is>
          <t>119.99</t>
        </is>
      </c>
      <c r="L1482" t="n">
        <v>239.98</v>
      </c>
      <c r="M1482" s="1" t="inlineStr">
        <is>
          <t>100.00%</t>
        </is>
      </c>
      <c r="N1482" s="7" t="n">
        <v>26.19</v>
      </c>
      <c r="O1482" t="n">
        <v>4.8</v>
      </c>
      <c r="P1482" t="n">
        <v>28</v>
      </c>
      <c r="R1482" t="inlineStr">
        <is>
          <t>InStock</t>
        </is>
      </c>
      <c r="S1482" t="inlineStr">
        <is>
          <t>179.32</t>
        </is>
      </c>
      <c r="T1482" t="inlineStr">
        <is>
          <t>1828453187684</t>
        </is>
      </c>
    </row>
    <row r="1483" ht="87" customHeight="1">
      <c r="A1483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483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483" t="inlineStr">
        <is>
          <t>Klein Tools 70550 Pro Folding Hex Key Set, 11-Key, SAE Sizes</t>
        </is>
      </c>
      <c r="D1483" t="inlineStr">
        <is>
          <t>Klein Tools 85073INS Insulated Screwdriver Set features 1000V Phillips &amp; 70550 Hex Wrench Key Set, 11 SAE Sizes, Heavy Duty Folding Allen Wrench Tool with Extra Long Hex Keys</t>
        </is>
      </c>
      <c r="E1483" s="2">
        <f>HYPERLINK("https://www.amazon.com/Klein-Tools-85073INS-Insulated-Screwdriver/dp/B0C7Q9WCKN/ref=sr_1_19?keywords=Klein+Tools+70550+Pro+Folding+Hex+Key+Set%2C+11-Key%2C+SAE+Sizes&amp;qid=1694734808&amp;sr=8-19", "https://www.amazon.com/Klein-Tools-85073INS-Insulated-Screwdriver/dp/B0C7Q9WCKN/ref=sr_1_19?keywords=Klein+Tools+70550+Pro+Folding+Hex+Key+Set%2C+11-Key%2C+SAE+Sizes&amp;qid=1694734808&amp;sr=8-19")</f>
        <v/>
      </c>
      <c r="F1483" t="inlineStr">
        <is>
          <t>B0C7Q9WCKN</t>
        </is>
      </c>
      <c r="G1483">
        <f>_xlfn.IMAGE("https://edmondsonsupply.com/cdn/shop/products/70550.jpg?v=1587145237")</f>
        <v/>
      </c>
      <c r="H1483">
        <f>_xlfn.IMAGE("https://m.media-amazon.com/images/I/41oHaifjsDL._AC_UL320_.jpg")</f>
        <v/>
      </c>
      <c r="K1483" t="inlineStr">
        <is>
          <t>19.97</t>
        </is>
      </c>
      <c r="L1483" t="n">
        <v>39.94</v>
      </c>
      <c r="M1483" s="1" t="inlineStr">
        <is>
          <t>100.00%</t>
        </is>
      </c>
      <c r="N1483" s="7" t="n">
        <v>26.14</v>
      </c>
      <c r="O1483" t="n">
        <v>5</v>
      </c>
      <c r="P1483" t="n">
        <v>1</v>
      </c>
      <c r="R1483" t="inlineStr">
        <is>
          <t>InStock</t>
        </is>
      </c>
      <c r="S1483" t="inlineStr">
        <is>
          <t>27.18</t>
        </is>
      </c>
      <c r="T1483" t="inlineStr">
        <is>
          <t>3693538082916</t>
        </is>
      </c>
    </row>
    <row r="1484" ht="87" customHeight="1">
      <c r="A1484" s="2">
        <f>HYPERLINK("https://edmondsonsupply.com/collections/hvac/products/klein-tools-33736ins", "https://edmondsonsupply.com/collections/hvac/products/klein-tools-33736ins")</f>
        <v/>
      </c>
      <c r="B1484" s="2">
        <f>HYPERLINK("https://edmondsonsupply.com/products/klein-tools-33736ins", "https://edmondsonsupply.com/products/klein-tools-33736ins")</f>
        <v/>
      </c>
      <c r="C1484" t="inlineStr">
        <is>
          <t>Klein Tools 33736INS Screwdriver Set, 1000V Slim-Tip Insulated and Magnetizer, 6-Piece</t>
        </is>
      </c>
      <c r="D1484" t="inlineStr">
        <is>
          <t>Klein Tools 33736INS Klein Tools 33736INS Insulated Screwdriver Set, 6-Piece &amp; 32288 Insulated Screwdriver, 8-in-1 Screwdriver Set with Interchangeable Blades, 3 Phillips, 3 Slotted and 2 Square Tips</t>
        </is>
      </c>
      <c r="E1484" s="2">
        <f>HYPERLINK("https://www.amazon.com/Klein-Tools-Insulated-Screwdriver-Interchangeable/dp/B0BFXQ67BR/ref=sr_1_11?keywords=Klein+Tools+33736INS+Screwdriver+Set%2C+1000V+Slim-Tip+Insulated+and+Magnetizer%2C+6-Piece&amp;qid=1694734753&amp;sr=8-11", "https://www.amazon.com/Klein-Tools-Insulated-Screwdriver-Interchangeable/dp/B0BFXQ67BR/ref=sr_1_11?keywords=Klein+Tools+33736INS+Screwdriver+Set%2C+1000V+Slim-Tip+Insulated+and+Magnetizer%2C+6-Piece&amp;qid=1694734753&amp;sr=8-11")</f>
        <v/>
      </c>
      <c r="F1484" t="inlineStr">
        <is>
          <t>B0BFXQ67BR</t>
        </is>
      </c>
      <c r="G1484">
        <f>_xlfn.IMAGE("https://edmondsonsupply.com/cdn/shop/products/33736ins.jpg?v=1664807705")</f>
        <v/>
      </c>
      <c r="H1484">
        <f>_xlfn.IMAGE("https://m.media-amazon.com/images/I/51RxT3qQViL._AC_UL320_.jpg")</f>
        <v/>
      </c>
      <c r="K1484" t="inlineStr">
        <is>
          <t>49.99</t>
        </is>
      </c>
      <c r="L1484" t="n">
        <v>99.98</v>
      </c>
      <c r="M1484" s="1" t="inlineStr">
        <is>
          <t>100.00%</t>
        </is>
      </c>
      <c r="N1484" s="7" t="n">
        <v>26.08</v>
      </c>
      <c r="O1484" t="n">
        <v>5</v>
      </c>
      <c r="P1484" t="n">
        <v>1</v>
      </c>
      <c r="R1484" t="inlineStr">
        <is>
          <t>InStock</t>
        </is>
      </c>
      <c r="S1484" t="inlineStr">
        <is>
          <t>73.98</t>
        </is>
      </c>
      <c r="T1484" t="inlineStr">
        <is>
          <t>7837641375960</t>
        </is>
      </c>
    </row>
    <row r="1485" hidden="1" ht="15.75" customHeight="1">
      <c r="A1485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485" s="2">
        <f>HYPERLINK("https://edmondsonsupply.com/products/packard-pmj708-motor-start-capacitor-708-850-mfd-110-125-vac", "https://edmondsonsupply.com/products/packard-pmj708-motor-start-capacitor-708-850-mfd-110-125-vac")</f>
        <v/>
      </c>
      <c r="C1485" t="inlineStr">
        <is>
          <t>Packard PMJ708 Motor Start Capacitor 708-850 MFD 110-125 VAC</t>
        </is>
      </c>
      <c r="D1485" t="inlineStr">
        <is>
          <t>590-708 mfd uF 110-125VAC ±20% Volts Round Motor Start Capacitor 50/60 Hz AC Electric Replacement Part by Blue Stars</t>
        </is>
      </c>
      <c r="E1485" s="2">
        <f>HYPERLINK("https://www.amazon.com/590-708-110-125VAC-Capacitor-Electric-Replacement/dp/B0B7VR1PM8/ref=sr_1_20?keywords=Packard+PMJ708+Motor+Start+Capacitor+708-850+MFD+110-125+VAC&amp;qid=1694734808&amp;sr=8-20", "https://www.amazon.com/590-708-110-125VAC-Capacitor-Electric-Replacement/dp/B0B7VR1PM8/ref=sr_1_20?keywords=Packard+PMJ708+Motor+Start+Capacitor+708-850+MFD+110-125+VAC&amp;qid=1694734808&amp;sr=8-20")</f>
        <v/>
      </c>
      <c r="F1485" t="inlineStr">
        <is>
          <t>B0B7VR1PM8</t>
        </is>
      </c>
      <c r="G1485">
        <f>_xludf.IMAGE("https://edmondsonsupply.com/cdn/shop/products/PMJ708-2.jpg?v=1633030334")</f>
        <v/>
      </c>
      <c r="H1485">
        <f>_xludf.IMAGE("https://m.media-amazon.com/images/I/71lwYOaucJL._AC_UY218_.jpg")</f>
        <v/>
      </c>
      <c r="K1485" t="inlineStr">
        <is>
          <t>6.76</t>
        </is>
      </c>
      <c r="L1485" t="n">
        <v>13.49</v>
      </c>
      <c r="M1485" s="1" t="inlineStr">
        <is>
          <t>99.56%</t>
        </is>
      </c>
      <c r="N1485" s="1" t="n">
        <v>25.93</v>
      </c>
      <c r="O1485" t="n">
        <v>4.6</v>
      </c>
      <c r="P1485" t="n">
        <v>12</v>
      </c>
      <c r="R1485" t="inlineStr">
        <is>
          <t>InStock</t>
        </is>
      </c>
      <c r="S1485" t="inlineStr">
        <is>
          <t>undefined</t>
        </is>
      </c>
      <c r="T1485" t="inlineStr">
        <is>
          <t>5271970021544</t>
        </is>
      </c>
    </row>
    <row r="1486" hidden="1" ht="15.75" customHeight="1">
      <c r="A1486" s="2">
        <f>HYPERLINK("https://edmondsonsupply.com/collections/hvac/products/greenlee-gsb06-1-2-step-bit-6", "https://edmondsonsupply.com/collections/hvac/products/greenlee-gsb06-1-2-step-bit-6")</f>
        <v/>
      </c>
      <c r="B1486" s="2">
        <f>HYPERLINK("https://edmondsonsupply.com/products/greenlee-gsb06-1-2-step-bit-6", "https://edmondsonsupply.com/products/greenlee-gsb06-1-2-step-bit-6")</f>
        <v/>
      </c>
      <c r="C1486" t="inlineStr">
        <is>
          <t>Greenlee GSB06 1/2" Step Bit (#6)</t>
        </is>
      </c>
      <c r="D1486" t="inlineStr">
        <is>
          <t>Greenlee GSB09 1-1/8" Step Bit (#9) Metal Cutter with Patented Split-Step Design, 1-1/8" Metal Cutting Tool for 1/2" Drill Chucks</t>
        </is>
      </c>
      <c r="E1486" s="2">
        <f>HYPERLINK("https://www.amazon.com/Greenlee-Patented-Split-Step-Design-Cutting/dp/B08TVGF4MS/ref=sr_1_4?keywords=Greenlee+GSB06+1%2F2%22+Step+Bit+%28%236%29&amp;qid=1694734747&amp;sr=8-4", "https://www.amazon.com/Greenlee-Patented-Split-Step-Design-Cutting/dp/B08TVGF4MS/ref=sr_1_4?keywords=Greenlee+GSB06+1%2F2%22+Step+Bit+%28%236%29&amp;qid=1694734747&amp;sr=8-4")</f>
        <v/>
      </c>
      <c r="F1486" t="inlineStr">
        <is>
          <t>B08TVGF4MS</t>
        </is>
      </c>
      <c r="G1486">
        <f>_xludf.IMAGE("https://edmondsonsupply.com/cdn/shop/files/GSB06_CAT1_72dpi.jpg?v=1687788659")</f>
        <v/>
      </c>
      <c r="H1486">
        <f>_xludf.IMAGE("https://m.media-amazon.com/images/I/41J5YEXJLpL._AC_UY218_.jpg")</f>
        <v/>
      </c>
      <c r="K1486" t="inlineStr">
        <is>
          <t>32.89</t>
        </is>
      </c>
      <c r="L1486" t="n">
        <v>65.61</v>
      </c>
      <c r="M1486" s="1" t="inlineStr">
        <is>
          <t>99.48%</t>
        </is>
      </c>
      <c r="N1486" s="1" t="n">
        <v>25.88</v>
      </c>
      <c r="O1486" t="n">
        <v>3.8</v>
      </c>
      <c r="P1486" t="n">
        <v>5</v>
      </c>
      <c r="R1486" t="inlineStr">
        <is>
          <t>InStock</t>
        </is>
      </c>
      <c r="S1486" t="inlineStr">
        <is>
          <t>33.55</t>
        </is>
      </c>
      <c r="T1486" t="inlineStr">
        <is>
          <t>8009318367448</t>
        </is>
      </c>
    </row>
    <row r="1487" ht="87" customHeight="1">
      <c r="A1487" s="2">
        <f>HYPERLINK("https://edmondsonsupply.com/collections/hvac/products/uei-dmg150-digital-micron-gauge", "https://edmondsonsupply.com/collections/hvac/products/uei-dmg150-digital-micron-gauge")</f>
        <v/>
      </c>
      <c r="B1487" s="2">
        <f>HYPERLINK("https://edmondsonsupply.com/products/uei-dmg150-digital-micron-gauge", "https://edmondsonsupply.com/products/uei-dmg150-digital-micron-gauge")</f>
        <v/>
      </c>
      <c r="C1487" t="inlineStr">
        <is>
          <t>UEi PDT650 Digital Folding Pocket Thermometer</t>
        </is>
      </c>
      <c r="D1487" t="inlineStr">
        <is>
          <t>Malco MSHC 1/4 &amp; 5/16 Reversible Hex Chuck Driver, 2 pack &amp; UEi Test Instruments PDT650 Folding Pocket Digital Thermometer,Yellow</t>
        </is>
      </c>
      <c r="E1487" s="2">
        <f>HYPERLINK("https://www.amazon.com/Malco-Reversible-Instruments-Folding-Thermometer/dp/B0CB13ZJRG/ref=sr_1_10?keywords=UEi+PDT650+Digital+Folding+Pocket+Thermometer&amp;qid=1694734589&amp;sr=8-10", "https://www.amazon.com/Malco-Reversible-Instruments-Folding-Thermometer/dp/B0CB13ZJRG/ref=sr_1_10?keywords=UEi+PDT650+Digital+Folding+Pocket+Thermometer&amp;qid=1694734589&amp;sr=8-10")</f>
        <v/>
      </c>
      <c r="F1487" t="inlineStr">
        <is>
          <t>B0CB13ZJRG</t>
        </is>
      </c>
      <c r="G1487">
        <f>_xlfn.IMAGE("https://edmondsonsupply.com/cdn/shop/products/PDT650-1.png?v=1633030101")</f>
        <v/>
      </c>
      <c r="H1487">
        <f>_xlfn.IMAGE("https://m.media-amazon.com/images/I/41fgTOYbsbL._AC_UY218_.jpg")</f>
        <v/>
      </c>
      <c r="K1487" t="inlineStr">
        <is>
          <t>19.51</t>
        </is>
      </c>
      <c r="L1487" t="n">
        <v>38.84</v>
      </c>
      <c r="M1487" s="1" t="inlineStr">
        <is>
          <t>99.08%</t>
        </is>
      </c>
      <c r="N1487" s="7" t="n">
        <v>25.8</v>
      </c>
      <c r="O1487" t="n">
        <v>4.8</v>
      </c>
      <c r="P1487" t="n">
        <v>1793</v>
      </c>
      <c r="R1487" t="inlineStr">
        <is>
          <t>InStock</t>
        </is>
      </c>
      <c r="S1487" t="inlineStr">
        <is>
          <t>22.95</t>
        </is>
      </c>
      <c r="T1487" t="inlineStr">
        <is>
          <t>3569106649188</t>
        </is>
      </c>
    </row>
    <row r="1488" ht="87" customHeight="1">
      <c r="A1488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488" s="2">
        <f>HYPERLINK("https://edmondsonsupply.com/products/klein-tools-935dag-digital-angle-gauge-and-level", "https://edmondsonsupply.com/products/klein-tools-935dag-digital-angle-gauge-and-level")</f>
        <v/>
      </c>
      <c r="C1488" t="inlineStr">
        <is>
          <t>Klein Tools 935DAG Digital Angle Gauge and Level</t>
        </is>
      </c>
      <c r="D1488" t="inlineStr">
        <is>
          <t>Klein Tools 935DAGL Digital Level Angle Finder with Programmable Angles, Measures 0 - 90 and 0 - 180 Degree or Dual Axis Bullseye Ranges</t>
        </is>
      </c>
      <c r="E1488" s="2">
        <f>HYPERLINK("https://www.amazon.com/935DAGL-Digital-Finder-Programmable-Measures/dp/B07L5LMYV8/ref=sr_1_20?keywords=Klein+Tools+935DAG+Digital+Angle+Gauge+and+Level&amp;qid=1694734733&amp;sr=8-20", "https://www.amazon.com/935DAGL-Digital-Finder-Programmable-Measures/dp/B07L5LMYV8/ref=sr_1_20?keywords=Klein+Tools+935DAG+Digital+Angle+Gauge+and+Level&amp;qid=1694734733&amp;sr=8-20")</f>
        <v/>
      </c>
      <c r="F1488" t="inlineStr">
        <is>
          <t>B07L5LMYV8</t>
        </is>
      </c>
      <c r="G1488">
        <f>_xlfn.IMAGE("https://edmondsonsupply.com/cdn/shop/products/935dag.jpg?v=1587145032")</f>
        <v/>
      </c>
      <c r="H1488">
        <f>_xlfn.IMAGE("https://m.media-amazon.com/images/I/61y6O1e1-+L._AC_UL320_.jpg")</f>
        <v/>
      </c>
      <c r="K1488" t="inlineStr">
        <is>
          <t>29.97</t>
        </is>
      </c>
      <c r="L1488" t="n">
        <v>59.57</v>
      </c>
      <c r="M1488" s="1" t="inlineStr">
        <is>
          <t>98.77%</t>
        </is>
      </c>
      <c r="N1488" s="7" t="n">
        <v>25.77</v>
      </c>
      <c r="O1488" t="n">
        <v>4.7</v>
      </c>
      <c r="P1488" t="n">
        <v>321</v>
      </c>
      <c r="R1488" t="inlineStr">
        <is>
          <t>InStock</t>
        </is>
      </c>
      <c r="S1488" t="inlineStr">
        <is>
          <t>45.0</t>
        </is>
      </c>
      <c r="T1488" t="inlineStr">
        <is>
          <t>4167487094884</t>
        </is>
      </c>
    </row>
    <row r="1489" ht="87" customHeight="1">
      <c r="A1489" s="2">
        <f>HYPERLINK("https://edmondsonsupply.com/collections/hvac/products/nu-calgon-4900-40-iwave-v-vortex-air-ionization-system", "https://edmondsonsupply.com/collections/hvac/products/nu-calgon-4900-40-iwave-v-vortex-air-ionization-system")</f>
        <v/>
      </c>
      <c r="B1489" s="2">
        <f>HYPERLINK("https://edmondsonsupply.com/products/nu-calgon-4900-40-iwave-v-vortex-air-ionization-system", "https://edmondsonsupply.com/products/nu-calgon-4900-40-iwave-v-vortex-air-ionization-system")</f>
        <v/>
      </c>
      <c r="C1489" t="inlineStr">
        <is>
          <t>Nu-Calgon 4900-40 iWave-V Vortex Air Ionization System</t>
        </is>
      </c>
      <c r="D1489" t="inlineStr">
        <is>
          <t>Nu-Calgon 4900-20 - iWave-R Self-Cleaning Bi-Polar Ionization ION Generator for 6 Tons, 2400 CFM, 24-260 VAC (1)</t>
        </is>
      </c>
      <c r="E1489" s="2">
        <f>HYPERLINK("https://www.amazon.com/Nu-Calgon-4900-20-Self-Cleaning-Ionization-Generator/dp/B07YYN1QRW/ref=sr_1_4?keywords=Nu-Calgon+4900-40+iWave-V+Vortex+Air+Ionization+System&amp;qid=1694734747&amp;sr=8-4", "https://www.amazon.com/Nu-Calgon-4900-20-Self-Cleaning-Ionization-Generator/dp/B07YYN1QRW/ref=sr_1_4?keywords=Nu-Calgon+4900-40+iWave-V+Vortex+Air+Ionization+System&amp;qid=1694734747&amp;sr=8-4")</f>
        <v/>
      </c>
      <c r="F1489" t="inlineStr">
        <is>
          <t>B07YYN1QRW</t>
        </is>
      </c>
      <c r="G1489">
        <f>_xlfn.IMAGE("https://edmondsonsupply.com/cdn/shop/files/4900-40.jpg?v=1687445226")</f>
        <v/>
      </c>
      <c r="H1489">
        <f>_xlfn.IMAGE("https://m.media-amazon.com/images/I/41bYOWAF1uL._AC_UY218_.jpg")</f>
        <v/>
      </c>
      <c r="K1489" t="inlineStr">
        <is>
          <t>185.99</t>
        </is>
      </c>
      <c r="L1489" t="n">
        <v>368.95</v>
      </c>
      <c r="M1489" s="1" t="inlineStr">
        <is>
          <t>98.37%</t>
        </is>
      </c>
      <c r="N1489" s="7" t="n">
        <v>25.49</v>
      </c>
      <c r="O1489" t="n">
        <v>4.5</v>
      </c>
      <c r="P1489" t="n">
        <v>367</v>
      </c>
      <c r="R1489" t="inlineStr">
        <is>
          <t>InStock</t>
        </is>
      </c>
      <c r="S1489" t="inlineStr">
        <is>
          <t>266.94</t>
        </is>
      </c>
      <c r="T1489" t="inlineStr">
        <is>
          <t>8007558496472</t>
        </is>
      </c>
    </row>
    <row r="1490" ht="87" customHeight="1">
      <c r="A1490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490" s="2">
        <f>HYPERLINK("https://edmondsonsupply.com/products/packard-psmj400-motor-start-capacitor-400-480-mfd-165-vac", "https://edmondsonsupply.com/products/packard-psmj400-motor-start-capacitor-400-480-mfd-165-vac")</f>
        <v/>
      </c>
      <c r="C1490" t="inlineStr">
        <is>
          <t>Packard PSMJ400 Motor Start Capacitor 400-480 MFD 165 VAC</t>
        </is>
      </c>
      <c r="D1490" t="inlineStr">
        <is>
          <t>PTMJ400 - Packard Aftermarket Replacement Motor Start Capacitor 400-480 MFD 220 250 Volt</t>
        </is>
      </c>
      <c r="E1490" s="2">
        <f>HYPERLINK("https://www.amazon.com/PTMJ400-Packard-Aftermarket-Replacement-Capacitor/dp/B00IWYFYDE/ref=sr_1_10?keywords=Packard+PSMJ400+Motor+Start+Capacitor+400-480+MFD+165+VAC&amp;qid=1694734737&amp;sr=8-10", "https://www.amazon.com/PTMJ400-Packard-Aftermarket-Replacement-Capacitor/dp/B00IWYFYDE/ref=sr_1_10?keywords=Packard+PSMJ400+Motor+Start+Capacitor+400-480+MFD+165+VAC&amp;qid=1694734737&amp;sr=8-10")</f>
        <v/>
      </c>
      <c r="F1490" t="inlineStr">
        <is>
          <t>B00IWYFYDE</t>
        </is>
      </c>
      <c r="G1490">
        <f>_xlfn.IMAGE("https://edmondsonsupply.com/cdn/shop/products/PSMJ400-2.jpg?v=1587142312")</f>
        <v/>
      </c>
      <c r="H1490">
        <f>_xlfn.IMAGE("https://m.media-amazon.com/images/I/41YA8FRvjCL._AC_UY218_.jpg")</f>
        <v/>
      </c>
      <c r="K1490" t="inlineStr">
        <is>
          <t>7.92</t>
        </is>
      </c>
      <c r="L1490" t="n">
        <v>15.71</v>
      </c>
      <c r="M1490" s="1" t="inlineStr">
        <is>
          <t>98.36%</t>
        </is>
      </c>
      <c r="N1490" s="7" t="n">
        <v>25.38</v>
      </c>
      <c r="O1490" t="n">
        <v>4.5</v>
      </c>
      <c r="P1490" t="n">
        <v>68</v>
      </c>
      <c r="R1490" t="inlineStr">
        <is>
          <t>InStock</t>
        </is>
      </c>
      <c r="S1490" t="inlineStr">
        <is>
          <t>undefined</t>
        </is>
      </c>
      <c r="T1490" t="inlineStr">
        <is>
          <t>3683072016484</t>
        </is>
      </c>
    </row>
    <row r="1491" ht="87" customHeight="1">
      <c r="A1491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491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491" t="inlineStr">
        <is>
          <t>Diablo Tools DMAPL4250 3/4 in. x 8 in. x 10 in. Rebar Demon™ SDS-Plus 4-Cutter Full Carbide Head Hammer Drill Bit</t>
        </is>
      </c>
      <c r="D1491" t="inlineStr">
        <is>
          <t>Diablo DMAPL4310 1 in. x 16 in. x 18 in. Rebar Demon™ SDS-Plus 4-Cutter Full Carbide Head Hammer Bit</t>
        </is>
      </c>
      <c r="E1491" s="2">
        <f>HYPERLINK("https://www.amazon.com/Diablo-DMAPL4310-SDS-Plus-4-Cutter-Carbide/dp/B089KX2VKR/ref=sr_1_35?keywords=Diablo+Tools+DMAPL4250+3%2F4+in.+x+8+in.+x+10+in.+Rebar+Demon%E2%84%A2+SDS-Plus+4-Cutter+Full+Carbide+Head+Hammer+Drill+Bit&amp;qid=1694734913&amp;sr=8-35", "https://www.amazon.com/Diablo-DMAPL4310-SDS-Plus-4-Cutter-Carbide/dp/B089KX2VKR/ref=sr_1_35?keywords=Diablo+Tools+DMAPL4250+3%2F4+in.+x+8+in.+x+10+in.+Rebar+Demon%E2%84%A2+SDS-Plus+4-Cutter+Full+Carbide+Head+Hammer+Drill+Bit&amp;qid=1694734913&amp;sr=8-35")</f>
        <v/>
      </c>
      <c r="F1491" t="inlineStr">
        <is>
          <t>B089KX2VKR</t>
        </is>
      </c>
      <c r="G1491">
        <f>_xlfn.IMAGE("https://edmondsonsupply.com/cdn/shop/files/rltcbi253wmfv6otmtz6.webp?v=1686576913")</f>
        <v/>
      </c>
      <c r="H1491">
        <f>_xlfn.IMAGE("https://m.media-amazon.com/images/I/61iwxfqG2VL._AC_UL320_.jpg")</f>
        <v/>
      </c>
      <c r="K1491" t="inlineStr">
        <is>
          <t>24.47</t>
        </is>
      </c>
      <c r="L1491" t="n">
        <v>48.49</v>
      </c>
      <c r="M1491" s="1" t="inlineStr">
        <is>
          <t>98.16%</t>
        </is>
      </c>
      <c r="N1491" s="7" t="n">
        <v>25.19</v>
      </c>
      <c r="O1491" t="n">
        <v>4.5</v>
      </c>
      <c r="P1491" t="n">
        <v>32</v>
      </c>
      <c r="R1491" t="inlineStr">
        <is>
          <t>InStock</t>
        </is>
      </c>
      <c r="S1491" t="inlineStr">
        <is>
          <t>38.21</t>
        </is>
      </c>
      <c r="T1491" t="inlineStr">
        <is>
          <t>8004486168792</t>
        </is>
      </c>
    </row>
    <row r="1492" ht="87" customHeight="1">
      <c r="A1492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492" s="2">
        <f>HYPERLINK("https://edmondsonsupply.com/products/klein-tools-935dag-digital-angle-gauge-and-level", "https://edmondsonsupply.com/products/klein-tools-935dag-digital-angle-gauge-and-level")</f>
        <v/>
      </c>
      <c r="C1492" t="inlineStr">
        <is>
          <t>Klein Tools 935DAG Digital Angle Gauge and Level</t>
        </is>
      </c>
      <c r="D1492" t="inlineStr">
        <is>
          <t>Klein Tools 935DAG Digital Electronic Level and Angle Gauge &amp; VDV526-100 Network LAN Cable Tester, VDV Tester, LAN Explorer with Remote</t>
        </is>
      </c>
      <c r="E1492" s="2">
        <f>HYPERLINK("https://www.amazon.com/Klein-Tools-Electronic-VDV526-100-Explorer/dp/B0BNL5DCCX/ref=sr_1_14?keywords=Klein+Tools+935DAG+Digital+Angle+Gauge+and+Level&amp;qid=1694734733&amp;sr=8-14", "https://www.amazon.com/Klein-Tools-Electronic-VDV526-100-Explorer/dp/B0BNL5DCCX/ref=sr_1_14?keywords=Klein+Tools+935DAG+Digital+Angle+Gauge+and+Level&amp;qid=1694734733&amp;sr=8-14")</f>
        <v/>
      </c>
      <c r="F1492" t="inlineStr">
        <is>
          <t>B0BNL5DCCX</t>
        </is>
      </c>
      <c r="G1492">
        <f>_xlfn.IMAGE("https://edmondsonsupply.com/cdn/shop/products/935dag.jpg?v=1587145032")</f>
        <v/>
      </c>
      <c r="H1492">
        <f>_xlfn.IMAGE("https://m.media-amazon.com/images/I/51YU0Ldd8UL._AC_UL320_.jpg")</f>
        <v/>
      </c>
      <c r="K1492" t="inlineStr">
        <is>
          <t>29.97</t>
        </is>
      </c>
      <c r="L1492" t="n">
        <v>59.32</v>
      </c>
      <c r="M1492" s="1" t="inlineStr">
        <is>
          <t>97.93%</t>
        </is>
      </c>
      <c r="N1492" s="7" t="n">
        <v>25.15</v>
      </c>
      <c r="O1492" t="n">
        <v>5</v>
      </c>
      <c r="P1492" t="n">
        <v>1</v>
      </c>
      <c r="R1492" t="inlineStr">
        <is>
          <t>InStock</t>
        </is>
      </c>
      <c r="S1492" t="inlineStr">
        <is>
          <t>45.0</t>
        </is>
      </c>
      <c r="T1492" t="inlineStr">
        <is>
          <t>4167487094884</t>
        </is>
      </c>
    </row>
    <row r="1493" hidden="1" ht="15.75" customHeight="1">
      <c r="A1493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493" s="2">
        <f>HYPERLINK("https://edmondsonsupply.com/products/packard-pmj590-motor-start-capacitor-590-708-mfd-110-125-volt", "https://edmondsonsupply.com/products/packard-pmj590-motor-start-capacitor-590-708-mfd-110-125-volt")</f>
        <v/>
      </c>
      <c r="C1493" t="inlineStr">
        <is>
          <t>Packard PMJ590 Motor Start Capacitor 590-708 MFD 110-125 Volt</t>
        </is>
      </c>
      <c r="D1493" t="inlineStr">
        <is>
          <t>11027 - Mars OEM Replacement Motor Start Capacitor 110-125 Volt 590-708 MFD</t>
        </is>
      </c>
      <c r="E1493" s="2">
        <f>HYPERLINK("https://www.amazon.com/11027-Replacement-Capacitor-110-125-590-708/dp/B00IWV2EN0/ref=sr_1_11?keywords=Packard+PMJ590+Motor+Start+Capacitor+590-708+MFD+110-125+Volt&amp;qid=1694734721&amp;sr=8-11", "https://www.amazon.com/11027-Replacement-Capacitor-110-125-590-708/dp/B00IWV2EN0/ref=sr_1_11?keywords=Packard+PMJ590+Motor+Start+Capacitor+590-708+MFD+110-125+Volt&amp;qid=1694734721&amp;sr=8-11")</f>
        <v/>
      </c>
      <c r="F1493" t="inlineStr">
        <is>
          <t>B00IWV2EN0</t>
        </is>
      </c>
      <c r="G1493">
        <f>_xludf.IMAGE("https://edmondsonsupply.com/cdn/shop/products/PMJ590-2.jpg?v=1633030307")</f>
        <v/>
      </c>
      <c r="H1493">
        <f>_xludf.IMAGE("https://m.media-amazon.com/images/I/41l7r9Vka-L._AC_UY218_.jpg")</f>
        <v/>
      </c>
      <c r="K1493" t="inlineStr">
        <is>
          <t>6.18</t>
        </is>
      </c>
      <c r="L1493" t="n">
        <v>12.22</v>
      </c>
      <c r="M1493" s="1" t="inlineStr">
        <is>
          <t>97.73%</t>
        </is>
      </c>
      <c r="N1493" s="1" t="n">
        <v>25.14</v>
      </c>
      <c r="O1493" t="n">
        <v>5</v>
      </c>
      <c r="P1493" t="n">
        <v>1</v>
      </c>
      <c r="R1493" t="inlineStr">
        <is>
          <t>InStock</t>
        </is>
      </c>
      <c r="S1493" t="inlineStr">
        <is>
          <t>undefined</t>
        </is>
      </c>
      <c r="T1493" t="inlineStr">
        <is>
          <t>5241729712296</t>
        </is>
      </c>
    </row>
    <row r="1494" ht="87" customHeight="1">
      <c r="A1494" s="2">
        <f>HYPERLINK("https://edmondsonsupply.com/collections/hvac/products/inficon-d-tek-3", "https://edmondsonsupply.com/collections/hvac/products/inficon-d-tek-3")</f>
        <v/>
      </c>
      <c r="B1494" s="2">
        <f>HYPERLINK("https://edmondsonsupply.com/products/inficon-d-tek-3", "https://edmondsonsupply.com/products/inficon-d-tek-3")</f>
        <v/>
      </c>
      <c r="C1494" t="inlineStr">
        <is>
          <t>Inficon D-TEK® 3 Refrigerant Leak Detector</t>
        </is>
      </c>
      <c r="D1494" t="inlineStr">
        <is>
          <t>INFICON D-TEK Stratus Refrigerant Leak Detector and Portable Monitor, Model: 724-202-G1,Off-White</t>
        </is>
      </c>
      <c r="E1494" s="2">
        <f>HYPERLINK("https://www.amazon.com/Inficon-D-TEK-Stratus-Refrigerant-Detector/dp/B07ZWGM6GR/ref=sr_1_2?keywords=Inficon+D-TEK%C2%AE+3+Refrigerant+Leak+Detector&amp;qid=1694734644&amp;sr=8-2", "https://www.amazon.com/Inficon-D-TEK-Stratus-Refrigerant-Detector/dp/B07ZWGM6GR/ref=sr_1_2?keywords=Inficon+D-TEK%C2%AE+3+Refrigerant+Leak+Detector&amp;qid=1694734644&amp;sr=8-2")</f>
        <v/>
      </c>
      <c r="F1494" t="inlineStr">
        <is>
          <t>B07ZWGM6GR</t>
        </is>
      </c>
      <c r="G1494">
        <f>_xlfn.IMAGE("https://edmondsonsupply.com/cdn/shop/products/dtek3.png?v=1633030772")</f>
        <v/>
      </c>
      <c r="H1494">
        <f>_xlfn.IMAGE("https://m.media-amazon.com/images/I/61a5yae6mKL._AC_UL320_.jpg")</f>
        <v/>
      </c>
      <c r="K1494" t="inlineStr">
        <is>
          <t>516.99</t>
        </is>
      </c>
      <c r="L1494" t="n">
        <v>1021.95</v>
      </c>
      <c r="M1494" s="1" t="inlineStr">
        <is>
          <t>97.67%</t>
        </is>
      </c>
      <c r="N1494" s="7" t="n">
        <v>25.07</v>
      </c>
      <c r="O1494" t="n">
        <v>4.5</v>
      </c>
      <c r="P1494" t="n">
        <v>41</v>
      </c>
      <c r="R1494" t="inlineStr">
        <is>
          <t>InStock</t>
        </is>
      </c>
      <c r="S1494" t="inlineStr">
        <is>
          <t>645.0</t>
        </is>
      </c>
      <c r="T1494" t="inlineStr">
        <is>
          <t>5950406623400</t>
        </is>
      </c>
    </row>
    <row r="1495" ht="87" customHeight="1">
      <c r="A1495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495" s="2">
        <f>HYPERLINK("https://edmondsonsupply.com/products/packard-prmj270-motor-start-capacitor-270-324-mfd-330-vac", "https://edmondsonsupply.com/products/packard-prmj270-motor-start-capacitor-270-324-mfd-330-vac")</f>
        <v/>
      </c>
      <c r="C1495" t="inlineStr">
        <is>
          <t>Packard PRMJ270 Motor Start Capacitor 270-324 MFD 330 VAC</t>
        </is>
      </c>
      <c r="D1495" t="inlineStr">
        <is>
          <t>PRMJ270 - Packard Upgraded Replacement Motor Start Capacitor 270-324 MFD 330 Volt VAC</t>
        </is>
      </c>
      <c r="E1495" s="2">
        <f>HYPERLINK("https://www.amazon.com/PRMJ270-Packard-Upgraded-Replacement-Capacitor/dp/B0773VZ1SY/ref=sr_1_1?keywords=Packard+PRMJ270+Motor+Start+Capacitor+270-324+MFD+330+VAC&amp;qid=1694734674&amp;sr=8-1", "https://www.amazon.com/PRMJ270-Packard-Upgraded-Replacement-Capacitor/dp/B0773VZ1SY/ref=sr_1_1?keywords=Packard+PRMJ270+Motor+Start+Capacitor+270-324+MFD+330+VAC&amp;qid=1694734674&amp;sr=8-1")</f>
        <v/>
      </c>
      <c r="F1495" t="inlineStr">
        <is>
          <t>B0773VZ1SY</t>
        </is>
      </c>
      <c r="G1495">
        <f>_xlfn.IMAGE("https://edmondsonsupply.com/cdn/shop/products/PRMJ270-2.jpg?v=1633030164")</f>
        <v/>
      </c>
      <c r="H1495">
        <f>_xlfn.IMAGE("https://m.media-amazon.com/images/I/41fqQrQgJaL._AC_UY218_.jpg")</f>
        <v/>
      </c>
      <c r="K1495" t="inlineStr">
        <is>
          <t>10.37</t>
        </is>
      </c>
      <c r="L1495" t="n">
        <v>20.49</v>
      </c>
      <c r="M1495" s="1" t="inlineStr">
        <is>
          <t>97.59%</t>
        </is>
      </c>
      <c r="N1495" s="7" t="n">
        <v>25.05</v>
      </c>
      <c r="O1495" t="n">
        <v>5</v>
      </c>
      <c r="P1495" t="n">
        <v>11</v>
      </c>
      <c r="R1495" t="inlineStr">
        <is>
          <t>InStock</t>
        </is>
      </c>
      <c r="S1495" t="inlineStr">
        <is>
          <t>undefined</t>
        </is>
      </c>
      <c r="T1495" t="inlineStr">
        <is>
          <t>4298743185508</t>
        </is>
      </c>
    </row>
    <row r="1496" hidden="1" ht="15.75" customHeight="1">
      <c r="A1496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496" s="2">
        <f>HYPERLINK("https://edmondsonsupply.com/products/packard-pmj460-motor-start-capacitor-460-552-mfd-110-125-vac", "https://edmondsonsupply.com/products/packard-pmj460-motor-start-capacitor-460-552-mfd-110-125-vac")</f>
        <v/>
      </c>
      <c r="C1496" t="inlineStr">
        <is>
          <t>Packard PMJ460 Motor Start Capacitor 460-552 MFD 110-125 VAC</t>
        </is>
      </c>
      <c r="D1496" t="inlineStr">
        <is>
          <t>PMJ460 - Diversitech Aftermarket Replacement Motor Start Capacitor 460-552 MFD 110 125 Volt</t>
        </is>
      </c>
      <c r="E1496" s="2">
        <f>HYPERLINK("https://www.amazon.com/PMJ460-Diversitech-Aftermarket-Replacement-Capacitor/dp/B00IWYGRDU/ref=sr_1_3?keywords=Packard+PMJ460+Motor+Start+Capacitor+460-552+MFD+110-125+VAC&amp;qid=1694734651&amp;sr=8-3", "https://www.amazon.com/PMJ460-Diversitech-Aftermarket-Replacement-Capacitor/dp/B00IWYGRDU/ref=sr_1_3?keywords=Packard+PMJ460+Motor+Start+Capacitor+460-552+MFD+110-125+VAC&amp;qid=1694734651&amp;sr=8-3")</f>
        <v/>
      </c>
      <c r="F1496" t="inlineStr">
        <is>
          <t>B00IWYGRDU</t>
        </is>
      </c>
      <c r="G1496">
        <f>_xludf.IMAGE("https://edmondsonsupply.com/cdn/shop/products/PMJ460-2.jpg?v=1633030333")</f>
        <v/>
      </c>
      <c r="H1496">
        <f>_xludf.IMAGE("https://m.media-amazon.com/images/I/41Aj4DTIUuL._AC_UY218_.jpg")</f>
        <v/>
      </c>
      <c r="K1496" t="inlineStr">
        <is>
          <t>5.06</t>
        </is>
      </c>
      <c r="L1496" t="n">
        <v>9.99</v>
      </c>
      <c r="M1496" s="1" t="inlineStr">
        <is>
          <t>97.43%</t>
        </is>
      </c>
      <c r="N1496" s="1" t="n">
        <v>25.05</v>
      </c>
      <c r="O1496" t="n">
        <v>4.4</v>
      </c>
      <c r="P1496" t="n">
        <v>49</v>
      </c>
      <c r="R1496" t="inlineStr">
        <is>
          <t>OutOfStock</t>
        </is>
      </c>
      <c r="S1496" t="inlineStr">
        <is>
          <t>undefined</t>
        </is>
      </c>
      <c r="T1496" t="inlineStr">
        <is>
          <t>5271944954024</t>
        </is>
      </c>
    </row>
    <row r="1497" ht="87" customHeight="1">
      <c r="A1497" s="2">
        <f>HYPERLINK("https://edmondsonsupply.com/collections/hvac/products/midwest-mwt-ss6510r-special-hardness-offset-aviation-snip-right-cutting", "https://edmondsonsupply.com/collections/hvac/products/midwest-mwt-ss6510r-special-hardness-offset-aviation-snip-right-cutting")</f>
        <v/>
      </c>
      <c r="B1497" s="2">
        <f>HYPERLINK("https://edmondsonsupply.com/products/midwest-mwt-ss6510r-special-hardness-offset-aviation-snip-right-cutting", "https://edmondsonsupply.com/products/midwest-mwt-ss6510r-special-hardness-offset-aviation-snip-right-cutting")</f>
        <v/>
      </c>
      <c r="C1497" t="inlineStr">
        <is>
          <t>Midwest MWT-SS6510R Special Hardness Offset Aviation Snip - Right-Cutting</t>
        </is>
      </c>
      <c r="D1497" t="inlineStr">
        <is>
          <t>Midwest Tools and Cutlery MWT-SS6510R Snips Forged Blade Special Hardness Offset Right Aviation Snip, Cuts Stainless Steel</t>
        </is>
      </c>
      <c r="E1497" s="2">
        <f>HYPERLINK("https://www.amazon.com/Midwest-Tools-Cutlery-MWT-SS6510R-Stainless/dp/B01J7IOB64/ref=sr_1_1?keywords=Midwest+MWT-SS6510R+Special+Hardness+Offset+Aviation+Snip+-+Right-Cutting&amp;qid=1694734585&amp;sr=8-1", "https://www.amazon.com/Midwest-Tools-Cutlery-MWT-SS6510R-Stainless/dp/B01J7IOB64/ref=sr_1_1?keywords=Midwest+MWT-SS6510R+Special+Hardness+Offset+Aviation+Snip+-+Right-Cutting&amp;qid=1694734585&amp;sr=8-1")</f>
        <v/>
      </c>
      <c r="F1497" t="inlineStr">
        <is>
          <t>B01J7IOB64</t>
        </is>
      </c>
      <c r="G1497">
        <f>_xlfn.IMAGE("https://edmondsonsupply.com/cdn/shop/products/MWT-SSP6510R.jpg?v=1587142544")</f>
        <v/>
      </c>
      <c r="H1497">
        <f>_xlfn.IMAGE("https://m.media-amazon.com/images/I/61rvvPEnRIL._AC_UL320_.jpg")</f>
        <v/>
      </c>
      <c r="I1497" t="n">
        <v>0</v>
      </c>
      <c r="J1497" t="inlineStr">
        <is>
          <t>low sales</t>
        </is>
      </c>
      <c r="K1497" t="inlineStr">
        <is>
          <t>32.15</t>
        </is>
      </c>
      <c r="L1497" t="n">
        <v>63.44</v>
      </c>
      <c r="M1497" s="1" t="inlineStr">
        <is>
          <t>97.33%</t>
        </is>
      </c>
      <c r="N1497" s="7" t="n">
        <v>25.05</v>
      </c>
      <c r="O1497" t="n">
        <v>4.4</v>
      </c>
      <c r="P1497" t="n">
        <v>28</v>
      </c>
      <c r="R1497" t="inlineStr">
        <is>
          <t>OutOfStock</t>
        </is>
      </c>
      <c r="S1497" t="inlineStr">
        <is>
          <t>47.17</t>
        </is>
      </c>
      <c r="T1497" t="inlineStr">
        <is>
          <t>4473073107044</t>
        </is>
      </c>
    </row>
    <row r="1498" hidden="1" ht="15.75" customHeight="1">
      <c r="A1498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1498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1498" t="inlineStr">
        <is>
          <t>Klein Tools JTH6E11 3/16-Inch Hex Key, Journeyman T-Handle, 6-Inch</t>
        </is>
      </c>
      <c r="D1498" t="inlineStr">
        <is>
          <t>Klein Tools JTH9M6 6 mm Hex Key, Journeyman T-Handle, 9-Inch</t>
        </is>
      </c>
      <c r="E1498" s="2">
        <f>HYPERLINK("https://www.amazon.com/Journeyman-T-Handle-Klein-Tools-JTH9M6/dp/B005G3HJKU/ref=sr_1_15?keywords=Klein+Tools+JTH6E11+3%2F16-Inch+Hex+Key%2C+Journeyman+T-Handle%2C+6-Inch&amp;qid=1694734729&amp;sr=8-15", "https://www.amazon.com/Journeyman-T-Handle-Klein-Tools-JTH9M6/dp/B005G3HJKU/ref=sr_1_15?keywords=Klein+Tools+JTH6E11+3%2F16-Inch+Hex+Key%2C+Journeyman+T-Handle%2C+6-Inch&amp;qid=1694734729&amp;sr=8-15")</f>
        <v/>
      </c>
      <c r="F1498" t="inlineStr">
        <is>
          <t>B005G3HJKU</t>
        </is>
      </c>
      <c r="G1498">
        <f>_xludf.IMAGE("https://edmondsonsupply.com/cdn/shop/products/jth6e15_0266106d-0a3b-44ba-997b-66db7749d83f.jpg?v=1587144829")</f>
        <v/>
      </c>
      <c r="H1498">
        <f>_xludf.IMAGE("https://m.media-amazon.com/images/I/51+1x0vz9XL._AC_UL320_.jpg")</f>
        <v/>
      </c>
      <c r="K1498" t="inlineStr">
        <is>
          <t>4.99</t>
        </is>
      </c>
      <c r="L1498" t="n">
        <v>9.84</v>
      </c>
      <c r="M1498" s="1" t="inlineStr">
        <is>
          <t>97.19%</t>
        </is>
      </c>
      <c r="N1498" s="1" t="n">
        <v>25.04</v>
      </c>
      <c r="O1498" t="n">
        <v>4.7</v>
      </c>
      <c r="P1498" t="n">
        <v>123</v>
      </c>
      <c r="R1498" t="inlineStr">
        <is>
          <t>InStock</t>
        </is>
      </c>
      <c r="S1498" t="inlineStr">
        <is>
          <t>7.56</t>
        </is>
      </c>
      <c r="T1498" t="inlineStr">
        <is>
          <t>4396293947492</t>
        </is>
      </c>
    </row>
    <row r="1499" ht="87" customHeight="1">
      <c r="A1499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1499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1499" t="inlineStr">
        <is>
          <t>Packard TRCFD455 Titan PRO Run Capacitor 45+5 MFD 440/370 Volt Round</t>
        </is>
      </c>
      <c r="D1499" t="inlineStr">
        <is>
          <t>New TitanPro TRCFD455 HVAC Round Dual Motor Run Capacitor. 45/5 MFD/UF440/370 Volts</t>
        </is>
      </c>
      <c r="E1499" s="2">
        <f>HYPERLINK("https://www.amazon.com/TitanPro-TRCFD455-Round-Motor-Capacitor/dp/B07P5BTJKH/ref=sr_1_6?keywords=Packard+TRCFD455+Titan+PRO+Run+Capacitor+45%2B5+MFD+440%2F370+Volt+Round&amp;qid=1694734617&amp;sr=8-6", "https://www.amazon.com/TitanPro-TRCFD455-Round-Motor-Capacitor/dp/B07P5BTJKH/ref=sr_1_6?keywords=Packard+TRCFD455+Titan+PRO+Run+Capacitor+45%2B5+MFD+440%2F370+Volt+Round&amp;qid=1694734617&amp;sr=8-6")</f>
        <v/>
      </c>
      <c r="F1499" t="inlineStr">
        <is>
          <t>B07P5BTJKH</t>
        </is>
      </c>
      <c r="G1499">
        <f>_xlfn.IMAGE("https://edmondsonsupply.com/cdn/shop/products/TRCFD455-2.jpg?v=1587147298")</f>
        <v/>
      </c>
      <c r="H1499">
        <f>_xlfn.IMAGE("https://m.media-amazon.com/images/I/41T6h+1BBAL._AC_UY218_.jpg")</f>
        <v/>
      </c>
      <c r="K1499" t="inlineStr">
        <is>
          <t>8.99</t>
        </is>
      </c>
      <c r="L1499" t="n">
        <v>17.69</v>
      </c>
      <c r="M1499" s="1" t="inlineStr">
        <is>
          <t>96.77%</t>
        </is>
      </c>
      <c r="N1499" s="7" t="n">
        <v>25.02</v>
      </c>
      <c r="O1499" t="n">
        <v>4.6</v>
      </c>
      <c r="P1499" t="n">
        <v>68</v>
      </c>
      <c r="R1499" t="inlineStr">
        <is>
          <t>OutOfStock</t>
        </is>
      </c>
      <c r="S1499" t="inlineStr">
        <is>
          <t>undefined</t>
        </is>
      </c>
      <c r="T1499" t="inlineStr">
        <is>
          <t>4309334556772</t>
        </is>
      </c>
    </row>
    <row r="1500" hidden="1" ht="15.75" customHeight="1">
      <c r="A1500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500" s="2">
        <f>HYPERLINK("https://edmondsonsupply.com/products/packard-prmj88-motor-start-capacitor-88-108-mfd-330-volt", "https://edmondsonsupply.com/products/packard-prmj88-motor-start-capacitor-88-108-mfd-330-volt")</f>
        <v/>
      </c>
      <c r="C1500" t="inlineStr">
        <is>
          <t>Packard PRMJ88 Motor Start Capacitor 88-108 MFD 330 Volt</t>
        </is>
      </c>
      <c r="D1500" t="inlineStr">
        <is>
          <t>88-108 uf mfd 330VAC Volts Round Motor Start Capacitor 50/60 Hz AC Electric Replacement Part by Blue Stars</t>
        </is>
      </c>
      <c r="E1500" s="2">
        <f>HYPERLINK("https://www.amazon.com/88-108-330VAC-Capacitor-Electric-Replacement/dp/B09TKW8K56/ref=sr_1_12?keywords=Packard+PRMJ88+Motor+Start+Capacitor+88-108+MFD+330+Volt&amp;qid=1694734788&amp;sr=8-12", "https://www.amazon.com/88-108-330VAC-Capacitor-Electric-Replacement/dp/B09TKW8K56/ref=sr_1_12?keywords=Packard+PRMJ88+Motor+Start+Capacitor+88-108+MFD+330+Volt&amp;qid=1694734788&amp;sr=8-12")</f>
        <v/>
      </c>
      <c r="F1500" t="inlineStr">
        <is>
          <t>B09TKW8K56</t>
        </is>
      </c>
      <c r="G1500">
        <f>_xludf.IMAGE("https://edmondsonsupply.com/cdn/shop/products/PRMJ88-2.jpg?v=1633030394")</f>
        <v/>
      </c>
      <c r="H1500">
        <f>_xludf.IMAGE("https://m.media-amazon.com/images/I/81QbMY2LYqL._AC_UY218_.jpg")</f>
        <v/>
      </c>
      <c r="K1500" t="inlineStr">
        <is>
          <t>5.59</t>
        </is>
      </c>
      <c r="L1500" t="n">
        <v>10.99</v>
      </c>
      <c r="M1500" s="1" t="inlineStr">
        <is>
          <t>96.60%</t>
        </is>
      </c>
      <c r="N1500" s="1" t="n">
        <v>24.89</v>
      </c>
      <c r="O1500" t="n">
        <v>4.5</v>
      </c>
      <c r="P1500" t="n">
        <v>37</v>
      </c>
      <c r="R1500" t="inlineStr">
        <is>
          <t>InStock</t>
        </is>
      </c>
      <c r="S1500" t="inlineStr">
        <is>
          <t>undefined</t>
        </is>
      </c>
      <c r="T1500" t="inlineStr">
        <is>
          <t>5302132179112</t>
        </is>
      </c>
    </row>
    <row r="1501" ht="87" customHeight="1">
      <c r="A1501" s="2">
        <f>HYPERLINK("https://edmondsonsupply.com/collections/hvac/products/midwest-mwt-ss6510r-special-hardness-offset-aviation-snip-right-cutting", "https://edmondsonsupply.com/collections/hvac/products/midwest-mwt-ss6510r-special-hardness-offset-aviation-snip-right-cutting")</f>
        <v/>
      </c>
      <c r="B1501" s="2">
        <f>HYPERLINK("https://edmondsonsupply.com/products/midwest-mwt-ss6510r-special-hardness-offset-aviation-snip-right-cutting", "https://edmondsonsupply.com/products/midwest-mwt-ss6510r-special-hardness-offset-aviation-snip-right-cutting")</f>
        <v/>
      </c>
      <c r="C1501" t="inlineStr">
        <is>
          <t>Midwest MWT-SS6510R Special Hardness Offset Aviation Snip - Right-Cutting</t>
        </is>
      </c>
      <c r="D1501" t="inlineStr">
        <is>
          <t>MIDWEST Aviation Snip Set - Left and Right Cut Offset Tin Cutting Shears with Forged Blade &amp; KUSH'N-POWER Comfort Grips - MWT-6510C</t>
        </is>
      </c>
      <c r="E1501" s="2">
        <f>HYPERLINK("https://www.amazon.com/MIDWEST-Aviation-Snip-Set-KUSHN-POWER/dp/B00OCGQG3S/ref=sr_1_5?keywords=Midwest+MWT-SS6510R+Special+Hardness+Offset+Aviation+Snip+-+Right-Cutting&amp;qid=1694734585&amp;sr=8-5", "https://www.amazon.com/MIDWEST-Aviation-Snip-Set-KUSHN-POWER/dp/B00OCGQG3S/ref=sr_1_5?keywords=Midwest+MWT-SS6510R+Special+Hardness+Offset+Aviation+Snip+-+Right-Cutting&amp;qid=1694734585&amp;sr=8-5")</f>
        <v/>
      </c>
      <c r="F1501" t="inlineStr">
        <is>
          <t>B00OCGQG3S</t>
        </is>
      </c>
      <c r="G1501">
        <f>_xlfn.IMAGE("https://edmondsonsupply.com/cdn/shop/products/MWT-SSP6510R.jpg?v=1587142544")</f>
        <v/>
      </c>
      <c r="H1501">
        <f>_xlfn.IMAGE("https://m.media-amazon.com/images/I/71J9tcnJ-SL._AC_UL320_.jpg")</f>
        <v/>
      </c>
      <c r="K1501" t="inlineStr">
        <is>
          <t>32.15</t>
        </is>
      </c>
      <c r="L1501" t="n">
        <v>63.17</v>
      </c>
      <c r="M1501" s="1" t="inlineStr">
        <is>
          <t>96.49%</t>
        </is>
      </c>
      <c r="N1501" s="7" t="n">
        <v>24.78</v>
      </c>
      <c r="O1501" t="n">
        <v>4.7</v>
      </c>
      <c r="P1501" t="n">
        <v>5991</v>
      </c>
      <c r="R1501" t="inlineStr">
        <is>
          <t>OutOfStock</t>
        </is>
      </c>
      <c r="S1501" t="inlineStr">
        <is>
          <t>47.17</t>
        </is>
      </c>
      <c r="T1501" t="inlineStr">
        <is>
          <t>4473073107044</t>
        </is>
      </c>
    </row>
    <row r="1502" ht="87" customHeight="1">
      <c r="A1502" s="2">
        <f>HYPERLINK("https://edmondsonsupply.com/collections/hvac/products/packard-titan-pro-trcd305-run-capacitor-30-5-mfd-370-volt-round", "https://edmondsonsupply.com/collections/hvac/products/packard-titan-pro-trcd305-run-capacitor-30-5-mfd-370-volt-round")</f>
        <v/>
      </c>
      <c r="B1502" s="2">
        <f>HYPERLINK("https://edmondsonsupply.com/products/packard-titan-pro-trcd305-run-capacitor-30-5-mfd-370-volt-round", "https://edmondsonsupply.com/products/packard-titan-pro-trcd305-run-capacitor-30-5-mfd-370-volt-round")</f>
        <v/>
      </c>
      <c r="C1502" t="inlineStr">
        <is>
          <t>Packard Titan PRO TRCD305 Run Capacitor 30+5 MFD 370 Volt Round</t>
        </is>
      </c>
      <c r="D1502" t="inlineStr">
        <is>
          <t>Titan Pro Round Motor Dual Run Capacitor, 30/5 Microfarad Rating, 370-440VAC Voltage - TRCFD305</t>
        </is>
      </c>
      <c r="E1502" s="2">
        <f>HYPERLINK("https://www.amazon.com/Capacitor-Microfarad-Rating-370-440VAC-Voltage/dp/B08TTPB9QZ/ref=sr_1_3?keywords=Packard+Titan+PRO+TRCD305+Run+Capacitor+30%2B5+MFD+370+Volt+Round&amp;qid=1694734786&amp;sr=8-3", "https://www.amazon.com/Capacitor-Microfarad-Rating-370-440VAC-Voltage/dp/B08TTPB9QZ/ref=sr_1_3?keywords=Packard+Titan+PRO+TRCD305+Run+Capacitor+30%2B5+MFD+370+Volt+Round&amp;qid=1694734786&amp;sr=8-3")</f>
        <v/>
      </c>
      <c r="F1502" t="inlineStr">
        <is>
          <t>B08TTPB9QZ</t>
        </is>
      </c>
      <c r="G1502">
        <f>_xlfn.IMAGE("https://edmondsonsupply.com/cdn/shop/products/TRCD305-2.jpg?v=1633030487")</f>
        <v/>
      </c>
      <c r="H1502">
        <f>_xlfn.IMAGE("https://m.media-amazon.com/images/I/61rN-CX2SUL._AC_UY218_.jpg")</f>
        <v/>
      </c>
      <c r="K1502" t="inlineStr">
        <is>
          <t>7.92</t>
        </is>
      </c>
      <c r="L1502" t="n">
        <v>15.54</v>
      </c>
      <c r="M1502" s="1" t="inlineStr">
        <is>
          <t>96.21%</t>
        </is>
      </c>
      <c r="N1502" s="7" t="n">
        <v>24.51</v>
      </c>
      <c r="O1502" t="n">
        <v>5</v>
      </c>
      <c r="P1502" t="n">
        <v>4</v>
      </c>
      <c r="R1502" t="inlineStr">
        <is>
          <t>InStock</t>
        </is>
      </c>
      <c r="S1502" t="inlineStr">
        <is>
          <t>undefined</t>
        </is>
      </c>
      <c r="T1502" t="inlineStr">
        <is>
          <t>5373456646312</t>
        </is>
      </c>
    </row>
    <row r="1503" ht="87" customHeight="1">
      <c r="A1503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1503" s="2">
        <f>HYPERLINK("https://edmondsonsupply.com/products/milwaukee-48-22-1540-fastback%e2%84%a2-5-in-1-folding-knife", "https://edmondsonsupply.com/products/milwaukee-48-22-1540-fastback%e2%84%a2-5-in-1-folding-knife")</f>
        <v/>
      </c>
      <c r="C1503" t="inlineStr">
        <is>
          <t>Milwaukee 48-22-1540 FASTBACK™ 5-in-1 Folding Knife</t>
        </is>
      </c>
      <c r="D1503" t="inlineStr">
        <is>
          <t>SHISHUVIN For Milwaukee 48-22-1540 FASTBACK 5 in 1 Folding Pocket Knife Length 8.75 in Height 1 in Width 2 in</t>
        </is>
      </c>
      <c r="E1503" s="2">
        <f>HYPERLINK("https://www.amazon.com/SHISHUVIN-Milwaukee-48-22-1540-FASTBACK-Folding/dp/B0C1RJSRPR/ref=sr_1_7?keywords=Milwaukee+48-22-1540+FASTBACK%E2%84%A2+5-in-1+Folding+Knife&amp;qid=1694734631&amp;sr=8-7", "https://www.amazon.com/SHISHUVIN-Milwaukee-48-22-1540-FASTBACK-Folding/dp/B0C1RJSRPR/ref=sr_1_7?keywords=Milwaukee+48-22-1540+FASTBACK%E2%84%A2+5-in-1+Folding+Knife&amp;qid=1694734631&amp;sr=8-7")</f>
        <v/>
      </c>
      <c r="F1503" t="inlineStr">
        <is>
          <t>B0C1RJSRPR</t>
        </is>
      </c>
      <c r="G1503">
        <f>_xlfn.IMAGE("https://edmondsonsupply.com/cdn/shop/products/48-22-1540_1.png?v=1587142762")</f>
        <v/>
      </c>
      <c r="H1503">
        <f>_xlfn.IMAGE("https://m.media-amazon.com/images/I/413xL6xnD1L._AC_UL320_.jpg")</f>
        <v/>
      </c>
      <c r="K1503" t="inlineStr">
        <is>
          <t>23.97</t>
        </is>
      </c>
      <c r="L1503" t="n">
        <v>47</v>
      </c>
      <c r="M1503" s="1" t="inlineStr">
        <is>
          <t>96.08%</t>
        </is>
      </c>
      <c r="N1503" s="7" t="n">
        <v>24.35</v>
      </c>
      <c r="O1503" t="n">
        <v>5</v>
      </c>
      <c r="P1503" t="n">
        <v>1</v>
      </c>
      <c r="R1503" t="inlineStr">
        <is>
          <t>InStock</t>
        </is>
      </c>
      <c r="S1503" t="inlineStr">
        <is>
          <t>39.0</t>
        </is>
      </c>
      <c r="T1503" t="inlineStr">
        <is>
          <t>4452621090916</t>
        </is>
      </c>
    </row>
    <row r="1504" ht="87" customHeight="1">
      <c r="A1504" s="2">
        <f>HYPERLINK("https://edmondsonsupply.com/collections/hvac/products/diversitech-cc-1", "https://edmondsonsupply.com/collections/hvac/products/diversitech-cc-1")</f>
        <v/>
      </c>
      <c r="B1504" s="2">
        <f>HYPERLINK("https://edmondsonsupply.com/products/diversitech-cc-1", "https://edmondsonsupply.com/products/diversitech-cc-1")</f>
        <v/>
      </c>
      <c r="C1504" t="inlineStr">
        <is>
          <t>DiversiTech CC-1 Condensate Cop™ Clamp-On Condensate Float Switch</t>
        </is>
      </c>
      <c r="D1504" t="inlineStr">
        <is>
          <t>Rectorseal 97637 Safe-T-Switch Ss2 &amp; Diversitech CC-1 Condensate Cop Drain Pain Switch</t>
        </is>
      </c>
      <c r="E1504" s="2">
        <f>HYPERLINK("https://www.amazon.com/Rectorseal-Safe-T-Switch-Diversitech-Condensate-Switch/dp/B0C5MJ128L/ref=sr_1_3?keywords=DiversiTech+CC-1+Condensate+Cop%E2%84%A2+Clamp-On+Condensate+Float+Switch&amp;qid=1694734618&amp;sr=8-3", "https://www.amazon.com/Rectorseal-Safe-T-Switch-Diversitech-Condensate-Switch/dp/B0C5MJ128L/ref=sr_1_3?keywords=DiversiTech+CC-1+Condensate+Cop%E2%84%A2+Clamp-On+Condensate+Float+Switch&amp;qid=1694734618&amp;sr=8-3")</f>
        <v/>
      </c>
      <c r="F1504" t="inlineStr">
        <is>
          <t>B0C5MJ128L</t>
        </is>
      </c>
      <c r="G1504">
        <f>_xlfn.IMAGE("https://edmondsonsupply.com/cdn/shop/products/CC-1.jpg?v=1587149890")</f>
        <v/>
      </c>
      <c r="H1504">
        <f>_xlfn.IMAGE("https://m.media-amazon.com/images/I/51R2FVDXshL._AC_UY218_.jpg")</f>
        <v/>
      </c>
      <c r="K1504" t="inlineStr">
        <is>
          <t>11.73</t>
        </is>
      </c>
      <c r="L1504" t="n">
        <v>22.99</v>
      </c>
      <c r="M1504" s="1" t="inlineStr">
        <is>
          <t>95.99%</t>
        </is>
      </c>
      <c r="N1504" s="7" t="n">
        <v>24.14</v>
      </c>
      <c r="O1504" t="n">
        <v>4.7</v>
      </c>
      <c r="P1504" t="n">
        <v>1353</v>
      </c>
      <c r="R1504" t="inlineStr">
        <is>
          <t>InStock</t>
        </is>
      </c>
      <c r="S1504" t="inlineStr">
        <is>
          <t>28.76</t>
        </is>
      </c>
      <c r="T1504" t="inlineStr">
        <is>
          <t>4409581699172</t>
        </is>
      </c>
    </row>
    <row r="1505" ht="87" customHeight="1">
      <c r="A1505" s="2">
        <f>HYPERLINK("https://edmondsonsupply.com/collections/hvac/products/supco-shp450250-high-pressure-control-switch-450-250-psi", "https://edmondsonsupply.com/collections/hvac/products/supco-shp450250-high-pressure-control-switch-450-250-psi")</f>
        <v/>
      </c>
      <c r="B1505" s="2">
        <f>HYPERLINK("https://edmondsonsupply.com/products/supco-shp450250-high-pressure-control-switch-450-250-psi", "https://edmondsonsupply.com/products/supco-shp450250-high-pressure-control-switch-450-250-psi")</f>
        <v/>
      </c>
      <c r="C1505" t="inlineStr">
        <is>
          <t>Supco SHP450250 High Pressure Control Switch, 450-250 PSI</t>
        </is>
      </c>
      <c r="D1505" t="inlineStr">
        <is>
          <t>Supco SHP450250 High Pressure Control Switch 450-250 PSI</t>
        </is>
      </c>
      <c r="E1505" s="2" t="n"/>
      <c r="F1505" t="inlineStr">
        <is>
          <t>B09L595N9W</t>
        </is>
      </c>
      <c r="G1505">
        <f>_xlfn.IMAGE("https://edmondsonsupply.com/cdn/shop/products/SHP450250-2.jpg?v=1674514320")</f>
        <v/>
      </c>
      <c r="H1505">
        <f>_xlfn.IMAGE("https://m.media-amazon.com/images/I/51ByxhLHfuL._AC_UY218_.jpg")</f>
        <v/>
      </c>
      <c r="K1505" t="inlineStr">
        <is>
          <t>11.99</t>
        </is>
      </c>
      <c r="L1505" t="n">
        <v>23.49</v>
      </c>
      <c r="M1505" s="1" t="inlineStr">
        <is>
          <t>95.91%</t>
        </is>
      </c>
      <c r="N1505" s="7" t="n">
        <v>24.14</v>
      </c>
      <c r="O1505" t="n">
        <v>5</v>
      </c>
      <c r="P1505" t="n">
        <v>1</v>
      </c>
      <c r="R1505" t="inlineStr">
        <is>
          <t>InStock</t>
        </is>
      </c>
      <c r="S1505" t="inlineStr">
        <is>
          <t>undefined</t>
        </is>
      </c>
      <c r="T1505" t="inlineStr">
        <is>
          <t>3564174245988</t>
        </is>
      </c>
    </row>
    <row r="1506" ht="87" customHeight="1">
      <c r="A1506" s="2">
        <f>HYPERLINK("https://edmondsonsupply.com/collections/hvac/products/supco-shp450250-high-pressure-control-switch-450-250-psi", "https://edmondsonsupply.com/collections/hvac/products/supco-shp450250-high-pressure-control-switch-450-250-psi")</f>
        <v/>
      </c>
      <c r="B1506" s="2">
        <f>HYPERLINK("https://edmondsonsupply.com/products/supco-shp450250-high-pressure-control-switch-450-250-psi", "https://edmondsonsupply.com/products/supco-shp450250-high-pressure-control-switch-450-250-psi")</f>
        <v/>
      </c>
      <c r="C1506" t="inlineStr">
        <is>
          <t>Supco SHP450250 High Pressure Control Switch, 450-250 PSI</t>
        </is>
      </c>
      <c r="D1506" t="inlineStr">
        <is>
          <t>Supco SHP450250 High Pressure Control Switch 450-250 PSI</t>
        </is>
      </c>
      <c r="E1506" s="2">
        <f>HYPERLINK("https://www.amazon.com/SHP450250-Pressure-Control-Switch-450-250/dp/B09L595N9W/ref=sr_1_1?keywords=Supco+SHP450250+High+Pressure+Control+Switch%2C+450-250+PSI&amp;qid=1694734603&amp;sr=8-1", "https://www.amazon.com/SHP450250-Pressure-Control-Switch-450-250/dp/B09L595N9W/ref=sr_1_1?keywords=Supco+SHP450250+High+Pressure+Control+Switch%2C+450-250+PSI&amp;qid=1694734603&amp;sr=8-1")</f>
        <v/>
      </c>
      <c r="F1506" t="inlineStr">
        <is>
          <t>B09L595N9W</t>
        </is>
      </c>
      <c r="G1506">
        <f>_xlfn.IMAGE("https://edmondsonsupply.com/cdn/shop/products/SHP450250-2.jpg?v=1674514320")</f>
        <v/>
      </c>
      <c r="H1506">
        <f>_xlfn.IMAGE("https://m.media-amazon.com/images/I/51ByxhLHfuL._AC_UY218_.jpg")</f>
        <v/>
      </c>
      <c r="I1506" t="n">
        <v>4</v>
      </c>
      <c r="J1506" t="inlineStr">
        <is>
          <t>free shipping ($11.40 in checkout)</t>
        </is>
      </c>
      <c r="K1506" t="inlineStr">
        <is>
          <t>11.99</t>
        </is>
      </c>
      <c r="L1506" t="n">
        <v>23.49</v>
      </c>
      <c r="M1506" s="1" t="inlineStr">
        <is>
          <t>95.91%</t>
        </is>
      </c>
      <c r="N1506" s="7" t="n">
        <v>24.01</v>
      </c>
      <c r="O1506" t="n">
        <v>5</v>
      </c>
      <c r="P1506" t="n">
        <v>1</v>
      </c>
      <c r="R1506" t="inlineStr">
        <is>
          <t>InStock</t>
        </is>
      </c>
      <c r="S1506" t="inlineStr">
        <is>
          <t>undefined</t>
        </is>
      </c>
      <c r="T1506" t="inlineStr">
        <is>
          <t>3564174245988</t>
        </is>
      </c>
    </row>
    <row r="1507" hidden="1" ht="15.75" customHeight="1">
      <c r="A1507" s="2">
        <f>HYPERLINK("https://edmondsonsupply.com/collections/hvac/products/diablo-tools-dsp3050-7-8-in-x-16-in-spade-bit", "https://edmondsonsupply.com/collections/hvac/products/diablo-tools-dsp3050-7-8-in-x-16-in-spade-bit")</f>
        <v/>
      </c>
      <c r="B1507" s="2">
        <f>HYPERLINK("https://edmondsonsupply.com/products/diablo-tools-dsp3050-7-8-in-x-16-in-spade-bit", "https://edmondsonsupply.com/products/diablo-tools-dsp3050-7-8-in-x-16-in-spade-bit")</f>
        <v/>
      </c>
      <c r="C1507" t="inlineStr">
        <is>
          <t>Diablo Tools DSP3050 7/8 in. x 16 in. Spade Bit</t>
        </is>
      </c>
      <c r="D1507" t="inlineStr">
        <is>
          <t>BOSCH DLSB1011 7/8 In. x 16 In. Daredevil Extended Length Spade Bits</t>
        </is>
      </c>
      <c r="E1507" s="2">
        <f>HYPERLINK("https://www.amazon.com/Bosch-Daredevil-DLSB1011-Extended-Length/dp/B002BYQPJI/ref=sr_1_10?keywords=Diablo+Tools+DSP3050+7%2F8+in.+x+16+in.+Spade+Bit&amp;qid=1694734919&amp;sr=8-10", "https://www.amazon.com/Bosch-Daredevil-DLSB1011-Extended-Length/dp/B002BYQPJI/ref=sr_1_10?keywords=Diablo+Tools+DSP3050+7%2F8+in.+x+16+in.+Spade+Bit&amp;qid=1694734919&amp;sr=8-10")</f>
        <v/>
      </c>
      <c r="F1507" t="inlineStr">
        <is>
          <t>B002BYQPJI</t>
        </is>
      </c>
      <c r="G1507">
        <f>_xludf.IMAGE("https://edmondsonsupply.com/cdn/shop/files/y2jtkhe6p1ztkurhqyvu.webp?v=1685722260")</f>
        <v/>
      </c>
      <c r="H1507">
        <f>_xludf.IMAGE("https://m.media-amazon.com/images/I/413x00GsBPL._AC_UL320_.jpg")</f>
        <v/>
      </c>
      <c r="K1507" t="inlineStr">
        <is>
          <t>6.99</t>
        </is>
      </c>
      <c r="L1507" t="n">
        <v>13.69</v>
      </c>
      <c r="M1507" s="1" t="inlineStr">
        <is>
          <t>95.85%</t>
        </is>
      </c>
      <c r="N1507" s="1" t="n">
        <v>23.94</v>
      </c>
      <c r="O1507" t="n">
        <v>4.6</v>
      </c>
      <c r="P1507" t="n">
        <v>1262</v>
      </c>
      <c r="R1507" t="inlineStr">
        <is>
          <t>InStock</t>
        </is>
      </c>
      <c r="S1507" t="inlineStr">
        <is>
          <t>11.19</t>
        </is>
      </c>
      <c r="T1507" t="inlineStr">
        <is>
          <t>7999598330072</t>
        </is>
      </c>
    </row>
    <row r="1508" ht="87" customHeight="1">
      <c r="A1508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508" s="2">
        <f>HYPERLINK("https://edmondsonsupply.com/products/packard-prmj216-motor-start-capacitor-216-259-mfd-330-vac", "https://edmondsonsupply.com/products/packard-prmj216-motor-start-capacitor-216-259-mfd-330-vac")</f>
        <v/>
      </c>
      <c r="C1508" t="inlineStr">
        <is>
          <t>Packard PRMJ216 Motor Start Capacitor 216-259 MFD 330 VAC</t>
        </is>
      </c>
      <c r="D1508" t="inlineStr">
        <is>
          <t>Appli Parts motor start capacitor 216-259 Mfd (microfarads) uF 330 VAC universal fit for electric motor applications 1-3/4 in Wide 3-3/8 in Height CON-216-330</t>
        </is>
      </c>
      <c r="E1508" s="2">
        <f>HYPERLINK("https://www.amazon.com/capacitor-microfarads-universal-electric-applications/dp/B01FSQQ7DE/ref=sr_1_2?keywords=Packard+PRMJ216+Motor+Start+Capacitor+216-259+MFD+330+VAC&amp;qid=1694734827&amp;sr=8-2", "https://www.amazon.com/capacitor-microfarads-universal-electric-applications/dp/B01FSQQ7DE/ref=sr_1_2?keywords=Packard+PRMJ216+Motor+Start+Capacitor+216-259+MFD+330+VAC&amp;qid=1694734827&amp;sr=8-2")</f>
        <v/>
      </c>
      <c r="F1508" t="inlineStr">
        <is>
          <t>B01FSQQ7DE</t>
        </is>
      </c>
      <c r="G1508">
        <f>_xlfn.IMAGE("https://edmondsonsupply.com/cdn/shop/products/PRMJ216-2.jpg?v=1633030106")</f>
        <v/>
      </c>
      <c r="H1508">
        <f>_xlfn.IMAGE("https://m.media-amazon.com/images/I/61gdt-REL+L._AC_UY218_.jpg")</f>
        <v/>
      </c>
      <c r="K1508" t="inlineStr">
        <is>
          <t>8.94</t>
        </is>
      </c>
      <c r="L1508" t="n">
        <v>17.49</v>
      </c>
      <c r="M1508" s="1" t="inlineStr">
        <is>
          <t>95.64%</t>
        </is>
      </c>
      <c r="N1508" s="7" t="n">
        <v>23.67</v>
      </c>
      <c r="O1508" t="n">
        <v>4.5</v>
      </c>
      <c r="P1508" t="n">
        <v>1387</v>
      </c>
      <c r="R1508" t="inlineStr">
        <is>
          <t>InStock</t>
        </is>
      </c>
      <c r="S1508" t="inlineStr">
        <is>
          <t>undefined</t>
        </is>
      </c>
      <c r="T1508" t="inlineStr">
        <is>
          <t>3595512217700</t>
        </is>
      </c>
    </row>
    <row r="1509" ht="87" customHeight="1">
      <c r="A1509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509" s="2">
        <f>HYPERLINK("https://edmondsonsupply.com/products/diablo-tools-dag1130-1-in-x-7-1-2-in-auger-bit", "https://edmondsonsupply.com/products/diablo-tools-dag1130-1-in-x-7-1-2-in-auger-bit")</f>
        <v/>
      </c>
      <c r="C1509" t="inlineStr">
        <is>
          <t>Diablo Tools DAG1130 1 in. x 7-1/2 in. Auger Bit</t>
        </is>
      </c>
      <c r="D1509" t="inlineStr">
        <is>
          <t>Diablo 7/8 in. x 17-1/2 in. Auger Bit</t>
        </is>
      </c>
      <c r="E1509" s="2">
        <f>HYPERLINK("https://www.amazon.com/Diablo-17-1-Auger-Bit/dp/B089LG8GYB/ref=sr_1_19?keywords=Diablo+Tools+DAG1130+1+in.+x+7-1%2F2+in.+Auger+Bit&amp;qid=1694734776&amp;sr=8-19", "https://www.amazon.com/Diablo-17-1-Auger-Bit/dp/B089LG8GYB/ref=sr_1_19?keywords=Diablo+Tools+DAG1130+1+in.+x+7-1%2F2+in.+Auger+Bit&amp;qid=1694734776&amp;sr=8-19")</f>
        <v/>
      </c>
      <c r="F1509" t="inlineStr">
        <is>
          <t>B089LG8GYB</t>
        </is>
      </c>
      <c r="G1509">
        <f>_xlfn.IMAGE("https://edmondsonsupply.com/cdn/shop/products/DAG1130_Main-Image20200712.png?v=1633031124")</f>
        <v/>
      </c>
      <c r="H1509">
        <f>_xlfn.IMAGE("https://m.media-amazon.com/images/I/61QXZJGNQTL._AC_UL320_.jpg")</f>
        <v/>
      </c>
      <c r="K1509" t="inlineStr">
        <is>
          <t>16.37</t>
        </is>
      </c>
      <c r="L1509" t="n">
        <v>31.99</v>
      </c>
      <c r="M1509" s="1" t="inlineStr">
        <is>
          <t>95.42%</t>
        </is>
      </c>
      <c r="N1509" s="7" t="n">
        <v>23.34</v>
      </c>
      <c r="O1509" t="n">
        <v>4.3</v>
      </c>
      <c r="P1509" t="n">
        <v>29</v>
      </c>
      <c r="R1509" t="inlineStr">
        <is>
          <t>InStock</t>
        </is>
      </c>
      <c r="S1509" t="inlineStr">
        <is>
          <t>25.94</t>
        </is>
      </c>
      <c r="T1509" t="inlineStr">
        <is>
          <t>6866560581805</t>
        </is>
      </c>
    </row>
    <row r="1510" ht="87" customHeight="1">
      <c r="A1510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510" s="2">
        <f>HYPERLINK("https://edmondsonsupply.com/products/klein-tools-11053-klein-kurve%c2%ae-wire-stripper-cutter", "https://edmondsonsupply.com/products/klein-tools-11053-klein-kurve%c2%ae-wire-stripper-cutter")</f>
        <v/>
      </c>
      <c r="C1510" t="inlineStr">
        <is>
          <t>Klein Tools 11053 Klein-Kurve® Wire Stripper/Cutter</t>
        </is>
      </c>
      <c r="D1510" t="inlineStr">
        <is>
          <t>Klein Tools 11055 Wire Cutter and Wire Stripper, Stranded Wire Cutter &amp; Klein Tools 11057 Wire Cutter/Wire Stripper, Heavy Duty Wire Cutter Stripper</t>
        </is>
      </c>
      <c r="E1510" s="2">
        <f>HYPERLINK("https://www.amazon.com/Klein-Tools-Cutter-Stripper-Stranded/dp/B0B68N3C66/ref=sr_1_19?keywords=Klein+Tools+11053+Klein-Kurve%C2%AE+Wire+Stripper%2FCutter&amp;qid=1694734664&amp;sr=8-19", "https://www.amazon.com/Klein-Tools-Cutter-Stripper-Stranded/dp/B0B68N3C66/ref=sr_1_19?keywords=Klein+Tools+11053+Klein-Kurve%C2%AE+Wire+Stripper%2FCutter&amp;qid=1694734664&amp;sr=8-19")</f>
        <v/>
      </c>
      <c r="F1510" t="inlineStr">
        <is>
          <t>B0B68N3C66</t>
        </is>
      </c>
      <c r="G1510">
        <f>_xlfn.IMAGE("https://edmondsonsupply.com/cdn/shop/products/11053.jpg?v=1633030511")</f>
        <v/>
      </c>
      <c r="H1510">
        <f>_xlfn.IMAGE("https://m.media-amazon.com/images/I/61UHDLA7rHL._AC_UL320_.jpg")</f>
        <v/>
      </c>
      <c r="K1510" t="inlineStr">
        <is>
          <t>20.97</t>
        </is>
      </c>
      <c r="L1510" t="n">
        <v>40.96</v>
      </c>
      <c r="M1510" s="1" t="inlineStr">
        <is>
          <t>95.33%</t>
        </is>
      </c>
      <c r="N1510" s="7" t="n">
        <v>23.2</v>
      </c>
      <c r="O1510" t="n">
        <v>5</v>
      </c>
      <c r="P1510" t="n">
        <v>14</v>
      </c>
      <c r="R1510" t="inlineStr">
        <is>
          <t>InStock</t>
        </is>
      </c>
      <c r="S1510" t="inlineStr">
        <is>
          <t>31.76</t>
        </is>
      </c>
      <c r="T1510" t="inlineStr">
        <is>
          <t>5387171299496</t>
        </is>
      </c>
    </row>
    <row r="1511" ht="87" customHeight="1">
      <c r="A1511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511" s="2">
        <f>HYPERLINK("https://edmondsonsupply.com/products/klein-tools-11053-klein-kurve%c2%ae-wire-stripper-cutter", "https://edmondsonsupply.com/products/klein-tools-11053-klein-kurve%c2%ae-wire-stripper-cutter")</f>
        <v/>
      </c>
      <c r="C1511" t="inlineStr">
        <is>
          <t>Klein Tools 11053 Klein-Kurve® Wire Stripper/Cutter</t>
        </is>
      </c>
      <c r="D1511" t="inlineStr">
        <is>
          <t>Klein Tools 11053 Klein-Kurve Wire Stripper and Cutter for 6-12 AWG Stranded Wire, 7-1/8-Inch &amp; 11055 Wire Cutter and Wire Stripper, Stranded Wire Cutter, Solid Wire Cutter, Cuts Copper Wire</t>
        </is>
      </c>
      <c r="E1511" s="2">
        <f>HYPERLINK("https://www.amazon.com/Klein-Tools-Klein-Kurve-Stripper-Stranded/dp/B0BHVPT335/ref=sr_1_2?keywords=Klein+Tools+11053+Klein-Kurve%C2%AE+Wire+Stripper%2FCutter&amp;qid=1694734664&amp;sr=8-2", "https://www.amazon.com/Klein-Tools-Klein-Kurve-Stripper-Stranded/dp/B0BHVPT335/ref=sr_1_2?keywords=Klein+Tools+11053+Klein-Kurve%C2%AE+Wire+Stripper%2FCutter&amp;qid=1694734664&amp;sr=8-2")</f>
        <v/>
      </c>
      <c r="F1511" t="inlineStr">
        <is>
          <t>B0BHVPT335</t>
        </is>
      </c>
      <c r="G1511">
        <f>_xlfn.IMAGE("https://edmondsonsupply.com/cdn/shop/products/11053.jpg?v=1633030511")</f>
        <v/>
      </c>
      <c r="H1511">
        <f>_xlfn.IMAGE("https://m.media-amazon.com/images/I/41+jddPUDML._AC_UL320_.jpg")</f>
        <v/>
      </c>
      <c r="K1511" t="inlineStr">
        <is>
          <t>20.97</t>
        </is>
      </c>
      <c r="L1511" t="n">
        <v>40.96</v>
      </c>
      <c r="M1511" s="1" t="inlineStr">
        <is>
          <t>95.33%</t>
        </is>
      </c>
      <c r="N1511" s="7" t="n">
        <v>23.15</v>
      </c>
      <c r="O1511" t="n">
        <v>4.5</v>
      </c>
      <c r="P1511" t="n">
        <v>2</v>
      </c>
      <c r="R1511" t="inlineStr">
        <is>
          <t>InStock</t>
        </is>
      </c>
      <c r="S1511" t="inlineStr">
        <is>
          <t>31.76</t>
        </is>
      </c>
      <c r="T1511" t="inlineStr">
        <is>
          <t>5387171299496</t>
        </is>
      </c>
    </row>
    <row r="1512" hidden="1" ht="15.75" customHeight="1">
      <c r="A1512" s="2">
        <f>HYPERLINK("https://edmondsonsupply.com/collections/hvac/products/rectorseal-66737-nokink-1-2-x-3-flexible-refrigerant-line-connector", "https://edmondsonsupply.com/collections/hvac/products/rectorseal-66737-nokink-1-2-x-3-flexible-refrigerant-line-connector")</f>
        <v/>
      </c>
      <c r="B1512" s="2">
        <f>HYPERLINK("https://edmondsonsupply.com/products/rectorseal-66737-nokink-1-2-x-3-flexible-refrigerant-line-connector", "https://edmondsonsupply.com/products/rectorseal-66737-nokink-1-2-x-3-flexible-refrigerant-line-connector")</f>
        <v/>
      </c>
      <c r="C1512" t="inlineStr">
        <is>
          <t>RectorSeal 66737 NoKink 1/2" x 3' Flexible Refrigerant Line Connector</t>
        </is>
      </c>
      <c r="D1512" t="inlineStr">
        <is>
          <t>Rectorseal 68235 NoKink Flexible Refrigerant Line Connector, 5/8" x 72"</t>
        </is>
      </c>
      <c r="E1512" s="2">
        <f>HYPERLINK("https://www.amazon.com/Rectorseal-68235-Flexible-Refrigerant-Connector/dp/B01ALRVLTA/ref=sr_1_4?keywords=RectorSeal+66737+NoKink+1%2F2%22+x+3%27+Flexible+Refrigerant+Line+Connector&amp;qid=1694734665&amp;sr=8-4", "https://www.amazon.com/Rectorseal-68235-Flexible-Refrigerant-Connector/dp/B01ALRVLTA/ref=sr_1_4?keywords=RectorSeal+66737+NoKink+1%2F2%22+x+3%27+Flexible+Refrigerant+Line+Connector&amp;qid=1694734665&amp;sr=8-4")</f>
        <v/>
      </c>
      <c r="F1512" t="inlineStr">
        <is>
          <t>B01ALRVLTA</t>
        </is>
      </c>
      <c r="G1512">
        <f>_xludf.IMAGE("https://edmondsonsupply.com/cdn/shop/products/66737.png?v=1665964950")</f>
        <v/>
      </c>
      <c r="H1512">
        <f>_xludf.IMAGE("https://m.media-amazon.com/images/I/51pjB6ZOm9L._AC_UL320_.jpg")</f>
        <v/>
      </c>
      <c r="K1512" t="inlineStr">
        <is>
          <t>75.86</t>
        </is>
      </c>
      <c r="L1512" t="n">
        <v>148.08</v>
      </c>
      <c r="M1512" s="1" t="inlineStr">
        <is>
          <t>95.20%</t>
        </is>
      </c>
      <c r="N1512" s="1" t="n">
        <v>23.13</v>
      </c>
      <c r="O1512" t="n">
        <v>4</v>
      </c>
      <c r="P1512" t="n">
        <v>5</v>
      </c>
      <c r="R1512" t="inlineStr">
        <is>
          <t>InStock</t>
        </is>
      </c>
      <c r="S1512" t="inlineStr">
        <is>
          <t>undefined</t>
        </is>
      </c>
      <c r="T1512" t="inlineStr">
        <is>
          <t>6957694353581</t>
        </is>
      </c>
    </row>
    <row r="1513" ht="87" customHeight="1">
      <c r="A1513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513" s="2">
        <f>HYPERLINK("https://edmondsonsupply.com/products/packard-psmj400-motor-start-capacitor-400-480-mfd-165-vac", "https://edmondsonsupply.com/products/packard-psmj400-motor-start-capacitor-400-480-mfd-165-vac")</f>
        <v/>
      </c>
      <c r="C1513" t="inlineStr">
        <is>
          <t>Packard PSMJ400 Motor Start Capacitor 400-480 MFD 165 VAC</t>
        </is>
      </c>
      <c r="D1513" t="inlineStr">
        <is>
          <t>TEMCo 400-480 uf/MFD 165 VAC Volts Round Start Capacitor 50/60 Hz AC Electric - Lot -1</t>
        </is>
      </c>
      <c r="E1513" s="2">
        <f>HYPERLINK("https://www.amazon.com/TEMCo-Capacitor-SC0098-400-480-400-480-Electric/dp/B00EQIBCQS/ref=sr_1_8?keywords=Packard+PSMJ400+Motor+Start+Capacitor+400-480+MFD+165+VAC&amp;qid=1694734737&amp;sr=8-8", "https://www.amazon.com/TEMCo-Capacitor-SC0098-400-480-400-480-Electric/dp/B00EQIBCQS/ref=sr_1_8?keywords=Packard+PSMJ400+Motor+Start+Capacitor+400-480+MFD+165+VAC&amp;qid=1694734737&amp;sr=8-8")</f>
        <v/>
      </c>
      <c r="F1513" t="inlineStr">
        <is>
          <t>B00EQIBCQS</t>
        </is>
      </c>
      <c r="G1513">
        <f>_xlfn.IMAGE("https://edmondsonsupply.com/cdn/shop/products/PSMJ400-2.jpg?v=1587142312")</f>
        <v/>
      </c>
      <c r="H1513">
        <f>_xlfn.IMAGE("https://m.media-amazon.com/images/I/61WlF25OicL._AC_UY218_.jpg")</f>
        <v/>
      </c>
      <c r="K1513" t="inlineStr">
        <is>
          <t>7.92</t>
        </is>
      </c>
      <c r="L1513" t="n">
        <v>15.45</v>
      </c>
      <c r="M1513" s="1" t="inlineStr">
        <is>
          <t>95.08%</t>
        </is>
      </c>
      <c r="N1513" s="7" t="n">
        <v>22.86</v>
      </c>
      <c r="O1513" t="n">
        <v>4.6</v>
      </c>
      <c r="P1513" t="n">
        <v>194</v>
      </c>
      <c r="R1513" t="inlineStr">
        <is>
          <t>InStock</t>
        </is>
      </c>
      <c r="S1513" t="inlineStr">
        <is>
          <t>undefined</t>
        </is>
      </c>
      <c r="T1513" t="inlineStr">
        <is>
          <t>3683072016484</t>
        </is>
      </c>
    </row>
    <row r="1514" ht="87" customHeight="1">
      <c r="A1514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514" s="2">
        <f>HYPERLINK("https://edmondsonsupply.com/products/packard-c140a-contactor-1-pole-40-amps-24-coil-voltage", "https://edmondsonsupply.com/products/packard-c140a-contactor-1-pole-40-amps-24-coil-voltage")</f>
        <v/>
      </c>
      <c r="C1514" t="inlineStr">
        <is>
          <t>Packard C140A Contactor 1 Pole 40 AMPS 24 Coil Voltage</t>
        </is>
      </c>
      <c r="D1514" t="inlineStr">
        <is>
          <t>Trane • 40 Amp 1 Pole 24v Coil Packard Replacement Contactor C140A</t>
        </is>
      </c>
      <c r="E1514" s="2">
        <f>HYPERLINK("https://www.amazon.com/Trane-Packard-Replacement-Contactor-C140A/dp/B00S8IZ3WG/ref=sr_1_5?keywords=Packard+C140A+Contactor+1+Pole+40+AMPS+24+Coil+Voltage&amp;qid=1694734583&amp;sr=8-5", "https://www.amazon.com/Trane-Packard-Replacement-Contactor-C140A/dp/B00S8IZ3WG/ref=sr_1_5?keywords=Packard+C140A+Contactor+1+Pole+40+AMPS+24+Coil+Voltage&amp;qid=1694734583&amp;sr=8-5")</f>
        <v/>
      </c>
      <c r="F1514" t="inlineStr">
        <is>
          <t>B00S8IZ3WG</t>
        </is>
      </c>
      <c r="G1514">
        <f>_xlfn.IMAGE("https://edmondsonsupply.com/cdn/shop/products/C140A-1.jpg?v=1587147314")</f>
        <v/>
      </c>
      <c r="H1514">
        <f>_xlfn.IMAGE("https://m.media-amazon.com/images/I/418gb7r3+cL._AC_UY218_.jpg")</f>
        <v/>
      </c>
      <c r="K1514" t="inlineStr">
        <is>
          <t>9.98</t>
        </is>
      </c>
      <c r="L1514" t="n">
        <v>19.45</v>
      </c>
      <c r="M1514" s="1" t="inlineStr">
        <is>
          <t>94.89%</t>
        </is>
      </c>
      <c r="N1514" s="7" t="n">
        <v>22.8</v>
      </c>
      <c r="O1514" t="n">
        <v>4.7</v>
      </c>
      <c r="P1514" t="n">
        <v>4</v>
      </c>
      <c r="R1514" t="inlineStr">
        <is>
          <t>InStock</t>
        </is>
      </c>
      <c r="S1514" t="inlineStr">
        <is>
          <t>undefined</t>
        </is>
      </c>
      <c r="T1514" t="inlineStr">
        <is>
          <t>4359080607844</t>
        </is>
      </c>
    </row>
    <row r="1515" hidden="1" ht="15.75" customHeight="1">
      <c r="A1515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515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515" t="inlineStr">
        <is>
          <t>Holyoke Fittings 1055-FHFH 3/4" Garden Hose Thread Fitting - Brass Female Garden Hose to Hose Swivel Adapter</t>
        </is>
      </c>
      <c r="D1515" t="inlineStr">
        <is>
          <t>Sanpaint 2 Pack Brass Garden Hose Threaded 1/2" NPT to 3/4" GHT Fitting Connect,Dual Swivel Connector Adapter,Double Female Thread 3/4 Inch x 1/2 Inch NPT Pipe</t>
        </is>
      </c>
      <c r="E1515" s="2">
        <f>HYPERLINK("https://www.amazon.com/Sanpaint-Threaded-NPT-GHT-Connector/dp/B0BZS3TTS1/ref=sr_1_1?keywords=Holyoke+Fittings+1055-FHFH+3%2F4%22+Garden+Hose+Thread+Fitting+-+Brass+Female+Garden+Hose+to+Hose+Swivel+Adapter&amp;qid=1694734918&amp;sr=8-1", "https://www.amazon.com/Sanpaint-Threaded-NPT-GHT-Connector/dp/B0BZS3TTS1/ref=sr_1_1?keywords=Holyoke+Fittings+1055-FHFH+3%2F4%22+Garden+Hose+Thread+Fitting+-+Brass+Female+Garden+Hose+to+Hose+Swivel+Adapter&amp;qid=1694734918&amp;sr=8-1")</f>
        <v/>
      </c>
      <c r="F1515" t="inlineStr">
        <is>
          <t>B0BZS3TTS1</t>
        </is>
      </c>
      <c r="G1515">
        <f>_xludf.IMAGE("https://edmondsonsupply.com/cdn/shop/files/1055-FHFH.jpg?v=1686083814")</f>
        <v/>
      </c>
      <c r="H1515">
        <f>_xludf.IMAGE("https://m.media-amazon.com/images/I/71UARR2uNDL._AC_UL320_.jpg")</f>
        <v/>
      </c>
      <c r="K1515" t="inlineStr">
        <is>
          <t>3.59</t>
        </is>
      </c>
      <c r="L1515" t="n">
        <v>6.99</v>
      </c>
      <c r="M1515" s="1" t="inlineStr">
        <is>
          <t>94.71%</t>
        </is>
      </c>
      <c r="N1515" s="1" t="n">
        <v>22.77</v>
      </c>
      <c r="O1515" t="n">
        <v>4.7</v>
      </c>
      <c r="P1515" t="n">
        <v>67</v>
      </c>
      <c r="R1515" t="inlineStr">
        <is>
          <t>InStock</t>
        </is>
      </c>
      <c r="S1515" t="inlineStr">
        <is>
          <t>5.17</t>
        </is>
      </c>
      <c r="T1515" t="inlineStr">
        <is>
          <t>8002194342104</t>
        </is>
      </c>
    </row>
    <row r="1516" hidden="1" ht="15.75" customHeight="1">
      <c r="A1516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516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516" t="inlineStr">
        <is>
          <t>Holyoke Fittings 1055-FHFH 3/4" Garden Hose Thread Fitting - Brass Female Garden Hose to Hose Swivel Adapter</t>
        </is>
      </c>
      <c r="D1516" t="inlineStr">
        <is>
          <t>YELUN Solid brass Garden Hose Fittings Connectors Adapter Heavy Duty Brass Repair Female to male faucet leader coupler dual water hose connector(3/4" GHT Female to 1/2" NPT Male) 2 Pcs</t>
        </is>
      </c>
      <c r="E1516" s="2">
        <f>HYPERLINK("https://www.amazon.com/YELUN-Fittings-Connectors-Adapter-connector/dp/B092HN397S/ref=sr_1_20?keywords=Holyoke+Fittings+1055-FHFH+3%2F4%22+Garden+Hose+Thread+Fitting+-+Brass+Female+Garden+Hose+to+Hose+Swivel+Adapter&amp;qid=1694734918&amp;sr=8-20", "https://www.amazon.com/YELUN-Fittings-Connectors-Adapter-connector/dp/B092HN397S/ref=sr_1_20?keywords=Holyoke+Fittings+1055-FHFH+3%2F4%22+Garden+Hose+Thread+Fitting+-+Brass+Female+Garden+Hose+to+Hose+Swivel+Adapter&amp;qid=1694734918&amp;sr=8-20")</f>
        <v/>
      </c>
      <c r="F1516" t="inlineStr">
        <is>
          <t>B092HN397S</t>
        </is>
      </c>
      <c r="G1516">
        <f>_xludf.IMAGE("https://edmondsonsupply.com/cdn/shop/files/1055-FHFH.jpg?v=1686083814")</f>
        <v/>
      </c>
      <c r="H1516">
        <f>_xludf.IMAGE("https://m.media-amazon.com/images/I/71StRdeQ52L._AC_UL320_.jpg")</f>
        <v/>
      </c>
      <c r="K1516" t="inlineStr">
        <is>
          <t>3.59</t>
        </is>
      </c>
      <c r="L1516" t="n">
        <v>6.99</v>
      </c>
      <c r="M1516" s="1" t="inlineStr">
        <is>
          <t>94.71%</t>
        </is>
      </c>
      <c r="N1516" s="1" t="n">
        <v>22.45</v>
      </c>
      <c r="O1516" t="n">
        <v>4.7</v>
      </c>
      <c r="P1516" t="n">
        <v>204</v>
      </c>
      <c r="R1516" t="inlineStr">
        <is>
          <t>InStock</t>
        </is>
      </c>
      <c r="S1516" t="inlineStr">
        <is>
          <t>5.17</t>
        </is>
      </c>
      <c r="T1516" t="inlineStr">
        <is>
          <t>8002194342104</t>
        </is>
      </c>
    </row>
    <row r="1517" hidden="1" ht="15.75" customHeight="1">
      <c r="A1517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517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517" t="inlineStr">
        <is>
          <t>Holyoke Fittings 1055-FHFH 3/4" Garden Hose Thread Fitting - Brass Female Garden Hose to Hose Swivel Adapter</t>
        </is>
      </c>
      <c r="D1517" t="inlineStr">
        <is>
          <t>Joywayus 5/8" Barb x 3/4" Female GHT Thread Swivel Round Brass Garden Water Hose Pipe Connector Copper Fitting with Stainless Clamp House/Boat/Lawn/Power Wash/Irrigation</t>
        </is>
      </c>
      <c r="E1517" s="2">
        <f>HYPERLINK("https://www.amazon.com/Joyway-Connector-Fitting-Stainless-Irrigation/dp/B07FQV2NYL/ref=sr_1_18?keywords=Holyoke+Fittings+1055-FHFH+3%2F4%22+Garden+Hose+Thread+Fitting+-+Brass+Female+Garden+Hose+to+Hose+Swivel+Adapter&amp;qid=1694734918&amp;sr=8-18", "https://www.amazon.com/Joyway-Connector-Fitting-Stainless-Irrigation/dp/B07FQV2NYL/ref=sr_1_18?keywords=Holyoke+Fittings+1055-FHFH+3%2F4%22+Garden+Hose+Thread+Fitting+-+Brass+Female+Garden+Hose+to+Hose+Swivel+Adapter&amp;qid=1694734918&amp;sr=8-18")</f>
        <v/>
      </c>
      <c r="F1517" t="inlineStr">
        <is>
          <t>B07FQV2NYL</t>
        </is>
      </c>
      <c r="G1517">
        <f>_xludf.IMAGE("https://edmondsonsupply.com/cdn/shop/files/1055-FHFH.jpg?v=1686083814")</f>
        <v/>
      </c>
      <c r="H1517">
        <f>_xludf.IMAGE("https://m.media-amazon.com/images/I/51JIZHr+zhL._AC_UL320_.jpg")</f>
        <v/>
      </c>
      <c r="K1517" t="inlineStr">
        <is>
          <t>3.59</t>
        </is>
      </c>
      <c r="L1517" t="n">
        <v>6.98</v>
      </c>
      <c r="M1517" s="1" t="inlineStr">
        <is>
          <t>94.43%</t>
        </is>
      </c>
      <c r="N1517" s="1" t="n">
        <v>22.23</v>
      </c>
      <c r="O1517" t="n">
        <v>4.3</v>
      </c>
      <c r="P1517" t="n">
        <v>763</v>
      </c>
      <c r="R1517" t="inlineStr">
        <is>
          <t>InStock</t>
        </is>
      </c>
      <c r="S1517" t="inlineStr">
        <is>
          <t>5.17</t>
        </is>
      </c>
      <c r="T1517" t="inlineStr">
        <is>
          <t>8002194342104</t>
        </is>
      </c>
    </row>
    <row r="1518" ht="87" customHeight="1">
      <c r="A1518" s="2">
        <f>HYPERLINK("https://edmondsonsupply.com/collections/hvac/products/sioux-chief-672xv0490-3-4-pex-inlet-x-4-1-2-pex-branches-valved-manifold", "https://edmondsonsupply.com/collections/hvac/products/sioux-chief-672xv0490-3-4-pex-inlet-x-4-1-2-pex-branches-valved-manifold")</f>
        <v/>
      </c>
      <c r="B1518" s="2">
        <f>HYPERLINK("https://edmondsonsupply.com/products/sioux-chief-672xv0490-3-4-pex-inlet-x-4-1-2-pex-branches-valved-manifold", "https://edmondsonsupply.com/products/sioux-chief-672xv0490-3-4-pex-inlet-x-4-1-2-pex-branches-valved-manifold")</f>
        <v/>
      </c>
      <c r="C1518" t="inlineStr">
        <is>
          <t>Sioux Chief 672XV0490 3/4" PEX Inlet x (4) 1/2" PEX Branches Valved Manifold</t>
        </is>
      </c>
      <c r="D1518" t="inlineStr">
        <is>
          <t>Sioux Chief 672XV0699, 1/2" PEX Manifold w/valves, 3/4" PEX in</t>
        </is>
      </c>
      <c r="E1518" s="2">
        <f>HYPERLINK("https://www.amazon.com/Sioux-Chief-672XV0699-Manifold-valves/dp/B003QSMAAQ/ref=sr_1_4?keywords=Sioux+Chief+672XV0490+3%2F4%22+PEX+Inlet+x+%284%29+1%2F2%22+PEX+Branches+Valved+Manifold&amp;qid=1694734654&amp;sr=8-4", "https://www.amazon.com/Sioux-Chief-672XV0699-Manifold-valves/dp/B003QSMAAQ/ref=sr_1_4?keywords=Sioux+Chief+672XV0490+3%2F4%22+PEX+Inlet+x+%284%29+1%2F2%22+PEX+Branches+Valved+Manifold&amp;qid=1694734654&amp;sr=8-4")</f>
        <v/>
      </c>
      <c r="F1518" t="inlineStr">
        <is>
          <t>B003QSMAAQ</t>
        </is>
      </c>
      <c r="G1518">
        <f>_xlfn.IMAGE("https://edmondsonsupply.com/cdn/shop/products/672XV0490.jpg?v=1587147465")</f>
        <v/>
      </c>
      <c r="H1518">
        <f>_xlfn.IMAGE("https://m.media-amazon.com/images/I/21neRE0jgQL._AC_UL320_.jpg")</f>
        <v/>
      </c>
      <c r="K1518" t="inlineStr">
        <is>
          <t>68.25</t>
        </is>
      </c>
      <c r="L1518" t="n">
        <v>132.1</v>
      </c>
      <c r="M1518" s="1" t="inlineStr">
        <is>
          <t>93.55%</t>
        </is>
      </c>
      <c r="N1518" s="7" t="n">
        <v>22.17</v>
      </c>
      <c r="O1518" t="n">
        <v>4.1</v>
      </c>
      <c r="P1518" t="n">
        <v>11</v>
      </c>
      <c r="R1518" t="inlineStr">
        <is>
          <t>InStock</t>
        </is>
      </c>
      <c r="S1518" t="inlineStr">
        <is>
          <t>105.0</t>
        </is>
      </c>
      <c r="T1518" t="inlineStr">
        <is>
          <t>4410479673444</t>
        </is>
      </c>
    </row>
    <row r="1519" ht="87" customHeight="1">
      <c r="A1519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519" s="2">
        <f>HYPERLINK("https://edmondsonsupply.com/products/klein-tools-et120-combustible-gas-leak-detector", "https://edmondsonsupply.com/products/klein-tools-et120-combustible-gas-leak-detector")</f>
        <v/>
      </c>
      <c r="C1519" t="inlineStr">
        <is>
          <t>Klein Tools ET120 Combustible Gas Leak Detector</t>
        </is>
      </c>
      <c r="D1519" t="inlineStr">
        <is>
          <t>General Tools 4-in-1 Pin/Pinless Combo Moisture Meter &amp; Audible Alarm &amp; Klein Tools ET120 Gas Leak Detector, Combustible Gas Leak Tester with 18-Inch Gooseneck Has Range 50</t>
        </is>
      </c>
      <c r="E1519" s="2">
        <f>HYPERLINK("https://www.amazon.com/General-Tools-Moisture-Combustible-Gooseneck/dp/B0BC835B16/ref=sr_1_7?keywords=Klein+Tools+ET120+Combustible+Gas+Leak+Detector&amp;qid=1694734816&amp;sr=8-7", "https://www.amazon.com/General-Tools-Moisture-Combustible-Gooseneck/dp/B0BC835B16/ref=sr_1_7?keywords=Klein+Tools+ET120+Combustible+Gas+Leak+Detector&amp;qid=1694734816&amp;sr=8-7")</f>
        <v/>
      </c>
      <c r="F1519" t="inlineStr">
        <is>
          <t>B0BC835B16</t>
        </is>
      </c>
      <c r="G1519">
        <f>_xlfn.IMAGE("https://edmondsonsupply.com/cdn/shop/products/et120.jpg?v=1587149243")</f>
        <v/>
      </c>
      <c r="H1519">
        <f>_xlfn.IMAGE("https://m.media-amazon.com/images/I/51lDY1wvkKL._AC_UL320_.jpg")</f>
        <v/>
      </c>
      <c r="K1519" t="inlineStr">
        <is>
          <t>119.99</t>
        </is>
      </c>
      <c r="L1519" t="n">
        <v>231.98</v>
      </c>
      <c r="M1519" s="1" t="inlineStr">
        <is>
          <t>93.33%</t>
        </is>
      </c>
      <c r="N1519" s="7" t="n">
        <v>22.15</v>
      </c>
      <c r="O1519" t="n">
        <v>4.3</v>
      </c>
      <c r="P1519" t="n">
        <v>511</v>
      </c>
      <c r="R1519" t="inlineStr">
        <is>
          <t>InStock</t>
        </is>
      </c>
      <c r="S1519" t="inlineStr">
        <is>
          <t>179.32</t>
        </is>
      </c>
      <c r="T1519" t="inlineStr">
        <is>
          <t>1828453187684</t>
        </is>
      </c>
    </row>
    <row r="1520" ht="87" customHeight="1">
      <c r="A1520" s="2">
        <f>HYPERLINK("https://edmondsonsupply.com/collections/hvac/products/klein-tools-56403-rechargeable-personal-worklight", "https://edmondsonsupply.com/collections/hvac/products/klein-tools-56403-rechargeable-personal-worklight")</f>
        <v/>
      </c>
      <c r="B1520" s="2">
        <f>HYPERLINK("https://edmondsonsupply.com/products/klein-tools-56403-rechargeable-personal-worklight", "https://edmondsonsupply.com/products/klein-tools-56403-rechargeable-personal-worklight")</f>
        <v/>
      </c>
      <c r="C1520" t="inlineStr">
        <is>
          <t>Klein Tools 56403 Rechargeable Personal Worklight</t>
        </is>
      </c>
      <c r="D1520" t="inlineStr">
        <is>
          <t>Klein Tools 56403 LED Light, Rechargeable Flashlight/Worklight &amp; PJSFM1 Battery Operated Rechargeable Fan with USB-C Charging Cord and Multiple Mounting Options Perfect for the Jobsite</t>
        </is>
      </c>
      <c r="E1520" s="2">
        <f>HYPERLINK("https://www.amazon.com/Klein-Tools-Rechargeable-Flashlight-Worklight/dp/B0BC85LX49/ref=sr_1_3?keywords=Klein+Tools+56403+Rechargeable+Personal+Worklight&amp;qid=1694734817&amp;sr=8-3", "https://www.amazon.com/Klein-Tools-Rechargeable-Flashlight-Worklight/dp/B0BC85LX49/ref=sr_1_3?keywords=Klein+Tools+56403+Rechargeable+Personal+Worklight&amp;qid=1694734817&amp;sr=8-3")</f>
        <v/>
      </c>
      <c r="F1520" t="inlineStr">
        <is>
          <t>B0BC85LX49</t>
        </is>
      </c>
      <c r="G1520">
        <f>_xlfn.IMAGE("https://edmondsonsupply.com/cdn/shop/products/56403.jpg?v=1587143308")</f>
        <v/>
      </c>
      <c r="H1520">
        <f>_xlfn.IMAGE("https://m.media-amazon.com/images/I/61HjyBviEWL._AC_UL320_.jpg")</f>
        <v/>
      </c>
      <c r="K1520" t="inlineStr">
        <is>
          <t>49.97</t>
        </is>
      </c>
      <c r="L1520" t="n">
        <v>96.47</v>
      </c>
      <c r="M1520" s="1" t="inlineStr">
        <is>
          <t>93.06%</t>
        </is>
      </c>
      <c r="N1520" s="7" t="n">
        <v>21.99</v>
      </c>
      <c r="O1520" t="n">
        <v>5</v>
      </c>
      <c r="P1520" t="n">
        <v>1</v>
      </c>
      <c r="R1520" t="inlineStr">
        <is>
          <t>InStock</t>
        </is>
      </c>
      <c r="S1520" t="inlineStr">
        <is>
          <t>71.02</t>
        </is>
      </c>
      <c r="T1520" t="inlineStr">
        <is>
          <t>3618963947620</t>
        </is>
      </c>
    </row>
    <row r="1521" hidden="1" ht="15.75" customHeight="1">
      <c r="A1521" s="2">
        <f>HYPERLINK("https://edmondsonsupply.com/collections/hvac/products/icm-controls-icm401-3-phase-line-voltage-monitor", "https://edmondsonsupply.com/collections/hvac/products/icm-controls-icm401-3-phase-line-voltage-monitor")</f>
        <v/>
      </c>
      <c r="B1521" s="2">
        <f>HYPERLINK("https://edmondsonsupply.com/products/icm-controls-icm401-3-phase-line-voltage-monitor", "https://edmondsonsupply.com/products/icm-controls-icm401-3-phase-line-voltage-monitor")</f>
        <v/>
      </c>
      <c r="C1521" t="inlineStr">
        <is>
          <t>ICM Controls ICM401 3 Phase Line Voltage Monitor</t>
        </is>
      </c>
      <c r="D1521" t="inlineStr">
        <is>
          <t>ICM Controls ICM402 Three-Phase Line Voltage Monitor Offering Protection Against Phase Loss/Reversal and Unbalance, 50/60 Hz, 190-600 VAC (115 or 208/240 Control VAC)</t>
        </is>
      </c>
      <c r="E1521" s="2">
        <f>HYPERLINK("https://www.amazon.com/ICM-Controls-ICM402-Three-Phase-Protection/dp/B0018MLVUM/ref=sr_1_2?keywords=ICM+Controls+ICM401+3+Phase+Line+Voltage+Monitor&amp;qid=1694734757&amp;sr=8-2", "https://www.amazon.com/ICM-Controls-ICM402-Three-Phase-Protection/dp/B0018MLVUM/ref=sr_1_2?keywords=ICM+Controls+ICM401+3+Phase+Line+Voltage+Monitor&amp;qid=1694734757&amp;sr=8-2")</f>
        <v/>
      </c>
      <c r="F1521" t="inlineStr">
        <is>
          <t>B0018MLVUM</t>
        </is>
      </c>
      <c r="G1521">
        <f>_xludf.IMAGE("https://edmondsonsupply.com/cdn/shop/products/photo_3653_medium_52cb7f2c-e5f0-4da1-ac53-d344fb2403c9.png?v=1665087171")</f>
        <v/>
      </c>
      <c r="H1521">
        <f>_xludf.IMAGE("https://m.media-amazon.com/images/I/61uSt801lEL._AC_UL320_.jpg")</f>
        <v/>
      </c>
      <c r="K1521" t="inlineStr">
        <is>
          <t>34.79</t>
        </is>
      </c>
      <c r="L1521" t="n">
        <v>67.16</v>
      </c>
      <c r="M1521" s="1" t="inlineStr">
        <is>
          <t>93.04%</t>
        </is>
      </c>
      <c r="N1521" s="1" t="n">
        <v>21.95</v>
      </c>
      <c r="O1521" t="n">
        <v>3.9</v>
      </c>
      <c r="P1521" t="n">
        <v>7</v>
      </c>
      <c r="R1521" t="inlineStr">
        <is>
          <t>InStock</t>
        </is>
      </c>
      <c r="S1521" t="inlineStr">
        <is>
          <t>61.35</t>
        </is>
      </c>
      <c r="T1521" t="inlineStr">
        <is>
          <t>7842404532440</t>
        </is>
      </c>
    </row>
    <row r="1522" ht="87" customHeight="1">
      <c r="A1522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522" s="2">
        <f>HYPERLINK("https://edmondsonsupply.com/products/packard-c140a-contactor-1-pole-40-amps-24-coil-voltage", "https://edmondsonsupply.com/products/packard-c140a-contactor-1-pole-40-amps-24-coil-voltage")</f>
        <v/>
      </c>
      <c r="C1522" t="inlineStr">
        <is>
          <t>Packard C140A Contactor 1 Pole 40 AMPS 24 Coil Voltage</t>
        </is>
      </c>
      <c r="D1522" t="inlineStr">
        <is>
          <t>Ducane - 40 Amp 1 Pole 24v Coil Replacement Contactor C140A</t>
        </is>
      </c>
      <c r="E1522" s="2">
        <f>HYPERLINK("https://www.amazon.com/Ducane-Packard-Replacement-Contactor-C140A/dp/B00S8IZ44I/ref=sr_1_8?keywords=Packard+C140A+Contactor+1+Pole+40+AMPS+24+Coil+Voltage&amp;qid=1694734583&amp;sr=8-8", "https://www.amazon.com/Ducane-Packard-Replacement-Contactor-C140A/dp/B00S8IZ44I/ref=sr_1_8?keywords=Packard+C140A+Contactor+1+Pole+40+AMPS+24+Coil+Voltage&amp;qid=1694734583&amp;sr=8-8")</f>
        <v/>
      </c>
      <c r="F1522" t="inlineStr">
        <is>
          <t>B00S8IZ44I</t>
        </is>
      </c>
      <c r="G1522">
        <f>_xlfn.IMAGE("https://edmondsonsupply.com/cdn/shop/products/C140A-1.jpg?v=1587147314")</f>
        <v/>
      </c>
      <c r="H1522">
        <f>_xlfn.IMAGE("https://m.media-amazon.com/images/I/418gb7r3+cL._AC_UY218_.jpg")</f>
        <v/>
      </c>
      <c r="K1522" t="inlineStr">
        <is>
          <t>9.98</t>
        </is>
      </c>
      <c r="L1522" t="n">
        <v>19.26</v>
      </c>
      <c r="M1522" s="1" t="inlineStr">
        <is>
          <t>92.99%</t>
        </is>
      </c>
      <c r="N1522" s="7" t="n">
        <v>21.85</v>
      </c>
      <c r="O1522" t="n">
        <v>4.7</v>
      </c>
      <c r="P1522" t="n">
        <v>2</v>
      </c>
      <c r="R1522" t="inlineStr">
        <is>
          <t>InStock</t>
        </is>
      </c>
      <c r="S1522" t="inlineStr">
        <is>
          <t>undefined</t>
        </is>
      </c>
      <c r="T1522" t="inlineStr">
        <is>
          <t>4359080607844</t>
        </is>
      </c>
    </row>
    <row r="1523" ht="87" customHeight="1">
      <c r="A1523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523" s="2">
        <f>HYPERLINK("https://edmondsonsupply.com/products/packard-c140a-contactor-1-pole-40-amps-24-coil-voltage", "https://edmondsonsupply.com/products/packard-c140a-contactor-1-pole-40-amps-24-coil-voltage")</f>
        <v/>
      </c>
      <c r="C1523" t="inlineStr">
        <is>
          <t>Packard C140A Contactor 1 Pole 40 AMPS 24 Coil Voltage</t>
        </is>
      </c>
      <c r="D1523" t="inlineStr">
        <is>
          <t>Comfortmaker - 40 Amp 1 Pole 24v Coil Replacement Contactor C140A</t>
        </is>
      </c>
      <c r="E1523" s="2">
        <f>HYPERLINK("https://www.amazon.com/Comfortmaker-Pole-Replacement-Contactor-C140A/dp/B00S8IYYVC/ref=sr_1_9?keywords=Packard+C140A+Contactor+1+Pole+40+AMPS+24+Coil+Voltage&amp;qid=1694734583&amp;sr=8-9", "https://www.amazon.com/Comfortmaker-Pole-Replacement-Contactor-C140A/dp/B00S8IYYVC/ref=sr_1_9?keywords=Packard+C140A+Contactor+1+Pole+40+AMPS+24+Coil+Voltage&amp;qid=1694734583&amp;sr=8-9")</f>
        <v/>
      </c>
      <c r="F1523" t="inlineStr">
        <is>
          <t>B00S8IYYVC</t>
        </is>
      </c>
      <c r="G1523">
        <f>_xlfn.IMAGE("https://edmondsonsupply.com/cdn/shop/products/C140A-1.jpg?v=1587147314")</f>
        <v/>
      </c>
      <c r="H1523">
        <f>_xlfn.IMAGE("https://m.media-amazon.com/images/I/418gb7r3+cL._AC_UY218_.jpg")</f>
        <v/>
      </c>
      <c r="K1523" t="inlineStr">
        <is>
          <t>9.98</t>
        </is>
      </c>
      <c r="L1523" t="n">
        <v>19.26</v>
      </c>
      <c r="M1523" s="1" t="inlineStr">
        <is>
          <t>92.99%</t>
        </is>
      </c>
      <c r="N1523" s="7" t="n">
        <v>21.84</v>
      </c>
      <c r="O1523" t="n">
        <v>5</v>
      </c>
      <c r="P1523" t="n">
        <v>1</v>
      </c>
      <c r="R1523" t="inlineStr">
        <is>
          <t>InStock</t>
        </is>
      </c>
      <c r="S1523" t="inlineStr">
        <is>
          <t>undefined</t>
        </is>
      </c>
      <c r="T1523" t="inlineStr">
        <is>
          <t>4359080607844</t>
        </is>
      </c>
    </row>
    <row r="1524" ht="87" customHeight="1">
      <c r="A1524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524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524" t="inlineStr">
        <is>
          <t>Yellow Jacket 42001 Series 41 Manifold Only, 3-1/8" Gauges - R-22 / 404A / 410A</t>
        </is>
      </c>
      <c r="D1524" t="inlineStr">
        <is>
          <t>Yellow Jacket 42034 Series 41 Manifold with 3-1/8" Color-Coded Gauges, psi, R-22/404A/410A</t>
        </is>
      </c>
      <c r="E1524" s="2">
        <f>HYPERLINK("https://www.amazon.com/Yellow-Jacket-42034-Manifold-Color-Coded/dp/B00C2GV02C/ref=sr_1_2?keywords=Yellow+Jacket+42001+Series+41+Manifold+Only%2C+3-1%2F8%22+Gauges+-+R-22+%2F+404A+%2F+410A&amp;qid=1694734681&amp;sr=8-2", "https://www.amazon.com/Yellow-Jacket-42034-Manifold-Color-Coded/dp/B00C2GV02C/ref=sr_1_2?keywords=Yellow+Jacket+42001+Series+41+Manifold+Only%2C+3-1%2F8%22+Gauges+-+R-22+%2F+404A+%2F+410A&amp;qid=1694734681&amp;sr=8-2")</f>
        <v/>
      </c>
      <c r="F1524" t="inlineStr">
        <is>
          <t>B00C2GV02C</t>
        </is>
      </c>
      <c r="G1524">
        <f>_xlfn.IMAGE("https://edmondsonsupply.com/cdn/shop/products/series-41-manifolds-with-318-gauges.jpg?v=1633030025")</f>
        <v/>
      </c>
      <c r="H1524">
        <f>_xlfn.IMAGE("https://m.media-amazon.com/images/I/51UNs29UGSL._AC_UL320_.jpg")</f>
        <v/>
      </c>
      <c r="K1524" t="inlineStr">
        <is>
          <t>97.77</t>
        </is>
      </c>
      <c r="L1524" t="n">
        <v>188.45</v>
      </c>
      <c r="M1524" s="1" t="inlineStr">
        <is>
          <t>92.75%</t>
        </is>
      </c>
      <c r="N1524" s="7" t="n">
        <v>21.58</v>
      </c>
      <c r="O1524" t="n">
        <v>4.7</v>
      </c>
      <c r="P1524" t="n">
        <v>3</v>
      </c>
      <c r="R1524" t="inlineStr">
        <is>
          <t>InStock</t>
        </is>
      </c>
      <c r="S1524" t="inlineStr">
        <is>
          <t>undefined</t>
        </is>
      </c>
      <c r="T1524" t="inlineStr">
        <is>
          <t>2129997922404</t>
        </is>
      </c>
    </row>
    <row r="1525" ht="87" customHeight="1">
      <c r="A1525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1525" s="2">
        <f>HYPERLINK("https://edmondsonsupply.com/products/packard-c240a-contactor-2-pole-40-amps-24-coil-voltage", "https://edmondsonsupply.com/products/packard-c240a-contactor-2-pole-40-amps-24-coil-voltage")</f>
        <v/>
      </c>
      <c r="C1525" t="inlineStr">
        <is>
          <t>Packard C240A Contactor 2 Pole 40 AMPS 24 Coil Voltage</t>
        </is>
      </c>
      <c r="D1525" t="inlineStr">
        <is>
          <t>Goodman • 40 Amp 2 Pole 24v Coil Fasco Replacement Contactor C240A</t>
        </is>
      </c>
      <c r="E1525" s="2">
        <f>HYPERLINK("https://www.amazon.com/Goodman-Fasco-Replacement-Contactor-C240A/dp/B00S8K7L0G/ref=sr_1_5?keywords=Packard+C240A+Contactor+2+Pole+40+AMPS+24+Coil+Voltage&amp;qid=1694734591&amp;sr=8-5", "https://www.amazon.com/Goodman-Fasco-Replacement-Contactor-C240A/dp/B00S8K7L0G/ref=sr_1_5?keywords=Packard+C240A+Contactor+2+Pole+40+AMPS+24+Coil+Voltage&amp;qid=1694734591&amp;sr=8-5")</f>
        <v/>
      </c>
      <c r="F1525" t="inlineStr">
        <is>
          <t>B00S8K7L0G</t>
        </is>
      </c>
      <c r="G1525">
        <f>_xlfn.IMAGE("https://edmondsonsupply.com/cdn/shop/products/C240A-1.jpg?v=1590239996")</f>
        <v/>
      </c>
      <c r="H1525">
        <f>_xlfn.IMAGE("https://m.media-amazon.com/images/I/419GkgJ35UL._AC_UY218_.jpg")</f>
        <v/>
      </c>
      <c r="K1525" t="inlineStr">
        <is>
          <t>13.96</t>
        </is>
      </c>
      <c r="L1525" t="n">
        <v>26.89</v>
      </c>
      <c r="M1525" s="1" t="inlineStr">
        <is>
          <t>92.62%</t>
        </is>
      </c>
      <c r="N1525" s="7" t="n">
        <v>21.46</v>
      </c>
      <c r="O1525" t="n">
        <v>5</v>
      </c>
      <c r="P1525" t="n">
        <v>5</v>
      </c>
      <c r="R1525" t="inlineStr">
        <is>
          <t>InStock</t>
        </is>
      </c>
      <c r="S1525" t="inlineStr">
        <is>
          <t>undefined</t>
        </is>
      </c>
      <c r="T1525" t="inlineStr">
        <is>
          <t>4316288680036</t>
        </is>
      </c>
    </row>
    <row r="1526" ht="87" customHeight="1">
      <c r="A1526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526" s="2">
        <f>HYPERLINK("https://edmondsonsupply.com/products/klein-tools-11046-wire-stripper-cutter-16-26-awg-stranded", "https://edmondsonsupply.com/products/klein-tools-11046-wire-stripper-cutter-16-26-awg-stranded")</f>
        <v/>
      </c>
      <c r="C1526" t="inlineStr">
        <is>
          <t>Klein Tools 11046 Wire Stripper/Cutter 16-26 AWG Stranded</t>
        </is>
      </c>
      <c r="D1526" t="inlineStr">
        <is>
          <t>Klein Tools 11046 Wire Stripper/Cutter 16-26 AWG Stranded &amp; 11047 Wire Stripper/Cutter, Compact, Lightweight, Hardened Steel, Precision Ground, for Stranded and Solid Wires</t>
        </is>
      </c>
      <c r="E1526" s="2">
        <f>HYPERLINK("https://www.amazon.com/Klein-Tools-Stripper-Lightweight-Precision/dp/B0BNL5MC4G/ref=sr_1_2?keywords=Klein+Tools+11046+Wire+Stripper%2FCutter+16-26+AWG+Stranded&amp;qid=1694734810&amp;sr=8-2", "https://www.amazon.com/Klein-Tools-Stripper-Lightweight-Precision/dp/B0BNL5MC4G/ref=sr_1_2?keywords=Klein+Tools+11046+Wire+Stripper%2FCutter+16-26+AWG+Stranded&amp;qid=1694734810&amp;sr=8-2")</f>
        <v/>
      </c>
      <c r="F1526" t="inlineStr">
        <is>
          <t>B0BNL5MC4G</t>
        </is>
      </c>
      <c r="G1526">
        <f>_xlfn.IMAGE("https://edmondsonsupply.com/cdn/shop/products/11046.jpg?v=1587147965")</f>
        <v/>
      </c>
      <c r="H1526">
        <f>_xlfn.IMAGE("https://m.media-amazon.com/images/I/41uWm6Rw+pL._AC_UL320_.jpg")</f>
        <v/>
      </c>
      <c r="K1526" t="inlineStr">
        <is>
          <t>15.97</t>
        </is>
      </c>
      <c r="L1526" t="n">
        <v>30.75</v>
      </c>
      <c r="M1526" s="1" t="inlineStr">
        <is>
          <t>92.55%</t>
        </is>
      </c>
      <c r="N1526" s="7" t="n">
        <v>21.44</v>
      </c>
      <c r="O1526" t="n">
        <v>4.6</v>
      </c>
      <c r="P1526" t="n">
        <v>7</v>
      </c>
      <c r="R1526" t="inlineStr">
        <is>
          <t>InStock</t>
        </is>
      </c>
      <c r="S1526" t="inlineStr">
        <is>
          <t>23.56</t>
        </is>
      </c>
      <c r="T1526" t="inlineStr">
        <is>
          <t>3688603910244</t>
        </is>
      </c>
    </row>
    <row r="1527" hidden="1" ht="15.75" customHeight="1">
      <c r="A1527" s="2">
        <f>HYPERLINK("https://edmondsonsupply.com/collections/hvac/products/robertshaw-rs8210-digital-non-programmable-thermostat-multi-stage-2-heat-1-cool", "https://edmondsonsupply.com/collections/hvac/products/robertshaw-rs8210-digital-non-programmable-thermostat-multi-stage-2-heat-1-cool")</f>
        <v/>
      </c>
      <c r="B1527" s="2">
        <f>HYPERLINK("https://edmondsonsupply.com/products/robertshaw-rs8210-digital-non-programmable-thermostat-multi-stage-2-heat-1-cool", "https://edmondsonsupply.com/products/robertshaw-rs8210-digital-non-programmable-thermostat-multi-stage-2-heat-1-cool")</f>
        <v/>
      </c>
      <c r="C1527" t="inlineStr">
        <is>
          <t>Robertshaw RS8210 Digital Non-Programmable Thermostat, Multi-Stage - 2 Heat/1 Cool</t>
        </is>
      </c>
      <c r="D1527" t="inlineStr">
        <is>
          <t>Robertshaw RS10420T Pro Series 7-Day Wi-Fi Programmable Touchscreen Thermostat, Multi-Stage, 4 Heat / 2 Cool…</t>
        </is>
      </c>
      <c r="E1527" s="2">
        <f>HYPERLINK("https://www.amazon.com/Robertshaw-RS10420T-Programmable-Multi-Stage-Conventional/dp/B00U5CBBJC/ref=sr_1_12?keywords=Robertshaw+RS8210+Digital+Non-Programmable+Thermostat%2C+Multi-Stage+-+2+Heat%2F1+Cool&amp;qid=1694734572&amp;sr=8-12", "https://www.amazon.com/Robertshaw-RS10420T-Programmable-Multi-Stage-Conventional/dp/B00U5CBBJC/ref=sr_1_12?keywords=Robertshaw+RS8210+Digital+Non-Programmable+Thermostat%2C+Multi-Stage+-+2+Heat%2F1+Cool&amp;qid=1694734572&amp;sr=8-12")</f>
        <v/>
      </c>
      <c r="F1527" t="inlineStr">
        <is>
          <t>B00U5CBBJC</t>
        </is>
      </c>
      <c r="G1527">
        <f>_xludf.IMAGE("https://edmondsonsupply.com/cdn/shop/products/RS8210-RS9210.jpg?v=1633031027")</f>
        <v/>
      </c>
      <c r="H1527">
        <f>_xludf.IMAGE("https://m.media-amazon.com/images/I/71tm1J0vjML._AC_UL320_.jpg")</f>
        <v/>
      </c>
      <c r="K1527" t="inlineStr">
        <is>
          <t>38.99</t>
        </is>
      </c>
      <c r="L1527" t="n">
        <v>74.95</v>
      </c>
      <c r="M1527" s="1" t="inlineStr">
        <is>
          <t>92.23%</t>
        </is>
      </c>
      <c r="N1527" s="1" t="n">
        <v>21.34</v>
      </c>
      <c r="O1527" t="n">
        <v>3.1</v>
      </c>
      <c r="P1527" t="n">
        <v>24</v>
      </c>
      <c r="R1527" t="inlineStr">
        <is>
          <t>InStock</t>
        </is>
      </c>
      <c r="S1527" t="inlineStr">
        <is>
          <t>72.04</t>
        </is>
      </c>
      <c r="T1527" t="inlineStr">
        <is>
          <t>6728872493229</t>
        </is>
      </c>
    </row>
    <row r="1528" hidden="1" ht="15.75" customHeight="1">
      <c r="A1528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1528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1528" t="inlineStr">
        <is>
          <t>Klein Tools JTH6E11 3/16-Inch Hex Key, Journeyman T-Handle, 6-Inch</t>
        </is>
      </c>
      <c r="D1528" t="inlineStr">
        <is>
          <t>Klein Tools JTH6T27 T27 TORX Hex Key, Journeyman T-Handle, 6-Inch</t>
        </is>
      </c>
      <c r="E1528" s="2">
        <f>HYPERLINK("https://www.amazon.com/Journeyman-T-Handle-Klein-Tools-JTH6T27/dp/B005G3B4MO/ref=sr_1_8?keywords=Klein+Tools+JTH6E11+3%2F16-Inch+Hex+Key%2C+Journeyman+T-Handle%2C+6-Inch&amp;qid=1694734729&amp;sr=8-8", "https://www.amazon.com/Journeyman-T-Handle-Klein-Tools-JTH6T27/dp/B005G3B4MO/ref=sr_1_8?keywords=Klein+Tools+JTH6E11+3%2F16-Inch+Hex+Key%2C+Journeyman+T-Handle%2C+6-Inch&amp;qid=1694734729&amp;sr=8-8")</f>
        <v/>
      </c>
      <c r="F1528" t="inlineStr">
        <is>
          <t>B005G3B4MO</t>
        </is>
      </c>
      <c r="G1528">
        <f>_xludf.IMAGE("https://edmondsonsupply.com/cdn/shop/products/jth6e15_0266106d-0a3b-44ba-997b-66db7749d83f.jpg?v=1587144829")</f>
        <v/>
      </c>
      <c r="H1528">
        <f>_xludf.IMAGE("https://m.media-amazon.com/images/I/51Xj0Vsb-EL._AC_UL320_.jpg")</f>
        <v/>
      </c>
      <c r="K1528" t="inlineStr">
        <is>
          <t>4.99</t>
        </is>
      </c>
      <c r="L1528" t="n">
        <v>9.59</v>
      </c>
      <c r="M1528" s="1" t="inlineStr">
        <is>
          <t>92.18%</t>
        </is>
      </c>
      <c r="N1528" s="1" t="n">
        <v>21.24</v>
      </c>
      <c r="O1528" t="n">
        <v>4.8</v>
      </c>
      <c r="P1528" t="n">
        <v>1540</v>
      </c>
      <c r="R1528" t="inlineStr">
        <is>
          <t>InStock</t>
        </is>
      </c>
      <c r="S1528" t="inlineStr">
        <is>
          <t>7.56</t>
        </is>
      </c>
      <c r="T1528" t="inlineStr">
        <is>
          <t>4396293947492</t>
        </is>
      </c>
    </row>
    <row r="1529" hidden="1" ht="15.75" customHeight="1">
      <c r="A1529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529" s="2">
        <f>HYPERLINK("https://edmondsonsupply.com/products/packard-pmj708-motor-start-capacitor-708-850-mfd-110-125-vac", "https://edmondsonsupply.com/products/packard-pmj708-motor-start-capacitor-708-850-mfd-110-125-vac")</f>
        <v/>
      </c>
      <c r="C1529" t="inlineStr">
        <is>
          <t>Packard PMJ708 Motor Start Capacitor 708-850 MFD 110-125 VAC</t>
        </is>
      </c>
      <c r="D1529" t="inlineStr">
        <is>
          <t>PMJ64 - Packard Upgraded Replacement Motor Start Capacitor 64-77 MFD 110-125 Volt VAC</t>
        </is>
      </c>
      <c r="E1529" s="2">
        <f>HYPERLINK("https://www.amazon.com/PMJ64-Packard-Upgraded-Replacement-Capacitor/dp/B0773VSKH9/ref=sr_1_9?keywords=Packard+PMJ708+Motor+Start+Capacitor+708-850+MFD+110-125+VAC&amp;qid=1694734808&amp;sr=8-9", "https://www.amazon.com/PMJ64-Packard-Upgraded-Replacement-Capacitor/dp/B0773VSKH9/ref=sr_1_9?keywords=Packard+PMJ708+Motor+Start+Capacitor+708-850+MFD+110-125+VAC&amp;qid=1694734808&amp;sr=8-9")</f>
        <v/>
      </c>
      <c r="F1529" t="inlineStr">
        <is>
          <t>B0773VSKH9</t>
        </is>
      </c>
      <c r="G1529">
        <f>_xludf.IMAGE("https://edmondsonsupply.com/cdn/shop/products/PMJ708-2.jpg?v=1633030334")</f>
        <v/>
      </c>
      <c r="H1529">
        <f>_xludf.IMAGE("https://m.media-amazon.com/images/I/41fqQrQgJaL._AC_UY218_.jpg")</f>
        <v/>
      </c>
      <c r="K1529" t="inlineStr">
        <is>
          <t>6.76</t>
        </is>
      </c>
      <c r="L1529" t="n">
        <v>12.99</v>
      </c>
      <c r="M1529" s="1" t="inlineStr">
        <is>
          <t>92.16%</t>
        </is>
      </c>
      <c r="N1529" s="1" t="n">
        <v>21.2</v>
      </c>
      <c r="O1529" t="n">
        <v>5</v>
      </c>
      <c r="P1529" t="n">
        <v>1</v>
      </c>
      <c r="R1529" t="inlineStr">
        <is>
          <t>InStock</t>
        </is>
      </c>
      <c r="S1529" t="inlineStr">
        <is>
          <t>undefined</t>
        </is>
      </c>
      <c r="T1529" t="inlineStr">
        <is>
          <t>5271970021544</t>
        </is>
      </c>
    </row>
    <row r="1530" ht="87" customHeight="1">
      <c r="A1530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530" s="2">
        <f>HYPERLINK("https://edmondsonsupply.com/products/klein-tools-et120-combustible-gas-leak-detector", "https://edmondsonsupply.com/products/klein-tools-et120-combustible-gas-leak-detector")</f>
        <v/>
      </c>
      <c r="C1530" t="inlineStr">
        <is>
          <t>Klein Tools ET120 Combustible Gas Leak Detector</t>
        </is>
      </c>
      <c r="D1530" t="inlineStr">
        <is>
          <t>Digital Manometer, Air and Gas Pressure Tester &amp; ET120 Gas Leak Detector, Combustible Gas Leak Tester with 18-Inch Gooseneck Has Range 50-10,000 ppm, Includes Pouch, Batteries</t>
        </is>
      </c>
      <c r="E1530" s="2">
        <f>HYPERLINK("https://www.amazon.com/Manometer-Pressure-Combustible-Gooseneck-Batteries/dp/B09T6ZC7QZ/ref=sr_1_12?keywords=Klein+Tools+ET120+Combustible+Gas+Leak+Detector&amp;qid=1694734816&amp;sr=8-12", "https://www.amazon.com/Manometer-Pressure-Combustible-Gooseneck-Batteries/dp/B09T6ZC7QZ/ref=sr_1_12?keywords=Klein+Tools+ET120+Combustible+Gas+Leak+Detector&amp;qid=1694734816&amp;sr=8-12")</f>
        <v/>
      </c>
      <c r="F1530" t="inlineStr">
        <is>
          <t>B09T6ZC7QZ</t>
        </is>
      </c>
      <c r="G1530">
        <f>_xlfn.IMAGE("https://edmondsonsupply.com/cdn/shop/products/et120.jpg?v=1587149243")</f>
        <v/>
      </c>
      <c r="H1530">
        <f>_xlfn.IMAGE("https://m.media-amazon.com/images/I/51v7YLOA-EL._AC_UL320_.jpg")</f>
        <v/>
      </c>
      <c r="K1530" t="inlineStr">
        <is>
          <t>119.99</t>
        </is>
      </c>
      <c r="L1530" t="n">
        <v>229.98</v>
      </c>
      <c r="M1530" s="1" t="inlineStr">
        <is>
          <t>91.67%</t>
        </is>
      </c>
      <c r="N1530" s="7" t="n">
        <v>21.12</v>
      </c>
      <c r="O1530" t="n">
        <v>5</v>
      </c>
      <c r="P1530" t="n">
        <v>4</v>
      </c>
      <c r="R1530" t="inlineStr">
        <is>
          <t>InStock</t>
        </is>
      </c>
      <c r="S1530" t="inlineStr">
        <is>
          <t>179.32</t>
        </is>
      </c>
      <c r="T1530" t="inlineStr">
        <is>
          <t>1828453187684</t>
        </is>
      </c>
    </row>
    <row r="1531" hidden="1" ht="15.75" customHeight="1">
      <c r="A1531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531" s="2">
        <f>HYPERLINK("https://edmondsonsupply.com/products/packard-prmj145a-motor-start-capacitor-145-174-mfd", "https://edmondsonsupply.com/products/packard-prmj145a-motor-start-capacitor-145-174-mfd")</f>
        <v/>
      </c>
      <c r="C1531" t="inlineStr">
        <is>
          <t>Packard PRMJ145A Motor Start Capacitor 145-174 MFD</t>
        </is>
      </c>
      <c r="D1531" t="inlineStr">
        <is>
          <t>PTMJ145 - Packard Upgraded Replacement Motor Start Capacitor 145-174 MFD 220-250 Volt VAC</t>
        </is>
      </c>
      <c r="E1531" s="2">
        <f>HYPERLINK("https://www.amazon.com/PTMJ145-Packard-Upgraded-Replacement-Capacitor/dp/B0773W3BX6/ref=sr_1_4?keywords=Packard+PRMJ145A+Motor+Start+Capacitor+145-174+MFD&amp;qid=1694734791&amp;sr=8-4", "https://www.amazon.com/PTMJ145-Packard-Upgraded-Replacement-Capacitor/dp/B0773W3BX6/ref=sr_1_4?keywords=Packard+PRMJ145A+Motor+Start+Capacitor+145-174+MFD&amp;qid=1694734791&amp;sr=8-4")</f>
        <v/>
      </c>
      <c r="F1531" t="inlineStr">
        <is>
          <t>B0773W3BX6</t>
        </is>
      </c>
      <c r="G1531">
        <f>_xludf.IMAGE("https://edmondsonsupply.com/cdn/shop/products/PRMJ145A-2.jpg?v=1633030335")</f>
        <v/>
      </c>
      <c r="H1531">
        <f>_xludf.IMAGE("https://m.media-amazon.com/images/I/41fqQrQgJaL._AC_UY218_.jpg")</f>
        <v/>
      </c>
      <c r="K1531" t="inlineStr">
        <is>
          <t>7.51</t>
        </is>
      </c>
      <c r="L1531" t="n">
        <v>14.39</v>
      </c>
      <c r="M1531" s="1" t="inlineStr">
        <is>
          <t>91.61%</t>
        </is>
      </c>
      <c r="N1531" s="1" t="n">
        <v>20.68</v>
      </c>
      <c r="O1531" t="n">
        <v>5</v>
      </c>
      <c r="P1531" t="n">
        <v>1</v>
      </c>
      <c r="R1531" t="inlineStr">
        <is>
          <t>InStock</t>
        </is>
      </c>
      <c r="S1531" t="inlineStr">
        <is>
          <t>undefined</t>
        </is>
      </c>
      <c r="T1531" t="inlineStr">
        <is>
          <t>5272211062952</t>
        </is>
      </c>
    </row>
    <row r="1532" ht="87" customHeight="1">
      <c r="A1532" s="2">
        <f>HYPERLINK("https://edmondsonsupply.com/collections/hvac/products/channellock-804", "https://edmondsonsupply.com/collections/hvac/products/channellock-804")</f>
        <v/>
      </c>
      <c r="B1532" s="2">
        <f>HYPERLINK("https://edmondsonsupply.com/products/channellock-804", "https://edmondsonsupply.com/products/channellock-804")</f>
        <v/>
      </c>
      <c r="C1532" t="inlineStr">
        <is>
          <t>Channellock 804 4-Inch Chrome Adjustable Wrench</t>
        </is>
      </c>
      <c r="D1532" t="inlineStr">
        <is>
          <t>Channellock 808WCB 8-Inch Chrome Adjustable Wrench with Code Blue Grips</t>
        </is>
      </c>
      <c r="E1532" s="2">
        <f>HYPERLINK("https://www.amazon.com/Channellock-808WCB-8-Inch-Chrome-Adjustable/dp/B00LFIEQ3S/ref=sr_1_8?keywords=Channellock+804+4-Inch+Chrome+Adjustable+Wrench&amp;qid=1694734791&amp;sr=8-8", "https://www.amazon.com/Channellock-808WCB-8-Inch-Chrome-Adjustable/dp/B00LFIEQ3S/ref=sr_1_8?keywords=Channellock+804+4-Inch+Chrome+Adjustable+Wrench&amp;qid=1694734791&amp;sr=8-8")</f>
        <v/>
      </c>
      <c r="F1532" t="inlineStr">
        <is>
          <t>B00LFIEQ3S</t>
        </is>
      </c>
      <c r="G1532">
        <f>_xlfn.IMAGE("https://edmondsonsupply.com/cdn/shop/products/804-683x1024.jpg?v=1587145853")</f>
        <v/>
      </c>
      <c r="H1532">
        <f>_xlfn.IMAGE("https://m.media-amazon.com/images/I/717njKwq-cL._AC_UL320_.jpg")</f>
        <v/>
      </c>
      <c r="K1532" t="inlineStr">
        <is>
          <t>16.95</t>
        </is>
      </c>
      <c r="L1532" t="n">
        <v>32.45</v>
      </c>
      <c r="M1532" s="1" t="inlineStr">
        <is>
          <t>91.45%</t>
        </is>
      </c>
      <c r="N1532" s="7" t="n">
        <v>20.2</v>
      </c>
      <c r="O1532" t="n">
        <v>4.6</v>
      </c>
      <c r="P1532" t="n">
        <v>89</v>
      </c>
      <c r="R1532" t="inlineStr">
        <is>
          <t>InStock</t>
        </is>
      </c>
      <c r="S1532" t="inlineStr">
        <is>
          <t>26.62</t>
        </is>
      </c>
      <c r="T1532" t="inlineStr">
        <is>
          <t>4094611488868</t>
        </is>
      </c>
    </row>
    <row r="1533" ht="87" customHeight="1">
      <c r="A1533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533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533" t="inlineStr">
        <is>
          <t>Klein Tools 646-1/4 1/4-Inch Nut Driver with 6-Inch Hollow Shaft</t>
        </is>
      </c>
      <c r="D1533" t="inlineStr">
        <is>
          <t>Klein Tools 65064 Hex Head 2-in-1 Nut Driver, 1/4-Inch and 5/16-Inch</t>
        </is>
      </c>
      <c r="E1533" s="2">
        <f>HYPERLINK("https://www.amazon.com/Driver-16-Inch-Klein-Tools-65064/dp/B01N2S3D09/ref=sr_1_20?keywords=Klein+Tools+646-1%2F4+1%2F4-Inch+Nut+Driver+with+6-Inch+Hollow+Shaft&amp;qid=1694734727&amp;sr=8-20", "https://www.amazon.com/Driver-16-Inch-Klein-Tools-65064/dp/B01N2S3D09/ref=sr_1_20?keywords=Klein+Tools+646-1%2F4+1%2F4-Inch+Nut+Driver+with+6-Inch+Hollow+Shaft&amp;qid=1694734727&amp;sr=8-20")</f>
        <v/>
      </c>
      <c r="F1533" t="inlineStr">
        <is>
          <t>B01N2S3D09</t>
        </is>
      </c>
      <c r="G1533">
        <f>_xlfn.IMAGE("https://edmondsonsupply.com/cdn/shop/products/646-1-2_08d87fa9-eac4-4869-8d3b-bb680d4b1d53.jpg?v=1587150676")</f>
        <v/>
      </c>
      <c r="H1533">
        <f>_xlfn.IMAGE("https://m.media-amazon.com/images/I/51WqGb8KzpL._AC_UL320_.jpg")</f>
        <v/>
      </c>
      <c r="K1533" t="inlineStr">
        <is>
          <t>7.99</t>
        </is>
      </c>
      <c r="L1533" t="n">
        <v>15.27</v>
      </c>
      <c r="M1533" s="1" t="inlineStr">
        <is>
          <t>91.11%</t>
        </is>
      </c>
      <c r="N1533" s="7" t="n">
        <v>20.05</v>
      </c>
      <c r="O1533" t="n">
        <v>4.8</v>
      </c>
      <c r="P1533" t="n">
        <v>1404</v>
      </c>
      <c r="R1533" t="inlineStr">
        <is>
          <t>InStock</t>
        </is>
      </c>
      <c r="S1533" t="inlineStr">
        <is>
          <t>12.1</t>
        </is>
      </c>
      <c r="T1533" t="inlineStr">
        <is>
          <t>4439433740388</t>
        </is>
      </c>
    </row>
    <row r="1534" ht="87" customHeight="1">
      <c r="A1534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534" s="2">
        <f>HYPERLINK("https://edmondsonsupply.com/products/klein-tools-646-5-16-5-16-inch-nut-driver-6-inch-hollow-shaft", "https://edmondsonsupply.com/products/klein-tools-646-5-16-5-16-inch-nut-driver-6-inch-hollow-shaft")</f>
        <v/>
      </c>
      <c r="C1534" t="inlineStr">
        <is>
          <t>Klein Tools 646-5/16 5/16-Inch Nut Driver, 6-Inch Hollow Shaft</t>
        </is>
      </c>
      <c r="D1534" t="inlineStr">
        <is>
          <t>Klein Tools 65064 Hex Head 2-in-1 Nut Driver, 1/4-Inch and 5/16-Inch</t>
        </is>
      </c>
      <c r="E1534" s="2">
        <f>HYPERLINK("https://www.amazon.com/Driver-16-Inch-Klein-Tools-65064/dp/B01N2S3D09/ref=sr_1_27?keywords=Klein+Tools+646-5%2F16+5%2F16-Inch+Nut+Driver%2C+6-Inch+Hollow+Shaft&amp;qid=1694734728&amp;sr=8-27", "https://www.amazon.com/Driver-16-Inch-Klein-Tools-65064/dp/B01N2S3D09/ref=sr_1_27?keywords=Klein+Tools+646-5%2F16+5%2F16-Inch+Nut+Driver%2C+6-Inch+Hollow+Shaft&amp;qid=1694734728&amp;sr=8-27")</f>
        <v/>
      </c>
      <c r="F1534" t="inlineStr">
        <is>
          <t>B01N2S3D09</t>
        </is>
      </c>
      <c r="G1534">
        <f>_xlfn.IMAGE("https://edmondsonsupply.com/cdn/shop/products/646-1-2_e1540905-f750-4509-90c5-74ff653e4d83.jpg?v=1587145119")</f>
        <v/>
      </c>
      <c r="H1534">
        <f>_xlfn.IMAGE("https://m.media-amazon.com/images/I/51WqGb8KzpL._AC_UL320_.jpg")</f>
        <v/>
      </c>
      <c r="K1534" t="inlineStr">
        <is>
          <t>7.99</t>
        </is>
      </c>
      <c r="L1534" t="n">
        <v>15.27</v>
      </c>
      <c r="M1534" s="1" t="inlineStr">
        <is>
          <t>91.11%</t>
        </is>
      </c>
      <c r="N1534" s="7" t="n">
        <v>20.01</v>
      </c>
      <c r="O1534" t="n">
        <v>4.8</v>
      </c>
      <c r="P1534" t="n">
        <v>1404</v>
      </c>
      <c r="R1534" t="inlineStr">
        <is>
          <t>InStock</t>
        </is>
      </c>
      <c r="S1534" t="inlineStr">
        <is>
          <t>12.1</t>
        </is>
      </c>
      <c r="T1534" t="inlineStr">
        <is>
          <t>4395303272548</t>
        </is>
      </c>
    </row>
    <row r="1535" ht="87" customHeight="1">
      <c r="A1535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535" s="2">
        <f>HYPERLINK("https://edmondsonsupply.com/products/klein-tools-11053-klein-kurve%c2%ae-wire-stripper-cutter", "https://edmondsonsupply.com/products/klein-tools-11053-klein-kurve%c2%ae-wire-stripper-cutter")</f>
        <v/>
      </c>
      <c r="C1535" t="inlineStr">
        <is>
          <t>Klein Tools 11053 Klein-Kurve® Wire Stripper/Cutter</t>
        </is>
      </c>
      <c r="D1535" t="inlineStr">
        <is>
          <t>Klein Tools K12065CR Wire Stripper / Cutter / Crimper Tool for Cutting, Stripping, Crimping, Twisting (8-18 AWG solid, 10-20 AWG stranded)</t>
        </is>
      </c>
      <c r="E1535" s="2">
        <f>HYPERLINK("https://www.amazon.com/Heavy-Stripper-Cutter-Crimper-Multi/dp/B08BX9RTPX/ref=sr_1_14?keywords=Klein+Tools+11053+Klein-Kurve%C2%AE+Wire+Stripper%2FCutter&amp;qid=1694734664&amp;sr=8-14", "https://www.amazon.com/Heavy-Stripper-Cutter-Crimper-Multi/dp/B08BX9RTPX/ref=sr_1_14?keywords=Klein+Tools+11053+Klein-Kurve%C2%AE+Wire+Stripper%2FCutter&amp;qid=1694734664&amp;sr=8-14")</f>
        <v/>
      </c>
      <c r="F1535" t="inlineStr">
        <is>
          <t>B08BX9RTPX</t>
        </is>
      </c>
      <c r="G1535">
        <f>_xlfn.IMAGE("https://edmondsonsupply.com/cdn/shop/products/11053.jpg?v=1633030511")</f>
        <v/>
      </c>
      <c r="H1535">
        <f>_xlfn.IMAGE("https://m.media-amazon.com/images/I/51Oylu1vHoL._AC_UL320_.jpg")</f>
        <v/>
      </c>
      <c r="K1535" t="inlineStr">
        <is>
          <t>20.97</t>
        </is>
      </c>
      <c r="L1535" t="n">
        <v>39.97</v>
      </c>
      <c r="M1535" s="1" t="inlineStr">
        <is>
          <t>90.61%</t>
        </is>
      </c>
      <c r="N1535" s="7" t="n">
        <v>19.98</v>
      </c>
      <c r="O1535" t="n">
        <v>4.7</v>
      </c>
      <c r="P1535" t="n">
        <v>723</v>
      </c>
      <c r="R1535" t="inlineStr">
        <is>
          <t>InStock</t>
        </is>
      </c>
      <c r="S1535" t="inlineStr">
        <is>
          <t>31.76</t>
        </is>
      </c>
      <c r="T1535" t="inlineStr">
        <is>
          <t>5387171299496</t>
        </is>
      </c>
    </row>
    <row r="1536" ht="87" customHeight="1">
      <c r="A1536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536" s="2">
        <f>HYPERLINK("https://edmondsonsupply.com/products/klein-tools-11053-klein-kurve%c2%ae-wire-stripper-cutter", "https://edmondsonsupply.com/products/klein-tools-11053-klein-kurve%c2%ae-wire-stripper-cutter")</f>
        <v/>
      </c>
      <c r="C1536" t="inlineStr">
        <is>
          <t>Klein Tools 11053 Klein-Kurve® Wire Stripper/Cutter</t>
        </is>
      </c>
      <c r="D1536" t="inlineStr">
        <is>
          <t>Klein Tools 2005N Wire Cutter, Stripper, Crimper Tool, Strips 10-18 AWG Stranded, Crimps 10-22 AWG Terminals, with Shear Cutter Red</t>
        </is>
      </c>
      <c r="E1536" s="2">
        <f>HYPERLINK("https://www.amazon.com/Klein-Tools-2005N-Crimper-Stripper/dp/B07WTRVZ18/ref=sr_1_16?keywords=Klein+Tools+11053+Klein-Kurve%C2%AE+Wire+Stripper%2FCutter&amp;qid=1694734664&amp;sr=8-16", "https://www.amazon.com/Klein-Tools-2005N-Crimper-Stripper/dp/B07WTRVZ18/ref=sr_1_16?keywords=Klein+Tools+11053+Klein-Kurve%C2%AE+Wire+Stripper%2FCutter&amp;qid=1694734664&amp;sr=8-16")</f>
        <v/>
      </c>
      <c r="F1536" t="inlineStr">
        <is>
          <t>B07WTRVZ18</t>
        </is>
      </c>
      <c r="G1536">
        <f>_xlfn.IMAGE("https://edmondsonsupply.com/cdn/shop/products/11053.jpg?v=1633030511")</f>
        <v/>
      </c>
      <c r="H1536">
        <f>_xlfn.IMAGE("https://m.media-amazon.com/images/I/51HDCyutY4L._AC_UL320_.jpg")</f>
        <v/>
      </c>
      <c r="K1536" t="inlineStr">
        <is>
          <t>20.97</t>
        </is>
      </c>
      <c r="L1536" t="n">
        <v>39.97</v>
      </c>
      <c r="M1536" s="1" t="inlineStr">
        <is>
          <t>90.61%</t>
        </is>
      </c>
      <c r="N1536" s="7" t="n">
        <v>19.97</v>
      </c>
      <c r="O1536" t="n">
        <v>4.8</v>
      </c>
      <c r="P1536" t="n">
        <v>1009</v>
      </c>
      <c r="R1536" t="inlineStr">
        <is>
          <t>InStock</t>
        </is>
      </c>
      <c r="S1536" t="inlineStr">
        <is>
          <t>31.76</t>
        </is>
      </c>
      <c r="T1536" t="inlineStr">
        <is>
          <t>5387171299496</t>
        </is>
      </c>
    </row>
    <row r="1537" ht="87" customHeight="1">
      <c r="A1537" s="2">
        <f>HYPERLINK("https://edmondsonsupply.com/collections/hvac/products/wiha-tools-32088-8-piece-insulated-picofinish-precision-screwdriver-set", "https://edmondsonsupply.com/collections/hvac/products/wiha-tools-32088-8-piece-insulated-picofinish-precision-screwdriver-set")</f>
        <v/>
      </c>
      <c r="B1537" s="2">
        <f>HYPERLINK("https://edmondsonsupply.com/products/wiha-tools-32088-8-piece-insulated-picofinish-precision-screwdriver-set", "https://edmondsonsupply.com/products/wiha-tools-32088-8-piece-insulated-picofinish-precision-screwdriver-set")</f>
        <v/>
      </c>
      <c r="C1537" t="inlineStr">
        <is>
          <t>Wiha Tools 32088 8 Piece Insulated PicoFinish Precision Screwdriver Set</t>
        </is>
      </c>
      <c r="D1537" t="inlineStr">
        <is>
          <t>Wiha PicoFinish® Electric Precision Screwdriver Set 7 Pieces Including Holder I Screwdriver for Electricians I VDE I Slotted Phillips (42989)</t>
        </is>
      </c>
      <c r="E1537" s="2">
        <f>HYPERLINK("https://www.amazon.com/Wiha-PicoFinish%C2%AE-Screwdriver-Electricians-42989/dp/B07H6SB33W/ref=sr_1_32?keywords=Wiha+Tools+32088+8+Piece+Insulated+PicoFinish+Precision+Screwdriver+Set&amp;qid=1694734876&amp;sr=8-32", "https://www.amazon.com/Wiha-PicoFinish%C2%AE-Screwdriver-Electricians-42989/dp/B07H6SB33W/ref=sr_1_32?keywords=Wiha+Tools+32088+8+Piece+Insulated+PicoFinish+Precision+Screwdriver+Set&amp;qid=1694734876&amp;sr=8-32")</f>
        <v/>
      </c>
      <c r="F1537" t="inlineStr">
        <is>
          <t>B07H6SB33W</t>
        </is>
      </c>
      <c r="G1537">
        <f>_xlfn.IMAGE("https://edmondsonsupply.com/cdn/shop/files/ah1u5hviqxts6itxix4k_1000x_5285634c-51ad-48c4-987e-f1113aaa9ab9.webp?v=1690905519")</f>
        <v/>
      </c>
      <c r="H1537">
        <f>_xlfn.IMAGE("https://m.media-amazon.com/images/I/61CoYBjxDhL._AC_UL320_.jpg")</f>
        <v/>
      </c>
      <c r="K1537" t="inlineStr">
        <is>
          <t>64.55</t>
        </is>
      </c>
      <c r="L1537" t="n">
        <v>123</v>
      </c>
      <c r="M1537" s="1" t="inlineStr">
        <is>
          <t>90.55%</t>
        </is>
      </c>
      <c r="N1537" s="7" t="n">
        <v>19.92</v>
      </c>
      <c r="O1537" t="n">
        <v>4.8</v>
      </c>
      <c r="P1537" t="n">
        <v>51</v>
      </c>
      <c r="R1537" t="inlineStr">
        <is>
          <t>InStock</t>
        </is>
      </c>
      <c r="S1537" t="inlineStr">
        <is>
          <t>86.07</t>
        </is>
      </c>
      <c r="T1537" t="inlineStr">
        <is>
          <t>8023413326040</t>
        </is>
      </c>
    </row>
    <row r="1538" ht="87" customHeight="1">
      <c r="A1538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538" s="2">
        <f>HYPERLINK("https://edmondsonsupply.com/products/packard-c140a-contactor-1-pole-40-amps-24-coil-voltage", "https://edmondsonsupply.com/products/packard-c140a-contactor-1-pole-40-amps-24-coil-voltage")</f>
        <v/>
      </c>
      <c r="C1538" t="inlineStr">
        <is>
          <t>Packard C140A Contactor 1 Pole 40 AMPS 24 Coil Voltage</t>
        </is>
      </c>
      <c r="D1538" t="inlineStr">
        <is>
          <t>Carrier - 40 Amp 1 Pole 24v Coil Replacement Contactor C140A</t>
        </is>
      </c>
      <c r="E1538" s="2">
        <f>HYPERLINK("https://www.amazon.com/Carrier-Packard-Replacement-Contactor-C140A/dp/B00S8IYVSI/ref=sr_1_16?keywords=Packard+C140A+Contactor+1+Pole+40+AMPS+24+Coil+Voltage&amp;qid=1694734583&amp;sr=8-16", "https://www.amazon.com/Carrier-Packard-Replacement-Contactor-C140A/dp/B00S8IYVSI/ref=sr_1_16?keywords=Packard+C140A+Contactor+1+Pole+40+AMPS+24+Coil+Voltage&amp;qid=1694734583&amp;sr=8-16")</f>
        <v/>
      </c>
      <c r="F1538" t="inlineStr">
        <is>
          <t>B00S8IYVSI</t>
        </is>
      </c>
      <c r="G1538">
        <f>_xlfn.IMAGE("https://edmondsonsupply.com/cdn/shop/products/C140A-1.jpg?v=1587147314")</f>
        <v/>
      </c>
      <c r="H1538">
        <f>_xlfn.IMAGE("https://m.media-amazon.com/images/I/711bCoKf1iL._AC_UY218_.jpg")</f>
        <v/>
      </c>
      <c r="K1538" t="inlineStr">
        <is>
          <t>9.98</t>
        </is>
      </c>
      <c r="L1538" t="n">
        <v>18.99</v>
      </c>
      <c r="M1538" s="1" t="inlineStr">
        <is>
          <t>90.28%</t>
        </is>
      </c>
      <c r="N1538" s="7" t="n">
        <v>19.9</v>
      </c>
      <c r="O1538" t="n">
        <v>4.6</v>
      </c>
      <c r="P1538" t="n">
        <v>188</v>
      </c>
      <c r="R1538" t="inlineStr">
        <is>
          <t>InStock</t>
        </is>
      </c>
      <c r="S1538" t="inlineStr">
        <is>
          <t>undefined</t>
        </is>
      </c>
      <c r="T1538" t="inlineStr">
        <is>
          <t>4359080607844</t>
        </is>
      </c>
    </row>
    <row r="1539" hidden="1" ht="15.75" customHeight="1">
      <c r="A1539" s="2">
        <f>HYPERLINK("https://edmondsonsupply.com/collections/hvac/products/diablo-tools-dsp3050-7-8-in-x-16-in-spade-bit", "https://edmondsonsupply.com/collections/hvac/products/diablo-tools-dsp3050-7-8-in-x-16-in-spade-bit")</f>
        <v/>
      </c>
      <c r="B1539" s="2">
        <f>HYPERLINK("https://edmondsonsupply.com/products/diablo-tools-dsp3050-7-8-in-x-16-in-spade-bit", "https://edmondsonsupply.com/products/diablo-tools-dsp3050-7-8-in-x-16-in-spade-bit")</f>
        <v/>
      </c>
      <c r="C1539" t="inlineStr">
        <is>
          <t>Diablo Tools DSP3050 7/8 in. x 16 in. Spade Bit</t>
        </is>
      </c>
      <c r="D1539" t="inlineStr">
        <is>
          <t>IVY Classic 10748 7/8 x 16-Inch Swift Bore® Wood Spade Bit, High-Carbon Steel, 1/Card</t>
        </is>
      </c>
      <c r="E1539" s="2">
        <f>HYPERLINK("https://www.amazon.com/IVY-Classic-10748-16-Inch-High-Carbon/dp/B0050PVB30/ref=sr_1_18?keywords=Diablo+Tools+DSP3050+7%2F8+in.+x+16+in.+Spade+Bit&amp;qid=1694734919&amp;sr=8-18", "https://www.amazon.com/IVY-Classic-10748-16-Inch-High-Carbon/dp/B0050PVB30/ref=sr_1_18?keywords=Diablo+Tools+DSP3050+7%2F8+in.+x+16+in.+Spade+Bit&amp;qid=1694734919&amp;sr=8-18")</f>
        <v/>
      </c>
      <c r="F1539" t="inlineStr">
        <is>
          <t>B0050PVB30</t>
        </is>
      </c>
      <c r="G1539">
        <f>_xludf.IMAGE("https://edmondsonsupply.com/cdn/shop/files/y2jtkhe6p1ztkurhqyvu.webp?v=1685722260")</f>
        <v/>
      </c>
      <c r="H1539">
        <f>_xludf.IMAGE("https://m.media-amazon.com/images/I/5121AK5qu4L._AC_UL320_.jpg")</f>
        <v/>
      </c>
      <c r="K1539" t="inlineStr">
        <is>
          <t>6.99</t>
        </is>
      </c>
      <c r="L1539" t="n">
        <v>13.29</v>
      </c>
      <c r="M1539" s="1" t="inlineStr">
        <is>
          <t>90.13%</t>
        </is>
      </c>
      <c r="N1539" s="1" t="n">
        <v>19.62</v>
      </c>
      <c r="O1539" t="n">
        <v>4.4</v>
      </c>
      <c r="P1539" t="n">
        <v>241</v>
      </c>
      <c r="R1539" t="inlineStr">
        <is>
          <t>InStock</t>
        </is>
      </c>
      <c r="S1539" t="inlineStr">
        <is>
          <t>11.19</t>
        </is>
      </c>
      <c r="T1539" t="inlineStr">
        <is>
          <t>7999598330072</t>
        </is>
      </c>
    </row>
    <row r="1540" ht="87" customHeight="1">
      <c r="A1540" s="2">
        <f>HYPERLINK("https://edmondsonsupply.com/collections/hvac/products/supco-mag1bk-30-vac-magnetic-test-leads", "https://edmondsonsupply.com/collections/hvac/products/supco-mag1bk-30-vac-magnetic-test-leads")</f>
        <v/>
      </c>
      <c r="B1540" s="2">
        <f>HYPERLINK("https://edmondsonsupply.com/products/supco-mag1bk-30-vac-magnetic-test-leads", "https://edmondsonsupply.com/products/supco-mag1bk-30-vac-magnetic-test-leads")</f>
        <v/>
      </c>
      <c r="C1540" t="inlineStr">
        <is>
          <t>Supco MAG1BK 30 VAC Magnetic Test Leads</t>
        </is>
      </c>
      <c r="D1540" t="inlineStr">
        <is>
          <t>6PCS Magnetic Test Leads Silicone Soft Flexible Jumper Test Wires 30V AC5A 3.3FT Magnetic Jumper Wires HVAC</t>
        </is>
      </c>
      <c r="E1540" s="2">
        <f>HYPERLINK("https://www.amazon.com/Magnetic-Leads-Silicone-Flexible-Jumper/dp/B0BD8L1R6B/ref=sr_1_6?keywords=Supco+MAG1BK+30+VAC+Magnetic+Test+Leads&amp;qid=1694734686&amp;sr=8-6", "https://www.amazon.com/Magnetic-Leads-Silicone-Flexible-Jumper/dp/B0BD8L1R6B/ref=sr_1_6?keywords=Supco+MAG1BK+30+VAC+Magnetic+Test+Leads&amp;qid=1694734686&amp;sr=8-6")</f>
        <v/>
      </c>
      <c r="F1540" t="inlineStr">
        <is>
          <t>B0BD8L1R6B</t>
        </is>
      </c>
      <c r="G1540">
        <f>_xlfn.IMAGE("https://edmondsonsupply.com/cdn/shop/products/mag1bk.png?v=1671744087")</f>
        <v/>
      </c>
      <c r="H1540">
        <f>_xlfn.IMAGE("https://m.media-amazon.com/images/I/71uL3Kl74aL._AC_UY218_.jpg")</f>
        <v/>
      </c>
      <c r="K1540" t="inlineStr">
        <is>
          <t>9.99</t>
        </is>
      </c>
      <c r="L1540" t="n">
        <v>18.99</v>
      </c>
      <c r="M1540" s="1" t="inlineStr">
        <is>
          <t>90.09%</t>
        </is>
      </c>
      <c r="N1540" s="7" t="n">
        <v>19</v>
      </c>
      <c r="O1540" t="n">
        <v>4.4</v>
      </c>
      <c r="P1540" t="n">
        <v>147</v>
      </c>
      <c r="R1540" t="inlineStr">
        <is>
          <t>InStock</t>
        </is>
      </c>
      <c r="S1540" t="inlineStr">
        <is>
          <t>undefined</t>
        </is>
      </c>
      <c r="T1540" t="inlineStr">
        <is>
          <t>7910334660824</t>
        </is>
      </c>
    </row>
    <row r="1541" ht="87" customHeight="1">
      <c r="A1541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541" s="2">
        <f>HYPERLINK("https://edmondsonsupply.com/products/packard-prmj216-motor-start-capacitor-216-259-mfd-330-vac", "https://edmondsonsupply.com/products/packard-prmj216-motor-start-capacitor-216-259-mfd-330-vac")</f>
        <v/>
      </c>
      <c r="C1541" t="inlineStr">
        <is>
          <t>Packard PRMJ216 Motor Start Capacitor 216-259 MFD 330 VAC</t>
        </is>
      </c>
      <c r="D1541" t="inlineStr">
        <is>
          <t>CD60 330 VAC 216-259 uf/MFD Round Motor Start Capacitor Replacement Parts, Fit for Central Air-Conditioners, Condenser Fan Motors and Heat Pumps</t>
        </is>
      </c>
      <c r="E1541" s="2">
        <f>HYPERLINK("https://www.amazon.com/216-259-Capacitor-Replacement-Air-Conditioners-Condenser/dp/B0C88MNBTZ/ref=sr_1_15?keywords=Packard+PRMJ216+Motor+Start+Capacitor+216-259+MFD+330+VAC&amp;qid=1694734827&amp;sr=8-15", "https://www.amazon.com/216-259-Capacitor-Replacement-Air-Conditioners-Condenser/dp/B0C88MNBTZ/ref=sr_1_15?keywords=Packard+PRMJ216+Motor+Start+Capacitor+216-259+MFD+330+VAC&amp;qid=1694734827&amp;sr=8-15")</f>
        <v/>
      </c>
      <c r="F1541" t="inlineStr">
        <is>
          <t>B0C88MNBTZ</t>
        </is>
      </c>
      <c r="G1541">
        <f>_xlfn.IMAGE("https://edmondsonsupply.com/cdn/shop/products/PRMJ216-2.jpg?v=1633030106")</f>
        <v/>
      </c>
      <c r="H1541">
        <f>_xlfn.IMAGE("https://m.media-amazon.com/images/I/61AiWGFx1HL._AC_UY218_.jpg")</f>
        <v/>
      </c>
      <c r="K1541" t="inlineStr">
        <is>
          <t>8.94</t>
        </is>
      </c>
      <c r="L1541" t="n">
        <v>16.99</v>
      </c>
      <c r="M1541" s="1" t="inlineStr">
        <is>
          <t>90.04%</t>
        </is>
      </c>
      <c r="N1541" s="7" t="n">
        <v>18.96</v>
      </c>
      <c r="O1541" t="n">
        <v>5</v>
      </c>
      <c r="P1541" t="n">
        <v>6</v>
      </c>
      <c r="R1541" t="inlineStr">
        <is>
          <t>InStock</t>
        </is>
      </c>
      <c r="S1541" t="inlineStr">
        <is>
          <t>undefined</t>
        </is>
      </c>
      <c r="T1541" t="inlineStr">
        <is>
          <t>3595512217700</t>
        </is>
      </c>
    </row>
    <row r="1542" ht="87" customHeight="1">
      <c r="A1542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542" s="2">
        <f>HYPERLINK("https://edmondsonsupply.com/products/packard-prmj216-motor-start-capacitor-216-259-mfd-330-vac", "https://edmondsonsupply.com/products/packard-prmj216-motor-start-capacitor-216-259-mfd-330-vac")</f>
        <v/>
      </c>
      <c r="C1542" t="inlineStr">
        <is>
          <t>Packard PRMJ216 Motor Start Capacitor 216-259 MFD 330 VAC</t>
        </is>
      </c>
      <c r="D1542" t="inlineStr">
        <is>
          <t>PTMJ216 - Packard Upgraded Replacement Motor Start Capacitor 216-259 MFD 220-250 Volt VAC</t>
        </is>
      </c>
      <c r="E1542" s="2">
        <f>HYPERLINK("https://www.amazon.com/PTMJ216-Packard-Upgraded-Replacement-Capacitor/dp/B0773W4PTP/ref=sr_1_9?keywords=Packard+PRMJ216+Motor+Start+Capacitor+216-259+MFD+330+VAC&amp;qid=1694734827&amp;sr=8-9", "https://www.amazon.com/PTMJ216-Packard-Upgraded-Replacement-Capacitor/dp/B0773W4PTP/ref=sr_1_9?keywords=Packard+PRMJ216+Motor+Start+Capacitor+216-259+MFD+330+VAC&amp;qid=1694734827&amp;sr=8-9")</f>
        <v/>
      </c>
      <c r="F1542" t="inlineStr">
        <is>
          <t>B0773W4PTP</t>
        </is>
      </c>
      <c r="G1542">
        <f>_xlfn.IMAGE("https://edmondsonsupply.com/cdn/shop/products/PRMJ216-2.jpg?v=1633030106")</f>
        <v/>
      </c>
      <c r="H1542">
        <f>_xlfn.IMAGE("https://m.media-amazon.com/images/I/41fqQrQgJaL._AC_UY218_.jpg")</f>
        <v/>
      </c>
      <c r="K1542" t="inlineStr">
        <is>
          <t>8.94</t>
        </is>
      </c>
      <c r="L1542" t="n">
        <v>16.99</v>
      </c>
      <c r="M1542" s="1" t="inlineStr">
        <is>
          <t>90.04%</t>
        </is>
      </c>
      <c r="N1542" s="7" t="n">
        <v>18.9</v>
      </c>
      <c r="O1542" t="n">
        <v>4.7</v>
      </c>
      <c r="P1542" t="n">
        <v>8</v>
      </c>
      <c r="R1542" t="inlineStr">
        <is>
          <t>InStock</t>
        </is>
      </c>
      <c r="S1542" t="inlineStr">
        <is>
          <t>undefined</t>
        </is>
      </c>
      <c r="T1542" t="inlineStr">
        <is>
          <t>3595512217700</t>
        </is>
      </c>
    </row>
    <row r="1543" hidden="1" ht="15.75" customHeight="1">
      <c r="A1543" s="2">
        <f>HYPERLINK("https://edmondsonsupply.com/collections/hvac/products/packard-pmj590-motor-start-capacitor-590-708-mfd-110-125-volt", "https://edmondsonsupply.com/collections/hvac/products/packard-pmj590-motor-start-capacitor-590-708-mfd-110-125-volt")</f>
        <v/>
      </c>
      <c r="B1543" s="2">
        <f>HYPERLINK("https://edmondsonsupply.com/products/packard-pmj590-motor-start-capacitor-590-708-mfd-110-125-volt", "https://edmondsonsupply.com/products/packard-pmj590-motor-start-capacitor-590-708-mfd-110-125-volt")</f>
        <v/>
      </c>
      <c r="C1543" t="inlineStr">
        <is>
          <t>Packard PMJ590 Motor Start Capacitor 590-708 MFD 110-125 Volt</t>
        </is>
      </c>
      <c r="D1543" t="inlineStr">
        <is>
          <t>Packard PMJ590 Packard 110-125V Start Capacitor 590-708 MFD</t>
        </is>
      </c>
      <c r="E1543" s="2">
        <f>HYPERLINK("https://www.amazon.com/Packard-PMJ590-110-125V-Capacitor-590-708/dp/B005YN5REM/ref=sr_1_3?keywords=Packard+PMJ590+Motor+Start+Capacitor+590-708+MFD+110-125+Volt&amp;qid=1694734721&amp;sr=8-3", "https://www.amazon.com/Packard-PMJ590-110-125V-Capacitor-590-708/dp/B005YN5REM/ref=sr_1_3?keywords=Packard+PMJ590+Motor+Start+Capacitor+590-708+MFD+110-125+Volt&amp;qid=1694734721&amp;sr=8-3")</f>
        <v/>
      </c>
      <c r="F1543" t="inlineStr">
        <is>
          <t>B005YN5REM</t>
        </is>
      </c>
      <c r="G1543">
        <f>_xludf.IMAGE("https://edmondsonsupply.com/cdn/shop/products/PMJ590-2.jpg?v=1633030307")</f>
        <v/>
      </c>
      <c r="H1543">
        <f>_xludf.IMAGE("https://m.media-amazon.com/images/I/41iN-8gLZyL._AC_UY218_.jpg")</f>
        <v/>
      </c>
      <c r="K1543" t="inlineStr">
        <is>
          <t>6.18</t>
        </is>
      </c>
      <c r="L1543" t="n">
        <v>11.7</v>
      </c>
      <c r="M1543" s="1" t="inlineStr">
        <is>
          <t>89.32%</t>
        </is>
      </c>
      <c r="N1543" s="1" t="n">
        <v>18.87</v>
      </c>
      <c r="O1543" t="n">
        <v>4.3</v>
      </c>
      <c r="P1543" t="n">
        <v>20</v>
      </c>
      <c r="R1543" t="inlineStr">
        <is>
          <t>InStock</t>
        </is>
      </c>
      <c r="S1543" t="inlineStr">
        <is>
          <t>undefined</t>
        </is>
      </c>
      <c r="T1543" t="inlineStr">
        <is>
          <t>5241729712296</t>
        </is>
      </c>
    </row>
    <row r="1544" ht="87" customHeight="1">
      <c r="A1544" s="2">
        <f>HYPERLINK("https://edmondsonsupply.com/collections/hvac/products/freud-99-240-2-drawer-lock-bit", "https://edmondsonsupply.com/collections/hvac/products/freud-99-240-2-drawer-lock-bit")</f>
        <v/>
      </c>
      <c r="B1544" s="2">
        <f>HYPERLINK("https://edmondsonsupply.com/products/freud-99-240-2-drawer-lock-bit", "https://edmondsonsupply.com/products/freud-99-240-2-drawer-lock-bit")</f>
        <v/>
      </c>
      <c r="C1544" t="inlineStr">
        <is>
          <t>Freud 99-240 2" Drawer Lock Bit</t>
        </is>
      </c>
      <c r="D1544" t="inlineStr">
        <is>
          <t>Freud 99-043: 1-15/32" (Dia.) Lock Miter Bit with 1/2" Shank</t>
        </is>
      </c>
      <c r="E1544" s="2">
        <f>HYPERLINK("https://www.amazon.com/Freud-1-15-Miter-Shank-99-043/dp/B000NJC8O4/ref=sr_1_13?keywords=Freud+99-240+2%22+Drawer+Lock+Bit&amp;qid=1694734902&amp;sr=8-13", "https://www.amazon.com/Freud-1-15-Miter-Shank-99-043/dp/B000NJC8O4/ref=sr_1_13?keywords=Freud+99-240+2%22+Drawer+Lock+Bit&amp;qid=1694734902&amp;sr=8-13")</f>
        <v/>
      </c>
      <c r="F1544" t="inlineStr">
        <is>
          <t>B000NJC8O4</t>
        </is>
      </c>
      <c r="G1544">
        <f>_xlfn.IMAGE("https://edmondsonsupply.com/cdn/shop/files/2-dia-drawer-lock-bit.webp?v=1687359925")</f>
        <v/>
      </c>
      <c r="H1544">
        <f>_xlfn.IMAGE("https://m.media-amazon.com/images/I/71WeP47whjL._AC_UL320_.jpg")</f>
        <v/>
      </c>
      <c r="K1544" t="inlineStr">
        <is>
          <t>36.98</t>
        </is>
      </c>
      <c r="L1544" t="n">
        <v>70</v>
      </c>
      <c r="M1544" s="1" t="inlineStr">
        <is>
          <t>89.29%</t>
        </is>
      </c>
      <c r="N1544" s="7" t="n">
        <v>18.83</v>
      </c>
      <c r="O1544" t="n">
        <v>4.5</v>
      </c>
      <c r="P1544" t="n">
        <v>11</v>
      </c>
      <c r="R1544" t="inlineStr">
        <is>
          <t>InStock</t>
        </is>
      </c>
      <c r="S1544" t="inlineStr">
        <is>
          <t>63.21</t>
        </is>
      </c>
      <c r="T1544" t="inlineStr">
        <is>
          <t>8007803601112</t>
        </is>
      </c>
    </row>
    <row r="1545" hidden="1" ht="15.75" customHeight="1">
      <c r="A1545" s="2">
        <f>HYPERLINK("https://edmondsonsupply.com/collections/hvac/products/icm-controls-icm450a-3-phase-line-voltage-monitor-with-modbus", "https://edmondsonsupply.com/collections/hvac/products/icm-controls-icm450a-3-phase-line-voltage-monitor-with-modbus")</f>
        <v/>
      </c>
      <c r="B1545" s="2">
        <f>HYPERLINK("https://edmondsonsupply.com/products/icm-controls-icm450a-3-phase-line-voltage-monitor-with-modbus", "https://edmondsonsupply.com/products/icm-controls-icm450a-3-phase-line-voltage-monitor-with-modbus")</f>
        <v/>
      </c>
      <c r="C1545" t="inlineStr">
        <is>
          <t>ICM Controls ICM450A+ 3 Phase Line Voltage Monitor with MODBUS</t>
        </is>
      </c>
      <c r="D1545" t="inlineStr">
        <is>
          <t>ICM ICM493 Advanced Single-Phase line Voltage Monitor with a Bank of Surge arresters for Added Protection Against Lightning Strikes. Includes a Built-in 40A contactor. Ideal for Mini-Splits or Other</t>
        </is>
      </c>
      <c r="E1545" s="2">
        <f>HYPERLINK("https://www.amazon.com/ICM-Single-Phase-Protection-contactor-Mini-Splits/dp/B07SZ45HQH/ref=sr_1_16?keywords=ICM+Controls+ICM450A%2B+3+Phase+Line+Voltage+Monitor+with+MODBUS&amp;qid=1694734610&amp;sr=8-16", "https://www.amazon.com/ICM-Single-Phase-Protection-contactor-Mini-Splits/dp/B07SZ45HQH/ref=sr_1_16?keywords=ICM+Controls+ICM450A%2B+3+Phase+Line+Voltage+Monitor+with+MODBUS&amp;qid=1694734610&amp;sr=8-16")</f>
        <v/>
      </c>
      <c r="F1545" t="inlineStr">
        <is>
          <t>B07SZ45HQH</t>
        </is>
      </c>
      <c r="G1545">
        <f>_xludf.IMAGE("https://edmondsonsupply.com/cdn/shop/products/Screenshot2023-03-12144636.png?v=1678647085")</f>
        <v/>
      </c>
      <c r="H1545">
        <f>_xludf.IMAGE("https://m.media-amazon.com/images/I/41b2VVsBxRL._AC_UL320_.jpg")</f>
        <v/>
      </c>
      <c r="K1545" t="inlineStr">
        <is>
          <t>160.99</t>
        </is>
      </c>
      <c r="L1545" t="n">
        <v>304.72</v>
      </c>
      <c r="M1545" s="1" t="inlineStr">
        <is>
          <t>89.28%</t>
        </is>
      </c>
      <c r="N1545" s="1" t="n">
        <v>18.77</v>
      </c>
      <c r="O1545" t="n">
        <v>1</v>
      </c>
      <c r="P1545" t="n">
        <v>1</v>
      </c>
      <c r="R1545" t="inlineStr">
        <is>
          <t>InStock</t>
        </is>
      </c>
      <c r="S1545" t="inlineStr">
        <is>
          <t>219.15</t>
        </is>
      </c>
      <c r="T1545" t="inlineStr">
        <is>
          <t>7960731943128</t>
        </is>
      </c>
    </row>
    <row r="1546" ht="87" customHeight="1">
      <c r="A1546" s="2">
        <f>HYPERLINK("https://edmondsonsupply.com/collections/hvac/products/milwaukee-48-22-2859-demolition-driver", "https://edmondsonsupply.com/collections/hvac/products/milwaukee-48-22-2859-demolition-driver")</f>
        <v/>
      </c>
      <c r="B1546" s="2">
        <f>HYPERLINK("https://edmondsonsupply.com/products/milwaukee-48-22-2859-demolition-driver", "https://edmondsonsupply.com/products/milwaukee-48-22-2859-demolition-driver")</f>
        <v/>
      </c>
      <c r="C1546" t="inlineStr">
        <is>
          <t>Milwaukee 48-22-2859 Demolition Driver</t>
        </is>
      </c>
      <c r="D1546" t="inlineStr">
        <is>
          <t>For Milwaukee 48-22-2702 Tough Durable Demolition Screwdriver Set - 2 PC Length 14.35 in Width 1.7 in. Height 4.35 in.</t>
        </is>
      </c>
      <c r="E1546" s="2">
        <f>HYPERLINK("https://www.amazon.com/Milwaukee-48-22-2702-Durable-Demolition-Screwdriver/dp/B0BYJLXHMN/ref=sr_1_2?keywords=Milwaukee+48-22-2859+Demolition+Driver&amp;qid=1694734660&amp;sr=8-2", "https://www.amazon.com/Milwaukee-48-22-2702-Durable-Demolition-Screwdriver/dp/B0BYJLXHMN/ref=sr_1_2?keywords=Milwaukee+48-22-2859+Demolition+Driver&amp;qid=1694734660&amp;sr=8-2")</f>
        <v/>
      </c>
      <c r="F1546" t="inlineStr">
        <is>
          <t>B0BYJLXHMN</t>
        </is>
      </c>
      <c r="G1546">
        <f>_xlfn.IMAGE("https://edmondsonsupply.com/cdn/shop/products/48-22-2859_1.webp?v=1661549628")</f>
        <v/>
      </c>
      <c r="H1546">
        <f>_xlfn.IMAGE("https://m.media-amazon.com/images/I/41k8Y4OVmHL._AC_UL320_.jpg")</f>
        <v/>
      </c>
      <c r="K1546" t="inlineStr">
        <is>
          <t>17.97</t>
        </is>
      </c>
      <c r="L1546" t="n">
        <v>33.99</v>
      </c>
      <c r="M1546" s="1" t="inlineStr">
        <is>
          <t>89.15%</t>
        </is>
      </c>
      <c r="N1546" s="7" t="n">
        <v>18.75</v>
      </c>
      <c r="O1546" t="n">
        <v>5</v>
      </c>
      <c r="P1546" t="n">
        <v>1</v>
      </c>
      <c r="R1546" t="inlineStr">
        <is>
          <t>InStock</t>
        </is>
      </c>
      <c r="S1546" t="inlineStr">
        <is>
          <t>30.0</t>
        </is>
      </c>
      <c r="T1546" t="inlineStr">
        <is>
          <t>7794952831192</t>
        </is>
      </c>
    </row>
    <row r="1547" ht="87" customHeight="1">
      <c r="A1547" s="2">
        <f>HYPERLINK("https://edmondsonsupply.com/collections/hvac/products/white-rodgers-24a34-4-24v-electric-heat-sequencer-dpst", "https://edmondsonsupply.com/collections/hvac/products/white-rodgers-24a34-4-24v-electric-heat-sequencer-dpst")</f>
        <v/>
      </c>
      <c r="B1547" s="2">
        <f>HYPERLINK("https://edmondsonsupply.com/products/white-rodgers-24a34-4-24v-electric-heat-sequencer-dpst", "https://edmondsonsupply.com/products/white-rodgers-24a34-4-24v-electric-heat-sequencer-dpst")</f>
        <v/>
      </c>
      <c r="C1547" t="inlineStr">
        <is>
          <t>White-Rodgers 24A34-4 24V Electric Heat Sequencer, DPST</t>
        </is>
      </c>
      <c r="D1547" t="inlineStr">
        <is>
          <t>HVAC Parts Emerson White-Rodgers 24A34-4 24V Electric Heat Sequencer DPST</t>
        </is>
      </c>
      <c r="E1547" s="2">
        <f>HYPERLINK("https://www.amazon.com/HVAC-Parts-White-Rodgers-Electric-Sequencer/dp/B09N9VYKL1/ref=sr_1_1?keywords=White-Rodgers+24A34-4+24V+Electric+Heat+Sequencer%2C+DPST&amp;qid=1694734663&amp;sr=8-1", "https://www.amazon.com/HVAC-Parts-White-Rodgers-Electric-Sequencer/dp/B09N9VYKL1/ref=sr_1_1?keywords=White-Rodgers+24A34-4+24V+Electric+Heat+Sequencer%2C+DPST&amp;qid=1694734663&amp;sr=8-1")</f>
        <v/>
      </c>
      <c r="F1547" t="inlineStr">
        <is>
          <t>B09N9VYKL1</t>
        </is>
      </c>
      <c r="G1547">
        <f>_xlfn.IMAGE("https://edmondsonsupply.com/cdn/shop/products/24A34-4.jpg?v=1633030706")</f>
        <v/>
      </c>
      <c r="H1547">
        <f>_xlfn.IMAGE("https://m.media-amazon.com/images/I/71IXexQVGwL._AC_UL320_.jpg")</f>
        <v/>
      </c>
      <c r="K1547" t="inlineStr">
        <is>
          <t>12.99</t>
        </is>
      </c>
      <c r="L1547" t="n">
        <v>24.54</v>
      </c>
      <c r="M1547" s="1" t="inlineStr">
        <is>
          <t>88.91%</t>
        </is>
      </c>
      <c r="N1547" s="7" t="n">
        <v>18.6</v>
      </c>
      <c r="O1547" t="n">
        <v>5</v>
      </c>
      <c r="P1547" t="n">
        <v>1</v>
      </c>
      <c r="R1547" t="inlineStr">
        <is>
          <t>InStock</t>
        </is>
      </c>
      <c r="S1547" t="inlineStr">
        <is>
          <t>30.34</t>
        </is>
      </c>
      <c r="T1547" t="inlineStr">
        <is>
          <t>5861153145000</t>
        </is>
      </c>
    </row>
    <row r="1548" ht="87" customHeight="1">
      <c r="A1548" s="2">
        <f>HYPERLINK("https://edmondsonsupply.com/collections/hvac/products/white-rodgers-24a34-3-24v-electric-heat-sequencer-dpst", "https://edmondsonsupply.com/collections/hvac/products/white-rodgers-24a34-3-24v-electric-heat-sequencer-dpst")</f>
        <v/>
      </c>
      <c r="B1548" s="2">
        <f>HYPERLINK("https://edmondsonsupply.com/products/white-rodgers-24a34-3-24v-electric-heat-sequencer-dpst", "https://edmondsonsupply.com/products/white-rodgers-24a34-3-24v-electric-heat-sequencer-dpst")</f>
        <v/>
      </c>
      <c r="C1548" t="inlineStr">
        <is>
          <t>White-Rodgers 24A34-3 24V Electric Heat Sequencer, DPST</t>
        </is>
      </c>
      <c r="D1548" t="inlineStr">
        <is>
          <t>HVAC Parts Emerson White-Rodgers 24A34-4 24V Electric Heat Sequencer DPST</t>
        </is>
      </c>
      <c r="E1548" s="2">
        <f>HYPERLINK("https://www.amazon.com/HVAC-Parts-White-Rodgers-Electric-Sequencer/dp/B09N9VYKL1/ref=sr_1_2?keywords=White-Rodgers+24A34-3+24V+Electric+Heat+Sequencer%2C+DPST&amp;qid=1694734608&amp;sr=8-2", "https://www.amazon.com/HVAC-Parts-White-Rodgers-Electric-Sequencer/dp/B09N9VYKL1/ref=sr_1_2?keywords=White-Rodgers+24A34-3+24V+Electric+Heat+Sequencer%2C+DPST&amp;qid=1694734608&amp;sr=8-2")</f>
        <v/>
      </c>
      <c r="F1548" t="inlineStr">
        <is>
          <t>B09N9VYKL1</t>
        </is>
      </c>
      <c r="G1548">
        <f>_xlfn.IMAGE("https://edmondsonsupply.com/cdn/shop/products/24A34-3.jpg?v=1633030705")</f>
        <v/>
      </c>
      <c r="H1548">
        <f>_xlfn.IMAGE("https://m.media-amazon.com/images/I/71IXexQVGwL._AC_UL320_.jpg")</f>
        <v/>
      </c>
      <c r="K1548" t="inlineStr">
        <is>
          <t>12.99</t>
        </is>
      </c>
      <c r="L1548" t="n">
        <v>24.54</v>
      </c>
      <c r="M1548" s="1" t="inlineStr">
        <is>
          <t>88.91%</t>
        </is>
      </c>
      <c r="N1548" s="7" t="n">
        <v>18.39</v>
      </c>
      <c r="O1548" t="n">
        <v>5</v>
      </c>
      <c r="P1548" t="n">
        <v>1</v>
      </c>
      <c r="R1548" t="inlineStr">
        <is>
          <t>InStock</t>
        </is>
      </c>
      <c r="S1548" t="inlineStr">
        <is>
          <t>30.34</t>
        </is>
      </c>
      <c r="T1548" t="inlineStr">
        <is>
          <t>5861046452392</t>
        </is>
      </c>
    </row>
    <row r="1549" ht="87" customHeight="1">
      <c r="A1549" s="2">
        <f>HYPERLINK("https://edmondsonsupply.com/collections/hvac/products/rack-a-tiers-51020-exploding-garbage-can-ultra", "https://edmondsonsupply.com/collections/hvac/products/rack-a-tiers-51020-exploding-garbage-can-ultra")</f>
        <v/>
      </c>
      <c r="B1549" s="2">
        <f>HYPERLINK("https://edmondsonsupply.com/products/rack-a-tiers-51020-exploding-garbage-can-ultra", "https://edmondsonsupply.com/products/rack-a-tiers-51020-exploding-garbage-can-ultra")</f>
        <v/>
      </c>
      <c r="C1549" t="inlineStr">
        <is>
          <t>Rack-A-Tiers 51020 Exploding Garbage Can - Ultra</t>
        </is>
      </c>
      <c r="D1549" t="inlineStr">
        <is>
          <t>Rack-A-Tiers 51020 Exploding Garbage CAN Ultra</t>
        </is>
      </c>
      <c r="E1549" s="2">
        <f>HYPERLINK("https://www.amazon.com/Rack-Tiers-51020-Exploding-Garbage/dp/B07NLLQPTV/ref=sr_1_1?keywords=Rack-A-Tiers+51020+Exploding+Garbage+Can+-+Ultra&amp;qid=1694734732&amp;sr=8-1", "https://www.amazon.com/Rack-Tiers-51020-Exploding-Garbage/dp/B07NLLQPTV/ref=sr_1_1?keywords=Rack-A-Tiers+51020+Exploding+Garbage+Can+-+Ultra&amp;qid=1694734732&amp;sr=8-1")</f>
        <v/>
      </c>
      <c r="F1549" t="inlineStr">
        <is>
          <t>B07NLLQPTV</t>
        </is>
      </c>
      <c r="G1549">
        <f>_xlfn.IMAGE("https://edmondsonsupply.com/cdn/shop/products/51020-Exp-Can-Ultra.png?v=1587147271")</f>
        <v/>
      </c>
      <c r="H1549">
        <f>_xlfn.IMAGE("https://m.media-amazon.com/images/I/51e-1yeZ4VL._AC_UL320_.jpg")</f>
        <v/>
      </c>
      <c r="K1549" t="inlineStr">
        <is>
          <t>31.49</t>
        </is>
      </c>
      <c r="L1549" t="n">
        <v>59.45</v>
      </c>
      <c r="M1549" s="1" t="inlineStr">
        <is>
          <t>88.79%</t>
        </is>
      </c>
      <c r="N1549" s="7" t="n">
        <v>18.24</v>
      </c>
      <c r="O1549" t="n">
        <v>5</v>
      </c>
      <c r="P1549" t="n">
        <v>1</v>
      </c>
      <c r="R1549" t="inlineStr">
        <is>
          <t>OutOfStock</t>
        </is>
      </c>
      <c r="S1549" t="inlineStr">
        <is>
          <t>undefined</t>
        </is>
      </c>
      <c r="T1549" t="inlineStr">
        <is>
          <t>4349392814180</t>
        </is>
      </c>
    </row>
    <row r="1550" ht="87" customHeight="1">
      <c r="A1550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550" s="2">
        <f>HYPERLINK("https://edmondsonsupply.com/products/klein-tools-11053-klein-kurve%c2%ae-wire-stripper-cutter", "https://edmondsonsupply.com/products/klein-tools-11053-klein-kurve%c2%ae-wire-stripper-cutter")</f>
        <v/>
      </c>
      <c r="C1550" t="inlineStr">
        <is>
          <t>Klein Tools 11053 Klein-Kurve® Wire Stripper/Cutter</t>
        </is>
      </c>
      <c r="D1550" t="inlineStr">
        <is>
          <t>Klein Tools 11054EINS Electrician's Insulated Wire Stripper / Cutter, 1000V Rated, VDE Certified, for Solid and Stranded Wires,Orange/Gray</t>
        </is>
      </c>
      <c r="E1550" s="2">
        <f>HYPERLINK("https://www.amazon.com/Klein-Tools-11054EINS-Electricians-Insulated/dp/B00JGG5VJ4/ref=sr_1_27?keywords=Klein+Tools+11053+Klein-Kurve%C2%AE+Wire+Stripper%2FCutter&amp;qid=1694734664&amp;sr=8-27", "https://www.amazon.com/Klein-Tools-11054EINS-Electricians-Insulated/dp/B00JGG5VJ4/ref=sr_1_27?keywords=Klein+Tools+11053+Klein-Kurve%C2%AE+Wire+Stripper%2FCutter&amp;qid=1694734664&amp;sr=8-27")</f>
        <v/>
      </c>
      <c r="F1550" t="inlineStr">
        <is>
          <t>B00JGG5VJ4</t>
        </is>
      </c>
      <c r="G1550">
        <f>_xlfn.IMAGE("https://edmondsonsupply.com/cdn/shop/products/11053.jpg?v=1633030511")</f>
        <v/>
      </c>
      <c r="H1550">
        <f>_xlfn.IMAGE("https://m.media-amazon.com/images/I/415hBJVvvML._AC_UL320_.jpg")</f>
        <v/>
      </c>
      <c r="K1550" t="inlineStr">
        <is>
          <t>20.97</t>
        </is>
      </c>
      <c r="L1550" t="n">
        <v>39.5</v>
      </c>
      <c r="M1550" s="1" t="inlineStr">
        <is>
          <t>88.36%</t>
        </is>
      </c>
      <c r="N1550" s="7" t="n">
        <v>18.09</v>
      </c>
      <c r="O1550" t="n">
        <v>4.6</v>
      </c>
      <c r="P1550" t="n">
        <v>245</v>
      </c>
      <c r="R1550" t="inlineStr">
        <is>
          <t>InStock</t>
        </is>
      </c>
      <c r="S1550" t="inlineStr">
        <is>
          <t>31.76</t>
        </is>
      </c>
      <c r="T1550" t="inlineStr">
        <is>
          <t>5387171299496</t>
        </is>
      </c>
    </row>
    <row r="1551" ht="87" customHeight="1">
      <c r="A1551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551" s="2">
        <f>HYPERLINK("https://edmondsonsupply.com/products/klein-tools-32314-14-in-1-precision-screwdriver-nut-driver", "https://edmondsonsupply.com/products/klein-tools-32314-14-in-1-precision-screwdriver-nut-driver")</f>
        <v/>
      </c>
      <c r="C1551" t="inlineStr">
        <is>
          <t>Klein Tools 32314 14-in-1 Precision Screwdriver/ Nut Driver</t>
        </is>
      </c>
      <c r="D1551" t="inlineStr">
        <is>
          <t>Klein Tools 32314 Electronic Screwdriver, 14-in-1 &amp; Klein Tools 32614 Multi-bit Precision Screwdriver Set, 4-in-1 Electronics Pocket Screwdriver, Professional Phillips and Slotted Bits</t>
        </is>
      </c>
      <c r="E1551" s="2">
        <f>HYPERLINK("https://www.amazon.com/Klein-Tools-Screwdriver-Electronics-Professional/dp/B0BCTKFX55/ref=sr_1_9?keywords=Klein+Tools+32314+14-in-1+Precision+Screwdriver%2F+Nut+Driver&amp;qid=1694734697&amp;sr=8-9", "https://www.amazon.com/Klein-Tools-Screwdriver-Electronics-Professional/dp/B0BCTKFX55/ref=sr_1_9?keywords=Klein+Tools+32314+14-in-1+Precision+Screwdriver%2F+Nut+Driver&amp;qid=1694734697&amp;sr=8-9")</f>
        <v/>
      </c>
      <c r="F1551" t="inlineStr">
        <is>
          <t>B0BCTKFX55</t>
        </is>
      </c>
      <c r="G1551">
        <f>_xlfn.IMAGE("https://edmondsonsupply.com/cdn/shop/products/32314.jpg?v=1646593726")</f>
        <v/>
      </c>
      <c r="H1551">
        <f>_xlfn.IMAGE("https://m.media-amazon.com/images/I/41VYLvCNx9L._AC_UL320_.jpg")</f>
        <v/>
      </c>
      <c r="K1551" t="inlineStr">
        <is>
          <t>15.97</t>
        </is>
      </c>
      <c r="L1551" t="n">
        <v>30</v>
      </c>
      <c r="M1551" s="1" t="inlineStr">
        <is>
          <t>87.85%</t>
        </is>
      </c>
      <c r="N1551" s="7" t="n">
        <v>17.7</v>
      </c>
      <c r="O1551" t="n">
        <v>4.2</v>
      </c>
      <c r="P1551" t="n">
        <v>3</v>
      </c>
      <c r="R1551" t="inlineStr">
        <is>
          <t>InStock</t>
        </is>
      </c>
      <c r="S1551" t="inlineStr">
        <is>
          <t>22.38</t>
        </is>
      </c>
      <c r="T1551" t="inlineStr">
        <is>
          <t>7626984947928</t>
        </is>
      </c>
    </row>
    <row r="1552" ht="87" customHeight="1">
      <c r="A1552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552" s="2">
        <f>HYPERLINK("https://edmondsonsupply.com/products/klein-tools-32314-14-in-1-precision-screwdriver-nut-driver", "https://edmondsonsupply.com/products/klein-tools-32314-14-in-1-precision-screwdriver-nut-driver")</f>
        <v/>
      </c>
      <c r="C1552" t="inlineStr">
        <is>
          <t>Klein Tools 32314 14-in-1 Precision Screwdriver/ Nut Driver</t>
        </is>
      </c>
      <c r="D1552" t="inlineStr">
        <is>
          <t>Klein Tools 80045 Screwdriver and Nut Driver Tool Kit, Includes Magnetic 11 in 1, Multi-Bit Stubby and Electronics Screwdrivers, 3-Piece</t>
        </is>
      </c>
      <c r="E1552" s="2">
        <f>HYPERLINK("https://www.amazon.com/Klein-Tools-80045-Screwdriver-Screwdrivers/dp/B0977S63RW/ref=sr_1_44?keywords=Klein+Tools+32314+14-in-1+Precision+Screwdriver%2F+Nut+Driver&amp;qid=1694734697&amp;sr=8-44", "https://www.amazon.com/Klein-Tools-80045-Screwdriver-Screwdrivers/dp/B0977S63RW/ref=sr_1_44?keywords=Klein+Tools+32314+14-in-1+Precision+Screwdriver%2F+Nut+Driver&amp;qid=1694734697&amp;sr=8-44")</f>
        <v/>
      </c>
      <c r="F1552" t="inlineStr">
        <is>
          <t>B0977S63RW</t>
        </is>
      </c>
      <c r="G1552">
        <f>_xlfn.IMAGE("https://edmondsonsupply.com/cdn/shop/products/32314.jpg?v=1646593726")</f>
        <v/>
      </c>
      <c r="H1552">
        <f>_xlfn.IMAGE("https://m.media-amazon.com/images/I/51utneNxWTS._AC_UL320_.jpg")</f>
        <v/>
      </c>
      <c r="K1552" t="inlineStr">
        <is>
          <t>15.97</t>
        </is>
      </c>
      <c r="L1552" t="n">
        <v>29.99</v>
      </c>
      <c r="M1552" s="1" t="inlineStr">
        <is>
          <t>87.79%</t>
        </is>
      </c>
      <c r="N1552" s="7" t="n">
        <v>17.7</v>
      </c>
      <c r="O1552" t="n">
        <v>4.7</v>
      </c>
      <c r="P1552" t="n">
        <v>9173</v>
      </c>
      <c r="R1552" t="inlineStr">
        <is>
          <t>InStock</t>
        </is>
      </c>
      <c r="S1552" t="inlineStr">
        <is>
          <t>22.38</t>
        </is>
      </c>
      <c r="T1552" t="inlineStr">
        <is>
          <t>7626984947928</t>
        </is>
      </c>
    </row>
    <row r="1553" ht="87" customHeight="1">
      <c r="A1553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553" s="2">
        <f>HYPERLINK("https://edmondsonsupply.com/products/klein-tools-32314-14-in-1-precision-screwdriver-nut-driver", "https://edmondsonsupply.com/products/klein-tools-32314-14-in-1-precision-screwdriver-nut-driver")</f>
        <v/>
      </c>
      <c r="C1553" t="inlineStr">
        <is>
          <t>Klein Tools 32314 14-in-1 Precision Screwdriver/ Nut Driver</t>
        </is>
      </c>
      <c r="D1553" t="inlineStr">
        <is>
          <t>Klein Tools 32717 Precision Screwdriver Set with Case, All-in-One Multi-Function Repair Tool Kit Includes 39 Bits for Apple Products</t>
        </is>
      </c>
      <c r="E1553" s="2">
        <f>HYPERLINK("https://www.amazon.com/Klein-Tools-32717-Screwdriver-Multi-Function/dp/B08DRVM38X/ref=sr_1_40?keywords=Klein+Tools+32314+14-in-1+Precision+Screwdriver%2F+Nut+Driver&amp;qid=1694734697&amp;sr=8-40", "https://www.amazon.com/Klein-Tools-32717-Screwdriver-Multi-Function/dp/B08DRVM38X/ref=sr_1_40?keywords=Klein+Tools+32314+14-in-1+Precision+Screwdriver%2F+Nut+Driver&amp;qid=1694734697&amp;sr=8-40")</f>
        <v/>
      </c>
      <c r="F1553" t="inlineStr">
        <is>
          <t>B08DRVM38X</t>
        </is>
      </c>
      <c r="G1553">
        <f>_xlfn.IMAGE("https://edmondsonsupply.com/cdn/shop/products/32314.jpg?v=1646593726")</f>
        <v/>
      </c>
      <c r="H1553">
        <f>_xlfn.IMAGE("https://m.media-amazon.com/images/I/61tO1q+ldhL._AC_UL320_.jpg")</f>
        <v/>
      </c>
      <c r="K1553" t="inlineStr">
        <is>
          <t>15.97</t>
        </is>
      </c>
      <c r="L1553" t="n">
        <v>29.97</v>
      </c>
      <c r="M1553" s="1" t="inlineStr">
        <is>
          <t>87.66%</t>
        </is>
      </c>
      <c r="N1553" s="7" t="n">
        <v>17.66</v>
      </c>
      <c r="O1553" t="n">
        <v>4.9</v>
      </c>
      <c r="P1553" t="n">
        <v>2759</v>
      </c>
      <c r="R1553" t="inlineStr">
        <is>
          <t>InStock</t>
        </is>
      </c>
      <c r="S1553" t="inlineStr">
        <is>
          <t>22.38</t>
        </is>
      </c>
      <c r="T1553" t="inlineStr">
        <is>
          <t>7626984947928</t>
        </is>
      </c>
    </row>
    <row r="1554" ht="87" customHeight="1">
      <c r="A1554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554" s="2">
        <f>HYPERLINK("https://edmondsonsupply.com/products/klein-tools-11046-wire-stripper-cutter-16-26-awg-stranded", "https://edmondsonsupply.com/products/klein-tools-11046-wire-stripper-cutter-16-26-awg-stranded")</f>
        <v/>
      </c>
      <c r="C1554" t="inlineStr">
        <is>
          <t>Klein Tools 11046 Wire Stripper/Cutter 16-26 AWG Stranded</t>
        </is>
      </c>
      <c r="D1554" t="inlineStr">
        <is>
          <t>Klein Tools 11063W Wire Cutter / Wire Stripper, Heavy Duty Automatic Wire Stripper Tool for 8-20 AWG Solid and 10-22 AWG Stranded Electrical Wire,Blue/Black</t>
        </is>
      </c>
      <c r="E1554" s="2">
        <f>HYPERLINK("https://www.amazon.com/Stripper-Electrical-Klein-Tools-11063W/dp/B00BC39YFQ/ref=sr_1_12?keywords=Klein+Tools+11046+Wire+Stripper%2FCutter+16-26+AWG+Stranded&amp;qid=1694734810&amp;sr=8-12", "https://www.amazon.com/Stripper-Electrical-Klein-Tools-11063W/dp/B00BC39YFQ/ref=sr_1_12?keywords=Klein+Tools+11046+Wire+Stripper%2FCutter+16-26+AWG+Stranded&amp;qid=1694734810&amp;sr=8-12")</f>
        <v/>
      </c>
      <c r="F1554" t="inlineStr">
        <is>
          <t>B00BC39YFQ</t>
        </is>
      </c>
      <c r="G1554">
        <f>_xlfn.IMAGE("https://edmondsonsupply.com/cdn/shop/products/11046.jpg?v=1587147965")</f>
        <v/>
      </c>
      <c r="H1554">
        <f>_xlfn.IMAGE("https://m.media-amazon.com/images/I/51cWJR-r31L._AC_UL320_.jpg")</f>
        <v/>
      </c>
      <c r="K1554" t="inlineStr">
        <is>
          <t>15.97</t>
        </is>
      </c>
      <c r="L1554" t="n">
        <v>29.97</v>
      </c>
      <c r="M1554" s="1" t="inlineStr">
        <is>
          <t>87.66%</t>
        </is>
      </c>
      <c r="N1554" s="7" t="n">
        <v>17.65</v>
      </c>
      <c r="O1554" t="n">
        <v>4.8</v>
      </c>
      <c r="P1554" t="n">
        <v>9108</v>
      </c>
      <c r="R1554" t="inlineStr">
        <is>
          <t>InStock</t>
        </is>
      </c>
      <c r="S1554" t="inlineStr">
        <is>
          <t>23.56</t>
        </is>
      </c>
      <c r="T1554" t="inlineStr">
        <is>
          <t>3688603910244</t>
        </is>
      </c>
    </row>
    <row r="1555" ht="87" customHeight="1">
      <c r="A1555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555" s="2">
        <f>HYPERLINK("https://edmondsonsupply.com/products/klein-tools-11046-wire-stripper-cutter-16-26-awg-stranded", "https://edmondsonsupply.com/products/klein-tools-11046-wire-stripper-cutter-16-26-awg-stranded")</f>
        <v/>
      </c>
      <c r="C1555" t="inlineStr">
        <is>
          <t>Klein Tools 11046 Wire Stripper/Cutter 16-26 AWG Stranded</t>
        </is>
      </c>
      <c r="D1555" t="inlineStr">
        <is>
          <t>Klein Tools 11055RINS 1000V Insulated Klein Kurve Wire Stripper/Cutter Cuts and Strips 10-18 Solid and 12-20 Stranded AWG Wire, Orange</t>
        </is>
      </c>
      <c r="E1555" s="2">
        <f>HYPERLINK("https://www.amazon.com/Klein-Tools-11055RINS-Insulated-Stripper/dp/B0BFZBQ9XF/ref=sr_1_13?keywords=Klein+Tools+11046+Wire+Stripper%2FCutter+16-26+AWG+Stranded&amp;qid=1694734810&amp;sr=8-13", "https://www.amazon.com/Klein-Tools-11055RINS-Insulated-Stripper/dp/B0BFZBQ9XF/ref=sr_1_13?keywords=Klein+Tools+11046+Wire+Stripper%2FCutter+16-26+AWG+Stranded&amp;qid=1694734810&amp;sr=8-13")</f>
        <v/>
      </c>
      <c r="F1555" t="inlineStr">
        <is>
          <t>B0BFZBQ9XF</t>
        </is>
      </c>
      <c r="G1555">
        <f>_xlfn.IMAGE("https://edmondsonsupply.com/cdn/shop/products/11046.jpg?v=1587147965")</f>
        <v/>
      </c>
      <c r="H1555">
        <f>_xlfn.IMAGE("https://m.media-amazon.com/images/I/41Pemveg6bL._AC_UL320_.jpg")</f>
        <v/>
      </c>
      <c r="K1555" t="inlineStr">
        <is>
          <t>15.97</t>
        </is>
      </c>
      <c r="L1555" t="n">
        <v>29.97</v>
      </c>
      <c r="M1555" s="1" t="inlineStr">
        <is>
          <t>87.66%</t>
        </is>
      </c>
      <c r="N1555" s="7" t="n">
        <v>17.65</v>
      </c>
      <c r="O1555" t="n">
        <v>4.6</v>
      </c>
      <c r="P1555" t="n">
        <v>54</v>
      </c>
      <c r="R1555" t="inlineStr">
        <is>
          <t>InStock</t>
        </is>
      </c>
      <c r="S1555" t="inlineStr">
        <is>
          <t>23.56</t>
        </is>
      </c>
      <c r="T1555" t="inlineStr">
        <is>
          <t>3688603910244</t>
        </is>
      </c>
    </row>
    <row r="1556" ht="87" customHeight="1">
      <c r="A1556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1556" s="2">
        <f>HYPERLINK("https://edmondsonsupply.com/products/klein-tools-65064-2-in-1-hex-head-screwdriver-1-4-5-16", "https://edmondsonsupply.com/products/klein-tools-65064-2-in-1-hex-head-screwdriver-1-4-5-16")</f>
        <v/>
      </c>
      <c r="C1556" t="inlineStr">
        <is>
          <t>Klein Tools 65064 2-in-1 Nut Driver, Hex Head, 1/4-Inch and 5/16-Inch</t>
        </is>
      </c>
      <c r="D1556" t="inlineStr">
        <is>
          <t>Klein Tools 32807MAG 7-in-1 Nut Driver, Magnetic Driver has SAE Hex Nut Sizes 1/4 to 9/16-Inch, Cushion Grip Handle for Added Torque</t>
        </is>
      </c>
      <c r="E1556" s="2">
        <f>HYPERLINK("https://www.amazon.com/Driver-Magnetic-Klein-Tools-32807MAG/dp/B07D4M51DQ/ref=sr_1_8?keywords=Klein+Tools+65064+2-in-1+Nut+Driver%2C+Hex+Head%2C+1%2F4-Inch+and+5%2F16-Inch&amp;qid=1694734734&amp;sr=8-8", "https://www.amazon.com/Driver-Magnetic-Klein-Tools-32807MAG/dp/B07D4M51DQ/ref=sr_1_8?keywords=Klein+Tools+65064+2-in-1+Nut+Driver%2C+Hex+Head%2C+1%2F4-Inch+and+5%2F16-Inch&amp;qid=1694734734&amp;sr=8-8")</f>
        <v/>
      </c>
      <c r="F1556" t="inlineStr">
        <is>
          <t>B07D4M51DQ</t>
        </is>
      </c>
      <c r="G1556">
        <f>_xlfn.IMAGE("https://edmondsonsupply.com/cdn/shop/products/65064.jpg?v=1587147719")</f>
        <v/>
      </c>
      <c r="H1556">
        <f>_xlfn.IMAGE("https://m.media-amazon.com/images/I/61gwAJBzDAL._AC_UL320_.jpg")</f>
        <v/>
      </c>
      <c r="K1556" t="inlineStr">
        <is>
          <t>15.97</t>
        </is>
      </c>
      <c r="L1556" t="n">
        <v>29.97</v>
      </c>
      <c r="M1556" s="1" t="inlineStr">
        <is>
          <t>87.66%</t>
        </is>
      </c>
      <c r="N1556" s="7" t="n">
        <v>17.64</v>
      </c>
      <c r="O1556" t="n">
        <v>4.7</v>
      </c>
      <c r="P1556" t="n">
        <v>9145</v>
      </c>
      <c r="R1556" t="inlineStr">
        <is>
          <t>InStock</t>
        </is>
      </c>
      <c r="S1556" t="inlineStr">
        <is>
          <t>23.36</t>
        </is>
      </c>
      <c r="T1556" t="inlineStr">
        <is>
          <t>1707342889060</t>
        </is>
      </c>
    </row>
    <row r="1557" hidden="1" ht="15.75" customHeight="1">
      <c r="A1557" s="2">
        <f>HYPERLINK("https://edmondsonsupply.com/collections/hvac/products/diablo-tools-dsp3050-7-8-in-x-16-in-spade-bit", "https://edmondsonsupply.com/collections/hvac/products/diablo-tools-dsp3050-7-8-in-x-16-in-spade-bit")</f>
        <v/>
      </c>
      <c r="B1557" s="2">
        <f>HYPERLINK("https://edmondsonsupply.com/products/diablo-tools-dsp3050-7-8-in-x-16-in-spade-bit", "https://edmondsonsupply.com/products/diablo-tools-dsp3050-7-8-in-x-16-in-spade-bit")</f>
        <v/>
      </c>
      <c r="C1557" t="inlineStr">
        <is>
          <t>Diablo Tools DSP3050 7/8 in. x 16 in. Spade Bit</t>
        </is>
      </c>
      <c r="D1557" t="inlineStr">
        <is>
          <t>DEWALT Drill Bit, Spade, 7/8 Inch x 16 Inch (DW1594)</t>
        </is>
      </c>
      <c r="E1557" s="2">
        <f>HYPERLINK("https://www.amazon.com/DEWALT-DW1594-8-Inch-16-Inch-Spade/dp/B0001LQYW6/ref=sr_1_8?keywords=Diablo+Tools+DSP3050+7%2F8+in.+x+16+in.+Spade+Bit&amp;qid=1694734919&amp;sr=8-8", "https://www.amazon.com/DEWALT-DW1594-8-Inch-16-Inch-Spade/dp/B0001LQYW6/ref=sr_1_8?keywords=Diablo+Tools+DSP3050+7%2F8+in.+x+16+in.+Spade+Bit&amp;qid=1694734919&amp;sr=8-8")</f>
        <v/>
      </c>
      <c r="F1557" t="inlineStr">
        <is>
          <t>B0001LQYW6</t>
        </is>
      </c>
      <c r="G1557">
        <f>_xludf.IMAGE("https://edmondsonsupply.com/cdn/shop/files/y2jtkhe6p1ztkurhqyvu.webp?v=1685722260")</f>
        <v/>
      </c>
      <c r="H1557">
        <f>_xludf.IMAGE("https://m.media-amazon.com/images/I/51C03iSkKAS._AC_UL320_.jpg")</f>
        <v/>
      </c>
      <c r="K1557" t="inlineStr">
        <is>
          <t>6.99</t>
        </is>
      </c>
      <c r="L1557" t="n">
        <v>13.09</v>
      </c>
      <c r="M1557" s="1" t="inlineStr">
        <is>
          <t>87.27%</t>
        </is>
      </c>
      <c r="N1557" s="1" t="n">
        <v>17.64</v>
      </c>
      <c r="O1557" t="n">
        <v>4.6</v>
      </c>
      <c r="P1557" t="n">
        <v>93</v>
      </c>
      <c r="R1557" t="inlineStr">
        <is>
          <t>InStock</t>
        </is>
      </c>
      <c r="S1557" t="inlineStr">
        <is>
          <t>11.19</t>
        </is>
      </c>
      <c r="T1557" t="inlineStr">
        <is>
          <t>7999598330072</t>
        </is>
      </c>
    </row>
    <row r="1558" ht="87" customHeight="1">
      <c r="A1558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558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558" t="inlineStr">
        <is>
          <t>Klein Tools 32304 14-in-1 HVAC Adjustable-Length Impact Screwdriver with Flip Socket</t>
        </is>
      </c>
      <c r="D1558" t="inlineStr">
        <is>
          <t>Screwdriver, 14-in-1 Adjustable Screwdriver with Flip Socket, HVAC Nut Drivers and Bits, Impact Rated Klein Tools 32304 &amp; UEi Test Instruments PDT650 Folding Pocket Digital Thermometer,Yellow</t>
        </is>
      </c>
      <c r="E1558" s="2">
        <f>HYPERLINK("https://www.amazon.com/Screwdriver-Klein-Tools-Instruments-Thermometer/dp/B0B68FP3YG/ref=sr_1_3?keywords=Klein+Tools+32304+14-in-1+HVAC+Adjustable-Length+Impact+Screwdriver+with+Flip+Socket&amp;qid=1694734657&amp;sr=8-3", "https://www.amazon.com/Screwdriver-Klein-Tools-Instruments-Thermometer/dp/B0B68FP3YG/ref=sr_1_3?keywords=Klein+Tools+32304+14-in-1+HVAC+Adjustable-Length+Impact+Screwdriver+with+Flip+Socket&amp;qid=1694734657&amp;sr=8-3")</f>
        <v/>
      </c>
      <c r="F1558" t="inlineStr">
        <is>
          <t>B0B68FP3YG</t>
        </is>
      </c>
      <c r="G1558">
        <f>_xlfn.IMAGE("https://edmondsonsupply.com/cdn/shop/products/32304.jpg?v=1666019479")</f>
        <v/>
      </c>
      <c r="H1558">
        <f>_xlfn.IMAGE("https://m.media-amazon.com/images/I/41yTQwoccbL._AC_UL320_.jpg")</f>
        <v/>
      </c>
      <c r="K1558" t="inlineStr">
        <is>
          <t>24.97</t>
        </is>
      </c>
      <c r="L1558" t="n">
        <v>46.76</v>
      </c>
      <c r="M1558" s="1" t="inlineStr">
        <is>
          <t>87.26%</t>
        </is>
      </c>
      <c r="N1558" s="7" t="n">
        <v>17.5</v>
      </c>
      <c r="O1558" t="n">
        <v>4.6</v>
      </c>
      <c r="P1558" t="n">
        <v>40</v>
      </c>
      <c r="R1558" t="inlineStr">
        <is>
          <t>InStock</t>
        </is>
      </c>
      <c r="S1558" t="inlineStr">
        <is>
          <t>34.98</t>
        </is>
      </c>
      <c r="T1558" t="inlineStr">
        <is>
          <t>7856604578008</t>
        </is>
      </c>
    </row>
    <row r="1559" ht="87" customHeight="1">
      <c r="A1559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559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559" t="inlineStr">
        <is>
          <t>Yellow Jacket 25002 9" FLEXFLOW™ 1/4" Adaper Hose with Ball Valve - Yellow</t>
        </is>
      </c>
      <c r="D1559" t="inlineStr">
        <is>
          <t>Yellow Jacket 29112 Plus II 1/4" Hose with Compact Ball Valve, 12', Yellow</t>
        </is>
      </c>
      <c r="E1559" s="2">
        <f>HYPERLINK("https://www.amazon.com/Yellow-Jacket-29112-Compact-Valve/dp/B009AXAJKY/ref=sr_1_28?keywords=Yellow+Jacket+25002+9%22+FLEXFLOW%E2%84%A2+1%2F4%22+Adaper+Hose+with+Ball+Valve+-+Yellow&amp;qid=1694734728&amp;sr=8-28", "https://www.amazon.com/Yellow-Jacket-29112-Compact-Valve/dp/B009AXAJKY/ref=sr_1_28?keywords=Yellow+Jacket+25002+9%22+FLEXFLOW%E2%84%A2+1%2F4%22+Adaper+Hose+with+Ball+Valve+-+Yellow&amp;qid=1694734728&amp;sr=8-28")</f>
        <v/>
      </c>
      <c r="F1559" t="inlineStr">
        <is>
          <t>B009AXAJKY</t>
        </is>
      </c>
      <c r="G1559">
        <f>_xlfn.IMAGE("https://edmondsonsupply.com/cdn/shop/products/Yellow_Jacket_25002.jpg?v=1587150917")</f>
        <v/>
      </c>
      <c r="H1559">
        <f>_xlfn.IMAGE("https://m.media-amazon.com/images/I/810FI4NLi3L._AC_UL320_.jpg")</f>
        <v/>
      </c>
      <c r="K1559" t="inlineStr">
        <is>
          <t>35.54</t>
        </is>
      </c>
      <c r="L1559" t="n">
        <v>66.5</v>
      </c>
      <c r="M1559" s="1" t="inlineStr">
        <is>
          <t>87.11%</t>
        </is>
      </c>
      <c r="N1559" s="7" t="n">
        <v>17.4</v>
      </c>
      <c r="O1559" t="n">
        <v>4.1</v>
      </c>
      <c r="P1559" t="n">
        <v>2</v>
      </c>
      <c r="R1559" t="inlineStr">
        <is>
          <t>InStock</t>
        </is>
      </c>
      <c r="S1559" t="inlineStr">
        <is>
          <t>undefined</t>
        </is>
      </c>
      <c r="T1559" t="inlineStr">
        <is>
          <t>2633213739108</t>
        </is>
      </c>
    </row>
    <row r="1560" ht="87" customHeight="1">
      <c r="A1560" s="2">
        <f>HYPERLINK("https://edmondsonsupply.com/collections/hvac/products/packard-c140b-contactor-1-pole-40-amps-120-coil-voltage", "https://edmondsonsupply.com/collections/hvac/products/packard-c140b-contactor-1-pole-40-amps-120-coil-voltage")</f>
        <v/>
      </c>
      <c r="B1560" s="2">
        <f>HYPERLINK("https://edmondsonsupply.com/products/packard-c140b-contactor-1-pole-40-amps-120-coil-voltage", "https://edmondsonsupply.com/products/packard-c140b-contactor-1-pole-40-amps-120-coil-voltage")</f>
        <v/>
      </c>
      <c r="C1560" t="inlineStr">
        <is>
          <t>Packard C140B Contactor 1 Pole 40 Amps 120 Coil Voltage</t>
        </is>
      </c>
      <c r="D1560" t="inlineStr">
        <is>
          <t>Packard - DP301202 C230B 2 Pole 30 Amp Contactor, 120 Voltage Coil</t>
        </is>
      </c>
      <c r="E1560" s="2">
        <f>HYPERLINK("https://www.amazon.com/Packard-C230B-Pole-Contactor-Voltage/dp/B001KGSJ74/ref=sr_1_8?keywords=Packard+C140B+Contactor+1+Pole+40+Amps+120+Coil+Voltage&amp;qid=1694734666&amp;sr=8-8", "https://www.amazon.com/Packard-C230B-Pole-Contactor-Voltage/dp/B001KGSJ74/ref=sr_1_8?keywords=Packard+C140B+Contactor+1+Pole+40+Amps+120+Coil+Voltage&amp;qid=1694734666&amp;sr=8-8")</f>
        <v/>
      </c>
      <c r="F1560" t="inlineStr">
        <is>
          <t>B001KGSJ74</t>
        </is>
      </c>
      <c r="G1560">
        <f>_xlfn.IMAGE("https://edmondsonsupply.com/cdn/shop/products/C140B-1.jpg?v=1633030391")</f>
        <v/>
      </c>
      <c r="H1560">
        <f>_xlfn.IMAGE("https://m.media-amazon.com/images/I/71JufxTm19L._AC_UY218_.jpg")</f>
        <v/>
      </c>
      <c r="K1560" t="inlineStr">
        <is>
          <t>9.82</t>
        </is>
      </c>
      <c r="L1560" t="n">
        <v>18.34</v>
      </c>
      <c r="M1560" s="1" t="inlineStr">
        <is>
          <t>86.76%</t>
        </is>
      </c>
      <c r="N1560" s="7" t="n">
        <v>16.99</v>
      </c>
      <c r="O1560" t="n">
        <v>4.6</v>
      </c>
      <c r="P1560" t="n">
        <v>1674</v>
      </c>
      <c r="R1560" t="inlineStr">
        <is>
          <t>InStock</t>
        </is>
      </c>
      <c r="S1560" t="inlineStr">
        <is>
          <t>undefined</t>
        </is>
      </c>
      <c r="T1560" t="inlineStr">
        <is>
          <t>5301666218152</t>
        </is>
      </c>
    </row>
    <row r="1561" ht="87" customHeight="1">
      <c r="A1561" s="2">
        <f>HYPERLINK("https://edmondsonsupply.com/collections/hvac/products/packard-ptmj270a-motor-start-capacitor-220-250-volt-270-324-mfd", "https://edmondsonsupply.com/collections/hvac/products/packard-ptmj270a-motor-start-capacitor-220-250-volt-270-324-mfd")</f>
        <v/>
      </c>
      <c r="B1561" s="2">
        <f>HYPERLINK("https://edmondsonsupply.com/products/packard-ptmj270a-motor-start-capacitor-220-250-volt-270-324-mfd", "https://edmondsonsupply.com/products/packard-ptmj270a-motor-start-capacitor-220-250-volt-270-324-mfd")</f>
        <v/>
      </c>
      <c r="C1561" t="inlineStr">
        <is>
          <t>Packard PTMJ270A Motor Start Capacitor 220-250 Volt 270-324 MFD</t>
        </is>
      </c>
      <c r="D1561" t="inlineStr">
        <is>
          <t>PTMJ270 - Packard Upgraded Replacement Motor Start Capacitor 270-324 MFD 220-250 Volt VAC</t>
        </is>
      </c>
      <c r="E1561" s="2">
        <f>HYPERLINK("https://www.amazon.com/PTMJ270-Packard-Upgraded-Replacement-Capacitor/dp/B0773WQJ2T/ref=sr_1_3?keywords=Packard+PTMJ270A+Motor+Start+Capacitor+220-250+Volt+270-324+MFD&amp;qid=1694734791&amp;sr=8-3", "https://www.amazon.com/PTMJ270-Packard-Upgraded-Replacement-Capacitor/dp/B0773WQJ2T/ref=sr_1_3?keywords=Packard+PTMJ270A+Motor+Start+Capacitor+220-250+Volt+270-324+MFD&amp;qid=1694734791&amp;sr=8-3")</f>
        <v/>
      </c>
      <c r="F1561" t="inlineStr">
        <is>
          <t>B0773WQJ2T</t>
        </is>
      </c>
      <c r="G1561">
        <f>_xlfn.IMAGE("https://edmondsonsupply.com/cdn/shop/products/PTMJ270A-2.jpg?v=1633030308")</f>
        <v/>
      </c>
      <c r="H1561">
        <f>_xlfn.IMAGE("https://m.media-amazon.com/images/I/41fqQrQgJaL._AC_UY218_.jpg")</f>
        <v/>
      </c>
      <c r="K1561" t="inlineStr">
        <is>
          <t>9.92</t>
        </is>
      </c>
      <c r="L1561" t="n">
        <v>18.49</v>
      </c>
      <c r="M1561" s="1" t="inlineStr">
        <is>
          <t>86.39%</t>
        </is>
      </c>
      <c r="N1561" s="7" t="n">
        <v>16.91</v>
      </c>
      <c r="O1561" t="n">
        <v>4.4</v>
      </c>
      <c r="P1561" t="n">
        <v>10</v>
      </c>
      <c r="R1561" t="inlineStr">
        <is>
          <t>InStock</t>
        </is>
      </c>
      <c r="S1561" t="inlineStr">
        <is>
          <t>undefined</t>
        </is>
      </c>
      <c r="T1561" t="inlineStr">
        <is>
          <t>5241741181096</t>
        </is>
      </c>
    </row>
    <row r="1562" hidden="1" ht="15.75" customHeight="1">
      <c r="A1562" s="2">
        <f>HYPERLINK("https://edmondsonsupply.com/collections/hvac/products/diablo-tools-dsp2090-3-4-in-x-6-in-spade-bit", "https://edmondsonsupply.com/collections/hvac/products/diablo-tools-dsp2090-3-4-in-x-6-in-spade-bit")</f>
        <v/>
      </c>
      <c r="B1562" s="2">
        <f>HYPERLINK("https://edmondsonsupply.com/products/diablo-tools-dsp2090-3-4-in-x-6-in-spade-bit", "https://edmondsonsupply.com/products/diablo-tools-dsp2090-3-4-in-x-6-in-spade-bit")</f>
        <v/>
      </c>
      <c r="C1562" t="inlineStr">
        <is>
          <t>Diablo Tools DSP2090 3/4 in. x 6 in. Spade Bit</t>
        </is>
      </c>
      <c r="D1562" t="inlineStr">
        <is>
          <t>BOSCH NS1009 3/4 In. x 6 In. Nail Strike Wood-Boring Spade Bit</t>
        </is>
      </c>
      <c r="E1562" s="2">
        <f>HYPERLINK("https://www.amazon.com/Bosch-NS1009-Strike-Wood-Boring-Spade/dp/B07RHC1475/ref=sr_1_6?keywords=Diablo+Tools+DSP2090+3%2F4+in.+x+6+in.+Spade+Bit&amp;qid=1694734914&amp;sr=8-6", "https://www.amazon.com/Bosch-NS1009-Strike-Wood-Boring-Spade/dp/B07RHC1475/ref=sr_1_6?keywords=Diablo+Tools+DSP2090+3%2F4+in.+x+6+in.+Spade+Bit&amp;qid=1694734914&amp;sr=8-6")</f>
        <v/>
      </c>
      <c r="F1562" t="inlineStr">
        <is>
          <t>B07RHC1475</t>
        </is>
      </c>
      <c r="G1562">
        <f>_xludf.IMAGE("https://edmondsonsupply.com/cdn/shop/files/hg4rmyretai2aybkajqp.webp?v=1686587275")</f>
        <v/>
      </c>
      <c r="H1562">
        <f>_xludf.IMAGE("https://m.media-amazon.com/images/I/61y656UgLXL._AC_UL320_.jpg")</f>
        <v/>
      </c>
      <c r="K1562" t="inlineStr">
        <is>
          <t>5.37</t>
        </is>
      </c>
      <c r="L1562" t="n">
        <v>9.99</v>
      </c>
      <c r="M1562" s="1" t="inlineStr">
        <is>
          <t>86.03%</t>
        </is>
      </c>
      <c r="N1562" s="1" t="n">
        <v>16.91</v>
      </c>
      <c r="O1562" t="n">
        <v>4.3</v>
      </c>
      <c r="P1562" t="n">
        <v>53</v>
      </c>
      <c r="R1562" t="inlineStr">
        <is>
          <t>InStock</t>
        </is>
      </c>
      <c r="S1562" t="inlineStr">
        <is>
          <t>undefined</t>
        </is>
      </c>
      <c r="T1562" t="inlineStr">
        <is>
          <t>8004512710872</t>
        </is>
      </c>
    </row>
    <row r="1563" hidden="1" ht="15.75" customHeight="1">
      <c r="A1563" s="2">
        <f>HYPERLINK("https://edmondsonsupply.com/collections/hvac/products/diablo-tools-dsp2090-3-4-in-x-6-in-spade-bit", "https://edmondsonsupply.com/collections/hvac/products/diablo-tools-dsp2090-3-4-in-x-6-in-spade-bit")</f>
        <v/>
      </c>
      <c r="B1563" s="2">
        <f>HYPERLINK("https://edmondsonsupply.com/products/diablo-tools-dsp2090-3-4-in-x-6-in-spade-bit", "https://edmondsonsupply.com/products/diablo-tools-dsp2090-3-4-in-x-6-in-spade-bit")</f>
        <v/>
      </c>
      <c r="C1563" t="inlineStr">
        <is>
          <t>Diablo Tools DSP2090 3/4 in. x 6 in. Spade Bit</t>
        </is>
      </c>
      <c r="D1563" t="inlineStr">
        <is>
          <t>Benchmark Abrasives 3/4" x 6" Spade Drill Bit with Quick-Change Hex Shank Hole Cutter for Woodworking, Drilling, High-Speed Steel Paddle Flat Bits (3/4" x 6")</t>
        </is>
      </c>
      <c r="E1563" s="2">
        <f>HYPERLINK("https://www.amazon.com/Benchmark-Abrasives-Spade-Woodworking-Cutter/dp/B08Y95QPY5/ref=sr_1_35?keywords=Diablo+Tools+DSP2090+3%2F4+in.+x+6+in.+Spade+Bit&amp;qid=1694734914&amp;sr=8-35", "https://www.amazon.com/Benchmark-Abrasives-Spade-Woodworking-Cutter/dp/B08Y95QPY5/ref=sr_1_35?keywords=Diablo+Tools+DSP2090+3%2F4+in.+x+6+in.+Spade+Bit&amp;qid=1694734914&amp;sr=8-35")</f>
        <v/>
      </c>
      <c r="F1563" t="inlineStr">
        <is>
          <t>B08Y95QPY5</t>
        </is>
      </c>
      <c r="G1563">
        <f>_xludf.IMAGE("https://edmondsonsupply.com/cdn/shop/files/hg4rmyretai2aybkajqp.webp?v=1686587275")</f>
        <v/>
      </c>
      <c r="H1563">
        <f>_xludf.IMAGE("https://m.media-amazon.com/images/I/41hX4m1FW5L._AC_UL320_.jpg")</f>
        <v/>
      </c>
      <c r="K1563" t="inlineStr">
        <is>
          <t>5.37</t>
        </is>
      </c>
      <c r="L1563" t="n">
        <v>9.99</v>
      </c>
      <c r="M1563" s="1" t="inlineStr">
        <is>
          <t>86.03%</t>
        </is>
      </c>
      <c r="N1563" s="1" t="n">
        <v>16.77</v>
      </c>
      <c r="O1563" t="n">
        <v>4.1</v>
      </c>
      <c r="P1563" t="n">
        <v>6</v>
      </c>
      <c r="R1563" t="inlineStr">
        <is>
          <t>InStock</t>
        </is>
      </c>
      <c r="S1563" t="inlineStr">
        <is>
          <t>undefined</t>
        </is>
      </c>
      <c r="T1563" t="inlineStr">
        <is>
          <t>8004512710872</t>
        </is>
      </c>
    </row>
    <row r="1564" ht="87" customHeight="1">
      <c r="A1564" s="2">
        <f>HYPERLINK("https://edmondsonsupply.com/collections/hvac/products/klein-tools-j12098-8-journeyman-high-leverage-universal-combination-pliers", "https://edmondsonsupply.com/collections/hvac/products/klein-tools-j12098-8-journeyman-high-leverage-universal-combination-pliers")</f>
        <v/>
      </c>
      <c r="B1564" s="2">
        <f>HYPERLINK("https://edmondsonsupply.com/products/klein-tools-j12098-8-journeyman-high-leverage-universal-combination-pliers", "https://edmondsonsupply.com/products/klein-tools-j12098-8-journeyman-high-leverage-universal-combination-pliers")</f>
        <v/>
      </c>
      <c r="C1564" t="inlineStr">
        <is>
          <t>Klein Tools J12098 Journeyman Universal Combination Pliers</t>
        </is>
      </c>
      <c r="D1564" t="inlineStr">
        <is>
          <t>Klein Tools 12098-INS Insulated Universal Combination Pliers, Side Cutters with Crimper, 8-Inch</t>
        </is>
      </c>
      <c r="E1564" s="2">
        <f>HYPERLINK("https://www.amazon.com/Insulated-Combination-Klein-Tools-12098-INS/dp/B0002RI4V8/ref=sr_1_8?keywords=Klein+Tools+J12098+Journeyman+Universal+Combination+Pliers&amp;qid=1694734762&amp;sr=8-8", "https://www.amazon.com/Insulated-Combination-Klein-Tools-12098-INS/dp/B0002RI4V8/ref=sr_1_8?keywords=Klein+Tools+J12098+Journeyman+Universal+Combination+Pliers&amp;qid=1694734762&amp;sr=8-8")</f>
        <v/>
      </c>
      <c r="F1564" t="inlineStr">
        <is>
          <t>B0002RI4V8</t>
        </is>
      </c>
      <c r="G1564">
        <f>_xlfn.IMAGE("https://edmondsonsupply.com/cdn/shop/products/j12098.jpg?v=1587142847")</f>
        <v/>
      </c>
      <c r="H1564">
        <f>_xlfn.IMAGE("https://m.media-amazon.com/images/I/51I3JjFrgcL._AC_UL320_.jpg")</f>
        <v/>
      </c>
      <c r="K1564" t="inlineStr">
        <is>
          <t>34.99</t>
        </is>
      </c>
      <c r="L1564" t="n">
        <v>64.98999999999999</v>
      </c>
      <c r="M1564" s="1" t="inlineStr">
        <is>
          <t>85.74%</t>
        </is>
      </c>
      <c r="N1564" s="7" t="n">
        <v>16.75</v>
      </c>
      <c r="O1564" t="n">
        <v>5</v>
      </c>
      <c r="P1564" t="n">
        <v>10</v>
      </c>
      <c r="R1564" t="inlineStr">
        <is>
          <t>InStock</t>
        </is>
      </c>
      <c r="S1564" t="inlineStr">
        <is>
          <t>50.4</t>
        </is>
      </c>
      <c r="T1564" t="inlineStr">
        <is>
          <t>1989504860260</t>
        </is>
      </c>
    </row>
    <row r="1565" ht="87" customHeight="1">
      <c r="A1565" s="2">
        <f>HYPERLINK("https://edmondsonsupply.com/collections/hvac/products/viega-25201-1-2-x-1-2-megapressg-90-elbow", "https://edmondsonsupply.com/collections/hvac/products/viega-25201-1-2-x-1-2-megapressg-90-elbow")</f>
        <v/>
      </c>
      <c r="B1565" s="2">
        <f>HYPERLINK("https://edmondsonsupply.com/products/viega-25201-1-2-x-1-2-megapressg-90-elbow", "https://edmondsonsupply.com/products/viega-25201-1-2-x-1-2-megapressg-90-elbow")</f>
        <v/>
      </c>
      <c r="C1565" t="inlineStr">
        <is>
          <t>Viega 25201 1/2" x 1/2" MegaPressG 90° Elbow</t>
        </is>
      </c>
      <c r="D1565" t="inlineStr">
        <is>
          <t>VIEGA 79525 Propress Zero Lead Bronze 90-Degree Elbow with Female 1/2" x 1/2" P x Female NPT (2-Pack)</t>
        </is>
      </c>
      <c r="E1565" s="2">
        <f>HYPERLINK("https://www.amazon.com/79525-Propress-Bronze-90-Degree-Female/dp/B017BW6D6Y/ref=sr_1_6?keywords=Viega+25201+1%2F2%22+x+1%2F2%22+MegaPressG+90%C2%B0+Elbow&amp;qid=1694734855&amp;sr=8-6", "https://www.amazon.com/79525-Propress-Bronze-90-Degree-Female/dp/B017BW6D6Y/ref=sr_1_6?keywords=Viega+25201+1%2F2%22+x+1%2F2%22+MegaPressG+90%C2%B0+Elbow&amp;qid=1694734855&amp;sr=8-6")</f>
        <v/>
      </c>
      <c r="F1565" t="inlineStr">
        <is>
          <t>B017BW6D6Y</t>
        </is>
      </c>
      <c r="G1565">
        <f>_xlfn.IMAGE("https://edmondsonsupply.com/cdn/shop/files/PPm6616.jpg?v=1692223333")</f>
        <v/>
      </c>
      <c r="H1565">
        <f>_xlfn.IMAGE("https://m.media-amazon.com/images/I/51YlQO1pB2L._AC_UL320_.jpg")</f>
        <v/>
      </c>
      <c r="K1565" t="inlineStr">
        <is>
          <t>12.6</t>
        </is>
      </c>
      <c r="L1565" t="n">
        <v>23.39</v>
      </c>
      <c r="M1565" s="1" t="inlineStr">
        <is>
          <t>85.63%</t>
        </is>
      </c>
      <c r="N1565" s="7" t="n">
        <v>16.74</v>
      </c>
      <c r="O1565" t="n">
        <v>5</v>
      </c>
      <c r="P1565" t="n">
        <v>1</v>
      </c>
      <c r="R1565" t="inlineStr">
        <is>
          <t>InStock</t>
        </is>
      </c>
      <c r="S1565" t="inlineStr">
        <is>
          <t>21.72</t>
        </is>
      </c>
      <c r="T1565" t="inlineStr">
        <is>
          <t>8028105507032</t>
        </is>
      </c>
    </row>
    <row r="1566" ht="87" customHeight="1">
      <c r="A1566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566" s="2">
        <f>HYPERLINK("https://edmondsonsupply.com/products/klein-tools-11053-klein-kurve%c2%ae-wire-stripper-cutter", "https://edmondsonsupply.com/products/klein-tools-11053-klein-kurve%c2%ae-wire-stripper-cutter")</f>
        <v/>
      </c>
      <c r="C1566" t="inlineStr">
        <is>
          <t>Klein Tools 11053 Klein-Kurve® Wire Stripper/Cutter</t>
        </is>
      </c>
      <c r="D1566" t="inlineStr">
        <is>
          <t>Klein Tools 11045-INS Insulated Wire Stripper and Cutter,Orange</t>
        </is>
      </c>
      <c r="E1566" s="2">
        <f>HYPERLINK("https://www.amazon.com/Insulated-Stripper-Klein-Tools-11045-INS/dp/B0002RI4TK/ref=sr_1_28?keywords=Klein+Tools+11053+Klein-Kurve%C2%AE+Wire+Stripper%2FCutter&amp;qid=1694734664&amp;sr=8-28", "https://www.amazon.com/Insulated-Stripper-Klein-Tools-11045-INS/dp/B0002RI4TK/ref=sr_1_28?keywords=Klein+Tools+11053+Klein-Kurve%C2%AE+Wire+Stripper%2FCutter&amp;qid=1694734664&amp;sr=8-28")</f>
        <v/>
      </c>
      <c r="F1566" t="inlineStr">
        <is>
          <t>B0002RI4TK</t>
        </is>
      </c>
      <c r="G1566">
        <f>_xlfn.IMAGE("https://edmondsonsupply.com/cdn/shop/products/11053.jpg?v=1633030511")</f>
        <v/>
      </c>
      <c r="H1566">
        <f>_xlfn.IMAGE("https://m.media-amazon.com/images/I/51BhVtwSsVL._AC_UL320_.jpg")</f>
        <v/>
      </c>
      <c r="K1566" t="inlineStr">
        <is>
          <t>20.97</t>
        </is>
      </c>
      <c r="L1566" t="n">
        <v>38.89</v>
      </c>
      <c r="M1566" s="1" t="inlineStr">
        <is>
          <t>85.46%</t>
        </is>
      </c>
      <c r="N1566" s="7" t="n">
        <v>16.68</v>
      </c>
      <c r="O1566" t="n">
        <v>4.5</v>
      </c>
      <c r="P1566" t="n">
        <v>35</v>
      </c>
      <c r="R1566" t="inlineStr">
        <is>
          <t>InStock</t>
        </is>
      </c>
      <c r="S1566" t="inlineStr">
        <is>
          <t>31.76</t>
        </is>
      </c>
      <c r="T1566" t="inlineStr">
        <is>
          <t>5387171299496</t>
        </is>
      </c>
    </row>
    <row r="1567" ht="87" customHeight="1">
      <c r="A1567" s="2">
        <f>HYPERLINK("https://edmondsonsupply.com/collections/hvac/products/klein-tools-mm400-digital-multimeter-auto-ranging-600v", "https://edmondsonsupply.com/collections/hvac/products/klein-tools-mm400-digital-multimeter-auto-ranging-600v")</f>
        <v/>
      </c>
      <c r="B1567" s="2">
        <f>HYPERLINK("https://edmondsonsupply.com/products/klein-tools-mm400-digital-multimeter-auto-ranging-600v", "https://edmondsonsupply.com/products/klein-tools-mm400-digital-multimeter-auto-ranging-600v")</f>
        <v/>
      </c>
      <c r="C1567" t="inlineStr">
        <is>
          <t>Klein Tools MM400 Digital Multimeter, Auto-Ranging, 600V</t>
        </is>
      </c>
      <c r="D1567" t="inlineStr">
        <is>
          <t>Klein Tools MM400 Multimeter, Digital Auto Ranging, AC/DC Voltage &amp; 80016 Circuit Breaker Finder Tool Kit with Accessories, 2-Piece Set, Includes Cat. No. ET310 and Cat. No. 69411</t>
        </is>
      </c>
      <c r="E1567" s="2">
        <f>HYPERLINK("https://www.amazon.com/Klein-Tools-Multimeter-Digital-Accessories/dp/B0BXKC6RGC/ref=sr_1_6?keywords=Klein+Tools+MM400+Digital+Multimeter%2C+Auto-Ranging%2C+600V&amp;qid=1694734709&amp;sr=8-6", "https://www.amazon.com/Klein-Tools-Multimeter-Digital-Accessories/dp/B0BXKC6RGC/ref=sr_1_6?keywords=Klein+Tools+MM400+Digital+Multimeter%2C+Auto-Ranging%2C+600V&amp;qid=1694734709&amp;sr=8-6")</f>
        <v/>
      </c>
      <c r="F1567" t="inlineStr">
        <is>
          <t>B0BXKC6RGC</t>
        </is>
      </c>
      <c r="G1567">
        <f>_xlfn.IMAGE("https://edmondsonsupply.com/cdn/shop/products/mm400_alt1.jpg?v=1633030778")</f>
        <v/>
      </c>
      <c r="H1567">
        <f>_xlfn.IMAGE("https://m.media-amazon.com/images/I/519au2a-YEL._AC_UL320_.jpg")</f>
        <v/>
      </c>
      <c r="K1567" t="inlineStr">
        <is>
          <t>54.97</t>
        </is>
      </c>
      <c r="L1567" t="n">
        <v>101.89</v>
      </c>
      <c r="M1567" s="1" t="inlineStr">
        <is>
          <t>85.36%</t>
        </is>
      </c>
      <c r="N1567" s="7" t="n">
        <v>16.08</v>
      </c>
      <c r="O1567" t="n">
        <v>4.8</v>
      </c>
      <c r="P1567" t="n">
        <v>14</v>
      </c>
      <c r="R1567" t="inlineStr">
        <is>
          <t>InStock</t>
        </is>
      </c>
      <c r="S1567" t="inlineStr">
        <is>
          <t>79.76</t>
        </is>
      </c>
      <c r="T1567" t="inlineStr">
        <is>
          <t>5963177492648</t>
        </is>
      </c>
    </row>
    <row r="1568" ht="87" customHeight="1">
      <c r="A1568" s="2">
        <f>HYPERLINK("https://edmondsonsupply.com/collections/hvac/products/packard-trcfd405-titan-pro-run-capacitor-40-5-mfd-440-370-volt-round", "https://edmondsonsupply.com/collections/hvac/products/packard-trcfd405-titan-pro-run-capacitor-40-5-mfd-440-370-volt-round")</f>
        <v/>
      </c>
      <c r="B1568" s="2">
        <f>HYPERLINK("https://edmondsonsupply.com/products/packard-trcfd405-titan-pro-run-capacitor-40-5-mfd-440-370-volt-round", "https://edmondsonsupply.com/products/packard-trcfd405-titan-pro-run-capacitor-40-5-mfd-440-370-volt-round")</f>
        <v/>
      </c>
      <c r="C1568" t="inlineStr">
        <is>
          <t>Packard TRCFD405 Titan PRO Run Capacitor 40+5 MFD 440/370 Volt Round</t>
        </is>
      </c>
      <c r="D1568" t="inlineStr">
        <is>
          <t>TitanPro TRCFD405 HVAC Round Dual Motor Run Capacitor. 40/5 MFD/UF 440/370 Volts</t>
        </is>
      </c>
      <c r="E1568" s="2">
        <f>HYPERLINK("https://www.amazon.com/TitanPro-TRCFD405-Round-Motor-Capacitor/dp/B01EZ6JWEE/ref=sr_1_2?keywords=Packard+TRCFD405+Titan+PRO+Run+Capacitor+40+5+MFD+440%2F370+Volt+Round&amp;qid=1694734668&amp;sr=8-2", "https://www.amazon.com/TitanPro-TRCFD405-Round-Motor-Capacitor/dp/B01EZ6JWEE/ref=sr_1_2?keywords=Packard+TRCFD405+Titan+PRO+Run+Capacitor+40+5+MFD+440%2F370+Volt+Round&amp;qid=1694734668&amp;sr=8-2")</f>
        <v/>
      </c>
      <c r="F1568" t="inlineStr">
        <is>
          <t>B01EZ6JWEE</t>
        </is>
      </c>
      <c r="G1568">
        <f>_xlfn.IMAGE("https://edmondsonsupply.com/cdn/shop/products/TRCFD405-2.jpg?v=1633030399")</f>
        <v/>
      </c>
      <c r="H1568">
        <f>_xlfn.IMAGE("https://m.media-amazon.com/images/I/51cHjuUfHWL._AC_UY218_.jpg")</f>
        <v/>
      </c>
      <c r="K1568" t="inlineStr">
        <is>
          <t>8.39</t>
        </is>
      </c>
      <c r="L1568" t="n">
        <v>15.54</v>
      </c>
      <c r="M1568" s="1" t="inlineStr">
        <is>
          <t>85.22%</t>
        </is>
      </c>
      <c r="N1568" s="7" t="n">
        <v>16.06</v>
      </c>
      <c r="O1568" t="n">
        <v>4.8</v>
      </c>
      <c r="P1568" t="n">
        <v>6</v>
      </c>
      <c r="R1568" t="inlineStr">
        <is>
          <t>OutOfStock</t>
        </is>
      </c>
      <c r="S1568" t="inlineStr">
        <is>
          <t>undefined</t>
        </is>
      </c>
      <c r="T1568" t="inlineStr">
        <is>
          <t>5302386950312</t>
        </is>
      </c>
    </row>
    <row r="1569" hidden="1" ht="15.75" customHeight="1">
      <c r="A1569" s="2">
        <f>HYPERLINK("https://edmondsonsupply.com/collections/hvac/products/rectorseal-66735-nokink-5-8-x-3-flexible-refrigerant-line-connector", "https://edmondsonsupply.com/collections/hvac/products/rectorseal-66735-nokink-5-8-x-3-flexible-refrigerant-line-connector")</f>
        <v/>
      </c>
      <c r="B1569" s="2">
        <f>HYPERLINK("https://edmondsonsupply.com/products/rectorseal-66735-nokink-5-8-x-3-flexible-refrigerant-line-connector", "https://edmondsonsupply.com/products/rectorseal-66735-nokink-5-8-x-3-flexible-refrigerant-line-connector")</f>
        <v/>
      </c>
      <c r="C1569" t="inlineStr">
        <is>
          <t>RectorSeal 66735 NoKink 5/8" x 3' Flexible Refrigerant Line Connector</t>
        </is>
      </c>
      <c r="D1569" t="inlineStr">
        <is>
          <t>Rectorseal 68235 NoKink Flexible Refrigerant Line Connector, 5/8" x 72"</t>
        </is>
      </c>
      <c r="E1569" s="2">
        <f>HYPERLINK("https://www.amazon.com/Rectorseal-68235-Flexible-Refrigerant-Connector/dp/B01ALRVLTA/ref=sr_1_1?keywords=RectorSeal+66735+NoKink+5%2F8%22+x+3%27+Flexible+Refrigerant+Line+Connector&amp;qid=1694734660&amp;sr=8-1", "https://www.amazon.com/Rectorseal-68235-Flexible-Refrigerant-Connector/dp/B01ALRVLTA/ref=sr_1_1?keywords=RectorSeal+66735+NoKink+5%2F8%22+x+3%27+Flexible+Refrigerant+Line+Connector&amp;qid=1694734660&amp;sr=8-1")</f>
        <v/>
      </c>
      <c r="F1569" t="inlineStr">
        <is>
          <t>B01ALRVLTA</t>
        </is>
      </c>
      <c r="G1569">
        <f>_xludf.IMAGE("https://edmondsonsupply.com/cdn/shop/products/66735-1.jpg?v=1632264692")</f>
        <v/>
      </c>
      <c r="H1569">
        <f>_xludf.IMAGE("https://m.media-amazon.com/images/I/51pjB6ZOm9L._AC_UL320_.jpg")</f>
        <v/>
      </c>
      <c r="K1569" t="inlineStr">
        <is>
          <t>79.99</t>
        </is>
      </c>
      <c r="L1569" t="n">
        <v>148.08</v>
      </c>
      <c r="M1569" s="1" t="inlineStr">
        <is>
          <t>85.12%</t>
        </is>
      </c>
      <c r="N1569" s="1" t="n">
        <v>15.96</v>
      </c>
      <c r="O1569" t="n">
        <v>4</v>
      </c>
      <c r="P1569" t="n">
        <v>5</v>
      </c>
      <c r="R1569" t="inlineStr">
        <is>
          <t>InStock</t>
        </is>
      </c>
      <c r="S1569" t="inlineStr">
        <is>
          <t>undefined</t>
        </is>
      </c>
      <c r="T1569" t="inlineStr">
        <is>
          <t>6957687439533</t>
        </is>
      </c>
    </row>
    <row r="1570" ht="87" customHeight="1">
      <c r="A1570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570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570" t="inlineStr">
        <is>
          <t>Klein Tools 70550 Pro Folding Hex Key Set, 11-Key, SAE Sizes</t>
        </is>
      </c>
      <c r="D1570" t="inlineStr">
        <is>
          <t>Klein Tools 70550 Hex Key Set, 11 SAE Sizes, Heavy Duty Folding Allen Wrench Tool &amp; 32308 Multi-bit Stubby Screwdriver, Impact Rated 8-in-1 Adjustable Magnetic Tool</t>
        </is>
      </c>
      <c r="E1570" s="2">
        <f>HYPERLINK("https://www.amazon.com/Klein-Tools-Multi-bit-Screwdriver-Adjustable/dp/B0BC874NXV/ref=sr_1_2?keywords=Klein+Tools+70550+Pro+Folding+Hex+Key+Set%2C+11-Key%2C+SAE+Sizes&amp;qid=1694734808&amp;sr=8-2", "https://www.amazon.com/Klein-Tools-Multi-bit-Screwdriver-Adjustable/dp/B0BC874NXV/ref=sr_1_2?keywords=Klein+Tools+70550+Pro+Folding+Hex+Key+Set%2C+11-Key%2C+SAE+Sizes&amp;qid=1694734808&amp;sr=8-2")</f>
        <v/>
      </c>
      <c r="F1570" t="inlineStr">
        <is>
          <t>B0BC874NXV</t>
        </is>
      </c>
      <c r="G1570">
        <f>_xlfn.IMAGE("https://edmondsonsupply.com/cdn/shop/products/70550.jpg?v=1587145237")</f>
        <v/>
      </c>
      <c r="H1570">
        <f>_xlfn.IMAGE("https://m.media-amazon.com/images/I/51DupKa9UOL._AC_UL320_.jpg")</f>
        <v/>
      </c>
      <c r="K1570" t="inlineStr">
        <is>
          <t>19.97</t>
        </is>
      </c>
      <c r="L1570" t="n">
        <v>36.94</v>
      </c>
      <c r="M1570" s="1" t="inlineStr">
        <is>
          <t>84.98%</t>
        </is>
      </c>
      <c r="N1570" s="7" t="n">
        <v>15.88</v>
      </c>
      <c r="O1570" t="n">
        <v>5</v>
      </c>
      <c r="P1570" t="n">
        <v>1</v>
      </c>
      <c r="R1570" t="inlineStr">
        <is>
          <t>InStock</t>
        </is>
      </c>
      <c r="S1570" t="inlineStr">
        <is>
          <t>27.18</t>
        </is>
      </c>
      <c r="T1570" t="inlineStr">
        <is>
          <t>3693538082916</t>
        </is>
      </c>
    </row>
    <row r="1571" ht="87" customHeight="1">
      <c r="A1571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571" s="2">
        <f>HYPERLINK("https://edmondsonsupply.com/products/packard-c230b-contactor-2-pole-30-amps-120-coil-voltage", "https://edmondsonsupply.com/products/packard-c230b-contactor-2-pole-30-amps-120-coil-voltage")</f>
        <v/>
      </c>
      <c r="C1571" t="inlineStr">
        <is>
          <t>Packard C230B Contactor 2 Pole 30 AMPS 120 Coil Voltage</t>
        </is>
      </c>
      <c r="D1571" t="inlineStr">
        <is>
          <t>Dreyoo 2 Pack Carrier HVAC Motor Contactor, 120V 30 Amp Coil 2 Pole Replacement Relays Compatible with C230B, Air Conditioner, Heat Pump, Refrigeration Systems (2 Pole 30A 120V)</t>
        </is>
      </c>
      <c r="E1571" s="2">
        <f>HYPERLINK("https://www.amazon.com/Dreyoo-Replacement-Compatible-Conditioner-Refrigeration/dp/B0BTLZCT96/ref=sr_1_7?keywords=Packard+C230B+Contactor+2+Pole+30+AMPS+120+Coil+Voltage&amp;qid=1694734817&amp;sr=8-7", "https://www.amazon.com/Dreyoo-Replacement-Compatible-Conditioner-Refrigeration/dp/B0BTLZCT96/ref=sr_1_7?keywords=Packard+C230B+Contactor+2+Pole+30+AMPS+120+Coil+Voltage&amp;qid=1694734817&amp;sr=8-7")</f>
        <v/>
      </c>
      <c r="F1571" t="inlineStr">
        <is>
          <t>B0BTLZCT96</t>
        </is>
      </c>
      <c r="G1571">
        <f>_xlfn.IMAGE("https://edmondsonsupply.com/cdn/shop/products/C230B-1.jpg?v=1587142333")</f>
        <v/>
      </c>
      <c r="H1571">
        <f>_xlfn.IMAGE("https://m.media-amazon.com/images/I/71VVG8jVKJL._AC_UY218_.jpg")</f>
        <v/>
      </c>
      <c r="K1571" t="inlineStr">
        <is>
          <t>10.82</t>
        </is>
      </c>
      <c r="L1571" t="n">
        <v>19.99</v>
      </c>
      <c r="M1571" s="1" t="inlineStr">
        <is>
          <t>84.75%</t>
        </is>
      </c>
      <c r="N1571" s="7" t="n">
        <v>15.67</v>
      </c>
      <c r="O1571" t="n">
        <v>4.4</v>
      </c>
      <c r="P1571" t="n">
        <v>20</v>
      </c>
      <c r="R1571" t="inlineStr">
        <is>
          <t>InStock</t>
        </is>
      </c>
      <c r="S1571" t="inlineStr">
        <is>
          <t>undefined</t>
        </is>
      </c>
      <c r="T1571" t="inlineStr">
        <is>
          <t>4367983673444</t>
        </is>
      </c>
    </row>
    <row r="1572" ht="87" customHeight="1">
      <c r="A1572" s="2">
        <f>HYPERLINK("https://edmondsonsupply.com/collections/hvac/products/robertshaw-41-414-hot-surface-furnace-ignitor-carbide", "https://edmondsonsupply.com/collections/hvac/products/robertshaw-41-414-hot-surface-furnace-ignitor-carbide")</f>
        <v/>
      </c>
      <c r="B1572" s="2">
        <f>HYPERLINK("https://edmondsonsupply.com/products/robertshaw-41-414-hot-surface-furnace-ignitor-carbide", "https://edmondsonsupply.com/products/robertshaw-41-414-hot-surface-furnace-ignitor-carbide")</f>
        <v/>
      </c>
      <c r="C1572" t="inlineStr">
        <is>
          <t>Robertshaw 41-414 Hot Surface Furnace Ignitor (Carbide)</t>
        </is>
      </c>
      <c r="D1572" t="inlineStr">
        <is>
          <t>OEM Upgraded Replacement for Robertshaw Furnace Hot Surface Ignitor / Igniter 41-409</t>
        </is>
      </c>
      <c r="E1572" s="2">
        <f>HYPERLINK("https://www.amazon.com/Upgraded-Replacement-Robertshaw-Furnace-Surface/dp/B00EE86RC4/ref=sr_1_18?keywords=Robertshaw+41-414+Hot+Surface+Furnace+Ignitor+%28Carbide%29&amp;qid=1694734867&amp;sr=8-18", "https://www.amazon.com/Upgraded-Replacement-Robertshaw-Furnace-Surface/dp/B00EE86RC4/ref=sr_1_18?keywords=Robertshaw+41-414+Hot+Surface+Furnace+Ignitor+%28Carbide%29&amp;qid=1694734867&amp;sr=8-18")</f>
        <v/>
      </c>
      <c r="F1572" t="inlineStr">
        <is>
          <t>B00EE86RC4</t>
        </is>
      </c>
      <c r="G1572">
        <f>_xlfn.IMAGE("https://edmondsonsupply.com/cdn/shop/files/41-414.jpg?v=1691509200")</f>
        <v/>
      </c>
      <c r="H1572">
        <f>_xlfn.IMAGE("https://m.media-amazon.com/images/I/51zXvmm6rzL._AC_UL320_.jpg")</f>
        <v/>
      </c>
      <c r="K1572" t="inlineStr">
        <is>
          <t>18.08</t>
        </is>
      </c>
      <c r="L1572" t="n">
        <v>33.38</v>
      </c>
      <c r="M1572" s="1" t="inlineStr">
        <is>
          <t>84.62%</t>
        </is>
      </c>
      <c r="N1572" s="7" t="n">
        <v>15.52</v>
      </c>
      <c r="O1572" t="n">
        <v>5</v>
      </c>
      <c r="P1572" t="n">
        <v>2</v>
      </c>
      <c r="R1572" t="inlineStr">
        <is>
          <t>InStock</t>
        </is>
      </c>
      <c r="S1572" t="inlineStr">
        <is>
          <t>undefined</t>
        </is>
      </c>
      <c r="T1572" t="inlineStr">
        <is>
          <t>8025482821848</t>
        </is>
      </c>
    </row>
    <row r="1573" ht="87" customHeight="1">
      <c r="A1573" s="2">
        <f>HYPERLINK("https://edmondsonsupply.com/collections/hvac/products/packard-titan-pro-tmj1000-motor-start-capacitor-1000-1200-mfd-110-125-vac", "https://edmondsonsupply.com/collections/hvac/products/packard-titan-pro-tmj1000-motor-start-capacitor-1000-1200-mfd-110-125-vac")</f>
        <v/>
      </c>
      <c r="B1573" s="2">
        <f>HYPERLINK("https://edmondsonsupply.com/products/packard-titan-pro-tmj1000-motor-start-capacitor-1000-1200-mfd-110-125-vac", "https://edmondsonsupply.com/products/packard-titan-pro-tmj1000-motor-start-capacitor-1000-1200-mfd-110-125-vac")</f>
        <v/>
      </c>
      <c r="C1573" t="inlineStr">
        <is>
          <t>Packard Titan Pro TMJ1000 Motor Start Capacitor 1000-1200 MFD 110-125 VAC</t>
        </is>
      </c>
      <c r="D1573" t="inlineStr">
        <is>
          <t>PMJ1000 - Packard Upgraded Replacement Motor Start Capacitor 1000-1200 MFD 110-125 Volt VAC</t>
        </is>
      </c>
      <c r="E1573" s="2">
        <f>HYPERLINK("https://www.amazon.com/PMJ1000-Upgraded-Replacement-Capacitor-1000-1200/dp/B0773WWGF5/ref=sr_1_1?keywords=Packard+Titan+Pro+TMJ1000+Motor+Start+Capacitor+1000-1200+MFD+110-125+VAC&amp;qid=1694734852&amp;sr=8-1", "https://www.amazon.com/PMJ1000-Upgraded-Replacement-Capacitor-1000-1200/dp/B0773WWGF5/ref=sr_1_1?keywords=Packard+Titan+Pro+TMJ1000+Motor+Start+Capacitor+1000-1200+MFD+110-125+VAC&amp;qid=1694734852&amp;sr=8-1")</f>
        <v/>
      </c>
      <c r="F1573" t="inlineStr">
        <is>
          <t>B0773WWGF5</t>
        </is>
      </c>
      <c r="G1573">
        <f>_xlfn.IMAGE("https://edmondsonsupply.com/cdn/shop/files/PMJ1000-2_d40c21de-847b-4df9-b3b2-83dd78de3b34.jpg?v=1692631470")</f>
        <v/>
      </c>
      <c r="H1573">
        <f>_xlfn.IMAGE("https://m.media-amazon.com/images/I/41fqQrQgJaL._AC_UY218_.jpg")</f>
        <v/>
      </c>
      <c r="K1573" t="inlineStr">
        <is>
          <t>10.57</t>
        </is>
      </c>
      <c r="L1573" t="n">
        <v>19.49</v>
      </c>
      <c r="M1573" s="1" t="inlineStr">
        <is>
          <t>84.39%</t>
        </is>
      </c>
      <c r="N1573" s="7" t="n">
        <v>15.48</v>
      </c>
      <c r="O1573" t="n">
        <v>5</v>
      </c>
      <c r="P1573" t="n">
        <v>3</v>
      </c>
      <c r="R1573" t="inlineStr">
        <is>
          <t>InStock</t>
        </is>
      </c>
      <c r="S1573" t="inlineStr">
        <is>
          <t>undefined</t>
        </is>
      </c>
      <c r="T1573" t="inlineStr">
        <is>
          <t>8029409280216</t>
        </is>
      </c>
    </row>
    <row r="1574" ht="87" customHeight="1">
      <c r="A1574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1574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1574" t="inlineStr">
        <is>
          <t>Packard TRCFD455 Titan PRO Run Capacitor 45+5 MFD 440/370 Volt Round</t>
        </is>
      </c>
      <c r="D1574" t="inlineStr">
        <is>
          <t>Packard TRCFD455 45+5MFD 440/370V Round Run Capacitor Replaces PRCFD455</t>
        </is>
      </c>
      <c r="E1574" s="2">
        <f>HYPERLINK("https://www.amazon.com/Packard-TRCFD455-Capacitor-Replaces-PRCFD455/dp/B07TPFL8FB/ref=sr_1_2?keywords=Packard+TRCFD455+Titan+PRO+Run+Capacitor+45%2B5+MFD+440%2F370+Volt+Round&amp;qid=1694734617&amp;sr=8-2", "https://www.amazon.com/Packard-TRCFD455-Capacitor-Replaces-PRCFD455/dp/B07TPFL8FB/ref=sr_1_2?keywords=Packard+TRCFD455+Titan+PRO+Run+Capacitor+45%2B5+MFD+440%2F370+Volt+Round&amp;qid=1694734617&amp;sr=8-2")</f>
        <v/>
      </c>
      <c r="F1574" t="inlineStr">
        <is>
          <t>B07TPFL8FB</t>
        </is>
      </c>
      <c r="G1574">
        <f>_xlfn.IMAGE("https://edmondsonsupply.com/cdn/shop/products/TRCFD455-2.jpg?v=1587147298")</f>
        <v/>
      </c>
      <c r="H1574">
        <f>_xlfn.IMAGE("https://m.media-amazon.com/images/I/51+hKIHWFoL._AC_UY218_.jpg")</f>
        <v/>
      </c>
      <c r="K1574" t="inlineStr">
        <is>
          <t>8.99</t>
        </is>
      </c>
      <c r="L1574" t="n">
        <v>16.53</v>
      </c>
      <c r="M1574" s="1" t="inlineStr">
        <is>
          <t>83.87%</t>
        </is>
      </c>
      <c r="N1574" s="7" t="n">
        <v>15.16</v>
      </c>
      <c r="O1574" t="n">
        <v>5</v>
      </c>
      <c r="P1574" t="n">
        <v>5</v>
      </c>
      <c r="R1574" t="inlineStr">
        <is>
          <t>OutOfStock</t>
        </is>
      </c>
      <c r="S1574" t="inlineStr">
        <is>
          <t>undefined</t>
        </is>
      </c>
      <c r="T1574" t="inlineStr">
        <is>
          <t>4309334556772</t>
        </is>
      </c>
    </row>
    <row r="1575" hidden="1" ht="15.75" customHeight="1">
      <c r="A1575" s="2">
        <f>HYPERLINK("https://edmondsonsupply.com/collections/hvac/products/holyoke-3-4-garden-hose-thread-fitting-brass-female-garden-hose-to-hose-barb-swivel-adapter", "https://edmondsonsupply.com/collections/hvac/products/holyoke-3-4-garden-hose-thread-fitting-brass-female-garden-hose-to-hose-barb-swivel-adapter")</f>
        <v/>
      </c>
      <c r="B1575" s="2">
        <f>HYPERLINK("https://edmondsonsupply.com/products/holyoke-3-4-garden-hose-thread-fitting-brass-female-garden-hose-to-hose-barb-swivel-adapter", "https://edmondsonsupply.com/products/holyoke-3-4-garden-hose-thread-fitting-brass-female-garden-hose-to-hose-barb-swivel-adapter")</f>
        <v/>
      </c>
      <c r="C1575" t="inlineStr">
        <is>
          <t>Holyoke Fittings 1055-FHFH 3/4" Garden Hose Thread Fitting - Brass Female Garden Hose to Hose Swivel Adapter</t>
        </is>
      </c>
      <c r="D1575" t="inlineStr">
        <is>
          <t>2 PACK G1/2 Female to GHT 3/4 Male Hose Adapter Brass Threaded Pipe Fitting Hose Connector Hose Coupler Water Hose Adapter Garden Hose Swivel</t>
        </is>
      </c>
      <c r="E1575" s="2">
        <f>HYPERLINK("https://www.amazon.com/Adapter-Threaded-Fitting-Connector-Coupler/dp/B09YHGXQ5P/ref=sr_1_15?keywords=Holyoke+Fittings+1055-FHFH+3%2F4%22+Garden+Hose+Thread+Fitting+-+Brass+Female+Garden+Hose+to+Hose+Swivel+Adapter&amp;qid=1694734918&amp;sr=8-15", "https://www.amazon.com/Adapter-Threaded-Fitting-Connector-Coupler/dp/B09YHGXQ5P/ref=sr_1_15?keywords=Holyoke+Fittings+1055-FHFH+3%2F4%22+Garden+Hose+Thread+Fitting+-+Brass+Female+Garden+Hose+to+Hose+Swivel+Adapter&amp;qid=1694734918&amp;sr=8-15")</f>
        <v/>
      </c>
      <c r="F1575" t="inlineStr">
        <is>
          <t>B09YHGXQ5P</t>
        </is>
      </c>
      <c r="G1575">
        <f>_xludf.IMAGE("https://edmondsonsupply.com/cdn/shop/files/1055-FHFH.jpg?v=1686083814")</f>
        <v/>
      </c>
      <c r="H1575">
        <f>_xludf.IMAGE("https://m.media-amazon.com/images/I/61yTs4myGGL._AC_UL320_.jpg")</f>
        <v/>
      </c>
      <c r="K1575" t="inlineStr">
        <is>
          <t>3.59</t>
        </is>
      </c>
      <c r="L1575" t="n">
        <v>6.59</v>
      </c>
      <c r="M1575" s="1" t="inlineStr">
        <is>
          <t>83.57%</t>
        </is>
      </c>
      <c r="N1575" s="1" t="n">
        <v>14.93</v>
      </c>
      <c r="O1575" t="n">
        <v>3.7</v>
      </c>
      <c r="P1575" t="n">
        <v>10</v>
      </c>
      <c r="R1575" t="inlineStr">
        <is>
          <t>InStock</t>
        </is>
      </c>
      <c r="S1575" t="inlineStr">
        <is>
          <t>5.17</t>
        </is>
      </c>
      <c r="T1575" t="inlineStr">
        <is>
          <t>8002194342104</t>
        </is>
      </c>
    </row>
    <row r="1576" ht="87" customHeight="1">
      <c r="A1576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1576" s="2">
        <f>HYPERLINK("https://edmondsonsupply.com/products/klein-tools-65064-2-in-1-hex-head-screwdriver-1-4-5-16", "https://edmondsonsupply.com/products/klein-tools-65064-2-in-1-hex-head-screwdriver-1-4-5-16")</f>
        <v/>
      </c>
      <c r="C1576" t="inlineStr">
        <is>
          <t>Klein Tools 65064 2-in-1 Nut Driver, Hex Head, 1/4-Inch and 5/16-Inch</t>
        </is>
      </c>
      <c r="D1576" t="inlineStr">
        <is>
          <t>Melnor 65173AMZ RelaxGrip 8 Pattern 16" Pivoting Wand Bundle, Metal, Black, Yellow &amp; Klein Tools 65064 Hex Head 2-in-1 Nut Driver, 1/4-Inch and 5/16-Inch</t>
        </is>
      </c>
      <c r="E1576" s="2">
        <f>HYPERLINK("https://www.amazon.com/Melnor-65173AMZ-RelaxGrip-Pattern-Pivoting/dp/B0C6QZGPMM/ref=sr_1_2?keywords=Klein+Tools+65064+2-in-1+Nut+Driver%2C+Hex+Head%2C+1%2F4-Inch+and+5%2F16-Inch&amp;qid=1694734734&amp;sr=8-2", "https://www.amazon.com/Melnor-65173AMZ-RelaxGrip-Pattern-Pivoting/dp/B0C6QZGPMM/ref=sr_1_2?keywords=Klein+Tools+65064+2-in-1+Nut+Driver%2C+Hex+Head%2C+1%2F4-Inch+and+5%2F16-Inch&amp;qid=1694734734&amp;sr=8-2")</f>
        <v/>
      </c>
      <c r="F1576" t="inlineStr">
        <is>
          <t>B0C6QZGPMM</t>
        </is>
      </c>
      <c r="G1576">
        <f>_xlfn.IMAGE("https://edmondsonsupply.com/cdn/shop/products/65064.jpg?v=1587147719")</f>
        <v/>
      </c>
      <c r="H1576">
        <f>_xlfn.IMAGE("https://m.media-amazon.com/images/I/41ISu9RCylL._AC_UL320_.jpg")</f>
        <v/>
      </c>
      <c r="K1576" t="inlineStr">
        <is>
          <t>15.97</t>
        </is>
      </c>
      <c r="L1576" t="n">
        <v>29.3</v>
      </c>
      <c r="M1576" s="1" t="inlineStr">
        <is>
          <t>83.47%</t>
        </is>
      </c>
      <c r="N1576" s="7" t="n">
        <v>14.76</v>
      </c>
      <c r="O1576" t="n">
        <v>4.4</v>
      </c>
      <c r="P1576" t="n">
        <v>314</v>
      </c>
      <c r="R1576" t="inlineStr">
        <is>
          <t>InStock</t>
        </is>
      </c>
      <c r="S1576" t="inlineStr">
        <is>
          <t>23.36</t>
        </is>
      </c>
      <c r="T1576" t="inlineStr">
        <is>
          <t>1707342889060</t>
        </is>
      </c>
    </row>
    <row r="1577" hidden="1" ht="15.75" customHeight="1">
      <c r="A1577" s="2">
        <f>HYPERLINK("https://edmondsonsupply.com/collections/hvac/products/packard-pmj708-motor-start-capacitor-708-850-mfd-110-125-vac", "https://edmondsonsupply.com/collections/hvac/products/packard-pmj708-motor-start-capacitor-708-850-mfd-110-125-vac")</f>
        <v/>
      </c>
      <c r="B1577" s="2">
        <f>HYPERLINK("https://edmondsonsupply.com/products/packard-pmj708-motor-start-capacitor-708-850-mfd-110-125-vac", "https://edmondsonsupply.com/products/packard-pmj708-motor-start-capacitor-708-850-mfd-110-125-vac")</f>
        <v/>
      </c>
      <c r="C1577" t="inlineStr">
        <is>
          <t>Packard PMJ708 Motor Start Capacitor 708-850 MFD 110-125 VAC</t>
        </is>
      </c>
      <c r="D1577" t="inlineStr">
        <is>
          <t>PMJ590 - Packard Aftermarket Replacement Motor Start Capacitor 590-708 MFD 110 125 Volt</t>
        </is>
      </c>
      <c r="E1577" s="2">
        <f>HYPERLINK("https://www.amazon.com/PMJ590-Packard-Aftermarket-Replacement-Capacitor/dp/B00IWYHDTC/ref=sr_1_19?keywords=Packard+PMJ708+Motor+Start+Capacitor+708-850+MFD+110-125+VAC&amp;qid=1694734808&amp;sr=8-19", "https://www.amazon.com/PMJ590-Packard-Aftermarket-Replacement-Capacitor/dp/B00IWYHDTC/ref=sr_1_19?keywords=Packard+PMJ708+Motor+Start+Capacitor+708-850+MFD+110-125+VAC&amp;qid=1694734808&amp;sr=8-19")</f>
        <v/>
      </c>
      <c r="F1577" t="inlineStr">
        <is>
          <t>B00IWYHDTC</t>
        </is>
      </c>
      <c r="G1577">
        <f>_xludf.IMAGE("https://edmondsonsupply.com/cdn/shop/products/PMJ708-2.jpg?v=1633030334")</f>
        <v/>
      </c>
      <c r="H1577">
        <f>_xludf.IMAGE("https://m.media-amazon.com/images/I/41TAYo6O-UL._AC_UY218_.jpg")</f>
        <v/>
      </c>
      <c r="K1577" t="inlineStr">
        <is>
          <t>6.76</t>
        </is>
      </c>
      <c r="L1577" t="n">
        <v>12.37</v>
      </c>
      <c r="M1577" s="1" t="inlineStr">
        <is>
          <t>82.99%</t>
        </is>
      </c>
      <c r="N1577" s="1" t="n">
        <v>14.62</v>
      </c>
      <c r="O1577" t="n">
        <v>4.3</v>
      </c>
      <c r="P1577" t="n">
        <v>35</v>
      </c>
      <c r="R1577" t="inlineStr">
        <is>
          <t>InStock</t>
        </is>
      </c>
      <c r="S1577" t="inlineStr">
        <is>
          <t>undefined</t>
        </is>
      </c>
      <c r="T1577" t="inlineStr">
        <is>
          <t>5271970021544</t>
        </is>
      </c>
    </row>
    <row r="1578" ht="87" customHeight="1">
      <c r="A1578" s="2">
        <f>HYPERLINK("https://edmondsonsupply.com/collections/hvac/products/channellock-804", "https://edmondsonsupply.com/collections/hvac/products/channellock-804")</f>
        <v/>
      </c>
      <c r="B1578" s="2">
        <f>HYPERLINK("https://edmondsonsupply.com/products/channellock-804", "https://edmondsonsupply.com/products/channellock-804")</f>
        <v/>
      </c>
      <c r="C1578" t="inlineStr">
        <is>
          <t>Channellock 804 4-Inch Chrome Adjustable Wrench</t>
        </is>
      </c>
      <c r="D1578" t="inlineStr">
        <is>
          <t>Klein Tools D86932 Adjustable Wrench, Forged with Slimmer Jaw and a High Polish Chrome Finish, 4-inch</t>
        </is>
      </c>
      <c r="E1578" s="2">
        <f>HYPERLINK("https://www.amazon.com/Slim-Jaw-Adjustable-Klein-Tools-D86932/dp/B0753LJHG1/ref=sr_1_14?keywords=Channellock+804+4-Inch+Chrome+Adjustable+Wrench&amp;qid=1694734791&amp;sr=8-14", "https://www.amazon.com/Slim-Jaw-Adjustable-Klein-Tools-D86932/dp/B0753LJHG1/ref=sr_1_14?keywords=Channellock+804+4-Inch+Chrome+Adjustable+Wrench&amp;qid=1694734791&amp;sr=8-14")</f>
        <v/>
      </c>
      <c r="F1578" t="inlineStr">
        <is>
          <t>B0753LJHG1</t>
        </is>
      </c>
      <c r="G1578">
        <f>_xlfn.IMAGE("https://edmondsonsupply.com/cdn/shop/products/804-683x1024.jpg?v=1587145853")</f>
        <v/>
      </c>
      <c r="H1578">
        <f>_xlfn.IMAGE("https://m.media-amazon.com/images/I/51bQN5lP8VL._AC_UL320_.jpg")</f>
        <v/>
      </c>
      <c r="K1578" t="inlineStr">
        <is>
          <t>16.95</t>
        </is>
      </c>
      <c r="L1578" t="n">
        <v>30.99</v>
      </c>
      <c r="M1578" s="1" t="inlineStr">
        <is>
          <t>82.83%</t>
        </is>
      </c>
      <c r="N1578" s="7" t="n">
        <v>14.51</v>
      </c>
      <c r="O1578" t="n">
        <v>4.5</v>
      </c>
      <c r="P1578" t="n">
        <v>125</v>
      </c>
      <c r="R1578" t="inlineStr">
        <is>
          <t>InStock</t>
        </is>
      </c>
      <c r="S1578" t="inlineStr">
        <is>
          <t>26.62</t>
        </is>
      </c>
      <c r="T1578" t="inlineStr">
        <is>
          <t>4094611488868</t>
        </is>
      </c>
    </row>
    <row r="1579" ht="87" customHeight="1">
      <c r="A1579" s="2">
        <f>HYPERLINK("https://edmondsonsupply.com/collections/hvac/products/icm-controls-icm492-single-phase-line-voltage-monitor", "https://edmondsonsupply.com/collections/hvac/products/icm-controls-icm492-single-phase-line-voltage-monitor")</f>
        <v/>
      </c>
      <c r="B1579" s="2">
        <f>HYPERLINK("https://edmondsonsupply.com/products/icm-controls-icm492-single-phase-line-voltage-monitor", "https://edmondsonsupply.com/products/icm-controls-icm492-single-phase-line-voltage-monitor")</f>
        <v/>
      </c>
      <c r="C1579" t="inlineStr">
        <is>
          <t>ICM Controls ICM492 Single Phase Line Voltage Monitor</t>
        </is>
      </c>
      <c r="D1579" t="inlineStr">
        <is>
          <t>ICM Controls ICM409 Three-Phase Line Voltage Monitor Offering Protection Against Phase Loss/Reversal, Unbalance and High/Low Voltage, 50/60 Hz, 190-480 VAC, Din Rail Mount</t>
        </is>
      </c>
      <c r="E1579" s="2">
        <f>HYPERLINK("https://www.amazon.com/ICM-Controls-Three-Phase-Protection-Unbalance/dp/B00DGB4PQU/ref=sr_1_10?keywords=ICM+Controls+ICM492+Single+Phase+Line+Voltage+Monitor&amp;qid=1694734589&amp;sr=8-10", "https://www.amazon.com/ICM-Controls-Three-Phase-Protection-Unbalance/dp/B00DGB4PQU/ref=sr_1_10?keywords=ICM+Controls+ICM492+Single+Phase+Line+Voltage+Monitor&amp;qid=1694734589&amp;sr=8-10")</f>
        <v/>
      </c>
      <c r="F1579" t="inlineStr">
        <is>
          <t>B00DGB4PQU</t>
        </is>
      </c>
      <c r="G1579">
        <f>_xlfn.IMAGE("https://edmondsonsupply.com/cdn/shop/products/photo_3666_medium_19efda5b-a59a-4ff4-8872-2cd0c4aa35aa.png?v=1665085673")</f>
        <v/>
      </c>
      <c r="H1579">
        <f>_xlfn.IMAGE("https://m.media-amazon.com/images/I/61og6zGDF+L._AC_UL320_.jpg")</f>
        <v/>
      </c>
      <c r="K1579" t="inlineStr">
        <is>
          <t>89.99</t>
        </is>
      </c>
      <c r="L1579" t="n">
        <v>164.38</v>
      </c>
      <c r="M1579" s="1" t="inlineStr">
        <is>
          <t>82.66%</t>
        </is>
      </c>
      <c r="N1579" s="7" t="n">
        <v>14.3</v>
      </c>
      <c r="O1579" t="n">
        <v>5</v>
      </c>
      <c r="P1579" t="n">
        <v>2</v>
      </c>
      <c r="R1579" t="inlineStr">
        <is>
          <t>InStock</t>
        </is>
      </c>
      <c r="S1579" t="inlineStr">
        <is>
          <t>94.5</t>
        </is>
      </c>
      <c r="T1579" t="inlineStr">
        <is>
          <t>7842397257944</t>
        </is>
      </c>
    </row>
    <row r="1580" hidden="1" ht="15.75" customHeight="1">
      <c r="A1580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580" s="2">
        <f>HYPERLINK("https://edmondsonsupply.com/products/packard-prmj145a-motor-start-capacitor-145-174-mfd", "https://edmondsonsupply.com/products/packard-prmj145a-motor-start-capacitor-145-174-mfd")</f>
        <v/>
      </c>
      <c r="C1580" t="inlineStr">
        <is>
          <t>Packard PRMJ145A Motor Start Capacitor 145-174 MFD</t>
        </is>
      </c>
      <c r="D1580" t="inlineStr">
        <is>
          <t>Packard 220-250V Start Capacitor 145-174 MFD</t>
        </is>
      </c>
      <c r="E1580" s="2">
        <f>HYPERLINK("https://www.amazon.com/Packard-220-250V-Start-Capacitor-145-174/dp/B005YN609S/ref=sr_1_14?keywords=Packard+PRMJ145A+Motor+Start+Capacitor+145-174+MFD&amp;qid=1694734791&amp;sr=8-14", "https://www.amazon.com/Packard-220-250V-Start-Capacitor-145-174/dp/B005YN609S/ref=sr_1_14?keywords=Packard+PRMJ145A+Motor+Start+Capacitor+145-174+MFD&amp;qid=1694734791&amp;sr=8-14")</f>
        <v/>
      </c>
      <c r="F1580" t="inlineStr">
        <is>
          <t>B005YN609S</t>
        </is>
      </c>
      <c r="G1580">
        <f>_xludf.IMAGE("https://edmondsonsupply.com/cdn/shop/products/PRMJ145A-2.jpg?v=1633030335")</f>
        <v/>
      </c>
      <c r="H1580">
        <f>_xludf.IMAGE("https://m.media-amazon.com/images/I/41QqjnTWGoL._AC_UY218_.jpg")</f>
        <v/>
      </c>
      <c r="K1580" t="inlineStr">
        <is>
          <t>7.51</t>
        </is>
      </c>
      <c r="L1580" t="n">
        <v>13.7</v>
      </c>
      <c r="M1580" s="1" t="inlineStr">
        <is>
          <t>82.42%</t>
        </is>
      </c>
      <c r="N1580" s="1" t="n">
        <v>14.29</v>
      </c>
      <c r="O1580" t="n">
        <v>4.8</v>
      </c>
      <c r="P1580" t="n">
        <v>19</v>
      </c>
      <c r="R1580" t="inlineStr">
        <is>
          <t>InStock</t>
        </is>
      </c>
      <c r="S1580" t="inlineStr">
        <is>
          <t>undefined</t>
        </is>
      </c>
      <c r="T1580" t="inlineStr">
        <is>
          <t>5272211062952</t>
        </is>
      </c>
    </row>
    <row r="1581" ht="87" customHeight="1">
      <c r="A1581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1581" s="2">
        <f>HYPERLINK("https://edmondsonsupply.com/products/fresh-aire-uv-tuvl-215p-2-year-blue-tube-replacement-uv-lamp", "https://edmondsonsupply.com/products/fresh-aire-uv-tuvl-215p-2-year-blue-tube-replacement-uv-lamp")</f>
        <v/>
      </c>
      <c r="C1581" t="inlineStr">
        <is>
          <t>Fresh-Aire UV TUVL-215P, 2-Year Blue-Tube Replacement UV Lamp</t>
        </is>
      </c>
      <c r="D1581" t="inlineStr">
        <is>
          <t>Fresh-Aire Blue Tube 24-Volt UV Light HVAC Air Purification System, Includes 1-Year UVC Lamp #TUV-BTER</t>
        </is>
      </c>
      <c r="E1581" s="2">
        <f>HYPERLINK("https://www.amazon.com/Fresh-Aire-Blue-Tube-TUV-BTER-Light/dp/B00D48XDO0/ref=sr_1_10?keywords=Fresh-Aire+UV+TUVL-215P%2C+2-Year+Blue-Tube+Replacement+UV+Lamp&amp;qid=1694734568&amp;sr=8-10", "https://www.amazon.com/Fresh-Aire-Blue-Tube-TUV-BTER-Light/dp/B00D48XDO0/ref=sr_1_10?keywords=Fresh-Aire+UV+TUVL-215P%2C+2-Year+Blue-Tube+Replacement+UV+Lamp&amp;qid=1694734568&amp;sr=8-10")</f>
        <v/>
      </c>
      <c r="F1581" t="inlineStr">
        <is>
          <t>B00D48XDO0</t>
        </is>
      </c>
      <c r="G1581">
        <f>_xlfn.IMAGE("https://edmondsonsupply.com/cdn/shop/products/TUVL-215P.jpg?v=1633030216")</f>
        <v/>
      </c>
      <c r="H1581">
        <f>_xlfn.IMAGE("https://m.media-amazon.com/images/I/61smPttWkRL._AC_UL320_.jpg")</f>
        <v/>
      </c>
      <c r="K1581" t="inlineStr">
        <is>
          <t>108.03</t>
        </is>
      </c>
      <c r="L1581" t="n">
        <v>197</v>
      </c>
      <c r="M1581" s="1" t="inlineStr">
        <is>
          <t>82.36%</t>
        </is>
      </c>
      <c r="N1581" s="7" t="n">
        <v>14.29</v>
      </c>
      <c r="O1581" t="n">
        <v>4.5</v>
      </c>
      <c r="P1581" t="n">
        <v>48</v>
      </c>
      <c r="R1581" t="inlineStr">
        <is>
          <t>InStock</t>
        </is>
      </c>
      <c r="S1581" t="inlineStr">
        <is>
          <t>undefined</t>
        </is>
      </c>
      <c r="T1581" t="inlineStr">
        <is>
          <t>4452670537828</t>
        </is>
      </c>
    </row>
    <row r="1582" hidden="1" ht="15.75" customHeight="1">
      <c r="A1582" s="2">
        <f>HYPERLINK("https://edmondsonsupply.com/collections/hvac/products/packard-ttmj108-motor-start-capacitor-108-130-mfd-220-250-vac", "https://edmondsonsupply.com/collections/hvac/products/packard-ttmj108-motor-start-capacitor-108-130-mfd-220-250-vac")</f>
        <v/>
      </c>
      <c r="B1582" s="2">
        <f>HYPERLINK("https://edmondsonsupply.com/products/packard-ttmj108-motor-start-capacitor-108-130-mfd-220-250-vac", "https://edmondsonsupply.com/products/packard-ttmj108-motor-start-capacitor-108-130-mfd-220-250-vac")</f>
        <v/>
      </c>
      <c r="C1582" t="inlineStr">
        <is>
          <t>Packard TTMJ108 Motor Start Capacitor 108-130 MFD 220-250 VAC</t>
        </is>
      </c>
      <c r="D1582" t="inlineStr">
        <is>
          <t>108-130 uf/MFD 220-250 VAC Round Start Capacitor ±20% 50/60 Hz CD60 Round Motor Well Pump Start Capacitor (108-130 uf/MFD)</t>
        </is>
      </c>
      <c r="E1582" s="2">
        <f>HYPERLINK("https://www.amazon.com/108-130-MFD-220-250-Round-Capacitor/dp/B0C2KJBQZQ/ref=sr_1_6?keywords=Packard+TTMJ108+Motor+Start+Capacitor+108-130+MFD+220-250+VAC&amp;qid=1694734864&amp;sr=8-6", "https://www.amazon.com/108-130-MFD-220-250-Round-Capacitor/dp/B0C2KJBQZQ/ref=sr_1_6?keywords=Packard+TTMJ108+Motor+Start+Capacitor+108-130+MFD+220-250+VAC&amp;qid=1694734864&amp;sr=8-6")</f>
        <v/>
      </c>
      <c r="F1582" t="inlineStr">
        <is>
          <t>B0C2KJBQZQ</t>
        </is>
      </c>
      <c r="G1582">
        <f>_xludf.IMAGE("https://edmondsonsupply.com/cdn/shop/files/PTMJ108-2_c3537879-2bfc-401f-867d-9ee4aaa5c4bb.jpg?v=1692220228")</f>
        <v/>
      </c>
      <c r="H1582">
        <f>_xludf.IMAGE("https://m.media-amazon.com/images/I/51vQ8D8XHRL._AC_UY218_.jpg")</f>
        <v/>
      </c>
      <c r="K1582" t="inlineStr">
        <is>
          <t>4.39</t>
        </is>
      </c>
      <c r="L1582" t="n">
        <v>7.99</v>
      </c>
      <c r="M1582" s="1" t="inlineStr">
        <is>
          <t>82.00%</t>
        </is>
      </c>
      <c r="N1582" s="1" t="n">
        <v>14.29</v>
      </c>
      <c r="O1582" t="n">
        <v>5</v>
      </c>
      <c r="P1582" t="n">
        <v>2</v>
      </c>
      <c r="R1582" t="inlineStr">
        <is>
          <t>InStock</t>
        </is>
      </c>
      <c r="S1582" t="inlineStr">
        <is>
          <t>undefined</t>
        </is>
      </c>
      <c r="T1582" t="inlineStr">
        <is>
          <t>8028091154648</t>
        </is>
      </c>
    </row>
    <row r="1583" hidden="1" ht="15.75" customHeight="1">
      <c r="A1583" s="2">
        <f>HYPERLINK("https://edmondsonsupply.com/collections/hvac/products/channellock-432", "https://edmondsonsupply.com/collections/hvac/products/channellock-432")</f>
        <v/>
      </c>
      <c r="B1583" s="2">
        <f>HYPERLINK("https://edmondsonsupply.com/products/channellock-432", "https://edmondsonsupply.com/products/channellock-432")</f>
        <v/>
      </c>
      <c r="C1583" t="inlineStr">
        <is>
          <t>Channellock 440 12" Straight Jaw Tongue &amp; Groove Pliers</t>
        </is>
      </c>
      <c r="D1583" t="inlineStr">
        <is>
          <t>Channellock 440 Tongue and Groove Pliers | 12-Inch Straight Jaw Groove Joint Plier with Comfort Grips, Black, Blue, Silver &amp; Tongue and Groove Pliers, 9-1/2 In</t>
        </is>
      </c>
      <c r="E1583" s="2">
        <f>HYPERLINK("https://www.amazon.com/Channellock-Tongue-12-Inch-Straight-Comfort/dp/B0BFXKVMMD/ref=sr_1_5?keywords=Channellock+440+12%22+Straight+Jaw+Tongue+%26+Groove+Pliers&amp;qid=1694734829&amp;sr=8-5", "https://www.amazon.com/Channellock-Tongue-12-Inch-Straight-Comfort/dp/B0BFXKVMMD/ref=sr_1_5?keywords=Channellock+440+12%22+Straight+Jaw+Tongue+%26+Groove+Pliers&amp;qid=1694734829&amp;sr=8-5")</f>
        <v/>
      </c>
      <c r="F1583" t="inlineStr">
        <is>
          <t>B0BFXKVMMD</t>
        </is>
      </c>
      <c r="G1583">
        <f>_xludf.IMAGE("https://edmondsonsupply.com/cdn/shop/products/440-546x1024.jpg?v=1587148892")</f>
        <v/>
      </c>
      <c r="H1583">
        <f>_xludf.IMAGE("https://m.media-amazon.com/images/I/41AZjjLwtIL._AC_UL320_.jpg")</f>
        <v/>
      </c>
      <c r="K1583" t="inlineStr">
        <is>
          <t>21.95</t>
        </is>
      </c>
      <c r="L1583" t="n">
        <v>39.94</v>
      </c>
      <c r="M1583" s="1" t="inlineStr">
        <is>
          <t>81.96%</t>
        </is>
      </c>
      <c r="N1583" s="1" t="n">
        <v>14.26</v>
      </c>
      <c r="O1583" t="n">
        <v>3</v>
      </c>
      <c r="P1583" t="n">
        <v>1</v>
      </c>
      <c r="R1583" t="inlineStr">
        <is>
          <t>InStock</t>
        </is>
      </c>
      <c r="S1583" t="inlineStr">
        <is>
          <t>29.82</t>
        </is>
      </c>
      <c r="T1583" t="inlineStr">
        <is>
          <t>3553495908452</t>
        </is>
      </c>
    </row>
    <row r="1584" hidden="1" ht="15.75" customHeight="1">
      <c r="A1584" s="2">
        <f>HYPERLINK("https://edmondsonsupply.com/collections/hvac/products/milwaukee-48-22-9725m-25ft-stud%E2%84%A2-magnetic-tape-measure", "https://edmondsonsupply.com/collections/hvac/products/milwaukee-48-22-9725m-25ft-stud%E2%84%A2-magnetic-tape-measure")</f>
        <v/>
      </c>
      <c r="B1584" s="2">
        <f>HYPERLINK("https://edmondsonsupply.com/products/milwaukee-48-22-9725m-25ft-stud%e2%84%a2-magnetic-tape-measure", "https://edmondsonsupply.com/products/milwaukee-48-22-9725m-25ft-stud%e2%84%a2-magnetic-tape-measure")</f>
        <v/>
      </c>
      <c r="C1584" t="inlineStr">
        <is>
          <t>Milwaukee 48-22-9725M 25ft STUD™ Magnetic Tape Measure</t>
        </is>
      </c>
      <c r="D1584" t="inlineStr">
        <is>
          <t>Milwaukee 48-22-9725M 25-Foot Stud Magnetic Tape Measure 2 Pack</t>
        </is>
      </c>
      <c r="E1584" s="2">
        <f>HYPERLINK("https://www.amazon.com/Milwaukee-48-22-9725M-25-Foot-Magnetic-Measure/dp/B08MFQRSWN/ref=sr_1_1?keywords=Milwaukee+48-22-9725M+25ft+STUD%E2%84%A2+Magnetic+Tape+Measure&amp;qid=1694734817&amp;sr=8-1", "https://www.amazon.com/Milwaukee-48-22-9725M-25-Foot-Magnetic-Measure/dp/B08MFQRSWN/ref=sr_1_1?keywords=Milwaukee+48-22-9725M+25ft+STUD%E2%84%A2+Magnetic+Tape+Measure&amp;qid=1694734817&amp;sr=8-1")</f>
        <v/>
      </c>
      <c r="F1584" t="inlineStr">
        <is>
          <t>B08MFQRSWN</t>
        </is>
      </c>
      <c r="G1584">
        <f>_xludf.IMAGE("https://edmondsonsupply.com/cdn/shop/products/9725m.png?v=1587146106")</f>
        <v/>
      </c>
      <c r="H1584">
        <f>_xludf.IMAGE("https://m.media-amazon.com/images/I/81MdZGUttgL._AC_UL320_.jpg")</f>
        <v/>
      </c>
      <c r="K1584" t="inlineStr">
        <is>
          <t>32.97</t>
        </is>
      </c>
      <c r="L1584" t="n">
        <v>59.99</v>
      </c>
      <c r="M1584" s="1" t="inlineStr">
        <is>
          <t>81.95%</t>
        </is>
      </c>
      <c r="N1584" s="1" t="n">
        <v>14.17</v>
      </c>
      <c r="O1584" t="n">
        <v>3</v>
      </c>
      <c r="P1584" t="n">
        <v>1</v>
      </c>
      <c r="R1584" t="inlineStr">
        <is>
          <t>InStock</t>
        </is>
      </c>
      <c r="S1584" t="inlineStr">
        <is>
          <t>46.4</t>
        </is>
      </c>
      <c r="T1584" t="inlineStr">
        <is>
          <t>4389581717604</t>
        </is>
      </c>
    </row>
    <row r="1585" ht="87" customHeight="1">
      <c r="A1585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585" s="2">
        <f>HYPERLINK("https://edmondsonsupply.com/products/packard-prmj216-motor-start-capacitor-216-259-mfd-330-vac", "https://edmondsonsupply.com/products/packard-prmj216-motor-start-capacitor-216-259-mfd-330-vac")</f>
        <v/>
      </c>
      <c r="C1585" t="inlineStr">
        <is>
          <t>Packard PRMJ216 Motor Start Capacitor 216-259 MFD 330 VAC</t>
        </is>
      </c>
      <c r="D1585" t="inlineStr">
        <is>
          <t>Packard Prmj216 Start Capacitor 216-259 Mfd 330 Volt</t>
        </is>
      </c>
      <c r="E1585" s="2">
        <f>HYPERLINK("https://www.amazon.com/Packard-Prmj216-Start-Capacitor-216-259/dp/B004GCARCE/ref=sr_1_3?keywords=Packard+PRMJ216+Motor+Start+Capacitor+216-259+MFD+330+VAC&amp;qid=1694734827&amp;sr=8-3", "https://www.amazon.com/Packard-Prmj216-Start-Capacitor-216-259/dp/B004GCARCE/ref=sr_1_3?keywords=Packard+PRMJ216+Motor+Start+Capacitor+216-259+MFD+330+VAC&amp;qid=1694734827&amp;sr=8-3")</f>
        <v/>
      </c>
      <c r="F1585" t="inlineStr">
        <is>
          <t>B004GCARCE</t>
        </is>
      </c>
      <c r="G1585">
        <f>_xlfn.IMAGE("https://edmondsonsupply.com/cdn/shop/products/PRMJ216-2.jpg?v=1633030106")</f>
        <v/>
      </c>
      <c r="H1585">
        <f>_xlfn.IMAGE("https://m.media-amazon.com/images/I/41iN-8gLZyL._AC_UY218_.jpg")</f>
        <v/>
      </c>
      <c r="K1585" t="inlineStr">
        <is>
          <t>8.94</t>
        </is>
      </c>
      <c r="L1585" t="n">
        <v>16.25</v>
      </c>
      <c r="M1585" s="1" t="inlineStr">
        <is>
          <t>81.77%</t>
        </is>
      </c>
      <c r="N1585" s="7" t="n">
        <v>14.07</v>
      </c>
      <c r="O1585" t="n">
        <v>4.2</v>
      </c>
      <c r="P1585" t="n">
        <v>34</v>
      </c>
      <c r="R1585" t="inlineStr">
        <is>
          <t>InStock</t>
        </is>
      </c>
      <c r="S1585" t="inlineStr">
        <is>
          <t>undefined</t>
        </is>
      </c>
      <c r="T1585" t="inlineStr">
        <is>
          <t>3595512217700</t>
        </is>
      </c>
    </row>
    <row r="1586" ht="87" customHeight="1">
      <c r="A1586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1586" s="2">
        <f>HYPERLINK("https://edmondsonsupply.com/products/packard-prmj216-motor-start-capacitor-216-259-mfd-330-vac", "https://edmondsonsupply.com/products/packard-prmj216-motor-start-capacitor-216-259-mfd-330-vac")</f>
        <v/>
      </c>
      <c r="C1586" t="inlineStr">
        <is>
          <t>Packard PRMJ216 Motor Start Capacitor 216-259 MFD 330 VAC</t>
        </is>
      </c>
      <c r="D1586" t="inlineStr">
        <is>
          <t>Packard Prmj216 Start Capacitor 216-259 Mfd 330 Volt</t>
        </is>
      </c>
      <c r="E1586" s="2" t="n"/>
      <c r="F1586" t="inlineStr">
        <is>
          <t>B004GCARCE</t>
        </is>
      </c>
      <c r="G1586">
        <f>_xlfn.IMAGE("https://edmondsonsupply.com/cdn/shop/products/PRMJ216-2.jpg?v=1633030106")</f>
        <v/>
      </c>
      <c r="H1586">
        <f>_xlfn.IMAGE("https://m.media-amazon.com/images/I/41iN-8gLZyL._AC_UY218_.jpg")</f>
        <v/>
      </c>
      <c r="K1586" t="inlineStr">
        <is>
          <t>8.94</t>
        </is>
      </c>
      <c r="L1586" t="n">
        <v>16.25</v>
      </c>
      <c r="M1586" s="1" t="inlineStr">
        <is>
          <t>81.77%</t>
        </is>
      </c>
      <c r="N1586" s="7" t="n">
        <v>14.02</v>
      </c>
      <c r="O1586" t="n">
        <v>4.2</v>
      </c>
      <c r="P1586" t="n">
        <v>34</v>
      </c>
      <c r="R1586" t="inlineStr">
        <is>
          <t>InStock</t>
        </is>
      </c>
      <c r="S1586" t="inlineStr">
        <is>
          <t>undefined</t>
        </is>
      </c>
      <c r="T1586" t="inlineStr">
        <is>
          <t>3595512217700</t>
        </is>
      </c>
    </row>
    <row r="1587" ht="87" customHeight="1">
      <c r="A1587" s="2">
        <f>HYPERLINK("https://edmondsonsupply.com/collections/hvac/products/klein-tools-69445-rare-earth-magnetic-hanger-no-strap", "https://edmondsonsupply.com/collections/hvac/products/klein-tools-69445-rare-earth-magnetic-hanger-no-strap")</f>
        <v/>
      </c>
      <c r="B1587" s="2">
        <f>HYPERLINK("https://edmondsonsupply.com/products/klein-tools-69445-rare-earth-magnetic-hanger-no-strap", "https://edmondsonsupply.com/products/klein-tools-69445-rare-earth-magnetic-hanger-no-strap")</f>
        <v/>
      </c>
      <c r="C1587" t="inlineStr">
        <is>
          <t>Klein Tools 69445 Rare Earth Magnetic Hanger, no Strap</t>
        </is>
      </c>
      <c r="D1587" t="inlineStr">
        <is>
          <t>Klein Tools 69417 Rare-Earth Magnetic Hanger, with Strap &amp; 69401 Multimeter Carrying Case</t>
        </is>
      </c>
      <c r="E1587" s="2">
        <f>HYPERLINK("https://www.amazon.com/Klein-Tools-Rare-Earth-Magnetic-Multimeter/dp/B0BGJ66GX4/ref=sr_1_5?keywords=Klein+Tools+69445+Rare+Earth+Magnetic+Hanger%2C+no+Strap&amp;qid=1694734706&amp;sr=8-5", "https://www.amazon.com/Klein-Tools-Rare-Earth-Magnetic-Multimeter/dp/B0BGJ66GX4/ref=sr_1_5?keywords=Klein+Tools+69445+Rare+Earth+Magnetic+Hanger%2C+no+Strap&amp;qid=1694734706&amp;sr=8-5")</f>
        <v/>
      </c>
      <c r="F1587" t="inlineStr">
        <is>
          <t>B0BGJ66GX4</t>
        </is>
      </c>
      <c r="G1587">
        <f>_xlfn.IMAGE("https://edmondsonsupply.com/cdn/shop/products/69445.jpg?v=1633030859")</f>
        <v/>
      </c>
      <c r="H1587">
        <f>_xlfn.IMAGE("https://m.media-amazon.com/images/I/51Em03gaEVL._AC_UL320_.jpg")</f>
        <v/>
      </c>
      <c r="K1587" t="inlineStr">
        <is>
          <t>15.99</t>
        </is>
      </c>
      <c r="L1587" t="n">
        <v>29</v>
      </c>
      <c r="M1587" s="1" t="inlineStr">
        <is>
          <t>81.36%</t>
        </is>
      </c>
      <c r="N1587" s="7" t="n">
        <v>13.69</v>
      </c>
      <c r="O1587" t="n">
        <v>5</v>
      </c>
      <c r="P1587" t="n">
        <v>2</v>
      </c>
      <c r="R1587" t="inlineStr">
        <is>
          <t>InStock</t>
        </is>
      </c>
      <c r="S1587" t="inlineStr">
        <is>
          <t>22.84</t>
        </is>
      </c>
      <c r="T1587" t="inlineStr">
        <is>
          <t>6112025280685</t>
        </is>
      </c>
    </row>
    <row r="1588" hidden="1" ht="15.75" customHeight="1">
      <c r="A1588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588" s="2">
        <f>HYPERLINK("https://edmondsonsupply.com/products/packard-c140a-contactor-1-pole-40-amps-24-coil-voltage", "https://edmondsonsupply.com/products/packard-c140a-contactor-1-pole-40-amps-24-coil-voltage")</f>
        <v/>
      </c>
      <c r="C1588" t="inlineStr">
        <is>
          <t>Packard C140A Contactor 1 Pole 40 AMPS 24 Coil Voltage</t>
        </is>
      </c>
      <c r="D1588" t="inlineStr">
        <is>
          <t>Goodman - 40 Amp 1 Pole 24v Coil Replacement Contactor C140A</t>
        </is>
      </c>
      <c r="E1588" s="2">
        <f>HYPERLINK("https://www.amazon.com/Goodman-Packard-Replacement-Contactor-C140A/dp/B00S8IZAR4/ref=sr_1_2?keywords=Packard+C140A+Contactor+1+Pole+40+AMPS+24+Coil+Voltage&amp;qid=1694734583&amp;sr=8-2", "https://www.amazon.com/Goodman-Packard-Replacement-Contactor-C140A/dp/B00S8IZAR4/ref=sr_1_2?keywords=Packard+C140A+Contactor+1+Pole+40+AMPS+24+Coil+Voltage&amp;qid=1694734583&amp;sr=8-2")</f>
        <v/>
      </c>
      <c r="F1588" t="inlineStr">
        <is>
          <t>B00S8IZAR4</t>
        </is>
      </c>
      <c r="G1588">
        <f>_xludf.IMAGE("https://edmondsonsupply.com/cdn/shop/products/C140A-1.jpg?v=1587147314")</f>
        <v/>
      </c>
      <c r="H1588">
        <f>_xludf.IMAGE("https://m.media-amazon.com/images/I/418gb7r3+cL._AC_UY218_.jpg")</f>
        <v/>
      </c>
      <c r="K1588" t="inlineStr">
        <is>
          <t>9.98</t>
        </is>
      </c>
      <c r="L1588" t="n">
        <v>18.1</v>
      </c>
      <c r="M1588" s="1" t="inlineStr">
        <is>
          <t>81.36%</t>
        </is>
      </c>
      <c r="N1588" s="1" t="n">
        <v>13.69</v>
      </c>
      <c r="O1588" t="n">
        <v>4</v>
      </c>
      <c r="P1588" t="n">
        <v>14</v>
      </c>
      <c r="R1588" t="inlineStr">
        <is>
          <t>InStock</t>
        </is>
      </c>
      <c r="S1588" t="inlineStr">
        <is>
          <t>undefined</t>
        </is>
      </c>
      <c r="T1588" t="inlineStr">
        <is>
          <t>4359080607844</t>
        </is>
      </c>
    </row>
    <row r="1589" ht="87" customHeight="1">
      <c r="A1589" s="2">
        <f>HYPERLINK("https://edmondsonsupply.com/collections/hvac/products/packard-trcfd505-titan-pro-run-capacitor-50-5-mfd-440-370-volt-round", "https://edmondsonsupply.com/collections/hvac/products/packard-trcfd505-titan-pro-run-capacitor-50-5-mfd-440-370-volt-round")</f>
        <v/>
      </c>
      <c r="B1589" s="2">
        <f>HYPERLINK("https://edmondsonsupply.com/products/packard-trcfd505-titan-pro-run-capacitor-50-5-mfd-440-370-volt-round", "https://edmondsonsupply.com/products/packard-trcfd505-titan-pro-run-capacitor-50-5-mfd-440-370-volt-round")</f>
        <v/>
      </c>
      <c r="C1589" t="inlineStr">
        <is>
          <t>Packard TRCFD505 TITAN PRO Run Capacitor 50+5 MFD 440/370 Volt Round</t>
        </is>
      </c>
      <c r="D1589" t="inlineStr">
        <is>
          <t>Titan TRCFD505 Dual Rated Motor Run Capacitor Round MFD 50/5 Volts 440/370</t>
        </is>
      </c>
      <c r="E1589" s="2">
        <f>HYPERLINK("https://www.amazon.com/Titan-TRCFD505-Rated-Motor-Capacitor/dp/B01IC20TUS/ref=sr_1_3?keywords=Packard+TRCFD505+TITAN+PRO+Run+Capacitor+50+5+MFD+440%2F370+Volt+Round&amp;qid=1694734622&amp;sr=8-3", "https://www.amazon.com/Titan-TRCFD505-Rated-Motor-Capacitor/dp/B01IC20TUS/ref=sr_1_3?keywords=Packard+TRCFD505+TITAN+PRO+Run+Capacitor+50+5+MFD+440%2F370+Volt+Round&amp;qid=1694734622&amp;sr=8-3")</f>
        <v/>
      </c>
      <c r="F1589" t="inlineStr">
        <is>
          <t>B01IC20TUS</t>
        </is>
      </c>
      <c r="G1589">
        <f>_xlfn.IMAGE("https://edmondsonsupply.com/cdn/shop/products/TRCFD505-2.jpg?v=1633030571")</f>
        <v/>
      </c>
      <c r="H1589">
        <f>_xlfn.IMAGE("https://m.media-amazon.com/images/I/41PR+nyKvsL._AC_UY218_.jpg")</f>
        <v/>
      </c>
      <c r="K1589" t="inlineStr">
        <is>
          <t>9.96</t>
        </is>
      </c>
      <c r="L1589" t="n">
        <v>18.06</v>
      </c>
      <c r="M1589" s="1" t="inlineStr">
        <is>
          <t>81.33%</t>
        </is>
      </c>
      <c r="N1589" s="7" t="n">
        <v>13.49</v>
      </c>
      <c r="O1589" t="n">
        <v>4.7</v>
      </c>
      <c r="P1589" t="n">
        <v>222</v>
      </c>
      <c r="R1589" t="inlineStr">
        <is>
          <t>InStock</t>
        </is>
      </c>
      <c r="S1589" t="inlineStr">
        <is>
          <t>undefined</t>
        </is>
      </c>
      <c r="T1589" t="inlineStr">
        <is>
          <t>5480944271528</t>
        </is>
      </c>
    </row>
    <row r="1590" ht="87" customHeight="1">
      <c r="A1590" s="2">
        <f>HYPERLINK("https://edmondsonsupply.com/collections/hvac/products/malco-tools-mshml14-1-4-extra-long-magnetic-hex-chuck-driver-4-long", "https://edmondsonsupply.com/collections/hvac/products/malco-tools-mshml14-1-4-extra-long-magnetic-hex-chuck-driver-4-long")</f>
        <v/>
      </c>
      <c r="B1590" s="2">
        <f>HYPERLINK("https://edmondsonsupply.com/products/malco-tools-mshml14-1-4-extra-long-magnetic-hex-chuck-driver-4-long", "https://edmondsonsupply.com/products/malco-tools-mshml14-1-4-extra-long-magnetic-hex-chuck-driver-4-long")</f>
        <v/>
      </c>
      <c r="C1590" t="inlineStr">
        <is>
          <t>Malco Tools MSHML14 1/4" Extra Long Magnetic Hex Chuck Driver - 4" Long</t>
        </is>
      </c>
      <c r="D1590" t="inlineStr">
        <is>
          <t>Malco MSHXL14 1/4" Extra Long Red Magnetic Hex Chuck Driver</t>
        </is>
      </c>
      <c r="E1590" s="2">
        <f>HYPERLINK("https://www.amazon.com/Malco-MSHXL14-Chuck-Driver-Inch/dp/B0028TB140/ref=sr_1_1?keywords=Malco+Tools+MSHML14+1%2F4%22+Extra+Long+Magnetic+Hex+Chuck+Driver+-+4%22+Long&amp;qid=1694734799&amp;sr=8-1", "https://www.amazon.com/Malco-MSHXL14-Chuck-Driver-Inch/dp/B0028TB140/ref=sr_1_1?keywords=Malco+Tools+MSHML14+1%2F4%22+Extra+Long+Magnetic+Hex+Chuck+Driver+-+4%22+Long&amp;qid=1694734799&amp;sr=8-1")</f>
        <v/>
      </c>
      <c r="F1590" t="inlineStr">
        <is>
          <t>B0028TB140</t>
        </is>
      </c>
      <c r="G1590">
        <f>_xlfn.IMAGE("https://edmondsonsupply.com/cdn/shop/products/mshml14_catalog-big-e1529595240703.jpg?v=1587142629")</f>
        <v/>
      </c>
      <c r="H1590">
        <f>_xlfn.IMAGE("https://m.media-amazon.com/images/I/51Tix0DBCCL._AC_UL320_.jpg")</f>
        <v/>
      </c>
      <c r="K1590" t="inlineStr">
        <is>
          <t>9.47</t>
        </is>
      </c>
      <c r="L1590" t="n">
        <v>17.17</v>
      </c>
      <c r="M1590" s="1" t="inlineStr">
        <is>
          <t>81.31%</t>
        </is>
      </c>
      <c r="N1590" s="7" t="n">
        <v>13.21</v>
      </c>
      <c r="O1590" t="n">
        <v>4.7</v>
      </c>
      <c r="P1590" t="n">
        <v>580</v>
      </c>
      <c r="R1590" t="inlineStr">
        <is>
          <t>InStock</t>
        </is>
      </c>
      <c r="S1590" t="inlineStr">
        <is>
          <t>undefined</t>
        </is>
      </c>
      <c r="T1590" t="inlineStr">
        <is>
          <t>4522926375012</t>
        </is>
      </c>
    </row>
    <row r="1591" ht="87" customHeight="1">
      <c r="A1591" s="2">
        <f>HYPERLINK("https://edmondsonsupply.com/collections/hvac/products/malco-tools-mshlc1-2-5-8-c-rhex-cleanable-reversible-magnetic-hex-driver-5-16-3-8", "https://edmondsonsupply.com/collections/hvac/products/malco-tools-mshlc1-2-5-8-c-rhex-cleanable-reversible-magnetic-hex-driver-5-16-3-8")</f>
        <v/>
      </c>
      <c r="B1591" s="2">
        <f>HYPERLINK("https://edmondsonsupply.com/products/malco-tools-mshlc1-2-5-8-c-rhex-cleanable-reversible-magnetic-hex-driver-5-16-3-8", "https://edmondsonsupply.com/products/malco-tools-mshlc1-2-5-8-c-rhex-cleanable-reversible-magnetic-hex-driver-5-16-3-8")</f>
        <v/>
      </c>
      <c r="C1591" t="inlineStr">
        <is>
          <t>Malco Tools MSHLC1 2-5/8" C-Rhex Cleanable, Reversible Magnetic Hex Driver, 5/16" &amp; 3/8"</t>
        </is>
      </c>
      <c r="D1591" t="inlineStr">
        <is>
          <t>Malco 5/16" and 3/8" C-RHEX Cleanable Reversible Magnetic Hex Driver (2" Length)</t>
        </is>
      </c>
      <c r="E1591" s="2">
        <f>HYPERLINK("https://www.amazon.com/C-RHEX-Cleanable-Reversible-Magnetic-Driver/dp/B09RPKFRDN/ref=sr_1_11?keywords=Malco+Tools+MSHLC1+2-5%2F8%22+C-Rhex+Cleanable%2C+Reversible+Magnetic+Hex+Driver%2C+5%2F16%22+%26+3%2F8%22&amp;qid=1694734725&amp;sr=8-11", "https://www.amazon.com/C-RHEX-Cleanable-Reversible-Magnetic-Driver/dp/B09RPKFRDN/ref=sr_1_11?keywords=Malco+Tools+MSHLC1+2-5%2F8%22+C-Rhex+Cleanable%2C+Reversible+Magnetic+Hex+Driver%2C+5%2F16%22+%26+3%2F8%22&amp;qid=1694734725&amp;sr=8-11")</f>
        <v/>
      </c>
      <c r="F1591" t="inlineStr">
        <is>
          <t>B09RPKFRDN</t>
        </is>
      </c>
      <c r="G1591">
        <f>_xlfn.IMAGE("https://edmondsonsupply.com/cdn/shop/products/Malco-MSHLC1-516-38-1.jpg?v=1647198201")</f>
        <v/>
      </c>
      <c r="H1591">
        <f>_xlfn.IMAGE("https://m.media-amazon.com/images/I/31qo9UYAsJL._AC_UL320_.jpg")</f>
        <v/>
      </c>
      <c r="K1591" t="inlineStr">
        <is>
          <t>8.99</t>
        </is>
      </c>
      <c r="L1591" t="n">
        <v>16.25</v>
      </c>
      <c r="M1591" s="1" t="inlineStr">
        <is>
          <t>80.76%</t>
        </is>
      </c>
      <c r="N1591" s="7" t="n">
        <v>13.19</v>
      </c>
      <c r="O1591" t="n">
        <v>5</v>
      </c>
      <c r="P1591" t="n">
        <v>1</v>
      </c>
      <c r="R1591" t="inlineStr">
        <is>
          <t>InStock</t>
        </is>
      </c>
      <c r="S1591" t="inlineStr">
        <is>
          <t>9.92</t>
        </is>
      </c>
      <c r="T1591" t="inlineStr">
        <is>
          <t>4504454037604</t>
        </is>
      </c>
    </row>
    <row r="1592" ht="87" customHeight="1">
      <c r="A1592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1592" s="2">
        <f>HYPERLINK("https://edmondsonsupply.com/products/fresh-aire-uv-tuvl-215p-2-year-blue-tube-replacement-uv-lamp", "https://edmondsonsupply.com/products/fresh-aire-uv-tuvl-215p-2-year-blue-tube-replacement-uv-lamp")</f>
        <v/>
      </c>
      <c r="C1592" t="inlineStr">
        <is>
          <t>Fresh-Aire UV TUVL-215P, 2-Year Blue-Tube Replacement UV Lamp</t>
        </is>
      </c>
      <c r="D1592" t="inlineStr">
        <is>
          <t>Fresh-Aire Blue Tube Light/Lamp TUV-BTER, 18-32 VAC, 1 Year Bulb</t>
        </is>
      </c>
      <c r="E1592" s="2">
        <f>HYPERLINK("https://www.amazon.com/Fresh-Aire-Blue-Light-TUV-BTER-18-32/dp/B08QDQHKP3/ref=sr_1_15?keywords=Fresh-Aire+UV+TUVL-215P%2C+2-Year+Blue-Tube+Replacement+UV+Lamp&amp;qid=1694734568&amp;sr=8-15", "https://www.amazon.com/Fresh-Aire-Blue-Light-TUV-BTER-18-32/dp/B08QDQHKP3/ref=sr_1_15?keywords=Fresh-Aire+UV+TUVL-215P%2C+2-Year+Blue-Tube+Replacement+UV+Lamp&amp;qid=1694734568&amp;sr=8-15")</f>
        <v/>
      </c>
      <c r="F1592" t="inlineStr">
        <is>
          <t>B08QDQHKP3</t>
        </is>
      </c>
      <c r="G1592">
        <f>_xlfn.IMAGE("https://edmondsonsupply.com/cdn/shop/products/TUVL-215P.jpg?v=1633030216")</f>
        <v/>
      </c>
      <c r="H1592">
        <f>_xlfn.IMAGE("https://m.media-amazon.com/images/I/41m35CrFGsL._AC_UL320_.jpg")</f>
        <v/>
      </c>
      <c r="K1592" t="inlineStr">
        <is>
          <t>108.03</t>
        </is>
      </c>
      <c r="L1592" t="n">
        <v>195</v>
      </c>
      <c r="M1592" s="1" t="inlineStr">
        <is>
          <t>80.51%</t>
        </is>
      </c>
      <c r="N1592" s="7" t="n">
        <v>13.13</v>
      </c>
      <c r="O1592" t="n">
        <v>5</v>
      </c>
      <c r="P1592" t="n">
        <v>1</v>
      </c>
      <c r="R1592" t="inlineStr">
        <is>
          <t>InStock</t>
        </is>
      </c>
      <c r="S1592" t="inlineStr">
        <is>
          <t>undefined</t>
        </is>
      </c>
      <c r="T1592" t="inlineStr">
        <is>
          <t>4452670537828</t>
        </is>
      </c>
    </row>
    <row r="1593" hidden="1" ht="15.75" customHeight="1">
      <c r="A1593" s="2">
        <f>HYPERLINK("https://edmondsonsupply.com/collections/hvac/products/ma-line-ma-12816-a-analog-multimeter", "https://edmondsonsupply.com/collections/hvac/products/ma-line-ma-12816-a-analog-multimeter")</f>
        <v/>
      </c>
      <c r="B1593" s="2">
        <f>HYPERLINK("https://edmondsonsupply.com/products/ma-line-ma-12816-a-analog-multimeter", "https://edmondsonsupply.com/products/ma-line-ma-12816-a-analog-multimeter")</f>
        <v/>
      </c>
      <c r="C1593" t="inlineStr">
        <is>
          <t>MA-Line MA-12816-A Analog Multimeter</t>
        </is>
      </c>
      <c r="D1593" t="inlineStr">
        <is>
          <t>TENMA 72-8170 MULTIMETER, Analog, 6 Functions</t>
        </is>
      </c>
      <c r="E1593" s="2">
        <f>HYPERLINK("https://www.amazon.com/TENMA-72-8170-MULTIMETER-ANALOG-FUNCTIONS/dp/B005S3PRQQ/ref=sr_1_15?keywords=MA-Line+MA-12816-A+Analog+Multimeter&amp;qid=1694734819&amp;sr=8-15", "https://www.amazon.com/TENMA-72-8170-MULTIMETER-ANALOG-FUNCTIONS/dp/B005S3PRQQ/ref=sr_1_15?keywords=MA-Line+MA-12816-A+Analog+Multimeter&amp;qid=1694734819&amp;sr=8-15")</f>
        <v/>
      </c>
      <c r="F1593" t="inlineStr">
        <is>
          <t>B005S3PRQQ</t>
        </is>
      </c>
      <c r="G1593">
        <f>_xludf.IMAGE("https://edmondsonsupply.com/cdn/shop/products/MA-12816-A.jpg?v=1587142675")</f>
        <v/>
      </c>
      <c r="H1593">
        <f>_xludf.IMAGE("https://m.media-amazon.com/images/I/71Iqe72qd4L._AC_UL320_.jpg")</f>
        <v/>
      </c>
      <c r="K1593" t="inlineStr">
        <is>
          <t>19.94</t>
        </is>
      </c>
      <c r="L1593" t="n">
        <v>35.99</v>
      </c>
      <c r="M1593" s="1" t="inlineStr">
        <is>
          <t>80.49%</t>
        </is>
      </c>
      <c r="N1593" s="1" t="n">
        <v>12.96</v>
      </c>
      <c r="O1593" t="n">
        <v>3.8</v>
      </c>
      <c r="P1593" t="n">
        <v>3</v>
      </c>
      <c r="R1593" t="inlineStr">
        <is>
          <t>InStock</t>
        </is>
      </c>
      <c r="S1593" t="inlineStr">
        <is>
          <t>undefined</t>
        </is>
      </c>
      <c r="T1593" t="inlineStr">
        <is>
          <t>4328880275556</t>
        </is>
      </c>
    </row>
    <row r="1594" ht="87" customHeight="1">
      <c r="A1594" s="2">
        <f>HYPERLINK("https://edmondsonsupply.com/collections/hvac/products/icm-controls-icm280-lf-icm-furnace-board-goodman-oem-replacement-board", "https://edmondsonsupply.com/collections/hvac/products/icm-controls-icm280-lf-icm-furnace-board-goodman-oem-replacement-board")</f>
        <v/>
      </c>
      <c r="B1594" s="2">
        <f>HYPERLINK("https://edmondsonsupply.com/products/icm-controls-icm280-lf-icm-furnace-board-goodman-oem-replacement-board", "https://edmondsonsupply.com/products/icm-controls-icm280-lf-icm-furnace-board-goodman-oem-replacement-board")</f>
        <v/>
      </c>
      <c r="C1594" t="inlineStr">
        <is>
          <t>ICM Controls ICM280 Furnace Board; Goodman OEM Replacement Board</t>
        </is>
      </c>
      <c r="D1594" t="inlineStr">
        <is>
          <t>ICM Controls ICM2807 Furnace Control Board OEM Replacement Carrier for 325879-751 and HK42FZ017</t>
        </is>
      </c>
      <c r="E1594" s="2">
        <f>HYPERLINK("https://www.amazon.com/ICM-Controls-ICM2807-Replacement-325879-751/dp/B00QW2MQ5C/ref=sr_1_13?keywords=ICM+Controls+ICM280+Furnace+Board%3B+Goodman+OEM+Replacement+Board&amp;qid=1694734758&amp;sr=8-13", "https://www.amazon.com/ICM-Controls-ICM2807-Replacement-325879-751/dp/B00QW2MQ5C/ref=sr_1_13?keywords=ICM+Controls+ICM280+Furnace+Board%3B+Goodman+OEM+Replacement+Board&amp;qid=1694734758&amp;sr=8-13")</f>
        <v/>
      </c>
      <c r="F1594" t="inlineStr">
        <is>
          <t>B00QW2MQ5C</t>
        </is>
      </c>
      <c r="G1594">
        <f>_xlfn.IMAGE("https://edmondsonsupply.com/cdn/shop/products/ICM280.png?v=1664296085")</f>
        <v/>
      </c>
      <c r="H1594">
        <f>_xlfn.IMAGE("https://m.media-amazon.com/images/I/91LElyDgdnL._AC_UL320_.jpg")</f>
        <v/>
      </c>
      <c r="K1594" t="inlineStr">
        <is>
          <t>91.29</t>
        </is>
      </c>
      <c r="L1594" t="n">
        <v>164.5</v>
      </c>
      <c r="M1594" s="1" t="inlineStr">
        <is>
          <t>80.19%</t>
        </is>
      </c>
      <c r="N1594" s="7" t="n">
        <v>12.93</v>
      </c>
      <c r="O1594" t="n">
        <v>4.4</v>
      </c>
      <c r="P1594" t="n">
        <v>32</v>
      </c>
      <c r="R1594" t="inlineStr">
        <is>
          <t>InStock</t>
        </is>
      </c>
      <c r="S1594" t="inlineStr">
        <is>
          <t>130.14</t>
        </is>
      </c>
      <c r="T1594" t="inlineStr">
        <is>
          <t>7830935273688</t>
        </is>
      </c>
    </row>
    <row r="1595" ht="87" customHeight="1">
      <c r="A1595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595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595" t="inlineStr">
        <is>
          <t>Klein Tools 70550 Pro Folding Hex Key Set, 11-Key, SAE Sizes</t>
        </is>
      </c>
      <c r="D1595" t="inlineStr">
        <is>
          <t>Klein Tools 65200 Ratchet Set, 5-Piece Mini Ratchet Set with Phillips, Slotted, and Adapter &amp; 70550 Hex Wrench Key Set, 11 SAE Sizes, Heavy Duty Folding Allen Wrench Tool</t>
        </is>
      </c>
      <c r="E1595" s="2">
        <f>HYPERLINK("https://www.amazon.com/Klein-Tools-Ratchet-5-Piece-Phillips/dp/B0CF2CH27G/ref=sr_1_4?keywords=Klein+Tools+70550+Pro+Folding+Hex+Key+Set%2C+11-Key%2C+SAE+Sizes&amp;qid=1694734808&amp;sr=8-4", "https://www.amazon.com/Klein-Tools-Ratchet-5-Piece-Phillips/dp/B0CF2CH27G/ref=sr_1_4?keywords=Klein+Tools+70550+Pro+Folding+Hex+Key+Set%2C+11-Key%2C+SAE+Sizes&amp;qid=1694734808&amp;sr=8-4")</f>
        <v/>
      </c>
      <c r="F1595" t="inlineStr">
        <is>
          <t>B0CF2CH27G</t>
        </is>
      </c>
      <c r="G1595">
        <f>_xlfn.IMAGE("https://edmondsonsupply.com/cdn/shop/products/70550.jpg?v=1587145237")</f>
        <v/>
      </c>
      <c r="H1595">
        <f>_xlfn.IMAGE("https://m.media-amazon.com/images/I/51I-40ka6EL._AC_UL320_.jpg")</f>
        <v/>
      </c>
      <c r="K1595" t="inlineStr">
        <is>
          <t>19.97</t>
        </is>
      </c>
      <c r="L1595" t="n">
        <v>35.93</v>
      </c>
      <c r="M1595" s="1" t="inlineStr">
        <is>
          <t>79.92%</t>
        </is>
      </c>
      <c r="N1595" s="7" t="n">
        <v>12.76</v>
      </c>
      <c r="O1595" t="n">
        <v>4.7</v>
      </c>
      <c r="P1595" t="n">
        <v>3954</v>
      </c>
      <c r="R1595" t="inlineStr">
        <is>
          <t>InStock</t>
        </is>
      </c>
      <c r="S1595" t="inlineStr">
        <is>
          <t>27.18</t>
        </is>
      </c>
      <c r="T1595" t="inlineStr">
        <is>
          <t>3693538082916</t>
        </is>
      </c>
    </row>
    <row r="1596" hidden="1" ht="15.75" customHeight="1">
      <c r="A1596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596" s="2">
        <f>HYPERLINK("https://edmondsonsupply.com/products/packard-prmj145a-motor-start-capacitor-145-174-mfd", "https://edmondsonsupply.com/products/packard-prmj145a-motor-start-capacitor-145-174-mfd")</f>
        <v/>
      </c>
      <c r="C1596" t="inlineStr">
        <is>
          <t>Packard PRMJ145A Motor Start Capacitor 145-174 MFD</t>
        </is>
      </c>
      <c r="D1596" t="inlineStr">
        <is>
          <t>PMJ145 - Packard Upgraded Replacement Motor Start Capacitor 145-174 MFD 110-125 Volt VAC</t>
        </is>
      </c>
      <c r="E1596" s="2">
        <f>HYPERLINK("https://www.amazon.com/PMJ145-Packard-Upgraded-Replacement-Capacitor/dp/B0773SSCWS/ref=sr_1_5?keywords=Packard+PRMJ145A+Motor+Start+Capacitor+145-174+MFD&amp;qid=1694734791&amp;sr=8-5", "https://www.amazon.com/PMJ145-Packard-Upgraded-Replacement-Capacitor/dp/B0773SSCWS/ref=sr_1_5?keywords=Packard+PRMJ145A+Motor+Start+Capacitor+145-174+MFD&amp;qid=1694734791&amp;sr=8-5")</f>
        <v/>
      </c>
      <c r="F1596" t="inlineStr">
        <is>
          <t>B0773SSCWS</t>
        </is>
      </c>
      <c r="G1596">
        <f>_xludf.IMAGE("https://edmondsonsupply.com/cdn/shop/products/PRMJ145A-2.jpg?v=1633030335")</f>
        <v/>
      </c>
      <c r="H1596">
        <f>_xludf.IMAGE("https://m.media-amazon.com/images/I/5199TvfrdTL._AC_UY218_.jpg")</f>
        <v/>
      </c>
      <c r="K1596" t="inlineStr">
        <is>
          <t>7.51</t>
        </is>
      </c>
      <c r="L1596" t="n">
        <v>13.49</v>
      </c>
      <c r="M1596" s="1" t="inlineStr">
        <is>
          <t>79.63%</t>
        </is>
      </c>
      <c r="N1596" s="1" t="n">
        <v>12.75</v>
      </c>
      <c r="O1596" t="n">
        <v>5</v>
      </c>
      <c r="P1596" t="n">
        <v>2</v>
      </c>
      <c r="R1596" t="inlineStr">
        <is>
          <t>InStock</t>
        </is>
      </c>
      <c r="S1596" t="inlineStr">
        <is>
          <t>undefined</t>
        </is>
      </c>
      <c r="T1596" t="inlineStr">
        <is>
          <t>5272211062952</t>
        </is>
      </c>
    </row>
    <row r="1597" ht="87" customHeight="1">
      <c r="A1597" s="2">
        <f>HYPERLINK("https://edmondsonsupply.com/collections/hvac/products/malco-tools-mshml14-1-4-extra-long-magnetic-hex-chuck-driver-4-long", "https://edmondsonsupply.com/collections/hvac/products/malco-tools-mshml14-1-4-extra-long-magnetic-hex-chuck-driver-4-long")</f>
        <v/>
      </c>
      <c r="B1597" s="2">
        <f>HYPERLINK("https://edmondsonsupply.com/products/malco-tools-mshml14-1-4-extra-long-magnetic-hex-chuck-driver-4-long", "https://edmondsonsupply.com/products/malco-tools-mshml14-1-4-extra-long-magnetic-hex-chuck-driver-4-long")</f>
        <v/>
      </c>
      <c r="C1597" t="inlineStr">
        <is>
          <t>Malco Tools MSHML14 1/4" Extra Long Magnetic Hex Chuck Driver - 4" Long</t>
        </is>
      </c>
      <c r="D1597" t="inlineStr">
        <is>
          <t>Malco MSHXL14IS 1/4 in. Extra Long Magnetic Impact Hex Chuck Driver</t>
        </is>
      </c>
      <c r="E1597" s="2">
        <f>HYPERLINK("https://www.amazon.com/Malco-MSHXL14IS-Impact-Grade-Magnetic-Drivers/dp/B0716HGNGT/ref=sr_1_2?keywords=Malco+Tools+MSHML14+1%2F4%22+Extra+Long+Magnetic+Hex+Chuck+Driver+-+4%22+Long&amp;qid=1694734799&amp;sr=8-2", "https://www.amazon.com/Malco-MSHXL14IS-Impact-Grade-Magnetic-Drivers/dp/B0716HGNGT/ref=sr_1_2?keywords=Malco+Tools+MSHML14+1%2F4%22+Extra+Long+Magnetic+Hex+Chuck+Driver+-+4%22+Long&amp;qid=1694734799&amp;sr=8-2")</f>
        <v/>
      </c>
      <c r="F1597" t="inlineStr">
        <is>
          <t>B0716HGNGT</t>
        </is>
      </c>
      <c r="G1597">
        <f>_xlfn.IMAGE("https://edmondsonsupply.com/cdn/shop/products/mshml14_catalog-big-e1529595240703.jpg?v=1587142629")</f>
        <v/>
      </c>
      <c r="H1597">
        <f>_xlfn.IMAGE("https://m.media-amazon.com/images/I/51N+z2wRL+L._AC_UL320_.jpg")</f>
        <v/>
      </c>
      <c r="K1597" t="inlineStr">
        <is>
          <t>9.47</t>
        </is>
      </c>
      <c r="L1597" t="n">
        <v>16.99</v>
      </c>
      <c r="M1597" s="1" t="inlineStr">
        <is>
          <t>79.41%</t>
        </is>
      </c>
      <c r="N1597" s="7" t="n">
        <v>12.71</v>
      </c>
      <c r="O1597" t="n">
        <v>4.2</v>
      </c>
      <c r="P1597" t="n">
        <v>52</v>
      </c>
      <c r="R1597" t="inlineStr">
        <is>
          <t>InStock</t>
        </is>
      </c>
      <c r="S1597" t="inlineStr">
        <is>
          <t>undefined</t>
        </is>
      </c>
      <c r="T1597" t="inlineStr">
        <is>
          <t>4522926375012</t>
        </is>
      </c>
    </row>
    <row r="1598" ht="87" customHeight="1">
      <c r="A1598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598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598" t="inlineStr">
        <is>
          <t>Klein Tools 32304 14-in-1 HVAC Adjustable-Length Impact Screwdriver with Flip Socket</t>
        </is>
      </c>
      <c r="D1598" t="inlineStr">
        <is>
          <t>Impact Driver, 7-in-1 Impact Flip Socket Set &amp; 14-in-1 Adjustable Screwdriver with Flip Socket, HVAC Nut Drivers and Bits, Impact Rated Klein Tools 32304</t>
        </is>
      </c>
      <c r="E1598" s="2">
        <f>HYPERLINK("https://www.amazon.com/Adjustable-Screwdriver-Drivers-Klein-Tools/dp/B09Y84RPSB/ref=sr_1_2?keywords=Klein+Tools+32304+14-in-1+HVAC+Adjustable-Length+Impact+Screwdriver+with+Flip+Socket&amp;qid=1694734657&amp;sr=8-2", "https://www.amazon.com/Adjustable-Screwdriver-Drivers-Klein-Tools/dp/B09Y84RPSB/ref=sr_1_2?keywords=Klein+Tools+32304+14-in-1+HVAC+Adjustable-Length+Impact+Screwdriver+with+Flip+Socket&amp;qid=1694734657&amp;sr=8-2")</f>
        <v/>
      </c>
      <c r="F1598" t="inlineStr">
        <is>
          <t>B09Y84RPSB</t>
        </is>
      </c>
      <c r="G1598">
        <f>_xlfn.IMAGE("https://edmondsonsupply.com/cdn/shop/products/32304.jpg?v=1666019479")</f>
        <v/>
      </c>
      <c r="H1598">
        <f>_xlfn.IMAGE("https://m.media-amazon.com/images/I/41KTNungRUL._AC_UL320_.jpg")</f>
        <v/>
      </c>
      <c r="K1598" t="inlineStr">
        <is>
          <t>24.97</t>
        </is>
      </c>
      <c r="L1598" t="n">
        <v>44.76</v>
      </c>
      <c r="M1598" s="1" t="inlineStr">
        <is>
          <t>79.26%</t>
        </is>
      </c>
      <c r="N1598" s="7" t="n">
        <v>12.65</v>
      </c>
      <c r="O1598" t="n">
        <v>4.8</v>
      </c>
      <c r="P1598" t="n">
        <v>87</v>
      </c>
      <c r="R1598" t="inlineStr">
        <is>
          <t>InStock</t>
        </is>
      </c>
      <c r="S1598" t="inlineStr">
        <is>
          <t>34.98</t>
        </is>
      </c>
      <c r="T1598" t="inlineStr">
        <is>
          <t>7856604578008</t>
        </is>
      </c>
    </row>
    <row r="1599" ht="87" customHeight="1">
      <c r="A1599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599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599" t="inlineStr">
        <is>
          <t>Klein Tools 32304 14-in-1 HVAC Adjustable-Length Impact Screwdriver with Flip Socket</t>
        </is>
      </c>
      <c r="D1599" t="inlineStr">
        <is>
          <t>Klein Tools 70550 Hex Wrench Key Set, 11 SAE Sizes, Heavy Duty Folding Allen Wrench Tool &amp; Screwdriver, 14-in-1 Adjustable Screwdriver with Flip Socket, HVAC Nut Drivers and Bits</t>
        </is>
      </c>
      <c r="E1599" s="2">
        <f>HYPERLINK("https://www.amazon.com/Klein-Tools-Folding-Screwdriver-Adjustable/dp/B0BM3DBDG1/ref=sr_1_35?keywords=Klein+Tools+32304+14-in-1+HVAC+Adjustable-Length+Impact+Screwdriver+with+Flip+Socket&amp;qid=1694734657&amp;sr=8-35", "https://www.amazon.com/Klein-Tools-Folding-Screwdriver-Adjustable/dp/B0BM3DBDG1/ref=sr_1_35?keywords=Klein+Tools+32304+14-in-1+HVAC+Adjustable-Length+Impact+Screwdriver+with+Flip+Socket&amp;qid=1694734657&amp;sr=8-35")</f>
        <v/>
      </c>
      <c r="F1599" t="inlineStr">
        <is>
          <t>B0BM3DBDG1</t>
        </is>
      </c>
      <c r="G1599">
        <f>_xlfn.IMAGE("https://edmondsonsupply.com/cdn/shop/products/32304.jpg?v=1666019479")</f>
        <v/>
      </c>
      <c r="H1599">
        <f>_xlfn.IMAGE("https://m.media-amazon.com/images/I/41v5r7-U4JL._AC_UL320_.jpg")</f>
        <v/>
      </c>
      <c r="K1599" t="inlineStr">
        <is>
          <t>24.97</t>
        </is>
      </c>
      <c r="L1599" t="n">
        <v>44.74</v>
      </c>
      <c r="M1599" s="1" t="inlineStr">
        <is>
          <t>79.18%</t>
        </is>
      </c>
      <c r="N1599" s="7" t="n">
        <v>12.65</v>
      </c>
      <c r="O1599" t="n">
        <v>4.5</v>
      </c>
      <c r="P1599" t="n">
        <v>2</v>
      </c>
      <c r="R1599" t="inlineStr">
        <is>
          <t>InStock</t>
        </is>
      </c>
      <c r="S1599" t="inlineStr">
        <is>
          <t>34.98</t>
        </is>
      </c>
      <c r="T1599" t="inlineStr">
        <is>
          <t>7856604578008</t>
        </is>
      </c>
    </row>
    <row r="1600" hidden="1" ht="15.75" customHeight="1">
      <c r="A1600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600" s="2">
        <f>HYPERLINK("https://edmondsonsupply.com/products/klein-tools-et120-combustible-gas-leak-detector", "https://edmondsonsupply.com/products/klein-tools-et120-combustible-gas-leak-detector")</f>
        <v/>
      </c>
      <c r="C1600" t="inlineStr">
        <is>
          <t>Klein Tools ET120 Combustible Gas Leak Detector</t>
        </is>
      </c>
      <c r="D1600" t="inlineStr">
        <is>
          <t>Klein Tools ET160 Refrigerant Gas Detector, Detects Gas Leaks in the Presence of CFC's, HFC's, HCFC's and Blends as Low as 100 PPM</t>
        </is>
      </c>
      <c r="E1600" s="2">
        <f>HYPERLINK("https://www.amazon.com/Refrigerant-Detector-Klein-Tools-ET160/dp/B09271R8F5/ref=sr_1_17?keywords=Klein+Tools+ET120+Combustible+Gas+Leak+Detector&amp;qid=1694734816&amp;sr=8-17", "https://www.amazon.com/Refrigerant-Detector-Klein-Tools-ET160/dp/B09271R8F5/ref=sr_1_17?keywords=Klein+Tools+ET120+Combustible+Gas+Leak+Detector&amp;qid=1694734816&amp;sr=8-17")</f>
        <v/>
      </c>
      <c r="F1600" t="inlineStr">
        <is>
          <t>B09271R8F5</t>
        </is>
      </c>
      <c r="G1600">
        <f>_xludf.IMAGE("https://edmondsonsupply.com/cdn/shop/products/et120.jpg?v=1587149243")</f>
        <v/>
      </c>
      <c r="H1600">
        <f>_xludf.IMAGE("https://m.media-amazon.com/images/I/616KBlyls8L._AC_UL320_.jpg")</f>
        <v/>
      </c>
      <c r="K1600" t="inlineStr">
        <is>
          <t>119.99</t>
        </is>
      </c>
      <c r="L1600" t="n">
        <v>214.99</v>
      </c>
      <c r="M1600" s="1" t="inlineStr">
        <is>
          <t>79.17%</t>
        </is>
      </c>
      <c r="N1600" s="1" t="n">
        <v>12.51</v>
      </c>
      <c r="O1600" t="n">
        <v>3.5</v>
      </c>
      <c r="P1600" t="n">
        <v>29</v>
      </c>
      <c r="R1600" t="inlineStr">
        <is>
          <t>InStock</t>
        </is>
      </c>
      <c r="S1600" t="inlineStr">
        <is>
          <t>179.32</t>
        </is>
      </c>
      <c r="T1600" t="inlineStr">
        <is>
          <t>1828453187684</t>
        </is>
      </c>
    </row>
    <row r="1601" hidden="1" ht="15.75" customHeight="1">
      <c r="A1601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601" s="2">
        <f>HYPERLINK("https://edmondsonsupply.com/products/packard-prmj88-motor-start-capacitor-88-108-mfd-330-volt", "https://edmondsonsupply.com/products/packard-prmj88-motor-start-capacitor-88-108-mfd-330-volt")</f>
        <v/>
      </c>
      <c r="C1601" t="inlineStr">
        <is>
          <t>Packard PRMJ88 Motor Start Capacitor 88-108 MFD 330 Volt</t>
        </is>
      </c>
      <c r="D1601" t="inlineStr">
        <is>
          <t>PACKARD Start Capacitor PRMJ88 88-108 MFD 330VAC</t>
        </is>
      </c>
      <c r="E1601" s="2">
        <f>HYPERLINK("https://www.amazon.com/PACKARD-CAPACITOR-PRMJ88-88-108-330VAC/dp/B004GCARCO/ref=sr_1_1?keywords=Packard+PRMJ88+Motor+Start+Capacitor+88-108+MFD+330+Volt&amp;qid=1694734788&amp;sr=8-1", "https://www.amazon.com/PACKARD-CAPACITOR-PRMJ88-88-108-330VAC/dp/B004GCARCO/ref=sr_1_1?keywords=Packard+PRMJ88+Motor+Start+Capacitor+88-108+MFD+330+Volt&amp;qid=1694734788&amp;sr=8-1")</f>
        <v/>
      </c>
      <c r="F1601" t="inlineStr">
        <is>
          <t>B004GCARCO</t>
        </is>
      </c>
      <c r="G1601">
        <f>_xludf.IMAGE("https://edmondsonsupply.com/cdn/shop/products/PRMJ88-2.jpg?v=1633030394")</f>
        <v/>
      </c>
      <c r="H1601">
        <f>_xludf.IMAGE("https://m.media-amazon.com/images/I/41k5rZblOYL._AC_UY218_.jpg")</f>
        <v/>
      </c>
      <c r="K1601" t="inlineStr">
        <is>
          <t>5.59</t>
        </is>
      </c>
      <c r="L1601" t="n">
        <v>10</v>
      </c>
      <c r="M1601" s="1" t="inlineStr">
        <is>
          <t>78.89%</t>
        </is>
      </c>
      <c r="N1601" s="1" t="n">
        <v>12.05</v>
      </c>
      <c r="O1601" t="n">
        <v>4.6</v>
      </c>
      <c r="P1601" t="n">
        <v>92</v>
      </c>
      <c r="R1601" t="inlineStr">
        <is>
          <t>InStock</t>
        </is>
      </c>
      <c r="S1601" t="inlineStr">
        <is>
          <t>undefined</t>
        </is>
      </c>
      <c r="T1601" t="inlineStr">
        <is>
          <t>5302132179112</t>
        </is>
      </c>
    </row>
    <row r="1602" ht="87" customHeight="1">
      <c r="A1602" s="2">
        <f>HYPERLINK("https://edmondsonsupply.com/collections/hvac/products/white-rodgers-24a34-2-24v-electric-heat-sequencer-spst", "https://edmondsonsupply.com/collections/hvac/products/white-rodgers-24a34-2-24v-electric-heat-sequencer-spst")</f>
        <v/>
      </c>
      <c r="B1602" s="2">
        <f>HYPERLINK("https://edmondsonsupply.com/products/white-rodgers-24a34-2-24v-electric-heat-sequencer-spst", "https://edmondsonsupply.com/products/white-rodgers-24a34-2-24v-electric-heat-sequencer-spst")</f>
        <v/>
      </c>
      <c r="C1602" t="inlineStr">
        <is>
          <t>White-Rodgers 24A34-2 24V Electric Heat Sequencer, SPST</t>
        </is>
      </c>
      <c r="D1602" t="inlineStr">
        <is>
          <t>White Rodgers 24A34-2 - Electric Heat Sequencer, 1 Switch, 1 Timing,</t>
        </is>
      </c>
      <c r="E1602" s="2">
        <f>HYPERLINK("https://www.amazon.com/White-Rodgers-24A34-2-Electric-Sequencer/dp/B017RQXXFS/ref=sr_1_2?keywords=White-Rodgers+24A34-2+24V+Electric+Heat+Sequencer%2C+SPST&amp;qid=1694734713&amp;sr=8-2", "https://www.amazon.com/White-Rodgers-24A34-2-Electric-Sequencer/dp/B017RQXXFS/ref=sr_1_2?keywords=White-Rodgers+24A34-2+24V+Electric+Heat+Sequencer%2C+SPST&amp;qid=1694734713&amp;sr=8-2")</f>
        <v/>
      </c>
      <c r="F1602" t="inlineStr">
        <is>
          <t>B017RQXXFS</t>
        </is>
      </c>
      <c r="G1602">
        <f>_xlfn.IMAGE("https://edmondsonsupply.com/cdn/shop/products/24A34-2.jpg?v=1633030752")</f>
        <v/>
      </c>
      <c r="H1602">
        <f>_xlfn.IMAGE("https://m.media-amazon.com/images/I/41E-ED7x6RL._AC_UL320_.jpg")</f>
        <v/>
      </c>
      <c r="K1602" t="inlineStr">
        <is>
          <t>11.99</t>
        </is>
      </c>
      <c r="L1602" t="n">
        <v>21.43</v>
      </c>
      <c r="M1602" s="1" t="inlineStr">
        <is>
          <t>78.73%</t>
        </is>
      </c>
      <c r="N1602" s="7" t="n">
        <v>12.01</v>
      </c>
      <c r="O1602" t="n">
        <v>5</v>
      </c>
      <c r="P1602" t="n">
        <v>1</v>
      </c>
      <c r="R1602" t="inlineStr">
        <is>
          <t>InStock</t>
        </is>
      </c>
      <c r="S1602" t="inlineStr">
        <is>
          <t>26.43</t>
        </is>
      </c>
      <c r="T1602" t="inlineStr">
        <is>
          <t>5896366424232</t>
        </is>
      </c>
    </row>
    <row r="1603" hidden="1" ht="15.75" customHeight="1">
      <c r="A1603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603" s="2">
        <f>HYPERLINK("https://edmondsonsupply.com/products/packard-prmj88-motor-start-capacitor-88-108-mfd-330-volt", "https://edmondsonsupply.com/products/packard-prmj88-motor-start-capacitor-88-108-mfd-330-volt")</f>
        <v/>
      </c>
      <c r="C1603" t="inlineStr">
        <is>
          <t>Packard PRMJ88 Motor Start Capacitor 88-108 MFD 330 Volt</t>
        </is>
      </c>
      <c r="D1603" t="inlineStr">
        <is>
          <t>Canamax Premium 88-108 uf mfd 220-250VAC Volts Round Motor Start Capacitor 50/60 Hz AC Electric - Exact Fit for OEM Single Phase Motor Capacitors Condenser Straight Cool or Heat Pump Air Conditioner</t>
        </is>
      </c>
      <c r="E1603" s="2">
        <f>HYPERLINK("https://www.amazon.com/Canamax-Premium-220-250VAC-Capacitor-Electric/dp/B0B253ZNKF/ref=sr_1_15?keywords=Packard+PRMJ88+Motor+Start+Capacitor+88-108+MFD+330+Volt&amp;qid=1694734788&amp;sr=8-15", "https://www.amazon.com/Canamax-Premium-220-250VAC-Capacitor-Electric/dp/B0B253ZNKF/ref=sr_1_15?keywords=Packard+PRMJ88+Motor+Start+Capacitor+88-108+MFD+330+Volt&amp;qid=1694734788&amp;sr=8-15")</f>
        <v/>
      </c>
      <c r="F1603" t="inlineStr">
        <is>
          <t>B0B253ZNKF</t>
        </is>
      </c>
      <c r="G1603">
        <f>_xludf.IMAGE("https://edmondsonsupply.com/cdn/shop/products/PRMJ88-2.jpg?v=1633030394")</f>
        <v/>
      </c>
      <c r="H1603">
        <f>_xludf.IMAGE("https://m.media-amazon.com/images/I/81vDEmTyXNL._AC_UY218_.jpg")</f>
        <v/>
      </c>
      <c r="K1603" t="inlineStr">
        <is>
          <t>5.59</t>
        </is>
      </c>
      <c r="L1603" t="n">
        <v>9.99</v>
      </c>
      <c r="M1603" s="1" t="inlineStr">
        <is>
          <t>78.71%</t>
        </is>
      </c>
      <c r="N1603" s="1" t="n">
        <v>11.82</v>
      </c>
      <c r="O1603" t="n">
        <v>5</v>
      </c>
      <c r="P1603" t="n">
        <v>2</v>
      </c>
      <c r="R1603" t="inlineStr">
        <is>
          <t>InStock</t>
        </is>
      </c>
      <c r="S1603" t="inlineStr">
        <is>
          <t>undefined</t>
        </is>
      </c>
      <c r="T1603" t="inlineStr">
        <is>
          <t>5302132179112</t>
        </is>
      </c>
    </row>
    <row r="1604" ht="87" customHeight="1">
      <c r="A1604" s="2">
        <f>HYPERLINK("https://edmondsonsupply.com/collections/hvac/products/white-rodgers-790-843a1-universal-flame-sensor", "https://edmondsonsupply.com/collections/hvac/products/white-rodgers-790-843a1-universal-flame-sensor")</f>
        <v/>
      </c>
      <c r="B1604" s="2">
        <f>HYPERLINK("https://edmondsonsupply.com/products/white-rodgers-790-843a1-universal-flame-sensor", "https://edmondsonsupply.com/products/white-rodgers-790-843a1-universal-flame-sensor")</f>
        <v/>
      </c>
      <c r="C1604" t="inlineStr">
        <is>
          <t>White Rodgers 790-843A1 Universal Flame Sensor</t>
        </is>
      </c>
      <c r="D1604" t="inlineStr">
        <is>
          <t>Replacement for White Rodgers 790-843A1 Furnace Flame Sensor for Carrier York Goodman Amana</t>
        </is>
      </c>
      <c r="E1604" s="2">
        <f>HYPERLINK("https://www.amazon.com/Replacement-Rodgers-790-843A1-Furnace-Carrier/dp/B09Y3V5472/ref=sr_1_3?keywords=White+Rodgers+790-843A1+Universal+Flame+Sensor&amp;qid=1694734667&amp;sr=8-3", "https://www.amazon.com/Replacement-Rodgers-790-843A1-Furnace-Carrier/dp/B09Y3V5472/ref=sr_1_3?keywords=White+Rodgers+790-843A1+Universal+Flame+Sensor&amp;qid=1694734667&amp;sr=8-3")</f>
        <v/>
      </c>
      <c r="F1604" t="inlineStr">
        <is>
          <t>B09Y3V5472</t>
        </is>
      </c>
      <c r="G1604">
        <f>_xlfn.IMAGE("https://edmondsonsupply.com/cdn/shop/products/790-flame-sensors-universal.png?v=1633030916")</f>
        <v/>
      </c>
      <c r="H1604">
        <f>_xlfn.IMAGE("https://m.media-amazon.com/images/I/51BcLnIqheL._AC_UL320_.jpg")</f>
        <v/>
      </c>
      <c r="K1604" t="inlineStr">
        <is>
          <t>16.8</t>
        </is>
      </c>
      <c r="L1604" t="n">
        <v>29.99</v>
      </c>
      <c r="M1604" s="1" t="inlineStr">
        <is>
          <t>78.51%</t>
        </is>
      </c>
      <c r="N1604" s="7" t="n">
        <v>11.72</v>
      </c>
      <c r="O1604" t="n">
        <v>5</v>
      </c>
      <c r="P1604" t="n">
        <v>1</v>
      </c>
      <c r="R1604" t="inlineStr">
        <is>
          <t>InStock</t>
        </is>
      </c>
      <c r="S1604" t="inlineStr">
        <is>
          <t>39.71</t>
        </is>
      </c>
      <c r="T1604" t="inlineStr">
        <is>
          <t>6257215340717</t>
        </is>
      </c>
    </row>
    <row r="1605" ht="87" customHeight="1">
      <c r="A1605" s="2">
        <f>HYPERLINK("https://edmondsonsupply.com/collections/hvac/products/white-rodgers-50a55-843-integrated-furnace-control-board-universal-replacement", "https://edmondsonsupply.com/collections/hvac/products/white-rodgers-50a55-843-integrated-furnace-control-board-universal-replacement")</f>
        <v/>
      </c>
      <c r="B1605" s="2">
        <f>HYPERLINK("https://edmondsonsupply.com/products/white-rodgers-50a55-843-integrated-furnace-control-board-universal-replacement", "https://edmondsonsupply.com/products/white-rodgers-50a55-843-integrated-furnace-control-board-universal-replacement")</f>
        <v/>
      </c>
      <c r="C1605" t="inlineStr">
        <is>
          <t>White-Rodgers 50A55-843 Integrated Furnace Control Board, Universal Replacement</t>
        </is>
      </c>
      <c r="D1605" t="inlineStr">
        <is>
          <t>White-Rodgers 21V51U-843 Universal Two Stage Hot Surface Ignition Variable Speed Ecm Circulator Furnace Control Replacement Kit</t>
        </is>
      </c>
      <c r="E1605" s="2">
        <f>HYPERLINK("https://www.amazon.com/White-Rodgers-21V51U-843-Universal-Circulator-Replacement/dp/B008FVEJVW/ref=sr_1_3?keywords=White-Rodgers+50A55-843+Integrated+Furnace+Control+Board%2C+Universal+Replacement&amp;qid=1694734619&amp;sr=8-3", "https://www.amazon.com/White-Rodgers-21V51U-843-Universal-Circulator-Replacement/dp/B008FVEJVW/ref=sr_1_3?keywords=White-Rodgers+50A55-843+Integrated+Furnace+Control+Board%2C+Universal+Replacement&amp;qid=1694734619&amp;sr=8-3")</f>
        <v/>
      </c>
      <c r="F1605" t="inlineStr">
        <is>
          <t>B008FVEJVW</t>
        </is>
      </c>
      <c r="G1605">
        <f>_xlfn.IMAGE("https://edmondsonsupply.com/cdn/shop/products/b-integrated-furnace-controls-universal-replacement-img-2a.jpg?v=1633030661")</f>
        <v/>
      </c>
      <c r="H1605">
        <f>_xlfn.IMAGE("https://m.media-amazon.com/images/I/81dVW6SXcmL._AC_UL320_.jpg")</f>
        <v/>
      </c>
      <c r="K1605" t="inlineStr">
        <is>
          <t>135.23</t>
        </is>
      </c>
      <c r="L1605" t="n">
        <v>241.4</v>
      </c>
      <c r="M1605" s="1" t="inlineStr">
        <is>
          <t>78.51%</t>
        </is>
      </c>
      <c r="N1605" s="7" t="n">
        <v>11.59</v>
      </c>
      <c r="O1605" t="n">
        <v>5</v>
      </c>
      <c r="P1605" t="n">
        <v>2</v>
      </c>
      <c r="R1605" t="inlineStr">
        <is>
          <t>InStock</t>
        </is>
      </c>
      <c r="S1605" t="inlineStr">
        <is>
          <t>309.09</t>
        </is>
      </c>
      <c r="T1605" t="inlineStr">
        <is>
          <t>5751568466088</t>
        </is>
      </c>
    </row>
    <row r="1606" ht="87" customHeight="1">
      <c r="A1606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1606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1606" t="inlineStr">
        <is>
          <t>Packard TRCFD455 Titan PRO Run Capacitor 45+5 MFD 440/370 Volt Round</t>
        </is>
      </c>
      <c r="D1606" t="inlineStr">
        <is>
          <t>Titan TRCFD455 Dual Rated Motor Run Capacitor Round MFD 40+5 Volts 440/370</t>
        </is>
      </c>
      <c r="E1606" s="2">
        <f>HYPERLINK("https://www.amazon.com/Titan-TRCFD455-Rated-Motor-Capacitor/dp/B01IC31EW4/ref=sr_1_3?keywords=Packard+TRCFD455+Titan+PRO+Run+Capacitor+45%2B5+MFD+440%2F370+Volt+Round&amp;qid=1694734617&amp;sr=8-3", "https://www.amazon.com/Titan-TRCFD455-Rated-Motor-Capacitor/dp/B01IC31EW4/ref=sr_1_3?keywords=Packard+TRCFD455+Titan+PRO+Run+Capacitor+45%2B5+MFD+440%2F370+Volt+Round&amp;qid=1694734617&amp;sr=8-3")</f>
        <v/>
      </c>
      <c r="F1606" t="inlineStr">
        <is>
          <t>B01IC31EW4</t>
        </is>
      </c>
      <c r="G1606">
        <f>_xlfn.IMAGE("https://edmondsonsupply.com/cdn/shop/products/TRCFD455-2.jpg?v=1587147298")</f>
        <v/>
      </c>
      <c r="H1606">
        <f>_xlfn.IMAGE("https://m.media-amazon.com/images/I/41PR+nyKvsL._AC_UY218_.jpg")</f>
        <v/>
      </c>
      <c r="K1606" t="inlineStr">
        <is>
          <t>8.99</t>
        </is>
      </c>
      <c r="L1606" t="n">
        <v>16.03</v>
      </c>
      <c r="M1606" s="1" t="inlineStr">
        <is>
          <t>78.31%</t>
        </is>
      </c>
      <c r="N1606" s="7" t="n">
        <v>11.47</v>
      </c>
      <c r="O1606" t="n">
        <v>4.1</v>
      </c>
      <c r="P1606" t="n">
        <v>38</v>
      </c>
      <c r="R1606" t="inlineStr">
        <is>
          <t>OutOfStock</t>
        </is>
      </c>
      <c r="S1606" t="inlineStr">
        <is>
          <t>undefined</t>
        </is>
      </c>
      <c r="T1606" t="inlineStr">
        <is>
          <t>4309334556772</t>
        </is>
      </c>
    </row>
    <row r="1607" ht="87" customHeight="1">
      <c r="A1607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607" s="2">
        <f>HYPERLINK("https://edmondsonsupply.com/products/packard-prmj270-motor-start-capacitor-270-324-mfd-330-vac", "https://edmondsonsupply.com/products/packard-prmj270-motor-start-capacitor-270-324-mfd-330-vac")</f>
        <v/>
      </c>
      <c r="C1607" t="inlineStr">
        <is>
          <t>Packard PRMJ270 Motor Start Capacitor 270-324 MFD 330 VAC</t>
        </is>
      </c>
      <c r="D1607" t="inlineStr">
        <is>
          <t>PTMJ270 - Packard Upgraded Replacement Motor Start Capacitor 270-324 MFD 220-250 Volt VAC</t>
        </is>
      </c>
      <c r="E1607" s="2">
        <f>HYPERLINK("https://www.amazon.com/PTMJ270-Packard-Upgraded-Replacement-Capacitor/dp/B0773WQJ2T/ref=sr_1_5?keywords=Packard+PRMJ270+Motor+Start+Capacitor+270-324+MFD+330+VAC&amp;qid=1694734674&amp;sr=8-5", "https://www.amazon.com/PTMJ270-Packard-Upgraded-Replacement-Capacitor/dp/B0773WQJ2T/ref=sr_1_5?keywords=Packard+PRMJ270+Motor+Start+Capacitor+270-324+MFD+330+VAC&amp;qid=1694734674&amp;sr=8-5")</f>
        <v/>
      </c>
      <c r="F1607" t="inlineStr">
        <is>
          <t>B0773WQJ2T</t>
        </is>
      </c>
      <c r="G1607">
        <f>_xlfn.IMAGE("https://edmondsonsupply.com/cdn/shop/products/PRMJ270-2.jpg?v=1633030164")</f>
        <v/>
      </c>
      <c r="H1607">
        <f>_xlfn.IMAGE("https://m.media-amazon.com/images/I/41fqQrQgJaL._AC_UY218_.jpg")</f>
        <v/>
      </c>
      <c r="K1607" t="inlineStr">
        <is>
          <t>10.37</t>
        </is>
      </c>
      <c r="L1607" t="n">
        <v>18.49</v>
      </c>
      <c r="M1607" s="1" t="inlineStr">
        <is>
          <t>78.30%</t>
        </is>
      </c>
      <c r="N1607" s="7" t="n">
        <v>11.44</v>
      </c>
      <c r="O1607" t="n">
        <v>4.4</v>
      </c>
      <c r="P1607" t="n">
        <v>10</v>
      </c>
      <c r="R1607" t="inlineStr">
        <is>
          <t>InStock</t>
        </is>
      </c>
      <c r="S1607" t="inlineStr">
        <is>
          <t>undefined</t>
        </is>
      </c>
      <c r="T1607" t="inlineStr">
        <is>
          <t>4298743185508</t>
        </is>
      </c>
    </row>
    <row r="1608" hidden="1" ht="15.75" customHeight="1">
      <c r="A1608" s="2">
        <f>HYPERLINK("https://edmondsonsupply.com/collections/hvac/products/emerson-white-rodgers-1f78-144-70-series-non-programmable-thermostat-1-heat-1-cool", "https://edmondsonsupply.com/collections/hvac/products/emerson-white-rodgers-1f78-144-70-series-non-programmable-thermostat-1-heat-1-cool")</f>
        <v/>
      </c>
      <c r="B1608" s="2">
        <f>HYPERLINK("https://edmondsonsupply.com/products/emerson-white-rodgers-1f78-144-70-series-non-programmable-thermostat-1-heat-1-cool", "https://edmondsonsupply.com/products/emerson-white-rodgers-1f78-144-70-series-non-programmable-thermostat-1-heat-1-cool")</f>
        <v/>
      </c>
      <c r="C1608" t="inlineStr">
        <is>
          <t>Emerson White-Rodgers 1F78-144 70 Series Non-Programmable Thermostat, 1 Heat - 1 Cool</t>
        </is>
      </c>
      <c r="D1608" t="inlineStr">
        <is>
          <t>White-rodgers 70 Series‚Ѣ Non-programmable Thermostat 1f78-144</t>
        </is>
      </c>
      <c r="E1608" s="2">
        <f>HYPERLINK("https://www.amazon.com/White-rodgers-Series%D1%A2-Non-programmable-Thermostat-1f78-144/dp/B082J5RB52/ref=sr_1_2?keywords=Emerson+White-Rodgers+1F78-144+70+Series+Non-Programmable+Thermostat%2C+1+Heat+-+1+Cool&amp;qid=1694734782&amp;sr=8-2", "https://www.amazon.com/White-rodgers-Series%D1%A2-Non-programmable-Thermostat-1f78-144/dp/B082J5RB52/ref=sr_1_2?keywords=Emerson+White-Rodgers+1F78-144+70+Series+Non-Programmable+Thermostat%2C+1+Heat+-+1+Cool&amp;qid=1694734782&amp;sr=8-2")</f>
        <v/>
      </c>
      <c r="F1608" t="inlineStr">
        <is>
          <t>B082J5RB52</t>
        </is>
      </c>
      <c r="G1608">
        <f>_xludf.IMAGE("https://edmondsonsupply.com/cdn/shop/products/70-series-thermostats-i.jpg?v=1633030660")</f>
        <v/>
      </c>
      <c r="H1608">
        <f>_xludf.IMAGE("https://m.media-amazon.com/images/I/31ImT-Os6kL._AC_UL320_.jpg")</f>
        <v/>
      </c>
      <c r="K1608" t="inlineStr">
        <is>
          <t>27.41</t>
        </is>
      </c>
      <c r="L1608" t="n">
        <v>48.63</v>
      </c>
      <c r="M1608" s="1" t="inlineStr">
        <is>
          <t>77.42%</t>
        </is>
      </c>
      <c r="N1608" s="1" t="n">
        <v>11.32</v>
      </c>
      <c r="O1608" t="n">
        <v>4</v>
      </c>
      <c r="P1608" t="n">
        <v>11</v>
      </c>
      <c r="R1608" t="inlineStr">
        <is>
          <t>InStock</t>
        </is>
      </c>
      <c r="S1608" t="inlineStr">
        <is>
          <t>64.96</t>
        </is>
      </c>
      <c r="T1608" t="inlineStr">
        <is>
          <t>5751448043688</t>
        </is>
      </c>
    </row>
    <row r="1609" ht="87" customHeight="1">
      <c r="A1609" s="2">
        <f>HYPERLINK("https://edmondsonsupply.com/collections/hvac/products/klein-tools-ir07-dual-ir-probe-thermometer", "https://edmondsonsupply.com/collections/hvac/products/klein-tools-ir07-dual-ir-probe-thermometer")</f>
        <v/>
      </c>
      <c r="B1609" s="2">
        <f>HYPERLINK("https://edmondsonsupply.com/products/klein-tools-ir07-dual-ir-probe-thermometer", "https://edmondsonsupply.com/products/klein-tools-ir07-dual-ir-probe-thermometer")</f>
        <v/>
      </c>
      <c r="C1609" t="inlineStr">
        <is>
          <t>Klein Tools IR07 Dual IR/Probe Thermometer</t>
        </is>
      </c>
      <c r="D1609" t="inlineStr">
        <is>
          <t>Klein Tools IR10 Infrared Thermometer, Digital Thermometer Gun with Dual Targeting Laser, 20:1</t>
        </is>
      </c>
      <c r="E1609" s="2">
        <f>HYPERLINK("https://www.amazon.com/Klein-Tools-IR10-Thermometer-Targeting/dp/B07K1JB9TQ/ref=sr_1_13?keywords=Klein+Tools+IR07+Dual+IR%2FProbe+Thermometer&amp;qid=1694734825&amp;sr=8-13", "https://www.amazon.com/Klein-Tools-IR10-Thermometer-Targeting/dp/B07K1JB9TQ/ref=sr_1_13?keywords=Klein+Tools+IR07+Dual+IR%2FProbe+Thermometer&amp;qid=1694734825&amp;sr=8-13")</f>
        <v/>
      </c>
      <c r="F1609" t="inlineStr">
        <is>
          <t>B07K1JB9TQ</t>
        </is>
      </c>
      <c r="G1609">
        <f>_xlfn.IMAGE("https://edmondsonsupply.com/cdn/shop/products/ir07.jpg?v=1599003623")</f>
        <v/>
      </c>
      <c r="H1609">
        <f>_xlfn.IMAGE("https://m.media-amazon.com/images/I/71gXtP6kZ0L._AC_UY218_.jpg")</f>
        <v/>
      </c>
      <c r="K1609" t="inlineStr">
        <is>
          <t>57.49</t>
        </is>
      </c>
      <c r="L1609" t="n">
        <v>101.99</v>
      </c>
      <c r="M1609" s="1" t="inlineStr">
        <is>
          <t>77.40%</t>
        </is>
      </c>
      <c r="N1609" s="7" t="n">
        <v>11.3</v>
      </c>
      <c r="O1609" t="n">
        <v>4.6</v>
      </c>
      <c r="P1609" t="n">
        <v>300</v>
      </c>
      <c r="R1609" t="inlineStr">
        <is>
          <t>InStock</t>
        </is>
      </c>
      <c r="S1609" t="inlineStr">
        <is>
          <t>72.06</t>
        </is>
      </c>
      <c r="T1609" t="inlineStr">
        <is>
          <t>3320746770532</t>
        </is>
      </c>
    </row>
    <row r="1610" hidden="1" ht="15.75" customHeight="1">
      <c r="A1610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610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610" t="inlineStr">
        <is>
          <t>Klein Tools 646-1/4 1/4-Inch Nut Driver with 6-Inch Hollow Shaft</t>
        </is>
      </c>
      <c r="D1610" t="inlineStr">
        <is>
          <t>Klein Tools 610 Tool Set, Nut Driver Set with Stubby Nut Driver Sizes 1/4 and 5/16-Inch, Full Hollow Shaft, 2-Piece</t>
        </is>
      </c>
      <c r="E1610" s="2">
        <f>HYPERLINK("https://www.amazon.com/Klein-Tools-610-16-Inch-2-Piece/dp/B000CSKRCQ/ref=sr_1_16?keywords=Klein+Tools+646-1%2F4+1%2F4-Inch+Nut+Driver+with+6-Inch+Hollow+Shaft&amp;qid=1694734727&amp;sr=8-16", "https://www.amazon.com/Klein-Tools-610-16-Inch-2-Piece/dp/B000CSKRCQ/ref=sr_1_16?keywords=Klein+Tools+646-1%2F4+1%2F4-Inch+Nut+Driver+with+6-Inch+Hollow+Shaft&amp;qid=1694734727&amp;sr=8-16")</f>
        <v/>
      </c>
      <c r="F1610" t="inlineStr">
        <is>
          <t>B000CSKRCQ</t>
        </is>
      </c>
      <c r="G1610">
        <f>_xludf.IMAGE("https://edmondsonsupply.com/cdn/shop/products/646-1-2_08d87fa9-eac4-4869-8d3b-bb680d4b1d53.jpg?v=1587150676")</f>
        <v/>
      </c>
      <c r="H1610">
        <f>_xludf.IMAGE("https://m.media-amazon.com/images/I/51+8QhofFWL._AC_UL320_.jpg")</f>
        <v/>
      </c>
      <c r="K1610" t="inlineStr">
        <is>
          <t>7.99</t>
        </is>
      </c>
      <c r="L1610" t="n">
        <v>14.14</v>
      </c>
      <c r="M1610" s="1" t="inlineStr">
        <is>
          <t>76.97%</t>
        </is>
      </c>
      <c r="N1610" s="1" t="n">
        <v>11.16</v>
      </c>
      <c r="O1610" t="n">
        <v>4.9</v>
      </c>
      <c r="P1610" t="n">
        <v>19</v>
      </c>
      <c r="R1610" t="inlineStr">
        <is>
          <t>InStock</t>
        </is>
      </c>
      <c r="S1610" t="inlineStr">
        <is>
          <t>12.1</t>
        </is>
      </c>
      <c r="T1610" t="inlineStr">
        <is>
          <t>4439433740388</t>
        </is>
      </c>
    </row>
    <row r="1611" hidden="1" ht="15.75" customHeight="1">
      <c r="A1611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611" s="2">
        <f>HYPERLINK("https://edmondsonsupply.com/products/klein-tools-646-5-16-5-16-inch-nut-driver-6-inch-hollow-shaft", "https://edmondsonsupply.com/products/klein-tools-646-5-16-5-16-inch-nut-driver-6-inch-hollow-shaft")</f>
        <v/>
      </c>
      <c r="C1611" t="inlineStr">
        <is>
          <t>Klein Tools 646-5/16 5/16-Inch Nut Driver, 6-Inch Hollow Shaft</t>
        </is>
      </c>
      <c r="D1611" t="inlineStr">
        <is>
          <t>Klein Tools 610 Tool Set, Nut Driver Set with Stubby Nut Driver Sizes 1/4 and 5/16-Inch, Full Hollow Shaft, 2-Piece</t>
        </is>
      </c>
      <c r="E1611" s="2">
        <f>HYPERLINK("https://www.amazon.com/Klein-Tools-610-16-Inch-2-Piece/dp/B000CSKRCQ/ref=sr_1_22?keywords=Klein+Tools+646-5%2F16+5%2F16-Inch+Nut+Driver%2C+6-Inch+Hollow+Shaft&amp;qid=1694734728&amp;sr=8-22", "https://www.amazon.com/Klein-Tools-610-16-Inch-2-Piece/dp/B000CSKRCQ/ref=sr_1_22?keywords=Klein+Tools+646-5%2F16+5%2F16-Inch+Nut+Driver%2C+6-Inch+Hollow+Shaft&amp;qid=1694734728&amp;sr=8-22")</f>
        <v/>
      </c>
      <c r="F1611" t="inlineStr">
        <is>
          <t>B000CSKRCQ</t>
        </is>
      </c>
      <c r="G1611">
        <f>_xludf.IMAGE("https://edmondsonsupply.com/cdn/shop/products/646-1-2_e1540905-f750-4509-90c5-74ff653e4d83.jpg?v=1587145119")</f>
        <v/>
      </c>
      <c r="H1611">
        <f>_xludf.IMAGE("https://m.media-amazon.com/images/I/51+8QhofFWL._AC_UL320_.jpg")</f>
        <v/>
      </c>
      <c r="K1611" t="inlineStr">
        <is>
          <t>7.99</t>
        </is>
      </c>
      <c r="L1611" t="n">
        <v>14.14</v>
      </c>
      <c r="M1611" s="1" t="inlineStr">
        <is>
          <t>76.97%</t>
        </is>
      </c>
      <c r="N1611" s="1" t="n">
        <v>11.12</v>
      </c>
      <c r="O1611" t="n">
        <v>4.9</v>
      </c>
      <c r="P1611" t="n">
        <v>19</v>
      </c>
      <c r="R1611" t="inlineStr">
        <is>
          <t>InStock</t>
        </is>
      </c>
      <c r="S1611" t="inlineStr">
        <is>
          <t>12.1</t>
        </is>
      </c>
      <c r="T1611" t="inlineStr">
        <is>
          <t>4395303272548</t>
        </is>
      </c>
    </row>
    <row r="1612" ht="87" customHeight="1">
      <c r="A1612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612" s="2">
        <f>HYPERLINK("https://edmondsonsupply.com/products/packard-prmj189-motor-start-capacitor-189-227-mfd-330-vac", "https://edmondsonsupply.com/products/packard-prmj189-motor-start-capacitor-189-227-mfd-330-vac")</f>
        <v/>
      </c>
      <c r="C1612" t="inlineStr">
        <is>
          <t>Packard PRMJ189 Motor Start Capacitor 189-227 MFD 330 VAC</t>
        </is>
      </c>
      <c r="D1612" t="inlineStr">
        <is>
          <t>Packard PRMJ189 Packard 330V Start Capacitor 189-227 MFD</t>
        </is>
      </c>
      <c r="E1612" s="2">
        <f>HYPERLINK("https://www.amazon.com/Packard-PRMJ189-Start-Capacitor-189-227/dp/B004GC7DQM/ref=sr_1_1?keywords=Packard+PRMJ189+Motor+Start+Capacitor+189-227+MFD+330+VAC&amp;qid=1694734820&amp;sr=8-1", "https://www.amazon.com/Packard-PRMJ189-Start-Capacitor-189-227/dp/B004GC7DQM/ref=sr_1_1?keywords=Packard+PRMJ189+Motor+Start+Capacitor+189-227+MFD+330+VAC&amp;qid=1694734820&amp;sr=8-1")</f>
        <v/>
      </c>
      <c r="F1612" t="inlineStr">
        <is>
          <t>B004GC7DQM</t>
        </is>
      </c>
      <c r="G1612">
        <f>_xlfn.IMAGE("https://edmondsonsupply.com/cdn/shop/products/PRMJ189-2.jpg?v=1663378512")</f>
        <v/>
      </c>
      <c r="H1612">
        <f>_xlfn.IMAGE("https://m.media-amazon.com/images/I/614hyccIZzL._AC_UY218_.jpg")</f>
        <v/>
      </c>
      <c r="K1612" t="inlineStr">
        <is>
          <t>8.59</t>
        </is>
      </c>
      <c r="L1612" t="n">
        <v>15.18</v>
      </c>
      <c r="M1612" s="1" t="inlineStr">
        <is>
          <t>76.72%</t>
        </is>
      </c>
      <c r="N1612" s="7" t="n">
        <v>11.12</v>
      </c>
      <c r="O1612" t="n">
        <v>4.4</v>
      </c>
      <c r="P1612" t="n">
        <v>117</v>
      </c>
      <c r="R1612" t="inlineStr">
        <is>
          <t>InStock</t>
        </is>
      </c>
      <c r="S1612" t="inlineStr">
        <is>
          <t>undefined</t>
        </is>
      </c>
      <c r="T1612" t="inlineStr">
        <is>
          <t>4298778378340</t>
        </is>
      </c>
    </row>
    <row r="1613" hidden="1" ht="15.75" customHeight="1">
      <c r="A1613" s="2">
        <f>HYPERLINK("https://edmondsonsupply.com/collections/hvac/products/packard-titan-pro-trcd305-run-capacitor-30-5-mfd-370-volt-round", "https://edmondsonsupply.com/collections/hvac/products/packard-titan-pro-trcd305-run-capacitor-30-5-mfd-370-volt-round")</f>
        <v/>
      </c>
      <c r="B1613" s="2">
        <f>HYPERLINK("https://edmondsonsupply.com/products/packard-titan-pro-trcd305-run-capacitor-30-5-mfd-370-volt-round", "https://edmondsonsupply.com/products/packard-titan-pro-trcd305-run-capacitor-30-5-mfd-370-volt-round")</f>
        <v/>
      </c>
      <c r="C1613" t="inlineStr">
        <is>
          <t>Packard Titan PRO TRCD305 Run Capacitor 30+5 MFD 370 Volt Round</t>
        </is>
      </c>
      <c r="D1613" t="inlineStr">
        <is>
          <t>PACKARD TRCD455 Titan Pro 45+5 MFD 370V Round Run Capacitor Replaces PRCD455</t>
        </is>
      </c>
      <c r="E1613" s="2">
        <f>HYPERLINK("https://www.amazon.com/PACKARD-TRCD455-Capacitor-Replaces-PRCD455/dp/B00K3M3NQ8/ref=sr_1_2?keywords=Packard+Titan+PRO+TRCD305+Run+Capacitor+30%2B5+MFD+370+Volt+Round&amp;qid=1694734786&amp;sr=8-2", "https://www.amazon.com/PACKARD-TRCD455-Capacitor-Replaces-PRCD455/dp/B00K3M3NQ8/ref=sr_1_2?keywords=Packard+Titan+PRO+TRCD305+Run+Capacitor+30%2B5+MFD+370+Volt+Round&amp;qid=1694734786&amp;sr=8-2")</f>
        <v/>
      </c>
      <c r="F1613" t="inlineStr">
        <is>
          <t>B00K3M3NQ8</t>
        </is>
      </c>
      <c r="G1613">
        <f>_xludf.IMAGE("https://edmondsonsupply.com/cdn/shop/products/TRCD305-2.jpg?v=1633030487")</f>
        <v/>
      </c>
      <c r="H1613">
        <f>_xludf.IMAGE("https://m.media-amazon.com/images/I/4118O3-fIGL._AC_UY218_.jpg")</f>
        <v/>
      </c>
      <c r="K1613" t="inlineStr">
        <is>
          <t>7.92</t>
        </is>
      </c>
      <c r="L1613" t="n">
        <v>13.99</v>
      </c>
      <c r="M1613" s="1" t="inlineStr">
        <is>
          <t>76.64%</t>
        </is>
      </c>
      <c r="N1613" s="1" t="n">
        <v>11.06</v>
      </c>
      <c r="O1613" t="n">
        <v>4.4</v>
      </c>
      <c r="P1613" t="n">
        <v>140</v>
      </c>
      <c r="R1613" t="inlineStr">
        <is>
          <t>InStock</t>
        </is>
      </c>
      <c r="S1613" t="inlineStr">
        <is>
          <t>undefined</t>
        </is>
      </c>
      <c r="T1613" t="inlineStr">
        <is>
          <t>5373456646312</t>
        </is>
      </c>
    </row>
    <row r="1614" ht="87" customHeight="1">
      <c r="A1614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614" s="2">
        <f>HYPERLINK("https://edmondsonsupply.com/products/midwest-mwt-6510s-straight-offset-aviation-snip", "https://edmondsonsupply.com/products/midwest-mwt-6510s-straight-offset-aviation-snip")</f>
        <v/>
      </c>
      <c r="C1614" t="inlineStr">
        <is>
          <t>Midwest MWT-6510S Straight Offset Aviation Snip</t>
        </is>
      </c>
      <c r="D1614" t="inlineStr">
        <is>
          <t>MIDWEST Aviation Snip - Straight Cut Offset Tin Cutting Shears with Forged Blade &amp; KUSH'N-POWER Comfort Grips - MWT-6510S</t>
        </is>
      </c>
      <c r="E1614" s="2">
        <f>HYPERLINK("https://www.amazon.com/MIDWEST-Aviation-Snip-KUSHN-POWER-MWT-6510S/dp/B00P7FFF6M/ref=sr_1_1?keywords=Midwest+MWT-6510S+Straight+Offset+Aviation+Snip&amp;qid=1694734608&amp;sr=8-1", "https://www.amazon.com/MIDWEST-Aviation-Snip-KUSHN-POWER-MWT-6510S/dp/B00P7FFF6M/ref=sr_1_1?keywords=Midwest+MWT-6510S+Straight+Offset+Aviation+Snip&amp;qid=1694734608&amp;sr=8-1")</f>
        <v/>
      </c>
      <c r="F1614" t="inlineStr">
        <is>
          <t>B00P7FFF6M</t>
        </is>
      </c>
      <c r="G1614">
        <f>_xlfn.IMAGE("https://edmondsonsupply.com/cdn/shop/products/MWT-6510S-1.jpg?v=1587150061")</f>
        <v/>
      </c>
      <c r="H1614">
        <f>_xlfn.IMAGE("https://m.media-amazon.com/images/I/71dEll5ok5L._AC_UL320_.jpg")</f>
        <v/>
      </c>
      <c r="K1614" t="inlineStr">
        <is>
          <t>23.49</t>
        </is>
      </c>
      <c r="L1614" t="n">
        <v>41.49</v>
      </c>
      <c r="M1614" s="1" t="inlineStr">
        <is>
          <t>76.63%</t>
        </is>
      </c>
      <c r="N1614" s="7" t="n">
        <v>10.64</v>
      </c>
      <c r="O1614" t="n">
        <v>4.6</v>
      </c>
      <c r="P1614" t="n">
        <v>766</v>
      </c>
      <c r="R1614" t="inlineStr">
        <is>
          <t>OutOfStock</t>
        </is>
      </c>
      <c r="S1614" t="inlineStr">
        <is>
          <t>33.49</t>
        </is>
      </c>
      <c r="T1614" t="inlineStr">
        <is>
          <t>4436158677092</t>
        </is>
      </c>
    </row>
    <row r="1615" ht="87" customHeight="1">
      <c r="A1615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615" s="2">
        <f>HYPERLINK("https://edmondsonsupply.com/products/packard-c140a-contactor-1-pole-40-amps-24-coil-voltage", "https://edmondsonsupply.com/products/packard-c140a-contactor-1-pole-40-amps-24-coil-voltage")</f>
        <v/>
      </c>
      <c r="C1615" t="inlineStr">
        <is>
          <t>Packard C140A Contactor 1 Pole 40 AMPS 24 Coil Voltage</t>
        </is>
      </c>
      <c r="D1615" t="inlineStr">
        <is>
          <t>Coleman - 40 Amp 1 Pole 24v Coil Replacement Contactor C140A</t>
        </is>
      </c>
      <c r="E1615" s="2">
        <f>HYPERLINK("https://www.amazon.com/Coleman-Packard-Replacement-Contactor-C140A/dp/B00S8IYX72/ref=sr_1_7?keywords=Packard+C140A+Contactor+1+Pole+40+AMPS+24+Coil+Voltage&amp;qid=1694734583&amp;sr=8-7", "https://www.amazon.com/Coleman-Packard-Replacement-Contactor-C140A/dp/B00S8IYX72/ref=sr_1_7?keywords=Packard+C140A+Contactor+1+Pole+40+AMPS+24+Coil+Voltage&amp;qid=1694734583&amp;sr=8-7")</f>
        <v/>
      </c>
      <c r="F1615" t="inlineStr">
        <is>
          <t>B00S8IYX72</t>
        </is>
      </c>
      <c r="G1615">
        <f>_xlfn.IMAGE("https://edmondsonsupply.com/cdn/shop/products/C140A-1.jpg?v=1587147314")</f>
        <v/>
      </c>
      <c r="H1615">
        <f>_xlfn.IMAGE("https://m.media-amazon.com/images/I/418gb7r3+cL._AC_UY218_.jpg")</f>
        <v/>
      </c>
      <c r="K1615" t="inlineStr">
        <is>
          <t>9.98</t>
        </is>
      </c>
      <c r="L1615" t="n">
        <v>17.61</v>
      </c>
      <c r="M1615" s="1" t="inlineStr">
        <is>
          <t>76.45%</t>
        </is>
      </c>
      <c r="N1615" s="7" t="n">
        <v>10.58</v>
      </c>
      <c r="O1615" t="n">
        <v>5</v>
      </c>
      <c r="P1615" t="n">
        <v>4</v>
      </c>
      <c r="R1615" t="inlineStr">
        <is>
          <t>InStock</t>
        </is>
      </c>
      <c r="S1615" t="inlineStr">
        <is>
          <t>undefined</t>
        </is>
      </c>
      <c r="T1615" t="inlineStr">
        <is>
          <t>4359080607844</t>
        </is>
      </c>
    </row>
    <row r="1616" hidden="1" ht="15.75" customHeight="1">
      <c r="A1616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616" s="2">
        <f>HYPERLINK("https://edmondsonsupply.com/products/packard-psmj400-motor-start-capacitor-400-480-mfd-165-vac", "https://edmondsonsupply.com/products/packard-psmj400-motor-start-capacitor-400-480-mfd-165-vac")</f>
        <v/>
      </c>
      <c r="C1616" t="inlineStr">
        <is>
          <t>Packard PSMJ400 Motor Start Capacitor 400-480 MFD 165 VAC</t>
        </is>
      </c>
      <c r="D1616" t="inlineStr">
        <is>
          <t>HQRP 400-480uf 165V Start Capacitor Compatible with AC Electric Motor Start HVAC Blower Compressor Pump 400-480MFD CD60 UL Listed</t>
        </is>
      </c>
      <c r="E1616" s="2">
        <f>HYPERLINK("https://www.amazon.com/HQRP-400-480uf-Capacitor-Compressor-400-480MFD/dp/B088BQVDGQ/ref=sr_1_13?keywords=Packard+PSMJ400+Motor+Start+Capacitor+400-480+MFD+165+VAC&amp;qid=1694734737&amp;sr=8-13", "https://www.amazon.com/HQRP-400-480uf-Capacitor-Compressor-400-480MFD/dp/B088BQVDGQ/ref=sr_1_13?keywords=Packard+PSMJ400+Motor+Start+Capacitor+400-480+MFD+165+VAC&amp;qid=1694734737&amp;sr=8-13")</f>
        <v/>
      </c>
      <c r="F1616" t="inlineStr">
        <is>
          <t>B088BQVDGQ</t>
        </is>
      </c>
      <c r="G1616">
        <f>_xludf.IMAGE("https://edmondsonsupply.com/cdn/shop/products/PSMJ400-2.jpg?v=1587142312")</f>
        <v/>
      </c>
      <c r="H1616">
        <f>_xludf.IMAGE("https://m.media-amazon.com/images/I/61E3shTUbkL._AC_UY218_.jpg")</f>
        <v/>
      </c>
      <c r="K1616" t="inlineStr">
        <is>
          <t>7.92</t>
        </is>
      </c>
      <c r="L1616" t="n">
        <v>13.95</v>
      </c>
      <c r="M1616" s="1" t="inlineStr">
        <is>
          <t>76.14%</t>
        </is>
      </c>
      <c r="N1616" s="1" t="n">
        <v>10.47</v>
      </c>
      <c r="O1616" t="n">
        <v>4.5</v>
      </c>
      <c r="P1616" t="n">
        <v>1054</v>
      </c>
      <c r="R1616" t="inlineStr">
        <is>
          <t>InStock</t>
        </is>
      </c>
      <c r="S1616" t="inlineStr">
        <is>
          <t>undefined</t>
        </is>
      </c>
      <c r="T1616" t="inlineStr">
        <is>
          <t>3683072016484</t>
        </is>
      </c>
    </row>
    <row r="1617" ht="87" customHeight="1">
      <c r="A1617" s="2">
        <f>HYPERLINK("https://edmondsonsupply.com/collections/hvac/products/malco-mshmlc-4-inch-c-rhex%C2%AE-dual-sided-magnetic-hex-driver", "https://edmondsonsupply.com/collections/hvac/products/malco-mshmlc-4-inch-c-rhex%C2%AE-dual-sided-magnetic-hex-driver")</f>
        <v/>
      </c>
      <c r="B1617" s="2">
        <f>HYPERLINK("https://edmondsonsupply.com/products/malco-mshmlc-4-inch-c-rhex%c2%ae-dual-sided-magnetic-hex-driver", "https://edmondsonsupply.com/products/malco-mshmlc-4-inch-c-rhex%c2%ae-dual-sided-magnetic-hex-driver")</f>
        <v/>
      </c>
      <c r="C1617" t="inlineStr">
        <is>
          <t>Malco Tools MSHMLC 4-Inch C-Rhex Cleanable, Reversible Magnetic Hex Driver, 1/4" &amp; 5/16"</t>
        </is>
      </c>
      <c r="D1617" t="inlineStr">
        <is>
          <t>Malco MSH2XLC2 C-RHEX® Building Construction Series Cleanable, Reversible Magnetic Hex Driver (1/4" &amp; 5/16")</t>
        </is>
      </c>
      <c r="E1617" s="2">
        <f>HYPERLINK("https://www.amazon.com/Malco-MSH2XLC2-Construction-Cleanable-Reversible/dp/B0BX79N2BV/ref=sr_1_7?keywords=Malco+Tools+MSHMLC+4-Inch+C-Rhex+Cleanable%2C+Reversible+Magnetic+Hex+Driver%2C+1%2F4%22+%26+5%2F16%22&amp;qid=1694734740&amp;sr=8-7", "https://www.amazon.com/Malco-MSH2XLC2-Construction-Cleanable-Reversible/dp/B0BX79N2BV/ref=sr_1_7?keywords=Malco+Tools+MSHMLC+4-Inch+C-Rhex+Cleanable%2C+Reversible+Magnetic+Hex+Driver%2C+1%2F4%22+%26+5%2F16%22&amp;qid=1694734740&amp;sr=8-7")</f>
        <v/>
      </c>
      <c r="F1617" t="inlineStr">
        <is>
          <t>B0BX79N2BV</t>
        </is>
      </c>
      <c r="G1617">
        <f>_xlfn.IMAGE("https://edmondsonsupply.com/cdn/shop/products/Malco-MSHMLC-CRHEX-Slim-Design.jpg?v=1653096554")</f>
        <v/>
      </c>
      <c r="H1617">
        <f>_xlfn.IMAGE("https://m.media-amazon.com/images/I/31odlSGS4kL._AC_UL320_.jpg")</f>
        <v/>
      </c>
      <c r="K1617" t="inlineStr">
        <is>
          <t>12.99</t>
        </is>
      </c>
      <c r="L1617" t="n">
        <v>22.85</v>
      </c>
      <c r="M1617" s="1" t="inlineStr">
        <is>
          <t>75.90%</t>
        </is>
      </c>
      <c r="N1617" s="7" t="n">
        <v>10.23</v>
      </c>
      <c r="O1617" t="n">
        <v>5</v>
      </c>
      <c r="P1617" t="n">
        <v>1</v>
      </c>
      <c r="R1617" t="inlineStr">
        <is>
          <t>InStock</t>
        </is>
      </c>
      <c r="S1617" t="inlineStr">
        <is>
          <t>13.23</t>
        </is>
      </c>
      <c r="T1617" t="inlineStr">
        <is>
          <t>3680855097444</t>
        </is>
      </c>
    </row>
    <row r="1618" ht="87" customHeight="1">
      <c r="A1618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618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618" t="inlineStr">
        <is>
          <t>ICM Controls ICM2805A Furnace Control Board - Replacement for Nordyne</t>
        </is>
      </c>
      <c r="D1618" t="inlineStr">
        <is>
          <t>624557 - OEM Replacement for Nordyne Furnace Control Circuit Board</t>
        </is>
      </c>
      <c r="E1618" s="2">
        <f>HYPERLINK("https://www.amazon.com/624557-Replacement-Nordyne-Furnace-Control/dp/B00YYFBO2A/ref=sr_1_39?keywords=ICM+Controls+ICM2805A+Furnace+Control+Board+-+Replacement+for+Nordyne&amp;qid=1694734623&amp;sr=8-39", "https://www.amazon.com/624557-Replacement-Nordyne-Furnace-Control/dp/B00YYFBO2A/ref=sr_1_39?keywords=ICM+Controls+ICM2805A+Furnace+Control+Board+-+Replacement+for+Nordyne&amp;qid=1694734623&amp;sr=8-39")</f>
        <v/>
      </c>
      <c r="F1618" t="inlineStr">
        <is>
          <t>B00YYFBO2A</t>
        </is>
      </c>
      <c r="G1618">
        <f>_xlfn.IMAGE("https://edmondsonsupply.com/cdn/shop/products/57_3_42a53dd2-02e8-4469-bc0c-0265897201e7.jpg?v=1633031145")</f>
        <v/>
      </c>
      <c r="H1618">
        <f>_xlfn.IMAGE("https://m.media-amazon.com/images/I/51zkInbD61L._AC_UL320_.jpg")</f>
        <v/>
      </c>
      <c r="K1618" t="inlineStr">
        <is>
          <t>116.59</t>
        </is>
      </c>
      <c r="L1618" t="n">
        <v>204.95</v>
      </c>
      <c r="M1618" s="1" t="inlineStr">
        <is>
          <t>75.79%</t>
        </is>
      </c>
      <c r="N1618" s="7" t="n">
        <v>10.19</v>
      </c>
      <c r="O1618" t="n">
        <v>5</v>
      </c>
      <c r="P1618" t="n">
        <v>1</v>
      </c>
      <c r="R1618" t="inlineStr">
        <is>
          <t>InStock</t>
        </is>
      </c>
      <c r="S1618" t="inlineStr">
        <is>
          <t>161.12</t>
        </is>
      </c>
      <c r="T1618" t="inlineStr">
        <is>
          <t>6892060639405</t>
        </is>
      </c>
    </row>
    <row r="1619" ht="87" customHeight="1">
      <c r="A1619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1619" s="2">
        <f>HYPERLINK("https://edmondsonsupply.com/products/packard-c130a-contactor-1-pole-30-amps-24-coil-voltage", "https://edmondsonsupply.com/products/packard-c130a-contactor-1-pole-30-amps-24-coil-voltage")</f>
        <v/>
      </c>
      <c r="C1619" t="inlineStr">
        <is>
          <t>Packard C130A Contactor 1 Pole 30 Amps 24 Coil Voltage</t>
        </is>
      </c>
      <c r="D1619" t="inlineStr">
        <is>
          <t>Ruud • 30 Amp 1 Pole 24v Coil Packard Replacement Contactor C130A</t>
        </is>
      </c>
      <c r="E1619" s="2">
        <f>HYPERLINK("https://www.amazon.com/Ruud-Packard-Replacement-Contactor-C130A/dp/B00S8JK10O/ref=sr_1_6?keywords=Packard+C130A+Contactor+1+Pole+30+Amps+24+Coil+Voltage&amp;qid=1694734616&amp;sr=8-6", "https://www.amazon.com/Ruud-Packard-Replacement-Contactor-C130A/dp/B00S8JK10O/ref=sr_1_6?keywords=Packard+C130A+Contactor+1+Pole+30+Amps+24+Coil+Voltage&amp;qid=1694734616&amp;sr=8-6")</f>
        <v/>
      </c>
      <c r="F1619" t="inlineStr">
        <is>
          <t>B00S8JK10O</t>
        </is>
      </c>
      <c r="G1619">
        <f>_xlfn.IMAGE("https://edmondsonsupply.com/cdn/shop/products/61bb566724620904123205.jpg?v=1650335931")</f>
        <v/>
      </c>
      <c r="H1619">
        <f>_xlfn.IMAGE("https://m.media-amazon.com/images/I/41Is+M5WoFL._AC_UY218_.jpg")</f>
        <v/>
      </c>
      <c r="K1619" t="inlineStr">
        <is>
          <t>9.62</t>
        </is>
      </c>
      <c r="L1619" t="n">
        <v>16.91</v>
      </c>
      <c r="M1619" s="1" t="inlineStr">
        <is>
          <t>75.78%</t>
        </is>
      </c>
      <c r="N1619" s="7" t="n">
        <v>10.09</v>
      </c>
      <c r="O1619" t="n">
        <v>5</v>
      </c>
      <c r="P1619" t="n">
        <v>1</v>
      </c>
      <c r="R1619" t="inlineStr">
        <is>
          <t>InStock</t>
        </is>
      </c>
      <c r="S1619" t="inlineStr">
        <is>
          <t>undefined</t>
        </is>
      </c>
      <c r="T1619" t="inlineStr">
        <is>
          <t>5301652095144</t>
        </is>
      </c>
    </row>
    <row r="1620" ht="87" customHeight="1">
      <c r="A1620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1620" s="2">
        <f>HYPERLINK("https://edmondsonsupply.com/products/packard-c130a-contactor-1-pole-30-amps-24-coil-voltage", "https://edmondsonsupply.com/products/packard-c130a-contactor-1-pole-30-amps-24-coil-voltage")</f>
        <v/>
      </c>
      <c r="C1620" t="inlineStr">
        <is>
          <t>Packard C130A Contactor 1 Pole 30 Amps 24 Coil Voltage</t>
        </is>
      </c>
      <c r="D1620" t="inlineStr">
        <is>
          <t>Rheem • 30 Amp 1 Pole 24v Coil Packard Replacement Contactor C130A</t>
        </is>
      </c>
      <c r="E1620" s="2">
        <f>HYPERLINK("https://www.amazon.com/Rheem-Packard-Replacement-Contactor-C130A/dp/B00S8JJZJ2/ref=sr_1_10?keywords=Packard+C130A+Contactor+1+Pole+30+Amps+24+Coil+Voltage&amp;qid=1694734616&amp;sr=8-10", "https://www.amazon.com/Rheem-Packard-Replacement-Contactor-C130A/dp/B00S8JJZJ2/ref=sr_1_10?keywords=Packard+C130A+Contactor+1+Pole+30+Amps+24+Coil+Voltage&amp;qid=1694734616&amp;sr=8-10")</f>
        <v/>
      </c>
      <c r="F1620" t="inlineStr">
        <is>
          <t>B00S8JJZJ2</t>
        </is>
      </c>
      <c r="G1620">
        <f>_xlfn.IMAGE("https://edmondsonsupply.com/cdn/shop/products/61bb566724620904123205.jpg?v=1650335931")</f>
        <v/>
      </c>
      <c r="H1620">
        <f>_xlfn.IMAGE("https://m.media-amazon.com/images/I/41Is+M5WoFL._AC_UY218_.jpg")</f>
        <v/>
      </c>
      <c r="K1620" t="inlineStr">
        <is>
          <t>9.62</t>
        </is>
      </c>
      <c r="L1620" t="n">
        <v>16.91</v>
      </c>
      <c r="M1620" s="1" t="inlineStr">
        <is>
          <t>75.78%</t>
        </is>
      </c>
      <c r="N1620" s="7" t="n">
        <v>10.03</v>
      </c>
      <c r="O1620" t="n">
        <v>5</v>
      </c>
      <c r="P1620" t="n">
        <v>1</v>
      </c>
      <c r="R1620" t="inlineStr">
        <is>
          <t>InStock</t>
        </is>
      </c>
      <c r="S1620" t="inlineStr">
        <is>
          <t>undefined</t>
        </is>
      </c>
      <c r="T1620" t="inlineStr">
        <is>
          <t>5301652095144</t>
        </is>
      </c>
    </row>
    <row r="1621" hidden="1" ht="15.75" customHeight="1">
      <c r="A1621" s="2">
        <f>HYPERLINK("https://edmondsonsupply.com/collections/hvac/products/diablo-tools-dsp2090-3-4-in-x-6-in-spade-bit", "https://edmondsonsupply.com/collections/hvac/products/diablo-tools-dsp2090-3-4-in-x-6-in-spade-bit")</f>
        <v/>
      </c>
      <c r="B1621" s="2">
        <f>HYPERLINK("https://edmondsonsupply.com/products/diablo-tools-dsp2090-3-4-in-x-6-in-spade-bit", "https://edmondsonsupply.com/products/diablo-tools-dsp2090-3-4-in-x-6-in-spade-bit")</f>
        <v/>
      </c>
      <c r="C1621" t="inlineStr">
        <is>
          <t>Diablo Tools DSP2090 3/4 in. x 6 in. Spade Bit</t>
        </is>
      </c>
      <c r="D1621" t="inlineStr">
        <is>
          <t>DEWALT Drill Bit, Spade, 3/4 Inch x 6 Inch (DW1578)</t>
        </is>
      </c>
      <c r="E1621" s="2">
        <f>HYPERLINK("https://www.amazon.com/DEWALT-DW1578-4-Inch-6-Inch-Spade/dp/B0001LQYGM/ref=sr_1_3?keywords=Diablo+Tools+DSP2090+3%2F4+in.+x+6+in.+Spade+Bit&amp;qid=1694734914&amp;sr=8-3", "https://www.amazon.com/DEWALT-DW1578-4-Inch-6-Inch-Spade/dp/B0001LQYGM/ref=sr_1_3?keywords=Diablo+Tools+DSP2090+3%2F4+in.+x+6+in.+Spade+Bit&amp;qid=1694734914&amp;sr=8-3")</f>
        <v/>
      </c>
      <c r="F1621" t="inlineStr">
        <is>
          <t>B0001LQYGM</t>
        </is>
      </c>
      <c r="G1621">
        <f>_xludf.IMAGE("https://edmondsonsupply.com/cdn/shop/files/hg4rmyretai2aybkajqp.webp?v=1686587275")</f>
        <v/>
      </c>
      <c r="H1621">
        <f>_xludf.IMAGE("https://m.media-amazon.com/images/I/61oA5ym2OLS._AC_UL320_.jpg")</f>
        <v/>
      </c>
      <c r="K1621" t="inlineStr">
        <is>
          <t>5.37</t>
        </is>
      </c>
      <c r="L1621" t="n">
        <v>9.43</v>
      </c>
      <c r="M1621" s="1" t="inlineStr">
        <is>
          <t>75.61%</t>
        </is>
      </c>
      <c r="N1621" s="1" t="n">
        <v>10.02</v>
      </c>
      <c r="O1621" t="n">
        <v>4.6</v>
      </c>
      <c r="P1621" t="n">
        <v>6812</v>
      </c>
      <c r="R1621" t="inlineStr">
        <is>
          <t>InStock</t>
        </is>
      </c>
      <c r="S1621" t="inlineStr">
        <is>
          <t>undefined</t>
        </is>
      </c>
      <c r="T1621" t="inlineStr">
        <is>
          <t>8004512710872</t>
        </is>
      </c>
    </row>
    <row r="1622" ht="87" customHeight="1">
      <c r="A1622" s="2">
        <f>HYPERLINK("https://edmondsonsupply.com/collections/hvac/products/diversitech-cp-22-condensate-pump-22ft-lift-120v", "https://edmondsonsupply.com/collections/hvac/products/diversitech-cp-22-condensate-pump-22ft-lift-120v")</f>
        <v/>
      </c>
      <c r="B1622" s="2">
        <f>HYPERLINK("https://edmondsonsupply.com/products/diversitech-cp-22-condensate-pump-22ft-lift-120v", "https://edmondsonsupply.com/products/diversitech-cp-22-condensate-pump-22ft-lift-120v")</f>
        <v/>
      </c>
      <c r="C1622" t="inlineStr">
        <is>
          <t>DiversiTech Asurity™ CP-22 Condensate Pump, 22ft. Lift, 120V</t>
        </is>
      </c>
      <c r="D1622" t="inlineStr">
        <is>
          <t>DiversiTech CP-22T Condensate Pump, 22' Lift, with 20' of 3/8" CVT, 120V</t>
        </is>
      </c>
      <c r="E1622" s="2">
        <f>HYPERLINK("https://www.amazon.com/DiversiTech-CP-22T-Condensate-Pump-Lift/dp/B008FM1PVI/ref=sr_1_1?keywords=DiversiTech+Asurity%E2%84%A2+CP-22+Condensate+Pump%2C+22ft.+Lift%2C+120V&amp;qid=1694734627&amp;sr=8-1", "https://www.amazon.com/DiversiTech-CP-22T-Condensate-Pump-Lift/dp/B008FM1PVI/ref=sr_1_1?keywords=DiversiTech+Asurity%E2%84%A2+CP-22+Condensate+Pump%2C+22ft.+Lift%2C+120V&amp;qid=1694734627&amp;sr=8-1")</f>
        <v/>
      </c>
      <c r="F1622" t="inlineStr">
        <is>
          <t>B008FM1PVI</t>
        </is>
      </c>
      <c r="G1622">
        <f>_xlfn.IMAGE("https://edmondsonsupply.com/cdn/shop/products/60d0d7fbd5566503101164.jpg?v=1633030352")</f>
        <v/>
      </c>
      <c r="H1622">
        <f>_xlfn.IMAGE("https://m.media-amazon.com/images/I/41xuB3fIDsL._AC_UL320_.jpg")</f>
        <v/>
      </c>
      <c r="K1622" t="inlineStr">
        <is>
          <t>54.54</t>
        </is>
      </c>
      <c r="L1622" t="n">
        <v>95.64</v>
      </c>
      <c r="M1622" s="1" t="inlineStr">
        <is>
          <t>75.36%</t>
        </is>
      </c>
      <c r="N1622" s="7" t="n">
        <v>10.01</v>
      </c>
      <c r="O1622" t="n">
        <v>4.6</v>
      </c>
      <c r="P1622" t="n">
        <v>49</v>
      </c>
      <c r="R1622" t="inlineStr">
        <is>
          <t>InStock</t>
        </is>
      </c>
      <c r="S1622" t="inlineStr">
        <is>
          <t>145.32</t>
        </is>
      </c>
      <c r="T1622" t="inlineStr">
        <is>
          <t>5284840374440</t>
        </is>
      </c>
    </row>
    <row r="1623" hidden="1" ht="15.75" customHeight="1">
      <c r="A1623" s="2">
        <f>HYPERLINK("https://edmondsonsupply.com/collections/hvac/products/refrigeration-technologies-rt200r-nylog-red-gasket-thread-sealant", "https://edmondsonsupply.com/collections/hvac/products/refrigeration-technologies-rt200r-nylog-red-gasket-thread-sealant")</f>
        <v/>
      </c>
      <c r="B1623" s="2">
        <f>HYPERLINK("https://edmondsonsupply.com/products/refrigeration-technologies-rt200r-nylog-red-gasket-thread-sealant", "https://edmondsonsupply.com/products/refrigeration-technologies-rt200r-nylog-red-gasket-thread-sealant")</f>
        <v/>
      </c>
      <c r="C1623" t="inlineStr">
        <is>
          <t>Refrigeration Technologies RT200R Viper Nylog Red - Gasket &amp; Thread Sealant</t>
        </is>
      </c>
      <c r="D1623" t="inlineStr">
        <is>
          <t>Refrigeration Technologies Nylog Gasket Thread Sealant RT201B Nylog Blue + RT200R Nylog Red 2 Pack (RT201BP + RT200RP) 1 x Blu + 1 x Red</t>
        </is>
      </c>
      <c r="E1623" s="2">
        <f>HYPERLINK("https://www.amazon.com/Refrigeration-Technologies-Sealant-RT201BP-RT200RP/dp/B0BYX4DYVL/ref=sr_1_1?keywords=Refrigeration+Technologies+RT200R+Viper+Nylog+Red+-+Gasket+%26+Thread+Sealant&amp;qid=1694734629&amp;sr=8-1", "https://www.amazon.com/Refrigeration-Technologies-Sealant-RT201BP-RT200RP/dp/B0BYX4DYVL/ref=sr_1_1?keywords=Refrigeration+Technologies+RT200R+Viper+Nylog+Red+-+Gasket+%26+Thread+Sealant&amp;qid=1694734629&amp;sr=8-1")</f>
        <v/>
      </c>
      <c r="F1623" t="inlineStr">
        <is>
          <t>B0BYX4DYVL</t>
        </is>
      </c>
      <c r="G1623">
        <f>_xludf.IMAGE("https://edmondsonsupply.com/cdn/shop/products/Nylog-Red-Reflection-Web.jpg?v=1633030226")</f>
        <v/>
      </c>
      <c r="H1623">
        <f>_xludf.IMAGE("https://m.media-amazon.com/images/I/61U3Xd3-VnL._AC_UL320_.jpg")</f>
        <v/>
      </c>
      <c r="K1623" t="inlineStr">
        <is>
          <t>6.84</t>
        </is>
      </c>
      <c r="L1623" t="n">
        <v>11.99</v>
      </c>
      <c r="M1623" s="1" t="inlineStr">
        <is>
          <t>75.29%</t>
        </is>
      </c>
      <c r="N1623" s="1" t="n">
        <v>9.970000000000001</v>
      </c>
      <c r="O1623" t="n">
        <v>4.6</v>
      </c>
      <c r="P1623" t="n">
        <v>3</v>
      </c>
      <c r="R1623" t="inlineStr">
        <is>
          <t>InStock</t>
        </is>
      </c>
      <c r="S1623" t="inlineStr">
        <is>
          <t>7.73</t>
        </is>
      </c>
      <c r="T1623" t="inlineStr">
        <is>
          <t>4520715944036</t>
        </is>
      </c>
    </row>
    <row r="1624" ht="87" customHeight="1">
      <c r="A1624" s="2">
        <f>HYPERLINK("https://edmondsonsupply.com/collections/hvac/products/refrigeration-technologies-rt640a-viper-coil-coating-aerosol-15oz", "https://edmondsonsupply.com/collections/hvac/products/refrigeration-technologies-rt640a-viper-coil-coating-aerosol-15oz")</f>
        <v/>
      </c>
      <c r="B1624" s="2">
        <f>HYPERLINK("https://edmondsonsupply.com/products/refrigeration-technologies-rt640a-viper-coil-coating-aerosol-15oz", "https://edmondsonsupply.com/products/refrigeration-technologies-rt640a-viper-coil-coating-aerosol-15oz")</f>
        <v/>
      </c>
      <c r="C1624" t="inlineStr">
        <is>
          <t>Refrigeration Technologies RT640A Viper Coil Coating Aerosol (15oz)</t>
        </is>
      </c>
      <c r="D1624" t="inlineStr">
        <is>
          <t>Refrigeration Technologies Viper Coil Coating RT640A (2)</t>
        </is>
      </c>
      <c r="E1624" s="2">
        <f>HYPERLINK("https://www.amazon.com/Refrigeration-Technologies-Viper-Coating-RT640A/dp/B0BTCGWX6C/ref=sr_1_2?keywords=Refrigeration+Technologies+RT640A+Viper+Coil+Coating+Aerosol+%2815oz%29&amp;qid=1694734722&amp;sr=8-2", "https://www.amazon.com/Refrigeration-Technologies-Viper-Coating-RT640A/dp/B0BTCGWX6C/ref=sr_1_2?keywords=Refrigeration+Technologies+RT640A+Viper+Coil+Coating+Aerosol+%2815oz%29&amp;qid=1694734722&amp;sr=8-2")</f>
        <v/>
      </c>
      <c r="F1624" t="inlineStr">
        <is>
          <t>B0BTCGWX6C</t>
        </is>
      </c>
      <c r="G1624">
        <f>_xlfn.IMAGE("https://edmondsonsupply.com/cdn/shop/products/CoilCoating_Aerosol_Reflection-o17r8mukbuad3cksp9inhu09n67txxt340x6dk69z4.webp?v=1680194155")</f>
        <v/>
      </c>
      <c r="H1624">
        <f>_xlfn.IMAGE("https://m.media-amazon.com/images/I/31ViFYV1v2L._AC_UL320_.jpg")</f>
        <v/>
      </c>
      <c r="K1624" t="inlineStr">
        <is>
          <t>27.39</t>
        </is>
      </c>
      <c r="L1624" t="n">
        <v>47.99</v>
      </c>
      <c r="M1624" s="1" t="inlineStr">
        <is>
          <t>75.21%</t>
        </is>
      </c>
      <c r="N1624" s="7" t="n">
        <v>9.960000000000001</v>
      </c>
      <c r="O1624" t="n">
        <v>5</v>
      </c>
      <c r="P1624" t="n">
        <v>1</v>
      </c>
      <c r="R1624" t="inlineStr">
        <is>
          <t>InStock</t>
        </is>
      </c>
      <c r="S1624" t="inlineStr">
        <is>
          <t>30.08</t>
        </is>
      </c>
      <c r="T1624" t="inlineStr">
        <is>
          <t>7970513780952</t>
        </is>
      </c>
    </row>
    <row r="1625" ht="87" customHeight="1">
      <c r="A1625" s="2">
        <f>HYPERLINK("https://edmondsonsupply.com/collections/hvac/products/esp-pop5-lil-popper-control-board-circuit-breaker-5-amp", "https://edmondsonsupply.com/collections/hvac/products/esp-pop5-lil-popper-control-board-circuit-breaker-5-amp")</f>
        <v/>
      </c>
      <c r="B1625" s="2">
        <f>HYPERLINK("https://edmondsonsupply.com/products/esp-pop5-lil-popper-control-board-circuit-breaker-5-amp", "https://edmondsonsupply.com/products/esp-pop5-lil-popper-control-board-circuit-breaker-5-amp")</f>
        <v/>
      </c>
      <c r="C1625" t="inlineStr">
        <is>
          <t>ESP POP5 Li'l Popper Control Board Circuit Breaker- 5 Amp</t>
        </is>
      </c>
      <c r="D1625" t="inlineStr">
        <is>
          <t>EvertechPRO POP3 3 AMP Control Circuit Breaker UL Rated 125/250 Vac Replacement Li'l Popper G33-039</t>
        </is>
      </c>
      <c r="E1625" s="2">
        <f>HYPERLINK("https://www.amazon.com/EvertechPRO-Control-Circuit-Breaker-Replacement/dp/B08R7RZHBK/ref=sr_1_6?keywords=ESP+POP5+Lil+Popper+Control+Board+Circuit+Breaker-+5+Amp&amp;qid=1694734714&amp;sr=8-6", "https://www.amazon.com/EvertechPRO-Control-Circuit-Breaker-Replacement/dp/B08R7RZHBK/ref=sr_1_6?keywords=ESP+POP5+Lil+Popper+Control+Board+Circuit+Breaker-+5+Amp&amp;qid=1694734714&amp;sr=8-6")</f>
        <v/>
      </c>
      <c r="F1625" t="inlineStr">
        <is>
          <t>B08R7RZHBK</t>
        </is>
      </c>
      <c r="G1625">
        <f>_xlfn.IMAGE("https://edmondsonsupply.com/cdn/shop/products/pop5_xl_1.jpg?v=1633030636")</f>
        <v/>
      </c>
      <c r="H1625">
        <f>_xlfn.IMAGE("https://m.media-amazon.com/images/I/617cW+-1dhL._AC_UL320_.jpg")</f>
        <v/>
      </c>
      <c r="K1625" t="inlineStr">
        <is>
          <t>11.99</t>
        </is>
      </c>
      <c r="L1625" t="n">
        <v>20.99</v>
      </c>
      <c r="M1625" s="1" t="inlineStr">
        <is>
          <t>75.06%</t>
        </is>
      </c>
      <c r="N1625" s="7" t="n">
        <v>9.9</v>
      </c>
      <c r="O1625" t="n">
        <v>4.7</v>
      </c>
      <c r="P1625" t="n">
        <v>93</v>
      </c>
      <c r="R1625" t="inlineStr">
        <is>
          <t>InStock</t>
        </is>
      </c>
      <c r="S1625" t="inlineStr">
        <is>
          <t>undefined</t>
        </is>
      </c>
      <c r="T1625" t="inlineStr">
        <is>
          <t>5702406439080</t>
        </is>
      </c>
    </row>
    <row r="1626" ht="87" customHeight="1">
      <c r="A1626" s="2">
        <f>HYPERLINK("https://edmondsonsupply.com/collections/hvac/products/esp-pop3-lil-popper-control-board-circuit-breaker-3-amp", "https://edmondsonsupply.com/collections/hvac/products/esp-pop3-lil-popper-control-board-circuit-breaker-3-amp")</f>
        <v/>
      </c>
      <c r="B1626" s="2">
        <f>HYPERLINK("https://edmondsonsupply.com/products/esp-pop3-lil-popper-control-board-circuit-breaker-3-amp", "https://edmondsonsupply.com/products/esp-pop3-lil-popper-control-board-circuit-breaker-3-amp")</f>
        <v/>
      </c>
      <c r="C1626" t="inlineStr">
        <is>
          <t>ESP POP3 Li'l Popper Control Board Circuit Breaker- 3 Amp</t>
        </is>
      </c>
      <c r="D1626" t="inlineStr">
        <is>
          <t>EvertechPRO POP3 3 AMP Control Circuit Breaker UL Rated 125/250 Vac Replacement Li'l Popper G33-039</t>
        </is>
      </c>
      <c r="E1626" s="2">
        <f>HYPERLINK("https://www.amazon.com/EvertechPRO-Control-Circuit-Breaker-Replacement/dp/B08R7RZHBK/ref=sr_1_4?keywords=ESP+POP3+Lil+Popper+Control+Board+Circuit+Breaker-+3+Amp&amp;qid=1694734592&amp;sr=8-4", "https://www.amazon.com/EvertechPRO-Control-Circuit-Breaker-Replacement/dp/B08R7RZHBK/ref=sr_1_4?keywords=ESP+POP3+Lil+Popper+Control+Board+Circuit+Breaker-+3+Amp&amp;qid=1694734592&amp;sr=8-4")</f>
        <v/>
      </c>
      <c r="F1626" t="inlineStr">
        <is>
          <t>B08R7RZHBK</t>
        </is>
      </c>
      <c r="G1626">
        <f>_xlfn.IMAGE("https://edmondsonsupply.com/cdn/shop/products/pop3_xl_1.jpg?v=1633030635")</f>
        <v/>
      </c>
      <c r="H1626">
        <f>_xlfn.IMAGE("https://m.media-amazon.com/images/I/617cW+-1dhL._AC_UL320_.jpg")</f>
        <v/>
      </c>
      <c r="K1626" t="inlineStr">
        <is>
          <t>11.99</t>
        </is>
      </c>
      <c r="L1626" t="n">
        <v>20.99</v>
      </c>
      <c r="M1626" s="1" t="inlineStr">
        <is>
          <t>75.06%</t>
        </is>
      </c>
      <c r="N1626" s="7" t="n">
        <v>9.76</v>
      </c>
      <c r="O1626" t="n">
        <v>4.7</v>
      </c>
      <c r="P1626" t="n">
        <v>93</v>
      </c>
      <c r="R1626" t="inlineStr">
        <is>
          <t>InStock</t>
        </is>
      </c>
      <c r="S1626" t="inlineStr">
        <is>
          <t>undefined</t>
        </is>
      </c>
      <c r="T1626" t="inlineStr">
        <is>
          <t>5702371934376</t>
        </is>
      </c>
    </row>
    <row r="1627" hidden="1" ht="15.75" customHeight="1">
      <c r="A1627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627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627" t="inlineStr">
        <is>
          <t>Klein Tools 646-1/4 1/4-Inch Nut Driver with 6-Inch Hollow Shaft</t>
        </is>
      </c>
      <c r="D1627" t="inlineStr">
        <is>
          <t>Klein Tools 70245 4.5 mm Metric Nut Driver with 3-Inch Hollow Shaft and Comfordome Handle (Pack of 2)</t>
        </is>
      </c>
      <c r="E1627" s="2">
        <f>HYPERLINK("https://www.amazon.com/Klein-Tools-70245-Metric-Comfordome/dp/B0CFKKYV4J/ref=sr_1_36?keywords=Klein+Tools+646-1%2F4+1%2F4-Inch+Nut+Driver+with+6-Inch+Hollow+Shaft&amp;qid=1694734727&amp;sr=8-36", "https://www.amazon.com/Klein-Tools-70245-Metric-Comfordome/dp/B0CFKKYV4J/ref=sr_1_36?keywords=Klein+Tools+646-1%2F4+1%2F4-Inch+Nut+Driver+with+6-Inch+Hollow+Shaft&amp;qid=1694734727&amp;sr=8-36")</f>
        <v/>
      </c>
      <c r="F1627" t="inlineStr">
        <is>
          <t>B0CFKKYV4J</t>
        </is>
      </c>
      <c r="G1627">
        <f>_xludf.IMAGE("https://edmondsonsupply.com/cdn/shop/products/646-1-2_08d87fa9-eac4-4869-8d3b-bb680d4b1d53.jpg?v=1587150676")</f>
        <v/>
      </c>
      <c r="H1627">
        <f>_xludf.IMAGE("https://m.media-amazon.com/images/I/31KLhN5vFeL._AC_UL320_.jpg")</f>
        <v/>
      </c>
      <c r="K1627" t="inlineStr">
        <is>
          <t>7.99</t>
        </is>
      </c>
      <c r="L1627" t="n">
        <v>13.98</v>
      </c>
      <c r="M1627" s="1" t="inlineStr">
        <is>
          <t>74.97%</t>
        </is>
      </c>
      <c r="N1627" s="1" t="n">
        <v>9.69</v>
      </c>
      <c r="O1627" t="n">
        <v>4.4</v>
      </c>
      <c r="P1627" t="n">
        <v>4</v>
      </c>
      <c r="R1627" t="inlineStr">
        <is>
          <t>InStock</t>
        </is>
      </c>
      <c r="S1627" t="inlineStr">
        <is>
          <t>12.1</t>
        </is>
      </c>
      <c r="T1627" t="inlineStr">
        <is>
          <t>4439433740388</t>
        </is>
      </c>
    </row>
    <row r="1628" ht="87" customHeight="1">
      <c r="A1628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1628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1628" t="inlineStr">
        <is>
          <t>Klein Tools 70550 Pro Folding Hex Key Set, 11-Key, SAE Sizes</t>
        </is>
      </c>
      <c r="D1628" t="inlineStr">
        <is>
          <t>Klein Tools 50900R Conduit Lockout Wrench Set, Tighten and Loosen Locknuts in Tight Spaces &amp; 70550 Hex Wrench Key Set, 11 SAE Sizes, Heavy Duty Folding Allen Wrench Tool</t>
        </is>
      </c>
      <c r="E1628" s="2">
        <f>HYPERLINK("https://www.amazon.com/Klein-Tools-Conduit-Lockout-Locknuts/dp/B0CF2F1JTM/ref=sr_1_16?keywords=Klein+Tools+70550+Pro+Folding+Hex+Key+Set%2C+11-Key%2C+SAE+Sizes&amp;qid=1694734808&amp;sr=8-16", "https://www.amazon.com/Klein-Tools-Conduit-Lockout-Locknuts/dp/B0CF2F1JTM/ref=sr_1_16?keywords=Klein+Tools+70550+Pro+Folding+Hex+Key+Set%2C+11-Key%2C+SAE+Sizes&amp;qid=1694734808&amp;sr=8-16")</f>
        <v/>
      </c>
      <c r="F1628" t="inlineStr">
        <is>
          <t>B0CF2F1JTM</t>
        </is>
      </c>
      <c r="G1628">
        <f>_xlfn.IMAGE("https://edmondsonsupply.com/cdn/shop/products/70550.jpg?v=1587145237")</f>
        <v/>
      </c>
      <c r="H1628">
        <f>_xlfn.IMAGE("https://m.media-amazon.com/images/I/41bIGhL6z5L._AC_UL320_.jpg")</f>
        <v/>
      </c>
      <c r="K1628" t="inlineStr">
        <is>
          <t>19.97</t>
        </is>
      </c>
      <c r="L1628" t="n">
        <v>34.94</v>
      </c>
      <c r="M1628" s="1" t="inlineStr">
        <is>
          <t>74.96%</t>
        </is>
      </c>
      <c r="N1628" s="7" t="n">
        <v>9.609999999999999</v>
      </c>
      <c r="O1628" t="n">
        <v>4.5</v>
      </c>
      <c r="P1628" t="n">
        <v>102</v>
      </c>
      <c r="R1628" t="inlineStr">
        <is>
          <t>InStock</t>
        </is>
      </c>
      <c r="S1628" t="inlineStr">
        <is>
          <t>27.18</t>
        </is>
      </c>
      <c r="T1628" t="inlineStr">
        <is>
          <t>3693538082916</t>
        </is>
      </c>
    </row>
    <row r="1629" ht="87" customHeight="1">
      <c r="A1629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629" s="2">
        <f>HYPERLINK("https://edmondsonsupply.com/products/klein-tools-32907-7-in-1-impact-flip-socket-set-no-handle", "https://edmondsonsupply.com/products/klein-tools-32907-7-in-1-impact-flip-socket-set-no-handle")</f>
        <v/>
      </c>
      <c r="C1629" t="inlineStr">
        <is>
          <t>Klein Tools 32907 7-in-1 Impact Flip Socket Set, No Handle</t>
        </is>
      </c>
      <c r="D1629" t="inlineStr">
        <is>
          <t>Klein Tools 50900R Conduit Lockout Wrench Set, Tighten and Loosen Locknuts in Tight Spaces &amp; Impact Driver, 7-in-1 Impact Flip Socket Set, 6 Hex Driver Sizes plus a 1/4-Inch Bit Holder 32907</t>
        </is>
      </c>
      <c r="E1629" s="2">
        <f>HYPERLINK("https://www.amazon.com/Klein-Tools-Conduit-Lockout-Locknuts/dp/B0CF2DNQ9B/ref=sr_1_3?keywords=Klein+Tools+32907+7-in-1+Impact+Flip+Socket+Set%2C+No+Handle&amp;qid=1694734636&amp;sr=8-3", "https://www.amazon.com/Klein-Tools-Conduit-Lockout-Locknuts/dp/B0CF2DNQ9B/ref=sr_1_3?keywords=Klein+Tools+32907+7-in-1+Impact+Flip+Socket+Set%2C+No+Handle&amp;qid=1694734636&amp;sr=8-3")</f>
        <v/>
      </c>
      <c r="F1629" t="inlineStr">
        <is>
          <t>B0CF2DNQ9B</t>
        </is>
      </c>
      <c r="G1629">
        <f>_xlfn.IMAGE("https://edmondsonsupply.com/cdn/shop/products/32907_b.jpg?v=1666025282")</f>
        <v/>
      </c>
      <c r="H1629">
        <f>_xlfn.IMAGE("https://m.media-amazon.com/images/I/41kMxpco1dL._AC_UL320_.jpg")</f>
        <v/>
      </c>
      <c r="K1629" t="inlineStr">
        <is>
          <t>19.99</t>
        </is>
      </c>
      <c r="L1629" t="n">
        <v>34.96</v>
      </c>
      <c r="M1629" s="1" t="inlineStr">
        <is>
          <t>74.89%</t>
        </is>
      </c>
      <c r="N1629" s="7" t="n">
        <v>9.59</v>
      </c>
      <c r="O1629" t="n">
        <v>4.5</v>
      </c>
      <c r="P1629" t="n">
        <v>102</v>
      </c>
      <c r="R1629" t="inlineStr">
        <is>
          <t>InStock</t>
        </is>
      </c>
      <c r="S1629" t="inlineStr">
        <is>
          <t>29.18</t>
        </is>
      </c>
      <c r="T1629" t="inlineStr">
        <is>
          <t>7856653009112</t>
        </is>
      </c>
    </row>
    <row r="1630" hidden="1" ht="15.75" customHeight="1">
      <c r="A1630" s="2">
        <f>HYPERLINK("https://edmondsonsupply.com/collections/hvac/products/midwest-mwt-6510l-left-offset-aviation-snip", "https://edmondsonsupply.com/collections/hvac/products/midwest-mwt-6510l-left-offset-aviation-snip")</f>
        <v/>
      </c>
      <c r="B1630" s="2">
        <f>HYPERLINK("https://edmondsonsupply.com/products/midwest-mwt-6510l-left-offset-aviation-snip", "https://edmondsonsupply.com/products/midwest-mwt-6510l-left-offset-aviation-snip")</f>
        <v/>
      </c>
      <c r="C1630" t="inlineStr">
        <is>
          <t>Midwest MWT-6510L Left Offset Aviation Snip</t>
        </is>
      </c>
      <c r="D1630" t="inlineStr">
        <is>
          <t>MIDWEST MagSnips Replaceable Blade Snip - Left Cut Offset Vinyl Siding Cutting Sheers with 3.5" Cut Length &amp; Magnesium Handles - MWT-2210</t>
        </is>
      </c>
      <c r="E1630" s="2">
        <f>HYPERLINK("https://www.amazon.com/MIDWEST-MagSnips-Replaceable-Blade-Snip/dp/B00OMSVXKW/ref=sr_1_23?keywords=Midwest+MWT-6510L+Left+Offset+Aviation+Snip&amp;qid=1694734618&amp;sr=8-23", "https://www.amazon.com/MIDWEST-MagSnips-Replaceable-Blade-Snip/dp/B00OMSVXKW/ref=sr_1_23?keywords=Midwest+MWT-6510L+Left+Offset+Aviation+Snip&amp;qid=1694734618&amp;sr=8-23")</f>
        <v/>
      </c>
      <c r="F1630" t="inlineStr">
        <is>
          <t>B00OMSVXKW</t>
        </is>
      </c>
      <c r="G1630">
        <f>_xludf.IMAGE("https://edmondsonsupply.com/cdn/shop/products/mwt-6510l.png?v=1587142880")</f>
        <v/>
      </c>
      <c r="H1630">
        <f>_xludf.IMAGE("https://m.media-amazon.com/images/I/71wmZVUPHyL._AC_UL320_.jpg")</f>
        <v/>
      </c>
      <c r="K1630" t="inlineStr">
        <is>
          <t>25.99</t>
        </is>
      </c>
      <c r="L1630" t="n">
        <v>45.37</v>
      </c>
      <c r="M1630" s="1" t="inlineStr">
        <is>
          <t>74.57%</t>
        </is>
      </c>
      <c r="N1630" s="1" t="n">
        <v>9.27</v>
      </c>
      <c r="O1630" t="n">
        <v>4</v>
      </c>
      <c r="P1630" t="n">
        <v>54</v>
      </c>
      <c r="R1630" t="inlineStr">
        <is>
          <t>InStock</t>
        </is>
      </c>
      <c r="S1630" t="inlineStr">
        <is>
          <t>33.49</t>
        </is>
      </c>
      <c r="T1630" t="inlineStr">
        <is>
          <t>3688846917732</t>
        </is>
      </c>
    </row>
    <row r="1631" ht="87" customHeight="1">
      <c r="A1631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631" s="2">
        <f>HYPERLINK("https://edmondsonsupply.com/products/nu-calgon-44171-75-evap-foam-no-rinse-aerosol-coil-cleaner", "https://edmondsonsupply.com/products/nu-calgon-44171-75-evap-foam-no-rinse-aerosol-coil-cleaner")</f>
        <v/>
      </c>
      <c r="C1631" t="inlineStr">
        <is>
          <t>Nu-Calgon 4171-75 Evap Foam No Rinse, Aerosol Coil Cleaner (18 oz. can)</t>
        </is>
      </c>
      <c r="D1631" t="inlineStr">
        <is>
          <t>4171-75 Nu-Calgon Evap Foam No Rinse Evaporator Coil Cleaner 18 OZ Aerosol Spray</t>
        </is>
      </c>
      <c r="E1631" s="2">
        <f>HYPERLINK("https://www.amazon.com/4171-75-Nu-Calgon-Evaporator-Cleaner-Aerosol/dp/B00E2X3MRE/ref=sr_1_3?keywords=Nu-Calgon+4171-75+Evap+Foam+No+Rinse%2C+Aerosol+Coil+Cleaner+%2818+oz.+can%29&amp;qid=1694734591&amp;sr=8-3", "https://www.amazon.com/4171-75-Nu-Calgon-Evaporator-Cleaner-Aerosol/dp/B00E2X3MRE/ref=sr_1_3?keywords=Nu-Calgon+4171-75+Evap+Foam+No+Rinse%2C+Aerosol+Coil+Cleaner+%2818+oz.+can%29&amp;qid=1694734591&amp;sr=8-3")</f>
        <v/>
      </c>
      <c r="F1631" t="inlineStr">
        <is>
          <t>B00E2X3MRE</t>
        </is>
      </c>
      <c r="G1631">
        <f>_xlfn.IMAGE("https://edmondsonsupply.com/cdn/shop/products/4171-75.jpg?v=1659099515")</f>
        <v/>
      </c>
      <c r="H1631">
        <f>_xlfn.IMAGE("https://m.media-amazon.com/images/I/41FecUXSw6L._AC_UL320_.jpg")</f>
        <v/>
      </c>
      <c r="K1631" t="inlineStr">
        <is>
          <t>11.75</t>
        </is>
      </c>
      <c r="L1631" t="n">
        <v>20.51</v>
      </c>
      <c r="M1631" s="1" t="inlineStr">
        <is>
          <t>74.55%</t>
        </is>
      </c>
      <c r="N1631" s="7" t="n">
        <v>9.19</v>
      </c>
      <c r="O1631" t="n">
        <v>4.6</v>
      </c>
      <c r="P1631" t="n">
        <v>29</v>
      </c>
      <c r="R1631" t="inlineStr">
        <is>
          <t>InStock</t>
        </is>
      </c>
      <c r="S1631" t="inlineStr">
        <is>
          <t>17.7</t>
        </is>
      </c>
      <c r="T1631" t="inlineStr">
        <is>
          <t>7766316646616</t>
        </is>
      </c>
    </row>
    <row r="1632" hidden="1" ht="15.75" customHeight="1">
      <c r="A1632" s="2">
        <f>HYPERLINK("https://edmondsonsupply.com/collections/hvac/products/yellow-jacket-40860-p51-860-titan-digital-manifold", "https://edmondsonsupply.com/collections/hvac/products/yellow-jacket-40860-p51-860-titan-digital-manifold")</f>
        <v/>
      </c>
      <c r="B1632" s="2">
        <f>HYPERLINK("https://edmondsonsupply.com/products/yellow-jacket-40860-p51-860-titan-digital-manifold", "https://edmondsonsupply.com/products/yellow-jacket-40860-p51-860-titan-digital-manifold")</f>
        <v/>
      </c>
      <c r="C1632" t="inlineStr">
        <is>
          <t>Yellow Jacket 40860 P51-860 Titan Digital Manifold</t>
        </is>
      </c>
      <c r="D1632" t="inlineStr">
        <is>
          <t>Yellow Jacket P51-870 Titan? Digital Manifold 40875 w/ 5/16 Compact Valve Hoses</t>
        </is>
      </c>
      <c r="E1632" s="2">
        <f>HYPERLINK("https://www.amazon.com/Yellow-Jacket-P51-870-Digital-Manifold/dp/B07QMKT79M/ref=sr_1_2?keywords=Yellow+Jacket+40860+P51-860+Titan+Digital+Manifold&amp;qid=1694734744&amp;sr=8-2", "https://www.amazon.com/Yellow-Jacket-P51-870-Digital-Manifold/dp/B07QMKT79M/ref=sr_1_2?keywords=Yellow+Jacket+40860+P51-860+Titan+Digital+Manifold&amp;qid=1694734744&amp;sr=8-2")</f>
        <v/>
      </c>
      <c r="F1632" t="inlineStr">
        <is>
          <t>B07QMKT79M</t>
        </is>
      </c>
      <c r="G1632">
        <f>_xludf.IMAGE("https://edmondsonsupply.com/cdn/shop/products/40860_1200x1200_9028ad62-78fb-466e-98e0-f5ac110d1c57.jpg?v=1587150764")</f>
        <v/>
      </c>
      <c r="H1632">
        <f>_xludf.IMAGE("https://m.media-amazon.com/images/I/71U0lOmypaL._AC_UY218_.jpg")</f>
        <v/>
      </c>
      <c r="K1632" t="inlineStr">
        <is>
          <t>508.65</t>
        </is>
      </c>
      <c r="L1632" t="n">
        <v>887.6799999999999</v>
      </c>
      <c r="M1632" s="1" t="inlineStr">
        <is>
          <t>74.52%</t>
        </is>
      </c>
      <c r="N1632" s="1" t="n">
        <v>8.970000000000001</v>
      </c>
      <c r="O1632" t="n">
        <v>3.8</v>
      </c>
      <c r="P1632" t="n">
        <v>10</v>
      </c>
      <c r="R1632" t="inlineStr">
        <is>
          <t>InStock</t>
        </is>
      </c>
      <c r="S1632" t="inlineStr">
        <is>
          <t>undefined</t>
        </is>
      </c>
      <c r="T1632" t="inlineStr">
        <is>
          <t>2503105740900</t>
        </is>
      </c>
    </row>
    <row r="1633" ht="87" customHeight="1">
      <c r="A1633" s="2">
        <f>HYPERLINK("https://edmondsonsupply.com/collections/hvac/products/fluke-62-max-mini-infrared-thermometer", "https://edmondsonsupply.com/collections/hvac/products/fluke-62-max-mini-infrared-thermometer")</f>
        <v/>
      </c>
      <c r="B1633" s="2">
        <f>HYPERLINK("https://edmondsonsupply.com/products/fluke-62-max-mini-infrared-thermometer", "https://edmondsonsupply.com/products/fluke-62-max-mini-infrared-thermometer")</f>
        <v/>
      </c>
      <c r="C1633" t="inlineStr">
        <is>
          <t>Fluke 62 MAX Mini Infrared Thermometer</t>
        </is>
      </c>
      <c r="D1633" t="inlineStr">
        <is>
          <t>Fluke - 62 MAXCAL 62 MAX Infrared Thermometer, AA Battery, -20 to +932 Degree F Range with a NIST-Traceable Calibration Certificate with Data</t>
        </is>
      </c>
      <c r="E1633" s="2">
        <f>HYPERLINK("https://www.amazon.com/Fluke-Thermometer-NIST-Traceable-Calibration-Certificate/dp/B01CFXISVW/ref=sr_1_5?keywords=Fluke+62+MAX+Mini+Infrared+Thermometer&amp;qid=1694734710&amp;sr=8-5", "https://www.amazon.com/Fluke-Thermometer-NIST-Traceable-Calibration-Certificate/dp/B01CFXISVW/ref=sr_1_5?keywords=Fluke+62+MAX+Mini+Infrared+Thermometer&amp;qid=1694734710&amp;sr=8-5")</f>
        <v/>
      </c>
      <c r="F1633" t="inlineStr">
        <is>
          <t>B01CFXISVW</t>
        </is>
      </c>
      <c r="G1633">
        <f>_xlfn.IMAGE("https://edmondsonsupply.com/cdn/shop/products/62max.jpg?v=1633030769")</f>
        <v/>
      </c>
      <c r="H1633">
        <f>_xlfn.IMAGE("https://m.media-amazon.com/images/I/71wTJ8SMEiL._AC_UY218_.jpg")</f>
        <v/>
      </c>
      <c r="K1633" t="inlineStr">
        <is>
          <t>122.99</t>
        </is>
      </c>
      <c r="L1633" t="n">
        <v>214.33</v>
      </c>
      <c r="M1633" s="1" t="inlineStr">
        <is>
          <t>74.27%</t>
        </is>
      </c>
      <c r="N1633" s="7" t="n">
        <v>8.74</v>
      </c>
      <c r="O1633" t="n">
        <v>4.1</v>
      </c>
      <c r="P1633" t="n">
        <v>58</v>
      </c>
      <c r="R1633" t="inlineStr">
        <is>
          <t>OutOfStock</t>
        </is>
      </c>
      <c r="S1633" t="inlineStr">
        <is>
          <t>134.99</t>
        </is>
      </c>
      <c r="T1633" t="inlineStr">
        <is>
          <t>5931906334888</t>
        </is>
      </c>
    </row>
    <row r="1634" hidden="1" ht="15.75" customHeight="1">
      <c r="A1634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634" s="2">
        <f>HYPERLINK("https://edmondsonsupply.com/products/packard-psmj400-motor-start-capacitor-400-480-mfd-165-vac", "https://edmondsonsupply.com/products/packard-psmj400-motor-start-capacitor-400-480-mfd-165-vac")</f>
        <v/>
      </c>
      <c r="C1634" t="inlineStr">
        <is>
          <t>Packard PSMJ400 Motor Start Capacitor 400-480 MFD 165 VAC</t>
        </is>
      </c>
      <c r="D1634" t="inlineStr">
        <is>
          <t>Appli Parts motor start capacitor 400-480 Mfd (microfarads) uF 110-125 VAC universal fit for electric motor applications 1-3/4 in Wide 3-3/8 in Height CON-400-110</t>
        </is>
      </c>
      <c r="E1634" s="2">
        <f>HYPERLINK("https://www.amazon.com/Capacitor-microfarads-Universal-Electric-Applications/dp/B01FMSLV9S/ref=sr_1_11?keywords=Packard+PSMJ400+Motor+Start+Capacitor+400-480+MFD+165+VAC&amp;qid=1694734737&amp;sr=8-11", "https://www.amazon.com/Capacitor-microfarads-Universal-Electric-Applications/dp/B01FMSLV9S/ref=sr_1_11?keywords=Packard+PSMJ400+Motor+Start+Capacitor+400-480+MFD+165+VAC&amp;qid=1694734737&amp;sr=8-11")</f>
        <v/>
      </c>
      <c r="F1634" t="inlineStr">
        <is>
          <t>B01FMSLV9S</t>
        </is>
      </c>
      <c r="G1634">
        <f>_xludf.IMAGE("https://edmondsonsupply.com/cdn/shop/products/PSMJ400-2.jpg?v=1587142312")</f>
        <v/>
      </c>
      <c r="H1634">
        <f>_xludf.IMAGE("https://m.media-amazon.com/images/I/61s26LQSOFL._AC_UY218_.jpg")</f>
        <v/>
      </c>
      <c r="K1634" t="inlineStr">
        <is>
          <t>7.92</t>
        </is>
      </c>
      <c r="L1634" t="n">
        <v>13.79</v>
      </c>
      <c r="M1634" s="1" t="inlineStr">
        <is>
          <t>74.12%</t>
        </is>
      </c>
      <c r="N1634" s="1" t="n">
        <v>8.699999999999999</v>
      </c>
      <c r="O1634" t="n">
        <v>4.5</v>
      </c>
      <c r="P1634" t="n">
        <v>1387</v>
      </c>
      <c r="R1634" t="inlineStr">
        <is>
          <t>InStock</t>
        </is>
      </c>
      <c r="S1634" t="inlineStr">
        <is>
          <t>undefined</t>
        </is>
      </c>
      <c r="T1634" t="inlineStr">
        <is>
          <t>3683072016484</t>
        </is>
      </c>
    </row>
    <row r="1635" ht="87" customHeight="1">
      <c r="A1635" s="2">
        <f>HYPERLINK("https://edmondsonsupply.com/collections/hvac/products/packard-trcfd5075-titan-pro-run-capacitor-50-7-5-mfd-440-370-volt-round", "https://edmondsonsupply.com/collections/hvac/products/packard-trcfd5075-titan-pro-run-capacitor-50-7-5-mfd-440-370-volt-round")</f>
        <v/>
      </c>
      <c r="B1635" s="2">
        <f>HYPERLINK("https://edmondsonsupply.com/products/packard-trcfd5075-titan-pro-run-capacitor-50-7-5-mfd-440-370-volt-round", "https://edmondsonsupply.com/products/packard-trcfd5075-titan-pro-run-capacitor-50-7-5-mfd-440-370-volt-round")</f>
        <v/>
      </c>
      <c r="C1635" t="inlineStr">
        <is>
          <t>Packard TRCFD5075 TITAN PRO Run Capacitor 50+7.5 MFD 440/370 Volt Round</t>
        </is>
      </c>
      <c r="D1635" t="inlineStr">
        <is>
          <t>TITAN PRO TRCFD4075 Dual Rated Motor Run Capacitor Round MFD 40/7.5 Volts 440/370</t>
        </is>
      </c>
      <c r="E1635" s="2">
        <f>HYPERLINK("https://www.amazon.com/Titan-TRCFD4075-Rated-Motor-Capacitor/dp/B01IC27L72/ref=sr_1_16?keywords=Packard+TRCFD5075+TITAN+PRO+Run+Capacitor+50%2B7.5+MFD+440%2F370+Volt+Round&amp;qid=1694734698&amp;sr=8-16", "https://www.amazon.com/Titan-TRCFD4075-Rated-Motor-Capacitor/dp/B01IC27L72/ref=sr_1_16?keywords=Packard+TRCFD5075+TITAN+PRO+Run+Capacitor+50%2B7.5+MFD+440%2F370+Volt+Round&amp;qid=1694734698&amp;sr=8-16")</f>
        <v/>
      </c>
      <c r="F1635" t="inlineStr">
        <is>
          <t>B01IC27L72</t>
        </is>
      </c>
      <c r="G1635">
        <f>_xlfn.IMAGE("https://edmondsonsupply.com/cdn/shop/products/trcfd-2_xl_1_2d7f0af9-c927-4d85-8362-4fec6127938b.jpg?v=1644785863")</f>
        <v/>
      </c>
      <c r="H1635">
        <f>_xlfn.IMAGE("https://m.media-amazon.com/images/I/81gL9btPv8L._AC_UY218_.jpg")</f>
        <v/>
      </c>
      <c r="K1635" t="inlineStr">
        <is>
          <t>10.02</t>
        </is>
      </c>
      <c r="L1635" t="n">
        <v>17.44</v>
      </c>
      <c r="M1635" s="1" t="inlineStr">
        <is>
          <t>74.05%</t>
        </is>
      </c>
      <c r="N1635" s="7" t="n">
        <v>8.69</v>
      </c>
      <c r="O1635" t="n">
        <v>4.6</v>
      </c>
      <c r="P1635" t="n">
        <v>46</v>
      </c>
      <c r="R1635" t="inlineStr">
        <is>
          <t>InStock</t>
        </is>
      </c>
      <c r="S1635" t="inlineStr">
        <is>
          <t>undefined</t>
        </is>
      </c>
      <c r="T1635" t="inlineStr">
        <is>
          <t>7606661677272</t>
        </is>
      </c>
    </row>
    <row r="1636" ht="87" customHeight="1">
      <c r="A1636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636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636" t="inlineStr">
        <is>
          <t>ICM Controls ICM2811 Furnace Control Board - Replacement for Goodman</t>
        </is>
      </c>
      <c r="D1636" t="inlineStr">
        <is>
          <t>ICM Controls ICM2805A Furnace Control Replacement for Nor Dyne 624631 Control Boards, Used with G3, G4, G5, G6, M2 and M3 Furnace Modules</t>
        </is>
      </c>
      <c r="E1636" s="2">
        <f>HYPERLINK("https://www.amazon.com/ICM-Controls-ICM2805A-Furnace-Replacement/dp/B006M7E8QW/ref=sr_1_39?keywords=ICM+Controls+ICM2811+Furnace+Control+Board+-+Replacement+for+Goodman&amp;qid=1694734652&amp;sr=8-39", "https://www.amazon.com/ICM-Controls-ICM2805A-Furnace-Replacement/dp/B006M7E8QW/ref=sr_1_39?keywords=ICM+Controls+ICM2811+Furnace+Control+Board+-+Replacement+for+Goodman&amp;qid=1694734652&amp;sr=8-39")</f>
        <v/>
      </c>
      <c r="F1636" t="inlineStr">
        <is>
          <t>B006M7E8QW</t>
        </is>
      </c>
      <c r="G1636">
        <f>_xlfn.IMAGE("https://edmondsonsupply.com/cdn/shop/products/photo_3800_medium_86f45e25-a764-4839-bc84-759a6ce1c7bd.jpg?v=1659910436")</f>
        <v/>
      </c>
      <c r="H1636">
        <f>_xlfn.IMAGE("https://m.media-amazon.com/images/I/715AvGgYR1L._AC_UL320_.jpg")</f>
        <v/>
      </c>
      <c r="K1636" t="inlineStr">
        <is>
          <t>68.99</t>
        </is>
      </c>
      <c r="L1636" t="n">
        <v>119.99</v>
      </c>
      <c r="M1636" s="1" t="inlineStr">
        <is>
          <t>73.92%</t>
        </is>
      </c>
      <c r="N1636" s="7" t="n">
        <v>8.48</v>
      </c>
      <c r="O1636" t="n">
        <v>4.5</v>
      </c>
      <c r="P1636" t="n">
        <v>215</v>
      </c>
      <c r="R1636" t="inlineStr">
        <is>
          <t>InStock</t>
        </is>
      </c>
      <c r="S1636" t="inlineStr">
        <is>
          <t>93.62</t>
        </is>
      </c>
      <c r="T1636" t="inlineStr">
        <is>
          <t>4345448202340</t>
        </is>
      </c>
    </row>
    <row r="1637" ht="87" customHeight="1">
      <c r="A1637" s="2">
        <f>HYPERLINK("https://edmondsonsupply.com/collections/hvac/products/diablo-tools-dou125cgp-1-1-4-in-universal-fit-carbide-oscillating-blade-for-general-purpose-cuts", "https://edmondsonsupply.com/collections/hvac/products/diablo-tools-dou125cgp-1-1-4-in-universal-fit-carbide-oscillating-blade-for-general-purpose-cuts")</f>
        <v/>
      </c>
      <c r="B1637" s="2">
        <f>HYPERLINK("https://edmondsonsupply.com/products/diablo-tools-dou125cgp-1-1-4-in-universal-fit-carbide-oscillating-blade-for-general-purpose-cuts", "https://edmondsonsupply.com/products/diablo-tools-dou125cgp-1-1-4-in-universal-fit-carbide-oscillating-blade-for-general-purpose-cuts")</f>
        <v/>
      </c>
      <c r="C1637" t="inlineStr">
        <is>
          <t>Diablo Tools DOU125CGP 1-1/4 in. Universal Fit Carbide Oscillating Blade for General Purpose Cuts</t>
        </is>
      </c>
      <c r="D1637" t="inlineStr">
        <is>
          <t>Diablo by Freud DOS125CGP3 1-1/4 in. Starlock Carbide Oscillating Blades for General Purpose Cuts (3-Pack)</t>
        </is>
      </c>
      <c r="E1637" s="2">
        <f>HYPERLINK("https://www.amazon.com/Diablo-Starlock-Carbide-Oscillating-General/dp/B089LJS9ZL/ref=sr_1_11?keywords=Diablo+Tools+DOU125CGP+1-1%2F4+in.+Universal+Fit+Carbide+Oscillating+Blade+for+General+Purpose+Cuts&amp;qid=1694734915&amp;sr=8-11", "https://www.amazon.com/Diablo-Starlock-Carbide-Oscillating-General/dp/B089LJS9ZL/ref=sr_1_11?keywords=Diablo+Tools+DOU125CGP+1-1%2F4+in.+Universal+Fit+Carbide+Oscillating+Blade+for+General+Purpose+Cuts&amp;qid=1694734915&amp;sr=8-11")</f>
        <v/>
      </c>
      <c r="F1637" t="inlineStr">
        <is>
          <t>B089LJS9ZL</t>
        </is>
      </c>
      <c r="G1637">
        <f>_xlfn.IMAGE("https://edmondsonsupply.com/cdn/shop/files/htobgrjt150mygkkk6to_dca17485-ff4c-4cd2-9345-f1b96a9206f3.webp?v=1686146827")</f>
        <v/>
      </c>
      <c r="H1637">
        <f>_xlfn.IMAGE("https://m.media-amazon.com/images/I/71Hcp8-r23L._AC_UL320_.jpg")</f>
        <v/>
      </c>
      <c r="K1637" t="inlineStr">
        <is>
          <t>22.97</t>
        </is>
      </c>
      <c r="L1637" t="n">
        <v>39.72</v>
      </c>
      <c r="M1637" s="1" t="inlineStr">
        <is>
          <t>72.92%</t>
        </is>
      </c>
      <c r="N1637" s="7" t="n">
        <v>8.470000000000001</v>
      </c>
      <c r="O1637" t="n">
        <v>4.6</v>
      </c>
      <c r="P1637" t="n">
        <v>22</v>
      </c>
      <c r="R1637" t="inlineStr">
        <is>
          <t>InStock</t>
        </is>
      </c>
      <c r="S1637" t="inlineStr">
        <is>
          <t>28.57</t>
        </is>
      </c>
      <c r="T1637" t="inlineStr">
        <is>
          <t>8002356576472</t>
        </is>
      </c>
    </row>
    <row r="1638" hidden="1" ht="15.75" customHeight="1">
      <c r="A1638" s="2">
        <f>HYPERLINK("https://edmondsonsupply.com/collections/hvac/products/boss-products-326-hi-temp-red-silicone-sealant-3-oz-tube", "https://edmondsonsupply.com/collections/hvac/products/boss-products-326-hi-temp-red-silicone-sealant-3-oz-tube")</f>
        <v/>
      </c>
      <c r="B1638" s="2">
        <f>HYPERLINK("https://edmondsonsupply.com/products/boss-products-326-hi-temp-red-silicone-sealant-3-oz-tube", "https://edmondsonsupply.com/products/boss-products-326-hi-temp-red-silicone-sealant-3-oz-tube")</f>
        <v/>
      </c>
      <c r="C1638" t="inlineStr">
        <is>
          <t>Boss Products 326 Hi-Temp Red Silicone Sealant, 3 oz Tube</t>
        </is>
      </c>
      <c r="D1638" t="inlineStr">
        <is>
          <t>Boss Products 326 Hi-Temp Red Silicone Sealant 3oz Tube</t>
        </is>
      </c>
      <c r="E1638" s="2">
        <f>HYPERLINK("https://www.amazon.com/Boss-Products-Hi-Temp-Silicone-Sealant/dp/B00M8FPE10/ref=sr_1_1?keywords=Boss+Products+326+Hi-Temp+Red+Silicone+Sealant%2C+3+oz+Tube&amp;qid=1694734918&amp;sr=8-1", "https://www.amazon.com/Boss-Products-Hi-Temp-Silicone-Sealant/dp/B00M8FPE10/ref=sr_1_1?keywords=Boss+Products+326+Hi-Temp+Red+Silicone+Sealant%2C+3+oz+Tube&amp;qid=1694734918&amp;sr=8-1")</f>
        <v/>
      </c>
      <c r="F1638" t="inlineStr">
        <is>
          <t>B00M8FPE10</t>
        </is>
      </c>
      <c r="G1638">
        <f>_xludf.IMAGE("https://edmondsonsupply.com/cdn/shop/files/326-179201995210AM.jpg?v=1686501997")</f>
        <v/>
      </c>
      <c r="H1638">
        <f>_xludf.IMAGE("https://m.media-amazon.com/images/I/41mU3Bpg4oL._AC_UY218_.jpg")</f>
        <v/>
      </c>
      <c r="K1638" t="inlineStr">
        <is>
          <t>6.29</t>
        </is>
      </c>
      <c r="L1638" t="n">
        <v>10.85</v>
      </c>
      <c r="M1638" s="1" t="inlineStr">
        <is>
          <t>72.50%</t>
        </is>
      </c>
      <c r="N1638" s="1" t="n">
        <v>8.390000000000001</v>
      </c>
      <c r="O1638" t="n">
        <v>5</v>
      </c>
      <c r="P1638" t="n">
        <v>2</v>
      </c>
      <c r="R1638" t="inlineStr">
        <is>
          <t>InStock</t>
        </is>
      </c>
      <c r="S1638" t="inlineStr">
        <is>
          <t>undefined</t>
        </is>
      </c>
      <c r="T1638" t="inlineStr">
        <is>
          <t>8004214030552</t>
        </is>
      </c>
    </row>
    <row r="1639" ht="87" customHeight="1">
      <c r="A1639" s="2">
        <f>HYPERLINK("https://edmondsonsupply.com/collections/hvac/products/cps-btb300", "https://edmondsonsupply.com/collections/hvac/products/cps-btb300")</f>
        <v/>
      </c>
      <c r="B1639" s="2">
        <f>HYPERLINK("https://edmondsonsupply.com/products/cps-btb300", "https://edmondsonsupply.com/products/cps-btb300")</f>
        <v/>
      </c>
      <c r="C1639" t="inlineStr">
        <is>
          <t>CPS Products BTB300 BlackMax Tubing Bender Kit</t>
        </is>
      </c>
      <c r="D1639" t="inlineStr">
        <is>
          <t>CPS Products HVAC Hand Tools and Equipments Kit, BlackMax BTB300 Premium Ratcheting Tube Bender with Reverse Bend and BTLDTW Adjustable Electronic Torque Wrench</t>
        </is>
      </c>
      <c r="E1639" s="2">
        <f>HYPERLINK("https://www.amazon.com/Equipments-BLACKMAX-Ratcheting-Adjustable-Electronic/dp/B0BMJRXXLS/ref=sr_1_1?keywords=CPS+Products+BTB300+BlackMax+Tubing+Bender+Kit&amp;qid=1694734741&amp;sr=8-1", "https://www.amazon.com/Equipments-BLACKMAX-Ratcheting-Adjustable-Electronic/dp/B0BMJRXXLS/ref=sr_1_1?keywords=CPS+Products+BTB300+BlackMax+Tubing+Bender+Kit&amp;qid=1694734741&amp;sr=8-1")</f>
        <v/>
      </c>
      <c r="F1639" t="inlineStr">
        <is>
          <t>B0BMJRXXLS</t>
        </is>
      </c>
      <c r="G1639">
        <f>_xlfn.IMAGE("https://edmondsonsupply.com/cdn/shop/products/btb300.jpg?v=1587144067")</f>
        <v/>
      </c>
      <c r="H1639">
        <f>_xlfn.IMAGE("https://m.media-amazon.com/images/I/51rEotUOF-L._AC_UL320_.jpg")</f>
        <v/>
      </c>
      <c r="K1639" t="inlineStr">
        <is>
          <t>210.0</t>
        </is>
      </c>
      <c r="L1639" t="n">
        <v>362.23</v>
      </c>
      <c r="M1639" s="1" t="inlineStr">
        <is>
          <t>72.49%</t>
        </is>
      </c>
      <c r="N1639" s="7" t="n">
        <v>8.32</v>
      </c>
      <c r="O1639" t="n">
        <v>5</v>
      </c>
      <c r="P1639" t="n">
        <v>1</v>
      </c>
      <c r="R1639" t="inlineStr">
        <is>
          <t>InStock</t>
        </is>
      </c>
      <c r="S1639" t="inlineStr">
        <is>
          <t>242.31</t>
        </is>
      </c>
      <c r="T1639" t="inlineStr">
        <is>
          <t>3344484171876</t>
        </is>
      </c>
    </row>
    <row r="1640" ht="87" customHeight="1">
      <c r="A1640" s="2">
        <f>HYPERLINK("https://edmondsonsupply.com/collections/hvac/products/uniweld-utc702-premium-tubing-cutter", "https://edmondsonsupply.com/collections/hvac/products/uniweld-utc702-premium-tubing-cutter")</f>
        <v/>
      </c>
      <c r="B1640" s="2">
        <f>HYPERLINK("https://edmondsonsupply.com/products/uniweld-utc702-premium-tubing-cutter", "https://edmondsonsupply.com/products/uniweld-utc702-premium-tubing-cutter")</f>
        <v/>
      </c>
      <c r="C1640" t="inlineStr">
        <is>
          <t>Uniweld UTC702 1/8″ to 1-1/8″ Premium Tubing Cutter</t>
        </is>
      </c>
      <c r="D1640" t="inlineStr">
        <is>
          <t>Uniweld UTC703 Premium Tubing Cutter for 1/8-Inch to 1 3/8-Inch OD Copper, Brass and Aluminum Tubing</t>
        </is>
      </c>
      <c r="E1640" s="2">
        <f>HYPERLINK("https://www.amazon.com/Uniweld-UTC703-Premium-Tubing-Aluminum/dp/B00HNQRKIO/ref=sr_1_3?keywords=Uniweld+UTC702+1%2F8%E2%80%B3+to+1-1%2F8%E2%80%B3+Premium+Tubing+Cutter&amp;qid=1694734759&amp;sr=8-3", "https://www.amazon.com/Uniweld-UTC703-Premium-Tubing-Aluminum/dp/B00HNQRKIO/ref=sr_1_3?keywords=Uniweld+UTC702+1%2F8%E2%80%B3+to+1-1%2F8%E2%80%B3+Premium+Tubing+Cutter&amp;qid=1694734759&amp;sr=8-3")</f>
        <v/>
      </c>
      <c r="F1640" t="inlineStr">
        <is>
          <t>B00HNQRKIO</t>
        </is>
      </c>
      <c r="G1640">
        <f>_xlfn.IMAGE("https://edmondsonsupply.com/cdn/shop/products/utc702-front.jpg?v=1656354409")</f>
        <v/>
      </c>
      <c r="H1640">
        <f>_xlfn.IMAGE("https://m.media-amazon.com/images/I/51xkqZ0h0lL._AC_UL320_.jpg")</f>
        <v/>
      </c>
      <c r="K1640" t="inlineStr">
        <is>
          <t>24.59</t>
        </is>
      </c>
      <c r="L1640" t="n">
        <v>42.39</v>
      </c>
      <c r="M1640" s="1" t="inlineStr">
        <is>
          <t>72.39%</t>
        </is>
      </c>
      <c r="N1640" s="7" t="n">
        <v>8.039999999999999</v>
      </c>
      <c r="O1640" t="n">
        <v>5</v>
      </c>
      <c r="P1640" t="n">
        <v>1</v>
      </c>
      <c r="R1640" t="inlineStr">
        <is>
          <t>InStock</t>
        </is>
      </c>
      <c r="S1640" t="inlineStr">
        <is>
          <t>31.81</t>
        </is>
      </c>
      <c r="T1640" t="inlineStr">
        <is>
          <t>7731714883800</t>
        </is>
      </c>
    </row>
    <row r="1641" ht="87" customHeight="1">
      <c r="A1641" s="2">
        <f>HYPERLINK("https://edmondsonsupply.com/collections/hvac/products/packard-titan-pro-trcd5-run-capacitor-40-5-mfd-370-volt-round", "https://edmondsonsupply.com/collections/hvac/products/packard-titan-pro-trcd5-run-capacitor-40-5-mfd-370-volt-round")</f>
        <v/>
      </c>
      <c r="B1641" s="2">
        <f>HYPERLINK("https://edmondsonsupply.com/products/packard-titan-pro-trcd5-run-capacitor-40-5-mfd-370-volt-round", "https://edmondsonsupply.com/products/packard-titan-pro-trcd5-run-capacitor-40-5-mfd-370-volt-round")</f>
        <v/>
      </c>
      <c r="C1641" t="inlineStr">
        <is>
          <t>Packard Titan PRO TRCD405 Run Capacitor 40+5 MFD 370 Volt Round</t>
        </is>
      </c>
      <c r="D1641" t="inlineStr">
        <is>
          <t>TitanPro TRCFD405 HVAC Round Dual Motor Run Capacitor. 40/5 MFD/UF 440/370 Volts</t>
        </is>
      </c>
      <c r="E1641" s="2">
        <f>HYPERLINK("https://www.amazon.com/TitanPro-TRCFD405-Round-Motor-Capacitor/dp/B01EZ6JWEE/ref=sr_1_12?keywords=Packard+Titan+PRO+TRCD405+Run+Capacitor+40+5+MFD+370+Volt+Round&amp;qid=1694734787&amp;sr=8-12", "https://www.amazon.com/TitanPro-TRCFD405-Round-Motor-Capacitor/dp/B01EZ6JWEE/ref=sr_1_12?keywords=Packard+Titan+PRO+TRCD405+Run+Capacitor+40+5+MFD+370+Volt+Round&amp;qid=1694734787&amp;sr=8-12")</f>
        <v/>
      </c>
      <c r="F1641" t="inlineStr">
        <is>
          <t>B01EZ6JWEE</t>
        </is>
      </c>
      <c r="G1641">
        <f>_xlfn.IMAGE("https://edmondsonsupply.com/cdn/shop/products/TRCD405-2.jpg?v=1633030397")</f>
        <v/>
      </c>
      <c r="H1641">
        <f>_xlfn.IMAGE("https://m.media-amazon.com/images/I/51cHjuUfHWL._AC_UY218_.jpg")</f>
        <v/>
      </c>
      <c r="K1641" t="inlineStr">
        <is>
          <t>9.04</t>
        </is>
      </c>
      <c r="L1641" t="n">
        <v>15.54</v>
      </c>
      <c r="M1641" s="1" t="inlineStr">
        <is>
          <t>71.90%</t>
        </is>
      </c>
      <c r="N1641" s="7" t="n">
        <v>7.98</v>
      </c>
      <c r="O1641" t="n">
        <v>4.8</v>
      </c>
      <c r="P1641" t="n">
        <v>6</v>
      </c>
      <c r="R1641" t="inlineStr">
        <is>
          <t>InStock</t>
        </is>
      </c>
      <c r="S1641" t="inlineStr">
        <is>
          <t>undefined</t>
        </is>
      </c>
      <c r="T1641" t="inlineStr">
        <is>
          <t>5302353002664</t>
        </is>
      </c>
    </row>
    <row r="1642" ht="87" customHeight="1">
      <c r="A1642" s="2">
        <f>HYPERLINK("https://edmondsonsupply.com/collections/hvac/products/nu-calgon-4185-15-condensate-pan-gel-tabs-15-ton", "https://edmondsonsupply.com/collections/hvac/products/nu-calgon-4185-15-condensate-pan-gel-tabs-15-ton")</f>
        <v/>
      </c>
      <c r="B1642" s="2">
        <f>HYPERLINK("https://edmondsonsupply.com/products/nu-calgon-4185-15-condensate-pan-gel-tabs-15-ton", "https://edmondsonsupply.com/products/nu-calgon-4185-15-condensate-pan-gel-tabs-15-ton")</f>
        <v/>
      </c>
      <c r="C1642" t="inlineStr">
        <is>
          <t>Nu-Calgon 4185-15 Condensate Pan Gel Tab, 15 ton</t>
        </is>
      </c>
      <c r="D1642" t="inlineStr">
        <is>
          <t>(12) Pack/Nu-Calgon Gel-Tab # 4185-03, Condensate Pan Treatment up to 3 Tons</t>
        </is>
      </c>
      <c r="E1642" s="2">
        <f>HYPERLINK("https://www.amazon.com/12-Nu-Calgon-Gel-Tab-Condensate-Treatment/dp/B07W68DHNQ/ref=sr_1_1?keywords=Nu-Calgon+4185-15+Condensate+Pan+Gel+Tab%2C+15+ton&amp;qid=1694734758&amp;sr=8-1", "https://www.amazon.com/12-Nu-Calgon-Gel-Tab-Condensate-Treatment/dp/B07W68DHNQ/ref=sr_1_1?keywords=Nu-Calgon+4185-15+Condensate+Pan+Gel+Tab%2C+15+ton&amp;qid=1694734758&amp;sr=8-1")</f>
        <v/>
      </c>
      <c r="F1642" t="inlineStr">
        <is>
          <t>B07W68DHNQ</t>
        </is>
      </c>
      <c r="G1642">
        <f>_xlfn.IMAGE("https://edmondsonsupply.com/cdn/shop/products/4185-15.jpg?v=1659378611")</f>
        <v/>
      </c>
      <c r="H1642">
        <f>_xlfn.IMAGE("https://m.media-amazon.com/images/I/51tY4s9v36L._AC_UY218_.jpg")</f>
        <v/>
      </c>
      <c r="K1642" t="inlineStr">
        <is>
          <t>18.49</t>
        </is>
      </c>
      <c r="L1642" t="n">
        <v>31.74</v>
      </c>
      <c r="M1642" s="1" t="inlineStr">
        <is>
          <t>71.66%</t>
        </is>
      </c>
      <c r="N1642" s="7" t="n">
        <v>7.75</v>
      </c>
      <c r="O1642" t="n">
        <v>4.2</v>
      </c>
      <c r="P1642" t="n">
        <v>7</v>
      </c>
      <c r="R1642" t="inlineStr">
        <is>
          <t>InStock</t>
        </is>
      </c>
      <c r="S1642" t="inlineStr">
        <is>
          <t>27.68</t>
        </is>
      </c>
      <c r="T1642" t="inlineStr">
        <is>
          <t>7769420529880</t>
        </is>
      </c>
    </row>
    <row r="1643" ht="87" customHeight="1">
      <c r="A1643" s="2">
        <f>HYPERLINK("https://edmondsonsupply.com/collections/hvac/products/malco-tools-lp7r-eagle-grip-7-straight-jaw-locking-pliers", "https://edmondsonsupply.com/collections/hvac/products/malco-tools-lp7r-eagle-grip-7-straight-jaw-locking-pliers")</f>
        <v/>
      </c>
      <c r="B1643" s="2">
        <f>HYPERLINK("https://edmondsonsupply.com/products/malco-tools-lp7r-eagle-grip-7-straight-jaw-locking-pliers", "https://edmondsonsupply.com/products/malco-tools-lp7r-eagle-grip-7-straight-jaw-locking-pliers")</f>
        <v/>
      </c>
      <c r="C1643" t="inlineStr">
        <is>
          <t>Malco Tools LP7R Eagle Grip 7″ Straight Jaw Locking Pliers</t>
        </is>
      </c>
      <c r="D1643" t="inlineStr">
        <is>
          <t>Eagle Grip by Malco LP7WC 7 in. Curved Jaw Locking Pliers with Wire Cutter &amp; Grip by Malco LP7R 7 in. Straight Jaw Locking Pliers</t>
        </is>
      </c>
      <c r="E1643" s="2">
        <f>HYPERLINK("https://www.amazon.com/Malco-Curved-Locking-Pliers-Straight/dp/B0BGPVRDJ6/ref=sr_1_2?keywords=Malco+Tools+LP7R+Eagle+Grip+7%E2%80%B3+Straight+Jaw+Locking+Pliers&amp;qid=1694734637&amp;sr=8-2", "https://www.amazon.com/Malco-Curved-Locking-Pliers-Straight/dp/B0BGPVRDJ6/ref=sr_1_2?keywords=Malco+Tools+LP7R+Eagle+Grip+7%E2%80%B3+Straight+Jaw+Locking+Pliers&amp;qid=1694734637&amp;sr=8-2")</f>
        <v/>
      </c>
      <c r="F1643" t="inlineStr">
        <is>
          <t>B0BGPVRDJ6</t>
        </is>
      </c>
      <c r="G1643">
        <f>_xlfn.IMAGE("https://edmondsonsupply.com/cdn/shop/products/LP7R-eagle-grip-locking-pliers-in-hand.jpg?v=1657291391")</f>
        <v/>
      </c>
      <c r="H1643">
        <f>_xlfn.IMAGE("https://m.media-amazon.com/images/I/411-49NbYHL._AC_UL320_.jpg")</f>
        <v/>
      </c>
      <c r="K1643" t="inlineStr">
        <is>
          <t>49.99</t>
        </is>
      </c>
      <c r="L1643" t="n">
        <v>85.72</v>
      </c>
      <c r="M1643" s="1" t="inlineStr">
        <is>
          <t>71.47%</t>
        </is>
      </c>
      <c r="N1643" s="7" t="n">
        <v>7.74</v>
      </c>
      <c r="O1643" t="n">
        <v>4.9</v>
      </c>
      <c r="P1643" t="n">
        <v>423</v>
      </c>
      <c r="R1643" t="inlineStr">
        <is>
          <t>InStock</t>
        </is>
      </c>
      <c r="S1643" t="inlineStr">
        <is>
          <t>54.67</t>
        </is>
      </c>
      <c r="T1643" t="inlineStr">
        <is>
          <t>7742222270680</t>
        </is>
      </c>
    </row>
    <row r="1644" ht="87" customHeight="1">
      <c r="A1644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1644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1644" t="inlineStr">
        <is>
          <t>Klein Tools D20009NEGLW High-Visibility Side-Cutting Pliers High-Leverage</t>
        </is>
      </c>
      <c r="D1644" t="inlineStr">
        <is>
          <t>Klein Tools D232-8 End-Cutting Pliers, High-Leverage Wide Throat Clearance with Extended Handles for Longer Reach, 8-Inch</t>
        </is>
      </c>
      <c r="E1644" s="2">
        <f>HYPERLINK("https://www.amazon.com/End-Cutting-Pliers-Klein-Tools-D232-8/dp/B0002RI9NQ/ref=sr_1_20?keywords=Klein+Tools+D20009NEGLW+High-Visibility+Side-Cutting+Pliers+High-Leverage&amp;qid=1694734809&amp;sr=8-20", "https://www.amazon.com/End-Cutting-Pliers-Klein-Tools-D232-8/dp/B0002RI9NQ/ref=sr_1_20?keywords=Klein+Tools+D20009NEGLW+High-Visibility+Side-Cutting+Pliers+High-Leverage&amp;qid=1694734809&amp;sr=8-20")</f>
        <v/>
      </c>
      <c r="F1644" t="inlineStr">
        <is>
          <t>B0002RI9NQ</t>
        </is>
      </c>
      <c r="G1644">
        <f>_xlfn.IMAGE("https://edmondsonsupply.com/cdn/shop/products/d20009neglw.jpg?v=1587144933")</f>
        <v/>
      </c>
      <c r="H1644">
        <f>_xlfn.IMAGE("https://m.media-amazon.com/images/I/41BnDDbBWSL._AC_UL320_.jpg")</f>
        <v/>
      </c>
      <c r="K1644" t="inlineStr">
        <is>
          <t>44.97</t>
        </is>
      </c>
      <c r="L1644" t="n">
        <v>76.81999999999999</v>
      </c>
      <c r="M1644" s="1" t="inlineStr">
        <is>
          <t>70.82%</t>
        </is>
      </c>
      <c r="N1644" s="7" t="n">
        <v>7.55</v>
      </c>
      <c r="O1644" t="n">
        <v>4.5</v>
      </c>
      <c r="P1644" t="n">
        <v>287</v>
      </c>
      <c r="R1644" t="inlineStr">
        <is>
          <t>InStock</t>
        </is>
      </c>
      <c r="S1644" t="inlineStr">
        <is>
          <t>68.16</t>
        </is>
      </c>
      <c r="T1644" t="inlineStr">
        <is>
          <t>4396888490084</t>
        </is>
      </c>
    </row>
    <row r="1645" ht="87" customHeight="1">
      <c r="A1645" s="2">
        <f>HYPERLINK("https://edmondsonsupply.com/collections/hvac/products/hilmor-1839108-tcc-thermocouple-clamp", "https://edmondsonsupply.com/collections/hvac/products/hilmor-1839108-tcc-thermocouple-clamp")</f>
        <v/>
      </c>
      <c r="B1645" s="2">
        <f>HYPERLINK("https://edmondsonsupply.com/products/hilmor-1839108-tcc-thermocouple-clamp", "https://edmondsonsupply.com/products/hilmor-1839108-tcc-thermocouple-clamp")</f>
        <v/>
      </c>
      <c r="C1645" t="inlineStr">
        <is>
          <t>Hilmor 1839108 TCC Thermocouple Clamp</t>
        </is>
      </c>
      <c r="D1645" t="inlineStr">
        <is>
          <t>hilmor 1839108 TCC Thermocouple Clamp</t>
        </is>
      </c>
      <c r="E1645" s="2">
        <f>HYPERLINK("https://www.amazon.com/hilmor-1839108-TCC-Thermocouple-Clamp/dp/B00G2R0CYY/ref=sr_1_1?keywords=Hilmor+1839108+TCC+Thermocouple+Clamp&amp;qid=1694734740&amp;sr=8-1", "https://www.amazon.com/hilmor-1839108-TCC-Thermocouple-Clamp/dp/B00G2R0CYY/ref=sr_1_1?keywords=Hilmor+1839108+TCC+Thermocouple+Clamp&amp;qid=1694734740&amp;sr=8-1")</f>
        <v/>
      </c>
      <c r="F1645" t="inlineStr">
        <is>
          <t>B00G2R0CYY</t>
        </is>
      </c>
      <c r="G1645">
        <f>_xlfn.IMAGE("https://edmondsonsupply.com/cdn/shop/products/1839108-O1.jpg?v=1587144125")</f>
        <v/>
      </c>
      <c r="H1645">
        <f>_xlfn.IMAGE("https://m.media-amazon.com/images/I/81DZ-bnLWoL._AC_UL320_.jpg")</f>
        <v/>
      </c>
      <c r="I1645" t="n">
        <v>3</v>
      </c>
      <c r="J1645" t="inlineStr">
        <is>
          <t>high roi</t>
        </is>
      </c>
      <c r="K1645" t="inlineStr">
        <is>
          <t>47.68</t>
        </is>
      </c>
      <c r="L1645" t="n">
        <v>81.39</v>
      </c>
      <c r="M1645" s="1" t="inlineStr">
        <is>
          <t>70.70%</t>
        </is>
      </c>
      <c r="N1645" s="7" t="n">
        <v>7.32</v>
      </c>
      <c r="O1645" t="n">
        <v>4.3</v>
      </c>
      <c r="P1645" t="n">
        <v>67</v>
      </c>
      <c r="R1645" t="inlineStr">
        <is>
          <t>InStock</t>
        </is>
      </c>
      <c r="S1645" t="inlineStr">
        <is>
          <t>163.01</t>
        </is>
      </c>
      <c r="T1645" t="inlineStr">
        <is>
          <t>2099404374116</t>
        </is>
      </c>
    </row>
    <row r="1646" ht="87" customHeight="1">
      <c r="A1646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646" s="2">
        <f>HYPERLINK("https://edmondsonsupply.com/products/packard-prmj270-motor-start-capacitor-270-324-mfd-330-vac", "https://edmondsonsupply.com/products/packard-prmj270-motor-start-capacitor-270-324-mfd-330-vac")</f>
        <v/>
      </c>
      <c r="C1646" t="inlineStr">
        <is>
          <t>Packard PRMJ270 Motor Start Capacitor 270-324 MFD 330 VAC</t>
        </is>
      </c>
      <c r="D1646" t="inlineStr">
        <is>
          <t>Packard PRMJ270 Packard 330V Start Capacitor 270-324 MFD</t>
        </is>
      </c>
      <c r="E1646" s="2">
        <f>HYPERLINK("https://www.amazon.com/Packard-PRMJ270-Start-Capacitor-270-324/dp/B005YN6Q7O/ref=sr_1_2?keywords=Packard+PRMJ270+Motor+Start+Capacitor+270-324+MFD+330+VAC&amp;qid=1694734674&amp;sr=8-2", "https://www.amazon.com/Packard-PRMJ270-Start-Capacitor-270-324/dp/B005YN6Q7O/ref=sr_1_2?keywords=Packard+PRMJ270+Motor+Start+Capacitor+270-324+MFD+330+VAC&amp;qid=1694734674&amp;sr=8-2")</f>
        <v/>
      </c>
      <c r="F1646" t="inlineStr">
        <is>
          <t>B005YN6Q7O</t>
        </is>
      </c>
      <c r="G1646">
        <f>_xlfn.IMAGE("https://edmondsonsupply.com/cdn/shop/products/PRMJ270-2.jpg?v=1633030164")</f>
        <v/>
      </c>
      <c r="H1646">
        <f>_xlfn.IMAGE("https://m.media-amazon.com/images/I/21-zqFsWL+L._AC_UY218_.jpg")</f>
        <v/>
      </c>
      <c r="K1646" t="inlineStr">
        <is>
          <t>10.37</t>
        </is>
      </c>
      <c r="L1646" t="n">
        <v>17.7</v>
      </c>
      <c r="M1646" s="1" t="inlineStr">
        <is>
          <t>70.68%</t>
        </is>
      </c>
      <c r="N1646" s="7" t="n">
        <v>7.27</v>
      </c>
      <c r="O1646" t="n">
        <v>4.5</v>
      </c>
      <c r="P1646" t="n">
        <v>64</v>
      </c>
      <c r="R1646" t="inlineStr">
        <is>
          <t>InStock</t>
        </is>
      </c>
      <c r="S1646" t="inlineStr">
        <is>
          <t>undefined</t>
        </is>
      </c>
      <c r="T1646" t="inlineStr">
        <is>
          <t>4298743185508</t>
        </is>
      </c>
    </row>
    <row r="1647" ht="87" customHeight="1">
      <c r="A1647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647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647" t="inlineStr">
        <is>
          <t>ICM Controls ICM2805A Furnace Control Board - Replacement for Nordyne</t>
        </is>
      </c>
      <c r="D1647" t="inlineStr">
        <is>
          <t>OEM Upgraded Replacement for Nordyne Furnace Control Circuit Board 903106</t>
        </is>
      </c>
      <c r="E1647" s="2">
        <f>HYPERLINK("https://www.amazon.com/Upgraded-Replacement-Furnace-Control-Circuit/dp/B00EFAYTG2/ref=sr_1_8?keywords=ICM+Controls+ICM2805A+Furnace+Control+Board+-+Replacement+for+Nordyne&amp;qid=1694734623&amp;sr=8-8", "https://www.amazon.com/Upgraded-Replacement-Furnace-Control-Circuit/dp/B00EFAYTG2/ref=sr_1_8?keywords=ICM+Controls+ICM2805A+Furnace+Control+Board+-+Replacement+for+Nordyne&amp;qid=1694734623&amp;sr=8-8")</f>
        <v/>
      </c>
      <c r="F1647" t="inlineStr">
        <is>
          <t>B00EFAYTG2</t>
        </is>
      </c>
      <c r="G1647">
        <f>_xlfn.IMAGE("https://edmondsonsupply.com/cdn/shop/products/57_3_42a53dd2-02e8-4469-bc0c-0265897201e7.jpg?v=1633031145")</f>
        <v/>
      </c>
      <c r="H1647">
        <f>_xlfn.IMAGE("https://m.media-amazon.com/images/I/515vIDTDHiL._AC_UL320_.jpg")</f>
        <v/>
      </c>
      <c r="K1647" t="inlineStr">
        <is>
          <t>116.59</t>
        </is>
      </c>
      <c r="L1647" t="n">
        <v>198.95</v>
      </c>
      <c r="M1647" s="1" t="inlineStr">
        <is>
          <t>70.64%</t>
        </is>
      </c>
      <c r="N1647" s="7" t="n">
        <v>7.22</v>
      </c>
      <c r="O1647" t="n">
        <v>4.6</v>
      </c>
      <c r="P1647" t="n">
        <v>97</v>
      </c>
      <c r="R1647" t="inlineStr">
        <is>
          <t>InStock</t>
        </is>
      </c>
      <c r="S1647" t="inlineStr">
        <is>
          <t>161.12</t>
        </is>
      </c>
      <c r="T1647" t="inlineStr">
        <is>
          <t>6892060639405</t>
        </is>
      </c>
    </row>
    <row r="1648" hidden="1" ht="15.75" customHeight="1">
      <c r="A1648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648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648" t="inlineStr">
        <is>
          <t>ICM Controls ICM2805A Furnace Control Board - Replacement for Nordyne</t>
        </is>
      </c>
      <c r="D1648" t="inlineStr">
        <is>
          <t>Replacement for Nordyne Furnace Fan Control Circuit Board 624591D</t>
        </is>
      </c>
      <c r="E1648" s="2">
        <f>HYPERLINK("https://www.amazon.com/Replacement-Nordyne-Furnace-Control-Circuit/dp/B00E41D7WO/ref=sr_1_35?keywords=ICM+Controls+ICM2805A+Furnace+Control+Board+-+Replacement+for+Nordyne&amp;qid=1694734623&amp;sr=8-35", "https://www.amazon.com/Replacement-Nordyne-Furnace-Control-Circuit/dp/B00E41D7WO/ref=sr_1_35?keywords=ICM+Controls+ICM2805A+Furnace+Control+Board+-+Replacement+for+Nordyne&amp;qid=1694734623&amp;sr=8-35")</f>
        <v/>
      </c>
      <c r="F1648" t="inlineStr">
        <is>
          <t>B00E41D7WO</t>
        </is>
      </c>
      <c r="G1648">
        <f>_xludf.IMAGE("https://edmondsonsupply.com/cdn/shop/products/57_3_42a53dd2-02e8-4469-bc0c-0265897201e7.jpg?v=1633031145")</f>
        <v/>
      </c>
      <c r="H1648">
        <f>_xludf.IMAGE("https://m.media-amazon.com/images/I/61f2M1sw0zL._AC_UL320_.jpg")</f>
        <v/>
      </c>
      <c r="K1648" t="inlineStr">
        <is>
          <t>116.59</t>
        </is>
      </c>
      <c r="L1648" t="n">
        <v>198.95</v>
      </c>
      <c r="M1648" s="1" t="inlineStr">
        <is>
          <t>70.64%</t>
        </is>
      </c>
      <c r="N1648" s="1" t="n">
        <v>6.95</v>
      </c>
      <c r="O1648" t="n">
        <v>4</v>
      </c>
      <c r="P1648" t="n">
        <v>1</v>
      </c>
      <c r="R1648" t="inlineStr">
        <is>
          <t>InStock</t>
        </is>
      </c>
      <c r="S1648" t="inlineStr">
        <is>
          <t>161.12</t>
        </is>
      </c>
      <c r="T1648" t="inlineStr">
        <is>
          <t>6892060639405</t>
        </is>
      </c>
    </row>
    <row r="1649" hidden="1" ht="15.75" customHeight="1">
      <c r="A1649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649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649" t="inlineStr">
        <is>
          <t>ICM Controls ICM2805A Furnace Control Board - Replacement for Nordyne</t>
        </is>
      </c>
      <c r="D1649" t="inlineStr">
        <is>
          <t>Replacement for Nordyne Furnace Fan Control Circuit Board 624591-B</t>
        </is>
      </c>
      <c r="E1649" s="2">
        <f>HYPERLINK("https://www.amazon.com/Replacement-Nordyne-Furnace-Control-624591-B/dp/B00E41BL9K/ref=sr_1_36?keywords=ICM+Controls+ICM2805A+Furnace+Control+Board+-+Replacement+for+Nordyne&amp;qid=1694734623&amp;sr=8-36", "https://www.amazon.com/Replacement-Nordyne-Furnace-Control-624591-B/dp/B00E41BL9K/ref=sr_1_36?keywords=ICM+Controls+ICM2805A+Furnace+Control+Board+-+Replacement+for+Nordyne&amp;qid=1694734623&amp;sr=8-36")</f>
        <v/>
      </c>
      <c r="F1649" t="inlineStr">
        <is>
          <t>B00E41BL9K</t>
        </is>
      </c>
      <c r="G1649">
        <f>_xludf.IMAGE("https://edmondsonsupply.com/cdn/shop/products/57_3_42a53dd2-02e8-4469-bc0c-0265897201e7.jpg?v=1633031145")</f>
        <v/>
      </c>
      <c r="H1649">
        <f>_xludf.IMAGE("https://m.media-amazon.com/images/I/61f2M1sw0zL._AC_UL320_.jpg")</f>
        <v/>
      </c>
      <c r="K1649" t="inlineStr">
        <is>
          <t>116.59</t>
        </is>
      </c>
      <c r="L1649" t="n">
        <v>198.95</v>
      </c>
      <c r="M1649" s="1" t="inlineStr">
        <is>
          <t>70.64%</t>
        </is>
      </c>
      <c r="N1649" s="1" t="n">
        <v>6.9</v>
      </c>
      <c r="O1649" t="n">
        <v>3.8</v>
      </c>
      <c r="P1649" t="n">
        <v>5</v>
      </c>
      <c r="R1649" t="inlineStr">
        <is>
          <t>InStock</t>
        </is>
      </c>
      <c r="S1649" t="inlineStr">
        <is>
          <t>161.12</t>
        </is>
      </c>
      <c r="T1649" t="inlineStr">
        <is>
          <t>6892060639405</t>
        </is>
      </c>
    </row>
    <row r="1650" ht="87" customHeight="1">
      <c r="A1650" s="2">
        <f>HYPERLINK("https://edmondsonsupply.com/collections/hvac/products/5-2-1-csru1", "https://edmondsonsupply.com/collections/hvac/products/5-2-1-csru1")</f>
        <v/>
      </c>
      <c r="B1650" s="2">
        <f>HYPERLINK("https://edmondsonsupply.com/products/5-2-1-csru1", "https://edmondsonsupply.com/products/5-2-1-csru1")</f>
        <v/>
      </c>
      <c r="C1650" t="inlineStr">
        <is>
          <t>5-2-1 CSRU1 Compressor Saver, 1 to 3 Tons</t>
        </is>
      </c>
      <c r="D1650" t="inlineStr">
        <is>
          <t>5-2-1 CSRU2 Compressor Saver for 3-1/2 to 5 Ton Units</t>
        </is>
      </c>
      <c r="E1650" s="2">
        <f>HYPERLINK("https://www.amazon.com/Hard-Start-3-5-4-5-tons-Units/dp/B01M17Z66I/ref=sr_1_16?keywords=5-2-1+CSRU1+Compressor+Saver%2C+1+to+3+Tons&amp;qid=1694734741&amp;sr=8-16", "https://www.amazon.com/Hard-Start-3-5-4-5-tons-Units/dp/B01M17Z66I/ref=sr_1_16?keywords=5-2-1+CSRU1+Compressor+Saver%2C+1+to+3+Tons&amp;qid=1694734741&amp;sr=8-16")</f>
        <v/>
      </c>
      <c r="F1650" t="inlineStr">
        <is>
          <t>B01M17Z66I</t>
        </is>
      </c>
      <c r="G1650">
        <f>_xlfn.IMAGE("https://edmondsonsupply.com/cdn/shop/products/CSRU1.jpg?v=1633030087")</f>
        <v/>
      </c>
      <c r="H1650">
        <f>_xlfn.IMAGE("https://m.media-amazon.com/images/I/613nuTAK7dL._AC_UL320_.jpg")</f>
        <v/>
      </c>
      <c r="K1650" t="inlineStr">
        <is>
          <t>34.62</t>
        </is>
      </c>
      <c r="L1650" t="n">
        <v>59</v>
      </c>
      <c r="M1650" s="1" t="inlineStr">
        <is>
          <t>70.42%</t>
        </is>
      </c>
      <c r="N1650" s="7" t="n">
        <v>6.67</v>
      </c>
      <c r="O1650" t="n">
        <v>4.6</v>
      </c>
      <c r="P1650" t="n">
        <v>529</v>
      </c>
      <c r="R1650" t="inlineStr">
        <is>
          <t>InStock</t>
        </is>
      </c>
      <c r="S1650" t="inlineStr">
        <is>
          <t>39.95</t>
        </is>
      </c>
      <c r="T1650" t="inlineStr">
        <is>
          <t>3558315950180</t>
        </is>
      </c>
    </row>
    <row r="1651" ht="87" customHeight="1">
      <c r="A1651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651" s="2">
        <f>HYPERLINK("https://edmondsonsupply.com/products/klein-tools-935dag-digital-angle-gauge-and-level", "https://edmondsonsupply.com/products/klein-tools-935dag-digital-angle-gauge-and-level")</f>
        <v/>
      </c>
      <c r="C1651" t="inlineStr">
        <is>
          <t>Klein Tools 935DAG Digital Angle Gauge and Level</t>
        </is>
      </c>
      <c r="D1651" t="inlineStr">
        <is>
          <t>Klein Tools 935DAG Digital Electronic Level and Angle Gauge, Measures and Sets Angles &amp; General Tools T-Bevel Gauge &amp; Protractor - Digital Angle Finder with Full LCD Display &amp; 8" Stainless Steel Blade</t>
        </is>
      </c>
      <c r="E1651" s="2">
        <f>HYPERLINK("https://www.amazon.com/Klein-Tools-Electronic-Measures-Protractor/dp/B09P843CWF/ref=sr_1_4?keywords=Klein+Tools+935DAG+Digital+Angle+Gauge+and+Level&amp;qid=1694734733&amp;sr=8-4", "https://www.amazon.com/Klein-Tools-Electronic-Measures-Protractor/dp/B09P843CWF/ref=sr_1_4?keywords=Klein+Tools+935DAG+Digital+Angle+Gauge+and+Level&amp;qid=1694734733&amp;sr=8-4")</f>
        <v/>
      </c>
      <c r="F1651" t="inlineStr">
        <is>
          <t>B09P843CWF</t>
        </is>
      </c>
      <c r="G1651">
        <f>_xlfn.IMAGE("https://edmondsonsupply.com/cdn/shop/products/935dag.jpg?v=1587145032")</f>
        <v/>
      </c>
      <c r="H1651">
        <f>_xlfn.IMAGE("https://m.media-amazon.com/images/I/51nqC5OG7xL._AC_UL320_.jpg")</f>
        <v/>
      </c>
      <c r="K1651" t="inlineStr">
        <is>
          <t>29.97</t>
        </is>
      </c>
      <c r="L1651" t="n">
        <v>51.04</v>
      </c>
      <c r="M1651" s="1" t="inlineStr">
        <is>
          <t>70.30%</t>
        </is>
      </c>
      <c r="N1651" s="7" t="n">
        <v>6.67</v>
      </c>
      <c r="O1651" t="n">
        <v>4.8</v>
      </c>
      <c r="P1651" t="n">
        <v>29</v>
      </c>
      <c r="R1651" t="inlineStr">
        <is>
          <t>InStock</t>
        </is>
      </c>
      <c r="S1651" t="inlineStr">
        <is>
          <t>45.0</t>
        </is>
      </c>
      <c r="T1651" t="inlineStr">
        <is>
          <t>4167487094884</t>
        </is>
      </c>
    </row>
    <row r="1652" ht="87" customHeight="1">
      <c r="A1652" s="2">
        <f>HYPERLINK("https://edmondsonsupply.com/collections/hvac/products/5-2-1-tpspd-thermally-protected-surge-protection-device", "https://edmondsonsupply.com/collections/hvac/products/5-2-1-tpspd-thermally-protected-surge-protection-device")</f>
        <v/>
      </c>
      <c r="B1652" s="2">
        <f>HYPERLINK("https://edmondsonsupply.com/products/5-2-1-tpspd-thermally-protected-surge-protection-device", "https://edmondsonsupply.com/products/5-2-1-tpspd-thermally-protected-surge-protection-device")</f>
        <v/>
      </c>
      <c r="C1652" t="inlineStr">
        <is>
          <t>CPS 5-2-1 TPSPD Thermally Protected Surge Protection Device</t>
        </is>
      </c>
      <c r="D1652" t="inlineStr">
        <is>
          <t>CPS 5-2-1 TPSPD Thermally Protected Surge Protection Device</t>
        </is>
      </c>
      <c r="E1652" s="2">
        <f>HYPERLINK("https://www.amazon.com/CPS-Thermally-Protected-Protection-Device/dp/B07PFYCVWH/ref=sr_1_1?keywords=CPS+5-2-1+TPSPD+Thermally+Protected+Surge+Protection+Device&amp;qid=1694734676&amp;sr=8-1", "https://www.amazon.com/CPS-Thermally-Protected-Protection-Device/dp/B07PFYCVWH/ref=sr_1_1?keywords=CPS+5-2-1+TPSPD+Thermally+Protected+Surge+Protection+Device&amp;qid=1694734676&amp;sr=8-1")</f>
        <v/>
      </c>
      <c r="F1652" t="inlineStr">
        <is>
          <t>B07PFYCVWH</t>
        </is>
      </c>
      <c r="G1652">
        <f>_xlfn.IMAGE("https://edmondsonsupply.com/cdn/shop/products/TPSPD-1_f4h6hj.jpg?v=1633030045")</f>
        <v/>
      </c>
      <c r="H1652">
        <f>_xlfn.IMAGE("https://m.media-amazon.com/images/I/61HhD9jN-fL._AC_UY218_.jpg")</f>
        <v/>
      </c>
      <c r="I1652" t="n">
        <v>0</v>
      </c>
      <c r="J1652" t="inlineStr">
        <is>
          <t>low sales</t>
        </is>
      </c>
      <c r="K1652" t="inlineStr">
        <is>
          <t>70.38</t>
        </is>
      </c>
      <c r="L1652" t="n">
        <v>119.73</v>
      </c>
      <c r="M1652" s="1" t="inlineStr">
        <is>
          <t>70.12%</t>
        </is>
      </c>
      <c r="N1652" s="7" t="n">
        <v>6.67</v>
      </c>
      <c r="O1652" t="n">
        <v>4.8</v>
      </c>
      <c r="P1652" t="n">
        <v>4</v>
      </c>
      <c r="R1652" t="inlineStr">
        <is>
          <t>InStock</t>
        </is>
      </c>
      <c r="S1652" t="inlineStr">
        <is>
          <t>81.21</t>
        </is>
      </c>
      <c r="T1652" t="inlineStr">
        <is>
          <t>3124362674276</t>
        </is>
      </c>
    </row>
    <row r="1653" ht="87" customHeight="1">
      <c r="A1653" s="2">
        <f>HYPERLINK("https://edmondsonsupply.com/collections/hvac/products/klein-tools-85073ins-screwdriver-set-1000v-insulated-3-piece", "https://edmondsonsupply.com/collections/hvac/products/klein-tools-85073ins-screwdriver-set-1000v-insulated-3-piece")</f>
        <v/>
      </c>
      <c r="B1653" s="2">
        <f>HYPERLINK("https://edmondsonsupply.com/products/klein-tools-85073ins-screwdriver-set-1000v-insulated-3-piece", "https://edmondsonsupply.com/products/klein-tools-85073ins-screwdriver-set-1000v-insulated-3-piece")</f>
        <v/>
      </c>
      <c r="C1653" t="inlineStr">
        <is>
          <t>Klein Tools 85073INS Screwdriver Set, 1000V Insulated, 3-Piece</t>
        </is>
      </c>
      <c r="D1653" t="inlineStr">
        <is>
          <t>Klein Tools 33734INS 1000V Slim Tip Insulated Screwdriver Set, Phillips, Cabinet, Square Slim-Tip, Cushion Grip Handle, 4-Piece</t>
        </is>
      </c>
      <c r="E1653" s="2">
        <f>HYPERLINK("https://www.amazon.com/Klein-Tools-33734INS-Insulated-Screwdriver/dp/B088NQ1D2B/ref=sr_1_7?keywords=Klein+Tools+85073INS+Screwdriver+Set%2C+1000V+Insulated%2C+3-Piece&amp;qid=1694734656&amp;sr=8-7", "https://www.amazon.com/Klein-Tools-33734INS-Insulated-Screwdriver/dp/B088NQ1D2B/ref=sr_1_7?keywords=Klein+Tools+85073INS+Screwdriver+Set%2C+1000V+Insulated%2C+3-Piece&amp;qid=1694734656&amp;sr=8-7")</f>
        <v/>
      </c>
      <c r="F1653" t="inlineStr">
        <is>
          <t>B088NQ1D2B</t>
        </is>
      </c>
      <c r="G1653">
        <f>_xlfn.IMAGE("https://edmondsonsupply.com/cdn/shop/products/85073ins.jpg?v=1664890503")</f>
        <v/>
      </c>
      <c r="H1653">
        <f>_xlfn.IMAGE("https://m.media-amazon.com/images/I/41+LCtq0IpL._AC_UL320_.jpg")</f>
        <v/>
      </c>
      <c r="K1653" t="inlineStr">
        <is>
          <t>21.97</t>
        </is>
      </c>
      <c r="L1653" t="n">
        <v>37.36</v>
      </c>
      <c r="M1653" s="1" t="inlineStr">
        <is>
          <t>70.05%</t>
        </is>
      </c>
      <c r="N1653" s="7" t="n">
        <v>6.65</v>
      </c>
      <c r="O1653" t="n">
        <v>4.8</v>
      </c>
      <c r="P1653" t="n">
        <v>1358</v>
      </c>
      <c r="R1653" t="inlineStr">
        <is>
          <t>InStock</t>
        </is>
      </c>
      <c r="S1653" t="inlineStr">
        <is>
          <t>32.98</t>
        </is>
      </c>
      <c r="T1653" t="inlineStr">
        <is>
          <t>7839219613912</t>
        </is>
      </c>
    </row>
    <row r="1654" ht="87" customHeight="1">
      <c r="A1654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654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654" t="inlineStr">
        <is>
          <t>ICM Controls ICM2805A Furnace Control Board - Replacement for Nordyne</t>
        </is>
      </c>
      <c r="D1654" t="inlineStr">
        <is>
          <t>624631-B - OEM Replacement for Nordyne Furnace Control Circuit Board</t>
        </is>
      </c>
      <c r="E1654" s="2">
        <f>HYPERLINK("https://www.amazon.com/624631-B-Replacement-Nordyne-Furnace-Control/dp/B00YYFBC72/ref=sr_1_12?keywords=ICM+Controls+ICM2805A+Furnace+Control+Board+-+Replacement+for+Nordyne&amp;qid=1694734623&amp;sr=8-12", "https://www.amazon.com/624631-B-Replacement-Nordyne-Furnace-Control/dp/B00YYFBC72/ref=sr_1_12?keywords=ICM+Controls+ICM2805A+Furnace+Control+Board+-+Replacement+for+Nordyne&amp;qid=1694734623&amp;sr=8-12")</f>
        <v/>
      </c>
      <c r="F1654" t="inlineStr">
        <is>
          <t>B00YYFBC72</t>
        </is>
      </c>
      <c r="G1654">
        <f>_xlfn.IMAGE("https://edmondsonsupply.com/cdn/shop/products/57_3_42a53dd2-02e8-4469-bc0c-0265897201e7.jpg?v=1633031145")</f>
        <v/>
      </c>
      <c r="H1654">
        <f>_xlfn.IMAGE("https://m.media-amazon.com/images/I/51zkInbD61L._AC_UL320_.jpg")</f>
        <v/>
      </c>
      <c r="K1654" t="inlineStr">
        <is>
          <t>116.59</t>
        </is>
      </c>
      <c r="L1654" t="n">
        <v>197.98</v>
      </c>
      <c r="M1654" s="1" t="inlineStr">
        <is>
          <t>69.81%</t>
        </is>
      </c>
      <c r="N1654" s="7" t="n">
        <v>6.62</v>
      </c>
      <c r="O1654" t="n">
        <v>4.7</v>
      </c>
      <c r="P1654" t="n">
        <v>46</v>
      </c>
      <c r="R1654" t="inlineStr">
        <is>
          <t>InStock</t>
        </is>
      </c>
      <c r="S1654" t="inlineStr">
        <is>
          <t>161.12</t>
        </is>
      </c>
      <c r="T1654" t="inlineStr">
        <is>
          <t>6892060639405</t>
        </is>
      </c>
    </row>
    <row r="1655" ht="87" customHeight="1">
      <c r="A1655" s="2">
        <f>HYPERLINK("https://edmondsonsupply.com/collections/hvac/products/white-rodgers-24a34-2-24v-electric-heat-sequencer-spst", "https://edmondsonsupply.com/collections/hvac/products/white-rodgers-24a34-2-24v-electric-heat-sequencer-spst")</f>
        <v/>
      </c>
      <c r="B1655" s="2">
        <f>HYPERLINK("https://edmondsonsupply.com/products/white-rodgers-24a34-2-24v-electric-heat-sequencer-spst", "https://edmondsonsupply.com/products/white-rodgers-24a34-2-24v-electric-heat-sequencer-spst")</f>
        <v/>
      </c>
      <c r="C1655" t="inlineStr">
        <is>
          <t>White-Rodgers 24A34-2 24V Electric Heat Sequencer, SPST</t>
        </is>
      </c>
      <c r="D1655" t="inlineStr">
        <is>
          <t>White-Rodgers 24A34-3 Electric Heat Sequencer, 2 Switch</t>
        </is>
      </c>
      <c r="E1655" s="2">
        <f>HYPERLINK("https://www.amazon.com/White-Rodgers-24A34-3-Electric-Sequencer-Switch/dp/B000LDGR4Y/ref=sr_1_3?keywords=White-Rodgers+24A34-2+24V+Electric+Heat+Sequencer%2C+SPST&amp;qid=1694734713&amp;sr=8-3", "https://www.amazon.com/White-Rodgers-24A34-3-Electric-Sequencer-Switch/dp/B000LDGR4Y/ref=sr_1_3?keywords=White-Rodgers+24A34-2+24V+Electric+Heat+Sequencer%2C+SPST&amp;qid=1694734713&amp;sr=8-3")</f>
        <v/>
      </c>
      <c r="F1655" t="inlineStr">
        <is>
          <t>B000LDGR4Y</t>
        </is>
      </c>
      <c r="G1655">
        <f>_xlfn.IMAGE("https://edmondsonsupply.com/cdn/shop/products/24A34-2.jpg?v=1633030752")</f>
        <v/>
      </c>
      <c r="H1655">
        <f>_xlfn.IMAGE("https://m.media-amazon.com/images/I/81cvHpX0ILL._AC_UL320_.jpg")</f>
        <v/>
      </c>
      <c r="K1655" t="inlineStr">
        <is>
          <t>11.99</t>
        </is>
      </c>
      <c r="L1655" t="n">
        <v>20.36</v>
      </c>
      <c r="M1655" s="1" t="inlineStr">
        <is>
          <t>69.81%</t>
        </is>
      </c>
      <c r="N1655" s="7" t="n">
        <v>6.53</v>
      </c>
      <c r="O1655" t="n">
        <v>4.8</v>
      </c>
      <c r="P1655" t="n">
        <v>9</v>
      </c>
      <c r="R1655" t="inlineStr">
        <is>
          <t>InStock</t>
        </is>
      </c>
      <c r="S1655" t="inlineStr">
        <is>
          <t>26.43</t>
        </is>
      </c>
      <c r="T1655" t="inlineStr">
        <is>
          <t>5896366424232</t>
        </is>
      </c>
    </row>
    <row r="1656" hidden="1" ht="15.75" customHeight="1">
      <c r="A1656" s="2">
        <f>HYPERLINK("https://edmondsonsupply.com/collections/hvac/products/icm-controls-umsr-50-universal-motor-starting-relay", "https://edmondsonsupply.com/collections/hvac/products/icm-controls-umsr-50-universal-motor-starting-relay")</f>
        <v/>
      </c>
      <c r="B1656" s="2">
        <f>HYPERLINK("https://edmondsonsupply.com/products/icm-controls-umsr-50-universal-motor-starting-relay", "https://edmondsonsupply.com/products/icm-controls-umsr-50-universal-motor-starting-relay")</f>
        <v/>
      </c>
      <c r="C1656" t="inlineStr">
        <is>
          <t>ICM Controls UMSR-50 Universal Motor Starting Relay</t>
        </is>
      </c>
      <c r="D1656" t="inlineStr">
        <is>
          <t>ICM Controls UMSR-50 Universal Motor Starting Relay, 50 Amp, Patented Differential Voltage Sensing, Voltage Rating 110V - 270V AC, Single Phase (Maximum Voltage Contact Rating 502V AC)</t>
        </is>
      </c>
      <c r="E1656" s="2">
        <f>HYPERLINK("https://www.amazon.com/ICM-Controls-UMSR-50-Universal-differential/dp/B002JE3L9M/ref=sr_1_1?keywords=ICM+Controls+UMSR-50+Universal+Motor+Starting+Relay&amp;qid=1694734598&amp;sr=8-1", "https://www.amazon.com/ICM-Controls-UMSR-50-Universal-differential/dp/B002JE3L9M/ref=sr_1_1?keywords=ICM+Controls+UMSR-50+Universal+Motor+Starting+Relay&amp;qid=1694734598&amp;sr=8-1")</f>
        <v/>
      </c>
      <c r="F1656" t="inlineStr">
        <is>
          <t>B002JE3L9M</t>
        </is>
      </c>
      <c r="G1656">
        <f>_xludf.IMAGE("https://edmondsonsupply.com/cdn/shop/files/UMSR50.png?v=1684277014")</f>
        <v/>
      </c>
      <c r="H1656">
        <f>_xludf.IMAGE("https://m.media-amazon.com/images/I/61Tg3J+1zSL._AC_UY218_.jpg")</f>
        <v/>
      </c>
      <c r="K1656" t="inlineStr">
        <is>
          <t>22.97</t>
        </is>
      </c>
      <c r="L1656" t="n">
        <v>39</v>
      </c>
      <c r="M1656" s="1" t="inlineStr">
        <is>
          <t>69.79%</t>
        </is>
      </c>
      <c r="N1656" s="1" t="n">
        <v>6.45</v>
      </c>
      <c r="O1656" t="n">
        <v>4</v>
      </c>
      <c r="P1656" t="n">
        <v>15</v>
      </c>
      <c r="R1656" t="inlineStr">
        <is>
          <t>InStock</t>
        </is>
      </c>
      <c r="S1656" t="inlineStr">
        <is>
          <t>23.83</t>
        </is>
      </c>
      <c r="T1656" t="inlineStr">
        <is>
          <t>7993211191512</t>
        </is>
      </c>
    </row>
    <row r="1657" ht="87" customHeight="1">
      <c r="A1657" s="2">
        <f>HYPERLINK("https://edmondsonsupply.com/collections/hvac/products/supco-magtract-retractable-magnetic-jumper", "https://edmondsonsupply.com/collections/hvac/products/supco-magtract-retractable-magnetic-jumper")</f>
        <v/>
      </c>
      <c r="B1657" s="2">
        <f>HYPERLINK("https://edmondsonsupply.com/products/supco-magtract-retractable-magnetic-jumper", "https://edmondsonsupply.com/products/supco-magtract-retractable-magnetic-jumper")</f>
        <v/>
      </c>
      <c r="C1657" t="inlineStr">
        <is>
          <t>Supco MAGTRACT Retractable Magnetic Jumper</t>
        </is>
      </c>
      <c r="D1657" t="inlineStr">
        <is>
          <t>Supplying Demand MAGTRACT 20 Inch Retractable Magnetic Jumper for Diagnostics 5A 30V Maximum</t>
        </is>
      </c>
      <c r="E1657" s="2">
        <f>HYPERLINK("https://www.amazon.com/Supplying-Demand-MAGTRACT-Retractable-Thermostats/dp/B094TGP7YZ/ref=sr_1_1?keywords=Supco+MAGTRACT+Retractable+Magnetic+Jumper&amp;qid=1694734592&amp;sr=8-1", "https://www.amazon.com/Supplying-Demand-MAGTRACT-Retractable-Thermostats/dp/B094TGP7YZ/ref=sr_1_1?keywords=Supco+MAGTRACT+Retractable+Magnetic+Jumper&amp;qid=1694734592&amp;sr=8-1")</f>
        <v/>
      </c>
      <c r="F1657" t="inlineStr">
        <is>
          <t>B094TGP7YZ</t>
        </is>
      </c>
      <c r="G1657">
        <f>_xlfn.IMAGE("https://edmondsonsupply.com/cdn/shop/products/magtract.jpg?v=1633030328")</f>
        <v/>
      </c>
      <c r="H1657">
        <f>_xlfn.IMAGE("https://m.media-amazon.com/images/I/41GNf4-XHuS._AC_UL320_.jpg")</f>
        <v/>
      </c>
      <c r="K1657" t="inlineStr">
        <is>
          <t>11.2</t>
        </is>
      </c>
      <c r="L1657" t="n">
        <v>18.99</v>
      </c>
      <c r="M1657" s="1" t="inlineStr">
        <is>
          <t>69.55%</t>
        </is>
      </c>
      <c r="N1657" s="7" t="n">
        <v>6.39</v>
      </c>
      <c r="O1657" t="n">
        <v>4.1</v>
      </c>
      <c r="P1657" t="n">
        <v>7</v>
      </c>
      <c r="R1657" t="inlineStr">
        <is>
          <t>InStock</t>
        </is>
      </c>
      <c r="S1657" t="inlineStr">
        <is>
          <t>undefined</t>
        </is>
      </c>
      <c r="T1657" t="inlineStr">
        <is>
          <t>5263024390312</t>
        </is>
      </c>
    </row>
    <row r="1658" ht="87" customHeight="1">
      <c r="A1658" s="2">
        <f>HYPERLINK("https://edmondsonsupply.com/collections/hvac/products/packard-c230a-contactor-2-pole-30-amps-24-coil-voltage", "https://edmondsonsupply.com/collections/hvac/products/packard-c230a-contactor-2-pole-30-amps-24-coil-voltage")</f>
        <v/>
      </c>
      <c r="B1658" s="2">
        <f>HYPERLINK("https://edmondsonsupply.com/products/packard-c230a-contactor-2-pole-30-amps-24-coil-voltage", "https://edmondsonsupply.com/products/packard-c230a-contactor-2-pole-30-amps-24-coil-voltage")</f>
        <v/>
      </c>
      <c r="C1658" t="inlineStr">
        <is>
          <t>Packard C230A Contactor 2 Pole 30 Amps 24 Coil Voltage</t>
        </is>
      </c>
      <c r="D1658" t="inlineStr">
        <is>
          <t>Packard - DP301202 C230B 2 Pole 30 Amp Contactor, 120 Voltage Coil</t>
        </is>
      </c>
      <c r="E1658" s="2">
        <f>HYPERLINK("https://www.amazon.com/Packard-C230B-Pole-Contactor-Voltage/dp/B001KGSJ74/ref=sr_1_8?keywords=Packard+C230A+Contactor+2+Pole+30+Amps+24+Coil+Voltage&amp;qid=1694734623&amp;sr=8-8", "https://www.amazon.com/Packard-C230B-Pole-Contactor-Voltage/dp/B001KGSJ74/ref=sr_1_8?keywords=Packard+C230A+Contactor+2+Pole+30+Amps+24+Coil+Voltage&amp;qid=1694734623&amp;sr=8-8")</f>
        <v/>
      </c>
      <c r="F1658" t="inlineStr">
        <is>
          <t>B001KGSJ74</t>
        </is>
      </c>
      <c r="G1658">
        <f>_xlfn.IMAGE("https://edmondsonsupply.com/cdn/shop/products/C230A-1.jpg?v=1633030392")</f>
        <v/>
      </c>
      <c r="H1658">
        <f>_xlfn.IMAGE("https://m.media-amazon.com/images/I/71JufxTm19L._AC_UY218_.jpg")</f>
        <v/>
      </c>
      <c r="K1658" t="inlineStr">
        <is>
          <t>10.82</t>
        </is>
      </c>
      <c r="L1658" t="n">
        <v>18.34</v>
      </c>
      <c r="M1658" s="1" t="inlineStr">
        <is>
          <t>69.50%</t>
        </is>
      </c>
      <c r="N1658" s="7" t="n">
        <v>6.34</v>
      </c>
      <c r="O1658" t="n">
        <v>4.6</v>
      </c>
      <c r="P1658" t="n">
        <v>1674</v>
      </c>
      <c r="R1658" t="inlineStr">
        <is>
          <t>InStock</t>
        </is>
      </c>
      <c r="S1658" t="inlineStr">
        <is>
          <t>undefined</t>
        </is>
      </c>
      <c r="T1658" t="inlineStr">
        <is>
          <t>5301685092520</t>
        </is>
      </c>
    </row>
    <row r="1659" ht="87" customHeight="1">
      <c r="A1659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659" s="2">
        <f>HYPERLINK("https://edmondsonsupply.com/products/packard-c230b-contactor-2-pole-30-amps-120-coil-voltage", "https://edmondsonsupply.com/products/packard-c230b-contactor-2-pole-30-amps-120-coil-voltage")</f>
        <v/>
      </c>
      <c r="C1659" t="inlineStr">
        <is>
          <t>Packard C230B Contactor 2 Pole 30 AMPS 120 Coil Voltage</t>
        </is>
      </c>
      <c r="D1659" t="inlineStr">
        <is>
          <t>Packard - DP301202 C230B 2 Pole 30 Amp Contactor, 120 Voltage Coil</t>
        </is>
      </c>
      <c r="E1659" s="2">
        <f>HYPERLINK("https://www.amazon.com/Packard-C230B-Pole-Contactor-Voltage/dp/B001KGSJ74/ref=sr_1_1?keywords=Packard+C230B+Contactor+2+Pole+30+AMPS+120+Coil+Voltage&amp;qid=1694734817&amp;sr=8-1", "https://www.amazon.com/Packard-C230B-Pole-Contactor-Voltage/dp/B001KGSJ74/ref=sr_1_1?keywords=Packard+C230B+Contactor+2+Pole+30+AMPS+120+Coil+Voltage&amp;qid=1694734817&amp;sr=8-1")</f>
        <v/>
      </c>
      <c r="F1659" t="inlineStr">
        <is>
          <t>B001KGSJ74</t>
        </is>
      </c>
      <c r="G1659">
        <f>_xlfn.IMAGE("https://edmondsonsupply.com/cdn/shop/products/C230B-1.jpg?v=1587142333")</f>
        <v/>
      </c>
      <c r="H1659">
        <f>_xlfn.IMAGE("https://m.media-amazon.com/images/I/71JufxTm19L._AC_UY218_.jpg")</f>
        <v/>
      </c>
      <c r="K1659" t="inlineStr">
        <is>
          <t>10.82</t>
        </is>
      </c>
      <c r="L1659" t="n">
        <v>18.34</v>
      </c>
      <c r="M1659" s="1" t="inlineStr">
        <is>
          <t>69.50%</t>
        </is>
      </c>
      <c r="N1659" s="7" t="n">
        <v>6.26</v>
      </c>
      <c r="O1659" t="n">
        <v>4.6</v>
      </c>
      <c r="P1659" t="n">
        <v>1674</v>
      </c>
      <c r="R1659" t="inlineStr">
        <is>
          <t>InStock</t>
        </is>
      </c>
      <c r="S1659" t="inlineStr">
        <is>
          <t>undefined</t>
        </is>
      </c>
      <c r="T1659" t="inlineStr">
        <is>
          <t>4367983673444</t>
        </is>
      </c>
    </row>
    <row r="1660" ht="87" customHeight="1">
      <c r="A1660" s="2">
        <f>HYPERLINK("https://edmondsonsupply.com/collections/hvac/products/rectorseal-97085-safe-t-switch-ss1", "https://edmondsonsupply.com/collections/hvac/products/rectorseal-97085-safe-t-switch-ss1")</f>
        <v/>
      </c>
      <c r="B1660" s="2">
        <f>HYPERLINK("https://edmondsonsupply.com/products/rectorseal-97085-safe-t-switch-ss1", "https://edmondsonsupply.com/products/rectorseal-97085-safe-t-switch-ss1")</f>
        <v/>
      </c>
      <c r="C1660" t="inlineStr">
        <is>
          <t>RectorSeal 97085 Safe-T-Switch SS1</t>
        </is>
      </c>
      <c r="D1660" t="inlineStr">
        <is>
          <t>Rectorseal 97085 Ss1 3rd Generation Safe-T-Switch</t>
        </is>
      </c>
      <c r="E1660" s="2">
        <f>HYPERLINK("https://www.amazon.com/Rectorseal-97085-Ss1-Generation-Safe-T-Switch/dp/B09QQR288Z/ref=sr_1_1?keywords=RectorSeal+97085+Safe-T-Switch+SS1&amp;qid=1694734864&amp;sr=8-1", "https://www.amazon.com/Rectorseal-97085-Ss1-Generation-Safe-T-Switch/dp/B09QQR288Z/ref=sr_1_1?keywords=RectorSeal+97085+Safe-T-Switch+SS1&amp;qid=1694734864&amp;sr=8-1")</f>
        <v/>
      </c>
      <c r="F1660" t="inlineStr">
        <is>
          <t>B09QQR288Z</t>
        </is>
      </c>
      <c r="G1660">
        <f>_xlfn.IMAGE("https://edmondsonsupply.com/cdn/shop/files/97085-ss1-ratchet-safe-t-switch-img.webp?v=1690985732")</f>
        <v/>
      </c>
      <c r="H1660">
        <f>_xlfn.IMAGE("https://m.media-amazon.com/images/I/417pn6XuhaL._AC_UY218_.jpg")</f>
        <v/>
      </c>
      <c r="I1660" t="n">
        <v>5</v>
      </c>
      <c r="J1660" t="inlineStr">
        <is>
          <t>sales is decent / roi can work out I guess</t>
        </is>
      </c>
      <c r="K1660" t="inlineStr">
        <is>
          <t>26.53</t>
        </is>
      </c>
      <c r="L1660" t="n">
        <v>44.95</v>
      </c>
      <c r="M1660" s="1" t="inlineStr">
        <is>
          <t>69.43%</t>
        </is>
      </c>
      <c r="N1660" s="7" t="n">
        <v>6.19</v>
      </c>
      <c r="O1660" t="n">
        <v>4.7</v>
      </c>
      <c r="P1660" t="n">
        <v>7</v>
      </c>
      <c r="R1660" t="inlineStr">
        <is>
          <t>InStock</t>
        </is>
      </c>
      <c r="S1660" t="inlineStr">
        <is>
          <t>35.61</t>
        </is>
      </c>
      <c r="T1660" t="inlineStr">
        <is>
          <t>8023703552216</t>
        </is>
      </c>
    </row>
    <row r="1661" ht="87" customHeight="1">
      <c r="A1661" s="2">
        <f>HYPERLINK("https://edmondsonsupply.com/collections/hvac/products/kroil-ks102-original-penetrant-aerosol-10oz-can", "https://edmondsonsupply.com/collections/hvac/products/kroil-ks102-original-penetrant-aerosol-10oz-can")</f>
        <v/>
      </c>
      <c r="B1661" s="2">
        <f>HYPERLINK("https://edmondsonsupply.com/products/kroil-ks102-original-penetrant-aerosol-10oz-can", "https://edmondsonsupply.com/products/kroil-ks102-original-penetrant-aerosol-10oz-can")</f>
        <v/>
      </c>
      <c r="C1661" t="inlineStr">
        <is>
          <t>Kroil KS102 Original Penetrant Aerosol 10oz can</t>
        </is>
      </c>
      <c r="D1661" t="inlineStr">
        <is>
          <t>Kroil Original Penetrating Oil (Aerosol Spray-16.5oz Can-Single) | Penetrant for Rusted Bolts, Metal, Hinges, Chains, Moving Parts | Rust, Corrosion Inhibitor (KS162)</t>
        </is>
      </c>
      <c r="E1661" s="2">
        <f>HYPERLINK("https://www.amazon.com/Penetrating-Spray-16-5oz-Can-Single-Penetrant-Corrosion/dp/B005ESIHZI/ref=sr_1_2?keywords=Kroil+KS102+Original+Penetrant+Aerosol+10oz+can&amp;qid=1694734906&amp;sr=8-2", "https://www.amazon.com/Penetrating-Spray-16-5oz-Can-Single-Penetrant-Corrosion/dp/B005ESIHZI/ref=sr_1_2?keywords=Kroil+KS102+Original+Penetrant+Aerosol+10oz+can&amp;qid=1694734906&amp;sr=8-2")</f>
        <v/>
      </c>
      <c r="F1661" t="inlineStr">
        <is>
          <t>B005ESIHZI</t>
        </is>
      </c>
      <c r="G1661">
        <f>_xlfn.IMAGE("https://edmondsonsupply.com/cdn/shop/files/KS102.webp?v=1686779653")</f>
        <v/>
      </c>
      <c r="H1661">
        <f>_xlfn.IMAGE("https://m.media-amazon.com/images/I/51mtHxiqoDL._AC_UY218_.jpg")</f>
        <v/>
      </c>
      <c r="K1661" t="inlineStr">
        <is>
          <t>19.98</t>
        </is>
      </c>
      <c r="L1661" t="n">
        <v>33.78</v>
      </c>
      <c r="M1661" s="1" t="inlineStr">
        <is>
          <t>69.07%</t>
        </is>
      </c>
      <c r="N1661" s="7" t="n">
        <v>6.08</v>
      </c>
      <c r="O1661" t="n">
        <v>4.8</v>
      </c>
      <c r="P1661" t="n">
        <v>2787</v>
      </c>
      <c r="R1661" t="inlineStr">
        <is>
          <t>InStock</t>
        </is>
      </c>
      <c r="S1661" t="inlineStr">
        <is>
          <t>22.9</t>
        </is>
      </c>
      <c r="T1661" t="inlineStr">
        <is>
          <t>8005750391000</t>
        </is>
      </c>
    </row>
    <row r="1662" ht="87" customHeight="1">
      <c r="A1662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1662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1662" t="inlineStr">
        <is>
          <t>Diablo Tools DMAMXCC5010 2 in. x 7 in. SDS-Max Carbide Tipped Core Bit</t>
        </is>
      </c>
      <c r="D1662" t="inlineStr">
        <is>
          <t>Diablo by Freud DMAMX1370 1-1/2 in. x 24 in. x 29 in. Rebar Demon SDS-Max 4-Cutter Carbide-Tipped Hammer Bit</t>
        </is>
      </c>
      <c r="E1662" s="2">
        <f>HYPERLINK("https://www.amazon.com/Diablo-SDS-Max-4-Cutter-Carbide-Tipped-Hammer/dp/B089LN938F/ref=sr_1_36?keywords=Diablo+Tools+DMAMXCC5010+2+in.+x+7+in.+SDS-Max+Carbide+Tipped+Core+Bit&amp;qid=1694734911&amp;sr=8-36", "https://www.amazon.com/Diablo-SDS-Max-4-Cutter-Carbide-Tipped-Hammer/dp/B089LN938F/ref=sr_1_36?keywords=Diablo+Tools+DMAMXCC5010+2+in.+x+7+in.+SDS-Max+Carbide+Tipped+Core+Bit&amp;qid=1694734911&amp;sr=8-36")</f>
        <v/>
      </c>
      <c r="F1662" t="inlineStr">
        <is>
          <t>B089LN938F</t>
        </is>
      </c>
      <c r="G1662">
        <f>_xlfn.IMAGE("https://edmondsonsupply.com/cdn/shop/files/kbs61qpkymnshwvx13k1.webp?v=1686583113")</f>
        <v/>
      </c>
      <c r="H1662">
        <f>_xlfn.IMAGE("https://m.media-amazon.com/images/I/61V0w9ayfFL._AC_UL320_.jpg")</f>
        <v/>
      </c>
      <c r="K1662" t="inlineStr">
        <is>
          <t>101.49</t>
        </is>
      </c>
      <c r="L1662" t="n">
        <v>171.57</v>
      </c>
      <c r="M1662" s="1" t="inlineStr">
        <is>
          <t>69.05%</t>
        </is>
      </c>
      <c r="N1662" s="7" t="n">
        <v>5.97</v>
      </c>
      <c r="O1662" t="n">
        <v>5</v>
      </c>
      <c r="P1662" t="n">
        <v>2</v>
      </c>
      <c r="R1662" t="inlineStr">
        <is>
          <t>InStock</t>
        </is>
      </c>
      <c r="S1662" t="inlineStr">
        <is>
          <t>161.02</t>
        </is>
      </c>
      <c r="T1662" t="inlineStr">
        <is>
          <t>8004502585560</t>
        </is>
      </c>
    </row>
    <row r="1663" hidden="1" ht="15.75" customHeight="1">
      <c r="A1663" s="2">
        <f>HYPERLINK("https://edmondsonsupply.com/collections/hvac/products/fluke-373-true-rms-ac-clamp-meter", "https://edmondsonsupply.com/collections/hvac/products/fluke-373-true-rms-ac-clamp-meter")</f>
        <v/>
      </c>
      <c r="B1663" s="2">
        <f>HYPERLINK("https://edmondsonsupply.com/products/fluke-373-true-rms-ac-clamp-meter", "https://edmondsonsupply.com/products/fluke-373-true-rms-ac-clamp-meter")</f>
        <v/>
      </c>
      <c r="C1663" t="inlineStr">
        <is>
          <t>Fluke 373 True-RMS AC Clamp Meter</t>
        </is>
      </c>
      <c r="D1663" t="inlineStr">
        <is>
          <t>Fluke - 374-FC-AMZNCAL 374-FC-AMZN True-RMS AC/DC Clamp Meter, 600A/600V with a NIST-Traceable Calibration Certificate with Data</t>
        </is>
      </c>
      <c r="E1663" s="2">
        <f>HYPERLINK("https://www.amazon.com/Fluke-374-FC-AMZN-NIST-Traceable-Calibration-Certificate/dp/B01CFXIMCC/ref=sr_1_9?keywords=Fluke+373+True-RMS+AC+Clamp+Meter&amp;qid=1694734920&amp;sr=8-9", "https://www.amazon.com/Fluke-374-FC-AMZN-NIST-Traceable-Calibration-Certificate/dp/B01CFXIMCC/ref=sr_1_9?keywords=Fluke+373+True-RMS+AC+Clamp+Meter&amp;qid=1694734920&amp;sr=8-9")</f>
        <v/>
      </c>
      <c r="F1663" t="inlineStr">
        <is>
          <t>B01CFXIMCC</t>
        </is>
      </c>
      <c r="G1663">
        <f>_xludf.IMAGE("https://edmondsonsupply.com/cdn/shop/files/f-373-01d-1500x1000.webp?v=1689369435")</f>
        <v/>
      </c>
      <c r="H1663">
        <f>_xludf.IMAGE("https://m.media-amazon.com/images/I/61cUiZ0qhwL._AC_UY218_.jpg")</f>
        <v/>
      </c>
      <c r="K1663" t="inlineStr">
        <is>
          <t>290.05</t>
        </is>
      </c>
      <c r="L1663" t="n">
        <v>490</v>
      </c>
      <c r="M1663" s="1" t="inlineStr">
        <is>
          <t>68.94%</t>
        </is>
      </c>
      <c r="N1663" s="1" t="n">
        <v>5.82</v>
      </c>
      <c r="O1663" t="n">
        <v>3.8</v>
      </c>
      <c r="P1663" t="n">
        <v>12</v>
      </c>
      <c r="R1663" t="inlineStr">
        <is>
          <t>InStock</t>
        </is>
      </c>
      <c r="S1663" t="inlineStr">
        <is>
          <t>undefined</t>
        </is>
      </c>
      <c r="T1663" t="inlineStr">
        <is>
          <t>8016406773976</t>
        </is>
      </c>
    </row>
    <row r="1664" ht="87" customHeight="1">
      <c r="A1664" s="2">
        <f>HYPERLINK("https://edmondsonsupply.com/collections/hvac/products/jb-industries-dv-200n-platinum-7-cfm-vacuum-pump", "https://edmondsonsupply.com/collections/hvac/products/jb-industries-dv-200n-platinum-7-cfm-vacuum-pump")</f>
        <v/>
      </c>
      <c r="B1664" s="2">
        <f>HYPERLINK("https://edmondsonsupply.com/products/jb-industries-dv-200n-platinum-7-cfm-vacuum-pump", "https://edmondsonsupply.com/products/jb-industries-dv-200n-platinum-7-cfm-vacuum-pump")</f>
        <v/>
      </c>
      <c r="C1664" t="inlineStr">
        <is>
          <t>JB Industries DV-200N Platinum 7 CFM Vacuum Pump</t>
        </is>
      </c>
      <c r="D1664" t="inlineStr">
        <is>
          <t>JB Industries DV-285N Platinum 10 CFM Vacuum Pump</t>
        </is>
      </c>
      <c r="E1664" s="2">
        <f>HYPERLINK("https://www.amazon.com/JB-Industries-DV-285N-Platinum-Vacuum/dp/B003M5JFFG/ref=sr_1_3?keywords=JB+Industries+DV-200N+Platinum+7+CFM+Vacuum+Pump&amp;qid=1694734737&amp;sr=8-3", "https://www.amazon.com/JB-Industries-DV-285N-Platinum-Vacuum/dp/B003M5JFFG/ref=sr_1_3?keywords=JB+Industries+DV-200N+Platinum+7+CFM+Vacuum+Pump&amp;qid=1694734737&amp;sr=8-3")</f>
        <v/>
      </c>
      <c r="F1664" t="inlineStr">
        <is>
          <t>B003M5JFFG</t>
        </is>
      </c>
      <c r="G1664">
        <f>_xlfn.IMAGE("https://edmondsonsupply.com/cdn/shop/products/dv-200n.jpg?v=1587145620")</f>
        <v/>
      </c>
      <c r="H1664">
        <f>_xlfn.IMAGE("https://m.media-amazon.com/images/I/61j+Wpn6cxL._AC_UL320_.jpg")</f>
        <v/>
      </c>
      <c r="K1664" t="inlineStr">
        <is>
          <t>611.21</t>
        </is>
      </c>
      <c r="L1664" t="n">
        <v>1032.02</v>
      </c>
      <c r="M1664" s="1" t="inlineStr">
        <is>
          <t>68.85%</t>
        </is>
      </c>
      <c r="N1664" s="7" t="n">
        <v>5.71</v>
      </c>
      <c r="O1664" t="n">
        <v>4.9</v>
      </c>
      <c r="P1664" t="n">
        <v>18</v>
      </c>
      <c r="R1664" t="inlineStr">
        <is>
          <t>InStock</t>
        </is>
      </c>
      <c r="S1664" t="inlineStr">
        <is>
          <t>886.79</t>
        </is>
      </c>
      <c r="T1664" t="inlineStr">
        <is>
          <t>3699353059428</t>
        </is>
      </c>
    </row>
    <row r="1665" ht="87" customHeight="1">
      <c r="A1665" s="2">
        <f>HYPERLINK("https://edmondsonsupply.com/collections/hvac/products/packard-c140b-contactor-1-pole-40-amps-120-coil-voltage", "https://edmondsonsupply.com/collections/hvac/products/packard-c140b-contactor-1-pole-40-amps-120-coil-voltage")</f>
        <v/>
      </c>
      <c r="B1665" s="2">
        <f>HYPERLINK("https://edmondsonsupply.com/products/packard-c140b-contactor-1-pole-40-amps-120-coil-voltage", "https://edmondsonsupply.com/products/packard-c140b-contactor-1-pole-40-amps-120-coil-voltage")</f>
        <v/>
      </c>
      <c r="C1665" t="inlineStr">
        <is>
          <t>Packard C140B Contactor 1 Pole 40 Amps 120 Coil Voltage</t>
        </is>
      </c>
      <c r="D1665" t="inlineStr">
        <is>
          <t>Packard C240B Packard Contactor 2 Pole 40 Amps 120 Coil Voltage</t>
        </is>
      </c>
      <c r="E1665" s="2">
        <f>HYPERLINK("https://www.amazon.com/Packard-C240B-Contactor-Pole-Voltage/dp/B004Z0RLL2/ref=sr_1_1?keywords=Packard+C140B+Contactor+1+Pole+40+Amps+120+Coil+Voltage&amp;qid=1694734666&amp;sr=8-1", "https://www.amazon.com/Packard-C240B-Contactor-Pole-Voltage/dp/B004Z0RLL2/ref=sr_1_1?keywords=Packard+C140B+Contactor+1+Pole+40+Amps+120+Coil+Voltage&amp;qid=1694734666&amp;sr=8-1")</f>
        <v/>
      </c>
      <c r="F1665" t="inlineStr">
        <is>
          <t>B004Z0RLL2</t>
        </is>
      </c>
      <c r="G1665">
        <f>_xlfn.IMAGE("https://edmondsonsupply.com/cdn/shop/products/C140B-1.jpg?v=1633030391")</f>
        <v/>
      </c>
      <c r="H1665">
        <f>_xlfn.IMAGE("https://m.media-amazon.com/images/I/81OXIO+-K1L._AC_UY218_.jpg")</f>
        <v/>
      </c>
      <c r="K1665" t="inlineStr">
        <is>
          <t>9.82</t>
        </is>
      </c>
      <c r="L1665" t="n">
        <v>16.58</v>
      </c>
      <c r="M1665" s="1" t="inlineStr">
        <is>
          <t>68.84%</t>
        </is>
      </c>
      <c r="N1665" s="7" t="n">
        <v>5.28</v>
      </c>
      <c r="O1665" t="n">
        <v>4.6</v>
      </c>
      <c r="P1665" t="n">
        <v>299</v>
      </c>
      <c r="R1665" t="inlineStr">
        <is>
          <t>InStock</t>
        </is>
      </c>
      <c r="S1665" t="inlineStr">
        <is>
          <t>undefined</t>
        </is>
      </c>
      <c r="T1665" t="inlineStr">
        <is>
          <t>5301666218152</t>
        </is>
      </c>
    </row>
    <row r="1666" hidden="1" ht="15.75" customHeight="1">
      <c r="A1666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666" s="2">
        <f>HYPERLINK("https://edmondsonsupply.com/products/klein-tools-646-5-16-5-16-inch-nut-driver-6-inch-hollow-shaft", "https://edmondsonsupply.com/products/klein-tools-646-5-16-5-16-inch-nut-driver-6-inch-hollow-shaft")</f>
        <v/>
      </c>
      <c r="C1666" t="inlineStr">
        <is>
          <t>Klein Tools 646-5/16 5/16-Inch Nut Driver, 6-Inch Hollow Shaft</t>
        </is>
      </c>
      <c r="D1666" t="inlineStr">
        <is>
          <t>Klein Tools 646-5/8 5/8-Inch Hollow Shaft Nut Driver 6-Inch Shaft</t>
        </is>
      </c>
      <c r="E1666" s="2">
        <f>HYPERLINK("https://www.amazon.com/Klein-Tools-646-5-Cushion-Grip-Hollow-Shank/dp/B000QJHJSG/ref=sr_1_10?keywords=Klein+Tools+646-5%2F16+5%2F16-Inch+Nut+Driver%2C+6-Inch+Hollow+Shaft&amp;qid=1694734728&amp;sr=8-10", "https://www.amazon.com/Klein-Tools-646-5-Cushion-Grip-Hollow-Shank/dp/B000QJHJSG/ref=sr_1_10?keywords=Klein+Tools+646-5%2F16+5%2F16-Inch+Nut+Driver%2C+6-Inch+Hollow+Shaft&amp;qid=1694734728&amp;sr=8-10")</f>
        <v/>
      </c>
      <c r="F1666" t="inlineStr">
        <is>
          <t>B000QJHJSG</t>
        </is>
      </c>
      <c r="G1666">
        <f>_xludf.IMAGE("https://edmondsonsupply.com/cdn/shop/products/646-1-2_e1540905-f750-4509-90c5-74ff653e4d83.jpg?v=1587145119")</f>
        <v/>
      </c>
      <c r="H1666">
        <f>_xludf.IMAGE("https://m.media-amazon.com/images/I/41esdWE3JCL._AC_UL320_.jpg")</f>
        <v/>
      </c>
      <c r="K1666" t="inlineStr">
        <is>
          <t>7.99</t>
        </is>
      </c>
      <c r="L1666" t="n">
        <v>13.49</v>
      </c>
      <c r="M1666" s="1" t="inlineStr">
        <is>
          <t>68.84%</t>
        </is>
      </c>
      <c r="N1666" s="1" t="n">
        <v>5.26</v>
      </c>
      <c r="O1666" t="n">
        <v>4.9</v>
      </c>
      <c r="P1666" t="n">
        <v>45</v>
      </c>
      <c r="R1666" t="inlineStr">
        <is>
          <t>InStock</t>
        </is>
      </c>
      <c r="S1666" t="inlineStr">
        <is>
          <t>12.1</t>
        </is>
      </c>
      <c r="T1666" t="inlineStr">
        <is>
          <t>4395303272548</t>
        </is>
      </c>
    </row>
    <row r="1667" ht="87" customHeight="1">
      <c r="A1667" s="2">
        <f>HYPERLINK("https://edmondsonsupply.com/collections/hvac/products/testo-0564-2552-01-552i-app-controlled-wireless-vacuum-probe", "https://edmondsonsupply.com/collections/hvac/products/testo-0564-2552-01-552i-app-controlled-wireless-vacuum-probe")</f>
        <v/>
      </c>
      <c r="B1667" s="2">
        <f>HYPERLINK("https://edmondsonsupply.com/products/testo-0564-2552-01-552i-app-controlled-wireless-vacuum-probe", "https://edmondsonsupply.com/products/testo-0564-2552-01-552i-app-controlled-wireless-vacuum-probe")</f>
        <v/>
      </c>
      <c r="C1667" t="inlineStr">
        <is>
          <t>Testo 0564 2552 01 552i App-Controlled Wireless Vacuum Probe</t>
        </is>
      </c>
      <c r="D1667" t="inlineStr">
        <is>
          <t>Testo 605i | Thermohygrometer for Indoor Temperature and Humidity Measurement | with Bluetooth Support &amp; 552i App-Controlled Wireless Vacuum Probe I for HVAC Systems – with Bluetooth</t>
        </is>
      </c>
      <c r="E1667" s="2">
        <f>HYPERLINK("https://www.amazon.com/Testo-Thermohygrometer-Temperature-Measurement-App-Controlled/dp/B0C3MY4GXJ/ref=sr_1_4?keywords=Testo+0564+2552+01+552i+App-Controlled+Wireless+Vacuum+Probe&amp;qid=1694734776&amp;sr=8-4", "https://www.amazon.com/Testo-Thermohygrometer-Temperature-Measurement-App-Controlled/dp/B0C3MY4GXJ/ref=sr_1_4?keywords=Testo+0564+2552+01+552i+App-Controlled+Wireless+Vacuum+Probe&amp;qid=1694734776&amp;sr=8-4")</f>
        <v/>
      </c>
      <c r="F1667" t="inlineStr">
        <is>
          <t>B0C3MY4GXJ</t>
        </is>
      </c>
      <c r="G1667">
        <f>_xlfn.IMAGE("https://edmondsonsupply.com/cdn/shop/products/testo-552i-front_master.jpg?v=1633031193")</f>
        <v/>
      </c>
      <c r="H1667">
        <f>_xlfn.IMAGE("https://m.media-amazon.com/images/I/41+zkws2n9L._AC_UY218_.jpg")</f>
        <v/>
      </c>
      <c r="K1667" t="inlineStr">
        <is>
          <t>177.65</t>
        </is>
      </c>
      <c r="L1667" t="n">
        <v>299.44</v>
      </c>
      <c r="M1667" s="1" t="inlineStr">
        <is>
          <t>68.56%</t>
        </is>
      </c>
      <c r="N1667" s="7" t="n">
        <v>5.26</v>
      </c>
      <c r="O1667" t="n">
        <v>4.8</v>
      </c>
      <c r="P1667" t="n">
        <v>269</v>
      </c>
      <c r="R1667" t="inlineStr">
        <is>
          <t>InStock</t>
        </is>
      </c>
      <c r="S1667" t="inlineStr">
        <is>
          <t>209.0</t>
        </is>
      </c>
      <c r="T1667" t="inlineStr">
        <is>
          <t>6939345223853</t>
        </is>
      </c>
    </row>
    <row r="1668" ht="87" customHeight="1">
      <c r="A1668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1668" s="2">
        <f>HYPERLINK("https://edmondsonsupply.com/products/packard-c240a-contactor-2-pole-40-amps-24-coil-voltage", "https://edmondsonsupply.com/products/packard-c240a-contactor-2-pole-40-amps-24-coil-voltage")</f>
        <v/>
      </c>
      <c r="C1668" t="inlineStr">
        <is>
          <t>Packard C240A Contactor 2 Pole 40 AMPS 24 Coil Voltage</t>
        </is>
      </c>
      <c r="D1668" t="inlineStr">
        <is>
          <t>York • 40 Amp 2 Pole 24v Coil Fasco Replacement Contactor C240A</t>
        </is>
      </c>
      <c r="E1668" s="2">
        <f>HYPERLINK("https://www.amazon.com/York-Fasco-Replacement-Contactor-C240A/dp/B00S8K235O/ref=sr_1_4?keywords=Packard+C240A+Contactor+2+Pole+40+AMPS+24+Coil+Voltage&amp;qid=1694734591&amp;sr=8-4", "https://www.amazon.com/York-Fasco-Replacement-Contactor-C240A/dp/B00S8K235O/ref=sr_1_4?keywords=Packard+C240A+Contactor+2+Pole+40+AMPS+24+Coil+Voltage&amp;qid=1694734591&amp;sr=8-4")</f>
        <v/>
      </c>
      <c r="F1668" t="inlineStr">
        <is>
          <t>B00S8K235O</t>
        </is>
      </c>
      <c r="G1668">
        <f>_xlfn.IMAGE("https://edmondsonsupply.com/cdn/shop/products/C240A-1.jpg?v=1590239996")</f>
        <v/>
      </c>
      <c r="H1668">
        <f>_xlfn.IMAGE("https://m.media-amazon.com/images/I/419GkgJ35UL._AC_UY218_.jpg")</f>
        <v/>
      </c>
      <c r="K1668" t="inlineStr">
        <is>
          <t>13.96</t>
        </is>
      </c>
      <c r="L1668" t="n">
        <v>23.47</v>
      </c>
      <c r="M1668" s="1" t="inlineStr">
        <is>
          <t>68.12%</t>
        </is>
      </c>
      <c r="N1668" s="7" t="n">
        <v>5.16</v>
      </c>
      <c r="O1668" t="n">
        <v>5</v>
      </c>
      <c r="P1668" t="n">
        <v>2</v>
      </c>
      <c r="R1668" t="inlineStr">
        <is>
          <t>InStock</t>
        </is>
      </c>
      <c r="S1668" t="inlineStr">
        <is>
          <t>undefined</t>
        </is>
      </c>
      <c r="T1668" t="inlineStr">
        <is>
          <t>4316288680036</t>
        </is>
      </c>
    </row>
    <row r="1669" ht="87" customHeight="1">
      <c r="A1669" s="2">
        <f>HYPERLINK("https://edmondsonsupply.com/collections/hvac/products/milwaukee-2111-21-475-lumen-usb-rechargeable-hard-hat-headlamp", "https://edmondsonsupply.com/collections/hvac/products/milwaukee-2111-21-475-lumen-usb-rechargeable-hard-hat-headlamp")</f>
        <v/>
      </c>
      <c r="B1669" s="2">
        <f>HYPERLINK("https://edmondsonsupply.com/products/milwaukee-2111-21-475-lumen-usb-rechargeable-hard-hat-headlamp", "https://edmondsonsupply.com/products/milwaukee-2111-21-475-lumen-usb-rechargeable-hard-hat-headlamp")</f>
        <v/>
      </c>
      <c r="C1669" t="inlineStr">
        <is>
          <t>Milwaukee 2111-21 475-Lumen USB Rechargeable Hard Hat Headlamp</t>
        </is>
      </c>
      <c r="D1669" t="inlineStr">
        <is>
          <t>Milwaukee 2111-21 475 Lumens USB Rechargeable TRUEVIEW HD Headlamp New</t>
        </is>
      </c>
      <c r="E1669" s="2">
        <f>HYPERLINK("https://www.amazon.com/Milwaukee-2111-21-Rechargeable-TRUEVIEW-Headlamp/dp/B07XZFN514/ref=sr_1_1?keywords=Milwaukee+2111-21+475-Lumen+USB+Rechargeable+Hard+Hat+Headlamp&amp;qid=1694734818&amp;sr=8-1", "https://www.amazon.com/Milwaukee-2111-21-Rechargeable-TRUEVIEW-Headlamp/dp/B07XZFN514/ref=sr_1_1?keywords=Milwaukee+2111-21+475-Lumen+USB+Rechargeable+Hard+Hat+Headlamp&amp;qid=1694734818&amp;sr=8-1")</f>
        <v/>
      </c>
      <c r="F1669" t="inlineStr">
        <is>
          <t>B07XZFN514</t>
        </is>
      </c>
      <c r="G1669">
        <f>_xlfn.IMAGE("https://edmondsonsupply.com/cdn/shop/products/2111-21_3_Overlay_1.png?v=1587142535")</f>
        <v/>
      </c>
      <c r="H1669">
        <f>_xlfn.IMAGE("https://m.media-amazon.com/images/I/71r+OMacODL._AC_UL320_.jpg")</f>
        <v/>
      </c>
      <c r="K1669" t="inlineStr">
        <is>
          <t>69.97</t>
        </is>
      </c>
      <c r="L1669" t="n">
        <v>117.55</v>
      </c>
      <c r="M1669" s="1" t="inlineStr">
        <is>
          <t>68.00%</t>
        </is>
      </c>
      <c r="N1669" s="7" t="n">
        <v>5.06</v>
      </c>
      <c r="O1669" t="n">
        <v>4.7</v>
      </c>
      <c r="P1669" t="n">
        <v>262</v>
      </c>
      <c r="R1669" t="inlineStr">
        <is>
          <t>OutOfStock</t>
        </is>
      </c>
      <c r="S1669" t="inlineStr">
        <is>
          <t>106.0</t>
        </is>
      </c>
      <c r="T1669" t="inlineStr">
        <is>
          <t>4334127775844</t>
        </is>
      </c>
    </row>
    <row r="1670" ht="87" customHeight="1">
      <c r="A1670" s="2">
        <f>HYPERLINK("https://edmondsonsupply.com/collections/hvac/products/klein-tools-d502-6-pump-pliers-6-inch", "https://edmondsonsupply.com/collections/hvac/products/klein-tools-d502-6-pump-pliers-6-inch")</f>
        <v/>
      </c>
      <c r="B1670" s="2">
        <f>HYPERLINK("https://edmondsonsupply.com/products/klein-tools-d502-6-pump-pliers-6-inch", "https://edmondsonsupply.com/products/klein-tools-d502-6-pump-pliers-6-inch")</f>
        <v/>
      </c>
      <c r="C1670" t="inlineStr">
        <is>
          <t>Klein Tools D502-6 Pump Pliers, 6-Inch</t>
        </is>
      </c>
      <c r="D1670" t="inlineStr">
        <is>
          <t>Klein Tools D502-12 Pump Pliers, Dipped 12-Inch Tongue and Groove, Yellow</t>
        </is>
      </c>
      <c r="E1670" s="2">
        <f>HYPERLINK("https://www.amazon.com/Pliers-12-Inch-Klein-Tools-D502-12/dp/B000ODU0N0/ref=sr_1_fkmr0_1?keywords=Klein+Tools+D502-6+Pump+Pliers%2C+6-Inch&amp;qid=1694734768&amp;sr=8-1-fkmr0", "https://www.amazon.com/Pliers-12-Inch-Klein-Tools-D502-12/dp/B000ODU0N0/ref=sr_1_fkmr0_1?keywords=Klein+Tools+D502-6+Pump+Pliers%2C+6-Inch&amp;qid=1694734768&amp;sr=8-1-fkmr0")</f>
        <v/>
      </c>
      <c r="F1670" t="inlineStr">
        <is>
          <t>B000ODU0N0</t>
        </is>
      </c>
      <c r="G1670">
        <f>_xlfn.IMAGE("https://edmondsonsupply.com/cdn/shop/products/d5026.jpg?v=1587150839")</f>
        <v/>
      </c>
      <c r="H1670">
        <f>_xlfn.IMAGE("https://m.media-amazon.com/images/I/41h2qUlpjEL._AC_UL320_.jpg")</f>
        <v/>
      </c>
      <c r="K1670" t="inlineStr">
        <is>
          <t>20.99</t>
        </is>
      </c>
      <c r="L1670" t="n">
        <v>35.23</v>
      </c>
      <c r="M1670" s="1" t="inlineStr">
        <is>
          <t>67.84%</t>
        </is>
      </c>
      <c r="N1670" s="7" t="n">
        <v>5.06</v>
      </c>
      <c r="O1670" t="n">
        <v>4.8</v>
      </c>
      <c r="P1670" t="n">
        <v>59</v>
      </c>
      <c r="R1670" t="inlineStr">
        <is>
          <t>InStock</t>
        </is>
      </c>
      <c r="S1670" t="inlineStr">
        <is>
          <t>31.78</t>
        </is>
      </c>
      <c r="T1670" t="inlineStr">
        <is>
          <t>4391424458852</t>
        </is>
      </c>
    </row>
    <row r="1671" hidden="1" ht="15.75" customHeight="1">
      <c r="A1671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1671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1671" t="inlineStr">
        <is>
          <t>Klein Tools NCVT1XTKIT Non-Contact Voltage and GFCI Receptacle Premium Test Kit</t>
        </is>
      </c>
      <c r="D1671" t="inlineStr">
        <is>
          <t>Klein Tools NCVT1P Voltage Tester, Non-Contact Voltage Detector Pen &amp; RT250 GFCI Receptacle Tester with LCD Display, for Standard 3-Wire 120V Electrical Outlets</t>
        </is>
      </c>
      <c r="E1671" s="2">
        <f>HYPERLINK("https://www.amazon.com/Klein-Tools-Non-Contact-Receptacle-Electrical/dp/B09Y7XWBF8/ref=sr_1_11?keywords=Klein+Tools+NCVT1XTKIT+Non-Contact+Voltage+and+GFCI+Receptacle+Premium+Test+Kit&amp;qid=1694734686&amp;sr=8-11", "https://www.amazon.com/Klein-Tools-Non-Contact-Receptacle-Electrical/dp/B09Y7XWBF8/ref=sr_1_11?keywords=Klein+Tools+NCVT1XTKIT+Non-Contact+Voltage+and+GFCI+Receptacle+Premium+Test+Kit&amp;qid=1694734686&amp;sr=8-11")</f>
        <v/>
      </c>
      <c r="F1671" t="inlineStr">
        <is>
          <t>B09Y7XWBF8</t>
        </is>
      </c>
      <c r="G1671">
        <f>_xludf.IMAGE("https://edmondsonsupply.com/cdn/shop/products/ncvt1xtkit.jpg?v=1674497102")</f>
        <v/>
      </c>
      <c r="H1671">
        <f>_xludf.IMAGE("https://m.media-amazon.com/images/I/51LNefsL0aL._AC_UL320_.jpg")</f>
        <v/>
      </c>
      <c r="K1671" t="inlineStr">
        <is>
          <t>24.99</t>
        </is>
      </c>
      <c r="L1671" t="n">
        <v>41.94</v>
      </c>
      <c r="M1671" s="1" t="inlineStr">
        <is>
          <t>67.83%</t>
        </is>
      </c>
      <c r="N1671" s="1" t="n">
        <v>5.04</v>
      </c>
      <c r="O1671" t="n">
        <v>3.9</v>
      </c>
      <c r="P1671" t="n">
        <v>8</v>
      </c>
      <c r="R1671" t="inlineStr">
        <is>
          <t>InStock</t>
        </is>
      </c>
      <c r="S1671" t="inlineStr">
        <is>
          <t>32.98</t>
        </is>
      </c>
      <c r="T1671" t="inlineStr">
        <is>
          <t>7931949187288</t>
        </is>
      </c>
    </row>
    <row r="1672" hidden="1" ht="15.75" customHeight="1">
      <c r="A1672" s="2">
        <f>HYPERLINK("https://edmondsonsupply.com/collections/hvac/products/robertshaw-1980-036-36-1980-series-snap-fit%C2%AE-universal-thermocouple", "https://edmondsonsupply.com/collections/hvac/products/robertshaw-1980-036-36-1980-series-snap-fit%C2%AE-universal-thermocouple")</f>
        <v/>
      </c>
      <c r="B1672" s="2">
        <f>HYPERLINK("https://edmondsonsupply.com/products/robertshaw-1980-036-36-1980-series-snap-fit%c2%ae-universal-thermocouple", "https://edmondsonsupply.com/products/robertshaw-1980-036-36-1980-series-snap-fit%c2%ae-universal-thermocouple")</f>
        <v/>
      </c>
      <c r="C1672" t="inlineStr">
        <is>
          <t>Robertshaw 1980-036 36" 1980 Series Snap-Fit® Universal Thermocouple</t>
        </is>
      </c>
      <c r="D1672" t="inlineStr">
        <is>
          <t>Thermocoupler for Robertshaw Thermostat Control Pilot Burner Assembly Replacement 1980-036 Snap Fit Universal Thermocouple (36")</t>
        </is>
      </c>
      <c r="E1672" s="2">
        <f>HYPERLINK("https://www.amazon.com/Thermocoupler-Robertshaw-Thermostat-Replacement-Thermocouple/dp/B0BGP67G6Q/ref=sr_1_4?keywords=Robertshaw+1980-036+36%22+1980+Series+Snap-Fit%C2%AE+Universal+Thermocouple&amp;qid=1694734660&amp;sr=8-4", "https://www.amazon.com/Thermocoupler-Robertshaw-Thermostat-Replacement-Thermocouple/dp/B0BGP67G6Q/ref=sr_1_4?keywords=Robertshaw+1980-036+36%22+1980+Series+Snap-Fit%C2%AE+Universal+Thermocouple&amp;qid=1694734660&amp;sr=8-4")</f>
        <v/>
      </c>
      <c r="F1672" t="inlineStr">
        <is>
          <t>B0BGP67G6Q</t>
        </is>
      </c>
      <c r="G1672">
        <f>_xludf.IMAGE("https://edmondsonsupply.com/cdn/shop/products/1980thermocouplecmyk300dpi_bfd55032-b53e-4ff9-b16f-2ba21c0267c9.jpg?v=1636064130")</f>
        <v/>
      </c>
      <c r="H1672">
        <f>_xludf.IMAGE("https://m.media-amazon.com/images/I/61wwL-KP1GL._AC_UL320_.jpg")</f>
        <v/>
      </c>
      <c r="K1672" t="inlineStr">
        <is>
          <t>7.15</t>
        </is>
      </c>
      <c r="L1672" t="n">
        <v>11.99</v>
      </c>
      <c r="M1672" s="1" t="inlineStr">
        <is>
          <t>67.69%</t>
        </is>
      </c>
      <c r="N1672" s="1" t="n">
        <v>4.97</v>
      </c>
      <c r="O1672" t="n">
        <v>4.2</v>
      </c>
      <c r="P1672" t="n">
        <v>12</v>
      </c>
      <c r="R1672" t="inlineStr">
        <is>
          <t>InStock</t>
        </is>
      </c>
      <c r="S1672" t="inlineStr">
        <is>
          <t>15.42</t>
        </is>
      </c>
      <c r="T1672" t="inlineStr">
        <is>
          <t>7441743970520</t>
        </is>
      </c>
    </row>
    <row r="1673" hidden="1" ht="15.75" customHeight="1">
      <c r="A1673" s="2">
        <f>HYPERLINK("https://edmondsonsupply.com/collections/hvac/products/diablo-tools-dsp2090-3-4-in-x-6-in-spade-bit", "https://edmondsonsupply.com/collections/hvac/products/diablo-tools-dsp2090-3-4-in-x-6-in-spade-bit")</f>
        <v/>
      </c>
      <c r="B1673" s="2">
        <f>HYPERLINK("https://edmondsonsupply.com/products/diablo-tools-dsp2090-3-4-in-x-6-in-spade-bit", "https://edmondsonsupply.com/products/diablo-tools-dsp2090-3-4-in-x-6-in-spade-bit")</f>
        <v/>
      </c>
      <c r="C1673" t="inlineStr">
        <is>
          <t>Diablo Tools DSP2090 3/4 in. x 6 in. Spade Bit</t>
        </is>
      </c>
      <c r="D1673" t="inlineStr">
        <is>
          <t>Diablo 1-1/4 in. x 6 in. SPEEDemon Spade Bit (2-Pack)</t>
        </is>
      </c>
      <c r="E1673" s="2">
        <f>HYPERLINK("https://www.amazon.com/Diablo-1-1-SPEEDemon-Spade-2-Pack/dp/B089LG8GXW/ref=sr_1_30?keywords=Diablo+Tools+DSP2090+3%2F4+in.+x+6+in.+Spade+Bit&amp;qid=1694734914&amp;sr=8-30", "https://www.amazon.com/Diablo-1-1-SPEEDemon-Spade-2-Pack/dp/B089LG8GXW/ref=sr_1_30?keywords=Diablo+Tools+DSP2090+3%2F4+in.+x+6+in.+Spade+Bit&amp;qid=1694734914&amp;sr=8-30")</f>
        <v/>
      </c>
      <c r="F1673" t="inlineStr">
        <is>
          <t>B089LG8GXW</t>
        </is>
      </c>
      <c r="G1673">
        <f>_xludf.IMAGE("https://edmondsonsupply.com/cdn/shop/files/hg4rmyretai2aybkajqp.webp?v=1686587275")</f>
        <v/>
      </c>
      <c r="H1673">
        <f>_xludf.IMAGE("https://m.media-amazon.com/images/I/61KC4haIgvL._AC_UL320_.jpg")</f>
        <v/>
      </c>
      <c r="K1673" t="inlineStr">
        <is>
          <t>5.37</t>
        </is>
      </c>
      <c r="L1673" t="n">
        <v>8.99</v>
      </c>
      <c r="M1673" s="1" t="inlineStr">
        <is>
          <t>67.41%</t>
        </is>
      </c>
      <c r="N1673" s="1" t="n">
        <v>4.77</v>
      </c>
      <c r="O1673" t="n">
        <v>4.5</v>
      </c>
      <c r="P1673" t="n">
        <v>22</v>
      </c>
      <c r="R1673" t="inlineStr">
        <is>
          <t>InStock</t>
        </is>
      </c>
      <c r="S1673" t="inlineStr">
        <is>
          <t>undefined</t>
        </is>
      </c>
      <c r="T1673" t="inlineStr">
        <is>
          <t>8004512710872</t>
        </is>
      </c>
    </row>
    <row r="1674" ht="87" customHeight="1">
      <c r="A1674" s="2">
        <f>HYPERLINK("https://edmondsonsupply.com/collections/hvac/products/viega-25206-3-4-x-3-4-megapressg-90-elbow", "https://edmondsonsupply.com/collections/hvac/products/viega-25206-3-4-x-3-4-megapressg-90-elbow")</f>
        <v/>
      </c>
      <c r="B1674" s="2">
        <f>HYPERLINK("https://edmondsonsupply.com/products/viega-25206-3-4-x-3-4-megapressg-90-elbow", "https://edmondsonsupply.com/products/viega-25206-3-4-x-3-4-megapressg-90-elbow")</f>
        <v/>
      </c>
      <c r="C1674" t="inlineStr">
        <is>
          <t>Viega 25206 3/4" x 3/4" MegaPressG 90° Elbow</t>
        </is>
      </c>
      <c r="D1674" t="inlineStr">
        <is>
          <t>Viega MegaPressG 6616 Carbon Steel Elbow, 3/4"</t>
        </is>
      </c>
      <c r="E1674" s="2">
        <f>HYPERLINK("https://www.amazon.com/Viega-MegaPressG-Carbon-Steel-Elbow/dp/B00COVXBYK/ref=sr_1_2?keywords=Viega+25206+3%2F4%22+x+3%2F4%22+MegaPressG+90%C2%B0+Elbow&amp;qid=1694734840&amp;sr=8-2", "https://www.amazon.com/Viega-MegaPressG-Carbon-Steel-Elbow/dp/B00COVXBYK/ref=sr_1_2?keywords=Viega+25206+3%2F4%22+x+3%2F4%22+MegaPressG+90%C2%B0+Elbow&amp;qid=1694734840&amp;sr=8-2")</f>
        <v/>
      </c>
      <c r="F1674" t="inlineStr">
        <is>
          <t>B00COVXBYK</t>
        </is>
      </c>
      <c r="G1674">
        <f>_xlfn.IMAGE("https://edmondsonsupply.com/cdn/shop/files/PPm6616_cc26a193-b30e-4392-a225-66209e0534b8.jpg?v=1693271419")</f>
        <v/>
      </c>
      <c r="H1674">
        <f>_xlfn.IMAGE("https://m.media-amazon.com/images/I/51cc8PBnNUL._AC_UL320_.jpg")</f>
        <v/>
      </c>
      <c r="K1674" t="inlineStr">
        <is>
          <t>13.86</t>
        </is>
      </c>
      <c r="L1674" t="n">
        <v>23.19</v>
      </c>
      <c r="M1674" s="1" t="inlineStr">
        <is>
          <t>67.32%</t>
        </is>
      </c>
      <c r="N1674" s="7" t="n">
        <v>4.71</v>
      </c>
      <c r="O1674" t="n">
        <v>5</v>
      </c>
      <c r="P1674" t="n">
        <v>1</v>
      </c>
      <c r="R1674" t="inlineStr">
        <is>
          <t>InStock</t>
        </is>
      </c>
      <c r="S1674" t="inlineStr">
        <is>
          <t>24.74</t>
        </is>
      </c>
      <c r="T1674" t="inlineStr">
        <is>
          <t>8032191676632</t>
        </is>
      </c>
    </row>
    <row r="1675" ht="87" customHeight="1">
      <c r="A1675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675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675" t="inlineStr">
        <is>
          <t>Klein Tools 32304 14-in-1 HVAC Adjustable-Length Impact Screwdriver with Flip Socket</t>
        </is>
      </c>
      <c r="D1675" t="inlineStr">
        <is>
          <t>NEIKO 20736A (6) Piece Set, Magnetic Tool &amp; Telescoping Mirror Set &amp; Klein Tools 32304 Screwdriver, 14-in-1 Adjustable Screwdriver with Flip Socket</t>
        </is>
      </c>
      <c r="E1675" s="2">
        <f>HYPERLINK("https://www.amazon.com/20736A-Magnetic-Telescoping-Screwdriver-Adjustable/dp/B0CF2F6NBT/ref=sr_1_13?keywords=Klein+Tools+32304+14-in-1+HVAC+Adjustable-Length+Impact+Screwdriver+with+Flip+Socket&amp;qid=1694734657&amp;sr=8-13", "https://www.amazon.com/20736A-Magnetic-Telescoping-Screwdriver-Adjustable/dp/B0CF2F6NBT/ref=sr_1_13?keywords=Klein+Tools+32304+14-in-1+HVAC+Adjustable-Length+Impact+Screwdriver+with+Flip+Socket&amp;qid=1694734657&amp;sr=8-13")</f>
        <v/>
      </c>
      <c r="F1675" t="inlineStr">
        <is>
          <t>B0CF2F6NBT</t>
        </is>
      </c>
      <c r="G1675">
        <f>_xlfn.IMAGE("https://edmondsonsupply.com/cdn/shop/products/32304.jpg?v=1666019479")</f>
        <v/>
      </c>
      <c r="H1675">
        <f>_xlfn.IMAGE("https://m.media-amazon.com/images/I/41AHeuBsR-L._AC_UL320_.jpg")</f>
        <v/>
      </c>
      <c r="K1675" t="inlineStr">
        <is>
          <t>24.97</t>
        </is>
      </c>
      <c r="L1675" t="n">
        <v>41.74</v>
      </c>
      <c r="M1675" s="1" t="inlineStr">
        <is>
          <t>67.16%</t>
        </is>
      </c>
      <c r="N1675" s="7" t="n">
        <v>4.51</v>
      </c>
      <c r="O1675" t="n">
        <v>4.5</v>
      </c>
      <c r="P1675" t="n">
        <v>4930</v>
      </c>
      <c r="R1675" t="inlineStr">
        <is>
          <t>InStock</t>
        </is>
      </c>
      <c r="S1675" t="inlineStr">
        <is>
          <t>34.98</t>
        </is>
      </c>
      <c r="T1675" t="inlineStr">
        <is>
          <t>7856604578008</t>
        </is>
      </c>
    </row>
    <row r="1676" ht="87" customHeight="1">
      <c r="A1676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676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676" t="inlineStr">
        <is>
          <t>Yellow Jacket 42001 Series 41 Manifold Only, 3-1/8" Gauges - R-22 / 404A / 410A</t>
        </is>
      </c>
      <c r="D1676" t="inlineStr">
        <is>
          <t>YELLOW JACKET 42004 Series 41 Manifold with 3-1/8" Gauges with Hoses</t>
        </is>
      </c>
      <c r="E1676" s="2">
        <f>HYPERLINK("https://www.amazon.com/YELLOW-JACKET-42004-Manifold-Gauges/dp/B005JV01ZE/ref=sr_1_4?keywords=Yellow+Jacket+42001+Series+41+Manifold+Only%2C+3-1%2F8%22+Gauges+-+R-22+%2F+404A+%2F+410A&amp;qid=1694734681&amp;sr=8-4", "https://www.amazon.com/YELLOW-JACKET-42004-Manifold-Gauges/dp/B005JV01ZE/ref=sr_1_4?keywords=Yellow+Jacket+42001+Series+41+Manifold+Only%2C+3-1%2F8%22+Gauges+-+R-22+%2F+404A+%2F+410A&amp;qid=1694734681&amp;sr=8-4")</f>
        <v/>
      </c>
      <c r="F1676" t="inlineStr">
        <is>
          <t>B005JV01ZE</t>
        </is>
      </c>
      <c r="G1676">
        <f>_xlfn.IMAGE("https://edmondsonsupply.com/cdn/shop/products/series-41-manifolds-with-318-gauges.jpg?v=1633030025")</f>
        <v/>
      </c>
      <c r="H1676">
        <f>_xlfn.IMAGE("https://m.media-amazon.com/images/I/617urri5EqL._AC_UL320_.jpg")</f>
        <v/>
      </c>
      <c r="K1676" t="inlineStr">
        <is>
          <t>97.77</t>
        </is>
      </c>
      <c r="L1676" t="n">
        <v>163.43</v>
      </c>
      <c r="M1676" s="1" t="inlineStr">
        <is>
          <t>67.16%</t>
        </is>
      </c>
      <c r="N1676" s="7" t="n">
        <v>4.51</v>
      </c>
      <c r="O1676" t="n">
        <v>4.6</v>
      </c>
      <c r="P1676" t="n">
        <v>149</v>
      </c>
      <c r="R1676" t="inlineStr">
        <is>
          <t>InStock</t>
        </is>
      </c>
      <c r="S1676" t="inlineStr">
        <is>
          <t>undefined</t>
        </is>
      </c>
      <c r="T1676" t="inlineStr">
        <is>
          <t>2129997922404</t>
        </is>
      </c>
    </row>
    <row r="1677" hidden="1" ht="15.75" customHeight="1">
      <c r="A1677" s="2">
        <f>HYPERLINK("https://edmondsonsupply.com/collections/hvac/products/greenlee-gsb02-1-2-step-bit-2", "https://edmondsonsupply.com/collections/hvac/products/greenlee-gsb02-1-2-step-bit-2")</f>
        <v/>
      </c>
      <c r="B1677" s="2">
        <f>HYPERLINK("https://edmondsonsupply.com/products/greenlee-gsb02-1-2-step-bit-2", "https://edmondsonsupply.com/products/greenlee-gsb02-1-2-step-bit-2")</f>
        <v/>
      </c>
      <c r="C1677" t="inlineStr">
        <is>
          <t>Greenlee GSB02 1/2" Step Bit (#2)</t>
        </is>
      </c>
      <c r="D1677" t="inlineStr">
        <is>
          <t>Greenlee GSB09 1-1/8" Step Bit (#9) Metal Cutter with Patented Split-Step Design, 1-1/8" Metal Cutting Tool for 1/2" Drill Chucks</t>
        </is>
      </c>
      <c r="E1677" s="2">
        <f>HYPERLINK("https://www.amazon.com/Greenlee-Patented-Split-Step-Design-Cutting/dp/B08TVGF4MS/ref=sr_1_9?keywords=Greenlee+GSB02+1%2F2%22+Step+Bit+%28%232%29&amp;qid=1694734901&amp;sr=8-9", "https://www.amazon.com/Greenlee-Patented-Split-Step-Design-Cutting/dp/B08TVGF4MS/ref=sr_1_9?keywords=Greenlee+GSB02+1%2F2%22+Step+Bit+%28%232%29&amp;qid=1694734901&amp;sr=8-9")</f>
        <v/>
      </c>
      <c r="F1677" t="inlineStr">
        <is>
          <t>B08TVGF4MS</t>
        </is>
      </c>
      <c r="G1677">
        <f>_xludf.IMAGE("https://edmondsonsupply.com/cdn/shop/files/GSB02_CAT1_72dpi.jpg?v=1687783943")</f>
        <v/>
      </c>
      <c r="H1677">
        <f>_xludf.IMAGE("https://m.media-amazon.com/images/I/41J5YEXJLpL._AC_UY218_.jpg")</f>
        <v/>
      </c>
      <c r="K1677" t="inlineStr">
        <is>
          <t>39.29</t>
        </is>
      </c>
      <c r="L1677" t="n">
        <v>65.61</v>
      </c>
      <c r="M1677" s="1" t="inlineStr">
        <is>
          <t>66.99%</t>
        </is>
      </c>
      <c r="N1677" s="1" t="n">
        <v>4.43</v>
      </c>
      <c r="O1677" t="n">
        <v>3.8</v>
      </c>
      <c r="P1677" t="n">
        <v>5</v>
      </c>
      <c r="R1677" t="inlineStr">
        <is>
          <t>InStock</t>
        </is>
      </c>
      <c r="S1677" t="inlineStr">
        <is>
          <t>40.55</t>
        </is>
      </c>
      <c r="T1677" t="inlineStr">
        <is>
          <t>8008010137816</t>
        </is>
      </c>
    </row>
    <row r="1678" ht="87" customHeight="1">
      <c r="A1678" s="2">
        <f>HYPERLINK("https://edmondsonsupply.com/collections/hvac/products/nu-calgon-4291-18-nu-brite-aerosol-coil-cleaner", "https://edmondsonsupply.com/collections/hvac/products/nu-calgon-4291-18-nu-brite-aerosol-coil-cleaner")</f>
        <v/>
      </c>
      <c r="B1678" s="2">
        <f>HYPERLINK("https://edmondsonsupply.com/products/nu-calgon-4291-18-nu-brite-aerosol-coil-cleaner", "https://edmondsonsupply.com/products/nu-calgon-4291-18-nu-brite-aerosol-coil-cleaner")</f>
        <v/>
      </c>
      <c r="C1678" t="inlineStr">
        <is>
          <t>Nu-Calgon 4291-18 Nu-Brite Aerosol Coil Cleaner</t>
        </is>
      </c>
      <c r="D1678" t="inlineStr">
        <is>
          <t>4171-75 Nu-Calgon Evap Foam No Rinse Evaporator Coil Cleaner 18 OZ Aerosol Spray</t>
        </is>
      </c>
      <c r="E1678" s="2">
        <f>HYPERLINK("https://www.amazon.com/4171-75-Nu-Calgon-Evaporator-Cleaner-Aerosol/dp/B00E2X3MRE/ref=sr_1_23?keywords=Nu-Calgon+4291-18+Nu-Brite+Aerosol+Coil+Cleaner&amp;qid=1694734638&amp;sr=8-23", "https://www.amazon.com/4171-75-Nu-Calgon-Evaporator-Cleaner-Aerosol/dp/B00E2X3MRE/ref=sr_1_23?keywords=Nu-Calgon+4291-18+Nu-Brite+Aerosol+Coil+Cleaner&amp;qid=1694734638&amp;sr=8-23")</f>
        <v/>
      </c>
      <c r="F1678" t="inlineStr">
        <is>
          <t>B00E2X3MRE</t>
        </is>
      </c>
      <c r="G1678">
        <f>_xlfn.IMAGE("https://edmondsonsupply.com/cdn/shop/products/4291-18.jpg?v=1658772777")</f>
        <v/>
      </c>
      <c r="H1678">
        <f>_xlfn.IMAGE("https://m.media-amazon.com/images/I/41FecUXSw6L._AC_UL320_.jpg")</f>
        <v/>
      </c>
      <c r="K1678" t="inlineStr">
        <is>
          <t>11.39</t>
        </is>
      </c>
      <c r="L1678" t="n">
        <v>19.01</v>
      </c>
      <c r="M1678" s="1" t="inlineStr">
        <is>
          <t>66.90%</t>
        </is>
      </c>
      <c r="N1678" s="7" t="n">
        <v>4.15</v>
      </c>
      <c r="O1678" t="n">
        <v>4.6</v>
      </c>
      <c r="P1678" t="n">
        <v>29</v>
      </c>
      <c r="R1678" t="inlineStr">
        <is>
          <t>InStock</t>
        </is>
      </c>
      <c r="S1678" t="inlineStr">
        <is>
          <t>15.42</t>
        </is>
      </c>
      <c r="T1678" t="inlineStr">
        <is>
          <t>7760576119000</t>
        </is>
      </c>
    </row>
    <row r="1679" ht="87" customHeight="1">
      <c r="A1679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1679" s="2">
        <f>HYPERLINK("https://edmondsonsupply.com/products/klein-tools-sk234-screwdriver-set-slotted-screw-holding-3-piece", "https://edmondsonsupply.com/products/klein-tools-sk234-screwdriver-set-slotted-screw-holding-3-piece")</f>
        <v/>
      </c>
      <c r="C1679" t="inlineStr">
        <is>
          <t>Klein Tools SK234 Screwdriver Set, Slotted Screw Holding, 3-Piece</t>
        </is>
      </c>
      <c r="D1679" t="inlineStr">
        <is>
          <t>Klein Tools 85146 Screwdriver Set with Magnetizer / Demagnetizer for Magnetic Tips 3 Slotted, 3 Phillips, Non-Slip Cushion Grip, 6-Piece</t>
        </is>
      </c>
      <c r="E1679" s="2">
        <f>HYPERLINK("https://www.amazon.com/Klein-Tools-85146-Screwdriver-Demagnetizer/dp/B07W4LKR8D/ref=sr_1_31?keywords=Klein+Tools+SK234+Screwdriver+Set%2C+Slotted+Screw+Holding%2C+3-Piece&amp;qid=1694734646&amp;sr=8-31", "https://www.amazon.com/Klein-Tools-85146-Screwdriver-Demagnetizer/dp/B07W4LKR8D/ref=sr_1_31?keywords=Klein+Tools+SK234+Screwdriver+Set%2C+Slotted+Screw+Holding%2C+3-Piece&amp;qid=1694734646&amp;sr=8-31")</f>
        <v/>
      </c>
      <c r="F1679" t="inlineStr">
        <is>
          <t>B07W4LKR8D</t>
        </is>
      </c>
      <c r="G1679">
        <f>_xlfn.IMAGE("https://edmondsonsupply.com/cdn/shop/products/sk234.jpg?v=1587144984")</f>
        <v/>
      </c>
      <c r="H1679">
        <f>_xlfn.IMAGE("https://m.media-amazon.com/images/I/61UOo0NmUkL._AC_UL320_.jpg")</f>
        <v/>
      </c>
      <c r="K1679" t="inlineStr">
        <is>
          <t>29.97</t>
        </is>
      </c>
      <c r="L1679" t="n">
        <v>49.99</v>
      </c>
      <c r="M1679" s="1" t="inlineStr">
        <is>
          <t>66.80%</t>
        </is>
      </c>
      <c r="N1679" s="7" t="n">
        <v>4.04</v>
      </c>
      <c r="O1679" t="n">
        <v>4.9</v>
      </c>
      <c r="P1679" t="n">
        <v>1806</v>
      </c>
      <c r="R1679" t="inlineStr">
        <is>
          <t>OutOfStock</t>
        </is>
      </c>
      <c r="S1679" t="inlineStr">
        <is>
          <t>45.42</t>
        </is>
      </c>
      <c r="T1679" t="inlineStr">
        <is>
          <t>4405483143268</t>
        </is>
      </c>
    </row>
    <row r="1680" ht="87" customHeight="1">
      <c r="A1680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1680" s="2">
        <f>HYPERLINK("https://edmondsonsupply.com/products/packard-c130a-contactor-1-pole-30-amps-24-coil-voltage", "https://edmondsonsupply.com/products/packard-c130a-contactor-1-pole-30-amps-24-coil-voltage")</f>
        <v/>
      </c>
      <c r="C1680" t="inlineStr">
        <is>
          <t>Packard C130A Contactor 1 Pole 30 Amps 24 Coil Voltage</t>
        </is>
      </c>
      <c r="D1680" t="inlineStr">
        <is>
          <t>Carrier • 30 Amp 1 Pole 24v Coil Packard Replacement Contactor C130A</t>
        </is>
      </c>
      <c r="E1680" s="2">
        <f>HYPERLINK("https://www.amazon.com/Carrier-Packard-Replacement-Contactor-C130A/dp/B00S8JK3AW/ref=sr_1_2?keywords=Packard+C130A+Contactor+1+Pole+30+Amps+24+Coil+Voltage&amp;qid=1694734616&amp;sr=8-2", "https://www.amazon.com/Carrier-Packard-Replacement-Contactor-C130A/dp/B00S8JK3AW/ref=sr_1_2?keywords=Packard+C130A+Contactor+1+Pole+30+Amps+24+Coil+Voltage&amp;qid=1694734616&amp;sr=8-2")</f>
        <v/>
      </c>
      <c r="F1680" t="inlineStr">
        <is>
          <t>B00S8JK3AW</t>
        </is>
      </c>
      <c r="G1680">
        <f>_xlfn.IMAGE("https://edmondsonsupply.com/cdn/shop/products/61bb566724620904123205.jpg?v=1650335931")</f>
        <v/>
      </c>
      <c r="H1680">
        <f>_xlfn.IMAGE("https://m.media-amazon.com/images/I/31UJH6sUaNL._AC_UY218_.jpg")</f>
        <v/>
      </c>
      <c r="K1680" t="inlineStr">
        <is>
          <t>9.62</t>
        </is>
      </c>
      <c r="L1680" t="n">
        <v>16.04</v>
      </c>
      <c r="M1680" s="1" t="inlineStr">
        <is>
          <t>66.74%</t>
        </is>
      </c>
      <c r="N1680" s="7" t="n">
        <v>4</v>
      </c>
      <c r="O1680" t="n">
        <v>4.5</v>
      </c>
      <c r="P1680" t="n">
        <v>26</v>
      </c>
      <c r="R1680" t="inlineStr">
        <is>
          <t>InStock</t>
        </is>
      </c>
      <c r="S1680" t="inlineStr">
        <is>
          <t>undefined</t>
        </is>
      </c>
      <c r="T1680" t="inlineStr">
        <is>
          <t>5301652095144</t>
        </is>
      </c>
    </row>
    <row r="1681" ht="87" customHeight="1">
      <c r="A1681" s="2">
        <f>HYPERLINK("https://edmondsonsupply.com/collections/hvac/products/fresh-aire-uv-apco-tuvl-215-2-year-replacement-uv-lamp", "https://edmondsonsupply.com/collections/hvac/products/fresh-aire-uv-apco-tuvl-215-2-year-replacement-uv-lamp")</f>
        <v/>
      </c>
      <c r="B1681" s="2">
        <f>HYPERLINK("https://edmondsonsupply.com/products/fresh-aire-uv-apco-tuvl-215-2-year-replacement-uv-lamp", "https://edmondsonsupply.com/products/fresh-aire-uv-apco-tuvl-215-2-year-replacement-uv-lamp")</f>
        <v/>
      </c>
      <c r="C1681" t="inlineStr">
        <is>
          <t>Fresh-Aire UV APCO TUVL-215, 2-Year Replacement UV Lamp</t>
        </is>
      </c>
      <c r="D1681" t="inlineStr">
        <is>
          <t>Fresh-Aire UV 3-Year Replacement UV-C Lamp for APCO-X Series, 15-Inch Length</t>
        </is>
      </c>
      <c r="E1681" s="2">
        <f>HYPERLINK("https://www.amazon.com/APCO-Fresh-Aire-TUVL-315-TUVL315-Replacement/dp/B09B7WYCC2/ref=sr_1_4?keywords=Fresh-Aire+UV+APCO+TUVL-215%2C+2-Year+Replacement+UV+Lamp&amp;qid=1694734567&amp;sr=8-4", "https://www.amazon.com/APCO-Fresh-Aire-TUVL-315-TUVL315-Replacement/dp/B09B7WYCC2/ref=sr_1_4?keywords=Fresh-Aire+UV+APCO+TUVL-215%2C+2-Year+Replacement+UV+Lamp&amp;qid=1694734567&amp;sr=8-4")</f>
        <v/>
      </c>
      <c r="F1681" t="inlineStr">
        <is>
          <t>B09B7WYCC2</t>
        </is>
      </c>
      <c r="G1681">
        <f>_xlfn.IMAGE("https://edmondsonsupply.com/cdn/shop/products/TUVL-215_1ea9b67d-7d35-4102-a10b-a43913714c29.jpg?v=1633030216")</f>
        <v/>
      </c>
      <c r="H1681">
        <f>_xlfn.IMAGE("https://m.media-amazon.com/images/I/21ORtJD7dsS._AC_UL320_.jpg")</f>
        <v/>
      </c>
      <c r="K1681" t="inlineStr">
        <is>
          <t>108.19</t>
        </is>
      </c>
      <c r="L1681" t="n">
        <v>180</v>
      </c>
      <c r="M1681" s="1" t="inlineStr">
        <is>
          <t>66.37%</t>
        </is>
      </c>
      <c r="N1681" s="7" t="n">
        <v>3.89</v>
      </c>
      <c r="O1681" t="n">
        <v>5</v>
      </c>
      <c r="P1681" t="n">
        <v>3</v>
      </c>
      <c r="R1681" t="inlineStr">
        <is>
          <t>InStock</t>
        </is>
      </c>
      <c r="S1681" t="inlineStr">
        <is>
          <t>undefined</t>
        </is>
      </c>
      <c r="T1681" t="inlineStr">
        <is>
          <t>4452264837220</t>
        </is>
      </c>
    </row>
    <row r="1682" hidden="1" ht="15.75" customHeight="1">
      <c r="A1682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682" s="2">
        <f>HYPERLINK("https://edmondsonsupply.com/products/packard-prmj189-motor-start-capacitor-189-227-mfd-330-vac", "https://edmondsonsupply.com/products/packard-prmj189-motor-start-capacitor-189-227-mfd-330-vac")</f>
        <v/>
      </c>
      <c r="C1682" t="inlineStr">
        <is>
          <t>Packard PRMJ189 Motor Start Capacitor 189-227 MFD 330 VAC</t>
        </is>
      </c>
      <c r="D1682" t="inlineStr">
        <is>
          <t>JOCOSA Motor Start Capacitor 189-227 uf/MFD 330V VAC 50/60 Hz AC Electric Round Start Capacitor Universal Replacement for Electric Motor Applications</t>
        </is>
      </c>
      <c r="E1682" s="2">
        <f>HYPERLINK("https://www.amazon.com/JOCOSA-Capacitor-Universal-Replacement-Applications/dp/B0C891511P/ref=sr_1_9?keywords=Packard+PRMJ189+Motor+Start+Capacitor+189-227+MFD+330+VAC&amp;qid=1694734820&amp;sr=8-9", "https://www.amazon.com/JOCOSA-Capacitor-Universal-Replacement-Applications/dp/B0C891511P/ref=sr_1_9?keywords=Packard+PRMJ189+Motor+Start+Capacitor+189-227+MFD+330+VAC&amp;qid=1694734820&amp;sr=8-9")</f>
        <v/>
      </c>
      <c r="F1682" t="inlineStr">
        <is>
          <t>B0C891511P</t>
        </is>
      </c>
      <c r="G1682">
        <f>_xludf.IMAGE("https://edmondsonsupply.com/cdn/shop/products/PRMJ189-2.jpg?v=1663378512")</f>
        <v/>
      </c>
      <c r="H1682">
        <f>_xludf.IMAGE("https://m.media-amazon.com/images/I/61yhfdiT0bL._AC_UY218_.jpg")</f>
        <v/>
      </c>
      <c r="K1682" t="inlineStr">
        <is>
          <t>8.59</t>
        </is>
      </c>
      <c r="L1682" t="n">
        <v>14.29</v>
      </c>
      <c r="M1682" s="1" t="inlineStr">
        <is>
          <t>66.36%</t>
        </is>
      </c>
      <c r="N1682" s="1" t="n">
        <v>3.86</v>
      </c>
      <c r="O1682" t="n">
        <v>5</v>
      </c>
      <c r="P1682" t="n">
        <v>3</v>
      </c>
      <c r="R1682" t="inlineStr">
        <is>
          <t>InStock</t>
        </is>
      </c>
      <c r="S1682" t="inlineStr">
        <is>
          <t>undefined</t>
        </is>
      </c>
      <c r="T1682" t="inlineStr">
        <is>
          <t>4298778378340</t>
        </is>
      </c>
    </row>
    <row r="1683" ht="87" customHeight="1">
      <c r="A1683" s="2">
        <f>HYPERLINK("https://edmondsonsupply.com/collections/hvac/products/packard-ptmj270a-motor-start-capacitor-220-250-volt-270-324-mfd", "https://edmondsonsupply.com/collections/hvac/products/packard-ptmj270a-motor-start-capacitor-220-250-volt-270-324-mfd")</f>
        <v/>
      </c>
      <c r="B1683" s="2">
        <f>HYPERLINK("https://edmondsonsupply.com/products/packard-ptmj270a-motor-start-capacitor-220-250-volt-270-324-mfd", "https://edmondsonsupply.com/products/packard-ptmj270a-motor-start-capacitor-220-250-volt-270-324-mfd")</f>
        <v/>
      </c>
      <c r="C1683" t="inlineStr">
        <is>
          <t>Packard PTMJ270A Motor Start Capacitor 220-250 Volt 270-324 MFD</t>
        </is>
      </c>
      <c r="D1683" t="inlineStr">
        <is>
          <t>PTMJ270 - Packard Aftermarket Replacement Motor Start Capacitor 270-324 MFD 220 250 Volt</t>
        </is>
      </c>
      <c r="E1683" s="2">
        <f>HYPERLINK("https://www.amazon.com/PTMJ270-Packard-Aftermarket-Replacement-Capacitor/dp/B00IWYHXOW/ref=sr_1_2?keywords=Packard+PTMJ270A+Motor+Start+Capacitor+220-250+Volt+270-324+MFD&amp;qid=1694734791&amp;sr=8-2", "https://www.amazon.com/PTMJ270-Packard-Aftermarket-Replacement-Capacitor/dp/B00IWYHXOW/ref=sr_1_2?keywords=Packard+PTMJ270A+Motor+Start+Capacitor+220-250+Volt+270-324+MFD&amp;qid=1694734791&amp;sr=8-2")</f>
        <v/>
      </c>
      <c r="F1683" t="inlineStr">
        <is>
          <t>B00IWYHXOW</t>
        </is>
      </c>
      <c r="G1683">
        <f>_xlfn.IMAGE("https://edmondsonsupply.com/cdn/shop/products/PTMJ270A-2.jpg?v=1633030308")</f>
        <v/>
      </c>
      <c r="H1683">
        <f>_xlfn.IMAGE("https://m.media-amazon.com/images/I/41k5rZblOYL._AC_UY218_.jpg")</f>
        <v/>
      </c>
      <c r="K1683" t="inlineStr">
        <is>
          <t>9.92</t>
        </is>
      </c>
      <c r="L1683" t="n">
        <v>16.49</v>
      </c>
      <c r="M1683" s="1" t="inlineStr">
        <is>
          <t>66.23%</t>
        </is>
      </c>
      <c r="N1683" s="7" t="n">
        <v>3.85</v>
      </c>
      <c r="O1683" t="n">
        <v>5</v>
      </c>
      <c r="P1683" t="n">
        <v>3</v>
      </c>
      <c r="R1683" t="inlineStr">
        <is>
          <t>InStock</t>
        </is>
      </c>
      <c r="S1683" t="inlineStr">
        <is>
          <t>undefined</t>
        </is>
      </c>
      <c r="T1683" t="inlineStr">
        <is>
          <t>5241741181096</t>
        </is>
      </c>
    </row>
    <row r="1684" ht="87" customHeight="1">
      <c r="A1684" s="2">
        <f>HYPERLINK("https://edmondsonsupply.com/collections/hvac/products/packard-ptmj270a-motor-start-capacitor-220-250-volt-270-324-mfd", "https://edmondsonsupply.com/collections/hvac/products/packard-ptmj270a-motor-start-capacitor-220-250-volt-270-324-mfd")</f>
        <v/>
      </c>
      <c r="B1684" s="2">
        <f>HYPERLINK("https://edmondsonsupply.com/products/packard-ptmj270a-motor-start-capacitor-220-250-volt-270-324-mfd", "https://edmondsonsupply.com/products/packard-ptmj270a-motor-start-capacitor-220-250-volt-270-324-mfd")</f>
        <v/>
      </c>
      <c r="C1684" t="inlineStr">
        <is>
          <t>Packard PTMJ270A Motor Start Capacitor 220-250 Volt 270-324 MFD</t>
        </is>
      </c>
      <c r="D1684" t="inlineStr">
        <is>
          <t>PTMJ270 - Diversitech Aftermarket Replacement Motor Start Capacitor 270-324 MFD 220 250 Volt</t>
        </is>
      </c>
      <c r="E1684" s="2">
        <f>HYPERLINK("https://www.amazon.com/PTMJ270-Diversitech-Aftermarket-Replacement-Capacitor/dp/B00IWYHZDQ/ref=sr_1_4?keywords=Packard+PTMJ270A+Motor+Start+Capacitor+220-250+Volt+270-324+MFD&amp;qid=1694734791&amp;sr=8-4", "https://www.amazon.com/PTMJ270-Diversitech-Aftermarket-Replacement-Capacitor/dp/B00IWYHZDQ/ref=sr_1_4?keywords=Packard+PTMJ270A+Motor+Start+Capacitor+220-250+Volt+270-324+MFD&amp;qid=1694734791&amp;sr=8-4")</f>
        <v/>
      </c>
      <c r="F1684" t="inlineStr">
        <is>
          <t>B00IWYHZDQ</t>
        </is>
      </c>
      <c r="G1684">
        <f>_xlfn.IMAGE("https://edmondsonsupply.com/cdn/shop/products/PTMJ270A-2.jpg?v=1633030308")</f>
        <v/>
      </c>
      <c r="H1684">
        <f>_xlfn.IMAGE("https://m.media-amazon.com/images/I/41iN-8gLZyL._AC_UY218_.jpg")</f>
        <v/>
      </c>
      <c r="K1684" t="inlineStr">
        <is>
          <t>9.92</t>
        </is>
      </c>
      <c r="L1684" t="n">
        <v>16.49</v>
      </c>
      <c r="M1684" s="1" t="inlineStr">
        <is>
          <t>66.23%</t>
        </is>
      </c>
      <c r="N1684" s="7" t="n">
        <v>3.84</v>
      </c>
      <c r="O1684" t="n">
        <v>5</v>
      </c>
      <c r="P1684" t="n">
        <v>1</v>
      </c>
      <c r="R1684" t="inlineStr">
        <is>
          <t>InStock</t>
        </is>
      </c>
      <c r="S1684" t="inlineStr">
        <is>
          <t>undefined</t>
        </is>
      </c>
      <c r="T1684" t="inlineStr">
        <is>
          <t>5241741181096</t>
        </is>
      </c>
    </row>
    <row r="1685" ht="87" customHeight="1">
      <c r="A1685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1685" s="2">
        <f>HYPERLINK("https://edmondsonsupply.com/products/packard-c130a-contactor-1-pole-30-amps-24-coil-voltage", "https://edmondsonsupply.com/products/packard-c130a-contactor-1-pole-30-amps-24-coil-voltage")</f>
        <v/>
      </c>
      <c r="C1685" t="inlineStr">
        <is>
          <t>Packard C130A Contactor 1 Pole 30 Amps 24 Coil Voltage</t>
        </is>
      </c>
      <c r="D1685" t="inlineStr">
        <is>
          <t>Ultra Durable C130A 1 Pole Contactor 30 Amp 24VAC Coil by BlueStars - Compatible with Relays, Air Conditioner, Heat Pump, Refrigeration Systems</t>
        </is>
      </c>
      <c r="E1685" s="2">
        <f>HYPERLINK("https://www.amazon.com/Ultra-Durable-C130A-Contactor-BlueStars/dp/B0B7NFR2TJ/ref=sr_1_3?keywords=Packard+C130A+Contactor+1+Pole+30+Amps+24+Coil+Voltage&amp;qid=1694734616&amp;sr=8-3", "https://www.amazon.com/Ultra-Durable-C130A-Contactor-BlueStars/dp/B0B7NFR2TJ/ref=sr_1_3?keywords=Packard+C130A+Contactor+1+Pole+30+Amps+24+Coil+Voltage&amp;qid=1694734616&amp;sr=8-3")</f>
        <v/>
      </c>
      <c r="F1685" t="inlineStr">
        <is>
          <t>B0B7NFR2TJ</t>
        </is>
      </c>
      <c r="G1685">
        <f>_xlfn.IMAGE("https://edmondsonsupply.com/cdn/shop/products/61bb566724620904123205.jpg?v=1650335931")</f>
        <v/>
      </c>
      <c r="H1685">
        <f>_xlfn.IMAGE("https://m.media-amazon.com/images/I/71CAUizveyL._AC_UY218_.jpg")</f>
        <v/>
      </c>
      <c r="K1685" t="inlineStr">
        <is>
          <t>9.62</t>
        </is>
      </c>
      <c r="L1685" t="n">
        <v>15.99</v>
      </c>
      <c r="M1685" s="1" t="inlineStr">
        <is>
          <t>66.22%</t>
        </is>
      </c>
      <c r="N1685" s="7" t="n">
        <v>3.82</v>
      </c>
      <c r="O1685" t="n">
        <v>5</v>
      </c>
      <c r="P1685" t="n">
        <v>7</v>
      </c>
      <c r="R1685" t="inlineStr">
        <is>
          <t>InStock</t>
        </is>
      </c>
      <c r="S1685" t="inlineStr">
        <is>
          <t>undefined</t>
        </is>
      </c>
      <c r="T1685" t="inlineStr">
        <is>
          <t>5301652095144</t>
        </is>
      </c>
    </row>
    <row r="1686" ht="87" customHeight="1">
      <c r="A1686" s="2">
        <f>HYPERLINK("https://edmondsonsupply.com/collections/hvac/products/nu-calgon-4290-75-nu-blast-aerosol-coil-cleaner", "https://edmondsonsupply.com/collections/hvac/products/nu-calgon-4290-75-nu-blast-aerosol-coil-cleaner")</f>
        <v/>
      </c>
      <c r="B1686" s="2">
        <f>HYPERLINK("https://edmondsonsupply.com/products/nu-calgon-4290-75-nu-blast-aerosol-coil-cleaner", "https://edmondsonsupply.com/products/nu-calgon-4290-75-nu-blast-aerosol-coil-cleaner")</f>
        <v/>
      </c>
      <c r="C1686" t="inlineStr">
        <is>
          <t>Nu-Calgon 4290-75 Nu-Blast Aerosol Coil Cleaner</t>
        </is>
      </c>
      <c r="D1686" t="inlineStr">
        <is>
          <t>Nu Calgon 4290-75 18-ounce Nu-Blast Condenser Coil Cleaner</t>
        </is>
      </c>
      <c r="E1686" s="2">
        <f>HYPERLINK("https://www.amazon.com/Nu-Calgon-4290-75-18-ounce-Condenser/dp/B00HWMXGZA/ref=sr_1_1?keywords=Nu-Calgon+4290-75+Nu-Blast+Aerosol+Coil+Cleaner&amp;qid=1694734637&amp;sr=8-1", "https://www.amazon.com/Nu-Calgon-4290-75-18-ounce-Condenser/dp/B00HWMXGZA/ref=sr_1_1?keywords=Nu-Calgon+4290-75+Nu-Blast+Aerosol+Coil+Cleaner&amp;qid=1694734637&amp;sr=8-1")</f>
        <v/>
      </c>
      <c r="F1686" t="inlineStr">
        <is>
          <t>B00HWMXGZA</t>
        </is>
      </c>
      <c r="G1686">
        <f>_xlfn.IMAGE("https://edmondsonsupply.com/cdn/shop/products/4290-75.jpg?v=1659464661")</f>
        <v/>
      </c>
      <c r="H1686">
        <f>_xlfn.IMAGE("https://m.media-amazon.com/images/I/61bCRHvoBRL._AC_UL320_.jpg")</f>
        <v/>
      </c>
      <c r="K1686" t="inlineStr">
        <is>
          <t>18.79</t>
        </is>
      </c>
      <c r="L1686" t="n">
        <v>31.18</v>
      </c>
      <c r="M1686" s="1" t="inlineStr">
        <is>
          <t>65.94%</t>
        </is>
      </c>
      <c r="N1686" s="7" t="n">
        <v>3.65</v>
      </c>
      <c r="O1686" t="n">
        <v>4.2</v>
      </c>
      <c r="P1686" t="n">
        <v>49</v>
      </c>
      <c r="R1686" t="inlineStr">
        <is>
          <t>InStock</t>
        </is>
      </c>
      <c r="S1686" t="inlineStr">
        <is>
          <t>25.06</t>
        </is>
      </c>
      <c r="T1686" t="inlineStr">
        <is>
          <t>7769839829208</t>
        </is>
      </c>
    </row>
    <row r="1687" ht="87" customHeight="1">
      <c r="A1687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1687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1687" t="inlineStr">
        <is>
          <t>Diablo Tools DMAPL2290 7/16 in. x 10 in. x 12 in. SDS-Plus 2-Cutter</t>
        </is>
      </c>
      <c r="D1687" t="inlineStr">
        <is>
          <t>Diablo by Freud Diablo DMAPL4190 1/2 in. x 10 in. x 12 in. Rebar Demon SDS-Plus 4-Cutter Full Carbide Head Hammer Bit</t>
        </is>
      </c>
      <c r="E1687" s="2">
        <f>HYPERLINK("https://www.amazon.com/Diablo-Freud-DMAPL4190-SDS-Plus-4-Cutter/dp/B089LJZ25M/ref=sr_1_11?keywords=Diablo+Tools+DMAPL2290+7%2F16+in.+x+10+in.+x+12+in.+SDS-Plus+2-Cutter&amp;qid=1694734916&amp;sr=8-11", "https://www.amazon.com/Diablo-Freud-DMAPL4190-SDS-Plus-4-Cutter/dp/B089LJZ25M/ref=sr_1_11?keywords=Diablo+Tools+DMAPL2290+7%2F16+in.+x+10+in.+x+12+in.+SDS-Plus+2-Cutter&amp;qid=1694734916&amp;sr=8-11")</f>
        <v/>
      </c>
      <c r="F1687" t="inlineStr">
        <is>
          <t>B089LJZ25M</t>
        </is>
      </c>
      <c r="G1687">
        <f>_xlfn.IMAGE("https://edmondsonsupply.com/cdn/shop/files/lgvfccwvf9ikjakt8qfb.webp?v=1686146379")</f>
        <v/>
      </c>
      <c r="H1687">
        <f>_xlfn.IMAGE("https://m.media-amazon.com/images/I/61dzudnwI8L._AC_UL320_.jpg")</f>
        <v/>
      </c>
      <c r="K1687" t="inlineStr">
        <is>
          <t>10.5</t>
        </is>
      </c>
      <c r="L1687" t="n">
        <v>17.41</v>
      </c>
      <c r="M1687" s="1" t="inlineStr">
        <is>
          <t>65.81%</t>
        </is>
      </c>
      <c r="N1687" s="7" t="n">
        <v>3.64</v>
      </c>
      <c r="O1687" t="n">
        <v>4.6</v>
      </c>
      <c r="P1687" t="n">
        <v>43</v>
      </c>
      <c r="R1687" t="inlineStr">
        <is>
          <t>InStock</t>
        </is>
      </c>
      <c r="S1687" t="inlineStr">
        <is>
          <t>16.67</t>
        </is>
      </c>
      <c r="T1687" t="inlineStr">
        <is>
          <t>8002354872536</t>
        </is>
      </c>
    </row>
    <row r="1688" ht="87" customHeight="1">
      <c r="A1688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1688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1688" t="inlineStr">
        <is>
          <t>Diablo Tools DMAMX1300 1-1/4 in. x 16 in. x 21 in. Rebar Demon™ SDS-Max 4-Cutter Full Carbide Head Hammer Drill Bit</t>
        </is>
      </c>
      <c r="D1688" t="inlineStr">
        <is>
          <t>Diablo DMAMX1230 1 in. x 24 in. x 29 in. Rebar Demon™ SDS-Max 4-Cutter Full Carbide Head Hammer Bit</t>
        </is>
      </c>
      <c r="E1688" s="2">
        <f>HYPERLINK("https://www.amazon.com/Diablo-DMAMX1230-SDS-Max-4-Cutter-Carbide/dp/B089KWMBLT/ref=sr_1_24?keywords=Diablo+Tools+DMAMX1300+1-1%2F4+in.+x+16+in.+x+21+in.+Rebar+Demon%E2%84%A2+SDS-Max+4-Cutter+Full+Carbide+Head+Hammer+Drill+Bit&amp;qid=1694734676&amp;sr=8-24", "https://www.amazon.com/Diablo-DMAMX1230-SDS-Max-4-Cutter-Carbide/dp/B089KWMBLT/ref=sr_1_24?keywords=Diablo+Tools+DMAMX1300+1-1%2F4+in.+x+16+in.+x+21+in.+Rebar+Demon%E2%84%A2+SDS-Max+4-Cutter+Full+Carbide+Head+Hammer+Drill+Bit&amp;qid=1694734676&amp;sr=8-24")</f>
        <v/>
      </c>
      <c r="F1688" t="inlineStr">
        <is>
          <t>B089KWMBLT</t>
        </is>
      </c>
      <c r="G1688">
        <f>_xlfn.IMAGE("https://edmondsonsupply.com/cdn/shop/files/immoyh7jjmbau4fzhuq6_7dd7fd73-2865-4c12-9443-da45b48dbd51.webp?v=1685465465")</f>
        <v/>
      </c>
      <c r="H1688">
        <f>_xlfn.IMAGE("https://m.media-amazon.com/images/I/61B-wgZVzML._AC_UL320_.jpg")</f>
        <v/>
      </c>
      <c r="K1688" t="inlineStr">
        <is>
          <t>66.4</t>
        </is>
      </c>
      <c r="L1688" t="n">
        <v>109.99</v>
      </c>
      <c r="M1688" s="1" t="inlineStr">
        <is>
          <t>65.65%</t>
        </is>
      </c>
      <c r="N1688" s="7" t="n">
        <v>3.37</v>
      </c>
      <c r="O1688" t="n">
        <v>4.6</v>
      </c>
      <c r="P1688" t="n">
        <v>3</v>
      </c>
      <c r="R1688" t="inlineStr">
        <is>
          <t>OutOfStock</t>
        </is>
      </c>
      <c r="S1688" t="inlineStr">
        <is>
          <t>105.4</t>
        </is>
      </c>
      <c r="T1688" t="inlineStr">
        <is>
          <t>7997856874712</t>
        </is>
      </c>
    </row>
    <row r="1689" ht="87" customHeight="1">
      <c r="A1689" s="2">
        <f>HYPERLINK("https://edmondsonsupply.com/collections/hvac/products/yellow-jacket-yjii-vacuum-pump-5-cfm-93266", "https://edmondsonsupply.com/collections/hvac/products/yellow-jacket-yjii-vacuum-pump-5-cfm-93266")</f>
        <v/>
      </c>
      <c r="B1689" s="2">
        <f>HYPERLINK("https://edmondsonsupply.com/products/yellow-jacket-yjii-vacuum-pump-5-cfm-93266", "https://edmondsonsupply.com/products/yellow-jacket-yjii-vacuum-pump-5-cfm-93266")</f>
        <v/>
      </c>
      <c r="C1689" t="inlineStr">
        <is>
          <t>Yellow Jacket 93266 YJII™ 5 CFM Vacuum Pump</t>
        </is>
      </c>
      <c r="D1689" t="inlineStr">
        <is>
          <t>YELLOW JACKET 93600 Bullet Single Phase Vacuum Pump, 7 Cfm, 115V, 60 Hz</t>
        </is>
      </c>
      <c r="E1689" s="2">
        <f>HYPERLINK("https://www.amazon.com/YELLOW-JACKET-93600-Bullet-Single/dp/B007ID2BKE/ref=sr_1_2?keywords=Yellow+Jacket+93266+YJII%E2%84%A2+5+CFM+Vacuum+Pump&amp;qid=1694734612&amp;sr=8-2", "https://www.amazon.com/YELLOW-JACKET-93600-Bullet-Single/dp/B007ID2BKE/ref=sr_1_2?keywords=Yellow+Jacket+93266+YJII%E2%84%A2+5+CFM+Vacuum+Pump&amp;qid=1694734612&amp;sr=8-2")</f>
        <v/>
      </c>
      <c r="F1689" t="inlineStr">
        <is>
          <t>B007ID2BKE</t>
        </is>
      </c>
      <c r="G1689">
        <f>_xlfn.IMAGE("https://edmondsonsupply.com/cdn/shop/products/93266-YJII-Vacuum-Pump-484x416.jpg?v=1605058989")</f>
        <v/>
      </c>
      <c r="H1689">
        <f>_xlfn.IMAGE("https://m.media-amazon.com/images/I/615RV1bqJ5S._AC_UL320_.jpg")</f>
        <v/>
      </c>
      <c r="K1689" t="inlineStr">
        <is>
          <t>322.56</t>
        </is>
      </c>
      <c r="L1689" t="n">
        <v>533.9400000000001</v>
      </c>
      <c r="M1689" s="1" t="inlineStr">
        <is>
          <t>65.53%</t>
        </is>
      </c>
      <c r="N1689" s="7" t="n">
        <v>3.28</v>
      </c>
      <c r="O1689" t="n">
        <v>4.3</v>
      </c>
      <c r="P1689" t="n">
        <v>34</v>
      </c>
      <c r="R1689" t="inlineStr">
        <is>
          <t>InStock</t>
        </is>
      </c>
      <c r="S1689" t="inlineStr">
        <is>
          <t>undefined</t>
        </is>
      </c>
      <c r="T1689" t="inlineStr">
        <is>
          <t>3599841165412</t>
        </is>
      </c>
    </row>
    <row r="1690" ht="87" customHeight="1">
      <c r="A1690" s="2">
        <f>HYPERLINK("https://edmondsonsupply.com/collections/hvac/products/supco-brkpro-fuse-testing-super-kit", "https://edmondsonsupply.com/collections/hvac/products/supco-brkpro-fuse-testing-super-kit")</f>
        <v/>
      </c>
      <c r="B1690" s="2">
        <f>HYPERLINK("https://edmondsonsupply.com/products/supco-brkpro-fuse-testing-super-kit", "https://edmondsonsupply.com/products/supco-brkpro-fuse-testing-super-kit")</f>
        <v/>
      </c>
      <c r="C1690" t="inlineStr">
        <is>
          <t>Supco BRK3 3 Amp Fuse Pro Breaker - Tester with Light</t>
        </is>
      </c>
      <c r="D1690" t="inlineStr">
        <is>
          <t>Supplying Demand BRK3 Fuse Pro 3 AMP Tester with Light Plugs Into PC Board</t>
        </is>
      </c>
      <c r="E1690" s="2">
        <f>HYPERLINK("https://www.amazon.com/Supplying-Demand-Tester-Light-Plugs/dp/B08G5CCG25/ref=sr_1_1?keywords=Supco+BRK3+3+Amp+Fuse+Pro+Breaker+-+Tester+with+Light&amp;qid=1694734667&amp;sr=8-1", "https://www.amazon.com/Supplying-Demand-Tester-Light-Plugs/dp/B08G5CCG25/ref=sr_1_1?keywords=Supco+BRK3+3+Amp+Fuse+Pro+Breaker+-+Tester+with+Light&amp;qid=1694734667&amp;sr=8-1")</f>
        <v/>
      </c>
      <c r="F1690" t="inlineStr">
        <is>
          <t>B08G5CCG25</t>
        </is>
      </c>
      <c r="G1690">
        <f>_xlfn.IMAGE("https://edmondsonsupply.com/cdn/shop/products/BRK3.png?v=1681778790")</f>
        <v/>
      </c>
      <c r="H1690">
        <f>_xlfn.IMAGE("https://m.media-amazon.com/images/I/61OQNAV+E0L._AC_UL320_.jpg")</f>
        <v/>
      </c>
      <c r="K1690" t="inlineStr">
        <is>
          <t>11.9</t>
        </is>
      </c>
      <c r="L1690" t="n">
        <v>19.69</v>
      </c>
      <c r="M1690" s="1" t="inlineStr">
        <is>
          <t>65.46%</t>
        </is>
      </c>
      <c r="N1690" s="7" t="n">
        <v>3.23</v>
      </c>
      <c r="O1690" t="n">
        <v>4.4</v>
      </c>
      <c r="P1690" t="n">
        <v>33</v>
      </c>
      <c r="R1690" t="inlineStr">
        <is>
          <t>InStock</t>
        </is>
      </c>
      <c r="S1690" t="inlineStr">
        <is>
          <t>undefined</t>
        </is>
      </c>
      <c r="T1690" t="inlineStr">
        <is>
          <t>4725385330788</t>
        </is>
      </c>
    </row>
    <row r="1691" ht="87" customHeight="1">
      <c r="A1691" s="2">
        <f>HYPERLINK("https://edmondsonsupply.com/collections/hvac/products/solderweld-sw-alcu5k-al-cop-braze-aluminum-to-copper-brazing-rod-flux-core-5-rod-pack", "https://edmondsonsupply.com/collections/hvac/products/solderweld-sw-alcu5k-al-cop-braze-aluminum-to-copper-brazing-rod-flux-core-5-rod-pack")</f>
        <v/>
      </c>
      <c r="B1691" s="2">
        <f>HYPERLINK("https://edmondsonsupply.com/products/solderweld-sw-alcu5k-al-cop-braze-aluminum-to-copper-brazing-rod-flux-core-5-rod-pack", "https://edmondsonsupply.com/products/solderweld-sw-alcu5k-al-cop-braze-aluminum-to-copper-brazing-rod-flux-core-5-rod-pack")</f>
        <v/>
      </c>
      <c r="C1691" t="inlineStr">
        <is>
          <t>SolderWeld SW-AlCu5K Al-Cop Braze - Aluminum to Copper Brazing Rod - Flux Core, 5 Rod Pack</t>
        </is>
      </c>
      <c r="D1691" t="inlineStr">
        <is>
          <t>Solderweld SW-ALCU8K Al-Cop Braze Aluminum to Copper Brazing 8 18" Rods per pack</t>
        </is>
      </c>
      <c r="E1691" s="2">
        <f>HYPERLINK("https://www.amazon.com/Solderweld-SW-ALCU8K-Al-Cop-Aluminum-Brazing/dp/B0B75JZYC7/ref=sr_1_3?keywords=SolderWeld+SW-AlCu5K+Al-Cop+Braze+-+Aluminum+to+Copper+Brazing+Rod+-+Flux+Core%2C+5+Rod+Pack&amp;qid=1694734580&amp;sr=8-3", "https://www.amazon.com/Solderweld-SW-ALCU8K-Al-Cop-Aluminum-Brazing/dp/B0B75JZYC7/ref=sr_1_3?keywords=SolderWeld+SW-AlCu5K+Al-Cop+Braze+-+Aluminum+to+Copper+Brazing+Rod+-+Flux+Core%2C+5+Rod+Pack&amp;qid=1694734580&amp;sr=8-3")</f>
        <v/>
      </c>
      <c r="F1691" t="inlineStr">
        <is>
          <t>B0B75JZYC7</t>
        </is>
      </c>
      <c r="G1691">
        <f>_xlfn.IMAGE("https://edmondsonsupply.com/cdn/shop/products/AlCopBraze_1024x1024_c03bc993-98ff-4fd2-9871-1a1e24a818d0.jpg?v=1633030235")</f>
        <v/>
      </c>
      <c r="H1691">
        <f>_xlfn.IMAGE("https://m.media-amazon.com/images/I/61R6G7N8daL._AC_UL320_.jpg")</f>
        <v/>
      </c>
      <c r="K1691" t="inlineStr">
        <is>
          <t>27.75</t>
        </is>
      </c>
      <c r="L1691" t="n">
        <v>45.85</v>
      </c>
      <c r="M1691" s="1" t="inlineStr">
        <is>
          <t>65.23%</t>
        </is>
      </c>
      <c r="N1691" s="7" t="n">
        <v>3.16</v>
      </c>
      <c r="O1691" t="n">
        <v>5</v>
      </c>
      <c r="P1691" t="n">
        <v>1</v>
      </c>
      <c r="R1691" t="inlineStr">
        <is>
          <t>InStock</t>
        </is>
      </c>
      <c r="S1691" t="inlineStr">
        <is>
          <t>undefined</t>
        </is>
      </c>
      <c r="T1691" t="inlineStr">
        <is>
          <t>4599315497060</t>
        </is>
      </c>
    </row>
    <row r="1692" ht="87" customHeight="1">
      <c r="A1692" s="2">
        <f>HYPERLINK("https://edmondsonsupply.com/collections/hvac/products/klein-tools-69410-replacement-test-lead-set-right-angle", "https://edmondsonsupply.com/collections/hvac/products/klein-tools-69410-replacement-test-lead-set-right-angle")</f>
        <v/>
      </c>
      <c r="B1692" s="2">
        <f>HYPERLINK("https://edmondsonsupply.com/products/klein-tools-69410-replacement-test-lead-set-right-angle", "https://edmondsonsupply.com/products/klein-tools-69410-replacement-test-lead-set-right-angle")</f>
        <v/>
      </c>
      <c r="C1692" t="inlineStr">
        <is>
          <t>Klein Tools 69410 Replacement Test Lead Set, Right Angle</t>
        </is>
      </c>
      <c r="D1692" t="inlineStr">
        <is>
          <t>Klein Tools 69410 Replacement Test Lead Set, Right Angle &amp; 69381 Alligator Clip Test Leads, Heavy-Duty Replacement Meter Leads, for All Meters Using Banana Plug Meter Leads, 3-Foot</t>
        </is>
      </c>
      <c r="E1692" s="2">
        <f>HYPERLINK("https://www.amazon.com/Klein-Tools-Replacement-Alligator-Heavy-Duty/dp/B0C3B9WXP6/ref=sr_1_2?keywords=Klein+Tools+69410+Replacement+Test+Lead+Set%2C+Right+Angle&amp;qid=1694734832&amp;sr=8-2", "https://www.amazon.com/Klein-Tools-Replacement-Alligator-Heavy-Duty/dp/B0C3B9WXP6/ref=sr_1_2?keywords=Klein+Tools+69410+Replacement+Test+Lead+Set%2C+Right+Angle&amp;qid=1694734832&amp;sr=8-2")</f>
        <v/>
      </c>
      <c r="F1692" t="inlineStr">
        <is>
          <t>B0C3B9WXP6</t>
        </is>
      </c>
      <c r="G1692">
        <f>_xlfn.IMAGE("https://edmondsonsupply.com/cdn/shop/products/69410.jpg?v=1587143393")</f>
        <v/>
      </c>
      <c r="H1692">
        <f>_xlfn.IMAGE("https://m.media-amazon.com/images/I/51n7wUjxshL._AC_UY218_.jpg")</f>
        <v/>
      </c>
      <c r="K1692" t="inlineStr">
        <is>
          <t>19.97</t>
        </is>
      </c>
      <c r="L1692" t="n">
        <v>32.97</v>
      </c>
      <c r="M1692" s="1" t="inlineStr">
        <is>
          <t>65.10%</t>
        </is>
      </c>
      <c r="N1692" s="7" t="n">
        <v>3.1</v>
      </c>
      <c r="O1692" t="n">
        <v>4.5</v>
      </c>
      <c r="P1692" t="n">
        <v>10</v>
      </c>
      <c r="R1692" t="inlineStr">
        <is>
          <t>InStock</t>
        </is>
      </c>
      <c r="S1692" t="inlineStr">
        <is>
          <t>27.1</t>
        </is>
      </c>
      <c r="T1692" t="inlineStr">
        <is>
          <t>4274171543652</t>
        </is>
      </c>
    </row>
    <row r="1693" hidden="1" ht="15.75" customHeight="1">
      <c r="A1693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693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693" t="inlineStr">
        <is>
          <t>Klein Tools JTH6E14 5/16-Inch Hex Key with Journeyman T-Handle, 6-Inch</t>
        </is>
      </c>
      <c r="D1693" t="inlineStr">
        <is>
          <t>Klein Tools JTH6E14 5/16-Inch Hex Key, Journeyman T-Handle, 6-Inch</t>
        </is>
      </c>
      <c r="E1693" s="2">
        <f>HYPERLINK("https://www.amazon.com/Journeyman-T-Handle-Klein-Tools-JTH6E14/dp/B004ITSTL6/ref=sr_1_1?keywords=Klein+Tools+JTH6E14+5%2F16-Inch+Hex+Key+with+Journeyman+T-Handle%2C+6-Inch&amp;qid=1694734648&amp;sr=8-1", "https://www.amazon.com/Journeyman-T-Handle-Klein-Tools-JTH6E14/dp/B004ITSTL6/ref=sr_1_1?keywords=Klein+Tools+JTH6E14+5%2F16-Inch+Hex+Key+with+Journeyman+T-Handle%2C+6-Inch&amp;qid=1694734648&amp;sr=8-1")</f>
        <v/>
      </c>
      <c r="F1693" t="inlineStr">
        <is>
          <t>B004ITSTL6</t>
        </is>
      </c>
      <c r="G1693">
        <f>_xludf.IMAGE("https://edmondsonsupply.com/cdn/shop/products/jth6e15.jpg?v=1587148489")</f>
        <v/>
      </c>
      <c r="H1693">
        <f>_xludf.IMAGE("https://m.media-amazon.com/images/I/51FYt5m7vZL._AC_UL320_.jpg")</f>
        <v/>
      </c>
      <c r="K1693" t="inlineStr">
        <is>
          <t>6.99</t>
        </is>
      </c>
      <c r="L1693" t="n">
        <v>11.54</v>
      </c>
      <c r="M1693" s="1" t="inlineStr">
        <is>
          <t>65.09%</t>
        </is>
      </c>
      <c r="N1693" s="1" t="n">
        <v>3.03</v>
      </c>
      <c r="O1693" t="n">
        <v>4.8</v>
      </c>
      <c r="P1693" t="n">
        <v>2477</v>
      </c>
      <c r="R1693" t="inlineStr">
        <is>
          <t>InStock</t>
        </is>
      </c>
      <c r="S1693" t="inlineStr">
        <is>
          <t>10.5</t>
        </is>
      </c>
      <c r="T1693" t="inlineStr">
        <is>
          <t>3694843822180</t>
        </is>
      </c>
    </row>
    <row r="1694" ht="87" customHeight="1">
      <c r="A1694" s="2">
        <f>HYPERLINK("https://edmondsonsupply.com/collections/hvac/products/supco-zmf56", "https://edmondsonsupply.com/collections/hvac/products/supco-zmf56")</f>
        <v/>
      </c>
      <c r="B1694" s="2">
        <f>HYPERLINK("https://edmondsonsupply.com/products/supco-zmf56", "https://edmondsonsupply.com/products/supco-zmf56")</f>
        <v/>
      </c>
      <c r="C1694" t="inlineStr">
        <is>
          <t>Supco ZMF56 Mini-Fit™ Flexible Mini-Split Adapter</t>
        </is>
      </c>
      <c r="D1694" t="inlineStr">
        <is>
          <t>Supplying Demand ZMF56 Flexible Mini-Split Adapter Adapts From 1/4 To 5/16 Inch Mini Split Fittings</t>
        </is>
      </c>
      <c r="E1694" s="2">
        <f>HYPERLINK("https://www.amazon.com/Supplying-Demand-Flexible-Adapter-Fittings/dp/B094SRRBGR/ref=sr_1_1?keywords=Supco+ZMF56+Mini-Fit%E2%84%A2+Flexible+Mini-Split+Adapter&amp;qid=1694734574&amp;sr=8-1", "https://www.amazon.com/Supplying-Demand-Flexible-Adapter-Fittings/dp/B094SRRBGR/ref=sr_1_1?keywords=Supco+ZMF56+Mini-Fit%E2%84%A2+Flexible+Mini-Split+Adapter&amp;qid=1694734574&amp;sr=8-1")</f>
        <v/>
      </c>
      <c r="F1694" t="inlineStr">
        <is>
          <t>B094SRRBGR</t>
        </is>
      </c>
      <c r="G1694">
        <f>_xlfn.IMAGE("https://edmondsonsupply.com/cdn/shop/products/zmf56.jpg?v=1633030329")</f>
        <v/>
      </c>
      <c r="H1694">
        <f>_xlfn.IMAGE("https://m.media-amazon.com/images/I/51F6L+HRiAS._AC_UL320_.jpg")</f>
        <v/>
      </c>
      <c r="K1694" t="inlineStr">
        <is>
          <t>12.11</t>
        </is>
      </c>
      <c r="L1694" t="n">
        <v>19.99</v>
      </c>
      <c r="M1694" s="1" t="inlineStr">
        <is>
          <t>65.07%</t>
        </is>
      </c>
      <c r="N1694" s="7" t="n">
        <v>2.92</v>
      </c>
      <c r="O1694" t="n">
        <v>4.5</v>
      </c>
      <c r="P1694" t="n">
        <v>12</v>
      </c>
      <c r="R1694" t="inlineStr">
        <is>
          <t>InStock</t>
        </is>
      </c>
      <c r="S1694" t="inlineStr">
        <is>
          <t>undefined</t>
        </is>
      </c>
      <c r="T1694" t="inlineStr">
        <is>
          <t>5263087042728</t>
        </is>
      </c>
    </row>
    <row r="1695" hidden="1" ht="15.75" customHeight="1">
      <c r="A1695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1695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1695" t="inlineStr">
        <is>
          <t>ICM Controls ICM2813 Furnace Control Board - Replacement for Lennox</t>
        </is>
      </c>
      <c r="D1695" t="inlineStr">
        <is>
          <t>ICM282A Replacement ICM Controls, Carrier HK42FZ004, HK42FZ007, HK42FZ008, HK42FZ009, HK42FZ011, HK42FZ013, HK42FZ016 and HK42FZ0 Series Furnace Control Board Module</t>
        </is>
      </c>
      <c r="E1695" s="2">
        <f>HYPERLINK("https://www.amazon.com/ICM282A-Replacement-HK42FZ004-HK42FZ007-HK42FZ008/dp/B0C5LZFXDK/ref=sr_1_9?keywords=ICM+Controls+ICM2813+Furnace+Control+Board+-+Replacement+for+Lennox&amp;qid=1694734575&amp;sr=8-9", "https://www.amazon.com/ICM282A-Replacement-HK42FZ004-HK42FZ007-HK42FZ008/dp/B0C5LZFXDK/ref=sr_1_9?keywords=ICM+Controls+ICM2813+Furnace+Control+Board+-+Replacement+for+Lennox&amp;qid=1694734575&amp;sr=8-9")</f>
        <v/>
      </c>
      <c r="F1695" t="inlineStr">
        <is>
          <t>B0C5LZFXDK</t>
        </is>
      </c>
      <c r="G1695">
        <f>_xludf.IMAGE("https://edmondsonsupply.com/cdn/shop/products/ICM2813.jpg?v=1666552363")</f>
        <v/>
      </c>
      <c r="H1695">
        <f>_xludf.IMAGE("https://m.media-amazon.com/images/I/711ATMo0g6L._AC_UL320_.jpg")</f>
        <v/>
      </c>
      <c r="K1695" t="inlineStr">
        <is>
          <t>99.99</t>
        </is>
      </c>
      <c r="L1695" t="n">
        <v>165</v>
      </c>
      <c r="M1695" s="1" t="inlineStr">
        <is>
          <t>65.02%</t>
        </is>
      </c>
      <c r="N1695" s="1" t="n">
        <v>2.83</v>
      </c>
      <c r="O1695" t="n">
        <v>1</v>
      </c>
      <c r="P1695" t="n">
        <v>2</v>
      </c>
      <c r="R1695" t="inlineStr">
        <is>
          <t>InStock</t>
        </is>
      </c>
      <c r="S1695" t="inlineStr">
        <is>
          <t>111.21</t>
        </is>
      </c>
      <c r="T1695" t="inlineStr">
        <is>
          <t>7864012341464</t>
        </is>
      </c>
    </row>
    <row r="1696" ht="87" customHeight="1">
      <c r="A1696" s="2">
        <f>HYPERLINK("https://edmondsonsupply.com/collections/hvac/products/white-rodgers-24a34-4-24v-electric-heat-sequencer-dpst", "https://edmondsonsupply.com/collections/hvac/products/white-rodgers-24a34-4-24v-electric-heat-sequencer-dpst")</f>
        <v/>
      </c>
      <c r="B1696" s="2">
        <f>HYPERLINK("https://edmondsonsupply.com/products/white-rodgers-24a34-4-24v-electric-heat-sequencer-dpst", "https://edmondsonsupply.com/products/white-rodgers-24a34-4-24v-electric-heat-sequencer-dpst")</f>
        <v/>
      </c>
      <c r="C1696" t="inlineStr">
        <is>
          <t>White-Rodgers 24A34-4 24V Electric Heat Sequencer, DPST</t>
        </is>
      </c>
      <c r="D1696" t="inlineStr">
        <is>
          <t>White Rodgers 24A34-2 - Electric Heat Sequencer, 1 Switch, 1 Timing,</t>
        </is>
      </c>
      <c r="E1696" s="2">
        <f>HYPERLINK("https://www.amazon.com/White-Rodgers-24A34-2-Electric-Sequencer/dp/B017RQXXFS/ref=sr_1_17?keywords=White-Rodgers+24A34-4+24V+Electric+Heat+Sequencer%2C+DPST&amp;qid=1694734663&amp;sr=8-17", "https://www.amazon.com/White-Rodgers-24A34-2-Electric-Sequencer/dp/B017RQXXFS/ref=sr_1_17?keywords=White-Rodgers+24A34-4+24V+Electric+Heat+Sequencer%2C+DPST&amp;qid=1694734663&amp;sr=8-17")</f>
        <v/>
      </c>
      <c r="F1696" t="inlineStr">
        <is>
          <t>B017RQXXFS</t>
        </is>
      </c>
      <c r="G1696">
        <f>_xlfn.IMAGE("https://edmondsonsupply.com/cdn/shop/products/24A34-4.jpg?v=1633030706")</f>
        <v/>
      </c>
      <c r="H1696">
        <f>_xlfn.IMAGE("https://m.media-amazon.com/images/I/41E-ED7x6RL._AC_UL320_.jpg")</f>
        <v/>
      </c>
      <c r="K1696" t="inlineStr">
        <is>
          <t>12.99</t>
        </is>
      </c>
      <c r="L1696" t="n">
        <v>21.43</v>
      </c>
      <c r="M1696" s="1" t="inlineStr">
        <is>
          <t>64.97%</t>
        </is>
      </c>
      <c r="N1696" s="7" t="n">
        <v>2.8</v>
      </c>
      <c r="O1696" t="n">
        <v>5</v>
      </c>
      <c r="P1696" t="n">
        <v>1</v>
      </c>
      <c r="R1696" t="inlineStr">
        <is>
          <t>InStock</t>
        </is>
      </c>
      <c r="S1696" t="inlineStr">
        <is>
          <t>30.34</t>
        </is>
      </c>
      <c r="T1696" t="inlineStr">
        <is>
          <t>5861153145000</t>
        </is>
      </c>
    </row>
    <row r="1697" ht="87" customHeight="1">
      <c r="A1697" s="2">
        <f>HYPERLINK("https://edmondsonsupply.com/collections/hvac/products/white-rodgers-24a34-3-24v-electric-heat-sequencer-dpst", "https://edmondsonsupply.com/collections/hvac/products/white-rodgers-24a34-3-24v-electric-heat-sequencer-dpst")</f>
        <v/>
      </c>
      <c r="B1697" s="2">
        <f>HYPERLINK("https://edmondsonsupply.com/products/white-rodgers-24a34-3-24v-electric-heat-sequencer-dpst", "https://edmondsonsupply.com/products/white-rodgers-24a34-3-24v-electric-heat-sequencer-dpst")</f>
        <v/>
      </c>
      <c r="C1697" t="inlineStr">
        <is>
          <t>White-Rodgers 24A34-3 24V Electric Heat Sequencer, DPST</t>
        </is>
      </c>
      <c r="D1697" t="inlineStr">
        <is>
          <t>White Rodgers 24A34-2 - Electric Heat Sequencer, 1 Switch, 1 Timing,</t>
        </is>
      </c>
      <c r="E1697" s="2">
        <f>HYPERLINK("https://www.amazon.com/White-Rodgers-24A34-2-Electric-Sequencer/dp/B017RQXXFS/ref=sr_1_9?keywords=White-Rodgers+24A34-3+24V+Electric+Heat+Sequencer%2C+DPST&amp;qid=1694734608&amp;sr=8-9", "https://www.amazon.com/White-Rodgers-24A34-2-Electric-Sequencer/dp/B017RQXXFS/ref=sr_1_9?keywords=White-Rodgers+24A34-3+24V+Electric+Heat+Sequencer%2C+DPST&amp;qid=1694734608&amp;sr=8-9")</f>
        <v/>
      </c>
      <c r="F1697" t="inlineStr">
        <is>
          <t>B017RQXXFS</t>
        </is>
      </c>
      <c r="G1697">
        <f>_xlfn.IMAGE("https://edmondsonsupply.com/cdn/shop/products/24A34-3.jpg?v=1633030705")</f>
        <v/>
      </c>
      <c r="H1697">
        <f>_xlfn.IMAGE("https://m.media-amazon.com/images/I/41E-ED7x6RL._AC_UL320_.jpg")</f>
        <v/>
      </c>
      <c r="K1697" t="inlineStr">
        <is>
          <t>12.99</t>
        </is>
      </c>
      <c r="L1697" t="n">
        <v>21.43</v>
      </c>
      <c r="M1697" s="1" t="inlineStr">
        <is>
          <t>64.97%</t>
        </is>
      </c>
      <c r="N1697" s="7" t="n">
        <v>2.6</v>
      </c>
      <c r="O1697" t="n">
        <v>5</v>
      </c>
      <c r="P1697" t="n">
        <v>1</v>
      </c>
      <c r="R1697" t="inlineStr">
        <is>
          <t>InStock</t>
        </is>
      </c>
      <c r="S1697" t="inlineStr">
        <is>
          <t>30.34</t>
        </is>
      </c>
      <c r="T1697" t="inlineStr">
        <is>
          <t>5861046452392</t>
        </is>
      </c>
    </row>
    <row r="1698" ht="87" customHeight="1">
      <c r="A1698" s="2">
        <f>HYPERLINK("https://edmondsonsupply.com/collections/hvac/products/appion-mh380001bab-megaflow-megaflow-3-8in-hose-1-ft-1-4fl-to-1-4fl-45-blue", "https://edmondsonsupply.com/collections/hvac/products/appion-mh380001bab-megaflow-megaflow-3-8in-hose-1-ft-1-4fl-to-1-4fl-45-blue")</f>
        <v/>
      </c>
      <c r="B1698" s="2">
        <f>HYPERLINK("https://edmondsonsupply.com/products/appion-mh380001bab-megaflow-megaflow-3-8in-hose-1-ft-1-4fl-to-1-4fl-45-blue", "https://edmondsonsupply.com/products/appion-mh380001bab-megaflow-megaflow-3-8in-hose-1-ft-1-4fl-to-1-4fl-45-blue")</f>
        <v/>
      </c>
      <c r="C1698" t="inlineStr">
        <is>
          <t>Appion MH380001BAB MegaFlow 3/8in Hose - 1 ft (1/4FL to 1/4FL-45°) Blue</t>
        </is>
      </c>
      <c r="D1698" t="inlineStr">
        <is>
          <t>Appion MH380006AAY - MegaFlow 3/8in Hose - 6 ft (1/4FL to 1/4FL) Yellow</t>
        </is>
      </c>
      <c r="E1698" s="2">
        <f>HYPERLINK("https://www.amazon.com/Appion-MH380006AAY-Dia-6-foot-Yellow/dp/B072JBR98L/ref=sr_1_2?keywords=Appion+MH380001BAB+MegaFlow+3%2F8in+Hose+-+1+ft+%281%2F4FL+to+1%2F4FL-45%C2%B0%29+Blue&amp;qid=1694734683&amp;sr=8-2", "https://www.amazon.com/Appion-MH380006AAY-Dia-6-foot-Yellow/dp/B072JBR98L/ref=sr_1_2?keywords=Appion+MH380001BAB+MegaFlow+3%2F8in+Hose+-+1+ft+%281%2F4FL+to+1%2F4FL-45%C2%B0%29+Blue&amp;qid=1694734683&amp;sr=8-2")</f>
        <v/>
      </c>
      <c r="F1698" t="inlineStr">
        <is>
          <t>B072JBR98L</t>
        </is>
      </c>
      <c r="G1698">
        <f>_xlfn.IMAGE("https://edmondsonsupply.com/cdn/shop/products/MH380001BAB_1080.png?v=1678328641")</f>
        <v/>
      </c>
      <c r="H1698">
        <f>_xlfn.IMAGE("https://m.media-amazon.com/images/I/51N9D8MncgL._AC_UL320_.jpg")</f>
        <v/>
      </c>
      <c r="K1698" t="inlineStr">
        <is>
          <t>43.99</t>
        </is>
      </c>
      <c r="L1698" t="n">
        <v>72.40000000000001</v>
      </c>
      <c r="M1698" s="1" t="inlineStr">
        <is>
          <t>64.58%</t>
        </is>
      </c>
      <c r="N1698" s="7" t="n">
        <v>2.33</v>
      </c>
      <c r="O1698" t="n">
        <v>4.4</v>
      </c>
      <c r="P1698" t="n">
        <v>33</v>
      </c>
      <c r="R1698" t="inlineStr">
        <is>
          <t>InStock</t>
        </is>
      </c>
      <c r="S1698" t="inlineStr">
        <is>
          <t>54.99</t>
        </is>
      </c>
      <c r="T1698" t="inlineStr">
        <is>
          <t>7958665167064</t>
        </is>
      </c>
    </row>
    <row r="1699" hidden="1" ht="15.75" customHeight="1">
      <c r="A1699" s="2">
        <f>HYPERLINK("https://edmondsonsupply.com/collections/hvac/products/packard-titan-pro-trcd355-run-capacitor-35-5-mfd-370-volt-round", "https://edmondsonsupply.com/collections/hvac/products/packard-titan-pro-trcd355-run-capacitor-35-5-mfd-370-volt-round")</f>
        <v/>
      </c>
      <c r="B1699" s="2">
        <f>HYPERLINK("https://edmondsonsupply.com/products/packard-titan-pro-trcd355-run-capacitor-35-5-mfd-370-volt-round", "https://edmondsonsupply.com/products/packard-titan-pro-trcd355-run-capacitor-35-5-mfd-370-volt-round")</f>
        <v/>
      </c>
      <c r="C1699" t="inlineStr">
        <is>
          <t>Packard Titan PRO TRCD355 Run Capacitor 35+5 MFD 370 Volt Round</t>
        </is>
      </c>
      <c r="D1699" t="inlineStr">
        <is>
          <t>PACKARD TRCD455 Titan Pro 45+5 MFD 370V Round Run Capacitor Replaces PRCD455</t>
        </is>
      </c>
      <c r="E1699" s="2">
        <f>HYPERLINK("https://www.amazon.com/PACKARD-TRCD455-Capacitor-Replaces-PRCD455/dp/B00K3M3NQ8/ref=sr_1_4?keywords=Packard+Titan+PRO+TRCD355+Run+Capacitor+35%2B5+MFD+370+Volt+Round&amp;qid=1694734648&amp;sr=8-4", "https://www.amazon.com/PACKARD-TRCD455-Capacitor-Replaces-PRCD455/dp/B00K3M3NQ8/ref=sr_1_4?keywords=Packard+Titan+PRO+TRCD355+Run+Capacitor+35%2B5+MFD+370+Volt+Round&amp;qid=1694734648&amp;sr=8-4")</f>
        <v/>
      </c>
      <c r="F1699" t="inlineStr">
        <is>
          <t>B00K3M3NQ8</t>
        </is>
      </c>
      <c r="G1699">
        <f>_xludf.IMAGE("https://edmondsonsupply.com/cdn/shop/products/TRCD355-2.jpg?v=1633030395")</f>
        <v/>
      </c>
      <c r="H1699">
        <f>_xludf.IMAGE("https://m.media-amazon.com/images/I/4118O3-fIGL._AC_UY218_.jpg")</f>
        <v/>
      </c>
      <c r="K1699" t="inlineStr">
        <is>
          <t>8.53</t>
        </is>
      </c>
      <c r="L1699" t="n">
        <v>13.99</v>
      </c>
      <c r="M1699" s="1" t="inlineStr">
        <is>
          <t>64.01%</t>
        </is>
      </c>
      <c r="N1699" s="1" t="n">
        <v>2</v>
      </c>
      <c r="O1699" t="n">
        <v>4.4</v>
      </c>
      <c r="P1699" t="n">
        <v>140</v>
      </c>
      <c r="R1699" t="inlineStr">
        <is>
          <t>InStock</t>
        </is>
      </c>
      <c r="S1699" t="inlineStr">
        <is>
          <t>undefined</t>
        </is>
      </c>
      <c r="T1699" t="inlineStr">
        <is>
          <t>5302188998824</t>
        </is>
      </c>
    </row>
    <row r="1700" ht="87" customHeight="1">
      <c r="A1700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700" s="2">
        <f>HYPERLINK("https://edmondsonsupply.com/products/midwest-mwt-6510s-straight-offset-aviation-snip", "https://edmondsonsupply.com/products/midwest-mwt-6510s-straight-offset-aviation-snip")</f>
        <v/>
      </c>
      <c r="C1700" t="inlineStr">
        <is>
          <t>Midwest MWT-6510S Straight Offset Aviation Snip</t>
        </is>
      </c>
      <c r="D1700" t="inlineStr">
        <is>
          <t>MIDWEST Power Cutters Long Cut Snip - Straight Cut Offset Tin Cutting Shears with Forged Blade &amp; KUSH'N-POWER Comfort Grips - MWT-6516</t>
        </is>
      </c>
      <c r="E1700" s="2">
        <f>HYPERLINK("https://www.amazon.com/MIDWEST-Power-Cutters-Long-Snip/dp/B00OCGQJDA/ref=sr_1_5?keywords=Midwest+MWT-6510S+Straight+Offset+Aviation+Snip&amp;qid=1694734608&amp;sr=8-5", "https://www.amazon.com/MIDWEST-Power-Cutters-Long-Snip/dp/B00OCGQJDA/ref=sr_1_5?keywords=Midwest+MWT-6510S+Straight+Offset+Aviation+Snip&amp;qid=1694734608&amp;sr=8-5")</f>
        <v/>
      </c>
      <c r="F1700" t="inlineStr">
        <is>
          <t>B00OCGQJDA</t>
        </is>
      </c>
      <c r="G1700">
        <f>_xlfn.IMAGE("https://edmondsonsupply.com/cdn/shop/products/MWT-6510S-1.jpg?v=1587150061")</f>
        <v/>
      </c>
      <c r="H1700">
        <f>_xlfn.IMAGE("https://m.media-amazon.com/images/I/71QtxtcAK3L._AC_UL320_.jpg")</f>
        <v/>
      </c>
      <c r="K1700" t="inlineStr">
        <is>
          <t>23.49</t>
        </is>
      </c>
      <c r="L1700" t="n">
        <v>38.49</v>
      </c>
      <c r="M1700" s="1" t="inlineStr">
        <is>
          <t>63.86%</t>
        </is>
      </c>
      <c r="N1700" s="7" t="n">
        <v>1.98</v>
      </c>
      <c r="O1700" t="n">
        <v>4.6</v>
      </c>
      <c r="P1700" t="n">
        <v>1556</v>
      </c>
      <c r="R1700" t="inlineStr">
        <is>
          <t>OutOfStock</t>
        </is>
      </c>
      <c r="S1700" t="inlineStr">
        <is>
          <t>33.49</t>
        </is>
      </c>
      <c r="T1700" t="inlineStr">
        <is>
          <t>4436158677092</t>
        </is>
      </c>
    </row>
    <row r="1701" ht="87" customHeight="1">
      <c r="A1701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701" s="2">
        <f>HYPERLINK("https://edmondsonsupply.com/products/packard-prmj270-motor-start-capacitor-270-324-mfd-330-vac", "https://edmondsonsupply.com/products/packard-prmj270-motor-start-capacitor-270-324-mfd-330-vac")</f>
        <v/>
      </c>
      <c r="C1701" t="inlineStr">
        <is>
          <t>Packard PRMJ270 Motor Start Capacitor 270-324 MFD 330 VAC</t>
        </is>
      </c>
      <c r="D1701" t="inlineStr">
        <is>
          <t>[Upgraded] Ultra Durable 270-324 Mfd uF 250VAC Round Motor Start Capacitor 50/60 Hz AC Electric Replacement Part by Blue Stars</t>
        </is>
      </c>
      <c r="E1701" s="2">
        <f>HYPERLINK("https://www.amazon.com/270-324-Mfd-uF-250VAC-Replacement/dp/B0BP6M6Z24/ref=sr_1_8?keywords=Packard+PRMJ270+Motor+Start+Capacitor+270-324+MFD+330+VAC&amp;qid=1694734674&amp;sr=8-8", "https://www.amazon.com/270-324-Mfd-uF-250VAC-Replacement/dp/B0BP6M6Z24/ref=sr_1_8?keywords=Packard+PRMJ270+Motor+Start+Capacitor+270-324+MFD+330+VAC&amp;qid=1694734674&amp;sr=8-8")</f>
        <v/>
      </c>
      <c r="F1701" t="inlineStr">
        <is>
          <t>B0BP6M6Z24</t>
        </is>
      </c>
      <c r="G1701">
        <f>_xlfn.IMAGE("https://edmondsonsupply.com/cdn/shop/products/PRMJ270-2.jpg?v=1633030164")</f>
        <v/>
      </c>
      <c r="H1701">
        <f>_xlfn.IMAGE("https://m.media-amazon.com/images/I/81n7Mr6dTvL._AC_UY218_.jpg")</f>
        <v/>
      </c>
      <c r="K1701" t="inlineStr">
        <is>
          <t>10.37</t>
        </is>
      </c>
      <c r="L1701" t="n">
        <v>16.99</v>
      </c>
      <c r="M1701" s="1" t="inlineStr">
        <is>
          <t>63.84%</t>
        </is>
      </c>
      <c r="N1701" s="7" t="n">
        <v>1.86</v>
      </c>
      <c r="O1701" t="n">
        <v>5</v>
      </c>
      <c r="P1701" t="n">
        <v>5</v>
      </c>
      <c r="R1701" t="inlineStr">
        <is>
          <t>InStock</t>
        </is>
      </c>
      <c r="S1701" t="inlineStr">
        <is>
          <t>undefined</t>
        </is>
      </c>
      <c r="T1701" t="inlineStr">
        <is>
          <t>4298743185508</t>
        </is>
      </c>
    </row>
    <row r="1702" ht="87" customHeight="1">
      <c r="A1702" s="2">
        <f>HYPERLINK("https://edmondsonsupply.com/collections/hvac/products/uei-dmg150-digital-micron-gauge", "https://edmondsonsupply.com/collections/hvac/products/uei-dmg150-digital-micron-gauge")</f>
        <v/>
      </c>
      <c r="B1702" s="2">
        <f>HYPERLINK("https://edmondsonsupply.com/products/uei-dmg150-digital-micron-gauge", "https://edmondsonsupply.com/products/uei-dmg150-digital-micron-gauge")</f>
        <v/>
      </c>
      <c r="C1702" t="inlineStr">
        <is>
          <t>UEi PDT650 Digital Folding Pocket Thermometer</t>
        </is>
      </c>
      <c r="D1702" t="inlineStr">
        <is>
          <t>UEi PDT655 Differential Temperature Folding Pocket Thermometer, HVAC Digital Thermometer with Backlit Display and Magnetic Mount, Measures -58 to 572°F</t>
        </is>
      </c>
      <c r="E1702" s="2">
        <f>HYPERLINK("https://www.amazon.com/UEi-PDT655-Folding-Pocket-Thermometer/dp/B0938HPW8R/ref=sr_1_4?keywords=UEi+PDT650+Digital+Folding+Pocket+Thermometer&amp;qid=1694734589&amp;sr=8-4", "https://www.amazon.com/UEi-PDT655-Folding-Pocket-Thermometer/dp/B0938HPW8R/ref=sr_1_4?keywords=UEi+PDT650+Digital+Folding+Pocket+Thermometer&amp;qid=1694734589&amp;sr=8-4")</f>
        <v/>
      </c>
      <c r="F1702" t="inlineStr">
        <is>
          <t>B0938HPW8R</t>
        </is>
      </c>
      <c r="G1702">
        <f>_xlfn.IMAGE("https://edmondsonsupply.com/cdn/shop/products/PDT650-1.png?v=1633030101")</f>
        <v/>
      </c>
      <c r="H1702">
        <f>_xlfn.IMAGE("https://m.media-amazon.com/images/I/41g8A4ZvhTS._AC_UY218_.jpg")</f>
        <v/>
      </c>
      <c r="K1702" t="inlineStr">
        <is>
          <t>19.51</t>
        </is>
      </c>
      <c r="L1702" t="n">
        <v>31.95</v>
      </c>
      <c r="M1702" s="1" t="inlineStr">
        <is>
          <t>63.76%</t>
        </is>
      </c>
      <c r="N1702" s="7" t="n">
        <v>1.86</v>
      </c>
      <c r="O1702" t="n">
        <v>4.6</v>
      </c>
      <c r="P1702" t="n">
        <v>52</v>
      </c>
      <c r="R1702" t="inlineStr">
        <is>
          <t>InStock</t>
        </is>
      </c>
      <c r="S1702" t="inlineStr">
        <is>
          <t>22.95</t>
        </is>
      </c>
      <c r="T1702" t="inlineStr">
        <is>
          <t>3569106649188</t>
        </is>
      </c>
    </row>
    <row r="1703" hidden="1" ht="15.75" customHeight="1">
      <c r="A1703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703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703" t="inlineStr">
        <is>
          <t>Yellow Jacket 25002 9" FLEXFLOW™ 1/4" Adaper Hose with Ball Valve - Yellow</t>
        </is>
      </c>
      <c r="D1703" t="inlineStr">
        <is>
          <t>Yellow Jacket 29595 Plus II 1/4" Hose with Compact Ball Valve, 60", Black</t>
        </is>
      </c>
      <c r="E1703" s="2">
        <f>HYPERLINK("https://www.amazon.com/Yellow-Jacket-29595-Compact-Valve/dp/B009AXC11Y/ref=sr_1_3?keywords=Yellow+Jacket+25002+9%22+FLEXFLOW%E2%84%A2+1%2F4%22+Adaper+Hose+with+Ball+Valve+-+Yellow&amp;qid=1694734728&amp;sr=8-3", "https://www.amazon.com/Yellow-Jacket-29595-Compact-Valve/dp/B009AXC11Y/ref=sr_1_3?keywords=Yellow+Jacket+25002+9%22+FLEXFLOW%E2%84%A2+1%2F4%22+Adaper+Hose+with+Ball+Valve+-+Yellow&amp;qid=1694734728&amp;sr=8-3")</f>
        <v/>
      </c>
      <c r="F1703" t="inlineStr">
        <is>
          <t>B009AXC11Y</t>
        </is>
      </c>
      <c r="G1703">
        <f>_xludf.IMAGE("https://edmondsonsupply.com/cdn/shop/products/Yellow_Jacket_25002.jpg?v=1587150917")</f>
        <v/>
      </c>
      <c r="H1703">
        <f>_xludf.IMAGE("https://m.media-amazon.com/images/I/81lQW5Z52kL._AC_UL320_.jpg")</f>
        <v/>
      </c>
      <c r="K1703" t="inlineStr">
        <is>
          <t>35.54</t>
        </is>
      </c>
      <c r="L1703" t="n">
        <v>58.18</v>
      </c>
      <c r="M1703" s="1" t="inlineStr">
        <is>
          <t>63.70%</t>
        </is>
      </c>
      <c r="N1703" s="1" t="n">
        <v>1.56</v>
      </c>
      <c r="O1703" t="n">
        <v>4</v>
      </c>
      <c r="P1703" t="n">
        <v>19</v>
      </c>
      <c r="R1703" t="inlineStr">
        <is>
          <t>InStock</t>
        </is>
      </c>
      <c r="S1703" t="inlineStr">
        <is>
          <t>undefined</t>
        </is>
      </c>
      <c r="T1703" t="inlineStr">
        <is>
          <t>2633213739108</t>
        </is>
      </c>
    </row>
    <row r="1704" ht="87" customHeight="1">
      <c r="A1704" s="2">
        <f>HYPERLINK("https://edmondsonsupply.com/collections/hvac/products/klein-tools-ir07-dual-ir-probe-thermometer", "https://edmondsonsupply.com/collections/hvac/products/klein-tools-ir07-dual-ir-probe-thermometer")</f>
        <v/>
      </c>
      <c r="B1704" s="2">
        <f>HYPERLINK("https://edmondsonsupply.com/products/klein-tools-ir07-dual-ir-probe-thermometer", "https://edmondsonsupply.com/products/klein-tools-ir07-dual-ir-probe-thermometer")</f>
        <v/>
      </c>
      <c r="C1704" t="inlineStr">
        <is>
          <t>Klein Tools IR07 Dual IR/Probe Thermometer</t>
        </is>
      </c>
      <c r="D1704" t="inlineStr">
        <is>
          <t>Klein Tools IR07 Dual Infrared (IR) and Probe Pocket Size LCD Digital Thermometer &amp; ET140 Pinless Moisture Meter for Non-Destructive Moisture Detection</t>
        </is>
      </c>
      <c r="E1704" s="2">
        <f>HYPERLINK("https://www.amazon.com/Klein-Tools-Thermometer-Non-Destructive-Detection/dp/B0BD41GF81/ref=sr_1_2?keywords=Klein+Tools+IR07+Dual+IR%2FProbe+Thermometer&amp;qid=1694734825&amp;sr=8-2", "https://www.amazon.com/Klein-Tools-Thermometer-Non-Destructive-Detection/dp/B0BD41GF81/ref=sr_1_2?keywords=Klein+Tools+IR07+Dual+IR%2FProbe+Thermometer&amp;qid=1694734825&amp;sr=8-2")</f>
        <v/>
      </c>
      <c r="F1704" t="inlineStr">
        <is>
          <t>B0BD41GF81</t>
        </is>
      </c>
      <c r="G1704">
        <f>_xlfn.IMAGE("https://edmondsonsupply.com/cdn/shop/products/ir07.jpg?v=1599003623")</f>
        <v/>
      </c>
      <c r="H1704">
        <f>_xlfn.IMAGE("https://m.media-amazon.com/images/I/41ZBBvpbShL._AC_UY218_.jpg")</f>
        <v/>
      </c>
      <c r="K1704" t="inlineStr">
        <is>
          <t>57.49</t>
        </is>
      </c>
      <c r="L1704" t="n">
        <v>93.94</v>
      </c>
      <c r="M1704" s="1" t="inlineStr">
        <is>
          <t>63.40%</t>
        </is>
      </c>
      <c r="N1704" s="7" t="n">
        <v>1.55</v>
      </c>
      <c r="O1704" t="n">
        <v>5</v>
      </c>
      <c r="P1704" t="n">
        <v>2</v>
      </c>
      <c r="R1704" t="inlineStr">
        <is>
          <t>InStock</t>
        </is>
      </c>
      <c r="S1704" t="inlineStr">
        <is>
          <t>72.06</t>
        </is>
      </c>
      <c r="T1704" t="inlineStr">
        <is>
          <t>3320746770532</t>
        </is>
      </c>
    </row>
    <row r="1705" ht="87" customHeight="1">
      <c r="A1705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1705" s="2">
        <f>HYPERLINK("https://edmondsonsupply.com/products/klein-tools-3005cr-ratcheting-crimper-10-22-awg", "https://edmondsonsupply.com/products/klein-tools-3005cr-ratcheting-crimper-10-22-awg")</f>
        <v/>
      </c>
      <c r="C1705" t="inlineStr">
        <is>
          <t>Klein Tools 3005CR Ratcheting Crimper, 10-22 AWG - Insulated Terminals</t>
        </is>
      </c>
      <c r="D1705" t="inlineStr">
        <is>
          <t>Titan 11477 Ratcheting Wire Terminal Crimper Tool for Insulated Terminals &amp; Wire Cutter and Stripper, for 8-20 AWG Solid and 10-22 AWG Stranded Electrical Wire Klein Tools 11063W</t>
        </is>
      </c>
      <c r="E1705" s="2">
        <f>HYPERLINK("https://www.amazon.com/Titan-Ratcheting-Insulated-Terminals-Electrical/dp/B08DY433KH/ref=sr_1_6?keywords=Klein+Tools+3005CR+Ratcheting+Crimper%2C+10-22+AWG+-+Insulated+Terminals&amp;qid=1694734673&amp;sr=8-6", "https://www.amazon.com/Titan-Ratcheting-Insulated-Terminals-Electrical/dp/B08DY433KH/ref=sr_1_6?keywords=Klein+Tools+3005CR+Ratcheting+Crimper%2C+10-22+AWG+-+Insulated+Terminals&amp;qid=1694734673&amp;sr=8-6")</f>
        <v/>
      </c>
      <c r="F1705" t="inlineStr">
        <is>
          <t>B08DY433KH</t>
        </is>
      </c>
      <c r="G1705">
        <f>_xlfn.IMAGE("https://edmondsonsupply.com/cdn/shop/products/3005cr.jpg?v=1587146892")</f>
        <v/>
      </c>
      <c r="H1705">
        <f>_xlfn.IMAGE("https://m.media-amazon.com/images/I/41RLyNO17GL._AC_UL320_.jpg")</f>
        <v/>
      </c>
      <c r="K1705" t="inlineStr">
        <is>
          <t>29.97</t>
        </is>
      </c>
      <c r="L1705" t="n">
        <v>48.96</v>
      </c>
      <c r="M1705" s="1" t="inlineStr">
        <is>
          <t>63.36%</t>
        </is>
      </c>
      <c r="N1705" s="7" t="n">
        <v>1.5</v>
      </c>
      <c r="O1705" t="n">
        <v>4.6</v>
      </c>
      <c r="P1705" t="n">
        <v>3</v>
      </c>
      <c r="R1705" t="inlineStr">
        <is>
          <t>InStock</t>
        </is>
      </c>
      <c r="S1705" t="inlineStr">
        <is>
          <t>42.9</t>
        </is>
      </c>
      <c r="T1705" t="inlineStr">
        <is>
          <t>3699388907620</t>
        </is>
      </c>
    </row>
    <row r="1706" hidden="1" ht="15.75" customHeight="1">
      <c r="A1706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1706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1706" t="inlineStr">
        <is>
          <t>Holyoke Fittings 1055-12FPFH 3/4" Garden Hose Thread Fitting - Brass Nut Female to Female Pipe Swivel Adapter</t>
        </is>
      </c>
      <c r="D1706" t="inlineStr">
        <is>
          <t>Sanpaint 2 Pack Brass Garden Hose Threaded 1/2" NPT to 3/4" GHT Fitting Connect,Dual Swivel Connector Adapter,Double Female Thread 3/4 Inch x 1/2 Inch NPT Pipe</t>
        </is>
      </c>
      <c r="E1706" s="2">
        <f>HYPERLINK("https://www.amazon.com/Sanpaint-Threaded-NPT-GHT-Connector/dp/B0BZS3TTS1/ref=sr_1_1?keywords=Holyoke+Fittings+1055-12FPFH+3%2F4%22+Garden+Hose+Thread+Fitting+-+Brass+Nut+Female+to+Female+Pipe+Swivel+Adapter&amp;qid=1694734917&amp;sr=8-1", "https://www.amazon.com/Sanpaint-Threaded-NPT-GHT-Connector/dp/B0BZS3TTS1/ref=sr_1_1?keywords=Holyoke+Fittings+1055-12FPFH+3%2F4%22+Garden+Hose+Thread+Fitting+-+Brass+Nut+Female+to+Female+Pipe+Swivel+Adapter&amp;qid=1694734917&amp;sr=8-1")</f>
        <v/>
      </c>
      <c r="F1706" t="inlineStr">
        <is>
          <t>B0BZS3TTS1</t>
        </is>
      </c>
      <c r="G1706">
        <f>_xludf.IMAGE("https://edmondsonsupply.com/cdn/shop/files/1055-12FPFH_1.jpg?v=1686089478")</f>
        <v/>
      </c>
      <c r="H1706">
        <f>_xludf.IMAGE("https://m.media-amazon.com/images/I/71UARR2uNDL._AC_UL320_.jpg")</f>
        <v/>
      </c>
      <c r="K1706" t="inlineStr">
        <is>
          <t>4.29</t>
        </is>
      </c>
      <c r="L1706" t="n">
        <v>6.99</v>
      </c>
      <c r="M1706" s="1" t="inlineStr">
        <is>
          <t>62.94%</t>
        </is>
      </c>
      <c r="N1706" s="1" t="n">
        <v>1.48</v>
      </c>
      <c r="O1706" t="n">
        <v>4.7</v>
      </c>
      <c r="P1706" t="n">
        <v>67</v>
      </c>
      <c r="R1706" t="inlineStr">
        <is>
          <t>InStock</t>
        </is>
      </c>
      <c r="S1706" t="inlineStr">
        <is>
          <t>5.81</t>
        </is>
      </c>
      <c r="T1706" t="inlineStr">
        <is>
          <t>8002208432344</t>
        </is>
      </c>
    </row>
    <row r="1707" hidden="1" ht="15.75" customHeight="1">
      <c r="A1707" s="2">
        <f>HYPERLINK("https://edmondsonsupply.com/collections/hvac/products/holyoke-fittings-1055-12fpfh-3-4-garden-hose-thread-fitting-die-cast-nut-female-to-female-pipe-swivel-adapter", "https://edmondsonsupply.com/collections/hvac/products/holyoke-fittings-1055-12fpfh-3-4-garden-hose-thread-fitting-die-cast-nut-female-to-female-pipe-swivel-adapter")</f>
        <v/>
      </c>
      <c r="B1707" s="2">
        <f>HYPERLINK("https://edmondsonsupply.com/products/holyoke-fittings-1055-12fpfh-3-4-garden-hose-thread-fitting-die-cast-nut-female-to-female-pipe-swivel-adapter", "https://edmondsonsupply.com/products/holyoke-fittings-1055-12fpfh-3-4-garden-hose-thread-fitting-die-cast-nut-female-to-female-pipe-swivel-adapter")</f>
        <v/>
      </c>
      <c r="C1707" t="inlineStr">
        <is>
          <t>Holyoke Fittings 1055-12FPFH 3/4" Garden Hose Thread Fitting - Brass Nut Female to Female Pipe Swivel Adapter</t>
        </is>
      </c>
      <c r="D1707" t="inlineStr">
        <is>
          <t>YOUHO Garden Hose Adapter Double Female Brass Swivel Thread Size 1/2" NPT (F) to 3/4" NH (F) Garden Pipe Joint Extension Repair Fitting（1 Pack）</t>
        </is>
      </c>
      <c r="E1707" s="2">
        <f>HYPERLINK("https://www.amazon.com/HZFJ-Connector-Adapter-Industrial-Threaded/dp/B08F296B98/ref=sr_1_7?keywords=Holyoke+Fittings+1055-12FPFH+3%2F4%22+Garden+Hose+Thread+Fitting+-+Brass+Nut+Female+to+Female+Pipe+Swivel+Adapter&amp;qid=1694734917&amp;sr=8-7", "https://www.amazon.com/HZFJ-Connector-Adapter-Industrial-Threaded/dp/B08F296B98/ref=sr_1_7?keywords=Holyoke+Fittings+1055-12FPFH+3%2F4%22+Garden+Hose+Thread+Fitting+-+Brass+Nut+Female+to+Female+Pipe+Swivel+Adapter&amp;qid=1694734917&amp;sr=8-7")</f>
        <v/>
      </c>
      <c r="F1707" t="inlineStr">
        <is>
          <t>B08F296B98</t>
        </is>
      </c>
      <c r="G1707">
        <f>_xludf.IMAGE("https://edmondsonsupply.com/cdn/shop/files/1055-12FPFH_1.jpg?v=1686089478")</f>
        <v/>
      </c>
      <c r="H1707">
        <f>_xludf.IMAGE("https://m.media-amazon.com/images/I/615-8gaEsTS._AC_UL320_.jpg")</f>
        <v/>
      </c>
      <c r="K1707" t="inlineStr">
        <is>
          <t>4.29</t>
        </is>
      </c>
      <c r="L1707" t="n">
        <v>6.99</v>
      </c>
      <c r="M1707" s="1" t="inlineStr">
        <is>
          <t>62.94%</t>
        </is>
      </c>
      <c r="N1707" s="1" t="n">
        <v>1.45</v>
      </c>
      <c r="O1707" t="n">
        <v>4.3</v>
      </c>
      <c r="P1707" t="n">
        <v>132</v>
      </c>
      <c r="R1707" t="inlineStr">
        <is>
          <t>InStock</t>
        </is>
      </c>
      <c r="S1707" t="inlineStr">
        <is>
          <t>5.81</t>
        </is>
      </c>
      <c r="T1707" t="inlineStr">
        <is>
          <t>8002208432344</t>
        </is>
      </c>
    </row>
    <row r="1708" ht="87" customHeight="1">
      <c r="A1708" s="2">
        <f>HYPERLINK("https://edmondsonsupply.com/collections/hvac/products/channellock-430cb", "https://edmondsonsupply.com/collections/hvac/products/channellock-430cb")</f>
        <v/>
      </c>
      <c r="B1708" s="2">
        <f>HYPERLINK("https://edmondsonsupply.com/products/channellock-430cb", "https://edmondsonsupply.com/products/channellock-430cb")</f>
        <v/>
      </c>
      <c r="C1708" t="inlineStr">
        <is>
          <t>Channellock 430CB 10" Code Blue Straight Jaw Tongue &amp; Groove Pliers</t>
        </is>
      </c>
      <c r="D1708" t="inlineStr">
        <is>
          <t>Channellock 440 Tongue and Groove Pliers | 12-Inch Straight Jaw Groove Joint Plier with Comfort Grips| Made in USA, Black, Blue, Silver &amp; 442 Tongue and Groove Pliers, 12 In, Black, Blue, Silver</t>
        </is>
      </c>
      <c r="E1708" s="2">
        <f>HYPERLINK("https://www.amazon.com/Channellock-Tongue-12-Inch-Straight-Comfort/dp/B0BFXP68V9/ref=sr_1_17?keywords=Channellock+430CB+10%22+Code+Blue+Straight+Jaw+Tongue+%26+Groove+Pliers&amp;qid=1694734733&amp;sr=8-17", "https://www.amazon.com/Channellock-Tongue-12-Inch-Straight-Comfort/dp/B0BFXP68V9/ref=sr_1_17?keywords=Channellock+430CB+10%22+Code+Blue+Straight+Jaw+Tongue+%26+Groove+Pliers&amp;qid=1694734733&amp;sr=8-17")</f>
        <v/>
      </c>
      <c r="F1708" t="inlineStr">
        <is>
          <t>B0BFXP68V9</t>
        </is>
      </c>
      <c r="G1708">
        <f>_xlfn.IMAGE("https://edmondsonsupply.com/cdn/shop/products/430CB-683x1024.jpg?v=1587147133")</f>
        <v/>
      </c>
      <c r="H1708">
        <f>_xlfn.IMAGE("https://m.media-amazon.com/images/I/41d-z+Tl0SL._AC_UL320_.jpg")</f>
        <v/>
      </c>
      <c r="K1708" t="inlineStr">
        <is>
          <t>26.95</t>
        </is>
      </c>
      <c r="L1708" t="n">
        <v>43.9</v>
      </c>
      <c r="M1708" s="1" t="inlineStr">
        <is>
          <t>62.89%</t>
        </is>
      </c>
      <c r="N1708" s="7" t="n">
        <v>1.45</v>
      </c>
      <c r="O1708" t="n">
        <v>5</v>
      </c>
      <c r="P1708" t="n">
        <v>2</v>
      </c>
      <c r="R1708" t="inlineStr">
        <is>
          <t>InStock</t>
        </is>
      </c>
      <c r="S1708" t="inlineStr">
        <is>
          <t>37.91</t>
        </is>
      </c>
      <c r="T1708" t="inlineStr">
        <is>
          <t>3725968736356</t>
        </is>
      </c>
    </row>
    <row r="1709" ht="87" customHeight="1">
      <c r="A1709" s="2">
        <f>HYPERLINK("https://edmondsonsupply.com/collections/hvac/products/pro1-iaq-t705-digital-7-day-or-5-1-1-programmable-thermostat-1-heat-1-cool", "https://edmondsonsupply.com/collections/hvac/products/pro1-iaq-t705-digital-7-day-or-5-1-1-programmable-thermostat-1-heat-1-cool")</f>
        <v/>
      </c>
      <c r="B1709" s="2">
        <f>HYPERLINK("https://edmondsonsupply.com/products/pro1-iaq-t705-digital-7-day-or-5-1-1-programmable-thermostat-1-heat-1-cool", "https://edmondsonsupply.com/products/pro1-iaq-t705-digital-7-day-or-5-1-1-programmable-thermostat-1-heat-1-cool")</f>
        <v/>
      </c>
      <c r="C1709" t="inlineStr">
        <is>
          <t>PRO1 IAQ T705 Digital 7-Day or 5/1/1 Programmable Thermostat, 1 Heat - 1 Cool</t>
        </is>
      </c>
      <c r="D1709" t="inlineStr">
        <is>
          <t>PRO1 IAQ T725 Programmable 2H/1C Digital Heat Pump Thermostat with 4 sq. in. Display</t>
        </is>
      </c>
      <c r="E1709" s="2">
        <f>HYPERLINK("https://www.amazon.com/PRO1-Programmable-Digital-Thermostat-display/dp/B00H8B382Q/ref=sr_1_12?keywords=PRO1+IAQ+T705+Digital+7-Day+or+5%2F1%2F1+Programmable+Thermostat%2C+1+Heat+-+1+Cool&amp;qid=1694734878&amp;sr=8-12", "https://www.amazon.com/PRO1-Programmable-Digital-Thermostat-display/dp/B00H8B382Q/ref=sr_1_12?keywords=PRO1+IAQ+T705+Digital+7-Day+or+5%2F1%2F1+Programmable+Thermostat%2C+1+Heat+-+1+Cool&amp;qid=1694734878&amp;sr=8-12")</f>
        <v/>
      </c>
      <c r="F1709" t="inlineStr">
        <is>
          <t>B00H8B382Q</t>
        </is>
      </c>
      <c r="G1709">
        <f>_xlfn.IMAGE("https://edmondsonsupply.com/cdn/shop/files/pro1-t705-hero.png?v=1690139090")</f>
        <v/>
      </c>
      <c r="H1709">
        <f>_xlfn.IMAGE("https://m.media-amazon.com/images/I/414Pzq8ZHvL._AC_UL320_.jpg")</f>
        <v/>
      </c>
      <c r="K1709" t="inlineStr">
        <is>
          <t>42.97</t>
        </is>
      </c>
      <c r="L1709" t="n">
        <v>69.98999999999999</v>
      </c>
      <c r="M1709" s="1" t="inlineStr">
        <is>
          <t>62.88%</t>
        </is>
      </c>
      <c r="N1709" s="7" t="n">
        <v>1.4</v>
      </c>
      <c r="O1709" t="n">
        <v>4.5</v>
      </c>
      <c r="P1709" t="n">
        <v>21</v>
      </c>
      <c r="R1709" t="inlineStr">
        <is>
          <t>InStock</t>
        </is>
      </c>
      <c r="S1709" t="inlineStr">
        <is>
          <t>100.27</t>
        </is>
      </c>
      <c r="T1709" t="inlineStr">
        <is>
          <t>8019962003672</t>
        </is>
      </c>
    </row>
    <row r="1710" ht="87" customHeight="1">
      <c r="A1710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1710" s="2">
        <f>HYPERLINK("https://edmondsonsupply.com/products/klein-tools-d2000-28glw-diagonal-cutting-pliers-hi-viz-8-inch", "https://edmondsonsupply.com/products/klein-tools-d2000-28glw-diagonal-cutting-pliers-hi-viz-8-inch")</f>
        <v/>
      </c>
      <c r="C1710" t="inlineStr">
        <is>
          <t>Klein Tools D200028GLW Diagonal Cutting Pliers, High-Visibility, 8-Inch</t>
        </is>
      </c>
      <c r="D1710" t="inlineStr">
        <is>
          <t>Klein Tools D248-8-INS Pliers, Insulated Diagonal Cutting Pliers with Angled Head, High-Leverage Design, and 1000V Rated Grips, 8-Inch</t>
        </is>
      </c>
      <c r="E1710" s="2">
        <f>HYPERLINK("https://www.amazon.com/Klein-Tools-D248-8-INS-Insulated-Leverage/dp/B0002RI9PO/ref=sr_1_22?keywords=Klein+Tools+D200028GLW+Diagonal+Cutting+Pliers%2C+High-Visibility%2C+8-Inch&amp;qid=1694734781&amp;sr=8-22", "https://www.amazon.com/Klein-Tools-D248-8-INS-Insulated-Leverage/dp/B0002RI9PO/ref=sr_1_22?keywords=Klein+Tools+D200028GLW+Diagonal+Cutting+Pliers%2C+High-Visibility%2C+8-Inch&amp;qid=1694734781&amp;sr=8-22")</f>
        <v/>
      </c>
      <c r="F1710" t="inlineStr">
        <is>
          <t>B0002RI9PO</t>
        </is>
      </c>
      <c r="G1710">
        <f>_xlfn.IMAGE("https://edmondsonsupply.com/cdn/shop/products/d200028glw.jpg?v=1633030701")</f>
        <v/>
      </c>
      <c r="H1710">
        <f>_xlfn.IMAGE("https://m.media-amazon.com/images/I/51y0fmyJPBL._AC_UL320_.jpg")</f>
        <v/>
      </c>
      <c r="K1710" t="inlineStr">
        <is>
          <t>37.49</t>
        </is>
      </c>
      <c r="L1710" t="n">
        <v>60.99</v>
      </c>
      <c r="M1710" s="1" t="inlineStr">
        <is>
          <t>62.68%</t>
        </is>
      </c>
      <c r="N1710" s="7" t="n">
        <v>1.37</v>
      </c>
      <c r="O1710" t="n">
        <v>4.8</v>
      </c>
      <c r="P1710" t="n">
        <v>111</v>
      </c>
      <c r="R1710" t="inlineStr">
        <is>
          <t>InStock</t>
        </is>
      </c>
      <c r="S1710" t="inlineStr">
        <is>
          <t>56.78</t>
        </is>
      </c>
      <c r="T1710" t="inlineStr">
        <is>
          <t>5848287477928</t>
        </is>
      </c>
    </row>
    <row r="1711" ht="87" customHeight="1">
      <c r="A1711" s="2">
        <f>HYPERLINK("https://edmondsonsupply.com/collections/hvac/products/packard-trcfd555-titan-pro-run-capacitor-55-5-mfd-440-370-volt-round", "https://edmondsonsupply.com/collections/hvac/products/packard-trcfd555-titan-pro-run-capacitor-55-5-mfd-440-370-volt-round")</f>
        <v/>
      </c>
      <c r="B1711" s="2">
        <f>HYPERLINK("https://edmondsonsupply.com/products/packard-trcfd555-titan-pro-run-capacitor-55-5-mfd-440-370-volt-round", "https://edmondsonsupply.com/products/packard-trcfd555-titan-pro-run-capacitor-55-5-mfd-440-370-volt-round")</f>
        <v/>
      </c>
      <c r="C1711" t="inlineStr">
        <is>
          <t>Packard TRCFD555 Titan PRO Run Capacitor 55+5 MFD 440/370 Volt Round</t>
        </is>
      </c>
      <c r="D1711" t="inlineStr">
        <is>
          <t>Titan TRCFD555 Dual Rated Motor Run Capacitor Round MFD 55/5 Volts 440/370</t>
        </is>
      </c>
      <c r="E1711" s="2">
        <f>HYPERLINK("https://www.amazon.com/Titan-TRCFD555-Rated-Motor-Capacitor/dp/B01IC1YX74/ref=sr_1_2?keywords=Packard+TRCFD555+Titan+PRO+Run+Capacitor+55+5+MFD+440%2F370+Volt+Round&amp;qid=1694734588&amp;sr=8-2", "https://www.amazon.com/Titan-TRCFD555-Rated-Motor-Capacitor/dp/B01IC1YX74/ref=sr_1_2?keywords=Packard+TRCFD555+Titan+PRO+Run+Capacitor+55+5+MFD+440%2F370+Volt+Round&amp;qid=1694734588&amp;sr=8-2")</f>
        <v/>
      </c>
      <c r="F1711" t="inlineStr">
        <is>
          <t>B01IC1YX74</t>
        </is>
      </c>
      <c r="G1711">
        <f>_xlfn.IMAGE("https://edmondsonsupply.com/cdn/shop/products/TRCFD555-2.jpg?v=1633030311")</f>
        <v/>
      </c>
      <c r="H1711">
        <f>_xlfn.IMAGE("https://m.media-amazon.com/images/I/81rHH7HwrAL._AC_UY218_.jpg")</f>
        <v/>
      </c>
      <c r="K1711" t="inlineStr">
        <is>
          <t>10.31</t>
        </is>
      </c>
      <c r="L1711" t="n">
        <v>16.77</v>
      </c>
      <c r="M1711" s="1" t="inlineStr">
        <is>
          <t>62.66%</t>
        </is>
      </c>
      <c r="N1711" s="7" t="n">
        <v>1.37</v>
      </c>
      <c r="O1711" t="n">
        <v>4.8</v>
      </c>
      <c r="P1711" t="n">
        <v>59</v>
      </c>
      <c r="R1711" t="inlineStr">
        <is>
          <t>InStock</t>
        </is>
      </c>
      <c r="S1711" t="inlineStr">
        <is>
          <t>undefined</t>
        </is>
      </c>
      <c r="T1711" t="inlineStr">
        <is>
          <t>5242703347880</t>
        </is>
      </c>
    </row>
    <row r="1712" hidden="1" ht="15.75" customHeight="1">
      <c r="A1712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712" s="2">
        <f>HYPERLINK("https://edmondsonsupply.com/products/klein-tools-646-5-16-5-16-inch-nut-driver-6-inch-hollow-shaft", "https://edmondsonsupply.com/products/klein-tools-646-5-16-5-16-inch-nut-driver-6-inch-hollow-shaft")</f>
        <v/>
      </c>
      <c r="C1712" t="inlineStr">
        <is>
          <t>Klein Tools 646-5/16 5/16-Inch Nut Driver, 6-Inch Hollow Shaft</t>
        </is>
      </c>
      <c r="D1712" t="inlineStr">
        <is>
          <t>Klein Tools 640-7/16 7/16-Inch Coated Nut Driver with 3-Inch Hollow Shaft and Cushion Grip Handle</t>
        </is>
      </c>
      <c r="E1712" s="2">
        <f>HYPERLINK("https://www.amazon.com/16-Inch-Klein-Tools-640-7-16/dp/B00093DZYG/ref=sr_1_28?keywords=Klein+Tools+646-5%2F16+5%2F16-Inch+Nut+Driver%2C+6-Inch+Hollow+Shaft&amp;qid=1694734728&amp;sr=8-28", "https://www.amazon.com/16-Inch-Klein-Tools-640-7-16/dp/B00093DZYG/ref=sr_1_28?keywords=Klein+Tools+646-5%2F16+5%2F16-Inch+Nut+Driver%2C+6-Inch+Hollow+Shaft&amp;qid=1694734728&amp;sr=8-28")</f>
        <v/>
      </c>
      <c r="F1712" t="inlineStr">
        <is>
          <t>B00093DZYG</t>
        </is>
      </c>
      <c r="G1712">
        <f>_xludf.IMAGE("https://edmondsonsupply.com/cdn/shop/products/646-1-2_e1540905-f750-4509-90c5-74ff653e4d83.jpg?v=1587145119")</f>
        <v/>
      </c>
      <c r="H1712">
        <f>_xludf.IMAGE("https://m.media-amazon.com/images/I/61eCMBwqqTL._AC_UL320_.jpg")</f>
        <v/>
      </c>
      <c r="K1712" t="inlineStr">
        <is>
          <t>7.99</t>
        </is>
      </c>
      <c r="L1712" t="n">
        <v>12.99</v>
      </c>
      <c r="M1712" s="1" t="inlineStr">
        <is>
          <t>62.58%</t>
        </is>
      </c>
      <c r="N1712" s="1" t="n">
        <v>1.17</v>
      </c>
      <c r="O1712" t="n">
        <v>4.1</v>
      </c>
      <c r="P1712" t="n">
        <v>20</v>
      </c>
      <c r="R1712" t="inlineStr">
        <is>
          <t>InStock</t>
        </is>
      </c>
      <c r="S1712" t="inlineStr">
        <is>
          <t>12.1</t>
        </is>
      </c>
      <c r="T1712" t="inlineStr">
        <is>
          <t>4395303272548</t>
        </is>
      </c>
    </row>
    <row r="1713" ht="87" customHeight="1">
      <c r="A1713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713" s="2">
        <f>HYPERLINK("https://edmondsonsupply.com/products/klein-tools-32314-14-in-1-precision-screwdriver-nut-driver", "https://edmondsonsupply.com/products/klein-tools-32314-14-in-1-precision-screwdriver-nut-driver")</f>
        <v/>
      </c>
      <c r="C1713" t="inlineStr">
        <is>
          <t>Klein Tools 32314 14-in-1 Precision Screwdriver/ Nut Driver</t>
        </is>
      </c>
      <c r="D1713" t="inlineStr">
        <is>
          <t>Klein Tools 32314 Electronic Screwdriver, 14-in-1 with 8 Precision Tips &amp; 32561 Multi-Bit Screwdriver/Nut Driver, 6-in-1 Stubby Screwdriver with 2 Phillips, 2 Slotted Bits, 2 Nut Drivers</t>
        </is>
      </c>
      <c r="E1713" s="2">
        <f>HYPERLINK("https://www.amazon.com/Klein-Tools-Electronic-Screwdriver-Precision/dp/B09Z9278H4/ref=sr_1_2?keywords=Klein+Tools+32314+14-in-1+Precision+Screwdriver%2F+Nut+Driver&amp;qid=1694734697&amp;sr=8-2", "https://www.amazon.com/Klein-Tools-Electronic-Screwdriver-Precision/dp/B09Z9278H4/ref=sr_1_2?keywords=Klein+Tools+32314+14-in-1+Precision+Screwdriver%2F+Nut+Driver&amp;qid=1694734697&amp;sr=8-2")</f>
        <v/>
      </c>
      <c r="F1713" t="inlineStr">
        <is>
          <t>B09Z9278H4</t>
        </is>
      </c>
      <c r="G1713">
        <f>_xlfn.IMAGE("https://edmondsonsupply.com/cdn/shop/products/32314.jpg?v=1646593726")</f>
        <v/>
      </c>
      <c r="H1713">
        <f>_xlfn.IMAGE("https://m.media-amazon.com/images/I/41L4nOieMWL._AC_UL320_.jpg")</f>
        <v/>
      </c>
      <c r="K1713" t="inlineStr">
        <is>
          <t>15.97</t>
        </is>
      </c>
      <c r="L1713" t="n">
        <v>25.94</v>
      </c>
      <c r="M1713" s="1" t="inlineStr">
        <is>
          <t>62.43%</t>
        </is>
      </c>
      <c r="N1713" s="7" t="n">
        <v>0.96</v>
      </c>
      <c r="O1713" t="n">
        <v>4.8</v>
      </c>
      <c r="P1713" t="n">
        <v>7</v>
      </c>
      <c r="R1713" t="inlineStr">
        <is>
          <t>InStock</t>
        </is>
      </c>
      <c r="S1713" t="inlineStr">
        <is>
          <t>22.38</t>
        </is>
      </c>
      <c r="T1713" t="inlineStr">
        <is>
          <t>7626984947928</t>
        </is>
      </c>
    </row>
    <row r="1714" ht="87" customHeight="1">
      <c r="A1714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714" s="2">
        <f>HYPERLINK("https://edmondsonsupply.com/products/packard-c230b-contactor-2-pole-30-amps-120-coil-voltage", "https://edmondsonsupply.com/products/packard-c230b-contactor-2-pole-30-amps-120-coil-voltage")</f>
        <v/>
      </c>
      <c r="C1714" t="inlineStr">
        <is>
          <t>Packard C230B Contactor 2 Pole 30 AMPS 120 Coil Voltage</t>
        </is>
      </c>
      <c r="D1714" t="inlineStr">
        <is>
          <t>30 AMP 120 VAC Double 2-pole Definite Purpose Contactor Hvac Packard C230b</t>
        </is>
      </c>
      <c r="E1714" s="2">
        <f>HYPERLINK("https://www.amazon.com/Double-Definite-Purpose-Contactor-Packard/dp/B00PXJOTPK/ref=sr_1_4?keywords=Packard+C230B+Contactor+2+Pole+30+AMPS+120+Coil+Voltage&amp;qid=1694734817&amp;sr=8-4", "https://www.amazon.com/Double-Definite-Purpose-Contactor-Packard/dp/B00PXJOTPK/ref=sr_1_4?keywords=Packard+C230B+Contactor+2+Pole+30+AMPS+120+Coil+Voltage&amp;qid=1694734817&amp;sr=8-4")</f>
        <v/>
      </c>
      <c r="F1714" t="inlineStr">
        <is>
          <t>B00PXJOTPK</t>
        </is>
      </c>
      <c r="G1714">
        <f>_xlfn.IMAGE("https://edmondsonsupply.com/cdn/shop/products/C230B-1.jpg?v=1587142333")</f>
        <v/>
      </c>
      <c r="H1714">
        <f>_xlfn.IMAGE("https://m.media-amazon.com/images/I/517SFvwTTgL._AC_UY218_.jpg")</f>
        <v/>
      </c>
      <c r="K1714" t="inlineStr">
        <is>
          <t>10.82</t>
        </is>
      </c>
      <c r="L1714" t="n">
        <v>17.57</v>
      </c>
      <c r="M1714" s="1" t="inlineStr">
        <is>
          <t>62.38%</t>
        </is>
      </c>
      <c r="N1714" s="7" t="n">
        <v>0.92</v>
      </c>
      <c r="O1714" t="n">
        <v>5</v>
      </c>
      <c r="P1714" t="n">
        <v>1</v>
      </c>
      <c r="R1714" t="inlineStr">
        <is>
          <t>InStock</t>
        </is>
      </c>
      <c r="S1714" t="inlineStr">
        <is>
          <t>undefined</t>
        </is>
      </c>
      <c r="T1714" t="inlineStr">
        <is>
          <t>4367983673444</t>
        </is>
      </c>
    </row>
    <row r="1715" ht="87" customHeight="1">
      <c r="A1715" s="2">
        <f>HYPERLINK("https://edmondsonsupply.com/collections/hvac/products/klein-tools-9230-tape-measure-30-foot-magnetic-double-hook", "https://edmondsonsupply.com/collections/hvac/products/klein-tools-9230-tape-measure-30-foot-magnetic-double-hook")</f>
        <v/>
      </c>
      <c r="B1715" s="2">
        <f>HYPERLINK("https://edmondsonsupply.com/products/klein-tools-9230-tape-measure-30-foot-magnetic-double-hook", "https://edmondsonsupply.com/products/klein-tools-9230-tape-measure-30-foot-magnetic-double-hook")</f>
        <v/>
      </c>
      <c r="C1715" t="inlineStr">
        <is>
          <t>Klein Tools 9230 Tape Measure, 30-Foot Magnetic Double-Hook</t>
        </is>
      </c>
      <c r="D1715" t="inlineStr">
        <is>
          <t>Klein Tools 935RB Level, 8-Inch Torpedo Level &amp; 9225 Tape Measure, Heavy-Duty Measuring Tape with 25-Foot Double-Hook Double-Sided Nylon Reinforced Blade, with Metal Belt Clip</t>
        </is>
      </c>
      <c r="E1715" s="2">
        <f>HYPERLINK("https://www.amazon.com/Klein-Tools-Heavy-Duty-Double-Hook-Double-Sided/dp/B0BD41QLHB/ref=sr_1_10?keywords=Klein+Tools+9230+Tape+Measure%2C+30-Foot+Magnetic+Double-Hook&amp;qid=1694734809&amp;sr=8-10", "https://www.amazon.com/Klein-Tools-Heavy-Duty-Double-Hook-Double-Sided/dp/B0BD41QLHB/ref=sr_1_10?keywords=Klein+Tools+9230+Tape+Measure%2C+30-Foot+Magnetic+Double-Hook&amp;qid=1694734809&amp;sr=8-10")</f>
        <v/>
      </c>
      <c r="F1715" t="inlineStr">
        <is>
          <t>B0BD41QLHB</t>
        </is>
      </c>
      <c r="G1715">
        <f>_xlfn.IMAGE("https://edmondsonsupply.com/cdn/shop/products/9230_photo.jpg?v=1587150845")</f>
        <v/>
      </c>
      <c r="H1715">
        <f>_xlfn.IMAGE("https://m.media-amazon.com/images/I/51IvcYBSX9L._AC_UL320_.jpg")</f>
        <v/>
      </c>
      <c r="K1715" t="inlineStr">
        <is>
          <t>33.99</t>
        </is>
      </c>
      <c r="L1715" t="n">
        <v>54.94</v>
      </c>
      <c r="M1715" s="1" t="inlineStr">
        <is>
          <t>61.64%</t>
        </is>
      </c>
      <c r="N1715" s="7" t="n">
        <v>0.82</v>
      </c>
      <c r="O1715" t="n">
        <v>5</v>
      </c>
      <c r="P1715" t="n">
        <v>9</v>
      </c>
      <c r="R1715" t="inlineStr">
        <is>
          <t>InStock</t>
        </is>
      </c>
      <c r="S1715" t="inlineStr">
        <is>
          <t>44.94</t>
        </is>
      </c>
      <c r="T1715" t="inlineStr">
        <is>
          <t>4411548041316</t>
        </is>
      </c>
    </row>
    <row r="1716" ht="87" customHeight="1">
      <c r="A1716" s="2">
        <f>HYPERLINK("https://edmondsonsupply.com/collections/hvac/products/klein-tools-602-4dd-4-demolition-driver-1-4-keystone", "https://edmondsonsupply.com/collections/hvac/products/klein-tools-602-4dd-4-demolition-driver-1-4-keystone")</f>
        <v/>
      </c>
      <c r="B1716" s="2">
        <f>HYPERLINK("https://edmondsonsupply.com/products/klein-tools-602-4dd-4-demolition-driver-1-4-keystone", "https://edmondsonsupply.com/products/klein-tools-602-4dd-4-demolition-driver-1-4-keystone")</f>
        <v/>
      </c>
      <c r="C1716" t="inlineStr">
        <is>
          <t>Klein Tools 602-4DD 1/4-Inch Keystone Demolition Driver, 4-Inch Shank</t>
        </is>
      </c>
      <c r="D1716" t="inlineStr">
        <is>
          <t>Klein Tools BD286 Square-Shank Keystone-Tip Bull Driver Screwdriver, 1/4-Inch by 6-Inch</t>
        </is>
      </c>
      <c r="E1716" s="2">
        <f>HYPERLINK("https://www.amazon.com/Klein-Tools-BD286-Square-Shank-Keystone-Tip/dp/B000936OIK/ref=sr_1_16?keywords=Klein+Tools+602-4DD+1%2F4-Inch+Keystone+Demolition+Driver%2C+4-Inch+Shank&amp;qid=1694734822&amp;sr=8-16", "https://www.amazon.com/Klein-Tools-BD286-Square-Shank-Keystone-Tip/dp/B000936OIK/ref=sr_1_16?keywords=Klein+Tools+602-4DD+1%2F4-Inch+Keystone+Demolition+Driver%2C+4-Inch+Shank&amp;qid=1694734822&amp;sr=8-16")</f>
        <v/>
      </c>
      <c r="F1716" t="inlineStr">
        <is>
          <t>B000936OIK</t>
        </is>
      </c>
      <c r="G1716">
        <f>_xlfn.IMAGE("https://edmondsonsupply.com/cdn/shop/products/602-4dd.jpg?v=1587143287")</f>
        <v/>
      </c>
      <c r="H1716">
        <f>_xlfn.IMAGE("https://m.media-amazon.com/images/I/51UUB8V+wCL._AC_UL320_.jpg")</f>
        <v/>
      </c>
      <c r="K1716" t="inlineStr">
        <is>
          <t>15.99</t>
        </is>
      </c>
      <c r="L1716" t="n">
        <v>25.83</v>
      </c>
      <c r="M1716" s="1" t="inlineStr">
        <is>
          <t>61.54%</t>
        </is>
      </c>
      <c r="N1716" s="7" t="n">
        <v>0.52</v>
      </c>
      <c r="O1716" t="n">
        <v>5</v>
      </c>
      <c r="P1716" t="n">
        <v>1</v>
      </c>
      <c r="R1716" t="inlineStr">
        <is>
          <t>InStock</t>
        </is>
      </c>
      <c r="S1716" t="inlineStr">
        <is>
          <t>22.4</t>
        </is>
      </c>
      <c r="T1716" t="inlineStr">
        <is>
          <t>1989595988068</t>
        </is>
      </c>
    </row>
    <row r="1717" hidden="1" ht="15.75" customHeight="1">
      <c r="A1717" s="2">
        <f>HYPERLINK("https://edmondsonsupply.com/collections/hvac/products/yellow-jacket-40860-p51-860-titan-digital-manifold", "https://edmondsonsupply.com/collections/hvac/products/yellow-jacket-40860-p51-860-titan-digital-manifold")</f>
        <v/>
      </c>
      <c r="B1717" s="2">
        <f>HYPERLINK("https://edmondsonsupply.com/products/yellow-jacket-40860-p51-860-titan-digital-manifold", "https://edmondsonsupply.com/products/yellow-jacket-40860-p51-860-titan-digital-manifold")</f>
        <v/>
      </c>
      <c r="C1717" t="inlineStr">
        <is>
          <t>Yellow Jacket 40860 P51-860 Titan Digital Manifold</t>
        </is>
      </c>
      <c r="D1717" t="inlineStr">
        <is>
          <t>Ritchie Yellowjacket 40870, P51-870 Titan Digital Manifold</t>
        </is>
      </c>
      <c r="E1717" s="2">
        <f>HYPERLINK("https://www.amazon.com/Ritchie-Yellowjacket-P51-870-Digital-Manifold/dp/B07GNB7PSK/ref=sr_1_3?keywords=Yellow+Jacket+40860+P51-860+Titan+Digital+Manifold&amp;qid=1694734744&amp;sr=8-3", "https://www.amazon.com/Ritchie-Yellowjacket-P51-870-Digital-Manifold/dp/B07GNB7PSK/ref=sr_1_3?keywords=Yellow+Jacket+40860+P51-860+Titan+Digital+Manifold&amp;qid=1694734744&amp;sr=8-3")</f>
        <v/>
      </c>
      <c r="F1717" t="inlineStr">
        <is>
          <t>B07GNB7PSK</t>
        </is>
      </c>
      <c r="G1717">
        <f>_xludf.IMAGE("https://edmondsonsupply.com/cdn/shop/products/40860_1200x1200_9028ad62-78fb-466e-98e0-f5ac110d1c57.jpg?v=1587150764")</f>
        <v/>
      </c>
      <c r="H1717">
        <f>_xludf.IMAGE("https://m.media-amazon.com/images/I/61W3Rnb2AyL._AC_UY218_.jpg")</f>
        <v/>
      </c>
      <c r="K1717" t="inlineStr">
        <is>
          <t>508.65</t>
        </is>
      </c>
      <c r="L1717" t="n">
        <v>821.1900000000001</v>
      </c>
      <c r="M1717" s="1" t="inlineStr">
        <is>
          <t>61.45%</t>
        </is>
      </c>
      <c r="N1717" s="1" t="n">
        <v>0.5</v>
      </c>
      <c r="O1717" t="n">
        <v>3.5</v>
      </c>
      <c r="P1717" t="n">
        <v>36</v>
      </c>
      <c r="R1717" t="inlineStr">
        <is>
          <t>InStock</t>
        </is>
      </c>
      <c r="S1717" t="inlineStr">
        <is>
          <t>undefined</t>
        </is>
      </c>
      <c r="T1717" t="inlineStr">
        <is>
          <t>2503105740900</t>
        </is>
      </c>
    </row>
    <row r="1718" ht="87" customHeight="1">
      <c r="A1718" s="2">
        <f>HYPERLINK("https://edmondsonsupply.com/collections/hvac/products/nu-calgon-4300-50-rx11-flush-line-set-flushing-tool", "https://edmondsonsupply.com/collections/hvac/products/nu-calgon-4300-50-rx11-flush-line-set-flushing-tool")</f>
        <v/>
      </c>
      <c r="B1718" s="2">
        <f>HYPERLINK("https://edmondsonsupply.com/products/nu-calgon-4300-50-rx11-flush-line-set-flushing-tool", "https://edmondsonsupply.com/products/nu-calgon-4300-50-rx11-flush-line-set-flushing-tool")</f>
        <v/>
      </c>
      <c r="C1718" t="inlineStr">
        <is>
          <t>Nu-Calgon 4300-50 Rx11-Flush Line Set Flushing Tool</t>
        </is>
      </c>
      <c r="D1718" t="inlineStr">
        <is>
          <t>Nu-Calgon 2RZW9 4300-50 Rx11 Flushing Tool</t>
        </is>
      </c>
      <c r="E1718" s="2">
        <f>HYPERLINK("https://www.amazon.com/Nu-Calgon-2RZW9-4300-50-Rx11-Flushing/dp/B003N58OWA/ref=sr_1_2?keywords=Nu-Calgon+4300-50+Rx11-Flush+Line+Set+Flushing+Tool&amp;qid=1694734638&amp;sr=8-2", "https://www.amazon.com/Nu-Calgon-2RZW9-4300-50-Rx11-Flushing/dp/B003N58OWA/ref=sr_1_2?keywords=Nu-Calgon+4300-50+Rx11-Flush+Line+Set+Flushing+Tool&amp;qid=1694734638&amp;sr=8-2")</f>
        <v/>
      </c>
      <c r="F1718" t="inlineStr">
        <is>
          <t>B003N58OWA</t>
        </is>
      </c>
      <c r="G1718">
        <f>_xlfn.IMAGE("https://edmondsonsupply.com/cdn/shop/products/4300-50.jpg?v=1658784510")</f>
        <v/>
      </c>
      <c r="H1718">
        <f>_xlfn.IMAGE("https://m.media-amazon.com/images/I/51b0-DXXLoL._AC_UL320_.jpg")</f>
        <v/>
      </c>
      <c r="K1718" t="inlineStr">
        <is>
          <t>13.53</t>
        </is>
      </c>
      <c r="L1718" t="n">
        <v>21.83</v>
      </c>
      <c r="M1718" s="1" t="inlineStr">
        <is>
          <t>61.35%</t>
        </is>
      </c>
      <c r="N1718" s="7" t="n">
        <v>0.41</v>
      </c>
      <c r="O1718" t="n">
        <v>4.8</v>
      </c>
      <c r="P1718" t="n">
        <v>9</v>
      </c>
      <c r="R1718" t="inlineStr">
        <is>
          <t>InStock</t>
        </is>
      </c>
      <c r="S1718" t="inlineStr">
        <is>
          <t>20.82</t>
        </is>
      </c>
      <c r="T1718" t="inlineStr">
        <is>
          <t>7760937058520</t>
        </is>
      </c>
    </row>
    <row r="1719" hidden="1" ht="15.75" customHeight="1">
      <c r="A1719" s="2">
        <f>HYPERLINK("https://edmondsonsupply.com/collections/hvac/products/sioux-chief-672xv0490-3-4-pex-inlet-x-4-1-2-pex-branches-valved-manifold", "https://edmondsonsupply.com/collections/hvac/products/sioux-chief-672xv0490-3-4-pex-inlet-x-4-1-2-pex-branches-valved-manifold")</f>
        <v/>
      </c>
      <c r="B1719" s="2">
        <f>HYPERLINK("https://edmondsonsupply.com/products/sioux-chief-672xv0490-3-4-pex-inlet-x-4-1-2-pex-branches-valved-manifold", "https://edmondsonsupply.com/products/sioux-chief-672xv0490-3-4-pex-inlet-x-4-1-2-pex-branches-valved-manifold")</f>
        <v/>
      </c>
      <c r="C1719" t="inlineStr">
        <is>
          <t>Sioux Chief 672XV0490 3/4" PEX Inlet x (4) 1/2" PEX Branches Valved Manifold</t>
        </is>
      </c>
      <c r="D1719" t="inlineStr">
        <is>
          <t>Sioux Chief 672XV0690, 1/2" PEX Manifold, valves, 3/4" PEX in., clsd</t>
        </is>
      </c>
      <c r="E1719" s="2">
        <f>HYPERLINK("https://www.amazon.com/Sioux-Chief-672XV0690-Manifold-valves/dp/B003QSPMLU/ref=sr_1_3?keywords=Sioux+Chief+672XV0490+3%2F4%22+PEX+Inlet+x+%284%29+1%2F2%22+PEX+Branches+Valved+Manifold&amp;qid=1694734654&amp;sr=8-3", "https://www.amazon.com/Sioux-Chief-672XV0690-Manifold-valves/dp/B003QSPMLU/ref=sr_1_3?keywords=Sioux+Chief+672XV0490+3%2F4%22+PEX+Inlet+x+%284%29+1%2F2%22+PEX+Branches+Valved+Manifold&amp;qid=1694734654&amp;sr=8-3")</f>
        <v/>
      </c>
      <c r="F1719" t="inlineStr">
        <is>
          <t>B003QSPMLU</t>
        </is>
      </c>
      <c r="G1719">
        <f>_xludf.IMAGE("https://edmondsonsupply.com/cdn/shop/products/672XV0490.jpg?v=1587147465")</f>
        <v/>
      </c>
      <c r="H1719">
        <f>_xludf.IMAGE("https://m.media-amazon.com/images/I/21FhWXibZeL._AC_UL320_.jpg")</f>
        <v/>
      </c>
      <c r="K1719" t="inlineStr">
        <is>
          <t>68.25</t>
        </is>
      </c>
      <c r="L1719" t="n">
        <v>110</v>
      </c>
      <c r="M1719" s="1" t="inlineStr">
        <is>
          <t>61.17%</t>
        </is>
      </c>
      <c r="N1719" s="1" t="n">
        <v>0.4</v>
      </c>
      <c r="O1719" t="n">
        <v>3.8</v>
      </c>
      <c r="P1719" t="n">
        <v>24</v>
      </c>
      <c r="R1719" t="inlineStr">
        <is>
          <t>InStock</t>
        </is>
      </c>
      <c r="S1719" t="inlineStr">
        <is>
          <t>105.0</t>
        </is>
      </c>
      <c r="T1719" t="inlineStr">
        <is>
          <t>4410479673444</t>
        </is>
      </c>
    </row>
    <row r="1720" hidden="1" ht="15.75" customHeight="1">
      <c r="A1720" s="2">
        <f>HYPERLINK("https://edmondsonsupply.com/collections/hvac/products/malco-mshxl14-1-4-extra-long-magnetic-hex-chuck-driver-6-long", "https://edmondsonsupply.com/collections/hvac/products/malco-mshxl14-1-4-extra-long-magnetic-hex-chuck-driver-6-long")</f>
        <v/>
      </c>
      <c r="B1720" s="2">
        <f>HYPERLINK("https://edmondsonsupply.com/products/malco-mshxl14-1-4-extra-long-magnetic-hex-chuck-driver-6-long", "https://edmondsonsupply.com/products/malco-mshxl14-1-4-extra-long-magnetic-hex-chuck-driver-6-long")</f>
        <v/>
      </c>
      <c r="C1720" t="inlineStr">
        <is>
          <t>Malco Tools MSHXL14 1/4" Extra Long Magnetic Hex Chuck Driver - 6" Long</t>
        </is>
      </c>
      <c r="D1720" t="inlineStr">
        <is>
          <t>Malco MSHXL516IS 5/16 in. Extra Long Magnetic Impact Hex Chuck Driver</t>
        </is>
      </c>
      <c r="E1720" s="2">
        <f>HYPERLINK("https://www.amazon.com/Malco-MSHXL516IS-Impact-Grade-Magnetic-Drivers/dp/B07119VPBJ/ref=sr_1_21?keywords=Malco+Tools+MSHXL14+1%2F4+Extra+Long+Magnetic+Hex+Chuck+Driver+-+6+Long&amp;qid=1694734735&amp;sr=8-21", "https://www.amazon.com/Malco-MSHXL516IS-Impact-Grade-Magnetic-Drivers/dp/B07119VPBJ/ref=sr_1_21?keywords=Malco+Tools+MSHXL14+1%2F4+Extra+Long+Magnetic+Hex+Chuck+Driver+-+6+Long&amp;qid=1694734735&amp;sr=8-21")</f>
        <v/>
      </c>
      <c r="F1720" t="inlineStr">
        <is>
          <t>B07119VPBJ</t>
        </is>
      </c>
      <c r="G1720">
        <f>_xludf.IMAGE("https://edmondsonsupply.com/cdn/shop/products/mshxl14_catalog-000-big.jpg?v=1587147469")</f>
        <v/>
      </c>
      <c r="H1720">
        <f>_xludf.IMAGE("https://m.media-amazon.com/images/I/51vsDauvP6L._AC_UL320_.jpg")</f>
        <v/>
      </c>
      <c r="K1720" t="inlineStr">
        <is>
          <t>13.49</t>
        </is>
      </c>
      <c r="L1720" t="n">
        <v>21.74</v>
      </c>
      <c r="M1720" s="1" t="inlineStr">
        <is>
          <t>61.16%</t>
        </is>
      </c>
      <c r="N1720" s="1" t="n">
        <v>0.39</v>
      </c>
      <c r="O1720" t="n">
        <v>3.6</v>
      </c>
      <c r="P1720" t="n">
        <v>3</v>
      </c>
      <c r="R1720" t="inlineStr">
        <is>
          <t>InStock</t>
        </is>
      </c>
      <c r="S1720" t="inlineStr">
        <is>
          <t>undefined</t>
        </is>
      </c>
      <c r="T1720" t="inlineStr">
        <is>
          <t>3680874692708</t>
        </is>
      </c>
    </row>
    <row r="1721" ht="87" customHeight="1">
      <c r="A1721" s="2">
        <f>HYPERLINK("https://edmondsonsupply.com/collections/hvac/products/milwaukee-48-22-1505-fastback%E2%84%A2-6in1-folding-utility-knife", "https://edmondsonsupply.com/collections/hvac/products/milwaukee-48-22-1505-fastback%E2%84%A2-6in1-folding-utility-knife")</f>
        <v/>
      </c>
      <c r="B1721" s="2">
        <f>HYPERLINK("https://edmondsonsupply.com/products/milwaukee-48-22-1505-fastback%e2%84%a2-6in1-folding-utility-knife", "https://edmondsonsupply.com/products/milwaukee-48-22-1505-fastback%e2%84%a2-6in1-folding-utility-knife")</f>
        <v/>
      </c>
      <c r="C1721" t="inlineStr">
        <is>
          <t>Milwaukee 48-22-1505 FASTBACK™ 6IN1 Folding Utility Knife</t>
        </is>
      </c>
      <c r="D1721" t="inlineStr">
        <is>
          <t>For Milwaukee Tool 48-22-1505 Fastback™ 6In1 Folding Utility Knife</t>
        </is>
      </c>
      <c r="E1721" s="2">
        <f>HYPERLINK("https://www.amazon.com/Milwaukee-48-22-1505-FastbackTM-Folding-Utility/dp/B0C69TGH9K/ref=sr_1_1?keywords=Milwaukee+48-22-1505+FASTBACK%E2%84%A2+6IN1+Folding+Utility+Knife&amp;qid=1694734691&amp;sr=8-1", "https://www.amazon.com/Milwaukee-48-22-1505-FastbackTM-Folding-Utility/dp/B0C69TGH9K/ref=sr_1_1?keywords=Milwaukee+48-22-1505+FASTBACK%E2%84%A2+6IN1+Folding+Utility+Knife&amp;qid=1694734691&amp;sr=8-1")</f>
        <v/>
      </c>
      <c r="F1721" t="inlineStr">
        <is>
          <t>B0C69TGH9K</t>
        </is>
      </c>
      <c r="G1721">
        <f>_xlfn.IMAGE("https://edmondsonsupply.com/cdn/shop/products/48-22-1505_3.png?v=1675353919")</f>
        <v/>
      </c>
      <c r="H1721">
        <f>_xlfn.IMAGE("https://m.media-amazon.com/images/I/41ZUsUsHByL._AC_UL320_.jpg")</f>
        <v/>
      </c>
      <c r="K1721" t="inlineStr">
        <is>
          <t>19.99</t>
        </is>
      </c>
      <c r="L1721" t="n">
        <v>32.19</v>
      </c>
      <c r="M1721" s="1" t="inlineStr">
        <is>
          <t>61.03%</t>
        </is>
      </c>
      <c r="N1721" s="7" t="n">
        <v>0.2</v>
      </c>
      <c r="O1721" t="n">
        <v>4.5</v>
      </c>
      <c r="P1721" t="n">
        <v>2</v>
      </c>
      <c r="R1721" t="inlineStr">
        <is>
          <t>InStock</t>
        </is>
      </c>
      <c r="S1721" t="inlineStr">
        <is>
          <t>31.0</t>
        </is>
      </c>
      <c r="T1721" t="inlineStr">
        <is>
          <t>7937846083800</t>
        </is>
      </c>
    </row>
    <row r="1722" hidden="1" ht="15.75" customHeight="1">
      <c r="A1722" s="2">
        <f>HYPERLINK("https://edmondsonsupply.com/collections/hvac/products/icm-controls-umsr-50-universal-motor-starting-relay", "https://edmondsonsupply.com/collections/hvac/products/icm-controls-umsr-50-universal-motor-starting-relay")</f>
        <v/>
      </c>
      <c r="B1722" s="2">
        <f>HYPERLINK("https://edmondsonsupply.com/products/icm-controls-umsr-50-universal-motor-starting-relay", "https://edmondsonsupply.com/products/icm-controls-umsr-50-universal-motor-starting-relay")</f>
        <v/>
      </c>
      <c r="C1722" t="inlineStr">
        <is>
          <t>ICM Controls UMSR-50 Universal Motor Starting Relay</t>
        </is>
      </c>
      <c r="D1722" t="inlineStr">
        <is>
          <t>ICM Universal Motor Starting Relay, 50 Amps</t>
        </is>
      </c>
      <c r="E1722" s="2">
        <f>HYPERLINK("https://www.amazon.com/Universal-Motor-Starting-Relay-Amps/dp/B007IAPINY/ref=sr_1_4?keywords=ICM+Controls+UMSR-50+Universal+Motor+Starting+Relay&amp;qid=1694734598&amp;sr=8-4", "https://www.amazon.com/Universal-Motor-Starting-Relay-Amps/dp/B007IAPINY/ref=sr_1_4?keywords=ICM+Controls+UMSR-50+Universal+Motor+Starting+Relay&amp;qid=1694734598&amp;sr=8-4")</f>
        <v/>
      </c>
      <c r="F1722" t="inlineStr">
        <is>
          <t>B007IAPINY</t>
        </is>
      </c>
      <c r="G1722">
        <f>_xludf.IMAGE("https://edmondsonsupply.com/cdn/shop/files/UMSR50.png?v=1684277014")</f>
        <v/>
      </c>
      <c r="H1722">
        <f>_xludf.IMAGE("https://m.media-amazon.com/images/I/61Tg3J+1zSL._AC_UY218_.jpg")</f>
        <v/>
      </c>
      <c r="K1722" t="inlineStr">
        <is>
          <t>22.97</t>
        </is>
      </c>
      <c r="L1722" t="n">
        <v>36.91</v>
      </c>
      <c r="M1722" s="1" t="inlineStr">
        <is>
          <t>60.69%</t>
        </is>
      </c>
      <c r="N1722" s="1" t="n">
        <v>0.15</v>
      </c>
      <c r="O1722" t="n">
        <v>4</v>
      </c>
      <c r="P1722" t="n">
        <v>1</v>
      </c>
      <c r="R1722" t="inlineStr">
        <is>
          <t>InStock</t>
        </is>
      </c>
      <c r="S1722" t="inlineStr">
        <is>
          <t>23.83</t>
        </is>
      </c>
      <c r="T1722" t="inlineStr">
        <is>
          <t>7993211191512</t>
        </is>
      </c>
    </row>
    <row r="1723" hidden="1" ht="15.75" customHeight="1">
      <c r="A1723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723" s="2">
        <f>HYPERLINK("https://edmondsonsupply.com/products/packard-prmj189-motor-start-capacitor-189-227-mfd-330-vac", "https://edmondsonsupply.com/products/packard-prmj189-motor-start-capacitor-189-227-mfd-330-vac")</f>
        <v/>
      </c>
      <c r="C1723" t="inlineStr">
        <is>
          <t>Packard PRMJ189 Motor Start Capacitor 189-227 MFD 330 VAC</t>
        </is>
      </c>
      <c r="D1723" t="inlineStr">
        <is>
          <t>Appli Parts motor start capacitor 189-227 Mfd (microfarads) uF 330 VAC universal fit for electric motor applications 1-3/4 in Wide 3-3/8 in Height CON-189-330</t>
        </is>
      </c>
      <c r="E1723" s="2">
        <f>HYPERLINK("https://www.amazon.com/capacitor-microfarads-universal-electric-applications/dp/B01FSQQ5OA/ref=sr_1_10?keywords=Packard+PRMJ189+Motor+Start+Capacitor+189-227+MFD+330+VAC&amp;qid=1694734820&amp;sr=8-10", "https://www.amazon.com/capacitor-microfarads-universal-electric-applications/dp/B01FSQQ5OA/ref=sr_1_10?keywords=Packard+PRMJ189+Motor+Start+Capacitor+189-227+MFD+330+VAC&amp;qid=1694734820&amp;sr=8-10")</f>
        <v/>
      </c>
      <c r="F1723" t="inlineStr">
        <is>
          <t>B01FSQQ5OA</t>
        </is>
      </c>
      <c r="G1723">
        <f>_xludf.IMAGE("https://edmondsonsupply.com/cdn/shop/products/PRMJ189-2.jpg?v=1663378512")</f>
        <v/>
      </c>
      <c r="H1723">
        <f>_xludf.IMAGE("https://m.media-amazon.com/images/I/51e+dZ5ciRL._AC_UY218_.jpg")</f>
        <v/>
      </c>
      <c r="K1723" t="inlineStr">
        <is>
          <t>8.59</t>
        </is>
      </c>
      <c r="L1723" t="n">
        <v>13.79</v>
      </c>
      <c r="M1723" s="1" t="inlineStr">
        <is>
          <t>60.54%</t>
        </is>
      </c>
      <c r="N1723" s="1" t="n">
        <v>0.14</v>
      </c>
      <c r="O1723" t="n">
        <v>4.5</v>
      </c>
      <c r="P1723" t="n">
        <v>1387</v>
      </c>
      <c r="R1723" t="inlineStr">
        <is>
          <t>InStock</t>
        </is>
      </c>
      <c r="S1723" t="inlineStr">
        <is>
          <t>undefined</t>
        </is>
      </c>
      <c r="T1723" t="inlineStr">
        <is>
          <t>4298778378340</t>
        </is>
      </c>
    </row>
    <row r="1724" ht="87" customHeight="1">
      <c r="A1724" s="2">
        <f>HYPERLINK("https://edmondsonsupply.com/collections/hvac/products/icm-controls-icm206-delay-on-break-timer-with-3-10-minute-time-delay-18-30-vac", "https://edmondsonsupply.com/collections/hvac/products/icm-controls-icm206-delay-on-break-timer-with-3-10-minute-time-delay-18-30-vac")</f>
        <v/>
      </c>
      <c r="B1724" s="2">
        <f>HYPERLINK("https://edmondsonsupply.com/products/icm-controls-icm206-delay-on-break-timer-with-3-10-minute-time-delay-18-30-vac", "https://edmondsonsupply.com/products/icm-controls-icm206-delay-on-break-timer-with-3-10-minute-time-delay-18-30-vac")</f>
        <v/>
      </c>
      <c r="C1724" t="inlineStr">
        <is>
          <t>ICM Controls ICM206 Delay on Break Timer with 3-10 Minute Time Delay, 18-30 VAC</t>
        </is>
      </c>
      <c r="D1724" t="inlineStr">
        <is>
          <t>ICM Controls ICM104 Delay-on-Make Timer with 10-1,000 Seconds Adjustable Time Delay and SPDT Relay Output, 18-30 VAC</t>
        </is>
      </c>
      <c r="E1724" s="2">
        <f>HYPERLINK("https://www.amazon.com/ICM-Controls-ICM104-Seconds-Adjustable/dp/B00GIP4LCO/ref=sr_1_9?keywords=ICM+Controls+ICM206+Delay+on+Break+Timer+with+3-10+Minute+Time+Delay%2C+18-30+VAC&amp;qid=1694734573&amp;sr=8-9", "https://www.amazon.com/ICM-Controls-ICM104-Seconds-Adjustable/dp/B00GIP4LCO/ref=sr_1_9?keywords=ICM+Controls+ICM206+Delay+on+Break+Timer+with+3-10+Minute+Time+Delay%2C+18-30+VAC&amp;qid=1694734573&amp;sr=8-9")</f>
        <v/>
      </c>
      <c r="F1724" t="inlineStr">
        <is>
          <t>B00GIP4LCO</t>
        </is>
      </c>
      <c r="G1724">
        <f>_xlfn.IMAGE("https://edmondsonsupply.com/cdn/shop/products/61Oa3Tbl-VL._SL1000.jpg?v=1633030862")</f>
        <v/>
      </c>
      <c r="H1724">
        <f>_xlfn.IMAGE("https://m.media-amazon.com/images/I/61RFS2vXJzL._AC_UL320_.jpg")</f>
        <v/>
      </c>
      <c r="K1724" t="inlineStr">
        <is>
          <t>31.79</t>
        </is>
      </c>
      <c r="L1724" t="n">
        <v>50.95</v>
      </c>
      <c r="M1724" s="1" t="inlineStr">
        <is>
          <t>60.27%</t>
        </is>
      </c>
      <c r="N1724" s="7" t="n">
        <v>0.1</v>
      </c>
      <c r="O1724" t="n">
        <v>4.7</v>
      </c>
      <c r="P1724" t="n">
        <v>6</v>
      </c>
      <c r="R1724" t="inlineStr">
        <is>
          <t>InStock</t>
        </is>
      </c>
      <c r="S1724" t="inlineStr">
        <is>
          <t>35.74</t>
        </is>
      </c>
      <c r="T1724" t="inlineStr">
        <is>
          <t>6120854651053</t>
        </is>
      </c>
    </row>
    <row r="1725" ht="87" customHeight="1">
      <c r="A1725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725" s="2">
        <f>HYPERLINK("https://edmondsonsupply.com/products/packard-c140a-contactor-1-pole-40-amps-24-coil-voltage", "https://edmondsonsupply.com/products/packard-c140a-contactor-1-pole-40-amps-24-coil-voltage")</f>
        <v/>
      </c>
      <c r="C1725" t="inlineStr">
        <is>
          <t>Packard C140A Contactor 1 Pole 40 AMPS 24 Coil Voltage</t>
        </is>
      </c>
      <c r="D1725" t="inlineStr">
        <is>
          <t>Bryant - 40 Amp 1 Pole 24v Coil Replacement Contactor C140A</t>
        </is>
      </c>
      <c r="E1725" s="2">
        <f>HYPERLINK("https://www.amazon.com/Bryant-Packard-Replacement-Contactor-C140A/dp/B00S8IYU6G/ref=sr_1_3?keywords=Packard+C140A+Contactor+1+Pole+40+AMPS+24+Coil+Voltage&amp;qid=1694734583&amp;sr=8-3", "https://www.amazon.com/Bryant-Packard-Replacement-Contactor-C140A/dp/B00S8IYU6G/ref=sr_1_3?keywords=Packard+C140A+Contactor+1+Pole+40+AMPS+24+Coil+Voltage&amp;qid=1694734583&amp;sr=8-3")</f>
        <v/>
      </c>
      <c r="F1725" t="inlineStr">
        <is>
          <t>B00S8IYU6G</t>
        </is>
      </c>
      <c r="G1725">
        <f>_xlfn.IMAGE("https://edmondsonsupply.com/cdn/shop/products/C140A-1.jpg?v=1587147314")</f>
        <v/>
      </c>
      <c r="H1725">
        <f>_xlfn.IMAGE("https://m.media-amazon.com/images/I/418gb7r3+cL._AC_UY218_.jpg")</f>
        <v/>
      </c>
      <c r="K1725" t="inlineStr">
        <is>
          <t>9.98</t>
        </is>
      </c>
      <c r="L1725" t="n">
        <v>15.99</v>
      </c>
      <c r="M1725" s="1" t="inlineStr">
        <is>
          <t>60.22%</t>
        </is>
      </c>
      <c r="N1725" s="7" t="n">
        <v>0.09</v>
      </c>
      <c r="O1725" t="n">
        <v>5</v>
      </c>
      <c r="P1725" t="n">
        <v>2</v>
      </c>
      <c r="R1725" t="inlineStr">
        <is>
          <t>InStock</t>
        </is>
      </c>
      <c r="S1725" t="inlineStr">
        <is>
          <t>undefined</t>
        </is>
      </c>
      <c r="T1725" t="inlineStr">
        <is>
          <t>4359080607844</t>
        </is>
      </c>
    </row>
    <row r="1726" ht="87" customHeight="1">
      <c r="A1726" s="2">
        <f>HYPERLINK("https://edmondsonsupply.com/collections/hvac/products/milwaukee-49-90-1900-hepa-filter", "https://edmondsonsupply.com/collections/hvac/products/milwaukee-49-90-1900-hepa-filter")</f>
        <v/>
      </c>
      <c r="B1726" s="2">
        <f>HYPERLINK("https://edmondsonsupply.com/products/milwaukee-49-90-1900-hepa-filter", "https://edmondsonsupply.com/products/milwaukee-49-90-1900-hepa-filter")</f>
        <v/>
      </c>
      <c r="C1726" t="inlineStr">
        <is>
          <t>Milwaukee 49-90-1900 HEPA Filter</t>
        </is>
      </c>
      <c r="D1726" t="inlineStr">
        <is>
          <t>Fette Filter - HEPA Dry Filter Compatible with Milwaukee 49-90-0160, Designed for 0882-20 M18 Compact Vacuum. Pack of 4</t>
        </is>
      </c>
      <c r="E1726" s="2">
        <f>HYPERLINK("https://www.amazon.com/Fette-Filter-Compatible-Milwaukee-49-90-0160/dp/B085CL2S27/ref=sr_1_23?keywords=Milwaukee+49-90-1900+HEPA+Filter&amp;qid=1694734913&amp;sr=8-23", "https://www.amazon.com/Fette-Filter-Compatible-Milwaukee-49-90-0160/dp/B085CL2S27/ref=sr_1_23?keywords=Milwaukee+49-90-1900+HEPA+Filter&amp;qid=1694734913&amp;sr=8-23")</f>
        <v/>
      </c>
      <c r="F1726" t="inlineStr">
        <is>
          <t>B085CL2S27</t>
        </is>
      </c>
      <c r="G1726">
        <f>_xlfn.IMAGE("https://edmondsonsupply.com/cdn/shop/files/49-90-1900_1.png?v=1686234774")</f>
        <v/>
      </c>
      <c r="H1726">
        <f>_xlfn.IMAGE("https://m.media-amazon.com/images/I/81tlsjJ3zUL._AC_UL320_.jpg")</f>
        <v/>
      </c>
      <c r="K1726" t="inlineStr">
        <is>
          <t>24.98</t>
        </is>
      </c>
      <c r="L1726" t="n">
        <v>39.99</v>
      </c>
      <c r="M1726" s="1" t="inlineStr">
        <is>
          <t>60.09%</t>
        </is>
      </c>
      <c r="N1726" s="7" t="n">
        <v>0.04</v>
      </c>
      <c r="O1726" t="n">
        <v>4.8</v>
      </c>
      <c r="P1726" t="n">
        <v>128</v>
      </c>
      <c r="R1726" t="inlineStr">
        <is>
          <t>InStock</t>
        </is>
      </c>
      <c r="S1726" t="inlineStr">
        <is>
          <t>40.0</t>
        </is>
      </c>
      <c r="T1726" t="inlineStr">
        <is>
          <t>8002625306840</t>
        </is>
      </c>
    </row>
    <row r="1727" ht="87" customHeight="1">
      <c r="A1727" s="2">
        <f>HYPERLINK("https://edmondsonsupply.com/collections/hvac/products/packard-c125a-25-amp-24-vac-single-1-pole-definite-purpose-contactor-hvac", "https://edmondsonsupply.com/collections/hvac/products/packard-c125a-25-amp-24-vac-single-1-pole-definite-purpose-contactor-hvac")</f>
        <v/>
      </c>
      <c r="B1727" s="2">
        <f>HYPERLINK("https://edmondsonsupply.com/products/packard-c125a-25-amp-24-vac-single-1-pole-definite-purpose-contactor-hvac", "https://edmondsonsupply.com/products/packard-c125a-25-amp-24-vac-single-1-pole-definite-purpose-contactor-hvac")</f>
        <v/>
      </c>
      <c r="C1727" t="inlineStr">
        <is>
          <t>Packard C125A 25 AMP 24 VAC Single 1-Pole Definite Purpose Contactor HVAC</t>
        </is>
      </c>
      <c r="D1727" t="inlineStr">
        <is>
          <t>HVAC Contactor, 25 Amp Single Pole / 1 Pole Contactor 24V Coil AC Contactor, Air Conditioner Condenser Compressor Contactor AC Definite Purpose Contactor, UL Listed</t>
        </is>
      </c>
      <c r="E1727" s="2">
        <f>HYPERLINK("https://www.amazon.com/Contactor-Conditioner-Condenser-Compressor-Definite/dp/B0C7H9X655/ref=sr_1_2?keywords=Packard+C125A+25+AMP+24+VAC+Single+1-Pole+Definite+Purpose+Contactor+HVAC&amp;qid=1694734738&amp;sr=8-2", "https://www.amazon.com/Contactor-Conditioner-Condenser-Compressor-Definite/dp/B0C7H9X655/ref=sr_1_2?keywords=Packard+C125A+25+AMP+24+VAC+Single+1-Pole+Definite+Purpose+Contactor+HVAC&amp;qid=1694734738&amp;sr=8-2")</f>
        <v/>
      </c>
      <c r="F1727" t="inlineStr">
        <is>
          <t>B0C7H9X655</t>
        </is>
      </c>
      <c r="G1727">
        <f>_xlfn.IMAGE("https://edmondsonsupply.com/cdn/shop/products/C125A-1.jpg?v=1587144451")</f>
        <v/>
      </c>
      <c r="H1727">
        <f>_xlfn.IMAGE("https://m.media-amazon.com/images/I/717R6NMPnkL._AC_UL320_.jpg")</f>
        <v/>
      </c>
      <c r="K1727" t="inlineStr">
        <is>
          <t>9.99</t>
        </is>
      </c>
      <c r="L1727" t="n">
        <v>15.99</v>
      </c>
      <c r="M1727" s="1" t="inlineStr">
        <is>
          <t>60.06%</t>
        </is>
      </c>
      <c r="N1727" s="7" t="n">
        <v>0.04</v>
      </c>
      <c r="O1727" t="n">
        <v>4.7</v>
      </c>
      <c r="P1727" t="n">
        <v>120</v>
      </c>
      <c r="R1727" t="inlineStr">
        <is>
          <t>InStock</t>
        </is>
      </c>
      <c r="S1727" t="inlineStr">
        <is>
          <t>undefined</t>
        </is>
      </c>
      <c r="T1727" t="inlineStr">
        <is>
          <t>3550510121060</t>
        </is>
      </c>
    </row>
    <row r="1728" ht="87" customHeight="1">
      <c r="A1728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1728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1728" t="inlineStr">
        <is>
          <t>Klein Tools 55600 Tradesman Pro™ Tough Box Cooler, 17-Quart</t>
        </is>
      </c>
      <c r="D1728" t="inlineStr">
        <is>
          <t>Klein Tools 55600 Work Cooler, 17-Quart Lunch Box Holds 18 Cans, Keeps Cool 30 Hours, Seats 300 Lb, Tradesman Pro Tough Box &amp; AEPJS1 Wireless Speaker, Portable Jobsite Speaker Plays Audio</t>
        </is>
      </c>
      <c r="E1728" s="2">
        <f>HYPERLINK("https://www.amazon.com/Klein-Tools-17-Quart-Tradesman-Wireless/dp/B08DY5C5QH/ref=sr_1_2?keywords=Klein+Tools+55600+Tradesman+Pro%E2%84%A2+Tough+Box+Cooler%2C+17-Quart&amp;qid=1694734812&amp;sr=8-2", "https://www.amazon.com/Klein-Tools-17-Quart-Tradesman-Wireless/dp/B08DY5C5QH/ref=sr_1_2?keywords=Klein+Tools+55600+Tradesman+Pro%E2%84%A2+Tough+Box+Cooler%2C+17-Quart&amp;qid=1694734812&amp;sr=8-2")</f>
        <v/>
      </c>
      <c r="F1728" t="inlineStr">
        <is>
          <t>B08DY5C5QH</t>
        </is>
      </c>
      <c r="G1728">
        <f>_xlfn.IMAGE("https://edmondsonsupply.com/cdn/shop/products/55600.jpg?v=1587145287")</f>
        <v/>
      </c>
      <c r="H1728">
        <f>_xlfn.IMAGE("https://m.media-amazon.com/images/I/51xuAx+hRJL._AC_UL320_.jpg")</f>
        <v/>
      </c>
      <c r="K1728" t="inlineStr">
        <is>
          <t>64.97</t>
        </is>
      </c>
      <c r="L1728" t="n">
        <v>103.97</v>
      </c>
      <c r="M1728" s="1" t="inlineStr">
        <is>
          <t>60.03%</t>
        </is>
      </c>
      <c r="N1728" s="7" t="n">
        <v>0</v>
      </c>
      <c r="O1728" t="n">
        <v>4.8</v>
      </c>
      <c r="P1728" t="n">
        <v>47</v>
      </c>
      <c r="R1728" t="inlineStr">
        <is>
          <t>InStock</t>
        </is>
      </c>
      <c r="S1728" t="inlineStr">
        <is>
          <t>91.98</t>
        </is>
      </c>
      <c r="T1728" t="inlineStr">
        <is>
          <t>1707778277476</t>
        </is>
      </c>
    </row>
    <row r="1729" ht="87" customHeight="1">
      <c r="A1729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1729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1729" t="inlineStr">
        <is>
          <t>Klein Tools NCVT1XTKIT Non-Contact Voltage and GFCI Receptacle Premium Test Kit</t>
        </is>
      </c>
      <c r="D1729" t="inlineStr">
        <is>
          <t>Klein Tools RT250KIT Non-Contact Voltage Tester and GFCI Receptacle Tester with LCD and Flashlight, Voltage Electrical Test Kit</t>
        </is>
      </c>
      <c r="E1729" s="2">
        <f>HYPERLINK("https://www.amazon.com/Non-Contact-Receptacle-Klein-Tools-RT250KIT/dp/B08YDFQ2FV/ref=sr_1_2?keywords=Klein+Tools+NCVT1XTKIT+Non-Contact+Voltage+and+GFCI+Receptacle+Premium+Test+Kit&amp;qid=1694734686&amp;sr=8-2", "https://www.amazon.com/Non-Contact-Receptacle-Klein-Tools-RT250KIT/dp/B08YDFQ2FV/ref=sr_1_2?keywords=Klein+Tools+NCVT1XTKIT+Non-Contact+Voltage+and+GFCI+Receptacle+Premium+Test+Kit&amp;qid=1694734686&amp;sr=8-2")</f>
        <v/>
      </c>
      <c r="F1729" t="inlineStr">
        <is>
          <t>B08YDFQ2FV</t>
        </is>
      </c>
      <c r="G1729">
        <f>_xlfn.IMAGE("https://edmondsonsupply.com/cdn/shop/products/ncvt1xtkit.jpg?v=1674497102")</f>
        <v/>
      </c>
      <c r="H1729">
        <f>_xlfn.IMAGE("https://m.media-amazon.com/images/I/61WaBlkJfxL._AC_UL320_.jpg")</f>
        <v/>
      </c>
      <c r="K1729" t="inlineStr">
        <is>
          <t>24.99</t>
        </is>
      </c>
      <c r="L1729" t="n">
        <v>39.99</v>
      </c>
      <c r="M1729" s="1" t="inlineStr">
        <is>
          <t>60.02%</t>
        </is>
      </c>
      <c r="N1729" s="7" t="n">
        <v>0</v>
      </c>
      <c r="O1729" t="n">
        <v>4.8</v>
      </c>
      <c r="P1729" t="n">
        <v>1264</v>
      </c>
      <c r="R1729" t="inlineStr">
        <is>
          <t>InStock</t>
        </is>
      </c>
      <c r="S1729" t="inlineStr">
        <is>
          <t>32.98</t>
        </is>
      </c>
      <c r="T1729" t="inlineStr">
        <is>
          <t>7931949187288</t>
        </is>
      </c>
    </row>
    <row r="1730" ht="87" customHeight="1">
      <c r="A1730" s="2">
        <f>HYPERLINK("https://edmondsonsupply.com/collections/hvac/products/sioux-chief-672xv0490-3-4-pex-inlet-x-4-1-2-pex-branches-valved-manifold", "https://edmondsonsupply.com/collections/hvac/products/sioux-chief-672xv0490-3-4-pex-inlet-x-4-1-2-pex-branches-valved-manifold")</f>
        <v/>
      </c>
      <c r="B1730" s="2">
        <f>HYPERLINK("https://edmondsonsupply.com/products/sioux-chief-672xv0490-3-4-pex-inlet-x-4-1-2-pex-branches-valved-manifold", "https://edmondsonsupply.com/products/sioux-chief-672xv0490-3-4-pex-inlet-x-4-1-2-pex-branches-valved-manifold")</f>
        <v/>
      </c>
      <c r="C1730" t="inlineStr">
        <is>
          <t>Sioux Chief 672XV0490 3/4" PEX Inlet x (4) 1/2" PEX Branches Valved Manifold</t>
        </is>
      </c>
      <c r="D1730" t="inlineStr">
        <is>
          <t>Sioux Chief 672XV0599, PEX Manifold w/ 1/2" PEX valves, 3/4" PEX in</t>
        </is>
      </c>
      <c r="E1730" s="2">
        <f>HYPERLINK("https://www.amazon.com/Sioux-Chief-672XV0599-Manifold-valves/dp/B003QSOCKM/ref=sr_1_10?keywords=Sioux+Chief+672XV0490+3%2F4%22+PEX+Inlet+x+%284%29+1%2F2%22+PEX+Branches+Valved+Manifold&amp;qid=1694734654&amp;sr=8-10", "https://www.amazon.com/Sioux-Chief-672XV0599-Manifold-valves/dp/B003QSOCKM/ref=sr_1_10?keywords=Sioux+Chief+672XV0490+3%2F4%22+PEX+Inlet+x+%284%29+1%2F2%22+PEX+Branches+Valved+Manifold&amp;qid=1694734654&amp;sr=8-10")</f>
        <v/>
      </c>
      <c r="F1730" t="inlineStr">
        <is>
          <t>B003QSOCKM</t>
        </is>
      </c>
      <c r="G1730">
        <f>_xlfn.IMAGE("https://edmondsonsupply.com/cdn/shop/products/672XV0490.jpg?v=1587147465")</f>
        <v/>
      </c>
      <c r="H1730">
        <f>_xlfn.IMAGE("https://m.media-amazon.com/images/I/21BnD-pxVPL._AC_UL320_.jpg")</f>
        <v/>
      </c>
      <c r="K1730" t="inlineStr">
        <is>
          <t>68.25</t>
        </is>
      </c>
      <c r="L1730" t="n">
        <v>108.85</v>
      </c>
      <c r="M1730" s="1" t="inlineStr">
        <is>
          <t>59.49%</t>
        </is>
      </c>
      <c r="N1730" s="7" t="n">
        <v>0</v>
      </c>
      <c r="O1730" t="n">
        <v>5</v>
      </c>
      <c r="P1730" t="n">
        <v>2</v>
      </c>
      <c r="R1730" t="inlineStr">
        <is>
          <t>InStock</t>
        </is>
      </c>
      <c r="S1730" t="inlineStr">
        <is>
          <t>105.0</t>
        </is>
      </c>
      <c r="T1730" t="inlineStr">
        <is>
          <t>4410479673444</t>
        </is>
      </c>
    </row>
    <row r="1731" ht="87" customHeight="1">
      <c r="A1731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731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731" t="inlineStr">
        <is>
          <t>Klein Tools 32304 14-in-1 HVAC Adjustable-Length Impact Screwdriver with Flip Socket</t>
        </is>
      </c>
      <c r="D1731" t="inlineStr">
        <is>
          <t>Klein Tools 32614 Multi-bit Precision Screwdriver Set, 4-in-1 Electronics Pocket Screwdriver &amp; 14-in-1 Adjustable Screwdriver with Flip Socket, HVAC Nut Drivers and Bits</t>
        </is>
      </c>
      <c r="E1731" s="2">
        <f>HYPERLINK("https://www.amazon.com/Klein-Tools-Screwdriver-Electronics-Adjustable/dp/B0BNL5ZYFC/ref=sr_1_34?keywords=Klein+Tools+32304+14-in-1+HVAC+Adjustable-Length+Impact+Screwdriver+with+Flip+Socket&amp;qid=1694734657&amp;sr=8-34", "https://www.amazon.com/Klein-Tools-Screwdriver-Electronics-Adjustable/dp/B0BNL5ZYFC/ref=sr_1_34?keywords=Klein+Tools+32304+14-in-1+HVAC+Adjustable-Length+Impact+Screwdriver+with+Flip+Socket&amp;qid=1694734657&amp;sr=8-34")</f>
        <v/>
      </c>
      <c r="F1731" t="inlineStr">
        <is>
          <t>B0BNL5ZYFC</t>
        </is>
      </c>
      <c r="G1731">
        <f>_xlfn.IMAGE("https://edmondsonsupply.com/cdn/shop/products/32304.jpg?v=1666019479")</f>
        <v/>
      </c>
      <c r="H1731">
        <f>_xlfn.IMAGE("https://m.media-amazon.com/images/I/413Uu3NefVL._AC_UL320_.jpg")</f>
        <v/>
      </c>
      <c r="K1731" t="inlineStr">
        <is>
          <t>24.97</t>
        </is>
      </c>
      <c r="L1731" t="n">
        <v>39.8</v>
      </c>
      <c r="M1731" s="1" t="inlineStr">
        <is>
          <t>59.39%</t>
        </is>
      </c>
      <c r="N1731" s="7" t="n">
        <v>0</v>
      </c>
      <c r="O1731" t="n">
        <v>5</v>
      </c>
      <c r="P1731" t="n">
        <v>6</v>
      </c>
      <c r="R1731" t="inlineStr">
        <is>
          <t>InStock</t>
        </is>
      </c>
      <c r="S1731" t="inlineStr">
        <is>
          <t>34.98</t>
        </is>
      </c>
      <c r="T1731" t="inlineStr">
        <is>
          <t>7856604578008</t>
        </is>
      </c>
    </row>
    <row r="1732" ht="87" customHeight="1">
      <c r="A1732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732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732" t="inlineStr">
        <is>
          <t>ICM Controls ICM2811 Furnace Control Board - Replacement for Goodman</t>
        </is>
      </c>
      <c r="D1732" t="inlineStr">
        <is>
          <t>OEM Upgraded Replacement for Goodman Furnace Control Circuit Board PCBBF122S</t>
        </is>
      </c>
      <c r="E1732" s="2">
        <f>HYPERLINK("https://www.amazon.com/Upgraded-Replacement-Goodman-Furnace-PCBBF122S/dp/B00EF5PCT0/ref=sr_1_37?keywords=ICM+Controls+ICM2811+Furnace+Control+Board+-+Replacement+for+Goodman&amp;qid=1694734652&amp;sr=8-37", "https://www.amazon.com/Upgraded-Replacement-Goodman-Furnace-PCBBF122S/dp/B00EF5PCT0/ref=sr_1_37?keywords=ICM+Controls+ICM2811+Furnace+Control+Board+-+Replacement+for+Goodman&amp;qid=1694734652&amp;sr=8-37")</f>
        <v/>
      </c>
      <c r="F1732" t="inlineStr">
        <is>
          <t>B00EF5PCT0</t>
        </is>
      </c>
      <c r="G1732">
        <f>_xlfn.IMAGE("https://edmondsonsupply.com/cdn/shop/products/photo_3800_medium_86f45e25-a764-4839-bc84-759a6ce1c7bd.jpg?v=1659910436")</f>
        <v/>
      </c>
      <c r="H1732">
        <f>_xlfn.IMAGE("https://m.media-amazon.com/images/I/61XKg0BMktL._AC_UL320_.jpg")</f>
        <v/>
      </c>
      <c r="K1732" t="inlineStr">
        <is>
          <t>68.99</t>
        </is>
      </c>
      <c r="L1732" t="n">
        <v>109.95</v>
      </c>
      <c r="M1732" s="1" t="inlineStr">
        <is>
          <t>59.37%</t>
        </is>
      </c>
      <c r="N1732" s="7" t="n">
        <v>0</v>
      </c>
      <c r="O1732" t="n">
        <v>5</v>
      </c>
      <c r="P1732" t="n">
        <v>2</v>
      </c>
      <c r="R1732" t="inlineStr">
        <is>
          <t>InStock</t>
        </is>
      </c>
      <c r="S1732" t="inlineStr">
        <is>
          <t>93.62</t>
        </is>
      </c>
      <c r="T1732" t="inlineStr">
        <is>
          <t>4345448202340</t>
        </is>
      </c>
    </row>
    <row r="1733" hidden="1" ht="15.75" customHeight="1">
      <c r="A1733" s="2">
        <f>HYPERLINK("https://edmondsonsupply.com/collections/hvac/products/robertshaw-rs9220", "https://edmondsonsupply.com/collections/hvac/products/robertshaw-rs9220")</f>
        <v/>
      </c>
      <c r="B1733" s="2">
        <f>HYPERLINK("https://edmondsonsupply.com/products/robertshaw-rs9220", "https://edmondsonsupply.com/products/robertshaw-rs9220")</f>
        <v/>
      </c>
      <c r="C1733" t="inlineStr">
        <is>
          <t>Robertshaw RS9220 Programmable Wall Thermostat, Multi-Stage - 2 Heat / 2 Cool</t>
        </is>
      </c>
      <c r="D1733" t="inlineStr">
        <is>
          <t>Robertshaw RS10420T Pro Series 7-Day Wi-Fi Programmable Touchscreen Thermostat, Multi-Stage, 4 Heat / 2 Cool…</t>
        </is>
      </c>
      <c r="E1733" s="2">
        <f>HYPERLINK("https://www.amazon.com/Robertshaw-RS10420T-Programmable-Multi-Stage-Conventional/dp/B00U5CBBJC/ref=sr_1_2?keywords=Robertshaw+RS9220+Programmable+Wall+Thermostat%2C+Multi-Stage+-+2+Heat+%2F+2+Cool&amp;qid=1694734846&amp;sr=8-2", "https://www.amazon.com/Robertshaw-RS10420T-Programmable-Multi-Stage-Conventional/dp/B00U5CBBJC/ref=sr_1_2?keywords=Robertshaw+RS9220+Programmable+Wall+Thermostat%2C+Multi-Stage+-+2+Heat+%2F+2+Cool&amp;qid=1694734846&amp;sr=8-2")</f>
        <v/>
      </c>
      <c r="F1733" t="inlineStr">
        <is>
          <t>B00U5CBBJC</t>
        </is>
      </c>
      <c r="G1733">
        <f>_xludf.IMAGE("https://edmondsonsupply.com/cdn/shop/files/67652dc9-4ca4-4b9c-987a-a2c62c95b630.jpg?v=1693935585")</f>
        <v/>
      </c>
      <c r="H1733">
        <f>_xludf.IMAGE("https://m.media-amazon.com/images/I/71tm1J0vjML._AC_UL320_.jpg")</f>
        <v/>
      </c>
      <c r="K1733" t="inlineStr">
        <is>
          <t>47.04</t>
        </is>
      </c>
      <c r="L1733" t="n">
        <v>74.95</v>
      </c>
      <c r="M1733" s="1" t="inlineStr">
        <is>
          <t>59.33%</t>
        </is>
      </c>
      <c r="N1733" s="1" t="n">
        <v>0</v>
      </c>
      <c r="O1733" t="n">
        <v>3.1</v>
      </c>
      <c r="P1733" t="n">
        <v>24</v>
      </c>
      <c r="R1733" t="inlineStr">
        <is>
          <t>InStock</t>
        </is>
      </c>
      <c r="S1733" t="inlineStr">
        <is>
          <t>undefined</t>
        </is>
      </c>
      <c r="T1733" t="inlineStr">
        <is>
          <t>8034296594648</t>
        </is>
      </c>
    </row>
    <row r="1734" ht="87" customHeight="1">
      <c r="A1734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734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734" t="inlineStr">
        <is>
          <t>Klein Tools 32304 14-in-1 HVAC Adjustable-Length Impact Screwdriver with Flip Socket</t>
        </is>
      </c>
      <c r="D1734" t="inlineStr">
        <is>
          <t>Klein Tools 32304 Screwdriver &amp; 32768 Impact Driver, 3-in-1 Impact Flip Socket and Bit Holder, 1/4 and 5/16-Inch Hex Drivers, 3 and 5-Inch Lengths, 2-Piece Set</t>
        </is>
      </c>
      <c r="E1734" s="2">
        <f>HYPERLINK("https://www.amazon.com/Klein-Tools-Screwdriver-16-Inch-Drivers/dp/B0C4H7N4GS/ref=sr_1_17?keywords=Klein+Tools+32304+14-in-1+HVAC+Adjustable-Length+Impact+Screwdriver+with+Flip+Socket&amp;qid=1694734657&amp;sr=8-17", "https://www.amazon.com/Klein-Tools-Screwdriver-16-Inch-Drivers/dp/B0C4H7N4GS/ref=sr_1_17?keywords=Klein+Tools+32304+14-in-1+HVAC+Adjustable-Length+Impact+Screwdriver+with+Flip+Socket&amp;qid=1694734657&amp;sr=8-17")</f>
        <v/>
      </c>
      <c r="F1734" t="inlineStr">
        <is>
          <t>B0C4H7N4GS</t>
        </is>
      </c>
      <c r="G1734">
        <f>_xlfn.IMAGE("https://edmondsonsupply.com/cdn/shop/products/32304.jpg?v=1666019479")</f>
        <v/>
      </c>
      <c r="H1734">
        <f>_xlfn.IMAGE("https://m.media-amazon.com/images/I/41GpUvTL7xL._AC_UL320_.jpg")</f>
        <v/>
      </c>
      <c r="K1734" t="inlineStr">
        <is>
          <t>24.97</t>
        </is>
      </c>
      <c r="L1734" t="n">
        <v>39.76</v>
      </c>
      <c r="M1734" s="1" t="inlineStr">
        <is>
          <t>59.23%</t>
        </is>
      </c>
      <c r="N1734" s="7" t="n">
        <v>0</v>
      </c>
      <c r="O1734" t="n">
        <v>5</v>
      </c>
      <c r="P1734" t="n">
        <v>1</v>
      </c>
      <c r="R1734" t="inlineStr">
        <is>
          <t>InStock</t>
        </is>
      </c>
      <c r="S1734" t="inlineStr">
        <is>
          <t>34.98</t>
        </is>
      </c>
      <c r="T1734" t="inlineStr">
        <is>
          <t>7856604578008</t>
        </is>
      </c>
    </row>
    <row r="1735" ht="87" customHeight="1">
      <c r="A1735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1735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1735" t="inlineStr">
        <is>
          <t>Klein Tools 32304 14-in-1 HVAC Adjustable-Length Impact Screwdriver with Flip Socket</t>
        </is>
      </c>
      <c r="D1735" t="inlineStr">
        <is>
          <t>Screwdriver, 14-in-1 Adjustable Screwdriver with Flip Socket, HVAC Nut Drivers and Bits &amp; Klein Tools 32314 Electronic Screwdriver, 14-in-1 with 8 Precision Tips, Slotted, 6 Precision Nut Drivers</t>
        </is>
      </c>
      <c r="E1735" s="2">
        <f>HYPERLINK("https://www.amazon.com/Screwdriver-Adjustable-Klein-Tools-Electronic/dp/B0BM34Q1QR/ref=sr_1_4?keywords=Klein+Tools+32304+14-in-1+HVAC+Adjustable-Length+Impact+Screwdriver+with+Flip+Socket&amp;qid=1694734657&amp;sr=8-4", "https://www.amazon.com/Screwdriver-Adjustable-Klein-Tools-Electronic/dp/B0BM34Q1QR/ref=sr_1_4?keywords=Klein+Tools+32304+14-in-1+HVAC+Adjustable-Length+Impact+Screwdriver+with+Flip+Socket&amp;qid=1694734657&amp;sr=8-4")</f>
        <v/>
      </c>
      <c r="F1735" t="inlineStr">
        <is>
          <t>B0BM34Q1QR</t>
        </is>
      </c>
      <c r="G1735">
        <f>_xlfn.IMAGE("https://edmondsonsupply.com/cdn/shop/products/32304.jpg?v=1666019479")</f>
        <v/>
      </c>
      <c r="H1735">
        <f>_xlfn.IMAGE("https://m.media-amazon.com/images/I/41C5e4ThtpL._AC_UL320_.jpg")</f>
        <v/>
      </c>
      <c r="K1735" t="inlineStr">
        <is>
          <t>24.97</t>
        </is>
      </c>
      <c r="L1735" t="n">
        <v>39.74</v>
      </c>
      <c r="M1735" s="1" t="inlineStr">
        <is>
          <t>59.15%</t>
        </is>
      </c>
      <c r="N1735" s="7" t="n">
        <v>0</v>
      </c>
      <c r="O1735" t="n">
        <v>5</v>
      </c>
      <c r="P1735" t="n">
        <v>1</v>
      </c>
      <c r="R1735" t="inlineStr">
        <is>
          <t>InStock</t>
        </is>
      </c>
      <c r="S1735" t="inlineStr">
        <is>
          <t>34.98</t>
        </is>
      </c>
      <c r="T1735" t="inlineStr">
        <is>
          <t>7856604578008</t>
        </is>
      </c>
    </row>
    <row r="1736" ht="87" customHeight="1">
      <c r="A1736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736" s="2">
        <f>HYPERLINK("https://edmondsonsupply.com/products/packard-prmj270-motor-start-capacitor-270-324-mfd-330-vac", "https://edmondsonsupply.com/products/packard-prmj270-motor-start-capacitor-270-324-mfd-330-vac")</f>
        <v/>
      </c>
      <c r="C1736" t="inlineStr">
        <is>
          <t>Packard PRMJ270 Motor Start Capacitor 270-324 MFD 330 VAC</t>
        </is>
      </c>
      <c r="D1736" t="inlineStr">
        <is>
          <t>PTMJ270 - Packard Aftermarket Replacement Motor Start Capacitor 270-324 MFD 220 250 Volt</t>
        </is>
      </c>
      <c r="E1736" s="2">
        <f>HYPERLINK("https://www.amazon.com/PTMJ270-Packard-Aftermarket-Replacement-Capacitor/dp/B00IWYHXOW/ref=sr_1_6?keywords=Packard+PRMJ270+Motor+Start+Capacitor+270-324+MFD+330+VAC&amp;qid=1694734674&amp;sr=8-6", "https://www.amazon.com/PTMJ270-Packard-Aftermarket-Replacement-Capacitor/dp/B00IWYHXOW/ref=sr_1_6?keywords=Packard+PRMJ270+Motor+Start+Capacitor+270-324+MFD+330+VAC&amp;qid=1694734674&amp;sr=8-6")</f>
        <v/>
      </c>
      <c r="F1736" t="inlineStr">
        <is>
          <t>B00IWYHXOW</t>
        </is>
      </c>
      <c r="G1736">
        <f>_xlfn.IMAGE("https://edmondsonsupply.com/cdn/shop/products/PRMJ270-2.jpg?v=1633030164")</f>
        <v/>
      </c>
      <c r="H1736">
        <f>_xlfn.IMAGE("https://m.media-amazon.com/images/I/41k5rZblOYL._AC_UY218_.jpg")</f>
        <v/>
      </c>
      <c r="K1736" t="inlineStr">
        <is>
          <t>10.37</t>
        </is>
      </c>
      <c r="L1736" t="n">
        <v>16.49</v>
      </c>
      <c r="M1736" s="1" t="inlineStr">
        <is>
          <t>59.02%</t>
        </is>
      </c>
      <c r="N1736" s="7" t="n">
        <v>0</v>
      </c>
      <c r="O1736" t="n">
        <v>5</v>
      </c>
      <c r="P1736" t="n">
        <v>3</v>
      </c>
      <c r="R1736" t="inlineStr">
        <is>
          <t>InStock</t>
        </is>
      </c>
      <c r="S1736" t="inlineStr">
        <is>
          <t>undefined</t>
        </is>
      </c>
      <c r="T1736" t="inlineStr">
        <is>
          <t>4298743185508</t>
        </is>
      </c>
    </row>
    <row r="1737" hidden="1" ht="15.75" customHeight="1">
      <c r="A1737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737" s="2">
        <f>HYPERLINK("https://edmondsonsupply.com/products/packard-prmj145a-motor-start-capacitor-145-174-mfd", "https://edmondsonsupply.com/products/packard-prmj145a-motor-start-capacitor-145-174-mfd")</f>
        <v/>
      </c>
      <c r="C1737" t="inlineStr">
        <is>
          <t>Packard PRMJ145A Motor Start Capacitor 145-174 MFD</t>
        </is>
      </c>
      <c r="D1737" t="inlineStr">
        <is>
          <t>PTMJ145 - Packard Motor Start Capacitor 145-175 MFD 220 250 Volt</t>
        </is>
      </c>
      <c r="E1737" s="2">
        <f>HYPERLINK("https://www.amazon.com/PTMJ145-Packard-Aftermarket-Replacement-Capacitor/dp/B00KAFZKSC/ref=sr_1_13?keywords=Packard+PRMJ145A+Motor+Start+Capacitor+145-174+MFD&amp;qid=1694734791&amp;sr=8-13", "https://www.amazon.com/PTMJ145-Packard-Aftermarket-Replacement-Capacitor/dp/B00KAFZKSC/ref=sr_1_13?keywords=Packard+PRMJ145A+Motor+Start+Capacitor+145-174+MFD&amp;qid=1694734791&amp;sr=8-13")</f>
        <v/>
      </c>
      <c r="F1737" t="inlineStr">
        <is>
          <t>B00KAFZKSC</t>
        </is>
      </c>
      <c r="G1737">
        <f>_xludf.IMAGE("https://edmondsonsupply.com/cdn/shop/products/PRMJ145A-2.jpg?v=1633030335")</f>
        <v/>
      </c>
      <c r="H1737">
        <f>_xludf.IMAGE("https://m.media-amazon.com/images/I/41iN-8gLZyL._AC_UY218_.jpg")</f>
        <v/>
      </c>
      <c r="K1737" t="inlineStr">
        <is>
          <t>7.51</t>
        </is>
      </c>
      <c r="L1737" t="n">
        <v>11.94</v>
      </c>
      <c r="M1737" s="1" t="inlineStr">
        <is>
          <t>58.99%</t>
        </is>
      </c>
      <c r="N1737" s="1" t="n">
        <v>0</v>
      </c>
      <c r="O1737" t="n">
        <v>5</v>
      </c>
      <c r="P1737" t="n">
        <v>2</v>
      </c>
      <c r="R1737" t="inlineStr">
        <is>
          <t>InStock</t>
        </is>
      </c>
      <c r="S1737" t="inlineStr">
        <is>
          <t>undefined</t>
        </is>
      </c>
      <c r="T1737" t="inlineStr">
        <is>
          <t>5272211062952</t>
        </is>
      </c>
    </row>
    <row r="1738" ht="87" customHeight="1">
      <c r="A1738" s="2">
        <f>HYPERLINK("https://edmondsonsupply.com/collections/hvac/products/milwaukee-48-22-0305-folding-jab-saw", "https://edmondsonsupply.com/collections/hvac/products/milwaukee-48-22-0305-folding-jab-saw")</f>
        <v/>
      </c>
      <c r="B1738" s="2">
        <f>HYPERLINK("https://edmondsonsupply.com/products/milwaukee-48-22-0305-folding-jab-saw", "https://edmondsonsupply.com/products/milwaukee-48-22-0305-folding-jab-saw")</f>
        <v/>
      </c>
      <c r="C1738" t="inlineStr">
        <is>
          <t>Milwaukee 48-22-0305 Folding Jab Saw</t>
        </is>
      </c>
      <c r="D1738" t="inlineStr">
        <is>
          <t>Milwaukee 48-22-0305 Folding Jab Saw</t>
        </is>
      </c>
      <c r="E1738" s="2">
        <f>HYPERLINK("https://www.amazon.com/Milwaukee-48-22-0305-Folding-Jab-Saw/dp/B07FB3LJ2M/ref=sr_1_3?keywords=Milwaukee+48-22-0305+Folding+Jab+Saw&amp;qid=1694734816&amp;sr=8-3", "https://www.amazon.com/Milwaukee-48-22-0305-Folding-Jab-Saw/dp/B07FB3LJ2M/ref=sr_1_3?keywords=Milwaukee+48-22-0305+Folding+Jab+Saw&amp;qid=1694734816&amp;sr=8-3")</f>
        <v/>
      </c>
      <c r="F1738" t="inlineStr">
        <is>
          <t>B07FB3LJ2M</t>
        </is>
      </c>
      <c r="G1738">
        <f>_xlfn.IMAGE("https://edmondsonsupply.com/cdn/shop/products/49678_48-22-0305-lg.jpg?v=1587148349")</f>
        <v/>
      </c>
      <c r="H1738">
        <f>_xlfn.IMAGE("https://m.media-amazon.com/images/I/31MwF2AgpNL._AC_UL320_.jpg")</f>
        <v/>
      </c>
      <c r="K1738" t="inlineStr">
        <is>
          <t>19.97</t>
        </is>
      </c>
      <c r="L1738" t="n">
        <v>31.73</v>
      </c>
      <c r="M1738" s="1" t="inlineStr">
        <is>
          <t>58.89%</t>
        </is>
      </c>
      <c r="N1738" s="7" t="n">
        <v>0</v>
      </c>
      <c r="O1738" t="n">
        <v>4.1</v>
      </c>
      <c r="P1738" t="n">
        <v>19</v>
      </c>
      <c r="R1738" t="inlineStr">
        <is>
          <t>InStock</t>
        </is>
      </c>
      <c r="S1738" t="inlineStr">
        <is>
          <t>31.1</t>
        </is>
      </c>
      <c r="T1738" t="inlineStr">
        <is>
          <t>4349655449700</t>
        </is>
      </c>
    </row>
    <row r="1739" hidden="1" ht="15.75" customHeight="1">
      <c r="A1739" s="2">
        <f>HYPERLINK("https://edmondsonsupply.com/collections/hvac/products/malco-mshlc-2-5-8-c-rhex-cleanable-reversible-magnetic-hex-driver-1-4-5-16", "https://edmondsonsupply.com/collections/hvac/products/malco-mshlc-2-5-8-c-rhex-cleanable-reversible-magnetic-hex-driver-1-4-5-16")</f>
        <v/>
      </c>
      <c r="B1739" s="2">
        <f>HYPERLINK("https://edmondsonsupply.com/products/malco-mshlc-2-5-8-c-rhex-cleanable-reversible-magnetic-hex-driver-1-4-5-16", "https://edmondsonsupply.com/products/malco-mshlc-2-5-8-c-rhex-cleanable-reversible-magnetic-hex-driver-1-4-5-16")</f>
        <v/>
      </c>
      <c r="C1739" t="inlineStr">
        <is>
          <t>Malco Tools MSHLC 2-5/8" C-Rhex Cleanable, Reversible Magnetic Hex Driver, 1/4" &amp; 5/16"</t>
        </is>
      </c>
      <c r="D1739" t="inlineStr">
        <is>
          <t>Malco MSHMLC2 C-RHEX® Building Construction Series Cleanable, Reversible Magnetic Hex Driver (1/4" &amp; 5/16")</t>
        </is>
      </c>
      <c r="E1739" s="2">
        <f>HYPERLINK("https://www.amazon.com/Malco-MSHMLC2-Construction-Cleanable-Reversible/dp/B0BX77PFCY/ref=sr_1_2?keywords=Malco+Tools+MSHLC+2-5%2F8%22+C-Rhex+Cleanable%2C+Reversible+Magnetic+Hex+Driver%2C+1%2F4%22+%26+5%2F16%22&amp;qid=1694734604&amp;sr=8-2", "https://www.amazon.com/Malco-MSHMLC2-Construction-Cleanable-Reversible/dp/B0BX77PFCY/ref=sr_1_2?keywords=Malco+Tools+MSHLC+2-5%2F8%22+C-Rhex+Cleanable%2C+Reversible+Magnetic+Hex+Driver%2C+1%2F4%22+%26+5%2F16%22&amp;qid=1694734604&amp;sr=8-2")</f>
        <v/>
      </c>
      <c r="F1739" t="inlineStr">
        <is>
          <t>B0BX77PFCY</t>
        </is>
      </c>
      <c r="G1739">
        <f>_xludf.IMAGE("https://edmondsonsupply.com/cdn/shop/products/Malco-MSHLC-CRHEX-Slim-Design.jpg?v=1654737733")</f>
        <v/>
      </c>
      <c r="H1739">
        <f>_xludf.IMAGE("https://m.media-amazon.com/images/I/61SpFpw6GjL._AC_UL320_.jpg")</f>
        <v/>
      </c>
      <c r="K1739" t="inlineStr">
        <is>
          <t>8.76</t>
        </is>
      </c>
      <c r="L1739" t="n">
        <v>13.91</v>
      </c>
      <c r="M1739" s="1" t="inlineStr">
        <is>
          <t>58.79%</t>
        </is>
      </c>
      <c r="N1739" s="1" t="n">
        <v>0</v>
      </c>
      <c r="O1739" t="n">
        <v>2.5</v>
      </c>
      <c r="P1739" t="n">
        <v>3</v>
      </c>
      <c r="R1739" t="inlineStr">
        <is>
          <t>InStock</t>
        </is>
      </c>
      <c r="S1739" t="inlineStr">
        <is>
          <t>9.45</t>
        </is>
      </c>
      <c r="T1739" t="inlineStr">
        <is>
          <t>4102686015588</t>
        </is>
      </c>
    </row>
    <row r="1740" ht="87" customHeight="1">
      <c r="A1740" s="2">
        <f>HYPERLINK("https://edmondsonsupply.com/collections/hvac/products/channellock-804", "https://edmondsonsupply.com/collections/hvac/products/channellock-804")</f>
        <v/>
      </c>
      <c r="B1740" s="2">
        <f>HYPERLINK("https://edmondsonsupply.com/products/channellock-804", "https://edmondsonsupply.com/products/channellock-804")</f>
        <v/>
      </c>
      <c r="C1740" t="inlineStr">
        <is>
          <t>Channellock 804 4-Inch Chrome Adjustable Wrench</t>
        </is>
      </c>
      <c r="D1740" t="inlineStr">
        <is>
          <t>Channellock 804 Adjustable Wrench, Chrome Plated</t>
        </is>
      </c>
      <c r="E1740" s="2">
        <f>HYPERLINK("https://www.amazon.com/Channellock-Adjustable-Wrench-Chrome-Plated/dp/B017082YG2/ref=sr_1_1?keywords=Channellock+804+4-Inch+Chrome+Adjustable+Wrench&amp;qid=1694734791&amp;sr=8-1", "https://www.amazon.com/Channellock-Adjustable-Wrench-Chrome-Plated/dp/B017082YG2/ref=sr_1_1?keywords=Channellock+804+4-Inch+Chrome+Adjustable+Wrench&amp;qid=1694734791&amp;sr=8-1")</f>
        <v/>
      </c>
      <c r="F1740" t="inlineStr">
        <is>
          <t>B017082YG2</t>
        </is>
      </c>
      <c r="G1740">
        <f>_xlfn.IMAGE("https://edmondsonsupply.com/cdn/shop/products/804-683x1024.jpg?v=1587145853")</f>
        <v/>
      </c>
      <c r="H1740">
        <f>_xlfn.IMAGE("https://m.media-amazon.com/images/I/51KTfUlRtzL._AC_UL320_.jpg")</f>
        <v/>
      </c>
      <c r="K1740" t="inlineStr">
        <is>
          <t>16.95</t>
        </is>
      </c>
      <c r="L1740" t="n">
        <v>26.91</v>
      </c>
      <c r="M1740" s="1" t="inlineStr">
        <is>
          <t>58.76%</t>
        </is>
      </c>
      <c r="N1740" s="7" t="n">
        <v>0</v>
      </c>
      <c r="O1740" t="n">
        <v>5</v>
      </c>
      <c r="P1740" t="n">
        <v>3</v>
      </c>
      <c r="R1740" t="inlineStr">
        <is>
          <t>InStock</t>
        </is>
      </c>
      <c r="S1740" t="inlineStr">
        <is>
          <t>26.62</t>
        </is>
      </c>
      <c r="T1740" t="inlineStr">
        <is>
          <t>4094611488868</t>
        </is>
      </c>
    </row>
    <row r="1741" ht="87" customHeight="1">
      <c r="A1741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1741" s="2">
        <f>HYPERLINK("https://edmondsonsupply.com/products/midwest-mwt-ss6716l-special-hardness-aviation-snip-left-cutting", "https://edmondsonsupply.com/products/midwest-mwt-ss6716l-special-hardness-aviation-snip-left-cutting")</f>
        <v/>
      </c>
      <c r="C1741" t="inlineStr">
        <is>
          <t>Midwest MWT-SS6716L Special Hardness Aviation Snip - Left-Cutting</t>
        </is>
      </c>
      <c r="D1741" t="inlineStr">
        <is>
          <t>MIDWEST Tool and Cutlery Aviation Snip - Left Cut Offset Tin Cutting Shears with Forged Blade &amp; KUSH'N-POWER Comfort Grips - MWT-6510L</t>
        </is>
      </c>
      <c r="E1741" s="2">
        <f>HYPERLINK("https://www.amazon.com/MIDWEST-Aviation-Snip-KUSHN-POWER-MWT-6510L/dp/B00OCGQFP2/ref=sr_1_7?keywords=Midwest+MWT-SS6716L+Special+Hardness+Aviation+Snip+-+Left-Cutting&amp;qid=1694734623&amp;sr=8-7", "https://www.amazon.com/MIDWEST-Aviation-Snip-KUSHN-POWER-MWT-6510L/dp/B00OCGQFP2/ref=sr_1_7?keywords=Midwest+MWT-SS6716L+Special+Hardness+Aviation+Snip+-+Left-Cutting&amp;qid=1694734623&amp;sr=8-7")</f>
        <v/>
      </c>
      <c r="F1741" t="inlineStr">
        <is>
          <t>B00OCGQFP2</t>
        </is>
      </c>
      <c r="G1741">
        <f>_xlfn.IMAGE("https://edmondsonsupply.com/cdn/shop/products/MWT-SS6716L1.jpg?v=1587151241")</f>
        <v/>
      </c>
      <c r="H1741">
        <f>_xlfn.IMAGE("https://m.media-amazon.com/images/I/71WhwcyI50L._AC_UL320_.jpg")</f>
        <v/>
      </c>
      <c r="K1741" t="inlineStr">
        <is>
          <t>25.49</t>
        </is>
      </c>
      <c r="L1741" t="n">
        <v>40.38</v>
      </c>
      <c r="M1741" s="1" t="inlineStr">
        <is>
          <t>58.42%</t>
        </is>
      </c>
      <c r="N1741" s="7" t="n">
        <v>0</v>
      </c>
      <c r="O1741" t="n">
        <v>4.7</v>
      </c>
      <c r="P1741" t="n">
        <v>2712</v>
      </c>
      <c r="R1741" t="inlineStr">
        <is>
          <t>InStock</t>
        </is>
      </c>
      <c r="S1741" t="inlineStr">
        <is>
          <t>36.2</t>
        </is>
      </c>
      <c r="T1741" t="inlineStr">
        <is>
          <t>4508646277220</t>
        </is>
      </c>
    </row>
    <row r="1742" hidden="1" ht="15.75" customHeight="1">
      <c r="A1742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742" s="2">
        <f>HYPERLINK("https://edmondsonsupply.com/products/packard-prmj189-motor-start-capacitor-189-227-mfd-330-vac", "https://edmondsonsupply.com/products/packard-prmj189-motor-start-capacitor-189-227-mfd-330-vac")</f>
        <v/>
      </c>
      <c r="C1742" t="inlineStr">
        <is>
          <t>Packard PRMJ189 Motor Start Capacitor 189-227 MFD 330 VAC</t>
        </is>
      </c>
      <c r="D1742" t="inlineStr">
        <is>
          <t>CD60 330 VAC 189-227 uf/MFD Round Motor Start Capacitor Replacement Parts, Fit for Central Air-Conditioners, Condenser Fan Motors and Heat Pumps</t>
        </is>
      </c>
      <c r="E1742" s="2">
        <f>HYPERLINK("https://www.amazon.com/189-227-Capacitor-Replacement-Air-Conditioners-Condenser/dp/B0C88BP5F8/ref=sr_1_11?keywords=Packard+PRMJ189+Motor+Start+Capacitor+189-227+MFD+330+VAC&amp;qid=1694734820&amp;sr=8-11", "https://www.amazon.com/189-227-Capacitor-Replacement-Air-Conditioners-Condenser/dp/B0C88BP5F8/ref=sr_1_11?keywords=Packard+PRMJ189+Motor+Start+Capacitor+189-227+MFD+330+VAC&amp;qid=1694734820&amp;sr=8-11")</f>
        <v/>
      </c>
      <c r="F1742" t="inlineStr">
        <is>
          <t>B0C88BP5F8</t>
        </is>
      </c>
      <c r="G1742">
        <f>_xludf.IMAGE("https://edmondsonsupply.com/cdn/shop/products/PRMJ189-2.jpg?v=1663378512")</f>
        <v/>
      </c>
      <c r="H1742">
        <f>_xludf.IMAGE("https://m.media-amazon.com/images/I/617YaaGXokL._AC_UY218_.jpg")</f>
        <v/>
      </c>
      <c r="K1742" t="inlineStr">
        <is>
          <t>8.59</t>
        </is>
      </c>
      <c r="L1742" t="n">
        <v>13.6</v>
      </c>
      <c r="M1742" s="1" t="inlineStr">
        <is>
          <t>58.32%</t>
        </is>
      </c>
      <c r="N1742" s="1" t="n">
        <v>0</v>
      </c>
      <c r="O1742" t="n">
        <v>5</v>
      </c>
      <c r="P1742" t="n">
        <v>6</v>
      </c>
      <c r="R1742" t="inlineStr">
        <is>
          <t>InStock</t>
        </is>
      </c>
      <c r="S1742" t="inlineStr">
        <is>
          <t>undefined</t>
        </is>
      </c>
      <c r="T1742" t="inlineStr">
        <is>
          <t>4298778378340</t>
        </is>
      </c>
    </row>
    <row r="1743" ht="87" customHeight="1">
      <c r="A1743" s="2">
        <f>HYPERLINK("https://edmondsonsupply.com/collections/hvac/products/nu-calgon-4372-24-triclean-2x-coil-cleaner-1-quart", "https://edmondsonsupply.com/collections/hvac/products/nu-calgon-4372-24-triclean-2x-coil-cleaner-1-quart")</f>
        <v/>
      </c>
      <c r="B1743" s="2">
        <f>HYPERLINK("https://edmondsonsupply.com/products/nu-calgon-4372-24-triclean-2x-coil-cleaner-1-quart", "https://edmondsonsupply.com/products/nu-calgon-4372-24-triclean-2x-coil-cleaner-1-quart")</f>
        <v/>
      </c>
      <c r="C1743" t="inlineStr">
        <is>
          <t>Nu-Calgon 4372-24 TriClean 2x Coil Cleaner, 1 quart</t>
        </is>
      </c>
      <c r="D1743" t="inlineStr">
        <is>
          <t>Nu-Calgon 4372-24 TriClean 2X Concentrate Coil Cleaning Sprayer with Hose Connector, 1 Quart</t>
        </is>
      </c>
      <c r="E1743" s="2">
        <f>HYPERLINK("https://www.amazon.com/TriClean-Concentrate-Coil-Cleaner-Connector/dp/B01FCABBQO/ref=sr_1_4?keywords=Nu-Calgon+4372-24+TriClean+2x+Coil+Cleaner%2C+1+quart&amp;qid=1694734636&amp;sr=8-4", "https://www.amazon.com/TriClean-Concentrate-Coil-Cleaner-Connector/dp/B01FCABBQO/ref=sr_1_4?keywords=Nu-Calgon+4372-24+TriClean+2x+Coil+Cleaner%2C+1+quart&amp;qid=1694734636&amp;sr=8-4")</f>
        <v/>
      </c>
      <c r="F1743" t="inlineStr">
        <is>
          <t>B01FCABBQO</t>
        </is>
      </c>
      <c r="G1743">
        <f>_xlfn.IMAGE("https://edmondsonsupply.com/cdn/shop/products/4372-24.jpg?v=1658873195")</f>
        <v/>
      </c>
      <c r="H1743">
        <f>_xlfn.IMAGE("https://m.media-amazon.com/images/I/31wneIxbHyL._AC_UL320_.jpg")</f>
        <v/>
      </c>
      <c r="K1743" t="inlineStr">
        <is>
          <t>23.29</t>
        </is>
      </c>
      <c r="L1743" t="n">
        <v>36.87</v>
      </c>
      <c r="M1743" s="1" t="inlineStr">
        <is>
          <t>58.31%</t>
        </is>
      </c>
      <c r="N1743" s="7" t="n">
        <v>0</v>
      </c>
      <c r="O1743" t="n">
        <v>5</v>
      </c>
      <c r="P1743" t="n">
        <v>1</v>
      </c>
      <c r="R1743" t="inlineStr">
        <is>
          <t>InStock</t>
        </is>
      </c>
      <c r="S1743" t="inlineStr">
        <is>
          <t>33.48</t>
        </is>
      </c>
      <c r="T1743" t="inlineStr">
        <is>
          <t>7761828315352</t>
        </is>
      </c>
    </row>
    <row r="1744" ht="87" customHeight="1">
      <c r="A1744" s="2">
        <f>HYPERLINK("https://edmondsonsupply.com/collections/hvac/products/klein-tools-ncvt-4ir-non-contact-voltage-tester-pen-12-1000v-with-infrared-thermometer", "https://edmondsonsupply.com/collections/hvac/products/klein-tools-ncvt-4ir-non-contact-voltage-tester-pen-12-1000v-with-infrared-thermometer")</f>
        <v/>
      </c>
      <c r="B1744" s="2">
        <f>HYPERLINK("https://edmondsonsupply.com/products/klein-tools-ncvt-4ir-non-contact-voltage-tester-pen-12-1000v-with-infrared-thermometer", "https://edmondsonsupply.com/products/klein-tools-ncvt-4ir-non-contact-voltage-tester-pen-12-1000v-with-infrared-thermometer")</f>
        <v/>
      </c>
      <c r="C1744" t="inlineStr">
        <is>
          <t>Klein Tools NCVT-4IR Non-Contact Voltage Tester Pen, 12-1000V, with Infrared Thermometer</t>
        </is>
      </c>
      <c r="D1744" t="inlineStr">
        <is>
          <t>Klein Tools NCVT-4IR Non-Contact Volt Tester, 12-1000V AC Pen with IR Thermometer -22 to 482 deg F, LED and Audible Alarms, Pocket Clip &amp; 14-in-1 Adjustable Screwdriver</t>
        </is>
      </c>
      <c r="E1744" s="2">
        <f>HYPERLINK("https://www.amazon.com/Klein-Tools-NCVT-4IR-Non-Contact-Tester/dp/B0BD41QXCP/ref=sr_1_1?keywords=Klein+Tools+NCVT-4IR+Non-Contact+Voltage+Tester+Pen%2C+12-1000V%2C+with+Infrared+Thermometer&amp;qid=1694734723&amp;sr=8-1", "https://www.amazon.com/Klein-Tools-NCVT-4IR-Non-Contact-Tester/dp/B0BD41QXCP/ref=sr_1_1?keywords=Klein+Tools+NCVT-4IR+Non-Contact+Voltage+Tester+Pen%2C+12-1000V%2C+with+Infrared+Thermometer&amp;qid=1694734723&amp;sr=8-1")</f>
        <v/>
      </c>
      <c r="F1744" t="inlineStr">
        <is>
          <t>B0BD41QXCP</t>
        </is>
      </c>
      <c r="G1744">
        <f>_xlfn.IMAGE("https://edmondsonsupply.com/cdn/shop/products/ncvt4ir.jpg?v=1633030412")</f>
        <v/>
      </c>
      <c r="H1744">
        <f>_xlfn.IMAGE("https://m.media-amazon.com/images/I/418deU9NDfL._AC_UL320_.jpg")</f>
        <v/>
      </c>
      <c r="K1744" t="inlineStr">
        <is>
          <t>39.99</t>
        </is>
      </c>
      <c r="L1744" t="n">
        <v>63.22</v>
      </c>
      <c r="M1744" s="1" t="inlineStr">
        <is>
          <t>58.09%</t>
        </is>
      </c>
      <c r="N1744" s="7" t="n">
        <v>0</v>
      </c>
      <c r="O1744" t="n">
        <v>5</v>
      </c>
      <c r="P1744" t="n">
        <v>1</v>
      </c>
      <c r="R1744" t="inlineStr">
        <is>
          <t>InStock</t>
        </is>
      </c>
      <c r="S1744" t="inlineStr">
        <is>
          <t>58.58</t>
        </is>
      </c>
      <c r="T1744" t="inlineStr">
        <is>
          <t>5310387617960</t>
        </is>
      </c>
    </row>
    <row r="1745" hidden="1" ht="15.75" customHeight="1">
      <c r="A1745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1745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1745" t="inlineStr">
        <is>
          <t>Diablo Tools DMAPL4210 5/8 in. x 4 in. x 6 in. Rebar Demon™ SDS‑Plus 4‑Cutter Full Carbide Head Hammer Bit</t>
        </is>
      </c>
      <c r="D1745" t="inlineStr">
        <is>
          <t>Diablo DMAPL4055 3/16 in. x 10 in. x 12 in. Rebar Demon™ SDS-Plus 4-Cutter Full Carbide Head Hammer Bit</t>
        </is>
      </c>
      <c r="E1745" s="2" t="n"/>
      <c r="F1745" t="inlineStr">
        <is>
          <t>B089LJCD42</t>
        </is>
      </c>
      <c r="G1745">
        <f>_xludf.IMAGE("https://edmondsonsupply.com/cdn/shop/products/DMAPL4210_Main-Image20200701.png?v=1633030426")</f>
        <v/>
      </c>
      <c r="H1745">
        <f>_xludf.IMAGE("https://m.media-amazon.com/images/I/61cDOAhkb4L._AC_UL320_.jpg")</f>
        <v/>
      </c>
      <c r="K1745" t="inlineStr">
        <is>
          <t>9.97</t>
        </is>
      </c>
      <c r="L1745" t="n">
        <v>15.76</v>
      </c>
      <c r="M1745" s="1" t="inlineStr">
        <is>
          <t>58.07%</t>
        </is>
      </c>
      <c r="N1745" s="1" t="n">
        <v>0</v>
      </c>
      <c r="O1745" t="n">
        <v>2</v>
      </c>
      <c r="P1745" t="n">
        <v>1</v>
      </c>
      <c r="R1745" t="inlineStr">
        <is>
          <t>InStock</t>
        </is>
      </c>
      <c r="S1745" t="inlineStr">
        <is>
          <t>13.77</t>
        </is>
      </c>
      <c r="T1745" t="inlineStr">
        <is>
          <t>5326920482984</t>
        </is>
      </c>
    </row>
    <row r="1746" ht="87" customHeight="1">
      <c r="A1746" s="2">
        <f>HYPERLINK("https://edmondsonsupply.com/collections/hvac/products/esp-pop3-lil-popper-control-board-circuit-breaker-3-amp", "https://edmondsonsupply.com/collections/hvac/products/esp-pop3-lil-popper-control-board-circuit-breaker-3-amp")</f>
        <v/>
      </c>
      <c r="B1746" s="2">
        <f>HYPERLINK("https://edmondsonsupply.com/products/esp-pop3-lil-popper-control-board-circuit-breaker-3-amp", "https://edmondsonsupply.com/products/esp-pop3-lil-popper-control-board-circuit-breaker-3-amp")</f>
        <v/>
      </c>
      <c r="C1746" t="inlineStr">
        <is>
          <t>ESP POP3 Li'l Popper Control Board Circuit Breaker- 3 Amp</t>
        </is>
      </c>
      <c r="D1746" t="inlineStr">
        <is>
          <t>ESP POP3 Li'L Popper 3A Control Circuit Tester</t>
        </is>
      </c>
      <c r="E1746" s="2">
        <f>HYPERLINK("https://www.amazon.com/ESP-Popper-Control-Circuit-Tester/dp/B07FWCVFP1/ref=sr_1_1?keywords=ESP+POP3+Lil+Popper+Control+Board+Circuit+Breaker-+3+Amp&amp;qid=1694734592&amp;sr=8-1", "https://www.amazon.com/ESP-Popper-Control-Circuit-Tester/dp/B07FWCVFP1/ref=sr_1_1?keywords=ESP+POP3+Lil+Popper+Control+Board+Circuit+Breaker-+3+Amp&amp;qid=1694734592&amp;sr=8-1")</f>
        <v/>
      </c>
      <c r="F1746" t="inlineStr">
        <is>
          <t>B07FWCVFP1</t>
        </is>
      </c>
      <c r="G1746">
        <f>_xlfn.IMAGE("https://edmondsonsupply.com/cdn/shop/products/pop3_xl_1.jpg?v=1633030635")</f>
        <v/>
      </c>
      <c r="H1746">
        <f>_xlfn.IMAGE("https://m.media-amazon.com/images/I/51M9mrqgAwL._AC_UL320_.jpg")</f>
        <v/>
      </c>
      <c r="K1746" t="inlineStr">
        <is>
          <t>11.99</t>
        </is>
      </c>
      <c r="L1746" t="n">
        <v>18.95</v>
      </c>
      <c r="M1746" s="1" t="inlineStr">
        <is>
          <t>58.05%</t>
        </is>
      </c>
      <c r="N1746" s="7" t="n">
        <v>0</v>
      </c>
      <c r="O1746" t="n">
        <v>4.6</v>
      </c>
      <c r="P1746" t="n">
        <v>42</v>
      </c>
      <c r="R1746" t="inlineStr">
        <is>
          <t>InStock</t>
        </is>
      </c>
      <c r="S1746" t="inlineStr">
        <is>
          <t>undefined</t>
        </is>
      </c>
      <c r="T1746" t="inlineStr">
        <is>
          <t>5702371934376</t>
        </is>
      </c>
    </row>
    <row r="1747" hidden="1" ht="15.75" customHeight="1">
      <c r="A1747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1747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1747" t="inlineStr">
        <is>
          <t>Klein Tools 605-6 1/4-Inch Cabinet Tip Screwdriver, Heavy Duty, 6-Inch</t>
        </is>
      </c>
      <c r="D1747" t="inlineStr">
        <is>
          <t>Klein Tools 6926INS Insulated Screwdriver, 1000V Slim Profile Tip, 1/4-Inch Cabinet Screwdriver with 6-Inch Shank, Cushion-Grip Handle</t>
        </is>
      </c>
      <c r="E1747" s="2">
        <f>HYPERLINK("https://www.amazon.com/Klein-Tools-6926INS-Screwdriver-Cushion-Grip/dp/B09GL1X5SZ/ref=sr_1_16?keywords=Klein+Tools+605-6+1%2F4-Inch+Cabinet+Tip+Screwdriver%2C+Heavy+Duty%2C+6-Inch&amp;qid=1694734725&amp;sr=8-16", "https://www.amazon.com/Klein-Tools-6926INS-Screwdriver-Cushion-Grip/dp/B09GL1X5SZ/ref=sr_1_16?keywords=Klein+Tools+605-6+1%2F4-Inch+Cabinet+Tip+Screwdriver%2C+Heavy+Duty%2C+6-Inch&amp;qid=1694734725&amp;sr=8-16")</f>
        <v/>
      </c>
      <c r="F1747" t="inlineStr">
        <is>
          <t>B09GL1X5SZ</t>
        </is>
      </c>
      <c r="G1747">
        <f>_xludf.IMAGE("https://edmondsonsupply.com/cdn/shop/products/605-6.jpg?v=1587149759")</f>
        <v/>
      </c>
      <c r="H1747">
        <f>_xludf.IMAGE("https://m.media-amazon.com/images/I/41JbepP5oGL._AC_UL320_.jpg")</f>
        <v/>
      </c>
      <c r="K1747" t="inlineStr">
        <is>
          <t>9.49</t>
        </is>
      </c>
      <c r="L1747" t="n">
        <v>14.99</v>
      </c>
      <c r="M1747" s="1" t="inlineStr">
        <is>
          <t>57.96%</t>
        </is>
      </c>
      <c r="N1747" s="1" t="n">
        <v>0</v>
      </c>
      <c r="O1747" t="n">
        <v>4.8</v>
      </c>
      <c r="P1747" t="n">
        <v>85</v>
      </c>
      <c r="R1747" t="inlineStr">
        <is>
          <t>InStock</t>
        </is>
      </c>
      <c r="S1747" t="inlineStr">
        <is>
          <t>14.38</t>
        </is>
      </c>
      <c r="T1747" t="inlineStr">
        <is>
          <t>4512371310692</t>
        </is>
      </c>
    </row>
    <row r="1748" ht="87" customHeight="1">
      <c r="A1748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748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748" t="inlineStr">
        <is>
          <t>Yellow Jacket 25002 9" FLEXFLOW™ 1/4" Adaper Hose with Ball Valve - Yellow</t>
        </is>
      </c>
      <c r="D1748" t="inlineStr">
        <is>
          <t>Yellow Jacket 29036 Plus II Hose with 1/4" Compact Ball Valve Fittings, 36", Yellow</t>
        </is>
      </c>
      <c r="E1748" s="2">
        <f>HYPERLINK("https://www.amazon.com/Yellow-Jacket-29036-Compact-Fittings/dp/B009AXAC9C/ref=sr_1_11?keywords=Yellow+Jacket+25002+9%22+FLEXFLOW%E2%84%A2+1%2F4%22+Adaper+Hose+with+Ball+Valve+-+Yellow&amp;qid=1694734728&amp;sr=8-11", "https://www.amazon.com/Yellow-Jacket-29036-Compact-Fittings/dp/B009AXAC9C/ref=sr_1_11?keywords=Yellow+Jacket+25002+9%22+FLEXFLOW%E2%84%A2+1%2F4%22+Adaper+Hose+with+Ball+Valve+-+Yellow&amp;qid=1694734728&amp;sr=8-11")</f>
        <v/>
      </c>
      <c r="F1748" t="inlineStr">
        <is>
          <t>B009AXAC9C</t>
        </is>
      </c>
      <c r="G1748">
        <f>_xlfn.IMAGE("https://edmondsonsupply.com/cdn/shop/products/Yellow_Jacket_25002.jpg?v=1587150917")</f>
        <v/>
      </c>
      <c r="H1748">
        <f>_xlfn.IMAGE("https://m.media-amazon.com/images/I/810FI4NLi3L._AC_UL320_.jpg")</f>
        <v/>
      </c>
      <c r="K1748" t="inlineStr">
        <is>
          <t>35.54</t>
        </is>
      </c>
      <c r="L1748" t="n">
        <v>56.1</v>
      </c>
      <c r="M1748" s="1" t="inlineStr">
        <is>
          <t>57.85%</t>
        </is>
      </c>
      <c r="N1748" s="7" t="n">
        <v>0</v>
      </c>
      <c r="O1748" t="n">
        <v>4.8</v>
      </c>
      <c r="P1748" t="n">
        <v>9</v>
      </c>
      <c r="R1748" t="inlineStr">
        <is>
          <t>InStock</t>
        </is>
      </c>
      <c r="S1748" t="inlineStr">
        <is>
          <t>undefined</t>
        </is>
      </c>
      <c r="T1748" t="inlineStr">
        <is>
          <t>2633213739108</t>
        </is>
      </c>
    </row>
    <row r="1749" hidden="1" ht="15.75" customHeight="1">
      <c r="A1749" s="2">
        <f>HYPERLINK("https://edmondsonsupply.com/collections/hvac/products/packard-prmj88-motor-start-capacitor-88-108-mfd-330-volt", "https://edmondsonsupply.com/collections/hvac/products/packard-prmj88-motor-start-capacitor-88-108-mfd-330-volt")</f>
        <v/>
      </c>
      <c r="B1749" s="2">
        <f>HYPERLINK("https://edmondsonsupply.com/products/packard-prmj88-motor-start-capacitor-88-108-mfd-330-volt", "https://edmondsonsupply.com/products/packard-prmj88-motor-start-capacitor-88-108-mfd-330-volt")</f>
        <v/>
      </c>
      <c r="C1749" t="inlineStr">
        <is>
          <t>Packard PRMJ88 Motor Start Capacitor 88-108 MFD 330 Volt</t>
        </is>
      </c>
      <c r="D1749" t="inlineStr">
        <is>
          <t>PTMJ88 - Packard Aftermarket Replacement Motor Start Capacitor 88-108 MFD 220 250 Volt</t>
        </is>
      </c>
      <c r="E1749" s="2">
        <f>HYPERLINK("https://www.amazon.com/PTMJ88-Packard-Aftermarket-Replacement-Capacitor/dp/B00IWYIGRA/ref=sr_1_16?keywords=Packard+PRMJ88+Motor+Start+Capacitor+88-108+MFD+330+Volt&amp;qid=1694734788&amp;sr=8-16", "https://www.amazon.com/PTMJ88-Packard-Aftermarket-Replacement-Capacitor/dp/B00IWYIGRA/ref=sr_1_16?keywords=Packard+PRMJ88+Motor+Start+Capacitor+88-108+MFD+330+Volt&amp;qid=1694734788&amp;sr=8-16")</f>
        <v/>
      </c>
      <c r="F1749" t="inlineStr">
        <is>
          <t>B00IWYIGRA</t>
        </is>
      </c>
      <c r="G1749">
        <f>_xludf.IMAGE("https://edmondsonsupply.com/cdn/shop/products/PRMJ88-2.jpg?v=1633030394")</f>
        <v/>
      </c>
      <c r="H1749">
        <f>_xludf.IMAGE("https://m.media-amazon.com/images/I/41Aj4DTIUuL._AC_UY218_.jpg")</f>
        <v/>
      </c>
      <c r="K1749" t="inlineStr">
        <is>
          <t>5.59</t>
        </is>
      </c>
      <c r="L1749" t="n">
        <v>8.82</v>
      </c>
      <c r="M1749" s="1" t="inlineStr">
        <is>
          <t>57.78%</t>
        </is>
      </c>
      <c r="N1749" s="1" t="n">
        <v>0</v>
      </c>
      <c r="O1749" t="n">
        <v>4.3</v>
      </c>
      <c r="P1749" t="n">
        <v>81</v>
      </c>
      <c r="R1749" t="inlineStr">
        <is>
          <t>InStock</t>
        </is>
      </c>
      <c r="S1749" t="inlineStr">
        <is>
          <t>undefined</t>
        </is>
      </c>
      <c r="T1749" t="inlineStr">
        <is>
          <t>5302132179112</t>
        </is>
      </c>
    </row>
    <row r="1750" hidden="1" ht="15.75" customHeight="1">
      <c r="A1750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750" s="2">
        <f>HYPERLINK("https://edmondsonsupply.com/products/packard-psmj400-motor-start-capacitor-400-480-mfd-165-vac", "https://edmondsonsupply.com/products/packard-psmj400-motor-start-capacitor-400-480-mfd-165-vac")</f>
        <v/>
      </c>
      <c r="C1750" t="inlineStr">
        <is>
          <t>Packard PSMJ400 Motor Start Capacitor 400-480 MFD 165 VAC</t>
        </is>
      </c>
      <c r="D1750" t="inlineStr">
        <is>
          <t>400-480 - Packard Aftermarket Replacement Motor Start Capacitor 400-480 MFD 110 125 Volt</t>
        </is>
      </c>
      <c r="E1750" s="2">
        <f>HYPERLINK("https://www.amazon.com/400-480-Packard-Aftermarket-Replacement-Capacitor/dp/B00IWYFSOE/ref=sr_1_6?keywords=Packard+PSMJ400+Motor+Start+Capacitor+400-480+MFD+165+VAC&amp;qid=1694734737&amp;sr=8-6", "https://www.amazon.com/400-480-Packard-Aftermarket-Replacement-Capacitor/dp/B00IWYFSOE/ref=sr_1_6?keywords=Packard+PSMJ400+Motor+Start+Capacitor+400-480+MFD+165+VAC&amp;qid=1694734737&amp;sr=8-6")</f>
        <v/>
      </c>
      <c r="F1750" t="inlineStr">
        <is>
          <t>B00IWYFSOE</t>
        </is>
      </c>
      <c r="G1750">
        <f>_xludf.IMAGE("https://edmondsonsupply.com/cdn/shop/products/PSMJ400-2.jpg?v=1587142312")</f>
        <v/>
      </c>
      <c r="H1750">
        <f>_xludf.IMAGE("https://m.media-amazon.com/images/I/41ECdi1aijL._AC_UY218_.jpg")</f>
        <v/>
      </c>
      <c r="K1750" t="inlineStr">
        <is>
          <t>7.92</t>
        </is>
      </c>
      <c r="L1750" t="n">
        <v>12.49</v>
      </c>
      <c r="M1750" s="1" t="inlineStr">
        <is>
          <t>57.70%</t>
        </is>
      </c>
      <c r="N1750" s="1" t="n">
        <v>0</v>
      </c>
      <c r="O1750" t="n">
        <v>4.4</v>
      </c>
      <c r="P1750" t="n">
        <v>198</v>
      </c>
      <c r="R1750" t="inlineStr">
        <is>
          <t>InStock</t>
        </is>
      </c>
      <c r="S1750" t="inlineStr">
        <is>
          <t>undefined</t>
        </is>
      </c>
      <c r="T1750" t="inlineStr">
        <is>
          <t>3683072016484</t>
        </is>
      </c>
    </row>
    <row r="1751" hidden="1" ht="15.75" customHeight="1">
      <c r="A1751" s="2">
        <f>HYPERLINK("https://edmondsonsupply.com/collections/hvac/products/packard-titan-pro-toc10-motor-run-capacitor-10-mfd-370-volt-oval", "https://edmondsonsupply.com/collections/hvac/products/packard-titan-pro-toc10-motor-run-capacitor-10-mfd-370-volt-oval")</f>
        <v/>
      </c>
      <c r="B1751" s="2">
        <f>HYPERLINK("https://edmondsonsupply.com/products/packard-titan-pro-toc10-motor-run-capacitor-10-mfd-370-volt-oval", "https://edmondsonsupply.com/products/packard-titan-pro-toc10-motor-run-capacitor-10-mfd-370-volt-oval")</f>
        <v/>
      </c>
      <c r="C1751" t="inlineStr">
        <is>
          <t>Packard Titan PRO TOC10 Motor Run Capacitor 10 MFD 370 Volt Oval</t>
        </is>
      </c>
      <c r="D1751" t="inlineStr">
        <is>
          <t>Packard TOC10 Motor Run Capacitor Oval / MFD:10 / Volts: 370</t>
        </is>
      </c>
      <c r="E1751" s="2">
        <f>HYPERLINK("https://www.amazon.com/Packard-TOC10-Motor-Capacitor-Oval/dp/B01IUXYJGY/ref=sr_1_11?keywords=Packard+Titan+PRO+TOC10+Motor+Run+Capacitor+10+MFD+370+Volt+Oval&amp;qid=1694734594&amp;sr=8-11", "https://www.amazon.com/Packard-TOC10-Motor-Capacitor-Oval/dp/B01IUXYJGY/ref=sr_1_11?keywords=Packard+Titan+PRO+TOC10+Motor+Run+Capacitor+10+MFD+370+Volt+Oval&amp;qid=1694734594&amp;sr=8-11")</f>
        <v/>
      </c>
      <c r="F1751" t="inlineStr">
        <is>
          <t>B01IUXYJGY</t>
        </is>
      </c>
      <c r="G1751">
        <f>_xludf.IMAGE("https://edmondsonsupply.com/cdn/shop/products/TOC10-2.jpg?v=1647209707")</f>
        <v/>
      </c>
      <c r="H1751">
        <f>_xludf.IMAGE("https://m.media-amazon.com/images/I/31oJ1s4Ab7L._AC_UY218_.jpg")</f>
        <v/>
      </c>
      <c r="K1751" t="inlineStr">
        <is>
          <t>2.22</t>
        </is>
      </c>
      <c r="L1751" t="n">
        <v>3.5</v>
      </c>
      <c r="M1751" s="1" t="inlineStr">
        <is>
          <t>57.66%</t>
        </is>
      </c>
      <c r="N1751" s="1" t="n">
        <v>0</v>
      </c>
      <c r="O1751" t="n">
        <v>5</v>
      </c>
      <c r="P1751" t="n">
        <v>2</v>
      </c>
      <c r="R1751" t="inlineStr">
        <is>
          <t>InStock</t>
        </is>
      </c>
      <c r="S1751" t="inlineStr">
        <is>
          <t>undefined</t>
        </is>
      </c>
      <c r="T1751" t="inlineStr">
        <is>
          <t>7634985910488</t>
        </is>
      </c>
    </row>
    <row r="1752" hidden="1" ht="15.75" customHeight="1">
      <c r="A1752" s="2">
        <f>HYPERLINK("https://edmondsonsupply.com/collections/hvac/products/sharkbite-u710-1-2-disconnect-clip", "https://edmondsonsupply.com/collections/hvac/products/sharkbite-u710-1-2-disconnect-clip")</f>
        <v/>
      </c>
      <c r="B1752" s="2">
        <f>HYPERLINK("https://edmondsonsupply.com/products/sharkbite-u710-1-2-disconnect-clip", "https://edmondsonsupply.com/products/sharkbite-u710-1-2-disconnect-clip")</f>
        <v/>
      </c>
      <c r="C1752" t="inlineStr">
        <is>
          <t>SharkBite UP514 1/2" Poly Crimp PEX Plug (Bag of 25)</t>
        </is>
      </c>
      <c r="D1752" t="inlineStr">
        <is>
          <t>SharkBite 1/2 Inch Poly Crimp Plug, Pack of 25, PEX Pipe, PE-RT, UP514</t>
        </is>
      </c>
      <c r="E1752" s="2">
        <f>HYPERLINK("https://www.amazon.com/SharkBite-UP514-2-Inch-Plastic-Barb/dp/B00A8HRDN2/ref=sr_1_1?keywords=SharkBite+UP514+1%2F2%22+Poly+Crimp+PEX+Plug+%28Bag+of+25%29&amp;qid=1694734823&amp;sr=8-1", "https://www.amazon.com/SharkBite-UP514-2-Inch-Plastic-Barb/dp/B00A8HRDN2/ref=sr_1_1?keywords=SharkBite+UP514+1%2F2%22+Poly+Crimp+PEX+Plug+%28Bag+of+25%29&amp;qid=1694734823&amp;sr=8-1")</f>
        <v/>
      </c>
      <c r="F1752" t="inlineStr">
        <is>
          <t>B00A8HRDN2</t>
        </is>
      </c>
      <c r="G1752">
        <f>_xludf.IMAGE("https://edmondsonsupply.com/cdn/shop/products/SharkBite_UP514_12_Poly_Crimp_Plug.jpg?v=1599424725")</f>
        <v/>
      </c>
      <c r="H1752">
        <f>_xludf.IMAGE("https://m.media-amazon.com/images/I/817WOBXKWbL._AC_UL320_.jpg")</f>
        <v/>
      </c>
      <c r="K1752" t="inlineStr">
        <is>
          <t>7.99</t>
        </is>
      </c>
      <c r="L1752" t="n">
        <v>12.58</v>
      </c>
      <c r="M1752" s="1" t="inlineStr">
        <is>
          <t>57.45%</t>
        </is>
      </c>
      <c r="N1752" s="1" t="n">
        <v>0</v>
      </c>
      <c r="O1752" t="n">
        <v>4.5</v>
      </c>
      <c r="P1752" t="n">
        <v>57</v>
      </c>
      <c r="R1752" t="inlineStr">
        <is>
          <t>InStock</t>
        </is>
      </c>
      <c r="S1752" t="inlineStr">
        <is>
          <t>13.75</t>
        </is>
      </c>
      <c r="T1752" t="inlineStr">
        <is>
          <t>3618127020132</t>
        </is>
      </c>
    </row>
    <row r="1753" ht="87" customHeight="1">
      <c r="A1753" s="2">
        <f>HYPERLINK("https://edmondsonsupply.com/collections/hvac/products/icm-controls-icm255-fan-blower-control-board-replacement-for-rheem-ruud", "https://edmondsonsupply.com/collections/hvac/products/icm-controls-icm255-fan-blower-control-board-replacement-for-rheem-ruud")</f>
        <v/>
      </c>
      <c r="B1753" s="2">
        <f>HYPERLINK("https://edmondsonsupply.com/products/icm-controls-icm255-fan-blower-control-board-replacement-for-rheem-ruud", "https://edmondsonsupply.com/products/icm-controls-icm255-fan-blower-control-board-replacement-for-rheem-ruud")</f>
        <v/>
      </c>
      <c r="C1753" t="inlineStr">
        <is>
          <t>ICM Controls ICM255 Fan Blower Control Board - Replacement for Rheem/Ruud</t>
        </is>
      </c>
      <c r="D1753" t="inlineStr">
        <is>
          <t>ICM Controls ICM273 Fan Blower Control Replacement for EMI 240000-969 Control Boards</t>
        </is>
      </c>
      <c r="E1753" s="2">
        <f>HYPERLINK("https://www.amazon.com/ICM-Controls-ICM273-Replacement-240000-969/dp/B004I55GTI/ref=sr_1_2?keywords=ICM+Controls+ICM255+Fan+Blower+Control+Board+-+Replacement+for+Rheem%2FRuud&amp;qid=1694734625&amp;sr=8-2", "https://www.amazon.com/ICM-Controls-ICM273-Replacement-240000-969/dp/B004I55GTI/ref=sr_1_2?keywords=ICM+Controls+ICM255+Fan+Blower+Control+Board+-+Replacement+for+Rheem%2FRuud&amp;qid=1694734625&amp;sr=8-2")</f>
        <v/>
      </c>
      <c r="F1753" t="inlineStr">
        <is>
          <t>B004I55GTI</t>
        </is>
      </c>
      <c r="G1753">
        <f>_xlfn.IMAGE("https://edmondsonsupply.com/cdn/shop/products/ICM255.png?v=1633030945")</f>
        <v/>
      </c>
      <c r="H1753">
        <f>_xlfn.IMAGE("https://m.media-amazon.com/images/I/61nv2wT3F+L._AC_UL320_.jpg")</f>
        <v/>
      </c>
      <c r="K1753" t="inlineStr">
        <is>
          <t>22.99</t>
        </is>
      </c>
      <c r="L1753" t="n">
        <v>36.13</v>
      </c>
      <c r="M1753" s="1" t="inlineStr">
        <is>
          <t>57.16%</t>
        </is>
      </c>
      <c r="N1753" s="7" t="n">
        <v>0</v>
      </c>
      <c r="O1753" t="n">
        <v>5</v>
      </c>
      <c r="P1753" t="n">
        <v>2</v>
      </c>
      <c r="R1753" t="inlineStr">
        <is>
          <t>InStock</t>
        </is>
      </c>
      <c r="S1753" t="inlineStr">
        <is>
          <t>26.92</t>
        </is>
      </c>
      <c r="T1753" t="inlineStr">
        <is>
          <t>6584951177389</t>
        </is>
      </c>
    </row>
    <row r="1754" hidden="1" ht="15.75" customHeight="1">
      <c r="A1754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754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754" t="inlineStr">
        <is>
          <t>Klein Tools JTH4E11 3/16-Inch Hex Key with Journeyman T-Handle, 4-Inch</t>
        </is>
      </c>
      <c r="D1754" t="inlineStr">
        <is>
          <t>Klein Tools JTH9M4 4 mm Hex Key with Journeyman T-Handle, 9-Inch</t>
        </is>
      </c>
      <c r="E1754" s="2">
        <f>HYPERLINK("https://www.amazon.com/Journeyman-T-Handle-Klein-Tools-JTH9M4/dp/B005G3HJ8M/ref=sr_1_12?keywords=Klein+Tools+JTH4E11+3%2F16-Inch+Hex+Key+with+Journeyman+T-Handle%2C+4-Inch&amp;qid=1694734725&amp;sr=8-12", "https://www.amazon.com/Journeyman-T-Handle-Klein-Tools-JTH9M4/dp/B005G3HJ8M/ref=sr_1_12?keywords=Klein+Tools+JTH4E11+3%2F16-Inch+Hex+Key+with+Journeyman+T-Handle%2C+4-Inch&amp;qid=1694734725&amp;sr=8-12")</f>
        <v/>
      </c>
      <c r="F1754" t="inlineStr">
        <is>
          <t>B005G3HJ8M</t>
        </is>
      </c>
      <c r="G1754">
        <f>_xludf.IMAGE("https://edmondsonsupply.com/cdn/shop/products/jth4e17.jpg?v=1587144836")</f>
        <v/>
      </c>
      <c r="H1754">
        <f>_xludf.IMAGE("https://m.media-amazon.com/images/I/51+1x0vz9XL._AC_UL320_.jpg")</f>
        <v/>
      </c>
      <c r="K1754" t="inlineStr">
        <is>
          <t>4.99</t>
        </is>
      </c>
      <c r="L1754" t="n">
        <v>7.84</v>
      </c>
      <c r="M1754" s="1" t="inlineStr">
        <is>
          <t>57.11%</t>
        </is>
      </c>
      <c r="N1754" s="1" t="n">
        <v>0</v>
      </c>
      <c r="O1754" t="n">
        <v>4.6</v>
      </c>
      <c r="P1754" t="n">
        <v>135</v>
      </c>
      <c r="R1754" t="inlineStr">
        <is>
          <t>InStock</t>
        </is>
      </c>
      <c r="S1754" t="inlineStr">
        <is>
          <t>7.6</t>
        </is>
      </c>
      <c r="T1754" t="inlineStr">
        <is>
          <t>4432217964644</t>
        </is>
      </c>
    </row>
    <row r="1755" ht="87" customHeight="1">
      <c r="A1755" s="2">
        <f>HYPERLINK("https://edmondsonsupply.com/collections/hvac/products/white-rodgers-24a34-3-24v-electric-heat-sequencer-dpst", "https://edmondsonsupply.com/collections/hvac/products/white-rodgers-24a34-3-24v-electric-heat-sequencer-dpst")</f>
        <v/>
      </c>
      <c r="B1755" s="2">
        <f>HYPERLINK("https://edmondsonsupply.com/products/white-rodgers-24a34-3-24v-electric-heat-sequencer-dpst", "https://edmondsonsupply.com/products/white-rodgers-24a34-3-24v-electric-heat-sequencer-dpst")</f>
        <v/>
      </c>
      <c r="C1755" t="inlineStr">
        <is>
          <t>White-Rodgers 24A34-3 24V Electric Heat Sequencer, DPST</t>
        </is>
      </c>
      <c r="D1755" t="inlineStr">
        <is>
          <t>White-Rodgers 24A34-3 Electric Heat Sequencer, 2 Switch</t>
        </is>
      </c>
      <c r="E1755" s="2">
        <f>HYPERLINK("https://www.amazon.com/White-Rodgers-24A34-3-Electric-Sequencer-Switch/dp/B000LDGR4Y/ref=sr_1_1?keywords=White-Rodgers+24A34-3+24V+Electric+Heat+Sequencer%2C+DPST&amp;qid=1694734608&amp;sr=8-1", "https://www.amazon.com/White-Rodgers-24A34-3-Electric-Sequencer-Switch/dp/B000LDGR4Y/ref=sr_1_1?keywords=White-Rodgers+24A34-3+24V+Electric+Heat+Sequencer%2C+DPST&amp;qid=1694734608&amp;sr=8-1")</f>
        <v/>
      </c>
      <c r="F1755" t="inlineStr">
        <is>
          <t>B000LDGR4Y</t>
        </is>
      </c>
      <c r="G1755">
        <f>_xlfn.IMAGE("https://edmondsonsupply.com/cdn/shop/products/24A34-3.jpg?v=1633030705")</f>
        <v/>
      </c>
      <c r="H1755">
        <f>_xlfn.IMAGE("https://m.media-amazon.com/images/I/81cvHpX0ILL._AC_UL320_.jpg")</f>
        <v/>
      </c>
      <c r="K1755" t="inlineStr">
        <is>
          <t>12.99</t>
        </is>
      </c>
      <c r="L1755" t="n">
        <v>20.36</v>
      </c>
      <c r="M1755" s="1" t="inlineStr">
        <is>
          <t>56.74%</t>
        </is>
      </c>
      <c r="N1755" s="7" t="n">
        <v>0</v>
      </c>
      <c r="O1755" t="n">
        <v>4.8</v>
      </c>
      <c r="P1755" t="n">
        <v>9</v>
      </c>
      <c r="R1755" t="inlineStr">
        <is>
          <t>InStock</t>
        </is>
      </c>
      <c r="S1755" t="inlineStr">
        <is>
          <t>30.34</t>
        </is>
      </c>
      <c r="T1755" t="inlineStr">
        <is>
          <t>5861046452392</t>
        </is>
      </c>
    </row>
    <row r="1756" ht="87" customHeight="1">
      <c r="A1756" s="2">
        <f>HYPERLINK("https://edmondsonsupply.com/collections/hvac/products/white-rodgers-24a34-4-24v-electric-heat-sequencer-dpst", "https://edmondsonsupply.com/collections/hvac/products/white-rodgers-24a34-4-24v-electric-heat-sequencer-dpst")</f>
        <v/>
      </c>
      <c r="B1756" s="2">
        <f>HYPERLINK("https://edmondsonsupply.com/products/white-rodgers-24a34-4-24v-electric-heat-sequencer-dpst", "https://edmondsonsupply.com/products/white-rodgers-24a34-4-24v-electric-heat-sequencer-dpst")</f>
        <v/>
      </c>
      <c r="C1756" t="inlineStr">
        <is>
          <t>White-Rodgers 24A34-4 24V Electric Heat Sequencer, DPST</t>
        </is>
      </c>
      <c r="D1756" t="inlineStr">
        <is>
          <t>White-Rodgers 24A34-3 Electric Heat Sequencer, 2 Switch</t>
        </is>
      </c>
      <c r="E1756" s="2">
        <f>HYPERLINK("https://www.amazon.com/White-Rodgers-24A34-3-Electric-Sequencer-Switch/dp/B000LDGR4Y/ref=sr_1_6?keywords=White-Rodgers+24A34-4+24V+Electric+Heat+Sequencer%2C+DPST&amp;qid=1694734663&amp;sr=8-6", "https://www.amazon.com/White-Rodgers-24A34-3-Electric-Sequencer-Switch/dp/B000LDGR4Y/ref=sr_1_6?keywords=White-Rodgers+24A34-4+24V+Electric+Heat+Sequencer%2C+DPST&amp;qid=1694734663&amp;sr=8-6")</f>
        <v/>
      </c>
      <c r="F1756" t="inlineStr">
        <is>
          <t>B000LDGR4Y</t>
        </is>
      </c>
      <c r="G1756">
        <f>_xlfn.IMAGE("https://edmondsonsupply.com/cdn/shop/products/24A34-4.jpg?v=1633030706")</f>
        <v/>
      </c>
      <c r="H1756">
        <f>_xlfn.IMAGE("https://m.media-amazon.com/images/I/81cvHpX0ILL._AC_UL320_.jpg")</f>
        <v/>
      </c>
      <c r="K1756" t="inlineStr">
        <is>
          <t>12.99</t>
        </is>
      </c>
      <c r="L1756" t="n">
        <v>20.36</v>
      </c>
      <c r="M1756" s="1" t="inlineStr">
        <is>
          <t>56.74%</t>
        </is>
      </c>
      <c r="N1756" s="7" t="n">
        <v>0</v>
      </c>
      <c r="O1756" t="n">
        <v>4.8</v>
      </c>
      <c r="P1756" t="n">
        <v>9</v>
      </c>
      <c r="R1756" t="inlineStr">
        <is>
          <t>InStock</t>
        </is>
      </c>
      <c r="S1756" t="inlineStr">
        <is>
          <t>30.34</t>
        </is>
      </c>
      <c r="T1756" t="inlineStr">
        <is>
          <t>5861153145000</t>
        </is>
      </c>
    </row>
    <row r="1757" ht="87" customHeight="1">
      <c r="A1757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757" s="2">
        <f>HYPERLINK("https://edmondsonsupply.com/products/klein-tools-32314-14-in-1-precision-screwdriver-nut-driver", "https://edmondsonsupply.com/products/klein-tools-32314-14-in-1-precision-screwdriver-nut-driver")</f>
        <v/>
      </c>
      <c r="C1757" t="inlineStr">
        <is>
          <t>Klein Tools 32314 14-in-1 Precision Screwdriver/ Nut Driver</t>
        </is>
      </c>
      <c r="D1757" t="inlineStr">
        <is>
          <t>Klein Tools 32307 Multi-bit Tamperproof Screwdriver, 27-in-1 Tool with Torx, Hex, Torq and Spanner Bits with 1/4-Inch Nut Driver</t>
        </is>
      </c>
      <c r="E1757" s="2">
        <f>HYPERLINK("https://www.amazon.com/Klein-Tools-32307-Tamperproof-Screwdriver/dp/B08KFL4QD4/ref=sr_1_41?keywords=Klein+Tools+32314+14-in-1+Precision+Screwdriver%2F+Nut+Driver&amp;qid=1694734697&amp;sr=8-41", "https://www.amazon.com/Klein-Tools-32307-Tamperproof-Screwdriver/dp/B08KFL4QD4/ref=sr_1_41?keywords=Klein+Tools+32314+14-in-1+Precision+Screwdriver%2F+Nut+Driver&amp;qid=1694734697&amp;sr=8-41")</f>
        <v/>
      </c>
      <c r="F1757" t="inlineStr">
        <is>
          <t>B08KFL4QD4</t>
        </is>
      </c>
      <c r="G1757">
        <f>_xlfn.IMAGE("https://edmondsonsupply.com/cdn/shop/products/32314.jpg?v=1646593726")</f>
        <v/>
      </c>
      <c r="H1757">
        <f>_xlfn.IMAGE("https://m.media-amazon.com/images/I/51VWsu+sN9L._AC_UL320_.jpg")</f>
        <v/>
      </c>
      <c r="K1757" t="inlineStr">
        <is>
          <t>15.97</t>
        </is>
      </c>
      <c r="L1757" t="n">
        <v>24.97</v>
      </c>
      <c r="M1757" s="1" t="inlineStr">
        <is>
          <t>56.36%</t>
        </is>
      </c>
      <c r="N1757" s="7" t="n">
        <v>0</v>
      </c>
      <c r="O1757" t="n">
        <v>4.7</v>
      </c>
      <c r="P1757" t="n">
        <v>1624</v>
      </c>
      <c r="R1757" t="inlineStr">
        <is>
          <t>InStock</t>
        </is>
      </c>
      <c r="S1757" t="inlineStr">
        <is>
          <t>22.38</t>
        </is>
      </c>
      <c r="T1757" t="inlineStr">
        <is>
          <t>7626984947928</t>
        </is>
      </c>
    </row>
    <row r="1758" ht="87" customHeight="1">
      <c r="A1758" s="2">
        <f>HYPERLINK("https://edmondsonsupply.com/collections/hvac/products/packard-trcfd505-titan-pro-run-capacitor-50-5-mfd-440-370-volt-round", "https://edmondsonsupply.com/collections/hvac/products/packard-trcfd505-titan-pro-run-capacitor-50-5-mfd-440-370-volt-round")</f>
        <v/>
      </c>
      <c r="B1758" s="2">
        <f>HYPERLINK("https://edmondsonsupply.com/products/packard-trcfd505-titan-pro-run-capacitor-50-5-mfd-440-370-volt-round", "https://edmondsonsupply.com/products/packard-trcfd505-titan-pro-run-capacitor-50-5-mfd-440-370-volt-round")</f>
        <v/>
      </c>
      <c r="C1758" t="inlineStr">
        <is>
          <t>Packard TRCFD505 TITAN PRO Run Capacitor 50+5 MFD 440/370 Volt Round</t>
        </is>
      </c>
      <c r="D1758" t="inlineStr">
        <is>
          <t>TitanPro TRCFD405 HVAC Round Dual Motor Run Capacitor. 40/5 MFD/UF 440/370 Volts</t>
        </is>
      </c>
      <c r="E1758" s="2">
        <f>HYPERLINK("https://www.amazon.com/TitanPro-TRCFD405-Round-Motor-Capacitor/dp/B01EZ6JWEE/ref=sr_1_15?keywords=Packard+TRCFD505+TITAN+PRO+Run+Capacitor+50+5+MFD+440%2F370+Volt+Round&amp;qid=1694734622&amp;sr=8-15", "https://www.amazon.com/TitanPro-TRCFD405-Round-Motor-Capacitor/dp/B01EZ6JWEE/ref=sr_1_15?keywords=Packard+TRCFD505+TITAN+PRO+Run+Capacitor+50+5+MFD+440%2F370+Volt+Round&amp;qid=1694734622&amp;sr=8-15")</f>
        <v/>
      </c>
      <c r="F1758" t="inlineStr">
        <is>
          <t>B01EZ6JWEE</t>
        </is>
      </c>
      <c r="G1758">
        <f>_xlfn.IMAGE("https://edmondsonsupply.com/cdn/shop/products/TRCFD505-2.jpg?v=1633030571")</f>
        <v/>
      </c>
      <c r="H1758">
        <f>_xlfn.IMAGE("https://m.media-amazon.com/images/I/51cHjuUfHWL._AC_UY218_.jpg")</f>
        <v/>
      </c>
      <c r="K1758" t="inlineStr">
        <is>
          <t>9.96</t>
        </is>
      </c>
      <c r="L1758" t="n">
        <v>15.54</v>
      </c>
      <c r="M1758" s="1" t="inlineStr">
        <is>
          <t>56.02%</t>
        </is>
      </c>
      <c r="N1758" s="7" t="n">
        <v>0</v>
      </c>
      <c r="O1758" t="n">
        <v>4.8</v>
      </c>
      <c r="P1758" t="n">
        <v>6</v>
      </c>
      <c r="R1758" t="inlineStr">
        <is>
          <t>InStock</t>
        </is>
      </c>
      <c r="S1758" t="inlineStr">
        <is>
          <t>undefined</t>
        </is>
      </c>
      <c r="T1758" t="inlineStr">
        <is>
          <t>5480944271528</t>
        </is>
      </c>
    </row>
    <row r="1759" hidden="1" ht="15.75" customHeight="1">
      <c r="A1759" s="2">
        <f>HYPERLINK("https://edmondsonsupply.com/collections/hvac/products/packard-pmj460-motor-start-capacitor-460-552-mfd-110-125-vac", "https://edmondsonsupply.com/collections/hvac/products/packard-pmj460-motor-start-capacitor-460-552-mfd-110-125-vac")</f>
        <v/>
      </c>
      <c r="B1759" s="2">
        <f>HYPERLINK("https://edmondsonsupply.com/products/packard-pmj460-motor-start-capacitor-460-552-mfd-110-125-vac", "https://edmondsonsupply.com/products/packard-pmj460-motor-start-capacitor-460-552-mfd-110-125-vac")</f>
        <v/>
      </c>
      <c r="C1759" t="inlineStr">
        <is>
          <t>Packard PMJ460 Motor Start Capacitor 460-552 MFD 110-125 VAC</t>
        </is>
      </c>
      <c r="D1759" t="inlineStr">
        <is>
          <t>Motor Start Capacitor 460-552 MFD 110-125V</t>
        </is>
      </c>
      <c r="E1759" s="2">
        <f>HYPERLINK("https://www.amazon.com/Motor-Start-Capacitor-460-552-110-125V/dp/B01N4DMJGO/ref=sr_1_12?keywords=Packard+PMJ460+Motor+Start+Capacitor+460-552+MFD+110-125+VAC&amp;qid=1694734651&amp;sr=8-12", "https://www.amazon.com/Motor-Start-Capacitor-460-552-110-125V/dp/B01N4DMJGO/ref=sr_1_12?keywords=Packard+PMJ460+Motor+Start+Capacitor+460-552+MFD+110-125+VAC&amp;qid=1694734651&amp;sr=8-12")</f>
        <v/>
      </c>
      <c r="F1759" t="inlineStr">
        <is>
          <t>B01N4DMJGO</t>
        </is>
      </c>
      <c r="G1759">
        <f>_xludf.IMAGE("https://edmondsonsupply.com/cdn/shop/products/PMJ460-2.jpg?v=1633030333")</f>
        <v/>
      </c>
      <c r="H1759">
        <f>_xludf.IMAGE("https://m.media-amazon.com/images/I/71XUebODBIL._AC_UY218_.jpg")</f>
        <v/>
      </c>
      <c r="K1759" t="inlineStr">
        <is>
          <t>5.06</t>
        </is>
      </c>
      <c r="L1759" t="n">
        <v>7.89</v>
      </c>
      <c r="M1759" s="1" t="inlineStr">
        <is>
          <t>55.93%</t>
        </is>
      </c>
      <c r="N1759" s="1" t="n">
        <v>0</v>
      </c>
      <c r="O1759" t="n">
        <v>3.8</v>
      </c>
      <c r="P1759" t="n">
        <v>6</v>
      </c>
      <c r="R1759" t="inlineStr">
        <is>
          <t>OutOfStock</t>
        </is>
      </c>
      <c r="S1759" t="inlineStr">
        <is>
          <t>undefined</t>
        </is>
      </c>
      <c r="T1759" t="inlineStr">
        <is>
          <t>5271944954024</t>
        </is>
      </c>
    </row>
    <row r="1760" hidden="1" ht="15.75" customHeight="1">
      <c r="A1760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1760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1760" t="inlineStr">
        <is>
          <t>Packard TRCFD455 Titan PRO Run Capacitor 45+5 MFD 440/370 Volt Round</t>
        </is>
      </c>
      <c r="D1760" t="inlineStr">
        <is>
          <t>PACKARD TRCD455 Titan Pro 45+5 MFD 370V Round Run Capacitor Replaces PRCD455</t>
        </is>
      </c>
      <c r="E1760" s="2">
        <f>HYPERLINK("https://www.amazon.com/PACKARD-TRCD455-Capacitor-Replaces-PRCD455/dp/B00K3M3NQ8/ref=sr_1_5?keywords=Packard+TRCFD455+Titan+PRO+Run+Capacitor+45%2B5+MFD+440%2F370+Volt+Round&amp;qid=1694734617&amp;sr=8-5", "https://www.amazon.com/PACKARD-TRCD455-Capacitor-Replaces-PRCD455/dp/B00K3M3NQ8/ref=sr_1_5?keywords=Packard+TRCFD455+Titan+PRO+Run+Capacitor+45%2B5+MFD+440%2F370+Volt+Round&amp;qid=1694734617&amp;sr=8-5")</f>
        <v/>
      </c>
      <c r="F1760" t="inlineStr">
        <is>
          <t>B00K3M3NQ8</t>
        </is>
      </c>
      <c r="G1760">
        <f>_xludf.IMAGE("https://edmondsonsupply.com/cdn/shop/products/TRCFD455-2.jpg?v=1587147298")</f>
        <v/>
      </c>
      <c r="H1760">
        <f>_xludf.IMAGE("https://m.media-amazon.com/images/I/4118O3-fIGL._AC_UY218_.jpg")</f>
        <v/>
      </c>
      <c r="K1760" t="inlineStr">
        <is>
          <t>8.99</t>
        </is>
      </c>
      <c r="L1760" t="n">
        <v>13.99</v>
      </c>
      <c r="M1760" s="1" t="inlineStr">
        <is>
          <t>55.62%</t>
        </is>
      </c>
      <c r="N1760" s="1" t="n">
        <v>0</v>
      </c>
      <c r="O1760" t="n">
        <v>4.4</v>
      </c>
      <c r="P1760" t="n">
        <v>140</v>
      </c>
      <c r="R1760" t="inlineStr">
        <is>
          <t>OutOfStock</t>
        </is>
      </c>
      <c r="S1760" t="inlineStr">
        <is>
          <t>undefined</t>
        </is>
      </c>
      <c r="T1760" t="inlineStr">
        <is>
          <t>4309334556772</t>
        </is>
      </c>
    </row>
    <row r="1761" ht="87" customHeight="1">
      <c r="A1761" s="2">
        <f>HYPERLINK("https://edmondsonsupply.com/collections/hvac/products/midwest-mwt-6510l-left-offset-aviation-snip", "https://edmondsonsupply.com/collections/hvac/products/midwest-mwt-6510l-left-offset-aviation-snip")</f>
        <v/>
      </c>
      <c r="B1761" s="2">
        <f>HYPERLINK("https://edmondsonsupply.com/products/midwest-mwt-6510l-left-offset-aviation-snip", "https://edmondsonsupply.com/products/midwest-mwt-6510l-left-offset-aviation-snip")</f>
        <v/>
      </c>
      <c r="C1761" t="inlineStr">
        <is>
          <t>Midwest MWT-6510L Left Offset Aviation Snip</t>
        </is>
      </c>
      <c r="D1761" t="inlineStr">
        <is>
          <t>MIDWEST Tool and Cutlery Aviation Snip - Left Cut Offset Tin Cutting Shears with Forged Blade &amp; KUSH'N-POWER Comfort Grips - MWT-6510L</t>
        </is>
      </c>
      <c r="E1761" s="2">
        <f>HYPERLINK("https://www.amazon.com/MIDWEST-Aviation-Snip-KUSHN-POWER-MWT-6510L/dp/B00OCGQFP2/ref=sr_1_1?keywords=Midwest+MWT-6510L+Left+Offset+Aviation+Snip&amp;qid=1694734618&amp;sr=8-1", "https://www.amazon.com/MIDWEST-Aviation-Snip-KUSHN-POWER-MWT-6510L/dp/B00OCGQFP2/ref=sr_1_1?keywords=Midwest+MWT-6510L+Left+Offset+Aviation+Snip&amp;qid=1694734618&amp;sr=8-1")</f>
        <v/>
      </c>
      <c r="F1761" t="inlineStr">
        <is>
          <t>B00OCGQFP2</t>
        </is>
      </c>
      <c r="G1761">
        <f>_xlfn.IMAGE("https://edmondsonsupply.com/cdn/shop/products/mwt-6510l.png?v=1587142880")</f>
        <v/>
      </c>
      <c r="H1761">
        <f>_xlfn.IMAGE("https://m.media-amazon.com/images/I/71WhwcyI50L._AC_UL320_.jpg")</f>
        <v/>
      </c>
      <c r="K1761" t="inlineStr">
        <is>
          <t>25.99</t>
        </is>
      </c>
      <c r="L1761" t="n">
        <v>40.38</v>
      </c>
      <c r="M1761" s="1" t="inlineStr">
        <is>
          <t>55.37%</t>
        </is>
      </c>
      <c r="N1761" s="7" t="n">
        <v>0</v>
      </c>
      <c r="O1761" t="n">
        <v>4.7</v>
      </c>
      <c r="P1761" t="n">
        <v>2712</v>
      </c>
      <c r="R1761" t="inlineStr">
        <is>
          <t>InStock</t>
        </is>
      </c>
      <c r="S1761" t="inlineStr">
        <is>
          <t>33.49</t>
        </is>
      </c>
      <c r="T1761" t="inlineStr">
        <is>
          <t>3688846917732</t>
        </is>
      </c>
    </row>
    <row r="1762" ht="87" customHeight="1">
      <c r="A1762" s="2">
        <f>HYPERLINK("https://edmondsonsupply.com/collections/hvac/products/midwest-mwt-6900l-upright-left-cutting-offset-aviation-snip", "https://edmondsonsupply.com/collections/hvac/products/midwest-mwt-6900l-upright-left-cutting-offset-aviation-snip")</f>
        <v/>
      </c>
      <c r="B1762" s="2">
        <f>HYPERLINK("https://edmondsonsupply.com/products/midwest-mwt-6900l-upright-left-cutting-offset-aviation-snip", "https://edmondsonsupply.com/products/midwest-mwt-6900l-upright-left-cutting-offset-aviation-snip")</f>
        <v/>
      </c>
      <c r="C1762" t="inlineStr">
        <is>
          <t>Midwest MWT-6900L Upright Left-Cutting Aviation Snip</t>
        </is>
      </c>
      <c r="D1762" t="inlineStr">
        <is>
          <t>MIDWEST Tool and Cutlery Aviation Snip - Left Cut Offset Tin Cutting Shears with Forged Blade &amp; KUSH'N-POWER Comfort Grips - MWT-6510L</t>
        </is>
      </c>
      <c r="E1762" s="2">
        <f>HYPERLINK("https://www.amazon.com/MIDWEST-Aviation-Snip-KUSHN-POWER-MWT-6510L/dp/B00OCGQFP2/ref=sr_1_4?keywords=Midwest+MWT-6900L+Upright+Left-Cutting+Aviation+Snip&amp;qid=1694734627&amp;sr=8-4", "https://www.amazon.com/MIDWEST-Aviation-Snip-KUSHN-POWER-MWT-6510L/dp/B00OCGQFP2/ref=sr_1_4?keywords=Midwest+MWT-6900L+Upright+Left-Cutting+Aviation+Snip&amp;qid=1694734627&amp;sr=8-4")</f>
        <v/>
      </c>
      <c r="F1762" t="inlineStr">
        <is>
          <t>B00OCGQFP2</t>
        </is>
      </c>
      <c r="G1762">
        <f>_xlfn.IMAGE("https://edmondsonsupply.com/cdn/shop/products/MWT-6900L1.jpg?v=1587146265")</f>
        <v/>
      </c>
      <c r="H1762">
        <f>_xlfn.IMAGE("https://m.media-amazon.com/images/I/71WhwcyI50L._AC_UL320_.jpg")</f>
        <v/>
      </c>
      <c r="K1762" t="inlineStr">
        <is>
          <t>25.99</t>
        </is>
      </c>
      <c r="L1762" t="n">
        <v>40.38</v>
      </c>
      <c r="M1762" s="1" t="inlineStr">
        <is>
          <t>55.37%</t>
        </is>
      </c>
      <c r="N1762" s="7" t="n">
        <v>0</v>
      </c>
      <c r="O1762" t="n">
        <v>4.7</v>
      </c>
      <c r="P1762" t="n">
        <v>2712</v>
      </c>
      <c r="R1762" t="inlineStr">
        <is>
          <t>InStock</t>
        </is>
      </c>
      <c r="S1762" t="inlineStr">
        <is>
          <t>37.05</t>
        </is>
      </c>
      <c r="T1762" t="inlineStr">
        <is>
          <t>4470064250980</t>
        </is>
      </c>
    </row>
    <row r="1763" ht="87" customHeight="1">
      <c r="A1763" s="2">
        <f>HYPERLINK("https://edmondsonsupply.com/collections/hvac/products/sensible-products-oth-1-one-trip-hook", "https://edmondsonsupply.com/collections/hvac/products/sensible-products-oth-1-one-trip-hook")</f>
        <v/>
      </c>
      <c r="B1763" s="2">
        <f>HYPERLINK("https://edmondsonsupply.com/products/sensible-products-oth-1-one-trip-hook", "https://edmondsonsupply.com/products/sensible-products-oth-1-one-trip-hook")</f>
        <v/>
      </c>
      <c r="C1763" t="inlineStr">
        <is>
          <t>Sensible Products OTH-1 One Trip Hook</t>
        </is>
      </c>
      <c r="D1763" t="inlineStr">
        <is>
          <t>Supplying Demand OTH-1 One Trip Hook with 3/16 Inch Control Rope</t>
        </is>
      </c>
      <c r="E1763" s="2">
        <f>HYPERLINK("https://www.amazon.com/Supplying-Demand-OTH-1-Trip-Control/dp/B097Z8THWF/ref=sr_1_2?keywords=Sensible+Products+OTH-1+One+Trip+Hook&amp;qid=1694734674&amp;sr=8-2", "https://www.amazon.com/Supplying-Demand-OTH-1-Trip-Control/dp/B097Z8THWF/ref=sr_1_2?keywords=Sensible+Products+OTH-1+One+Trip+Hook&amp;qid=1694734674&amp;sr=8-2")</f>
        <v/>
      </c>
      <c r="F1763" t="inlineStr">
        <is>
          <t>B097Z8THWF</t>
        </is>
      </c>
      <c r="G1763">
        <f>_xlfn.IMAGE("https://edmondsonsupply.com/cdn/shop/products/OTH-1-2.jpg?v=1587142433")</f>
        <v/>
      </c>
      <c r="H1763">
        <f>_xlfn.IMAGE("https://m.media-amazon.com/images/I/71j60N9KLkL._AC_UL320_.jpg")</f>
        <v/>
      </c>
      <c r="K1763" t="inlineStr">
        <is>
          <t>26.39</t>
        </is>
      </c>
      <c r="L1763" t="n">
        <v>40.99</v>
      </c>
      <c r="M1763" s="1" t="inlineStr">
        <is>
          <t>55.32%</t>
        </is>
      </c>
      <c r="N1763" s="7" t="n">
        <v>0</v>
      </c>
      <c r="O1763" t="n">
        <v>4.6</v>
      </c>
      <c r="P1763" t="n">
        <v>9</v>
      </c>
      <c r="R1763" t="inlineStr">
        <is>
          <t>InStock</t>
        </is>
      </c>
      <c r="S1763" t="inlineStr">
        <is>
          <t>undefined</t>
        </is>
      </c>
      <c r="T1763" t="inlineStr">
        <is>
          <t>4341079769188</t>
        </is>
      </c>
    </row>
    <row r="1764" hidden="1" ht="15.75" customHeight="1">
      <c r="A1764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764" s="2">
        <f>HYPERLINK("https://edmondsonsupply.com/products/packard-psmj400-motor-start-capacitor-400-480-mfd-165-vac", "https://edmondsonsupply.com/products/packard-psmj400-motor-start-capacitor-400-480-mfd-165-vac")</f>
        <v/>
      </c>
      <c r="C1764" t="inlineStr">
        <is>
          <t>Packard PSMJ400 Motor Start Capacitor 400-480 MFD 165 VAC</t>
        </is>
      </c>
      <c r="D1764" t="inlineStr">
        <is>
          <t>Universal Fit 400-480 uf/MFD 165 VAC Round Motor Start Capacitor 50/60 Hz AC Electric Replacement Part by Blue Stars</t>
        </is>
      </c>
      <c r="E1764" s="2">
        <f>HYPERLINK("https://www.amazon.com/Universal-400-480-Capacitor-Electric-Replacement/dp/B09TKWZCHZ/ref=sr_1_5?keywords=Packard+PSMJ400+Motor+Start+Capacitor+400-480+MFD+165+VAC&amp;qid=1694734737&amp;sr=8-5", "https://www.amazon.com/Universal-400-480-Capacitor-Electric-Replacement/dp/B09TKWZCHZ/ref=sr_1_5?keywords=Packard+PSMJ400+Motor+Start+Capacitor+400-480+MFD+165+VAC&amp;qid=1694734737&amp;sr=8-5")</f>
        <v/>
      </c>
      <c r="F1764" t="inlineStr">
        <is>
          <t>B09TKWZCHZ</t>
        </is>
      </c>
      <c r="G1764">
        <f>_xludf.IMAGE("https://edmondsonsupply.com/cdn/shop/products/PSMJ400-2.jpg?v=1587142312")</f>
        <v/>
      </c>
      <c r="H1764">
        <f>_xludf.IMAGE("https://m.media-amazon.com/images/I/81b45NRzFFL._AC_UY218_.jpg")</f>
        <v/>
      </c>
      <c r="K1764" t="inlineStr">
        <is>
          <t>7.92</t>
        </is>
      </c>
      <c r="L1764" t="n">
        <v>12.29</v>
      </c>
      <c r="M1764" s="1" t="inlineStr">
        <is>
          <t>55.18%</t>
        </is>
      </c>
      <c r="N1764" s="1" t="n">
        <v>0</v>
      </c>
      <c r="O1764" t="n">
        <v>4.6</v>
      </c>
      <c r="P1764" t="n">
        <v>65</v>
      </c>
      <c r="R1764" t="inlineStr">
        <is>
          <t>InStock</t>
        </is>
      </c>
      <c r="S1764" t="inlineStr">
        <is>
          <t>undefined</t>
        </is>
      </c>
      <c r="T1764" t="inlineStr">
        <is>
          <t>3683072016484</t>
        </is>
      </c>
    </row>
    <row r="1765" ht="87" customHeight="1">
      <c r="A1765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1765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1765" t="inlineStr">
        <is>
          <t>ICM Controls ICM2813 Furnace Control Board - Replacement for Lennox</t>
        </is>
      </c>
      <c r="D1765" t="inlineStr">
        <is>
          <t>ICM Controls ICM289 Furnace Control Replacement for Lennox Control Boards, Replaces All BCC1, BCC2 and BCC3 Circuit Boards</t>
        </is>
      </c>
      <c r="E1765" s="2">
        <f>HYPERLINK("https://www.amazon.com/ICM-Controls-ICM289-Replacement-Replaces/dp/B004I55HHY/ref=sr_1_6?keywords=ICM+Controls+ICM2813+Furnace+Control+Board+-+Replacement+for+Lennox&amp;qid=1694734575&amp;sr=8-6", "https://www.amazon.com/ICM-Controls-ICM289-Replacement-Replaces/dp/B004I55HHY/ref=sr_1_6?keywords=ICM+Controls+ICM2813+Furnace+Control+Board+-+Replacement+for+Lennox&amp;qid=1694734575&amp;sr=8-6")</f>
        <v/>
      </c>
      <c r="F1765" t="inlineStr">
        <is>
          <t>B004I55HHY</t>
        </is>
      </c>
      <c r="G1765">
        <f>_xlfn.IMAGE("https://edmondsonsupply.com/cdn/shop/products/ICM2813.jpg?v=1666552363")</f>
        <v/>
      </c>
      <c r="H1765">
        <f>_xlfn.IMAGE("https://m.media-amazon.com/images/I/617eMhg9d2L._AC_UL320_.jpg")</f>
        <v/>
      </c>
      <c r="K1765" t="inlineStr">
        <is>
          <t>99.99</t>
        </is>
      </c>
      <c r="L1765" t="n">
        <v>155.15</v>
      </c>
      <c r="M1765" s="1" t="inlineStr">
        <is>
          <t>55.17%</t>
        </is>
      </c>
      <c r="N1765" s="7" t="n">
        <v>0</v>
      </c>
      <c r="O1765" t="n">
        <v>4.8</v>
      </c>
      <c r="P1765" t="n">
        <v>156</v>
      </c>
      <c r="R1765" t="inlineStr">
        <is>
          <t>InStock</t>
        </is>
      </c>
      <c r="S1765" t="inlineStr">
        <is>
          <t>111.21</t>
        </is>
      </c>
      <c r="T1765" t="inlineStr">
        <is>
          <t>7864012341464</t>
        </is>
      </c>
    </row>
    <row r="1766" ht="87" customHeight="1">
      <c r="A1766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766" s="2">
        <f>HYPERLINK("https://edmondsonsupply.com/products/klein-tools-32314-14-in-1-precision-screwdriver-nut-driver", "https://edmondsonsupply.com/products/klein-tools-32314-14-in-1-precision-screwdriver-nut-driver")</f>
        <v/>
      </c>
      <c r="C1766" t="inlineStr">
        <is>
          <t>Klein Tools 32314 14-in-1 Precision Screwdriver/ Nut Driver</t>
        </is>
      </c>
      <c r="D1766" t="inlineStr">
        <is>
          <t>Klein Tools 32304 Screwdriver, 14-in-1 Adjustable Screwdriver with Flip Socket, HVAC Nut Drivers and Bits, Impact Rated</t>
        </is>
      </c>
      <c r="E1766" s="2">
        <f>HYPERLINK("https://www.amazon.com/Screwdriver-Adjustable-Klein-Tools-32304/dp/B09Q4H5STD/ref=sr_1_19?keywords=Klein+Tools+32314+14-in-1+Precision+Screwdriver%2F+Nut+Driver&amp;qid=1694734697&amp;sr=8-19", "https://www.amazon.com/Screwdriver-Adjustable-Klein-Tools-32304/dp/B09Q4H5STD/ref=sr_1_19?keywords=Klein+Tools+32314+14-in-1+Precision+Screwdriver%2F+Nut+Driver&amp;qid=1694734697&amp;sr=8-19")</f>
        <v/>
      </c>
      <c r="F1766" t="inlineStr">
        <is>
          <t>B09Q4H5STD</t>
        </is>
      </c>
      <c r="G1766">
        <f>_xlfn.IMAGE("https://edmondsonsupply.com/cdn/shop/products/32314.jpg?v=1646593726")</f>
        <v/>
      </c>
      <c r="H1766">
        <f>_xlfn.IMAGE("https://m.media-amazon.com/images/I/51OyfXQXJkL._AC_UL320_.jpg")</f>
        <v/>
      </c>
      <c r="K1766" t="inlineStr">
        <is>
          <t>15.97</t>
        </is>
      </c>
      <c r="L1766" t="n">
        <v>24.77</v>
      </c>
      <c r="M1766" s="1" t="inlineStr">
        <is>
          <t>55.10%</t>
        </is>
      </c>
      <c r="N1766" s="7" t="n">
        <v>0</v>
      </c>
      <c r="O1766" t="n">
        <v>4.6</v>
      </c>
      <c r="P1766" t="n">
        <v>2618</v>
      </c>
      <c r="R1766" t="inlineStr">
        <is>
          <t>InStock</t>
        </is>
      </c>
      <c r="S1766" t="inlineStr">
        <is>
          <t>22.38</t>
        </is>
      </c>
      <c r="T1766" t="inlineStr">
        <is>
          <t>7626984947928</t>
        </is>
      </c>
    </row>
    <row r="1767" hidden="1" ht="15.75" customHeight="1">
      <c r="A1767" s="2">
        <f>HYPERLINK("https://edmondsonsupply.com/collections/hvac/products/robertshaw-1980-024-24-1980-series-snap-fit%C2%AE-universal-thermocouple", "https://edmondsonsupply.com/collections/hvac/products/robertshaw-1980-024-24-1980-series-snap-fit%C2%AE-universal-thermocouple")</f>
        <v/>
      </c>
      <c r="B1767" s="2">
        <f>HYPERLINK("https://edmondsonsupply.com/products/robertshaw-1980-024-24-1980-series-snap-fit%c2%ae-universal-thermocouple", "https://edmondsonsupply.com/products/robertshaw-1980-024-24-1980-series-snap-fit%c2%ae-universal-thermocouple")</f>
        <v/>
      </c>
      <c r="C1767" t="inlineStr">
        <is>
          <t>Robertshaw 1980-024 24" 1980 Series Snap-Fit® Universal Thermocouple</t>
        </is>
      </c>
      <c r="D1767" t="inlineStr">
        <is>
          <t>Thermocoupler for Robertshaw Thermostat Control Pilot Burner Assembly Replacement 1980-024 Snap Fit Universal Thermocouple (24")</t>
        </is>
      </c>
      <c r="E1767" s="2">
        <f>HYPERLINK("https://www.amazon.com/Thermocoupler-Robertshaw-Thermostat-Replacement-Thermocouple/dp/B0BGP9R9N8/ref=sr_1_1?keywords=Robertshaw+1980-024+24%22+1980+Series+Snap-Fit%C2%AE+Universal+Thermocouple&amp;qid=1694734709&amp;sr=8-1", "https://www.amazon.com/Thermocoupler-Robertshaw-Thermostat-Replacement-Thermocouple/dp/B0BGP9R9N8/ref=sr_1_1?keywords=Robertshaw+1980-024+24%22+1980+Series+Snap-Fit%C2%AE+Universal+Thermocouple&amp;qid=1694734709&amp;sr=8-1")</f>
        <v/>
      </c>
      <c r="F1767" t="inlineStr">
        <is>
          <t>B0BGP9R9N8</t>
        </is>
      </c>
      <c r="G1767">
        <f>_xludf.IMAGE("https://edmondsonsupply.com/cdn/shop/products/1980thermocouplecmyk300dpi_d127d33f-20bf-40f4-874c-d4ddaef0621f.jpg?v=1633030850")</f>
        <v/>
      </c>
      <c r="H1767">
        <f>_xludf.IMAGE("https://m.media-amazon.com/images/I/51LwducCN4L._AC_UL320_.jpg")</f>
        <v/>
      </c>
      <c r="K1767" t="inlineStr">
        <is>
          <t>7.09</t>
        </is>
      </c>
      <c r="L1767" t="n">
        <v>10.99</v>
      </c>
      <c r="M1767" s="1" t="inlineStr">
        <is>
          <t>55.01%</t>
        </is>
      </c>
      <c r="N1767" s="1" t="n">
        <v>0</v>
      </c>
      <c r="O1767" t="n">
        <v>4.5</v>
      </c>
      <c r="P1767" t="n">
        <v>16</v>
      </c>
      <c r="R1767" t="inlineStr">
        <is>
          <t>InStock</t>
        </is>
      </c>
      <c r="S1767" t="inlineStr">
        <is>
          <t>undefined</t>
        </is>
      </c>
      <c r="T1767" t="inlineStr">
        <is>
          <t>6096240115885</t>
        </is>
      </c>
    </row>
    <row r="1768" ht="87" customHeight="1">
      <c r="A1768" s="2">
        <f>HYPERLINK("https://edmondsonsupply.com/collections/hvac/products/klein-tools-et20-wifi-borescope-inspection-camera", "https://edmondsonsupply.com/collections/hvac/products/klein-tools-et20-wifi-borescope-inspection-camera")</f>
        <v/>
      </c>
      <c r="B1768" s="2">
        <f>HYPERLINK("https://edmondsonsupply.com/products/klein-tools-et20-wifi-borescope-inspection-camera", "https://edmondsonsupply.com/products/klein-tools-et20-wifi-borescope-inspection-camera")</f>
        <v/>
      </c>
      <c r="C1768" t="inlineStr">
        <is>
          <t>Klein Tools ET20 WiFi Borescope Inspection Camera</t>
        </is>
      </c>
      <c r="D1768" t="inlineStr">
        <is>
          <t>Klein Tools ET20 WiFi Borescope Inspection Camera &amp; 80016 Circuit Breaker Finder Tool Kit with Accessories, 2-Piece Set, Includes Cat. No. ET310 and Cat. No. 69411</t>
        </is>
      </c>
      <c r="E1768" s="2">
        <f>HYPERLINK("https://www.amazon.com/Klein-Tools-Borescope-Inspection-Accessories/dp/B0BGJ6GM38/ref=sr_1_2?keywords=Klein+Tools+ET20+WiFi+Borescope+Inspection+Camera&amp;qid=1694734831&amp;sr=8-2", "https://www.amazon.com/Klein-Tools-Borescope-Inspection-Accessories/dp/B0BGJ6GM38/ref=sr_1_2?keywords=Klein+Tools+ET20+WiFi+Borescope+Inspection+Camera&amp;qid=1694734831&amp;sr=8-2")</f>
        <v/>
      </c>
      <c r="F1768" t="inlineStr">
        <is>
          <t>B0BGJ6GM38</t>
        </is>
      </c>
      <c r="G1768">
        <f>_xlfn.IMAGE("https://edmondsonsupply.com/cdn/shop/products/et20.jpg?v=1587143169")</f>
        <v/>
      </c>
      <c r="H1768">
        <f>_xlfn.IMAGE("https://m.media-amazon.com/images/I/51yUa-rPATL._AC_UY218_.jpg")</f>
        <v/>
      </c>
      <c r="K1768" t="inlineStr">
        <is>
          <t>99.99</t>
        </is>
      </c>
      <c r="L1768" t="n">
        <v>154.98</v>
      </c>
      <c r="M1768" s="1" t="inlineStr">
        <is>
          <t>55.00%</t>
        </is>
      </c>
      <c r="N1768" s="7" t="n">
        <v>0</v>
      </c>
      <c r="O1768" t="n">
        <v>5</v>
      </c>
      <c r="P1768" t="n">
        <v>1</v>
      </c>
      <c r="R1768" t="inlineStr">
        <is>
          <t>InStock</t>
        </is>
      </c>
      <c r="S1768" t="inlineStr">
        <is>
          <t>152.66</t>
        </is>
      </c>
      <c r="T1768" t="inlineStr">
        <is>
          <t>3302429196388</t>
        </is>
      </c>
    </row>
    <row r="1769" ht="87" customHeight="1">
      <c r="A1769" s="2">
        <f>HYPERLINK("https://edmondsonsupply.com/collections/hvac/products/channellock-8wcb", "https://edmondsonsupply.com/collections/hvac/products/channellock-8wcb")</f>
        <v/>
      </c>
      <c r="B1769" s="2">
        <f>HYPERLINK("https://edmondsonsupply.com/products/channellock-8wcb", "https://edmondsonsupply.com/products/channellock-8wcb")</f>
        <v/>
      </c>
      <c r="C1769" t="inlineStr">
        <is>
          <t>Channellock 8WCB 8" Code Blue WIDEAZZ Adjustable Wrench</t>
        </is>
      </c>
      <c r="D1769" t="inlineStr">
        <is>
          <t>Channellock - Code Blue Wideazz Adjustable Wrenches 6" Wideazz Adjustable Wrw/Code Blue Cushion Hdl: 140-6Wcb-Bulk - 6" wideazz adjustable wrw/code blue cushion hdl</t>
        </is>
      </c>
      <c r="E1769" s="2">
        <f>HYPERLINK("https://www.amazon.com/Channellock-Adjustable-Wrenches-140-6Wcb-Bulk-adjustable/dp/B002FCM5AE/ref=sr_1_5?keywords=Channellock+8WCB+8%22+Code+Blue+WIDEAZZ+Adjustable+Wrench&amp;qid=1694734792&amp;sr=8-5", "https://www.amazon.com/Channellock-Adjustable-Wrenches-140-6Wcb-Bulk-adjustable/dp/B002FCM5AE/ref=sr_1_5?keywords=Channellock+8WCB+8%22+Code+Blue+WIDEAZZ+Adjustable+Wrench&amp;qid=1694734792&amp;sr=8-5")</f>
        <v/>
      </c>
      <c r="F1769" t="inlineStr">
        <is>
          <t>B002FCM5AE</t>
        </is>
      </c>
      <c r="G1769">
        <f>_xlfn.IMAGE("https://edmondsonsupply.com/cdn/shop/products/8WCB-683x1024.jpg?v=1633030324")</f>
        <v/>
      </c>
      <c r="H1769">
        <f>_xlfn.IMAGE("https://m.media-amazon.com/images/I/31meoqqeFSL._AC_UL320_.jpg")</f>
        <v/>
      </c>
      <c r="K1769" t="inlineStr">
        <is>
          <t>31.95</t>
        </is>
      </c>
      <c r="L1769" t="n">
        <v>49.5</v>
      </c>
      <c r="M1769" s="1" t="inlineStr">
        <is>
          <t>54.93%</t>
        </is>
      </c>
      <c r="N1769" s="7" t="n">
        <v>0</v>
      </c>
      <c r="O1769" t="n">
        <v>4.8</v>
      </c>
      <c r="P1769" t="n">
        <v>3</v>
      </c>
      <c r="R1769" t="inlineStr">
        <is>
          <t>InStock</t>
        </is>
      </c>
      <c r="S1769" t="inlineStr">
        <is>
          <t>48.49</t>
        </is>
      </c>
      <c r="T1769" t="inlineStr">
        <is>
          <t>5247300436136</t>
        </is>
      </c>
    </row>
    <row r="1770" ht="87" customHeight="1">
      <c r="A1770" s="2">
        <f>HYPERLINK("https://edmondsonsupply.com/collections/hvac/products/5-2-1-compressor-saver-csru2", "https://edmondsonsupply.com/collections/hvac/products/5-2-1-compressor-saver-csru2")</f>
        <v/>
      </c>
      <c r="B1770" s="2">
        <f>HYPERLINK("https://edmondsonsupply.com/products/5-2-1-compressor-saver-csru2", "https://edmondsonsupply.com/products/5-2-1-compressor-saver-csru2")</f>
        <v/>
      </c>
      <c r="C1770" t="inlineStr">
        <is>
          <t>5-2-1 CSRU2 Compressor Saver, 3-1/2 to 5 Tons</t>
        </is>
      </c>
      <c r="D1770" t="inlineStr">
        <is>
          <t>5-2-1 CSRU2 Compressor Saver for 3-1/2 to 5 Ton Units</t>
        </is>
      </c>
      <c r="E1770" s="2">
        <f>HYPERLINK("https://www.amazon.com/Hard-Start-3-5-4-5-tons-Units/dp/B01M17Z66I/ref=sr_1_1?keywords=5-2-1+CSRU2+Compressor+Saver%2C+3-1%2F2+to+5+Tons&amp;qid=1694734823&amp;sr=8-1", "https://www.amazon.com/Hard-Start-3-5-4-5-tons-Units/dp/B01M17Z66I/ref=sr_1_1?keywords=5-2-1+CSRU2+Compressor+Saver%2C+3-1%2F2+to+5+Tons&amp;qid=1694734823&amp;sr=8-1")</f>
        <v/>
      </c>
      <c r="F1770" t="inlineStr">
        <is>
          <t>B01M17Z66I</t>
        </is>
      </c>
      <c r="G1770">
        <f>_xlfn.IMAGE("https://edmondsonsupply.com/cdn/shop/products/CSRU2.jpg?v=1633030087")</f>
        <v/>
      </c>
      <c r="H1770">
        <f>_xlfn.IMAGE("https://m.media-amazon.com/images/I/613nuTAK7dL._AC_UL320_.jpg")</f>
        <v/>
      </c>
      <c r="I1770" t="n">
        <v>10</v>
      </c>
      <c r="K1770" t="inlineStr">
        <is>
          <t>42.24</t>
        </is>
      </c>
      <c r="L1770" t="n">
        <v>65.44</v>
      </c>
      <c r="M1770" s="1" t="inlineStr">
        <is>
          <t>54.92%</t>
        </is>
      </c>
      <c r="N1770" s="7" t="n">
        <v>0</v>
      </c>
      <c r="O1770" t="n">
        <v>4.6</v>
      </c>
      <c r="P1770" t="n">
        <v>529</v>
      </c>
      <c r="R1770" t="inlineStr">
        <is>
          <t>InStock</t>
        </is>
      </c>
      <c r="S1770" t="inlineStr">
        <is>
          <t>48.74</t>
        </is>
      </c>
      <c r="T1770" t="inlineStr">
        <is>
          <t>3561347317860</t>
        </is>
      </c>
    </row>
    <row r="1771" ht="87" customFormat="1" customHeight="1" s="12">
      <c r="A1771" s="11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1771" s="11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1771" s="12" t="inlineStr">
        <is>
          <t>Diablo Tools DMAMXCC5010 2 in. x 7 in. SDS-Max Carbide Tipped Core Bit</t>
        </is>
      </c>
      <c r="D1771" s="12" t="inlineStr">
        <is>
          <t>Diablo 4 in. x 7 in. SDS-Max Carbide Tipped Core Bit</t>
        </is>
      </c>
      <c r="E1771" s="11">
        <f>HYPERLINK("https://www.amazon.com/Diablo-SDS-Max-Carbide-Tipped-Core/dp/B089M8ST7R/ref=sr_1_4?keywords=Diablo+Tools+DMAMXCC5010+2+in.+x+7+in.+SDS-Max+Carbide+Tipped+Core+Bit&amp;qid=1694734911&amp;sr=8-4", "https://www.amazon.com/Diablo-SDS-Max-Carbide-Tipped-Core/dp/B089M8ST7R/ref=sr_1_4?keywords=Diablo+Tools+DMAMXCC5010+2+in.+x+7+in.+SDS-Max+Carbide+Tipped+Core+Bit&amp;qid=1694734911&amp;sr=8-4")</f>
        <v/>
      </c>
      <c r="F1771" s="12" t="inlineStr">
        <is>
          <t>B089M8ST7R</t>
        </is>
      </c>
      <c r="G1771" s="12">
        <f>_xlfn.IMAGE("https://edmondsonsupply.com/cdn/shop/files/kbs61qpkymnshwvx13k1.webp?v=1686583113")</f>
        <v/>
      </c>
      <c r="H1771" s="12">
        <f>_xlfn.IMAGE("https://m.media-amazon.com/images/I/71bh3TRvqmL._AC_UL320_.jpg")</f>
        <v/>
      </c>
      <c r="K1771" s="12" t="inlineStr">
        <is>
          <t>101.49</t>
        </is>
      </c>
      <c r="L1771" s="12" t="n">
        <v>157.21</v>
      </c>
      <c r="M1771" s="13" t="inlineStr">
        <is>
          <t>54.90%</t>
        </is>
      </c>
      <c r="N1771" s="13" t="n">
        <v>0</v>
      </c>
      <c r="O1771" s="12" t="n">
        <v>4.7</v>
      </c>
      <c r="P1771" s="12" t="n">
        <v>8</v>
      </c>
      <c r="R1771" s="12" t="inlineStr">
        <is>
          <t>InStock</t>
        </is>
      </c>
      <c r="S1771" s="12" t="inlineStr">
        <is>
          <t>161.02</t>
        </is>
      </c>
      <c r="T1771" s="12" t="inlineStr">
        <is>
          <t>8004502585560</t>
        </is>
      </c>
    </row>
    <row r="1772" ht="87" customHeight="1">
      <c r="A1772" s="2">
        <f>HYPERLINK("https://edmondsonsupply.com/collections/hvac/products/midwest-mwt-6510l-left-offset-aviation-snip", "https://edmondsonsupply.com/collections/hvac/products/midwest-mwt-6510l-left-offset-aviation-snip")</f>
        <v/>
      </c>
      <c r="B1772" s="2">
        <f>HYPERLINK("https://edmondsonsupply.com/products/midwest-mwt-6510l-left-offset-aviation-snip", "https://edmondsonsupply.com/products/midwest-mwt-6510l-left-offset-aviation-snip")</f>
        <v/>
      </c>
      <c r="C1772" t="inlineStr">
        <is>
          <t>Midwest MWT-6510L Left Offset Aviation Snip</t>
        </is>
      </c>
      <c r="D1772" t="inlineStr">
        <is>
          <t>Midwest P6510L Forged Snips Offset Left Aviation Snip</t>
        </is>
      </c>
      <c r="E1772" s="2">
        <f>HYPERLINK("https://www.amazon.com/Midwest-P6510L-Forged-Offset-Aviation/dp/B002NGR71E/ref=sr_1_10?keywords=Midwest+MWT-6510L+Left+Offset+Aviation+Snip&amp;qid=1694734618&amp;sr=8-10", "https://www.amazon.com/Midwest-P6510L-Forged-Offset-Aviation/dp/B002NGR71E/ref=sr_1_10?keywords=Midwest+MWT-6510L+Left+Offset+Aviation+Snip&amp;qid=1694734618&amp;sr=8-10")</f>
        <v/>
      </c>
      <c r="F1772" t="inlineStr">
        <is>
          <t>B002NGR71E</t>
        </is>
      </c>
      <c r="G1772">
        <f>_xlfn.IMAGE("https://edmondsonsupply.com/cdn/shop/products/mwt-6510l.png?v=1587142880")</f>
        <v/>
      </c>
      <c r="H1772">
        <f>_xlfn.IMAGE("https://m.media-amazon.com/images/I/51IeTByC8cL._AC_UL320_.jpg")</f>
        <v/>
      </c>
      <c r="K1772" t="inlineStr">
        <is>
          <t>25.99</t>
        </is>
      </c>
      <c r="L1772" t="n">
        <v>40.25</v>
      </c>
      <c r="M1772" s="1" t="inlineStr">
        <is>
          <t>54.87%</t>
        </is>
      </c>
      <c r="N1772" s="7" t="n">
        <v>0</v>
      </c>
      <c r="O1772" t="n">
        <v>4.6</v>
      </c>
      <c r="P1772" t="n">
        <v>482</v>
      </c>
      <c r="R1772" t="inlineStr">
        <is>
          <t>InStock</t>
        </is>
      </c>
      <c r="S1772" t="inlineStr">
        <is>
          <t>33.49</t>
        </is>
      </c>
      <c r="T1772" t="inlineStr">
        <is>
          <t>3688846917732</t>
        </is>
      </c>
    </row>
    <row r="1773" hidden="1" ht="15.75" customHeight="1">
      <c r="A1773" s="2">
        <f>HYPERLINK("https://edmondsonsupply.com/collections/hvac/products/packard-titan-pro-trcd5-run-capacitor-40-5-mfd-370-volt-round", "https://edmondsonsupply.com/collections/hvac/products/packard-titan-pro-trcd5-run-capacitor-40-5-mfd-370-volt-round")</f>
        <v/>
      </c>
      <c r="B1773" s="2">
        <f>HYPERLINK("https://edmondsonsupply.com/products/packard-titan-pro-trcd5-run-capacitor-40-5-mfd-370-volt-round", "https://edmondsonsupply.com/products/packard-titan-pro-trcd5-run-capacitor-40-5-mfd-370-volt-round")</f>
        <v/>
      </c>
      <c r="C1773" t="inlineStr">
        <is>
          <t>Packard Titan PRO TRCD405 Run Capacitor 40+5 MFD 370 Volt Round</t>
        </is>
      </c>
      <c r="D1773" t="inlineStr">
        <is>
          <t>PACKARD TRCD455 Titan Pro 45+5 MFD 370V Round Run Capacitor Replaces PRCD455</t>
        </is>
      </c>
      <c r="E1773" s="2">
        <f>HYPERLINK("https://www.amazon.com/PACKARD-TRCD455-Capacitor-Replaces-PRCD455/dp/B00K3M3NQ8/ref=sr_1_2?keywords=Packard+Titan+PRO+TRCD405+Run+Capacitor+40+5+MFD+370+Volt+Round&amp;qid=1694734787&amp;sr=8-2", "https://www.amazon.com/PACKARD-TRCD455-Capacitor-Replaces-PRCD455/dp/B00K3M3NQ8/ref=sr_1_2?keywords=Packard+Titan+PRO+TRCD405+Run+Capacitor+40+5+MFD+370+Volt+Round&amp;qid=1694734787&amp;sr=8-2")</f>
        <v/>
      </c>
      <c r="F1773" t="inlineStr">
        <is>
          <t>B00K3M3NQ8</t>
        </is>
      </c>
      <c r="G1773">
        <f>_xludf.IMAGE("https://edmondsonsupply.com/cdn/shop/products/TRCD405-2.jpg?v=1633030397")</f>
        <v/>
      </c>
      <c r="H1773">
        <f>_xludf.IMAGE("https://m.media-amazon.com/images/I/4118O3-fIGL._AC_UY218_.jpg")</f>
        <v/>
      </c>
      <c r="K1773" t="inlineStr">
        <is>
          <t>9.04</t>
        </is>
      </c>
      <c r="L1773" t="n">
        <v>13.99</v>
      </c>
      <c r="M1773" s="1" t="inlineStr">
        <is>
          <t>54.76%</t>
        </is>
      </c>
      <c r="N1773" s="1" t="n">
        <v>0</v>
      </c>
      <c r="O1773" t="n">
        <v>4.4</v>
      </c>
      <c r="P1773" t="n">
        <v>140</v>
      </c>
      <c r="R1773" t="inlineStr">
        <is>
          <t>InStock</t>
        </is>
      </c>
      <c r="S1773" t="inlineStr">
        <is>
          <t>undefined</t>
        </is>
      </c>
      <c r="T1773" t="inlineStr">
        <is>
          <t>5302353002664</t>
        </is>
      </c>
    </row>
    <row r="1774" hidden="1" ht="15.75" customHeight="1">
      <c r="A1774" s="2">
        <f>HYPERLINK("https://edmondsonsupply.com/collections/hvac/products/rectorseal-66737-nokink-1-2-x-3-flexible-refrigerant-line-connector", "https://edmondsonsupply.com/collections/hvac/products/rectorseal-66737-nokink-1-2-x-3-flexible-refrigerant-line-connector")</f>
        <v/>
      </c>
      <c r="B1774" s="2">
        <f>HYPERLINK("https://edmondsonsupply.com/products/rectorseal-66737-nokink-1-2-x-3-flexible-refrigerant-line-connector", "https://edmondsonsupply.com/products/rectorseal-66737-nokink-1-2-x-3-flexible-refrigerant-line-connector")</f>
        <v/>
      </c>
      <c r="C1774" t="inlineStr">
        <is>
          <t>RectorSeal 66737 NoKink 1/2" x 3' Flexible Refrigerant Line Connector</t>
        </is>
      </c>
      <c r="D1774" t="inlineStr">
        <is>
          <t>Rectorseal 68233 NoKink Flexible Refrigerant Line Connector, 3/8" x 72"</t>
        </is>
      </c>
      <c r="E1774" s="2">
        <f>HYPERLINK("https://www.amazon.com/Rectorseal-68233-Flexible-Refrigerant-Connector/dp/B010M22SOG/ref=sr_1_3?keywords=RectorSeal+66737+NoKink+1%2F2%22+x+3%27+Flexible+Refrigerant+Line+Connector&amp;qid=1694734665&amp;sr=8-3", "https://www.amazon.com/Rectorseal-68233-Flexible-Refrigerant-Connector/dp/B010M22SOG/ref=sr_1_3?keywords=RectorSeal+66737+NoKink+1%2F2%22+x+3%27+Flexible+Refrigerant+Line+Connector&amp;qid=1694734665&amp;sr=8-3")</f>
        <v/>
      </c>
      <c r="F1774" t="inlineStr">
        <is>
          <t>B010M22SOG</t>
        </is>
      </c>
      <c r="G1774">
        <f>_xludf.IMAGE("https://edmondsonsupply.com/cdn/shop/products/66737.png?v=1665964950")</f>
        <v/>
      </c>
      <c r="H1774">
        <f>_xludf.IMAGE("https://m.media-amazon.com/images/I/4101YLR79GL._AC_UL320_.jpg")</f>
        <v/>
      </c>
      <c r="K1774" t="inlineStr">
        <is>
          <t>75.86</t>
        </is>
      </c>
      <c r="L1774" t="n">
        <v>117.17</v>
      </c>
      <c r="M1774" s="1" t="inlineStr">
        <is>
          <t>54.46%</t>
        </is>
      </c>
      <c r="N1774" s="1" t="n">
        <v>0</v>
      </c>
      <c r="O1774" t="n">
        <v>4</v>
      </c>
      <c r="P1774" t="n">
        <v>1</v>
      </c>
      <c r="R1774" t="inlineStr">
        <is>
          <t>InStock</t>
        </is>
      </c>
      <c r="S1774" t="inlineStr">
        <is>
          <t>undefined</t>
        </is>
      </c>
      <c r="T1774" t="inlineStr">
        <is>
          <t>6957694353581</t>
        </is>
      </c>
    </row>
    <row r="1775" hidden="1" ht="15.75" customHeight="1">
      <c r="A1775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775" s="2">
        <f>HYPERLINK("https://edmondsonsupply.com/products/klein-tools-646-5-16-5-16-inch-nut-driver-6-inch-hollow-shaft", "https://edmondsonsupply.com/products/klein-tools-646-5-16-5-16-inch-nut-driver-6-inch-hollow-shaft")</f>
        <v/>
      </c>
      <c r="C1775" t="inlineStr">
        <is>
          <t>Klein Tools 646-5/16 5/16-Inch Nut Driver, 6-Inch Hollow Shaft</t>
        </is>
      </c>
      <c r="D1775" t="inlineStr">
        <is>
          <t>Klein Tools 32793 Pro Impact Driver Bit, 5/16-Inch Hex Nut Driver, 3 Pack</t>
        </is>
      </c>
      <c r="E1775" s="2">
        <f>HYPERLINK("https://www.amazon.com/Klein-Tools-32793-Impact-16-Inch/dp/B07RM8WVXK/ref=sr_1_37?keywords=Klein+Tools+646-5%2F16+5%2F16-Inch+Nut+Driver%2C+6-Inch+Hollow+Shaft&amp;qid=1694734728&amp;sr=8-37", "https://www.amazon.com/Klein-Tools-32793-Impact-16-Inch/dp/B07RM8WVXK/ref=sr_1_37?keywords=Klein+Tools+646-5%2F16+5%2F16-Inch+Nut+Driver%2C+6-Inch+Hollow+Shaft&amp;qid=1694734728&amp;sr=8-37")</f>
        <v/>
      </c>
      <c r="F1775" t="inlineStr">
        <is>
          <t>B07RM8WVXK</t>
        </is>
      </c>
      <c r="G1775">
        <f>_xludf.IMAGE("https://edmondsonsupply.com/cdn/shop/products/646-1-2_e1540905-f750-4509-90c5-74ff653e4d83.jpg?v=1587145119")</f>
        <v/>
      </c>
      <c r="H1775">
        <f>_xludf.IMAGE("https://m.media-amazon.com/images/I/41dAZSiz0zL._AC_UL320_.jpg")</f>
        <v/>
      </c>
      <c r="K1775" t="inlineStr">
        <is>
          <t>7.99</t>
        </is>
      </c>
      <c r="L1775" t="n">
        <v>12.32</v>
      </c>
      <c r="M1775" s="1" t="inlineStr">
        <is>
          <t>54.19%</t>
        </is>
      </c>
      <c r="N1775" s="1" t="n">
        <v>0</v>
      </c>
      <c r="O1775" t="n">
        <v>4.7</v>
      </c>
      <c r="P1775" t="n">
        <v>447</v>
      </c>
      <c r="R1775" t="inlineStr">
        <is>
          <t>InStock</t>
        </is>
      </c>
      <c r="S1775" t="inlineStr">
        <is>
          <t>12.1</t>
        </is>
      </c>
      <c r="T1775" t="inlineStr">
        <is>
          <t>4395303272548</t>
        </is>
      </c>
    </row>
    <row r="1776" hidden="1" ht="15.75" customHeight="1">
      <c r="A1776" s="2">
        <f>HYPERLINK("https://edmondsonsupply.com/collections/hvac/products/robertshaw-rs9220", "https://edmondsonsupply.com/collections/hvac/products/robertshaw-rs9220")</f>
        <v/>
      </c>
      <c r="B1776" s="2">
        <f>HYPERLINK("https://edmondsonsupply.com/products/robertshaw-rs9220", "https://edmondsonsupply.com/products/robertshaw-rs9220")</f>
        <v/>
      </c>
      <c r="C1776" t="inlineStr">
        <is>
          <t>Robertshaw RS9220 Programmable Wall Thermostat, Multi-Stage - 2 Heat / 2 Cool</t>
        </is>
      </c>
      <c r="D1776" t="inlineStr">
        <is>
          <t>Robertshaw RS9320T Pro Series 7-Day Programmable Touchscreen Thermostat, Multi-Stage, 3 Heat, 2 Cool White</t>
        </is>
      </c>
      <c r="E1776" s="2">
        <f>HYPERLINK("https://www.amazon.com/Robertshaw-Programmable-Touchscreen-Multi-Stage-Conventional/dp/B00U5CB7TG/ref=sr_1_4?keywords=Robertshaw+RS9220+Programmable+Wall+Thermostat%2C+Multi-Stage+-+2+Heat+%2F+2+Cool&amp;qid=1694734846&amp;sr=8-4", "https://www.amazon.com/Robertshaw-Programmable-Touchscreen-Multi-Stage-Conventional/dp/B00U5CB7TG/ref=sr_1_4?keywords=Robertshaw+RS9220+Programmable+Wall+Thermostat%2C+Multi-Stage+-+2+Heat+%2F+2+Cool&amp;qid=1694734846&amp;sr=8-4")</f>
        <v/>
      </c>
      <c r="F1776" t="inlineStr">
        <is>
          <t>B00U5CB7TG</t>
        </is>
      </c>
      <c r="G1776">
        <f>_xludf.IMAGE("https://edmondsonsupply.com/cdn/shop/files/67652dc9-4ca4-4b9c-987a-a2c62c95b630.jpg?v=1693935585")</f>
        <v/>
      </c>
      <c r="H1776">
        <f>_xludf.IMAGE("https://m.media-amazon.com/images/I/71J5tZZs0hL._AC_UL320_.jpg")</f>
        <v/>
      </c>
      <c r="K1776" t="inlineStr">
        <is>
          <t>47.04</t>
        </is>
      </c>
      <c r="L1776" t="n">
        <v>72.5</v>
      </c>
      <c r="M1776" s="1" t="inlineStr">
        <is>
          <t>54.12%</t>
        </is>
      </c>
      <c r="N1776" s="1" t="n">
        <v>0</v>
      </c>
      <c r="O1776" t="n">
        <v>3.6</v>
      </c>
      <c r="P1776" t="n">
        <v>7</v>
      </c>
      <c r="R1776" t="inlineStr">
        <is>
          <t>InStock</t>
        </is>
      </c>
      <c r="S1776" t="inlineStr">
        <is>
          <t>undefined</t>
        </is>
      </c>
      <c r="T1776" t="inlineStr">
        <is>
          <t>8034296594648</t>
        </is>
      </c>
    </row>
    <row r="1777" ht="87" customHeight="1">
      <c r="A1777" s="2">
        <f>HYPERLINK("https://edmondsonsupply.com/collections/hvac/products/ritchie-yellow-jacket-60652-eight-head-precision-torque-wrench-kit", "https://edmondsonsupply.com/collections/hvac/products/ritchie-yellow-jacket-60652-eight-head-precision-torque-wrench-kit")</f>
        <v/>
      </c>
      <c r="B1777" s="2">
        <f>HYPERLINK("https://edmondsonsupply.com/products/ritchie-yellow-jacket-60652-eight-head-precision-torque-wrench-kit", "https://edmondsonsupply.com/products/ritchie-yellow-jacket-60652-eight-head-precision-torque-wrench-kit")</f>
        <v/>
      </c>
      <c r="C1777" t="inlineStr">
        <is>
          <t>Yellow Jacket 60652 Eight Head Precision Torque Wrench Kit</t>
        </is>
      </c>
      <c r="D1777" t="inlineStr">
        <is>
          <t>Yellow Jacket 60652 Torque Wrench, Universal 8-Head Kit by "Yellow Jacket 60652 Torque Wrench, Universal 8-Head Kit"</t>
        </is>
      </c>
      <c r="E1777" s="2">
        <f>HYPERLINK("https://www.amazon.com/Yellow-Jacket-Torque-Wrench-Universal/dp/B01M122IZD/ref=sr_1_2?keywords=Yellow+Jacket+60652+Eight+Head+Precision+Torque+Wrench+Kit&amp;qid=1694734634&amp;sr=8-2", "https://www.amazon.com/Yellow-Jacket-Torque-Wrench-Universal/dp/B01M122IZD/ref=sr_1_2?keywords=Yellow+Jacket+60652+Eight+Head+Precision+Torque+Wrench+Kit&amp;qid=1694734634&amp;sr=8-2")</f>
        <v/>
      </c>
      <c r="F1777" t="inlineStr">
        <is>
          <t>B01M122IZD</t>
        </is>
      </c>
      <c r="G1777">
        <f>_xlfn.IMAGE("https://edmondsonsupply.com/cdn/shop/products/precision-torque-wrench.jpg?v=1640296268")</f>
        <v/>
      </c>
      <c r="H1777">
        <f>_xlfn.IMAGE("https://m.media-amazon.com/images/I/31Kzp-6hITL._AC_UL320_.jpg")</f>
        <v/>
      </c>
      <c r="K1777" t="inlineStr">
        <is>
          <t>195.13</t>
        </is>
      </c>
      <c r="L1777" t="n">
        <v>299.95</v>
      </c>
      <c r="M1777" s="1" t="inlineStr">
        <is>
          <t>53.72%</t>
        </is>
      </c>
      <c r="N1777" s="7" t="n">
        <v>0</v>
      </c>
      <c r="O1777" t="n">
        <v>4.7</v>
      </c>
      <c r="P1777" t="n">
        <v>27</v>
      </c>
      <c r="R1777" t="inlineStr">
        <is>
          <t>OutOfStock</t>
        </is>
      </c>
      <c r="S1777" t="inlineStr">
        <is>
          <t>undefined</t>
        </is>
      </c>
      <c r="T1777" t="inlineStr">
        <is>
          <t>2645153874020</t>
        </is>
      </c>
    </row>
    <row r="1778" hidden="1" ht="15.75" customHeight="1">
      <c r="A1778" s="2">
        <f>HYPERLINK("https://edmondsonsupply.com/collections/hvac/products/packard-trcfd255-titan-pro-run-capacitor-25-5-mfd-440-370-volt-round", "https://edmondsonsupply.com/collections/hvac/products/packard-trcfd255-titan-pro-run-capacitor-25-5-mfd-440-370-volt-round")</f>
        <v/>
      </c>
      <c r="B1778" s="2">
        <f>HYPERLINK("https://edmondsonsupply.com/products/packard-trcfd255-titan-pro-run-capacitor-25-5-mfd-440-370-volt-round", "https://edmondsonsupply.com/products/packard-trcfd255-titan-pro-run-capacitor-25-5-mfd-440-370-volt-round")</f>
        <v/>
      </c>
      <c r="C1778" t="inlineStr">
        <is>
          <t>Packard TRCFD255 Titan PRO Run Capacitor 25+5 MFD 440/370 Volt, Round</t>
        </is>
      </c>
      <c r="D1778" t="inlineStr">
        <is>
          <t>Titan TRCFD255 Dual Rated Motor Run Capacitor Round MFD 25/5 Volts 440/370</t>
        </is>
      </c>
      <c r="E1778" s="2">
        <f>HYPERLINK("https://www.amazon.com/Titan-TRCFD255-Rated-Motor-Capacitor/dp/B01IC2J6NE/ref=sr_1_1?keywords=Packard+TRCFD255+Titan+PRO+Run+Capacitor+25%2B5+MFD+440%2F370+Volt%2C+Round&amp;qid=1694734735&amp;sr=8-1", "https://www.amazon.com/Titan-TRCFD255-Rated-Motor-Capacitor/dp/B01IC2J6NE/ref=sr_1_1?keywords=Packard+TRCFD255+Titan+PRO+Run+Capacitor+25%2B5+MFD+440%2F370+Volt%2C+Round&amp;qid=1694734735&amp;sr=8-1")</f>
        <v/>
      </c>
      <c r="F1778" t="inlineStr">
        <is>
          <t>B01IC2J6NE</t>
        </is>
      </c>
      <c r="G1778">
        <f>_xludf.IMAGE("https://edmondsonsupply.com/cdn/shop/products/TRCFD255-2.jpg?v=1587142300")</f>
        <v/>
      </c>
      <c r="H1778">
        <f>_xludf.IMAGE("https://m.media-amazon.com/images/I/91hvKgXBe7L._AC_UY218_.jpg")</f>
        <v/>
      </c>
      <c r="K1778" t="inlineStr">
        <is>
          <t>6.02</t>
        </is>
      </c>
      <c r="L1778" t="n">
        <v>9.25</v>
      </c>
      <c r="M1778" s="1" t="inlineStr">
        <is>
          <t>53.65%</t>
        </is>
      </c>
      <c r="N1778" s="1" t="n">
        <v>0</v>
      </c>
      <c r="O1778" t="n">
        <v>4.6</v>
      </c>
      <c r="P1778" t="n">
        <v>130</v>
      </c>
      <c r="R1778" t="inlineStr">
        <is>
          <t>InStock</t>
        </is>
      </c>
      <c r="S1778" t="inlineStr">
        <is>
          <t>undefined</t>
        </is>
      </c>
      <c r="T1778" t="inlineStr">
        <is>
          <t>4299522080868</t>
        </is>
      </c>
    </row>
    <row r="1779" ht="87" customHeight="1">
      <c r="A1779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779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779" t="inlineStr">
        <is>
          <t>Yellow Jacket 42001 Series 41 Manifold Only, 3-1/8" Gauges - R-22 / 404A / 410A</t>
        </is>
      </c>
      <c r="D1779" t="inlineStr">
        <is>
          <t>Yellow Jacket 42006 Series 41 Manifold with 3-1/8" Gauge, psi, R-22/134A/404A</t>
        </is>
      </c>
      <c r="E1779" s="2">
        <f>HYPERLINK("https://www.amazon.com/Yellow-Jacket-42006-Manifold-Gauge/dp/B0039KT74S/ref=sr_1_1?keywords=Yellow+Jacket+42001+Series+41+Manifold+Only%2C+3-1%2F8%22+Gauges+-+R-22+%2F+404A+%2F+410A&amp;qid=1694734681&amp;sr=8-1", "https://www.amazon.com/Yellow-Jacket-42006-Manifold-Gauge/dp/B0039KT74S/ref=sr_1_1?keywords=Yellow+Jacket+42001+Series+41+Manifold+Only%2C+3-1%2F8%22+Gauges+-+R-22+%2F+404A+%2F+410A&amp;qid=1694734681&amp;sr=8-1")</f>
        <v/>
      </c>
      <c r="F1779" t="inlineStr">
        <is>
          <t>B0039KT74S</t>
        </is>
      </c>
      <c r="G1779">
        <f>_xlfn.IMAGE("https://edmondsonsupply.com/cdn/shop/products/series-41-manifolds-with-318-gauges.jpg?v=1633030025")</f>
        <v/>
      </c>
      <c r="H1779">
        <f>_xlfn.IMAGE("https://m.media-amazon.com/images/I/91U-1z87ZlL._AC_UL320_.jpg")</f>
        <v/>
      </c>
      <c r="K1779" t="inlineStr">
        <is>
          <t>97.77</t>
        </is>
      </c>
      <c r="L1779" t="n">
        <v>150</v>
      </c>
      <c r="M1779" s="1" t="inlineStr">
        <is>
          <t>53.42%</t>
        </is>
      </c>
      <c r="N1779" s="7" t="n">
        <v>0</v>
      </c>
      <c r="O1779" t="n">
        <v>4.6</v>
      </c>
      <c r="P1779" t="n">
        <v>1159</v>
      </c>
      <c r="R1779" t="inlineStr">
        <is>
          <t>InStock</t>
        </is>
      </c>
      <c r="S1779" t="inlineStr">
        <is>
          <t>undefined</t>
        </is>
      </c>
      <c r="T1779" t="inlineStr">
        <is>
          <t>2129997922404</t>
        </is>
      </c>
    </row>
    <row r="1780" ht="87" customHeight="1">
      <c r="A1780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1780" s="2">
        <f>HYPERLINK("https://edmondsonsupply.com/products/packard-c230b-contactor-2-pole-30-amps-120-coil-voltage", "https://edmondsonsupply.com/products/packard-c230b-contactor-2-pole-30-amps-120-coil-voltage")</f>
        <v/>
      </c>
      <c r="C1780" t="inlineStr">
        <is>
          <t>Packard C230B Contactor 2 Pole 30 AMPS 120 Coil Voltage</t>
        </is>
      </c>
      <c r="D1780" t="inlineStr">
        <is>
          <t>Packard C240B Packard Contactor 2 Pole 40 Amps 120 Coil Voltage</t>
        </is>
      </c>
      <c r="E1780" s="2">
        <f>HYPERLINK("https://www.amazon.com/Packard-C240B-Contactor-Pole-Voltage/dp/B004Z0RLL2/ref=sr_1_9?keywords=Packard+C230B+Contactor+2+Pole+30+AMPS+120+Coil+Voltage&amp;qid=1694734817&amp;sr=8-9", "https://www.amazon.com/Packard-C240B-Contactor-Pole-Voltage/dp/B004Z0RLL2/ref=sr_1_9?keywords=Packard+C230B+Contactor+2+Pole+30+AMPS+120+Coil+Voltage&amp;qid=1694734817&amp;sr=8-9")</f>
        <v/>
      </c>
      <c r="F1780" t="inlineStr">
        <is>
          <t>B004Z0RLL2</t>
        </is>
      </c>
      <c r="G1780">
        <f>_xlfn.IMAGE("https://edmondsonsupply.com/cdn/shop/products/C230B-1.jpg?v=1587142333")</f>
        <v/>
      </c>
      <c r="H1780">
        <f>_xlfn.IMAGE("https://m.media-amazon.com/images/I/81OXIO+-K1L._AC_UY218_.jpg")</f>
        <v/>
      </c>
      <c r="K1780" t="inlineStr">
        <is>
          <t>10.82</t>
        </is>
      </c>
      <c r="L1780" t="n">
        <v>16.58</v>
      </c>
      <c r="M1780" s="1" t="inlineStr">
        <is>
          <t>53.23%</t>
        </is>
      </c>
      <c r="N1780" s="7" t="n">
        <v>0</v>
      </c>
      <c r="O1780" t="n">
        <v>4.6</v>
      </c>
      <c r="P1780" t="n">
        <v>299</v>
      </c>
      <c r="R1780" t="inlineStr">
        <is>
          <t>InStock</t>
        </is>
      </c>
      <c r="S1780" t="inlineStr">
        <is>
          <t>undefined</t>
        </is>
      </c>
      <c r="T1780" t="inlineStr">
        <is>
          <t>4367983673444</t>
        </is>
      </c>
    </row>
    <row r="1781" ht="87" customHeight="1">
      <c r="A1781" s="2">
        <f>HYPERLINK("https://edmondsonsupply.com/collections/hvac/products/klein-tools-s12hb-grip-it%E2%84%A2-strap-wrench-1-1-2-to-5-inch-12-inch-handle", "https://edmondsonsupply.com/collections/hvac/products/klein-tools-s12hb-grip-it%E2%84%A2-strap-wrench-1-1-2-to-5-inch-12-inch-handle")</f>
        <v/>
      </c>
      <c r="B1781" s="2">
        <f>HYPERLINK("https://edmondsonsupply.com/products/klein-tools-s12hb-grip-it%e2%84%a2-strap-wrench-1-1-2-to-5-inch-12-inch-handle", "https://edmondsonsupply.com/products/klein-tools-s12hb-grip-it%e2%84%a2-strap-wrench-1-1-2-to-5-inch-12-inch-handle")</f>
        <v/>
      </c>
      <c r="C1781" t="inlineStr">
        <is>
          <t>Klein Tools S12HB Grip-It™ Strap Wrench, 1-1/2 to 5-Inch, 12-Inch Handle</t>
        </is>
      </c>
      <c r="D1781" t="inlineStr">
        <is>
          <t>Klein Tools S-12H Grip-It Strap Wrench, 1-1/2 to 5-Inch Capacity, 12-Inch Handle</t>
        </is>
      </c>
      <c r="E1781" s="2">
        <f>HYPERLINK("https://www.amazon.com/Klein-Tools-S-12H-Capacity-12-Inch/dp/B0000DINCH/ref=sr_1_2?keywords=Klein+Tools+S12HB+Grip-It%E2%84%A2+Strap+Wrench%2C+1-1%2F2+to+5-Inch%2C+12-Inch+Handle&amp;qid=1694734884&amp;sr=8-2", "https://www.amazon.com/Klein-Tools-S-12H-Capacity-12-Inch/dp/B0000DINCH/ref=sr_1_2?keywords=Klein+Tools+S12HB+Grip-It%E2%84%A2+Strap+Wrench%2C+1-1%2F2+to+5-Inch%2C+12-Inch+Handle&amp;qid=1694734884&amp;sr=8-2")</f>
        <v/>
      </c>
      <c r="F1781" t="inlineStr">
        <is>
          <t>B0000DINCH</t>
        </is>
      </c>
      <c r="G1781">
        <f>_xlfn.IMAGE("https://edmondsonsupply.com/cdn/shop/files/s12hb_b.jpg?v=1689783564")</f>
        <v/>
      </c>
      <c r="H1781">
        <f>_xlfn.IMAGE("https://m.media-amazon.com/images/I/51vbjGI4zpL._AC_UL320_.jpg")</f>
        <v/>
      </c>
      <c r="K1781" t="inlineStr">
        <is>
          <t>19.99</t>
        </is>
      </c>
      <c r="L1781" t="n">
        <v>30.62</v>
      </c>
      <c r="M1781" s="1" t="inlineStr">
        <is>
          <t>53.18%</t>
        </is>
      </c>
      <c r="N1781" s="7" t="n">
        <v>0</v>
      </c>
      <c r="O1781" t="n">
        <v>4.4</v>
      </c>
      <c r="P1781" t="n">
        <v>149</v>
      </c>
      <c r="R1781" t="inlineStr">
        <is>
          <t>InStock</t>
        </is>
      </c>
      <c r="S1781" t="inlineStr">
        <is>
          <t>29.98</t>
        </is>
      </c>
      <c r="T1781" t="inlineStr">
        <is>
          <t>8018517229784</t>
        </is>
      </c>
    </row>
    <row r="1782" ht="87" customHeight="1">
      <c r="A1782" s="2">
        <f>HYPERLINK("https://edmondsonsupply.com/collections/hvac/products/packard-c240c-contactor-2-pole-40-amps-208-240-coil-voltage", "https://edmondsonsupply.com/collections/hvac/products/packard-c240c-contactor-2-pole-40-amps-208-240-coil-voltage")</f>
        <v/>
      </c>
      <c r="B1782" s="2">
        <f>HYPERLINK("https://edmondsonsupply.com/products/packard-c240c-contactor-2-pole-40-amps-208-240-coil-voltage", "https://edmondsonsupply.com/products/packard-c240c-contactor-2-pole-40-amps-208-240-coil-voltage")</f>
        <v/>
      </c>
      <c r="C1782" t="inlineStr">
        <is>
          <t>Packard C240C Contactor 2 Pole 40 AMPS 208/240 Coil Voltage</t>
        </is>
      </c>
      <c r="D1782" t="inlineStr">
        <is>
          <t>Packard C240C 2 Pole 40 Amp Contactor 208/240 Volt Coil Contactor</t>
        </is>
      </c>
      <c r="E1782" s="2">
        <f>HYPERLINK("https://www.amazon.com/Packard-C240C-Pole-Contactor-Volt/dp/B004Z0RLR6/ref=sr_1_1?keywords=Packard+C240C+Contactor+2+Pole+40+AMPS+208%2F240+Coil+Voltage&amp;qid=1694734584&amp;sr=8-1", "https://www.amazon.com/Packard-C240C-Pole-Contactor-Volt/dp/B004Z0RLR6/ref=sr_1_1?keywords=Packard+C240C+Contactor+2+Pole+40+AMPS+208%2F240+Coil+Voltage&amp;qid=1694734584&amp;sr=8-1")</f>
        <v/>
      </c>
      <c r="F1782" t="inlineStr">
        <is>
          <t>B004Z0RLR6</t>
        </is>
      </c>
      <c r="G1782">
        <f>_xlfn.IMAGE("https://edmondsonsupply.com/cdn/shop/products/C240C-1.jpg?v=1633030123")</f>
        <v/>
      </c>
      <c r="H1782">
        <f>_xlfn.IMAGE("https://m.media-amazon.com/images/I/91HgJ588lHL._AC_UY218_.jpg")</f>
        <v/>
      </c>
      <c r="K1782" t="inlineStr">
        <is>
          <t>12.22</t>
        </is>
      </c>
      <c r="L1782" t="n">
        <v>18.7</v>
      </c>
      <c r="M1782" s="1" t="inlineStr">
        <is>
          <t>53.03%</t>
        </is>
      </c>
      <c r="N1782" s="7" t="n">
        <v>0</v>
      </c>
      <c r="O1782" t="n">
        <v>4.4</v>
      </c>
      <c r="P1782" t="n">
        <v>118</v>
      </c>
      <c r="R1782" t="inlineStr">
        <is>
          <t>InStock</t>
        </is>
      </c>
      <c r="S1782" t="inlineStr">
        <is>
          <t>undefined</t>
        </is>
      </c>
      <c r="T1782" t="inlineStr">
        <is>
          <t>3691103715428</t>
        </is>
      </c>
    </row>
    <row r="1783" ht="87" customHeight="1">
      <c r="A1783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783" s="2">
        <f>HYPERLINK("https://edmondsonsupply.com/products/diablo-tools-dag1130-1-in-x-7-1-2-in-auger-bit", "https://edmondsonsupply.com/products/diablo-tools-dag1130-1-in-x-7-1-2-in-auger-bit")</f>
        <v/>
      </c>
      <c r="C1783" t="inlineStr">
        <is>
          <t>Diablo Tools DAG1130 1 in. x 7-1/2 in. Auger Bit</t>
        </is>
      </c>
      <c r="D1783" t="inlineStr">
        <is>
          <t>Diablo 3/4 in. x 17-1/2 in. Auger Bit</t>
        </is>
      </c>
      <c r="E1783" s="2">
        <f>HYPERLINK("https://www.amazon.com/Diablo-17-1-Auger-Bit/dp/B089LHKRPP/ref=sr_1_23?keywords=Diablo+Tools+DAG1130+1+in.+x+7-1%2F2+in.+Auger+Bit&amp;qid=1694734776&amp;sr=8-23", "https://www.amazon.com/Diablo-17-1-Auger-Bit/dp/B089LHKRPP/ref=sr_1_23?keywords=Diablo+Tools+DAG1130+1+in.+x+7-1%2F2+in.+Auger+Bit&amp;qid=1694734776&amp;sr=8-23")</f>
        <v/>
      </c>
      <c r="F1783" t="inlineStr">
        <is>
          <t>B089LHKRPP</t>
        </is>
      </c>
      <c r="G1783">
        <f>_xlfn.IMAGE("https://edmondsonsupply.com/cdn/shop/products/DAG1130_Main-Image20200712.png?v=1633031124")</f>
        <v/>
      </c>
      <c r="H1783">
        <f>_xlfn.IMAGE("https://m.media-amazon.com/images/I/61aMNURt08L._AC_UL320_.jpg")</f>
        <v/>
      </c>
      <c r="K1783" t="inlineStr">
        <is>
          <t>16.37</t>
        </is>
      </c>
      <c r="L1783" t="n">
        <v>25</v>
      </c>
      <c r="M1783" s="1" t="inlineStr">
        <is>
          <t>52.72%</t>
        </is>
      </c>
      <c r="N1783" s="7" t="n">
        <v>0</v>
      </c>
      <c r="O1783" t="n">
        <v>4.6</v>
      </c>
      <c r="P1783" t="n">
        <v>61</v>
      </c>
      <c r="R1783" t="inlineStr">
        <is>
          <t>InStock</t>
        </is>
      </c>
      <c r="S1783" t="inlineStr">
        <is>
          <t>25.94</t>
        </is>
      </c>
      <c r="T1783" t="inlineStr">
        <is>
          <t>6866560581805</t>
        </is>
      </c>
    </row>
    <row r="1784" ht="87" customHeight="1">
      <c r="A1784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784" s="2">
        <f>HYPERLINK("https://edmondsonsupply.com/products/diablo-tools-dag1130-1-in-x-7-1-2-in-auger-bit", "https://edmondsonsupply.com/products/diablo-tools-dag1130-1-in-x-7-1-2-in-auger-bit")</f>
        <v/>
      </c>
      <c r="C1784" t="inlineStr">
        <is>
          <t>Diablo Tools DAG1130 1 in. x 7-1/2 in. Auger Bit</t>
        </is>
      </c>
      <c r="D1784" t="inlineStr">
        <is>
          <t>Diablo 5/8 in. x 17-1/2 in. Auger Bit</t>
        </is>
      </c>
      <c r="E1784" s="2">
        <f>HYPERLINK("https://www.amazon.com/Diablo-Freud-DAG3050-17-1-Auger/dp/B089KWL81X/ref=sr_1_10?keywords=Diablo+Tools+DAG1130+1+in.+x+7-1%2F2+in.+Auger+Bit&amp;qid=1694734776&amp;sr=8-10", "https://www.amazon.com/Diablo-Freud-DAG3050-17-1-Auger/dp/B089KWL81X/ref=sr_1_10?keywords=Diablo+Tools+DAG1130+1+in.+x+7-1%2F2+in.+Auger+Bit&amp;qid=1694734776&amp;sr=8-10")</f>
        <v/>
      </c>
      <c r="F1784" t="inlineStr">
        <is>
          <t>B089KWL81X</t>
        </is>
      </c>
      <c r="G1784">
        <f>_xlfn.IMAGE("https://edmondsonsupply.com/cdn/shop/products/DAG1130_Main-Image20200712.png?v=1633031124")</f>
        <v/>
      </c>
      <c r="H1784">
        <f>_xlfn.IMAGE("https://m.media-amazon.com/images/I/61DWkFmOdeL._AC_UL320_.jpg")</f>
        <v/>
      </c>
      <c r="K1784" t="inlineStr">
        <is>
          <t>16.37</t>
        </is>
      </c>
      <c r="L1784" t="n">
        <v>24.97</v>
      </c>
      <c r="M1784" s="1" t="inlineStr">
        <is>
          <t>52.54%</t>
        </is>
      </c>
      <c r="N1784" s="7" t="n">
        <v>0</v>
      </c>
      <c r="O1784" t="n">
        <v>4.3</v>
      </c>
      <c r="P1784" t="n">
        <v>20</v>
      </c>
      <c r="R1784" t="inlineStr">
        <is>
          <t>InStock</t>
        </is>
      </c>
      <c r="S1784" t="inlineStr">
        <is>
          <t>25.94</t>
        </is>
      </c>
      <c r="T1784" t="inlineStr">
        <is>
          <t>6866560581805</t>
        </is>
      </c>
    </row>
    <row r="1785" ht="87" customHeight="1">
      <c r="A1785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785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785" t="inlineStr">
        <is>
          <t>Yellow Jacket 42001 Series 41 Manifold Only, 3-1/8" Gauges - R-22 / 404A / 410A</t>
        </is>
      </c>
      <c r="D1785" t="inlineStr">
        <is>
          <t>Yellow Jacket 49863 Manifold with Red/Blue Gauges, psi Scale, R-22/404A/410A Refrigerant</t>
        </is>
      </c>
      <c r="E1785" s="2">
        <f>HYPERLINK("https://www.amazon.com/Yellow-Jacket-49863-Manifold-Refrigerant/dp/B0036FFUQ0/ref=sr_1_3?keywords=Yellow+Jacket+42001+Series+41+Manifold+Only%2C+3-1%2F8%22+Gauges+-+R-22+%2F+404A+%2F+410A&amp;qid=1694734681&amp;sr=8-3", "https://www.amazon.com/Yellow-Jacket-49863-Manifold-Refrigerant/dp/B0036FFUQ0/ref=sr_1_3?keywords=Yellow+Jacket+42001+Series+41+Manifold+Only%2C+3-1%2F8%22+Gauges+-+R-22+%2F+404A+%2F+410A&amp;qid=1694734681&amp;sr=8-3")</f>
        <v/>
      </c>
      <c r="F1785" t="inlineStr">
        <is>
          <t>B0036FFUQ0</t>
        </is>
      </c>
      <c r="G1785">
        <f>_xlfn.IMAGE("https://edmondsonsupply.com/cdn/shop/products/series-41-manifolds-with-318-gauges.jpg?v=1633030025")</f>
        <v/>
      </c>
      <c r="H1785">
        <f>_xlfn.IMAGE("https://m.media-amazon.com/images/I/6123jOzryQL._AC_UL320_.jpg")</f>
        <v/>
      </c>
      <c r="K1785" t="inlineStr">
        <is>
          <t>97.77</t>
        </is>
      </c>
      <c r="L1785" t="n">
        <v>149.13</v>
      </c>
      <c r="M1785" s="1" t="inlineStr">
        <is>
          <t>52.53%</t>
        </is>
      </c>
      <c r="N1785" s="7" t="n">
        <v>0</v>
      </c>
      <c r="O1785" t="n">
        <v>5</v>
      </c>
      <c r="P1785" t="n">
        <v>34</v>
      </c>
      <c r="R1785" t="inlineStr">
        <is>
          <t>InStock</t>
        </is>
      </c>
      <c r="S1785" t="inlineStr">
        <is>
          <t>undefined</t>
        </is>
      </c>
      <c r="T1785" t="inlineStr">
        <is>
          <t>2129997922404</t>
        </is>
      </c>
    </row>
    <row r="1786" ht="87" customHeight="1">
      <c r="A1786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786" s="2">
        <f>HYPERLINK("https://edmondsonsupply.com/products/diablo-tools-dag1130-1-in-x-7-1-2-in-auger-bit", "https://edmondsonsupply.com/products/diablo-tools-dag1130-1-in-x-7-1-2-in-auger-bit")</f>
        <v/>
      </c>
      <c r="C1786" t="inlineStr">
        <is>
          <t>Diablo Tools DAG1130 1 in. x 7-1/2 in. Auger Bit</t>
        </is>
      </c>
      <c r="D1786" t="inlineStr">
        <is>
          <t>Diablo 7/8 in. x 13 in. Auger Bit</t>
        </is>
      </c>
      <c r="E1786" s="2">
        <f>HYPERLINK("https://www.amazon.com/Diablo-DAG2090-13-Auger-Bit/dp/B089KXGJV4/ref=sr_1_43?keywords=Diablo+Tools+DAG1130+1+in.+x+7-1%2F2+in.+Auger+Bit&amp;qid=1694734776&amp;sr=8-43", "https://www.amazon.com/Diablo-DAG2090-13-Auger-Bit/dp/B089KXGJV4/ref=sr_1_43?keywords=Diablo+Tools+DAG1130+1+in.+x+7-1%2F2+in.+Auger+Bit&amp;qid=1694734776&amp;sr=8-43")</f>
        <v/>
      </c>
      <c r="F1786" t="inlineStr">
        <is>
          <t>B089KXGJV4</t>
        </is>
      </c>
      <c r="G1786">
        <f>_xlfn.IMAGE("https://edmondsonsupply.com/cdn/shop/products/DAG1130_Main-Image20200712.png?v=1633031124")</f>
        <v/>
      </c>
      <c r="H1786">
        <f>_xlfn.IMAGE("https://m.media-amazon.com/images/I/6142CVY6CTL._AC_UL320_.jpg")</f>
        <v/>
      </c>
      <c r="K1786" t="inlineStr">
        <is>
          <t>16.37</t>
        </is>
      </c>
      <c r="L1786" t="n">
        <v>24.96</v>
      </c>
      <c r="M1786" s="1" t="inlineStr">
        <is>
          <t>52.47%</t>
        </is>
      </c>
      <c r="N1786" s="7" t="n">
        <v>0</v>
      </c>
      <c r="O1786" t="n">
        <v>4.6</v>
      </c>
      <c r="P1786" t="n">
        <v>14</v>
      </c>
      <c r="R1786" t="inlineStr">
        <is>
          <t>InStock</t>
        </is>
      </c>
      <c r="S1786" t="inlineStr">
        <is>
          <t>25.94</t>
        </is>
      </c>
      <c r="T1786" t="inlineStr">
        <is>
          <t>6866560581805</t>
        </is>
      </c>
    </row>
    <row r="1787" hidden="1" ht="15.75" customHeight="1">
      <c r="A1787" s="2">
        <f>HYPERLINK("https://edmondsonsupply.com/collections/hvac/products/klein-tools-jth6t25-t25-torx%C2%AE-hex-key-with-journeyman-t-handle-6-inch", "https://edmondsonsupply.com/collections/hvac/products/klein-tools-jth6t25-t25-torx%C2%AE-hex-key-with-journeyman-t-handle-6-inch")</f>
        <v/>
      </c>
      <c r="B1787" s="2">
        <f>HYPERLINK("https://edmondsonsupply.com/products/klein-tools-jth6t25-t25-torx%c2%ae-hex-key-with-journeyman-t-handle-6-inch", "https://edmondsonsupply.com/products/klein-tools-jth6t25-t25-torx%c2%ae-hex-key-with-journeyman-t-handle-6-inch")</f>
        <v/>
      </c>
      <c r="C1787" t="inlineStr">
        <is>
          <t>Klein Tools JTH6T25 T25 Torx® Hex Key with Journeyman T-Handle, 6-Inch</t>
        </is>
      </c>
      <c r="D1787" t="inlineStr">
        <is>
          <t>Klein Tools JTH6T25 T25 TORX Hex Key, Journeyman T-Handle, 6-Inch</t>
        </is>
      </c>
      <c r="E1787" s="2">
        <f>HYPERLINK("https://www.amazon.com/Journeyman-T-Handle-Klein-Tools-JTH6T25/dp/B005G3B4HE/ref=sr_1_1?keywords=Klein+Tools+JTH6T25+T25+Torx%C2%AE+Hex+Key+with+Journeyman+T-Handle%2C+6-Inch&amp;qid=1694734706&amp;sr=8-1", "https://www.amazon.com/Journeyman-T-Handle-Klein-Tools-JTH6T25/dp/B005G3B4HE/ref=sr_1_1?keywords=Klein+Tools+JTH6T25+T25+Torx%C2%AE+Hex+Key+with+Journeyman+T-Handle%2C+6-Inch&amp;qid=1694734706&amp;sr=8-1")</f>
        <v/>
      </c>
      <c r="F1787" t="inlineStr">
        <is>
          <t>B005G3B4HE</t>
        </is>
      </c>
      <c r="G1787">
        <f>_xludf.IMAGE("https://edmondsonsupply.com/cdn/shop/products/jth6t40_f27d4256-4343-44f4-afb3-5989c8c8fc7b.jpg?v=1613168190")</f>
        <v/>
      </c>
      <c r="H1787">
        <f>_xludf.IMAGE("https://m.media-amazon.com/images/I/51Xj0Vsb-EL._AC_UL320_.jpg")</f>
        <v/>
      </c>
      <c r="K1787" t="inlineStr">
        <is>
          <t>7.99</t>
        </is>
      </c>
      <c r="L1787" t="n">
        <v>12.16</v>
      </c>
      <c r="M1787" s="1" t="inlineStr">
        <is>
          <t>52.19%</t>
        </is>
      </c>
      <c r="N1787" s="1" t="n">
        <v>0</v>
      </c>
      <c r="O1787" t="n">
        <v>4.8</v>
      </c>
      <c r="P1787" t="n">
        <v>1540</v>
      </c>
      <c r="R1787" t="inlineStr">
        <is>
          <t>InStock</t>
        </is>
      </c>
      <c r="S1787" t="inlineStr">
        <is>
          <t>12.14</t>
        </is>
      </c>
      <c r="T1787" t="inlineStr">
        <is>
          <t>6254482489517</t>
        </is>
      </c>
    </row>
    <row r="1788" hidden="1" ht="15.75" customHeight="1">
      <c r="A1788" s="2">
        <f>HYPERLINK("https://edmondsonsupply.com/collections/hvac/products/nu-calgon-4057-56-a-c-re-new-connect-inject", "https://edmondsonsupply.com/collections/hvac/products/nu-calgon-4057-56-a-c-re-new-connect-inject")</f>
        <v/>
      </c>
      <c r="B1788" s="2">
        <f>HYPERLINK("https://edmondsonsupply.com/products/nu-calgon-4057-56-a-c-re-new-connect-inject", "https://edmondsonsupply.com/products/nu-calgon-4057-56-a-c-re-new-connect-inject")</f>
        <v/>
      </c>
      <c r="C1788" t="inlineStr">
        <is>
          <t>Nu-Calgon 4057-56 A/C Re-New Connect Inject</t>
        </is>
      </c>
      <c r="D1788" t="inlineStr">
        <is>
          <t>Nu-Calgon 4057-99 A/C Re-New Injector Tool</t>
        </is>
      </c>
      <c r="E1788" s="2">
        <f>HYPERLINK("https://www.amazon.com/Nu-Calgon-4057-99-Re-New-Injector-Tool/dp/B00OZVAR5I/ref=sr_1_5?keywords=Nu-Calgon+4057-56+A%2FC+Re-New+Connect+Inject&amp;qid=1694734613&amp;sr=8-5", "https://www.amazon.com/Nu-Calgon-4057-99-Re-New-Injector-Tool/dp/B00OZVAR5I/ref=sr_1_5?keywords=Nu-Calgon+4057-56+A%2FC+Re-New+Connect+Inject&amp;qid=1694734613&amp;sr=8-5")</f>
        <v/>
      </c>
      <c r="F1788" t="inlineStr">
        <is>
          <t>B00OZVAR5I</t>
        </is>
      </c>
      <c r="G1788">
        <f>_xludf.IMAGE("https://edmondsonsupply.com/cdn/shop/products/4057-56.jpg?v=1659034051")</f>
        <v/>
      </c>
      <c r="H1788">
        <f>_xludf.IMAGE("https://m.media-amazon.com/images/I/619hw0kuSlL._AC_UL320_.jpg")</f>
        <v/>
      </c>
      <c r="K1788" t="inlineStr">
        <is>
          <t>90.65</t>
        </is>
      </c>
      <c r="L1788" t="n">
        <v>137.86</v>
      </c>
      <c r="M1788" s="1" t="inlineStr">
        <is>
          <t>52.08%</t>
        </is>
      </c>
      <c r="N1788" s="1" t="n">
        <v>0</v>
      </c>
      <c r="O1788" t="n">
        <v>3.9</v>
      </c>
      <c r="P1788" t="n">
        <v>9</v>
      </c>
      <c r="R1788" t="inlineStr">
        <is>
          <t>InStock</t>
        </is>
      </c>
      <c r="S1788" t="inlineStr">
        <is>
          <t>139.4</t>
        </is>
      </c>
      <c r="T1788" t="inlineStr">
        <is>
          <t>7765083324632</t>
        </is>
      </c>
    </row>
    <row r="1789" ht="87" customHeight="1">
      <c r="A1789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789" s="2">
        <f>HYPERLINK("https://edmondsonsupply.com/products/packard-c140a-contactor-1-pole-40-amps-24-coil-voltage", "https://edmondsonsupply.com/products/packard-c140a-contactor-1-pole-40-amps-24-coil-voltage")</f>
        <v/>
      </c>
      <c r="C1789" t="inlineStr">
        <is>
          <t>Packard C140A Contactor 1 Pole 40 AMPS 24 Coil Voltage</t>
        </is>
      </c>
      <c r="D1789" t="inlineStr">
        <is>
          <t>Lennox - 40 Amp 1 Pole 24v Coil Replacement Contactor C140A</t>
        </is>
      </c>
      <c r="E1789" s="2">
        <f>HYPERLINK("https://www.amazon.com/Lennox-Packard-Replacement-Contactor-C140A/dp/B00S8IYPCK/ref=sr_1_4?keywords=Packard+C140A+Contactor+1+Pole+40+AMPS+24+Coil+Voltage&amp;qid=1694734583&amp;sr=8-4", "https://www.amazon.com/Lennox-Packard-Replacement-Contactor-C140A/dp/B00S8IYPCK/ref=sr_1_4?keywords=Packard+C140A+Contactor+1+Pole+40+AMPS+24+Coil+Voltage&amp;qid=1694734583&amp;sr=8-4")</f>
        <v/>
      </c>
      <c r="F1789" t="inlineStr">
        <is>
          <t>B00S8IYPCK</t>
        </is>
      </c>
      <c r="G1789">
        <f>_xlfn.IMAGE("https://edmondsonsupply.com/cdn/shop/products/C140A-1.jpg?v=1587147314")</f>
        <v/>
      </c>
      <c r="H1789">
        <f>_xlfn.IMAGE("https://m.media-amazon.com/images/I/418gb7r3+cL._AC_UY218_.jpg")</f>
        <v/>
      </c>
      <c r="K1789" t="inlineStr">
        <is>
          <t>9.98</t>
        </is>
      </c>
      <c r="L1789" t="n">
        <v>15.17</v>
      </c>
      <c r="M1789" s="1" t="inlineStr">
        <is>
          <t>52.00%</t>
        </is>
      </c>
      <c r="N1789" s="7" t="n">
        <v>0</v>
      </c>
      <c r="O1789" t="n">
        <v>4.5</v>
      </c>
      <c r="P1789" t="n">
        <v>12</v>
      </c>
      <c r="R1789" t="inlineStr">
        <is>
          <t>InStock</t>
        </is>
      </c>
      <c r="S1789" t="inlineStr">
        <is>
          <t>undefined</t>
        </is>
      </c>
      <c r="T1789" t="inlineStr">
        <is>
          <t>4359080607844</t>
        </is>
      </c>
    </row>
    <row r="1790" hidden="1" ht="15.75" customHeight="1">
      <c r="A1790" s="2">
        <f>HYPERLINK("https://edmondsonsupply.com/collections/hvac/products/greenlee-dtap1-4-20-drill-tap-1-4-20", "https://edmondsonsupply.com/collections/hvac/products/greenlee-dtap1-4-20-drill-tap-1-4-20")</f>
        <v/>
      </c>
      <c r="B1790" s="2">
        <f>HYPERLINK("https://edmondsonsupply.com/products/greenlee-dtap1-4-20-drill-tap-1-4-20", "https://edmondsonsupply.com/products/greenlee-dtap1-4-20-drill-tap-1-4-20")</f>
        <v/>
      </c>
      <c r="C1790" t="inlineStr">
        <is>
          <t>Greenlee DTAP1/4-20 Drill/Tap, 1/4-20</t>
        </is>
      </c>
      <c r="D1790" t="inlineStr">
        <is>
          <t>Greenlee Drill And Tap Bit, Hss, 1/4-20</t>
        </is>
      </c>
      <c r="E1790" s="2">
        <f>HYPERLINK("https://www.amazon.com/Greenlee-LDTAP1-4-20-Long-Drill/dp/B00E62G6AG/ref=sr_1_3?keywords=Greenlee+DTAP1%2F4-20+Drill%2FTap%2C+1%2F4-20&amp;qid=1694734812&amp;sr=8-3", "https://www.amazon.com/Greenlee-LDTAP1-4-20-Long-Drill/dp/B00E62G6AG/ref=sr_1_3?keywords=Greenlee+DTAP1%2F4-20+Drill%2FTap%2C+1%2F4-20&amp;qid=1694734812&amp;sr=8-3")</f>
        <v/>
      </c>
      <c r="F1790" t="inlineStr">
        <is>
          <t>B00E62G6AG</t>
        </is>
      </c>
      <c r="G1790">
        <f>_xludf.IMAGE("https://edmondsonsupply.com/cdn/shop/products/DTAP1-4-20.jpg?v=1587151009")</f>
        <v/>
      </c>
      <c r="H1790">
        <f>_xludf.IMAGE("https://m.media-amazon.com/images/I/61R41z3ZKQL._AC_UL320_.jpg")</f>
        <v/>
      </c>
      <c r="K1790" t="inlineStr">
        <is>
          <t>8.99</t>
        </is>
      </c>
      <c r="L1790" t="n">
        <v>13.66</v>
      </c>
      <c r="M1790" s="1" t="inlineStr">
        <is>
          <t>51.95%</t>
        </is>
      </c>
      <c r="N1790" s="1" t="n">
        <v>0</v>
      </c>
      <c r="O1790" t="n">
        <v>3.7</v>
      </c>
      <c r="P1790" t="n">
        <v>7</v>
      </c>
      <c r="R1790" t="inlineStr">
        <is>
          <t>InStock</t>
        </is>
      </c>
      <c r="S1790" t="inlineStr">
        <is>
          <t>9.7</t>
        </is>
      </c>
      <c r="T1790" t="inlineStr">
        <is>
          <t>4395885199460</t>
        </is>
      </c>
    </row>
    <row r="1791" hidden="1" ht="15.75" customHeight="1">
      <c r="A1791" s="2">
        <f>HYPERLINK("https://edmondsonsupply.com/collections/hvac/products/icm-controls-icm401-3-phase-line-voltage-monitor", "https://edmondsonsupply.com/collections/hvac/products/icm-controls-icm401-3-phase-line-voltage-monitor")</f>
        <v/>
      </c>
      <c r="B1791" s="2">
        <f>HYPERLINK("https://edmondsonsupply.com/products/icm-controls-icm401-3-phase-line-voltage-monitor", "https://edmondsonsupply.com/products/icm-controls-icm401-3-phase-line-voltage-monitor")</f>
        <v/>
      </c>
      <c r="C1791" t="inlineStr">
        <is>
          <t>ICM Controls ICM401 3 Phase Line Voltage Monitor</t>
        </is>
      </c>
      <c r="D1791" t="inlineStr">
        <is>
          <t>Icm Three-phase Line Voltage Monitor Icm401c</t>
        </is>
      </c>
      <c r="E1791" s="2">
        <f>HYPERLINK("https://www.amazon.com/Three-phase-Line-Voltage-Monitor-Icm401c/dp/B082J4SQY2/ref=sr_1_5?keywords=ICM+Controls+ICM401+3+Phase+Line+Voltage+Monitor&amp;qid=1694734757&amp;sr=8-5", "https://www.amazon.com/Three-phase-Line-Voltage-Monitor-Icm401c/dp/B082J4SQY2/ref=sr_1_5?keywords=ICM+Controls+ICM401+3+Phase+Line+Voltage+Monitor&amp;qid=1694734757&amp;sr=8-5")</f>
        <v/>
      </c>
      <c r="F1791" t="inlineStr">
        <is>
          <t>B082J4SQY2</t>
        </is>
      </c>
      <c r="G1791">
        <f>_xludf.IMAGE("https://edmondsonsupply.com/cdn/shop/products/photo_3653_medium_52cb7f2c-e5f0-4da1-ac53-d344fb2403c9.png?v=1665087171")</f>
        <v/>
      </c>
      <c r="H1791">
        <f>_xludf.IMAGE("https://m.media-amazon.com/images/I/41mYhTt0WNL._AC_UL320_.jpg")</f>
        <v/>
      </c>
      <c r="K1791" t="inlineStr">
        <is>
          <t>34.79</t>
        </is>
      </c>
      <c r="L1791" t="n">
        <v>52.79</v>
      </c>
      <c r="M1791" s="1" t="inlineStr">
        <is>
          <t>51.74%</t>
        </is>
      </c>
      <c r="N1791" s="1" t="n">
        <v>0</v>
      </c>
      <c r="O1791" t="n">
        <v>2</v>
      </c>
      <c r="P1791" t="n">
        <v>1</v>
      </c>
      <c r="R1791" t="inlineStr">
        <is>
          <t>InStock</t>
        </is>
      </c>
      <c r="S1791" t="inlineStr">
        <is>
          <t>61.35</t>
        </is>
      </c>
      <c r="T1791" t="inlineStr">
        <is>
          <t>7842404532440</t>
        </is>
      </c>
    </row>
    <row r="1792" ht="87" customHeight="1">
      <c r="A1792" s="2">
        <f>HYPERLINK("https://edmondsonsupply.com/collections/hvac/products/fluke-373-true-rms-ac-clamp-meter", "https://edmondsonsupply.com/collections/hvac/products/fluke-373-true-rms-ac-clamp-meter")</f>
        <v/>
      </c>
      <c r="B1792" s="2">
        <f>HYPERLINK("https://edmondsonsupply.com/products/fluke-373-true-rms-ac-clamp-meter", "https://edmondsonsupply.com/products/fluke-373-true-rms-ac-clamp-meter")</f>
        <v/>
      </c>
      <c r="C1792" t="inlineStr">
        <is>
          <t>Fluke 373 True-RMS AC Clamp Meter</t>
        </is>
      </c>
      <c r="D1792" t="inlineStr">
        <is>
          <t>Fluke 375 FC True-RMS AC/DC Clamp Meter, Measures AC/DC Current To 600 A and AC/DC Voltage To 1000 V, CAT III 1000 V, CAT IV 600 V Safety Rating, Includes Batteries and Soft Carrying Case</t>
        </is>
      </c>
      <c r="E1792" s="2">
        <f>HYPERLINK("https://www.amazon.com/Fluke-True-RMS-Measures-Batteries-Carrying/dp/B017OVC1U4/ref=sr_1_6?keywords=Fluke+373+True-RMS+AC+Clamp+Meter&amp;qid=1694734920&amp;sr=8-6", "https://www.amazon.com/Fluke-True-RMS-Measures-Batteries-Carrying/dp/B017OVC1U4/ref=sr_1_6?keywords=Fluke+373+True-RMS+AC+Clamp+Meter&amp;qid=1694734920&amp;sr=8-6")</f>
        <v/>
      </c>
      <c r="F1792" t="inlineStr">
        <is>
          <t>B017OVC1U4</t>
        </is>
      </c>
      <c r="G1792">
        <f>_xlfn.IMAGE("https://edmondsonsupply.com/cdn/shop/files/f-373-01d-1500x1000.webp?v=1689369435")</f>
        <v/>
      </c>
      <c r="H1792">
        <f>_xlfn.IMAGE("https://m.media-amazon.com/images/I/71-9RICQeuL._AC_UY218_.jpg")</f>
        <v/>
      </c>
      <c r="K1792" t="inlineStr">
        <is>
          <t>290.05</t>
        </is>
      </c>
      <c r="L1792" t="n">
        <v>440</v>
      </c>
      <c r="M1792" s="1" t="inlineStr">
        <is>
          <t>51.70%</t>
        </is>
      </c>
      <c r="N1792" s="7" t="n">
        <v>0</v>
      </c>
      <c r="O1792" t="n">
        <v>4.8</v>
      </c>
      <c r="P1792" t="n">
        <v>283</v>
      </c>
      <c r="R1792" t="inlineStr">
        <is>
          <t>InStock</t>
        </is>
      </c>
      <c r="S1792" t="inlineStr">
        <is>
          <t>undefined</t>
        </is>
      </c>
      <c r="T1792" t="inlineStr">
        <is>
          <t>8016406773976</t>
        </is>
      </c>
    </row>
    <row r="1793" ht="87" customHeight="1">
      <c r="A1793" s="2">
        <f>HYPERLINK("https://edmondsonsupply.com/collections/hvac/products/malco-tools-avm7-ev-mini-offset-aviation-snip-right-cutting", "https://edmondsonsupply.com/collections/hvac/products/malco-tools-avm7-ev-mini-offset-aviation-snip-right-cutting")</f>
        <v/>
      </c>
      <c r="B1793" s="2">
        <f>HYPERLINK("https://edmondsonsupply.com/products/malco-tools-avm7-ev-mini-offset-aviation-snip-right-cutting", "https://edmondsonsupply.com/products/malco-tools-avm7-ev-mini-offset-aviation-snip-right-cutting")</f>
        <v/>
      </c>
      <c r="C1793" t="inlineStr">
        <is>
          <t>Malco Tools AVM7 EV Mini Offset Aviation Snip, Right Cutting</t>
        </is>
      </c>
      <c r="D1793" t="inlineStr">
        <is>
          <t>Malco AVM7 Mini Offset Aviation Snip, Right Cutting</t>
        </is>
      </c>
      <c r="E1793" s="2">
        <f>HYPERLINK("https://www.amazon.com/Malco-AVM7-Offset-Aviation-Cutting/dp/B00QV2NOS6/ref=sr_1_1?keywords=Malco+Tools+AVM7+EV+Mini+Offset+Aviation+Snip%2C+Right+Cutting&amp;qid=1694734769&amp;sr=8-1", "https://www.amazon.com/Malco-AVM7-Offset-Aviation-Cutting/dp/B00QV2NOS6/ref=sr_1_1?keywords=Malco+Tools+AVM7+EV+Mini+Offset+Aviation+Snip%2C+Right+Cutting&amp;qid=1694734769&amp;sr=8-1")</f>
        <v/>
      </c>
      <c r="F1793" t="inlineStr">
        <is>
          <t>B00QV2NOS6</t>
        </is>
      </c>
      <c r="G1793">
        <f>_xlfn.IMAGE("https://edmondsonsupply.com/cdn/shop/products/avm7_catalog-big.jpg?v=1650070180")</f>
        <v/>
      </c>
      <c r="H1793">
        <f>_xlfn.IMAGE("https://m.media-amazon.com/images/I/51PQxD-X5RL._AC_UL320_.jpg")</f>
        <v/>
      </c>
      <c r="K1793" t="inlineStr">
        <is>
          <t>15.89</t>
        </is>
      </c>
      <c r="L1793" t="n">
        <v>24.09</v>
      </c>
      <c r="M1793" s="1" t="inlineStr">
        <is>
          <t>51.60%</t>
        </is>
      </c>
      <c r="N1793" s="7" t="n">
        <v>0</v>
      </c>
      <c r="O1793" t="n">
        <v>4.5</v>
      </c>
      <c r="P1793" t="n">
        <v>145</v>
      </c>
      <c r="R1793" t="inlineStr">
        <is>
          <t>InStock</t>
        </is>
      </c>
      <c r="S1793" t="inlineStr">
        <is>
          <t>17.2</t>
        </is>
      </c>
      <c r="T1793" t="inlineStr">
        <is>
          <t>7664941760728</t>
        </is>
      </c>
    </row>
    <row r="1794" ht="87" customHeight="1">
      <c r="A1794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794" s="2">
        <f>HYPERLINK("https://edmondsonsupply.com/products/klein-tools-11046-wire-stripper-cutter-16-26-awg-stranded", "https://edmondsonsupply.com/products/klein-tools-11046-wire-stripper-cutter-16-26-awg-stranded")</f>
        <v/>
      </c>
      <c r="C1794" t="inlineStr">
        <is>
          <t>Klein Tools 11046 Wire Stripper/Cutter 16-26 AWG Stranded</t>
        </is>
      </c>
      <c r="D1794" t="inlineStr">
        <is>
          <t>Klein Tools 11046 Wire Stripper/Cutter 16-26 AWG Stranded &amp; Hakko-CHP-170 Micro Cutter - Red</t>
        </is>
      </c>
      <c r="E1794" s="2">
        <f>HYPERLINK("https://www.amazon.com/Klein-Tools-Stripper-Stranded-Hakko-CHP-170/dp/B0BSKRVY7T/ref=sr_1_3?keywords=Klein+Tools+11046+Wire+Stripper%2FCutter+16-26+AWG+Stranded&amp;qid=1694734810&amp;sr=8-3", "https://www.amazon.com/Klein-Tools-Stripper-Stranded-Hakko-CHP-170/dp/B0BSKRVY7T/ref=sr_1_3?keywords=Klein+Tools+11046+Wire+Stripper%2FCutter+16-26+AWG+Stranded&amp;qid=1694734810&amp;sr=8-3")</f>
        <v/>
      </c>
      <c r="F1794" t="inlineStr">
        <is>
          <t>B0BSKRVY7T</t>
        </is>
      </c>
      <c r="G1794">
        <f>_xlfn.IMAGE("https://edmondsonsupply.com/cdn/shop/products/11046.jpg?v=1587147965")</f>
        <v/>
      </c>
      <c r="H1794">
        <f>_xlfn.IMAGE("https://m.media-amazon.com/images/I/41c3ukqCE4L._AC_UL320_.jpg")</f>
        <v/>
      </c>
      <c r="K1794" t="inlineStr">
        <is>
          <t>15.97</t>
        </is>
      </c>
      <c r="L1794" t="n">
        <v>24.21</v>
      </c>
      <c r="M1794" s="1" t="inlineStr">
        <is>
          <t>51.60%</t>
        </is>
      </c>
      <c r="N1794" s="7" t="n">
        <v>0</v>
      </c>
      <c r="O1794" t="n">
        <v>5</v>
      </c>
      <c r="P1794" t="n">
        <v>1</v>
      </c>
      <c r="R1794" t="inlineStr">
        <is>
          <t>InStock</t>
        </is>
      </c>
      <c r="S1794" t="inlineStr">
        <is>
          <t>23.56</t>
        </is>
      </c>
      <c r="T1794" t="inlineStr">
        <is>
          <t>3688603910244</t>
        </is>
      </c>
    </row>
    <row r="1795" ht="87" customHeight="1">
      <c r="A1795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795" s="2">
        <f>HYPERLINK("https://edmondsonsupply.com/products/klein-tools-et120-combustible-gas-leak-detector", "https://edmondsonsupply.com/products/klein-tools-et120-combustible-gas-leak-detector")</f>
        <v/>
      </c>
      <c r="C1795" t="inlineStr">
        <is>
          <t>Klein Tools ET120 Combustible Gas Leak Detector</t>
        </is>
      </c>
      <c r="D1795" t="inlineStr">
        <is>
          <t>Klein Tools ET120 Gas Leak Detector, Combustible Gas Leak Tester &amp; IR5 Dual Laser 12:1 Infrared Thermometer</t>
        </is>
      </c>
      <c r="E1795" s="2">
        <f>HYPERLINK("https://www.amazon.com/Klein-Tools-Detector-Combustible-Tester/dp/B09Q651S9V/ref=sr_1_3?keywords=Klein+Tools+ET120+Combustible+Gas+Leak+Detector&amp;qid=1694734816&amp;sr=8-3", "https://www.amazon.com/Klein-Tools-Detector-Combustible-Tester/dp/B09Q651S9V/ref=sr_1_3?keywords=Klein+Tools+ET120+Combustible+Gas+Leak+Detector&amp;qid=1694734816&amp;sr=8-3")</f>
        <v/>
      </c>
      <c r="F1795" t="inlineStr">
        <is>
          <t>B09Q651S9V</t>
        </is>
      </c>
      <c r="G1795">
        <f>_xlfn.IMAGE("https://edmondsonsupply.com/cdn/shop/products/et120.jpg?v=1587149243")</f>
        <v/>
      </c>
      <c r="H1795">
        <f>_xlfn.IMAGE("https://m.media-amazon.com/images/I/41OSqGUxNxL._AC_UL320_.jpg")</f>
        <v/>
      </c>
      <c r="K1795" t="inlineStr">
        <is>
          <t>119.99</t>
        </is>
      </c>
      <c r="L1795" t="n">
        <v>181.82</v>
      </c>
      <c r="M1795" s="1" t="inlineStr">
        <is>
          <t>51.53%</t>
        </is>
      </c>
      <c r="N1795" s="7" t="n">
        <v>0</v>
      </c>
      <c r="O1795" t="n">
        <v>5</v>
      </c>
      <c r="P1795" t="n">
        <v>3</v>
      </c>
      <c r="R1795" t="inlineStr">
        <is>
          <t>InStock</t>
        </is>
      </c>
      <c r="S1795" t="inlineStr">
        <is>
          <t>179.32</t>
        </is>
      </c>
      <c r="T1795" t="inlineStr">
        <is>
          <t>1828453187684</t>
        </is>
      </c>
    </row>
    <row r="1796" ht="87" customHeight="1">
      <c r="A1796" s="2">
        <f>HYPERLINK("https://edmondsonsupply.com/collections/hvac/products/klein-tools-55580-tradesman-tumbler", "https://edmondsonsupply.com/collections/hvac/products/klein-tools-55580-tradesman-tumbler")</f>
        <v/>
      </c>
      <c r="B1796" s="2">
        <f>HYPERLINK("https://edmondsonsupply.com/products/klein-tools-55580-tradesman-tumbler", "https://edmondsonsupply.com/products/klein-tools-55580-tradesman-tumbler")</f>
        <v/>
      </c>
      <c r="C1796" t="inlineStr">
        <is>
          <t>Klein Tools 55580 Tradesman Tumbler</t>
        </is>
      </c>
      <c r="D1796" t="inlineStr">
        <is>
          <t>Klein Tools 55580 Stainless Steel Tumbler &amp; Klein Tools 44228 Electrician's Pocket Knife with Stainless Steel Blade, Perfect for Splitting Cable, Stripping Wire and Everyday Tasks</t>
        </is>
      </c>
      <c r="E1796" s="2">
        <f>HYPERLINK("https://www.amazon.com/Klein-Tools-Stainless-Electricians-Splitting/dp/B0BNL9BF2K/ref=sr_1_5?keywords=Klein+Tools+55580+Tradesman+Tumbler&amp;qid=1694734719&amp;sr=8-5", "https://www.amazon.com/Klein-Tools-Stainless-Electricians-Splitting/dp/B0BNL9BF2K/ref=sr_1_5?keywords=Klein+Tools+55580+Tradesman+Tumbler&amp;qid=1694734719&amp;sr=8-5")</f>
        <v/>
      </c>
      <c r="F1796" t="inlineStr">
        <is>
          <t>B0BNL9BF2K</t>
        </is>
      </c>
      <c r="G1796">
        <f>_xlfn.IMAGE("https://edmondsonsupply.com/cdn/shop/products/55580.jpg?v=1633030612")</f>
        <v/>
      </c>
      <c r="H1796">
        <f>_xlfn.IMAGE("https://m.media-amazon.com/images/I/41iUFla+16L._AC_UL320_.jpg")</f>
        <v/>
      </c>
      <c r="K1796" t="inlineStr">
        <is>
          <t>29.97</t>
        </is>
      </c>
      <c r="L1796" t="n">
        <v>45.3</v>
      </c>
      <c r="M1796" s="1" t="inlineStr">
        <is>
          <t>51.15%</t>
        </is>
      </c>
      <c r="N1796" s="7" t="n">
        <v>0</v>
      </c>
      <c r="O1796" t="n">
        <v>5</v>
      </c>
      <c r="P1796" t="n">
        <v>1</v>
      </c>
      <c r="R1796" t="inlineStr">
        <is>
          <t>InStock</t>
        </is>
      </c>
      <c r="S1796" t="inlineStr">
        <is>
          <t>41.98</t>
        </is>
      </c>
      <c r="T1796" t="inlineStr">
        <is>
          <t>5647227846824</t>
        </is>
      </c>
    </row>
    <row r="1797" hidden="1" ht="15.75" customHeight="1">
      <c r="A1797" s="2">
        <f>HYPERLINK("https://edmondsonsupply.com/collections/hvac/products/packard-ptmj270a-motor-start-capacitor-220-250-volt-270-324-mfd", "https://edmondsonsupply.com/collections/hvac/products/packard-ptmj270a-motor-start-capacitor-220-250-volt-270-324-mfd")</f>
        <v/>
      </c>
      <c r="B1797" s="2">
        <f>HYPERLINK("https://edmondsonsupply.com/products/packard-ptmj270a-motor-start-capacitor-220-250-volt-270-324-mfd", "https://edmondsonsupply.com/products/packard-ptmj270a-motor-start-capacitor-220-250-volt-270-324-mfd")</f>
        <v/>
      </c>
      <c r="C1797" t="inlineStr">
        <is>
          <t>Packard PTMJ270A Motor Start Capacitor 220-250 Volt 270-324 MFD</t>
        </is>
      </c>
      <c r="D1797" t="inlineStr">
        <is>
          <t>Motor Start Capacitor 270-324 MFD 220-250VAC</t>
        </is>
      </c>
      <c r="E1797" s="2">
        <f>HYPERLINK("https://www.amazon.com/Motor-Start-Capacitor-270-324-220-250VAC/dp/B00CLJFZN0/ref=sr_1_9?keywords=Packard+PTMJ270A+Motor+Start+Capacitor+220-250+Volt+270-324+MFD&amp;qid=1694734791&amp;sr=8-9", "https://www.amazon.com/Motor-Start-Capacitor-270-324-220-250VAC/dp/B00CLJFZN0/ref=sr_1_9?keywords=Packard+PTMJ270A+Motor+Start+Capacitor+220-250+Volt+270-324+MFD&amp;qid=1694734791&amp;sr=8-9")</f>
        <v/>
      </c>
      <c r="F1797" t="inlineStr">
        <is>
          <t>B00CLJFZN0</t>
        </is>
      </c>
      <c r="G1797">
        <f>_xludf.IMAGE("https://edmondsonsupply.com/cdn/shop/products/PTMJ270A-2.jpg?v=1633030308")</f>
        <v/>
      </c>
      <c r="H1797">
        <f>_xludf.IMAGE("https://m.media-amazon.com/images/I/41VfB8p68ML._AC_UY218_.jpg")</f>
        <v/>
      </c>
      <c r="K1797" t="inlineStr">
        <is>
          <t>9.92</t>
        </is>
      </c>
      <c r="L1797" t="n">
        <v>14.99</v>
      </c>
      <c r="M1797" s="1" t="inlineStr">
        <is>
          <t>51.11%</t>
        </is>
      </c>
      <c r="N1797" s="1" t="n">
        <v>0</v>
      </c>
      <c r="O1797" t="n">
        <v>4.5</v>
      </c>
      <c r="P1797" t="n">
        <v>60</v>
      </c>
      <c r="R1797" t="inlineStr">
        <is>
          <t>InStock</t>
        </is>
      </c>
      <c r="S1797" t="inlineStr">
        <is>
          <t>undefined</t>
        </is>
      </c>
      <c r="T1797" t="inlineStr">
        <is>
          <t>5241741181096</t>
        </is>
      </c>
    </row>
    <row r="1798" ht="87" customHeight="1">
      <c r="A1798" s="2">
        <f>HYPERLINK("https://edmondsonsupply.com/collections/hvac/products/packard-c230a-contactor-2-pole-30-amps-24-coil-voltage", "https://edmondsonsupply.com/collections/hvac/products/packard-c230a-contactor-2-pole-30-amps-24-coil-voltage")</f>
        <v/>
      </c>
      <c r="B1798" s="2">
        <f>HYPERLINK("https://edmondsonsupply.com/products/packard-c230a-contactor-2-pole-30-amps-24-coil-voltage", "https://edmondsonsupply.com/products/packard-c230a-contactor-2-pole-30-amps-24-coil-voltage")</f>
        <v/>
      </c>
      <c r="C1798" t="inlineStr">
        <is>
          <t>Packard C230A Contactor 2 Pole 30 Amps 24 Coil Voltage</t>
        </is>
      </c>
      <c r="D1798" t="inlineStr">
        <is>
          <t>Rheem • 30 Amp 2 Pole 24v Coil Packard Replacement Contactor C230A</t>
        </is>
      </c>
      <c r="E1798" s="2">
        <f>HYPERLINK("https://www.amazon.com/Rheem-Packard-Replacement-Contactor-C230A/dp/B00S8JNZIO/ref=sr_1_2?keywords=Packard+C230A+Contactor+2+Pole+30+Amps+24+Coil+Voltage&amp;qid=1694734623&amp;sr=8-2", "https://www.amazon.com/Rheem-Packard-Replacement-Contactor-C230A/dp/B00S8JNZIO/ref=sr_1_2?keywords=Packard+C230A+Contactor+2+Pole+30+Amps+24+Coil+Voltage&amp;qid=1694734623&amp;sr=8-2")</f>
        <v/>
      </c>
      <c r="F1798" t="inlineStr">
        <is>
          <t>B00S8JNZIO</t>
        </is>
      </c>
      <c r="G1798">
        <f>_xlfn.IMAGE("https://edmondsonsupply.com/cdn/shop/products/C230A-1.jpg?v=1633030392")</f>
        <v/>
      </c>
      <c r="H1798">
        <f>_xlfn.IMAGE("https://m.media-amazon.com/images/I/417Agyl02+L._AC_UY218_.jpg")</f>
        <v/>
      </c>
      <c r="K1798" t="inlineStr">
        <is>
          <t>10.82</t>
        </is>
      </c>
      <c r="L1798" t="n">
        <v>16.34</v>
      </c>
      <c r="M1798" s="1" t="inlineStr">
        <is>
          <t>51.02%</t>
        </is>
      </c>
      <c r="N1798" s="7" t="n">
        <v>0</v>
      </c>
      <c r="O1798" t="n">
        <v>4.8</v>
      </c>
      <c r="P1798" t="n">
        <v>18</v>
      </c>
      <c r="R1798" t="inlineStr">
        <is>
          <t>InStock</t>
        </is>
      </c>
      <c r="S1798" t="inlineStr">
        <is>
          <t>undefined</t>
        </is>
      </c>
      <c r="T1798" t="inlineStr">
        <is>
          <t>5301685092520</t>
        </is>
      </c>
    </row>
    <row r="1799" ht="87" customHeight="1">
      <c r="A1799" s="2">
        <f>HYPERLINK("https://edmondsonsupply.com/collections/hvac/products/packard-c230a-contactor-2-pole-30-amps-24-coil-voltage", "https://edmondsonsupply.com/collections/hvac/products/packard-c230a-contactor-2-pole-30-amps-24-coil-voltage")</f>
        <v/>
      </c>
      <c r="B1799" s="2">
        <f>HYPERLINK("https://edmondsonsupply.com/products/packard-c230a-contactor-2-pole-30-amps-24-coil-voltage", "https://edmondsonsupply.com/products/packard-c230a-contactor-2-pole-30-amps-24-coil-voltage")</f>
        <v/>
      </c>
      <c r="C1799" t="inlineStr">
        <is>
          <t>Packard C230A Contactor 2 Pole 30 Amps 24 Coil Voltage</t>
        </is>
      </c>
      <c r="D1799" t="inlineStr">
        <is>
          <t>Ducane • 30 Amp 2 Pole 24v Coil Packard Replacement Contactor C230A</t>
        </is>
      </c>
      <c r="E1799" s="2">
        <f>HYPERLINK("https://www.amazon.com/Ducane-Packard-Replacement-Contactor-C230A/dp/B00S8JNZKM/ref=sr_1_3?keywords=Packard+C230A+Contactor+2+Pole+30+Amps+24+Coil+Voltage&amp;qid=1694734623&amp;sr=8-3", "https://www.amazon.com/Ducane-Packard-Replacement-Contactor-C230A/dp/B00S8JNZKM/ref=sr_1_3?keywords=Packard+C230A+Contactor+2+Pole+30+Amps+24+Coil+Voltage&amp;qid=1694734623&amp;sr=8-3")</f>
        <v/>
      </c>
      <c r="F1799" t="inlineStr">
        <is>
          <t>B00S8JNZKM</t>
        </is>
      </c>
      <c r="G1799">
        <f>_xlfn.IMAGE("https://edmondsonsupply.com/cdn/shop/products/C230A-1.jpg?v=1633030392")</f>
        <v/>
      </c>
      <c r="H1799">
        <f>_xlfn.IMAGE("https://m.media-amazon.com/images/I/410eo0gTxnL._AC_UY218_.jpg")</f>
        <v/>
      </c>
      <c r="K1799" t="inlineStr">
        <is>
          <t>10.82</t>
        </is>
      </c>
      <c r="L1799" t="n">
        <v>16.34</v>
      </c>
      <c r="M1799" s="1" t="inlineStr">
        <is>
          <t>51.02%</t>
        </is>
      </c>
      <c r="N1799" s="7" t="n">
        <v>0</v>
      </c>
      <c r="O1799" t="n">
        <v>4.6</v>
      </c>
      <c r="P1799" t="n">
        <v>10</v>
      </c>
      <c r="R1799" t="inlineStr">
        <is>
          <t>InStock</t>
        </is>
      </c>
      <c r="S1799" t="inlineStr">
        <is>
          <t>undefined</t>
        </is>
      </c>
      <c r="T1799" t="inlineStr">
        <is>
          <t>5301685092520</t>
        </is>
      </c>
    </row>
    <row r="1800" hidden="1" ht="15.75" customHeight="1">
      <c r="A1800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800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800" t="inlineStr">
        <is>
          <t>Klein Tools JTH6E14 5/16-Inch Hex Key with Journeyman T-Handle, 6-Inch</t>
        </is>
      </c>
      <c r="D1800" t="inlineStr">
        <is>
          <t>Klein Tools JTH6E13BE 1/4-Inch Ball End Hex Key with Journeyman T-Handle, 6-Inch</t>
        </is>
      </c>
      <c r="E1800" s="2">
        <f>HYPERLINK("https://www.amazon.com/Journeyman-T-Handle-Klein-Tools-JTH6E13BE/dp/B004QW52YW/ref=sr_1_7?keywords=Klein+Tools+JTH6E14+5%2F16-Inch+Hex+Key+with+Journeyman+T-Handle%2C+6-Inch&amp;qid=1694734648&amp;sr=8-7", "https://www.amazon.com/Journeyman-T-Handle-Klein-Tools-JTH6E13BE/dp/B004QW52YW/ref=sr_1_7?keywords=Klein+Tools+JTH6E14+5%2F16-Inch+Hex+Key+with+Journeyman+T-Handle%2C+6-Inch&amp;qid=1694734648&amp;sr=8-7")</f>
        <v/>
      </c>
      <c r="F1800" t="inlineStr">
        <is>
          <t>B004QW52YW</t>
        </is>
      </c>
      <c r="G1800">
        <f>_xludf.IMAGE("https://edmondsonsupply.com/cdn/shop/products/jth6e15.jpg?v=1587148489")</f>
        <v/>
      </c>
      <c r="H1800">
        <f>_xludf.IMAGE("https://m.media-amazon.com/images/I/51f9vBFVXgL._AC_UL320_.jpg")</f>
        <v/>
      </c>
      <c r="K1800" t="inlineStr">
        <is>
          <t>6.99</t>
        </is>
      </c>
      <c r="L1800" t="n">
        <v>10.55</v>
      </c>
      <c r="M1800" s="1" t="inlineStr">
        <is>
          <t>50.93%</t>
        </is>
      </c>
      <c r="N1800" s="1" t="n">
        <v>0</v>
      </c>
      <c r="O1800" t="n">
        <v>4.7</v>
      </c>
      <c r="P1800" t="n">
        <v>32</v>
      </c>
      <c r="R1800" t="inlineStr">
        <is>
          <t>InStock</t>
        </is>
      </c>
      <c r="S1800" t="inlineStr">
        <is>
          <t>10.5</t>
        </is>
      </c>
      <c r="T1800" t="inlineStr">
        <is>
          <t>3694843822180</t>
        </is>
      </c>
    </row>
    <row r="1801" hidden="1" ht="15.75" customHeight="1">
      <c r="A1801" s="2">
        <f>HYPERLINK("https://edmondsonsupply.com/collections/hvac/products/klein-tools-32752-double-sided-combo-replacement-bit-2-pack", "https://edmondsonsupply.com/collections/hvac/products/klein-tools-32752-double-sided-combo-replacement-bit-2-pack")</f>
        <v/>
      </c>
      <c r="B1801" s="2">
        <f>HYPERLINK("https://edmondsonsupply.com/products/klein-tools-32752-double-sided-combo-replacement-bit-2-pack", "https://edmondsonsupply.com/products/klein-tools-32752-double-sided-combo-replacement-bit-2-pack")</f>
        <v/>
      </c>
      <c r="C1801" t="inlineStr">
        <is>
          <t>Klein Tools 32752 Double Sided Combo Replacement Bit, 2-Pack</t>
        </is>
      </c>
      <c r="D1801" t="inlineStr">
        <is>
          <t>Klein Tools 32752 Double Sided Combo Replacement Bit, 2-Pack</t>
        </is>
      </c>
      <c r="E1801" s="2">
        <f>HYPERLINK("https://www.amazon.com/Double-Replacement-2-Pack-Klein-Tools/dp/B00YJK0P5C/ref=sr_1_1?keywords=Klein+Tools+32752+Double+Sided+Combo+Replacement+Bit%2C+2-Pack&amp;qid=1694734728&amp;sr=8-1", "https://www.amazon.com/Double-Replacement-2-Pack-Klein-Tools/dp/B00YJK0P5C/ref=sr_1_1?keywords=Klein+Tools+32752+Double+Sided+Combo+Replacement+Bit%2C+2-Pack&amp;qid=1694734728&amp;sr=8-1")</f>
        <v/>
      </c>
      <c r="F1801" t="inlineStr">
        <is>
          <t>B00YJK0P5C</t>
        </is>
      </c>
      <c r="G1801">
        <f>_xludf.IMAGE("https://edmondsonsupply.com/cdn/shop/products/32752.jpg?v=1587145617")</f>
        <v/>
      </c>
      <c r="H1801">
        <f>_xludf.IMAGE("https://m.media-amazon.com/images/I/41uttNmIAXL._AC_UL320_.jpg")</f>
        <v/>
      </c>
      <c r="K1801" t="inlineStr">
        <is>
          <t>5.99</t>
        </is>
      </c>
      <c r="L1801" t="n">
        <v>9.039999999999999</v>
      </c>
      <c r="M1801" s="1" t="inlineStr">
        <is>
          <t>50.92%</t>
        </is>
      </c>
      <c r="N1801" s="1" t="n">
        <v>0</v>
      </c>
      <c r="O1801" t="n">
        <v>4.6</v>
      </c>
      <c r="P1801" t="n">
        <v>1114</v>
      </c>
      <c r="R1801" t="inlineStr">
        <is>
          <t>InStock</t>
        </is>
      </c>
      <c r="S1801" t="inlineStr">
        <is>
          <t>9.04</t>
        </is>
      </c>
      <c r="T1801" t="inlineStr">
        <is>
          <t>4432284188772</t>
        </is>
      </c>
    </row>
    <row r="1802" hidden="1" ht="15.75" customHeight="1">
      <c r="A1802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1802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1802" t="inlineStr">
        <is>
          <t>Klein Tools 605-6 1/4-Inch Cabinet Tip Screwdriver, Heavy Duty, 6-Inch</t>
        </is>
      </c>
      <c r="D1802" t="inlineStr">
        <is>
          <t>Klein Tools 614-4 Flat Screwdriver, Precision Electronics Screwdriver, 1/8-Inch Cabinet Tip, 4-Inch Shank</t>
        </is>
      </c>
      <c r="E1802" s="2">
        <f>HYPERLINK("https://www.amazon.com/Klein-Tools-614-4-Screwdriver-Electronics/dp/B00B9HICKS/ref=sr_1_19?keywords=Klein+Tools+605-6+1%2F4-Inch+Cabinet+Tip+Screwdriver%2C+Heavy+Duty%2C+6-Inch&amp;qid=1694734725&amp;sr=8-19", "https://www.amazon.com/Klein-Tools-614-4-Screwdriver-Electronics/dp/B00B9HICKS/ref=sr_1_19?keywords=Klein+Tools+605-6+1%2F4-Inch+Cabinet+Tip+Screwdriver%2C+Heavy+Duty%2C+6-Inch&amp;qid=1694734725&amp;sr=8-19")</f>
        <v/>
      </c>
      <c r="F1802" t="inlineStr">
        <is>
          <t>B00B9HICKS</t>
        </is>
      </c>
      <c r="G1802">
        <f>_xludf.IMAGE("https://edmondsonsupply.com/cdn/shop/products/605-6.jpg?v=1587149759")</f>
        <v/>
      </c>
      <c r="H1802">
        <f>_xludf.IMAGE("https://m.media-amazon.com/images/I/41hS1hfEVDS._AC_UL320_.jpg")</f>
        <v/>
      </c>
      <c r="K1802" t="inlineStr">
        <is>
          <t>9.49</t>
        </is>
      </c>
      <c r="L1802" t="n">
        <v>14.32</v>
      </c>
      <c r="M1802" s="1" t="inlineStr">
        <is>
          <t>50.90%</t>
        </is>
      </c>
      <c r="N1802" s="1" t="n">
        <v>0</v>
      </c>
      <c r="O1802" t="n">
        <v>4.8</v>
      </c>
      <c r="P1802" t="n">
        <v>999</v>
      </c>
      <c r="R1802" t="inlineStr">
        <is>
          <t>InStock</t>
        </is>
      </c>
      <c r="S1802" t="inlineStr">
        <is>
          <t>14.38</t>
        </is>
      </c>
      <c r="T1802" t="inlineStr">
        <is>
          <t>4512371310692</t>
        </is>
      </c>
    </row>
    <row r="1803" ht="87" customHeight="1">
      <c r="A1803" s="2">
        <f>HYPERLINK("https://edmondsonsupply.com/collections/hvac/products/appion-mh380004aay-megaflow-3-8in-hose-4-ft-1-4fl-to-1-4fl-yellow", "https://edmondsonsupply.com/collections/hvac/products/appion-mh380004aay-megaflow-3-8in-hose-4-ft-1-4fl-to-1-4fl-yellow")</f>
        <v/>
      </c>
      <c r="B1803" s="2">
        <f>HYPERLINK("https://edmondsonsupply.com/products/appion-mh380004aay-megaflow-3-8in-hose-4-ft-1-4fl-to-1-4fl-yellow", "https://edmondsonsupply.com/products/appion-mh380004aay-megaflow-3-8in-hose-4-ft-1-4fl-to-1-4fl-yellow")</f>
        <v/>
      </c>
      <c r="C1803" t="inlineStr">
        <is>
          <t>Appion MH380004AAY MegaFlow 3/8in Hose - 4 ft (1/4FL to 1/4FL) Yellow</t>
        </is>
      </c>
      <c r="D1803" t="inlineStr">
        <is>
          <t>Appion MH380006AAY - MegaFlow 3/8in Hose - 6 ft (1/4FL to 1/4FL) Yellow</t>
        </is>
      </c>
      <c r="E1803" s="2">
        <f>HYPERLINK("https://www.amazon.com/Appion-MH380006AAY-Dia-6-foot-Yellow/dp/B072JBR98L/ref=sr_1_2?keywords=Appion+MH380004AAY+MegaFlow+3%2F8in+Hose+-+4+ft+%281%2F4FL+to+1%2F4FL%29+Yellow&amp;qid=1694734685&amp;sr=8-2", "https://www.amazon.com/Appion-MH380006AAY-Dia-6-foot-Yellow/dp/B072JBR98L/ref=sr_1_2?keywords=Appion+MH380004AAY+MegaFlow+3%2F8in+Hose+-+4+ft+%281%2F4FL+to+1%2F4FL%29+Yellow&amp;qid=1694734685&amp;sr=8-2")</f>
        <v/>
      </c>
      <c r="F1803" t="inlineStr">
        <is>
          <t>B072JBR98L</t>
        </is>
      </c>
      <c r="G1803">
        <f>_xlfn.IMAGE("https://edmondsonsupply.com/cdn/shop/products/MH380004AAY_MHH_1080.png?v=1678407092")</f>
        <v/>
      </c>
      <c r="H1803">
        <f>_xlfn.IMAGE("https://m.media-amazon.com/images/I/51N9D8MncgL._AC_UL320_.jpg")</f>
        <v/>
      </c>
      <c r="K1803" t="inlineStr">
        <is>
          <t>47.99</t>
        </is>
      </c>
      <c r="L1803" t="n">
        <v>72.40000000000001</v>
      </c>
      <c r="M1803" s="1" t="inlineStr">
        <is>
          <t>50.86%</t>
        </is>
      </c>
      <c r="N1803" s="7" t="n">
        <v>0</v>
      </c>
      <c r="O1803" t="n">
        <v>4.4</v>
      </c>
      <c r="P1803" t="n">
        <v>33</v>
      </c>
      <c r="R1803" t="inlineStr">
        <is>
          <t>InStock</t>
        </is>
      </c>
      <c r="S1803" t="inlineStr">
        <is>
          <t>59.99</t>
        </is>
      </c>
      <c r="T1803" t="inlineStr">
        <is>
          <t>7959185260760</t>
        </is>
      </c>
    </row>
    <row r="1804" ht="87" customHeight="1">
      <c r="A1804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1804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1804" t="inlineStr">
        <is>
          <t>Yellow Jacket 25002 9" FLEXFLOW™ 1/4" Adaper Hose with Ball Valve - Yellow</t>
        </is>
      </c>
      <c r="D1804" t="inlineStr">
        <is>
          <t>Yellow Jacket 29672 Plus II 1/4" Hose with Compact Ball Valve, 72", Red</t>
        </is>
      </c>
      <c r="E1804" s="2">
        <f>HYPERLINK("https://www.amazon.com/Yellow-Jacket-29672-Compact-Valve/dp/B009AXCKWO/ref=sr_1_8?keywords=Yellow+Jacket+25002+9%22+FLEXFLOW%E2%84%A2+1%2F4%22+Adaper+Hose+with+Ball+Valve+-+Yellow&amp;qid=1694734728&amp;sr=8-8", "https://www.amazon.com/Yellow-Jacket-29672-Compact-Valve/dp/B009AXCKWO/ref=sr_1_8?keywords=Yellow+Jacket+25002+9%22+FLEXFLOW%E2%84%A2+1%2F4%22+Adaper+Hose+with+Ball+Valve+-+Yellow&amp;qid=1694734728&amp;sr=8-8")</f>
        <v/>
      </c>
      <c r="F1804" t="inlineStr">
        <is>
          <t>B009AXCKWO</t>
        </is>
      </c>
      <c r="G1804">
        <f>_xlfn.IMAGE("https://edmondsonsupply.com/cdn/shop/products/Yellow_Jacket_25002.jpg?v=1587150917")</f>
        <v/>
      </c>
      <c r="H1804">
        <f>_xlfn.IMAGE("https://m.media-amazon.com/images/I/81y7KO7l9ML._AC_UL320_.jpg")</f>
        <v/>
      </c>
      <c r="K1804" t="inlineStr">
        <is>
          <t>35.54</t>
        </is>
      </c>
      <c r="L1804" t="n">
        <v>53.55</v>
      </c>
      <c r="M1804" s="1" t="inlineStr">
        <is>
          <t>50.68%</t>
        </is>
      </c>
      <c r="N1804" s="7" t="n">
        <v>0</v>
      </c>
      <c r="O1804" t="n">
        <v>5</v>
      </c>
      <c r="P1804" t="n">
        <v>2</v>
      </c>
      <c r="R1804" t="inlineStr">
        <is>
          <t>InStock</t>
        </is>
      </c>
      <c r="S1804" t="inlineStr">
        <is>
          <t>undefined</t>
        </is>
      </c>
      <c r="T1804" t="inlineStr">
        <is>
          <t>2633213739108</t>
        </is>
      </c>
    </row>
    <row r="1805" ht="87" customHeight="1">
      <c r="A1805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1805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1805" t="inlineStr">
        <is>
          <t>Diablo Tools DMAMX1300 1-1/4 in. x 16 in. x 21 in. Rebar Demon™ SDS-Max 4-Cutter Full Carbide Head Hammer Drill Bit</t>
        </is>
      </c>
      <c r="D1805" t="inlineStr">
        <is>
          <t>Diablo by Freud DMAMX1240 1 in. x 31 in. x 36 in. Rebar Demon SDS-Max 4-Cutter Full Carbide Head Hammer Bit</t>
        </is>
      </c>
      <c r="E1805" s="2">
        <f>HYPERLINK("https://www.amazon.com/Diablo-SDS-Max-4-Cutter-Carbide-Hammer/dp/B089KWF9R4/ref=sr_1_27?keywords=Diablo+Tools+DMAMX1300+1-1%2F4+in.+x+16+in.+x+21+in.+Rebar+Demon%E2%84%A2+SDS-Max+4-Cutter+Full+Carbide+Head+Hammer+Drill+Bit&amp;qid=1694734676&amp;sr=8-27", "https://www.amazon.com/Diablo-SDS-Max-4-Cutter-Carbide-Hammer/dp/B089KWF9R4/ref=sr_1_27?keywords=Diablo+Tools+DMAMX1300+1-1%2F4+in.+x+16+in.+x+21+in.+Rebar+Demon%E2%84%A2+SDS-Max+4-Cutter+Full+Carbide+Head+Hammer+Drill+Bit&amp;qid=1694734676&amp;sr=8-27")</f>
        <v/>
      </c>
      <c r="F1805" t="inlineStr">
        <is>
          <t>B089KWF9R4</t>
        </is>
      </c>
      <c r="G1805">
        <f>_xlfn.IMAGE("https://edmondsonsupply.com/cdn/shop/files/immoyh7jjmbau4fzhuq6_7dd7fd73-2865-4c12-9443-da45b48dbd51.webp?v=1685465465")</f>
        <v/>
      </c>
      <c r="H1805">
        <f>_xlfn.IMAGE("https://m.media-amazon.com/images/I/61UhVlNC+9L._AC_UL320_.jpg")</f>
        <v/>
      </c>
      <c r="K1805" t="inlineStr">
        <is>
          <t>66.4</t>
        </is>
      </c>
      <c r="L1805" t="n">
        <v>100</v>
      </c>
      <c r="M1805" s="1" t="inlineStr">
        <is>
          <t>50.60%</t>
        </is>
      </c>
      <c r="N1805" s="7" t="n">
        <v>0</v>
      </c>
      <c r="O1805" t="n">
        <v>5</v>
      </c>
      <c r="P1805" t="n">
        <v>3</v>
      </c>
      <c r="R1805" t="inlineStr">
        <is>
          <t>OutOfStock</t>
        </is>
      </c>
      <c r="S1805" t="inlineStr">
        <is>
          <t>105.4</t>
        </is>
      </c>
      <c r="T1805" t="inlineStr">
        <is>
          <t>7997856874712</t>
        </is>
      </c>
    </row>
    <row r="1806" ht="87" customHeight="1">
      <c r="A1806" s="2">
        <f>HYPERLINK("https://edmondsonsupply.com/collections/hvac/products/greenlee-gsb01-1-2-step-bit-1", "https://edmondsonsupply.com/collections/hvac/products/greenlee-gsb01-1-2-step-bit-1")</f>
        <v/>
      </c>
      <c r="B1806" s="2">
        <f>HYPERLINK("https://edmondsonsupply.com/products/greenlee-gsb01-1-2-step-bit-1", "https://edmondsonsupply.com/products/greenlee-gsb01-1-2-step-bit-1")</f>
        <v/>
      </c>
      <c r="C1806" t="inlineStr">
        <is>
          <t>Greenlee GSB01 1/2" Step Bit (#1)</t>
        </is>
      </c>
      <c r="D1806" t="inlineStr">
        <is>
          <t>Greenlee GSB12 1-3/8" Step Bit (#12) Metal Cutter with Patented Split-Step Design, 1-3/8" Metal Cutting Tool for 1/2" Drill Chucks</t>
        </is>
      </c>
      <c r="E1806" s="2">
        <f>HYPERLINK("https://www.amazon.com/Greenlee-GSB12-Step-Bit-1-3/dp/B08TVF7KMP/ref=sr_1_2?keywords=Greenlee+GSB01+1%2F2%22+Step+Bit+%28%231%29&amp;qid=1694734894&amp;sr=8-2", "https://www.amazon.com/Greenlee-GSB12-Step-Bit-1-3/dp/B08TVF7KMP/ref=sr_1_2?keywords=Greenlee+GSB01+1%2F2%22+Step+Bit+%28%231%29&amp;qid=1694734894&amp;sr=8-2")</f>
        <v/>
      </c>
      <c r="F1806" t="inlineStr">
        <is>
          <t>B08TVF7KMP</t>
        </is>
      </c>
      <c r="G1806">
        <f>_xlfn.IMAGE("https://edmondsonsupply.com/cdn/shop/files/GSB01_CAT1_72dpi_1.jpg?v=1687790366")</f>
        <v/>
      </c>
      <c r="H1806">
        <f>_xlfn.IMAGE("https://m.media-amazon.com/images/I/41Z8kxeeZfL._AC_UY218_.jpg")</f>
        <v/>
      </c>
      <c r="K1806" t="inlineStr">
        <is>
          <t>31.22</t>
        </is>
      </c>
      <c r="L1806" t="n">
        <v>47</v>
      </c>
      <c r="M1806" s="1" t="inlineStr">
        <is>
          <t>50.54%</t>
        </is>
      </c>
      <c r="N1806" s="7" t="n">
        <v>0</v>
      </c>
      <c r="O1806" t="n">
        <v>4.8</v>
      </c>
      <c r="P1806" t="n">
        <v>27</v>
      </c>
      <c r="R1806" t="inlineStr">
        <is>
          <t>InStock</t>
        </is>
      </c>
      <c r="S1806" t="inlineStr">
        <is>
          <t>undefined</t>
        </is>
      </c>
      <c r="T1806" t="inlineStr">
        <is>
          <t>8009320628440</t>
        </is>
      </c>
    </row>
    <row r="1807" ht="87" customHeight="1">
      <c r="A1807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807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807" t="inlineStr">
        <is>
          <t>ICM Controls ICM2811 Furnace Control Board - Replacement for Goodman</t>
        </is>
      </c>
      <c r="D1807" t="inlineStr">
        <is>
          <t>ICM Controls ICM286 Furnace Control Board Replacement for Goodman PCBBF112S, B1809926S, 0130F00005S Control Boards</t>
        </is>
      </c>
      <c r="E1807" s="2">
        <f>HYPERLINK("https://www.amazon.com/ICM-Controls-ICM286-Replacement-0130F00005S/dp/B00QW2U7KS/ref=sr_1_1?keywords=ICM+Controls+ICM2811+Furnace+Control+Board+-+Replacement+for+Goodman&amp;qid=1694734652&amp;sr=8-1", "https://www.amazon.com/ICM-Controls-ICM286-Replacement-0130F00005S/dp/B00QW2U7KS/ref=sr_1_1?keywords=ICM+Controls+ICM2811+Furnace+Control+Board+-+Replacement+for+Goodman&amp;qid=1694734652&amp;sr=8-1")</f>
        <v/>
      </c>
      <c r="F1807" t="inlineStr">
        <is>
          <t>B00QW2U7KS</t>
        </is>
      </c>
      <c r="G1807">
        <f>_xlfn.IMAGE("https://edmondsonsupply.com/cdn/shop/products/photo_3800_medium_86f45e25-a764-4839-bc84-759a6ce1c7bd.jpg?v=1659910436")</f>
        <v/>
      </c>
      <c r="H1807">
        <f>_xlfn.IMAGE("https://m.media-amazon.com/images/I/71CBn8jMCiL._AC_UL320_.jpg")</f>
        <v/>
      </c>
      <c r="K1807" t="inlineStr">
        <is>
          <t>68.99</t>
        </is>
      </c>
      <c r="L1807" t="n">
        <v>103.85</v>
      </c>
      <c r="M1807" s="1" t="inlineStr">
        <is>
          <t>50.53%</t>
        </is>
      </c>
      <c r="N1807" s="7" t="n">
        <v>0</v>
      </c>
      <c r="O1807" t="n">
        <v>4.3</v>
      </c>
      <c r="P1807" t="n">
        <v>157</v>
      </c>
      <c r="R1807" t="inlineStr">
        <is>
          <t>InStock</t>
        </is>
      </c>
      <c r="S1807" t="inlineStr">
        <is>
          <t>93.62</t>
        </is>
      </c>
      <c r="T1807" t="inlineStr">
        <is>
          <t>4345448202340</t>
        </is>
      </c>
    </row>
    <row r="1808" ht="87" customHeight="1">
      <c r="A1808" s="2">
        <f>HYPERLINK("https://edmondsonsupply.com/collections/hvac/products/tajima-dfc670n-r1-rock-hard-fin%E2%84%A2-utility-knife-auto-lock", "https://edmondsonsupply.com/collections/hvac/products/tajima-dfc670n-r1-rock-hard-fin%E2%84%A2-utility-knife-auto-lock")</f>
        <v/>
      </c>
      <c r="B1808" s="2">
        <f>HYPERLINK("https://edmondsonsupply.com/products/tajima-dfc670n-r1-rock-hard-fin%e2%84%a2-utility-knife-auto-lock", "https://edmondsonsupply.com/products/tajima-dfc670n-r1-rock-hard-fin%e2%84%a2-utility-knife-auto-lock")</f>
        <v/>
      </c>
      <c r="C1808" t="inlineStr">
        <is>
          <t>Tajima DFC670N-R1 Rock Hard FIN™ Utility Knife, Auto Lock</t>
        </is>
      </c>
      <c r="D1808" t="inlineStr">
        <is>
          <t>TAJIMA Utility Knife - 1" 7-Point Rock Hard FIN Snap Blade Box Cutter with Auto Lock &amp; 2 Rock Hard Blades - DFC670N-R1 (Auto-Lock)</t>
        </is>
      </c>
      <c r="E1808" s="2">
        <f>HYPERLINK("https://www.amazon.com/TAJIMA-Utility-Knife-DFC670N-R1-Auto-Lock/dp/B07W8SQ6NW/ref=sr_1_1?keywords=Tajima+DFC670N-R1+Rock+Hard+FIN%E2%84%A2+Utility+Knife%2C+Auto+Lock&amp;qid=1694734835&amp;sr=8-1", "https://www.amazon.com/TAJIMA-Utility-Knife-DFC670N-R1-Auto-Lock/dp/B07W8SQ6NW/ref=sr_1_1?keywords=Tajima+DFC670N-R1+Rock+Hard+FIN%E2%84%A2+Utility+Knife%2C+Auto+Lock&amp;qid=1694734835&amp;sr=8-1")</f>
        <v/>
      </c>
      <c r="F1808" t="inlineStr">
        <is>
          <t>B07W8SQ6NW</t>
        </is>
      </c>
      <c r="G1808">
        <f>_xlfn.IMAGE("https://edmondsonsupply.com/cdn/shop/files/DFC670N-R1-2.jpg?v=1693509419")</f>
        <v/>
      </c>
      <c r="H1808">
        <f>_xlfn.IMAGE("https://m.media-amazon.com/images/I/51udy51xLdL._AC_UL320_.jpg")</f>
        <v/>
      </c>
      <c r="K1808" t="inlineStr">
        <is>
          <t>15.28</t>
        </is>
      </c>
      <c r="L1808" t="n">
        <v>22.99</v>
      </c>
      <c r="M1808" s="1" t="inlineStr">
        <is>
          <t>50.46%</t>
        </is>
      </c>
      <c r="N1808" s="7" t="n">
        <v>0</v>
      </c>
      <c r="O1808" t="n">
        <v>4.6</v>
      </c>
      <c r="P1808" t="n">
        <v>29</v>
      </c>
      <c r="R1808" t="inlineStr">
        <is>
          <t>InStock</t>
        </is>
      </c>
      <c r="S1808" t="inlineStr">
        <is>
          <t>undefined</t>
        </is>
      </c>
      <c r="T1808" t="inlineStr">
        <is>
          <t>8032838484184</t>
        </is>
      </c>
    </row>
    <row r="1809" hidden="1" ht="15.75" customHeight="1">
      <c r="A1809" s="2">
        <f>HYPERLINK("https://edmondsonsupply.com/collections/hvac/products/pro1-iaq-t701i-digital-wifi-programmable-thermostat-heat-1-cool", "https://edmondsonsupply.com/collections/hvac/products/pro1-iaq-t701i-digital-wifi-programmable-thermostat-heat-1-cool")</f>
        <v/>
      </c>
      <c r="B1809" s="2">
        <f>HYPERLINK("https://edmondsonsupply.com/products/pro1-iaq-t701i-digital-wifi-programmable-thermostat-heat-1-cool", "https://edmondsonsupply.com/products/pro1-iaq-t701i-digital-wifi-programmable-thermostat-heat-1-cool")</f>
        <v/>
      </c>
      <c r="C1809" t="inlineStr">
        <is>
          <t>PRO1 IAQ T701i Digital WIFI Programmable Thermostat, Heat - 1 Cool</t>
        </is>
      </c>
      <c r="D1809" t="inlineStr">
        <is>
          <t>Pro1 T855iSH WiFi Thermostat, 7 Day Programmable, Stages 4 Heat/2 Cool</t>
        </is>
      </c>
      <c r="E1809" s="2">
        <f>HYPERLINK("https://www.amazon.com/WiFi-Thermostat-Programmable-Stages-Heat/dp/B01D0BT80I/ref=sr_1_3?keywords=PRO1+IAQ+T701i+Digital+WIFI+Programmable+Thermostat%2C+Heat+-+1+Cool&amp;qid=1694734744&amp;sr=8-3", "https://www.amazon.com/WiFi-Thermostat-Programmable-Stages-Heat/dp/B01D0BT80I/ref=sr_1_3?keywords=PRO1+IAQ+T701i+Digital+WIFI+Programmable+Thermostat%2C+Heat+-+1+Cool&amp;qid=1694734744&amp;sr=8-3")</f>
        <v/>
      </c>
      <c r="F1809" t="inlineStr">
        <is>
          <t>B01D0BT80I</t>
        </is>
      </c>
      <c r="G1809">
        <f>_xludf.IMAGE("https://edmondsonsupply.com/cdn/shop/files/T721i-V2-02_368337bf-427f-4425-83da-b13f35abe190.png?v=1690143234")</f>
        <v/>
      </c>
      <c r="H1809">
        <f>_xludf.IMAGE("https://m.media-amazon.com/images/I/51TIpGlBKiL._AC_UL320_.jpg")</f>
        <v/>
      </c>
      <c r="K1809" t="inlineStr">
        <is>
          <t>83.16</t>
        </is>
      </c>
      <c r="L1809" t="n">
        <v>124.9</v>
      </c>
      <c r="M1809" s="1" t="inlineStr">
        <is>
          <t>50.19%</t>
        </is>
      </c>
      <c r="N1809" s="1" t="n">
        <v>0</v>
      </c>
      <c r="O1809" t="n">
        <v>3.5</v>
      </c>
      <c r="P1809" t="n">
        <v>24</v>
      </c>
      <c r="R1809" t="inlineStr">
        <is>
          <t>InStock</t>
        </is>
      </c>
      <c r="S1809" t="inlineStr">
        <is>
          <t>194.03</t>
        </is>
      </c>
      <c r="T1809" t="inlineStr">
        <is>
          <t>8019985694936</t>
        </is>
      </c>
    </row>
    <row r="1810" ht="87" customHeight="1">
      <c r="A1810" s="2">
        <f>HYPERLINK("https://edmondsonsupply.com/collections/hvac/products/channellock-431", "https://edmondsonsupply.com/collections/hvac/products/channellock-431")</f>
        <v/>
      </c>
      <c r="B1810" s="2">
        <f>HYPERLINK("https://edmondsonsupply.com/products/channellock-431", "https://edmondsonsupply.com/products/channellock-431")</f>
        <v/>
      </c>
      <c r="C1810" t="inlineStr">
        <is>
          <t>Channellock 432 10-Inch V-Jaw Tongue &amp; Groove Pliers</t>
        </is>
      </c>
      <c r="D1810" t="inlineStr">
        <is>
          <t>Channellock 2 Piece Tongue and Groove Pliers Set - 9.5-Inch, 6.5-Inch | Straight Jaw Groove Joint Pliers | Laser Heat-Treated 90° Teeth| Forged from High Carbon Steel | Patented Reinforcing Edge Minimizes Stress Breakage | Made in USA</t>
        </is>
      </c>
      <c r="E1810" s="2">
        <f>HYPERLINK("https://www.amazon.com/Channellock-GS-1-2-Inch-Tongue-Groove/dp/B00011V0GG/ref=sr_1_20?keywords=Channellock+432+10-Inch+V-Jaw+Tongue+%26+Groove+Pliers&amp;qid=1694734826&amp;sr=8-20", "https://www.amazon.com/Channellock-GS-1-2-Inch-Tongue-Groove/dp/B00011V0GG/ref=sr_1_20?keywords=Channellock+432+10-Inch+V-Jaw+Tongue+%26+Groove+Pliers&amp;qid=1694734826&amp;sr=8-20")</f>
        <v/>
      </c>
      <c r="F1810" t="inlineStr">
        <is>
          <t>B00011V0GG</t>
        </is>
      </c>
      <c r="G1810">
        <f>_xlfn.IMAGE("https://edmondsonsupply.com/cdn/shop/products/432-683x1024.jpg?v=1587147134")</f>
        <v/>
      </c>
      <c r="H1810">
        <f>_xlfn.IMAGE("https://m.media-amazon.com/images/I/71s6rp1zXLL._AC_UL320_.jpg")</f>
        <v/>
      </c>
      <c r="K1810" t="inlineStr">
        <is>
          <t>19.95</t>
        </is>
      </c>
      <c r="L1810" t="n">
        <v>29.95</v>
      </c>
      <c r="M1810" s="1" t="inlineStr">
        <is>
          <t>50.13%</t>
        </is>
      </c>
      <c r="N1810" s="7" t="n">
        <v>0</v>
      </c>
      <c r="O1810" t="n">
        <v>4.8</v>
      </c>
      <c r="P1810" t="n">
        <v>5484</v>
      </c>
      <c r="R1810" t="inlineStr">
        <is>
          <t>InStock</t>
        </is>
      </c>
      <c r="S1810" t="inlineStr">
        <is>
          <t>27.63</t>
        </is>
      </c>
      <c r="T1810" t="inlineStr">
        <is>
          <t>3553468317796</t>
        </is>
      </c>
    </row>
    <row r="1811" ht="87" customHeight="1">
      <c r="A1811" s="2">
        <f>HYPERLINK("https://edmondsonsupply.com/collections/hvac/products/channellock-432", "https://edmondsonsupply.com/collections/hvac/products/channellock-432")</f>
        <v/>
      </c>
      <c r="B1811" s="2">
        <f>HYPERLINK("https://edmondsonsupply.com/products/channellock-432", "https://edmondsonsupply.com/products/channellock-432")</f>
        <v/>
      </c>
      <c r="C1811" t="inlineStr">
        <is>
          <t>Channellock 440 12" Straight Jaw Tongue &amp; Groove Pliers</t>
        </is>
      </c>
      <c r="D1811" t="inlineStr">
        <is>
          <t>CHANNELLOCK 440X 12-inch SPEEDGRIP Straight Jaw Tongue &amp; Groove Pliers | Made in USA | Forged High Carbon Steel</t>
        </is>
      </c>
      <c r="E1811" s="2">
        <f>HYPERLINK("https://www.amazon.com/CHANNELLOCK-440X-12-inch-SPEEDGRIP-Straight/dp/B07R11V4X3/ref=sr_1_2?keywords=Channellock+440+12%22+Straight+Jaw+Tongue+%26+Groove+Pliers&amp;qid=1694734829&amp;sr=8-2", "https://www.amazon.com/CHANNELLOCK-440X-12-inch-SPEEDGRIP-Straight/dp/B07R11V4X3/ref=sr_1_2?keywords=Channellock+440+12%22+Straight+Jaw+Tongue+%26+Groove+Pliers&amp;qid=1694734829&amp;sr=8-2")</f>
        <v/>
      </c>
      <c r="F1811" t="inlineStr">
        <is>
          <t>B07R11V4X3</t>
        </is>
      </c>
      <c r="G1811">
        <f>_xlfn.IMAGE("https://edmondsonsupply.com/cdn/shop/products/440-546x1024.jpg?v=1587148892")</f>
        <v/>
      </c>
      <c r="H1811">
        <f>_xlfn.IMAGE("https://m.media-amazon.com/images/I/61zy7hHkDbL._AC_UL320_.jpg")</f>
        <v/>
      </c>
      <c r="K1811" t="inlineStr">
        <is>
          <t>21.95</t>
        </is>
      </c>
      <c r="L1811" t="n">
        <v>32.95</v>
      </c>
      <c r="M1811" s="1" t="inlineStr">
        <is>
          <t>50.11%</t>
        </is>
      </c>
      <c r="N1811" s="7" t="n">
        <v>0</v>
      </c>
      <c r="O1811" t="n">
        <v>4.4</v>
      </c>
      <c r="P1811" t="n">
        <v>577</v>
      </c>
      <c r="R1811" t="inlineStr">
        <is>
          <t>InStock</t>
        </is>
      </c>
      <c r="S1811" t="inlineStr">
        <is>
          <t>29.82</t>
        </is>
      </c>
      <c r="T1811" t="inlineStr">
        <is>
          <t>3553495908452</t>
        </is>
      </c>
    </row>
    <row r="1812" hidden="1" ht="15.75" customHeight="1">
      <c r="A1812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1812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1812" t="inlineStr">
        <is>
          <t>Diablo Tools DMAPL2290 7/16 in. x 10 in. x 12 in. SDS-Plus 2-Cutter</t>
        </is>
      </c>
      <c r="D1812" t="inlineStr">
        <is>
          <t>Diablo DMAPL4055 3/16 in. x 10 in. x 12 in. Rebar Demon™ SDS-Plus 4-Cutter Full Carbide Head Hammer Bit</t>
        </is>
      </c>
      <c r="E1812" s="2">
        <f>HYPERLINK("https://www.amazon.com/Diablo-DMAPL4055-SDS-Plus-4-Cutter-Carbide/dp/B089LJCD42/ref=sr_1_13?keywords=Diablo+Tools+DMAPL2290+7%2F16+in.+x+10+in.+x+12+in.+SDS-Plus+2-Cutter&amp;qid=1694734916&amp;sr=8-13", "https://www.amazon.com/Diablo-DMAPL4055-SDS-Plus-4-Cutter-Carbide/dp/B089LJCD42/ref=sr_1_13?keywords=Diablo+Tools+DMAPL2290+7%2F16+in.+x+10+in.+x+12+in.+SDS-Plus+2-Cutter&amp;qid=1694734916&amp;sr=8-13")</f>
        <v/>
      </c>
      <c r="F1812" t="inlineStr">
        <is>
          <t>B089LJCD42</t>
        </is>
      </c>
      <c r="G1812">
        <f>_xludf.IMAGE("https://edmondsonsupply.com/cdn/shop/files/lgvfccwvf9ikjakt8qfb.webp?v=1686146379")</f>
        <v/>
      </c>
      <c r="H1812">
        <f>_xludf.IMAGE("https://m.media-amazon.com/images/I/61cDOAhkb4L._AC_UL320_.jpg")</f>
        <v/>
      </c>
      <c r="K1812" t="inlineStr">
        <is>
          <t>10.5</t>
        </is>
      </c>
      <c r="L1812" t="n">
        <v>15.76</v>
      </c>
      <c r="M1812" s="1" t="inlineStr">
        <is>
          <t>50.10%</t>
        </is>
      </c>
      <c r="N1812" s="1" t="n">
        <v>0</v>
      </c>
      <c r="O1812" t="n">
        <v>2</v>
      </c>
      <c r="P1812" t="n">
        <v>1</v>
      </c>
      <c r="R1812" t="inlineStr">
        <is>
          <t>InStock</t>
        </is>
      </c>
      <c r="S1812" t="inlineStr">
        <is>
          <t>16.67</t>
        </is>
      </c>
      <c r="T1812" t="inlineStr">
        <is>
          <t>8002354872536</t>
        </is>
      </c>
    </row>
    <row r="1813" hidden="1" ht="15.75" customHeight="1">
      <c r="A1813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813" s="2">
        <f>HYPERLINK("https://edmondsonsupply.com/products/klein-tools-646-5-16-5-16-inch-nut-driver-6-inch-hollow-shaft", "https://edmondsonsupply.com/products/klein-tools-646-5-16-5-16-inch-nut-driver-6-inch-hollow-shaft")</f>
        <v/>
      </c>
      <c r="C1813" t="inlineStr">
        <is>
          <t>Klein Tools 646-5/16 5/16-Inch Nut Driver, 6-Inch Hollow Shaft</t>
        </is>
      </c>
      <c r="D1813" t="inlineStr">
        <is>
          <t>Klein Tools 602-6 5/16-Inch Keystone Tip Screwdriver, 6-Inch Heavy Duty Round Shank with Cushion Grip Handle</t>
        </is>
      </c>
      <c r="E1813" s="2">
        <f>HYPERLINK("https://www.amazon.com/Keystone-Screwdriver-Klein-Tools-602-6/dp/B0000302WW/ref=sr_1_48?keywords=Klein+Tools+646-5%2F16+5%2F16-Inch+Nut+Driver%2C+6-Inch+Hollow+Shaft&amp;qid=1694734728&amp;sr=8-48", "https://www.amazon.com/Keystone-Screwdriver-Klein-Tools-602-6/dp/B0000302WW/ref=sr_1_48?keywords=Klein+Tools+646-5%2F16+5%2F16-Inch+Nut+Driver%2C+6-Inch+Hollow+Shaft&amp;qid=1694734728&amp;sr=8-48")</f>
        <v/>
      </c>
      <c r="F1813" t="inlineStr">
        <is>
          <t>B0000302WW</t>
        </is>
      </c>
      <c r="G1813">
        <f>_xludf.IMAGE("https://edmondsonsupply.com/cdn/shop/products/646-1-2_e1540905-f750-4509-90c5-74ff653e4d83.jpg?v=1587145119")</f>
        <v/>
      </c>
      <c r="H1813">
        <f>_xludf.IMAGE("https://m.media-amazon.com/images/I/51yw04G5ZvL._AC_UL320_.jpg")</f>
        <v/>
      </c>
      <c r="K1813" t="inlineStr">
        <is>
          <t>7.99</t>
        </is>
      </c>
      <c r="L1813" t="n">
        <v>11.99</v>
      </c>
      <c r="M1813" s="1" t="inlineStr">
        <is>
          <t>50.06%</t>
        </is>
      </c>
      <c r="N1813" s="1" t="n">
        <v>0</v>
      </c>
      <c r="O1813" t="n">
        <v>4.8</v>
      </c>
      <c r="P1813" t="n">
        <v>879</v>
      </c>
      <c r="R1813" t="inlineStr">
        <is>
          <t>InStock</t>
        </is>
      </c>
      <c r="S1813" t="inlineStr">
        <is>
          <t>12.1</t>
        </is>
      </c>
      <c r="T1813" t="inlineStr">
        <is>
          <t>4395303272548</t>
        </is>
      </c>
    </row>
    <row r="1814" hidden="1" ht="15.75" customHeight="1">
      <c r="A1814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814" s="2">
        <f>HYPERLINK("https://edmondsonsupply.com/products/klein-tools-646-5-16-5-16-inch-nut-driver-6-inch-hollow-shaft", "https://edmondsonsupply.com/products/klein-tools-646-5-16-5-16-inch-nut-driver-6-inch-hollow-shaft")</f>
        <v/>
      </c>
      <c r="C1814" t="inlineStr">
        <is>
          <t>Klein Tools 646-5/16 5/16-Inch Nut Driver, 6-Inch Hollow Shaft</t>
        </is>
      </c>
      <c r="D1814" t="inlineStr">
        <is>
          <t>Klein Tools S106M 5/16-Inch Magnetic Nut Driver with 9-Inch Solid Shaft and Comfordome Handle</t>
        </is>
      </c>
      <c r="E1814" s="2">
        <f>HYPERLINK("https://www.amazon.com/Magnetic-Comfordome-Klein-Tools-S106M/dp/B0002RIA26/ref=sr_1_3?keywords=Klein+Tools+646-5%2F16+5%2F16-Inch+Nut+Driver%2C+6-Inch+Hollow+Shaft&amp;qid=1694734728&amp;sr=8-3", "https://www.amazon.com/Magnetic-Comfordome-Klein-Tools-S106M/dp/B0002RIA26/ref=sr_1_3?keywords=Klein+Tools+646-5%2F16+5%2F16-Inch+Nut+Driver%2C+6-Inch+Hollow+Shaft&amp;qid=1694734728&amp;sr=8-3")</f>
        <v/>
      </c>
      <c r="F1814" t="inlineStr">
        <is>
          <t>B0002RIA26</t>
        </is>
      </c>
      <c r="G1814">
        <f>_xludf.IMAGE("https://edmondsonsupply.com/cdn/shop/products/646-1-2_e1540905-f750-4509-90c5-74ff653e4d83.jpg?v=1587145119")</f>
        <v/>
      </c>
      <c r="H1814">
        <f>_xludf.IMAGE("https://m.media-amazon.com/images/I/310q8QPN+KL._AC_UL320_.jpg")</f>
        <v/>
      </c>
      <c r="K1814" t="inlineStr">
        <is>
          <t>7.99</t>
        </is>
      </c>
      <c r="L1814" t="n">
        <v>11.99</v>
      </c>
      <c r="M1814" s="1" t="inlineStr">
        <is>
          <t>50.06%</t>
        </is>
      </c>
      <c r="N1814" s="1" t="n">
        <v>0</v>
      </c>
      <c r="O1814" t="n">
        <v>4.6</v>
      </c>
      <c r="P1814" t="n">
        <v>231</v>
      </c>
      <c r="R1814" t="inlineStr">
        <is>
          <t>InStock</t>
        </is>
      </c>
      <c r="S1814" t="inlineStr">
        <is>
          <t>12.1</t>
        </is>
      </c>
      <c r="T1814" t="inlineStr">
        <is>
          <t>4395303272548</t>
        </is>
      </c>
    </row>
    <row r="1815" hidden="1" ht="15.75" customHeight="1">
      <c r="A1815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815" s="2">
        <f>HYPERLINK("https://edmondsonsupply.com/products/klein-tools-646-5-16-5-16-inch-nut-driver-6-inch-hollow-shaft", "https://edmondsonsupply.com/products/klein-tools-646-5-16-5-16-inch-nut-driver-6-inch-hollow-shaft")</f>
        <v/>
      </c>
      <c r="C1815" t="inlineStr">
        <is>
          <t>Klein Tools 646-5/16 5/16-Inch Nut Driver, 6-Inch Hollow Shaft</t>
        </is>
      </c>
      <c r="D1815" t="inlineStr">
        <is>
          <t>Klein Tools 635-5/16 5/16-Inch Heavy-Duty Nut Driver</t>
        </is>
      </c>
      <c r="E1815" s="2">
        <f>HYPERLINK("https://www.amazon.com/Heavy-Duty-Driver-16-Inch-Klein-Tools/dp/B01D6FKW58/ref=sr_1_4?keywords=Klein+Tools+646-5%2F16+5%2F16-Inch+Nut+Driver%2C+6-Inch+Hollow+Shaft&amp;qid=1694734728&amp;sr=8-4", "https://www.amazon.com/Heavy-Duty-Driver-16-Inch-Klein-Tools/dp/B01D6FKW58/ref=sr_1_4?keywords=Klein+Tools+646-5%2F16+5%2F16-Inch+Nut+Driver%2C+6-Inch+Hollow+Shaft&amp;qid=1694734728&amp;sr=8-4")</f>
        <v/>
      </c>
      <c r="F1815" t="inlineStr">
        <is>
          <t>B01D6FKW58</t>
        </is>
      </c>
      <c r="G1815">
        <f>_xludf.IMAGE("https://edmondsonsupply.com/cdn/shop/products/646-1-2_e1540905-f750-4509-90c5-74ff653e4d83.jpg?v=1587145119")</f>
        <v/>
      </c>
      <c r="H1815">
        <f>_xludf.IMAGE("https://m.media-amazon.com/images/I/41FuKJjYruL._AC_UL320_.jpg")</f>
        <v/>
      </c>
      <c r="K1815" t="inlineStr">
        <is>
          <t>7.99</t>
        </is>
      </c>
      <c r="L1815" t="n">
        <v>11.99</v>
      </c>
      <c r="M1815" s="1" t="inlineStr">
        <is>
          <t>50.06%</t>
        </is>
      </c>
      <c r="N1815" s="1" t="n">
        <v>0</v>
      </c>
      <c r="O1815" t="n">
        <v>4.7</v>
      </c>
      <c r="P1815" t="n">
        <v>999</v>
      </c>
      <c r="R1815" t="inlineStr">
        <is>
          <t>InStock</t>
        </is>
      </c>
      <c r="S1815" t="inlineStr">
        <is>
          <t>12.1</t>
        </is>
      </c>
      <c r="T1815" t="inlineStr">
        <is>
          <t>4395303272548</t>
        </is>
      </c>
    </row>
    <row r="1816" ht="87" customHeight="1">
      <c r="A1816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1816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1816" t="inlineStr">
        <is>
          <t>Klein Tools JTH4E17 1/2-Inch Hex Key, Journeyman T-Handle, 4-Inch</t>
        </is>
      </c>
      <c r="D1816" t="inlineStr">
        <is>
          <t>Klein Tools JTH9E17 1/2-Inch Hex Key, Journeyman T-Handle, 9-Inch</t>
        </is>
      </c>
      <c r="E1816" s="2">
        <f>HYPERLINK("https://www.amazon.com/Journeyman-T-Handle-Klein-Tools-JTH9E17/dp/B004QV6NL4/ref=sr_1_2?keywords=Klein+Tools+JTH4E17+1%2F2-Inch+Hex+Key%2C+Journeyman+T-Handle%2C+4-Inch&amp;qid=1694734780&amp;sr=8-2", "https://www.amazon.com/Journeyman-T-Handle-Klein-Tools-JTH9E17/dp/B004QV6NL4/ref=sr_1_2?keywords=Klein+Tools+JTH4E17+1%2F2-Inch+Hex+Key%2C+Journeyman+T-Handle%2C+4-Inch&amp;qid=1694734780&amp;sr=8-2")</f>
        <v/>
      </c>
      <c r="F1816" t="inlineStr">
        <is>
          <t>B004QV6NL4</t>
        </is>
      </c>
      <c r="G1816">
        <f>_xlfn.IMAGE("https://edmondsonsupply.com/cdn/shop/products/jth4e17_583549be-7b42-43c7-9c3d-a92f2416ede5.jpg?v=1610655610")</f>
        <v/>
      </c>
      <c r="H1816">
        <f>_xlfn.IMAGE("https://m.media-amazon.com/images/I/51Yb8h41vLL._AC_UL320_.jpg")</f>
        <v/>
      </c>
      <c r="K1816" t="inlineStr">
        <is>
          <t>15.99</t>
        </is>
      </c>
      <c r="L1816" t="n">
        <v>23.99</v>
      </c>
      <c r="M1816" s="1" t="inlineStr">
        <is>
          <t>50.03%</t>
        </is>
      </c>
      <c r="N1816" s="7" t="n">
        <v>0</v>
      </c>
      <c r="O1816" t="n">
        <v>4.8</v>
      </c>
      <c r="P1816" t="n">
        <v>193</v>
      </c>
      <c r="R1816" t="inlineStr">
        <is>
          <t>InStock</t>
        </is>
      </c>
      <c r="S1816" t="inlineStr">
        <is>
          <t>24.24</t>
        </is>
      </c>
      <c r="T1816" t="inlineStr">
        <is>
          <t>6203851538605</t>
        </is>
      </c>
    </row>
    <row r="1817" ht="87" customHeight="1">
      <c r="A1817" s="2">
        <f>HYPERLINK("https://edmondsonsupply.com/collections/hvac/products/klein-tools-935r-aluminum-torpedo-level-rare-earth-magnet", "https://edmondsonsupply.com/collections/hvac/products/klein-tools-935r-aluminum-torpedo-level-rare-earth-magnet")</f>
        <v/>
      </c>
      <c r="B1817" s="2">
        <f>HYPERLINK("https://edmondsonsupply.com/products/klein-tools-935r-aluminum-torpedo-level-rare-earth-magnet", "https://edmondsonsupply.com/products/klein-tools-935r-aluminum-torpedo-level-rare-earth-magnet")</f>
        <v/>
      </c>
      <c r="C1817" t="inlineStr">
        <is>
          <t>Klein Tools 935R Aluminum Torpedo Level Rare Earth Magnet, 9-Inch</t>
        </is>
      </c>
      <c r="D1817" t="inlineStr">
        <is>
          <t>Klein Tools 9319RETT Level, 9-Inch Aluminum Magnetic Torpedo Level with 3 Vials, Tether Ring, V-Grooved Edge, and Rare-Earth Magnets</t>
        </is>
      </c>
      <c r="E1817" s="2">
        <f>HYPERLINK("https://www.amazon.com/Magnetic-Torpedo-Klein-Tools-9319RETT/dp/B01FFTADZW/ref=sr_1_2?keywords=Klein+Tools+935R+Aluminum+Torpedo+Level+Rare+Earth+Magnet%2C+9-Inch&amp;qid=1694734736&amp;sr=8-2", "https://www.amazon.com/Magnetic-Torpedo-Klein-Tools-9319RETT/dp/B01FFTADZW/ref=sr_1_2?keywords=Klein+Tools+935R+Aluminum+Torpedo+Level+Rare+Earth+Magnet%2C+9-Inch&amp;qid=1694734736&amp;sr=8-2")</f>
        <v/>
      </c>
      <c r="F1817" t="inlineStr">
        <is>
          <t>B01FFTADZW</t>
        </is>
      </c>
      <c r="G1817">
        <f>_xlfn.IMAGE("https://edmondsonsupply.com/cdn/shop/products/935r_b.jpg?v=1658103129")</f>
        <v/>
      </c>
      <c r="H1817">
        <f>_xlfn.IMAGE("https://m.media-amazon.com/images/I/51koTKccewL._AC_UL320_.jpg")</f>
        <v/>
      </c>
      <c r="K1817" t="inlineStr">
        <is>
          <t>19.99</t>
        </is>
      </c>
      <c r="L1817" t="n">
        <v>29.99</v>
      </c>
      <c r="M1817" s="1" t="inlineStr">
        <is>
          <t>50.03%</t>
        </is>
      </c>
      <c r="N1817" s="7" t="n">
        <v>0</v>
      </c>
      <c r="O1817" t="n">
        <v>4.4</v>
      </c>
      <c r="P1817" t="n">
        <v>66</v>
      </c>
      <c r="R1817" t="inlineStr">
        <is>
          <t>InStock</t>
        </is>
      </c>
      <c r="S1817" t="inlineStr">
        <is>
          <t>29.0</t>
        </is>
      </c>
      <c r="T1817" t="inlineStr">
        <is>
          <t>4353101824100</t>
        </is>
      </c>
    </row>
    <row r="1818" ht="87" customHeight="1">
      <c r="A1818" s="2">
        <f>HYPERLINK("https://edmondsonsupply.com/collections/hvac/products/white-rodgers-50m56u-843-integrated-furnace-control-board-universal-replacement", "https://edmondsonsupply.com/collections/hvac/products/white-rodgers-50m56u-843-integrated-furnace-control-board-universal-replacement")</f>
        <v/>
      </c>
      <c r="B1818" s="2">
        <f>HYPERLINK("https://edmondsonsupply.com/products/white-rodgers-50m56u-843-integrated-furnace-control-board-universal-replacement", "https://edmondsonsupply.com/products/white-rodgers-50m56u-843-integrated-furnace-control-board-universal-replacement")</f>
        <v/>
      </c>
      <c r="C1818" t="inlineStr">
        <is>
          <t>White-Rodgers 50M56U-843 Integrated Furnace Control Board, Universal Replacement</t>
        </is>
      </c>
      <c r="D1818" t="inlineStr">
        <is>
          <t>White-Rodgers 21V51U-843 Universal Two Stage Hot Surface Ignition Variable Speed Ecm Circulator Furnace Control Replacement Kit</t>
        </is>
      </c>
      <c r="E1818" s="2">
        <f>HYPERLINK("https://www.amazon.com/White-Rodgers-21V51U-843-Universal-Circulator-Replacement/dp/B008FVEJVW/ref=sr_1_2?keywords=White-Rodgers+50M56U-843+Integrated+Furnace+Control+Board%2C+Universal+Replacement&amp;qid=1694734587&amp;sr=8-2", "https://www.amazon.com/White-Rodgers-21V51U-843-Universal-Circulator-Replacement/dp/B008FVEJVW/ref=sr_1_2?keywords=White-Rodgers+50M56U-843+Integrated+Furnace+Control+Board%2C+Universal+Replacement&amp;qid=1694734587&amp;sr=8-2")</f>
        <v/>
      </c>
      <c r="F1818" t="inlineStr">
        <is>
          <t>B008FVEJVW</t>
        </is>
      </c>
      <c r="G1818">
        <f>_xlfn.IMAGE("https://edmondsonsupply.com/cdn/shop/products/integrated-furnace-controls-universal-replacement-img-4a.jpg?v=1633030752")</f>
        <v/>
      </c>
      <c r="H1818">
        <f>_xlfn.IMAGE("https://m.media-amazon.com/images/I/81dVW6SXcmL._AC_UL320_.jpg")</f>
        <v/>
      </c>
      <c r="K1818" t="inlineStr">
        <is>
          <t>160.92</t>
        </is>
      </c>
      <c r="L1818" t="n">
        <v>241.4</v>
      </c>
      <c r="M1818" s="1" t="inlineStr">
        <is>
          <t>50.01%</t>
        </is>
      </c>
      <c r="N1818" s="7" t="n">
        <v>0</v>
      </c>
      <c r="O1818" t="n">
        <v>5</v>
      </c>
      <c r="P1818" t="n">
        <v>2</v>
      </c>
      <c r="R1818" t="inlineStr">
        <is>
          <t>InStock</t>
        </is>
      </c>
      <c r="S1818" t="inlineStr">
        <is>
          <t>367.81</t>
        </is>
      </c>
      <c r="T1818" t="inlineStr">
        <is>
          <t>5896435368104</t>
        </is>
      </c>
    </row>
    <row r="1819" ht="87" customHeight="1">
      <c r="A1819" s="2">
        <f>HYPERLINK("https://edmondsonsupply.com/collections/hvac/products/klein-tools-94130-1000v-insulated-tool-kit-5-piece", "https://edmondsonsupply.com/collections/hvac/products/klein-tools-94130-1000v-insulated-tool-kit-5-piece")</f>
        <v/>
      </c>
      <c r="B1819" s="2">
        <f>HYPERLINK("https://edmondsonsupply.com/products/klein-tools-94130-1000v-insulated-tool-kit-5-piece", "https://edmondsonsupply.com/products/klein-tools-94130-1000v-insulated-tool-kit-5-piece")</f>
        <v/>
      </c>
      <c r="C1819" t="inlineStr">
        <is>
          <t>Klein Tools 94130 1000V Insulated Tool Kit, 5-Piece</t>
        </is>
      </c>
      <c r="D1819" t="inlineStr">
        <is>
          <t>Klein Tools 94130 1000V Insulated Screwdriver Tool Set &amp; 80019 Tool Set, Multi-Bit Screwdriver and Nut Driver Tool Kit, 4-Piece</t>
        </is>
      </c>
      <c r="E1819" s="2">
        <f>HYPERLINK("https://www.amazon.com/Klein-Tools-Insulated-Screwdriver-Multi-Bit/dp/B0B56SPFP5/ref=sr_1_4?keywords=Klein+Tools+94130+1000V+Insulated+Tool+Kit%2C+5-Piece&amp;qid=1694734718&amp;sr=8-4", "https://www.amazon.com/Klein-Tools-Insulated-Screwdriver-Multi-Bit/dp/B0B56SPFP5/ref=sr_1_4?keywords=Klein+Tools+94130+1000V+Insulated+Tool+Kit%2C+5-Piece&amp;qid=1694734718&amp;sr=8-4")</f>
        <v/>
      </c>
      <c r="F1819" t="inlineStr">
        <is>
          <t>B0B56SPFP5</t>
        </is>
      </c>
      <c r="G1819">
        <f>_xlfn.IMAGE("https://edmondsonsupply.com/cdn/shop/products/94130.jpg?v=1633030386")</f>
        <v/>
      </c>
      <c r="H1819">
        <f>_xlfn.IMAGE("https://m.media-amazon.com/images/I/51tr7--NQkL._AC_UL320_.jpg")</f>
        <v/>
      </c>
      <c r="K1819" t="inlineStr">
        <is>
          <t>99.99</t>
        </is>
      </c>
      <c r="L1819" t="n">
        <v>149.98</v>
      </c>
      <c r="M1819" s="1" t="inlineStr">
        <is>
          <t>49.99%</t>
        </is>
      </c>
      <c r="N1819" s="7" t="n">
        <v>0</v>
      </c>
      <c r="O1819" t="n">
        <v>4.9</v>
      </c>
      <c r="P1819" t="n">
        <v>11</v>
      </c>
      <c r="R1819" t="inlineStr">
        <is>
          <t>InStock</t>
        </is>
      </c>
      <c r="S1819" t="inlineStr">
        <is>
          <t>149.98</t>
        </is>
      </c>
      <c r="T1819" t="inlineStr">
        <is>
          <t>5299145146536</t>
        </is>
      </c>
    </row>
    <row r="1820" ht="87" customHeight="1">
      <c r="A1820" s="2">
        <f>HYPERLINK("https://edmondsonsupply.com/collections/hvac/products/rectorseal-66731-nokink-1-4-x-3-flexible-refrigerant-line-connector", "https://edmondsonsupply.com/collections/hvac/products/rectorseal-66731-nokink-1-4-x-3-flexible-refrigerant-line-connector")</f>
        <v/>
      </c>
      <c r="B1820" s="2">
        <f>HYPERLINK("https://edmondsonsupply.com/products/rectorseal-66731-nokink-1-4-x-3-flexible-refrigerant-line-connector", "https://edmondsonsupply.com/products/rectorseal-66731-nokink-1-4-x-3-flexible-refrigerant-line-connector")</f>
        <v/>
      </c>
      <c r="C1820" t="inlineStr">
        <is>
          <t>RectorSeal 66731 NoKink 1/4" x 3' Flexible Refrigerant Line Connector</t>
        </is>
      </c>
      <c r="D1820" t="inlineStr">
        <is>
          <t>Rectorseal 66737 NoKink Flexible Refrigerant Line Connector, 1/2"</t>
        </is>
      </c>
      <c r="E1820" s="2">
        <f>HYPERLINK("https://www.amazon.com/Rectorseal-66737-Flexible-Refrigerant-Connector/dp/B010M22SNM/ref=sr_1_1?keywords=RectorSeal+66731+NoKink+1%2F4%22+x+3%27+Flexible+Refrigerant+Line+Connector&amp;qid=1694734578&amp;sr=8-1", "https://www.amazon.com/Rectorseal-66737-Flexible-Refrigerant-Connector/dp/B010M22SNM/ref=sr_1_1?keywords=RectorSeal+66731+NoKink+1%2F4%22+x+3%27+Flexible+Refrigerant+Line+Connector&amp;qid=1694734578&amp;sr=8-1")</f>
        <v/>
      </c>
      <c r="F1820" t="inlineStr">
        <is>
          <t>B010M22SNM</t>
        </is>
      </c>
      <c r="G1820">
        <f>_xlfn.IMAGE("https://edmondsonsupply.com/cdn/shop/products/66731-1.jpg?v=1632257869")</f>
        <v/>
      </c>
      <c r="H1820">
        <f>_xlfn.IMAGE("https://m.media-amazon.com/images/I/4101YLR79GL._AC_UL320_.jpg")</f>
        <v/>
      </c>
      <c r="K1820" t="inlineStr">
        <is>
          <t>59.99</t>
        </is>
      </c>
      <c r="L1820" t="n">
        <v>89.97</v>
      </c>
      <c r="M1820" s="1" t="inlineStr">
        <is>
          <t>49.97%</t>
        </is>
      </c>
      <c r="N1820" s="7" t="n">
        <v>0</v>
      </c>
      <c r="O1820" t="n">
        <v>4.5</v>
      </c>
      <c r="P1820" t="n">
        <v>6</v>
      </c>
      <c r="R1820" t="inlineStr">
        <is>
          <t>InStock</t>
        </is>
      </c>
      <c r="S1820" t="inlineStr">
        <is>
          <t>undefined</t>
        </is>
      </c>
      <c r="T1820" t="inlineStr">
        <is>
          <t>6957485621421</t>
        </is>
      </c>
    </row>
    <row r="1821" ht="87" customHeight="1">
      <c r="A1821" s="2">
        <f>HYPERLINK("https://edmondsonsupply.com/collections/hvac/products/klein-tools-k12065cr-klein-kurve%C2%AE-heavy-duty-wire-stripper-crimper-8-20-awg", "https://edmondsonsupply.com/collections/hvac/products/klein-tools-k12065cr-klein-kurve%C2%AE-heavy-duty-wire-stripper-crimper-8-20-awg")</f>
        <v/>
      </c>
      <c r="B1821" s="2">
        <f>HYPERLINK("https://edmondsonsupply.com/products/klein-tools-k12065cr-klein-kurve%c2%ae-heavy-duty-wire-stripper-crimper-8-20-awg", "https://edmondsonsupply.com/products/klein-tools-k12065cr-klein-kurve%c2%ae-heavy-duty-wire-stripper-crimper-8-20-awg")</f>
        <v/>
      </c>
      <c r="C1821" t="inlineStr">
        <is>
          <t>Klein Tools K12065CR Klein-Kurve® Heavy-Duty Wire Stripper / Cutter / Crimper Multi Tool, 8-20 AWG</t>
        </is>
      </c>
      <c r="D1821" t="inlineStr">
        <is>
          <t>Klein Tools 3005CR Wire Crimper Tool &amp; 11063W Wire Cutter/Wire Stripper, Heavy Duty Wire Stripper Tool for 8-20 AWG Solid and 10-22 AWG Stranded Electrical Wire</t>
        </is>
      </c>
      <c r="E1821" s="2">
        <f>HYPERLINK("https://www.amazon.com/Klein-Tools-Stripper-Stranded-Electrical/dp/B08XKMZF55/ref=sr_1_15?keywords=Klein+Tools+K12065CR+Klein-Kurve%C2%AE+Heavy-Duty+Wire+Stripper+%2F+Cutter+%2F+Crimper+Multi+Tool%2C+8-20+AWG&amp;qid=1694734664&amp;sr=8-15", "https://www.amazon.com/Klein-Tools-Stripper-Stranded-Electrical/dp/B08XKMZF55/ref=sr_1_15?keywords=Klein+Tools+K12065CR+Klein-Kurve%C2%AE+Heavy-Duty+Wire+Stripper+%2F+Cutter+%2F+Crimper+Multi+Tool%2C+8-20+AWG&amp;qid=1694734664&amp;sr=8-15")</f>
        <v/>
      </c>
      <c r="F1821" t="inlineStr">
        <is>
          <t>B08XKMZF55</t>
        </is>
      </c>
      <c r="G1821">
        <f>_xlfn.IMAGE("https://edmondsonsupply.com/cdn/shop/products/k12065cr_b.jpg?v=1650066835")</f>
        <v/>
      </c>
      <c r="H1821">
        <f>_xlfn.IMAGE("https://m.media-amazon.com/images/I/410rkxkOErL._AC_UL320_.jpg")</f>
        <v/>
      </c>
      <c r="K1821" t="inlineStr">
        <is>
          <t>39.97</t>
        </is>
      </c>
      <c r="L1821" t="n">
        <v>59.94</v>
      </c>
      <c r="M1821" s="1" t="inlineStr">
        <is>
          <t>49.96%</t>
        </is>
      </c>
      <c r="N1821" s="7" t="n">
        <v>0</v>
      </c>
      <c r="O1821" t="n">
        <v>4.9</v>
      </c>
      <c r="P1821" t="n">
        <v>14</v>
      </c>
      <c r="R1821" t="inlineStr">
        <is>
          <t>InStock</t>
        </is>
      </c>
      <c r="S1821" t="inlineStr">
        <is>
          <t>59.42</t>
        </is>
      </c>
      <c r="T1821" t="inlineStr">
        <is>
          <t>5795137880232</t>
        </is>
      </c>
    </row>
    <row r="1822" ht="87" customHeight="1">
      <c r="A1822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822" s="2">
        <f>HYPERLINK("https://edmondsonsupply.com/products/klein-tools-32907-7-in-1-impact-flip-socket-set-no-handle", "https://edmondsonsupply.com/products/klein-tools-32907-7-in-1-impact-flip-socket-set-no-handle")</f>
        <v/>
      </c>
      <c r="C1822" t="inlineStr">
        <is>
          <t>Klein Tools 32907 7-in-1 Impact Flip Socket Set, No Handle</t>
        </is>
      </c>
      <c r="D1822" t="inlineStr">
        <is>
          <t>Klein Tools 32717 Precision Screwdriver Set with Case, All-in-One Multi-Function Repair Tool Kit Includes 39 Bits for Apple Products &amp; 32900 Impact Driver, 7-in-1 Impact Flip Socket Set with Handle</t>
        </is>
      </c>
      <c r="E1822" s="2">
        <f>HYPERLINK("https://www.amazon.com/Klein-Tools-Precision-Screwdriver-Multi-Function/dp/B0CB12C2ND/ref=sr_1_6?keywords=Klein+Tools+32907+7-in-1+Impact+Flip+Socket+Set%2C+No+Handle&amp;qid=1694734636&amp;sr=8-6", "https://www.amazon.com/Klein-Tools-Precision-Screwdriver-Multi-Function/dp/B0CB12C2ND/ref=sr_1_6?keywords=Klein+Tools+32907+7-in-1+Impact+Flip+Socket+Set%2C+No+Handle&amp;qid=1694734636&amp;sr=8-6")</f>
        <v/>
      </c>
      <c r="F1822" t="inlineStr">
        <is>
          <t>B0CB12C2ND</t>
        </is>
      </c>
      <c r="G1822">
        <f>_xlfn.IMAGE("https://edmondsonsupply.com/cdn/shop/products/32907_b.jpg?v=1666025282")</f>
        <v/>
      </c>
      <c r="H1822">
        <f>_xlfn.IMAGE("https://m.media-amazon.com/images/I/51QIIQOlsBL._AC_UL320_.jpg")</f>
        <v/>
      </c>
      <c r="K1822" t="inlineStr">
        <is>
          <t>19.99</t>
        </is>
      </c>
      <c r="L1822" t="n">
        <v>29.97</v>
      </c>
      <c r="M1822" s="1" t="inlineStr">
        <is>
          <t>49.92%</t>
        </is>
      </c>
      <c r="N1822" s="7" t="n">
        <v>0</v>
      </c>
      <c r="O1822" t="n">
        <v>4.9</v>
      </c>
      <c r="P1822" t="n">
        <v>2759</v>
      </c>
      <c r="R1822" t="inlineStr">
        <is>
          <t>InStock</t>
        </is>
      </c>
      <c r="S1822" t="inlineStr">
        <is>
          <t>29.18</t>
        </is>
      </c>
      <c r="T1822" t="inlineStr">
        <is>
          <t>7856653009112</t>
        </is>
      </c>
    </row>
    <row r="1823" hidden="1" ht="15.75" customHeight="1">
      <c r="A1823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823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823" t="inlineStr">
        <is>
          <t>Klein Tools 646-1/4 1/4-Inch Nut Driver with 6-Inch Hollow Shaft</t>
        </is>
      </c>
      <c r="D1823" t="inlineStr">
        <is>
          <t>1/4-Inch Tip Nut Driver with 3-Inch Hollow Shaft and Cushion Grip Handle Klein Tools 630-1/4</t>
        </is>
      </c>
      <c r="E1823" s="2">
        <f>HYPERLINK("https://www.amazon.com/4-Inch-Cushion-Klein-Tools-630-1/dp/B00093DZR8/ref=sr_1_7?keywords=Klein+Tools+646-1%2F4+1%2F4-Inch+Nut+Driver+with+6-Inch+Hollow+Shaft&amp;qid=1694734727&amp;sr=8-7", "https://www.amazon.com/4-Inch-Cushion-Klein-Tools-630-1/dp/B00093DZR8/ref=sr_1_7?keywords=Klein+Tools+646-1%2F4+1%2F4-Inch+Nut+Driver+with+6-Inch+Hollow+Shaft&amp;qid=1694734727&amp;sr=8-7")</f>
        <v/>
      </c>
      <c r="F1823" t="inlineStr">
        <is>
          <t>B00093DZR8</t>
        </is>
      </c>
      <c r="G1823">
        <f>_xludf.IMAGE("https://edmondsonsupply.com/cdn/shop/products/646-1-2_08d87fa9-eac4-4869-8d3b-bb680d4b1d53.jpg?v=1587150676")</f>
        <v/>
      </c>
      <c r="H1823">
        <f>_xludf.IMAGE("https://m.media-amazon.com/images/I/41gchQgPtfL._AC_UL320_.jpg")</f>
        <v/>
      </c>
      <c r="K1823" t="inlineStr">
        <is>
          <t>7.99</t>
        </is>
      </c>
      <c r="L1823" t="n">
        <v>11.97</v>
      </c>
      <c r="M1823" s="1" t="inlineStr">
        <is>
          <t>49.81%</t>
        </is>
      </c>
      <c r="N1823" s="1" t="n">
        <v>0</v>
      </c>
      <c r="O1823" t="n">
        <v>4.8</v>
      </c>
      <c r="P1823" t="n">
        <v>59</v>
      </c>
      <c r="R1823" t="inlineStr">
        <is>
          <t>InStock</t>
        </is>
      </c>
      <c r="S1823" t="inlineStr">
        <is>
          <t>12.1</t>
        </is>
      </c>
      <c r="T1823" t="inlineStr">
        <is>
          <t>4439433740388</t>
        </is>
      </c>
    </row>
    <row r="1824" ht="87" customHeight="1">
      <c r="A1824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1824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1824" t="inlineStr">
        <is>
          <t>Diablo Tools DMAMXCC5010 2 in. x 7 in. SDS-Max Carbide Tipped Core Bit</t>
        </is>
      </c>
      <c r="D1824" t="inlineStr">
        <is>
          <t>Diablo by Freud DMAMX1400 2 in. x 16 in. x 21 in. Rebar Demon SDS-Max 4-Cutter Carbide-Tipped Hammer Bit</t>
        </is>
      </c>
      <c r="E1824" s="2">
        <f>HYPERLINK("https://www.amazon.com/Diablo-SDS-Max-4-Cutter-Carbide-Tipped-Hammer/dp/B089LHKFQ2/ref=sr_1_6?keywords=Diablo+Tools+DMAMXCC5010+2+in.+x+7+in.+SDS-Max+Carbide+Tipped+Core+Bit&amp;qid=1694734911&amp;sr=8-6", "https://www.amazon.com/Diablo-SDS-Max-4-Cutter-Carbide-Tipped-Hammer/dp/B089LHKFQ2/ref=sr_1_6?keywords=Diablo+Tools+DMAMXCC5010+2+in.+x+7+in.+SDS-Max+Carbide+Tipped+Core+Bit&amp;qid=1694734911&amp;sr=8-6")</f>
        <v/>
      </c>
      <c r="F1824" t="inlineStr">
        <is>
          <t>B089LHKFQ2</t>
        </is>
      </c>
      <c r="G1824">
        <f>_xlfn.IMAGE("https://edmondsonsupply.com/cdn/shop/files/kbs61qpkymnshwvx13k1.webp?v=1686583113")</f>
        <v/>
      </c>
      <c r="H1824">
        <f>_xlfn.IMAGE("https://m.media-amazon.com/images/I/61p4Q032qYL._AC_UL320_.jpg")</f>
        <v/>
      </c>
      <c r="K1824" t="inlineStr">
        <is>
          <t>101.49</t>
        </is>
      </c>
      <c r="L1824" t="n">
        <v>151.99</v>
      </c>
      <c r="M1824" s="1" t="inlineStr">
        <is>
          <t>49.76%</t>
        </is>
      </c>
      <c r="N1824" s="7" t="n">
        <v>-0.05</v>
      </c>
      <c r="O1824" t="n">
        <v>4.4</v>
      </c>
      <c r="P1824" t="n">
        <v>4</v>
      </c>
      <c r="R1824" t="inlineStr">
        <is>
          <t>InStock</t>
        </is>
      </c>
      <c r="S1824" t="inlineStr">
        <is>
          <t>161.02</t>
        </is>
      </c>
      <c r="T1824" t="inlineStr">
        <is>
          <t>8004502585560</t>
        </is>
      </c>
    </row>
    <row r="1825" ht="87" customHeight="1">
      <c r="A1825" s="2">
        <f>HYPERLINK("https://edmondsonsupply.com/collections/hvac/products/milwaukee-48-39-0521-18-tpi-band-saw-blade-deep-cut-3-pack", "https://edmondsonsupply.com/collections/hvac/products/milwaukee-48-39-0521-18-tpi-band-saw-blade-deep-cut-3-pack")</f>
        <v/>
      </c>
      <c r="B1825" s="2">
        <f>HYPERLINK("https://edmondsonsupply.com/products/milwaukee-48-39-0521-18-tpi-band-saw-blade-deep-cut-3-pack", "https://edmondsonsupply.com/products/milwaukee-48-39-0521-18-tpi-band-saw-blade-deep-cut-3-pack")</f>
        <v/>
      </c>
      <c r="C1825" t="inlineStr">
        <is>
          <t>Milwaukee 48-39-0521 18 TPI Band Saw Blade, Deep Cut- 3 Pack</t>
        </is>
      </c>
      <c r="D1825" t="inlineStr">
        <is>
          <t>Milwaukee 48-39-0521 3 Pack 18 TPI Compact Portable Band Saw Blade</t>
        </is>
      </c>
      <c r="E1825" s="2">
        <f>HYPERLINK("https://www.amazon.com/Milwaukee-48-39-0521-Compact-Portable-Blade/dp/B002ZC81DO/ref=sr_1_1?keywords=Milwaukee+48-39-0521+18+TPI+Band+Saw+Blade%2C+Deep+Cut-+3+Pack&amp;qid=1694734906&amp;sr=8-1", "https://www.amazon.com/Milwaukee-48-39-0521-Compact-Portable-Blade/dp/B002ZC81DO/ref=sr_1_1?keywords=Milwaukee+48-39-0521+18+TPI+Band+Saw+Blade%2C+Deep+Cut-+3+Pack&amp;qid=1694734906&amp;sr=8-1")</f>
        <v/>
      </c>
      <c r="F1825" t="inlineStr">
        <is>
          <t>B002ZC81DO</t>
        </is>
      </c>
      <c r="G1825">
        <f>_xlfn.IMAGE("https://edmondsonsupply.com/cdn/shop/files/21432_48-39-0510_1.jpg?v=1686932969")</f>
        <v/>
      </c>
      <c r="H1825">
        <f>_xlfn.IMAGE("https://m.media-amazon.com/images/I/41tfNWcm0oL._AC_UL320_.jpg")</f>
        <v/>
      </c>
      <c r="K1825" t="inlineStr">
        <is>
          <t>21.97</t>
        </is>
      </c>
      <c r="L1825" t="n">
        <v>32.9</v>
      </c>
      <c r="M1825" s="1" t="inlineStr">
        <is>
          <t>49.75%</t>
        </is>
      </c>
      <c r="N1825" s="7" t="n">
        <v>-0.08</v>
      </c>
      <c r="O1825" t="n">
        <v>4.3</v>
      </c>
      <c r="P1825" t="n">
        <v>32</v>
      </c>
      <c r="R1825" t="inlineStr">
        <is>
          <t>InStock</t>
        </is>
      </c>
      <c r="S1825" t="inlineStr">
        <is>
          <t>27.9</t>
        </is>
      </c>
      <c r="T1825" t="inlineStr">
        <is>
          <t>8006180339928</t>
        </is>
      </c>
    </row>
    <row r="1826" ht="87" customHeight="1">
      <c r="A1826" s="2">
        <f>HYPERLINK("https://edmondsonsupply.com/collections/hvac/products/midwest-mwt-6510c-left-right-offset-aviation-2-piece-set", "https://edmondsonsupply.com/collections/hvac/products/midwest-mwt-6510c-left-right-offset-aviation-2-piece-set")</f>
        <v/>
      </c>
      <c r="B1826" s="2">
        <f>HYPERLINK("https://edmondsonsupply.com/products/midwest-mwt-6510c-left-right-offset-aviation-2-piece-set", "https://edmondsonsupply.com/products/midwest-mwt-6510c-left-right-offset-aviation-2-piece-set")</f>
        <v/>
      </c>
      <c r="C1826" t="inlineStr">
        <is>
          <t>Midwest MWT-6510C Left &amp; Right Offset Aviation 2-Piece Set</t>
        </is>
      </c>
      <c r="D1826" t="inlineStr">
        <is>
          <t>MIDWEST Aviation Snip - Left and Right Cut Offset Stainless Steel Cutting Shears with Forged Blade &amp; KUSH'N-POWER Comfort Grips - MWT-SS6510C</t>
        </is>
      </c>
      <c r="E1826" s="2">
        <f>HYPERLINK("https://www.amazon.com/MIDWEST-Aviation-Snip-Set-KUSHN-POWER/dp/B07RC7ZBK9/ref=sr_1_3?keywords=Midwest+MWT-6510C+Left+%26+Right+Offset+Aviation+2-Piece+Set&amp;qid=1694734567&amp;sr=8-3", "https://www.amazon.com/MIDWEST-Aviation-Snip-Set-KUSHN-POWER/dp/B07RC7ZBK9/ref=sr_1_3?keywords=Midwest+MWT-6510C+Left+%26+Right+Offset+Aviation+2-Piece+Set&amp;qid=1694734567&amp;sr=8-3")</f>
        <v/>
      </c>
      <c r="F1826" t="inlineStr">
        <is>
          <t>B07RC7ZBK9</t>
        </is>
      </c>
      <c r="G1826">
        <f>_xlfn.IMAGE("https://edmondsonsupply.com/cdn/shop/products/mwt-6510c.jpg?v=1587144863")</f>
        <v/>
      </c>
      <c r="H1826">
        <f>_xlfn.IMAGE("https://m.media-amazon.com/images/I/71438hbSyHL._AC_UL320_.jpg")</f>
        <v/>
      </c>
      <c r="I1826" t="n">
        <v>3</v>
      </c>
      <c r="J1826" t="inlineStr">
        <is>
          <t>the current BB indicates good profit but history has low bb</t>
        </is>
      </c>
      <c r="K1826" t="inlineStr">
        <is>
          <t>46.77</t>
        </is>
      </c>
      <c r="L1826" t="n">
        <v>69.98999999999999</v>
      </c>
      <c r="M1826" s="1" t="inlineStr">
        <is>
          <t>49.65%</t>
        </is>
      </c>
      <c r="N1826" s="7" t="n">
        <v>-0.08</v>
      </c>
      <c r="O1826" t="n">
        <v>4.4</v>
      </c>
      <c r="P1826" t="n">
        <v>1128</v>
      </c>
      <c r="R1826" t="inlineStr">
        <is>
          <t>InStock</t>
        </is>
      </c>
      <c r="S1826" t="inlineStr">
        <is>
          <t>63.63</t>
        </is>
      </c>
      <c r="T1826" t="inlineStr">
        <is>
          <t>3688829616228</t>
        </is>
      </c>
    </row>
    <row r="1827" ht="87" customHeight="1">
      <c r="A1827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1827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1827" t="inlineStr">
        <is>
          <t>ICM Controls ICM289 Furnace Control Board - Replacement for Lennox</t>
        </is>
      </c>
      <c r="D1827" t="inlineStr">
        <is>
          <t>65K29-Lennox ICM Replacement Furnace Control Board</t>
        </is>
      </c>
      <c r="E1827" s="2">
        <f>HYPERLINK("https://www.amazon.com/65K29-Lennox-ICM-Replacement-Furnace-Control/dp/B00G0394AS/ref=sr_1_6?keywords=ICM+Controls+ICM289+Furnace+Control+Board+-+Replacement+for+Lennox&amp;qid=1694734661&amp;sr=8-6", "https://www.amazon.com/65K29-Lennox-ICM-Replacement-Furnace-Control/dp/B00G0394AS/ref=sr_1_6?keywords=ICM+Controls+ICM289+Furnace+Control+Board+-+Replacement+for+Lennox&amp;qid=1694734661&amp;sr=8-6")</f>
        <v/>
      </c>
      <c r="F1827" t="inlineStr">
        <is>
          <t>B00G0394AS</t>
        </is>
      </c>
      <c r="G1827">
        <f>_xlfn.IMAGE("https://edmondsonsupply.com/cdn/shop/products/photo_3601_medium_abc82be0-5d13-465a-9be5-04a6748e2d27.png?v=1656728911")</f>
        <v/>
      </c>
      <c r="H1827">
        <f>_xlfn.IMAGE("https://m.media-amazon.com/images/I/51FAYYdFMhL._AC_UL320_.jpg")</f>
        <v/>
      </c>
      <c r="K1827" t="inlineStr">
        <is>
          <t>134.99</t>
        </is>
      </c>
      <c r="L1827" t="n">
        <v>201.99</v>
      </c>
      <c r="M1827" s="1" t="inlineStr">
        <is>
          <t>49.63%</t>
        </is>
      </c>
      <c r="N1827" s="7" t="n">
        <v>-0.13</v>
      </c>
      <c r="O1827" t="n">
        <v>5</v>
      </c>
      <c r="P1827" t="n">
        <v>1</v>
      </c>
      <c r="R1827" t="inlineStr">
        <is>
          <t>OutOfStock</t>
        </is>
      </c>
      <c r="S1827" t="inlineStr">
        <is>
          <t>198.98</t>
        </is>
      </c>
      <c r="T1827" t="inlineStr">
        <is>
          <t>7735114432728</t>
        </is>
      </c>
    </row>
    <row r="1828" ht="87" customHeight="1">
      <c r="A1828" s="2">
        <f>HYPERLINK("https://edmondsonsupply.com/collections/hvac/products/hilmor-1839032-cbk-compact-bender-kit-1-4-to-7-8", "https://edmondsonsupply.com/collections/hvac/products/hilmor-1839032-cbk-compact-bender-kit-1-4-to-7-8")</f>
        <v/>
      </c>
      <c r="B1828" s="2">
        <f>HYPERLINK("https://edmondsonsupply.com/products/hilmor-1839032-cbk-compact-bender-kit-1-4-to-7-8", "https://edmondsonsupply.com/products/hilmor-1839032-cbk-compact-bender-kit-1-4-to-7-8")</f>
        <v/>
      </c>
      <c r="C1828" t="inlineStr">
        <is>
          <t>Hilmor 1839032 CBK Compact Bender Kit - 1/4" to 7/8"</t>
        </is>
      </c>
      <c r="D1828" t="inlineStr">
        <is>
          <t>hilmor Compact Bender Kit with Reverse Bending Attachment for 1/4" - 7/8" Tube and Pipe Bending, Black, CBKRB 1926598 and 2.75" 1/4 &amp; 5/16 Reversible Magnetic Nut Driver, 3-Pack</t>
        </is>
      </c>
      <c r="E1828" s="2">
        <f>HYPERLINK("https://www.amazon.com/hilmor-Compact-Reverse-Bending-Attachment/dp/B0BQ5F2JVJ/ref=sr_1_3?keywords=Hilmor+1839032+CBK+Compact+Bender+Kit+-+1%2F4+to+7%2F8&amp;qid=1694734585&amp;sr=8-3", "https://www.amazon.com/hilmor-Compact-Reverse-Bending-Attachment/dp/B0BQ5F2JVJ/ref=sr_1_3?keywords=Hilmor+1839032+CBK+Compact+Bender+Kit+-+1%2F4+to+7%2F8&amp;qid=1694734585&amp;sr=8-3")</f>
        <v/>
      </c>
      <c r="F1828" t="inlineStr">
        <is>
          <t>B0BQ5F2JVJ</t>
        </is>
      </c>
      <c r="G1828">
        <f>_xlfn.IMAGE("https://edmondsonsupply.com/cdn/shop/products/Compact_Bender_Detail_5_724px_Compact_Bender_Kit-600x400_3831f819-be7d-4c1e-971e-3b6358aeff8e.jpg?v=1620520717")</f>
        <v/>
      </c>
      <c r="H1828">
        <f>_xlfn.IMAGE("https://m.media-amazon.com/images/I/51hyNMjbjEL._AC_UL320_.jpg")</f>
        <v/>
      </c>
      <c r="K1828" t="inlineStr">
        <is>
          <t>191.8</t>
        </is>
      </c>
      <c r="L1828" t="n">
        <v>286.99</v>
      </c>
      <c r="M1828" s="1" t="inlineStr">
        <is>
          <t>49.63%</t>
        </is>
      </c>
      <c r="N1828" s="7" t="n">
        <v>-0.16</v>
      </c>
      <c r="O1828" t="n">
        <v>5</v>
      </c>
      <c r="P1828" t="n">
        <v>1</v>
      </c>
      <c r="R1828" t="inlineStr">
        <is>
          <t>InStock</t>
        </is>
      </c>
      <c r="S1828" t="inlineStr">
        <is>
          <t>655.72</t>
        </is>
      </c>
      <c r="T1828" t="inlineStr">
        <is>
          <t>2097359749220</t>
        </is>
      </c>
    </row>
    <row r="1829" ht="87" customHeight="1">
      <c r="A1829" s="2">
        <f>HYPERLINK("https://edmondsonsupply.com/collections/hvac/products/fresh-aire-uv-blue-tube-uv-tuv-bter2-18-32-vac-2-year-uv-lamp", "https://edmondsonsupply.com/collections/hvac/products/fresh-aire-uv-blue-tube-uv-tuv-bter2-18-32-vac-2-year-uv-lamp")</f>
        <v/>
      </c>
      <c r="B1829" s="2">
        <f>HYPERLINK("https://edmondsonsupply.com/products/fresh-aire-uv-blue-tube-uv-tuv-bter2-18-32-vac-2-year-uv-lamp", "https://edmondsonsupply.com/products/fresh-aire-uv-blue-tube-uv-tuv-bter2-18-32-vac-2-year-uv-lamp")</f>
        <v/>
      </c>
      <c r="C1829" t="inlineStr">
        <is>
          <t>Fresh-Aire UV Blue-Tube UV TUV-BTER2 18-32 VAC, 2-Year UV Lamp</t>
        </is>
      </c>
      <c r="D1829" t="inlineStr">
        <is>
          <t>Fresh-Aire UV Blue-Tube UV Low Voltage (24-32V) UV System with 2 Year UV-C Lamp</t>
        </is>
      </c>
      <c r="E1829" s="2">
        <f>HYPERLINK("https://www.amazon.com/Fresh-Aire-Blue-Tube-UV-Voltage-germicidal/dp/B014MNU0Z0/ref=sr_1_1?keywords=Fresh-Aire+UV+Blue-Tube+UV+TUV-BTER2+18-32+VAC%2C+2-Year+UV+Lamp&amp;qid=1694734567&amp;sr=8-1", "https://www.amazon.com/Fresh-Aire-Blue-Tube-UV-Voltage-germicidal/dp/B014MNU0Z0/ref=sr_1_1?keywords=Fresh-Aire+UV+Blue-Tube+UV+TUV-BTER2+18-32+VAC%2C+2-Year+UV+Lamp&amp;qid=1694734567&amp;sr=8-1")</f>
        <v/>
      </c>
      <c r="F1829" t="inlineStr">
        <is>
          <t>B014MNU0Z0</t>
        </is>
      </c>
      <c r="G1829">
        <f>_xlfn.IMAGE("https://edmondsonsupply.com/cdn/shop/products/apco_tuv-bter2__lamp.jpg?v=1587145673")</f>
        <v/>
      </c>
      <c r="H1829">
        <f>_xlfn.IMAGE("https://m.media-amazon.com/images/I/51KvZNQtFiL._AC_UL320_.jpg")</f>
        <v/>
      </c>
      <c r="K1829" t="inlineStr">
        <is>
          <t>193.99</t>
        </is>
      </c>
      <c r="L1829" t="n">
        <v>289.89</v>
      </c>
      <c r="M1829" s="1" t="inlineStr">
        <is>
          <t>49.44%</t>
        </is>
      </c>
      <c r="N1829" s="7" t="n">
        <v>-0.3</v>
      </c>
      <c r="O1829" t="n">
        <v>4.3</v>
      </c>
      <c r="P1829" t="n">
        <v>22</v>
      </c>
      <c r="R1829" t="inlineStr">
        <is>
          <t>InStock</t>
        </is>
      </c>
      <c r="S1829" t="inlineStr">
        <is>
          <t>undefined</t>
        </is>
      </c>
      <c r="T1829" t="inlineStr">
        <is>
          <t>4439449436260</t>
        </is>
      </c>
    </row>
    <row r="1830" hidden="1" ht="15.75" customHeight="1">
      <c r="A1830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830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830" t="inlineStr">
        <is>
          <t>Klein Tools JTH6E14 5/16-Inch Hex Key with Journeyman T-Handle, 6-Inch</t>
        </is>
      </c>
      <c r="D1830" t="inlineStr">
        <is>
          <t>Klein Tools JTH6T15 T15 TORX Hex Key, Journeyman T-Handle, 6-Inch</t>
        </is>
      </c>
      <c r="E1830" s="2">
        <f>HYPERLINK("https://www.amazon.com/Journeyman-T-Handle-Klein-Tools-JTH6T15/dp/B005G3B43I/ref=sr_1_8?keywords=Klein+Tools+JTH6E14+5%2F16-Inch+Hex+Key+with+Journeyman+T-Handle%2C+6-Inch&amp;qid=1694734648&amp;sr=8-8", "https://www.amazon.com/Journeyman-T-Handle-Klein-Tools-JTH6T15/dp/B005G3B43I/ref=sr_1_8?keywords=Klein+Tools+JTH6E14+5%2F16-Inch+Hex+Key+with+Journeyman+T-Handle%2C+6-Inch&amp;qid=1694734648&amp;sr=8-8")</f>
        <v/>
      </c>
      <c r="F1830" t="inlineStr">
        <is>
          <t>B005G3B43I</t>
        </is>
      </c>
      <c r="G1830">
        <f>_xludf.IMAGE("https://edmondsonsupply.com/cdn/shop/products/jth6e15.jpg?v=1587148489")</f>
        <v/>
      </c>
      <c r="H1830">
        <f>_xludf.IMAGE("https://m.media-amazon.com/images/I/51Xj0Vsb-EL._AC_UL320_.jpg")</f>
        <v/>
      </c>
      <c r="K1830" t="inlineStr">
        <is>
          <t>6.99</t>
        </is>
      </c>
      <c r="L1830" t="n">
        <v>10.44</v>
      </c>
      <c r="M1830" s="1" t="inlineStr">
        <is>
          <t>49.36%</t>
        </is>
      </c>
      <c r="N1830" s="1" t="n">
        <v>-0.3</v>
      </c>
      <c r="O1830" t="n">
        <v>4.6</v>
      </c>
      <c r="P1830" t="n">
        <v>231</v>
      </c>
      <c r="R1830" t="inlineStr">
        <is>
          <t>InStock</t>
        </is>
      </c>
      <c r="S1830" t="inlineStr">
        <is>
          <t>10.5</t>
        </is>
      </c>
      <c r="T1830" t="inlineStr">
        <is>
          <t>3694843822180</t>
        </is>
      </c>
    </row>
    <row r="1831" hidden="1" ht="15.75" customHeight="1">
      <c r="A1831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1831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1831" t="inlineStr">
        <is>
          <t>Klein Tools JTH6E11 3/16-Inch Hex Key, Journeyman T-Handle, 6-Inch</t>
        </is>
      </c>
      <c r="D1831" t="inlineStr">
        <is>
          <t>Klein Tools JTH9E14 5/16-Inch Hex Key, Journeyman T-Handle, 9-Inch</t>
        </is>
      </c>
      <c r="E1831" s="2">
        <f>HYPERLINK("https://www.amazon.com/Journeyman-T-Handle-Klein-Tools-JTH9E14/dp/B004QVAH4I/ref=sr_1_10?keywords=Klein+Tools+JTH6E11+3%2F16-Inch+Hex+Key%2C+Journeyman+T-Handle%2C+6-Inch&amp;qid=1694734729&amp;sr=8-10", "https://www.amazon.com/Journeyman-T-Handle-Klein-Tools-JTH9E14/dp/B004QVAH4I/ref=sr_1_10?keywords=Klein+Tools+JTH6E11+3%2F16-Inch+Hex+Key%2C+Journeyman+T-Handle%2C+6-Inch&amp;qid=1694734729&amp;sr=8-10")</f>
        <v/>
      </c>
      <c r="F1831" t="inlineStr">
        <is>
          <t>B004QVAH4I</t>
        </is>
      </c>
      <c r="G1831">
        <f>_xludf.IMAGE("https://edmondsonsupply.com/cdn/shop/products/jth6e15_0266106d-0a3b-44ba-997b-66db7749d83f.jpg?v=1587144829")</f>
        <v/>
      </c>
      <c r="H1831">
        <f>_xludf.IMAGE("https://m.media-amazon.com/images/I/51Yb8h41vLL._AC_UL320_.jpg")</f>
        <v/>
      </c>
      <c r="K1831" t="inlineStr">
        <is>
          <t>4.99</t>
        </is>
      </c>
      <c r="L1831" t="n">
        <v>7.44</v>
      </c>
      <c r="M1831" s="1" t="inlineStr">
        <is>
          <t>49.10%</t>
        </is>
      </c>
      <c r="N1831" s="1" t="n">
        <v>-0.58</v>
      </c>
      <c r="O1831" t="n">
        <v>4.8</v>
      </c>
      <c r="P1831" t="n">
        <v>114</v>
      </c>
      <c r="R1831" t="inlineStr">
        <is>
          <t>InStock</t>
        </is>
      </c>
      <c r="S1831" t="inlineStr">
        <is>
          <t>7.56</t>
        </is>
      </c>
      <c r="T1831" t="inlineStr">
        <is>
          <t>4396293947492</t>
        </is>
      </c>
    </row>
    <row r="1832" hidden="1" ht="15.75" customHeight="1">
      <c r="A1832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832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832" t="inlineStr">
        <is>
          <t>Klein Tools JTH4E11 3/16-Inch Hex Key with Journeyman T-Handle, 4-Inch</t>
        </is>
      </c>
      <c r="D1832" t="inlineStr">
        <is>
          <t>Klein Tools JTH9E14 5/16-Inch Hex Key, Journeyman T-Handle, 9-Inch</t>
        </is>
      </c>
      <c r="E1832" s="2">
        <f>HYPERLINK("https://www.amazon.com/Journeyman-T-Handle-Klein-Tools-JTH9E14/dp/B004QVAH4I/ref=sr_1_4?keywords=Klein+Tools+JTH4E11+3%2F16-Inch+Hex+Key+with+Journeyman+T-Handle%2C+4-Inch&amp;qid=1694734725&amp;sr=8-4", "https://www.amazon.com/Journeyman-T-Handle-Klein-Tools-JTH9E14/dp/B004QVAH4I/ref=sr_1_4?keywords=Klein+Tools+JTH4E11+3%2F16-Inch+Hex+Key+with+Journeyman+T-Handle%2C+4-Inch&amp;qid=1694734725&amp;sr=8-4")</f>
        <v/>
      </c>
      <c r="F1832" t="inlineStr">
        <is>
          <t>B004QVAH4I</t>
        </is>
      </c>
      <c r="G1832">
        <f>_xludf.IMAGE("https://edmondsonsupply.com/cdn/shop/products/jth4e17.jpg?v=1587144836")</f>
        <v/>
      </c>
      <c r="H1832">
        <f>_xludf.IMAGE("https://m.media-amazon.com/images/I/51Yb8h41vLL._AC_UL320_.jpg")</f>
        <v/>
      </c>
      <c r="K1832" t="inlineStr">
        <is>
          <t>4.99</t>
        </is>
      </c>
      <c r="L1832" t="n">
        <v>7.44</v>
      </c>
      <c r="M1832" s="1" t="inlineStr">
        <is>
          <t>49.10%</t>
        </is>
      </c>
      <c r="N1832" s="1" t="n">
        <v>-0.63</v>
      </c>
      <c r="O1832" t="n">
        <v>4.8</v>
      </c>
      <c r="P1832" t="n">
        <v>114</v>
      </c>
      <c r="R1832" t="inlineStr">
        <is>
          <t>InStock</t>
        </is>
      </c>
      <c r="S1832" t="inlineStr">
        <is>
          <t>7.6</t>
        </is>
      </c>
      <c r="T1832" t="inlineStr">
        <is>
          <t>4432217964644</t>
        </is>
      </c>
    </row>
    <row r="1833" ht="87" customHeight="1">
      <c r="A1833" s="2">
        <f>HYPERLINK("https://edmondsonsupply.com/collections/hvac/products/yellow-jacket-63331-alloy-ratchet-tube-bender-kit", "https://edmondsonsupply.com/collections/hvac/products/yellow-jacket-63331-alloy-ratchet-tube-bender-kit")</f>
        <v/>
      </c>
      <c r="B1833" s="2">
        <f>HYPERLINK("https://edmondsonsupply.com/products/yellow-jacket-63331-alloy-ratchet-tube-bender-kit", "https://edmondsonsupply.com/products/yellow-jacket-63331-alloy-ratchet-tube-bender-kit")</f>
        <v/>
      </c>
      <c r="C1833" t="inlineStr">
        <is>
          <t>Yellow Jacket 63331 Alloy Ratchet Tube Bender Kit</t>
        </is>
      </c>
      <c r="D1833" t="inlineStr">
        <is>
          <t>Yellow Jacket 63325 - Deluxe Alloy Ratchet Tube Bender Kit</t>
        </is>
      </c>
      <c r="E1833" s="2">
        <f>HYPERLINK("https://www.amazon.com/Yellow-Jacket-63325-Deluxe-Ratchet/dp/B08SFZP9W2/ref=sr_1_2?keywords=Yellow+Jacket+63331+Alloy+Ratchet+Tube+Bender+Kit&amp;qid=1694734764&amp;sr=8-2", "https://www.amazon.com/Yellow-Jacket-63325-Deluxe-Ratchet/dp/B08SFZP9W2/ref=sr_1_2?keywords=Yellow+Jacket+63331+Alloy+Ratchet+Tube+Bender+Kit&amp;qid=1694734764&amp;sr=8-2")</f>
        <v/>
      </c>
      <c r="F1833" t="inlineStr">
        <is>
          <t>B08SFZP9W2</t>
        </is>
      </c>
      <c r="G1833">
        <f>_xlfn.IMAGE("https://edmondsonsupply.com/cdn/shop/products/63331_3.jpg?v=1651518442")</f>
        <v/>
      </c>
      <c r="H1833">
        <f>_xlfn.IMAGE("https://m.media-amazon.com/images/I/71vDAZWbQ8L._AC_UL320_.jpg")</f>
        <v/>
      </c>
      <c r="K1833" t="inlineStr">
        <is>
          <t>241.83</t>
        </is>
      </c>
      <c r="L1833" t="n">
        <v>360.56</v>
      </c>
      <c r="M1833" s="1" t="inlineStr">
        <is>
          <t>49.10%</t>
        </is>
      </c>
      <c r="N1833" s="7" t="n">
        <v>-0.67</v>
      </c>
      <c r="O1833" t="n">
        <v>4.8</v>
      </c>
      <c r="P1833" t="n">
        <v>50</v>
      </c>
      <c r="R1833" t="inlineStr">
        <is>
          <t>InStock</t>
        </is>
      </c>
      <c r="S1833" t="inlineStr">
        <is>
          <t>undefined</t>
        </is>
      </c>
      <c r="T1833" t="inlineStr">
        <is>
          <t>7567505588440</t>
        </is>
      </c>
    </row>
    <row r="1834" ht="87" customHeight="1">
      <c r="A1834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1834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1834" t="inlineStr">
        <is>
          <t>Diablo Tools DMAMX1300 1-1/4 in. x 16 in. x 21 in. Rebar Demon™ SDS-Max 4-Cutter Full Carbide Head Hammer Drill Bit</t>
        </is>
      </c>
      <c r="D1834" t="inlineStr">
        <is>
          <t>Diablo DMAMX1360 1-1/2 in. x 16 in. x 21 in. Rebar Demon™ SDS-Max 4-Cutter Carbide-Tipped Hammer Bit</t>
        </is>
      </c>
      <c r="E1834" s="2">
        <f>HYPERLINK("https://www.amazon.com/Diablo-SDS-Max-4-Cutter-Carbide-Tipped-Hammer/dp/B089KXF4R5/ref=sr_1_8?keywords=Diablo+Tools+DMAMX1300+1-1%2F4+in.+x+16+in.+x+21+in.+Rebar+Demon%E2%84%A2+SDS-Max+4-Cutter+Full+Carbide+Head+Hammer+Drill+Bit&amp;qid=1694734676&amp;sr=8-8", "https://www.amazon.com/Diablo-SDS-Max-4-Cutter-Carbide-Tipped-Hammer/dp/B089KXF4R5/ref=sr_1_8?keywords=Diablo+Tools+DMAMX1300+1-1%2F4+in.+x+16+in.+x+21+in.+Rebar+Demon%E2%84%A2+SDS-Max+4-Cutter+Full+Carbide+Head+Hammer+Drill+Bit&amp;qid=1694734676&amp;sr=8-8")</f>
        <v/>
      </c>
      <c r="F1834" t="inlineStr">
        <is>
          <t>B089KXF4R5</t>
        </is>
      </c>
      <c r="G1834">
        <f>_xlfn.IMAGE("https://edmondsonsupply.com/cdn/shop/files/immoyh7jjmbau4fzhuq6_7dd7fd73-2865-4c12-9443-da45b48dbd51.webp?v=1685465465")</f>
        <v/>
      </c>
      <c r="H1834">
        <f>_xlfn.IMAGE("https://m.media-amazon.com/images/I/61MTkJ-cWaL._AC_UL320_.jpg")</f>
        <v/>
      </c>
      <c r="K1834" t="inlineStr">
        <is>
          <t>66.4</t>
        </is>
      </c>
      <c r="L1834" t="n">
        <v>98.98999999999999</v>
      </c>
      <c r="M1834" s="1" t="inlineStr">
        <is>
          <t>49.08%</t>
        </is>
      </c>
      <c r="N1834" s="7" t="n">
        <v>-0.76</v>
      </c>
      <c r="O1834" t="n">
        <v>5</v>
      </c>
      <c r="P1834" t="n">
        <v>5</v>
      </c>
      <c r="R1834" t="inlineStr">
        <is>
          <t>OutOfStock</t>
        </is>
      </c>
      <c r="S1834" t="inlineStr">
        <is>
          <t>105.4</t>
        </is>
      </c>
      <c r="T1834" t="inlineStr">
        <is>
          <t>7997856874712</t>
        </is>
      </c>
    </row>
    <row r="1835" hidden="1" ht="15.75" customHeight="1">
      <c r="A1835" s="2">
        <f>HYPERLINK("https://edmondsonsupply.com/collections/hvac/products/packard-titan-pro-trcd455-run-capacitor-45-5-mfd-370-volt-round", "https://edmondsonsupply.com/collections/hvac/products/packard-titan-pro-trcd455-run-capacitor-45-5-mfd-370-volt-round")</f>
        <v/>
      </c>
      <c r="B1835" s="2">
        <f>HYPERLINK("https://edmondsonsupply.com/products/packard-titan-pro-trcd455-run-capacitor-45-5-mfd-370-volt-round", "https://edmondsonsupply.com/products/packard-titan-pro-trcd455-run-capacitor-45-5-mfd-370-volt-round")</f>
        <v/>
      </c>
      <c r="C1835" t="inlineStr">
        <is>
          <t>Packard Titan PRO TRCD455 Run Capacitor 45+5 MFD 370 Volt, Round</t>
        </is>
      </c>
      <c r="D1835" t="inlineStr">
        <is>
          <t>PACKARD TRCD455 Titan Pro 45+5 MFD 370V Round Run Capacitor Replaces PRCD455</t>
        </is>
      </c>
      <c r="E1835" s="2">
        <f>HYPERLINK("https://www.amazon.com/PACKARD-TRCD455-Capacitor-Replaces-PRCD455/dp/B00K3M3NQ8/ref=sr_1_1?keywords=Packard+Titan+PRO+TRCD455+Run+Capacitor+45%2B5+MFD+370+Volt%2C+Round&amp;qid=1694734586&amp;sr=8-1", "https://www.amazon.com/PACKARD-TRCD455-Capacitor-Replaces-PRCD455/dp/B00K3M3NQ8/ref=sr_1_1?keywords=Packard+Titan+PRO+TRCD455+Run+Capacitor+45%2B5+MFD+370+Volt%2C+Round&amp;qid=1694734586&amp;sr=8-1")</f>
        <v/>
      </c>
      <c r="F1835" t="inlineStr">
        <is>
          <t>B00K3M3NQ8</t>
        </is>
      </c>
      <c r="G1835">
        <f>_xludf.IMAGE("https://edmondsonsupply.com/cdn/shop/products/TRCD455-2.jpg?v=1633030398")</f>
        <v/>
      </c>
      <c r="H1835">
        <f>_xludf.IMAGE("https://m.media-amazon.com/images/I/4118O3-fIGL._AC_UY218_.jpg")</f>
        <v/>
      </c>
      <c r="K1835" t="inlineStr">
        <is>
          <t>9.39</t>
        </is>
      </c>
      <c r="L1835" t="n">
        <v>13.99</v>
      </c>
      <c r="M1835" s="1" t="inlineStr">
        <is>
          <t>48.99%</t>
        </is>
      </c>
      <c r="N1835" s="1" t="n">
        <v>-0.8</v>
      </c>
      <c r="O1835" t="n">
        <v>4.4</v>
      </c>
      <c r="P1835" t="n">
        <v>140</v>
      </c>
      <c r="R1835" t="inlineStr">
        <is>
          <t>InStock</t>
        </is>
      </c>
      <c r="S1835" t="inlineStr">
        <is>
          <t>undefined</t>
        </is>
      </c>
      <c r="T1835" t="inlineStr">
        <is>
          <t>5302371090600</t>
        </is>
      </c>
    </row>
    <row r="1836" hidden="1" ht="15.75" customHeight="1">
      <c r="A1836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1836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1836" t="inlineStr">
        <is>
          <t>Klein Tools JTH6E11 3/16-Inch Hex Key, Journeyman T-Handle, 6-Inch</t>
        </is>
      </c>
      <c r="D1836" t="inlineStr">
        <is>
          <t>Klein Tools JTH6M5BE 5 mm Ball-End Hex Key, Journeyman T-Handle, 6-Inch</t>
        </is>
      </c>
      <c r="E1836" s="2">
        <f>HYPERLINK("https://www.amazon.com/Journeyman-T-Handle-Klein-Tools-JTH6M5BE/dp/B005G3959S/ref=sr_1_6?keywords=Klein+Tools+JTH6E11+3%2F16-Inch+Hex+Key%2C+Journeyman+T-Handle%2C+6-Inch&amp;qid=1694734729&amp;sr=8-6", "https://www.amazon.com/Journeyman-T-Handle-Klein-Tools-JTH6M5BE/dp/B005G3959S/ref=sr_1_6?keywords=Klein+Tools+JTH6E11+3%2F16-Inch+Hex+Key%2C+Journeyman+T-Handle%2C+6-Inch&amp;qid=1694734729&amp;sr=8-6")</f>
        <v/>
      </c>
      <c r="F1836" t="inlineStr">
        <is>
          <t>B005G3959S</t>
        </is>
      </c>
      <c r="G1836">
        <f>_xludf.IMAGE("https://edmondsonsupply.com/cdn/shop/products/jth6e15_0266106d-0a3b-44ba-997b-66db7749d83f.jpg?v=1587144829")</f>
        <v/>
      </c>
      <c r="H1836">
        <f>_xludf.IMAGE("https://m.media-amazon.com/images/I/51huXA+ij8L._AC_UL320_.jpg")</f>
        <v/>
      </c>
      <c r="K1836" t="inlineStr">
        <is>
          <t>4.99</t>
        </is>
      </c>
      <c r="L1836" t="n">
        <v>7.43</v>
      </c>
      <c r="M1836" s="1" t="inlineStr">
        <is>
          <t>48.90%</t>
        </is>
      </c>
      <c r="N1836" s="1" t="n">
        <v>-0.98</v>
      </c>
      <c r="O1836" t="n">
        <v>4.8</v>
      </c>
      <c r="P1836" t="n">
        <v>985</v>
      </c>
      <c r="R1836" t="inlineStr">
        <is>
          <t>InStock</t>
        </is>
      </c>
      <c r="S1836" t="inlineStr">
        <is>
          <t>7.56</t>
        </is>
      </c>
      <c r="T1836" t="inlineStr">
        <is>
          <t>4396293947492</t>
        </is>
      </c>
    </row>
    <row r="1837" ht="87" customHeight="1">
      <c r="A1837" s="2">
        <f>HYPERLINK("https://edmondsonsupply.com/collections/hvac/products/fluke-62-max-mini-infrared-thermometer", "https://edmondsonsupply.com/collections/hvac/products/fluke-62-max-mini-infrared-thermometer")</f>
        <v/>
      </c>
      <c r="B1837" s="2">
        <f>HYPERLINK("https://edmondsonsupply.com/products/fluke-62-max-mini-infrared-thermometer", "https://edmondsonsupply.com/products/fluke-62-max-mini-infrared-thermometer")</f>
        <v/>
      </c>
      <c r="C1837" t="inlineStr">
        <is>
          <t>Fluke 62 MAX Mini Infrared Thermometer</t>
        </is>
      </c>
      <c r="D1837" t="inlineStr">
        <is>
          <t>Fluke 62 Max+ Infrared Thermometer (Not for human temp), -20 to +1202 Degree F Range</t>
        </is>
      </c>
      <c r="E1837" s="2">
        <f>HYPERLINK("https://www.amazon.com/Fluke-MAX-Thermometer-Contact-Degree/dp/B0089N2ZH6/ref=sr_1_6?keywords=Fluke+62+MAX+Mini+Infrared+Thermometer&amp;qid=1694734710&amp;sr=8-6", "https://www.amazon.com/Fluke-MAX-Thermometer-Contact-Degree/dp/B0089N2ZH6/ref=sr_1_6?keywords=Fluke+62+MAX+Mini+Infrared+Thermometer&amp;qid=1694734710&amp;sr=8-6")</f>
        <v/>
      </c>
      <c r="F1837" t="inlineStr">
        <is>
          <t>B0089N2ZH6</t>
        </is>
      </c>
      <c r="G1837">
        <f>_xlfn.IMAGE("https://edmondsonsupply.com/cdn/shop/products/62max.jpg?v=1633030769")</f>
        <v/>
      </c>
      <c r="H1837">
        <f>_xlfn.IMAGE("https://m.media-amazon.com/images/I/61s2T8Q6l2L._AC_UY218_.jpg")</f>
        <v/>
      </c>
      <c r="K1837" t="inlineStr">
        <is>
          <t>122.99</t>
        </is>
      </c>
      <c r="L1837" t="n">
        <v>182.91</v>
      </c>
      <c r="M1837" s="1" t="inlineStr">
        <is>
          <t>48.72%</t>
        </is>
      </c>
      <c r="N1837" s="7" t="n">
        <v>-1.05</v>
      </c>
      <c r="O1837" t="n">
        <v>4.6</v>
      </c>
      <c r="P1837" t="n">
        <v>863</v>
      </c>
      <c r="R1837" t="inlineStr">
        <is>
          <t>OutOfStock</t>
        </is>
      </c>
      <c r="S1837" t="inlineStr">
        <is>
          <t>134.99</t>
        </is>
      </c>
      <c r="T1837" t="inlineStr">
        <is>
          <t>5931906334888</t>
        </is>
      </c>
    </row>
    <row r="1838" hidden="1" ht="15.75" customHeight="1">
      <c r="A1838" s="2">
        <f>HYPERLINK("https://edmondsonsupply.com/collections/hvac/products/milwaukee-48-25-1372-1-3-8-self-feed-wood-bit", "https://edmondsonsupply.com/collections/hvac/products/milwaukee-48-25-1372-1-3-8-self-feed-wood-bit")</f>
        <v/>
      </c>
      <c r="B1838" s="2">
        <f>HYPERLINK("https://edmondsonsupply.com/products/milwaukee-48-25-1372-1-3-8-self-feed-wood-bit", "https://edmondsonsupply.com/products/milwaukee-48-25-1372-1-3-8-self-feed-wood-bit")</f>
        <v/>
      </c>
      <c r="C1838" t="inlineStr">
        <is>
          <t>Milwaukee 48-25-1372 1-3/8" Self Feed Wood Bit</t>
        </is>
      </c>
      <c r="D1838" t="inlineStr">
        <is>
          <t>Milwaukee Accessory 48255320 Switchblade 10 Pack Replacement Switchblade Selfeed Wood Bit Set</t>
        </is>
      </c>
      <c r="E1838" s="2">
        <f>HYPERLINK("https://www.amazon.com/Milwaukee-Accessory-48255320-Switchblade-Replacement/dp/B004QAXFHU/ref=sr_1_18?keywords=Milwaukee+48-25-1372+1-3%2F8%22+Self+Feed+Wood+Bit&amp;qid=1694734814&amp;sr=8-18", "https://www.amazon.com/Milwaukee-Accessory-48255320-Switchblade-Replacement/dp/B004QAXFHU/ref=sr_1_18?keywords=Milwaukee+48-25-1372+1-3%2F8%22+Self+Feed+Wood+Bit&amp;qid=1694734814&amp;sr=8-18")</f>
        <v/>
      </c>
      <c r="F1838" t="inlineStr">
        <is>
          <t>B004QAXFHU</t>
        </is>
      </c>
      <c r="G1838">
        <f>_xludf.IMAGE("https://edmondsonsupply.com/cdn/shop/products/milwaukee-auger-bits-48-25-1372-64_1000.jpg?v=1587150001")</f>
        <v/>
      </c>
      <c r="H1838">
        <f>_xludf.IMAGE("https://m.media-amazon.com/images/I/518pvZpA6pL._AC_UL320_.jpg")</f>
        <v/>
      </c>
      <c r="K1838" t="inlineStr">
        <is>
          <t>34.99</t>
        </is>
      </c>
      <c r="L1838" t="n">
        <v>52</v>
      </c>
      <c r="M1838" s="1" t="inlineStr">
        <is>
          <t>48.61%</t>
        </is>
      </c>
      <c r="N1838" s="1" t="n">
        <v>-1.16</v>
      </c>
      <c r="O1838" t="n">
        <v>3.4</v>
      </c>
      <c r="P1838" t="n">
        <v>6</v>
      </c>
      <c r="R1838" t="inlineStr">
        <is>
          <t>InStock</t>
        </is>
      </c>
      <c r="S1838" t="inlineStr">
        <is>
          <t>43.2</t>
        </is>
      </c>
      <c r="T1838" t="inlineStr">
        <is>
          <t>4364850102372</t>
        </is>
      </c>
    </row>
    <row r="1839" ht="87" customHeight="1">
      <c r="A1839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1839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1839" t="inlineStr">
        <is>
          <t>Yellow Jacket 42001 Series 41 Manifold Only, 3-1/8" Gauges - R-22 / 404A / 410A</t>
        </is>
      </c>
      <c r="D1839" t="inlineStr">
        <is>
          <t>Yellow Jacket 42332 Series 41 Deluxe Manifold with Class 1 Brass Gauges, Manifold Only, psi</t>
        </is>
      </c>
      <c r="E1839" s="2">
        <f>HYPERLINK("https://www.amazon.com/Yellow-Jacket-42332-Deluxe-Manifold/dp/B0039L81JY/ref=sr_1_19?keywords=Yellow+Jacket+42001+Series+41+Manifold+Only%2C+3-1%2F8%22+Gauges+-+R-22+%2F+404A+%2F+410A&amp;qid=1694734681&amp;sr=8-19", "https://www.amazon.com/Yellow-Jacket-42332-Deluxe-Manifold/dp/B0039L81JY/ref=sr_1_19?keywords=Yellow+Jacket+42001+Series+41+Manifold+Only%2C+3-1%2F8%22+Gauges+-+R-22+%2F+404A+%2F+410A&amp;qid=1694734681&amp;sr=8-19")</f>
        <v/>
      </c>
      <c r="F1839" t="inlineStr">
        <is>
          <t>B0039L81JY</t>
        </is>
      </c>
      <c r="G1839">
        <f>_xlfn.IMAGE("https://edmondsonsupply.com/cdn/shop/products/series-41-manifolds-with-318-gauges.jpg?v=1633030025")</f>
        <v/>
      </c>
      <c r="H1839">
        <f>_xlfn.IMAGE("https://m.media-amazon.com/images/I/51eFaEqGYwL._AC_UL320_.jpg")</f>
        <v/>
      </c>
      <c r="K1839" t="inlineStr">
        <is>
          <t>97.77</t>
        </is>
      </c>
      <c r="L1839" t="n">
        <v>145.15</v>
      </c>
      <c r="M1839" s="1" t="inlineStr">
        <is>
          <t>48.46%</t>
        </is>
      </c>
      <c r="N1839" s="7" t="n">
        <v>-1.3</v>
      </c>
      <c r="O1839" t="n">
        <v>4.6</v>
      </c>
      <c r="P1839" t="n">
        <v>5</v>
      </c>
      <c r="R1839" t="inlineStr">
        <is>
          <t>InStock</t>
        </is>
      </c>
      <c r="S1839" t="inlineStr">
        <is>
          <t>undefined</t>
        </is>
      </c>
      <c r="T1839" t="inlineStr">
        <is>
          <t>2129997922404</t>
        </is>
      </c>
    </row>
    <row r="1840" ht="87" customHeight="1">
      <c r="A1840" s="2">
        <f>HYPERLINK("https://edmondsonsupply.com/collections/hvac/products/fluke-373-true-rms-ac-clamp-meter", "https://edmondsonsupply.com/collections/hvac/products/fluke-373-true-rms-ac-clamp-meter")</f>
        <v/>
      </c>
      <c r="B1840" s="2">
        <f>HYPERLINK("https://edmondsonsupply.com/products/fluke-373-true-rms-ac-clamp-meter", "https://edmondsonsupply.com/products/fluke-373-true-rms-ac-clamp-meter")</f>
        <v/>
      </c>
      <c r="C1840" t="inlineStr">
        <is>
          <t>Fluke 373 True-RMS AC Clamp Meter</t>
        </is>
      </c>
      <c r="D1840" t="inlineStr">
        <is>
          <t>Fluke 381 Remote Display True-RMS AC/DC Clamp Meter with iFlex</t>
        </is>
      </c>
      <c r="E1840" s="2">
        <f>HYPERLINK("https://www.amazon.com/Fluke-381-Remote-Display-True-RMS/dp/B004BF5ZEQ/ref=sr_1_8?keywords=Fluke+373+True-RMS+AC+Clamp+Meter&amp;qid=1694734920&amp;sr=8-8", "https://www.amazon.com/Fluke-381-Remote-Display-True-RMS/dp/B004BF5ZEQ/ref=sr_1_8?keywords=Fluke+373+True-RMS+AC+Clamp+Meter&amp;qid=1694734920&amp;sr=8-8")</f>
        <v/>
      </c>
      <c r="F1840" t="inlineStr">
        <is>
          <t>B004BF5ZEQ</t>
        </is>
      </c>
      <c r="G1840">
        <f>_xlfn.IMAGE("https://edmondsonsupply.com/cdn/shop/files/f-373-01d-1500x1000.webp?v=1689369435")</f>
        <v/>
      </c>
      <c r="H1840">
        <f>_xlfn.IMAGE("https://m.media-amazon.com/images/I/617Nx0NswWL._AC_UY218_.jpg")</f>
        <v/>
      </c>
      <c r="K1840" t="inlineStr">
        <is>
          <t>290.05</t>
        </is>
      </c>
      <c r="L1840" t="n">
        <v>430</v>
      </c>
      <c r="M1840" s="1" t="inlineStr">
        <is>
          <t>48.25%</t>
        </is>
      </c>
      <c r="N1840" s="7" t="n">
        <v>-1.49</v>
      </c>
      <c r="O1840" t="n">
        <v>4.5</v>
      </c>
      <c r="P1840" t="n">
        <v>160</v>
      </c>
      <c r="R1840" t="inlineStr">
        <is>
          <t>InStock</t>
        </is>
      </c>
      <c r="S1840" t="inlineStr">
        <is>
          <t>undefined</t>
        </is>
      </c>
      <c r="T1840" t="inlineStr">
        <is>
          <t>8016406773976</t>
        </is>
      </c>
    </row>
    <row r="1841" hidden="1" ht="15.75" customHeight="1">
      <c r="A1841" s="2">
        <f>HYPERLINK("https://edmondsonsupply.com/collections/hvac/products/bacharach-h-10-pro-refrigerant-leak-detector", "https://edmondsonsupply.com/collections/hvac/products/bacharach-h-10-pro-refrigerant-leak-detector")</f>
        <v/>
      </c>
      <c r="B1841" s="2">
        <f>HYPERLINK("https://edmondsonsupply.com/products/bacharach-h-10-pro-refrigerant-leak-detector", "https://edmondsonsupply.com/products/bacharach-h-10-pro-refrigerant-leak-detector")</f>
        <v/>
      </c>
      <c r="C1841" t="inlineStr">
        <is>
          <t>Bacharach H-10 PRO Refrigerant Leak Detector</t>
        </is>
      </c>
      <c r="D1841" t="inlineStr">
        <is>
          <t>Bacharach 3015-8004 H-10 Pro Refrigerant Leak Detectors</t>
        </is>
      </c>
      <c r="E1841" s="2">
        <f>HYPERLINK("https://www.amazon.com/Bacharach-3015-8004-H-10-Refrigerant-Detectors/dp/B017PEZAUI/ref=sr_1_1?keywords=Bacharach+H-10+PRO+Refrigerant+Leak+Detector&amp;qid=1694734698&amp;sr=8-1", "https://www.amazon.com/Bacharach-3015-8004-H-10-Refrigerant-Detectors/dp/B017PEZAUI/ref=sr_1_1?keywords=Bacharach+H-10+PRO+Refrigerant+Leak+Detector&amp;qid=1694734698&amp;sr=8-1")</f>
        <v/>
      </c>
      <c r="F1841" t="inlineStr">
        <is>
          <t>B017PEZAUI</t>
        </is>
      </c>
      <c r="G1841">
        <f>_xludf.IMAGE("https://edmondsonsupply.com/cdn/shop/products/featured-h-10-pro-refrigerant-leak-detector.jpg?v=1635555994")</f>
        <v/>
      </c>
      <c r="H1841">
        <f>_xludf.IMAGE("https://m.media-amazon.com/images/I/81t1EHtEgPS._AC_UL320_.jpg")</f>
        <v/>
      </c>
      <c r="K1841" t="inlineStr">
        <is>
          <t>657.72</t>
        </is>
      </c>
      <c r="L1841" t="n">
        <v>974.99</v>
      </c>
      <c r="M1841" s="1" t="inlineStr">
        <is>
          <t>48.24%</t>
        </is>
      </c>
      <c r="N1841" s="1" t="n">
        <v>-1.5</v>
      </c>
      <c r="O1841" t="n">
        <v>4</v>
      </c>
      <c r="P1841" t="n">
        <v>21</v>
      </c>
      <c r="R1841" t="inlineStr">
        <is>
          <t>InStock</t>
        </is>
      </c>
      <c r="S1841" t="inlineStr">
        <is>
          <t>undefined</t>
        </is>
      </c>
      <c r="T1841" t="inlineStr">
        <is>
          <t>7354561102040</t>
        </is>
      </c>
    </row>
    <row r="1842" hidden="1" ht="15.75" customHeight="1">
      <c r="A1842" s="2">
        <f>HYPERLINK("https://edmondsonsupply.com/collections/hvac/products/channellock-430cb", "https://edmondsonsupply.com/collections/hvac/products/channellock-430cb")</f>
        <v/>
      </c>
      <c r="B1842" s="2">
        <f>HYPERLINK("https://edmondsonsupply.com/products/channellock-430cb", "https://edmondsonsupply.com/products/channellock-430cb")</f>
        <v/>
      </c>
      <c r="C1842" t="inlineStr">
        <is>
          <t>Channellock 430CB 10" Code Blue Straight Jaw Tongue &amp; Groove Pliers</t>
        </is>
      </c>
      <c r="D1842" t="inlineStr">
        <is>
          <t>Channellock 440 Tongue and Groove Pliers | 12-Inch Straight Jaw Groove Joint Plier with Comfort Grips, Black, Blue, Silver &amp; Tongue and Groove Pliers, 9-1/2 In</t>
        </is>
      </c>
      <c r="E1842" s="2">
        <f>HYPERLINK("https://www.amazon.com/Channellock-Tongue-12-Inch-Straight-Comfort/dp/B0BFXKVMMD/ref=sr_1_23?keywords=Channellock+430CB+10%22+Code+Blue+Straight+Jaw+Tongue+%26+Groove+Pliers&amp;qid=1694734733&amp;sr=8-23", "https://www.amazon.com/Channellock-Tongue-12-Inch-Straight-Comfort/dp/B0BFXKVMMD/ref=sr_1_23?keywords=Channellock+430CB+10%22+Code+Blue+Straight+Jaw+Tongue+%26+Groove+Pliers&amp;qid=1694734733&amp;sr=8-23")</f>
        <v/>
      </c>
      <c r="F1842" t="inlineStr">
        <is>
          <t>B0BFXKVMMD</t>
        </is>
      </c>
      <c r="G1842">
        <f>_xludf.IMAGE("https://edmondsonsupply.com/cdn/shop/products/430CB-683x1024.jpg?v=1587147133")</f>
        <v/>
      </c>
      <c r="H1842">
        <f>_xludf.IMAGE("https://m.media-amazon.com/images/I/41AZjjLwtIL._AC_UL320_.jpg")</f>
        <v/>
      </c>
      <c r="K1842" t="inlineStr">
        <is>
          <t>26.95</t>
        </is>
      </c>
      <c r="L1842" t="n">
        <v>39.94</v>
      </c>
      <c r="M1842" s="1" t="inlineStr">
        <is>
          <t>48.20%</t>
        </is>
      </c>
      <c r="N1842" s="1" t="n">
        <v>-1.66</v>
      </c>
      <c r="O1842" t="n">
        <v>3</v>
      </c>
      <c r="P1842" t="n">
        <v>1</v>
      </c>
      <c r="R1842" t="inlineStr">
        <is>
          <t>InStock</t>
        </is>
      </c>
      <c r="S1842" t="inlineStr">
        <is>
          <t>37.91</t>
        </is>
      </c>
      <c r="T1842" t="inlineStr">
        <is>
          <t>3725968736356</t>
        </is>
      </c>
    </row>
    <row r="1843" ht="87" customHeight="1">
      <c r="A1843" s="2">
        <f>HYPERLINK("https://edmondsonsupply.com/collections/hvac/products/ritchie-yellow-jacket-60460-multi-swage-punch-6-sizes-3-16-to-5-8", "https://edmondsonsupply.com/collections/hvac/products/ritchie-yellow-jacket-60460-multi-swage-punch-6-sizes-3-16-to-5-8")</f>
        <v/>
      </c>
      <c r="B1843" s="2">
        <f>HYPERLINK("https://edmondsonsupply.com/products/ritchie-yellow-jacket-60460-multi-swage-punch-6-sizes-3-16-to-5-8", "https://edmondsonsupply.com/products/ritchie-yellow-jacket-60460-multi-swage-punch-6-sizes-3-16-to-5-8")</f>
        <v/>
      </c>
      <c r="C1843" t="inlineStr">
        <is>
          <t>Yellow Jacket 60460 Multi-Swage Punch, 6 Sizes 3/16" to 5/8"</t>
        </is>
      </c>
      <c r="D1843" t="inlineStr">
        <is>
          <t>Yellow Jacket 60460 Multi-Swage Punch, 3/16 to 5/8 in</t>
        </is>
      </c>
      <c r="E1843" s="2">
        <f>HYPERLINK("https://www.amazon.com/Yellow-Jacket-60460-Multi-Swage-Punch/dp/B003ANYSIY/ref=sr_1_fkmr0_1?keywords=Yellow+Jacket+60460+Multi-Swage+Punch%2C+6+Sizes+3%2F16+to+5%2F8&amp;qid=1694734829&amp;sr=8-1-fkmr0", "https://www.amazon.com/Yellow-Jacket-60460-Multi-Swage-Punch/dp/B003ANYSIY/ref=sr_1_fkmr0_1?keywords=Yellow+Jacket+60460+Multi-Swage+Punch%2C+6+Sizes+3%2F16+to+5%2F8&amp;qid=1694734829&amp;sr=8-1-fkmr0")</f>
        <v/>
      </c>
      <c r="F1843" t="inlineStr">
        <is>
          <t>B003ANYSIY</t>
        </is>
      </c>
      <c r="G1843">
        <f>_xlfn.IMAGE("https://edmondsonsupply.com/cdn/shop/products/s-l500_05132a60-c2a3-4730-8183-5537c5b2d0dc.jpg?v=1587142160")</f>
        <v/>
      </c>
      <c r="H1843">
        <f>_xlfn.IMAGE("https://m.media-amazon.com/images/I/41ww42UXHJL._AC_UL320_.jpg")</f>
        <v/>
      </c>
      <c r="K1843" t="inlineStr">
        <is>
          <t>21.15</t>
        </is>
      </c>
      <c r="L1843" t="n">
        <v>31.27</v>
      </c>
      <c r="M1843" s="1" t="inlineStr">
        <is>
          <t>47.85%</t>
        </is>
      </c>
      <c r="N1843" s="7" t="n">
        <v>-1.67</v>
      </c>
      <c r="O1843" t="n">
        <v>4.5</v>
      </c>
      <c r="P1843" t="n">
        <v>20</v>
      </c>
      <c r="R1843" t="inlineStr">
        <is>
          <t>InStock</t>
        </is>
      </c>
      <c r="S1843" t="inlineStr">
        <is>
          <t>undefined</t>
        </is>
      </c>
      <c r="T1843" t="inlineStr">
        <is>
          <t>2443974410340</t>
        </is>
      </c>
    </row>
    <row r="1844" hidden="1" ht="15.75" customHeight="1">
      <c r="A1844" s="2">
        <f>HYPERLINK("https://edmondsonsupply.com/collections/hvac/products/packard-trcfd305-titan-pro-run-capacitor-30-5-mfd-440-370-volt-round", "https://edmondsonsupply.com/collections/hvac/products/packard-trcfd305-titan-pro-run-capacitor-30-5-mfd-440-370-volt-round")</f>
        <v/>
      </c>
      <c r="B1844" s="2">
        <f>HYPERLINK("https://edmondsonsupply.com/products/packard-trcfd305-titan-pro-run-capacitor-30-5-mfd-440-370-volt-round", "https://edmondsonsupply.com/products/packard-trcfd305-titan-pro-run-capacitor-30-5-mfd-440-370-volt-round")</f>
        <v/>
      </c>
      <c r="C1844" t="inlineStr">
        <is>
          <t>Packard TRCFD305 Titan PRO Run Capacitor 30+5 MFD 440/370 Volt, Round</t>
        </is>
      </c>
      <c r="D1844" t="inlineStr">
        <is>
          <t>Titan TRCFD305 Dual Rated Motor Run Capacitor Round MFD 30/5 Volts 440/370</t>
        </is>
      </c>
      <c r="E1844" s="2">
        <f>HYPERLINK("https://www.amazon.com/Titan-TRCFD305-Rated-Motor-Capacitor/dp/B01IC22Q5Y/ref=sr_1_1?keywords=Packard+TRCFD305+Titan+PRO+Run+Capacitor+30+5+MFD+440%2F370+Volt%2C+Round&amp;qid=1694734673&amp;sr=8-1", "https://www.amazon.com/Titan-TRCFD305-Rated-Motor-Capacitor/dp/B01IC22Q5Y/ref=sr_1_1?keywords=Packard+TRCFD305+Titan+PRO+Run+Capacitor+30+5+MFD+440%2F370+Volt%2C+Round&amp;qid=1694734673&amp;sr=8-1")</f>
        <v/>
      </c>
      <c r="F1844" t="inlineStr">
        <is>
          <t>B01IC22Q5Y</t>
        </is>
      </c>
      <c r="G1844">
        <f>_xludf.IMAGE("https://edmondsonsupply.com/cdn/shop/products/TRCFD305-2.jpg?v=1587144425")</f>
        <v/>
      </c>
      <c r="H1844">
        <f>_xludf.IMAGE("https://m.media-amazon.com/images/I/61ZOaIfuaxL._AC_UY218_.jpg")</f>
        <v/>
      </c>
      <c r="K1844" t="inlineStr">
        <is>
          <t>7.29</t>
        </is>
      </c>
      <c r="L1844" t="n">
        <v>10.76</v>
      </c>
      <c r="M1844" s="1" t="inlineStr">
        <is>
          <t>47.60%</t>
        </is>
      </c>
      <c r="N1844" s="1" t="n">
        <v>-1.74</v>
      </c>
      <c r="O1844" t="n">
        <v>4.6</v>
      </c>
      <c r="P1844" t="n">
        <v>100</v>
      </c>
      <c r="R1844" t="inlineStr">
        <is>
          <t>OutOfStock</t>
        </is>
      </c>
      <c r="S1844" t="inlineStr">
        <is>
          <t>undefined</t>
        </is>
      </c>
      <c r="T1844" t="inlineStr">
        <is>
          <t>4339324911716</t>
        </is>
      </c>
    </row>
    <row r="1845" hidden="1" ht="15.75" customHeight="1">
      <c r="A1845" s="2">
        <f>HYPERLINK("https://edmondsonsupply.com/collections/hvac/products/sensible-products-dwl-1-dual-worklight-blue", "https://edmondsonsupply.com/collections/hvac/products/sensible-products-dwl-1-dual-worklight-blue")</f>
        <v/>
      </c>
      <c r="B1845" s="2">
        <f>HYPERLINK("https://edmondsonsupply.com/products/sensible-products-dwl-1-dual-worklight-blue", "https://edmondsonsupply.com/products/sensible-products-dwl-1-dual-worklight-blue")</f>
        <v/>
      </c>
      <c r="C1845" t="inlineStr">
        <is>
          <t>Sensible Products DWL-1 Dual Worklight, Blue</t>
        </is>
      </c>
      <c r="D1845" t="inlineStr">
        <is>
          <t>Sensible Products Blue Dual Work Light # DWL-1 with Holster - Sold Each</t>
        </is>
      </c>
      <c r="E1845" s="2">
        <f>HYPERLINK("https://www.amazon.com/Sensible-Products-Light-DWL-1-Holster/dp/B0BVGG3JRQ/ref=sr_1_2?keywords=Sensible+Products+DWL-1+Dual+Worklight%2C+Blue&amp;qid=1694734618&amp;sr=8-2", "https://www.amazon.com/Sensible-Products-Light-DWL-1-Holster/dp/B0BVGG3JRQ/ref=sr_1_2?keywords=Sensible+Products+DWL-1+Dual+Worklight%2C+Blue&amp;qid=1694734618&amp;sr=8-2")</f>
        <v/>
      </c>
      <c r="F1845" t="inlineStr">
        <is>
          <t>B0BVGG3JRQ</t>
        </is>
      </c>
      <c r="G1845">
        <f>_xludf.IMAGE("https://edmondsonsupply.com/cdn/shop/products/DWL-1-2.jpg?v=1587148321")</f>
        <v/>
      </c>
      <c r="H1845">
        <f>_xludf.IMAGE("https://m.media-amazon.com/images/I/51bpVy8B6iL._AC_UL320_.jpg")</f>
        <v/>
      </c>
      <c r="K1845" t="inlineStr">
        <is>
          <t>27.79</t>
        </is>
      </c>
      <c r="L1845" t="n">
        <v>41</v>
      </c>
      <c r="M1845" s="1" t="inlineStr">
        <is>
          <t>47.54%</t>
        </is>
      </c>
      <c r="N1845" s="1" t="n">
        <v>-1.91</v>
      </c>
      <c r="O1845" t="n">
        <v>3</v>
      </c>
      <c r="P1845" t="n">
        <v>1</v>
      </c>
      <c r="R1845" t="inlineStr">
        <is>
          <t>InStock</t>
        </is>
      </c>
      <c r="S1845" t="inlineStr">
        <is>
          <t>undefined</t>
        </is>
      </c>
      <c r="T1845" t="inlineStr">
        <is>
          <t>4338918195300</t>
        </is>
      </c>
    </row>
    <row r="1846" ht="87" customHeight="1">
      <c r="A1846" s="2">
        <f>HYPERLINK("https://edmondsonsupply.com/collections/hvac/products/nu-calgon-4372-24-triclean-2x-coil-cleaner-1-quart", "https://edmondsonsupply.com/collections/hvac/products/nu-calgon-4372-24-triclean-2x-coil-cleaner-1-quart")</f>
        <v/>
      </c>
      <c r="B1846" s="2">
        <f>HYPERLINK("https://edmondsonsupply.com/products/nu-calgon-4372-24-triclean-2x-coil-cleaner-1-quart", "https://edmondsonsupply.com/products/nu-calgon-4372-24-triclean-2x-coil-cleaner-1-quart")</f>
        <v/>
      </c>
      <c r="C1846" t="inlineStr">
        <is>
          <t>Nu-Calgon 4372-24 TriClean 2x Coil Cleaner, 1 quart</t>
        </is>
      </c>
      <c r="D1846" t="inlineStr">
        <is>
          <t>Nu-Calgon 4372-24 Inc Triclean 2X Coil Cleaner</t>
        </is>
      </c>
      <c r="E1846" s="2">
        <f>HYPERLINK("https://www.amazon.com/Nu-Calgon-4372-24-Triclean-Coil-Cleaner/dp/B01HQMF5YA/ref=sr_1_1?keywords=Nu-Calgon+4372-24+TriClean+2x+Coil+Cleaner%2C+1+quart&amp;qid=1694734636&amp;sr=8-1", "https://www.amazon.com/Nu-Calgon-4372-24-Triclean-Coil-Cleaner/dp/B01HQMF5YA/ref=sr_1_1?keywords=Nu-Calgon+4372-24+TriClean+2x+Coil+Cleaner%2C+1+quart&amp;qid=1694734636&amp;sr=8-1")</f>
        <v/>
      </c>
      <c r="F1846" t="inlineStr">
        <is>
          <t>B01HQMF5YA</t>
        </is>
      </c>
      <c r="G1846">
        <f>_xlfn.IMAGE("https://edmondsonsupply.com/cdn/shop/products/4372-24.jpg?v=1658873195")</f>
        <v/>
      </c>
      <c r="H1846">
        <f>_xlfn.IMAGE("https://m.media-amazon.com/images/I/71IYXpxvg4L._AC_UL320_.jpg")</f>
        <v/>
      </c>
      <c r="K1846" t="inlineStr">
        <is>
          <t>23.29</t>
        </is>
      </c>
      <c r="L1846" t="n">
        <v>34.35</v>
      </c>
      <c r="M1846" s="1" t="inlineStr">
        <is>
          <t>47.49%</t>
        </is>
      </c>
      <c r="N1846" s="7" t="n">
        <v>-2.19</v>
      </c>
      <c r="O1846" t="n">
        <v>4.8</v>
      </c>
      <c r="P1846" t="n">
        <v>23</v>
      </c>
      <c r="R1846" t="inlineStr">
        <is>
          <t>InStock</t>
        </is>
      </c>
      <c r="S1846" t="inlineStr">
        <is>
          <t>33.48</t>
        </is>
      </c>
      <c r="T1846" t="inlineStr">
        <is>
          <t>7761828315352</t>
        </is>
      </c>
    </row>
    <row r="1847" hidden="1" ht="15.75" customHeight="1">
      <c r="A1847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1847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1847" t="inlineStr">
        <is>
          <t>Klein Tools 605-6 1/4-Inch Cabinet Tip Screwdriver, Heavy Duty, 6-Inch</t>
        </is>
      </c>
      <c r="D1847" t="inlineStr">
        <is>
          <t>Klein Tools 6984INS Insulated Screwdriver, 1000V Slim Profile Tip, #1 Square with 4-Inch Shank, Cushion-Grip Handle</t>
        </is>
      </c>
      <c r="E1847" s="2">
        <f>HYPERLINK("https://www.amazon.com/Klein-Tools-6984INS-Screwdriver-Cushion-Grip/dp/B09GPZ5P2M/ref=sr_1_34?keywords=Klein+Tools+605-6+1%2F4-Inch+Cabinet+Tip+Screwdriver%2C+Heavy+Duty%2C+6-Inch&amp;qid=1694734725&amp;sr=8-34", "https://www.amazon.com/Klein-Tools-6984INS-Screwdriver-Cushion-Grip/dp/B09GPZ5P2M/ref=sr_1_34?keywords=Klein+Tools+605-6+1%2F4-Inch+Cabinet+Tip+Screwdriver%2C+Heavy+Duty%2C+6-Inch&amp;qid=1694734725&amp;sr=8-34")</f>
        <v/>
      </c>
      <c r="F1847" t="inlineStr">
        <is>
          <t>B09GPZ5P2M</t>
        </is>
      </c>
      <c r="G1847">
        <f>_xludf.IMAGE("https://edmondsonsupply.com/cdn/shop/products/605-6.jpg?v=1587149759")</f>
        <v/>
      </c>
      <c r="H1847">
        <f>_xludf.IMAGE("https://m.media-amazon.com/images/I/41uj4ogsy3L._AC_UL320_.jpg")</f>
        <v/>
      </c>
      <c r="K1847" t="inlineStr">
        <is>
          <t>9.49</t>
        </is>
      </c>
      <c r="L1847" t="n">
        <v>13.99</v>
      </c>
      <c r="M1847" s="1" t="inlineStr">
        <is>
          <t>47.42%</t>
        </is>
      </c>
      <c r="N1847" s="1" t="n">
        <v>-2.32</v>
      </c>
      <c r="O1847" t="n">
        <v>4.8</v>
      </c>
      <c r="P1847" t="n">
        <v>107</v>
      </c>
      <c r="R1847" t="inlineStr">
        <is>
          <t>InStock</t>
        </is>
      </c>
      <c r="S1847" t="inlineStr">
        <is>
          <t>14.38</t>
        </is>
      </c>
      <c r="T1847" t="inlineStr">
        <is>
          <t>4512371310692</t>
        </is>
      </c>
    </row>
    <row r="1848" ht="87" customHeight="1">
      <c r="A1848" s="2">
        <f>HYPERLINK("https://edmondsonsupply.com/collections/hvac/products/channellock-428", "https://edmondsonsupply.com/collections/hvac/products/channellock-428")</f>
        <v/>
      </c>
      <c r="B1848" s="2">
        <f>HYPERLINK("https://edmondsonsupply.com/products/channellock-428", "https://edmondsonsupply.com/products/channellock-428")</f>
        <v/>
      </c>
      <c r="C1848" t="inlineStr">
        <is>
          <t>Channellock 428 8-Inch Straight Jaw Tongue &amp; Groove Pliers</t>
        </is>
      </c>
      <c r="D1848" t="inlineStr">
        <is>
          <t>CHANNELLOCK 428X 8-inch SPEEDGRIP Straight Jaw Tongue &amp; Groove Pliers | Made in USA | Forged High Carbon Steel</t>
        </is>
      </c>
      <c r="E1848" s="2">
        <f>HYPERLINK("https://www.amazon.com/CHANNELLOCK-428X-8-inch-SPEEDGRIP-Straight/dp/B07R27B4CJ/ref=sr_1_2?keywords=Channellock+428+8-Inch+Straight+Jaw+Tongue&amp;qid=1694734826&amp;sr=8-2", "https://www.amazon.com/CHANNELLOCK-428X-8-inch-SPEEDGRIP-Straight/dp/B07R27B4CJ/ref=sr_1_2?keywords=Channellock+428+8-Inch+Straight+Jaw+Tongue&amp;qid=1694734826&amp;sr=8-2")</f>
        <v/>
      </c>
      <c r="F1848" t="inlineStr">
        <is>
          <t>B07R27B4CJ</t>
        </is>
      </c>
      <c r="G1848">
        <f>_xlfn.IMAGE("https://edmondsonsupply.com/cdn/shop/products/428-683x1024.jpg?v=1587145854")</f>
        <v/>
      </c>
      <c r="H1848">
        <f>_xlfn.IMAGE("https://m.media-amazon.com/images/I/71WmLP+C0IL._AC_UL320_.jpg")</f>
        <v/>
      </c>
      <c r="K1848" t="inlineStr">
        <is>
          <t>16.95</t>
        </is>
      </c>
      <c r="L1848" t="n">
        <v>24.95</v>
      </c>
      <c r="M1848" s="1" t="inlineStr">
        <is>
          <t>47.20%</t>
        </is>
      </c>
      <c r="N1848" s="7" t="n">
        <v>-2.39</v>
      </c>
      <c r="O1848" t="n">
        <v>4.4</v>
      </c>
      <c r="P1848" t="n">
        <v>577</v>
      </c>
      <c r="R1848" t="inlineStr">
        <is>
          <t>InStock</t>
        </is>
      </c>
      <c r="S1848" t="inlineStr">
        <is>
          <t>25.06</t>
        </is>
      </c>
      <c r="T1848" t="inlineStr">
        <is>
          <t>3523408527460</t>
        </is>
      </c>
    </row>
    <row r="1849" hidden="1" ht="15.75" customHeight="1">
      <c r="A1849" s="2">
        <f>HYPERLINK("https://edmondsonsupply.com/collections/hvac/products/diablo-tools-dsp2090-3-4-in-x-6-in-spade-bit", "https://edmondsonsupply.com/collections/hvac/products/diablo-tools-dsp2090-3-4-in-x-6-in-spade-bit")</f>
        <v/>
      </c>
      <c r="B1849" s="2">
        <f>HYPERLINK("https://edmondsonsupply.com/products/diablo-tools-dsp2090-3-4-in-x-6-in-spade-bit", "https://edmondsonsupply.com/products/diablo-tools-dsp2090-3-4-in-x-6-in-spade-bit")</f>
        <v/>
      </c>
      <c r="C1849" t="inlineStr">
        <is>
          <t>Diablo Tools DSP2090 3/4 in. x 6 in. Spade Bit</t>
        </is>
      </c>
      <c r="D1849" t="inlineStr">
        <is>
          <t>Diablo by Freud DSP2090-P2 3/4 in. x 6 in. SPEEDemon Spade Bit (2-Pack)</t>
        </is>
      </c>
      <c r="E1849" s="2">
        <f>HYPERLINK("https://www.amazon.com/Diablo-SPEEDemon-Spade-Bit-2-Pack/dp/B089KV8K7W/ref=sr_1_2?keywords=Diablo+Tools+DSP2090+3%2F4+in.+x+6+in.+Spade+Bit&amp;qid=1694734914&amp;sr=8-2", "https://www.amazon.com/Diablo-SPEEDemon-Spade-Bit-2-Pack/dp/B089KV8K7W/ref=sr_1_2?keywords=Diablo+Tools+DSP2090+3%2F4+in.+x+6+in.+Spade+Bit&amp;qid=1694734914&amp;sr=8-2")</f>
        <v/>
      </c>
      <c r="F1849" t="inlineStr">
        <is>
          <t>B089KV8K7W</t>
        </is>
      </c>
      <c r="G1849">
        <f>_xludf.IMAGE("https://edmondsonsupply.com/cdn/shop/files/hg4rmyretai2aybkajqp.webp?v=1686587275")</f>
        <v/>
      </c>
      <c r="H1849">
        <f>_xludf.IMAGE("https://m.media-amazon.com/images/I/610FU8LQY+L._AC_UL320_.jpg")</f>
        <v/>
      </c>
      <c r="K1849" t="inlineStr">
        <is>
          <t>5.37</t>
        </is>
      </c>
      <c r="L1849" t="n">
        <v>7.88</v>
      </c>
      <c r="M1849" s="1" t="inlineStr">
        <is>
          <t>46.74%</t>
        </is>
      </c>
      <c r="N1849" s="1" t="n">
        <v>-2.43</v>
      </c>
      <c r="O1849" t="n">
        <v>4.7</v>
      </c>
      <c r="P1849" t="n">
        <v>40</v>
      </c>
      <c r="R1849" t="inlineStr">
        <is>
          <t>InStock</t>
        </is>
      </c>
      <c r="S1849" t="inlineStr">
        <is>
          <t>undefined</t>
        </is>
      </c>
      <c r="T1849" t="inlineStr">
        <is>
          <t>8004512710872</t>
        </is>
      </c>
    </row>
    <row r="1850" ht="87" customHeight="1">
      <c r="A1850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850" s="2">
        <f>HYPERLINK("https://edmondsonsupply.com/products/klein-tools-11053-klein-kurve%c2%ae-wire-stripper-cutter", "https://edmondsonsupply.com/products/klein-tools-11053-klein-kurve%c2%ae-wire-stripper-cutter")</f>
        <v/>
      </c>
      <c r="C1850" t="inlineStr">
        <is>
          <t>Klein Tools 11053 Klein-Kurve® Wire Stripper/Cutter</t>
        </is>
      </c>
      <c r="D1850" t="inlineStr">
        <is>
          <t>Klein Tools 11046 Wire Stripper/Cutter 16-26 AWG Stranded &amp; 11047 Wire Stripper/Cutter, Compact, Lightweight, Hardened Steel, Precision Ground, for Stranded and Solid Wires</t>
        </is>
      </c>
      <c r="E1850" s="2">
        <f>HYPERLINK("https://www.amazon.com/Klein-Tools-Stripper-Lightweight-Precision/dp/B0BNL5MC4G/ref=sr_1_43?keywords=Klein+Tools+11053+Klein-Kurve%C2%AE+Wire+Stripper%2FCutter&amp;qid=1694734664&amp;sr=8-43", "https://www.amazon.com/Klein-Tools-Stripper-Lightweight-Precision/dp/B0BNL5MC4G/ref=sr_1_43?keywords=Klein+Tools+11053+Klein-Kurve%C2%AE+Wire+Stripper%2FCutter&amp;qid=1694734664&amp;sr=8-43")</f>
        <v/>
      </c>
      <c r="F1850" t="inlineStr">
        <is>
          <t>B0BNL5MC4G</t>
        </is>
      </c>
      <c r="G1850">
        <f>_xlfn.IMAGE("https://edmondsonsupply.com/cdn/shop/products/11053.jpg?v=1633030511")</f>
        <v/>
      </c>
      <c r="H1850">
        <f>_xlfn.IMAGE("https://m.media-amazon.com/images/I/41uWm6Rw+pL._AC_UL320_.jpg")</f>
        <v/>
      </c>
      <c r="K1850" t="inlineStr">
        <is>
          <t>20.97</t>
        </is>
      </c>
      <c r="L1850" t="n">
        <v>30.75</v>
      </c>
      <c r="M1850" s="1" t="inlineStr">
        <is>
          <t>46.64%</t>
        </is>
      </c>
      <c r="N1850" s="7" t="n">
        <v>-2.86</v>
      </c>
      <c r="O1850" t="n">
        <v>4.6</v>
      </c>
      <c r="P1850" t="n">
        <v>7</v>
      </c>
      <c r="R1850" t="inlineStr">
        <is>
          <t>InStock</t>
        </is>
      </c>
      <c r="S1850" t="inlineStr">
        <is>
          <t>31.76</t>
        </is>
      </c>
      <c r="T1850" t="inlineStr">
        <is>
          <t>5387171299496</t>
        </is>
      </c>
    </row>
    <row r="1851" ht="87" customHeight="1">
      <c r="A1851" s="2">
        <f>HYPERLINK("https://edmondsonsupply.com/collections/hvac/products/solderweld-sw-as09305k-alloy-sol-aluminum-repair-and-joining-rods-5-rod-pack", "https://edmondsonsupply.com/collections/hvac/products/solderweld-sw-as09305k-alloy-sol-aluminum-repair-and-joining-rods-5-rod-pack")</f>
        <v/>
      </c>
      <c r="B1851" s="2">
        <f>HYPERLINK("https://edmondsonsupply.com/products/solderweld-sw-as09305k-alloy-sol-aluminum-repair-and-joining-rods-5-rod-pack", "https://edmondsonsupply.com/products/solderweld-sw-as09305k-alloy-sol-aluminum-repair-and-joining-rods-5-rod-pack")</f>
        <v/>
      </c>
      <c r="C1851" t="inlineStr">
        <is>
          <t>SolderWeld SW-AS09305K Alloy Sol Aluminum Repair and Joining Rods, 5 Rod Pack</t>
        </is>
      </c>
      <c r="D1851" t="inlineStr">
        <is>
          <t>Solderweld SW-AS09305K Alloy Sol Aluminum Repair and Joining 18 in. Rod 5 Pack</t>
        </is>
      </c>
      <c r="E1851" s="2">
        <f>HYPERLINK("https://www.amazon.com/Solderweld-SW-AS09305K-Aluminum-Repair-Joining/dp/B0B75HS6J3/ref=sr_1_1?keywords=SolderWeld+SW-AS09305K+Alloy+Sol+Aluminum+Repair+and+Joining+Rods%2C+5+Rod+Pack&amp;qid=1694734722&amp;sr=8-1", "https://www.amazon.com/Solderweld-SW-AS09305K-Aluminum-Repair-Joining/dp/B0B75HS6J3/ref=sr_1_1?keywords=SolderWeld+SW-AS09305K+Alloy+Sol+Aluminum+Repair+and+Joining+Rods%2C+5+Rod+Pack&amp;qid=1694734722&amp;sr=8-1")</f>
        <v/>
      </c>
      <c r="F1851" t="inlineStr">
        <is>
          <t>B0B75HS6J3</t>
        </is>
      </c>
      <c r="G1851">
        <f>_xlfn.IMAGE("https://edmondsonsupply.com/cdn/shop/products/SW-AS09305K-3.jpg?v=1633030235")</f>
        <v/>
      </c>
      <c r="H1851">
        <f>_xlfn.IMAGE("https://m.media-amazon.com/images/I/61xbKqwYZkL._AC_UL320_.jpg")</f>
        <v/>
      </c>
      <c r="K1851" t="inlineStr">
        <is>
          <t>15.98</t>
        </is>
      </c>
      <c r="L1851" t="n">
        <v>23.41</v>
      </c>
      <c r="M1851" s="1" t="inlineStr">
        <is>
          <t>46.50%</t>
        </is>
      </c>
      <c r="N1851" s="7" t="n">
        <v>-2.87</v>
      </c>
      <c r="O1851" t="n">
        <v>5</v>
      </c>
      <c r="P1851" t="n">
        <v>3</v>
      </c>
      <c r="R1851" t="inlineStr">
        <is>
          <t>InStock</t>
        </is>
      </c>
      <c r="S1851" t="inlineStr">
        <is>
          <t>undefined</t>
        </is>
      </c>
      <c r="T1851" t="inlineStr">
        <is>
          <t>4595811418212</t>
        </is>
      </c>
    </row>
    <row r="1852" hidden="1" ht="15.75" customHeight="1">
      <c r="A1852" s="2">
        <f>HYPERLINK("https://edmondsonsupply.com/collections/hvac/products/rectorseal-66735-nokink-5-8-x-3-flexible-refrigerant-line-connector", "https://edmondsonsupply.com/collections/hvac/products/rectorseal-66735-nokink-5-8-x-3-flexible-refrigerant-line-connector")</f>
        <v/>
      </c>
      <c r="B1852" s="2">
        <f>HYPERLINK("https://edmondsonsupply.com/products/rectorseal-66735-nokink-5-8-x-3-flexible-refrigerant-line-connector", "https://edmondsonsupply.com/products/rectorseal-66735-nokink-5-8-x-3-flexible-refrigerant-line-connector")</f>
        <v/>
      </c>
      <c r="C1852" t="inlineStr">
        <is>
          <t>RectorSeal 66735 NoKink 5/8" x 3' Flexible Refrigerant Line Connector</t>
        </is>
      </c>
      <c r="D1852" t="inlineStr">
        <is>
          <t>Rectorseal 68233 NoKink Flexible Refrigerant Line Connector, 3/8" x 72"</t>
        </is>
      </c>
      <c r="E1852" s="2">
        <f>HYPERLINK("https://www.amazon.com/Rectorseal-68233-Flexible-Refrigerant-Connector/dp/B010M22SOG/ref=sr_1_3?keywords=RectorSeal+66735+NoKink+5%2F8%22+x+3%27+Flexible+Refrigerant+Line+Connector&amp;qid=1694734660&amp;sr=8-3", "https://www.amazon.com/Rectorseal-68233-Flexible-Refrigerant-Connector/dp/B010M22SOG/ref=sr_1_3?keywords=RectorSeal+66735+NoKink+5%2F8%22+x+3%27+Flexible+Refrigerant+Line+Connector&amp;qid=1694734660&amp;sr=8-3")</f>
        <v/>
      </c>
      <c r="F1852" t="inlineStr">
        <is>
          <t>B010M22SOG</t>
        </is>
      </c>
      <c r="G1852">
        <f>_xludf.IMAGE("https://edmondsonsupply.com/cdn/shop/products/66735-1.jpg?v=1632264692")</f>
        <v/>
      </c>
      <c r="H1852">
        <f>_xludf.IMAGE("https://m.media-amazon.com/images/I/4101YLR79GL._AC_UL320_.jpg")</f>
        <v/>
      </c>
      <c r="K1852" t="inlineStr">
        <is>
          <t>79.99</t>
        </is>
      </c>
      <c r="L1852" t="n">
        <v>117.17</v>
      </c>
      <c r="M1852" s="1" t="inlineStr">
        <is>
          <t>46.48%</t>
        </is>
      </c>
      <c r="N1852" s="1" t="n">
        <v>-3</v>
      </c>
      <c r="O1852" t="n">
        <v>4</v>
      </c>
      <c r="P1852" t="n">
        <v>1</v>
      </c>
      <c r="R1852" t="inlineStr">
        <is>
          <t>InStock</t>
        </is>
      </c>
      <c r="S1852" t="inlineStr">
        <is>
          <t>undefined</t>
        </is>
      </c>
      <c r="T1852" t="inlineStr">
        <is>
          <t>6957687439533</t>
        </is>
      </c>
    </row>
    <row r="1853" ht="87" customHeight="1">
      <c r="A1853" s="2">
        <f>HYPERLINK("https://edmondsonsupply.com/collections/hvac/products/klein-tools-32907-7-in-1-impact-flip-socket-set-no-handle", "https://edmondsonsupply.com/collections/hvac/products/klein-tools-32907-7-in-1-impact-flip-socket-set-no-handle")</f>
        <v/>
      </c>
      <c r="B1853" s="2">
        <f>HYPERLINK("https://edmondsonsupply.com/products/klein-tools-32907-7-in-1-impact-flip-socket-set-no-handle", "https://edmondsonsupply.com/products/klein-tools-32907-7-in-1-impact-flip-socket-set-no-handle")</f>
        <v/>
      </c>
      <c r="C1853" t="inlineStr">
        <is>
          <t>Klein Tools 32907 7-in-1 Impact Flip Socket Set, No Handle</t>
        </is>
      </c>
      <c r="D1853" t="inlineStr">
        <is>
          <t>Klein Tools 32900 Impact Driver, 7-in-1 Impact Flip Socket Set with Handle, 6 Hex Driver Sizes plus a 1/4-Inch Bit Holder</t>
        </is>
      </c>
      <c r="E1853" s="2">
        <f>HYPERLINK("https://www.amazon.com/Klein-Tools-32900-Impact-Driver/dp/B09PZG4F8X/ref=sr_1_1?keywords=Klein+Tools+32907+7-in-1+Impact+Flip+Socket+Set%2C+No+Handle&amp;qid=1694734636&amp;sr=8-1", "https://www.amazon.com/Klein-Tools-32900-Impact-Driver/dp/B09PZG4F8X/ref=sr_1_1?keywords=Klein+Tools+32907+7-in-1+Impact+Flip+Socket+Set%2C+No+Handle&amp;qid=1694734636&amp;sr=8-1")</f>
        <v/>
      </c>
      <c r="F1853" t="inlineStr">
        <is>
          <t>B09PZG4F8X</t>
        </is>
      </c>
      <c r="G1853">
        <f>_xlfn.IMAGE("https://edmondsonsupply.com/cdn/shop/products/32907_b.jpg?v=1666025282")</f>
        <v/>
      </c>
      <c r="H1853">
        <f>_xlfn.IMAGE("https://m.media-amazon.com/images/I/51qL2uXqcTL._AC_UL320_.jpg")</f>
        <v/>
      </c>
      <c r="K1853" t="inlineStr">
        <is>
          <t>19.99</t>
        </is>
      </c>
      <c r="L1853" t="n">
        <v>29.25</v>
      </c>
      <c r="M1853" s="1" t="inlineStr">
        <is>
          <t>46.32%</t>
        </is>
      </c>
      <c r="N1853" s="7" t="n">
        <v>-3.1</v>
      </c>
      <c r="O1853" t="n">
        <v>4.7</v>
      </c>
      <c r="P1853" t="n">
        <v>2468</v>
      </c>
      <c r="R1853" t="inlineStr">
        <is>
          <t>InStock</t>
        </is>
      </c>
      <c r="S1853" t="inlineStr">
        <is>
          <t>29.18</t>
        </is>
      </c>
      <c r="T1853" t="inlineStr">
        <is>
          <t>7856653009112</t>
        </is>
      </c>
    </row>
    <row r="1854" ht="87" customHeight="1">
      <c r="A1854" s="2">
        <f>HYPERLINK("https://edmondsonsupply.com/collections/hvac/products/supco-mb55-5-5-inch-motor-bracket", "https://edmondsonsupply.com/collections/hvac/products/supco-mb55-5-5-inch-motor-bracket")</f>
        <v/>
      </c>
      <c r="B1854" s="2">
        <f>HYPERLINK("https://edmondsonsupply.com/products/supco-mb55-5-5-inch-motor-bracket", "https://edmondsonsupply.com/products/supco-mb55-5-5-inch-motor-bracket")</f>
        <v/>
      </c>
      <c r="C1854" t="inlineStr">
        <is>
          <t>Supco MB55 5.5 Inch Motor Bracket</t>
        </is>
      </c>
      <c r="D1854" t="inlineStr">
        <is>
          <t>Room Air Conditioner Replacement Parts New Supco MB55 Motor Mount Bracket Kit - 5-5/8" Belly Band - 3 Legs applies to The U.S. only</t>
        </is>
      </c>
      <c r="E1854" s="2">
        <f>HYPERLINK("https://www.amazon.com/Air-Conditioner-Replacement-Parts-Bracket/dp/B0711S9NXB/ref=sr_1_11?keywords=Supco+MB55+5.5+Inch+Motor+Bracket&amp;qid=1694734751&amp;sr=8-11", "https://www.amazon.com/Air-Conditioner-Replacement-Parts-Bracket/dp/B0711S9NXB/ref=sr_1_11?keywords=Supco+MB55+5.5+Inch+Motor+Bracket&amp;qid=1694734751&amp;sr=8-11")</f>
        <v/>
      </c>
      <c r="F1854" t="inlineStr">
        <is>
          <t>B0711S9NXB</t>
        </is>
      </c>
      <c r="G1854">
        <f>_xlfn.IMAGE("https://edmondsonsupply.com/cdn/shop/products/MB55_L.png?v=1671842986")</f>
        <v/>
      </c>
      <c r="H1854">
        <f>_xlfn.IMAGE("https://m.media-amazon.com/images/I/31USClPy+rL._AC_UL320_.jpg")</f>
        <v/>
      </c>
      <c r="K1854" t="inlineStr">
        <is>
          <t>12.99</t>
        </is>
      </c>
      <c r="L1854" t="n">
        <v>18.99</v>
      </c>
      <c r="M1854" s="1" t="inlineStr">
        <is>
          <t>46.19%</t>
        </is>
      </c>
      <c r="N1854" s="7" t="n">
        <v>-3.19</v>
      </c>
      <c r="O1854" t="n">
        <v>4.3</v>
      </c>
      <c r="P1854" t="n">
        <v>21</v>
      </c>
      <c r="R1854" t="inlineStr">
        <is>
          <t>InStock</t>
        </is>
      </c>
      <c r="S1854" t="inlineStr">
        <is>
          <t>undefined</t>
        </is>
      </c>
      <c r="T1854" t="inlineStr">
        <is>
          <t>7910808486104</t>
        </is>
      </c>
    </row>
    <row r="1855" hidden="1" ht="15.75" customHeight="1">
      <c r="A1855" s="2">
        <f>HYPERLINK("https://edmondsonsupply.com/collections/hvac/products/greenlee-gsb03-3-4-step-bit-3", "https://edmondsonsupply.com/collections/hvac/products/greenlee-gsb03-3-4-step-bit-3")</f>
        <v/>
      </c>
      <c r="B1855" s="2">
        <f>HYPERLINK("https://edmondsonsupply.com/products/greenlee-gsb03-3-4-step-bit-3", "https://edmondsonsupply.com/products/greenlee-gsb03-3-4-step-bit-3")</f>
        <v/>
      </c>
      <c r="C1855" t="inlineStr">
        <is>
          <t>Greenlee GSB03 3/4" Step Bit (#3)</t>
        </is>
      </c>
      <c r="D1855" t="inlineStr">
        <is>
          <t>Greenlee 34403C BIT,STEP #3 COBALT (34403C), 7/8-Inch Multi-Hole</t>
        </is>
      </c>
      <c r="E1855" s="2">
        <f>HYPERLINK("https://www.amazon.com/Greenlee-34403C-Cobalt-Step-Bit/dp/B016IZP4IS/ref=sr_1_2?keywords=Greenlee+GSB03+3%2F4%22+Step+Bit+%28%233%29&amp;qid=1694734897&amp;sr=8-2", "https://www.amazon.com/Greenlee-34403C-Cobalt-Step-Bit/dp/B016IZP4IS/ref=sr_1_2?keywords=Greenlee+GSB03+3%2F4%22+Step+Bit+%28%233%29&amp;qid=1694734897&amp;sr=8-2")</f>
        <v/>
      </c>
      <c r="F1855" t="inlineStr">
        <is>
          <t>B016IZP4IS</t>
        </is>
      </c>
      <c r="G1855">
        <f>_xludf.IMAGE("https://edmondsonsupply.com/cdn/shop/files/GSB03_CAT1_72dpi.jpg?v=1687784964")</f>
        <v/>
      </c>
      <c r="H1855">
        <f>_xludf.IMAGE("https://m.media-amazon.com/images/I/71lpfxAxTRL._AC_UY218_.jpg")</f>
        <v/>
      </c>
      <c r="K1855" t="inlineStr">
        <is>
          <t>48.39</t>
        </is>
      </c>
      <c r="L1855" t="n">
        <v>70.63</v>
      </c>
      <c r="M1855" s="1" t="inlineStr">
        <is>
          <t>45.96%</t>
        </is>
      </c>
      <c r="N1855" s="1" t="n">
        <v>-3.33</v>
      </c>
      <c r="O1855" t="n">
        <v>4</v>
      </c>
      <c r="P1855" t="n">
        <v>12</v>
      </c>
      <c r="R1855" t="inlineStr">
        <is>
          <t>InStock</t>
        </is>
      </c>
      <c r="S1855" t="inlineStr">
        <is>
          <t>50.4</t>
        </is>
      </c>
      <c r="T1855" t="inlineStr">
        <is>
          <t>8009311551704</t>
        </is>
      </c>
    </row>
    <row r="1856" hidden="1" ht="15.75" customHeight="1">
      <c r="A1856" s="2">
        <f>HYPERLINK("https://edmondsonsupply.com/collections/hvac/products/greenlee-dtap1-4-20-drill-tap-1-4-20", "https://edmondsonsupply.com/collections/hvac/products/greenlee-dtap1-4-20-drill-tap-1-4-20")</f>
        <v/>
      </c>
      <c r="B1856" s="2">
        <f>HYPERLINK("https://edmondsonsupply.com/products/greenlee-dtap1-4-20-drill-tap-1-4-20", "https://edmondsonsupply.com/products/greenlee-dtap1-4-20-drill-tap-1-4-20")</f>
        <v/>
      </c>
      <c r="C1856" t="inlineStr">
        <is>
          <t>Greenlee DTAP1/4-20 Drill/Tap, 1/4-20</t>
        </is>
      </c>
      <c r="D1856" t="inlineStr">
        <is>
          <t>Drill America - DWTET6X1/4-20 1/4"-20 x 6" High Speed Steel Pulley Tap, DWT Series</t>
        </is>
      </c>
      <c r="E1856" s="2">
        <f>HYPERLINK("https://www.amazon.com/Drill-America-Qualtech-High-Speed-Extension/dp/B00FXKAC4G/ref=sr_1_22?keywords=Greenlee+DTAP1%2F4-20+Drill%2FTap%2C+1%2F4-20&amp;qid=1694734812&amp;sr=8-22", "https://www.amazon.com/Drill-America-Qualtech-High-Speed-Extension/dp/B00FXKAC4G/ref=sr_1_22?keywords=Greenlee+DTAP1%2F4-20+Drill%2FTap%2C+1%2F4-20&amp;qid=1694734812&amp;sr=8-22")</f>
        <v/>
      </c>
      <c r="F1856" t="inlineStr">
        <is>
          <t>B00FXKAC4G</t>
        </is>
      </c>
      <c r="G1856">
        <f>_xludf.IMAGE("https://edmondsonsupply.com/cdn/shop/products/DTAP1-4-20.jpg?v=1587151009")</f>
        <v/>
      </c>
      <c r="H1856">
        <f>_xludf.IMAGE("https://m.media-amazon.com/images/I/71JhsiXU2UL._AC_UL320_.jpg")</f>
        <v/>
      </c>
      <c r="K1856" t="inlineStr">
        <is>
          <t>8.99</t>
        </is>
      </c>
      <c r="L1856" t="n">
        <v>13.09</v>
      </c>
      <c r="M1856" s="1" t="inlineStr">
        <is>
          <t>45.61%</t>
        </is>
      </c>
      <c r="N1856" s="1" t="n">
        <v>-3.47</v>
      </c>
      <c r="O1856" t="n">
        <v>4.5</v>
      </c>
      <c r="P1856" t="n">
        <v>174</v>
      </c>
      <c r="R1856" t="inlineStr">
        <is>
          <t>InStock</t>
        </is>
      </c>
      <c r="S1856" t="inlineStr">
        <is>
          <t>9.7</t>
        </is>
      </c>
      <c r="T1856" t="inlineStr">
        <is>
          <t>4395885199460</t>
        </is>
      </c>
    </row>
    <row r="1857" hidden="1" ht="15.75" customHeight="1">
      <c r="A1857" s="2">
        <f>HYPERLINK("https://edmondsonsupply.com/collections/hvac/products/klein-tools-89552-hole-cutter-for-duct-and-sheet-metal-2-to-12-inch", "https://edmondsonsupply.com/collections/hvac/products/klein-tools-89552-hole-cutter-for-duct-and-sheet-metal-2-to-12-inch")</f>
        <v/>
      </c>
      <c r="B1857" s="2">
        <f>HYPERLINK("https://edmondsonsupply.com/products/klein-tools-89552-hole-cutter-for-duct-and-sheet-metal-2-to-12-inch", "https://edmondsonsupply.com/products/klein-tools-89552-hole-cutter-for-duct-and-sheet-metal-2-to-12-inch")</f>
        <v/>
      </c>
      <c r="C1857" t="inlineStr">
        <is>
          <t>Klein Tools 89552 Hole Cutter for Duct and Sheet Metal, 2 to 12-Inch</t>
        </is>
      </c>
      <c r="D1857" t="inlineStr">
        <is>
          <t>Klein Tools 89552 Hole Cutter, Adjustable Cutter from 2 to 12 Inch, Cuts 24 Gauge Steel and 26 Gauge Stainless &amp; Klein Tools 89565</t>
        </is>
      </c>
      <c r="E1857" s="2">
        <f>HYPERLINK("https://www.amazon.com/Klein-Tools-Cutter-Adjustable-Stainless/dp/B0BGPWHHD6/ref=sr_1_4?keywords=Klein+Tools+89552+Hole+Cutter+for+Duct+and+Sheet+Metal%2C+2+to+12-Inch&amp;qid=1694734820&amp;sr=8-4", "https://www.amazon.com/Klein-Tools-Cutter-Adjustable-Stainless/dp/B0BGPWHHD6/ref=sr_1_4?keywords=Klein+Tools+89552+Hole+Cutter+for+Duct+and+Sheet+Metal%2C+2+to+12-Inch&amp;qid=1694734820&amp;sr=8-4")</f>
        <v/>
      </c>
      <c r="F1857" t="inlineStr">
        <is>
          <t>B0BGPWHHD6</t>
        </is>
      </c>
      <c r="G1857">
        <f>_xludf.IMAGE("https://edmondsonsupply.com/cdn/shop/products/89552.jpg?v=1587143132")</f>
        <v/>
      </c>
      <c r="H1857">
        <f>_xludf.IMAGE("https://m.media-amazon.com/images/I/311p0VBWVOL._AC_UL320_.jpg")</f>
        <v/>
      </c>
      <c r="K1857" t="inlineStr">
        <is>
          <t>56.99</t>
        </is>
      </c>
      <c r="L1857" t="n">
        <v>82.98</v>
      </c>
      <c r="M1857" s="1" t="inlineStr">
        <is>
          <t>45.60%</t>
        </is>
      </c>
      <c r="N1857" s="1" t="n">
        <v>-3.62</v>
      </c>
      <c r="O1857" t="n">
        <v>4</v>
      </c>
      <c r="P1857" t="n">
        <v>1</v>
      </c>
      <c r="R1857" t="inlineStr">
        <is>
          <t>InStock</t>
        </is>
      </c>
      <c r="S1857" t="inlineStr">
        <is>
          <t>83.98</t>
        </is>
      </c>
      <c r="T1857" t="inlineStr">
        <is>
          <t>4169413165156</t>
        </is>
      </c>
    </row>
    <row r="1858" ht="87" customHeight="1">
      <c r="A1858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1858" s="2">
        <f>HYPERLINK("https://edmondsonsupply.com/products/klein-tools-d2000-28glw-diagonal-cutting-pliers-hi-viz-8-inch", "https://edmondsonsupply.com/products/klein-tools-d2000-28glw-diagonal-cutting-pliers-hi-viz-8-inch")</f>
        <v/>
      </c>
      <c r="C1858" t="inlineStr">
        <is>
          <t>Klein Tools D200028GLW Diagonal Cutting Pliers, High-Visibility, 8-Inch</t>
        </is>
      </c>
      <c r="D1858" t="inlineStr">
        <is>
          <t>Klein Tools 200028EINS Pliers, Electrician's Insulated Diagonal Cutting Pliers with Slim Handle 1000V Rated Grips, 8-Inch</t>
        </is>
      </c>
      <c r="E1858" s="2">
        <f>HYPERLINK("https://www.amazon.com/Klein-Tools-200028EINS-Electricians-Insulated/dp/B00JGG5P86/ref=sr_1_25?keywords=Klein+Tools+D200028GLW+Diagonal+Cutting+Pliers%2C+High-Visibility%2C+8-Inch&amp;qid=1694734781&amp;sr=8-25", "https://www.amazon.com/Klein-Tools-200028EINS-Electricians-Insulated/dp/B00JGG5P86/ref=sr_1_25?keywords=Klein+Tools+D200028GLW+Diagonal+Cutting+Pliers%2C+High-Visibility%2C+8-Inch&amp;qid=1694734781&amp;sr=8-25")</f>
        <v/>
      </c>
      <c r="F1858" t="inlineStr">
        <is>
          <t>B00JGG5P86</t>
        </is>
      </c>
      <c r="G1858">
        <f>_xlfn.IMAGE("https://edmondsonsupply.com/cdn/shop/products/d200028glw.jpg?v=1633030701")</f>
        <v/>
      </c>
      <c r="H1858">
        <f>_xlfn.IMAGE("https://m.media-amazon.com/images/I/51cA-etI6LL._AC_UL320_.jpg")</f>
        <v/>
      </c>
      <c r="K1858" t="inlineStr">
        <is>
          <t>37.49</t>
        </is>
      </c>
      <c r="L1858" t="n">
        <v>54.55</v>
      </c>
      <c r="M1858" s="1" t="inlineStr">
        <is>
          <t>45.51%</t>
        </is>
      </c>
      <c r="N1858" s="7" t="n">
        <v>-3.75</v>
      </c>
      <c r="O1858" t="n">
        <v>4.4</v>
      </c>
      <c r="P1858" t="n">
        <v>68</v>
      </c>
      <c r="R1858" t="inlineStr">
        <is>
          <t>InStock</t>
        </is>
      </c>
      <c r="S1858" t="inlineStr">
        <is>
          <t>56.78</t>
        </is>
      </c>
      <c r="T1858" t="inlineStr">
        <is>
          <t>5848287477928</t>
        </is>
      </c>
    </row>
    <row r="1859" ht="87" customHeight="1">
      <c r="A1859" s="2">
        <f>HYPERLINK("https://edmondsonsupply.com/collections/hvac/products/nu-calgon-44171-75-evap-foam-no-rinse-aerosol-coil-cleaner", "https://edmondsonsupply.com/collections/hvac/products/nu-calgon-44171-75-evap-foam-no-rinse-aerosol-coil-cleaner")</f>
        <v/>
      </c>
      <c r="B1859" s="2">
        <f>HYPERLINK("https://edmondsonsupply.com/products/nu-calgon-44171-75-evap-foam-no-rinse-aerosol-coil-cleaner", "https://edmondsonsupply.com/products/nu-calgon-44171-75-evap-foam-no-rinse-aerosol-coil-cleaner")</f>
        <v/>
      </c>
      <c r="C1859" t="inlineStr">
        <is>
          <t>Nu-Calgon 4171-75 Evap Foam No Rinse, Aerosol Coil Cleaner (18 oz. can)</t>
        </is>
      </c>
      <c r="D1859" t="inlineStr">
        <is>
          <t>Nu-Calgon 4171-75 Evap Foam No Rinse Evaporator Coil Cleaner, 18 oz.</t>
        </is>
      </c>
      <c r="E1859" s="2">
        <f>HYPERLINK("https://www.amazon.com/Nu-Calgon-4171-75-Rinse-Evaporator-Cleaner/dp/B00DM8KQ3I/ref=sr_1_1?keywords=Nu-Calgon+4171-75+Evap+Foam+No+Rinse%2C+Aerosol+Coil+Cleaner+%2818+oz.+can%29&amp;qid=1694734591&amp;sr=8-1", "https://www.amazon.com/Nu-Calgon-4171-75-Rinse-Evaporator-Cleaner/dp/B00DM8KQ3I/ref=sr_1_1?keywords=Nu-Calgon+4171-75+Evap+Foam+No+Rinse%2C+Aerosol+Coil+Cleaner+%2818+oz.+can%29&amp;qid=1694734591&amp;sr=8-1")</f>
        <v/>
      </c>
      <c r="F1859" t="inlineStr">
        <is>
          <t>B00DM8KQ3I</t>
        </is>
      </c>
      <c r="G1859">
        <f>_xlfn.IMAGE("https://edmondsonsupply.com/cdn/shop/products/4171-75.jpg?v=1659099515")</f>
        <v/>
      </c>
      <c r="H1859">
        <f>_xlfn.IMAGE("https://m.media-amazon.com/images/I/81-yHq9kc4L._AC_UL320_.jpg")</f>
        <v/>
      </c>
      <c r="K1859" t="inlineStr">
        <is>
          <t>11.75</t>
        </is>
      </c>
      <c r="L1859" t="n">
        <v>17.09</v>
      </c>
      <c r="M1859" s="1" t="inlineStr">
        <is>
          <t>45.45%</t>
        </is>
      </c>
      <c r="N1859" s="7" t="n">
        <v>-3.76</v>
      </c>
      <c r="O1859" t="n">
        <v>4.5</v>
      </c>
      <c r="P1859" t="n">
        <v>11384</v>
      </c>
      <c r="R1859" t="inlineStr">
        <is>
          <t>InStock</t>
        </is>
      </c>
      <c r="S1859" t="inlineStr">
        <is>
          <t>17.7</t>
        </is>
      </c>
      <c r="T1859" t="inlineStr">
        <is>
          <t>7766316646616</t>
        </is>
      </c>
    </row>
    <row r="1860" ht="87" customHeight="1">
      <c r="A1860" s="2">
        <f>HYPERLINK("https://edmondsonsupply.com/collections/hvac/products/testo-0564-5501-01-550s-smart-digital-manifold-w-wired-clamp-temperature-probes", "https://edmondsonsupply.com/collections/hvac/products/testo-0564-5501-01-550s-smart-digital-manifold-w-wired-clamp-temperature-probes")</f>
        <v/>
      </c>
      <c r="B1860" s="2">
        <f>HYPERLINK("https://edmondsonsupply.com/products/testo-0564-5501-01-550s-smart-digital-manifold-w-wired-clamp-temperature-probes", "https://edmondsonsupply.com/products/testo-0564-5501-01-550s-smart-digital-manifold-w-wired-clamp-temperature-probes")</f>
        <v/>
      </c>
      <c r="C1860" t="inlineStr">
        <is>
          <t>Testo 0564 5501 01 - 550s Smart Digital Manifold w/ Wired Clamp Temperature Probes</t>
        </is>
      </c>
      <c r="D1860" t="inlineStr">
        <is>
          <t>Testo 550s Kit I App Operated Digital Manifold for HVAC and Refrigeration with 2 x Wired Temperature clamp Probes &amp; 552i App-Controlled Wireless Vacuum Probe I for HVAC Systems – with Bluetooth</t>
        </is>
      </c>
      <c r="E1860" s="2">
        <f>HYPERLINK("https://www.amazon.com/Testo-Operated-Refrigeration-Temperature-App-Controlled/dp/B0BS2YTS4Y/ref=sr_1_1?keywords=Testo+0564+5501+01+-+550s+Smart+Digital+Manifold+w%2F+Wired+Clamp+Temperature+Probes&amp;qid=1694734700&amp;sr=8-1", "https://www.amazon.com/Testo-Operated-Refrigeration-Temperature-App-Controlled/dp/B0BS2YTS4Y/ref=sr_1_1?keywords=Testo+0564+5501+01+-+550s+Smart+Digital+Manifold+w%2F+Wired+Clamp+Temperature+Probes&amp;qid=1694734700&amp;sr=8-1")</f>
        <v/>
      </c>
      <c r="F1860" t="inlineStr">
        <is>
          <t>B0BS2YTS4Y</t>
        </is>
      </c>
      <c r="G1860">
        <f>_xlfn.IMAGE("https://edmondsonsupply.com/cdn/shop/products/0564-5501-01-550s-Basic-Kit-US_master.jpg?v=1632666047")</f>
        <v/>
      </c>
      <c r="H1860">
        <f>_xlfn.IMAGE("https://m.media-amazon.com/images/I/41SIoDg1SRL._AC_UY218_.jpg")</f>
        <v/>
      </c>
      <c r="K1860" t="inlineStr">
        <is>
          <t>391.0</t>
        </is>
      </c>
      <c r="L1860" t="n">
        <v>568.65</v>
      </c>
      <c r="M1860" s="1" t="inlineStr">
        <is>
          <t>45.43%</t>
        </is>
      </c>
      <c r="N1860" s="7" t="n">
        <v>-3.96</v>
      </c>
      <c r="O1860" t="n">
        <v>5</v>
      </c>
      <c r="P1860" t="n">
        <v>1</v>
      </c>
      <c r="R1860" t="inlineStr">
        <is>
          <t>InStock</t>
        </is>
      </c>
      <c r="S1860" t="inlineStr">
        <is>
          <t>460.0</t>
        </is>
      </c>
      <c r="T1860" t="inlineStr">
        <is>
          <t>6969925697709</t>
        </is>
      </c>
    </row>
    <row r="1861" hidden="1" ht="15.75" customHeight="1">
      <c r="A1861" s="2">
        <f>HYPERLINK("https://edmondsonsupply.com/collections/hvac/products/midwest-mwt-a2-scribe", "https://edmondsonsupply.com/collections/hvac/products/midwest-mwt-a2-scribe")</f>
        <v/>
      </c>
      <c r="B1861" s="2">
        <f>HYPERLINK("https://edmondsonsupply.com/products/midwest-mwt-a2-scribe", "https://edmondsonsupply.com/products/midwest-mwt-a2-scribe")</f>
        <v/>
      </c>
      <c r="C1861" t="inlineStr">
        <is>
          <t>Midwest MWT-A2 Scribe Mark &amp; Measure Tool</t>
        </is>
      </c>
      <c r="D1861" t="inlineStr">
        <is>
          <t>Midwest Tool and Cutlery MWT-A2 Scribe Mark &amp; Measure Tool</t>
        </is>
      </c>
      <c r="E1861" s="2">
        <f>HYPERLINK("https://www.amazon.com/Midwest-Tool-Cutlery-MWT-A2-Measure/dp/B01BYRB3F8/ref=sr_1_1?keywords=Midwest+MWT-A2+Scribe+Mark+%26+Measure+Tool&amp;qid=1694734645&amp;sr=8-1", "https://www.amazon.com/Midwest-Tool-Cutlery-MWT-A2-Measure/dp/B01BYRB3F8/ref=sr_1_1?keywords=Midwest+MWT-A2+Scribe+Mark+%26+Measure+Tool&amp;qid=1694734645&amp;sr=8-1")</f>
        <v/>
      </c>
      <c r="F1861" t="inlineStr">
        <is>
          <t>B01BYRB3F8</t>
        </is>
      </c>
      <c r="G1861">
        <f>_xludf.IMAGE("https://edmondsonsupply.com/cdn/shop/products/MWT-A2.jpg?v=1587142621")</f>
        <v/>
      </c>
      <c r="H1861">
        <f>_xludf.IMAGE("https://m.media-amazon.com/images/I/61q8gTLBh0L._AC_UL320_.jpg")</f>
        <v/>
      </c>
      <c r="K1861" t="inlineStr">
        <is>
          <t>6.12</t>
        </is>
      </c>
      <c r="L1861" t="n">
        <v>8.9</v>
      </c>
      <c r="M1861" s="1" t="inlineStr">
        <is>
          <t>45.42%</t>
        </is>
      </c>
      <c r="N1861" s="1" t="n">
        <v>-3.96</v>
      </c>
      <c r="O1861" t="n">
        <v>4.8</v>
      </c>
      <c r="P1861" t="n">
        <v>66</v>
      </c>
      <c r="R1861" t="inlineStr">
        <is>
          <t>InStock</t>
        </is>
      </c>
      <c r="S1861" t="inlineStr">
        <is>
          <t>8.32</t>
        </is>
      </c>
      <c r="T1861" t="inlineStr">
        <is>
          <t>4508544467044</t>
        </is>
      </c>
    </row>
    <row r="1862" ht="87" customHeight="1">
      <c r="A1862" s="2">
        <f>HYPERLINK("https://edmondsonsupply.com/collections/hvac/products/fieldpiece-sc260", "https://edmondsonsupply.com/collections/hvac/products/fieldpiece-sc260")</f>
        <v/>
      </c>
      <c r="B1862" s="2">
        <f>HYPERLINK("https://edmondsonsupply.com/products/fieldpiece-sc260", "https://edmondsonsupply.com/products/fieldpiece-sc260")</f>
        <v/>
      </c>
      <c r="C1862" t="inlineStr">
        <is>
          <t>Fieldpiece SC260 Compact Clamp Meter with True RMS</t>
        </is>
      </c>
      <c r="D1862" t="inlineStr">
        <is>
          <t>Fieldpiece SC440 True RMS Clamp Meter with Temperature, Inrush Current, Capacitance and Backlight</t>
        </is>
      </c>
      <c r="E1862" s="2">
        <f>HYPERLINK("https://www.amazon.com/Fieldpiece-SC440-Temperature-Capacitance-Backlight/dp/B00KLYJMNQ/ref=sr_1_3?keywords=Fieldpiece+SC260+Compact+Clamp+Meter+with+True+RMS&amp;qid=1694734833&amp;sr=8-3", "https://www.amazon.com/Fieldpiece-SC440-Temperature-Capacitance-Backlight/dp/B00KLYJMNQ/ref=sr_1_3?keywords=Fieldpiece+SC260+Compact+Clamp+Meter+with+True+RMS&amp;qid=1694734833&amp;sr=8-3")</f>
        <v/>
      </c>
      <c r="F1862" t="inlineStr">
        <is>
          <t>B00KLYJMNQ</t>
        </is>
      </c>
      <c r="G1862">
        <f>_xlfn.IMAGE("https://edmondsonsupply.com/cdn/shop/products/SC260-SRC-product.jpg?v=1633030161")</f>
        <v/>
      </c>
      <c r="H1862">
        <f>_xlfn.IMAGE("https://m.media-amazon.com/images/I/51Yh8BCUNPL._AC_UY218_.jpg")</f>
        <v/>
      </c>
      <c r="K1862" t="inlineStr">
        <is>
          <t>138.55</t>
        </is>
      </c>
      <c r="L1862" t="n">
        <v>201.45</v>
      </c>
      <c r="M1862" s="1" t="inlineStr">
        <is>
          <t>45.40%</t>
        </is>
      </c>
      <c r="N1862" s="7" t="n">
        <v>-4</v>
      </c>
      <c r="O1862" t="n">
        <v>4.7</v>
      </c>
      <c r="P1862" t="n">
        <v>700</v>
      </c>
      <c r="R1862" t="inlineStr">
        <is>
          <t>InStock</t>
        </is>
      </c>
      <c r="S1862" t="inlineStr">
        <is>
          <t>163.0</t>
        </is>
      </c>
      <c r="T1862" t="inlineStr">
        <is>
          <t>4288310771812</t>
        </is>
      </c>
    </row>
    <row r="1863" ht="87" customHeight="1">
      <c r="A1863" s="2">
        <f>HYPERLINK("https://edmondsonsupply.com/collections/hvac/products/appion-kt11aa-r-megaflow-hose-gasket-10-pack-for-1-4in-fl-fittings", "https://edmondsonsupply.com/collections/hvac/products/appion-kt11aa-r-megaflow-hose-gasket-10-pack-for-1-4in-fl-fittings")</f>
        <v/>
      </c>
      <c r="B1863" s="2">
        <f>HYPERLINK("https://edmondsonsupply.com/products/appion-kt11aa-r-megaflow-hose-gasket-10-pack-for-1-4in-fl-fittings", "https://edmondsonsupply.com/products/appion-kt11aa-r-megaflow-hose-gasket-10-pack-for-1-4in-fl-fittings")</f>
        <v/>
      </c>
      <c r="C1863" t="inlineStr">
        <is>
          <t>Appion KT11AA-R MegaFlow Hose Gasket 10 Pack for 1/4in FL Fittings</t>
        </is>
      </c>
      <c r="D1863" t="inlineStr">
        <is>
          <t>Appion KT11AA-R - MegaFlow Hose Gasket Kit for 1/4in FL Fittings</t>
        </is>
      </c>
      <c r="E1863" s="2">
        <f>HYPERLINK("https://www.amazon.com/Appion-KT11AA-R-MegaFlow-Hose-Gasket/dp/B08CSF9CGQ/ref=sr_1_1?keywords=Appion+KT11AA-R+MegaFlow+Hose+Gasket+10+Pack+for+1%2F4in+FL+Fittings&amp;qid=1694734654&amp;sr=8-1", "https://www.amazon.com/Appion-KT11AA-R-MegaFlow-Hose-Gasket/dp/B08CSF9CGQ/ref=sr_1_1?keywords=Appion+KT11AA-R+MegaFlow+Hose+Gasket+10+Pack+for+1%2F4in+FL+Fittings&amp;qid=1694734654&amp;sr=8-1")</f>
        <v/>
      </c>
      <c r="F1863" t="inlineStr">
        <is>
          <t>B08CSF9CGQ</t>
        </is>
      </c>
      <c r="G1863">
        <f>_xlfn.IMAGE("https://edmondsonsupply.com/cdn/shop/products/KT11AA-R_1080.png?v=1679102629")</f>
        <v/>
      </c>
      <c r="H1863">
        <f>_xlfn.IMAGE("https://m.media-amazon.com/images/I/41FddP7Sy3L._AC_UL320_.jpg")</f>
        <v/>
      </c>
      <c r="K1863" t="inlineStr">
        <is>
          <t>21.99</t>
        </is>
      </c>
      <c r="L1863" t="n">
        <v>31.96</v>
      </c>
      <c r="M1863" s="1" t="inlineStr">
        <is>
          <t>45.34%</t>
        </is>
      </c>
      <c r="N1863" s="7" t="n">
        <v>-4.2</v>
      </c>
      <c r="O1863" t="n">
        <v>5</v>
      </c>
      <c r="P1863" t="n">
        <v>10</v>
      </c>
      <c r="R1863" t="inlineStr">
        <is>
          <t>InStock</t>
        </is>
      </c>
      <c r="S1863" t="inlineStr">
        <is>
          <t>27.99</t>
        </is>
      </c>
      <c r="T1863" t="inlineStr">
        <is>
          <t>7963357610200</t>
        </is>
      </c>
    </row>
    <row r="1864" ht="87" customHeight="1">
      <c r="A1864" s="2">
        <f>HYPERLINK("https://edmondsonsupply.com/collections/hvac/products/channellock-428", "https://edmondsonsupply.com/collections/hvac/products/channellock-428")</f>
        <v/>
      </c>
      <c r="B1864" s="2">
        <f>HYPERLINK("https://edmondsonsupply.com/products/channellock-428", "https://edmondsonsupply.com/products/channellock-428")</f>
        <v/>
      </c>
      <c r="C1864" t="inlineStr">
        <is>
          <t>Channellock 428 8-Inch Straight Jaw Tongue &amp; Groove Pliers</t>
        </is>
      </c>
      <c r="D1864" t="inlineStr">
        <is>
          <t>STEELHEAD 3-Piece Straight Jaw Tongue and Groove Pliers Set (12inch, 10inch &amp; 7inch), Groove Joint Pliers, Carbon Steel, High-Visibility Handle, USA-Based Support,SH-00-PL-B3-0-1</t>
        </is>
      </c>
      <c r="E1864" s="2">
        <f>HYPERLINK("https://www.amazon.com/STEELHEAD-Straight-High-Visibility-USA-Based-SH-00-PL-B3-0-1/dp/B07TVL8NLL/ref=sr_1_8?keywords=Channellock+428+8-Inch+Straight+Jaw+Tongue&amp;qid=1694734826&amp;sr=8-8", "https://www.amazon.com/STEELHEAD-Straight-High-Visibility-USA-Based-SH-00-PL-B3-0-1/dp/B07TVL8NLL/ref=sr_1_8?keywords=Channellock+428+8-Inch+Straight+Jaw+Tongue&amp;qid=1694734826&amp;sr=8-8")</f>
        <v/>
      </c>
      <c r="F1864" t="inlineStr">
        <is>
          <t>B07TVL8NLL</t>
        </is>
      </c>
      <c r="G1864">
        <f>_xlfn.IMAGE("https://edmondsonsupply.com/cdn/shop/products/428-683x1024.jpg?v=1587145854")</f>
        <v/>
      </c>
      <c r="H1864">
        <f>_xlfn.IMAGE("https://m.media-amazon.com/images/I/81Bjb5m+1vL._AC_UL320_.jpg")</f>
        <v/>
      </c>
      <c r="K1864" t="inlineStr">
        <is>
          <t>16.95</t>
        </is>
      </c>
      <c r="L1864" t="n">
        <v>24.63</v>
      </c>
      <c r="M1864" s="1" t="inlineStr">
        <is>
          <t>45.31%</t>
        </is>
      </c>
      <c r="N1864" s="7" t="n">
        <v>-4.24</v>
      </c>
      <c r="O1864" t="n">
        <v>4.4</v>
      </c>
      <c r="P1864" t="n">
        <v>87</v>
      </c>
      <c r="R1864" t="inlineStr">
        <is>
          <t>InStock</t>
        </is>
      </c>
      <c r="S1864" t="inlineStr">
        <is>
          <t>25.06</t>
        </is>
      </c>
      <c r="T1864" t="inlineStr">
        <is>
          <t>3523408527460</t>
        </is>
      </c>
    </row>
    <row r="1865" hidden="1" ht="15.75" customHeight="1">
      <c r="A1865" s="2">
        <f>HYPERLINK("https://edmondsonsupply.com/collections/hvac/products/supco-mag1bk-30-vac-magnetic-test-leads", "https://edmondsonsupply.com/collections/hvac/products/supco-mag1bk-30-vac-magnetic-test-leads")</f>
        <v/>
      </c>
      <c r="B1865" s="2">
        <f>HYPERLINK("https://edmondsonsupply.com/products/supco-mag1bk-30-vac-magnetic-test-leads", "https://edmondsonsupply.com/products/supco-mag1bk-30-vac-magnetic-test-leads")</f>
        <v/>
      </c>
      <c r="C1865" t="inlineStr">
        <is>
          <t>Supco MAG1BK 30 VAC Magnetic Test Leads</t>
        </is>
      </c>
      <c r="D1865" t="inlineStr">
        <is>
          <t>Supco MAG1RD 30 VAC Magnetic Test Leads</t>
        </is>
      </c>
      <c r="E1865" s="2">
        <f>HYPERLINK("https://www.amazon.com/Supco-MAG1RD-Orginal-Replacement-Parts/dp/B01KU954MY/ref=sr_1_2?keywords=Supco+MAG1BK+30+VAC+Magnetic+Test+Leads&amp;qid=1694734686&amp;sr=8-2", "https://www.amazon.com/Supco-MAG1RD-Orginal-Replacement-Parts/dp/B01KU954MY/ref=sr_1_2?keywords=Supco+MAG1BK+30+VAC+Magnetic+Test+Leads&amp;qid=1694734686&amp;sr=8-2")</f>
        <v/>
      </c>
      <c r="F1865" t="inlineStr">
        <is>
          <t>B01KU954MY</t>
        </is>
      </c>
      <c r="G1865">
        <f>_xludf.IMAGE("https://edmondsonsupply.com/cdn/shop/products/mag1bk.png?v=1671744087")</f>
        <v/>
      </c>
      <c r="H1865">
        <f>_xludf.IMAGE("https://m.media-amazon.com/images/I/61v5PaJ0-WL._AC_UY218_.jpg")</f>
        <v/>
      </c>
      <c r="K1865" t="inlineStr">
        <is>
          <t>9.99</t>
        </is>
      </c>
      <c r="L1865" t="n">
        <v>14.51</v>
      </c>
      <c r="M1865" s="1" t="inlineStr">
        <is>
          <t>45.25%</t>
        </is>
      </c>
      <c r="N1865" s="1" t="n">
        <v>-4.26</v>
      </c>
      <c r="O1865" t="n">
        <v>4.3</v>
      </c>
      <c r="P1865" t="n">
        <v>123</v>
      </c>
      <c r="R1865" t="inlineStr">
        <is>
          <t>InStock</t>
        </is>
      </c>
      <c r="S1865" t="inlineStr">
        <is>
          <t>undefined</t>
        </is>
      </c>
      <c r="T1865" t="inlineStr">
        <is>
          <t>7910334660824</t>
        </is>
      </c>
    </row>
    <row r="1866" ht="87" customHeight="1">
      <c r="A1866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1866" s="2">
        <f>HYPERLINK("https://edmondsonsupply.com/products/klein-tools-mm300kit-digital-multimeter-electrical-test-kit", "https://edmondsonsupply.com/products/klein-tools-mm300kit-digital-multimeter-electrical-test-kit")</f>
        <v/>
      </c>
      <c r="C1866" t="inlineStr">
        <is>
          <t>Klein Tools MM320KIT Digital Multimeter Electrical Test Kit</t>
        </is>
      </c>
      <c r="D1866" t="inlineStr">
        <is>
          <t>Digital Multimeter Electrical Test Kit, Non-Contact Voltage Tester, Receptacle Tester, Carrying Case and Batteries Klein Tools MM320KIT &amp; 44228 Electrician's Pocket Knife with Stainless Steel Blade</t>
        </is>
      </c>
      <c r="E1866" s="2">
        <f>HYPERLINK("https://www.amazon.com/Multimeter-Non-Contact-Klein-Tools-Electricians/dp/B0BVGB1TXZ/ref=sr_1_2?keywords=Klein+Tools+MM320KIT+Digital+Multimeter+Electrical+Test+Kit&amp;qid=1694734657&amp;sr=8-2", "https://www.amazon.com/Multimeter-Non-Contact-Klein-Tools-Electricians/dp/B0BVGB1TXZ/ref=sr_1_2?keywords=Klein+Tools+MM320KIT+Digital+Multimeter+Electrical+Test+Kit&amp;qid=1694734657&amp;sr=8-2")</f>
        <v/>
      </c>
      <c r="F1866" t="inlineStr">
        <is>
          <t>B0BVGB1TXZ</t>
        </is>
      </c>
      <c r="G1866">
        <f>_xlfn.IMAGE("https://edmondsonsupply.com/cdn/shop/products/mm320kit_photo.jpg?v=1660756496")</f>
        <v/>
      </c>
      <c r="H1866">
        <f>_xlfn.IMAGE("https://m.media-amazon.com/images/I/5187WRo8ulL._AC_UL320_.jpg")</f>
        <v/>
      </c>
      <c r="K1866" t="inlineStr">
        <is>
          <t>49.97</t>
        </is>
      </c>
      <c r="L1866" t="n">
        <v>72.45999999999999</v>
      </c>
      <c r="M1866" s="1" t="inlineStr">
        <is>
          <t>45.01%</t>
        </is>
      </c>
      <c r="N1866" s="7" t="n">
        <v>-4.28</v>
      </c>
      <c r="O1866" t="n">
        <v>5</v>
      </c>
      <c r="P1866" t="n">
        <v>1</v>
      </c>
      <c r="R1866" t="inlineStr">
        <is>
          <t>InStock</t>
        </is>
      </c>
      <c r="S1866" t="inlineStr">
        <is>
          <t>79.3</t>
        </is>
      </c>
      <c r="T1866" t="inlineStr">
        <is>
          <t>7783570309336</t>
        </is>
      </c>
    </row>
    <row r="1867" ht="87" customHeight="1">
      <c r="A1867" s="2">
        <f>HYPERLINK("https://edmondsonsupply.com/collections/hvac/products/copy-of-trion-455602-527-air-bear-supreme-2000-20x25x5-merv-11-air-cleaner-cabinet-grey-1", "https://edmondsonsupply.com/collections/hvac/products/copy-of-trion-455602-527-air-bear-supreme-2000-20x25x5-merv-11-air-cleaner-cabinet-grey-1")</f>
        <v/>
      </c>
      <c r="B1867" s="2">
        <f>HYPERLINK("https://edmondsonsupply.com/products/copy-of-trion-455602-527-air-bear-supreme-2000-20x25x5-merv-11-air-cleaner-cabinet-grey-1", "https://edmondsonsupply.com/products/copy-of-trion-455602-527-air-bear-supreme-2000-20x25x5-merv-11-air-cleaner-cabinet-grey-1")</f>
        <v/>
      </c>
      <c r="C1867" t="inlineStr">
        <is>
          <t>Trion 455602-027 Air Bear Supreme 2000 20x25x5 MERV-8 Air Cleaner Cabinet (Grey)</t>
        </is>
      </c>
      <c r="D1867" t="inlineStr">
        <is>
          <t>Trion 455602-227 - Air Bear Supreme 20x20x5 Media Air Cleaner- MERV 8, Warm Grey</t>
        </is>
      </c>
      <c r="E1867" s="2">
        <f>HYPERLINK("https://www.amazon.com/Trion-455602-227-Supreme-20x20x5-Cleaner/dp/B079Y8CP9M/ref=sr_1_2?keywords=Trion+455602-027+Air+Bear+Supreme+2000+20x25x5+MERV-8+Air+Cleaner+Cabinet+%28Grey%29&amp;qid=1694734753&amp;sr=8-2", "https://www.amazon.com/Trion-455602-227-Supreme-20x20x5-Cleaner/dp/B079Y8CP9M/ref=sr_1_2?keywords=Trion+455602-027+Air+Bear+Supreme+2000+20x25x5+MERV-8+Air+Cleaner+Cabinet+%28Grey%29&amp;qid=1694734753&amp;sr=8-2")</f>
        <v/>
      </c>
      <c r="F1867" t="inlineStr">
        <is>
          <t>B079Y8CP9M</t>
        </is>
      </c>
      <c r="G1867">
        <f>_xlfn.IMAGE("https://edmondsonsupply.com/cdn/shop/products/00_86dca442-e626-4c75-b893-92c884df73e1.png?v=1677884533")</f>
        <v/>
      </c>
      <c r="H1867">
        <f>_xlfn.IMAGE("https://m.media-amazon.com/images/I/517NY7hZ4rL._AC_UL320_.jpg")</f>
        <v/>
      </c>
      <c r="K1867" t="inlineStr">
        <is>
          <t>119.59</t>
        </is>
      </c>
      <c r="L1867" t="n">
        <v>173.14</v>
      </c>
      <c r="M1867" s="1" t="inlineStr">
        <is>
          <t>44.78%</t>
        </is>
      </c>
      <c r="N1867" s="7" t="n">
        <v>-4.35</v>
      </c>
      <c r="O1867" t="n">
        <v>5</v>
      </c>
      <c r="P1867" t="n">
        <v>3</v>
      </c>
      <c r="R1867" t="inlineStr">
        <is>
          <t>InStock</t>
        </is>
      </c>
      <c r="S1867" t="inlineStr">
        <is>
          <t>undefined</t>
        </is>
      </c>
      <c r="T1867" t="inlineStr">
        <is>
          <t>7955356385496</t>
        </is>
      </c>
    </row>
    <row r="1868" ht="87" customHeight="1">
      <c r="A1868" s="2">
        <f>HYPERLINK("https://edmondsonsupply.com/collections/hvac/products/icm-controls-icm325a-low-ambient-head-pressure-control", "https://edmondsonsupply.com/collections/hvac/products/icm-controls-icm325a-low-ambient-head-pressure-control")</f>
        <v/>
      </c>
      <c r="B1868" s="2">
        <f>HYPERLINK("https://edmondsonsupply.com/products/icm-controls-icm325a-low-ambient-head-pressure-control", "https://edmondsonsupply.com/products/icm-controls-icm325a-low-ambient-head-pressure-control")</f>
        <v/>
      </c>
      <c r="C1868" t="inlineStr">
        <is>
          <t>ICM Controls ICM325A Low Ambient Head Pressure Control</t>
        </is>
      </c>
      <c r="D1868" t="inlineStr">
        <is>
          <t>ICM Controls ICM333 Low Ambient Head Pressure Control, 120-600 VAC; Dual Temp Or Dual Pressure Inputs</t>
        </is>
      </c>
      <c r="E1868" s="2">
        <f>HYPERLINK("https://www.amazon.com/ICM-Controls-ICM333-Ambient-Pressure/dp/B007ICI4LK/ref=sr_1_1?keywords=ICM+Controls+ICM325A+Low+Ambient+Head+Pressure+Control&amp;qid=1694734748&amp;sr=8-1", "https://www.amazon.com/ICM-Controls-ICM333-Ambient-Pressure/dp/B007ICI4LK/ref=sr_1_1?keywords=ICM+Controls+ICM325A+Low+Ambient+Head+Pressure+Control&amp;qid=1694734748&amp;sr=8-1")</f>
        <v/>
      </c>
      <c r="F1868" t="inlineStr">
        <is>
          <t>B007ICI4LK</t>
        </is>
      </c>
      <c r="G1868">
        <f>_xlfn.IMAGE("https://edmondsonsupply.com/cdn/shop/files/icm325.png?v=1684274593")</f>
        <v/>
      </c>
      <c r="H1868">
        <f>_xlfn.IMAGE("https://m.media-amazon.com/images/I/71DLNuhcRQL._AC_UL320_.jpg")</f>
        <v/>
      </c>
      <c r="K1868" t="inlineStr">
        <is>
          <t>153.19</t>
        </is>
      </c>
      <c r="L1868" t="n">
        <v>221.7</v>
      </c>
      <c r="M1868" s="1" t="inlineStr">
        <is>
          <t>44.72%</t>
        </is>
      </c>
      <c r="N1868" s="7" t="n">
        <v>-4.38</v>
      </c>
      <c r="O1868" t="n">
        <v>4.7</v>
      </c>
      <c r="P1868" t="n">
        <v>6</v>
      </c>
      <c r="R1868" t="inlineStr">
        <is>
          <t>InStock</t>
        </is>
      </c>
      <c r="S1868" t="inlineStr">
        <is>
          <t>undefined</t>
        </is>
      </c>
      <c r="T1868" t="inlineStr">
        <is>
          <t>7993205948632</t>
        </is>
      </c>
    </row>
    <row r="1869" hidden="1" ht="15.75" customHeight="1">
      <c r="A1869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869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869" t="inlineStr">
        <is>
          <t>Klein Tools JTH6E14 5/16-Inch Hex Key with Journeyman T-Handle, 6-Inch</t>
        </is>
      </c>
      <c r="D1869" t="inlineStr">
        <is>
          <t>Klein Tools JTH6E14BE 5/16-Inch Ball End Hex Key with Journeyman T-Handle, 6-Inch</t>
        </is>
      </c>
      <c r="E1869" s="2">
        <f>HYPERLINK("https://www.amazon.com/Journeyman-T-Handle-Klein-Tools-JTH6E14BE/dp/B004QW1IC2/ref=sr_1_2?keywords=Klein+Tools+JTH6E14+5%2F16-Inch+Hex+Key+with+Journeyman+T-Handle%2C+6-Inch&amp;qid=1694734648&amp;sr=8-2", "https://www.amazon.com/Journeyman-T-Handle-Klein-Tools-JTH6E14BE/dp/B004QW1IC2/ref=sr_1_2?keywords=Klein+Tools+JTH6E14+5%2F16-Inch+Hex+Key+with+Journeyman+T-Handle%2C+6-Inch&amp;qid=1694734648&amp;sr=8-2")</f>
        <v/>
      </c>
      <c r="F1869" t="inlineStr">
        <is>
          <t>B004QW1IC2</t>
        </is>
      </c>
      <c r="G1869">
        <f>_xludf.IMAGE("https://edmondsonsupply.com/cdn/shop/products/jth6e15.jpg?v=1587148489")</f>
        <v/>
      </c>
      <c r="H1869">
        <f>_xludf.IMAGE("https://m.media-amazon.com/images/I/51f9vBFVXgL._AC_UL320_.jpg")</f>
        <v/>
      </c>
      <c r="K1869" t="inlineStr">
        <is>
          <t>6.99</t>
        </is>
      </c>
      <c r="L1869" t="n">
        <v>10.11</v>
      </c>
      <c r="M1869" s="1" t="inlineStr">
        <is>
          <t>44.64%</t>
        </is>
      </c>
      <c r="N1869" s="1" t="n">
        <v>-4.44</v>
      </c>
      <c r="O1869" t="n">
        <v>4.8</v>
      </c>
      <c r="P1869" t="n">
        <v>454</v>
      </c>
      <c r="R1869" t="inlineStr">
        <is>
          <t>InStock</t>
        </is>
      </c>
      <c r="S1869" t="inlineStr">
        <is>
          <t>10.5</t>
        </is>
      </c>
      <c r="T1869" t="inlineStr">
        <is>
          <t>3694843822180</t>
        </is>
      </c>
    </row>
    <row r="1870" hidden="1" ht="15.75" customHeight="1">
      <c r="A1870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870" s="2">
        <f>HYPERLINK("https://edmondsonsupply.com/products/packard-prmj270-motor-start-capacitor-270-324-mfd-330-vac", "https://edmondsonsupply.com/products/packard-prmj270-motor-start-capacitor-270-324-mfd-330-vac")</f>
        <v/>
      </c>
      <c r="C1870" t="inlineStr">
        <is>
          <t>Packard PRMJ270 Motor Start Capacitor 270-324 MFD 330 VAC</t>
        </is>
      </c>
      <c r="D1870" t="inlineStr">
        <is>
          <t>Motor Start Capacitor 270-324 MFD 220-250VAC</t>
        </is>
      </c>
      <c r="E1870" s="2">
        <f>HYPERLINK("https://www.amazon.com/Motor-Start-Capacitor-270-324-220-250VAC/dp/B00CLJFZN0/ref=sr_1_12?keywords=Packard+PRMJ270+Motor+Start+Capacitor+270-324+MFD+330+VAC&amp;qid=1694734674&amp;sr=8-12", "https://www.amazon.com/Motor-Start-Capacitor-270-324-220-250VAC/dp/B00CLJFZN0/ref=sr_1_12?keywords=Packard+PRMJ270+Motor+Start+Capacitor+270-324+MFD+330+VAC&amp;qid=1694734674&amp;sr=8-12")</f>
        <v/>
      </c>
      <c r="F1870" t="inlineStr">
        <is>
          <t>B00CLJFZN0</t>
        </is>
      </c>
      <c r="G1870">
        <f>_xludf.IMAGE("https://edmondsonsupply.com/cdn/shop/products/PRMJ270-2.jpg?v=1633030164")</f>
        <v/>
      </c>
      <c r="H1870">
        <f>_xludf.IMAGE("https://m.media-amazon.com/images/I/41VfB8p68ML._AC_UY218_.jpg")</f>
        <v/>
      </c>
      <c r="K1870" t="inlineStr">
        <is>
          <t>10.37</t>
        </is>
      </c>
      <c r="L1870" t="n">
        <v>14.99</v>
      </c>
      <c r="M1870" s="1" t="inlineStr">
        <is>
          <t>44.55%</t>
        </is>
      </c>
      <c r="N1870" s="1" t="n">
        <v>-4.44</v>
      </c>
      <c r="O1870" t="n">
        <v>4.5</v>
      </c>
      <c r="P1870" t="n">
        <v>60</v>
      </c>
      <c r="R1870" t="inlineStr">
        <is>
          <t>InStock</t>
        </is>
      </c>
      <c r="S1870" t="inlineStr">
        <is>
          <t>undefined</t>
        </is>
      </c>
      <c r="T1870" t="inlineStr">
        <is>
          <t>4298743185508</t>
        </is>
      </c>
    </row>
    <row r="1871" ht="87" customHeight="1">
      <c r="A1871" s="2">
        <f>HYPERLINK("https://edmondsonsupply.com/collections/hvac/products/uniweld-40000-sludge-sucker%C2%AE", "https://edmondsonsupply.com/collections/hvac/products/uniweld-40000-sludge-sucker%C2%AE")</f>
        <v/>
      </c>
      <c r="B1871" s="2">
        <f>HYPERLINK("https://edmondsonsupply.com/products/uniweld-40000-sludge-sucker%c2%ae", "https://edmondsonsupply.com/products/uniweld-40000-sludge-sucker%c2%ae")</f>
        <v/>
      </c>
      <c r="C1871" t="inlineStr">
        <is>
          <t>Uniweld 40000 Sludge Sucker®</t>
        </is>
      </c>
      <c r="D1871" t="inlineStr">
        <is>
          <t>Uniweld 40000 Sludge Sucker</t>
        </is>
      </c>
      <c r="E1871" s="2">
        <f>HYPERLINK("https://www.amazon.com/Uniweld-40000-Sludge-Sucker/dp/B00CIRZGV6/ref=sr_1_1?keywords=Uniweld+40000+Sludge+Sucker%C2%AE&amp;qid=1694734697&amp;sr=8-1", "https://www.amazon.com/Uniweld-40000-Sludge-Sucker/dp/B00CIRZGV6/ref=sr_1_1?keywords=Uniweld+40000+Sludge+Sucker%C2%AE&amp;qid=1694734697&amp;sr=8-1")</f>
        <v/>
      </c>
      <c r="F1871" t="inlineStr">
        <is>
          <t>B00CIRZGV6</t>
        </is>
      </c>
      <c r="G1871">
        <f>_xlfn.IMAGE("https://edmondsonsupply.com/cdn/shop/products/40000-1-1024x1024.jpg?v=1656373331")</f>
        <v/>
      </c>
      <c r="H1871">
        <f>_xlfn.IMAGE("https://m.media-amazon.com/images/I/41yS+4cIS0L._AC_UL320_.jpg")</f>
        <v/>
      </c>
      <c r="K1871" t="inlineStr">
        <is>
          <t>31.49</t>
        </is>
      </c>
      <c r="L1871" t="n">
        <v>45.35</v>
      </c>
      <c r="M1871" s="1" t="inlineStr">
        <is>
          <t>44.01%</t>
        </is>
      </c>
      <c r="N1871" s="7" t="n">
        <v>-4.49</v>
      </c>
      <c r="O1871" t="n">
        <v>4.1</v>
      </c>
      <c r="P1871" t="n">
        <v>64</v>
      </c>
      <c r="R1871" t="inlineStr">
        <is>
          <t>InStock</t>
        </is>
      </c>
      <c r="S1871" t="inlineStr">
        <is>
          <t>37.78</t>
        </is>
      </c>
      <c r="T1871" t="inlineStr">
        <is>
          <t>7729696637144</t>
        </is>
      </c>
    </row>
    <row r="1872" ht="87" customHeight="1">
      <c r="A1872" s="2">
        <f>HYPERLINK("https://edmondsonsupply.com/collections/hvac/products/spin-tools-f5000", "https://edmondsonsupply.com/collections/hvac/products/spin-tools-f5000")</f>
        <v/>
      </c>
      <c r="B1872" s="2">
        <f>HYPERLINK("https://edmondsonsupply.com/products/spin-tools-f5000", "https://edmondsonsupply.com/products/spin-tools-f5000")</f>
        <v/>
      </c>
      <c r="C1872" t="inlineStr">
        <is>
          <t>SPIN Tools F5000 Flaring Drill Bit Set, 1/4", 3/8", 1/2", 5/8" &amp; 3/4"</t>
        </is>
      </c>
      <c r="D1872" t="inlineStr">
        <is>
          <t>SPIN F6000 6-Piece Drill Bit Flaring Set, 1/4’’ 3/8’’ 1/2’’ 5/8’’ 3/4", &amp; 7/8"</t>
        </is>
      </c>
      <c r="E1872" s="2">
        <f>HYPERLINK("https://www.amazon.com/F6000-Flaring-Tool-Drill-Bits/dp/B07L7C7DPT/ref=sr_1_4?keywords=SPIN+Tools+F5000+Flaring+Drill+Bit+Set%2C+1%2F4%22%2C+3%2F8%22%2C+1%2F2%22%2C+5%2F8%22+%26+3%2F4%22&amp;qid=1694734808&amp;sr=8-4", "https://www.amazon.com/F6000-Flaring-Tool-Drill-Bits/dp/B07L7C7DPT/ref=sr_1_4?keywords=SPIN+Tools+F5000+Flaring+Drill+Bit+Set%2C+1%2F4%22%2C+3%2F8%22%2C+1%2F2%22%2C+5%2F8%22+%26+3%2F4%22&amp;qid=1694734808&amp;sr=8-4")</f>
        <v/>
      </c>
      <c r="F1872" t="inlineStr">
        <is>
          <t>B07L7C7DPT</t>
        </is>
      </c>
      <c r="G1872">
        <f>_xlfn.IMAGE("https://edmondsonsupply.com/cdn/shop/products/f5000-1.jpg?v=1587405635")</f>
        <v/>
      </c>
      <c r="H1872">
        <f>_xlfn.IMAGE("https://m.media-amazon.com/images/I/618+pdlmdeL._AC_UL320_.jpg")</f>
        <v/>
      </c>
      <c r="K1872" t="inlineStr">
        <is>
          <t>62.61</t>
        </is>
      </c>
      <c r="L1872" t="n">
        <v>90</v>
      </c>
      <c r="M1872" s="1" t="inlineStr">
        <is>
          <t>43.75%</t>
        </is>
      </c>
      <c r="N1872" s="7" t="n">
        <v>-4.55</v>
      </c>
      <c r="O1872" t="n">
        <v>4.5</v>
      </c>
      <c r="P1872" t="n">
        <v>220</v>
      </c>
      <c r="R1872" t="inlineStr">
        <is>
          <t>InStock</t>
        </is>
      </c>
      <c r="S1872" t="inlineStr">
        <is>
          <t>89.0</t>
        </is>
      </c>
      <c r="T1872" t="inlineStr">
        <is>
          <t>3702075752548</t>
        </is>
      </c>
    </row>
    <row r="1873" hidden="1" ht="15.75" customHeight="1">
      <c r="A1873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873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873" t="inlineStr">
        <is>
          <t>Klein Tools JTH6E14 5/16-Inch Hex Key with Journeyman T-Handle, 6-Inch</t>
        </is>
      </c>
      <c r="D1873" t="inlineStr">
        <is>
          <t>Klein Tools JTH9M5 5 mm Hex Key with Journeyman T-Handle, 9-Inch</t>
        </is>
      </c>
      <c r="E1873" s="2">
        <f>HYPERLINK("https://www.amazon.com/Journeyman-T-Handle-Klein-Tools-JTH9M5/dp/B005G3HJDW/ref=sr_1_12?keywords=Klein+Tools+JTH6E14+5%2F16-Inch+Hex+Key+with+Journeyman+T-Handle%2C+6-Inch&amp;qid=1694734648&amp;sr=8-12", "https://www.amazon.com/Journeyman-T-Handle-Klein-Tools-JTH9M5/dp/B005G3HJDW/ref=sr_1_12?keywords=Klein+Tools+JTH6E14+5%2F16-Inch+Hex+Key+with+Journeyman+T-Handle%2C+6-Inch&amp;qid=1694734648&amp;sr=8-12")</f>
        <v/>
      </c>
      <c r="F1873" t="inlineStr">
        <is>
          <t>B005G3HJDW</t>
        </is>
      </c>
      <c r="G1873">
        <f>_xludf.IMAGE("https://edmondsonsupply.com/cdn/shop/products/jth6e15.jpg?v=1587148489")</f>
        <v/>
      </c>
      <c r="H1873">
        <f>_xludf.IMAGE("https://m.media-amazon.com/images/I/51O91N8K8wL._AC_UL320_.jpg")</f>
        <v/>
      </c>
      <c r="K1873" t="inlineStr">
        <is>
          <t>6.99</t>
        </is>
      </c>
      <c r="L1873" t="n">
        <v>10.04</v>
      </c>
      <c r="M1873" s="1" t="inlineStr">
        <is>
          <t>43.63%</t>
        </is>
      </c>
      <c r="N1873" s="1" t="n">
        <v>-4.77</v>
      </c>
      <c r="O1873" t="n">
        <v>4.7</v>
      </c>
      <c r="P1873" t="n">
        <v>160</v>
      </c>
      <c r="R1873" t="inlineStr">
        <is>
          <t>InStock</t>
        </is>
      </c>
      <c r="S1873" t="inlineStr">
        <is>
          <t>10.5</t>
        </is>
      </c>
      <c r="T1873" t="inlineStr">
        <is>
          <t>3694843822180</t>
        </is>
      </c>
    </row>
    <row r="1874" ht="87" customHeight="1">
      <c r="A1874" s="2">
        <f>HYPERLINK("https://edmondsonsupply.com/collections/hvac/products/channellock-8wcb", "https://edmondsonsupply.com/collections/hvac/products/channellock-8wcb")</f>
        <v/>
      </c>
      <c r="B1874" s="2">
        <f>HYPERLINK("https://edmondsonsupply.com/products/channellock-8wcb", "https://edmondsonsupply.com/products/channellock-8wcb")</f>
        <v/>
      </c>
      <c r="C1874" t="inlineStr">
        <is>
          <t>Channellock 8WCB 8" Code Blue WIDEAZZ Adjustable Wrench</t>
        </is>
      </c>
      <c r="D1874" t="inlineStr">
        <is>
          <t>Channellock 8" CODE BLUE GRIPPED BULK ADJ WRENCH WIDE 808WCB-BULK</t>
        </is>
      </c>
      <c r="E1874" s="2">
        <f>HYPERLINK("https://www.amazon.com/Channellock-CODE-GRIPPED-WRENCH-808WCB-BULK/dp/B001B6AV56/ref=sr_1_9?keywords=Channellock+8WCB+8%22+Code+Blue+WIDEAZZ+Adjustable+Wrench&amp;qid=1694734792&amp;sr=8-9", "https://www.amazon.com/Channellock-CODE-GRIPPED-WRENCH-808WCB-BULK/dp/B001B6AV56/ref=sr_1_9?keywords=Channellock+8WCB+8%22+Code+Blue+WIDEAZZ+Adjustable+Wrench&amp;qid=1694734792&amp;sr=8-9")</f>
        <v/>
      </c>
      <c r="F1874" t="inlineStr">
        <is>
          <t>B001B6AV56</t>
        </is>
      </c>
      <c r="G1874">
        <f>_xlfn.IMAGE("https://edmondsonsupply.com/cdn/shop/products/8WCB-683x1024.jpg?v=1633030324")</f>
        <v/>
      </c>
      <c r="H1874">
        <f>_xlfn.IMAGE("https://m.media-amazon.com/images/I/619qrVhIDZL._AC_UL320_.jpg")</f>
        <v/>
      </c>
      <c r="K1874" t="inlineStr">
        <is>
          <t>31.95</t>
        </is>
      </c>
      <c r="L1874" t="n">
        <v>45.87</v>
      </c>
      <c r="M1874" s="1" t="inlineStr">
        <is>
          <t>43.57%</t>
        </is>
      </c>
      <c r="N1874" s="7" t="n">
        <v>-4.82</v>
      </c>
      <c r="O1874" t="n">
        <v>5</v>
      </c>
      <c r="P1874" t="n">
        <v>1</v>
      </c>
      <c r="R1874" t="inlineStr">
        <is>
          <t>InStock</t>
        </is>
      </c>
      <c r="S1874" t="inlineStr">
        <is>
          <t>48.49</t>
        </is>
      </c>
      <c r="T1874" t="inlineStr">
        <is>
          <t>5247300436136</t>
        </is>
      </c>
    </row>
    <row r="1875" ht="87" customHeight="1">
      <c r="A1875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875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875" t="inlineStr">
        <is>
          <t>Diablo Tools DMAPL4250 3/4 in. x 8 in. x 10 in. Rebar Demon™ SDS-Plus 4-Cutter Full Carbide Head Hammer Drill Bit</t>
        </is>
      </c>
      <c r="D1875" t="inlineStr">
        <is>
          <t>Diablo by Freud DMAMX1090 5/8 in. x 8 in. x 13 in. Rebar Demon SDS-Max 4-Cutter Full Carbide Head Hammer Bit</t>
        </is>
      </c>
      <c r="E1875" s="2">
        <f>HYPERLINK("https://www.amazon.com/Diablo-SDS-Max-4-Cutter-Carbide-Hammer/dp/B089LGB35P/ref=sr_1_18?keywords=Diablo+Tools+DMAPL4250+3%2F4+in.+x+8+in.+x+10+in.+Rebar+Demon%E2%84%A2+SDS-Plus+4-Cutter+Full+Carbide+Head+Hammer+Drill+Bit&amp;qid=1694734913&amp;sr=8-18", "https://www.amazon.com/Diablo-SDS-Max-4-Cutter-Carbide-Hammer/dp/B089LGB35P/ref=sr_1_18?keywords=Diablo+Tools+DMAPL4250+3%2F4+in.+x+8+in.+x+10+in.+Rebar+Demon%E2%84%A2+SDS-Plus+4-Cutter+Full+Carbide+Head+Hammer+Drill+Bit&amp;qid=1694734913&amp;sr=8-18")</f>
        <v/>
      </c>
      <c r="F1875" t="inlineStr">
        <is>
          <t>B089LGB35P</t>
        </is>
      </c>
      <c r="G1875">
        <f>_xlfn.IMAGE("https://edmondsonsupply.com/cdn/shop/files/rltcbi253wmfv6otmtz6.webp?v=1686576913")</f>
        <v/>
      </c>
      <c r="H1875">
        <f>_xlfn.IMAGE("https://m.media-amazon.com/images/I/61Wr1t8FMOL._AC_UL320_.jpg")</f>
        <v/>
      </c>
      <c r="K1875" t="inlineStr">
        <is>
          <t>24.47</t>
        </is>
      </c>
      <c r="L1875" t="n">
        <v>35.1</v>
      </c>
      <c r="M1875" s="1" t="inlineStr">
        <is>
          <t>43.44%</t>
        </is>
      </c>
      <c r="N1875" s="7" t="n">
        <v>-4.97</v>
      </c>
      <c r="O1875" t="n">
        <v>4.2</v>
      </c>
      <c r="P1875" t="n">
        <v>5</v>
      </c>
      <c r="R1875" t="inlineStr">
        <is>
          <t>InStock</t>
        </is>
      </c>
      <c r="S1875" t="inlineStr">
        <is>
          <t>38.21</t>
        </is>
      </c>
      <c r="T1875" t="inlineStr">
        <is>
          <t>8004486168792</t>
        </is>
      </c>
    </row>
    <row r="1876" ht="87" customHeight="1">
      <c r="A1876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876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876" t="inlineStr">
        <is>
          <t>ICM Controls ICM2811 Furnace Control Board - Replacement for Goodman</t>
        </is>
      </c>
      <c r="D1876" t="inlineStr">
        <is>
          <t>ICM Controls ICM281 Furnace Control Replacement for OEM Models Including Carrier CES0110057-xx Series Control Boards</t>
        </is>
      </c>
      <c r="E1876" s="2">
        <f>HYPERLINK("https://www.amazon.com/ICM-Controls-ICM281-Replacement-CES0110057-xx/dp/B004I5FD4G/ref=sr_1_33?keywords=ICM+Controls+ICM2811+Furnace+Control+Board+-+Replacement+for+Goodman&amp;qid=1694734652&amp;sr=8-33", "https://www.amazon.com/ICM-Controls-ICM281-Replacement-CES0110057-xx/dp/B004I5FD4G/ref=sr_1_33?keywords=ICM+Controls+ICM2811+Furnace+Control+Board+-+Replacement+for+Goodman&amp;qid=1694734652&amp;sr=8-33")</f>
        <v/>
      </c>
      <c r="F1876" t="inlineStr">
        <is>
          <t>B004I5FD4G</t>
        </is>
      </c>
      <c r="G1876">
        <f>_xlfn.IMAGE("https://edmondsonsupply.com/cdn/shop/products/photo_3800_medium_86f45e25-a764-4839-bc84-759a6ce1c7bd.jpg?v=1659910436")</f>
        <v/>
      </c>
      <c r="H1876">
        <f>_xlfn.IMAGE("https://m.media-amazon.com/images/I/71C0alQJulL._AC_UL320_.jpg")</f>
        <v/>
      </c>
      <c r="K1876" t="inlineStr">
        <is>
          <t>68.99</t>
        </is>
      </c>
      <c r="L1876" t="n">
        <v>98.91</v>
      </c>
      <c r="M1876" s="1" t="inlineStr">
        <is>
          <t>43.37%</t>
        </is>
      </c>
      <c r="N1876" s="7" t="n">
        <v>-4.99</v>
      </c>
      <c r="O1876" t="n">
        <v>4.7</v>
      </c>
      <c r="P1876" t="n">
        <v>382</v>
      </c>
      <c r="R1876" t="inlineStr">
        <is>
          <t>InStock</t>
        </is>
      </c>
      <c r="S1876" t="inlineStr">
        <is>
          <t>93.62</t>
        </is>
      </c>
      <c r="T1876" t="inlineStr">
        <is>
          <t>4345448202340</t>
        </is>
      </c>
    </row>
    <row r="1877" ht="87" customHeight="1">
      <c r="A1877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1877" s="2">
        <f>HYPERLINK("https://edmondsonsupply.com/products/klein-tools-935dag-digital-angle-gauge-and-level", "https://edmondsonsupply.com/products/klein-tools-935dag-digital-angle-gauge-and-level")</f>
        <v/>
      </c>
      <c r="C1877" t="inlineStr">
        <is>
          <t>Klein Tools 935DAG Digital Angle Gauge and Level</t>
        </is>
      </c>
      <c r="D1877" t="inlineStr">
        <is>
          <t>Klein Tools 935DAG Digital Electronic Level and Angle Gauge, Measures 0-90 and 0-180 Degree Ranges, Measures and Sets Angles &amp; 935AB1V ACCU-BEND Level, 1 Vial</t>
        </is>
      </c>
      <c r="E1877" s="2">
        <f>HYPERLINK("https://www.amazon.com/Klein-Tools-Electronic-Measures-ACCU-BEND/dp/B08KGPS8X9/ref=sr_1_8?keywords=Klein+Tools+935DAG+Digital+Angle+Gauge+and+Level&amp;qid=1694734733&amp;sr=8-8", "https://www.amazon.com/Klein-Tools-Electronic-Measures-ACCU-BEND/dp/B08KGPS8X9/ref=sr_1_8?keywords=Klein+Tools+935DAG+Digital+Angle+Gauge+and+Level&amp;qid=1694734733&amp;sr=8-8")</f>
        <v/>
      </c>
      <c r="F1877" t="inlineStr">
        <is>
          <t>B08KGPS8X9</t>
        </is>
      </c>
      <c r="G1877">
        <f>_xlfn.IMAGE("https://edmondsonsupply.com/cdn/shop/products/935dag.jpg?v=1587145032")</f>
        <v/>
      </c>
      <c r="H1877">
        <f>_xlfn.IMAGE("https://m.media-amazon.com/images/I/51Ov1RuJ9nL._AC_UL320_.jpg")</f>
        <v/>
      </c>
      <c r="K1877" t="inlineStr">
        <is>
          <t>29.97</t>
        </is>
      </c>
      <c r="L1877" t="n">
        <v>42.94</v>
      </c>
      <c r="M1877" s="1" t="inlineStr">
        <is>
          <t>43.28%</t>
        </is>
      </c>
      <c r="N1877" s="7" t="n">
        <v>-5.01</v>
      </c>
      <c r="O1877" t="n">
        <v>4.8</v>
      </c>
      <c r="P1877" t="n">
        <v>64</v>
      </c>
      <c r="R1877" t="inlineStr">
        <is>
          <t>InStock</t>
        </is>
      </c>
      <c r="S1877" t="inlineStr">
        <is>
          <t>45.0</t>
        </is>
      </c>
      <c r="T1877" t="inlineStr">
        <is>
          <t>4167487094884</t>
        </is>
      </c>
    </row>
    <row r="1878" ht="87" customHeight="1">
      <c r="A1878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878" s="2">
        <f>HYPERLINK("https://edmondsonsupply.com/products/diablo-tools-dag1130-1-in-x-7-1-2-in-auger-bit", "https://edmondsonsupply.com/products/diablo-tools-dag1130-1-in-x-7-1-2-in-auger-bit")</f>
        <v/>
      </c>
      <c r="C1878" t="inlineStr">
        <is>
          <t>Diablo Tools DAG1130 1 in. x 7-1/2 in. Auger Bit</t>
        </is>
      </c>
      <c r="D1878" t="inlineStr">
        <is>
          <t>Diablo 1/2 in. x 17-1/2 in. Auger Bit</t>
        </is>
      </c>
      <c r="E1878" s="2">
        <f>HYPERLINK("https://www.amazon.com/Diablo-Freud-DAG3030-17-1-Auger/dp/B089KVBK8P/ref=sr_1_18?keywords=Diablo+Tools+DAG1130+1+in.+x+7-1%2F2+in.+Auger+Bit&amp;qid=1694734776&amp;sr=8-18", "https://www.amazon.com/Diablo-Freud-DAG3030-17-1-Auger/dp/B089KVBK8P/ref=sr_1_18?keywords=Diablo+Tools+DAG1130+1+in.+x+7-1%2F2+in.+Auger+Bit&amp;qid=1694734776&amp;sr=8-18")</f>
        <v/>
      </c>
      <c r="F1878" t="inlineStr">
        <is>
          <t>B089KVBK8P</t>
        </is>
      </c>
      <c r="G1878">
        <f>_xlfn.IMAGE("https://edmondsonsupply.com/cdn/shop/products/DAG1130_Main-Image20200712.png?v=1633031124")</f>
        <v/>
      </c>
      <c r="H1878">
        <f>_xlfn.IMAGE("https://m.media-amazon.com/images/I/61gYTsV7rCL._AC_UL320_.jpg")</f>
        <v/>
      </c>
      <c r="K1878" t="inlineStr">
        <is>
          <t>16.37</t>
        </is>
      </c>
      <c r="L1878" t="n">
        <v>23.45</v>
      </c>
      <c r="M1878" s="1" t="inlineStr">
        <is>
          <t>43.25%</t>
        </is>
      </c>
      <c r="N1878" s="7" t="n">
        <v>-5.15</v>
      </c>
      <c r="O1878" t="n">
        <v>4.4</v>
      </c>
      <c r="P1878" t="n">
        <v>12</v>
      </c>
      <c r="R1878" t="inlineStr">
        <is>
          <t>InStock</t>
        </is>
      </c>
      <c r="S1878" t="inlineStr">
        <is>
          <t>25.94</t>
        </is>
      </c>
      <c r="T1878" t="inlineStr">
        <is>
          <t>6866560581805</t>
        </is>
      </c>
    </row>
    <row r="1879" ht="87" customHeight="1">
      <c r="A1879" s="2">
        <f>HYPERLINK("https://edmondsonsupply.com/collections/hvac/products/channellock-804", "https://edmondsonsupply.com/collections/hvac/products/channellock-804")</f>
        <v/>
      </c>
      <c r="B1879" s="2">
        <f>HYPERLINK("https://edmondsonsupply.com/products/channellock-804", "https://edmondsonsupply.com/products/channellock-804")</f>
        <v/>
      </c>
      <c r="C1879" t="inlineStr">
        <is>
          <t>Channellock 804 4-Inch Chrome Adjustable Wrench</t>
        </is>
      </c>
      <c r="D1879" t="inlineStr">
        <is>
          <t>Klein Tools D506-4 Adjustable Drive Wrench, Forged with High Polish Chrome Finish and a plastic dipped handle, 4-Inch</t>
        </is>
      </c>
      <c r="E1879" s="2">
        <f>HYPERLINK("https://www.amazon.com/Adjustable-Plastic-Klein-Tools-D506-4/dp/B000936OV2/ref=sr_1_13?keywords=Channellock+804+4-Inch+Chrome+Adjustable+Wrench&amp;qid=1694734791&amp;sr=8-13", "https://www.amazon.com/Adjustable-Plastic-Klein-Tools-D506-4/dp/B000936OV2/ref=sr_1_13?keywords=Channellock+804+4-Inch+Chrome+Adjustable+Wrench&amp;qid=1694734791&amp;sr=8-13")</f>
        <v/>
      </c>
      <c r="F1879" t="inlineStr">
        <is>
          <t>B000936OV2</t>
        </is>
      </c>
      <c r="G1879">
        <f>_xlfn.IMAGE("https://edmondsonsupply.com/cdn/shop/products/804-683x1024.jpg?v=1587145853")</f>
        <v/>
      </c>
      <c r="H1879">
        <f>_xlfn.IMAGE("https://m.media-amazon.com/images/I/512M+05v6JL._AC_UL320_.jpg")</f>
        <v/>
      </c>
      <c r="K1879" t="inlineStr">
        <is>
          <t>16.95</t>
        </is>
      </c>
      <c r="L1879" t="n">
        <v>24.28</v>
      </c>
      <c r="M1879" s="1" t="inlineStr">
        <is>
          <t>43.24%</t>
        </is>
      </c>
      <c r="N1879" s="7" t="n">
        <v>-5.27</v>
      </c>
      <c r="O1879" t="n">
        <v>4.8</v>
      </c>
      <c r="P1879" t="n">
        <v>682</v>
      </c>
      <c r="R1879" t="inlineStr">
        <is>
          <t>InStock</t>
        </is>
      </c>
      <c r="S1879" t="inlineStr">
        <is>
          <t>26.62</t>
        </is>
      </c>
      <c r="T1879" t="inlineStr">
        <is>
          <t>4094611488868</t>
        </is>
      </c>
    </row>
    <row r="1880" ht="87" customHeight="1">
      <c r="A1880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1880" s="2">
        <f>HYPERLINK("https://edmondsonsupply.com/products/packard-c240a-contactor-2-pole-40-amps-24-coil-voltage", "https://edmondsonsupply.com/products/packard-c240a-contactor-2-pole-40-amps-24-coil-voltage")</f>
        <v/>
      </c>
      <c r="C1880" t="inlineStr">
        <is>
          <t>Packard C240A Contactor 2 Pole 40 AMPS 24 Coil Voltage</t>
        </is>
      </c>
      <c r="D1880" t="inlineStr">
        <is>
          <t>Dreyoo 2 Pack Carrier HVAC Motor Contactor, 24VAC 40 Amp Coil 2 Pole Replacement Relays Compatible with PC240A, Air Conditioner, Heat Pump, Refrigeration Systems (2 Pole 40A 24V)</t>
        </is>
      </c>
      <c r="E1880" s="2">
        <f>HYPERLINK("https://www.amazon.com/Dreyoo-Replacement-Compatible-Conditioner-Refrigeration/dp/B0BTLZG7Z3/ref=sr_1_10?keywords=Packard+C240A+Contactor+2+Pole+40+AMPS+24+Coil+Voltage&amp;qid=1694734591&amp;sr=8-10", "https://www.amazon.com/Dreyoo-Replacement-Compatible-Conditioner-Refrigeration/dp/B0BTLZG7Z3/ref=sr_1_10?keywords=Packard+C240A+Contactor+2+Pole+40+AMPS+24+Coil+Voltage&amp;qid=1694734591&amp;sr=8-10")</f>
        <v/>
      </c>
      <c r="F1880" t="inlineStr">
        <is>
          <t>B0BTLZG7Z3</t>
        </is>
      </c>
      <c r="G1880">
        <f>_xlfn.IMAGE("https://edmondsonsupply.com/cdn/shop/products/C240A-1.jpg?v=1590239996")</f>
        <v/>
      </c>
      <c r="H1880">
        <f>_xlfn.IMAGE("https://m.media-amazon.com/images/I/814jEbEm11L._AC_UY218_.jpg")</f>
        <v/>
      </c>
      <c r="K1880" t="inlineStr">
        <is>
          <t>13.96</t>
        </is>
      </c>
      <c r="L1880" t="n">
        <v>19.99</v>
      </c>
      <c r="M1880" s="1" t="inlineStr">
        <is>
          <t>43.19%</t>
        </is>
      </c>
      <c r="N1880" s="7" t="n">
        <v>-5.27</v>
      </c>
      <c r="O1880" t="n">
        <v>4.4</v>
      </c>
      <c r="P1880" t="n">
        <v>20</v>
      </c>
      <c r="R1880" t="inlineStr">
        <is>
          <t>InStock</t>
        </is>
      </c>
      <c r="S1880" t="inlineStr">
        <is>
          <t>undefined</t>
        </is>
      </c>
      <c r="T1880" t="inlineStr">
        <is>
          <t>4316288680036</t>
        </is>
      </c>
    </row>
    <row r="1881" ht="87" customHeight="1">
      <c r="A1881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881" s="2">
        <f>HYPERLINK("https://edmondsonsupply.com/products/klein-tools-11053-klein-kurve%c2%ae-wire-stripper-cutter", "https://edmondsonsupply.com/products/klein-tools-11053-klein-kurve%c2%ae-wire-stripper-cutter")</f>
        <v/>
      </c>
      <c r="C1881" t="inlineStr">
        <is>
          <t>Klein Tools 11053 Klein-Kurve® Wire Stripper/Cutter</t>
        </is>
      </c>
      <c r="D1881" t="inlineStr">
        <is>
          <t>Klein Tools 11063W Wire Cutter / Wire Stripper, Heavy Duty Automatic Wire Stripper Tool for 8-20 AWG Solid and 10-22 AWG Stranded Electrical Wire,Blue/Black</t>
        </is>
      </c>
      <c r="E1881" s="2">
        <f>HYPERLINK("https://www.amazon.com/Stripper-Electrical-Klein-Tools-11063W/dp/B00BC39YFQ/ref=sr_1_12?keywords=Klein+Tools+11053+Klein-Kurve%C2%AE+Wire+Stripper%2FCutter&amp;qid=1694734664&amp;sr=8-12", "https://www.amazon.com/Stripper-Electrical-Klein-Tools-11063W/dp/B00BC39YFQ/ref=sr_1_12?keywords=Klein+Tools+11053+Klein-Kurve%C2%AE+Wire+Stripper%2FCutter&amp;qid=1694734664&amp;sr=8-12")</f>
        <v/>
      </c>
      <c r="F1881" t="inlineStr">
        <is>
          <t>B00BC39YFQ</t>
        </is>
      </c>
      <c r="G1881">
        <f>_xlfn.IMAGE("https://edmondsonsupply.com/cdn/shop/products/11053.jpg?v=1633030511")</f>
        <v/>
      </c>
      <c r="H1881">
        <f>_xlfn.IMAGE("https://m.media-amazon.com/images/I/51cWJR-r31L._AC_UL320_.jpg")</f>
        <v/>
      </c>
      <c r="K1881" t="inlineStr">
        <is>
          <t>20.97</t>
        </is>
      </c>
      <c r="L1881" t="n">
        <v>29.97</v>
      </c>
      <c r="M1881" s="1" t="inlineStr">
        <is>
          <t>42.92%</t>
        </is>
      </c>
      <c r="N1881" s="7" t="n">
        <v>-5.27</v>
      </c>
      <c r="O1881" t="n">
        <v>4.8</v>
      </c>
      <c r="P1881" t="n">
        <v>9108</v>
      </c>
      <c r="R1881" t="inlineStr">
        <is>
          <t>InStock</t>
        </is>
      </c>
      <c r="S1881" t="inlineStr">
        <is>
          <t>31.76</t>
        </is>
      </c>
      <c r="T1881" t="inlineStr">
        <is>
          <t>5387171299496</t>
        </is>
      </c>
    </row>
    <row r="1882" ht="87" customHeight="1">
      <c r="A1882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882" s="2">
        <f>HYPERLINK("https://edmondsonsupply.com/products/klein-tools-11053-klein-kurve%c2%ae-wire-stripper-cutter", "https://edmondsonsupply.com/products/klein-tools-11053-klein-kurve%c2%ae-wire-stripper-cutter")</f>
        <v/>
      </c>
      <c r="C1882" t="inlineStr">
        <is>
          <t>Klein Tools 11053 Klein-Kurve® Wire Stripper/Cutter</t>
        </is>
      </c>
      <c r="D1882" t="inlineStr">
        <is>
          <t>Klein Tools K1412 Wire Cutter / Wire Stripper, Dual NM Cable Stripper / Cutter Cuts Solid Copper Wire, Strips 12 and 14 AWG Solid Wire,Yellow/White</t>
        </is>
      </c>
      <c r="E1882" s="2">
        <f>HYPERLINK("https://www.amazon.com/Cutter-Stripper-Klein-Tools-K1412/dp/B000F9HIEC/ref=sr_1_10?keywords=Klein+Tools+11053+Klein-Kurve%C2%AE+Wire+Stripper%2FCutter&amp;qid=1694734664&amp;sr=8-10", "https://www.amazon.com/Cutter-Stripper-Klein-Tools-K1412/dp/B000F9HIEC/ref=sr_1_10?keywords=Klein+Tools+11053+Klein-Kurve%C2%AE+Wire+Stripper%2FCutter&amp;qid=1694734664&amp;sr=8-10")</f>
        <v/>
      </c>
      <c r="F1882" t="inlineStr">
        <is>
          <t>B000F9HIEC</t>
        </is>
      </c>
      <c r="G1882">
        <f>_xlfn.IMAGE("https://edmondsonsupply.com/cdn/shop/products/11053.jpg?v=1633030511")</f>
        <v/>
      </c>
      <c r="H1882">
        <f>_xlfn.IMAGE("https://m.media-amazon.com/images/I/41sdPMsHXcL._AC_UL320_.jpg")</f>
        <v/>
      </c>
      <c r="K1882" t="inlineStr">
        <is>
          <t>20.97</t>
        </is>
      </c>
      <c r="L1882" t="n">
        <v>29.97</v>
      </c>
      <c r="M1882" s="1" t="inlineStr">
        <is>
          <t>42.92%</t>
        </is>
      </c>
      <c r="N1882" s="7" t="n">
        <v>-5.38</v>
      </c>
      <c r="O1882" t="n">
        <v>4.8</v>
      </c>
      <c r="P1882" t="n">
        <v>1847</v>
      </c>
      <c r="R1882" t="inlineStr">
        <is>
          <t>InStock</t>
        </is>
      </c>
      <c r="S1882" t="inlineStr">
        <is>
          <t>31.76</t>
        </is>
      </c>
      <c r="T1882" t="inlineStr">
        <is>
          <t>5387171299496</t>
        </is>
      </c>
    </row>
    <row r="1883" ht="87" customHeight="1">
      <c r="A1883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883" s="2">
        <f>HYPERLINK("https://edmondsonsupply.com/products/klein-tools-11053-klein-kurve%c2%ae-wire-stripper-cutter", "https://edmondsonsupply.com/products/klein-tools-11053-klein-kurve%c2%ae-wire-stripper-cutter")</f>
        <v/>
      </c>
      <c r="C1883" t="inlineStr">
        <is>
          <t>Klein Tools 11053 Klein-Kurve® Wire Stripper/Cutter</t>
        </is>
      </c>
      <c r="D1883" t="inlineStr">
        <is>
          <t>Klein Tools 11055RINS 1000V Insulated Klein Kurve Wire Stripper/Cutter Cuts and Strips 10-18 Solid and 12-20 Stranded AWG Wire, Orange</t>
        </is>
      </c>
      <c r="E1883" s="2">
        <f>HYPERLINK("https://www.amazon.com/Klein-Tools-11055RINS-Insulated-Stripper/dp/B0BFZBQ9XF/ref=sr_1_8?keywords=Klein+Tools+11053+Klein-Kurve%C2%AE+Wire+Stripper%2FCutter&amp;qid=1694734664&amp;sr=8-8", "https://www.amazon.com/Klein-Tools-11055RINS-Insulated-Stripper/dp/B0BFZBQ9XF/ref=sr_1_8?keywords=Klein+Tools+11053+Klein-Kurve%C2%AE+Wire+Stripper%2FCutter&amp;qid=1694734664&amp;sr=8-8")</f>
        <v/>
      </c>
      <c r="F1883" t="inlineStr">
        <is>
          <t>B0BFZBQ9XF</t>
        </is>
      </c>
      <c r="G1883">
        <f>_xlfn.IMAGE("https://edmondsonsupply.com/cdn/shop/products/11053.jpg?v=1633030511")</f>
        <v/>
      </c>
      <c r="H1883">
        <f>_xlfn.IMAGE("https://m.media-amazon.com/images/I/41Pemveg6bL._AC_UL320_.jpg")</f>
        <v/>
      </c>
      <c r="K1883" t="inlineStr">
        <is>
          <t>20.97</t>
        </is>
      </c>
      <c r="L1883" t="n">
        <v>29.97</v>
      </c>
      <c r="M1883" s="1" t="inlineStr">
        <is>
          <t>42.92%</t>
        </is>
      </c>
      <c r="N1883" s="7" t="n">
        <v>-5.58</v>
      </c>
      <c r="O1883" t="n">
        <v>4.6</v>
      </c>
      <c r="P1883" t="n">
        <v>54</v>
      </c>
      <c r="R1883" t="inlineStr">
        <is>
          <t>InStock</t>
        </is>
      </c>
      <c r="S1883" t="inlineStr">
        <is>
          <t>31.76</t>
        </is>
      </c>
      <c r="T1883" t="inlineStr">
        <is>
          <t>5387171299496</t>
        </is>
      </c>
    </row>
    <row r="1884" ht="87" customHeight="1">
      <c r="A1884" s="2">
        <f>HYPERLINK("https://edmondsonsupply.com/collections/hvac/products/greenlee-gsb06-1-2-step-bit-6", "https://edmondsonsupply.com/collections/hvac/products/greenlee-gsb06-1-2-step-bit-6")</f>
        <v/>
      </c>
      <c r="B1884" s="2">
        <f>HYPERLINK("https://edmondsonsupply.com/products/greenlee-gsb06-1-2-step-bit-6", "https://edmondsonsupply.com/products/greenlee-gsb06-1-2-step-bit-6")</f>
        <v/>
      </c>
      <c r="C1884" t="inlineStr">
        <is>
          <t>Greenlee GSB06 1/2" Step Bit (#6)</t>
        </is>
      </c>
      <c r="D1884" t="inlineStr">
        <is>
          <t>Greenlee GSB12 1-3/8" Step Bit (#12) Metal Cutter with Patented Split-Step Design, 1-3/8" Metal Cutting Tool for 1/2" Drill Chucks</t>
        </is>
      </c>
      <c r="E1884" s="2">
        <f>HYPERLINK("https://www.amazon.com/Greenlee-GSB12-Step-Bit-1-3/dp/B08TVF7KMP/ref=sr_1_2?keywords=Greenlee+GSB06+1%2F2%22+Step+Bit+%28%236%29&amp;qid=1694734747&amp;sr=8-2", "https://www.amazon.com/Greenlee-GSB12-Step-Bit-1-3/dp/B08TVF7KMP/ref=sr_1_2?keywords=Greenlee+GSB06+1%2F2%22+Step+Bit+%28%236%29&amp;qid=1694734747&amp;sr=8-2")</f>
        <v/>
      </c>
      <c r="F1884" t="inlineStr">
        <is>
          <t>B08TVF7KMP</t>
        </is>
      </c>
      <c r="G1884">
        <f>_xlfn.IMAGE("https://edmondsonsupply.com/cdn/shop/files/GSB06_CAT1_72dpi.jpg?v=1687788659")</f>
        <v/>
      </c>
      <c r="H1884">
        <f>_xlfn.IMAGE("https://m.media-amazon.com/images/I/41Z8kxeeZfL._AC_UY218_.jpg")</f>
        <v/>
      </c>
      <c r="K1884" t="inlineStr">
        <is>
          <t>32.89</t>
        </is>
      </c>
      <c r="L1884" t="n">
        <v>47</v>
      </c>
      <c r="M1884" s="1" t="inlineStr">
        <is>
          <t>42.90%</t>
        </is>
      </c>
      <c r="N1884" s="7" t="n">
        <v>-5.61</v>
      </c>
      <c r="O1884" t="n">
        <v>4.8</v>
      </c>
      <c r="P1884" t="n">
        <v>27</v>
      </c>
      <c r="R1884" t="inlineStr">
        <is>
          <t>InStock</t>
        </is>
      </c>
      <c r="S1884" t="inlineStr">
        <is>
          <t>33.55</t>
        </is>
      </c>
      <c r="T1884" t="inlineStr">
        <is>
          <t>8009318367448</t>
        </is>
      </c>
    </row>
    <row r="1885" ht="87" customHeight="1">
      <c r="A1885" s="2">
        <f>HYPERLINK("https://edmondsonsupply.com/collections/hvac/products/klein-tools-56380-multi-groove-fiberglass-fish-tape-with-spiral-steel-leader-100-foot", "https://edmondsonsupply.com/collections/hvac/products/klein-tools-56380-multi-groove-fiberglass-fish-tape-with-spiral-steel-leader-100-foot")</f>
        <v/>
      </c>
      <c r="B1885" s="2">
        <f>HYPERLINK("https://edmondsonsupply.com/products/klein-tools-56380-multi-groove-fiberglass-fish-tape-with-spiral-steel-leader-100-foot", "https://edmondsonsupply.com/products/klein-tools-56380-multi-groove-fiberglass-fish-tape-with-spiral-steel-leader-100-foot")</f>
        <v/>
      </c>
      <c r="C1885" t="inlineStr">
        <is>
          <t>Klein Tools 56380 Multi-Groove Fiberglass Fish Tape with Spiral Steel Leader, 100-Foot</t>
        </is>
      </c>
      <c r="D1885" t="inlineStr">
        <is>
          <t>Klein Tools 56056 Electrical Fiberglass Fish Tape, 200-Foot x 3/16-Inch Wide Multi-Groove Fish Tape with Steel Leader</t>
        </is>
      </c>
      <c r="E1885" s="2">
        <f>HYPERLINK("https://www.amazon.com/Multi-Groove-Fiberglass-200-Foot-Klein-Tools/dp/B00N6Y8RRA/ref=sr_1_2?keywords=Klein+Tools+56380+Multi-Groove+Fiberglass+Fish+Tape+with+Spiral+Steel+Leader%2C+100-Foot&amp;qid=1694734818&amp;sr=8-2", "https://www.amazon.com/Multi-Groove-Fiberglass-200-Foot-Klein-Tools/dp/B00N6Y8RRA/ref=sr_1_2?keywords=Klein+Tools+56380+Multi-Groove+Fiberglass+Fish+Tape+with+Spiral+Steel+Leader%2C+100-Foot&amp;qid=1694734818&amp;sr=8-2")</f>
        <v/>
      </c>
      <c r="F1885" t="inlineStr">
        <is>
          <t>B00N6Y8RRA</t>
        </is>
      </c>
      <c r="G1885">
        <f>_xlfn.IMAGE("https://edmondsonsupply.com/cdn/shop/products/56380.jpg?v=1587147762")</f>
        <v/>
      </c>
      <c r="H1885">
        <f>_xlfn.IMAGE("https://m.media-amazon.com/images/I/61-dcSdFpvL._AC_UL320_.jpg")</f>
        <v/>
      </c>
      <c r="K1885" t="inlineStr">
        <is>
          <t>139.99</t>
        </is>
      </c>
      <c r="L1885" t="n">
        <v>199.99</v>
      </c>
      <c r="M1885" s="1" t="inlineStr">
        <is>
          <t>42.86%</t>
        </is>
      </c>
      <c r="N1885" s="7" t="n">
        <v>-5.61</v>
      </c>
      <c r="O1885" t="n">
        <v>4.4</v>
      </c>
      <c r="P1885" t="n">
        <v>86</v>
      </c>
      <c r="R1885" t="inlineStr">
        <is>
          <t>InStock</t>
        </is>
      </c>
      <c r="S1885" t="inlineStr">
        <is>
          <t>204.42</t>
        </is>
      </c>
      <c r="T1885" t="inlineStr">
        <is>
          <t>4412564602980</t>
        </is>
      </c>
    </row>
    <row r="1886" ht="87" customHeight="1">
      <c r="A1886" s="2">
        <f>HYPERLINK("https://edmondsonsupply.com/collections/hvac/products/rectorseal-66733-nokink-3-8-x-3-flexible-refrigerant-line-connector", "https://edmondsonsupply.com/collections/hvac/products/rectorseal-66733-nokink-3-8-x-3-flexible-refrigerant-line-connector")</f>
        <v/>
      </c>
      <c r="B1886" s="2">
        <f>HYPERLINK("https://edmondsonsupply.com/products/rectorseal-66733-nokink-3-8-x-3-flexible-refrigerant-line-connector", "https://edmondsonsupply.com/products/rectorseal-66733-nokink-3-8-x-3-flexible-refrigerant-line-connector")</f>
        <v/>
      </c>
      <c r="C1886" t="inlineStr">
        <is>
          <t>RectorSeal 66733 NoKink 3/8" x 3' Flexible Refrigerant Line Connector</t>
        </is>
      </c>
      <c r="D1886" t="inlineStr">
        <is>
          <t>Rectorseal 66737 NoKink Flexible Refrigerant Line Connector, 1/2"</t>
        </is>
      </c>
      <c r="E1886" s="2">
        <f>HYPERLINK("https://www.amazon.com/Rectorseal-66737-Flexible-Refrigerant-Connector/dp/B010M22SNM/ref=sr_1_2?keywords=RectorSeal+66733+NoKink+3%2F8%22+x+3%27+Flexible+Refrigerant+Line+Connector&amp;qid=1694734582&amp;sr=8-2", "https://www.amazon.com/Rectorseal-66737-Flexible-Refrigerant-Connector/dp/B010M22SNM/ref=sr_1_2?keywords=RectorSeal+66733+NoKink+3%2F8%22+x+3%27+Flexible+Refrigerant+Line+Connector&amp;qid=1694734582&amp;sr=8-2")</f>
        <v/>
      </c>
      <c r="F1886" t="inlineStr">
        <is>
          <t>B010M22SNM</t>
        </is>
      </c>
      <c r="G1886">
        <f>_xlfn.IMAGE("https://edmondsonsupply.com/cdn/shop/products/66733-1.jpg?v=1632264229")</f>
        <v/>
      </c>
      <c r="H1886">
        <f>_xlfn.IMAGE("https://m.media-amazon.com/images/I/4101YLR79GL._AC_UL320_.jpg")</f>
        <v/>
      </c>
      <c r="K1886" t="inlineStr">
        <is>
          <t>62.99</t>
        </is>
      </c>
      <c r="L1886" t="n">
        <v>89.97</v>
      </c>
      <c r="M1886" s="1" t="inlineStr">
        <is>
          <t>42.83%</t>
        </is>
      </c>
      <c r="N1886" s="7" t="n">
        <v>-5.66</v>
      </c>
      <c r="O1886" t="n">
        <v>4.5</v>
      </c>
      <c r="P1886" t="n">
        <v>6</v>
      </c>
      <c r="R1886" t="inlineStr">
        <is>
          <t>InStock</t>
        </is>
      </c>
      <c r="S1886" t="inlineStr">
        <is>
          <t>undefined</t>
        </is>
      </c>
      <c r="T1886" t="inlineStr">
        <is>
          <t>6957674758317</t>
        </is>
      </c>
    </row>
    <row r="1887" ht="87" customHeight="1">
      <c r="A1887" s="2">
        <f>HYPERLINK("https://edmondsonsupply.com/collections/hvac/products/malco-tools-4in1-multi-socket-nut-driver", "https://edmondsonsupply.com/collections/hvac/products/malco-tools-4in1-multi-socket-nut-driver")</f>
        <v/>
      </c>
      <c r="B1887" s="2">
        <f>HYPERLINK("https://edmondsonsupply.com/products/malco-tools-4in1-multi-socket-nut-driver", "https://edmondsonsupply.com/products/malco-tools-4in1-multi-socket-nut-driver")</f>
        <v/>
      </c>
      <c r="C1887" t="inlineStr">
        <is>
          <t>Malco Tools 4IN1 Multi-Socket Nut Driver</t>
        </is>
      </c>
      <c r="D1887" t="inlineStr">
        <is>
          <t>Malco 4IN1 Multi Socket Nut Driver</t>
        </is>
      </c>
      <c r="E1887" s="2">
        <f>HYPERLINK("https://www.amazon.com/Malco-4IN1-Multi-Socket-Driver/dp/B07KQYCJ6Y/ref=sr_1_1?keywords=Malco+Tools+4IN1+Multi-Socket+Nut+Driver&amp;qid=1694734822&amp;sr=8-1", "https://www.amazon.com/Malco-4IN1-Multi-Socket-Driver/dp/B07KQYCJ6Y/ref=sr_1_1?keywords=Malco+Tools+4IN1+Multi-Socket+Nut+Driver&amp;qid=1694734822&amp;sr=8-1")</f>
        <v/>
      </c>
      <c r="F1887" t="inlineStr">
        <is>
          <t>B07KQYCJ6Y</t>
        </is>
      </c>
      <c r="G1887">
        <f>_xlfn.IMAGE("https://edmondsonsupply.com/cdn/shop/products/4in1_catalog-big.jpg?v=1587146287")</f>
        <v/>
      </c>
      <c r="H1887">
        <f>_xlfn.IMAGE("https://m.media-amazon.com/images/I/51VsX2AXH7L._AC_UL320_.jpg")</f>
        <v/>
      </c>
      <c r="K1887" t="inlineStr">
        <is>
          <t>15.4</t>
        </is>
      </c>
      <c r="L1887" t="n">
        <v>21.99</v>
      </c>
      <c r="M1887" s="1" t="inlineStr">
        <is>
          <t>42.79%</t>
        </is>
      </c>
      <c r="N1887" s="7" t="n">
        <v>-5.73</v>
      </c>
      <c r="O1887" t="n">
        <v>4.3</v>
      </c>
      <c r="P1887" t="n">
        <v>53</v>
      </c>
      <c r="R1887" t="inlineStr">
        <is>
          <t>InStock</t>
        </is>
      </c>
      <c r="S1887" t="inlineStr">
        <is>
          <t>16.73</t>
        </is>
      </c>
      <c r="T1887" t="inlineStr">
        <is>
          <t>3674935328868</t>
        </is>
      </c>
    </row>
    <row r="1888" hidden="1" ht="15.75" customHeight="1">
      <c r="A1888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888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888" t="inlineStr">
        <is>
          <t>Klein Tools JTH6E14 5/16-Inch Hex Key with Journeyman T-Handle, 6-Inch</t>
        </is>
      </c>
      <c r="D1888" t="inlineStr">
        <is>
          <t>Klein Tools JTH6M3BE 3 mm Ball End Hex Key with Journeyman T-Handle, 6-Inch (Pack of 2)</t>
        </is>
      </c>
      <c r="E1888" s="2">
        <f>HYPERLINK("https://www.amazon.com/Klein-Tools-JTH6M3BE-Journeyman-T-Handle/dp/B0CGLYY7WP/ref=sr_1_5?keywords=Klein+Tools+JTH6E14+5%2F16-Inch+Hex+Key+with+Journeyman+T-Handle%2C+6-Inch&amp;qid=1694734648&amp;sr=8-5", "https://www.amazon.com/Klein-Tools-JTH6M3BE-Journeyman-T-Handle/dp/B0CGLYY7WP/ref=sr_1_5?keywords=Klein+Tools+JTH6E14+5%2F16-Inch+Hex+Key+with+Journeyman+T-Handle%2C+6-Inch&amp;qid=1694734648&amp;sr=8-5")</f>
        <v/>
      </c>
      <c r="F1888" t="inlineStr">
        <is>
          <t>B0CGLYY7WP</t>
        </is>
      </c>
      <c r="G1888">
        <f>_xludf.IMAGE("https://edmondsonsupply.com/cdn/shop/products/jth6e15.jpg?v=1587148489")</f>
        <v/>
      </c>
      <c r="H1888">
        <f>_xludf.IMAGE("https://m.media-amazon.com/images/I/413sTNFMd7L._AC_UL320_.jpg")</f>
        <v/>
      </c>
      <c r="K1888" t="inlineStr">
        <is>
          <t>6.99</t>
        </is>
      </c>
      <c r="L1888" t="n">
        <v>9.98</v>
      </c>
      <c r="M1888" s="1" t="inlineStr">
        <is>
          <t>42.78%</t>
        </is>
      </c>
      <c r="N1888" s="1" t="n">
        <v>-5.75</v>
      </c>
      <c r="O1888" t="n">
        <v>4.6</v>
      </c>
      <c r="P1888" t="n">
        <v>184</v>
      </c>
      <c r="R1888" t="inlineStr">
        <is>
          <t>InStock</t>
        </is>
      </c>
      <c r="S1888" t="inlineStr">
        <is>
          <t>10.5</t>
        </is>
      </c>
      <c r="T1888" t="inlineStr">
        <is>
          <t>3694843822180</t>
        </is>
      </c>
    </row>
    <row r="1889" ht="87" customHeight="1">
      <c r="A1889" s="2">
        <f>HYPERLINK("https://edmondsonsupply.com/collections/hvac/products/sensible-products-hrf-1-high-beam-rechargeable-flashlight-black", "https://edmondsonsupply.com/collections/hvac/products/sensible-products-hrf-1-high-beam-rechargeable-flashlight-black")</f>
        <v/>
      </c>
      <c r="B1889" s="2">
        <f>HYPERLINK("https://edmondsonsupply.com/products/sensible-products-hrf-1-high-beam-rechargeable-flashlight-black", "https://edmondsonsupply.com/products/sensible-products-hrf-1-high-beam-rechargeable-flashlight-black")</f>
        <v/>
      </c>
      <c r="C1889" t="inlineStr">
        <is>
          <t>Sensible Products HRF-1 High-Beam Rechargeable Flashlight, Black</t>
        </is>
      </c>
      <c r="D1889" t="inlineStr">
        <is>
          <t>Sensible Products High-Beam Rechargeable Flashlight #HRF-1 - Sold Each</t>
        </is>
      </c>
      <c r="E1889" s="2">
        <f>HYPERLINK("https://www.amazon.com/Sensible-Products-High-Beam-Rechargeable-Flashlight/dp/B0BVGLNYDK/ref=sr_1_1?keywords=Sensible+Products+HRF-1+High-Beam+Rechargeable+Flashlight%2C+Black&amp;qid=1694734595&amp;sr=8-1", "https://www.amazon.com/Sensible-Products-High-Beam-Rechargeable-Flashlight/dp/B0BVGLNYDK/ref=sr_1_1?keywords=Sensible+Products+HRF-1+High-Beam+Rechargeable+Flashlight%2C+Black&amp;qid=1694734595&amp;sr=8-1")</f>
        <v/>
      </c>
      <c r="F1889" t="inlineStr">
        <is>
          <t>B0BVGLNYDK</t>
        </is>
      </c>
      <c r="G1889">
        <f>_xlfn.IMAGE("https://edmondsonsupply.com/cdn/shop/products/HRF1BLACK-2.jpg?v=1587144533")</f>
        <v/>
      </c>
      <c r="H1889">
        <f>_xlfn.IMAGE("https://m.media-amazon.com/images/I/31tIPF-TUsL._AC_UL320_.jpg")</f>
        <v/>
      </c>
      <c r="K1889" t="inlineStr">
        <is>
          <t>27.33</t>
        </is>
      </c>
      <c r="L1889" t="n">
        <v>38.95</v>
      </c>
      <c r="M1889" s="1" t="inlineStr">
        <is>
          <t>42.52%</t>
        </is>
      </c>
      <c r="N1889" s="7" t="n">
        <v>-5.89</v>
      </c>
      <c r="O1889" t="n">
        <v>5</v>
      </c>
      <c r="P1889" t="n">
        <v>1</v>
      </c>
      <c r="R1889" t="inlineStr">
        <is>
          <t>InStock</t>
        </is>
      </c>
      <c r="S1889" t="inlineStr">
        <is>
          <t>undefined</t>
        </is>
      </c>
      <c r="T1889" t="inlineStr">
        <is>
          <t>4340565540964</t>
        </is>
      </c>
    </row>
    <row r="1890" ht="87" customHeight="1">
      <c r="A1890" s="2">
        <f>HYPERLINK("https://edmondsonsupply.com/collections/hvac/products/sensible-products-hrf-1-high-beam-rechargeable-flashlight-silver", "https://edmondsonsupply.com/collections/hvac/products/sensible-products-hrf-1-high-beam-rechargeable-flashlight-silver")</f>
        <v/>
      </c>
      <c r="B1890" s="2">
        <f>HYPERLINK("https://edmondsonsupply.com/products/sensible-products-hrf-1-high-beam-rechargeable-flashlight-silver", "https://edmondsonsupply.com/products/sensible-products-hrf-1-high-beam-rechargeable-flashlight-silver")</f>
        <v/>
      </c>
      <c r="C1890" t="inlineStr">
        <is>
          <t>Sensible Products HRF-1 High-Beam Rechargeable Flashlight, Silver</t>
        </is>
      </c>
      <c r="D1890" t="inlineStr">
        <is>
          <t>Sensible Products High-Beam Rechargeable Flashlight #HRF-1 - Sold Each</t>
        </is>
      </c>
      <c r="E1890" s="2">
        <f>HYPERLINK("https://www.amazon.com/Sensible-Products-High-Beam-Rechargeable-Flashlight/dp/B0BVGLNYDK/ref=sr_1_1?keywords=Sensible+Products+HRF-1+High-Beam+Rechargeable+Flashlight%2C+Silver&amp;qid=1694734664&amp;sr=8-1", "https://www.amazon.com/Sensible-Products-High-Beam-Rechargeable-Flashlight/dp/B0BVGLNYDK/ref=sr_1_1?keywords=Sensible+Products+HRF-1+High-Beam+Rechargeable+Flashlight%2C+Silver&amp;qid=1694734664&amp;sr=8-1")</f>
        <v/>
      </c>
      <c r="F1890" t="inlineStr">
        <is>
          <t>B0BVGLNYDK</t>
        </is>
      </c>
      <c r="G1890">
        <f>_xlfn.IMAGE("https://edmondsonsupply.com/cdn/shop/products/HRF1SILVER-2.jpg?v=1587142434")</f>
        <v/>
      </c>
      <c r="H1890">
        <f>_xlfn.IMAGE("https://m.media-amazon.com/images/I/31tIPF-TUsL._AC_UL320_.jpg")</f>
        <v/>
      </c>
      <c r="K1890" t="inlineStr">
        <is>
          <t>27.33</t>
        </is>
      </c>
      <c r="L1890" t="n">
        <v>38.95</v>
      </c>
      <c r="M1890" s="1" t="inlineStr">
        <is>
          <t>42.52%</t>
        </is>
      </c>
      <c r="N1890" s="7" t="n">
        <v>-5.9</v>
      </c>
      <c r="O1890" t="n">
        <v>5</v>
      </c>
      <c r="P1890" t="n">
        <v>1</v>
      </c>
      <c r="R1890" t="inlineStr">
        <is>
          <t>InStock</t>
        </is>
      </c>
      <c r="S1890" t="inlineStr">
        <is>
          <t>undefined</t>
        </is>
      </c>
      <c r="T1890" t="inlineStr">
        <is>
          <t>4340572553316</t>
        </is>
      </c>
    </row>
    <row r="1891" ht="87" customHeight="1">
      <c r="A1891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1891" s="2">
        <f>HYPERLINK("https://edmondsonsupply.com/products/milwaukee-48-22-1540-fastback%e2%84%a2-5-in-1-folding-knife", "https://edmondsonsupply.com/products/milwaukee-48-22-1540-fastback%e2%84%a2-5-in-1-folding-knife")</f>
        <v/>
      </c>
      <c r="C1891" t="inlineStr">
        <is>
          <t>Milwaukee 48-22-1540 FASTBACK™ 5-in-1 Folding Knife</t>
        </is>
      </c>
      <c r="D1891" t="inlineStr">
        <is>
          <t>Milwaukee 48-22-1902 Fastback Flip Utility Knife and 48-22-1950 General Purpose Utility Blades with Dispenser (50-Blades Included)</t>
        </is>
      </c>
      <c r="E1891" s="2">
        <f>HYPERLINK("https://www.amazon.com/Milwaukee-48-22-1902-48-22-1950-Dispenser-50-Blades/dp/B06XWJJQN2/ref=sr_1_10?keywords=Milwaukee+48-22-1540+FASTBACK%E2%84%A2+5-in-1+Folding+Knife&amp;qid=1694734631&amp;sr=8-10", "https://www.amazon.com/Milwaukee-48-22-1902-48-22-1950-Dispenser-50-Blades/dp/B06XWJJQN2/ref=sr_1_10?keywords=Milwaukee+48-22-1540+FASTBACK%E2%84%A2+5-in-1+Folding+Knife&amp;qid=1694734631&amp;sr=8-10")</f>
        <v/>
      </c>
      <c r="F1891" t="inlineStr">
        <is>
          <t>B06XWJJQN2</t>
        </is>
      </c>
      <c r="G1891">
        <f>_xlfn.IMAGE("https://edmondsonsupply.com/cdn/shop/products/48-22-1540_1.png?v=1587142762")</f>
        <v/>
      </c>
      <c r="H1891">
        <f>_xlfn.IMAGE("https://m.media-amazon.com/images/I/61aj6yTNXYL._AC_UL320_.jpg")</f>
        <v/>
      </c>
      <c r="K1891" t="inlineStr">
        <is>
          <t>23.97</t>
        </is>
      </c>
      <c r="L1891" t="n">
        <v>34.09</v>
      </c>
      <c r="M1891" s="1" t="inlineStr">
        <is>
          <t>42.22%</t>
        </is>
      </c>
      <c r="N1891" s="7" t="n">
        <v>-5.9</v>
      </c>
      <c r="O1891" t="n">
        <v>4.4</v>
      </c>
      <c r="P1891" t="n">
        <v>29</v>
      </c>
      <c r="R1891" t="inlineStr">
        <is>
          <t>InStock</t>
        </is>
      </c>
      <c r="S1891" t="inlineStr">
        <is>
          <t>39.0</t>
        </is>
      </c>
      <c r="T1891" t="inlineStr">
        <is>
          <t>4452621090916</t>
        </is>
      </c>
    </row>
    <row r="1892" ht="87" customHeight="1">
      <c r="A1892" s="2">
        <f>HYPERLINK("https://edmondsonsupply.com/collections/hvac/products/icm-controls-icm401-3-phase-line-voltage-monitor", "https://edmondsonsupply.com/collections/hvac/products/icm-controls-icm401-3-phase-line-voltage-monitor")</f>
        <v/>
      </c>
      <c r="B1892" s="2">
        <f>HYPERLINK("https://edmondsonsupply.com/products/icm-controls-icm401-3-phase-line-voltage-monitor", "https://edmondsonsupply.com/products/icm-controls-icm401-3-phase-line-voltage-monitor")</f>
        <v/>
      </c>
      <c r="C1892" t="inlineStr">
        <is>
          <t>ICM Controls ICM401 3 Phase Line Voltage Monitor</t>
        </is>
      </c>
      <c r="D1892" t="inlineStr">
        <is>
          <t>ICM Controls ICM401 Three-Phase Line Voltage Monitor Offering Protection Against Phase Loss/Reversal and Unbalance; 50/60 Hz, 190-600 VAC (18-30 Control VAC)</t>
        </is>
      </c>
      <c r="E1892" s="2">
        <f>HYPERLINK("https://www.amazon.com/ICM-Controls-ICM401-Three-Phase-Protection/dp/B004I5817C/ref=sr_1_1?keywords=ICM+Controls+ICM401+3+Phase+Line+Voltage+Monitor&amp;qid=1694734757&amp;sr=8-1", "https://www.amazon.com/ICM-Controls-ICM401-Three-Phase-Protection/dp/B004I5817C/ref=sr_1_1?keywords=ICM+Controls+ICM401+3+Phase+Line+Voltage+Monitor&amp;qid=1694734757&amp;sr=8-1")</f>
        <v/>
      </c>
      <c r="F1892" t="inlineStr">
        <is>
          <t>B004I5817C</t>
        </is>
      </c>
      <c r="G1892">
        <f>_xlfn.IMAGE("https://edmondsonsupply.com/cdn/shop/products/photo_3653_medium_52cb7f2c-e5f0-4da1-ac53-d344fb2403c9.png?v=1665087171")</f>
        <v/>
      </c>
      <c r="H1892">
        <f>_xlfn.IMAGE("https://m.media-amazon.com/images/I/61T2FryJHhL._AC_UL320_.jpg")</f>
        <v/>
      </c>
      <c r="K1892" t="inlineStr">
        <is>
          <t>34.79</t>
        </is>
      </c>
      <c r="L1892" t="n">
        <v>49.47</v>
      </c>
      <c r="M1892" s="1" t="inlineStr">
        <is>
          <t>42.20%</t>
        </is>
      </c>
      <c r="N1892" s="7" t="n">
        <v>-6.01</v>
      </c>
      <c r="O1892" t="n">
        <v>4.1</v>
      </c>
      <c r="P1892" t="n">
        <v>11</v>
      </c>
      <c r="R1892" t="inlineStr">
        <is>
          <t>InStock</t>
        </is>
      </c>
      <c r="S1892" t="inlineStr">
        <is>
          <t>61.35</t>
        </is>
      </c>
      <c r="T1892" t="inlineStr">
        <is>
          <t>7842404532440</t>
        </is>
      </c>
    </row>
    <row r="1893" ht="87" customHeight="1">
      <c r="A1893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1893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1893" t="inlineStr">
        <is>
          <t>Klein Tools JTH4E17 1/2-Inch Hex Key, Journeyman T-Handle, 4-Inch</t>
        </is>
      </c>
      <c r="D1893" t="inlineStr">
        <is>
          <t>Klein Tools JTH6E17BE 1/2-Inch Ball End Hex Key with Journeyman T-Handle, 6-Inch</t>
        </is>
      </c>
      <c r="E1893" s="2">
        <f>HYPERLINK("https://www.amazon.com/Journeyman-T-Handle-Klein-Tools-JTH6E17BE/dp/B004QW58Q4/ref=sr_1_5?keywords=Klein+Tools+JTH4E17+1%2F2-Inch+Hex+Key%2C+Journeyman+T-Handle%2C+4-Inch&amp;qid=1694734780&amp;sr=8-5", "https://www.amazon.com/Journeyman-T-Handle-Klein-Tools-JTH6E17BE/dp/B004QW58Q4/ref=sr_1_5?keywords=Klein+Tools+JTH4E17+1%2F2-Inch+Hex+Key%2C+Journeyman+T-Handle%2C+4-Inch&amp;qid=1694734780&amp;sr=8-5")</f>
        <v/>
      </c>
      <c r="F1893" t="inlineStr">
        <is>
          <t>B004QW58Q4</t>
        </is>
      </c>
      <c r="G1893">
        <f>_xlfn.IMAGE("https://edmondsonsupply.com/cdn/shop/products/jth4e17_583549be-7b42-43c7-9c3d-a92f2416ede5.jpg?v=1610655610")</f>
        <v/>
      </c>
      <c r="H1893">
        <f>_xlfn.IMAGE("https://m.media-amazon.com/images/I/51f9vBFVXgL._AC_UL320_.jpg")</f>
        <v/>
      </c>
      <c r="K1893" t="inlineStr">
        <is>
          <t>15.99</t>
        </is>
      </c>
      <c r="L1893" t="n">
        <v>22.72</v>
      </c>
      <c r="M1893" s="1" t="inlineStr">
        <is>
          <t>42.09%</t>
        </is>
      </c>
      <c r="N1893" s="7" t="n">
        <v>-6.11</v>
      </c>
      <c r="O1893" t="n">
        <v>4.8</v>
      </c>
      <c r="P1893" t="n">
        <v>454</v>
      </c>
      <c r="R1893" t="inlineStr">
        <is>
          <t>InStock</t>
        </is>
      </c>
      <c r="S1893" t="inlineStr">
        <is>
          <t>24.24</t>
        </is>
      </c>
      <c r="T1893" t="inlineStr">
        <is>
          <t>6203851538605</t>
        </is>
      </c>
    </row>
    <row r="1894" hidden="1" ht="15.75" customHeight="1">
      <c r="A1894" s="2">
        <f>HYPERLINK("https://edmondsonsupply.com/collections/hvac/products/packard-trcfd355-titan-pro-run-capacitor-35-5-mfd-440-370-volt-round", "https://edmondsonsupply.com/collections/hvac/products/packard-trcfd355-titan-pro-run-capacitor-35-5-mfd-440-370-volt-round")</f>
        <v/>
      </c>
      <c r="B1894" s="2">
        <f>HYPERLINK("https://edmondsonsupply.com/products/packard-trcfd355-titan-pro-run-capacitor-35-5-mfd-440-370-volt-round", "https://edmondsonsupply.com/products/packard-trcfd355-titan-pro-run-capacitor-35-5-mfd-440-370-volt-round")</f>
        <v/>
      </c>
      <c r="C1894" t="inlineStr">
        <is>
          <t>Packard TRCFD355 Titan PRO Run Capacitor 35+5 MFD 440/370 Volt, Round</t>
        </is>
      </c>
      <c r="D1894" t="inlineStr">
        <is>
          <t>Titan TRCFD355 Dual Rated Motor Run Capacitor Round MFD 35/5 Volts 440/370</t>
        </is>
      </c>
      <c r="E1894" s="2">
        <f>HYPERLINK("https://www.amazon.com/Titan-TRCFD355-Rated-Motor-Capacitor/dp/B01IC1SVP4/ref=sr_1_1?keywords=Packard+TRCFD355+Titan+PRO+Run+Capacitor+35%2B5+MFD+440%2F370+Volt%2C+Round&amp;qid=1694734573&amp;sr=8-1", "https://www.amazon.com/Titan-TRCFD355-Rated-Motor-Capacitor/dp/B01IC1SVP4/ref=sr_1_1?keywords=Packard+TRCFD355+Titan+PRO+Run+Capacitor+35%2B5+MFD+440%2F370+Volt%2C+Round&amp;qid=1694734573&amp;sr=8-1")</f>
        <v/>
      </c>
      <c r="F1894" t="inlineStr">
        <is>
          <t>B01IC1SVP4</t>
        </is>
      </c>
      <c r="G1894">
        <f>_xludf.IMAGE("https://edmondsonsupply.com/cdn/shop/products/TRCFD355-2.jpg?v=1633030310")</f>
        <v/>
      </c>
      <c r="H1894">
        <f>_xludf.IMAGE("https://m.media-amazon.com/images/I/61ZOaIfuaxL._AC_UY218_.jpg")</f>
        <v/>
      </c>
      <c r="K1894" t="inlineStr">
        <is>
          <t>8.08</t>
        </is>
      </c>
      <c r="L1894" t="n">
        <v>11.48</v>
      </c>
      <c r="M1894" s="1" t="inlineStr">
        <is>
          <t>42.08%</t>
        </is>
      </c>
      <c r="N1894" s="1" t="n">
        <v>-6.2</v>
      </c>
      <c r="O1894" t="n">
        <v>4.5</v>
      </c>
      <c r="P1894" t="n">
        <v>106</v>
      </c>
      <c r="R1894" t="inlineStr">
        <is>
          <t>InStock</t>
        </is>
      </c>
      <c r="S1894" t="inlineStr">
        <is>
          <t>undefined</t>
        </is>
      </c>
      <c r="T1894" t="inlineStr">
        <is>
          <t>5242700562600</t>
        </is>
      </c>
    </row>
    <row r="1895" hidden="1" ht="15.75" customHeight="1">
      <c r="A1895" s="2">
        <f>HYPERLINK("https://edmondsonsupply.com/collections/hvac/products/diablo-tools-dsp3050-7-8-in-x-16-in-spade-bit", "https://edmondsonsupply.com/collections/hvac/products/diablo-tools-dsp3050-7-8-in-x-16-in-spade-bit")</f>
        <v/>
      </c>
      <c r="B1895" s="2">
        <f>HYPERLINK("https://edmondsonsupply.com/products/diablo-tools-dsp3050-7-8-in-x-16-in-spade-bit", "https://edmondsonsupply.com/products/diablo-tools-dsp3050-7-8-in-x-16-in-spade-bit")</f>
        <v/>
      </c>
      <c r="C1895" t="inlineStr">
        <is>
          <t>Diablo Tools DSP3050 7/8 in. x 16 in. Spade Bit</t>
        </is>
      </c>
      <c r="D1895" t="inlineStr">
        <is>
          <t>Diablo by Freud DSP3010 3/8 in. x 16 in. SPEEDemon Spade Bit</t>
        </is>
      </c>
      <c r="E1895" s="2">
        <f>HYPERLINK("https://www.amazon.com/Diablo-16-SPEEDemon-Spade-Bit/dp/B089LKXD6Z/ref=sr_1_13?keywords=Diablo+Tools+DSP3050+7%2F8+in.+x+16+in.+Spade+Bit&amp;qid=1694734919&amp;sr=8-13", "https://www.amazon.com/Diablo-16-SPEEDemon-Spade-Bit/dp/B089LKXD6Z/ref=sr_1_13?keywords=Diablo+Tools+DSP3050+7%2F8+in.+x+16+in.+Spade+Bit&amp;qid=1694734919&amp;sr=8-13")</f>
        <v/>
      </c>
      <c r="F1895" t="inlineStr">
        <is>
          <t>B089LKXD6Z</t>
        </is>
      </c>
      <c r="G1895">
        <f>_xludf.IMAGE("https://edmondsonsupply.com/cdn/shop/files/y2jtkhe6p1ztkurhqyvu.webp?v=1685722260")</f>
        <v/>
      </c>
      <c r="H1895">
        <f>_xludf.IMAGE("https://m.media-amazon.com/images/I/616SIXUQ4mL._AC_UL320_.jpg")</f>
        <v/>
      </c>
      <c r="K1895" t="inlineStr">
        <is>
          <t>6.99</t>
        </is>
      </c>
      <c r="L1895" t="n">
        <v>9.93</v>
      </c>
      <c r="M1895" s="1" t="inlineStr">
        <is>
          <t>42.06%</t>
        </is>
      </c>
      <c r="N1895" s="1" t="n">
        <v>-6.27</v>
      </c>
      <c r="O1895" t="n">
        <v>4.3</v>
      </c>
      <c r="P1895" t="n">
        <v>10</v>
      </c>
      <c r="R1895" t="inlineStr">
        <is>
          <t>InStock</t>
        </is>
      </c>
      <c r="S1895" t="inlineStr">
        <is>
          <t>11.19</t>
        </is>
      </c>
      <c r="T1895" t="inlineStr">
        <is>
          <t>7999598330072</t>
        </is>
      </c>
    </row>
    <row r="1896" hidden="1" ht="15.75" customHeight="1">
      <c r="A1896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1896" s="2">
        <f>HYPERLINK("https://edmondsonsupply.com/products/klein-tools-646-5-16-5-16-inch-nut-driver-6-inch-hollow-shaft", "https://edmondsonsupply.com/products/klein-tools-646-5-16-5-16-inch-nut-driver-6-inch-hollow-shaft")</f>
        <v/>
      </c>
      <c r="C1896" t="inlineStr">
        <is>
          <t>Klein Tools 646-5/16 5/16-Inch Nut Driver, 6-Inch Hollow Shaft</t>
        </is>
      </c>
      <c r="D1896" t="inlineStr">
        <is>
          <t>Klein Tools 610-5/16M 5/16-Inch Magnetic Tip Nut Driver with 1-1/2-Inch Hollow Shaft and Cushion Grip Handle</t>
        </is>
      </c>
      <c r="E1896" s="2">
        <f>HYPERLINK("https://www.amazon.com/Magnetic-Klein-Tools-610-5-16M/dp/B00093DZP0/ref=sr_1_6?keywords=Klein+Tools+646-5%2F16+5%2F16-Inch+Nut+Driver%2C+6-Inch+Hollow+Shaft&amp;qid=1694734728&amp;sr=8-6", "https://www.amazon.com/Magnetic-Klein-Tools-610-5-16M/dp/B00093DZP0/ref=sr_1_6?keywords=Klein+Tools+646-5%2F16+5%2F16-Inch+Nut+Driver%2C+6-Inch+Hollow+Shaft&amp;qid=1694734728&amp;sr=8-6")</f>
        <v/>
      </c>
      <c r="F1896" t="inlineStr">
        <is>
          <t>B00093DZP0</t>
        </is>
      </c>
      <c r="G1896">
        <f>_xludf.IMAGE("https://edmondsonsupply.com/cdn/shop/products/646-1-2_e1540905-f750-4509-90c5-74ff653e4d83.jpg?v=1587145119")</f>
        <v/>
      </c>
      <c r="H1896">
        <f>_xludf.IMAGE("https://m.media-amazon.com/images/I/41rQZ0-NNZL._AC_UL320_.jpg")</f>
        <v/>
      </c>
      <c r="K1896" t="inlineStr">
        <is>
          <t>7.99</t>
        </is>
      </c>
      <c r="L1896" t="n">
        <v>11.34</v>
      </c>
      <c r="M1896" s="1" t="inlineStr">
        <is>
          <t>41.93%</t>
        </is>
      </c>
      <c r="N1896" s="1" t="n">
        <v>-6.4</v>
      </c>
      <c r="O1896" t="n">
        <v>4.7</v>
      </c>
      <c r="P1896" t="n">
        <v>258</v>
      </c>
      <c r="R1896" t="inlineStr">
        <is>
          <t>InStock</t>
        </is>
      </c>
      <c r="S1896" t="inlineStr">
        <is>
          <t>12.1</t>
        </is>
      </c>
      <c r="T1896" t="inlineStr">
        <is>
          <t>4395303272548</t>
        </is>
      </c>
    </row>
    <row r="1897" ht="87" customHeight="1">
      <c r="A1897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1897" s="2">
        <f>HYPERLINK("https://edmondsonsupply.com/products/midwest-mwt-6510s-straight-offset-aviation-snip", "https://edmondsonsupply.com/products/midwest-mwt-6510s-straight-offset-aviation-snip")</f>
        <v/>
      </c>
      <c r="C1897" t="inlineStr">
        <is>
          <t>Midwest MWT-6510S Straight Offset Aviation Snip</t>
        </is>
      </c>
      <c r="D1897" t="inlineStr">
        <is>
          <t>MIDWEST Aviation Snip - Right Cut Offset Stainless Steel Cutting Shears with Forged Blade &amp; KUSH'N-POWER Comfort Grips - MWT-SS6510R</t>
        </is>
      </c>
      <c r="E1897" s="2">
        <f>HYPERLINK("https://www.amazon.com/MIDWEST-Aviation-Snip-KUSHN-POWER-MWT-SS6510R/dp/B00OMSVOZ6/ref=sr_1_3?keywords=Midwest+MWT-6510S+Straight+Offset+Aviation+Snip&amp;qid=1694734608&amp;sr=8-3", "https://www.amazon.com/MIDWEST-Aviation-Snip-KUSHN-POWER-MWT-SS6510R/dp/B00OMSVOZ6/ref=sr_1_3?keywords=Midwest+MWT-6510S+Straight+Offset+Aviation+Snip&amp;qid=1694734608&amp;sr=8-3")</f>
        <v/>
      </c>
      <c r="F1897" t="inlineStr">
        <is>
          <t>B00OMSVOZ6</t>
        </is>
      </c>
      <c r="G1897">
        <f>_xlfn.IMAGE("https://edmondsonsupply.com/cdn/shop/products/MWT-6510S-1.jpg?v=1587150061")</f>
        <v/>
      </c>
      <c r="H1897">
        <f>_xlfn.IMAGE("https://m.media-amazon.com/images/I/6111Xzz5-TL._AC_UL320_.jpg")</f>
        <v/>
      </c>
      <c r="K1897" t="inlineStr">
        <is>
          <t>23.49</t>
        </is>
      </c>
      <c r="L1897" t="n">
        <v>33.32</v>
      </c>
      <c r="M1897" s="1" t="inlineStr">
        <is>
          <t>41.85%</t>
        </is>
      </c>
      <c r="N1897" s="7" t="n">
        <v>-6.4</v>
      </c>
      <c r="O1897" t="n">
        <v>4.3</v>
      </c>
      <c r="P1897" t="n">
        <v>99</v>
      </c>
      <c r="R1897" t="inlineStr">
        <is>
          <t>OutOfStock</t>
        </is>
      </c>
      <c r="S1897" t="inlineStr">
        <is>
          <t>33.49</t>
        </is>
      </c>
      <c r="T1897" t="inlineStr">
        <is>
          <t>4436158677092</t>
        </is>
      </c>
    </row>
    <row r="1898" hidden="1" ht="15.75" customHeight="1">
      <c r="A1898" s="2">
        <f>HYPERLINK("https://edmondsonsupply.com/collections/hvac/products/esp-zt10-z-tool-5-16-1-4-nut-driver", "https://edmondsonsupply.com/collections/hvac/products/esp-zt10-z-tool-5-16-1-4-nut-driver")</f>
        <v/>
      </c>
      <c r="B1898" s="2">
        <f>HYPERLINK("https://edmondsonsupply.com/products/esp-zt10-z-tool-5-16-1-4-nut-driver", "https://edmondsonsupply.com/products/esp-zt10-z-tool-5-16-1-4-nut-driver")</f>
        <v/>
      </c>
      <c r="C1898" t="inlineStr">
        <is>
          <t>ESP ZT10 Z-Tool - 5/16" &amp; 1/4" Nut Driver</t>
        </is>
      </c>
      <c r="D1898" t="inlineStr">
        <is>
          <t>ESP Z-Tool 5/16" &amp; 1/4" NUT Driver (ZT10)</t>
        </is>
      </c>
      <c r="E1898" s="2">
        <f>HYPERLINK("https://www.amazon.com/ESP-Z-Tool-NUT-Driver-ZT10/dp/B07SPGG7ZW/ref=sr_1_1?keywords=ESP+ZT10+Z-Tool+-+5%2F16%22+%26+1%2F4%22+Nut+Driver&amp;qid=1694734713&amp;sr=8-1", "https://www.amazon.com/ESP-Z-Tool-NUT-Driver-ZT10/dp/B07SPGG7ZW/ref=sr_1_1?keywords=ESP+ZT10+Z-Tool+-+5%2F16%22+%26+1%2F4%22+Nut+Driver&amp;qid=1694734713&amp;sr=8-1")</f>
        <v/>
      </c>
      <c r="F1898" t="inlineStr">
        <is>
          <t>B07SPGG7ZW</t>
        </is>
      </c>
      <c r="G1898">
        <f>_xludf.IMAGE("https://edmondsonsupply.com/cdn/shop/products/57_6de04365-fc4a-412c-862f-4656f2f09acd.jpg?v=1633030637")</f>
        <v/>
      </c>
      <c r="H1898">
        <f>_xludf.IMAGE("https://m.media-amazon.com/images/I/41ZipJfcQHL._AC_UL320_.jpg")</f>
        <v/>
      </c>
      <c r="K1898" t="inlineStr">
        <is>
          <t>9.52</t>
        </is>
      </c>
      <c r="L1898" t="n">
        <v>13.5</v>
      </c>
      <c r="M1898" s="1" t="inlineStr">
        <is>
          <t>41.81%</t>
        </is>
      </c>
      <c r="N1898" s="1" t="n">
        <v>-6.69</v>
      </c>
      <c r="O1898" t="n">
        <v>4.3</v>
      </c>
      <c r="P1898" t="n">
        <v>58</v>
      </c>
      <c r="R1898" t="inlineStr">
        <is>
          <t>OutOfStock</t>
        </is>
      </c>
      <c r="S1898" t="inlineStr">
        <is>
          <t>undefined</t>
        </is>
      </c>
      <c r="T1898" t="inlineStr">
        <is>
          <t>5702481838248</t>
        </is>
      </c>
    </row>
    <row r="1899" ht="87" customHeight="1">
      <c r="A1899" s="2">
        <f>HYPERLINK("https://edmondsonsupply.com/collections/hvac/products/nu-calgon-4290-75-nu-blast-aerosol-coil-cleaner", "https://edmondsonsupply.com/collections/hvac/products/nu-calgon-4290-75-nu-blast-aerosol-coil-cleaner")</f>
        <v/>
      </c>
      <c r="B1899" s="2">
        <f>HYPERLINK("https://edmondsonsupply.com/products/nu-calgon-4290-75-nu-blast-aerosol-coil-cleaner", "https://edmondsonsupply.com/products/nu-calgon-4290-75-nu-blast-aerosol-coil-cleaner")</f>
        <v/>
      </c>
      <c r="C1899" t="inlineStr">
        <is>
          <t>Nu-Calgon 4290-75 Nu-Blast Aerosol Coil Cleaner</t>
        </is>
      </c>
      <c r="D1899" t="inlineStr">
        <is>
          <t>Nu Calgon Inc 429075 Condenser Coil Cleaner, 1.2 Pound (Pack of 1)</t>
        </is>
      </c>
      <c r="E1899" s="2" t="n"/>
      <c r="F1899" t="inlineStr">
        <is>
          <t>B00E0CWJI0</t>
        </is>
      </c>
      <c r="G1899">
        <f>_xlfn.IMAGE("https://edmondsonsupply.com/cdn/shop/products/4290-75.jpg?v=1659464661")</f>
        <v/>
      </c>
      <c r="H1899">
        <f>_xlfn.IMAGE("https://m.media-amazon.com/images/I/71nTGsvHfIL._AC_UL320_.jpg")</f>
        <v/>
      </c>
      <c r="K1899" t="inlineStr">
        <is>
          <t>18.79</t>
        </is>
      </c>
      <c r="L1899" t="n">
        <v>26.63</v>
      </c>
      <c r="M1899" s="1" t="inlineStr">
        <is>
          <t>41.72%</t>
        </is>
      </c>
      <c r="N1899" s="7" t="n">
        <v>-6.72</v>
      </c>
      <c r="O1899" t="n">
        <v>4.2</v>
      </c>
      <c r="P1899" t="n">
        <v>170</v>
      </c>
      <c r="R1899" t="inlineStr">
        <is>
          <t>InStock</t>
        </is>
      </c>
      <c r="S1899" t="inlineStr">
        <is>
          <t>25.06</t>
        </is>
      </c>
      <c r="T1899" t="inlineStr">
        <is>
          <t>7769839829208</t>
        </is>
      </c>
    </row>
    <row r="1900" ht="87" customHeight="1">
      <c r="A1900" s="2">
        <f>HYPERLINK("https://edmondsonsupply.com/collections/hvac/products/nu-calgon-4290-75-nu-blast-aerosol-coil-cleaner", "https://edmondsonsupply.com/collections/hvac/products/nu-calgon-4290-75-nu-blast-aerosol-coil-cleaner")</f>
        <v/>
      </c>
      <c r="B1900" s="2">
        <f>HYPERLINK("https://edmondsonsupply.com/products/nu-calgon-4290-75-nu-blast-aerosol-coil-cleaner", "https://edmondsonsupply.com/products/nu-calgon-4290-75-nu-blast-aerosol-coil-cleaner")</f>
        <v/>
      </c>
      <c r="C1900" t="inlineStr">
        <is>
          <t>Nu-Calgon 4290-75 Nu-Blast Aerosol Coil Cleaner</t>
        </is>
      </c>
      <c r="D1900" t="inlineStr">
        <is>
          <t>Nu Calgon Inc 429075 Condenser Coil Cleaner, 1.2 Pound (Pack of 1)</t>
        </is>
      </c>
      <c r="E1900" s="2">
        <f>HYPERLINK("https://www.amazon.com/Nu-Calgon-429075-NU-Blast-18-Ounce/dp/B00E0CWJI0/ref=sr_1_6?keywords=Nu-Calgon+4290-75+Nu-Blast+Aerosol+Coil+Cleaner&amp;qid=1694734637&amp;sr=8-6", "https://www.amazon.com/Nu-Calgon-429075-NU-Blast-18-Ounce/dp/B00E0CWJI0/ref=sr_1_6?keywords=Nu-Calgon+4290-75+Nu-Blast+Aerosol+Coil+Cleaner&amp;qid=1694734637&amp;sr=8-6")</f>
        <v/>
      </c>
      <c r="F1900" t="inlineStr">
        <is>
          <t>B00E0CWJI0</t>
        </is>
      </c>
      <c r="G1900">
        <f>_xlfn.IMAGE("https://edmondsonsupply.com/cdn/shop/products/4290-75.jpg?v=1659464661")</f>
        <v/>
      </c>
      <c r="H1900">
        <f>_xlfn.IMAGE("https://m.media-amazon.com/images/I/71nTGsvHfIL._AC_UL320_.jpg")</f>
        <v/>
      </c>
      <c r="K1900" t="inlineStr">
        <is>
          <t>18.79</t>
        </is>
      </c>
      <c r="L1900" t="n">
        <v>26.63</v>
      </c>
      <c r="M1900" s="1" t="inlineStr">
        <is>
          <t>41.72%</t>
        </is>
      </c>
      <c r="N1900" s="7" t="n">
        <v>-6.72</v>
      </c>
      <c r="O1900" t="n">
        <v>4.2</v>
      </c>
      <c r="P1900" t="n">
        <v>170</v>
      </c>
      <c r="R1900" t="inlineStr">
        <is>
          <t>InStock</t>
        </is>
      </c>
      <c r="S1900" t="inlineStr">
        <is>
          <t>25.06</t>
        </is>
      </c>
      <c r="T1900" t="inlineStr">
        <is>
          <t>7769839829208</t>
        </is>
      </c>
    </row>
    <row r="1901" ht="87" customHeight="1">
      <c r="A1901" s="2">
        <f>HYPERLINK("https://edmondsonsupply.com/collections/hvac/products/white-rodgers-24a34-2-24v-electric-heat-sequencer-spst", "https://edmondsonsupply.com/collections/hvac/products/white-rodgers-24a34-2-24v-electric-heat-sequencer-spst")</f>
        <v/>
      </c>
      <c r="B1901" s="2">
        <f>HYPERLINK("https://edmondsonsupply.com/products/white-rodgers-24a34-2-24v-electric-heat-sequencer-spst", "https://edmondsonsupply.com/products/white-rodgers-24a34-2-24v-electric-heat-sequencer-spst")</f>
        <v/>
      </c>
      <c r="C1901" t="inlineStr">
        <is>
          <t>White-Rodgers 24A34-2 24V Electric Heat Sequencer, SPST</t>
        </is>
      </c>
      <c r="D1901" t="inlineStr">
        <is>
          <t>White-Rodgers 24A34-1 Electric Heat Sequencer, 1 Switch</t>
        </is>
      </c>
      <c r="E1901" s="2">
        <f>HYPERLINK("https://www.amazon.com/White-Rodgers-24A34-1-Electric-Sequencer-Switch/dp/B000LD7VQW/ref=sr_1_6?keywords=White-Rodgers+24A34-2+24V+Electric+Heat+Sequencer%2C+SPST&amp;qid=1694734713&amp;sr=8-6", "https://www.amazon.com/White-Rodgers-24A34-1-Electric-Sequencer-Switch/dp/B000LD7VQW/ref=sr_1_6?keywords=White-Rodgers+24A34-2+24V+Electric+Heat+Sequencer%2C+SPST&amp;qid=1694734713&amp;sr=8-6")</f>
        <v/>
      </c>
      <c r="F1901" t="inlineStr">
        <is>
          <t>B000LD7VQW</t>
        </is>
      </c>
      <c r="G1901">
        <f>_xlfn.IMAGE("https://edmondsonsupply.com/cdn/shop/products/24A34-2.jpg?v=1633030752")</f>
        <v/>
      </c>
      <c r="H1901">
        <f>_xlfn.IMAGE("https://m.media-amazon.com/images/I/41k+LuyGsVL._AC_UL320_.jpg")</f>
        <v/>
      </c>
      <c r="K1901" t="inlineStr">
        <is>
          <t>11.99</t>
        </is>
      </c>
      <c r="L1901" t="n">
        <v>16.99</v>
      </c>
      <c r="M1901" s="1" t="inlineStr">
        <is>
          <t>41.70%</t>
        </is>
      </c>
      <c r="N1901" s="7" t="n">
        <v>-6.75</v>
      </c>
      <c r="O1901" t="n">
        <v>5</v>
      </c>
      <c r="P1901" t="n">
        <v>6</v>
      </c>
      <c r="R1901" t="inlineStr">
        <is>
          <t>InStock</t>
        </is>
      </c>
      <c r="S1901" t="inlineStr">
        <is>
          <t>26.43</t>
        </is>
      </c>
      <c r="T1901" t="inlineStr">
        <is>
          <t>5896366424232</t>
        </is>
      </c>
    </row>
    <row r="1902" ht="87" customHeight="1">
      <c r="A1902" s="2">
        <f>HYPERLINK("https://edmondsonsupply.com/collections/hvac/products/ritchie-yellow-jacket-19165-1-2-female-acme-quick-coupler-x-1-4-male-flare", "https://edmondsonsupply.com/collections/hvac/products/ritchie-yellow-jacket-19165-1-2-female-acme-quick-coupler-x-1-4-male-flare")</f>
        <v/>
      </c>
      <c r="B1902" s="2">
        <f>HYPERLINK("https://edmondsonsupply.com/products/ritchie-yellow-jacket-19165-1-2-female-acme-quick-coupler-x-1-4-male-flare", "https://edmondsonsupply.com/products/ritchie-yellow-jacket-19165-1-2-female-acme-quick-coupler-x-1-4-male-flare")</f>
        <v/>
      </c>
      <c r="C1902" t="inlineStr">
        <is>
          <t>Yellow Jacket 19165 1/2" Female Acme Quick Coupler X 1/4" Male Flare</t>
        </is>
      </c>
      <c r="D1902" t="inlineStr">
        <is>
          <t>YELLOW JACKET 19173 Schrader Core in Male End Quick Coupler, 5/16" Female Qc x 1/4" Male Flare</t>
        </is>
      </c>
      <c r="E1902" s="2">
        <f>HYPERLINK("https://www.amazon.com/YELLOW-JACKET-19173-Schrader-Coupler/dp/B009AXJL3K/ref=sr_1_2?keywords=Yellow+Jacket+19165+1%2F2%22+Female+Acme+Quick+Coupler+X+1%2F4%22+Male+Flare&amp;qid=1694734741&amp;sr=8-2", "https://www.amazon.com/YELLOW-JACKET-19173-Schrader-Coupler/dp/B009AXJL3K/ref=sr_1_2?keywords=Yellow+Jacket+19165+1%2F2%22+Female+Acme+Quick+Coupler+X+1%2F4%22+Male+Flare&amp;qid=1694734741&amp;sr=8-2")</f>
        <v/>
      </c>
      <c r="F1902" t="inlineStr">
        <is>
          <t>B009AXJL3K</t>
        </is>
      </c>
      <c r="G1902">
        <f>_xlfn.IMAGE("https://edmondsonsupply.com/cdn/shop/products/s-l500_35c9f138-c108-4fd6-aab6-baa85329b323.jpg?v=1597544718")</f>
        <v/>
      </c>
      <c r="H1902">
        <f>_xlfn.IMAGE("https://m.media-amazon.com/images/I/41VUeOE8TEL._AC_UL320_.jpg")</f>
        <v/>
      </c>
      <c r="K1902" t="inlineStr">
        <is>
          <t>19.03</t>
        </is>
      </c>
      <c r="L1902" t="n">
        <v>26.96</v>
      </c>
      <c r="M1902" s="1" t="inlineStr">
        <is>
          <t>41.67%</t>
        </is>
      </c>
      <c r="N1902" s="7" t="n">
        <v>-7.31</v>
      </c>
      <c r="O1902" t="n">
        <v>5</v>
      </c>
      <c r="P1902" t="n">
        <v>2</v>
      </c>
      <c r="R1902" t="inlineStr">
        <is>
          <t>InStock</t>
        </is>
      </c>
      <c r="S1902" t="inlineStr">
        <is>
          <t>undefined</t>
        </is>
      </c>
      <c r="T1902" t="inlineStr">
        <is>
          <t>2633090400356</t>
        </is>
      </c>
    </row>
    <row r="1903" ht="87" customHeight="1">
      <c r="A1903" s="2">
        <f>HYPERLINK("https://edmondsonsupply.com/collections/hvac/products/malco-tools-gsg6-gutter-screw-guide", "https://edmondsonsupply.com/collections/hvac/products/malco-tools-gsg6-gutter-screw-guide")</f>
        <v/>
      </c>
      <c r="B1903" s="2">
        <f>HYPERLINK("https://edmondsonsupply.com/products/malco-tools-gsg6-gutter-screw-guide", "https://edmondsonsupply.com/products/malco-tools-gsg6-gutter-screw-guide")</f>
        <v/>
      </c>
      <c r="C1903" t="inlineStr">
        <is>
          <t>Malco Tools GSG6 Gutter Screw Guide</t>
        </is>
      </c>
      <c r="D1903" t="inlineStr">
        <is>
          <t>Malco GSG6 Extra-Long Magnetic Gutter Screw Guide, Red</t>
        </is>
      </c>
      <c r="E1903" s="2">
        <f>HYPERLINK("https://www.amazon.com/Malco-GSG6-Extra-Long-Magnetic-Gutter/dp/B01D5UBZQY/ref=sr_1_1?keywords=Malco+Tools+GSG6+Gutter+Screw+Guide&amp;qid=1694734790&amp;sr=8-1", "https://www.amazon.com/Malco-GSG6-Extra-Long-Magnetic-Gutter/dp/B01D5UBZQY/ref=sr_1_1?keywords=Malco+Tools+GSG6+Gutter+Screw+Guide&amp;qid=1694734790&amp;sr=8-1")</f>
        <v/>
      </c>
      <c r="F1903" t="inlineStr">
        <is>
          <t>B01D5UBZQY</t>
        </is>
      </c>
      <c r="G1903">
        <f>_xlfn.IMAGE("https://edmondsonsupply.com/cdn/shop/products/gsg6_catalog-big.jpg?v=1633030416")</f>
        <v/>
      </c>
      <c r="H1903">
        <f>_xlfn.IMAGE("https://m.media-amazon.com/images/I/51SQaPIgD2L._AC_UL320_.jpg")</f>
        <v/>
      </c>
      <c r="K1903" t="inlineStr">
        <is>
          <t>13.99</t>
        </is>
      </c>
      <c r="L1903" t="n">
        <v>19.8</v>
      </c>
      <c r="M1903" s="1" t="inlineStr">
        <is>
          <t>41.53%</t>
        </is>
      </c>
      <c r="N1903" s="7" t="n">
        <v>-7.52</v>
      </c>
      <c r="O1903" t="n">
        <v>4.5</v>
      </c>
      <c r="P1903" t="n">
        <v>155</v>
      </c>
      <c r="R1903" t="inlineStr">
        <is>
          <t>InStock</t>
        </is>
      </c>
      <c r="S1903" t="inlineStr">
        <is>
          <t>15.11</t>
        </is>
      </c>
      <c r="T1903" t="inlineStr">
        <is>
          <t>5314508751016</t>
        </is>
      </c>
    </row>
    <row r="1904" ht="87" customFormat="1" customHeight="1" s="12">
      <c r="A1904" s="11">
        <f>HYPERLINK("https://edmondsonsupply.com/collections/hvac/products/klein-tools-jth68m-8pc-6-metric-journeyman-t-handle-set-with-stand", "https://edmondsonsupply.com/collections/hvac/products/klein-tools-jth68m-8pc-6-metric-journeyman-t-handle-set-with-stand")</f>
        <v/>
      </c>
      <c r="B1904" s="11">
        <f>HYPERLINK("https://edmondsonsupply.com/products/klein-tools-jth68m-8pc-6-metric-journeyman-t-handle-set-with-stand", "https://edmondsonsupply.com/products/klein-tools-jth68m-8pc-6-metric-journeyman-t-handle-set-with-stand")</f>
        <v/>
      </c>
      <c r="C1904" s="12" t="inlineStr">
        <is>
          <t>Klein Tools JTH68M Hex Key Set, Metric, Journeyman™ T-Handle, 6-Inch with Stand, 8-Piece</t>
        </is>
      </c>
      <c r="D1904" s="12" t="inlineStr">
        <is>
          <t>Klein Tools JTH68MB Hex Kit Set, Metric Ball End T-Handle Hex Key Allen Wrench Set with 6-Inch Blades, Stand Included, 8-Piece</t>
        </is>
      </c>
      <c r="E1904" s="11">
        <f>HYPERLINK("https://www.amazon.com/T-Handle-8-Piece-Klein-Tools-JTH68MB/dp/B004DB8GSK/ref=sr_1_1?keywords=Klein+Tools+JTH68M+Hex+Key+Set%2C+Metric%2C+Journeyman%E2%84%A2+T-Handle%2C+6-Inch+with+Stand%2C+8-Piece&amp;qid=1694734617&amp;sr=8-1", "https://www.amazon.com/T-Handle-8-Piece-Klein-Tools-JTH68MB/dp/B004DB8GSK/ref=sr_1_1?keywords=Klein+Tools+JTH68M+Hex+Key+Set%2C+Metric%2C+Journeyman%E2%84%A2+T-Handle%2C+6-Inch+with+Stand%2C+8-Piece&amp;qid=1694734617&amp;sr=8-1")</f>
        <v/>
      </c>
      <c r="F1904" s="12" t="inlineStr">
        <is>
          <t>B004DB8GSK</t>
        </is>
      </c>
      <c r="G1904" s="12">
        <f>_xlfn.IMAGE("https://edmondsonsupply.com/cdn/shop/products/jth68m.jpg?v=1587148489")</f>
        <v/>
      </c>
      <c r="H1904" s="12">
        <f>_xlfn.IMAGE("https://m.media-amazon.com/images/I/61XP-1Qh3UL._AC_UL320_.jpg")</f>
        <v/>
      </c>
      <c r="I1904" s="12" t="n">
        <v>3</v>
      </c>
      <c r="J1904" s="12" t="inlineStr">
        <is>
          <t>the current bb shows profit but history does not</t>
        </is>
      </c>
      <c r="K1904" s="12" t="inlineStr">
        <is>
          <t>39.99</t>
        </is>
      </c>
      <c r="L1904" s="12" t="n">
        <v>56.47</v>
      </c>
      <c r="M1904" s="13" t="inlineStr">
        <is>
          <t>41.21%</t>
        </is>
      </c>
      <c r="N1904" s="13" t="n">
        <v>-7.54</v>
      </c>
      <c r="O1904" s="12" t="n">
        <v>4.6</v>
      </c>
      <c r="P1904" s="12" t="n">
        <v>426</v>
      </c>
      <c r="R1904" s="12" t="inlineStr">
        <is>
          <t>InStock</t>
        </is>
      </c>
      <c r="S1904" s="12" t="inlineStr">
        <is>
          <t>60.58</t>
        </is>
      </c>
      <c r="T1904" s="12" t="inlineStr">
        <is>
          <t>2766259650660</t>
        </is>
      </c>
    </row>
    <row r="1905" ht="87" customHeight="1">
      <c r="A1905" s="2">
        <f>HYPERLINK("https://edmondsonsupply.com/collections/hvac/products/5-2-1-csru1", "https://edmondsonsupply.com/collections/hvac/products/5-2-1-csru1")</f>
        <v/>
      </c>
      <c r="B1905" s="2">
        <f>HYPERLINK("https://edmondsonsupply.com/products/5-2-1-csru1", "https://edmondsonsupply.com/products/5-2-1-csru1")</f>
        <v/>
      </c>
      <c r="C1905" t="inlineStr">
        <is>
          <t>5-2-1 CSRU1 Compressor Saver, 1 to 3 Tons</t>
        </is>
      </c>
      <c r="D1905" t="inlineStr">
        <is>
          <t>CPS 5-2-1 CSRU1 Compressor Saver for 1 to 3 Ton Units</t>
        </is>
      </c>
      <c r="E1905" s="2">
        <f>HYPERLINK("https://www.amazon.com/CPS-5-2-1-CSRU1-Compressor-Saver/dp/B003FNMADE/ref=sr_1_1?keywords=5-2-1+CSRU1+Compressor+Saver%2C+1+to+3+Tons&amp;qid=1694734741&amp;sr=8-1", "https://www.amazon.com/CPS-5-2-1-CSRU1-Compressor-Saver/dp/B003FNMADE/ref=sr_1_1?keywords=5-2-1+CSRU1+Compressor+Saver%2C+1+to+3+Tons&amp;qid=1694734741&amp;sr=8-1")</f>
        <v/>
      </c>
      <c r="F1905" t="inlineStr">
        <is>
          <t>B003FNMADE</t>
        </is>
      </c>
      <c r="G1905">
        <f>_xlfn.IMAGE("https://edmondsonsupply.com/cdn/shop/products/CSRU1.jpg?v=1633030087")</f>
        <v/>
      </c>
      <c r="H1905">
        <f>_xlfn.IMAGE("https://m.media-amazon.com/images/I/41opwK2dhRL._AC_UL320_.jpg")</f>
        <v/>
      </c>
      <c r="K1905" t="inlineStr">
        <is>
          <t>34.62</t>
        </is>
      </c>
      <c r="L1905" t="n">
        <v>48.86</v>
      </c>
      <c r="M1905" s="1" t="inlineStr">
        <is>
          <t>41.13%</t>
        </is>
      </c>
      <c r="N1905" s="7" t="n">
        <v>-7.73</v>
      </c>
      <c r="O1905" t="n">
        <v>4.6</v>
      </c>
      <c r="P1905" t="n">
        <v>875</v>
      </c>
      <c r="R1905" t="inlineStr">
        <is>
          <t>InStock</t>
        </is>
      </c>
      <c r="S1905" t="inlineStr">
        <is>
          <t>39.95</t>
        </is>
      </c>
      <c r="T1905" t="inlineStr">
        <is>
          <t>3558315950180</t>
        </is>
      </c>
    </row>
    <row r="1906" ht="87" customHeight="1">
      <c r="A1906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1906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1906" t="inlineStr">
        <is>
          <t>ICM Controls ICM2805A Furnace Control Board - Replacement for Nordyne</t>
        </is>
      </c>
      <c r="D1906" t="inlineStr">
        <is>
          <t>ICM Controls ICM2807 Furnace Control Board OEM Replacement Carrier for 325879-751 and HK42FZ017</t>
        </is>
      </c>
      <c r="E1906" s="2">
        <f>HYPERLINK("https://www.amazon.com/ICM-Controls-ICM2807-Replacement-325879-751/dp/B00QW2MQ5C/ref=sr_1_16?keywords=ICM+Controls+ICM2805A+Furnace+Control+Board+-+Replacement+for+Nordyne&amp;qid=1694734623&amp;sr=8-16", "https://www.amazon.com/ICM-Controls-ICM2807-Replacement-325879-751/dp/B00QW2MQ5C/ref=sr_1_16?keywords=ICM+Controls+ICM2805A+Furnace+Control+Board+-+Replacement+for+Nordyne&amp;qid=1694734623&amp;sr=8-16")</f>
        <v/>
      </c>
      <c r="F1906" t="inlineStr">
        <is>
          <t>B00QW2MQ5C</t>
        </is>
      </c>
      <c r="G1906">
        <f>_xlfn.IMAGE("https://edmondsonsupply.com/cdn/shop/products/57_3_42a53dd2-02e8-4469-bc0c-0265897201e7.jpg?v=1633031145")</f>
        <v/>
      </c>
      <c r="H1906">
        <f>_xlfn.IMAGE("https://m.media-amazon.com/images/I/91LElyDgdnL._AC_UL320_.jpg")</f>
        <v/>
      </c>
      <c r="K1906" t="inlineStr">
        <is>
          <t>116.59</t>
        </is>
      </c>
      <c r="L1906" t="n">
        <v>164.5</v>
      </c>
      <c r="M1906" s="1" t="inlineStr">
        <is>
          <t>41.09%</t>
        </is>
      </c>
      <c r="N1906" s="7" t="n">
        <v>-7.76</v>
      </c>
      <c r="O1906" t="n">
        <v>4.4</v>
      </c>
      <c r="P1906" t="n">
        <v>32</v>
      </c>
      <c r="R1906" t="inlineStr">
        <is>
          <t>InStock</t>
        </is>
      </c>
      <c r="S1906" t="inlineStr">
        <is>
          <t>161.12</t>
        </is>
      </c>
      <c r="T1906" t="inlineStr">
        <is>
          <t>6892060639405</t>
        </is>
      </c>
    </row>
    <row r="1907" ht="87" customHeight="1">
      <c r="A1907" s="2">
        <f>HYPERLINK("https://edmondsonsupply.com/collections/hvac/products/packard-c440c-contactor-4-pole-40-amps-208-240-coil-voltage-1", "https://edmondsonsupply.com/collections/hvac/products/packard-c440c-contactor-4-pole-40-amps-208-240-coil-voltage-1")</f>
        <v/>
      </c>
      <c r="B1907" s="2">
        <f>HYPERLINK("https://edmondsonsupply.com/products/packard-c440c-contactor-4-pole-40-amps-208-240-coil-voltage-1", "https://edmondsonsupply.com/products/packard-c440c-contactor-4-pole-40-amps-208-240-coil-voltage-1")</f>
        <v/>
      </c>
      <c r="C1907" t="inlineStr">
        <is>
          <t>Packard C440C Contactor 4 Pole 40 AMPS 208/240 Coil Voltage</t>
        </is>
      </c>
      <c r="D1907" t="inlineStr">
        <is>
          <t>Packard C350C 3 Pole 60 Amp Contactor 208/240 Volt Coil Contactor</t>
        </is>
      </c>
      <c r="E1907" s="2">
        <f>HYPERLINK("https://www.amazon.com/Packard-C350C-Pole-Contactor-Volt/dp/B004ZXMC90/ref=sr_1_13?keywords=Packard+C440C+Contactor+4+Pole+40+AMPS+208%2F240+Coil+Voltage&amp;qid=1694734674&amp;sr=8-13", "https://www.amazon.com/Packard-C350C-Pole-Contactor-Volt/dp/B004ZXMC90/ref=sr_1_13?keywords=Packard+C440C+Contactor+4+Pole+40+AMPS+208%2F240+Coil+Voltage&amp;qid=1694734674&amp;sr=8-13")</f>
        <v/>
      </c>
      <c r="F1907" t="inlineStr">
        <is>
          <t>B004ZXMC90</t>
        </is>
      </c>
      <c r="G1907">
        <f>_xlfn.IMAGE("https://edmondsonsupply.com/cdn/shop/products/packard_c440c_xl_1_536437f5-bc6f-4278-8bf8-da7e8512e77e.jpg?v=1587144444")</f>
        <v/>
      </c>
      <c r="H1907">
        <f>_xlfn.IMAGE("https://m.media-amazon.com/images/I/31xfZ2LUk-L._AC_UY218_.jpg")</f>
        <v/>
      </c>
      <c r="K1907" t="inlineStr">
        <is>
          <t>46.61</t>
        </is>
      </c>
      <c r="L1907" t="n">
        <v>65.69</v>
      </c>
      <c r="M1907" s="1" t="inlineStr">
        <is>
          <t>40.94%</t>
        </is>
      </c>
      <c r="N1907" s="7" t="n">
        <v>-7.89</v>
      </c>
      <c r="O1907" t="n">
        <v>4.5</v>
      </c>
      <c r="P1907" t="n">
        <v>9</v>
      </c>
      <c r="R1907" t="inlineStr">
        <is>
          <t>InStock</t>
        </is>
      </c>
      <c r="S1907" t="inlineStr">
        <is>
          <t>undefined</t>
        </is>
      </c>
      <c r="T1907" t="inlineStr">
        <is>
          <t>4175222997092</t>
        </is>
      </c>
    </row>
    <row r="1908" hidden="1" ht="15.75" customHeight="1">
      <c r="A1908" s="2">
        <f>HYPERLINK("https://edmondsonsupply.com/collections/hvac/products/greenlee-dtap1-4-20-drill-tap-1-4-20", "https://edmondsonsupply.com/collections/hvac/products/greenlee-dtap1-4-20-drill-tap-1-4-20")</f>
        <v/>
      </c>
      <c r="B1908" s="2">
        <f>HYPERLINK("https://edmondsonsupply.com/products/greenlee-dtap1-4-20-drill-tap-1-4-20", "https://edmondsonsupply.com/products/greenlee-dtap1-4-20-drill-tap-1-4-20")</f>
        <v/>
      </c>
      <c r="C1908" t="inlineStr">
        <is>
          <t>Greenlee DTAP1/4-20 Drill/Tap, 1/4-20</t>
        </is>
      </c>
      <c r="D1908" t="inlineStr">
        <is>
          <t>Greenlee DTAP1/4-20 Combination Drill, Tap, and Deburr Bit with Quick Change Hex, 1/4-20 NC</t>
        </is>
      </c>
      <c r="E1908" s="2">
        <f>HYPERLINK("https://www.amazon.com/Greenlee-DTAP1-4-20-Combination-Deburr/dp/B000FCEQ8K/ref=sr_1_1?keywords=Greenlee+DTAP1%2F4-20+Drill%2FTap%2C+1%2F4-20&amp;qid=1694734812&amp;sr=8-1", "https://www.amazon.com/Greenlee-DTAP1-4-20-Combination-Deburr/dp/B000FCEQ8K/ref=sr_1_1?keywords=Greenlee+DTAP1%2F4-20+Drill%2FTap%2C+1%2F4-20&amp;qid=1694734812&amp;sr=8-1")</f>
        <v/>
      </c>
      <c r="F1908" t="inlineStr">
        <is>
          <t>B000FCEQ8K</t>
        </is>
      </c>
      <c r="G1908">
        <f>_xludf.IMAGE("https://edmondsonsupply.com/cdn/shop/products/DTAP1-4-20.jpg?v=1587151009")</f>
        <v/>
      </c>
      <c r="H1908">
        <f>_xludf.IMAGE("https://m.media-amazon.com/images/I/61SYTqjZhjL._AC_UL320_.jpg")</f>
        <v/>
      </c>
      <c r="K1908" t="inlineStr">
        <is>
          <t>8.99</t>
        </is>
      </c>
      <c r="L1908" t="n">
        <v>12.67</v>
      </c>
      <c r="M1908" s="1" t="inlineStr">
        <is>
          <t>40.93%</t>
        </is>
      </c>
      <c r="N1908" s="1" t="n">
        <v>-8.109999999999999</v>
      </c>
      <c r="O1908" t="n">
        <v>4.4</v>
      </c>
      <c r="P1908" t="n">
        <v>170</v>
      </c>
      <c r="R1908" t="inlineStr">
        <is>
          <t>InStock</t>
        </is>
      </c>
      <c r="S1908" t="inlineStr">
        <is>
          <t>9.7</t>
        </is>
      </c>
      <c r="T1908" t="inlineStr">
        <is>
          <t>4395885199460</t>
        </is>
      </c>
    </row>
    <row r="1909" hidden="1" ht="15.75" customHeight="1">
      <c r="A1909" s="2">
        <f>HYPERLINK("https://edmondsonsupply.com/collections/hvac/products/robertshaw-1980-024-24-1980-series-snap-fit%C2%AE-universal-thermocouple", "https://edmondsonsupply.com/collections/hvac/products/robertshaw-1980-024-24-1980-series-snap-fit%C2%AE-universal-thermocouple")</f>
        <v/>
      </c>
      <c r="B1909" s="2">
        <f>HYPERLINK("https://edmondsonsupply.com/products/robertshaw-1980-024-24-1980-series-snap-fit%c2%ae-universal-thermocouple", "https://edmondsonsupply.com/products/robertshaw-1980-024-24-1980-series-snap-fit%c2%ae-universal-thermocouple")</f>
        <v/>
      </c>
      <c r="C1909" t="inlineStr">
        <is>
          <t>Robertshaw 1980-024 24" 1980 Series Snap-Fit® Universal Thermocouple</t>
        </is>
      </c>
      <c r="D1909" t="inlineStr">
        <is>
          <t>METER STAR 24" Snap Fit Universal Thermocouple Robertshaw Thermostat Control Pilot Burner Assembly Replacement 1980-024 &amp; 1980-036</t>
        </is>
      </c>
      <c r="E1909" s="2">
        <f>HYPERLINK("https://www.amazon.com/METER-STAR-Thermocouple-Robertshaw-Replacement/dp/B09YXKQY55/ref=sr_1_4?keywords=Robertshaw+1980-024+24%22+1980+Series+Snap-Fit%C2%AE+Universal+Thermocouple&amp;qid=1694734709&amp;sr=8-4", "https://www.amazon.com/METER-STAR-Thermocouple-Robertshaw-Replacement/dp/B09YXKQY55/ref=sr_1_4?keywords=Robertshaw+1980-024+24%22+1980+Series+Snap-Fit%C2%AE+Universal+Thermocouple&amp;qid=1694734709&amp;sr=8-4")</f>
        <v/>
      </c>
      <c r="F1909" t="inlineStr">
        <is>
          <t>B09YXKQY55</t>
        </is>
      </c>
      <c r="G1909">
        <f>_xludf.IMAGE("https://edmondsonsupply.com/cdn/shop/products/1980thermocouplecmyk300dpi_d127d33f-20bf-40f4-874c-d4ddaef0621f.jpg?v=1633030850")</f>
        <v/>
      </c>
      <c r="H1909">
        <f>_xludf.IMAGE("https://m.media-amazon.com/images/I/71sg8mOQ-nL._AC_UL320_.jpg")</f>
        <v/>
      </c>
      <c r="K1909" t="inlineStr">
        <is>
          <t>7.09</t>
        </is>
      </c>
      <c r="L1909" t="n">
        <v>9.99</v>
      </c>
      <c r="M1909" s="1" t="inlineStr">
        <is>
          <t>40.90%</t>
        </is>
      </c>
      <c r="N1909" s="1" t="n">
        <v>-8.199999999999999</v>
      </c>
      <c r="O1909" t="n">
        <v>5</v>
      </c>
      <c r="P1909" t="n">
        <v>2</v>
      </c>
      <c r="R1909" t="inlineStr">
        <is>
          <t>InStock</t>
        </is>
      </c>
      <c r="S1909" t="inlineStr">
        <is>
          <t>undefined</t>
        </is>
      </c>
      <c r="T1909" t="inlineStr">
        <is>
          <t>6096240115885</t>
        </is>
      </c>
    </row>
    <row r="1910" hidden="1" ht="15.75" customHeight="1">
      <c r="A1910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910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910" t="inlineStr">
        <is>
          <t>Klein Tools JTH6E14 5/16-Inch Hex Key with Journeyman T-Handle, 6-Inch</t>
        </is>
      </c>
      <c r="D1910" t="inlineStr">
        <is>
          <t>Klein Tools JTH9M6 6 mm Hex Key, Journeyman T-Handle, 9-Inch</t>
        </is>
      </c>
      <c r="E1910" s="2">
        <f>HYPERLINK("https://www.amazon.com/Journeyman-T-Handle-Klein-Tools-JTH9M6/dp/B005G3HJKU/ref=sr_1_15?keywords=Klein+Tools+JTH6E14+5%2F16-Inch+Hex+Key+with+Journeyman+T-Handle%2C+6-Inch&amp;qid=1694734648&amp;sr=8-15", "https://www.amazon.com/Journeyman-T-Handle-Klein-Tools-JTH9M6/dp/B005G3HJKU/ref=sr_1_15?keywords=Klein+Tools+JTH6E14+5%2F16-Inch+Hex+Key+with+Journeyman+T-Handle%2C+6-Inch&amp;qid=1694734648&amp;sr=8-15")</f>
        <v/>
      </c>
      <c r="F1910" t="inlineStr">
        <is>
          <t>B005G3HJKU</t>
        </is>
      </c>
      <c r="G1910">
        <f>_xludf.IMAGE("https://edmondsonsupply.com/cdn/shop/products/jth6e15.jpg?v=1587148489")</f>
        <v/>
      </c>
      <c r="H1910">
        <f>_xludf.IMAGE("https://m.media-amazon.com/images/I/51+1x0vz9XL._AC_UL320_.jpg")</f>
        <v/>
      </c>
      <c r="K1910" t="inlineStr">
        <is>
          <t>6.99</t>
        </is>
      </c>
      <c r="L1910" t="n">
        <v>9.84</v>
      </c>
      <c r="M1910" s="1" t="inlineStr">
        <is>
          <t>40.77%</t>
        </is>
      </c>
      <c r="N1910" s="1" t="n">
        <v>-8.4</v>
      </c>
      <c r="O1910" t="n">
        <v>4.7</v>
      </c>
      <c r="P1910" t="n">
        <v>123</v>
      </c>
      <c r="R1910" t="inlineStr">
        <is>
          <t>InStock</t>
        </is>
      </c>
      <c r="S1910" t="inlineStr">
        <is>
          <t>10.5</t>
        </is>
      </c>
      <c r="T1910" t="inlineStr">
        <is>
          <t>3694843822180</t>
        </is>
      </c>
    </row>
    <row r="1911" ht="87" customHeight="1">
      <c r="A1911" s="2">
        <f>HYPERLINK("https://edmondsonsupply.com/collections/hvac/products/fieldpiece-vp87-8-cfm-vacuum-pump", "https://edmondsonsupply.com/collections/hvac/products/fieldpiece-vp87-8-cfm-vacuum-pump")</f>
        <v/>
      </c>
      <c r="B1911" s="2">
        <f>HYPERLINK("https://edmondsonsupply.com/products/fieldpiece-vp87-8-cfm-vacuum-pump", "https://edmondsonsupply.com/products/fieldpiece-vp87-8-cfm-vacuum-pump")</f>
        <v/>
      </c>
      <c r="C1911" t="inlineStr">
        <is>
          <t>Fieldpiece VP87 – 8 CFM Vacuum Pump</t>
        </is>
      </c>
      <c r="D1911" t="inlineStr">
        <is>
          <t>Fieldpiece Vp85 Two Stage 8 Cfm Vacuum Pump</t>
        </is>
      </c>
      <c r="E1911" s="2">
        <f>HYPERLINK("https://www.amazon.com/Fieldpiece-VP85-Stage-Vacuum-Pump/dp/B07CDVVMF4/ref=sr_1_8?keywords=Fieldpiece+VP87+%E2%80%93+8+CFM+Vacuum+Pump&amp;qid=1694734711&amp;sr=8-8", "https://www.amazon.com/Fieldpiece-VP85-Stage-Vacuum-Pump/dp/B07CDVVMF4/ref=sr_1_8?keywords=Fieldpiece+VP87+%E2%80%93+8+CFM+Vacuum+Pump&amp;qid=1694734711&amp;sr=8-8")</f>
        <v/>
      </c>
      <c r="F1911" t="inlineStr">
        <is>
          <t>B07CDVVMF4</t>
        </is>
      </c>
      <c r="G1911">
        <f>_xlfn.IMAGE("https://edmondsonsupply.com/cdn/shop/products/VP87-02-300dpi-scaled.jpg?v=1633031057")</f>
        <v/>
      </c>
      <c r="H1911">
        <f>_xlfn.IMAGE("https://m.media-amazon.com/images/I/61AU5mSO1CL._AC_UL320_.jpg")</f>
        <v/>
      </c>
      <c r="K1911" t="inlineStr">
        <is>
          <t>710.6</t>
        </is>
      </c>
      <c r="L1911" t="n">
        <v>999.99</v>
      </c>
      <c r="M1911" s="1" t="inlineStr">
        <is>
          <t>40.72%</t>
        </is>
      </c>
      <c r="N1911" s="7" t="n">
        <v>-8.4</v>
      </c>
      <c r="O1911" t="n">
        <v>4.6</v>
      </c>
      <c r="P1911" t="n">
        <v>147</v>
      </c>
      <c r="R1911" t="inlineStr">
        <is>
          <t>InStock</t>
        </is>
      </c>
      <c r="S1911" t="inlineStr">
        <is>
          <t>836.0</t>
        </is>
      </c>
      <c r="T1911" t="inlineStr">
        <is>
          <t>6811423047853</t>
        </is>
      </c>
    </row>
    <row r="1912" ht="87" customHeight="1">
      <c r="A1912" s="2">
        <f>HYPERLINK("https://edmondsonsupply.com/collections/hvac/products/supco-tb100-tugboat-hvac-compressor-tote", "https://edmondsonsupply.com/collections/hvac/products/supco-tb100-tugboat-hvac-compressor-tote")</f>
        <v/>
      </c>
      <c r="B1912" s="2">
        <f>HYPERLINK("https://edmondsonsupply.com/products/supco-tb100-tugboat-hvac-compressor-tote", "https://edmondsonsupply.com/products/supco-tb100-tugboat-hvac-compressor-tote")</f>
        <v/>
      </c>
      <c r="C1912" t="inlineStr">
        <is>
          <t>Supco TB100 TugBoat HVAC Compressor Tote</t>
        </is>
      </c>
      <c r="D1912" t="inlineStr">
        <is>
          <t>Supplying Demand TB100 TugBoat HVACR Compressor Tote Caddy System</t>
        </is>
      </c>
      <c r="E1912" s="2">
        <f>HYPERLINK("https://www.amazon.com/Supplying-Demand-TugBoat-Compressor-System/dp/B09J6VN9BP/ref=sr_1_3?keywords=Supco+TB100+TugBoat+HVAC+Compressor+Tote&amp;qid=1694734610&amp;sr=8-3", "https://www.amazon.com/Supplying-Demand-TugBoat-Compressor-System/dp/B09J6VN9BP/ref=sr_1_3?keywords=Supco+TB100+TugBoat+HVAC+Compressor+Tote&amp;qid=1694734610&amp;sr=8-3")</f>
        <v/>
      </c>
      <c r="F1912" t="inlineStr">
        <is>
          <t>B09J6VN9BP</t>
        </is>
      </c>
      <c r="G1912">
        <f>_xlfn.IMAGE("https://edmondsonsupply.com/cdn/shop/products/tb100.webp?v=1652750979")</f>
        <v/>
      </c>
      <c r="H1912">
        <f>_xlfn.IMAGE("https://m.media-amazon.com/images/I/51jq9dfsOZL._AC_UL320_.jpg")</f>
        <v/>
      </c>
      <c r="K1912" t="inlineStr">
        <is>
          <t>71.18</t>
        </is>
      </c>
      <c r="L1912" t="n">
        <v>99.98999999999999</v>
      </c>
      <c r="M1912" s="1" t="inlineStr">
        <is>
          <t>40.47%</t>
        </is>
      </c>
      <c r="N1912" s="7" t="n">
        <v>-8.539999999999999</v>
      </c>
      <c r="O1912" t="n">
        <v>4.5</v>
      </c>
      <c r="P1912" t="n">
        <v>6</v>
      </c>
      <c r="R1912" t="inlineStr">
        <is>
          <t>InStock</t>
        </is>
      </c>
      <c r="S1912" t="inlineStr">
        <is>
          <t>undefined</t>
        </is>
      </c>
      <c r="T1912" t="inlineStr">
        <is>
          <t>7691418763480</t>
        </is>
      </c>
    </row>
    <row r="1913" ht="87" customHeight="1">
      <c r="A1913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913" s="2">
        <f>HYPERLINK("https://edmondsonsupply.com/products/diablo-tools-dag1130-1-in-x-7-1-2-in-auger-bit", "https://edmondsonsupply.com/products/diablo-tools-dag1130-1-in-x-7-1-2-in-auger-bit")</f>
        <v/>
      </c>
      <c r="C1913" t="inlineStr">
        <is>
          <t>Diablo Tools DAG1130 1 in. x 7-1/2 in. Auger Bit</t>
        </is>
      </c>
      <c r="D1913" t="inlineStr">
        <is>
          <t>Diablo 1-3/8 in. x 17-1/2 in. Auger Bit</t>
        </is>
      </c>
      <c r="E1913" s="2">
        <f>HYPERLINK("https://www.amazon.com/Diablo-Freud-DAG3150-17-1-Auger/dp/B089KWC19Y/ref=sr_1_15?keywords=Diablo+Tools+DAG1130+1+in.+x+7-1%2F2+in.+Auger+Bit&amp;qid=1694734776&amp;sr=8-15", "https://www.amazon.com/Diablo-Freud-DAG3150-17-1-Auger/dp/B089KWC19Y/ref=sr_1_15?keywords=Diablo+Tools+DAG1130+1+in.+x+7-1%2F2+in.+Auger+Bit&amp;qid=1694734776&amp;sr=8-15")</f>
        <v/>
      </c>
      <c r="F1913" t="inlineStr">
        <is>
          <t>B089KWC19Y</t>
        </is>
      </c>
      <c r="G1913">
        <f>_xlfn.IMAGE("https://edmondsonsupply.com/cdn/shop/products/DAG1130_Main-Image20200712.png?v=1633031124")</f>
        <v/>
      </c>
      <c r="H1913">
        <f>_xlfn.IMAGE("https://m.media-amazon.com/images/I/615PEokpQML._AC_UL320_.jpg")</f>
        <v/>
      </c>
      <c r="K1913" t="inlineStr">
        <is>
          <t>16.37</t>
        </is>
      </c>
      <c r="L1913" t="n">
        <v>22.99</v>
      </c>
      <c r="M1913" s="1" t="inlineStr">
        <is>
          <t>40.44%</t>
        </is>
      </c>
      <c r="N1913" s="7" t="n">
        <v>-8.710000000000001</v>
      </c>
      <c r="O1913" t="n">
        <v>4.8</v>
      </c>
      <c r="P1913" t="n">
        <v>14</v>
      </c>
      <c r="R1913" t="inlineStr">
        <is>
          <t>InStock</t>
        </is>
      </c>
      <c r="S1913" t="inlineStr">
        <is>
          <t>25.94</t>
        </is>
      </c>
      <c r="T1913" t="inlineStr">
        <is>
          <t>6866560581805</t>
        </is>
      </c>
    </row>
    <row r="1914" ht="87" customHeight="1">
      <c r="A1914" s="2">
        <f>HYPERLINK("https://edmondsonsupply.com/collections/hvac/products/klein-tools-725-jab-saw", "https://edmondsonsupply.com/collections/hvac/products/klein-tools-725-jab-saw")</f>
        <v/>
      </c>
      <c r="B1914" s="2">
        <f>HYPERLINK("https://edmondsonsupply.com/products/klein-tools-725-jab-saw", "https://edmondsonsupply.com/products/klein-tools-725-jab-saw")</f>
        <v/>
      </c>
      <c r="C1914" t="inlineStr">
        <is>
          <t>Klein Tools 725 Jab Saw</t>
        </is>
      </c>
      <c r="D1914" t="inlineStr">
        <is>
          <t>Klein Tools 31737 Folding Jab Saw / Drywall Saw, Hand Saw with Lockback at 180 and 125 Degrees and Tether Hole</t>
        </is>
      </c>
      <c r="E1914" s="2">
        <f>HYPERLINK("https://www.amazon.com/Drywall-Lockback-Klein-Tools-31737/dp/B07DKRCNX3/ref=sr_1_2?keywords=Klein+Tools+725+Jab+Saw&amp;qid=1694734789&amp;sr=8-2", "https://www.amazon.com/Drywall-Lockback-Klein-Tools-31737/dp/B07DKRCNX3/ref=sr_1_2?keywords=Klein+Tools+725+Jab+Saw&amp;qid=1694734789&amp;sr=8-2")</f>
        <v/>
      </c>
      <c r="F1914" t="inlineStr">
        <is>
          <t>B07DKRCNX3</t>
        </is>
      </c>
      <c r="G1914">
        <f>_xlfn.IMAGE("https://edmondsonsupply.com/cdn/shop/products/725.jpg?v=1633030531")</f>
        <v/>
      </c>
      <c r="H1914">
        <f>_xlfn.IMAGE("https://m.media-amazon.com/images/I/51aZ4FRWZaL._AC_UL320_.jpg")</f>
        <v/>
      </c>
      <c r="K1914" t="inlineStr">
        <is>
          <t>14.97</t>
        </is>
      </c>
      <c r="L1914" t="n">
        <v>20.99</v>
      </c>
      <c r="M1914" s="1" t="inlineStr">
        <is>
          <t>40.21%</t>
        </is>
      </c>
      <c r="N1914" s="7" t="n">
        <v>-8.81</v>
      </c>
      <c r="O1914" t="n">
        <v>4.8</v>
      </c>
      <c r="P1914" t="n">
        <v>3362</v>
      </c>
      <c r="R1914" t="inlineStr">
        <is>
          <t>InStock</t>
        </is>
      </c>
      <c r="S1914" t="inlineStr">
        <is>
          <t>22.02</t>
        </is>
      </c>
      <c r="T1914" t="inlineStr">
        <is>
          <t>5412967940264</t>
        </is>
      </c>
    </row>
    <row r="1915" hidden="1" ht="15.75" customHeight="1">
      <c r="A1915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1915" s="2">
        <f>HYPERLINK("https://edmondsonsupply.com/products/packard-c140a-contactor-1-pole-40-amps-24-coil-voltage", "https://edmondsonsupply.com/products/packard-c140a-contactor-1-pole-40-amps-24-coil-voltage")</f>
        <v/>
      </c>
      <c r="C1915" t="inlineStr">
        <is>
          <t>Packard C140A Contactor 1 Pole 40 AMPS 24 Coil Voltage</t>
        </is>
      </c>
      <c r="D1915" t="inlineStr">
        <is>
          <t>Carrier Hvac Motor Contactor, 24VAC 40 Amp Coil Single Pole / 1 Pole Furnace Replacement Relays Compatible with C140A, Air Conditioner, Heat Pump, Refrigeration Systems</t>
        </is>
      </c>
      <c r="E1915" s="2">
        <f>HYPERLINK("https://www.amazon.com/Contactor-Replacement-Compatible-Conditioner-Refrigeration/dp/B09BYWWVM8/ref=sr_1_11?keywords=Packard+C140A+Contactor+1+Pole+40+AMPS+24+Coil+Voltage&amp;qid=1694734583&amp;sr=8-11", "https://www.amazon.com/Contactor-Replacement-Compatible-Conditioner-Refrigeration/dp/B09BYWWVM8/ref=sr_1_11?keywords=Packard+C140A+Contactor+1+Pole+40+AMPS+24+Coil+Voltage&amp;qid=1694734583&amp;sr=8-11")</f>
        <v/>
      </c>
      <c r="F1915" t="inlineStr">
        <is>
          <t>B09BYWWVM8</t>
        </is>
      </c>
      <c r="G1915">
        <f>_xludf.IMAGE("https://edmondsonsupply.com/cdn/shop/products/C140A-1.jpg?v=1587147314")</f>
        <v/>
      </c>
      <c r="H1915">
        <f>_xludf.IMAGE("https://m.media-amazon.com/images/I/71rx87GCi4L._AC_UY218_.jpg")</f>
        <v/>
      </c>
      <c r="K1915" t="inlineStr">
        <is>
          <t>9.98</t>
        </is>
      </c>
      <c r="L1915" t="n">
        <v>13.99</v>
      </c>
      <c r="M1915" s="1" t="inlineStr">
        <is>
          <t>40.18%</t>
        </is>
      </c>
      <c r="N1915" s="1" t="n">
        <v>-8.83</v>
      </c>
      <c r="O1915" t="n">
        <v>4.6</v>
      </c>
      <c r="P1915" t="n">
        <v>1037</v>
      </c>
      <c r="R1915" t="inlineStr">
        <is>
          <t>InStock</t>
        </is>
      </c>
      <c r="S1915" t="inlineStr">
        <is>
          <t>undefined</t>
        </is>
      </c>
      <c r="T1915" t="inlineStr">
        <is>
          <t>4359080607844</t>
        </is>
      </c>
    </row>
    <row r="1916" ht="87" customHeight="1">
      <c r="A1916" s="2">
        <f>HYPERLINK("https://edmondsonsupply.com/collections/hvac/products/channellock-431", "https://edmondsonsupply.com/collections/hvac/products/channellock-431")</f>
        <v/>
      </c>
      <c r="B1916" s="2">
        <f>HYPERLINK("https://edmondsonsupply.com/products/channellock-431", "https://edmondsonsupply.com/products/channellock-431")</f>
        <v/>
      </c>
      <c r="C1916" t="inlineStr">
        <is>
          <t>Channellock 432 10-Inch V-Jaw Tongue &amp; Groove Pliers</t>
        </is>
      </c>
      <c r="D1916" t="inlineStr">
        <is>
          <t>Channellock GL10 GripLock 1-3/4-Inch Jaw Capacity 9-1/2-Inch Utility Tongue and Groove Plier, Blue, 2 Piece Set, 9.5", 12.5"</t>
        </is>
      </c>
      <c r="E1916" s="2">
        <f>HYPERLINK("https://www.amazon.com/Channellock-GripLock-4-Inch-Capacity-Utility/dp/B0002TKID8/ref=sr_1_29?keywords=Channellock+432+10-Inch+V-Jaw+Tongue+%26+Groove+Pliers&amp;qid=1694734826&amp;sr=8-29", "https://www.amazon.com/Channellock-GripLock-4-Inch-Capacity-Utility/dp/B0002TKID8/ref=sr_1_29?keywords=Channellock+432+10-Inch+V-Jaw+Tongue+%26+Groove+Pliers&amp;qid=1694734826&amp;sr=8-29")</f>
        <v/>
      </c>
      <c r="F1916" t="inlineStr">
        <is>
          <t>B0002TKID8</t>
        </is>
      </c>
      <c r="G1916">
        <f>_xlfn.IMAGE("https://edmondsonsupply.com/cdn/shop/products/432-683x1024.jpg?v=1587147134")</f>
        <v/>
      </c>
      <c r="H1916">
        <f>_xlfn.IMAGE("https://m.media-amazon.com/images/I/813U-hfnojL._AC_UL320_.jpg")</f>
        <v/>
      </c>
      <c r="K1916" t="inlineStr">
        <is>
          <t>19.95</t>
        </is>
      </c>
      <c r="L1916" t="n">
        <v>27.95</v>
      </c>
      <c r="M1916" s="1" t="inlineStr">
        <is>
          <t>40.10%</t>
        </is>
      </c>
      <c r="N1916" s="7" t="n">
        <v>-8.9</v>
      </c>
      <c r="O1916" t="n">
        <v>4.7</v>
      </c>
      <c r="P1916" t="n">
        <v>432</v>
      </c>
      <c r="R1916" t="inlineStr">
        <is>
          <t>InStock</t>
        </is>
      </c>
      <c r="S1916" t="inlineStr">
        <is>
          <t>27.63</t>
        </is>
      </c>
      <c r="T1916" t="inlineStr">
        <is>
          <t>3553468317796</t>
        </is>
      </c>
    </row>
    <row r="1917" hidden="1" ht="15.75" customHeight="1">
      <c r="A1917" s="2">
        <f>HYPERLINK("https://edmondsonsupply.com/collections/hvac/products/klein-tools-60439-neck-and-face-cooling-band", "https://edmondsonsupply.com/collections/hvac/products/klein-tools-60439-neck-and-face-cooling-band")</f>
        <v/>
      </c>
      <c r="B1917" s="2">
        <f>HYPERLINK("https://edmondsonsupply.com/products/klein-tools-60439-neck-and-face-cooling-band", "https://edmondsonsupply.com/products/klein-tools-60439-neck-and-face-cooling-band")</f>
        <v/>
      </c>
      <c r="C1917" t="inlineStr">
        <is>
          <t>Klein Tools 60439 Neck and Face Cooling Band</t>
        </is>
      </c>
      <c r="D1917" t="inlineStr">
        <is>
          <t>Klein Tools 60455 Neck and Face Warming Band, Gaiter/Balaclava Made of Breathable Fleece Fabric for Warmth, Black</t>
        </is>
      </c>
      <c r="E1917" s="2">
        <f>HYPERLINK("https://www.amazon.com/Klein-Tools-Standard-Balaclava-Black/dp/B08L5JYT8W/ref=sr_1_9?keywords=Klein+Tools+60439+Neck+and+Face+Cooling+Band&amp;qid=1694734716&amp;sr=8-9", "https://www.amazon.com/Klein-Tools-Standard-Balaclava-Black/dp/B08L5JYT8W/ref=sr_1_9?keywords=Klein+Tools+60439+Neck+and+Face+Cooling+Band&amp;qid=1694734716&amp;sr=8-9")</f>
        <v/>
      </c>
      <c r="F1917" t="inlineStr">
        <is>
          <t>B08L5JYT8W</t>
        </is>
      </c>
      <c r="G1917">
        <f>_xludf.IMAGE("https://edmondsonsupply.com/cdn/shop/products/60439.jpg?v=1633030400")</f>
        <v/>
      </c>
      <c r="H1917">
        <f>_xludf.IMAGE("https://m.media-amazon.com/images/I/51r6HCmqqNL._AC_UL320_.jpg")</f>
        <v/>
      </c>
      <c r="K1917" t="inlineStr">
        <is>
          <t>9.99</t>
        </is>
      </c>
      <c r="L1917" t="n">
        <v>13.99</v>
      </c>
      <c r="M1917" s="1" t="inlineStr">
        <is>
          <t>40.04%</t>
        </is>
      </c>
      <c r="N1917" s="1" t="n">
        <v>-8.949999999999999</v>
      </c>
      <c r="O1917" t="n">
        <v>4.4</v>
      </c>
      <c r="P1917" t="n">
        <v>91</v>
      </c>
      <c r="R1917" t="inlineStr">
        <is>
          <t>InStock</t>
        </is>
      </c>
      <c r="S1917" t="inlineStr">
        <is>
          <t>14.0</t>
        </is>
      </c>
      <c r="T1917" t="inlineStr">
        <is>
          <t>5304644599976</t>
        </is>
      </c>
    </row>
    <row r="1918" ht="87" customHeight="1">
      <c r="A1918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1918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1918" t="inlineStr">
        <is>
          <t>Klein Tools 60164 Professional Safety Glasses, Full Frame, Gray Lens</t>
        </is>
      </c>
      <c r="D1918" t="inlineStr">
        <is>
          <t>Klein Tools 60537 Safety Glasses, Professional PPE Protective Eyewear with Full Frame, Scratch Resistant and Anti-Fog, Indoor/Outdoor Lens</t>
        </is>
      </c>
      <c r="E1918" s="2">
        <f>HYPERLINK("https://www.amazon.com/Klein-Tools-60537-Professional-Protective/dp/B0BLQM26TJ/ref=sr_1_9?keywords=Klein+Tools+60164+Professional+Safety+Glasses%2C+Full+Frame%2C+Gray+Lens&amp;qid=1694734778&amp;sr=8-9", "https://www.amazon.com/Klein-Tools-60537-Professional-Protective/dp/B0BLQM26TJ/ref=sr_1_9?keywords=Klein+Tools+60164+Professional+Safety+Glasses%2C+Full+Frame%2C+Gray+Lens&amp;qid=1694734778&amp;sr=8-9")</f>
        <v/>
      </c>
      <c r="F1918" t="inlineStr">
        <is>
          <t>B0BLQM26TJ</t>
        </is>
      </c>
      <c r="G1918">
        <f>_xlfn.IMAGE("https://edmondsonsupply.com/cdn/shop/products/60164.jpg?v=1633030851")</f>
        <v/>
      </c>
      <c r="H1918">
        <f>_xlfn.IMAGE("https://m.media-amazon.com/images/I/41ZbdEu2lCL._AC_UL320_.jpg")</f>
        <v/>
      </c>
      <c r="K1918" t="inlineStr">
        <is>
          <t>14.99</t>
        </is>
      </c>
      <c r="L1918" t="n">
        <v>20.99</v>
      </c>
      <c r="M1918" s="1" t="inlineStr">
        <is>
          <t>40.03%</t>
        </is>
      </c>
      <c r="N1918" s="7" t="n">
        <v>-9.029999999999999</v>
      </c>
      <c r="O1918" t="n">
        <v>4.5</v>
      </c>
      <c r="P1918" t="n">
        <v>14</v>
      </c>
      <c r="R1918" t="inlineStr">
        <is>
          <t>InStock</t>
        </is>
      </c>
      <c r="S1918" t="inlineStr">
        <is>
          <t>20.98</t>
        </is>
      </c>
      <c r="T1918" t="inlineStr">
        <is>
          <t>6103189520557</t>
        </is>
      </c>
    </row>
    <row r="1919" ht="87" customHeight="1">
      <c r="A1919" s="2">
        <f>HYPERLINK("https://edmondsonsupply.com/collections/hvac/products/klein-tools-33736ins", "https://edmondsonsupply.com/collections/hvac/products/klein-tools-33736ins")</f>
        <v/>
      </c>
      <c r="B1919" s="2">
        <f>HYPERLINK("https://edmondsonsupply.com/products/klein-tools-33736ins", "https://edmondsonsupply.com/products/klein-tools-33736ins")</f>
        <v/>
      </c>
      <c r="C1919" t="inlineStr">
        <is>
          <t>Klein Tools 33736INS Screwdriver Set, 1000V Slim-Tip Insulated and Magnetizer, 6-Piece</t>
        </is>
      </c>
      <c r="D1919" t="inlineStr">
        <is>
          <t>Klein Tools 33736INS Klein Tools 33736INS Insulated Screwdriver Set, 1000V Slim-Tip Driver with Phillips, Cabinet and Square Bits and a Magnetizer, 6-Piece &amp; 11055 Wire Cutter and Wire Stripper</t>
        </is>
      </c>
      <c r="E1919" s="2">
        <f>HYPERLINK("https://www.amazon.com/Klein-Tools-Insulated-Screwdriver-Magnetizer/dp/B0BD3TP57V/ref=sr_1_3?keywords=Klein+Tools+33736INS+Screwdriver+Set%2C+1000V+Slim-Tip+Insulated+and+Magnetizer%2C+6-Piece&amp;qid=1694734753&amp;sr=8-3", "https://www.amazon.com/Klein-Tools-Insulated-Screwdriver-Magnetizer/dp/B0BD3TP57V/ref=sr_1_3?keywords=Klein+Tools+33736INS+Screwdriver+Set%2C+1000V+Slim-Tip+Insulated+and+Magnetizer%2C+6-Piece&amp;qid=1694734753&amp;sr=8-3")</f>
        <v/>
      </c>
      <c r="F1919" t="inlineStr">
        <is>
          <t>B0BD3TP57V</t>
        </is>
      </c>
      <c r="G1919">
        <f>_xlfn.IMAGE("https://edmondsonsupply.com/cdn/shop/products/33736ins.jpg?v=1664807705")</f>
        <v/>
      </c>
      <c r="H1919">
        <f>_xlfn.IMAGE("https://m.media-amazon.com/images/I/51XENACg0nL._AC_UL320_.jpg")</f>
        <v/>
      </c>
      <c r="K1919" t="inlineStr">
        <is>
          <t>49.99</t>
        </is>
      </c>
      <c r="L1919" t="n">
        <v>69.98</v>
      </c>
      <c r="M1919" s="1" t="inlineStr">
        <is>
          <t>39.99%</t>
        </is>
      </c>
      <c r="N1919" s="7" t="n">
        <v>-9.1</v>
      </c>
      <c r="O1919" t="n">
        <v>5</v>
      </c>
      <c r="P1919" t="n">
        <v>1</v>
      </c>
      <c r="R1919" t="inlineStr">
        <is>
          <t>InStock</t>
        </is>
      </c>
      <c r="S1919" t="inlineStr">
        <is>
          <t>73.98</t>
        </is>
      </c>
      <c r="T1919" t="inlineStr">
        <is>
          <t>7837641375960</t>
        </is>
      </c>
    </row>
    <row r="1920" ht="87" customHeight="1">
      <c r="A1920" s="2">
        <f>HYPERLINK("https://edmondsonsupply.com/collections/hvac/products/white-rodgers-24a34-3-24v-electric-heat-sequencer-dpst", "https://edmondsonsupply.com/collections/hvac/products/white-rodgers-24a34-3-24v-electric-heat-sequencer-dpst")</f>
        <v/>
      </c>
      <c r="B1920" s="2">
        <f>HYPERLINK("https://edmondsonsupply.com/products/white-rodgers-24a34-3-24v-electric-heat-sequencer-dpst", "https://edmondsonsupply.com/products/white-rodgers-24a34-3-24v-electric-heat-sequencer-dpst")</f>
        <v/>
      </c>
      <c r="C1920" t="inlineStr">
        <is>
          <t>White-Rodgers 24A34-3 24V Electric Heat Sequencer, DPST</t>
        </is>
      </c>
      <c r="D1920" t="inlineStr">
        <is>
          <t>White-Rodgers 24A34-1 Electric Heat Sequencer, 1 Switch</t>
        </is>
      </c>
      <c r="E1920" s="2">
        <f>HYPERLINK("https://www.amazon.com/White-Rodgers-24A34-1-Electric-Sequencer-Switch/dp/B000LD7VQW/ref=sr_1_4?keywords=White-Rodgers+24A34-3+24V+Electric+Heat+Sequencer%2C+DPST&amp;qid=1694734608&amp;sr=8-4", "https://www.amazon.com/White-Rodgers-24A34-1-Electric-Sequencer-Switch/dp/B000LD7VQW/ref=sr_1_4?keywords=White-Rodgers+24A34-3+24V+Electric+Heat+Sequencer%2C+DPST&amp;qid=1694734608&amp;sr=8-4")</f>
        <v/>
      </c>
      <c r="F1920" t="inlineStr">
        <is>
          <t>B000LD7VQW</t>
        </is>
      </c>
      <c r="G1920">
        <f>_xlfn.IMAGE("https://edmondsonsupply.com/cdn/shop/products/24A34-3.jpg?v=1633030705")</f>
        <v/>
      </c>
      <c r="H1920">
        <f>_xlfn.IMAGE("https://m.media-amazon.com/images/I/41k+LuyGsVL._AC_UL320_.jpg")</f>
        <v/>
      </c>
      <c r="K1920" t="inlineStr">
        <is>
          <t>12.99</t>
        </is>
      </c>
      <c r="L1920" t="n">
        <v>18.18</v>
      </c>
      <c r="M1920" s="1" t="inlineStr">
        <is>
          <t>39.95%</t>
        </is>
      </c>
      <c r="N1920" s="7" t="n">
        <v>-9.109999999999999</v>
      </c>
      <c r="O1920" t="n">
        <v>5</v>
      </c>
      <c r="P1920" t="n">
        <v>6</v>
      </c>
      <c r="R1920" t="inlineStr">
        <is>
          <t>InStock</t>
        </is>
      </c>
      <c r="S1920" t="inlineStr">
        <is>
          <t>30.34</t>
        </is>
      </c>
      <c r="T1920" t="inlineStr">
        <is>
          <t>5861046452392</t>
        </is>
      </c>
    </row>
    <row r="1921" ht="87" customHeight="1">
      <c r="A1921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1921" s="2">
        <f>HYPERLINK("https://edmondsonsupply.com/products/klein-tools-65064-2-in-1-hex-head-screwdriver-1-4-5-16", "https://edmondsonsupply.com/products/klein-tools-65064-2-in-1-hex-head-screwdriver-1-4-5-16")</f>
        <v/>
      </c>
      <c r="C1921" t="inlineStr">
        <is>
          <t>Klein Tools 65064 2-in-1 Nut Driver, Hex Head, 1/4-Inch and 5/16-Inch</t>
        </is>
      </c>
      <c r="D1921" t="inlineStr">
        <is>
          <t>Klein Tools 646M Tool Set, Magnetic Nut Drivers Sizes 1/4 and 5/16-Inch, 6-Inch Shafts, 2-Piece</t>
        </is>
      </c>
      <c r="E1921" s="2">
        <f>HYPERLINK("https://www.amazon.com/Magnetic-16-Inch-Klein-Tools-646M/dp/B000936QV0/ref=sr_1_12?keywords=Klein+Tools+65064+2-in-1+Nut+Driver%2C+Hex+Head%2C+1%2F4-Inch+and+5%2F16-Inch&amp;qid=1694734734&amp;sr=8-12", "https://www.amazon.com/Magnetic-16-Inch-Klein-Tools-646M/dp/B000936QV0/ref=sr_1_12?keywords=Klein+Tools+65064+2-in-1+Nut+Driver%2C+Hex+Head%2C+1%2F4-Inch+and+5%2F16-Inch&amp;qid=1694734734&amp;sr=8-12")</f>
        <v/>
      </c>
      <c r="F1921" t="inlineStr">
        <is>
          <t>B000936QV0</t>
        </is>
      </c>
      <c r="G1921">
        <f>_xlfn.IMAGE("https://edmondsonsupply.com/cdn/shop/products/65064.jpg?v=1587147719")</f>
        <v/>
      </c>
      <c r="H1921">
        <f>_xlfn.IMAGE("https://m.media-amazon.com/images/I/41lkJ6KRq9L._AC_UL320_.jpg")</f>
        <v/>
      </c>
      <c r="K1921" t="inlineStr">
        <is>
          <t>15.97</t>
        </is>
      </c>
      <c r="L1921" t="n">
        <v>22.34</v>
      </c>
      <c r="M1921" s="1" t="inlineStr">
        <is>
          <t>39.89%</t>
        </is>
      </c>
      <c r="N1921" s="7" t="n">
        <v>-9.24</v>
      </c>
      <c r="O1921" t="n">
        <v>4.8</v>
      </c>
      <c r="P1921" t="n">
        <v>1652</v>
      </c>
      <c r="R1921" t="inlineStr">
        <is>
          <t>InStock</t>
        </is>
      </c>
      <c r="S1921" t="inlineStr">
        <is>
          <t>23.36</t>
        </is>
      </c>
      <c r="T1921" t="inlineStr">
        <is>
          <t>1707342889060</t>
        </is>
      </c>
    </row>
    <row r="1922" hidden="1" ht="15.75" customHeight="1">
      <c r="A1922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1922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1922" t="inlineStr">
        <is>
          <t>Klein Tools NCVT-2PKIT Dual Range Non-Contact Voltage Tester with Receptacle Tester</t>
        </is>
      </c>
      <c r="D1922" t="inlineStr">
        <is>
          <t>Klein Tools NCVT1P Voltage Tester, Non-Contact Voltage Detector Pen &amp; RT250 GFCI Receptacle Tester with LCD Display, for Standard 3-Wire 120V Electrical Outlets</t>
        </is>
      </c>
      <c r="E1922" s="2">
        <f>HYPERLINK("https://www.amazon.com/Klein-Tools-Non-Contact-Receptacle-Electrical/dp/B09Y7XWBF8/ref=sr_1_23?keywords=Klein+Tools+NCVT-2PKIT+Dual+Range+Non-Contact+Voltage+Tester+with+Receptacle+Tester&amp;qid=1694734814&amp;sr=8-23", "https://www.amazon.com/Klein-Tools-Non-Contact-Receptacle-Electrical/dp/B09Y7XWBF8/ref=sr_1_23?keywords=Klein+Tools+NCVT-2PKIT+Dual+Range+Non-Contact+Voltage+Tester+with+Receptacle+Tester&amp;qid=1694734814&amp;sr=8-23")</f>
        <v/>
      </c>
      <c r="F1922" t="inlineStr">
        <is>
          <t>B09Y7XWBF8</t>
        </is>
      </c>
      <c r="G1922">
        <f>_xludf.IMAGE("https://edmondsonsupply.com/cdn/shop/products/ncvt2pkit.jpg?v=1633030827")</f>
        <v/>
      </c>
      <c r="H1922">
        <f>_xludf.IMAGE("https://m.media-amazon.com/images/I/51LNefsL0aL._AC_UL320_.jpg")</f>
        <v/>
      </c>
      <c r="K1922" t="inlineStr">
        <is>
          <t>29.99</t>
        </is>
      </c>
      <c r="L1922" t="n">
        <v>41.94</v>
      </c>
      <c r="M1922" s="1" t="inlineStr">
        <is>
          <t>39.85%</t>
        </is>
      </c>
      <c r="N1922" s="1" t="n">
        <v>-9.34</v>
      </c>
      <c r="O1922" t="n">
        <v>3.9</v>
      </c>
      <c r="P1922" t="n">
        <v>8</v>
      </c>
      <c r="R1922" t="inlineStr">
        <is>
          <t>InStock</t>
        </is>
      </c>
      <c r="S1922" t="inlineStr">
        <is>
          <t>41.28</t>
        </is>
      </c>
      <c r="T1922" t="inlineStr">
        <is>
          <t>6082146238637</t>
        </is>
      </c>
    </row>
    <row r="1923" ht="87" customHeight="1">
      <c r="A1923" s="2">
        <f>HYPERLINK("https://edmondsonsupply.com/collections/hvac/products/lucas-milhaupt-98060-silvaloy-560", "https://edmondsonsupply.com/collections/hvac/products/lucas-milhaupt-98060-silvaloy-560")</f>
        <v/>
      </c>
      <c r="B1923" s="2">
        <f>HYPERLINK("https://edmondsonsupply.com/products/lucas-milhaupt-98060-silvaloy-560", "https://edmondsonsupply.com/products/lucas-milhaupt-98060-silvaloy-560")</f>
        <v/>
      </c>
      <c r="C1923" t="inlineStr">
        <is>
          <t>Lucas Milhaupt 98000 SILVALOY 450, 45% Silver, 1 Troy Oz.</t>
        </is>
      </c>
      <c r="D1923" t="inlineStr">
        <is>
          <t>Lucas Milhaupt Silvaloy 450 45% Silver Solder Brazing Alloy 1 oz, 98000</t>
        </is>
      </c>
      <c r="E1923" s="2">
        <f>HYPERLINK("https://www.amazon.com/Lucas-Milhaupt-Silvaloy-Silver-Brazing/dp/B01N4PE9L7/ref=sr_1_1?keywords=Lucas+Milhaupt+98000+SILVALOY+450%2C+45%25+Silver%2C+1+Troy+Oz.&amp;qid=1694734736&amp;sr=8-1", "https://www.amazon.com/Lucas-Milhaupt-Silvaloy-Silver-Brazing/dp/B01N4PE9L7/ref=sr_1_1?keywords=Lucas+Milhaupt+98000+SILVALOY+450%2C+45%25+Silver%2C+1+Troy+Oz.&amp;qid=1694734736&amp;sr=8-1")</f>
        <v/>
      </c>
      <c r="F1923" t="inlineStr">
        <is>
          <t>B01N4PE9L7</t>
        </is>
      </c>
      <c r="G1923">
        <f>_xlfn.IMAGE("https://edmondsonsupply.com/cdn/shop/products/98000-1.jpg?v=1587147492")</f>
        <v/>
      </c>
      <c r="H1923">
        <f>_xlfn.IMAGE("https://m.media-amazon.com/images/I/71XTv-WsD8L._AC_UL320_.jpg")</f>
        <v/>
      </c>
      <c r="K1923" t="inlineStr">
        <is>
          <t>26.42</t>
        </is>
      </c>
      <c r="L1923" t="n">
        <v>36.94</v>
      </c>
      <c r="M1923" s="1" t="inlineStr">
        <is>
          <t>39.82%</t>
        </is>
      </c>
      <c r="N1923" s="7" t="n">
        <v>-9.4</v>
      </c>
      <c r="O1923" t="n">
        <v>5</v>
      </c>
      <c r="P1923" t="n">
        <v>11</v>
      </c>
      <c r="R1923" t="inlineStr">
        <is>
          <t>InStock</t>
        </is>
      </c>
      <c r="S1923" t="inlineStr">
        <is>
          <t>undefined</t>
        </is>
      </c>
      <c r="T1923" t="inlineStr">
        <is>
          <t>3567356739684</t>
        </is>
      </c>
    </row>
    <row r="1924" ht="87" customHeight="1">
      <c r="A1924" s="2">
        <f>HYPERLINK("https://edmondsonsupply.com/collections/hvac/products/malco-tools-avm6-ev-mini-offset-aviation-snip-left-cutting", "https://edmondsonsupply.com/collections/hvac/products/malco-tools-avm6-ev-mini-offset-aviation-snip-left-cutting")</f>
        <v/>
      </c>
      <c r="B1924" s="2">
        <f>HYPERLINK("https://edmondsonsupply.com/products/malco-tools-avm6-ev-mini-offset-aviation-snip-left-cutting", "https://edmondsonsupply.com/products/malco-tools-avm6-ev-mini-offset-aviation-snip-left-cutting")</f>
        <v/>
      </c>
      <c r="C1924" t="inlineStr">
        <is>
          <t>Malco Tools AVM6 EV Mini Offset Aviation Snip - Left Cutting</t>
        </is>
      </c>
      <c r="D1924" t="inlineStr">
        <is>
          <t>Malco AVM6 Mini Offset Aviation Snip, Left Cutting</t>
        </is>
      </c>
      <c r="E1924" s="2">
        <f>HYPERLINK("https://www.amazon.com/Malco-AVM6-Offset-Aviation-Cutting/dp/B00QV2NOKY/ref=sr_1_1?keywords=Malco+Tools+AVM6+EV+Mini+Offset+Aviation+Snip+-+Left+Cutting&amp;qid=1694734779&amp;sr=8-1", "https://www.amazon.com/Malco-AVM6-Offset-Aviation-Cutting/dp/B00QV2NOKY/ref=sr_1_1?keywords=Malco+Tools+AVM6+EV+Mini+Offset+Aviation+Snip+-+Left+Cutting&amp;qid=1694734779&amp;sr=8-1")</f>
        <v/>
      </c>
      <c r="F1924" t="inlineStr">
        <is>
          <t>B00QV2NOKY</t>
        </is>
      </c>
      <c r="G1924">
        <f>_xlfn.IMAGE("https://edmondsonsupply.com/cdn/shop/products/avm6_ev_catalog-big.jpg?v=1632272270")</f>
        <v/>
      </c>
      <c r="H1924">
        <f>_xlfn.IMAGE("https://m.media-amazon.com/images/I/51wRmyTz4SL._AC_UL320_.jpg")</f>
        <v/>
      </c>
      <c r="K1924" t="inlineStr">
        <is>
          <t>16.42</t>
        </is>
      </c>
      <c r="L1924" t="n">
        <v>22.95</v>
      </c>
      <c r="M1924" s="1" t="inlineStr">
        <is>
          <t>39.77%</t>
        </is>
      </c>
      <c r="N1924" s="7" t="n">
        <v>-9.6</v>
      </c>
      <c r="O1924" t="n">
        <v>4.6</v>
      </c>
      <c r="P1924" t="n">
        <v>213</v>
      </c>
      <c r="R1924" t="inlineStr">
        <is>
          <t>InStock</t>
        </is>
      </c>
      <c r="S1924" t="inlineStr">
        <is>
          <t>17.2</t>
        </is>
      </c>
      <c r="T1924" t="inlineStr">
        <is>
          <t>6957954138285</t>
        </is>
      </c>
    </row>
    <row r="1925" hidden="1" ht="15.75" customHeight="1">
      <c r="A1925" s="2">
        <f>HYPERLINK("https://edmondsonsupply.com/collections/hvac/products/robertshaw-1980-036-36-1980-series-snap-fit%C2%AE-universal-thermocouple", "https://edmondsonsupply.com/collections/hvac/products/robertshaw-1980-036-36-1980-series-snap-fit%C2%AE-universal-thermocouple")</f>
        <v/>
      </c>
      <c r="B1925" s="2">
        <f>HYPERLINK("https://edmondsonsupply.com/products/robertshaw-1980-036-36-1980-series-snap-fit%c2%ae-universal-thermocouple", "https://edmondsonsupply.com/products/robertshaw-1980-036-36-1980-series-snap-fit%c2%ae-universal-thermocouple")</f>
        <v/>
      </c>
      <c r="C1925" t="inlineStr">
        <is>
          <t>Robertshaw 1980-036 36" 1980 Series Snap-Fit® Universal Thermocouple</t>
        </is>
      </c>
      <c r="D1925" t="inlineStr">
        <is>
          <t>METER STAR 24" Snap Fit Universal Thermocouple Robertshaw Thermostat Control Pilot Burner Assembly Replacement 1980-024 &amp; 1980-036</t>
        </is>
      </c>
      <c r="E1925" s="2">
        <f>HYPERLINK("https://www.amazon.com/METER-STAR-Thermocouple-Robertshaw-Replacement/dp/B09YXKQY55/ref=sr_1_6?keywords=Robertshaw+1980-036+36%22+1980+Series+Snap-Fit%C2%AE+Universal+Thermocouple&amp;qid=1694734660&amp;sr=8-6", "https://www.amazon.com/METER-STAR-Thermocouple-Robertshaw-Replacement/dp/B09YXKQY55/ref=sr_1_6?keywords=Robertshaw+1980-036+36%22+1980+Series+Snap-Fit%C2%AE+Universal+Thermocouple&amp;qid=1694734660&amp;sr=8-6")</f>
        <v/>
      </c>
      <c r="F1925" t="inlineStr">
        <is>
          <t>B09YXKQY55</t>
        </is>
      </c>
      <c r="G1925">
        <f>_xludf.IMAGE("https://edmondsonsupply.com/cdn/shop/products/1980thermocouplecmyk300dpi_bfd55032-b53e-4ff9-b16f-2ba21c0267c9.jpg?v=1636064130")</f>
        <v/>
      </c>
      <c r="H1925">
        <f>_xludf.IMAGE("https://m.media-amazon.com/images/I/71sg8mOQ-nL._AC_UL320_.jpg")</f>
        <v/>
      </c>
      <c r="K1925" t="inlineStr">
        <is>
          <t>7.15</t>
        </is>
      </c>
      <c r="L1925" t="n">
        <v>9.99</v>
      </c>
      <c r="M1925" s="1" t="inlineStr">
        <is>
          <t>39.72%</t>
        </is>
      </c>
      <c r="N1925" s="1" t="n">
        <v>-9.85</v>
      </c>
      <c r="O1925" t="n">
        <v>5</v>
      </c>
      <c r="P1925" t="n">
        <v>2</v>
      </c>
      <c r="R1925" t="inlineStr">
        <is>
          <t>InStock</t>
        </is>
      </c>
      <c r="S1925" t="inlineStr">
        <is>
          <t>15.42</t>
        </is>
      </c>
      <c r="T1925" t="inlineStr">
        <is>
          <t>7441743970520</t>
        </is>
      </c>
    </row>
    <row r="1926" ht="87" customHeight="1">
      <c r="A1926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1926" s="2">
        <f>HYPERLINK("https://edmondsonsupply.com/products/klein-tools-610-stubby-nut-driver-set-1-1-2-inch-shafts-2-piece", "https://edmondsonsupply.com/products/klein-tools-610-stubby-nut-driver-set-1-1-2-inch-shafts-2-piece")</f>
        <v/>
      </c>
      <c r="C1926" t="inlineStr">
        <is>
          <t>Klein Tools 610 Stubby Nut Driver Set 1-1/2-Inch Shafts 2-Piece</t>
        </is>
      </c>
      <c r="D1926" t="inlineStr">
        <is>
          <t>Klein Tools 646M Tool Set, Magnetic Nut Drivers Sizes 1/4 and 5/16-Inch, 6-Inch Shafts, 2-Piece</t>
        </is>
      </c>
      <c r="E1926" s="2">
        <f>HYPERLINK("https://www.amazon.com/Magnetic-16-Inch-Klein-Tools-646M/dp/B000936QV0/ref=sr_1_6?keywords=Klein+Tools+610+Stubby+Nut+Driver+Set+1-1%2F2-Inch+Shafts+2-Piece&amp;qid=1694734809&amp;sr=8-6", "https://www.amazon.com/Magnetic-16-Inch-Klein-Tools-646M/dp/B000936QV0/ref=sr_1_6?keywords=Klein+Tools+610+Stubby+Nut+Driver+Set+1-1%2F2-Inch+Shafts+2-Piece&amp;qid=1694734809&amp;sr=8-6")</f>
        <v/>
      </c>
      <c r="F1926" t="inlineStr">
        <is>
          <t>B000936QV0</t>
        </is>
      </c>
      <c r="G1926">
        <f>_xlfn.IMAGE("https://edmondsonsupply.com/cdn/shop/products/610m_169714eb-6816-4f42-aa86-ea17ea5fcbbb.jpg?v=1633030110")</f>
        <v/>
      </c>
      <c r="H1926">
        <f>_xlfn.IMAGE("https://m.media-amazon.com/images/I/41lkJ6KRq9L._AC_UL320_.jpg")</f>
        <v/>
      </c>
      <c r="K1926" t="inlineStr">
        <is>
          <t>15.99</t>
        </is>
      </c>
      <c r="L1926" t="n">
        <v>22.34</v>
      </c>
      <c r="M1926" s="1" t="inlineStr">
        <is>
          <t>39.71%</t>
        </is>
      </c>
      <c r="N1926" s="7" t="n">
        <v>-9.91</v>
      </c>
      <c r="O1926" t="n">
        <v>4.8</v>
      </c>
      <c r="P1926" t="n">
        <v>1652</v>
      </c>
      <c r="R1926" t="inlineStr">
        <is>
          <t>InStock</t>
        </is>
      </c>
      <c r="S1926" t="inlineStr">
        <is>
          <t>24.26</t>
        </is>
      </c>
      <c r="T1926" t="inlineStr">
        <is>
          <t>3671774855268</t>
        </is>
      </c>
    </row>
    <row r="1927" hidden="1" ht="15.75" customHeight="1">
      <c r="A1927" s="2">
        <f>HYPERLINK("https://edmondsonsupply.com/collections/hvac/products/supco-spp5-solid-state-relay-hard-start-capacitor-starter-pow-r-pak", "https://edmondsonsupply.com/collections/hvac/products/supco-spp5-solid-state-relay-hard-start-capacitor-starter-pow-r-pak")</f>
        <v/>
      </c>
      <c r="B1927" s="2">
        <f>HYPERLINK("https://edmondsonsupply.com/products/supco-spp5-solid-state-relay-hard-start-capacitor-starter-pow-r-pak", "https://edmondsonsupply.com/products/supco-spp5-solid-state-relay-hard-start-capacitor-starter-pow-r-pak")</f>
        <v/>
      </c>
      <c r="C1927" t="inlineStr">
        <is>
          <t>Supco SPP5 Solid State Relay &amp; Hard Start Capacitor Starter POW-R-PAK</t>
        </is>
      </c>
      <c r="D1927" t="inlineStr">
        <is>
          <t>Supco SPP5 Pow-R-Pak Solid State Relay &amp; Hard Start Capacitor Torque up to 300%</t>
        </is>
      </c>
      <c r="E1927" s="2">
        <f>HYPERLINK("https://www.amazon.com/Supco-SPP5-Pow-R-Pak-Capacitor-Torque/dp/B00EV8CE60/ref=sr_1_1?keywords=Supco+SPP5+Solid+State+Relay&amp;qid=1694734823&amp;sr=8-1", "https://www.amazon.com/Supco-SPP5-Pow-R-Pak-Capacitor-Torque/dp/B00EV8CE60/ref=sr_1_1?keywords=Supco+SPP5+Solid+State+Relay&amp;qid=1694734823&amp;sr=8-1")</f>
        <v/>
      </c>
      <c r="F1927" t="inlineStr">
        <is>
          <t>B00EV8CE60</t>
        </is>
      </c>
      <c r="G1927">
        <f>_xludf.IMAGE("https://edmondsonsupply.com/cdn/shop/products/SPP5.jpg?v=1587144645")</f>
        <v/>
      </c>
      <c r="H1927">
        <f>_xludf.IMAGE("https://m.media-amazon.com/images/I/517ICCPdoJL._AC_UY218_.jpg")</f>
        <v/>
      </c>
      <c r="K1927" t="inlineStr">
        <is>
          <t>9.95</t>
        </is>
      </c>
      <c r="L1927" t="n">
        <v>13.9</v>
      </c>
      <c r="M1927" s="1" t="inlineStr">
        <is>
          <t>39.70%</t>
        </is>
      </c>
      <c r="N1927" s="1" t="n">
        <v>-9.92</v>
      </c>
      <c r="O1927" t="n">
        <v>4.6</v>
      </c>
      <c r="P1927" t="n">
        <v>47</v>
      </c>
      <c r="R1927" t="inlineStr">
        <is>
          <t>InStock</t>
        </is>
      </c>
      <c r="S1927" t="inlineStr">
        <is>
          <t>undefined</t>
        </is>
      </c>
      <c r="T1927" t="inlineStr">
        <is>
          <t>3564190171236</t>
        </is>
      </c>
    </row>
    <row r="1928" ht="87" customHeight="1">
      <c r="A1928" s="2">
        <f>HYPERLINK("https://edmondsonsupply.com/collections/hvac/products/imperial-368-fh-imp%E2%84%A2-triple-head-tube-bender-3-16-3-8-o-d", "https://edmondsonsupply.com/collections/hvac/products/imperial-368-fh-imp%E2%84%A2-triple-head-tube-bender-3-16-3-8-o-d")</f>
        <v/>
      </c>
      <c r="B1928" s="2">
        <f>HYPERLINK("https://edmondsonsupply.com/products/imperial-368-fh-imp%e2%84%a2-triple-head-tube-bender-3-16-3-8-o-d", "https://edmondsonsupply.com/products/imperial-368-fh-imp%e2%84%a2-triple-head-tube-bender-3-16-3-8-o-d")</f>
        <v/>
      </c>
      <c r="C1928" t="inlineStr">
        <is>
          <t>Imperial 368-FH IMP™ Triple Head Tube Bender 3/16" - 3/8" O.D.</t>
        </is>
      </c>
      <c r="D1928" t="inlineStr">
        <is>
          <t>Imperial Tool 470FH Triple Head 180 Degree Tube Bender with Roto-Lok Indexing Handle, 3/16", 1/4", 5/16", and 3/8"</t>
        </is>
      </c>
      <c r="E1928" s="2">
        <f>HYPERLINK("https://www.amazon.com/Imperial-Tool-470FH-Triple-Degree/dp/B007J9FWSA/ref=sr_1_2?keywords=Imperial+368-FH+IMP%E2%84%A2+Triple+Head+Tube+Bender+3%2F16%22+-+3%2F8%22+O.D.&amp;qid=1694734821&amp;sr=8-2", "https://www.amazon.com/Imperial-Tool-470FH-Triple-Degree/dp/B007J9FWSA/ref=sr_1_2?keywords=Imperial+368-FH+IMP%E2%84%A2+Triple+Head+Tube+Bender+3%2F16%22+-+3%2F8%22+O.D.&amp;qid=1694734821&amp;sr=8-2")</f>
        <v/>
      </c>
      <c r="F1928" t="inlineStr">
        <is>
          <t>B007J9FWSA</t>
        </is>
      </c>
      <c r="G1928">
        <f>_xlfn.IMAGE("https://edmondsonsupply.com/cdn/shop/products/368-FH.jpg?v=1587145793")</f>
        <v/>
      </c>
      <c r="H1928">
        <f>_xlfn.IMAGE("https://m.media-amazon.com/images/I/81wyL3G40SL._AC_UL320_.jpg")</f>
        <v/>
      </c>
      <c r="K1928" t="inlineStr">
        <is>
          <t>36.52</t>
        </is>
      </c>
      <c r="L1928" t="n">
        <v>50.98</v>
      </c>
      <c r="M1928" s="1" t="inlineStr">
        <is>
          <t>39.59%</t>
        </is>
      </c>
      <c r="N1928" s="7" t="n">
        <v>-9.93</v>
      </c>
      <c r="O1928" t="n">
        <v>4.4</v>
      </c>
      <c r="P1928" t="n">
        <v>582</v>
      </c>
      <c r="R1928" t="inlineStr">
        <is>
          <t>InStock</t>
        </is>
      </c>
      <c r="S1928" t="inlineStr">
        <is>
          <t>undefined</t>
        </is>
      </c>
      <c r="T1928" t="inlineStr">
        <is>
          <t>3679124127844</t>
        </is>
      </c>
    </row>
    <row r="1929" hidden="1" ht="15.75" customHeight="1">
      <c r="A1929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1929" s="2">
        <f>HYPERLINK("https://edmondsonsupply.com/products/packard-prmj189-motor-start-capacitor-189-227-mfd-330-vac", "https://edmondsonsupply.com/products/packard-prmj189-motor-start-capacitor-189-227-mfd-330-vac")</f>
        <v/>
      </c>
      <c r="C1929" t="inlineStr">
        <is>
          <t>Packard PRMJ189 Motor Start Capacitor 189-227 MFD 330 VAC</t>
        </is>
      </c>
      <c r="D1929" t="inlineStr">
        <is>
          <t>BlueStars Ultra Durable 189-227 uf/MFD 220-250 VAC Volts Round Start Capacitor 50/60 Hz AC Electric - Lot -1 - Exact Replacement of OEM Single Phase Motor Capacitors</t>
        </is>
      </c>
      <c r="E1929" s="2">
        <f>HYPERLINK("https://www.amazon.com/BlueStars-Durable-189-227-Capacitor-Electric/dp/B09C8JMD1V/ref=sr_1_16?keywords=Packard+PRMJ189+Motor+Start+Capacitor+189-227+MFD+330+VAC&amp;qid=1694734820&amp;sr=8-16", "https://www.amazon.com/BlueStars-Durable-189-227-Capacitor-Electric/dp/B09C8JMD1V/ref=sr_1_16?keywords=Packard+PRMJ189+Motor+Start+Capacitor+189-227+MFD+330+VAC&amp;qid=1694734820&amp;sr=8-16")</f>
        <v/>
      </c>
      <c r="F1929" t="inlineStr">
        <is>
          <t>B09C8JMD1V</t>
        </is>
      </c>
      <c r="G1929">
        <f>_xludf.IMAGE("https://edmondsonsupply.com/cdn/shop/products/PRMJ189-2.jpg?v=1663378512")</f>
        <v/>
      </c>
      <c r="H1929">
        <f>_xludf.IMAGE("https://m.media-amazon.com/images/I/71gXGJ+IhiL._AC_UY218_.jpg")</f>
        <v/>
      </c>
      <c r="K1929" t="inlineStr">
        <is>
          <t>8.59</t>
        </is>
      </c>
      <c r="L1929" t="n">
        <v>11.99</v>
      </c>
      <c r="M1929" s="1" t="inlineStr">
        <is>
          <t>39.58%</t>
        </is>
      </c>
      <c r="N1929" s="1" t="n">
        <v>-9.98</v>
      </c>
      <c r="O1929" t="n">
        <v>4.3</v>
      </c>
      <c r="P1929" t="n">
        <v>93</v>
      </c>
      <c r="R1929" t="inlineStr">
        <is>
          <t>InStock</t>
        </is>
      </c>
      <c r="S1929" t="inlineStr">
        <is>
          <t>undefined</t>
        </is>
      </c>
      <c r="T1929" t="inlineStr">
        <is>
          <t>4298778378340</t>
        </is>
      </c>
    </row>
    <row r="1930" ht="87" customHeight="1">
      <c r="A1930" s="2">
        <f>HYPERLINK("https://edmondsonsupply.com/collections/hvac/products/robertshaw-rs8110-digital-non-programmable-thermostat-single-stage-1-heat-1-cool", "https://edmondsonsupply.com/collections/hvac/products/robertshaw-rs8110-digital-non-programmable-thermostat-single-stage-1-heat-1-cool")</f>
        <v/>
      </c>
      <c r="B1930" s="2">
        <f>HYPERLINK("https://edmondsonsupply.com/products/robertshaw-rs8110-digital-non-programmable-thermostat-single-stage-1-heat-1-cool", "https://edmondsonsupply.com/products/robertshaw-rs8110-digital-non-programmable-thermostat-single-stage-1-heat-1-cool")</f>
        <v/>
      </c>
      <c r="C1930" t="inlineStr">
        <is>
          <t>Robertshaw RS8110 Digital Non-Programmable Thermostat, Single Stage - 1 Heat/1 Cool</t>
        </is>
      </c>
      <c r="D1930" t="inlineStr">
        <is>
          <t>2 Pack - ELECTECK Non-Programmable Digital Thermostat for Home, up to 1 Heat/1 Cool with 4.5 sq. inch Display, Compatible with Single Stage Electrical and Gas/Oil System, White</t>
        </is>
      </c>
      <c r="E1930" s="2">
        <f>HYPERLINK("https://www.amazon.com/2PK-Thermostat-Non-Programmable-Compatible-Electrical/dp/B08QF63Q4Y/ref=sr_1_3?keywords=Robertshaw+RS8110+Digital+Non-Programmable+Thermostat%2C+Single+Stage+-+1+Heat%2F1+Cool&amp;qid=1694734638&amp;sr=8-3", "https://www.amazon.com/2PK-Thermostat-Non-Programmable-Compatible-Electrical/dp/B08QF63Q4Y/ref=sr_1_3?keywords=Robertshaw+RS8110+Digital+Non-Programmable+Thermostat%2C+Single+Stage+-+1+Heat%2F1+Cool&amp;qid=1694734638&amp;sr=8-3")</f>
        <v/>
      </c>
      <c r="F1930" t="inlineStr">
        <is>
          <t>B08QF63Q4Y</t>
        </is>
      </c>
      <c r="G1930">
        <f>_xlfn.IMAGE("https://edmondsonsupply.com/cdn/shop/products/RS8110.jpg?v=1633031027")</f>
        <v/>
      </c>
      <c r="H1930">
        <f>_xlfn.IMAGE("https://m.media-amazon.com/images/I/71eV76iW6US._AC_UL320_.jpg")</f>
        <v/>
      </c>
      <c r="K1930" t="inlineStr">
        <is>
          <t>32.96</t>
        </is>
      </c>
      <c r="L1930" t="n">
        <v>45.99</v>
      </c>
      <c r="M1930" s="1" t="inlineStr">
        <is>
          <t>39.53%</t>
        </is>
      </c>
      <c r="N1930" s="7" t="n">
        <v>-10.01</v>
      </c>
      <c r="O1930" t="n">
        <v>4.5</v>
      </c>
      <c r="P1930" t="n">
        <v>111</v>
      </c>
      <c r="R1930" t="inlineStr">
        <is>
          <t>InStock</t>
        </is>
      </c>
      <c r="S1930" t="inlineStr">
        <is>
          <t>61.37</t>
        </is>
      </c>
      <c r="T1930" t="inlineStr">
        <is>
          <t>6728860827821</t>
        </is>
      </c>
    </row>
    <row r="1931" hidden="1" ht="15.75" customHeight="1">
      <c r="A1931" s="2">
        <f>HYPERLINK("https://edmondsonsupply.com/collections/hvac/products/milwaukee-48-25-2122", "https://edmondsonsupply.com/collections/hvac/products/milwaukee-48-25-2122")</f>
        <v/>
      </c>
      <c r="B1931" s="2">
        <f>HYPERLINK("https://edmondsonsupply.com/products/milwaukee-48-25-2122", "https://edmondsonsupply.com/products/milwaukee-48-25-2122")</f>
        <v/>
      </c>
      <c r="C1931" t="inlineStr">
        <is>
          <t>Milwaukee 48-25-2122 Standard Selfeed Bit, 2-1/8"</t>
        </is>
      </c>
      <c r="D1931" t="inlineStr">
        <is>
          <t>Milwaukee 48-25-2122 Heavy-duty Selfeed Bit 2-1/8"</t>
        </is>
      </c>
      <c r="E1931" s="2">
        <f>HYPERLINK("https://www.amazon.com/Milwaukee-48-25-2122-Heavy-duty-Selfeed-Bit/dp/B006ERPNPA/ref=sr_1_21?keywords=Milwaukee+48-25-2122+Standard+Selfeed+Bit%2C+2-1%2F8%22&amp;qid=1694734898&amp;sr=8-21", "https://www.amazon.com/Milwaukee-48-25-2122-Heavy-duty-Selfeed-Bit/dp/B006ERPNPA/ref=sr_1_21?keywords=Milwaukee+48-25-2122+Standard+Selfeed+Bit%2C+2-1%2F8%22&amp;qid=1694734898&amp;sr=8-21")</f>
        <v/>
      </c>
      <c r="F1931" t="inlineStr">
        <is>
          <t>B006ERPNPA</t>
        </is>
      </c>
      <c r="G1931">
        <f>_xludf.IMAGE("https://edmondsonsupply.com/cdn/shop/files/64170_48-25-1372_1-lg.gif?v=1687367768")</f>
        <v/>
      </c>
      <c r="H1931">
        <f>_xludf.IMAGE("https://m.media-amazon.com/images/I/510Y68t9mkL._AC_UL320_.jpg")</f>
        <v/>
      </c>
      <c r="K1931" t="inlineStr">
        <is>
          <t>49.97</t>
        </is>
      </c>
      <c r="L1931" t="n">
        <v>69.65000000000001</v>
      </c>
      <c r="M1931" s="1" t="inlineStr">
        <is>
          <t>39.38%</t>
        </is>
      </c>
      <c r="N1931" s="1" t="n">
        <v>-10.05</v>
      </c>
      <c r="O1931" t="n">
        <v>4</v>
      </c>
      <c r="P1931" t="n">
        <v>1</v>
      </c>
      <c r="R1931" t="inlineStr">
        <is>
          <t>InStock</t>
        </is>
      </c>
      <c r="S1931" t="inlineStr">
        <is>
          <t>undefined</t>
        </is>
      </c>
      <c r="T1931" t="inlineStr">
        <is>
          <t>8007821590744</t>
        </is>
      </c>
    </row>
    <row r="1932" ht="87" customHeight="1">
      <c r="A1932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1932" s="2">
        <f>HYPERLINK("https://edmondsonsupply.com/products/klein-tools-11053-klein-kurve%c2%ae-wire-stripper-cutter", "https://edmondsonsupply.com/products/klein-tools-11053-klein-kurve%c2%ae-wire-stripper-cutter")</f>
        <v/>
      </c>
      <c r="C1932" t="inlineStr">
        <is>
          <t>Klein Tools 11053 Klein-Kurve® Wire Stripper/Cutter</t>
        </is>
      </c>
      <c r="D1932" t="inlineStr">
        <is>
          <t>Klein Tools 11057 Wire Cutter/Wire Stripper, Heavy Duty Wire Cutter Stripper for 20-30 AWG Solid Wire and 22-32 AWG Stranded Wire &amp; Hakko-CHP-170 Micro Cutter - Red</t>
        </is>
      </c>
      <c r="E1932" s="2">
        <f>HYPERLINK("https://www.amazon.com/Klein-Tools-Stripper-Stranded-Hakko-CHP-170/dp/B0BD3ZXX4S/ref=sr_1_21?keywords=Klein+Tools+11053+Klein-Kurve%C2%AE+Wire+Stripper%2FCutter&amp;qid=1694734664&amp;sr=8-21", "https://www.amazon.com/Klein-Tools-Stripper-Stranded-Hakko-CHP-170/dp/B0BD3ZXX4S/ref=sr_1_21?keywords=Klein+Tools+11053+Klein-Kurve%C2%AE+Wire+Stripper%2FCutter&amp;qid=1694734664&amp;sr=8-21")</f>
        <v/>
      </c>
      <c r="F1932" t="inlineStr">
        <is>
          <t>B0BD3ZXX4S</t>
        </is>
      </c>
      <c r="G1932">
        <f>_xlfn.IMAGE("https://edmondsonsupply.com/cdn/shop/products/11053.jpg?v=1633030511")</f>
        <v/>
      </c>
      <c r="H1932">
        <f>_xlfn.IMAGE("https://m.media-amazon.com/images/I/51xzAOv8sfL._AC_UL320_.jpg")</f>
        <v/>
      </c>
      <c r="K1932" t="inlineStr">
        <is>
          <t>20.97</t>
        </is>
      </c>
      <c r="L1932" t="n">
        <v>29.21</v>
      </c>
      <c r="M1932" s="1" t="inlineStr">
        <is>
          <t>39.29%</t>
        </is>
      </c>
      <c r="N1932" s="7" t="n">
        <v>-10.53</v>
      </c>
      <c r="O1932" t="n">
        <v>5</v>
      </c>
      <c r="P1932" t="n">
        <v>3</v>
      </c>
      <c r="R1932" t="inlineStr">
        <is>
          <t>InStock</t>
        </is>
      </c>
      <c r="S1932" t="inlineStr">
        <is>
          <t>31.76</t>
        </is>
      </c>
      <c r="T1932" t="inlineStr">
        <is>
          <t>5387171299496</t>
        </is>
      </c>
    </row>
    <row r="1933" ht="87" customHeight="1">
      <c r="A1933" s="2">
        <f>HYPERLINK("https://edmondsonsupply.com/collections/hvac/products/robertshaw-1820-019-pg9-pilot-generator-replacement-kit", "https://edmondsonsupply.com/collections/hvac/products/robertshaw-1820-019-pg9-pilot-generator-replacement-kit")</f>
        <v/>
      </c>
      <c r="B1933" s="2">
        <f>HYPERLINK("https://edmondsonsupply.com/products/robertshaw-1820-019-pg9-pilot-generator-replacement-kit", "https://edmondsonsupply.com/products/robertshaw-1820-019-pg9-pilot-generator-replacement-kit")</f>
        <v/>
      </c>
      <c r="C1933" t="inlineStr">
        <is>
          <t>Robertshaw 1820-019 PG9 Pilot Generator Replacement Kit</t>
        </is>
      </c>
      <c r="D1933" t="inlineStr">
        <is>
          <t>ROBERTSHAW 1820-019 PG9 Pilot Generator Replacement UNIKIT, 32 INCH Leads, Replaces PG9A41</t>
        </is>
      </c>
      <c r="E1933" s="2">
        <f>HYPERLINK("https://www.amazon.com/ROBERTSHAW-1820-019-Generator-Replacement-Replaces/dp/B007IB0NZG/ref=sr_1_1?keywords=Robertshaw+1820-019+PG9+Pilot+Generator+Replacement+Kit&amp;qid=1694734602&amp;sr=8-1", "https://www.amazon.com/ROBERTSHAW-1820-019-Generator-Replacement-Replaces/dp/B007IB0NZG/ref=sr_1_1?keywords=Robertshaw+1820-019+PG9+Pilot+Generator+Replacement+Kit&amp;qid=1694734602&amp;sr=8-1")</f>
        <v/>
      </c>
      <c r="F1933" t="inlineStr">
        <is>
          <t>B007IB0NZG</t>
        </is>
      </c>
      <c r="G1933">
        <f>_xlfn.IMAGE("https://edmondsonsupply.com/cdn/shop/products/1820-019.jpg?v=1633030771")</f>
        <v/>
      </c>
      <c r="H1933">
        <f>_xlfn.IMAGE("https://m.media-amazon.com/images/I/216lZZiAw7L._AC_UL320_.jpg")</f>
        <v/>
      </c>
      <c r="K1933" t="inlineStr">
        <is>
          <t>37.29</t>
        </is>
      </c>
      <c r="L1933" t="n">
        <v>51.94</v>
      </c>
      <c r="M1933" s="1" t="inlineStr">
        <is>
          <t>39.29%</t>
        </is>
      </c>
      <c r="N1933" s="7" t="n">
        <v>-10.55</v>
      </c>
      <c r="O1933" t="n">
        <v>4.6</v>
      </c>
      <c r="P1933" t="n">
        <v>3</v>
      </c>
      <c r="R1933" t="inlineStr">
        <is>
          <t>InStock</t>
        </is>
      </c>
      <c r="S1933" t="inlineStr">
        <is>
          <t>78.48</t>
        </is>
      </c>
      <c r="T1933" t="inlineStr">
        <is>
          <t>5941052440744</t>
        </is>
      </c>
    </row>
    <row r="1934" ht="87" customHeight="1">
      <c r="A1934" s="2">
        <f>HYPERLINK("https://edmondsonsupply.com/collections/hvac/products/diablo-tools-dag1130-1-in-x-7-1-2-in-auger-bit", "https://edmondsonsupply.com/collections/hvac/products/diablo-tools-dag1130-1-in-x-7-1-2-in-auger-bit")</f>
        <v/>
      </c>
      <c r="B1934" s="2">
        <f>HYPERLINK("https://edmondsonsupply.com/products/diablo-tools-dag1130-1-in-x-7-1-2-in-auger-bit", "https://edmondsonsupply.com/products/diablo-tools-dag1130-1-in-x-7-1-2-in-auger-bit")</f>
        <v/>
      </c>
      <c r="C1934" t="inlineStr">
        <is>
          <t>Diablo Tools DAG1130 1 in. x 7-1/2 in. Auger Bit</t>
        </is>
      </c>
      <c r="D1934" t="inlineStr">
        <is>
          <t>Diablo by Freud DAG3100 15/16 in. x 17-1/2 in. Auger Bit Multi, One Size</t>
        </is>
      </c>
      <c r="E1934" s="2">
        <f>HYPERLINK("https://www.amazon.com/Diablo-DAG3100-17-1-Auger-Bit/dp/B089KWFBPH/ref=sr_1_41?keywords=Diablo+Tools+DAG1130+1+in.+x+7-1%2F2+in.+Auger+Bit&amp;qid=1694734776&amp;sr=8-41", "https://www.amazon.com/Diablo-DAG3100-17-1-Auger-Bit/dp/B089KWFBPH/ref=sr_1_41?keywords=Diablo+Tools+DAG1130+1+in.+x+7-1%2F2+in.+Auger+Bit&amp;qid=1694734776&amp;sr=8-41")</f>
        <v/>
      </c>
      <c r="F1934" t="inlineStr">
        <is>
          <t>B089KWFBPH</t>
        </is>
      </c>
      <c r="G1934">
        <f>_xlfn.IMAGE("https://edmondsonsupply.com/cdn/shop/products/DAG1130_Main-Image20200712.png?v=1633031124")</f>
        <v/>
      </c>
      <c r="H1934">
        <f>_xlfn.IMAGE("https://m.media-amazon.com/images/I/61Lk5PecX2L._AC_UL320_.jpg")</f>
        <v/>
      </c>
      <c r="K1934" t="inlineStr">
        <is>
          <t>16.37</t>
        </is>
      </c>
      <c r="L1934" t="n">
        <v>22.8</v>
      </c>
      <c r="M1934" s="1" t="inlineStr">
        <is>
          <t>39.28%</t>
        </is>
      </c>
      <c r="N1934" s="7" t="n">
        <v>-10.67</v>
      </c>
      <c r="O1934" t="n">
        <v>5</v>
      </c>
      <c r="P1934" t="n">
        <v>3</v>
      </c>
      <c r="R1934" t="inlineStr">
        <is>
          <t>InStock</t>
        </is>
      </c>
      <c r="S1934" t="inlineStr">
        <is>
          <t>25.94</t>
        </is>
      </c>
      <c r="T1934" t="inlineStr">
        <is>
          <t>6866560581805</t>
        </is>
      </c>
    </row>
    <row r="1935" ht="87" customHeight="1">
      <c r="A1935" s="2">
        <f>HYPERLINK("https://edmondsonsupply.com/collections/hvac/products/us-motors-1860-5-6-condenser-fan-motor-208-230v-1-4-hp-1075-rpm-psc-teao", "https://edmondsonsupply.com/collections/hvac/products/us-motors-1860-5-6-condenser-fan-motor-208-230v-1-4-hp-1075-rpm-psc-teao")</f>
        <v/>
      </c>
      <c r="B1935" s="2">
        <f>HYPERLINK("https://edmondsonsupply.com/products/us-motors-1860-5-6-condenser-fan-motor-208-230v-1-4-hp-1075-rpm-psc-teao", "https://edmondsonsupply.com/products/us-motors-1860-5-6-condenser-fan-motor-208-230v-1-4-hp-1075-rpm-psc-teao")</f>
        <v/>
      </c>
      <c r="C1935" t="inlineStr">
        <is>
          <t>US Motors 1860 5.6" Condenser Fan Motor, 208-230V, 1/4 HP, 1075 RPM, PSC, TEAO</t>
        </is>
      </c>
      <c r="D1935" t="inlineStr">
        <is>
          <t>Nidec US Motors 2246 Condenser Fan Motor, 1/5 HP, PSC, 1075 RPM, 208-230V</t>
        </is>
      </c>
      <c r="E1935" s="2">
        <f>HYPERLINK("https://www.amazon.com/Nidec-Motors-Condenser-Motor-208-230V/dp/B08VN53ZKP/ref=sr_1_10?keywords=US+Motors+1860+5.6%22+Condenser+Fan+Motor%2C+208-230V%2C+1%2F4+HP%2C+1075+RPM%2C+PSC%2C+TEAO&amp;qid=1694734716&amp;sr=8-10", "https://www.amazon.com/Nidec-Motors-Condenser-Motor-208-230V/dp/B08VN53ZKP/ref=sr_1_10?keywords=US+Motors+1860+5.6%22+Condenser+Fan+Motor%2C+208-230V%2C+1%2F4+HP%2C+1075+RPM%2C+PSC%2C+TEAO&amp;qid=1694734716&amp;sr=8-10")</f>
        <v/>
      </c>
      <c r="F1935" t="inlineStr">
        <is>
          <t>B08VN53ZKP</t>
        </is>
      </c>
      <c r="G1935">
        <f>_xlfn.IMAGE("https://edmondsonsupply.com/cdn/shop/products/1860-2.jpg?v=1633030343")</f>
        <v/>
      </c>
      <c r="H1935">
        <f>_xlfn.IMAGE("https://m.media-amazon.com/images/I/41p4vhJP1+L._AC_UL320_.jpg")</f>
        <v/>
      </c>
      <c r="K1935" t="inlineStr">
        <is>
          <t>103.44</t>
        </is>
      </c>
      <c r="L1935" t="n">
        <v>143.8</v>
      </c>
      <c r="M1935" s="1" t="inlineStr">
        <is>
          <t>39.02%</t>
        </is>
      </c>
      <c r="N1935" s="7" t="n">
        <v>-10.71</v>
      </c>
      <c r="O1935" t="n">
        <v>5</v>
      </c>
      <c r="P1935" t="n">
        <v>1</v>
      </c>
      <c r="R1935" t="inlineStr">
        <is>
          <t>OutOfStock</t>
        </is>
      </c>
      <c r="S1935" t="inlineStr">
        <is>
          <t>105.0</t>
        </is>
      </c>
      <c r="T1935" t="inlineStr">
        <is>
          <t>5279481954472</t>
        </is>
      </c>
    </row>
    <row r="1936" ht="87" customHeight="1">
      <c r="A1936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1936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1936" t="inlineStr">
        <is>
          <t>Diablo Tools DMAPL4250 3/4 in. x 8 in. x 10 in. Rebar Demon™ SDS-Plus 4-Cutter Full Carbide Head Hammer Drill Bit</t>
        </is>
      </c>
      <c r="D1936" t="inlineStr">
        <is>
          <t>Diablo by Freud DMAPL4300 1 in. x 8 in. x 10 in. Rebar Demon™ SDS-Plus 4-Cutter Full Carbide Head Hammer Bit</t>
        </is>
      </c>
      <c r="E1936" s="2">
        <f>HYPERLINK("https://www.amazon.com/Diablo-Freud-DMAPL4300-SDS-Plus-4-Cutter/dp/B089LL8JD8/ref=sr_1_1?keywords=Diablo+Tools+DMAPL4250+3%2F4+in.+x+8+in.+x+10+in.+Rebar+Demon%E2%84%A2+SDS-Plus+4-Cutter+Full+Carbide+Head+Hammer+Drill+Bit&amp;qid=1694734913&amp;sr=8-1", "https://www.amazon.com/Diablo-Freud-DMAPL4300-SDS-Plus-4-Cutter/dp/B089LL8JD8/ref=sr_1_1?keywords=Diablo+Tools+DMAPL4250+3%2F4+in.+x+8+in.+x+10+in.+Rebar+Demon%E2%84%A2+SDS-Plus+4-Cutter+Full+Carbide+Head+Hammer+Drill+Bit&amp;qid=1694734913&amp;sr=8-1")</f>
        <v/>
      </c>
      <c r="F1936" t="inlineStr">
        <is>
          <t>B089LL8JD8</t>
        </is>
      </c>
      <c r="G1936">
        <f>_xlfn.IMAGE("https://edmondsonsupply.com/cdn/shop/files/rltcbi253wmfv6otmtz6.webp?v=1686576913")</f>
        <v/>
      </c>
      <c r="H1936">
        <f>_xlfn.IMAGE("https://m.media-amazon.com/images/I/616UiJGsK1L._AC_UL320_.jpg")</f>
        <v/>
      </c>
      <c r="K1936" t="inlineStr">
        <is>
          <t>24.47</t>
        </is>
      </c>
      <c r="L1936" t="n">
        <v>33.99</v>
      </c>
      <c r="M1936" s="1" t="inlineStr">
        <is>
          <t>38.90%</t>
        </is>
      </c>
      <c r="N1936" s="7" t="n">
        <v>-10.72</v>
      </c>
      <c r="O1936" t="n">
        <v>4.5</v>
      </c>
      <c r="P1936" t="n">
        <v>16</v>
      </c>
      <c r="R1936" t="inlineStr">
        <is>
          <t>InStock</t>
        </is>
      </c>
      <c r="S1936" t="inlineStr">
        <is>
          <t>38.21</t>
        </is>
      </c>
      <c r="T1936" t="inlineStr">
        <is>
          <t>8004486168792</t>
        </is>
      </c>
    </row>
    <row r="1937" hidden="1" ht="15.75" customHeight="1">
      <c r="A1937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1937" s="2">
        <f>HYPERLINK("https://edmondsonsupply.com/products/packard-psmj400-motor-start-capacitor-400-480-mfd-165-vac", "https://edmondsonsupply.com/products/packard-psmj400-motor-start-capacitor-400-480-mfd-165-vac")</f>
        <v/>
      </c>
      <c r="C1937" t="inlineStr">
        <is>
          <t>Packard PSMJ400 Motor Start Capacitor 400-480 MFD 165 VAC</t>
        </is>
      </c>
      <c r="D1937" t="inlineStr">
        <is>
          <t>Packard PSMJ400 Packard 165V Start Capacitor 400-480 MFD</t>
        </is>
      </c>
      <c r="E1937" s="2">
        <f>HYPERLINK("https://www.amazon.com/Packard-PSMJ400-Start-Capacitor-400-480/dp/B005YN6BYC/ref=sr_1_1?keywords=Packard+PSMJ400+Motor+Start+Capacitor+400-480+MFD+165+VAC&amp;qid=1694734737&amp;sr=8-1", "https://www.amazon.com/Packard-PSMJ400-Start-Capacitor-400-480/dp/B005YN6BYC/ref=sr_1_1?keywords=Packard+PSMJ400+Motor+Start+Capacitor+400-480+MFD+165+VAC&amp;qid=1694734737&amp;sr=8-1")</f>
        <v/>
      </c>
      <c r="F1937" t="inlineStr">
        <is>
          <t>B005YN6BYC</t>
        </is>
      </c>
      <c r="G1937">
        <f>_xludf.IMAGE("https://edmondsonsupply.com/cdn/shop/products/PSMJ400-2.jpg?v=1587142312")</f>
        <v/>
      </c>
      <c r="H1937">
        <f>_xludf.IMAGE("https://m.media-amazon.com/images/I/61rAxafoQCL._AC_UY218_.jpg")</f>
        <v/>
      </c>
      <c r="K1937" t="inlineStr">
        <is>
          <t>7.92</t>
        </is>
      </c>
      <c r="L1937" t="n">
        <v>11</v>
      </c>
      <c r="M1937" s="1" t="inlineStr">
        <is>
          <t>38.89%</t>
        </is>
      </c>
      <c r="N1937" s="1" t="n">
        <v>-10.78</v>
      </c>
      <c r="O1937" t="n">
        <v>4.6</v>
      </c>
      <c r="P1937" t="n">
        <v>337</v>
      </c>
      <c r="R1937" t="inlineStr">
        <is>
          <t>InStock</t>
        </is>
      </c>
      <c r="S1937" t="inlineStr">
        <is>
          <t>undefined</t>
        </is>
      </c>
      <c r="T1937" t="inlineStr">
        <is>
          <t>3683072016484</t>
        </is>
      </c>
    </row>
    <row r="1938" hidden="1" ht="15.75" customHeight="1">
      <c r="A1938" s="2">
        <f>HYPERLINK("https://edmondsonsupply.com/collections/hvac/products/refrigeration-technologies-rt200r-nylog-red-gasket-thread-sealant", "https://edmondsonsupply.com/collections/hvac/products/refrigeration-technologies-rt200r-nylog-red-gasket-thread-sealant")</f>
        <v/>
      </c>
      <c r="B1938" s="2">
        <f>HYPERLINK("https://edmondsonsupply.com/products/refrigeration-technologies-rt200r-nylog-red-gasket-thread-sealant", "https://edmondsonsupply.com/products/refrigeration-technologies-rt200r-nylog-red-gasket-thread-sealant")</f>
        <v/>
      </c>
      <c r="C1938" t="inlineStr">
        <is>
          <t>Refrigeration Technologies RT200R Viper Nylog Red - Gasket &amp; Thread Sealant</t>
        </is>
      </c>
      <c r="D1938" t="inlineStr">
        <is>
          <t>Refrigeration Technologies RT201B Nylog Gasket &amp; Thread Sealant 30 ml RT201BP (4)</t>
        </is>
      </c>
      <c r="E1938" s="2">
        <f>HYPERLINK("https://www.amazon.com/Refrigeration-Technologies-RT201B-Sealant-RT201BP/dp/B0C299WTWW/ref=sr_1_4?keywords=Refrigeration+Technologies+RT200R+Viper+Nylog+Red+-+Gasket+%26+Thread+Sealant&amp;qid=1694734629&amp;sr=8-4", "https://www.amazon.com/Refrigeration-Technologies-RT201B-Sealant-RT201BP/dp/B0C299WTWW/ref=sr_1_4?keywords=Refrigeration+Technologies+RT200R+Viper+Nylog+Red+-+Gasket+%26+Thread+Sealant&amp;qid=1694734629&amp;sr=8-4")</f>
        <v/>
      </c>
      <c r="F1938" t="inlineStr">
        <is>
          <t>B0C299WTWW</t>
        </is>
      </c>
      <c r="G1938">
        <f>_xludf.IMAGE("https://edmondsonsupply.com/cdn/shop/products/Nylog-Red-Reflection-Web.jpg?v=1633030226")</f>
        <v/>
      </c>
      <c r="H1938">
        <f>_xludf.IMAGE("https://m.media-amazon.com/images/I/41fnfNmRl6L._AC_UL320_.jpg")</f>
        <v/>
      </c>
      <c r="K1938" t="inlineStr">
        <is>
          <t>6.84</t>
        </is>
      </c>
      <c r="L1938" t="n">
        <v>9.49</v>
      </c>
      <c r="M1938" s="1" t="inlineStr">
        <is>
          <t>38.74%</t>
        </is>
      </c>
      <c r="N1938" s="1" t="n">
        <v>-10.79</v>
      </c>
      <c r="O1938" t="n">
        <v>5</v>
      </c>
      <c r="P1938" t="n">
        <v>4</v>
      </c>
      <c r="R1938" t="inlineStr">
        <is>
          <t>InStock</t>
        </is>
      </c>
      <c r="S1938" t="inlineStr">
        <is>
          <t>7.73</t>
        </is>
      </c>
      <c r="T1938" t="inlineStr">
        <is>
          <t>4520715944036</t>
        </is>
      </c>
    </row>
    <row r="1939" hidden="1" ht="15.75" customHeight="1">
      <c r="A1939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1939" s="2">
        <f>HYPERLINK("https://edmondsonsupply.com/products/klein-tools-jth4e17-1-2-inch-hex-key-journeyman-t-handle-4-inch", "https://edmondsonsupply.com/products/klein-tools-jth4e17-1-2-inch-hex-key-journeyman-t-handle-4-inch")</f>
        <v/>
      </c>
      <c r="C1939" t="inlineStr">
        <is>
          <t>Klein Tools JTH4E11 3/16-Inch Hex Key with Journeyman T-Handle, 4-Inch</t>
        </is>
      </c>
      <c r="D1939" t="inlineStr">
        <is>
          <t>Klein Tools JTH6M4BE 4 mm Ball End Hex Key with Journeyman T-Handle, 6-Inch</t>
        </is>
      </c>
      <c r="E1939" s="2">
        <f>HYPERLINK("https://www.amazon.com/Journeyman-T-Handle-Klein-Tools-JTH6M4BE/dp/B005G3951G/ref=sr_1_6?keywords=Klein+Tools+JTH4E11+3%2F16-Inch+Hex+Key+with+Journeyman+T-Handle%2C+4-Inch&amp;qid=1694734725&amp;sr=8-6", "https://www.amazon.com/Journeyman-T-Handle-Klein-Tools-JTH6M4BE/dp/B005G3951G/ref=sr_1_6?keywords=Klein+Tools+JTH4E11+3%2F16-Inch+Hex+Key+with+Journeyman+T-Handle%2C+4-Inch&amp;qid=1694734725&amp;sr=8-6")</f>
        <v/>
      </c>
      <c r="F1939" t="inlineStr">
        <is>
          <t>B005G3951G</t>
        </is>
      </c>
      <c r="G1939">
        <f>_xludf.IMAGE("https://edmondsonsupply.com/cdn/shop/products/jth4e17.jpg?v=1587144836")</f>
        <v/>
      </c>
      <c r="H1939">
        <f>_xludf.IMAGE("https://m.media-amazon.com/images/I/51huXA+ij8L._AC_UL320_.jpg")</f>
        <v/>
      </c>
      <c r="K1939" t="inlineStr">
        <is>
          <t>4.99</t>
        </is>
      </c>
      <c r="L1939" t="n">
        <v>6.91</v>
      </c>
      <c r="M1939" s="1" t="inlineStr">
        <is>
          <t>38.48%</t>
        </is>
      </c>
      <c r="N1939" s="1" t="n">
        <v>-11.07</v>
      </c>
      <c r="O1939" t="n">
        <v>4.8</v>
      </c>
      <c r="P1939" t="n">
        <v>985</v>
      </c>
      <c r="R1939" t="inlineStr">
        <is>
          <t>InStock</t>
        </is>
      </c>
      <c r="S1939" t="inlineStr">
        <is>
          <t>7.6</t>
        </is>
      </c>
      <c r="T1939" t="inlineStr">
        <is>
          <t>4432217964644</t>
        </is>
      </c>
    </row>
    <row r="1940" ht="87" customHeight="1">
      <c r="A1940" s="2">
        <f>HYPERLINK("https://edmondsonsupply.com/collections/hvac/products/copy-of-trion-455602-527-air-bear-supreme-2000-20x25x5-merv-11-air-cleaner-cabinet-grey-1", "https://edmondsonsupply.com/collections/hvac/products/copy-of-trion-455602-527-air-bear-supreme-2000-20x25x5-merv-11-air-cleaner-cabinet-grey-1")</f>
        <v/>
      </c>
      <c r="B1940" s="2">
        <f>HYPERLINK("https://edmondsonsupply.com/products/copy-of-trion-455602-527-air-bear-supreme-2000-20x25x5-merv-11-air-cleaner-cabinet-grey-1", "https://edmondsonsupply.com/products/copy-of-trion-455602-527-air-bear-supreme-2000-20x25x5-merv-11-air-cleaner-cabinet-grey-1")</f>
        <v/>
      </c>
      <c r="C1940" t="inlineStr">
        <is>
          <t>Trion 455602-027 Air Bear Supreme 2000 20x25x5 MERV-8 Air Cleaner Cabinet (Grey)</t>
        </is>
      </c>
      <c r="D1940" t="inlineStr">
        <is>
          <t>Trion 455602-127 - Air Bear Supreme 1400 16x25x5 Media Air Cleaner- MERV 8, Warm Grey</t>
        </is>
      </c>
      <c r="E1940" s="2">
        <f>HYPERLINK("https://www.amazon.com/Trion-455602-127-Supreme-16x25x5-Cleaner/dp/B079Y9ZFZN/ref=sr_1_1?keywords=Trion+455602-027+Air+Bear+Supreme+2000+20x25x5+MERV-8+Air+Cleaner+Cabinet+%28Grey%29&amp;qid=1694734753&amp;sr=8-1", "https://www.amazon.com/Trion-455602-127-Supreme-16x25x5-Cleaner/dp/B079Y9ZFZN/ref=sr_1_1?keywords=Trion+455602-027+Air+Bear+Supreme+2000+20x25x5+MERV-8+Air+Cleaner+Cabinet+%28Grey%29&amp;qid=1694734753&amp;sr=8-1")</f>
        <v/>
      </c>
      <c r="F1940" t="inlineStr">
        <is>
          <t>B079Y9ZFZN</t>
        </is>
      </c>
      <c r="G1940">
        <f>_xlfn.IMAGE("https://edmondsonsupply.com/cdn/shop/products/00_86dca442-e626-4c75-b893-92c884df73e1.png?v=1677884533")</f>
        <v/>
      </c>
      <c r="H1940">
        <f>_xlfn.IMAGE("https://m.media-amazon.com/images/I/618CRE41xpL._AC_UL320_.jpg")</f>
        <v/>
      </c>
      <c r="K1940" t="inlineStr">
        <is>
          <t>119.59</t>
        </is>
      </c>
      <c r="L1940" t="n">
        <v>165.46</v>
      </c>
      <c r="M1940" s="1" t="inlineStr">
        <is>
          <t>38.36%</t>
        </is>
      </c>
      <c r="N1940" s="7" t="n">
        <v>-11.12</v>
      </c>
      <c r="O1940" t="n">
        <v>5</v>
      </c>
      <c r="P1940" t="n">
        <v>1</v>
      </c>
      <c r="R1940" t="inlineStr">
        <is>
          <t>InStock</t>
        </is>
      </c>
      <c r="S1940" t="inlineStr">
        <is>
          <t>undefined</t>
        </is>
      </c>
      <c r="T1940" t="inlineStr">
        <is>
          <t>7955356385496</t>
        </is>
      </c>
    </row>
    <row r="1941" ht="87" customHeight="1">
      <c r="A1941" s="2">
        <f>HYPERLINK("https://edmondsonsupply.com/collections/hvac/products/wiha-tools-32088-8-piece-insulated-picofinish-precision-screwdriver-set", "https://edmondsonsupply.com/collections/hvac/products/wiha-tools-32088-8-piece-insulated-picofinish-precision-screwdriver-set")</f>
        <v/>
      </c>
      <c r="B1941" s="2">
        <f>HYPERLINK("https://edmondsonsupply.com/products/wiha-tools-32088-8-piece-insulated-picofinish-precision-screwdriver-set", "https://edmondsonsupply.com/products/wiha-tools-32088-8-piece-insulated-picofinish-precision-screwdriver-set")</f>
        <v/>
      </c>
      <c r="C1941" t="inlineStr">
        <is>
          <t>Wiha Tools 32088 8 Piece Insulated PicoFinish Precision Screwdriver Set</t>
        </is>
      </c>
      <c r="D1941" t="inlineStr">
        <is>
          <t>Wiha 28393 Insulated Slim Line Precision Pop Up Screwdriver Set, Slotted, 7-Piece, Red</t>
        </is>
      </c>
      <c r="E1941" s="2">
        <f>HYPERLINK("https://www.amazon.com/Wiha-28393-Insulated-Precision-Screwdriver/dp/B00U24VHWO/ref=sr_1_14?keywords=Wiha+Tools+32088+8+Piece+Insulated+PicoFinish+Precision+Screwdriver+Set&amp;qid=1694734876&amp;sr=8-14", "https://www.amazon.com/Wiha-28393-Insulated-Precision-Screwdriver/dp/B00U24VHWO/ref=sr_1_14?keywords=Wiha+Tools+32088+8+Piece+Insulated+PicoFinish+Precision+Screwdriver+Set&amp;qid=1694734876&amp;sr=8-14")</f>
        <v/>
      </c>
      <c r="F1941" t="inlineStr">
        <is>
          <t>B00U24VHWO</t>
        </is>
      </c>
      <c r="G1941">
        <f>_xlfn.IMAGE("https://edmondsonsupply.com/cdn/shop/files/ah1u5hviqxts6itxix4k_1000x_5285634c-51ad-48c4-987e-f1113aaa9ab9.webp?v=1690905519")</f>
        <v/>
      </c>
      <c r="H1941">
        <f>_xlfn.IMAGE("https://m.media-amazon.com/images/I/51UmI8TmYUL._AC_UL320_.jpg")</f>
        <v/>
      </c>
      <c r="K1941" t="inlineStr">
        <is>
          <t>64.55</t>
        </is>
      </c>
      <c r="L1941" t="n">
        <v>89.15000000000001</v>
      </c>
      <c r="M1941" s="1" t="inlineStr">
        <is>
          <t>38.11%</t>
        </is>
      </c>
      <c r="N1941" s="7" t="n">
        <v>-11.35</v>
      </c>
      <c r="O1941" t="n">
        <v>4.5</v>
      </c>
      <c r="P1941" t="n">
        <v>379</v>
      </c>
      <c r="R1941" t="inlineStr">
        <is>
          <t>InStock</t>
        </is>
      </c>
      <c r="S1941" t="inlineStr">
        <is>
          <t>86.07</t>
        </is>
      </c>
      <c r="T1941" t="inlineStr">
        <is>
          <t>8023413326040</t>
        </is>
      </c>
    </row>
    <row r="1942" hidden="1" ht="15.75" customHeight="1">
      <c r="A1942" s="2">
        <f>HYPERLINK("https://edmondsonsupply.com/collections/hvac/products/white-rodgers-50a55-843-integrated-furnace-control-board-universal-replacement", "https://edmondsonsupply.com/collections/hvac/products/white-rodgers-50a55-843-integrated-furnace-control-board-universal-replacement")</f>
        <v/>
      </c>
      <c r="B1942" s="2">
        <f>HYPERLINK("https://edmondsonsupply.com/products/white-rodgers-50a55-843-integrated-furnace-control-board-universal-replacement", "https://edmondsonsupply.com/products/white-rodgers-50a55-843-integrated-furnace-control-board-universal-replacement")</f>
        <v/>
      </c>
      <c r="C1942" t="inlineStr">
        <is>
          <t>White-Rodgers 50A55-843 Integrated Furnace Control Board, Universal Replacement</t>
        </is>
      </c>
      <c r="D1942" t="inlineStr">
        <is>
          <t>White-rodgers Universal Single Stage Hsi Integrated Furnace Control Kit 50m56u-843</t>
        </is>
      </c>
      <c r="E1942" s="2">
        <f>HYPERLINK("https://www.amazon.com/White-rodgers-Universal-Integrated-Furnace-50m56u-843/dp/B082J512XT/ref=sr_1_2?keywords=White-Rodgers+50A55-843+Integrated+Furnace+Control+Board%2C+Universal+Replacement&amp;qid=1694734619&amp;sr=8-2", "https://www.amazon.com/White-rodgers-Universal-Integrated-Furnace-50m56u-843/dp/B082J512XT/ref=sr_1_2?keywords=White-Rodgers+50A55-843+Integrated+Furnace+Control+Board%2C+Universal+Replacement&amp;qid=1694734619&amp;sr=8-2")</f>
        <v/>
      </c>
      <c r="F1942" t="inlineStr">
        <is>
          <t>B082J512XT</t>
        </is>
      </c>
      <c r="G1942">
        <f>_xludf.IMAGE("https://edmondsonsupply.com/cdn/shop/products/b-integrated-furnace-controls-universal-replacement-img-2a.jpg?v=1633030661")</f>
        <v/>
      </c>
      <c r="H1942">
        <f>_xludf.IMAGE("https://m.media-amazon.com/images/I/51hdpsDr8TL._AC_UL320_.jpg")</f>
        <v/>
      </c>
      <c r="K1942" t="inlineStr">
        <is>
          <t>135.23</t>
        </is>
      </c>
      <c r="L1942" t="n">
        <v>186.58</v>
      </c>
      <c r="M1942" s="1" t="inlineStr">
        <is>
          <t>37.97%</t>
        </is>
      </c>
      <c r="N1942" s="1" t="n">
        <v>-11.43</v>
      </c>
      <c r="O1942" t="n">
        <v>2.8</v>
      </c>
      <c r="P1942" t="n">
        <v>4</v>
      </c>
      <c r="R1942" t="inlineStr">
        <is>
          <t>InStock</t>
        </is>
      </c>
      <c r="S1942" t="inlineStr">
        <is>
          <t>309.09</t>
        </is>
      </c>
      <c r="T1942" t="inlineStr">
        <is>
          <t>5751568466088</t>
        </is>
      </c>
    </row>
    <row r="1943" hidden="1" ht="15.75" customHeight="1">
      <c r="A1943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943" s="2">
        <f>HYPERLINK("https://edmondsonsupply.com/products/packard-prmj270-motor-start-capacitor-270-324-mfd-330-vac", "https://edmondsonsupply.com/products/packard-prmj270-motor-start-capacitor-270-324-mfd-330-vac")</f>
        <v/>
      </c>
      <c r="C1943" t="inlineStr">
        <is>
          <t>Packard PRMJ270 Motor Start Capacitor 270-324 MFD 330 VAC</t>
        </is>
      </c>
      <c r="D1943" t="inlineStr">
        <is>
          <t>JOCOSA Motor Start Capacitor 270-324 uf/MFD 330V VAC 50/60 Hz AC Electric Round Start Capacitor Universal Replacement for Electric Motor Applications</t>
        </is>
      </c>
      <c r="E1943" s="2">
        <f>HYPERLINK("https://www.amazon.com/JOCOSA-Capacitor-Universal-Replacement-Applications/dp/B0C88Y5DC3/ref=sr_1_9?keywords=Packard+PRMJ270+Motor+Start+Capacitor+270-324+MFD+330+VAC&amp;qid=1694734674&amp;sr=8-9", "https://www.amazon.com/JOCOSA-Capacitor-Universal-Replacement-Applications/dp/B0C88Y5DC3/ref=sr_1_9?keywords=Packard+PRMJ270+Motor+Start+Capacitor+270-324+MFD+330+VAC&amp;qid=1694734674&amp;sr=8-9")</f>
        <v/>
      </c>
      <c r="F1943" t="inlineStr">
        <is>
          <t>B0C88Y5DC3</t>
        </is>
      </c>
      <c r="G1943">
        <f>_xludf.IMAGE("https://edmondsonsupply.com/cdn/shop/products/PRMJ270-2.jpg?v=1633030164")</f>
        <v/>
      </c>
      <c r="H1943">
        <f>_xludf.IMAGE("https://m.media-amazon.com/images/I/61+HV3vosBL._AC_UY218_.jpg")</f>
        <v/>
      </c>
      <c r="K1943" t="inlineStr">
        <is>
          <t>10.37</t>
        </is>
      </c>
      <c r="L1943" t="n">
        <v>14.29</v>
      </c>
      <c r="M1943" s="1" t="inlineStr">
        <is>
          <t>37.80%</t>
        </is>
      </c>
      <c r="N1943" s="1" t="n">
        <v>-11.56</v>
      </c>
      <c r="O1943" t="n">
        <v>5</v>
      </c>
      <c r="P1943" t="n">
        <v>3</v>
      </c>
      <c r="R1943" t="inlineStr">
        <is>
          <t>InStock</t>
        </is>
      </c>
      <c r="S1943" t="inlineStr">
        <is>
          <t>undefined</t>
        </is>
      </c>
      <c r="T1943" t="inlineStr">
        <is>
          <t>4298743185508</t>
        </is>
      </c>
    </row>
    <row r="1944" ht="87" customHeight="1">
      <c r="A1944" s="2">
        <f>HYPERLINK("https://edmondsonsupply.com/collections/hvac/products/cps-blackmax-bft850", "https://edmondsonsupply.com/collections/hvac/products/cps-blackmax-bft850")</f>
        <v/>
      </c>
      <c r="B1944" s="2">
        <f>HYPERLINK("https://edmondsonsupply.com/products/cps-blackmax-bft850", "https://edmondsonsupply.com/products/cps-blackmax-bft850")</f>
        <v/>
      </c>
      <c r="C1944" t="inlineStr">
        <is>
          <t>CPS BlackMax® BFT850 Eccentric Flaring Tool</t>
        </is>
      </c>
      <c r="D1944" t="inlineStr">
        <is>
          <t>CPS BFT850D Ultra-Lightweight R-410A Clutch-Type Eccentric Flaring Tool</t>
        </is>
      </c>
      <c r="E1944" s="2">
        <f>HYPERLINK("https://www.amazon.com/CPS-BFT850D-Ultra-Lightweight-Clutch-Type-Eccentric/dp/B06Y5TWHNQ/ref=sr_1_3?keywords=CPS+BlackMax%C2%AE+BFT850+Eccentric+Flaring+Tool&amp;qid=1694734833&amp;sr=8-3", "https://www.amazon.com/CPS-BFT850D-Ultra-Lightweight-Clutch-Type-Eccentric/dp/B06Y5TWHNQ/ref=sr_1_3?keywords=CPS+BlackMax%C2%AE+BFT850+Eccentric+Flaring+Tool&amp;qid=1694734833&amp;sr=8-3")</f>
        <v/>
      </c>
      <c r="F1944" t="inlineStr">
        <is>
          <t>B06Y5TWHNQ</t>
        </is>
      </c>
      <c r="G1944">
        <f>_xlfn.IMAGE("https://edmondsonsupply.com/cdn/shop/products/BFT850.jpg?v=1587147081")</f>
        <v/>
      </c>
      <c r="H1944">
        <f>_xlfn.IMAGE("https://m.media-amazon.com/images/I/51O8G9zDORL._AC_UL320_.jpg")</f>
        <v/>
      </c>
      <c r="K1944" t="inlineStr">
        <is>
          <t>142.65</t>
        </is>
      </c>
      <c r="L1944" t="n">
        <v>196.42</v>
      </c>
      <c r="M1944" s="1" t="inlineStr">
        <is>
          <t>37.69%</t>
        </is>
      </c>
      <c r="N1944" s="7" t="n">
        <v>-11.72</v>
      </c>
      <c r="O1944" t="n">
        <v>4.5</v>
      </c>
      <c r="P1944" t="n">
        <v>13</v>
      </c>
      <c r="R1944" t="inlineStr">
        <is>
          <t>InStock</t>
        </is>
      </c>
      <c r="S1944" t="inlineStr">
        <is>
          <t>164.6</t>
        </is>
      </c>
      <c r="T1944" t="inlineStr">
        <is>
          <t>2008905973860</t>
        </is>
      </c>
    </row>
    <row r="1945" ht="87" customHeight="1">
      <c r="A1945" s="2">
        <f>HYPERLINK("https://edmondsonsupply.com/collections/hvac/products/milwaukee-49-90-1900-hepa-filter", "https://edmondsonsupply.com/collections/hvac/products/milwaukee-49-90-1900-hepa-filter")</f>
        <v/>
      </c>
      <c r="B1945" s="2">
        <f>HYPERLINK("https://edmondsonsupply.com/products/milwaukee-49-90-1900-hepa-filter", "https://edmondsonsupply.com/products/milwaukee-49-90-1900-hepa-filter")</f>
        <v/>
      </c>
      <c r="C1945" t="inlineStr">
        <is>
          <t>Milwaukee 49-90-1900 HEPA Filter</t>
        </is>
      </c>
      <c r="D1945" t="inlineStr">
        <is>
          <t>PUREBURG Replacement Vacuum Dry HEPA Filter Compatible with Milwaukee Cordless Vacuum 49-90-0160 0882-20 M18, Part # 49-90-1951,Dust Clean,6-Pack</t>
        </is>
      </c>
      <c r="E1945" s="2">
        <f>HYPERLINK("https://www.amazon.com/PUREBURG-Replacement-Compatible-49-90-0160-49-90-1951/dp/B0B9M88T6D/ref=sr_1_13?keywords=Milwaukee+49-90-1900+HEPA+Filter&amp;qid=1694734913&amp;sr=8-13", "https://www.amazon.com/PUREBURG-Replacement-Compatible-49-90-0160-49-90-1951/dp/B0B9M88T6D/ref=sr_1_13?keywords=Milwaukee+49-90-1900+HEPA+Filter&amp;qid=1694734913&amp;sr=8-13")</f>
        <v/>
      </c>
      <c r="F1945" t="inlineStr">
        <is>
          <t>B0B9M88T6D</t>
        </is>
      </c>
      <c r="G1945">
        <f>_xlfn.IMAGE("https://edmondsonsupply.com/cdn/shop/files/49-90-1900_1.png?v=1686234774")</f>
        <v/>
      </c>
      <c r="H1945">
        <f>_xlfn.IMAGE("https://m.media-amazon.com/images/I/61FjWb041ML._AC_UL320_.jpg")</f>
        <v/>
      </c>
      <c r="K1945" t="inlineStr">
        <is>
          <t>24.98</t>
        </is>
      </c>
      <c r="L1945" t="n">
        <v>34.39</v>
      </c>
      <c r="M1945" s="1" t="inlineStr">
        <is>
          <t>37.67%</t>
        </is>
      </c>
      <c r="N1945" s="7" t="n">
        <v>-11.78</v>
      </c>
      <c r="O1945" t="n">
        <v>4.9</v>
      </c>
      <c r="P1945" t="n">
        <v>13</v>
      </c>
      <c r="R1945" t="inlineStr">
        <is>
          <t>InStock</t>
        </is>
      </c>
      <c r="S1945" t="inlineStr">
        <is>
          <t>40.0</t>
        </is>
      </c>
      <c r="T1945" t="inlineStr">
        <is>
          <t>8002625306840</t>
        </is>
      </c>
    </row>
    <row r="1946" ht="87" customHeight="1">
      <c r="A1946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1946" s="2">
        <f>HYPERLINK("https://edmondsonsupply.com/products/klein-tools-11046-wire-stripper-cutter-16-26-awg-stranded", "https://edmondsonsupply.com/products/klein-tools-11046-wire-stripper-cutter-16-26-awg-stranded")</f>
        <v/>
      </c>
      <c r="C1946" t="inlineStr">
        <is>
          <t>Klein Tools 11046 Wire Stripper/Cutter 16-26 AWG Stranded</t>
        </is>
      </c>
      <c r="D1946" t="inlineStr">
        <is>
          <t>Klein Tools 11061 Wire Stripper / Wire Cutter for Solid and Stranded AWG Wire, Heavy Duty Kleins are Self Adjusting,Blue/Black</t>
        </is>
      </c>
      <c r="E1946" s="2">
        <f>HYPERLINK("https://www.amazon.com/Self-Adjusting-Stripper-Klein-Tools-11061/dp/B00CXKOEQ6/ref=sr_1_9?keywords=Klein+Tools+11046+Wire+Stripper%2FCutter+16-26+AWG+Stranded&amp;qid=1694734810&amp;sr=8-9", "https://www.amazon.com/Self-Adjusting-Stripper-Klein-Tools-11061/dp/B00CXKOEQ6/ref=sr_1_9?keywords=Klein+Tools+11046+Wire+Stripper%2FCutter+16-26+AWG+Stranded&amp;qid=1694734810&amp;sr=8-9")</f>
        <v/>
      </c>
      <c r="F1946" t="inlineStr">
        <is>
          <t>B00CXKOEQ6</t>
        </is>
      </c>
      <c r="G1946">
        <f>_xlfn.IMAGE("https://edmondsonsupply.com/cdn/shop/products/11046.jpg?v=1587147965")</f>
        <v/>
      </c>
      <c r="H1946">
        <f>_xlfn.IMAGE("https://m.media-amazon.com/images/I/61nMz2jkNIL._AC_UL320_.jpg")</f>
        <v/>
      </c>
      <c r="K1946" t="inlineStr">
        <is>
          <t>15.97</t>
        </is>
      </c>
      <c r="L1946" t="n">
        <v>21.97</v>
      </c>
      <c r="M1946" s="1" t="inlineStr">
        <is>
          <t>37.57%</t>
        </is>
      </c>
      <c r="N1946" s="7" t="n">
        <v>-11.97</v>
      </c>
      <c r="O1946" t="n">
        <v>4.6</v>
      </c>
      <c r="P1946" t="n">
        <v>7723</v>
      </c>
      <c r="R1946" t="inlineStr">
        <is>
          <t>InStock</t>
        </is>
      </c>
      <c r="S1946" t="inlineStr">
        <is>
          <t>23.56</t>
        </is>
      </c>
      <c r="T1946" t="inlineStr">
        <is>
          <t>3688603910244</t>
        </is>
      </c>
    </row>
    <row r="1947" ht="87" customHeight="1">
      <c r="A1947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947" s="2">
        <f>HYPERLINK("https://edmondsonsupply.com/products/klein-tools-32314-14-in-1-precision-screwdriver-nut-driver", "https://edmondsonsupply.com/products/klein-tools-32314-14-in-1-precision-screwdriver-nut-driver")</f>
        <v/>
      </c>
      <c r="C1947" t="inlineStr">
        <is>
          <t>Klein Tools 32314 14-in-1 Precision Screwdriver/ Nut Driver</t>
        </is>
      </c>
      <c r="D1947" t="inlineStr">
        <is>
          <t>Klein Tools 32305 Multi-bit Ratcheting Screwdriver, 15-in-1 Tool with Phillips, Slotted, Square, Torx and Combo Bits and 1/4-Inch Nut Driver</t>
        </is>
      </c>
      <c r="E1947" s="2">
        <f>HYPERLINK("https://www.amazon.com/Klein-Tools-32305-Ratcheting-Screwdriver/dp/B08KFMHQCP/ref=sr_1_36?keywords=Klein+Tools+32314+14-in-1+Precision+Screwdriver%2F+Nut+Driver&amp;qid=1694734697&amp;sr=8-36", "https://www.amazon.com/Klein-Tools-32305-Ratcheting-Screwdriver/dp/B08KFMHQCP/ref=sr_1_36?keywords=Klein+Tools+32314+14-in-1+Precision+Screwdriver%2F+Nut+Driver&amp;qid=1694734697&amp;sr=8-36")</f>
        <v/>
      </c>
      <c r="F1947" t="inlineStr">
        <is>
          <t>B08KFMHQCP</t>
        </is>
      </c>
      <c r="G1947">
        <f>_xlfn.IMAGE("https://edmondsonsupply.com/cdn/shop/products/32314.jpg?v=1646593726")</f>
        <v/>
      </c>
      <c r="H1947">
        <f>_xlfn.IMAGE("https://m.media-amazon.com/images/I/51jA6YSPgmL._AC_UL320_.jpg")</f>
        <v/>
      </c>
      <c r="K1947" t="inlineStr">
        <is>
          <t>15.97</t>
        </is>
      </c>
      <c r="L1947" t="n">
        <v>21.97</v>
      </c>
      <c r="M1947" s="1" t="inlineStr">
        <is>
          <t>37.57%</t>
        </is>
      </c>
      <c r="N1947" s="7" t="n">
        <v>-12</v>
      </c>
      <c r="O1947" t="n">
        <v>4.7</v>
      </c>
      <c r="P1947" t="n">
        <v>6042</v>
      </c>
      <c r="R1947" t="inlineStr">
        <is>
          <t>InStock</t>
        </is>
      </c>
      <c r="S1947" t="inlineStr">
        <is>
          <t>22.38</t>
        </is>
      </c>
      <c r="T1947" t="inlineStr">
        <is>
          <t>7626984947928</t>
        </is>
      </c>
    </row>
    <row r="1948" ht="87" customHeight="1">
      <c r="A1948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1948" s="2">
        <f>HYPERLINK("https://edmondsonsupply.com/products/klein-tools-32314-14-in-1-precision-screwdriver-nut-driver", "https://edmondsonsupply.com/products/klein-tools-32314-14-in-1-precision-screwdriver-nut-driver")</f>
        <v/>
      </c>
      <c r="C1948" t="inlineStr">
        <is>
          <t>Klein Tools 32314 14-in-1 Precision Screwdriver/ Nut Driver</t>
        </is>
      </c>
      <c r="D1948" t="inlineStr">
        <is>
          <t>Klein Tools 32500HD Multi-Bit Screwdriver / Nut Driver, Impact Rated 11-in-1 Tool with Phillips, Slotted, Square and Torx Tips</t>
        </is>
      </c>
      <c r="E1948" s="2">
        <f>HYPERLINK("https://www.amazon.com/Klein-Tools-32500HD-Multi-Bit-Screwdriver/dp/B0C9V6NYZ4/ref=sr_1_16?keywords=Klein+Tools+32314+14-in-1+Precision+Screwdriver%2F+Nut+Driver&amp;qid=1694734697&amp;sr=8-16", "https://www.amazon.com/Klein-Tools-32500HD-Multi-Bit-Screwdriver/dp/B0C9V6NYZ4/ref=sr_1_16?keywords=Klein+Tools+32314+14-in-1+Precision+Screwdriver%2F+Nut+Driver&amp;qid=1694734697&amp;sr=8-16")</f>
        <v/>
      </c>
      <c r="F1948" t="inlineStr">
        <is>
          <t>B0C9V6NYZ4</t>
        </is>
      </c>
      <c r="G1948">
        <f>_xlfn.IMAGE("https://edmondsonsupply.com/cdn/shop/products/32314.jpg?v=1646593726")</f>
        <v/>
      </c>
      <c r="H1948">
        <f>_xlfn.IMAGE("https://m.media-amazon.com/images/I/41OcyKmA3fL._AC_UL320_.jpg")</f>
        <v/>
      </c>
      <c r="K1948" t="inlineStr">
        <is>
          <t>15.97</t>
        </is>
      </c>
      <c r="L1948" t="n">
        <v>21.97</v>
      </c>
      <c r="M1948" s="1" t="inlineStr">
        <is>
          <t>37.57%</t>
        </is>
      </c>
      <c r="N1948" s="7" t="n">
        <v>-12.04</v>
      </c>
      <c r="O1948" t="n">
        <v>4.6</v>
      </c>
      <c r="P1948" t="n">
        <v>41</v>
      </c>
      <c r="R1948" t="inlineStr">
        <is>
          <t>InStock</t>
        </is>
      </c>
      <c r="S1948" t="inlineStr">
        <is>
          <t>22.38</t>
        </is>
      </c>
      <c r="T1948" t="inlineStr">
        <is>
          <t>7626984947928</t>
        </is>
      </c>
    </row>
    <row r="1949" ht="87" customHeight="1">
      <c r="A1949" s="2">
        <f>HYPERLINK("https://edmondsonsupply.com/collections/hvac/products/kroil-ks132-original-penetrant-aerosol-13oz-can", "https://edmondsonsupply.com/collections/hvac/products/kroil-ks132-original-penetrant-aerosol-13oz-can")</f>
        <v/>
      </c>
      <c r="B1949" s="2">
        <f>HYPERLINK("https://edmondsonsupply.com/products/kroil-ks132-original-penetrant-aerosol-13oz-can", "https://edmondsonsupply.com/products/kroil-ks132-original-penetrant-aerosol-13oz-can")</f>
        <v/>
      </c>
      <c r="C1949" t="inlineStr">
        <is>
          <t>Kroil KS132 Original Penetrant Aerosol 13oz can</t>
        </is>
      </c>
      <c r="D1949" t="inlineStr">
        <is>
          <t>Kroil Original Penetrating Oil (Aerosol Spray-16.5oz Can-Single) | Penetrant for Rusted Bolts, Metal, Hinges, Chains, Moving Parts | Rust, Corrosion Inhibitor (KS162)</t>
        </is>
      </c>
      <c r="E1949" s="2">
        <f>HYPERLINK("https://www.amazon.com/Penetrating-Spray-16-5oz-Can-Single-Penetrant-Corrosion/dp/B005ESIHZI/ref=sr_1_2?keywords=Kroil+KS132+Original+Penetrant+Aerosol+13oz+can&amp;qid=1694734905&amp;sr=8-2", "https://www.amazon.com/Penetrating-Spray-16-5oz-Can-Single-Penetrant-Corrosion/dp/B005ESIHZI/ref=sr_1_2?keywords=Kroil+KS132+Original+Penetrant+Aerosol+13oz+can&amp;qid=1694734905&amp;sr=8-2")</f>
        <v/>
      </c>
      <c r="F1949" t="inlineStr">
        <is>
          <t>B005ESIHZI</t>
        </is>
      </c>
      <c r="G1949">
        <f>_xlfn.IMAGE("https://edmondsonsupply.com/cdn/shop/files/ks132.webp?v=1686779771")</f>
        <v/>
      </c>
      <c r="H1949">
        <f>_xlfn.IMAGE("https://m.media-amazon.com/images/I/51mtHxiqoDL._AC_UY218_.jpg")</f>
        <v/>
      </c>
      <c r="K1949" t="inlineStr">
        <is>
          <t>23.79</t>
        </is>
      </c>
      <c r="L1949" t="n">
        <v>32.71</v>
      </c>
      <c r="M1949" s="1" t="inlineStr">
        <is>
          <t>37.49%</t>
        </is>
      </c>
      <c r="N1949" s="7" t="n">
        <v>-12.08</v>
      </c>
      <c r="O1949" t="n">
        <v>4.8</v>
      </c>
      <c r="P1949" t="n">
        <v>2787</v>
      </c>
      <c r="R1949" t="inlineStr">
        <is>
          <t>InStock</t>
        </is>
      </c>
      <c r="S1949" t="inlineStr">
        <is>
          <t>27.4</t>
        </is>
      </c>
      <c r="T1949" t="inlineStr">
        <is>
          <t>8005750554840</t>
        </is>
      </c>
    </row>
    <row r="1950" ht="87" customHeight="1">
      <c r="A1950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1950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1950" t="inlineStr">
        <is>
          <t>Klein Tools 55600 Tradesman Pro™ Tough Box Cooler, 17-Quart</t>
        </is>
      </c>
      <c r="D1950" t="inlineStr">
        <is>
          <t>Klein Tools 55600 Work Cooler, 17-Quart Lunch Box Holds 18 Cans &amp; Klein Tools 55580 Stainless Steel Tumbler with Flip-top Lid, Insulated 20 oz. Tradesman's Double Wall Vacuum Mug</t>
        </is>
      </c>
      <c r="E1950" s="2">
        <f>HYPERLINK("https://www.amazon.com/Klein-Tools-Stainless-Insulated-Tradesmans/dp/B09P846GLG/ref=sr_1_9?keywords=Klein+Tools+55600+Tradesman+Pro%E2%84%A2+Tough+Box+Cooler%2C+17-Quart&amp;qid=1694734812&amp;sr=8-9", "https://www.amazon.com/Klein-Tools-Stainless-Insulated-Tradesmans/dp/B09P846GLG/ref=sr_1_9?keywords=Klein+Tools+55600+Tradesman+Pro%E2%84%A2+Tough+Box+Cooler%2C+17-Quart&amp;qid=1694734812&amp;sr=8-9")</f>
        <v/>
      </c>
      <c r="F1950" t="inlineStr">
        <is>
          <t>B09P846GLG</t>
        </is>
      </c>
      <c r="G1950">
        <f>_xlfn.IMAGE("https://edmondsonsupply.com/cdn/shop/products/55600.jpg?v=1587145287")</f>
        <v/>
      </c>
      <c r="H1950">
        <f>_xlfn.IMAGE("https://m.media-amazon.com/images/I/51EpNPyb4WL._AC_UL320_.jpg")</f>
        <v/>
      </c>
      <c r="K1950" t="inlineStr">
        <is>
          <t>64.97</t>
        </is>
      </c>
      <c r="L1950" t="n">
        <v>89.33</v>
      </c>
      <c r="M1950" s="1" t="inlineStr">
        <is>
          <t>37.49%</t>
        </is>
      </c>
      <c r="N1950" s="7" t="n">
        <v>-12.08</v>
      </c>
      <c r="O1950" t="n">
        <v>4.7</v>
      </c>
      <c r="P1950" t="n">
        <v>33</v>
      </c>
      <c r="R1950" t="inlineStr">
        <is>
          <t>InStock</t>
        </is>
      </c>
      <c r="S1950" t="inlineStr">
        <is>
          <t>91.98</t>
        </is>
      </c>
      <c r="T1950" t="inlineStr">
        <is>
          <t>1707778277476</t>
        </is>
      </c>
    </row>
    <row r="1951" hidden="1" ht="15.75" customHeight="1">
      <c r="A1951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1951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1951" t="inlineStr">
        <is>
          <t>Klein Tools JTH6E14 5/16-Inch Hex Key with Journeyman T-Handle, 6-Inch</t>
        </is>
      </c>
      <c r="D1951" t="inlineStr">
        <is>
          <t>Klein Tools JTH6T27 T27 TORX Hex Key, Journeyman T-Handle, 6-Inch</t>
        </is>
      </c>
      <c r="E1951" s="2">
        <f>HYPERLINK("https://www.amazon.com/Journeyman-T-Handle-Klein-Tools-JTH6T27/dp/B005G3B4MO/ref=sr_1_9?keywords=Klein+Tools+JTH6E14+5%2F16-Inch+Hex+Key+with+Journeyman+T-Handle%2C+6-Inch&amp;qid=1694734648&amp;sr=8-9", "https://www.amazon.com/Journeyman-T-Handle-Klein-Tools-JTH6T27/dp/B005G3B4MO/ref=sr_1_9?keywords=Klein+Tools+JTH6E14+5%2F16-Inch+Hex+Key+with+Journeyman+T-Handle%2C+6-Inch&amp;qid=1694734648&amp;sr=8-9")</f>
        <v/>
      </c>
      <c r="F1951" t="inlineStr">
        <is>
          <t>B005G3B4MO</t>
        </is>
      </c>
      <c r="G1951">
        <f>_xludf.IMAGE("https://edmondsonsupply.com/cdn/shop/products/jth6e15.jpg?v=1587148489")</f>
        <v/>
      </c>
      <c r="H1951">
        <f>_xludf.IMAGE("https://m.media-amazon.com/images/I/51Xj0Vsb-EL._AC_UL320_.jpg")</f>
        <v/>
      </c>
      <c r="K1951" t="inlineStr">
        <is>
          <t>6.99</t>
        </is>
      </c>
      <c r="L1951" t="n">
        <v>9.59</v>
      </c>
      <c r="M1951" s="1" t="inlineStr">
        <is>
          <t>37.20%</t>
        </is>
      </c>
      <c r="N1951" s="1" t="n">
        <v>-12.19</v>
      </c>
      <c r="O1951" t="n">
        <v>4.8</v>
      </c>
      <c r="P1951" t="n">
        <v>1540</v>
      </c>
      <c r="R1951" t="inlineStr">
        <is>
          <t>InStock</t>
        </is>
      </c>
      <c r="S1951" t="inlineStr">
        <is>
          <t>10.5</t>
        </is>
      </c>
      <c r="T1951" t="inlineStr">
        <is>
          <t>3694843822180</t>
        </is>
      </c>
    </row>
    <row r="1952" ht="87" customHeight="1">
      <c r="A1952" s="2">
        <f>HYPERLINK("https://edmondsonsupply.com/collections/hvac/products/uei-dl429b-true-rms-digital-clamp-meter-w-wireless-and-differential-temperature", "https://edmondsonsupply.com/collections/hvac/products/uei-dl429b-true-rms-digital-clamp-meter-w-wireless-and-differential-temperature")</f>
        <v/>
      </c>
      <c r="B1952" s="2">
        <f>HYPERLINK("https://edmondsonsupply.com/products/uei-dl429b-true-rms-digital-clamp-meter-w-wireless-and-differential-temperature", "https://edmondsonsupply.com/products/uei-dl429b-true-rms-digital-clamp-meter-w-wireless-and-differential-temperature")</f>
        <v/>
      </c>
      <c r="C1952" t="inlineStr">
        <is>
          <t>UEi DL479 AC 600A True RMS HVAC/R Clamp Meter</t>
        </is>
      </c>
      <c r="D1952" t="inlineStr">
        <is>
          <t>UEi DL489 Digital Clamp Meter HVAC Amp Meter True RMS Multimeter Auto-ranging 6000 Counts Voltage Tester, Measures Inrush AC/DC Current Voltage Temperature Capacitance Resistance Diodes Frequency NCV</t>
        </is>
      </c>
      <c r="E1952" s="2">
        <f>HYPERLINK("https://www.amazon.com/UEi-Test-Instruments-DL489-Meter/dp/B076BZ9Q69/ref=sr_1_2?keywords=UEi+DL479+AC+600A+True+RMS+HVAC%2FR+Clamp+Meter&amp;qid=1694734735&amp;sr=8-2", "https://www.amazon.com/UEi-Test-Instruments-DL489-Meter/dp/B076BZ9Q69/ref=sr_1_2?keywords=UEi+DL479+AC+600A+True+RMS+HVAC%2FR+Clamp+Meter&amp;qid=1694734735&amp;sr=8-2")</f>
        <v/>
      </c>
      <c r="F1952" t="inlineStr">
        <is>
          <t>B076BZ9Q69</t>
        </is>
      </c>
      <c r="G1952">
        <f>_xlfn.IMAGE("https://edmondsonsupply.com/cdn/shop/products/DL479-1.jpg?v=1587142104")</f>
        <v/>
      </c>
      <c r="H1952">
        <f>_xlfn.IMAGE("https://m.media-amazon.com/images/I/61mNU-6C5eL._AC_UY218_.jpg")</f>
        <v/>
      </c>
      <c r="K1952" t="inlineStr">
        <is>
          <t>138.51</t>
        </is>
      </c>
      <c r="L1952" t="n">
        <v>189.95</v>
      </c>
      <c r="M1952" s="1" t="inlineStr">
        <is>
          <t>37.14%</t>
        </is>
      </c>
      <c r="N1952" s="7" t="n">
        <v>-12.37</v>
      </c>
      <c r="O1952" t="n">
        <v>4.4</v>
      </c>
      <c r="P1952" t="n">
        <v>263</v>
      </c>
      <c r="R1952" t="inlineStr">
        <is>
          <t>OutOfStock</t>
        </is>
      </c>
      <c r="S1952" t="inlineStr">
        <is>
          <t>162.95</t>
        </is>
      </c>
      <c r="T1952" t="inlineStr">
        <is>
          <t>3564094488676</t>
        </is>
      </c>
    </row>
    <row r="1953" ht="87" customHeight="1">
      <c r="A1953" s="2">
        <f>HYPERLINK("https://edmondsonsupply.com/collections/hvac/products/rectorseal-83114-ez-trap-113b-3-4-crs-trap-kit-w-brush", "https://edmondsonsupply.com/collections/hvac/products/rectorseal-83114-ez-trap-113b-3-4-crs-trap-kit-w-brush")</f>
        <v/>
      </c>
      <c r="B1953" s="2">
        <f>HYPERLINK("https://edmondsonsupply.com/products/rectorseal-83114-ez-trap-113b-3-4-crs-trap-kit-w-brush", "https://edmondsonsupply.com/products/rectorseal-83114-ez-trap-113b-3-4-crs-trap-kit-w-brush")</f>
        <v/>
      </c>
      <c r="C1953" t="inlineStr">
        <is>
          <t>Rectorseal 83114 EZ Trap 113B 3/4" CRS Trap Kit W/Brush</t>
        </is>
      </c>
      <c r="D1953" t="inlineStr">
        <is>
          <t>Rectorseal Corp. EZT113B EZ TRAP 3/4"ECONMY CROSS TRAP KIT W/BRSH</t>
        </is>
      </c>
      <c r="E1953" s="2">
        <f>HYPERLINK("https://www.amazon.com/Rectorseal-Corp-EZT113B-ECONMY-CROSS/dp/B00QW2KVRC/ref=sr_1_1?keywords=Rectorseal+83114+EZ+Trap+113B+3%2F4%22+CRS+Trap+Kit+W%2FBrush&amp;qid=1694734871&amp;sr=8-1", "https://www.amazon.com/Rectorseal-Corp-EZT113B-ECONMY-CROSS/dp/B00QW2KVRC/ref=sr_1_1?keywords=Rectorseal+83114+EZ+Trap+113B+3%2F4%22+CRS+Trap+Kit+W%2FBrush&amp;qid=1694734871&amp;sr=8-1")</f>
        <v/>
      </c>
      <c r="F1953" t="inlineStr">
        <is>
          <t>B00QW2KVRC</t>
        </is>
      </c>
      <c r="G1953">
        <f>_xlfn.IMAGE("https://edmondsonsupply.com/cdn/shop/files/83114.png?v=1690565153")</f>
        <v/>
      </c>
      <c r="H1953">
        <f>_xlfn.IMAGE("https://m.media-amazon.com/images/I/61HQhnxiV0L._AC_UL320_.jpg")</f>
        <v/>
      </c>
      <c r="K1953" t="inlineStr">
        <is>
          <t>22.02</t>
        </is>
      </c>
      <c r="L1953" t="n">
        <v>30.19</v>
      </c>
      <c r="M1953" s="1" t="inlineStr">
        <is>
          <t>37.10%</t>
        </is>
      </c>
      <c r="N1953" s="7" t="n">
        <v>-12.53</v>
      </c>
      <c r="O1953" t="n">
        <v>5</v>
      </c>
      <c r="P1953" t="n">
        <v>4</v>
      </c>
      <c r="R1953" t="inlineStr">
        <is>
          <t>InStock</t>
        </is>
      </c>
      <c r="S1953" t="inlineStr">
        <is>
          <t>undefined</t>
        </is>
      </c>
      <c r="T1953" t="inlineStr">
        <is>
          <t>8021228617944</t>
        </is>
      </c>
    </row>
    <row r="1954" ht="87" customHeight="1">
      <c r="A1954" s="2">
        <f>HYPERLINK("https://edmondsonsupply.com/collections/hvac/products/midwest-mwt-p6510rls-left-right-straight-offset-aviation-3-piece-set", "https://edmondsonsupply.com/collections/hvac/products/midwest-mwt-p6510rls-left-right-straight-offset-aviation-3-piece-set")</f>
        <v/>
      </c>
      <c r="B1954" s="2">
        <f>HYPERLINK("https://edmondsonsupply.com/products/midwest-mwt-p6510rls-left-right-straight-offset-aviation-3-piece-set", "https://edmondsonsupply.com/products/midwest-mwt-p6510rls-left-right-straight-offset-aviation-3-piece-set")</f>
        <v/>
      </c>
      <c r="C1954" t="inlineStr">
        <is>
          <t>Midwest MWT-P6510RLS Left, Right &amp; Straight Offset Aviation 3-Piece Set</t>
        </is>
      </c>
      <c r="D1954" t="inlineStr">
        <is>
          <t>MIDWEST Aviation Snip Set - Left, Right and Straight Cut Offset Tin Cutting Shears with Forged Blade &amp; KUSH'N-POWER Comfort Grips - MWT-6510RLS</t>
        </is>
      </c>
      <c r="E1954" s="2">
        <f>HYPERLINK("https://www.amazon.com/MIDWEST-Aviation-Snip-Set-KUSHN-POWER/dp/B008PH12VG/ref=sr_1_1?keywords=Midwest+MWT-P6510RLS+Left%2C+Right+%26+Straight+Offset+Aviation+3-Piece+Set&amp;qid=1694734611&amp;sr=8-1", "https://www.amazon.com/MIDWEST-Aviation-Snip-Set-KUSHN-POWER/dp/B008PH12VG/ref=sr_1_1?keywords=Midwest+MWT-P6510RLS+Left%2C+Right+%26+Straight+Offset+Aviation+3-Piece+Set&amp;qid=1694734611&amp;sr=8-1")</f>
        <v/>
      </c>
      <c r="F1954" t="inlineStr">
        <is>
          <t>B008PH12VG</t>
        </is>
      </c>
      <c r="G1954">
        <f>_xlfn.IMAGE("https://edmondsonsupply.com/cdn/shop/products/MW-P6510RLS1.jpg?v=1587142617")</f>
        <v/>
      </c>
      <c r="H1954">
        <f>_xlfn.IMAGE("https://m.media-amazon.com/images/I/61kp6K+LchL._AC_UL320_.jpg")</f>
        <v/>
      </c>
      <c r="K1954" t="inlineStr">
        <is>
          <t>70.99</t>
        </is>
      </c>
      <c r="L1954" t="n">
        <v>97.3</v>
      </c>
      <c r="M1954" s="1" t="inlineStr">
        <is>
          <t>37.06%</t>
        </is>
      </c>
      <c r="N1954" s="7" t="n">
        <v>-12.69</v>
      </c>
      <c r="O1954" t="n">
        <v>4.7</v>
      </c>
      <c r="P1954" t="n">
        <v>2712</v>
      </c>
      <c r="R1954" t="inlineStr">
        <is>
          <t>InStock</t>
        </is>
      </c>
      <c r="S1954" t="inlineStr">
        <is>
          <t>95.54</t>
        </is>
      </c>
      <c r="T1954" t="inlineStr">
        <is>
          <t>4508629041252</t>
        </is>
      </c>
    </row>
    <row r="1955" ht="87" customHeight="1">
      <c r="A1955" s="2">
        <f>HYPERLINK("https://edmondsonsupply.com/collections/hvac/products/channellock-804", "https://edmondsonsupply.com/collections/hvac/products/channellock-804")</f>
        <v/>
      </c>
      <c r="B1955" s="2">
        <f>HYPERLINK("https://edmondsonsupply.com/products/channellock-804", "https://edmondsonsupply.com/products/channellock-804")</f>
        <v/>
      </c>
      <c r="C1955" t="inlineStr">
        <is>
          <t>Channellock 804 4-Inch Chrome Adjustable Wrench</t>
        </is>
      </c>
      <c r="D1955" t="inlineStr">
        <is>
          <t>Channellock 804N Adjustable Wrench Black Phosphate Coated, 4.5-Inch</t>
        </is>
      </c>
      <c r="E1955" s="2">
        <f>HYPERLINK("https://www.amazon.com/Channellock-804N-Adjustable-Phosphate-4-5-Inch/dp/B000REGV8Y/ref=sr_1_9?keywords=Channellock+804+4-Inch+Chrome+Adjustable+Wrench&amp;qid=1694734791&amp;sr=8-9", "https://www.amazon.com/Channellock-804N-Adjustable-Phosphate-4-5-Inch/dp/B000REGV8Y/ref=sr_1_9?keywords=Channellock+804+4-Inch+Chrome+Adjustable+Wrench&amp;qid=1694734791&amp;sr=8-9")</f>
        <v/>
      </c>
      <c r="F1955" t="inlineStr">
        <is>
          <t>B000REGV8Y</t>
        </is>
      </c>
      <c r="G1955">
        <f>_xlfn.IMAGE("https://edmondsonsupply.com/cdn/shop/products/804-683x1024.jpg?v=1587145853")</f>
        <v/>
      </c>
      <c r="H1955">
        <f>_xlfn.IMAGE("https://m.media-amazon.com/images/I/71Coqqt+FuL._AC_UL320_.jpg")</f>
        <v/>
      </c>
      <c r="K1955" t="inlineStr">
        <is>
          <t>16.95</t>
        </is>
      </c>
      <c r="L1955" t="n">
        <v>23.23</v>
      </c>
      <c r="M1955" s="1" t="inlineStr">
        <is>
          <t>37.05%</t>
        </is>
      </c>
      <c r="N1955" s="7" t="n">
        <v>-13.3</v>
      </c>
      <c r="O1955" t="n">
        <v>4.7</v>
      </c>
      <c r="P1955" t="n">
        <v>517</v>
      </c>
      <c r="R1955" t="inlineStr">
        <is>
          <t>InStock</t>
        </is>
      </c>
      <c r="S1955" t="inlineStr">
        <is>
          <t>26.62</t>
        </is>
      </c>
      <c r="T1955" t="inlineStr">
        <is>
          <t>4094611488868</t>
        </is>
      </c>
    </row>
    <row r="1956" hidden="1" ht="15.75" customHeight="1">
      <c r="A1956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1956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1956" t="inlineStr">
        <is>
          <t>Klein Tools 646-1/4 1/4-Inch Nut Driver with 6-Inch Hollow Shaft</t>
        </is>
      </c>
      <c r="D1956" t="inlineStr">
        <is>
          <t>Klein Tools 635-1/4 1/4-Inch Heavy Duty Nut Driver with Magnetic Tip, 4-Inch Hollow Shaft, Cushion Grip Handle</t>
        </is>
      </c>
      <c r="E1956" s="2">
        <f>HYPERLINK("https://www.amazon.com/4-Inch-Magnetic-Cushion-Klein-Tools/dp/B01D6DZRFA/ref=sr_1_6?keywords=Klein+Tools+646-1%2F4+1%2F4-Inch+Nut+Driver+with+6-Inch+Hollow+Shaft&amp;qid=1694734727&amp;sr=8-6", "https://www.amazon.com/4-Inch-Magnetic-Cushion-Klein-Tools/dp/B01D6DZRFA/ref=sr_1_6?keywords=Klein+Tools+646-1%2F4+1%2F4-Inch+Nut+Driver+with+6-Inch+Hollow+Shaft&amp;qid=1694734727&amp;sr=8-6")</f>
        <v/>
      </c>
      <c r="F1956" t="inlineStr">
        <is>
          <t>B01D6DZRFA</t>
        </is>
      </c>
      <c r="G1956">
        <f>_xludf.IMAGE("https://edmondsonsupply.com/cdn/shop/products/646-1-2_08d87fa9-eac4-4869-8d3b-bb680d4b1d53.jpg?v=1587150676")</f>
        <v/>
      </c>
      <c r="H1956">
        <f>_xludf.IMAGE("https://m.media-amazon.com/images/I/41DrStZKvjL._AC_UL320_.jpg")</f>
        <v/>
      </c>
      <c r="K1956" t="inlineStr">
        <is>
          <t>7.99</t>
        </is>
      </c>
      <c r="L1956" t="n">
        <v>10.91</v>
      </c>
      <c r="M1956" s="1" t="inlineStr">
        <is>
          <t>36.55%</t>
        </is>
      </c>
      <c r="N1956" s="1" t="n">
        <v>-13.36</v>
      </c>
      <c r="O1956" t="n">
        <v>4.7</v>
      </c>
      <c r="P1956" t="n">
        <v>999</v>
      </c>
      <c r="R1956" t="inlineStr">
        <is>
          <t>InStock</t>
        </is>
      </c>
      <c r="S1956" t="inlineStr">
        <is>
          <t>12.1</t>
        </is>
      </c>
      <c r="T1956" t="inlineStr">
        <is>
          <t>4439433740388</t>
        </is>
      </c>
    </row>
    <row r="1957" ht="87" customHeight="1">
      <c r="A1957" s="2">
        <f>HYPERLINK("https://edmondsonsupply.com/collections/hvac/products/hilmor-1890999-cbrbm-compact-bender-reverse-bending-mandrel-attachment", "https://edmondsonsupply.com/collections/hvac/products/hilmor-1890999-cbrbm-compact-bender-reverse-bending-mandrel-attachment")</f>
        <v/>
      </c>
      <c r="B1957" s="2">
        <f>HYPERLINK("https://edmondsonsupply.com/products/hilmor-1890999-cbrbm-compact-bender-reverse-bending-mandrel-attachment", "https://edmondsonsupply.com/products/hilmor-1890999-cbrbm-compact-bender-reverse-bending-mandrel-attachment")</f>
        <v/>
      </c>
      <c r="C1957" t="inlineStr">
        <is>
          <t>Hilmor 1890999 CBRBM Compact Bender Reverse Bending Mandrel Attachment</t>
        </is>
      </c>
      <c r="D1957" t="inlineStr">
        <is>
          <t>Hilmor Reverse Bending Attachment - HVAC Tool Tube Bender, Black, CBRBM 1890999</t>
        </is>
      </c>
      <c r="E1957" s="2">
        <f>HYPERLINK("https://www.amazon.com/hilmor-Reverse-Bending-Attachment-189099/dp/B00X9BJPWQ/ref=sr_1_1?keywords=Hilmor+1890999+CBRBM+Compact+Bender+Reverse+Bending+Mandrel+Attachment&amp;qid=1694734746&amp;sr=8-1", "https://www.amazon.com/hilmor-Reverse-Bending-Attachment-189099/dp/B00X9BJPWQ/ref=sr_1_1?keywords=Hilmor+1890999+CBRBM+Compact+Bender+Reverse+Bending+Mandrel+Attachment&amp;qid=1694734746&amp;sr=8-1")</f>
        <v/>
      </c>
      <c r="F1957" t="inlineStr">
        <is>
          <t>B00X9BJPWQ</t>
        </is>
      </c>
      <c r="G1957">
        <f>_xlfn.IMAGE("https://edmondsonsupply.com/cdn/shop/products/1890999-O1.jpg?v=1587150743")</f>
        <v/>
      </c>
      <c r="H1957">
        <f>_xlfn.IMAGE("https://m.media-amazon.com/images/I/61QKj4HWk3L._AC_UL320_.jpg")</f>
        <v/>
      </c>
      <c r="K1957" t="inlineStr">
        <is>
          <t>75.69</t>
        </is>
      </c>
      <c r="L1957" t="n">
        <v>103.24</v>
      </c>
      <c r="M1957" s="1" t="inlineStr">
        <is>
          <t>36.40%</t>
        </is>
      </c>
      <c r="N1957" s="7" t="n">
        <v>-13.83</v>
      </c>
      <c r="O1957" t="n">
        <v>4.7</v>
      </c>
      <c r="P1957" t="n">
        <v>199</v>
      </c>
      <c r="R1957" t="inlineStr">
        <is>
          <t>InStock</t>
        </is>
      </c>
      <c r="S1957" t="inlineStr">
        <is>
          <t>258.84</t>
        </is>
      </c>
      <c r="T1957" t="inlineStr">
        <is>
          <t>3535889530980</t>
        </is>
      </c>
    </row>
    <row r="1958" ht="87" customHeight="1">
      <c r="A1958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1958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1958" t="inlineStr">
        <is>
          <t>ICM Controls ICM2811 Furnace Control Board - Replacement for Goodman</t>
        </is>
      </c>
      <c r="D1958" t="inlineStr">
        <is>
          <t>OEM Upgraded Replacement for Goodman Furnace Control Circuit Board PCBBF132</t>
        </is>
      </c>
      <c r="E1958" s="2">
        <f>HYPERLINK("https://www.amazon.com/Upgraded-Replacement-Goodman-Furnace-PCBBF132/dp/B00EF5PJZC/ref=sr_1_18?keywords=ICM+Controls+ICM2811+Furnace+Control+Board+-+Replacement+for+Goodman&amp;qid=1694734652&amp;sr=8-18", "https://www.amazon.com/Upgraded-Replacement-Goodman-Furnace-PCBBF132/dp/B00EF5PJZC/ref=sr_1_18?keywords=ICM+Controls+ICM2811+Furnace+Control+Board+-+Replacement+for+Goodman&amp;qid=1694734652&amp;sr=8-18")</f>
        <v/>
      </c>
      <c r="F1958" t="inlineStr">
        <is>
          <t>B00EF5PJZC</t>
        </is>
      </c>
      <c r="G1958">
        <f>_xlfn.IMAGE("https://edmondsonsupply.com/cdn/shop/products/photo_3800_medium_86f45e25-a764-4839-bc84-759a6ce1c7bd.jpg?v=1659910436")</f>
        <v/>
      </c>
      <c r="H1958">
        <f>_xlfn.IMAGE("https://m.media-amazon.com/images/I/71HhS3yFSJL._AC_UL320_.jpg")</f>
        <v/>
      </c>
      <c r="K1958" t="inlineStr">
        <is>
          <t>68.99</t>
        </is>
      </c>
      <c r="L1958" t="n">
        <v>93.98</v>
      </c>
      <c r="M1958" s="1" t="inlineStr">
        <is>
          <t>36.22%</t>
        </is>
      </c>
      <c r="N1958" s="7" t="n">
        <v>-13.89</v>
      </c>
      <c r="O1958" t="n">
        <v>4.3</v>
      </c>
      <c r="P1958" t="n">
        <v>97</v>
      </c>
      <c r="R1958" t="inlineStr">
        <is>
          <t>InStock</t>
        </is>
      </c>
      <c r="S1958" t="inlineStr">
        <is>
          <t>93.62</t>
        </is>
      </c>
      <c r="T1958" t="inlineStr">
        <is>
          <t>4345448202340</t>
        </is>
      </c>
    </row>
    <row r="1959" ht="87" customHeight="1">
      <c r="A1959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1959" s="2">
        <f>HYPERLINK("https://edmondsonsupply.com/products/midwest-mwt-ss6716l-special-hardness-aviation-snip-left-cutting", "https://edmondsonsupply.com/products/midwest-mwt-ss6716l-special-hardness-aviation-snip-left-cutting")</f>
        <v/>
      </c>
      <c r="C1959" t="inlineStr">
        <is>
          <t>Midwest MWT-SS6716L Special Hardness Aviation Snip - Left-Cutting</t>
        </is>
      </c>
      <c r="D1959" t="inlineStr">
        <is>
          <t>MIDWEST Aviation Snip - Left Cut Upright Tin Cutting Shears with Forged Blade &amp; KUSH'N-POWER Comfort Grips - MWT-6900L</t>
        </is>
      </c>
      <c r="E1959" s="2">
        <f>HYPERLINK("https://www.amazon.com/MIDWEST-Aviation-Snip-KUSHN-POWER-MWT-6900L/dp/B00OJ0KPG6/ref=sr_1_4?keywords=Midwest+MWT-SS6716L+Special+Hardness+Aviation+Snip+-+Left-Cutting&amp;qid=1694734623&amp;sr=8-4", "https://www.amazon.com/MIDWEST-Aviation-Snip-KUSHN-POWER-MWT-6900L/dp/B00OJ0KPG6/ref=sr_1_4?keywords=Midwest+MWT-SS6716L+Special+Hardness+Aviation+Snip+-+Left-Cutting&amp;qid=1694734623&amp;sr=8-4")</f>
        <v/>
      </c>
      <c r="F1959" t="inlineStr">
        <is>
          <t>B00OJ0KPG6</t>
        </is>
      </c>
      <c r="G1959">
        <f>_xlfn.IMAGE("https://edmondsonsupply.com/cdn/shop/products/MWT-SS6716L1.jpg?v=1587151241")</f>
        <v/>
      </c>
      <c r="H1959">
        <f>_xlfn.IMAGE("https://m.media-amazon.com/images/I/71RT+4Ey9vL._AC_UL320_.jpg")</f>
        <v/>
      </c>
      <c r="K1959" t="inlineStr">
        <is>
          <t>25.49</t>
        </is>
      </c>
      <c r="L1959" t="n">
        <v>34.69</v>
      </c>
      <c r="M1959" s="1" t="inlineStr">
        <is>
          <t>36.09%</t>
        </is>
      </c>
      <c r="N1959" s="7" t="n">
        <v>-13.95</v>
      </c>
      <c r="O1959" t="n">
        <v>4.7</v>
      </c>
      <c r="P1959" t="n">
        <v>777</v>
      </c>
      <c r="R1959" t="inlineStr">
        <is>
          <t>InStock</t>
        </is>
      </c>
      <c r="S1959" t="inlineStr">
        <is>
          <t>36.2</t>
        </is>
      </c>
      <c r="T1959" t="inlineStr">
        <is>
          <t>4508646277220</t>
        </is>
      </c>
    </row>
    <row r="1960" hidden="1" ht="15.75" customHeight="1">
      <c r="A1960" s="2">
        <f>HYPERLINK("https://edmondsonsupply.com/collections/hvac/products/packard-titan-pro-trcd305-run-capacitor-30-5-mfd-370-volt-round", "https://edmondsonsupply.com/collections/hvac/products/packard-titan-pro-trcd305-run-capacitor-30-5-mfd-370-volt-round")</f>
        <v/>
      </c>
      <c r="B1960" s="2">
        <f>HYPERLINK("https://edmondsonsupply.com/products/packard-titan-pro-trcd305-run-capacitor-30-5-mfd-370-volt-round", "https://edmondsonsupply.com/products/packard-titan-pro-trcd305-run-capacitor-30-5-mfd-370-volt-round")</f>
        <v/>
      </c>
      <c r="C1960" t="inlineStr">
        <is>
          <t>Packard Titan PRO TRCD305 Run Capacitor 30+5 MFD 370 Volt Round</t>
        </is>
      </c>
      <c r="D1960" t="inlineStr">
        <is>
          <t>Titan TRCFD305 Dual Rated Motor Run Capacitor Round MFD 30/5 Volts 440/370</t>
        </is>
      </c>
      <c r="E1960" s="2">
        <f>HYPERLINK("https://www.amazon.com/Titan-TRCFD305-Rated-Motor-Capacitor/dp/B01IC22Q5Y/ref=sr_1_1?keywords=Packard+Titan+PRO+TRCD305+Run+Capacitor+30%2B5+MFD+370+Volt+Round&amp;qid=1694734786&amp;sr=8-1", "https://www.amazon.com/Titan-TRCFD305-Rated-Motor-Capacitor/dp/B01IC22Q5Y/ref=sr_1_1?keywords=Packard+Titan+PRO+TRCD305+Run+Capacitor+30%2B5+MFD+370+Volt+Round&amp;qid=1694734786&amp;sr=8-1")</f>
        <v/>
      </c>
      <c r="F1960" t="inlineStr">
        <is>
          <t>B01IC22Q5Y</t>
        </is>
      </c>
      <c r="G1960">
        <f>_xludf.IMAGE("https://edmondsonsupply.com/cdn/shop/products/TRCD305-2.jpg?v=1633030487")</f>
        <v/>
      </c>
      <c r="H1960">
        <f>_xludf.IMAGE("https://m.media-amazon.com/images/I/61ZOaIfuaxL._AC_UY218_.jpg")</f>
        <v/>
      </c>
      <c r="K1960" t="inlineStr">
        <is>
          <t>7.92</t>
        </is>
      </c>
      <c r="L1960" t="n">
        <v>10.76</v>
      </c>
      <c r="M1960" s="1" t="inlineStr">
        <is>
          <t>35.86%</t>
        </is>
      </c>
      <c r="N1960" s="1" t="n">
        <v>-13.95</v>
      </c>
      <c r="O1960" t="n">
        <v>4.6</v>
      </c>
      <c r="P1960" t="n">
        <v>100</v>
      </c>
      <c r="R1960" t="inlineStr">
        <is>
          <t>InStock</t>
        </is>
      </c>
      <c r="S1960" t="inlineStr">
        <is>
          <t>undefined</t>
        </is>
      </c>
      <c r="T1960" t="inlineStr">
        <is>
          <t>5373456646312</t>
        </is>
      </c>
    </row>
    <row r="1961" ht="87" customHeight="1">
      <c r="A1961" s="2">
        <f>HYPERLINK("https://edmondsonsupply.com/collections/hvac/products/packard-c240c-contactor-2-pole-40-amps-208-240-coil-voltage", "https://edmondsonsupply.com/collections/hvac/products/packard-c240c-contactor-2-pole-40-amps-208-240-coil-voltage")</f>
        <v/>
      </c>
      <c r="B1961" s="2">
        <f>HYPERLINK("https://edmondsonsupply.com/products/packard-c240c-contactor-2-pole-40-amps-208-240-coil-voltage", "https://edmondsonsupply.com/products/packard-c240c-contactor-2-pole-40-amps-208-240-coil-voltage")</f>
        <v/>
      </c>
      <c r="C1961" t="inlineStr">
        <is>
          <t>Packard C240C Contactor 2 Pole 40 AMPS 208/240 Coil Voltage</t>
        </is>
      </c>
      <c r="D1961" t="inlineStr">
        <is>
          <t>Packard C240B Packard Contactor 2 Pole 40 Amps 120 Coil Voltage</t>
        </is>
      </c>
      <c r="E1961" s="2">
        <f>HYPERLINK("https://www.amazon.com/Packard-C240B-Contactor-Pole-Voltage/dp/B004Z0RLL2/ref=sr_1_7?keywords=Packard+C240C+Contactor+2+Pole+40+AMPS+208%2F240+Coil+Voltage&amp;qid=1694734584&amp;sr=8-7", "https://www.amazon.com/Packard-C240B-Contactor-Pole-Voltage/dp/B004Z0RLL2/ref=sr_1_7?keywords=Packard+C240C+Contactor+2+Pole+40+AMPS+208%2F240+Coil+Voltage&amp;qid=1694734584&amp;sr=8-7")</f>
        <v/>
      </c>
      <c r="F1961" t="inlineStr">
        <is>
          <t>B004Z0RLL2</t>
        </is>
      </c>
      <c r="G1961">
        <f>_xlfn.IMAGE("https://edmondsonsupply.com/cdn/shop/products/C240C-1.jpg?v=1633030123")</f>
        <v/>
      </c>
      <c r="H1961">
        <f>_xlfn.IMAGE("https://m.media-amazon.com/images/I/81OXIO+-K1L._AC_UY218_.jpg")</f>
        <v/>
      </c>
      <c r="K1961" t="inlineStr">
        <is>
          <t>12.22</t>
        </is>
      </c>
      <c r="L1961" t="n">
        <v>16.58</v>
      </c>
      <c r="M1961" s="1" t="inlineStr">
        <is>
          <t>35.68%</t>
        </is>
      </c>
      <c r="N1961" s="7" t="n">
        <v>-14.18</v>
      </c>
      <c r="O1961" t="n">
        <v>4.6</v>
      </c>
      <c r="P1961" t="n">
        <v>299</v>
      </c>
      <c r="R1961" t="inlineStr">
        <is>
          <t>InStock</t>
        </is>
      </c>
      <c r="S1961" t="inlineStr">
        <is>
          <t>undefined</t>
        </is>
      </c>
      <c r="T1961" t="inlineStr">
        <is>
          <t>3691103715428</t>
        </is>
      </c>
    </row>
    <row r="1962" ht="87" customHeight="1">
      <c r="A1962" s="2">
        <f>HYPERLINK("https://edmondsonsupply.com/collections/hvac/products/fluke-373-true-rms-ac-clamp-meter", "https://edmondsonsupply.com/collections/hvac/products/fluke-373-true-rms-ac-clamp-meter")</f>
        <v/>
      </c>
      <c r="B1962" s="2">
        <f>HYPERLINK("https://edmondsonsupply.com/products/fluke-373-true-rms-ac-clamp-meter", "https://edmondsonsupply.com/products/fluke-373-true-rms-ac-clamp-meter")</f>
        <v/>
      </c>
      <c r="C1962" t="inlineStr">
        <is>
          <t>Fluke 373 True-RMS AC Clamp Meter</t>
        </is>
      </c>
      <c r="D1962" t="inlineStr">
        <is>
          <t>Fluke 376 True RMS AC/DC Clamp Meter with iFlex</t>
        </is>
      </c>
      <c r="E1962" s="2">
        <f>HYPERLINK("https://www.amazon.com/Fluke-True-Clamp-Meter-iFlex/dp/B0086963VC/ref=sr_1_7?keywords=Fluke+373+True-RMS+AC+Clamp+Meter&amp;qid=1694734920&amp;sr=8-7", "https://www.amazon.com/Fluke-True-Clamp-Meter-iFlex/dp/B0086963VC/ref=sr_1_7?keywords=Fluke+373+True-RMS+AC+Clamp+Meter&amp;qid=1694734920&amp;sr=8-7")</f>
        <v/>
      </c>
      <c r="F1962" t="inlineStr">
        <is>
          <t>B0086963VC</t>
        </is>
      </c>
      <c r="G1962">
        <f>_xlfn.IMAGE("https://edmondsonsupply.com/cdn/shop/files/f-373-01d-1500x1000.webp?v=1689369435")</f>
        <v/>
      </c>
      <c r="H1962">
        <f>_xlfn.IMAGE("https://m.media-amazon.com/images/I/51g0DI2hCPL._AC_UY218_.jpg")</f>
        <v/>
      </c>
      <c r="K1962" t="inlineStr">
        <is>
          <t>290.05</t>
        </is>
      </c>
      <c r="L1962" t="n">
        <v>393</v>
      </c>
      <c r="M1962" s="1" t="inlineStr">
        <is>
          <t>35.49%</t>
        </is>
      </c>
      <c r="N1962" s="7" t="n">
        <v>-14.29</v>
      </c>
      <c r="O1962" t="n">
        <v>4.5</v>
      </c>
      <c r="P1962" t="n">
        <v>101</v>
      </c>
      <c r="R1962" t="inlineStr">
        <is>
          <t>InStock</t>
        </is>
      </c>
      <c r="S1962" t="inlineStr">
        <is>
          <t>undefined</t>
        </is>
      </c>
      <c r="T1962" t="inlineStr">
        <is>
          <t>8016406773976</t>
        </is>
      </c>
    </row>
    <row r="1963" ht="87" customHeight="1">
      <c r="A1963" s="2">
        <f>HYPERLINK("https://edmondsonsupply.com/collections/hvac/products/yellow-jacket-78080-2-gas-test-gauge-3-4-npt-0-30-lb", "https://edmondsonsupply.com/collections/hvac/products/yellow-jacket-78080-2-gas-test-gauge-3-4-npt-0-30-lb")</f>
        <v/>
      </c>
      <c r="B1963" s="2">
        <f>HYPERLINK("https://edmondsonsupply.com/products/yellow-jacket-78080-2-gas-test-gauge-3-4-npt-0-30-lb", "https://edmondsonsupply.com/products/yellow-jacket-78080-2-gas-test-gauge-3-4-npt-0-30-lb")</f>
        <v/>
      </c>
      <c r="C1963" t="inlineStr">
        <is>
          <t>Yellow Jacket 78080 2" Gas Test Gauge - 3/4" NPT - 0-30 lb</t>
        </is>
      </c>
      <c r="D1963" t="inlineStr">
        <is>
          <t>Yellow Jacket 78088 3-1/2" Gas Test Gauge 0-30 1" pipe</t>
        </is>
      </c>
      <c r="E1963" s="2">
        <f>HYPERLINK("https://www.amazon.com/Yellow-Jacket-78088-Test-0-30/dp/B0039X2LPM/ref=sr_1_7?keywords=Yellow+Jacket+78080+2%22+Gas+Test+Gauge+-+3%2F4%22+NPT+-+0-30+lb&amp;qid=1694734707&amp;sr=8-7", "https://www.amazon.com/Yellow-Jacket-78088-Test-0-30/dp/B0039X2LPM/ref=sr_1_7?keywords=Yellow+Jacket+78080+2%22+Gas+Test+Gauge+-+3%2F4%22+NPT+-+0-30+lb&amp;qid=1694734707&amp;sr=8-7")</f>
        <v/>
      </c>
      <c r="F1963" t="inlineStr">
        <is>
          <t>B0039X2LPM</t>
        </is>
      </c>
      <c r="G1963">
        <f>_xlfn.IMAGE("https://edmondsonsupply.com/cdn/shop/products/57_2.jpg?v=1633030928")</f>
        <v/>
      </c>
      <c r="H1963">
        <f>_xlfn.IMAGE("https://m.media-amazon.com/images/I/41+QsMSJfqL._AC_UY218_.jpg")</f>
        <v/>
      </c>
      <c r="K1963" t="inlineStr">
        <is>
          <t>30.8</t>
        </is>
      </c>
      <c r="L1963" t="n">
        <v>41.7</v>
      </c>
      <c r="M1963" s="1" t="inlineStr">
        <is>
          <t>35.39%</t>
        </is>
      </c>
      <c r="N1963" s="7" t="n">
        <v>-14.29</v>
      </c>
      <c r="O1963" t="n">
        <v>5</v>
      </c>
      <c r="P1963" t="n">
        <v>2</v>
      </c>
      <c r="R1963" t="inlineStr">
        <is>
          <t>InStock</t>
        </is>
      </c>
      <c r="S1963" t="inlineStr">
        <is>
          <t>undefined</t>
        </is>
      </c>
      <c r="T1963" t="inlineStr">
        <is>
          <t>6550757965997</t>
        </is>
      </c>
    </row>
    <row r="1964" hidden="1" ht="15.75" customHeight="1">
      <c r="A1964" s="2">
        <f>HYPERLINK("https://edmondsonsupply.com/collections/hvac/products/esp-brt10-board-removal-tool", "https://edmondsonsupply.com/collections/hvac/products/esp-brt10-board-removal-tool")</f>
        <v/>
      </c>
      <c r="B1964" s="2">
        <f>HYPERLINK("https://edmondsonsupply.com/products/esp-brt10-board-removal-tool", "https://edmondsonsupply.com/products/esp-brt10-board-removal-tool")</f>
        <v/>
      </c>
      <c r="C1964" t="inlineStr">
        <is>
          <t>ESP BRT10 Board Removal Tool</t>
        </is>
      </c>
      <c r="D1964" t="inlineStr">
        <is>
          <t>Supplying Demand BRT10 Dual Sided Circuit Board Pin Removal Tool</t>
        </is>
      </c>
      <c r="E1964" s="2">
        <f>HYPERLINK("https://www.amazon.com/Supplying-Demand-BRT10-Circuit-Removal/dp/B0BLTFBMBQ/ref=sr_1_1?keywords=ESP+BRT10+Board+Removal+Tool&amp;qid=1694734601&amp;sr=8-1", "https://www.amazon.com/Supplying-Demand-BRT10-Circuit-Removal/dp/B0BLTFBMBQ/ref=sr_1_1?keywords=ESP+BRT10+Board+Removal+Tool&amp;qid=1694734601&amp;sr=8-1")</f>
        <v/>
      </c>
      <c r="F1964" t="inlineStr">
        <is>
          <t>B0BLTFBMBQ</t>
        </is>
      </c>
      <c r="G1964">
        <f>_xludf.IMAGE("https://edmondsonsupply.com/cdn/shop/products/brt10_lg_2.jpg?v=1633030638")</f>
        <v/>
      </c>
      <c r="H1964">
        <f>_xludf.IMAGE("https://m.media-amazon.com/images/I/61yE+HJgaiL._AC_UL320_.jpg")</f>
        <v/>
      </c>
      <c r="K1964" t="inlineStr">
        <is>
          <t>13.3</t>
        </is>
      </c>
      <c r="L1964" t="n">
        <v>17.99</v>
      </c>
      <c r="M1964" s="1" t="inlineStr">
        <is>
          <t>35.26%</t>
        </is>
      </c>
      <c r="N1964" s="1" t="n">
        <v>-14.3</v>
      </c>
      <c r="O1964" t="n">
        <v>4</v>
      </c>
      <c r="P1964" t="n">
        <v>4</v>
      </c>
      <c r="R1964" t="inlineStr">
        <is>
          <t>InStock</t>
        </is>
      </c>
      <c r="S1964" t="inlineStr">
        <is>
          <t>undefined</t>
        </is>
      </c>
      <c r="T1964" t="inlineStr">
        <is>
          <t>5705477423272</t>
        </is>
      </c>
    </row>
    <row r="1965" ht="87" customHeight="1">
      <c r="A1965" s="2">
        <f>HYPERLINK("https://edmondsonsupply.com/collections/hvac/products/robertshaw-41-414-hot-surface-furnace-ignitor-carbide", "https://edmondsonsupply.com/collections/hvac/products/robertshaw-41-414-hot-surface-furnace-ignitor-carbide")</f>
        <v/>
      </c>
      <c r="B1965" s="2">
        <f>HYPERLINK("https://edmondsonsupply.com/products/robertshaw-41-414-hot-surface-furnace-ignitor-carbide", "https://edmondsonsupply.com/products/robertshaw-41-414-hot-surface-furnace-ignitor-carbide")</f>
        <v/>
      </c>
      <c r="C1965" t="inlineStr">
        <is>
          <t>Robertshaw 41-414 Hot Surface Furnace Ignitor (Carbide)</t>
        </is>
      </c>
      <c r="D1965" t="inlineStr">
        <is>
          <t>Robertshaw 41-412 Norton Hot Surface Furnace Ignitor, 5.25-Inch Lead Wire-951364</t>
        </is>
      </c>
      <c r="E1965" s="2">
        <f>HYPERLINK("https://www.amazon.com/Robertshaw-41-412-Surface-5-25-Inch-Wire-951364/dp/B004XL3E9Q/ref=sr_1_2?keywords=Robertshaw+41-414+Hot+Surface+Furnace+Ignitor+%28Carbide%29&amp;qid=1694734867&amp;sr=8-2", "https://www.amazon.com/Robertshaw-41-412-Surface-5-25-Inch-Wire-951364/dp/B004XL3E9Q/ref=sr_1_2?keywords=Robertshaw+41-414+Hot+Surface+Furnace+Ignitor+%28Carbide%29&amp;qid=1694734867&amp;sr=8-2")</f>
        <v/>
      </c>
      <c r="F1965" t="inlineStr">
        <is>
          <t>B004XL3E9Q</t>
        </is>
      </c>
      <c r="G1965">
        <f>_xlfn.IMAGE("https://edmondsonsupply.com/cdn/shop/files/41-414.jpg?v=1691509200")</f>
        <v/>
      </c>
      <c r="H1965">
        <f>_xlfn.IMAGE("https://m.media-amazon.com/images/I/31xuPdl-sZL._AC_UL320_.jpg")</f>
        <v/>
      </c>
      <c r="K1965" t="inlineStr">
        <is>
          <t>18.08</t>
        </is>
      </c>
      <c r="L1965" t="n">
        <v>24.44</v>
      </c>
      <c r="M1965" s="1" t="inlineStr">
        <is>
          <t>35.18%</t>
        </is>
      </c>
      <c r="N1965" s="7" t="n">
        <v>-14.4</v>
      </c>
      <c r="O1965" t="n">
        <v>5</v>
      </c>
      <c r="P1965" t="n">
        <v>2</v>
      </c>
      <c r="R1965" t="inlineStr">
        <is>
          <t>InStock</t>
        </is>
      </c>
      <c r="S1965" t="inlineStr">
        <is>
          <t>undefined</t>
        </is>
      </c>
      <c r="T1965" t="inlineStr">
        <is>
          <t>8025482821848</t>
        </is>
      </c>
    </row>
    <row r="1966" ht="87" customHeight="1">
      <c r="A1966" s="2">
        <f>HYPERLINK("https://edmondsonsupply.com/collections/hvac/products/rack-a-tiers-47002-crocs-jr-needle-nose-wire-strippers", "https://edmondsonsupply.com/collections/hvac/products/rack-a-tiers-47002-crocs-jr-needle-nose-wire-strippers")</f>
        <v/>
      </c>
      <c r="B1966" s="2">
        <f>HYPERLINK("https://edmondsonsupply.com/products/rack-a-tiers-47002-crocs-jr-needle-nose-wire-strippers", "https://edmondsonsupply.com/products/rack-a-tiers-47002-crocs-jr-needle-nose-wire-strippers")</f>
        <v/>
      </c>
      <c r="C1966" t="inlineStr">
        <is>
          <t>Rack-A-Tiers 47002 Croc's Jr. Needle Nose Wire Strippers</t>
        </is>
      </c>
      <c r="D1966" t="inlineStr">
        <is>
          <t>Rack-A-Tiers Croc's Needle Nose Wire Strippers AWG 10-22, Wire Crimper, Heavy Duty, Ergonomic Hand Tool (47000)</t>
        </is>
      </c>
      <c r="E1966" s="2">
        <f>HYPERLINK("https://www.amazon.com/Rack-Tiers-47000-Needle-Strippers/dp/B0087TBQ3G/ref=sr_1_2?keywords=Rack-A-Tiers+47002+Croc%27s+Jr.+Needle+Nose+Wire+Strippers&amp;qid=1694734651&amp;sr=8-2", "https://www.amazon.com/Rack-Tiers-47000-Needle-Strippers/dp/B0087TBQ3G/ref=sr_1_2?keywords=Rack-A-Tiers+47002+Croc%27s+Jr.+Needle+Nose+Wire+Strippers&amp;qid=1694734651&amp;sr=8-2")</f>
        <v/>
      </c>
      <c r="F1966" t="inlineStr">
        <is>
          <t>B0087TBQ3G</t>
        </is>
      </c>
      <c r="G1966">
        <f>_xlfn.IMAGE("https://edmondsonsupply.com/cdn/shop/products/47002-Crocs-Jr-2-1-1-1.png?v=1587142280")</f>
        <v/>
      </c>
      <c r="H1966">
        <f>_xlfn.IMAGE("https://m.media-amazon.com/images/I/51fMweVpbYL._AC_UL320_.jpg")</f>
        <v/>
      </c>
      <c r="K1966" t="inlineStr">
        <is>
          <t>22.49</t>
        </is>
      </c>
      <c r="L1966" t="n">
        <v>30.4</v>
      </c>
      <c r="M1966" s="1" t="inlineStr">
        <is>
          <t>35.17%</t>
        </is>
      </c>
      <c r="N1966" s="7" t="n">
        <v>-14.67</v>
      </c>
      <c r="O1966" t="n">
        <v>4.6</v>
      </c>
      <c r="P1966" t="n">
        <v>507</v>
      </c>
      <c r="R1966" t="inlineStr">
        <is>
          <t>InStock</t>
        </is>
      </c>
      <c r="S1966" t="inlineStr">
        <is>
          <t>23.99</t>
        </is>
      </c>
      <c r="T1966" t="inlineStr">
        <is>
          <t>3351147577444</t>
        </is>
      </c>
    </row>
    <row r="1967" hidden="1" ht="15.75" customHeight="1">
      <c r="A1967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1967" s="2">
        <f>HYPERLINK("https://edmondsonsupply.com/products/packard-c130a-contactor-1-pole-30-amps-24-coil-voltage", "https://edmondsonsupply.com/products/packard-c130a-contactor-1-pole-30-amps-24-coil-voltage")</f>
        <v/>
      </c>
      <c r="C1967" t="inlineStr">
        <is>
          <t>Packard C130A Contactor 1 Pole 30 Amps 24 Coil Voltage</t>
        </is>
      </c>
      <c r="D1967" t="inlineStr">
        <is>
          <t>Packard Contactor C130B 1 Pole 30 Amps 120 Coil Voltage</t>
        </is>
      </c>
      <c r="E1967" s="2">
        <f>HYPERLINK("https://www.amazon.com/Packard-Contactor-C130B-Pole-Voltage/dp/B004UZQHGM/ref=sr_1_14?keywords=Packard+C130A+Contactor+1+Pole+30+Amps+24+Coil+Voltage&amp;qid=1694734616&amp;sr=8-14", "https://www.amazon.com/Packard-Contactor-C130B-Pole-Voltage/dp/B004UZQHGM/ref=sr_1_14?keywords=Packard+C130A+Contactor+1+Pole+30+Amps+24+Coil+Voltage&amp;qid=1694734616&amp;sr=8-14")</f>
        <v/>
      </c>
      <c r="F1967" t="inlineStr">
        <is>
          <t>B004UZQHGM</t>
        </is>
      </c>
      <c r="G1967">
        <f>_xludf.IMAGE("https://edmondsonsupply.com/cdn/shop/products/61bb566724620904123205.jpg?v=1650335931")</f>
        <v/>
      </c>
      <c r="H1967">
        <f>_xludf.IMAGE("https://m.media-amazon.com/images/I/71+lwgg9imL._AC_UY218_.jpg")</f>
        <v/>
      </c>
      <c r="K1967" t="inlineStr">
        <is>
          <t>9.62</t>
        </is>
      </c>
      <c r="L1967" t="n">
        <v>13</v>
      </c>
      <c r="M1967" s="1" t="inlineStr">
        <is>
          <t>35.14%</t>
        </is>
      </c>
      <c r="N1967" s="1" t="n">
        <v>-14.68</v>
      </c>
      <c r="O1967" t="n">
        <v>4.8</v>
      </c>
      <c r="P1967" t="n">
        <v>8</v>
      </c>
      <c r="R1967" t="inlineStr">
        <is>
          <t>InStock</t>
        </is>
      </c>
      <c r="S1967" t="inlineStr">
        <is>
          <t>undefined</t>
        </is>
      </c>
      <c r="T1967" t="inlineStr">
        <is>
          <t>5301652095144</t>
        </is>
      </c>
    </row>
    <row r="1968" ht="87" customHeight="1">
      <c r="A1968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1968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1968" t="inlineStr">
        <is>
          <t>Midwest MWT-SS6716R Special Hardness Aviation Snip - Right-Cutting</t>
        </is>
      </c>
      <c r="D1968" t="inlineStr">
        <is>
          <t>MIDWEST Aviation Snip - Right Cut Offset Stainless Steel Cutting Shears with Forged Blade &amp; KUSH'N-POWER Comfort Grips - MWT-SS6510R</t>
        </is>
      </c>
      <c r="E1968" s="2">
        <f>HYPERLINK("https://www.amazon.com/MIDWEST-Aviation-Snip-KUSHN-POWER-MWT-SS6510R/dp/B00OMSVOZ6/ref=sr_1_4?keywords=Midwest+MWT-SS6716R+Special+Hardness+Aviation+Snip+-+Right-Cutting&amp;qid=1694734647&amp;sr=8-4", "https://www.amazon.com/MIDWEST-Aviation-Snip-KUSHN-POWER-MWT-SS6510R/dp/B00OMSVOZ6/ref=sr_1_4?keywords=Midwest+MWT-SS6716R+Special+Hardness+Aviation+Snip+-+Right-Cutting&amp;qid=1694734647&amp;sr=8-4")</f>
        <v/>
      </c>
      <c r="F1968" t="inlineStr">
        <is>
          <t>B00OMSVOZ6</t>
        </is>
      </c>
      <c r="G1968">
        <f>_xlfn.IMAGE("https://edmondsonsupply.com/cdn/shop/products/MWT-SS6716R1.jpg?v=1587146219")</f>
        <v/>
      </c>
      <c r="H1968">
        <f>_xlfn.IMAGE("https://m.media-amazon.com/images/I/6111Xzz5-TL._AC_UL320_.jpg")</f>
        <v/>
      </c>
      <c r="K1968" t="inlineStr">
        <is>
          <t>24.66</t>
        </is>
      </c>
      <c r="L1968" t="n">
        <v>33.32</v>
      </c>
      <c r="M1968" s="1" t="inlineStr">
        <is>
          <t>35.12%</t>
        </is>
      </c>
      <c r="N1968" s="7" t="n">
        <v>-14.94</v>
      </c>
      <c r="O1968" t="n">
        <v>4.3</v>
      </c>
      <c r="P1968" t="n">
        <v>99</v>
      </c>
      <c r="R1968" t="inlineStr">
        <is>
          <t>InStock</t>
        </is>
      </c>
      <c r="S1968" t="inlineStr">
        <is>
          <t>36.2</t>
        </is>
      </c>
      <c r="T1968" t="inlineStr">
        <is>
          <t>4508658204772</t>
        </is>
      </c>
    </row>
    <row r="1969" ht="87" customHeight="1">
      <c r="A1969" s="2">
        <f>HYPERLINK("https://edmondsonsupply.com/collections/hvac/products/channellock-431", "https://edmondsonsupply.com/collections/hvac/products/channellock-431")</f>
        <v/>
      </c>
      <c r="B1969" s="2">
        <f>HYPERLINK("https://edmondsonsupply.com/products/channellock-431", "https://edmondsonsupply.com/products/channellock-431")</f>
        <v/>
      </c>
      <c r="C1969" t="inlineStr">
        <is>
          <t>Channellock 432 10-Inch V-Jaw Tongue &amp; Groove Pliers</t>
        </is>
      </c>
      <c r="D1969" t="inlineStr">
        <is>
          <t>CHANNELLOCK 430X 10-inch SPEEDGRIP Straight Jaw Tongue &amp; Groove Pliers | Made in USA | Forged High Carbon Steel</t>
        </is>
      </c>
      <c r="E1969" s="2">
        <f>HYPERLINK("https://www.amazon.com/CHANNELLOCK-430X-10-inch-SPEEDGRIP-Straight/dp/B07P42JFMG/ref=sr_1_12?keywords=Channellock+432+10-Inch+V-Jaw+Tongue+%26+Groove+Pliers&amp;qid=1694734826&amp;sr=8-12", "https://www.amazon.com/CHANNELLOCK-430X-10-inch-SPEEDGRIP-Straight/dp/B07P42JFMG/ref=sr_1_12?keywords=Channellock+432+10-Inch+V-Jaw+Tongue+%26+Groove+Pliers&amp;qid=1694734826&amp;sr=8-12")</f>
        <v/>
      </c>
      <c r="F1969" t="inlineStr">
        <is>
          <t>B07P42JFMG</t>
        </is>
      </c>
      <c r="G1969">
        <f>_xlfn.IMAGE("https://edmondsonsupply.com/cdn/shop/products/432-683x1024.jpg?v=1587147134")</f>
        <v/>
      </c>
      <c r="H1969">
        <f>_xlfn.IMAGE("https://m.media-amazon.com/images/I/71xwTtkFcHL._AC_UL320_.jpg")</f>
        <v/>
      </c>
      <c r="K1969" t="inlineStr">
        <is>
          <t>19.95</t>
        </is>
      </c>
      <c r="L1969" t="n">
        <v>26.95</v>
      </c>
      <c r="M1969" s="1" t="inlineStr">
        <is>
          <t>35.09%</t>
        </is>
      </c>
      <c r="N1969" s="7" t="n">
        <v>-15.03</v>
      </c>
      <c r="O1969" t="n">
        <v>4.4</v>
      </c>
      <c r="P1969" t="n">
        <v>577</v>
      </c>
      <c r="R1969" t="inlineStr">
        <is>
          <t>InStock</t>
        </is>
      </c>
      <c r="S1969" t="inlineStr">
        <is>
          <t>27.63</t>
        </is>
      </c>
      <c r="T1969" t="inlineStr">
        <is>
          <t>3553468317796</t>
        </is>
      </c>
    </row>
    <row r="1970" ht="87" customHeight="1">
      <c r="A1970" s="2">
        <f>HYPERLINK("https://edmondsonsupply.com/collections/hvac/products/midwest-mwt-6510c-left-right-offset-aviation-2-piece-set", "https://edmondsonsupply.com/collections/hvac/products/midwest-mwt-6510c-left-right-offset-aviation-2-piece-set")</f>
        <v/>
      </c>
      <c r="B1970" s="2">
        <f>HYPERLINK("https://edmondsonsupply.com/products/midwest-mwt-6510c-left-right-offset-aviation-2-piece-set", "https://edmondsonsupply.com/products/midwest-mwt-6510c-left-right-offset-aviation-2-piece-set")</f>
        <v/>
      </c>
      <c r="C1970" t="inlineStr">
        <is>
          <t>Midwest MWT-6510C Left &amp; Right Offset Aviation 2-Piece Set</t>
        </is>
      </c>
      <c r="D1970" t="inlineStr">
        <is>
          <t>MIDWEST Aviation Snip Set - Left and Right Cut Offset Tin Cutting Shears with Forged Blade &amp; KUSH'N-POWER Comfort Grips - MWT-6510C</t>
        </is>
      </c>
      <c r="E1970" s="2">
        <f>HYPERLINK("https://www.amazon.com/MIDWEST-Aviation-Snip-Set-KUSHN-POWER/dp/B00OCGQG3S/ref=sr_1_2?keywords=Midwest+MWT-6510C+Left+%26+Right+Offset+Aviation+2-Piece+Set&amp;qid=1694734567&amp;sr=8-2", "https://www.amazon.com/MIDWEST-Aviation-Snip-Set-KUSHN-POWER/dp/B00OCGQG3S/ref=sr_1_2?keywords=Midwest+MWT-6510C+Left+%26+Right+Offset+Aviation+2-Piece+Set&amp;qid=1694734567&amp;sr=8-2")</f>
        <v/>
      </c>
      <c r="F1970" t="inlineStr">
        <is>
          <t>B00OCGQG3S</t>
        </is>
      </c>
      <c r="G1970">
        <f>_xlfn.IMAGE("https://edmondsonsupply.com/cdn/shop/products/mwt-6510c.jpg?v=1587144863")</f>
        <v/>
      </c>
      <c r="H1970">
        <f>_xlfn.IMAGE("https://m.media-amazon.com/images/I/71J9tcnJ-SL._AC_UL320_.jpg")</f>
        <v/>
      </c>
      <c r="K1970" t="inlineStr">
        <is>
          <t>46.77</t>
        </is>
      </c>
      <c r="L1970" t="n">
        <v>63.17</v>
      </c>
      <c r="M1970" s="1" t="inlineStr">
        <is>
          <t>35.07%</t>
        </is>
      </c>
      <c r="N1970" s="7" t="n">
        <v>-15.04</v>
      </c>
      <c r="O1970" t="n">
        <v>4.7</v>
      </c>
      <c r="P1970" t="n">
        <v>5991</v>
      </c>
      <c r="R1970" t="inlineStr">
        <is>
          <t>InStock</t>
        </is>
      </c>
      <c r="S1970" t="inlineStr">
        <is>
          <t>63.63</t>
        </is>
      </c>
      <c r="T1970" t="inlineStr">
        <is>
          <t>3688829616228</t>
        </is>
      </c>
    </row>
    <row r="1971" hidden="1" ht="15.75" customHeight="1">
      <c r="A1971" s="2">
        <f>HYPERLINK("https://edmondsonsupply.com/collections/hvac/products/greenlee-dtap1-4-20-drill-tap-1-4-20", "https://edmondsonsupply.com/collections/hvac/products/greenlee-dtap1-4-20-drill-tap-1-4-20")</f>
        <v/>
      </c>
      <c r="B1971" s="2">
        <f>HYPERLINK("https://edmondsonsupply.com/products/greenlee-dtap1-4-20-drill-tap-1-4-20", "https://edmondsonsupply.com/products/greenlee-dtap1-4-20-drill-tap-1-4-20")</f>
        <v/>
      </c>
      <c r="C1971" t="inlineStr">
        <is>
          <t>Greenlee DTAP1/4-20 Drill/Tap, 1/4-20</t>
        </is>
      </c>
      <c r="D1971" t="inlineStr">
        <is>
          <t>DEWALT DWADTQTR1420 Impact Ready 1/4" 20 Drill Tap, 1/4" Capacity</t>
        </is>
      </c>
      <c r="E1971" s="2">
        <f>HYPERLINK("https://www.amazon.com/DEWALT-DWADTQTR1420-Impact-Ready-Capacity/dp/B01GWSYM02/ref=sr_1_15?keywords=Greenlee+DTAP1%2F4-20+Drill%2FTap%2C+1%2F4-20&amp;qid=1694734812&amp;sr=8-15", "https://www.amazon.com/DEWALT-DWADTQTR1420-Impact-Ready-Capacity/dp/B01GWSYM02/ref=sr_1_15?keywords=Greenlee+DTAP1%2F4-20+Drill%2FTap%2C+1%2F4-20&amp;qid=1694734812&amp;sr=8-15")</f>
        <v/>
      </c>
      <c r="F1971" t="inlineStr">
        <is>
          <t>B01GWSYM02</t>
        </is>
      </c>
      <c r="G1971">
        <f>_xludf.IMAGE("https://edmondsonsupply.com/cdn/shop/products/DTAP1-4-20.jpg?v=1587151009")</f>
        <v/>
      </c>
      <c r="H1971">
        <f>_xludf.IMAGE("https://m.media-amazon.com/images/I/51jabVyJQzL._AC_UL320_.jpg")</f>
        <v/>
      </c>
      <c r="K1971" t="inlineStr">
        <is>
          <t>8.99</t>
        </is>
      </c>
      <c r="L1971" t="n">
        <v>12.14</v>
      </c>
      <c r="M1971" s="1" t="inlineStr">
        <is>
          <t>35.04%</t>
        </is>
      </c>
      <c r="N1971" s="1" t="n">
        <v>-15.08</v>
      </c>
      <c r="O1971" t="n">
        <v>4.3</v>
      </c>
      <c r="P1971" t="n">
        <v>36</v>
      </c>
      <c r="R1971" t="inlineStr">
        <is>
          <t>InStock</t>
        </is>
      </c>
      <c r="S1971" t="inlineStr">
        <is>
          <t>9.7</t>
        </is>
      </c>
      <c r="T1971" t="inlineStr">
        <is>
          <t>4395885199460</t>
        </is>
      </c>
    </row>
    <row r="1972" ht="87" customHeight="1">
      <c r="A1972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1972" s="2">
        <f>HYPERLINK("https://edmondsonsupply.com/products/klein-tools-et120-combustible-gas-leak-detector", "https://edmondsonsupply.com/products/klein-tools-et120-combustible-gas-leak-detector")</f>
        <v/>
      </c>
      <c r="C1972" t="inlineStr">
        <is>
          <t>Klein Tools ET120 Combustible Gas Leak Detector</t>
        </is>
      </c>
      <c r="D1972" t="inlineStr">
        <is>
          <t>Klein Tools ET120 Gas Leak Detector, Combustible Gas Leak Tester &amp; ET140 Pinless Moisture Meter for Non-Destructive Moisture Detection, Detects up to 3/4-Inch Below Surface</t>
        </is>
      </c>
      <c r="E1972" s="2">
        <f>HYPERLINK("https://www.amazon.com/Klein-Tools-Combustible-Non-Destructive-Detection/dp/B09P841QBX/ref=sr_1_5?keywords=Klein+Tools+ET120+Combustible+Gas+Leak+Detector&amp;qid=1694734816&amp;sr=8-5", "https://www.amazon.com/Klein-Tools-Combustible-Non-Destructive-Detection/dp/B09P841QBX/ref=sr_1_5?keywords=Klein+Tools+ET120+Combustible+Gas+Leak+Detector&amp;qid=1694734816&amp;sr=8-5")</f>
        <v/>
      </c>
      <c r="F1972" t="inlineStr">
        <is>
          <t>B09P841QBX</t>
        </is>
      </c>
      <c r="G1972">
        <f>_xlfn.IMAGE("https://edmondsonsupply.com/cdn/shop/products/et120.jpg?v=1587149243")</f>
        <v/>
      </c>
      <c r="H1972">
        <f>_xlfn.IMAGE("https://m.media-amazon.com/images/I/41FcoITI0lL._AC_UL320_.jpg")</f>
        <v/>
      </c>
      <c r="K1972" t="inlineStr">
        <is>
          <t>119.99</t>
        </is>
      </c>
      <c r="L1972" t="n">
        <v>161.96</v>
      </c>
      <c r="M1972" s="1" t="inlineStr">
        <is>
          <t>34.98%</t>
        </is>
      </c>
      <c r="N1972" s="7" t="n">
        <v>-15.18</v>
      </c>
      <c r="O1972" t="n">
        <v>5</v>
      </c>
      <c r="P1972" t="n">
        <v>1</v>
      </c>
      <c r="R1972" t="inlineStr">
        <is>
          <t>InStock</t>
        </is>
      </c>
      <c r="S1972" t="inlineStr">
        <is>
          <t>179.32</t>
        </is>
      </c>
      <c r="T1972" t="inlineStr">
        <is>
          <t>1828453187684</t>
        </is>
      </c>
    </row>
    <row r="1973" hidden="1" ht="15.75" customHeight="1">
      <c r="A1973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973" s="2">
        <f>HYPERLINK("https://edmondsonsupply.com/products/packard-prmj270-motor-start-capacitor-270-324-mfd-330-vac", "https://edmondsonsupply.com/products/packard-prmj270-motor-start-capacitor-270-324-mfd-330-vac")</f>
        <v/>
      </c>
      <c r="C1973" t="inlineStr">
        <is>
          <t>Packard PRMJ270 Motor Start Capacitor 270-324 MFD 330 VAC</t>
        </is>
      </c>
      <c r="D1973" t="inlineStr">
        <is>
          <t>270-324 uf/MFD 330 VAC Round Start Capacitor 50/60 Hz AC Electric - Lot -1 Replacement Part by BlueStars - Compatible for Air Conditioner or Heat Pump Condenser</t>
        </is>
      </c>
      <c r="E1973" s="2">
        <f>HYPERLINK("https://www.amazon.com/270-324-Round-Start-Capacitor-Electric/dp/B09CPD5SPQ/ref=sr_1_10?keywords=Packard+PRMJ270+Motor+Start+Capacitor+270-324+MFD+330+VAC&amp;qid=1694734674&amp;sr=8-10", "https://www.amazon.com/270-324-Round-Start-Capacitor-Electric/dp/B09CPD5SPQ/ref=sr_1_10?keywords=Packard+PRMJ270+Motor+Start+Capacitor+270-324+MFD+330+VAC&amp;qid=1694734674&amp;sr=8-10")</f>
        <v/>
      </c>
      <c r="F1973" t="inlineStr">
        <is>
          <t>B09CPD5SPQ</t>
        </is>
      </c>
      <c r="G1973">
        <f>_xludf.IMAGE("https://edmondsonsupply.com/cdn/shop/products/PRMJ270-2.jpg?v=1633030164")</f>
        <v/>
      </c>
      <c r="H1973">
        <f>_xludf.IMAGE("https://m.media-amazon.com/images/I/81kyqwKk-oL._AC_UY218_.jpg")</f>
        <v/>
      </c>
      <c r="K1973" t="inlineStr">
        <is>
          <t>10.37</t>
        </is>
      </c>
      <c r="L1973" t="n">
        <v>13.99</v>
      </c>
      <c r="M1973" s="1" t="inlineStr">
        <is>
          <t>34.91%</t>
        </is>
      </c>
      <c r="N1973" s="1" t="n">
        <v>-15.28</v>
      </c>
      <c r="O1973" t="n">
        <v>4.4</v>
      </c>
      <c r="P1973" t="n">
        <v>23</v>
      </c>
      <c r="R1973" t="inlineStr">
        <is>
          <t>InStock</t>
        </is>
      </c>
      <c r="S1973" t="inlineStr">
        <is>
          <t>undefined</t>
        </is>
      </c>
      <c r="T1973" t="inlineStr">
        <is>
          <t>4298743185508</t>
        </is>
      </c>
    </row>
    <row r="1974" ht="87" customHeight="1">
      <c r="A1974" s="2">
        <f>HYPERLINK("https://edmondsonsupply.com/collections/hvac/products/spin-tools-f1014-flaring-individual-1-4-tool", "https://edmondsonsupply.com/collections/hvac/products/spin-tools-f1014-flaring-individual-1-4-tool")</f>
        <v/>
      </c>
      <c r="B1974" s="2">
        <f>HYPERLINK("https://edmondsonsupply.com/products/spin-tools-f1014-flaring-individual-1-4-tool", "https://edmondsonsupply.com/products/spin-tools-f1014-flaring-individual-1-4-tool")</f>
        <v/>
      </c>
      <c r="C1974" t="inlineStr">
        <is>
          <t>SPIN Tools F1014 Flaring Individual 1/4" tool</t>
        </is>
      </c>
      <c r="D1974" t="inlineStr">
        <is>
          <t>Spin F1014 Flaring Tool, 1/4-Inch, Individual Hex Drill Bit</t>
        </is>
      </c>
      <c r="E1974" s="2">
        <f>HYPERLINK("https://www.amazon.com/SPIN-F1014-Drill-Flaring-Tool/dp/B093CGHQ7B/ref=sr_1_1?keywords=SPIN+Tools+F1014+Flaring+Individual+1%2F4%22+tool&amp;qid=1694734719&amp;sr=8-1", "https://www.amazon.com/SPIN-F1014-Drill-Flaring-Tool/dp/B093CGHQ7B/ref=sr_1_1?keywords=SPIN+Tools+F1014+Flaring+Individual+1%2F4%22+tool&amp;qid=1694734719&amp;sr=8-1")</f>
        <v/>
      </c>
      <c r="F1974" t="inlineStr">
        <is>
          <t>B093CGHQ7B</t>
        </is>
      </c>
      <c r="G1974">
        <f>_xlfn.IMAGE("https://edmondsonsupply.com/cdn/shop/products/F1014-2.jpg?v=1633030311")</f>
        <v/>
      </c>
      <c r="H1974">
        <f>_xlfn.IMAGE("https://m.media-amazon.com/images/I/317RaklZT+S._AC_UL320_.jpg")</f>
        <v/>
      </c>
      <c r="K1974" t="inlineStr">
        <is>
          <t>26.45</t>
        </is>
      </c>
      <c r="L1974" t="n">
        <v>35.66</v>
      </c>
      <c r="M1974" s="1" t="inlineStr">
        <is>
          <t>34.82%</t>
        </is>
      </c>
      <c r="N1974" s="7" t="n">
        <v>-15.3</v>
      </c>
      <c r="O1974" t="n">
        <v>4.7</v>
      </c>
      <c r="P1974" t="n">
        <v>4</v>
      </c>
      <c r="R1974" t="inlineStr">
        <is>
          <t>InStock</t>
        </is>
      </c>
      <c r="S1974" t="inlineStr">
        <is>
          <t>undefined</t>
        </is>
      </c>
      <c r="T1974" t="inlineStr">
        <is>
          <t>5242753089704</t>
        </is>
      </c>
    </row>
    <row r="1975" ht="87" customHeight="1">
      <c r="A1975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1975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1975" t="inlineStr">
        <is>
          <t>Klein Tools 55600 Tradesman Pro™ Tough Box Cooler, 17-Quart</t>
        </is>
      </c>
      <c r="D1975" t="inlineStr">
        <is>
          <t>Klein Tools 55600 Work Cooler, 17-Quart Lunch Box Holds 18 Cans &amp; Fit &amp; Fresh XL Cool Coolers Freezer Slim Ice Pack for Lunch Box, Set of 4, Large, Blue</t>
        </is>
      </c>
      <c r="E1975" s="2">
        <f>HYPERLINK("https://www.amazon.com/Klein-Tools-17-Quart-Coolers-Freezer/dp/B09T6X5P3Y/ref=sr_1_10?keywords=Klein+Tools+55600+Tradesman+Pro%E2%84%A2+Tough+Box+Cooler%2C+17-Quart&amp;qid=1694734812&amp;sr=8-10", "https://www.amazon.com/Klein-Tools-17-Quart-Coolers-Freezer/dp/B09T6X5P3Y/ref=sr_1_10?keywords=Klein+Tools+55600+Tradesman+Pro%E2%84%A2+Tough+Box+Cooler%2C+17-Quart&amp;qid=1694734812&amp;sr=8-10")</f>
        <v/>
      </c>
      <c r="F1975" t="inlineStr">
        <is>
          <t>B09T6X5P3Y</t>
        </is>
      </c>
      <c r="G1975">
        <f>_xlfn.IMAGE("https://edmondsonsupply.com/cdn/shop/products/55600.jpg?v=1587145287")</f>
        <v/>
      </c>
      <c r="H1975">
        <f>_xlfn.IMAGE("https://m.media-amazon.com/images/I/51ZbnbND+ZL._AC_UL320_.jpg")</f>
        <v/>
      </c>
      <c r="K1975" t="inlineStr">
        <is>
          <t>64.97</t>
        </is>
      </c>
      <c r="L1975" t="n">
        <v>87.48999999999999</v>
      </c>
      <c r="M1975" s="1" t="inlineStr">
        <is>
          <t>34.66%</t>
        </is>
      </c>
      <c r="N1975" s="7" t="n">
        <v>-15.31</v>
      </c>
      <c r="O1975" t="n">
        <v>4.8</v>
      </c>
      <c r="P1975" t="n">
        <v>50</v>
      </c>
      <c r="R1975" t="inlineStr">
        <is>
          <t>InStock</t>
        </is>
      </c>
      <c r="S1975" t="inlineStr">
        <is>
          <t>91.98</t>
        </is>
      </c>
      <c r="T1975" t="inlineStr">
        <is>
          <t>1707778277476</t>
        </is>
      </c>
    </row>
    <row r="1976" ht="87" customHeight="1">
      <c r="A1976" s="2">
        <f>HYPERLINK("https://edmondsonsupply.com/collections/hvac/products/supco-ecmpro-ecm-universal-tester", "https://edmondsonsupply.com/collections/hvac/products/supco-ecmpro-ecm-universal-tester")</f>
        <v/>
      </c>
      <c r="B1976" s="2">
        <f>HYPERLINK("https://edmondsonsupply.com/products/supco-ecmpro-ecm-universal-tester", "https://edmondsonsupply.com/products/supco-ecmpro-ecm-universal-tester")</f>
        <v/>
      </c>
      <c r="C1976" t="inlineStr">
        <is>
          <t>Supco ECMPRO ECM Universal Tester</t>
        </is>
      </c>
      <c r="D1976" t="inlineStr">
        <is>
          <t>Supplying Demand ECMPRO Universal ECM Tester for Electronically Commutated Motors 24 Inch Leads Includes Carrying Case</t>
        </is>
      </c>
      <c r="E1976" s="2">
        <f>HYPERLINK("https://www.amazon.com/Supplying-Demand-Universal-Electronically-Commutated/dp/B094S73V1M/ref=sr_1_2?keywords=Supco+ECMPRO+ECM+Universal+Tester&amp;qid=1694734567&amp;sr=8-2", "https://www.amazon.com/Supplying-Demand-Universal-Electronically-Commutated/dp/B094S73V1M/ref=sr_1_2?keywords=Supco+ECMPRO+ECM+Universal+Tester&amp;qid=1694734567&amp;sr=8-2")</f>
        <v/>
      </c>
      <c r="F1976" t="inlineStr">
        <is>
          <t>B094S73V1M</t>
        </is>
      </c>
      <c r="G1976">
        <f>_xlfn.IMAGE("https://edmondsonsupply.com/cdn/shop/products/ECMPRO_L.png?v=1587142591")</f>
        <v/>
      </c>
      <c r="H1976">
        <f>_xlfn.IMAGE("https://m.media-amazon.com/images/I/51YrZKhhreS._AC_UY218_.jpg")</f>
        <v/>
      </c>
      <c r="K1976" t="inlineStr">
        <is>
          <t>52.73</t>
        </is>
      </c>
      <c r="L1976" t="n">
        <v>70.98999999999999</v>
      </c>
      <c r="M1976" s="1" t="inlineStr">
        <is>
          <t>34.63%</t>
        </is>
      </c>
      <c r="N1976" s="7" t="n">
        <v>-15.48</v>
      </c>
      <c r="O1976" t="n">
        <v>4.7</v>
      </c>
      <c r="P1976" t="n">
        <v>104</v>
      </c>
      <c r="R1976" t="inlineStr">
        <is>
          <t>InStock</t>
        </is>
      </c>
      <c r="S1976" t="inlineStr">
        <is>
          <t>undefined</t>
        </is>
      </c>
      <c r="T1976" t="inlineStr">
        <is>
          <t>4429012041828</t>
        </is>
      </c>
    </row>
    <row r="1977" hidden="1" ht="15.75" customHeight="1">
      <c r="A1977" s="2">
        <f>HYPERLINK("https://edmondsonsupply.com/collections/hvac/products/packard-titan-pro-trcd355-run-capacitor-35-5-mfd-370-volt-round", "https://edmondsonsupply.com/collections/hvac/products/packard-titan-pro-trcd355-run-capacitor-35-5-mfd-370-volt-round")</f>
        <v/>
      </c>
      <c r="B1977" s="2">
        <f>HYPERLINK("https://edmondsonsupply.com/products/packard-titan-pro-trcd355-run-capacitor-35-5-mfd-370-volt-round", "https://edmondsonsupply.com/products/packard-titan-pro-trcd355-run-capacitor-35-5-mfd-370-volt-round")</f>
        <v/>
      </c>
      <c r="C1977" t="inlineStr">
        <is>
          <t>Packard Titan PRO TRCD355 Run Capacitor 35+5 MFD 370 Volt Round</t>
        </is>
      </c>
      <c r="D1977" t="inlineStr">
        <is>
          <t>Titan TRCFD355 Dual Rated Motor Run Capacitor Round MFD 35/5 Volts 440/370</t>
        </is>
      </c>
      <c r="E1977" s="2">
        <f>HYPERLINK("https://www.amazon.com/Titan-TRCFD355-Rated-Motor-Capacitor/dp/B01IC1SVP4/ref=sr_1_7?keywords=Packard+Titan+PRO+TRCD355+Run+Capacitor+35%2B5+MFD+370+Volt+Round&amp;qid=1694734648&amp;sr=8-7", "https://www.amazon.com/Titan-TRCFD355-Rated-Motor-Capacitor/dp/B01IC1SVP4/ref=sr_1_7?keywords=Packard+Titan+PRO+TRCD355+Run+Capacitor+35%2B5+MFD+370+Volt+Round&amp;qid=1694734648&amp;sr=8-7")</f>
        <v/>
      </c>
      <c r="F1977" t="inlineStr">
        <is>
          <t>B01IC1SVP4</t>
        </is>
      </c>
      <c r="G1977">
        <f>_xludf.IMAGE("https://edmondsonsupply.com/cdn/shop/products/TRCD355-2.jpg?v=1633030395")</f>
        <v/>
      </c>
      <c r="H1977">
        <f>_xludf.IMAGE("https://m.media-amazon.com/images/I/61ZOaIfuaxL._AC_UY218_.jpg")</f>
        <v/>
      </c>
      <c r="K1977" t="inlineStr">
        <is>
          <t>8.53</t>
        </is>
      </c>
      <c r="L1977" t="n">
        <v>11.48</v>
      </c>
      <c r="M1977" s="1" t="inlineStr">
        <is>
          <t>34.58%</t>
        </is>
      </c>
      <c r="N1977" s="1" t="n">
        <v>-15.99</v>
      </c>
      <c r="O1977" t="n">
        <v>4.5</v>
      </c>
      <c r="P1977" t="n">
        <v>106</v>
      </c>
      <c r="R1977" t="inlineStr">
        <is>
          <t>InStock</t>
        </is>
      </c>
      <c r="S1977" t="inlineStr">
        <is>
          <t>undefined</t>
        </is>
      </c>
      <c r="T1977" t="inlineStr">
        <is>
          <t>5302188998824</t>
        </is>
      </c>
    </row>
    <row r="1978" ht="87" customHeight="1">
      <c r="A1978" s="2">
        <f>HYPERLINK("https://edmondsonsupply.com/collections/hvac/products/malco-tools-m2007-max2000%C2%AE-offset-aviation-snip-right-cutting", "https://edmondsonsupply.com/collections/hvac/products/malco-tools-m2007-max2000%C2%AE-offset-aviation-snip-right-cutting")</f>
        <v/>
      </c>
      <c r="B1978" s="2">
        <f>HYPERLINK("https://edmondsonsupply.com/products/malco-tools-m2007-max2000%c2%ae-offset-aviation-snip-right-cutting", "https://edmondsonsupply.com/products/malco-tools-m2007-max2000%c2%ae-offset-aviation-snip-right-cutting")</f>
        <v/>
      </c>
      <c r="C1978" t="inlineStr">
        <is>
          <t>Malco Tools M2007 Max2000® Offset Aviation Snip - Right Cutting</t>
        </is>
      </c>
      <c r="D1978" t="inlineStr">
        <is>
          <t>Malco Ergonomic Right Cut Offset Aviation Snips Green - M2007</t>
        </is>
      </c>
      <c r="E1978" s="2">
        <f>HYPERLINK("https://www.amazon.com/Malco-Ergonomic-Right-Offset-Aviation/dp/B00GGQORQ0/ref=sr_1_2?keywords=Malco+Tools+M2007+Max2000%C2%AE+Offset+Aviation+Snip+-+Right+Cutting&amp;qid=1694734717&amp;sr=8-2", "https://www.amazon.com/Malco-Ergonomic-Right-Offset-Aviation/dp/B00GGQORQ0/ref=sr_1_2?keywords=Malco+Tools+M2007+Max2000%C2%AE+Offset+Aviation+Snip+-+Right+Cutting&amp;qid=1694734717&amp;sr=8-2")</f>
        <v/>
      </c>
      <c r="F1978" t="inlineStr">
        <is>
          <t>B00GGQORQ0</t>
        </is>
      </c>
      <c r="G1978">
        <f>_xlfn.IMAGE("https://edmondsonsupply.com/cdn/shop/products/m2007.jpg?v=1633030573")</f>
        <v/>
      </c>
      <c r="H1978">
        <f>_xlfn.IMAGE("https://m.media-amazon.com/images/I/411xldaWcQL._AC_UL320_.jpg")</f>
        <v/>
      </c>
      <c r="K1978" t="inlineStr">
        <is>
          <t>42.99</t>
        </is>
      </c>
      <c r="L1978" t="n">
        <v>57.81</v>
      </c>
      <c r="M1978" s="1" t="inlineStr">
        <is>
          <t>34.47%</t>
        </is>
      </c>
      <c r="N1978" s="7" t="n">
        <v>-16.07</v>
      </c>
      <c r="O1978" t="n">
        <v>4.2</v>
      </c>
      <c r="P1978" t="n">
        <v>4</v>
      </c>
      <c r="R1978" t="inlineStr">
        <is>
          <t>InStock</t>
        </is>
      </c>
      <c r="S1978" t="inlineStr">
        <is>
          <t>45.82</t>
        </is>
      </c>
      <c r="T1978" t="inlineStr">
        <is>
          <t>5517863682216</t>
        </is>
      </c>
    </row>
    <row r="1979" ht="87" customHeight="1">
      <c r="A1979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1979" s="2">
        <f>HYPERLINK("https://edmondsonsupply.com/products/milwaukee-48-22-1540-fastback%e2%84%a2-5-in-1-folding-knife", "https://edmondsonsupply.com/products/milwaukee-48-22-1540-fastback%e2%84%a2-5-in-1-folding-knife")</f>
        <v/>
      </c>
      <c r="C1979" t="inlineStr">
        <is>
          <t>Milwaukee 48-22-1540 FASTBACK™ 5-in-1 Folding Knife</t>
        </is>
      </c>
      <c r="D1979" t="inlineStr">
        <is>
          <t>For Milwaukee Tool 48-22-1505 Fastback™ 6In1 Folding Utility Knife</t>
        </is>
      </c>
      <c r="E1979" s="2">
        <f>HYPERLINK("https://www.amazon.com/Milwaukee-48-22-1505-FastbackTM-Folding-Utility/dp/B0C69TGH9K/ref=sr_1_6?keywords=Milwaukee+48-22-1540+FASTBACK%E2%84%A2+5-in-1+Folding+Knife&amp;qid=1694734631&amp;sr=8-6", "https://www.amazon.com/Milwaukee-48-22-1505-FastbackTM-Folding-Utility/dp/B0C69TGH9K/ref=sr_1_6?keywords=Milwaukee+48-22-1540+FASTBACK%E2%84%A2+5-in-1+Folding+Knife&amp;qid=1694734631&amp;sr=8-6")</f>
        <v/>
      </c>
      <c r="F1979" t="inlineStr">
        <is>
          <t>B0C69TGH9K</t>
        </is>
      </c>
      <c r="G1979">
        <f>_xlfn.IMAGE("https://edmondsonsupply.com/cdn/shop/products/48-22-1540_1.png?v=1587142762")</f>
        <v/>
      </c>
      <c r="H1979">
        <f>_xlfn.IMAGE("https://m.media-amazon.com/images/I/41ZUsUsHByL._AC_UL320_.jpg")</f>
        <v/>
      </c>
      <c r="K1979" t="inlineStr">
        <is>
          <t>23.97</t>
        </is>
      </c>
      <c r="L1979" t="n">
        <v>32.19</v>
      </c>
      <c r="M1979" s="1" t="inlineStr">
        <is>
          <t>34.29%</t>
        </is>
      </c>
      <c r="N1979" s="7" t="n">
        <v>-16.09</v>
      </c>
      <c r="O1979" t="n">
        <v>4.5</v>
      </c>
      <c r="P1979" t="n">
        <v>2</v>
      </c>
      <c r="R1979" t="inlineStr">
        <is>
          <t>InStock</t>
        </is>
      </c>
      <c r="S1979" t="inlineStr">
        <is>
          <t>39.0</t>
        </is>
      </c>
      <c r="T1979" t="inlineStr">
        <is>
          <t>4452621090916</t>
        </is>
      </c>
    </row>
    <row r="1980" ht="87" customHeight="1">
      <c r="A1980" s="2">
        <f>HYPERLINK("https://edmondsonsupply.com/collections/hvac/products/diversitech-asurity%E2%84%A2-cp-22-230-condensate-pump-22ft-lift-230v", "https://edmondsonsupply.com/collections/hvac/products/diversitech-asurity%E2%84%A2-cp-22-230-condensate-pump-22ft-lift-230v")</f>
        <v/>
      </c>
      <c r="B1980" s="2">
        <f>HYPERLINK("https://edmondsonsupply.com/products/diversitech-asurity%e2%84%a2-cp-22-230-condensate-pump-22ft-lift-230v", "https://edmondsonsupply.com/products/diversitech-asurity%e2%84%a2-cp-22-230-condensate-pump-22ft-lift-230v")</f>
        <v/>
      </c>
      <c r="C1980" t="inlineStr">
        <is>
          <t>DiversiTech Asurity™ CP-22-230 Condensate Pump, 22ft. Lift, 230V</t>
        </is>
      </c>
      <c r="D1980" t="inlineStr">
        <is>
          <t>Diversitech CP-22-230 Conden.Pump, 22 ft. Lift, 230V</t>
        </is>
      </c>
      <c r="E1980" s="2">
        <f>HYPERLINK("https://www.amazon.com/Diversitech-CP-22-230-Pump/dp/B008FM1PGI/ref=sr_1_1?keywords=DiversiTech+Asurity%E2%84%A2+CP-22-230+Condensate+Pump%2C+22ft.+Lift%2C+230V&amp;qid=1694734872&amp;sr=8-1", "https://www.amazon.com/Diversitech-CP-22-230-Pump/dp/B008FM1PGI/ref=sr_1_1?keywords=DiversiTech+Asurity%E2%84%A2+CP-22-230+Condensate+Pump%2C+22ft.+Lift%2C+230V&amp;qid=1694734872&amp;sr=8-1")</f>
        <v/>
      </c>
      <c r="F1980" t="inlineStr">
        <is>
          <t>B008FM1PGI</t>
        </is>
      </c>
      <c r="G1980">
        <f>_xlfn.IMAGE("https://edmondsonsupply.com/cdn/shop/files/64274d57081aa759857757.jpg?v=1690809952")</f>
        <v/>
      </c>
      <c r="H1980">
        <f>_xlfn.IMAGE("https://m.media-amazon.com/images/I/51pb46rQvML._AC_UL320_.jpg")</f>
        <v/>
      </c>
      <c r="K1980" t="inlineStr">
        <is>
          <t>68.79</t>
        </is>
      </c>
      <c r="L1980" t="n">
        <v>92.28</v>
      </c>
      <c r="M1980" s="1" t="inlineStr">
        <is>
          <t>34.15%</t>
        </is>
      </c>
      <c r="N1980" s="7" t="n">
        <v>-16.3</v>
      </c>
      <c r="O1980" t="n">
        <v>4.3</v>
      </c>
      <c r="P1980" t="n">
        <v>62</v>
      </c>
      <c r="R1980" t="inlineStr">
        <is>
          <t>InStock</t>
        </is>
      </c>
      <c r="S1980" t="inlineStr">
        <is>
          <t>undefined</t>
        </is>
      </c>
      <c r="T1980" t="inlineStr">
        <is>
          <t>8023187718360</t>
        </is>
      </c>
    </row>
    <row r="1981" ht="87" customHeight="1">
      <c r="A1981" s="2">
        <f>HYPERLINK("https://edmondsonsupply.com/collections/hvac/products/white-rodgers-24a34-5-24v-electric-heat-sequencer-dpst-spst", "https://edmondsonsupply.com/collections/hvac/products/white-rodgers-24a34-5-24v-electric-heat-sequencer-dpst-spst")</f>
        <v/>
      </c>
      <c r="B1981" s="2">
        <f>HYPERLINK("https://edmondsonsupply.com/products/white-rodgers-24a34-5-24v-electric-heat-sequencer-dpst-spst", "https://edmondsonsupply.com/products/white-rodgers-24a34-5-24v-electric-heat-sequencer-dpst-spst")</f>
        <v/>
      </c>
      <c r="C1981" t="inlineStr">
        <is>
          <t>White-Rodgers 24A34-5 24V Electric Heat Sequencer, DPST-SPST</t>
        </is>
      </c>
      <c r="D1981" t="inlineStr">
        <is>
          <t>HVAC Parts Emerson White-Rodgers 24A34-4 24V Electric Heat Sequencer DPST</t>
        </is>
      </c>
      <c r="E1981" s="2">
        <f>HYPERLINK("https://www.amazon.com/HVAC-Parts-White-Rodgers-Electric-Sequencer/dp/B09N9VYKL1/ref=sr_1_1?keywords=White-Rodgers+24A34-5+24V+Electric+Heat+Sequencer%2C+DPST-SPST&amp;qid=1694734650&amp;sr=8-1", "https://www.amazon.com/HVAC-Parts-White-Rodgers-Electric-Sequencer/dp/B09N9VYKL1/ref=sr_1_1?keywords=White-Rodgers+24A34-5+24V+Electric+Heat+Sequencer%2C+DPST-SPST&amp;qid=1694734650&amp;sr=8-1")</f>
        <v/>
      </c>
      <c r="F1981" t="inlineStr">
        <is>
          <t>B09N9VYKL1</t>
        </is>
      </c>
      <c r="G1981">
        <f>_xlfn.IMAGE("https://edmondsonsupply.com/cdn/shop/products/24A34-5.jpg?v=1633030752")</f>
        <v/>
      </c>
      <c r="H1981">
        <f>_xlfn.IMAGE("https://m.media-amazon.com/images/I/71IXexQVGwL._AC_UL320_.jpg")</f>
        <v/>
      </c>
      <c r="K1981" t="inlineStr">
        <is>
          <t>18.31</t>
        </is>
      </c>
      <c r="L1981" t="n">
        <v>24.54</v>
      </c>
      <c r="M1981" s="1" t="inlineStr">
        <is>
          <t>34.03%</t>
        </is>
      </c>
      <c r="N1981" s="7" t="n">
        <v>-16.67</v>
      </c>
      <c r="O1981" t="n">
        <v>5</v>
      </c>
      <c r="P1981" t="n">
        <v>1</v>
      </c>
      <c r="R1981" t="inlineStr">
        <is>
          <t>InStock</t>
        </is>
      </c>
      <c r="S1981" t="inlineStr">
        <is>
          <t>46.56</t>
        </is>
      </c>
      <c r="T1981" t="inlineStr">
        <is>
          <t>5891615162536</t>
        </is>
      </c>
    </row>
    <row r="1982" ht="87" customHeight="1">
      <c r="A1982" s="2">
        <f>HYPERLINK("https://edmondsonsupply.com/collections/hvac/products/robertshaw-rs8110-digital-non-programmable-thermostat-single-stage-1-heat-1-cool", "https://edmondsonsupply.com/collections/hvac/products/robertshaw-rs8110-digital-non-programmable-thermostat-single-stage-1-heat-1-cool")</f>
        <v/>
      </c>
      <c r="B1982" s="2">
        <f>HYPERLINK("https://edmondsonsupply.com/products/robertshaw-rs8110-digital-non-programmable-thermostat-single-stage-1-heat-1-cool", "https://edmondsonsupply.com/products/robertshaw-rs8110-digital-non-programmable-thermostat-single-stage-1-heat-1-cool")</f>
        <v/>
      </c>
      <c r="C1982" t="inlineStr">
        <is>
          <t>Robertshaw RS8110 Digital Non-Programmable Thermostat, Single Stage - 1 Heat/1 Cool</t>
        </is>
      </c>
      <c r="D1982" t="inlineStr">
        <is>
          <t>Robertshaw RS9110 Pro Series 5-1-1 Programmable Thermostat, White, 1 Heat / 1 Cool for Single-Stage Systems</t>
        </is>
      </c>
      <c r="E1982" s="2">
        <f>HYPERLINK("https://www.amazon.com/Robertshaw-Programmable-Thermostat-Single-Stage-Systems/dp/B00U5CASIW/ref=sr_1_2?keywords=Robertshaw+RS8110+Digital+Non-Programmable+Thermostat%2C+Single+Stage+-+1+Heat%2F1+Cool&amp;qid=1694734638&amp;sr=8-2", "https://www.amazon.com/Robertshaw-Programmable-Thermostat-Single-Stage-Systems/dp/B00U5CASIW/ref=sr_1_2?keywords=Robertshaw+RS8110+Digital+Non-Programmable+Thermostat%2C+Single+Stage+-+1+Heat%2F1+Cool&amp;qid=1694734638&amp;sr=8-2")</f>
        <v/>
      </c>
      <c r="F1982" t="inlineStr">
        <is>
          <t>B00U5CASIW</t>
        </is>
      </c>
      <c r="G1982">
        <f>_xlfn.IMAGE("https://edmondsonsupply.com/cdn/shop/products/RS8110.jpg?v=1633031027")</f>
        <v/>
      </c>
      <c r="H1982">
        <f>_xlfn.IMAGE("https://m.media-amazon.com/images/I/61A9Hfn0xXL._AC_UL320_.jpg")</f>
        <v/>
      </c>
      <c r="K1982" t="inlineStr">
        <is>
          <t>32.96</t>
        </is>
      </c>
      <c r="L1982" t="n">
        <v>44.16</v>
      </c>
      <c r="M1982" s="1" t="inlineStr">
        <is>
          <t>33.98%</t>
        </is>
      </c>
      <c r="N1982" s="7" t="n">
        <v>-16.92</v>
      </c>
      <c r="O1982" t="n">
        <v>5</v>
      </c>
      <c r="P1982" t="n">
        <v>1</v>
      </c>
      <c r="R1982" t="inlineStr">
        <is>
          <t>InStock</t>
        </is>
      </c>
      <c r="S1982" t="inlineStr">
        <is>
          <t>61.37</t>
        </is>
      </c>
      <c r="T1982" t="inlineStr">
        <is>
          <t>6728860827821</t>
        </is>
      </c>
    </row>
    <row r="1983" ht="87" customHeight="1">
      <c r="A1983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1983" s="2">
        <f>HYPERLINK("https://edmondsonsupply.com/products/packard-c240a-contactor-2-pole-40-amps-24-coil-voltage", "https://edmondsonsupply.com/products/packard-c240a-contactor-2-pole-40-amps-24-coil-voltage")</f>
        <v/>
      </c>
      <c r="C1983" t="inlineStr">
        <is>
          <t>Packard C240A Contactor 2 Pole 40 AMPS 24 Coil Voltage</t>
        </is>
      </c>
      <c r="D1983" t="inlineStr">
        <is>
          <t>Packard C240C 2 Pole 40 Amp Contactor 208/240 Volt Coil Contactor</t>
        </is>
      </c>
      <c r="E1983" s="2">
        <f>HYPERLINK("https://www.amazon.com/Packard-C240C-Pole-Contactor-Volt/dp/B004Z0RLR6/ref=sr_1_3?keywords=Packard+C240A+Contactor+2+Pole+40+AMPS+24+Coil+Voltage&amp;qid=1694734591&amp;sr=8-3", "https://www.amazon.com/Packard-C240C-Pole-Contactor-Volt/dp/B004Z0RLR6/ref=sr_1_3?keywords=Packard+C240A+Contactor+2+Pole+40+AMPS+24+Coil+Voltage&amp;qid=1694734591&amp;sr=8-3")</f>
        <v/>
      </c>
      <c r="F1983" t="inlineStr">
        <is>
          <t>B004Z0RLR6</t>
        </is>
      </c>
      <c r="G1983">
        <f>_xlfn.IMAGE("https://edmondsonsupply.com/cdn/shop/products/C240A-1.jpg?v=1590239996")</f>
        <v/>
      </c>
      <c r="H1983">
        <f>_xlfn.IMAGE("https://m.media-amazon.com/images/I/91HgJ588lHL._AC_UY218_.jpg")</f>
        <v/>
      </c>
      <c r="K1983" t="inlineStr">
        <is>
          <t>13.96</t>
        </is>
      </c>
      <c r="L1983" t="n">
        <v>18.7</v>
      </c>
      <c r="M1983" s="1" t="inlineStr">
        <is>
          <t>33.95%</t>
        </is>
      </c>
      <c r="N1983" s="7" t="n">
        <v>-17.1</v>
      </c>
      <c r="O1983" t="n">
        <v>4.4</v>
      </c>
      <c r="P1983" t="n">
        <v>118</v>
      </c>
      <c r="R1983" t="inlineStr">
        <is>
          <t>InStock</t>
        </is>
      </c>
      <c r="S1983" t="inlineStr">
        <is>
          <t>undefined</t>
        </is>
      </c>
      <c r="T1983" t="inlineStr">
        <is>
          <t>4316288680036</t>
        </is>
      </c>
    </row>
    <row r="1984" ht="87" customHeight="1">
      <c r="A1984" s="2">
        <f>HYPERLINK("https://edmondsonsupply.com/collections/hvac/products/midwest-mwt-6510r-right-offset-aviation-snip", "https://edmondsonsupply.com/collections/hvac/products/midwest-mwt-6510r-right-offset-aviation-snip")</f>
        <v/>
      </c>
      <c r="B1984" s="2">
        <f>HYPERLINK("https://edmondsonsupply.com/products/midwest-mwt-6510r-right-offset-aviation-snip", "https://edmondsonsupply.com/products/midwest-mwt-6510r-right-offset-aviation-snip")</f>
        <v/>
      </c>
      <c r="C1984" t="inlineStr">
        <is>
          <t>Midwest MWT-6510R Right Offset Aviation Snip</t>
        </is>
      </c>
      <c r="D1984" t="inlineStr">
        <is>
          <t>MIDWEST Aviation Snip - Right Cut Offset Stainless Steel Cutting Shears with Forged Blade &amp; KUSH'N-POWER Comfort Grips - MWT-SS6510R</t>
        </is>
      </c>
      <c r="E1984" s="2">
        <f>HYPERLINK("https://www.amazon.com/MIDWEST-Aviation-Snip-KUSHN-POWER-MWT-SS6510R/dp/B00OMSVOZ6/ref=sr_1_5?keywords=Midwest+MWT-6510R+Right+Offset+Aviation+Snip&amp;qid=1694734735&amp;sr=8-5", "https://www.amazon.com/MIDWEST-Aviation-Snip-KUSHN-POWER-MWT-SS6510R/dp/B00OMSVOZ6/ref=sr_1_5?keywords=Midwest+MWT-6510R+Right+Offset+Aviation+Snip&amp;qid=1694734735&amp;sr=8-5")</f>
        <v/>
      </c>
      <c r="F1984" t="inlineStr">
        <is>
          <t>B00OMSVOZ6</t>
        </is>
      </c>
      <c r="G1984">
        <f>_xlfn.IMAGE("https://edmondsonsupply.com/cdn/shop/products/MWT-6510R.png?v=1587144877")</f>
        <v/>
      </c>
      <c r="H1984">
        <f>_xlfn.IMAGE("https://m.media-amazon.com/images/I/6111Xzz5-TL._AC_UL320_.jpg")</f>
        <v/>
      </c>
      <c r="K1984" t="inlineStr">
        <is>
          <t>24.89</t>
        </is>
      </c>
      <c r="L1984" t="n">
        <v>33.32</v>
      </c>
      <c r="M1984" s="1" t="inlineStr">
        <is>
          <t>33.87%</t>
        </is>
      </c>
      <c r="N1984" s="7" t="n">
        <v>-17.17</v>
      </c>
      <c r="O1984" t="n">
        <v>4.3</v>
      </c>
      <c r="P1984" t="n">
        <v>99</v>
      </c>
      <c r="R1984" t="inlineStr">
        <is>
          <t>InStock</t>
        </is>
      </c>
      <c r="S1984" t="inlineStr">
        <is>
          <t>33.49</t>
        </is>
      </c>
      <c r="T1984" t="inlineStr">
        <is>
          <t>4414962597988</t>
        </is>
      </c>
    </row>
    <row r="1985" ht="87" customHeight="1">
      <c r="A1985" s="2">
        <f>HYPERLINK("https://edmondsonsupply.com/collections/hvac/products/midwest-mwt-6510l-left-offset-aviation-snip", "https://edmondsonsupply.com/collections/hvac/products/midwest-mwt-6510l-left-offset-aviation-snip")</f>
        <v/>
      </c>
      <c r="B1985" s="2">
        <f>HYPERLINK("https://edmondsonsupply.com/products/midwest-mwt-6510l-left-offset-aviation-snip", "https://edmondsonsupply.com/products/midwest-mwt-6510l-left-offset-aviation-snip")</f>
        <v/>
      </c>
      <c r="C1985" t="inlineStr">
        <is>
          <t>Midwest MWT-6510L Left Offset Aviation Snip</t>
        </is>
      </c>
      <c r="D1985" t="inlineStr">
        <is>
          <t>MIDWEST Aviation Snip - Left Cut Upright Tin Cutting Shears with Forged Blade &amp; KUSH'N-POWER Comfort Grips - MWT-6900L</t>
        </is>
      </c>
      <c r="E1985" s="2">
        <f>HYPERLINK("https://www.amazon.com/MIDWEST-Aviation-Snip-KUSHN-POWER-MWT-6900L/dp/B00OJ0KPG6/ref=sr_1_8?keywords=Midwest+MWT-6510L+Left+Offset+Aviation+Snip&amp;qid=1694734618&amp;sr=8-8", "https://www.amazon.com/MIDWEST-Aviation-Snip-KUSHN-POWER-MWT-6900L/dp/B00OJ0KPG6/ref=sr_1_8?keywords=Midwest+MWT-6510L+Left+Offset+Aviation+Snip&amp;qid=1694734618&amp;sr=8-8")</f>
        <v/>
      </c>
      <c r="F1985" t="inlineStr">
        <is>
          <t>B00OJ0KPG6</t>
        </is>
      </c>
      <c r="G1985">
        <f>_xlfn.IMAGE("https://edmondsonsupply.com/cdn/shop/products/mwt-6510l.png?v=1587142880")</f>
        <v/>
      </c>
      <c r="H1985">
        <f>_xlfn.IMAGE("https://m.media-amazon.com/images/I/71RT+4Ey9vL._AC_UL320_.jpg")</f>
        <v/>
      </c>
      <c r="K1985" t="inlineStr">
        <is>
          <t>25.99</t>
        </is>
      </c>
      <c r="L1985" t="n">
        <v>34.77</v>
      </c>
      <c r="M1985" s="1" t="inlineStr">
        <is>
          <t>33.78%</t>
        </is>
      </c>
      <c r="N1985" s="7" t="n">
        <v>-17.17</v>
      </c>
      <c r="O1985" t="n">
        <v>4.7</v>
      </c>
      <c r="P1985" t="n">
        <v>777</v>
      </c>
      <c r="R1985" t="inlineStr">
        <is>
          <t>InStock</t>
        </is>
      </c>
      <c r="S1985" t="inlineStr">
        <is>
          <t>33.49</t>
        </is>
      </c>
      <c r="T1985" t="inlineStr">
        <is>
          <t>3688846917732</t>
        </is>
      </c>
    </row>
    <row r="1986" hidden="1" ht="15.75" customHeight="1">
      <c r="A1986" s="2">
        <f>HYPERLINK("https://edmondsonsupply.com/collections/hvac/products/milwaukee-2912-22-m18-fuel%E2%84%A2-1-sds-plus-rotary-hammer-kit", "https://edmondsonsupply.com/collections/hvac/products/milwaukee-2912-22-m18-fuel%E2%84%A2-1-sds-plus-rotary-hammer-kit")</f>
        <v/>
      </c>
      <c r="B1986" s="2">
        <f>HYPERLINK("https://edmondsonsupply.com/products/milwaukee-2912-22-m18-fuel%e2%84%a2-1-sds-plus-rotary-hammer-kit", "https://edmondsonsupply.com/products/milwaukee-2912-22-m18-fuel%e2%84%a2-1-sds-plus-rotary-hammer-kit")</f>
        <v/>
      </c>
      <c r="C1986" t="inlineStr">
        <is>
          <t>Milwaukee 2912-22 M18 FUEL™ 1" SDS Plus Rotary Hammer Kit</t>
        </is>
      </c>
      <c r="D1986" t="inlineStr">
        <is>
          <t>Milwaukee 2715-22DE M18 Fuel 1-1/8" SDS Plus Rotary Hammer with De Kit</t>
        </is>
      </c>
      <c r="E1986" s="2">
        <f>HYPERLINK("https://www.amazon.com/Milwaukee-2715-22DE-Fuel-Rotary-Hammer/dp/B00PP58QAQ/ref=sr_1_6?keywords=Milwaukee+2912-22+M18+FUEL%E2%84%A2+1%22+SDS+Plus+Rotary+Hammer+Kit&amp;qid=1694734903&amp;sr=8-6", "https://www.amazon.com/Milwaukee-2715-22DE-Fuel-Rotary-Hammer/dp/B00PP58QAQ/ref=sr_1_6?keywords=Milwaukee+2912-22+M18+FUEL%E2%84%A2+1%22+SDS+Plus+Rotary+Hammer+Kit&amp;qid=1694734903&amp;sr=8-6")</f>
        <v/>
      </c>
      <c r="F1986" t="inlineStr">
        <is>
          <t>B00PP58QAQ</t>
        </is>
      </c>
      <c r="G1986">
        <f>_xludf.IMAGE("https://edmondsonsupply.com/cdn/shop/files/2912-20_1.webp?v=1686934956")</f>
        <v/>
      </c>
      <c r="H1986">
        <f>_xludf.IMAGE("https://m.media-amazon.com/images/I/61R8HKz2VhL._AC_UL320_.jpg")</f>
        <v/>
      </c>
      <c r="K1986" t="inlineStr">
        <is>
          <t>599.0</t>
        </is>
      </c>
      <c r="L1986" t="n">
        <v>799.99</v>
      </c>
      <c r="M1986" s="1" t="inlineStr">
        <is>
          <t>33.55%</t>
        </is>
      </c>
      <c r="N1986" s="1" t="n">
        <v>-17.59</v>
      </c>
      <c r="O1986" t="n">
        <v>3.9</v>
      </c>
      <c r="P1986" t="n">
        <v>2</v>
      </c>
      <c r="R1986" t="inlineStr">
        <is>
          <t>InStock</t>
        </is>
      </c>
      <c r="S1986" t="inlineStr">
        <is>
          <t>1054.0</t>
        </is>
      </c>
      <c r="T1986" t="inlineStr">
        <is>
          <t>8006184960216</t>
        </is>
      </c>
    </row>
    <row r="1987" ht="87" customHeight="1">
      <c r="A1987" s="2">
        <f>HYPERLINK("https://edmondsonsupply.com/collections/hvac/products/packard-titan-pro-trcfd605-run-capacitor-60-5-mfd-440-370-volt-round", "https://edmondsonsupply.com/collections/hvac/products/packard-titan-pro-trcfd605-run-capacitor-60-5-mfd-440-370-volt-round")</f>
        <v/>
      </c>
      <c r="B1987" s="2">
        <f>HYPERLINK("https://edmondsonsupply.com/products/packard-titan-pro-trcfd605-run-capacitor-60-5-mfd-440-370-volt-round", "https://edmondsonsupply.com/products/packard-titan-pro-trcfd605-run-capacitor-60-5-mfd-440-370-volt-round")</f>
        <v/>
      </c>
      <c r="C1987" t="inlineStr">
        <is>
          <t>Packard TRCFD605 Titan PRO Run Capacitor 60+5 MFD 440/370 Volt Round</t>
        </is>
      </c>
      <c r="D1987" t="inlineStr">
        <is>
          <t>Titan TRCFD605 Dual Rated Motor Run Capacitor Round MFD 60/5 Volts 440/370</t>
        </is>
      </c>
      <c r="E1987" s="2">
        <f>HYPERLINK("https://www.amazon.com/Titan-TRCFD605-Rated-Motor-Capacitor/dp/B01HPK9YMM/ref=sr_1_1?keywords=Packard+TRCFD605+Titan+PRO+Run+Capacitor+60%2B5+MFD+440%2F370+Volt+Round&amp;qid=1694734650&amp;sr=8-1", "https://www.amazon.com/Titan-TRCFD605-Rated-Motor-Capacitor/dp/B01HPK9YMM/ref=sr_1_1?keywords=Packard+TRCFD605+Titan+PRO+Run+Capacitor+60%2B5+MFD+440%2F370+Volt+Round&amp;qid=1694734650&amp;sr=8-1")</f>
        <v/>
      </c>
      <c r="F1987" t="inlineStr">
        <is>
          <t>B01HPK9YMM</t>
        </is>
      </c>
      <c r="G1987">
        <f>_xlfn.IMAGE("https://edmondsonsupply.com/cdn/shop/products/61bb567904cdd692881387_jpeg.webp?v=1655427971")</f>
        <v/>
      </c>
      <c r="H1987">
        <f>_xlfn.IMAGE("https://m.media-amazon.com/images/I/71Sf6Ke3XZL._AC_UY218_.jpg")</f>
        <v/>
      </c>
      <c r="K1987" t="inlineStr">
        <is>
          <t>13.49</t>
        </is>
      </c>
      <c r="L1987" t="n">
        <v>18.01</v>
      </c>
      <c r="M1987" s="1" t="inlineStr">
        <is>
          <t>33.51%</t>
        </is>
      </c>
      <c r="N1987" s="7" t="n">
        <v>-17.75</v>
      </c>
      <c r="O1987" t="n">
        <v>4.5</v>
      </c>
      <c r="P1987" t="n">
        <v>39</v>
      </c>
      <c r="R1987" t="inlineStr">
        <is>
          <t>InStock</t>
        </is>
      </c>
      <c r="S1987" t="inlineStr">
        <is>
          <t>undefined</t>
        </is>
      </c>
      <c r="T1987" t="inlineStr">
        <is>
          <t>3651856040036</t>
        </is>
      </c>
    </row>
    <row r="1988" ht="87" customHeight="1">
      <c r="A1988" s="2">
        <f>HYPERLINK("https://edmondsonsupply.com/collections/hvac/products/midwest-mwt-6900l-upright-left-cutting-offset-aviation-snip", "https://edmondsonsupply.com/collections/hvac/products/midwest-mwt-6900l-upright-left-cutting-offset-aviation-snip")</f>
        <v/>
      </c>
      <c r="B1988" s="2">
        <f>HYPERLINK("https://edmondsonsupply.com/products/midwest-mwt-6900l-upright-left-cutting-offset-aviation-snip", "https://edmondsonsupply.com/products/midwest-mwt-6900l-upright-left-cutting-offset-aviation-snip")</f>
        <v/>
      </c>
      <c r="C1988" t="inlineStr">
        <is>
          <t>Midwest MWT-6900L Upright Left-Cutting Aviation Snip</t>
        </is>
      </c>
      <c r="D1988" t="inlineStr">
        <is>
          <t>MIDWEST Aviation Snip - Left Cut Upright Tin Cutting Shears with Forged Blade &amp; KUSH'N-POWER Comfort Grips - MWT-6900L</t>
        </is>
      </c>
      <c r="E1988" s="2">
        <f>HYPERLINK("https://www.amazon.com/MIDWEST-Aviation-Snip-KUSHN-POWER-MWT-6900L/dp/B00OJ0KPG6/ref=sr_1_1?keywords=Midwest+MWT-6900L+Upright+Left-Cutting+Aviation+Snip&amp;qid=1694734627&amp;sr=8-1", "https://www.amazon.com/MIDWEST-Aviation-Snip-KUSHN-POWER-MWT-6900L/dp/B00OJ0KPG6/ref=sr_1_1?keywords=Midwest+MWT-6900L+Upright+Left-Cutting+Aviation+Snip&amp;qid=1694734627&amp;sr=8-1")</f>
        <v/>
      </c>
      <c r="F1988" t="inlineStr">
        <is>
          <t>B00OJ0KPG6</t>
        </is>
      </c>
      <c r="G1988">
        <f>_xlfn.IMAGE("https://edmondsonsupply.com/cdn/shop/products/MWT-6900L1.jpg?v=1587146265")</f>
        <v/>
      </c>
      <c r="H1988">
        <f>_xlfn.IMAGE("https://m.media-amazon.com/images/I/71RT+4Ey9vL._AC_UL320_.jpg")</f>
        <v/>
      </c>
      <c r="K1988" t="inlineStr">
        <is>
          <t>25.99</t>
        </is>
      </c>
      <c r="L1988" t="n">
        <v>34.69</v>
      </c>
      <c r="M1988" s="1" t="inlineStr">
        <is>
          <t>33.47%</t>
        </is>
      </c>
      <c r="N1988" s="7" t="n">
        <v>-17.86</v>
      </c>
      <c r="O1988" t="n">
        <v>4.7</v>
      </c>
      <c r="P1988" t="n">
        <v>777</v>
      </c>
      <c r="R1988" t="inlineStr">
        <is>
          <t>InStock</t>
        </is>
      </c>
      <c r="S1988" t="inlineStr">
        <is>
          <t>37.05</t>
        </is>
      </c>
      <c r="T1988" t="inlineStr">
        <is>
          <t>4470064250980</t>
        </is>
      </c>
    </row>
    <row r="1989" ht="87" customHeight="1">
      <c r="A1989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1989" s="2">
        <f>HYPERLINK("https://edmondsonsupply.com/products/klein-tools-sk234-screwdriver-set-slotted-screw-holding-3-piece", "https://edmondsonsupply.com/products/klein-tools-sk234-screwdriver-set-slotted-screw-holding-3-piece")</f>
        <v/>
      </c>
      <c r="C1989" t="inlineStr">
        <is>
          <t>Klein Tools SK234 Screwdriver Set, Slotted Screw Holding, 3-Piece</t>
        </is>
      </c>
      <c r="D1989" t="inlineStr">
        <is>
          <t>Klein Tools 85105 Screwdriver Set, Slotted and Phillips Screwdrivers with Cushion-Grip Handles and Tip-Ident, 4-Piece</t>
        </is>
      </c>
      <c r="E1989" s="2">
        <f>HYPERLINK("https://www.amazon.com/Precision-Screwdriver-Klein-Tools-85105/dp/B00508QSNK/ref=sr_1_53?keywords=Klein+Tools+SK234+Screwdriver+Set%2C+Slotted+Screw+Holding%2C+3-Piece&amp;qid=1694734646&amp;sr=8-53", "https://www.amazon.com/Precision-Screwdriver-Klein-Tools-85105/dp/B00508QSNK/ref=sr_1_53?keywords=Klein+Tools+SK234+Screwdriver+Set%2C+Slotted+Screw+Holding%2C+3-Piece&amp;qid=1694734646&amp;sr=8-53")</f>
        <v/>
      </c>
      <c r="F1989" t="inlineStr">
        <is>
          <t>B00508QSNK</t>
        </is>
      </c>
      <c r="G1989">
        <f>_xlfn.IMAGE("https://edmondsonsupply.com/cdn/shop/products/sk234.jpg?v=1587144984")</f>
        <v/>
      </c>
      <c r="H1989">
        <f>_xlfn.IMAGE("https://m.media-amazon.com/images/I/51Jo0eitsAL._AC_UL320_.jpg")</f>
        <v/>
      </c>
      <c r="K1989" t="inlineStr">
        <is>
          <t>29.97</t>
        </is>
      </c>
      <c r="L1989" t="n">
        <v>39.97</v>
      </c>
      <c r="M1989" s="1" t="inlineStr">
        <is>
          <t>33.37%</t>
        </is>
      </c>
      <c r="N1989" s="7" t="n">
        <v>-17.9</v>
      </c>
      <c r="O1989" t="n">
        <v>4.8</v>
      </c>
      <c r="P1989" t="n">
        <v>375</v>
      </c>
      <c r="R1989" t="inlineStr">
        <is>
          <t>OutOfStock</t>
        </is>
      </c>
      <c r="S1989" t="inlineStr">
        <is>
          <t>45.42</t>
        </is>
      </c>
      <c r="T1989" t="inlineStr">
        <is>
          <t>4405483143268</t>
        </is>
      </c>
    </row>
    <row r="1990" ht="87" customHeight="1">
      <c r="A1990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1990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1990" t="inlineStr">
        <is>
          <t>Diablo Tools DMAMXCC5010 2 in. x 7 in. SDS-Max Carbide Tipped Core Bit</t>
        </is>
      </c>
      <c r="D1990" t="inlineStr">
        <is>
          <t>Diablo DMAMX1390 1-3/4 in. x 16 in. x 21 in. Rebar Demon™ SDS-Max 4-Cutter Carbide-Tipped Hammer Bit</t>
        </is>
      </c>
      <c r="E1990" s="2">
        <f>HYPERLINK("https://www.amazon.com/Diablo-DMAMX1390-SDS-Max-4-Cutter-Carbide-Tipped/dp/B089KW6C8V/ref=sr_1_11?keywords=Diablo+Tools+DMAMXCC5010+2+in.+x+7+in.+SDS-Max+Carbide+Tipped+Core+Bit&amp;qid=1694734911&amp;sr=8-11", "https://www.amazon.com/Diablo-DMAMX1390-SDS-Max-4-Cutter-Carbide-Tipped/dp/B089KW6C8V/ref=sr_1_11?keywords=Diablo+Tools+DMAMXCC5010+2+in.+x+7+in.+SDS-Max+Carbide+Tipped+Core+Bit&amp;qid=1694734911&amp;sr=8-11")</f>
        <v/>
      </c>
      <c r="F1990" t="inlineStr">
        <is>
          <t>B089KW6C8V</t>
        </is>
      </c>
      <c r="G1990">
        <f>_xlfn.IMAGE("https://edmondsonsupply.com/cdn/shop/files/kbs61qpkymnshwvx13k1.webp?v=1686583113")</f>
        <v/>
      </c>
      <c r="H1990">
        <f>_xlfn.IMAGE("https://m.media-amazon.com/images/I/61J-83UaGmL._AC_UL320_.jpg")</f>
        <v/>
      </c>
      <c r="K1990" t="inlineStr">
        <is>
          <t>101.49</t>
        </is>
      </c>
      <c r="L1990" t="n">
        <v>135.21</v>
      </c>
      <c r="M1990" s="1" t="inlineStr">
        <is>
          <t>33.22%</t>
        </is>
      </c>
      <c r="N1990" s="7" t="n">
        <v>-18</v>
      </c>
      <c r="O1990" t="n">
        <v>5</v>
      </c>
      <c r="P1990" t="n">
        <v>9</v>
      </c>
      <c r="R1990" t="inlineStr">
        <is>
          <t>InStock</t>
        </is>
      </c>
      <c r="S1990" t="inlineStr">
        <is>
          <t>161.02</t>
        </is>
      </c>
      <c r="T1990" t="inlineStr">
        <is>
          <t>8004502585560</t>
        </is>
      </c>
    </row>
    <row r="1991" hidden="1" ht="15.75" customHeight="1">
      <c r="A1991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991" s="2">
        <f>HYPERLINK("https://edmondsonsupply.com/products/packard-prmj145a-motor-start-capacitor-145-174-mfd", "https://edmondsonsupply.com/products/packard-prmj145a-motor-start-capacitor-145-174-mfd")</f>
        <v/>
      </c>
      <c r="C1991" t="inlineStr">
        <is>
          <t>Packard PRMJ145A Motor Start Capacitor 145-174 MFD</t>
        </is>
      </c>
      <c r="D1991" t="inlineStr">
        <is>
          <t>PACKARD START CAPACITOR PTMJ145 145-174 MFD 220-250VAC</t>
        </is>
      </c>
      <c r="E1991" s="2">
        <f>HYPERLINK("https://www.amazon.com/PACKARD-CAPACITOR-PTMJ145-145-174-220-250VAC/dp/B00C0Z23HG/ref=sr_1_1?keywords=Packard+PRMJ145A+Motor+Start+Capacitor+145-174+MFD&amp;qid=1694734791&amp;sr=8-1", "https://www.amazon.com/PACKARD-CAPACITOR-PTMJ145-145-174-220-250VAC/dp/B00C0Z23HG/ref=sr_1_1?keywords=Packard+PRMJ145A+Motor+Start+Capacitor+145-174+MFD&amp;qid=1694734791&amp;sr=8-1")</f>
        <v/>
      </c>
      <c r="F1991" t="inlineStr">
        <is>
          <t>B00C0Z23HG</t>
        </is>
      </c>
      <c r="G1991">
        <f>_xludf.IMAGE("https://edmondsonsupply.com/cdn/shop/products/PRMJ145A-2.jpg?v=1633030335")</f>
        <v/>
      </c>
      <c r="H1991">
        <f>_xludf.IMAGE("https://m.media-amazon.com/images/I/41k5rZblOYL._AC_UY218_.jpg")</f>
        <v/>
      </c>
      <c r="K1991" t="inlineStr">
        <is>
          <t>7.51</t>
        </is>
      </c>
      <c r="L1991" t="n">
        <v>10</v>
      </c>
      <c r="M1991" s="1" t="inlineStr">
        <is>
          <t>33.16%</t>
        </is>
      </c>
      <c r="N1991" s="1" t="n">
        <v>-18.05</v>
      </c>
      <c r="O1991" t="n">
        <v>4.5</v>
      </c>
      <c r="P1991" t="n">
        <v>80</v>
      </c>
      <c r="R1991" t="inlineStr">
        <is>
          <t>InStock</t>
        </is>
      </c>
      <c r="S1991" t="inlineStr">
        <is>
          <t>undefined</t>
        </is>
      </c>
      <c r="T1991" t="inlineStr">
        <is>
          <t>5272211062952</t>
        </is>
      </c>
    </row>
    <row r="1992" hidden="1" ht="15.75" customHeight="1">
      <c r="A1992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1992" s="2">
        <f>HYPERLINK("https://edmondsonsupply.com/products/packard-prmj145a-motor-start-capacitor-145-174-mfd", "https://edmondsonsupply.com/products/packard-prmj145a-motor-start-capacitor-145-174-mfd")</f>
        <v/>
      </c>
      <c r="C1992" t="inlineStr">
        <is>
          <t>Packard PRMJ145A Motor Start Capacitor 145-174 MFD</t>
        </is>
      </c>
      <c r="D1992" t="inlineStr">
        <is>
          <t>PMJ145 - Packard Aftermarket Replacement Motor Start Capacitor 145-175 MFD 110 125 Volt</t>
        </is>
      </c>
      <c r="E1992" s="2">
        <f>HYPERLINK("https://www.amazon.com/PMJ145-Packard-Aftermarket-Replacement-Capacitor/dp/B00IWYFM5Y/ref=sr_1_15?keywords=Packard+PRMJ145A+Motor+Start+Capacitor+145-174+MFD&amp;qid=1694734791&amp;sr=8-15", "https://www.amazon.com/PMJ145-Packard-Aftermarket-Replacement-Capacitor/dp/B00IWYFM5Y/ref=sr_1_15?keywords=Packard+PRMJ145A+Motor+Start+Capacitor+145-174+MFD&amp;qid=1694734791&amp;sr=8-15")</f>
        <v/>
      </c>
      <c r="F1992" t="inlineStr">
        <is>
          <t>B00IWYFM5Y</t>
        </is>
      </c>
      <c r="G1992">
        <f>_xludf.IMAGE("https://edmondsonsupply.com/cdn/shop/products/PRMJ145A-2.jpg?v=1633030335")</f>
        <v/>
      </c>
      <c r="H1992">
        <f>_xludf.IMAGE("https://m.media-amazon.com/images/I/41sBZJGJMUL._AC_UY218_.jpg")</f>
        <v/>
      </c>
      <c r="K1992" t="inlineStr">
        <is>
          <t>7.51</t>
        </is>
      </c>
      <c r="L1992" t="n">
        <v>10</v>
      </c>
      <c r="M1992" s="1" t="inlineStr">
        <is>
          <t>33.16%</t>
        </is>
      </c>
      <c r="N1992" s="1" t="n">
        <v>-18.38</v>
      </c>
      <c r="O1992" t="n">
        <v>5</v>
      </c>
      <c r="P1992" t="n">
        <v>3</v>
      </c>
      <c r="R1992" t="inlineStr">
        <is>
          <t>InStock</t>
        </is>
      </c>
      <c r="S1992" t="inlineStr">
        <is>
          <t>undefined</t>
        </is>
      </c>
      <c r="T1992" t="inlineStr">
        <is>
          <t>5272211062952</t>
        </is>
      </c>
    </row>
    <row r="1993" hidden="1" ht="15.75" customHeight="1">
      <c r="A1993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1993" s="2">
        <f>HYPERLINK("https://edmondsonsupply.com/products/klein-tools-s8m-1-4-inch-magnetic-nut-driver-3-inch-shank", "https://edmondsonsupply.com/products/klein-tools-s8m-1-4-inch-magnetic-nut-driver-3-inch-shank")</f>
        <v/>
      </c>
      <c r="C1993" t="inlineStr">
        <is>
          <t>Klein Tools S8M 1/4-Inch Magnetic Nut Driver 3-Inch Shank</t>
        </is>
      </c>
      <c r="D1993" t="inlineStr">
        <is>
          <t>1/4-Inch Tip Nut Driver with 3-Inch Hollow Shaft and Cushion Grip Handle Klein Tools 630-1/4</t>
        </is>
      </c>
      <c r="E1993" s="2">
        <f>HYPERLINK("https://www.amazon.com/4-Inch-Cushion-Klein-Tools-630-1/dp/B00093DZR8/ref=sr_1_10?keywords=Klein+Tools+S8M+1%2F4-Inch+Magnetic+Nut+Driver+3-Inch+Shank&amp;qid=1694734781&amp;sr=8-10", "https://www.amazon.com/4-Inch-Cushion-Klein-Tools-630-1/dp/B00093DZR8/ref=sr_1_10?keywords=Klein+Tools+S8M+1%2F4-Inch+Magnetic+Nut+Driver+3-Inch+Shank&amp;qid=1694734781&amp;sr=8-10")</f>
        <v/>
      </c>
      <c r="F1993" t="inlineStr">
        <is>
          <t>B00093DZR8</t>
        </is>
      </c>
      <c r="G1993">
        <f>_xludf.IMAGE("https://edmondsonsupply.com/cdn/shop/products/s8m.jpg?v=1633030818")</f>
        <v/>
      </c>
      <c r="H1993">
        <f>_xludf.IMAGE("https://m.media-amazon.com/images/I/41gchQgPtfL._AC_UL320_.jpg")</f>
        <v/>
      </c>
      <c r="K1993" t="inlineStr">
        <is>
          <t>8.99</t>
        </is>
      </c>
      <c r="L1993" t="n">
        <v>11.97</v>
      </c>
      <c r="M1993" s="1" t="inlineStr">
        <is>
          <t>33.15%</t>
        </is>
      </c>
      <c r="N1993" s="1" t="n">
        <v>-18.45</v>
      </c>
      <c r="O1993" t="n">
        <v>4.8</v>
      </c>
      <c r="P1993" t="n">
        <v>59</v>
      </c>
      <c r="R1993" t="inlineStr">
        <is>
          <t>InStock</t>
        </is>
      </c>
      <c r="S1993" t="inlineStr">
        <is>
          <t>13.62</t>
        </is>
      </c>
      <c r="T1993" t="inlineStr">
        <is>
          <t>6072223957165</t>
        </is>
      </c>
    </row>
    <row r="1994" hidden="1" ht="15.75" customHeight="1">
      <c r="A1994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1994" s="2">
        <f>HYPERLINK("https://edmondsonsupply.com/products/packard-prmj270-motor-start-capacitor-270-324-mfd-330-vac", "https://edmondsonsupply.com/products/packard-prmj270-motor-start-capacitor-270-324-mfd-330-vac")</f>
        <v/>
      </c>
      <c r="C1994" t="inlineStr">
        <is>
          <t>Packard PRMJ270 Motor Start Capacitor 270-324 MFD 330 VAC</t>
        </is>
      </c>
      <c r="D1994" t="inlineStr">
        <is>
          <t>Appli Parts motor start capacitor 270-324 Mfd (microfarads) uF 330 VAC universal fit for electric motor applications 1-3/4 in Wide 3-3/8 in Height CON-270-330</t>
        </is>
      </c>
      <c r="E1994" s="2">
        <f>HYPERLINK("https://www.amazon.com/capacitor-microfarads-universal-electric-applications/dp/B01FSQQ6F8/ref=sr_1_11?keywords=Packard+PRMJ270+Motor+Start+Capacitor+270-324+MFD+330+VAC&amp;qid=1694734674&amp;sr=8-11", "https://www.amazon.com/capacitor-microfarads-universal-electric-applications/dp/B01FSQQ6F8/ref=sr_1_11?keywords=Packard+PRMJ270+Motor+Start+Capacitor+270-324+MFD+330+VAC&amp;qid=1694734674&amp;sr=8-11")</f>
        <v/>
      </c>
      <c r="F1994" t="inlineStr">
        <is>
          <t>B01FSQQ6F8</t>
        </is>
      </c>
      <c r="G1994">
        <f>_xludf.IMAGE("https://edmondsonsupply.com/cdn/shop/products/PRMJ270-2.jpg?v=1633030164")</f>
        <v/>
      </c>
      <c r="H1994">
        <f>_xludf.IMAGE("https://m.media-amazon.com/images/I/61I6x-wEvbL._AC_UY218_.jpg")</f>
        <v/>
      </c>
      <c r="K1994" t="inlineStr">
        <is>
          <t>10.37</t>
        </is>
      </c>
      <c r="L1994" t="n">
        <v>13.79</v>
      </c>
      <c r="M1994" s="1" t="inlineStr">
        <is>
          <t>32.98%</t>
        </is>
      </c>
      <c r="N1994" s="1" t="n">
        <v>-18.46</v>
      </c>
      <c r="O1994" t="n">
        <v>4.5</v>
      </c>
      <c r="P1994" t="n">
        <v>1387</v>
      </c>
      <c r="R1994" t="inlineStr">
        <is>
          <t>InStock</t>
        </is>
      </c>
      <c r="S1994" t="inlineStr">
        <is>
          <t>undefined</t>
        </is>
      </c>
      <c r="T1994" t="inlineStr">
        <is>
          <t>4298743185508</t>
        </is>
      </c>
    </row>
    <row r="1995" ht="87" customHeight="1">
      <c r="A1995" s="2">
        <f>HYPERLINK("https://edmondsonsupply.com/collections/hvac/products/malco-mshmlc-4-inch-c-rhex%C2%AE-dual-sided-magnetic-hex-driver", "https://edmondsonsupply.com/collections/hvac/products/malco-mshmlc-4-inch-c-rhex%C2%AE-dual-sided-magnetic-hex-driver")</f>
        <v/>
      </c>
      <c r="B1995" s="2">
        <f>HYPERLINK("https://edmondsonsupply.com/products/malco-mshmlc-4-inch-c-rhex%c2%ae-dual-sided-magnetic-hex-driver", "https://edmondsonsupply.com/products/malco-mshmlc-4-inch-c-rhex%c2%ae-dual-sided-magnetic-hex-driver")</f>
        <v/>
      </c>
      <c r="C1995" t="inlineStr">
        <is>
          <t>Malco Tools MSHMLC 4-Inch C-Rhex Cleanable, Reversible Magnetic Hex Driver, 1/4" &amp; 5/16"</t>
        </is>
      </c>
      <c r="D1995" t="inlineStr">
        <is>
          <t>Malco 5/16 &amp; 3/8 x 4" Dual Sided Hex Driver~ Cleanable, Reversible, Magnetic. Easy to Clean- MSHMLC1</t>
        </is>
      </c>
      <c r="E1995" s="2">
        <f>HYPERLINK("https://www.amazon.com/Malco-Cleanable-Reversible-Magnetic-MSHMLC1/dp/B082Q8BR87/ref=sr_1_19?keywords=Malco+Tools+MSHMLC+4-Inch+C-Rhex+Cleanable%2C+Reversible+Magnetic+Hex+Driver%2C+1%2F4%22+%26+5%2F16%22&amp;qid=1694734740&amp;sr=8-19", "https://www.amazon.com/Malco-Cleanable-Reversible-Magnetic-MSHMLC1/dp/B082Q8BR87/ref=sr_1_19?keywords=Malco+Tools+MSHMLC+4-Inch+C-Rhex+Cleanable%2C+Reversible+Magnetic+Hex+Driver%2C+1%2F4%22+%26+5%2F16%22&amp;qid=1694734740&amp;sr=8-19")</f>
        <v/>
      </c>
      <c r="F1995" t="inlineStr">
        <is>
          <t>B082Q8BR87</t>
        </is>
      </c>
      <c r="G1995">
        <f>_xlfn.IMAGE("https://edmondsonsupply.com/cdn/shop/products/Malco-MSHMLC-CRHEX-Slim-Design.jpg?v=1653096554")</f>
        <v/>
      </c>
      <c r="H1995">
        <f>_xlfn.IMAGE("https://m.media-amazon.com/images/I/31bkCvvpJML._AC_UL320_.jpg")</f>
        <v/>
      </c>
      <c r="K1995" t="inlineStr">
        <is>
          <t>12.99</t>
        </is>
      </c>
      <c r="L1995" t="n">
        <v>17.24</v>
      </c>
      <c r="M1995" s="1" t="inlineStr">
        <is>
          <t>32.72%</t>
        </is>
      </c>
      <c r="N1995" s="7" t="n">
        <v>-18.48</v>
      </c>
      <c r="O1995" t="n">
        <v>4.7</v>
      </c>
      <c r="P1995" t="n">
        <v>1208</v>
      </c>
      <c r="R1995" t="inlineStr">
        <is>
          <t>InStock</t>
        </is>
      </c>
      <c r="S1995" t="inlineStr">
        <is>
          <t>13.23</t>
        </is>
      </c>
      <c r="T1995" t="inlineStr">
        <is>
          <t>3680855097444</t>
        </is>
      </c>
    </row>
    <row r="1996" ht="87" customHeight="1">
      <c r="A1996" s="2">
        <f>HYPERLINK("https://edmondsonsupply.com/collections/hvac/products/packard-c140c-contactor-1-pole-40-amps-208-240-coil-voltage", "https://edmondsonsupply.com/collections/hvac/products/packard-c140c-contactor-1-pole-40-amps-208-240-coil-voltage")</f>
        <v/>
      </c>
      <c r="B1996" s="2">
        <f>HYPERLINK("https://edmondsonsupply.com/products/packard-c140c-contactor-1-pole-40-amps-208-240-coil-voltage", "https://edmondsonsupply.com/products/packard-c140c-contactor-1-pole-40-amps-208-240-coil-voltage")</f>
        <v/>
      </c>
      <c r="C1996" t="inlineStr">
        <is>
          <t>Packard C140C Contactor 1 Pole 40 AMPS 208/240 Coil Voltage</t>
        </is>
      </c>
      <c r="D1996" t="inlineStr">
        <is>
          <t>Packard C240B Packard Contactor 2 Pole 40 Amps 120 Coil Voltage</t>
        </is>
      </c>
      <c r="E1996" s="2">
        <f>HYPERLINK("https://www.amazon.com/Packard-C240B-Contactor-Pole-Voltage/dp/B004Z0RLL2/ref=sr_1_12?keywords=Packard+C140C+Contactor+1+Pole+40+AMPS+208%2F240+Coil+Voltage&amp;qid=1694734764&amp;sr=8-12", "https://www.amazon.com/Packard-C240B-Contactor-Pole-Voltage/dp/B004Z0RLL2/ref=sr_1_12?keywords=Packard+C140C+Contactor+1+Pole+40+AMPS+208%2F240+Coil+Voltage&amp;qid=1694734764&amp;sr=8-12")</f>
        <v/>
      </c>
      <c r="F1996" t="inlineStr">
        <is>
          <t>B004Z0RLL2</t>
        </is>
      </c>
      <c r="G1996">
        <f>_xlfn.IMAGE("https://edmondsonsupply.com/cdn/shop/products/packard-1-pole_xl_1.jpg?v=1655428616")</f>
        <v/>
      </c>
      <c r="H1996">
        <f>_xlfn.IMAGE("https://m.media-amazon.com/images/I/81OXIO+-K1L._AC_UY218_.jpg")</f>
        <v/>
      </c>
      <c r="K1996" t="inlineStr">
        <is>
          <t>12.51</t>
        </is>
      </c>
      <c r="L1996" t="n">
        <v>16.58</v>
      </c>
      <c r="M1996" s="1" t="inlineStr">
        <is>
          <t>32.53%</t>
        </is>
      </c>
      <c r="N1996" s="7" t="n">
        <v>-18.6</v>
      </c>
      <c r="O1996" t="n">
        <v>4.6</v>
      </c>
      <c r="P1996" t="n">
        <v>299</v>
      </c>
      <c r="R1996" t="inlineStr">
        <is>
          <t>InStock</t>
        </is>
      </c>
      <c r="S1996" t="inlineStr">
        <is>
          <t>undefined</t>
        </is>
      </c>
      <c r="T1996" t="inlineStr">
        <is>
          <t>7720584282328</t>
        </is>
      </c>
    </row>
    <row r="1997" hidden="1" ht="15.75" customHeight="1">
      <c r="A1997" s="2">
        <f>HYPERLINK("https://edmondsonsupply.com/collections/hvac/products/packard-c140b-contactor-1-pole-40-amps-120-coil-voltage", "https://edmondsonsupply.com/collections/hvac/products/packard-c140b-contactor-1-pole-40-amps-120-coil-voltage")</f>
        <v/>
      </c>
      <c r="B1997" s="2">
        <f>HYPERLINK("https://edmondsonsupply.com/products/packard-c140b-contactor-1-pole-40-amps-120-coil-voltage", "https://edmondsonsupply.com/products/packard-c140b-contactor-1-pole-40-amps-120-coil-voltage")</f>
        <v/>
      </c>
      <c r="C1997" t="inlineStr">
        <is>
          <t>Packard C140B Contactor 1 Pole 40 Amps 120 Coil Voltage</t>
        </is>
      </c>
      <c r="D1997" t="inlineStr">
        <is>
          <t>Packard Contactor C130B 1 Pole 30 Amps 120 Coil Voltage</t>
        </is>
      </c>
      <c r="E1997" s="2">
        <f>HYPERLINK("https://www.amazon.com/Packard-Contactor-C130B-Pole-Voltage/dp/B004UZQHGM/ref=sr_1_4?keywords=Packard+C140B+Contactor+1+Pole+40+Amps+120+Coil+Voltage&amp;qid=1694734666&amp;sr=8-4", "https://www.amazon.com/Packard-Contactor-C130B-Pole-Voltage/dp/B004UZQHGM/ref=sr_1_4?keywords=Packard+C140B+Contactor+1+Pole+40+Amps+120+Coil+Voltage&amp;qid=1694734666&amp;sr=8-4")</f>
        <v/>
      </c>
      <c r="F1997" t="inlineStr">
        <is>
          <t>B004UZQHGM</t>
        </is>
      </c>
      <c r="G1997">
        <f>_xludf.IMAGE("https://edmondsonsupply.com/cdn/shop/products/C140B-1.jpg?v=1633030391")</f>
        <v/>
      </c>
      <c r="H1997">
        <f>_xludf.IMAGE("https://m.media-amazon.com/images/I/71+lwgg9imL._AC_UY218_.jpg")</f>
        <v/>
      </c>
      <c r="K1997" t="inlineStr">
        <is>
          <t>9.82</t>
        </is>
      </c>
      <c r="L1997" t="n">
        <v>13</v>
      </c>
      <c r="M1997" s="1" t="inlineStr">
        <is>
          <t>32.38%</t>
        </is>
      </c>
      <c r="N1997" s="1" t="n">
        <v>-18.92</v>
      </c>
      <c r="O1997" t="n">
        <v>4.8</v>
      </c>
      <c r="P1997" t="n">
        <v>8</v>
      </c>
      <c r="R1997" t="inlineStr">
        <is>
          <t>InStock</t>
        </is>
      </c>
      <c r="S1997" t="inlineStr">
        <is>
          <t>undefined</t>
        </is>
      </c>
      <c r="T1997" t="inlineStr">
        <is>
          <t>5301666218152</t>
        </is>
      </c>
    </row>
    <row r="1998" ht="87" customHeight="1">
      <c r="A1998" s="2">
        <f>HYPERLINK("https://edmondsonsupply.com/collections/hvac/products/fieldpiece-spk2", "https://edmondsonsupply.com/collections/hvac/products/fieldpiece-spk2")</f>
        <v/>
      </c>
      <c r="B1998" s="2">
        <f>HYPERLINK("https://edmondsonsupply.com/products/fieldpiece-spk2", "https://edmondsonsupply.com/products/fieldpiece-spk2")</f>
        <v/>
      </c>
      <c r="C1998" t="inlineStr">
        <is>
          <t>Fieldpiece SPK2 Folding Pocket In-Duct Thermometer</t>
        </is>
      </c>
      <c r="D1998" t="inlineStr">
        <is>
          <t>SPK2, Folding Pocket In-Duct Thermometer</t>
        </is>
      </c>
      <c r="E1998" s="2">
        <f>HYPERLINK("https://www.amazon.com/SPK2-Folding-Pocket-In-Duct-Thermometer/dp/B079L845BY/ref=sr_1_2?keywords=Fieldpiece+SPK2+Folding+Pocket+In-Duct+Thermometer&amp;qid=1694734669&amp;sr=8-2", "https://www.amazon.com/SPK2-Folding-Pocket-In-Duct-Thermometer/dp/B079L845BY/ref=sr_1_2?keywords=Fieldpiece+SPK2+Folding+Pocket+In-Duct+Thermometer&amp;qid=1694734669&amp;sr=8-2")</f>
        <v/>
      </c>
      <c r="F1998" t="inlineStr">
        <is>
          <t>B079L845BY</t>
        </is>
      </c>
      <c r="G1998">
        <f>_xlfn.IMAGE("https://edmondsonsupply.com/cdn/shop/products/SPK2-SRC-Product.jpg?v=1633030206")</f>
        <v/>
      </c>
      <c r="H1998">
        <f>_xlfn.IMAGE("https://m.media-amazon.com/images/I/61l19mS8l8L._AC_UY218_.jpg")</f>
        <v/>
      </c>
      <c r="K1998" t="inlineStr">
        <is>
          <t>34.85</t>
        </is>
      </c>
      <c r="L1998" t="n">
        <v>46.11</v>
      </c>
      <c r="M1998" s="1" t="inlineStr">
        <is>
          <t>32.31%</t>
        </is>
      </c>
      <c r="N1998" s="7" t="n">
        <v>-18.99</v>
      </c>
      <c r="O1998" t="n">
        <v>4.6</v>
      </c>
      <c r="P1998" t="n">
        <v>166</v>
      </c>
      <c r="R1998" t="inlineStr">
        <is>
          <t>InStock</t>
        </is>
      </c>
      <c r="S1998" t="inlineStr">
        <is>
          <t>41.0</t>
        </is>
      </c>
      <c r="T1998" t="inlineStr">
        <is>
          <t>4421438177380</t>
        </is>
      </c>
    </row>
    <row r="1999" ht="87" customHeight="1">
      <c r="A1999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1999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1999" t="inlineStr">
        <is>
          <t>Midwest MWT-SS6716R Special Hardness Aviation Snip - Right-Cutting</t>
        </is>
      </c>
      <c r="D1999" t="inlineStr">
        <is>
          <t>Midwest Tool &amp; Cutlery Aviation Snip - Right Cut Offset Tin Cutting Shears with Forged Blade &amp; KUSH'N-POWER Comfort Grips - MWT-6510R, Offset Cut</t>
        </is>
      </c>
      <c r="E1999" s="2">
        <f>HYPERLINK("https://www.amazon.com/MIDWEST-Aviation-Snip-KUSHN-POWER-MWT-6510R/dp/B00OCGQG6A/ref=sr_1_6?keywords=Midwest+MWT-SS6716R+Special+Hardness+Aviation+Snip+-+Right-Cutting&amp;qid=1694734647&amp;sr=8-6", "https://www.amazon.com/MIDWEST-Aviation-Snip-KUSHN-POWER-MWT-6510R/dp/B00OCGQG6A/ref=sr_1_6?keywords=Midwest+MWT-SS6716R+Special+Hardness+Aviation+Snip+-+Right-Cutting&amp;qid=1694734647&amp;sr=8-6")</f>
        <v/>
      </c>
      <c r="F1999" t="inlineStr">
        <is>
          <t>B00OCGQG6A</t>
        </is>
      </c>
      <c r="G1999">
        <f>_xlfn.IMAGE("https://edmondsonsupply.com/cdn/shop/products/MWT-SS6716R1.jpg?v=1587146219")</f>
        <v/>
      </c>
      <c r="H1999">
        <f>_xlfn.IMAGE("https://m.media-amazon.com/images/I/714fHvEMecL._AC_UL320_.jpg")</f>
        <v/>
      </c>
      <c r="K1999" t="inlineStr">
        <is>
          <t>24.66</t>
        </is>
      </c>
      <c r="L1999" t="n">
        <v>32.6</v>
      </c>
      <c r="M1999" s="1" t="inlineStr">
        <is>
          <t>32.20%</t>
        </is>
      </c>
      <c r="N1999" s="7" t="n">
        <v>-18.99</v>
      </c>
      <c r="O1999" t="n">
        <v>4.7</v>
      </c>
      <c r="P1999" t="n">
        <v>2712</v>
      </c>
      <c r="R1999" t="inlineStr">
        <is>
          <t>InStock</t>
        </is>
      </c>
      <c r="S1999" t="inlineStr">
        <is>
          <t>36.2</t>
        </is>
      </c>
      <c r="T1999" t="inlineStr">
        <is>
          <t>4508658204772</t>
        </is>
      </c>
    </row>
    <row r="2000" ht="87" customHeight="1">
      <c r="A2000" s="2">
        <f>HYPERLINK("https://edmondsonsupply.com/collections/hvac/products/milwaukee-49-90-1900-hepa-filter", "https://edmondsonsupply.com/collections/hvac/products/milwaukee-49-90-1900-hepa-filter")</f>
        <v/>
      </c>
      <c r="B2000" s="2">
        <f>HYPERLINK("https://edmondsonsupply.com/products/milwaukee-49-90-1900-hepa-filter", "https://edmondsonsupply.com/products/milwaukee-49-90-1900-hepa-filter")</f>
        <v/>
      </c>
      <c r="C2000" t="inlineStr">
        <is>
          <t>Milwaukee 49-90-1900 HEPA Filter</t>
        </is>
      </c>
      <c r="D2000" t="inlineStr">
        <is>
          <t>Fette Filter-HEPA Wet Dry Vacuum Filter Compatible with Milwaukee 49-90-1900 for Gallon Wet/Dry Vacuum M18 2 Gallon (0880-20), M12 FUEL 1.6 Gallon (0960-20), M18 FUEL PACKOUT (0970-20). 4 QTY</t>
        </is>
      </c>
      <c r="E2000" s="2">
        <f>HYPERLINK("https://www.amazon.com/Fette-Filter-HEPA-Filter-Compatible-49-90-1900/dp/B08296RWMV/ref=sr_1_2?keywords=Milwaukee+49-90-1900+HEPA+Filter&amp;qid=1694734913&amp;sr=8-2", "https://www.amazon.com/Fette-Filter-HEPA-Filter-Compatible-49-90-1900/dp/B08296RWMV/ref=sr_1_2?keywords=Milwaukee+49-90-1900+HEPA+Filter&amp;qid=1694734913&amp;sr=8-2")</f>
        <v/>
      </c>
      <c r="F2000" t="inlineStr">
        <is>
          <t>B08296RWMV</t>
        </is>
      </c>
      <c r="G2000">
        <f>_xlfn.IMAGE("https://edmondsonsupply.com/cdn/shop/files/49-90-1900_1.png?v=1686234774")</f>
        <v/>
      </c>
      <c r="H2000">
        <f>_xlfn.IMAGE("https://m.media-amazon.com/images/I/812bkkRRuQL._AC_UL320_.jpg")</f>
        <v/>
      </c>
      <c r="K2000" t="inlineStr">
        <is>
          <t>24.98</t>
        </is>
      </c>
      <c r="L2000" t="n">
        <v>32.99</v>
      </c>
      <c r="M2000" s="1" t="inlineStr">
        <is>
          <t>32.07%</t>
        </is>
      </c>
      <c r="N2000" s="7" t="n">
        <v>-19.19</v>
      </c>
      <c r="O2000" t="n">
        <v>4.7</v>
      </c>
      <c r="P2000" t="n">
        <v>149</v>
      </c>
      <c r="R2000" t="inlineStr">
        <is>
          <t>InStock</t>
        </is>
      </c>
      <c r="S2000" t="inlineStr">
        <is>
          <t>40.0</t>
        </is>
      </c>
      <c r="T2000" t="inlineStr">
        <is>
          <t>8002625306840</t>
        </is>
      </c>
    </row>
    <row r="2001" ht="87" customHeight="1">
      <c r="A2001" s="2">
        <f>HYPERLINK("https://edmondsonsupply.com/collections/hvac/products/milwaukee-49-90-1900-hepa-filter", "https://edmondsonsupply.com/collections/hvac/products/milwaukee-49-90-1900-hepa-filter")</f>
        <v/>
      </c>
      <c r="B2001" s="2">
        <f>HYPERLINK("https://edmondsonsupply.com/products/milwaukee-49-90-1900-hepa-filter", "https://edmondsonsupply.com/products/milwaukee-49-90-1900-hepa-filter")</f>
        <v/>
      </c>
      <c r="C2001" t="inlineStr">
        <is>
          <t>Milwaukee 49-90-1900 HEPA Filter</t>
        </is>
      </c>
      <c r="D2001" t="inlineStr">
        <is>
          <t>Vacuum Filter 49-90-1900 For Milwaukee, Compatible With Milwaukee Cordless M18 Vacuum 0780-20 0880-20, 4 Pack 49-90-1900 HEPA Wet Dry Vacuum Filter</t>
        </is>
      </c>
      <c r="E2001" s="2">
        <f>HYPERLINK("https://www.amazon.com/49-90-1900-Milwaukee-Compatible-Cordless-0780-20/dp/B0CB5BCMWC/ref=sr_1_3?keywords=Milwaukee+49-90-1900+HEPA+Filter&amp;qid=1694734913&amp;sr=8-3", "https://www.amazon.com/49-90-1900-Milwaukee-Compatible-Cordless-0780-20/dp/B0CB5BCMWC/ref=sr_1_3?keywords=Milwaukee+49-90-1900+HEPA+Filter&amp;qid=1694734913&amp;sr=8-3")</f>
        <v/>
      </c>
      <c r="F2001" t="inlineStr">
        <is>
          <t>B0CB5BCMWC</t>
        </is>
      </c>
      <c r="G2001">
        <f>_xlfn.IMAGE("https://edmondsonsupply.com/cdn/shop/files/49-90-1900_1.png?v=1686234774")</f>
        <v/>
      </c>
      <c r="H2001">
        <f>_xlfn.IMAGE("https://m.media-amazon.com/images/I/71C38zY2mIL._AC_UL320_.jpg")</f>
        <v/>
      </c>
      <c r="K2001" t="inlineStr">
        <is>
          <t>24.98</t>
        </is>
      </c>
      <c r="L2001" t="n">
        <v>32.99</v>
      </c>
      <c r="M2001" s="1" t="inlineStr">
        <is>
          <t>32.07%</t>
        </is>
      </c>
      <c r="N2001" s="7" t="n">
        <v>-19.26</v>
      </c>
      <c r="O2001" t="n">
        <v>4.6</v>
      </c>
      <c r="P2001" t="n">
        <v>47</v>
      </c>
      <c r="R2001" t="inlineStr">
        <is>
          <t>InStock</t>
        </is>
      </c>
      <c r="S2001" t="inlineStr">
        <is>
          <t>40.0</t>
        </is>
      </c>
      <c r="T2001" t="inlineStr">
        <is>
          <t>8002625306840</t>
        </is>
      </c>
    </row>
    <row r="2002" ht="87" customHeight="1">
      <c r="A2002" s="2">
        <f>HYPERLINK("https://edmondsonsupply.com/collections/hvac/products/milwaukee-49-90-1900-hepa-filter", "https://edmondsonsupply.com/collections/hvac/products/milwaukee-49-90-1900-hepa-filter")</f>
        <v/>
      </c>
      <c r="B2002" s="2">
        <f>HYPERLINK("https://edmondsonsupply.com/products/milwaukee-49-90-1900-hepa-filter", "https://edmondsonsupply.com/products/milwaukee-49-90-1900-hepa-filter")</f>
        <v/>
      </c>
      <c r="C2002" t="inlineStr">
        <is>
          <t>Milwaukee 49-90-1900 HEPA Filter</t>
        </is>
      </c>
      <c r="D2002" t="inlineStr">
        <is>
          <t>Anewise 49-90-1900 Wet Dry Vacuum HEPA Filter Replacement for Milwaukee M18 2 Gallon 0880-20, M12 FUEL 1.6 Gallon 0960-20 and M18 FUEL PACKOUT 0970-20 Wet Dry Vacuums, 4 Packs</t>
        </is>
      </c>
      <c r="E2002" s="2">
        <f>HYPERLINK("https://www.amazon.com/Anewise-49-90-1900-Replacement-Milwaukee-0880-20/dp/B0C149NC9Q/ref=sr_1_8?keywords=Milwaukee+49-90-1900+HEPA+Filter&amp;qid=1694734913&amp;sr=8-8", "https://www.amazon.com/Anewise-49-90-1900-Replacement-Milwaukee-0880-20/dp/B0C149NC9Q/ref=sr_1_8?keywords=Milwaukee+49-90-1900+HEPA+Filter&amp;qid=1694734913&amp;sr=8-8")</f>
        <v/>
      </c>
      <c r="F2002" t="inlineStr">
        <is>
          <t>B0C149NC9Q</t>
        </is>
      </c>
      <c r="G2002">
        <f>_xlfn.IMAGE("https://edmondsonsupply.com/cdn/shop/files/49-90-1900_1.png?v=1686234774")</f>
        <v/>
      </c>
      <c r="H2002">
        <f>_xlfn.IMAGE("https://m.media-amazon.com/images/I/713gthAL4TL._AC_UL320_.jpg")</f>
        <v/>
      </c>
      <c r="K2002" t="inlineStr">
        <is>
          <t>24.98</t>
        </is>
      </c>
      <c r="L2002" t="n">
        <v>32.99</v>
      </c>
      <c r="M2002" s="1" t="inlineStr">
        <is>
          <t>32.07%</t>
        </is>
      </c>
      <c r="N2002" s="7" t="n">
        <v>-19.33</v>
      </c>
      <c r="O2002" t="n">
        <v>5</v>
      </c>
      <c r="P2002" t="n">
        <v>5</v>
      </c>
      <c r="R2002" t="inlineStr">
        <is>
          <t>InStock</t>
        </is>
      </c>
      <c r="S2002" t="inlineStr">
        <is>
          <t>40.0</t>
        </is>
      </c>
      <c r="T2002" t="inlineStr">
        <is>
          <t>8002625306840</t>
        </is>
      </c>
    </row>
    <row r="2003" ht="87" customHeight="1">
      <c r="A2003" s="2">
        <f>HYPERLINK("https://edmondsonsupply.com/collections/hvac/products/milwaukee-49-90-1900-hepa-filter", "https://edmondsonsupply.com/collections/hvac/products/milwaukee-49-90-1900-hepa-filter")</f>
        <v/>
      </c>
      <c r="B2003" s="2">
        <f>HYPERLINK("https://edmondsonsupply.com/products/milwaukee-49-90-1900-hepa-filter", "https://edmondsonsupply.com/products/milwaukee-49-90-1900-hepa-filter")</f>
        <v/>
      </c>
      <c r="C2003" t="inlineStr">
        <is>
          <t>Milwaukee 49-90-1900 HEPA Filter</t>
        </is>
      </c>
      <c r="D2003" t="inlineStr">
        <is>
          <t>Cabiclean HEPA Dry Filter Replacement Compatible with Milwaukee 49-90-0160, 49-90-1951, Fit for 0882-20 M18 Compact Vacuum, Pack of 4</t>
        </is>
      </c>
      <c r="E2003" s="2">
        <f>HYPERLINK("https://www.amazon.com/Cabiclean-Replacement-Compatible-Milwaukee-49-90-0160/dp/B09XHTTTLL/ref=sr_1_29?keywords=Milwaukee+49-90-1900+HEPA+Filter&amp;qid=1694734913&amp;sr=8-29", "https://www.amazon.com/Cabiclean-Replacement-Compatible-Milwaukee-49-90-0160/dp/B09XHTTTLL/ref=sr_1_29?keywords=Milwaukee+49-90-1900+HEPA+Filter&amp;qid=1694734913&amp;sr=8-29")</f>
        <v/>
      </c>
      <c r="F2003" t="inlineStr">
        <is>
          <t>B09XHTTTLL</t>
        </is>
      </c>
      <c r="G2003">
        <f>_xlfn.IMAGE("https://edmondsonsupply.com/cdn/shop/files/49-90-1900_1.png?v=1686234774")</f>
        <v/>
      </c>
      <c r="H2003">
        <f>_xlfn.IMAGE("https://m.media-amazon.com/images/I/612+mfqs0mL._AC_UL320_.jpg")</f>
        <v/>
      </c>
      <c r="K2003" t="inlineStr">
        <is>
          <t>24.98</t>
        </is>
      </c>
      <c r="L2003" t="n">
        <v>32.99</v>
      </c>
      <c r="M2003" s="1" t="inlineStr">
        <is>
          <t>32.07%</t>
        </is>
      </c>
      <c r="N2003" s="7" t="n">
        <v>-19.37</v>
      </c>
      <c r="O2003" t="n">
        <v>4.7</v>
      </c>
      <c r="P2003" t="n">
        <v>326</v>
      </c>
      <c r="R2003" t="inlineStr">
        <is>
          <t>InStock</t>
        </is>
      </c>
      <c r="S2003" t="inlineStr">
        <is>
          <t>40.0</t>
        </is>
      </c>
      <c r="T2003" t="inlineStr">
        <is>
          <t>8002625306840</t>
        </is>
      </c>
    </row>
    <row r="2004" hidden="1" ht="15.75" customHeight="1">
      <c r="A2004" s="2">
        <f>HYPERLINK("https://edmondsonsupply.com/collections/hvac/products/klein-tools-jth6t25-t25-torx%C2%AE-hex-key-with-journeyman-t-handle-6-inch", "https://edmondsonsupply.com/collections/hvac/products/klein-tools-jth6t25-t25-torx%C2%AE-hex-key-with-journeyman-t-handle-6-inch")</f>
        <v/>
      </c>
      <c r="B2004" s="2">
        <f>HYPERLINK("https://edmondsonsupply.com/products/klein-tools-jth6t25-t25-torx%c2%ae-hex-key-with-journeyman-t-handle-6-inch", "https://edmondsonsupply.com/products/klein-tools-jth6t25-t25-torx%c2%ae-hex-key-with-journeyman-t-handle-6-inch")</f>
        <v/>
      </c>
      <c r="C2004" t="inlineStr">
        <is>
          <t>Klein Tools JTH6T25 T25 Torx® Hex Key with Journeyman T-Handle, 6-Inch</t>
        </is>
      </c>
      <c r="D2004" t="inlineStr">
        <is>
          <t>Klein Tools JTH6E13BE 1/4-Inch Ball End Hex Key with Journeyman T-Handle, 6-Inch</t>
        </is>
      </c>
      <c r="E2004" s="2">
        <f>HYPERLINK("https://www.amazon.com/Journeyman-T-Handle-Klein-Tools-JTH6E13BE/dp/B004QW52YW/ref=sr_1_3?keywords=Klein+Tools+JTH6T25+T25+Torx%C2%AE+Hex+Key+with+Journeyman+T-Handle%2C+6-Inch&amp;qid=1694734706&amp;sr=8-3", "https://www.amazon.com/Journeyman-T-Handle-Klein-Tools-JTH6E13BE/dp/B004QW52YW/ref=sr_1_3?keywords=Klein+Tools+JTH6T25+T25+Torx%C2%AE+Hex+Key+with+Journeyman+T-Handle%2C+6-Inch&amp;qid=1694734706&amp;sr=8-3")</f>
        <v/>
      </c>
      <c r="F2004" t="inlineStr">
        <is>
          <t>B004QW52YW</t>
        </is>
      </c>
      <c r="G2004">
        <f>_xludf.IMAGE("https://edmondsonsupply.com/cdn/shop/products/jth6t40_f27d4256-4343-44f4-afb3-5989c8c8fc7b.jpg?v=1613168190")</f>
        <v/>
      </c>
      <c r="H2004">
        <f>_xludf.IMAGE("https://m.media-amazon.com/images/I/51f9vBFVXgL._AC_UL320_.jpg")</f>
        <v/>
      </c>
      <c r="K2004" t="inlineStr">
        <is>
          <t>7.99</t>
        </is>
      </c>
      <c r="L2004" t="n">
        <v>10.55</v>
      </c>
      <c r="M2004" s="1" t="inlineStr">
        <is>
          <t>32.04%</t>
        </is>
      </c>
      <c r="N2004" s="1" t="n">
        <v>-19.43</v>
      </c>
      <c r="O2004" t="n">
        <v>4.7</v>
      </c>
      <c r="P2004" t="n">
        <v>32</v>
      </c>
      <c r="R2004" t="inlineStr">
        <is>
          <t>InStock</t>
        </is>
      </c>
      <c r="S2004" t="inlineStr">
        <is>
          <t>12.14</t>
        </is>
      </c>
      <c r="T2004" t="inlineStr">
        <is>
          <t>6254482489517</t>
        </is>
      </c>
    </row>
    <row r="2005" ht="87" customHeight="1">
      <c r="A2005" s="2">
        <f>HYPERLINK("https://edmondsonsupply.com/collections/hvac/products/rectorseal-97087-safe-t-switch-ss2-gen-3", "https://edmondsonsupply.com/collections/hvac/products/rectorseal-97087-safe-t-switch-ss2-gen-3")</f>
        <v/>
      </c>
      <c r="B2005" s="2">
        <f>HYPERLINK("https://edmondsonsupply.com/products/rectorseal-97087-safe-t-switch-ss2-gen-3", "https://edmondsonsupply.com/products/rectorseal-97087-safe-t-switch-ss2-gen-3")</f>
        <v/>
      </c>
      <c r="C2005" t="inlineStr">
        <is>
          <t>RectorSeal 97087 Safe-T-Switch SS2, Gen 3</t>
        </is>
      </c>
      <c r="D2005" t="inlineStr">
        <is>
          <t>Rectorseal 97087 Ss2 3rd Generation Safe-T-Switch</t>
        </is>
      </c>
      <c r="E2005" s="2">
        <f>HYPERLINK("https://www.amazon.com/Rectorseal-97087-Ss2-Generation-Safe-T-Switch/dp/B09QQQ9J9S/ref=sr_1_1?keywords=RectorSeal+97087+Safe-T-Switch+SS2%2C+Gen+3&amp;qid=1694734693&amp;sr=8-1", "https://www.amazon.com/Rectorseal-97087-Ss2-Generation-Safe-T-Switch/dp/B09QQQ9J9S/ref=sr_1_1?keywords=RectorSeal+97087+Safe-T-Switch+SS2%2C+Gen+3&amp;qid=1694734693&amp;sr=8-1")</f>
        <v/>
      </c>
      <c r="F2005" t="inlineStr">
        <is>
          <t>B09QQQ9J9S</t>
        </is>
      </c>
      <c r="G2005">
        <f>_xlfn.IMAGE("https://edmondsonsupply.com/cdn/shop/products/97087-ss2-safe-t-switch-image-img.webp?v=1662053885")</f>
        <v/>
      </c>
      <c r="H2005">
        <f>_xlfn.IMAGE("https://m.media-amazon.com/images/I/31Vm-8kRflL._AC_UY218_.jpg")</f>
        <v/>
      </c>
      <c r="K2005" t="inlineStr">
        <is>
          <t>21.99</t>
        </is>
      </c>
      <c r="L2005" t="n">
        <v>28.99</v>
      </c>
      <c r="M2005" s="1" t="inlineStr">
        <is>
          <t>31.83%</t>
        </is>
      </c>
      <c r="N2005" s="7" t="n">
        <v>-19.43</v>
      </c>
      <c r="O2005" t="n">
        <v>5</v>
      </c>
      <c r="P2005" t="n">
        <v>2</v>
      </c>
      <c r="R2005" t="inlineStr">
        <is>
          <t>InStock</t>
        </is>
      </c>
      <c r="S2005" t="inlineStr">
        <is>
          <t>30.67</t>
        </is>
      </c>
      <c r="T2005" t="inlineStr">
        <is>
          <t>7799440933080</t>
        </is>
      </c>
    </row>
    <row r="2006" ht="87" customHeight="1">
      <c r="A2006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2006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2006" t="inlineStr">
        <is>
          <t>Klein Tools NCVT1XTKIT Non-Contact Voltage and GFCI Receptacle Premium Test Kit</t>
        </is>
      </c>
      <c r="D2006" t="inlineStr">
        <is>
          <t>Klein Tools NCVT1P Voltage Tester, Non-Contact Voltage Detector Pen &amp; RT210 Outlet Tester, Receptacle Tester for GFCI/Standard North American AC Electrical Outlets, Detects Common Wiring Problems</t>
        </is>
      </c>
      <c r="E2006" s="2">
        <f>HYPERLINK("https://www.amazon.com/Klein-Tools-Non-Contact-Receptacle-Electrical/dp/B09Y88M899/ref=sr_1_22?keywords=Klein+Tools+NCVT1XTKIT+Non-Contact+Voltage+and+GFCI+Receptacle+Premium+Test+Kit&amp;qid=1694734686&amp;sr=8-22", "https://www.amazon.com/Klein-Tools-Non-Contact-Receptacle-Electrical/dp/B09Y88M899/ref=sr_1_22?keywords=Klein+Tools+NCVT1XTKIT+Non-Contact+Voltage+and+GFCI+Receptacle+Premium+Test+Kit&amp;qid=1694734686&amp;sr=8-22")</f>
        <v/>
      </c>
      <c r="F2006" t="inlineStr">
        <is>
          <t>B09Y88M899</t>
        </is>
      </c>
      <c r="G2006">
        <f>_xlfn.IMAGE("https://edmondsonsupply.com/cdn/shop/products/ncvt1xtkit.jpg?v=1674497102")</f>
        <v/>
      </c>
      <c r="H2006">
        <f>_xlfn.IMAGE("https://m.media-amazon.com/images/I/41WRVSLp-pL._AC_UL320_.jpg")</f>
        <v/>
      </c>
      <c r="K2006" t="inlineStr">
        <is>
          <t>24.99</t>
        </is>
      </c>
      <c r="L2006" t="n">
        <v>32.94</v>
      </c>
      <c r="M2006" s="1" t="inlineStr">
        <is>
          <t>31.81%</t>
        </is>
      </c>
      <c r="N2006" s="7" t="n">
        <v>-19.59</v>
      </c>
      <c r="O2006" t="n">
        <v>4.7</v>
      </c>
      <c r="P2006" t="n">
        <v>8</v>
      </c>
      <c r="R2006" t="inlineStr">
        <is>
          <t>InStock</t>
        </is>
      </c>
      <c r="S2006" t="inlineStr">
        <is>
          <t>32.98</t>
        </is>
      </c>
      <c r="T2006" t="inlineStr">
        <is>
          <t>7931949187288</t>
        </is>
      </c>
    </row>
    <row r="2007" ht="87" customHeight="1">
      <c r="A2007" s="2">
        <f>HYPERLINK("https://edmondsonsupply.com/collections/hvac/products/midwest-mwt-6900r-upright-right-cutting-aviation-snip", "https://edmondsonsupply.com/collections/hvac/products/midwest-mwt-6900r-upright-right-cutting-aviation-snip")</f>
        <v/>
      </c>
      <c r="B2007" s="2">
        <f>HYPERLINK("https://edmondsonsupply.com/products/midwest-mwt-6900r-upright-right-cutting-aviation-snip", "https://edmondsonsupply.com/products/midwest-mwt-6900r-upright-right-cutting-aviation-snip")</f>
        <v/>
      </c>
      <c r="C2007" t="inlineStr">
        <is>
          <t>Midwest MWT-6900R Upright Right-Cutting Aviation Snip</t>
        </is>
      </c>
      <c r="D2007" t="inlineStr">
        <is>
          <t>MIDWEST Aviation Snip - Right Cut Offset Stainless Steel Cutting Shears with Forged Blade &amp; KUSH'N-POWER Comfort Grips - MWT-SS6510R</t>
        </is>
      </c>
      <c r="E2007" s="2">
        <f>HYPERLINK("https://www.amazon.com/MIDWEST-Aviation-Snip-KUSHN-POWER-MWT-SS6510R/dp/B00OMSVOZ6/ref=sr_1_3?keywords=Midwest+MWT-6900R+Upright+Right-Cutting+Aviation+Snip&amp;qid=1694734651&amp;sr=8-3", "https://www.amazon.com/MIDWEST-Aviation-Snip-KUSHN-POWER-MWT-SS6510R/dp/B00OMSVOZ6/ref=sr_1_3?keywords=Midwest+MWT-6900R+Upright+Right-Cutting+Aviation+Snip&amp;qid=1694734651&amp;sr=8-3")</f>
        <v/>
      </c>
      <c r="F2007" t="inlineStr">
        <is>
          <t>B00OMSVOZ6</t>
        </is>
      </c>
      <c r="G2007">
        <f>_xlfn.IMAGE("https://edmondsonsupply.com/cdn/shop/products/MW-P6900R1.jpg?v=1587142622")</f>
        <v/>
      </c>
      <c r="H2007">
        <f>_xlfn.IMAGE("https://m.media-amazon.com/images/I/6111Xzz5-TL._AC_UL320_.jpg")</f>
        <v/>
      </c>
      <c r="K2007" t="inlineStr">
        <is>
          <t>25.29</t>
        </is>
      </c>
      <c r="L2007" t="n">
        <v>33.32</v>
      </c>
      <c r="M2007" s="1" t="inlineStr">
        <is>
          <t>31.75%</t>
        </is>
      </c>
      <c r="N2007" s="7" t="n">
        <v>-19.93</v>
      </c>
      <c r="O2007" t="n">
        <v>4.3</v>
      </c>
      <c r="P2007" t="n">
        <v>99</v>
      </c>
      <c r="R2007" t="inlineStr">
        <is>
          <t>InStock</t>
        </is>
      </c>
      <c r="S2007" t="inlineStr">
        <is>
          <t>37.05</t>
        </is>
      </c>
      <c r="T2007" t="inlineStr">
        <is>
          <t>4509684596836</t>
        </is>
      </c>
    </row>
    <row r="2008" hidden="1" ht="15.75" customHeight="1">
      <c r="A2008" s="2">
        <f>HYPERLINK("https://edmondsonsupply.com/collections/hvac/products/packard-trcfd405-titan-pro-run-capacitor-40-5-mfd-440-370-volt-round", "https://edmondsonsupply.com/collections/hvac/products/packard-trcfd405-titan-pro-run-capacitor-40-5-mfd-440-370-volt-round")</f>
        <v/>
      </c>
      <c r="B2008" s="2">
        <f>HYPERLINK("https://edmondsonsupply.com/products/packard-trcfd405-titan-pro-run-capacitor-40-5-mfd-440-370-volt-round", "https://edmondsonsupply.com/products/packard-trcfd405-titan-pro-run-capacitor-40-5-mfd-440-370-volt-round")</f>
        <v/>
      </c>
      <c r="C2008" t="inlineStr">
        <is>
          <t>Packard TRCFD405 Titan PRO Run Capacitor 40+5 MFD 440/370 Volt Round</t>
        </is>
      </c>
      <c r="D2008" t="inlineStr">
        <is>
          <t>Titan TRCFD405 Dual Rated Motor Run Capacitor Round MFD 40/5 Volts 440/370</t>
        </is>
      </c>
      <c r="E2008" s="2">
        <f>HYPERLINK("https://www.amazon.com/Titan-TRCFD405-Rated-Motor-Capacitor/dp/B01HPK5ANO/ref=sr_1_1?keywords=Packard+TRCFD405+Titan+PRO+Run+Capacitor+40+5+MFD+440%2F370+Volt+Round&amp;qid=1694734668&amp;sr=8-1", "https://www.amazon.com/Titan-TRCFD405-Rated-Motor-Capacitor/dp/B01HPK5ANO/ref=sr_1_1?keywords=Packard+TRCFD405+Titan+PRO+Run+Capacitor+40+5+MFD+440%2F370+Volt+Round&amp;qid=1694734668&amp;sr=8-1")</f>
        <v/>
      </c>
      <c r="F2008" t="inlineStr">
        <is>
          <t>B01HPK5ANO</t>
        </is>
      </c>
      <c r="G2008">
        <f>_xludf.IMAGE("https://edmondsonsupply.com/cdn/shop/products/TRCFD405-2.jpg?v=1633030399")</f>
        <v/>
      </c>
      <c r="H2008">
        <f>_xludf.IMAGE("https://m.media-amazon.com/images/I/31rIunJqcaL._AC_UY218_.jpg")</f>
        <v/>
      </c>
      <c r="K2008" t="inlineStr">
        <is>
          <t>8.39</t>
        </is>
      </c>
      <c r="L2008" t="n">
        <v>11.05</v>
      </c>
      <c r="M2008" s="1" t="inlineStr">
        <is>
          <t>31.70%</t>
        </is>
      </c>
      <c r="N2008" s="1" t="n">
        <v>-19.98</v>
      </c>
      <c r="O2008" t="n">
        <v>4.7</v>
      </c>
      <c r="P2008" t="n">
        <v>392</v>
      </c>
      <c r="R2008" t="inlineStr">
        <is>
          <t>OutOfStock</t>
        </is>
      </c>
      <c r="S2008" t="inlineStr">
        <is>
          <t>undefined</t>
        </is>
      </c>
      <c r="T2008" t="inlineStr">
        <is>
          <t>5302386950312</t>
        </is>
      </c>
    </row>
    <row r="2009" ht="87" customHeight="1">
      <c r="A2009" s="2">
        <f>HYPERLINK("https://edmondsonsupply.com/collections/hvac/products/appion-mh380006aay-megaflow-3-8in-recovery-hose-6-ft-1-4fl-to-1-4fl-yellow", "https://edmondsonsupply.com/collections/hvac/products/appion-mh380006aay-megaflow-3-8in-recovery-hose-6-ft-1-4fl-to-1-4fl-yellow")</f>
        <v/>
      </c>
      <c r="B2009" s="2">
        <f>HYPERLINK("https://edmondsonsupply.com/products/appion-mh380006aay-megaflow-3-8in-recovery-hose-6-ft-1-4fl-to-1-4fl-yellow", "https://edmondsonsupply.com/products/appion-mh380006aay-megaflow-3-8in-recovery-hose-6-ft-1-4fl-to-1-4fl-yellow")</f>
        <v/>
      </c>
      <c r="C2009" t="inlineStr">
        <is>
          <t>Appion MH380006AAY MegaFlow 3/8in Recovery Hose - 6 ft (1/4FL to 1/4FL) Yellow</t>
        </is>
      </c>
      <c r="D2009" t="inlineStr">
        <is>
          <t>Appion MH380006AAY - MegaFlow 3/8in Hose - 6 ft (1/4FL to 1/4FL) Yellow</t>
        </is>
      </c>
      <c r="E2009" s="2">
        <f>HYPERLINK("https://www.amazon.com/Appion-MH380006AAY-Dia-6-foot-Yellow/dp/B072JBR98L/ref=sr_1_1?keywords=Appion+MH380006AAY+MegaFlow+3%2F8in+Recovery+Hose+-+6+ft+%281%2F4FL+to+1%2F4FL%29+Yellow&amp;qid=1694734636&amp;sr=8-1", "https://www.amazon.com/Appion-MH380006AAY-Dia-6-foot-Yellow/dp/B072JBR98L/ref=sr_1_1?keywords=Appion+MH380006AAY+MegaFlow+3%2F8in+Recovery+Hose+-+6+ft+%281%2F4FL+to+1%2F4FL%29+Yellow&amp;qid=1694734636&amp;sr=8-1")</f>
        <v/>
      </c>
      <c r="F2009" t="inlineStr">
        <is>
          <t>B072JBR98L</t>
        </is>
      </c>
      <c r="G2009">
        <f>_xlfn.IMAGE("https://edmondsonsupply.com/cdn/shop/products/MH380006AAY_MHH_1080.png?v=1679015808")</f>
        <v/>
      </c>
      <c r="H2009">
        <f>_xlfn.IMAGE("https://m.media-amazon.com/images/I/51N9D8MncgL._AC_UL320_.jpg")</f>
        <v/>
      </c>
      <c r="K2009" t="inlineStr">
        <is>
          <t>54.99</t>
        </is>
      </c>
      <c r="L2009" t="n">
        <v>72.40000000000001</v>
      </c>
      <c r="M2009" s="1" t="inlineStr">
        <is>
          <t>31.66%</t>
        </is>
      </c>
      <c r="N2009" s="7" t="n">
        <v>-20.01</v>
      </c>
      <c r="O2009" t="n">
        <v>4.4</v>
      </c>
      <c r="P2009" t="n">
        <v>33</v>
      </c>
      <c r="R2009" t="inlineStr">
        <is>
          <t>InStock</t>
        </is>
      </c>
      <c r="S2009" t="inlineStr">
        <is>
          <t>69.99</t>
        </is>
      </c>
      <c r="T2009" t="inlineStr">
        <is>
          <t>7962987004120</t>
        </is>
      </c>
    </row>
    <row r="2010" ht="87" customHeight="1">
      <c r="A2010" s="2">
        <f>HYPERLINK("https://edmondsonsupply.com/collections/hvac/products/rectorseal-97087-safe-t-switch-ss2-gen-3", "https://edmondsonsupply.com/collections/hvac/products/rectorseal-97087-safe-t-switch-ss2-gen-3")</f>
        <v/>
      </c>
      <c r="B2010" s="2">
        <f>HYPERLINK("https://edmondsonsupply.com/products/rectorseal-97087-safe-t-switch-ss2-gen-3", "https://edmondsonsupply.com/products/rectorseal-97087-safe-t-switch-ss2-gen-3")</f>
        <v/>
      </c>
      <c r="C2010" t="inlineStr">
        <is>
          <t>RectorSeal 97087 Safe-T-Switch SS2, Gen 3</t>
        </is>
      </c>
      <c r="D2010" t="inlineStr">
        <is>
          <t>Rectorseal 97089 SS3 3RD Generation Safe-T-Switch</t>
        </is>
      </c>
      <c r="E2010" s="2">
        <f>HYPERLINK("https://www.amazon.com/Rectorseal-97089-SS3-Generation-Safe-T-Switch/dp/B09QQS4DF5/ref=sr_1_8?keywords=RectorSeal+97087+Safe-T-Switch+SS2%2C+Gen+3&amp;qid=1694734693&amp;sr=8-8", "https://www.amazon.com/Rectorseal-97089-SS3-Generation-Safe-T-Switch/dp/B09QQS4DF5/ref=sr_1_8?keywords=RectorSeal+97087+Safe-T-Switch+SS2%2C+Gen+3&amp;qid=1694734693&amp;sr=8-8")</f>
        <v/>
      </c>
      <c r="F2010" t="inlineStr">
        <is>
          <t>B09QQS4DF5</t>
        </is>
      </c>
      <c r="G2010">
        <f>_xlfn.IMAGE("https://edmondsonsupply.com/cdn/shop/products/97087-ss2-safe-t-switch-image-img.webp?v=1662053885")</f>
        <v/>
      </c>
      <c r="H2010">
        <f>_xlfn.IMAGE("https://m.media-amazon.com/images/I/31Vm-8kRflL._AC_UY218_.jpg")</f>
        <v/>
      </c>
      <c r="K2010" t="inlineStr">
        <is>
          <t>21.99</t>
        </is>
      </c>
      <c r="L2010" t="n">
        <v>28.95</v>
      </c>
      <c r="M2010" s="1" t="inlineStr">
        <is>
          <t>31.65%</t>
        </is>
      </c>
      <c r="N2010" s="7" t="n">
        <v>-20.01</v>
      </c>
      <c r="O2010" t="n">
        <v>5</v>
      </c>
      <c r="P2010" t="n">
        <v>1</v>
      </c>
      <c r="R2010" t="inlineStr">
        <is>
          <t>InStock</t>
        </is>
      </c>
      <c r="S2010" t="inlineStr">
        <is>
          <t>30.67</t>
        </is>
      </c>
      <c r="T2010" t="inlineStr">
        <is>
          <t>7799440933080</t>
        </is>
      </c>
    </row>
    <row r="2011" ht="87" customHeight="1">
      <c r="A2011" s="2">
        <f>HYPERLINK("https://edmondsonsupply.com/collections/hvac/products/milwaukee-48-22-7213-10l-aluminum-pipe-wrench-with-powerlength%E2%84%A2-handle", "https://edmondsonsupply.com/collections/hvac/products/milwaukee-48-22-7213-10l-aluminum-pipe-wrench-with-powerlength%E2%84%A2-handle")</f>
        <v/>
      </c>
      <c r="B2011" s="2">
        <f>HYPERLINK("https://edmondsonsupply.com/products/milwaukee-48-22-7213-10l-aluminum-pipe-wrench-with-powerlength%e2%84%a2-handle", "https://edmondsonsupply.com/products/milwaukee-48-22-7213-10l-aluminum-pipe-wrench-with-powerlength%e2%84%a2-handle")</f>
        <v/>
      </c>
      <c r="C2011" t="inlineStr">
        <is>
          <t>Milwaukee 48-22-7213 10L Aluminum Pipe Wrench with POWERLENGTH™ Handle</t>
        </is>
      </c>
      <c r="D2011" t="inlineStr">
        <is>
          <t>Milwaukee 48-22-7213 10 in. Aluminum Pipe Wrench with POWERLENGTH Handle</t>
        </is>
      </c>
      <c r="E2011" s="2">
        <f>HYPERLINK("https://www.amazon.com/Milwaukee-48-22-7213-Aluminum-Wrench-POWERLENGTH/dp/B09VQ6CYDG/ref=sr_1_1?keywords=Milwaukee+48-22-7213+10L+Aluminum+Pipe+Wrench+with+POWERLENGTH%E2%84%A2+Handle&amp;qid=1694734684&amp;sr=8-1", "https://www.amazon.com/Milwaukee-48-22-7213-Aluminum-Wrench-POWERLENGTH/dp/B09VQ6CYDG/ref=sr_1_1?keywords=Milwaukee+48-22-7213+10L+Aluminum+Pipe+Wrench+with+POWERLENGTH%E2%84%A2+Handle&amp;qid=1694734684&amp;sr=8-1")</f>
        <v/>
      </c>
      <c r="F2011" t="inlineStr">
        <is>
          <t>B09VQ6CYDG</t>
        </is>
      </c>
      <c r="G2011">
        <f>_xlfn.IMAGE("https://edmondsonsupply.com/cdn/shop/products/48-22-7213_1.png?v=1675699294")</f>
        <v/>
      </c>
      <c r="H2011">
        <f>_xlfn.IMAGE("https://m.media-amazon.com/images/I/51qzHa1LxNL._AC_UL320_.jpg")</f>
        <v/>
      </c>
      <c r="K2011" t="inlineStr">
        <is>
          <t>54.97</t>
        </is>
      </c>
      <c r="L2011" t="n">
        <v>72.36</v>
      </c>
      <c r="M2011" s="1" t="inlineStr">
        <is>
          <t>31.64%</t>
        </is>
      </c>
      <c r="N2011" s="7" t="n">
        <v>-20.02</v>
      </c>
      <c r="O2011" t="n">
        <v>5</v>
      </c>
      <c r="P2011" t="n">
        <v>6</v>
      </c>
      <c r="R2011" t="inlineStr">
        <is>
          <t>InStock</t>
        </is>
      </c>
      <c r="S2011" t="inlineStr">
        <is>
          <t>87.3</t>
        </is>
      </c>
      <c r="T2011" t="inlineStr">
        <is>
          <t>7940122968280</t>
        </is>
      </c>
    </row>
    <row r="2012" hidden="1" ht="15.75" customHeight="1">
      <c r="A2012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012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012" t="inlineStr">
        <is>
          <t>Klein Tools 605-6 1/4-Inch Cabinet Tip Screwdriver, Heavy Duty, 6-Inch</t>
        </is>
      </c>
      <c r="D2012" t="inlineStr">
        <is>
          <t>Klein Tools 621-6 Coated 3/16-Inch Cabinet Tip Flat Head Screwdriver, 6-Inch Round Shank, Cushion Grip Handle</t>
        </is>
      </c>
      <c r="E2012" s="2">
        <f>HYPERLINK("https://www.amazon.com/16-Inch-Screwdriver-Klein-Tools-621-6/dp/B00093GE44/ref=sr_1_9?keywords=Klein+Tools+605-6+1%2F4-Inch+Cabinet+Tip+Screwdriver%2C+Heavy+Duty%2C+6-Inch&amp;qid=1694734725&amp;sr=8-9", "https://www.amazon.com/16-Inch-Screwdriver-Klein-Tools-621-6/dp/B00093GE44/ref=sr_1_9?keywords=Klein+Tools+605-6+1%2F4-Inch+Cabinet+Tip+Screwdriver%2C+Heavy+Duty%2C+6-Inch&amp;qid=1694734725&amp;sr=8-9")</f>
        <v/>
      </c>
      <c r="F2012" t="inlineStr">
        <is>
          <t>B00093GE44</t>
        </is>
      </c>
      <c r="G2012">
        <f>_xludf.IMAGE("https://edmondsonsupply.com/cdn/shop/products/605-6.jpg?v=1587149759")</f>
        <v/>
      </c>
      <c r="H2012">
        <f>_xludf.IMAGE("https://m.media-amazon.com/images/I/51PRkgD+r3L._AC_UL320_.jpg")</f>
        <v/>
      </c>
      <c r="K2012" t="inlineStr">
        <is>
          <t>9.49</t>
        </is>
      </c>
      <c r="L2012" t="n">
        <v>12.49</v>
      </c>
      <c r="M2012" s="1" t="inlineStr">
        <is>
          <t>31.61%</t>
        </is>
      </c>
      <c r="N2012" s="1" t="n">
        <v>-20.02</v>
      </c>
      <c r="O2012" t="n">
        <v>4.4</v>
      </c>
      <c r="P2012" t="n">
        <v>25</v>
      </c>
      <c r="R2012" t="inlineStr">
        <is>
          <t>InStock</t>
        </is>
      </c>
      <c r="S2012" t="inlineStr">
        <is>
          <t>14.38</t>
        </is>
      </c>
      <c r="T2012" t="inlineStr">
        <is>
          <t>4512371310692</t>
        </is>
      </c>
    </row>
    <row r="2013" hidden="1" ht="15.75" customHeight="1">
      <c r="A2013" s="2">
        <f>HYPERLINK("https://edmondsonsupply.com/collections/hvac/products/refrigeration-technologies-rt200r-nylog-red-gasket-thread-sealant", "https://edmondsonsupply.com/collections/hvac/products/refrigeration-technologies-rt200r-nylog-red-gasket-thread-sealant")</f>
        <v/>
      </c>
      <c r="B2013" s="2">
        <f>HYPERLINK("https://edmondsonsupply.com/products/refrigeration-technologies-rt200r-nylog-red-gasket-thread-sealant", "https://edmondsonsupply.com/products/refrigeration-technologies-rt200r-nylog-red-gasket-thread-sealant")</f>
        <v/>
      </c>
      <c r="C2013" t="inlineStr">
        <is>
          <t>Refrigeration Technologies RT200R Viper Nylog Red - Gasket &amp; Thread Sealant</t>
        </is>
      </c>
      <c r="D2013" t="inlineStr">
        <is>
          <t>Refrigeration Technologies RT200R Nylog- Gasket/Thread Sealant</t>
        </is>
      </c>
      <c r="E2013" s="2">
        <f>HYPERLINK("https://www.amazon.com/Refrigeration-Technologies-RT200R-Nylog-Sealant/dp/B008HOSQ3E/ref=sr_1_2?keywords=Refrigeration+Technologies+RT200R+Viper+Nylog+Red+-+Gasket+%26+Thread+Sealant&amp;qid=1694734629&amp;sr=8-2", "https://www.amazon.com/Refrigeration-Technologies-RT200R-Nylog-Sealant/dp/B008HOSQ3E/ref=sr_1_2?keywords=Refrigeration+Technologies+RT200R+Viper+Nylog+Red+-+Gasket+%26+Thread+Sealant&amp;qid=1694734629&amp;sr=8-2")</f>
        <v/>
      </c>
      <c r="F2013" t="inlineStr">
        <is>
          <t>B008HOSQ3E</t>
        </is>
      </c>
      <c r="G2013">
        <f>_xludf.IMAGE("https://edmondsonsupply.com/cdn/shop/products/Nylog-Red-Reflection-Web.jpg?v=1633030226")</f>
        <v/>
      </c>
      <c r="H2013">
        <f>_xludf.IMAGE("https://m.media-amazon.com/images/I/41CKIg1XYgL._AC_UL320_.jpg")</f>
        <v/>
      </c>
      <c r="K2013" t="inlineStr">
        <is>
          <t>6.84</t>
        </is>
      </c>
      <c r="L2013" t="n">
        <v>8.99</v>
      </c>
      <c r="M2013" s="1" t="inlineStr">
        <is>
          <t>31.43%</t>
        </is>
      </c>
      <c r="N2013" s="1" t="n">
        <v>-20.05</v>
      </c>
      <c r="O2013" t="n">
        <v>4.5</v>
      </c>
      <c r="P2013" t="n">
        <v>303</v>
      </c>
      <c r="R2013" t="inlineStr">
        <is>
          <t>InStock</t>
        </is>
      </c>
      <c r="S2013" t="inlineStr">
        <is>
          <t>7.73</t>
        </is>
      </c>
      <c r="T2013" t="inlineStr">
        <is>
          <t>4520715944036</t>
        </is>
      </c>
    </row>
    <row r="2014" ht="87" customHeight="1">
      <c r="A2014" s="2">
        <f>HYPERLINK("https://edmondsonsupply.com/collections/hvac/products/hilmor-1839022-cseh118-1-1-8-compact-swage-expander-head", "https://edmondsonsupply.com/collections/hvac/products/hilmor-1839022-cseh118-1-1-8-compact-swage-expander-head")</f>
        <v/>
      </c>
      <c r="B2014" s="2">
        <f>HYPERLINK("https://edmondsonsupply.com/products/hilmor-1839022-cseh118-1-1-8-compact-swage-expander-head", "https://edmondsonsupply.com/products/hilmor-1839022-cseh118-1-1-8-compact-swage-expander-head")</f>
        <v/>
      </c>
      <c r="C2014" t="inlineStr">
        <is>
          <t>Hilmor 1839022 CSEH118 1-1/8" Compact Swage Expander Head</t>
        </is>
      </c>
      <c r="D2014" t="inlineStr">
        <is>
          <t>hilmor 1839024 Swage Expander Head, 1-5/8"</t>
        </is>
      </c>
      <c r="E2014" s="2">
        <f>HYPERLINK("https://www.amazon.com/hilmor-1839024-Swage-Expander-Head/dp/B00KUS04XU/ref=sr_1_1?keywords=Hilmor+1839022+CSEH118+1-1%2F8%22+Compact+Swage+Expander+Head&amp;qid=1694734822&amp;sr=8-1", "https://www.amazon.com/hilmor-1839024-Swage-Expander-Head/dp/B00KUS04XU/ref=sr_1_1?keywords=Hilmor+1839022+CSEH118+1-1%2F8%22+Compact+Swage+Expander+Head&amp;qid=1694734822&amp;sr=8-1")</f>
        <v/>
      </c>
      <c r="F2014" t="inlineStr">
        <is>
          <t>B00KUS04XU</t>
        </is>
      </c>
      <c r="G2014">
        <f>_xlfn.IMAGE("https://edmondsonsupply.com/cdn/shop/products/1839015-1_1.jpg?v=1587143877")</f>
        <v/>
      </c>
      <c r="H2014">
        <f>_xlfn.IMAGE("https://m.media-amazon.com/images/I/91FKWqXGW+L._AC_UL320_.jpg")</f>
        <v/>
      </c>
      <c r="K2014" t="inlineStr">
        <is>
          <t>82.94</t>
        </is>
      </c>
      <c r="L2014" t="n">
        <v>108.99</v>
      </c>
      <c r="M2014" s="1" t="inlineStr">
        <is>
          <t>31.41%</t>
        </is>
      </c>
      <c r="N2014" s="7" t="n">
        <v>-20.05</v>
      </c>
      <c r="O2014" t="n">
        <v>4.8</v>
      </c>
      <c r="P2014" t="n">
        <v>84</v>
      </c>
      <c r="R2014" t="inlineStr">
        <is>
          <t>InStock</t>
        </is>
      </c>
      <c r="S2014" t="inlineStr">
        <is>
          <t>283.56</t>
        </is>
      </c>
      <c r="T2014" t="inlineStr">
        <is>
          <t>3669092860004</t>
        </is>
      </c>
    </row>
    <row r="2015" ht="87" customHeight="1">
      <c r="A2015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2015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2015" t="inlineStr">
        <is>
          <t>Midwest MWT-SS6716R Special Hardness Aviation Snip - Right-Cutting</t>
        </is>
      </c>
      <c r="D2015" t="inlineStr">
        <is>
          <t>MIDWEST Aviation Snip - Right Cut Upright Tin Cutting Shears with Forged Blade &amp; KUSH'N-POWER Comfort Grips - MWT-6900R</t>
        </is>
      </c>
      <c r="E2015" s="2">
        <f>HYPERLINK("https://www.amazon.com/MIDWEST-Aviation-Snip-KUSHN-POWER-MWT-6900R/dp/B00OJ0KPE8/ref=sr_1_5?keywords=Midwest+MWT-SS6716R+Special+Hardness+Aviation+Snip+-+Right-Cutting&amp;qid=1694734647&amp;sr=8-5", "https://www.amazon.com/MIDWEST-Aviation-Snip-KUSHN-POWER-MWT-6900R/dp/B00OJ0KPE8/ref=sr_1_5?keywords=Midwest+MWT-SS6716R+Special+Hardness+Aviation+Snip+-+Right-Cutting&amp;qid=1694734647&amp;sr=8-5")</f>
        <v/>
      </c>
      <c r="F2015" t="inlineStr">
        <is>
          <t>B00OJ0KPE8</t>
        </is>
      </c>
      <c r="G2015">
        <f>_xlfn.IMAGE("https://edmondsonsupply.com/cdn/shop/products/MWT-SS6716R1.jpg?v=1587146219")</f>
        <v/>
      </c>
      <c r="H2015">
        <f>_xlfn.IMAGE("https://m.media-amazon.com/images/I/715hD0L0+uL._AC_UL320_.jpg")</f>
        <v/>
      </c>
      <c r="K2015" t="inlineStr">
        <is>
          <t>24.66</t>
        </is>
      </c>
      <c r="L2015" t="n">
        <v>32.4</v>
      </c>
      <c r="M2015" s="1" t="inlineStr">
        <is>
          <t>31.39%</t>
        </is>
      </c>
      <c r="N2015" s="7" t="n">
        <v>-20.06</v>
      </c>
      <c r="O2015" t="n">
        <v>4.7</v>
      </c>
      <c r="P2015" t="n">
        <v>777</v>
      </c>
      <c r="R2015" t="inlineStr">
        <is>
          <t>InStock</t>
        </is>
      </c>
      <c r="S2015" t="inlineStr">
        <is>
          <t>36.2</t>
        </is>
      </c>
      <c r="T2015" t="inlineStr">
        <is>
          <t>4508658204772</t>
        </is>
      </c>
    </row>
    <row r="2016" ht="87" customHeight="1">
      <c r="A2016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2016" s="2">
        <f>HYPERLINK("https://edmondsonsupply.com/products/klein-tools-11046-wire-stripper-cutter-16-26-awg-stranded", "https://edmondsonsupply.com/products/klein-tools-11046-wire-stripper-cutter-16-26-awg-stranded")</f>
        <v/>
      </c>
      <c r="C2016" t="inlineStr">
        <is>
          <t>Klein Tools 11046 Wire Stripper/Cutter 16-26 AWG Stranded</t>
        </is>
      </c>
      <c r="D2016" t="inlineStr">
        <is>
          <t>Klein Tools 11057 Wire Cutter / Wire Stripper, Heavy Duty Wire Cutter Stripper for 20-30 AWG Solid Wire and 22-32 AWG Stranded Wire, One Size, Blue/Red</t>
        </is>
      </c>
      <c r="E2016" s="2">
        <f>HYPERLINK("https://www.amazon.com/Stripper-Stranded-Klein-Tools-11057/dp/B000XEUPMQ/ref=sr_1_11?keywords=Klein+Tools+11046+Wire+Stripper%2FCutter+16-26+AWG+Stranded&amp;qid=1694734810&amp;sr=8-11", "https://www.amazon.com/Stripper-Stranded-Klein-Tools-11057/dp/B000XEUPMQ/ref=sr_1_11?keywords=Klein+Tools+11046+Wire+Stripper%2FCutter+16-26+AWG+Stranded&amp;qid=1694734810&amp;sr=8-11")</f>
        <v/>
      </c>
      <c r="F2016" t="inlineStr">
        <is>
          <t>B000XEUPMQ</t>
        </is>
      </c>
      <c r="G2016">
        <f>_xlfn.IMAGE("https://edmondsonsupply.com/cdn/shop/products/11046.jpg?v=1587147965")</f>
        <v/>
      </c>
      <c r="H2016">
        <f>_xlfn.IMAGE("https://m.media-amazon.com/images/I/71HgWc6UcZL._AC_UL320_.jpg")</f>
        <v/>
      </c>
      <c r="K2016" t="inlineStr">
        <is>
          <t>15.97</t>
        </is>
      </c>
      <c r="L2016" t="n">
        <v>20.97</v>
      </c>
      <c r="M2016" s="1" t="inlineStr">
        <is>
          <t>31.31%</t>
        </is>
      </c>
      <c r="N2016" s="7" t="n">
        <v>-20.06</v>
      </c>
      <c r="O2016" t="n">
        <v>4.8</v>
      </c>
      <c r="P2016" t="n">
        <v>2986</v>
      </c>
      <c r="R2016" t="inlineStr">
        <is>
          <t>InStock</t>
        </is>
      </c>
      <c r="S2016" t="inlineStr">
        <is>
          <t>23.56</t>
        </is>
      </c>
      <c r="T2016" t="inlineStr">
        <is>
          <t>3688603910244</t>
        </is>
      </c>
    </row>
    <row r="2017" ht="87" customHeight="1">
      <c r="A2017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017" s="2">
        <f>HYPERLINK("https://edmondsonsupply.com/products/klein-tools-32314-14-in-1-precision-screwdriver-nut-driver", "https://edmondsonsupply.com/products/klein-tools-32314-14-in-1-precision-screwdriver-nut-driver")</f>
        <v/>
      </c>
      <c r="C2017" t="inlineStr">
        <is>
          <t>Klein Tools 32314 14-in-1 Precision Screwdriver/ Nut Driver</t>
        </is>
      </c>
      <c r="D2017" t="inlineStr">
        <is>
          <t>Klein Tools 32500MAG Magnetic Multi-Bit Screwdriver / Nut Driver, 11-in-1 Multi Tool with 8 Bits, 3 Nut Driver Sizes, Cushion Grip Handle</t>
        </is>
      </c>
      <c r="E2017" s="2">
        <f>HYPERLINK("https://www.amazon.com/Klein-Tools-32500MAG-Multi-Bit-Screwdriver/dp/B089LTTZWT/ref=sr_1_26?keywords=Klein+Tools+32314+14-in-1+Precision+Screwdriver%2F+Nut+Driver&amp;qid=1694734697&amp;sr=8-26", "https://www.amazon.com/Klein-Tools-32500MAG-Multi-Bit-Screwdriver/dp/B089LTTZWT/ref=sr_1_26?keywords=Klein+Tools+32314+14-in-1+Precision+Screwdriver%2F+Nut+Driver&amp;qid=1694734697&amp;sr=8-26")</f>
        <v/>
      </c>
      <c r="F2017" t="inlineStr">
        <is>
          <t>B089LTTZWT</t>
        </is>
      </c>
      <c r="G2017">
        <f>_xlfn.IMAGE("https://edmondsonsupply.com/cdn/shop/products/32314.jpg?v=1646593726")</f>
        <v/>
      </c>
      <c r="H2017">
        <f>_xlfn.IMAGE("https://m.media-amazon.com/images/I/61WjOoy7J0L._AC_UL320_.jpg")</f>
        <v/>
      </c>
      <c r="K2017" t="inlineStr">
        <is>
          <t>15.97</t>
        </is>
      </c>
      <c r="L2017" t="n">
        <v>20.97</v>
      </c>
      <c r="M2017" s="1" t="inlineStr">
        <is>
          <t>31.31%</t>
        </is>
      </c>
      <c r="N2017" s="7" t="n">
        <v>-20.06</v>
      </c>
      <c r="O2017" t="n">
        <v>4.8</v>
      </c>
      <c r="P2017" t="n">
        <v>3916</v>
      </c>
      <c r="R2017" t="inlineStr">
        <is>
          <t>InStock</t>
        </is>
      </c>
      <c r="S2017" t="inlineStr">
        <is>
          <t>22.38</t>
        </is>
      </c>
      <c r="T2017" t="inlineStr">
        <is>
          <t>7626984947928</t>
        </is>
      </c>
    </row>
    <row r="2018" ht="87" customHeight="1">
      <c r="A2018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018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018" t="inlineStr">
        <is>
          <t>Klein Tools D20009NEGLW High-Visibility Side-Cutting Pliers High-Leverage</t>
        </is>
      </c>
      <c r="D2018" t="inlineStr">
        <is>
          <t>Klein Tools J2000-9NECRTP Side Cutter Linemans Pliers with Tape Pulling and Wire Crimping, High Leverage, 9-Inch</t>
        </is>
      </c>
      <c r="E2018" s="2">
        <f>HYPERLINK("https://www.amazon.com/Linemans-Crimping-Klein-Tools-J2000-9NECRTP/dp/B0026TFRQ0/ref=sr_1_22?keywords=Klein+Tools+D20009NEGLW+High-Visibility+Side-Cutting+Pliers+High-Leverage&amp;qid=1694734809&amp;sr=8-22", "https://www.amazon.com/Linemans-Crimping-Klein-Tools-J2000-9NECRTP/dp/B0026TFRQ0/ref=sr_1_22?keywords=Klein+Tools+D20009NEGLW+High-Visibility+Side-Cutting+Pliers+High-Leverage&amp;qid=1694734809&amp;sr=8-22")</f>
        <v/>
      </c>
      <c r="F2018" t="inlineStr">
        <is>
          <t>B0026TFRQ0</t>
        </is>
      </c>
      <c r="G2018">
        <f>_xlfn.IMAGE("https://edmondsonsupply.com/cdn/shop/products/d20009neglw.jpg?v=1587144933")</f>
        <v/>
      </c>
      <c r="H2018">
        <f>_xlfn.IMAGE("https://m.media-amazon.com/images/I/41ayIr+LR4L._AC_UL320_.jpg")</f>
        <v/>
      </c>
      <c r="K2018" t="inlineStr">
        <is>
          <t>44.97</t>
        </is>
      </c>
      <c r="L2018" t="n">
        <v>58.99</v>
      </c>
      <c r="M2018" s="1" t="inlineStr">
        <is>
          <t>31.18%</t>
        </is>
      </c>
      <c r="N2018" s="7" t="n">
        <v>-20.11</v>
      </c>
      <c r="O2018" t="n">
        <v>4.8</v>
      </c>
      <c r="P2018" t="n">
        <v>1613</v>
      </c>
      <c r="R2018" t="inlineStr">
        <is>
          <t>InStock</t>
        </is>
      </c>
      <c r="S2018" t="inlineStr">
        <is>
          <t>68.16</t>
        </is>
      </c>
      <c r="T2018" t="inlineStr">
        <is>
          <t>4396888490084</t>
        </is>
      </c>
    </row>
    <row r="2019" ht="87" customHeight="1">
      <c r="A2019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019" s="2">
        <f>HYPERLINK("https://edmondsonsupply.com/products/diablo-tools-dag1130-1-in-x-7-1-2-in-auger-bit", "https://edmondsonsupply.com/products/diablo-tools-dag1130-1-in-x-7-1-2-in-auger-bit")</f>
        <v/>
      </c>
      <c r="C2019" t="inlineStr">
        <is>
          <t>Diablo Tools DAG1130 1 in. x 7-1/2 in. Auger Bit</t>
        </is>
      </c>
      <c r="D2019" t="inlineStr">
        <is>
          <t>Diablo 1-1/8 in. x 7-1/2 in. Auger Bit</t>
        </is>
      </c>
      <c r="E2019" s="2">
        <f>HYPERLINK("https://www.amazon.com/Diablo-Freud-DAG1140-1-1-Auger/dp/B089LK4BYB/ref=sr_1_5?keywords=Diablo+Tools+DAG1130+1+in.+x+7-1%2F2+in.+Auger+Bit&amp;qid=1694734776&amp;sr=8-5", "https://www.amazon.com/Diablo-Freud-DAG1140-1-1-Auger/dp/B089LK4BYB/ref=sr_1_5?keywords=Diablo+Tools+DAG1130+1+in.+x+7-1%2F2+in.+Auger+Bit&amp;qid=1694734776&amp;sr=8-5")</f>
        <v/>
      </c>
      <c r="F2019" t="inlineStr">
        <is>
          <t>B089LK4BYB</t>
        </is>
      </c>
      <c r="G2019">
        <f>_xlfn.IMAGE("https://edmondsonsupply.com/cdn/shop/products/DAG1130_Main-Image20200712.png?v=1633031124")</f>
        <v/>
      </c>
      <c r="H2019">
        <f>_xlfn.IMAGE("https://m.media-amazon.com/images/I/71oBAD0fx0L._AC_UL320_.jpg")</f>
        <v/>
      </c>
      <c r="K2019" t="inlineStr">
        <is>
          <t>16.37</t>
        </is>
      </c>
      <c r="L2019" t="n">
        <v>21.47</v>
      </c>
      <c r="M2019" s="1" t="inlineStr">
        <is>
          <t>31.15%</t>
        </is>
      </c>
      <c r="N2019" s="7" t="n">
        <v>-20.22</v>
      </c>
      <c r="O2019" t="n">
        <v>4.2</v>
      </c>
      <c r="P2019" t="n">
        <v>10</v>
      </c>
      <c r="R2019" t="inlineStr">
        <is>
          <t>InStock</t>
        </is>
      </c>
      <c r="S2019" t="inlineStr">
        <is>
          <t>25.94</t>
        </is>
      </c>
      <c r="T2019" t="inlineStr">
        <is>
          <t>6866560581805</t>
        </is>
      </c>
    </row>
    <row r="2020" hidden="1" ht="15.75" customHeight="1">
      <c r="A2020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2020" s="2">
        <f>HYPERLINK("https://edmondsonsupply.com/products/packard-prmj270-motor-start-capacitor-270-324-mfd-330-vac", "https://edmondsonsupply.com/products/packard-prmj270-motor-start-capacitor-270-324-mfd-330-vac")</f>
        <v/>
      </c>
      <c r="C2020" t="inlineStr">
        <is>
          <t>Packard PRMJ270 Motor Start Capacitor 270-324 MFD 330 VAC</t>
        </is>
      </c>
      <c r="D2020" t="inlineStr">
        <is>
          <t>CD60 330 VAC 270-324 uf/MFD Round Motor Start Capacitor Replacement Parts, Fit for Central Air-Conditioners, Condenser Fan Motors and Heat Pumps</t>
        </is>
      </c>
      <c r="E2020" s="2">
        <f>HYPERLINK("https://www.amazon.com/270-324-Capacitor-Replacement-Air-Conditioners-Condenser/dp/B0C885H8FB/ref=sr_1_16?keywords=Packard+PRMJ270+Motor+Start+Capacitor+270-324+MFD+330+VAC&amp;qid=1694734674&amp;sr=8-16", "https://www.amazon.com/270-324-Capacitor-Replacement-Air-Conditioners-Condenser/dp/B0C885H8FB/ref=sr_1_16?keywords=Packard+PRMJ270+Motor+Start+Capacitor+270-324+MFD+330+VAC&amp;qid=1694734674&amp;sr=8-16")</f>
        <v/>
      </c>
      <c r="F2020" t="inlineStr">
        <is>
          <t>B0C885H8FB</t>
        </is>
      </c>
      <c r="G2020">
        <f>_xludf.IMAGE("https://edmondsonsupply.com/cdn/shop/products/PRMJ270-2.jpg?v=1633030164")</f>
        <v/>
      </c>
      <c r="H2020">
        <f>_xludf.IMAGE("https://m.media-amazon.com/images/I/61FtffnPgeL._AC_UY218_.jpg")</f>
        <v/>
      </c>
      <c r="K2020" t="inlineStr">
        <is>
          <t>10.37</t>
        </is>
      </c>
      <c r="L2020" t="n">
        <v>13.6</v>
      </c>
      <c r="M2020" s="1" t="inlineStr">
        <is>
          <t>31.15%</t>
        </is>
      </c>
      <c r="N2020" s="1" t="n">
        <v>-20.37</v>
      </c>
      <c r="O2020" t="n">
        <v>5</v>
      </c>
      <c r="P2020" t="n">
        <v>6</v>
      </c>
      <c r="R2020" t="inlineStr">
        <is>
          <t>InStock</t>
        </is>
      </c>
      <c r="S2020" t="inlineStr">
        <is>
          <t>undefined</t>
        </is>
      </c>
      <c r="T2020" t="inlineStr">
        <is>
          <t>4298743185508</t>
        </is>
      </c>
    </row>
    <row r="2021" ht="87" customHeight="1">
      <c r="A2021" s="2">
        <f>HYPERLINK("https://edmondsonsupply.com/collections/hvac/products/white-rodgers-24a34-4-24v-electric-heat-sequencer-dpst", "https://edmondsonsupply.com/collections/hvac/products/white-rodgers-24a34-4-24v-electric-heat-sequencer-dpst")</f>
        <v/>
      </c>
      <c r="B2021" s="2">
        <f>HYPERLINK("https://edmondsonsupply.com/products/white-rodgers-24a34-4-24v-electric-heat-sequencer-dpst", "https://edmondsonsupply.com/products/white-rodgers-24a34-4-24v-electric-heat-sequencer-dpst")</f>
        <v/>
      </c>
      <c r="C2021" t="inlineStr">
        <is>
          <t>White-Rodgers 24A34-4 24V Electric Heat Sequencer, DPST</t>
        </is>
      </c>
      <c r="D2021" t="inlineStr">
        <is>
          <t>White-Rodgers 24A34-1 Electric Heat Sequencer, 1 Switch</t>
        </is>
      </c>
      <c r="E2021" s="2">
        <f>HYPERLINK("https://www.amazon.com/White-Rodgers-24A34-1-Electric-Sequencer-Switch/dp/B000LD7VQW/ref=sr_1_7?keywords=White-Rodgers+24A34-4+24V+Electric+Heat+Sequencer%2C+DPST&amp;qid=1694734663&amp;sr=8-7", "https://www.amazon.com/White-Rodgers-24A34-1-Electric-Sequencer-Switch/dp/B000LD7VQW/ref=sr_1_7?keywords=White-Rodgers+24A34-4+24V+Electric+Heat+Sequencer%2C+DPST&amp;qid=1694734663&amp;sr=8-7")</f>
        <v/>
      </c>
      <c r="F2021" t="inlineStr">
        <is>
          <t>B000LD7VQW</t>
        </is>
      </c>
      <c r="G2021">
        <f>_xlfn.IMAGE("https://edmondsonsupply.com/cdn/shop/products/24A34-4.jpg?v=1633030706")</f>
        <v/>
      </c>
      <c r="H2021">
        <f>_xlfn.IMAGE("https://m.media-amazon.com/images/I/41k+LuyGsVL._AC_UL320_.jpg")</f>
        <v/>
      </c>
      <c r="K2021" t="inlineStr">
        <is>
          <t>12.99</t>
        </is>
      </c>
      <c r="L2021" t="n">
        <v>16.99</v>
      </c>
      <c r="M2021" s="1" t="inlineStr">
        <is>
          <t>30.79%</t>
        </is>
      </c>
      <c r="N2021" s="7" t="n">
        <v>-20.53</v>
      </c>
      <c r="O2021" t="n">
        <v>5</v>
      </c>
      <c r="P2021" t="n">
        <v>6</v>
      </c>
      <c r="R2021" t="inlineStr">
        <is>
          <t>InStock</t>
        </is>
      </c>
      <c r="S2021" t="inlineStr">
        <is>
          <t>30.34</t>
        </is>
      </c>
      <c r="T2021" t="inlineStr">
        <is>
          <t>5861153145000</t>
        </is>
      </c>
    </row>
    <row r="2022" ht="87" customHeight="1">
      <c r="A2022" s="2">
        <f>HYPERLINK("https://edmondsonsupply.com/collections/hvac/products/klein-tools-32562-6-in-1-multi-bit-screwdriver-nut-driver-stubby", "https://edmondsonsupply.com/collections/hvac/products/klein-tools-32562-6-in-1-multi-bit-screwdriver-nut-driver-stubby")</f>
        <v/>
      </c>
      <c r="B2022" s="2">
        <f>HYPERLINK("https://edmondsonsupply.com/products/klein-tools-32562-6-in-1-multi-bit-screwdriver-nut-driver-stubby", "https://edmondsonsupply.com/products/klein-tools-32562-6-in-1-multi-bit-screwdriver-nut-driver-stubby")</f>
        <v/>
      </c>
      <c r="C2022" t="inlineStr">
        <is>
          <t>Klein Tools 32562 Multi-Bit Screwdriver / Nut Driver, 6-in-1, Stubby, Ph, Sl, Sq Bits</t>
        </is>
      </c>
      <c r="D2022" t="inlineStr">
        <is>
          <t>Klein Tools 32560 Multi-Bit Screwdriver / Nut Driver, Extended Reach 6-in-1 Tool with Phillips, Slotted and Square Bits and Nut Drivers</t>
        </is>
      </c>
      <c r="E2022" s="2">
        <f>HYPERLINK("https://www.amazon.com/Extended-Screwdriver-Klein-Tools-32560/dp/B005FQDHF4/ref=sr_1_10?keywords=Klein+Tools+32562+Multi-Bit+Screwdriver+%2F+Nut+Driver%2C+6-in-1%2C+Stubby%2C+Ph%2C+Sl%2C+Sq+Bits&amp;qid=1694734806&amp;sr=8-10", "https://www.amazon.com/Extended-Screwdriver-Klein-Tools-32560/dp/B005FQDHF4/ref=sr_1_10?keywords=Klein+Tools+32562+Multi-Bit+Screwdriver+%2F+Nut+Driver%2C+6-in-1%2C+Stubby%2C+Ph%2C+Sl%2C+Sq+Bits&amp;qid=1694734806&amp;sr=8-10")</f>
        <v/>
      </c>
      <c r="F2022" t="inlineStr">
        <is>
          <t>B005FQDHF4</t>
        </is>
      </c>
      <c r="G2022">
        <f>_xlfn.IMAGE("https://edmondsonsupply.com/cdn/shop/products/32562.jpg?v=1587145424")</f>
        <v/>
      </c>
      <c r="H2022">
        <f>_xlfn.IMAGE("https://m.media-amazon.com/images/I/516UhfUKmUL._AC_UL320_.jpg")</f>
        <v/>
      </c>
      <c r="K2022" t="inlineStr">
        <is>
          <t>12.99</t>
        </is>
      </c>
      <c r="L2022" t="n">
        <v>16.99</v>
      </c>
      <c r="M2022" s="1" t="inlineStr">
        <is>
          <t>30.79%</t>
        </is>
      </c>
      <c r="N2022" s="7" t="n">
        <v>-20.67</v>
      </c>
      <c r="O2022" t="n">
        <v>4.8</v>
      </c>
      <c r="P2022" t="n">
        <v>679</v>
      </c>
      <c r="R2022" t="inlineStr">
        <is>
          <t>InStock</t>
        </is>
      </c>
      <c r="S2022" t="inlineStr">
        <is>
          <t>18.9</t>
        </is>
      </c>
      <c r="T2022" t="inlineStr">
        <is>
          <t>4396350439524</t>
        </is>
      </c>
    </row>
    <row r="2023" hidden="1" ht="15.75" customHeight="1">
      <c r="A2023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023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023" t="inlineStr">
        <is>
          <t>Diablo Tools DMAPL2290 7/16 in. x 10 in. x 12 in. SDS-Plus 2-Cutter</t>
        </is>
      </c>
      <c r="D2023" t="inlineStr">
        <is>
          <t>Diablo 9/16 in. x 10 in. x 12 in. SDS-Plus 2-Cutter</t>
        </is>
      </c>
      <c r="E2023" s="2">
        <f>HYPERLINK("https://www.amazon.com/Diablo-DMAPL2380-16-SDS-Plus-2-Cutter/dp/B089LGWH7X/ref=sr_1_8?keywords=Diablo+Tools+DMAPL2290+7%2F16+in.+x+10+in.+x+12+in.+SDS-Plus+2-Cutter&amp;qid=1694734916&amp;sr=8-8", "https://www.amazon.com/Diablo-DMAPL2380-16-SDS-Plus-2-Cutter/dp/B089LGWH7X/ref=sr_1_8?keywords=Diablo+Tools+DMAPL2290+7%2F16+in.+x+10+in.+x+12+in.+SDS-Plus+2-Cutter&amp;qid=1694734916&amp;sr=8-8")</f>
        <v/>
      </c>
      <c r="F2023" t="inlineStr">
        <is>
          <t>B089LGWH7X</t>
        </is>
      </c>
      <c r="G2023">
        <f>_xludf.IMAGE("https://edmondsonsupply.com/cdn/shop/files/lgvfccwvf9ikjakt8qfb.webp?v=1686146379")</f>
        <v/>
      </c>
      <c r="H2023">
        <f>_xludf.IMAGE("https://m.media-amazon.com/images/I/6120+2+rRTL._AC_UL320_.jpg")</f>
        <v/>
      </c>
      <c r="K2023" t="inlineStr">
        <is>
          <t>10.5</t>
        </is>
      </c>
      <c r="L2023" t="n">
        <v>13.73</v>
      </c>
      <c r="M2023" s="1" t="inlineStr">
        <is>
          <t>30.76%</t>
        </is>
      </c>
      <c r="N2023" s="1" t="n">
        <v>-20.73</v>
      </c>
      <c r="O2023" t="n">
        <v>5</v>
      </c>
      <c r="P2023" t="n">
        <v>1</v>
      </c>
      <c r="R2023" t="inlineStr">
        <is>
          <t>InStock</t>
        </is>
      </c>
      <c r="S2023" t="inlineStr">
        <is>
          <t>16.67</t>
        </is>
      </c>
      <c r="T2023" t="inlineStr">
        <is>
          <t>8002354872536</t>
        </is>
      </c>
    </row>
    <row r="2024" hidden="1" ht="15.75" customHeight="1">
      <c r="A2024" s="2">
        <f>HYPERLINK("https://edmondsonsupply.com/collections/hvac/products/icm-controls-icm493-single-phase-line-voltage-monitor-with-surge-protection", "https://edmondsonsupply.com/collections/hvac/products/icm-controls-icm493-single-phase-line-voltage-monitor-with-surge-protection")</f>
        <v/>
      </c>
      <c r="B2024" s="2">
        <f>HYPERLINK("https://edmondsonsupply.com/products/icm-controls-icm493-single-phase-line-voltage-monitor-with-surge-protection", "https://edmondsonsupply.com/products/icm-controls-icm493-single-phase-line-voltage-monitor-with-surge-protection")</f>
        <v/>
      </c>
      <c r="C2024" t="inlineStr">
        <is>
          <t>ICM Controls ICM493 Single Phase Line Voltage Monitor with Surge Protection</t>
        </is>
      </c>
      <c r="D2024" t="inlineStr">
        <is>
          <t>ICM Controls ICM493 Single Phase Monitor with Surge Supression,Multicolor</t>
        </is>
      </c>
      <c r="E2024" s="2">
        <f>HYPERLINK("https://www.amazon.com/ICM-Controls-ICM493-Monitor-Supression/dp/B01M16A7P3/ref=sr_1_4?keywords=ICM+Controls+ICM493+Single+Phase+Line+Voltage+Monitor+with+Surge+Protection&amp;qid=1694734609&amp;sr=8-4", "https://www.amazon.com/ICM-Controls-ICM493-Monitor-Supression/dp/B01M16A7P3/ref=sr_1_4?keywords=ICM+Controls+ICM493+Single+Phase+Line+Voltage+Monitor+with+Surge+Protection&amp;qid=1694734609&amp;sr=8-4")</f>
        <v/>
      </c>
      <c r="F2024" t="inlineStr">
        <is>
          <t>B01M16A7P3</t>
        </is>
      </c>
      <c r="G2024">
        <f>_xludf.IMAGE("https://edmondsonsupply.com/cdn/shop/files/ICM493-Path-Color.webp?v=1683757575")</f>
        <v/>
      </c>
      <c r="H2024">
        <f>_xludf.IMAGE("https://m.media-amazon.com/images/I/51dzKW6L-jL._AC_UL320_.jpg")</f>
        <v/>
      </c>
      <c r="K2024" t="inlineStr">
        <is>
          <t>241.89</t>
        </is>
      </c>
      <c r="L2024" t="n">
        <v>315.99</v>
      </c>
      <c r="M2024" s="1" t="inlineStr">
        <is>
          <t>30.63%</t>
        </is>
      </c>
      <c r="N2024" s="1" t="n">
        <v>-20.77</v>
      </c>
      <c r="O2024" t="n">
        <v>4</v>
      </c>
      <c r="P2024" t="n">
        <v>14</v>
      </c>
      <c r="R2024" t="inlineStr">
        <is>
          <t>InStock</t>
        </is>
      </c>
      <c r="S2024" t="inlineStr">
        <is>
          <t>272.02</t>
        </is>
      </c>
      <c r="T2024" t="inlineStr">
        <is>
          <t>7990403268824</t>
        </is>
      </c>
    </row>
    <row r="2025" ht="87" customHeight="1">
      <c r="A2025" s="2">
        <f>HYPERLINK("https://edmondsonsupply.com/collections/hvac/products/midwest-mwt-6510r-right-offset-aviation-snip", "https://edmondsonsupply.com/collections/hvac/products/midwest-mwt-6510r-right-offset-aviation-snip")</f>
        <v/>
      </c>
      <c r="B2025" s="2">
        <f>HYPERLINK("https://edmondsonsupply.com/products/midwest-mwt-6510r-right-offset-aviation-snip", "https://edmondsonsupply.com/products/midwest-mwt-6510r-right-offset-aviation-snip")</f>
        <v/>
      </c>
      <c r="C2025" t="inlineStr">
        <is>
          <t>Midwest MWT-6510R Right Offset Aviation Snip</t>
        </is>
      </c>
      <c r="D2025" t="inlineStr">
        <is>
          <t>MIDWEST Aviation Snip - Right Cut Upright Tin Cutting Shears with Forged Blade &amp; KUSH'N-POWER Comfort Grips - MWT-6900R</t>
        </is>
      </c>
      <c r="E2025" s="2">
        <f>HYPERLINK("https://www.amazon.com/MIDWEST-Aviation-Snip-KUSHN-POWER-MWT-6900R/dp/B00OJ0KPE8/ref=sr_1_10?keywords=Midwest+MWT-6510R+Right+Offset+Aviation+Snip&amp;qid=1694734735&amp;sr=8-10", "https://www.amazon.com/MIDWEST-Aviation-Snip-KUSHN-POWER-MWT-6900R/dp/B00OJ0KPE8/ref=sr_1_10?keywords=Midwest+MWT-6510R+Right+Offset+Aviation+Snip&amp;qid=1694734735&amp;sr=8-10")</f>
        <v/>
      </c>
      <c r="F2025" t="inlineStr">
        <is>
          <t>B00OJ0KPE8</t>
        </is>
      </c>
      <c r="G2025">
        <f>_xlfn.IMAGE("https://edmondsonsupply.com/cdn/shop/products/MWT-6510R.png?v=1587144877")</f>
        <v/>
      </c>
      <c r="H2025">
        <f>_xlfn.IMAGE("https://m.media-amazon.com/images/I/715hD0L0+uL._AC_UL320_.jpg")</f>
        <v/>
      </c>
      <c r="K2025" t="inlineStr">
        <is>
          <t>24.89</t>
        </is>
      </c>
      <c r="L2025" t="n">
        <v>32.48</v>
      </c>
      <c r="M2025" s="1" t="inlineStr">
        <is>
          <t>30.49%</t>
        </is>
      </c>
      <c r="N2025" s="7" t="n">
        <v>-20.83</v>
      </c>
      <c r="O2025" t="n">
        <v>4.7</v>
      </c>
      <c r="P2025" t="n">
        <v>777</v>
      </c>
      <c r="R2025" t="inlineStr">
        <is>
          <t>InStock</t>
        </is>
      </c>
      <c r="S2025" t="inlineStr">
        <is>
          <t>33.49</t>
        </is>
      </c>
      <c r="T2025" t="inlineStr">
        <is>
          <t>4414962597988</t>
        </is>
      </c>
    </row>
    <row r="2026" ht="87" customHeight="1">
      <c r="A2026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026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026" t="inlineStr">
        <is>
          <t>ICM Controls ICM2811 Furnace Control Board - Replacement for Goodman</t>
        </is>
      </c>
      <c r="D2026" t="inlineStr">
        <is>
          <t>ICM2805A Furnace Control Board Replacement for Nordyne 624631Circuit Board, Used with G3, G4, G5, G6, M2 and M3 Furnace Modules, 624631 903106</t>
        </is>
      </c>
      <c r="E2026" s="2">
        <f>HYPERLINK("https://www.amazon.com/ICM2805A-Furnace-Control-Replacement-624631Circuit/dp/B0C5GW9NST/ref=sr_1_23?keywords=ICM+Controls+ICM2811+Furnace+Control+Board+-+Replacement+for+Goodman&amp;qid=1694734652&amp;sr=8-23", "https://www.amazon.com/ICM2805A-Furnace-Control-Replacement-624631Circuit/dp/B0C5GW9NST/ref=sr_1_23?keywords=ICM+Controls+ICM2811+Furnace+Control+Board+-+Replacement+for+Goodman&amp;qid=1694734652&amp;sr=8-23")</f>
        <v/>
      </c>
      <c r="F2026" t="inlineStr">
        <is>
          <t>B0C5GW9NST</t>
        </is>
      </c>
      <c r="G2026">
        <f>_xlfn.IMAGE("https://edmondsonsupply.com/cdn/shop/products/photo_3800_medium_86f45e25-a764-4839-bc84-759a6ce1c7bd.jpg?v=1659910436")</f>
        <v/>
      </c>
      <c r="H2026">
        <f>_xlfn.IMAGE("https://m.media-amazon.com/images/I/71E4OL1xhbL._AC_UL320_.jpg")</f>
        <v/>
      </c>
      <c r="K2026" t="inlineStr">
        <is>
          <t>68.99</t>
        </is>
      </c>
      <c r="L2026" t="n">
        <v>89.98999999999999</v>
      </c>
      <c r="M2026" s="1" t="inlineStr">
        <is>
          <t>30.44%</t>
        </is>
      </c>
      <c r="N2026" s="7" t="n">
        <v>-20.84</v>
      </c>
      <c r="O2026" t="n">
        <v>4.5</v>
      </c>
      <c r="P2026" t="n">
        <v>2</v>
      </c>
      <c r="R2026" t="inlineStr">
        <is>
          <t>InStock</t>
        </is>
      </c>
      <c r="S2026" t="inlineStr">
        <is>
          <t>93.62</t>
        </is>
      </c>
      <c r="T2026" t="inlineStr">
        <is>
          <t>4345448202340</t>
        </is>
      </c>
    </row>
    <row r="2027" ht="87" customHeight="1">
      <c r="A2027" s="2">
        <f>HYPERLINK("https://edmondsonsupply.com/collections/hvac/products/wiha-tools-66990-9-piece-magicring-ball-end-long-arm-hex-l-key-set-metric", "https://edmondsonsupply.com/collections/hvac/products/wiha-tools-66990-9-piece-magicring-ball-end-long-arm-hex-l-key-set-metric")</f>
        <v/>
      </c>
      <c r="B2027" s="2">
        <f>HYPERLINK("https://edmondsonsupply.com/products/wiha-tools-66990-9-piece-magicring-ball-end-long-arm-hex-l-key-set-metric", "https://edmondsonsupply.com/products/wiha-tools-66990-9-piece-magicring-ball-end-long-arm-hex-l-key-set-metric")</f>
        <v/>
      </c>
      <c r="C2027" t="inlineStr">
        <is>
          <t>Wiha Tools 66990 9 Piece MagicRing Ball End Long Arm Hex L-Key Set - Metric</t>
        </is>
      </c>
      <c r="D2027" t="inlineStr">
        <is>
          <t>Wiha Tools Long L-Shaped Metric Chrome Ball End Hex Key Set, Number of Pieces: 9-66990</t>
        </is>
      </c>
      <c r="E2027" s="2">
        <f>HYPERLINK("https://www.amazon.com/Wiha-L-Shaped-Metric-Chrome-Number/dp/B01EG0S2E0/ref=sr_1_1?keywords=Wiha+Tools+66990+9+Piece+MagicRing+Ball+End+Long+Arm+Hex+L-Key+Set+-+Metric&amp;qid=1694734869&amp;sr=8-1", "https://www.amazon.com/Wiha-L-Shaped-Metric-Chrome-Number/dp/B01EG0S2E0/ref=sr_1_1?keywords=Wiha+Tools+66990+9+Piece+MagicRing+Ball+End+Long+Arm+Hex+L-Key+Set+-+Metric&amp;qid=1694734869&amp;sr=8-1")</f>
        <v/>
      </c>
      <c r="F2027" t="inlineStr">
        <is>
          <t>B01EG0S2E0</t>
        </is>
      </c>
      <c r="G2027">
        <f>_xlfn.IMAGE("https://edmondsonsupply.com/cdn/shop/files/13e958aad91c16597a10bc35346fe94965ff7cc5_1000x_585c36ae-bd90-4c7e-95df-eb1519527f63.webp?v=1690841217")</f>
        <v/>
      </c>
      <c r="H2027">
        <f>_xlfn.IMAGE("https://m.media-amazon.com/images/I/11D1IcFp8XL._AC_UL320_.jpg")</f>
        <v/>
      </c>
      <c r="K2027" t="inlineStr">
        <is>
          <t>39.26</t>
        </is>
      </c>
      <c r="L2027" t="n">
        <v>51.18</v>
      </c>
      <c r="M2027" s="1" t="inlineStr">
        <is>
          <t>30.36%</t>
        </is>
      </c>
      <c r="N2027" s="7" t="n">
        <v>-20.85</v>
      </c>
      <c r="O2027" t="n">
        <v>5</v>
      </c>
      <c r="P2027" t="n">
        <v>2</v>
      </c>
      <c r="R2027" t="inlineStr">
        <is>
          <t>InStock</t>
        </is>
      </c>
      <c r="S2027" t="inlineStr">
        <is>
          <t>52.34</t>
        </is>
      </c>
      <c r="T2027" t="inlineStr">
        <is>
          <t>8023273111768</t>
        </is>
      </c>
    </row>
    <row r="2028" hidden="1" ht="15.75" customHeight="1">
      <c r="A2028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2028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2028" t="inlineStr">
        <is>
          <t>Diablo Tools DMAPL4210 5/8 in. x 4 in. x 6 in. Rebar Demon™ SDS‑Plus 4‑Cutter Full Carbide Head Hammer Bit</t>
        </is>
      </c>
      <c r="D2028" t="inlineStr">
        <is>
          <t>Diablo DMAPL4120 5/16 in. x 10 in. x 12 in. Rebar Demon™ SDS-Plus 4-Cutter Full Carbide Head Hammer Bit</t>
        </is>
      </c>
      <c r="E2028" s="2">
        <f>HYPERLINK("https://www.amazon.com/Diablo-SDS-Plus-4-Cutter-Carbide-Hammer/dp/B089KTHL12/ref=sr_1_17?keywords=Diablo+Tools+DMAPL4210+5%2F8+in.+x+4+in.+x+6+in.+Rebar+Demon%E2%84%A2+SDS%E2%80%91Plus+4%E2%80%91Cutter+Full+Carbide+Head+Hammer+Bit&amp;qid=1694734723&amp;sr=8-17", "https://www.amazon.com/Diablo-SDS-Plus-4-Cutter-Carbide-Hammer/dp/B089KTHL12/ref=sr_1_17?keywords=Diablo+Tools+DMAPL4210+5%2F8+in.+x+4+in.+x+6+in.+Rebar+Demon%E2%84%A2+SDS%E2%80%91Plus+4%E2%80%91Cutter+Full+Carbide+Head+Hammer+Bit&amp;qid=1694734723&amp;sr=8-17")</f>
        <v/>
      </c>
      <c r="F2028" t="inlineStr">
        <is>
          <t>B089KTHL12</t>
        </is>
      </c>
      <c r="G2028">
        <f>_xludf.IMAGE("https://edmondsonsupply.com/cdn/shop/products/DMAPL4210_Main-Image20200701.png?v=1633030426")</f>
        <v/>
      </c>
      <c r="H2028">
        <f>_xludf.IMAGE("https://m.media-amazon.com/images/I/61P8b1v1TBL._AC_UL320_.jpg")</f>
        <v/>
      </c>
      <c r="K2028" t="inlineStr">
        <is>
          <t>9.97</t>
        </is>
      </c>
      <c r="L2028" t="n">
        <v>12.99</v>
      </c>
      <c r="M2028" s="1" t="inlineStr">
        <is>
          <t>30.29%</t>
        </is>
      </c>
      <c r="N2028" s="1" t="n">
        <v>-20.96</v>
      </c>
      <c r="O2028" t="n">
        <v>5</v>
      </c>
      <c r="P2028" t="n">
        <v>6</v>
      </c>
      <c r="R2028" t="inlineStr">
        <is>
          <t>InStock</t>
        </is>
      </c>
      <c r="S2028" t="inlineStr">
        <is>
          <t>13.77</t>
        </is>
      </c>
      <c r="T2028" t="inlineStr">
        <is>
          <t>5326920482984</t>
        </is>
      </c>
    </row>
    <row r="2029" ht="87" customHeight="1">
      <c r="A2029" s="2">
        <f>HYPERLINK("https://edmondsonsupply.com/collections/hvac/products/milwaukee-49-90-1900-hepa-filter", "https://edmondsonsupply.com/collections/hvac/products/milwaukee-49-90-1900-hepa-filter")</f>
        <v/>
      </c>
      <c r="B2029" s="2">
        <f>HYPERLINK("https://edmondsonsupply.com/products/milwaukee-49-90-1900-hepa-filter", "https://edmondsonsupply.com/products/milwaukee-49-90-1900-hepa-filter")</f>
        <v/>
      </c>
      <c r="C2029" t="inlineStr">
        <is>
          <t>Milwaukee 49-90-1900 HEPA Filter</t>
        </is>
      </c>
      <c r="D2029" t="inlineStr">
        <is>
          <t>PUREBURG Wet Dry Vacuum HEPA Filter Replacement 49-90-1900 Compatible with Milwaukee Cordless Vacuum, M18 FUEL PACKOUT 0970-20 / M18 2 Gallon 0880-20 / M12 FUEL 1.6 Gallon 0960-20,4-Pack</t>
        </is>
      </c>
      <c r="E2029" s="2">
        <f>HYPERLINK("https://www.amazon.com/PUREBURG-Replacement-49-90-1900-Compatible-Gallon-0960-20/dp/B09TQMH51M/ref=sr_1_6?keywords=Milwaukee+49-90-1900+HEPA+Filter&amp;qid=1694734913&amp;sr=8-6", "https://www.amazon.com/PUREBURG-Replacement-49-90-1900-Compatible-Gallon-0960-20/dp/B09TQMH51M/ref=sr_1_6?keywords=Milwaukee+49-90-1900+HEPA+Filter&amp;qid=1694734913&amp;sr=8-6")</f>
        <v/>
      </c>
      <c r="F2029" t="inlineStr">
        <is>
          <t>B09TQMH51M</t>
        </is>
      </c>
      <c r="G2029">
        <f>_xlfn.IMAGE("https://edmondsonsupply.com/cdn/shop/files/49-90-1900_1.png?v=1686234774")</f>
        <v/>
      </c>
      <c r="H2029">
        <f>_xlfn.IMAGE("https://m.media-amazon.com/images/I/61QaPzKVdpL._AC_UL320_.jpg")</f>
        <v/>
      </c>
      <c r="K2029" t="inlineStr">
        <is>
          <t>24.98</t>
        </is>
      </c>
      <c r="L2029" t="n">
        <v>32.49</v>
      </c>
      <c r="M2029" s="1" t="inlineStr">
        <is>
          <t>30.06%</t>
        </is>
      </c>
      <c r="N2029" s="7" t="n">
        <v>-20.96</v>
      </c>
      <c r="O2029" t="n">
        <v>4.6</v>
      </c>
      <c r="P2029" t="n">
        <v>21</v>
      </c>
      <c r="R2029" t="inlineStr">
        <is>
          <t>InStock</t>
        </is>
      </c>
      <c r="S2029" t="inlineStr">
        <is>
          <t>40.0</t>
        </is>
      </c>
      <c r="T2029" t="inlineStr">
        <is>
          <t>8002625306840</t>
        </is>
      </c>
    </row>
    <row r="2030" ht="87" customHeight="1">
      <c r="A2030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030" s="2">
        <f>HYPERLINK("https://edmondsonsupply.com/products/klein-tools-mm300kit-digital-multimeter-electrical-test-kit", "https://edmondsonsupply.com/products/klein-tools-mm300kit-digital-multimeter-electrical-test-kit")</f>
        <v/>
      </c>
      <c r="C2030" t="inlineStr">
        <is>
          <t>Klein Tools MM320KIT Digital Multimeter Electrical Test Kit</t>
        </is>
      </c>
      <c r="D2030" t="inlineStr">
        <is>
          <t>Klein Tools 80067 Electrical Test Kit with IR Digital Thermometer, Multimeter, Non-Contact Voltage Tester Pen and Receptacle Tester, Green,Red, 4-Piece</t>
        </is>
      </c>
      <c r="E2030" s="2">
        <f>HYPERLINK("https://www.amazon.com/Klein-Tools-80067-Thermometer-Non-Contact/dp/B0B11NG8XM/ref=sr_1_8?keywords=Klein+Tools+MM320KIT+Digital+Multimeter+Electrical+Test+Kit&amp;qid=1694734657&amp;sr=8-8", "https://www.amazon.com/Klein-Tools-80067-Thermometer-Non-Contact/dp/B0B11NG8XM/ref=sr_1_8?keywords=Klein+Tools+MM320KIT+Digital+Multimeter+Electrical+Test+Kit&amp;qid=1694734657&amp;sr=8-8")</f>
        <v/>
      </c>
      <c r="F2030" t="inlineStr">
        <is>
          <t>B0B11NG8XM</t>
        </is>
      </c>
      <c r="G2030">
        <f>_xlfn.IMAGE("https://edmondsonsupply.com/cdn/shop/products/mm320kit_photo.jpg?v=1660756496")</f>
        <v/>
      </c>
      <c r="H2030">
        <f>_xlfn.IMAGE("https://m.media-amazon.com/images/I/61M3CphXgvL._AC_UL320_.jpg")</f>
        <v/>
      </c>
      <c r="K2030" t="inlineStr">
        <is>
          <t>49.97</t>
        </is>
      </c>
      <c r="L2030" t="n">
        <v>64.98999999999999</v>
      </c>
      <c r="M2030" s="1" t="inlineStr">
        <is>
          <t>30.06%</t>
        </is>
      </c>
      <c r="N2030" s="7" t="n">
        <v>-20.96</v>
      </c>
      <c r="O2030" t="n">
        <v>4.5</v>
      </c>
      <c r="P2030" t="n">
        <v>29</v>
      </c>
      <c r="R2030" t="inlineStr">
        <is>
          <t>InStock</t>
        </is>
      </c>
      <c r="S2030" t="inlineStr">
        <is>
          <t>79.3</t>
        </is>
      </c>
      <c r="T2030" t="inlineStr">
        <is>
          <t>7783570309336</t>
        </is>
      </c>
    </row>
    <row r="2031" ht="87" customHeight="1">
      <c r="A2031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2031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2031" t="inlineStr">
        <is>
          <t>Klein Tools NCVT-2PKIT Dual Range Non-Contact Voltage Tester with Receptacle Tester</t>
        </is>
      </c>
      <c r="D2031" t="inlineStr">
        <is>
          <t>Klein Tools NCVT-3 Voltage Tester, Non-Contact Dual Range Voltage Tester Pen for AC Testing with Integrated Flashlight</t>
        </is>
      </c>
      <c r="E2031" s="2">
        <f>HYPERLINK("https://www.amazon.com/Non-Contact-Voltage-Flashlight-Klein-Tools/dp/B00XJQ9ZE4/ref=sr_1_8?keywords=Klein+Tools+NCVT-2PKIT+Dual+Range+Non-Contact+Voltage+Tester+with+Receptacle+Tester&amp;qid=1694734814&amp;sr=8-8", "https://www.amazon.com/Non-Contact-Voltage-Flashlight-Klein-Tools/dp/B00XJQ9ZE4/ref=sr_1_8?keywords=Klein+Tools+NCVT-2PKIT+Dual+Range+Non-Contact+Voltage+Tester+with+Receptacle+Tester&amp;qid=1694734814&amp;sr=8-8")</f>
        <v/>
      </c>
      <c r="F2031" t="inlineStr">
        <is>
          <t>B00XJQ9ZE4</t>
        </is>
      </c>
      <c r="G2031">
        <f>_xlfn.IMAGE("https://edmondsonsupply.com/cdn/shop/products/ncvt2pkit.jpg?v=1633030827")</f>
        <v/>
      </c>
      <c r="H2031">
        <f>_xlfn.IMAGE("https://m.media-amazon.com/images/I/51dcyyMwUjL._AC_UL320_.jpg")</f>
        <v/>
      </c>
      <c r="K2031" t="inlineStr">
        <is>
          <t>29.99</t>
        </is>
      </c>
      <c r="L2031" t="n">
        <v>38.99</v>
      </c>
      <c r="M2031" s="1" t="inlineStr">
        <is>
          <t>30.01%</t>
        </is>
      </c>
      <c r="N2031" s="7" t="n">
        <v>-21.5</v>
      </c>
      <c r="O2031" t="n">
        <v>4.5</v>
      </c>
      <c r="P2031" t="n">
        <v>1679</v>
      </c>
      <c r="R2031" t="inlineStr">
        <is>
          <t>InStock</t>
        </is>
      </c>
      <c r="S2031" t="inlineStr">
        <is>
          <t>41.28</t>
        </is>
      </c>
      <c r="T2031" t="inlineStr">
        <is>
          <t>6082146238637</t>
        </is>
      </c>
    </row>
    <row r="2032" ht="87" customHeight="1">
      <c r="A2032" s="2">
        <f>HYPERLINK("https://edmondsonsupply.com/collections/hvac/products/klein-tools-k12065cr-klein-kurve%C2%AE-heavy-duty-wire-stripper-crimper-8-20-awg", "https://edmondsonsupply.com/collections/hvac/products/klein-tools-k12065cr-klein-kurve%C2%AE-heavy-duty-wire-stripper-crimper-8-20-awg")</f>
        <v/>
      </c>
      <c r="B2032" s="2">
        <f>HYPERLINK("https://edmondsonsupply.com/products/klein-tools-k12065cr-klein-kurve%c2%ae-heavy-duty-wire-stripper-crimper-8-20-awg", "https://edmondsonsupply.com/products/klein-tools-k12065cr-klein-kurve%c2%ae-heavy-duty-wire-stripper-crimper-8-20-awg")</f>
        <v/>
      </c>
      <c r="C2032" t="inlineStr">
        <is>
          <t>Klein Tools K12065CR Klein-Kurve® Heavy-Duty Wire Stripper / Cutter / Crimper Multi Tool, 8-20 AWG</t>
        </is>
      </c>
      <c r="D2032" t="inlineStr">
        <is>
          <t>Klein Tools 3005CR Wire Crimper Tool, Ratcheting Insulated Terminal Crimper &amp; 11061 Wire Stripper/Wire Cutter for Solid and Stranded AWG Wire, Heavy Duty Kleins are Self Adjusting</t>
        </is>
      </c>
      <c r="E2032" s="2">
        <f>HYPERLINK("https://www.amazon.com/Klein-Tools-Ratcheting-Insulated-Adjusting/dp/B08XKN3KMD/ref=sr_1_41?keywords=Klein+Tools+K12065CR+Klein-Kurve%C2%AE+Heavy-Duty+Wire+Stripper+%2F+Cutter+%2F+Crimper+Multi+Tool%2C+8-20+AWG&amp;qid=1694734664&amp;sr=8-41", "https://www.amazon.com/Klein-Tools-Ratcheting-Insulated-Adjusting/dp/B08XKN3KMD/ref=sr_1_41?keywords=Klein+Tools+K12065CR+Klein-Kurve%C2%AE+Heavy-Duty+Wire+Stripper+%2F+Cutter+%2F+Crimper+Multi+Tool%2C+8-20+AWG&amp;qid=1694734664&amp;sr=8-41")</f>
        <v/>
      </c>
      <c r="F2032" t="inlineStr">
        <is>
          <t>B08XKN3KMD</t>
        </is>
      </c>
      <c r="G2032">
        <f>_xlfn.IMAGE("https://edmondsonsupply.com/cdn/shop/products/k12065cr_b.jpg?v=1650066835")</f>
        <v/>
      </c>
      <c r="H2032">
        <f>_xlfn.IMAGE("https://m.media-amazon.com/images/I/416FL5-HbfL._AC_UL320_.jpg")</f>
        <v/>
      </c>
      <c r="K2032" t="inlineStr">
        <is>
          <t>39.97</t>
        </is>
      </c>
      <c r="L2032" t="n">
        <v>51.94</v>
      </c>
      <c r="M2032" s="1" t="inlineStr">
        <is>
          <t>29.95%</t>
        </is>
      </c>
      <c r="N2032" s="7" t="n">
        <v>-21.74</v>
      </c>
      <c r="O2032" t="n">
        <v>4.6</v>
      </c>
      <c r="P2032" t="n">
        <v>26</v>
      </c>
      <c r="R2032" t="inlineStr">
        <is>
          <t>InStock</t>
        </is>
      </c>
      <c r="S2032" t="inlineStr">
        <is>
          <t>59.42</t>
        </is>
      </c>
      <c r="T2032" t="inlineStr">
        <is>
          <t>5795137880232</t>
        </is>
      </c>
    </row>
    <row r="2033" hidden="1" ht="15.75" customHeight="1">
      <c r="A2033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2033" s="2">
        <f>HYPERLINK("https://edmondsonsupply.com/products/packard-prmj145a-motor-start-capacitor-145-174-mfd", "https://edmondsonsupply.com/products/packard-prmj145a-motor-start-capacitor-145-174-mfd")</f>
        <v/>
      </c>
      <c r="C2033" t="inlineStr">
        <is>
          <t>Packard PRMJ145A Motor Start Capacitor 145-174 MFD</t>
        </is>
      </c>
      <c r="D2033" t="inlineStr">
        <is>
          <t>USA Motor Start Capacitor 145-174 uF MFD 110 125 VAC Replaces 11913 11013 PMJ145 PMJ145A</t>
        </is>
      </c>
      <c r="E2033" s="2">
        <f>HYPERLINK("https://www.amazon.com/Capacitor-145-174-Replaces-PMJ145-PMJ145A/dp/B07M5MD61W/ref=sr_1_9?keywords=Packard+PRMJ145A+Motor+Start+Capacitor+145-174+MFD&amp;qid=1694734791&amp;sr=8-9", "https://www.amazon.com/Capacitor-145-174-Replaces-PMJ145-PMJ145A/dp/B07M5MD61W/ref=sr_1_9?keywords=Packard+PRMJ145A+Motor+Start+Capacitor+145-174+MFD&amp;qid=1694734791&amp;sr=8-9")</f>
        <v/>
      </c>
      <c r="F2033" t="inlineStr">
        <is>
          <t>B07M5MD61W</t>
        </is>
      </c>
      <c r="G2033">
        <f>_xludf.IMAGE("https://edmondsonsupply.com/cdn/shop/products/PRMJ145A-2.jpg?v=1633030335")</f>
        <v/>
      </c>
      <c r="H2033">
        <f>_xludf.IMAGE("https://m.media-amazon.com/images/I/41pvkMgRYbL._AC_UY218_.jpg")</f>
        <v/>
      </c>
      <c r="K2033" t="inlineStr">
        <is>
          <t>7.51</t>
        </is>
      </c>
      <c r="L2033" t="n">
        <v>9.75</v>
      </c>
      <c r="M2033" s="1" t="inlineStr">
        <is>
          <t>29.83%</t>
        </is>
      </c>
      <c r="N2033" s="1" t="n">
        <v>-22.04</v>
      </c>
      <c r="O2033" t="n">
        <v>4.3</v>
      </c>
      <c r="P2033" t="n">
        <v>2</v>
      </c>
      <c r="R2033" t="inlineStr">
        <is>
          <t>InStock</t>
        </is>
      </c>
      <c r="S2033" t="inlineStr">
        <is>
          <t>undefined</t>
        </is>
      </c>
      <c r="T2033" t="inlineStr">
        <is>
          <t>5272211062952</t>
        </is>
      </c>
    </row>
    <row r="2034" hidden="1" ht="15.75" customHeight="1">
      <c r="A2034" s="2">
        <f>HYPERLINK("https://edmondsonsupply.com/collections/hvac/products/packard-trcfd5075-titan-pro-run-capacitor-50-7-5-mfd-440-370-volt-round", "https://edmondsonsupply.com/collections/hvac/products/packard-trcfd5075-titan-pro-run-capacitor-50-7-5-mfd-440-370-volt-round")</f>
        <v/>
      </c>
      <c r="B2034" s="2">
        <f>HYPERLINK("https://edmondsonsupply.com/products/packard-trcfd5075-titan-pro-run-capacitor-50-7-5-mfd-440-370-volt-round", "https://edmondsonsupply.com/products/packard-trcfd5075-titan-pro-run-capacitor-50-7-5-mfd-440-370-volt-round")</f>
        <v/>
      </c>
      <c r="C2034" t="inlineStr">
        <is>
          <t>Packard TRCFD5075 TITAN PRO Run Capacitor 50+7.5 MFD 440/370 Volt Round</t>
        </is>
      </c>
      <c r="D2034" t="inlineStr">
        <is>
          <t>Titan TRCFD5075 Dual Rated Motor Run Capacitor Round MFD 50/7.5 Volts 440/370</t>
        </is>
      </c>
      <c r="E2034" s="2">
        <f>HYPERLINK("https://www.amazon.com/Titan-TRCFD5075-Rated-Motor-Capacitor/dp/B01IC2MDGQ/ref=sr_1_1?keywords=Packard+TRCFD5075+TITAN+PRO+Run+Capacitor+50%2B7.5+MFD+440%2F370+Volt+Round&amp;qid=1694734698&amp;sr=8-1", "https://www.amazon.com/Titan-TRCFD5075-Rated-Motor-Capacitor/dp/B01IC2MDGQ/ref=sr_1_1?keywords=Packard+TRCFD5075+TITAN+PRO+Run+Capacitor+50%2B7.5+MFD+440%2F370+Volt+Round&amp;qid=1694734698&amp;sr=8-1")</f>
        <v/>
      </c>
      <c r="F2034" t="inlineStr">
        <is>
          <t>B01IC2MDGQ</t>
        </is>
      </c>
      <c r="G2034">
        <f>_xludf.IMAGE("https://edmondsonsupply.com/cdn/shop/products/trcfd-2_xl_1_2d7f0af9-c927-4d85-8362-4fec6127938b.jpg?v=1644785863")</f>
        <v/>
      </c>
      <c r="H2034">
        <f>_xludf.IMAGE("https://m.media-amazon.com/images/I/81gmaEKBRPL._AC_UY218_.jpg")</f>
        <v/>
      </c>
      <c r="K2034" t="inlineStr">
        <is>
          <t>10.02</t>
        </is>
      </c>
      <c r="L2034" t="n">
        <v>13</v>
      </c>
      <c r="M2034" s="1" t="inlineStr">
        <is>
          <t>29.74%</t>
        </is>
      </c>
      <c r="N2034" s="1" t="n">
        <v>-22.06</v>
      </c>
      <c r="O2034" t="n">
        <v>4.5</v>
      </c>
      <c r="P2034" t="n">
        <v>74</v>
      </c>
      <c r="R2034" t="inlineStr">
        <is>
          <t>InStock</t>
        </is>
      </c>
      <c r="S2034" t="inlineStr">
        <is>
          <t>undefined</t>
        </is>
      </c>
      <c r="T2034" t="inlineStr">
        <is>
          <t>7606661677272</t>
        </is>
      </c>
    </row>
    <row r="2035" ht="87" customHeight="1">
      <c r="A2035" s="2">
        <f>HYPERLINK("https://edmondsonsupply.com/collections/hvac/products/white-rodgers-50m56x-843-integrated-furnace-control-board-universal-replacement", "https://edmondsonsupply.com/collections/hvac/products/white-rodgers-50m56x-843-integrated-furnace-control-board-universal-replacement")</f>
        <v/>
      </c>
      <c r="B2035" s="2">
        <f>HYPERLINK("https://edmondsonsupply.com/products/white-rodgers-50m56x-843-integrated-furnace-control-board-universal-replacement", "https://edmondsonsupply.com/products/white-rodgers-50m56x-843-integrated-furnace-control-board-universal-replacement")</f>
        <v/>
      </c>
      <c r="C2035" t="inlineStr">
        <is>
          <t>White-Rodgers 50M56X-843 Integrated Furnace Control Board, Universal Replacement</t>
        </is>
      </c>
      <c r="D2035" t="inlineStr">
        <is>
          <t>White-Rodgers 21V51U-843 Universal Two Stage Hot Surface Ignition Variable Speed Ecm Circulator Furnace Control Replacement Kit</t>
        </is>
      </c>
      <c r="E2035" s="2">
        <f>HYPERLINK("https://www.amazon.com/White-Rodgers-21V51U-843-Universal-Circulator-Replacement/dp/B008FVEJVW/ref=sr_1_30?keywords=White-Rodgers+50M56X-843+Integrated+Furnace+Control+Board%2C+Universal+Replacement&amp;qid=1694734749&amp;sr=8-30", "https://www.amazon.com/White-Rodgers-21V51U-843-Universal-Circulator-Replacement/dp/B008FVEJVW/ref=sr_1_30?keywords=White-Rodgers+50M56X-843+Integrated+Furnace+Control+Board%2C+Universal+Replacement&amp;qid=1694734749&amp;sr=8-30")</f>
        <v/>
      </c>
      <c r="F2035" t="inlineStr">
        <is>
          <t>B008FVEJVW</t>
        </is>
      </c>
      <c r="G2035">
        <f>_xlfn.IMAGE("https://edmondsonsupply.com/cdn/shop/products/50m56x-843.png?v=1674841489")</f>
        <v/>
      </c>
      <c r="H2035">
        <f>_xlfn.IMAGE("https://m.media-amazon.com/images/I/81dVW6SXcmL._AC_UL320_.jpg")</f>
        <v/>
      </c>
      <c r="K2035" t="inlineStr">
        <is>
          <t>186.13</t>
        </is>
      </c>
      <c r="L2035" t="n">
        <v>241.4</v>
      </c>
      <c r="M2035" s="1" t="inlineStr">
        <is>
          <t>29.69%</t>
        </is>
      </c>
      <c r="N2035" s="7" t="n">
        <v>-22.09</v>
      </c>
      <c r="O2035" t="n">
        <v>5</v>
      </c>
      <c r="P2035" t="n">
        <v>2</v>
      </c>
      <c r="R2035" t="inlineStr">
        <is>
          <t>InStock</t>
        </is>
      </c>
      <c r="S2035" t="inlineStr">
        <is>
          <t>425.44</t>
        </is>
      </c>
      <c r="T2035" t="inlineStr">
        <is>
          <t>7934945034456</t>
        </is>
      </c>
    </row>
    <row r="2036" ht="87" customHeight="1">
      <c r="A2036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036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036" t="inlineStr">
        <is>
          <t>ICM Controls ICM2805A Furnace Control Board - Replacement for Nordyne</t>
        </is>
      </c>
      <c r="D2036" t="inlineStr">
        <is>
          <t>Upgraded Replacement for ICM Furnace Control Circuit Board ICM281</t>
        </is>
      </c>
      <c r="E2036" s="2">
        <f>HYPERLINK("https://www.amazon.com/Upgraded-Replacement-ICM-Furnace-Control/dp/B00EED6AN0/ref=sr_1_37?keywords=ICM+Controls+ICM2805A+Furnace+Control+Board+-+Replacement+for+Nordyne&amp;qid=1694734623&amp;sr=8-37", "https://www.amazon.com/Upgraded-Replacement-ICM-Furnace-Control/dp/B00EED6AN0/ref=sr_1_37?keywords=ICM+Controls+ICM2805A+Furnace+Control+Board+-+Replacement+for+Nordyne&amp;qid=1694734623&amp;sr=8-37")</f>
        <v/>
      </c>
      <c r="F2036" t="inlineStr">
        <is>
          <t>B00EED6AN0</t>
        </is>
      </c>
      <c r="G2036">
        <f>_xlfn.IMAGE("https://edmondsonsupply.com/cdn/shop/products/57_3_42a53dd2-02e8-4469-bc0c-0265897201e7.jpg?v=1633031145")</f>
        <v/>
      </c>
      <c r="H2036">
        <f>_xlfn.IMAGE("https://m.media-amazon.com/images/I/51NaBgQfLcL._AC_UL320_.jpg")</f>
        <v/>
      </c>
      <c r="K2036" t="inlineStr">
        <is>
          <t>116.59</t>
        </is>
      </c>
      <c r="L2036" t="n">
        <v>151.1</v>
      </c>
      <c r="M2036" s="1" t="inlineStr">
        <is>
          <t>29.60%</t>
        </is>
      </c>
      <c r="N2036" s="7" t="n">
        <v>-22.1</v>
      </c>
      <c r="O2036" t="n">
        <v>4.6</v>
      </c>
      <c r="P2036" t="n">
        <v>4</v>
      </c>
      <c r="R2036" t="inlineStr">
        <is>
          <t>InStock</t>
        </is>
      </c>
      <c r="S2036" t="inlineStr">
        <is>
          <t>161.12</t>
        </is>
      </c>
      <c r="T2036" t="inlineStr">
        <is>
          <t>6892060639405</t>
        </is>
      </c>
    </row>
    <row r="2037" hidden="1" ht="15.75" customHeight="1">
      <c r="A2037" s="2">
        <f>HYPERLINK("https://edmondsonsupply.com/collections/hvac/products/blue-monster-62850", "https://edmondsonsupply.com/collections/hvac/products/blue-monster-62850")</f>
        <v/>
      </c>
      <c r="B2037" s="2">
        <f>HYPERLINK("https://edmondsonsupply.com/products/blue-monster-62850", "https://edmondsonsupply.com/products/blue-monster-62850")</f>
        <v/>
      </c>
      <c r="C2037" t="inlineStr">
        <is>
          <t>Blue Monster 62850 Power Deuce Power Pack with Quik-Change Chuck Adaptor</t>
        </is>
      </c>
      <c r="D2037" t="inlineStr">
        <is>
          <t>Power Deuce Copper Fitting Brush Tool Pack with Quik-Change Chuck Adaptor (1/2", 3/4", 1" Sizes)</t>
        </is>
      </c>
      <c r="E2037" s="2">
        <f>HYPERLINK("https://www.amazon.com/Power-Copper-Fitting-Quik-Change-Adaptor/dp/B08L8FSBNB/ref=sr_1_1?keywords=Blue+Monster+62850+Power+Deuce+Power+Pack+with+Quik-Change+Chuck+Adaptor&amp;qid=1694734569&amp;sr=8-1", "https://www.amazon.com/Power-Copper-Fitting-Quik-Change-Adaptor/dp/B08L8FSBNB/ref=sr_1_1?keywords=Blue+Monster+62850+Power+Deuce+Power+Pack+with+Quik-Change+Chuck+Adaptor&amp;qid=1694734569&amp;sr=8-1")</f>
        <v/>
      </c>
      <c r="F2037" t="inlineStr">
        <is>
          <t>B08L8FSBNB</t>
        </is>
      </c>
      <c r="G2037">
        <f>_xludf.IMAGE("https://edmondsonsupply.com/cdn/shop/products/62850-3.jpg?v=1633030267")</f>
        <v/>
      </c>
      <c r="H2037">
        <f>_xludf.IMAGE("https://m.media-amazon.com/images/I/31A8CIjLMNL._AC_UL320_.jpg")</f>
        <v/>
      </c>
      <c r="K2037" t="inlineStr">
        <is>
          <t>28.88</t>
        </is>
      </c>
      <c r="L2037" t="n">
        <v>37.42</v>
      </c>
      <c r="M2037" s="1" t="inlineStr">
        <is>
          <t>29.57%</t>
        </is>
      </c>
      <c r="N2037" s="1" t="n">
        <v>-22.19</v>
      </c>
      <c r="O2037" t="n">
        <v>3.4</v>
      </c>
      <c r="P2037" t="n">
        <v>15</v>
      </c>
      <c r="R2037" t="inlineStr">
        <is>
          <t>InStock</t>
        </is>
      </c>
      <c r="S2037" t="inlineStr">
        <is>
          <t>51.57</t>
        </is>
      </c>
      <c r="T2037" t="inlineStr">
        <is>
          <t>4644720738404</t>
        </is>
      </c>
    </row>
    <row r="2038" ht="87" customHeight="1">
      <c r="A2038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2038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2038" t="inlineStr">
        <is>
          <t>Klein Tools 55600 Tradesman Pro™ Tough Box Cooler, 17-Quart</t>
        </is>
      </c>
      <c r="D2038" t="inlineStr">
        <is>
          <t>Klein Tools 55600 Work Cooler, 17-Quart Lunch Box Holds 18 Cans, Keeps Cool 30 Hours, Seats 300 Lb, Tradesman Pro Tough Box &amp; THERMOS King 16 Ounce Food Jar, Stainless Steel</t>
        </is>
      </c>
      <c r="E2038" s="2">
        <f>HYPERLINK("https://www.amazon.com/Klein-Tools-17-Quart-Tradesman-Stainless/dp/B08ZPZ52MR/ref=sr_1_3?keywords=Klein+Tools+55600+Tradesman+Pro%E2%84%A2+Tough+Box+Cooler%2C+17-Quart&amp;qid=1694734812&amp;sr=8-3", "https://www.amazon.com/Klein-Tools-17-Quart-Tradesman-Stainless/dp/B08ZPZ52MR/ref=sr_1_3?keywords=Klein+Tools+55600+Tradesman+Pro%E2%84%A2+Tough+Box+Cooler%2C+17-Quart&amp;qid=1694734812&amp;sr=8-3")</f>
        <v/>
      </c>
      <c r="F2038" t="inlineStr">
        <is>
          <t>B08ZPZ52MR</t>
        </is>
      </c>
      <c r="G2038">
        <f>_xlfn.IMAGE("https://edmondsonsupply.com/cdn/shop/products/55600.jpg?v=1587145287")</f>
        <v/>
      </c>
      <c r="H2038">
        <f>_xlfn.IMAGE("https://m.media-amazon.com/images/I/51bHcfXbikL._AC_UL320_.jpg")</f>
        <v/>
      </c>
      <c r="K2038" t="inlineStr">
        <is>
          <t>64.97</t>
        </is>
      </c>
      <c r="L2038" t="n">
        <v>84.14</v>
      </c>
      <c r="M2038" s="1" t="inlineStr">
        <is>
          <t>29.51%</t>
        </is>
      </c>
      <c r="N2038" s="7" t="n">
        <v>-22.22</v>
      </c>
      <c r="O2038" t="n">
        <v>4.8</v>
      </c>
      <c r="P2038" t="n">
        <v>22</v>
      </c>
      <c r="R2038" t="inlineStr">
        <is>
          <t>InStock</t>
        </is>
      </c>
      <c r="S2038" t="inlineStr">
        <is>
          <t>91.98</t>
        </is>
      </c>
      <c r="T2038" t="inlineStr">
        <is>
          <t>1707778277476</t>
        </is>
      </c>
    </row>
    <row r="2039" ht="87" customHeight="1">
      <c r="A2039" s="2">
        <f>HYPERLINK("https://edmondsonsupply.com/collections/hvac/products/channellock-428", "https://edmondsonsupply.com/collections/hvac/products/channellock-428")</f>
        <v/>
      </c>
      <c r="B2039" s="2">
        <f>HYPERLINK("https://edmondsonsupply.com/products/channellock-428", "https://edmondsonsupply.com/products/channellock-428")</f>
        <v/>
      </c>
      <c r="C2039" t="inlineStr">
        <is>
          <t>Channellock 428 8-Inch Straight Jaw Tongue &amp; Groove Pliers</t>
        </is>
      </c>
      <c r="D2039" t="inlineStr">
        <is>
          <t>Channellock 440 Tongue and Groove Pliers | 12-Inch Straight Jaw Groove Joint Plier with Comfort Grips | 2.25-Inch Jaw Capacity | Laser Heat-Treated 90° Teeth| Forged High Carbon Steel | Made in USA, Black, Blue, Silver</t>
        </is>
      </c>
      <c r="E2039" s="2">
        <f>HYPERLINK("https://www.amazon.com/Channellock-440-12-Inch-Tongue-Groove/dp/B00004SBCU/ref=sr_1_5?keywords=Channellock+428+8-Inch+Straight+Jaw+Tongue&amp;qid=1694734826&amp;sr=8-5", "https://www.amazon.com/Channellock-440-12-Inch-Tongue-Groove/dp/B00004SBCU/ref=sr_1_5?keywords=Channellock+428+8-Inch+Straight+Jaw+Tongue&amp;qid=1694734826&amp;sr=8-5")</f>
        <v/>
      </c>
      <c r="F2039" t="inlineStr">
        <is>
          <t>B00004SBCU</t>
        </is>
      </c>
      <c r="G2039">
        <f>_xlfn.IMAGE("https://edmondsonsupply.com/cdn/shop/products/428-683x1024.jpg?v=1587145854")</f>
        <v/>
      </c>
      <c r="H2039">
        <f>_xlfn.IMAGE("https://m.media-amazon.com/images/I/71FM1bkavsL._AC_UL320_.jpg")</f>
        <v/>
      </c>
      <c r="K2039" t="inlineStr">
        <is>
          <t>16.95</t>
        </is>
      </c>
      <c r="L2039" t="n">
        <v>21.95</v>
      </c>
      <c r="M2039" s="1" t="inlineStr">
        <is>
          <t>29.50%</t>
        </is>
      </c>
      <c r="N2039" s="7" t="n">
        <v>-22.24</v>
      </c>
      <c r="O2039" t="n">
        <v>4.8</v>
      </c>
      <c r="P2039" t="n">
        <v>3558</v>
      </c>
      <c r="R2039" t="inlineStr">
        <is>
          <t>InStock</t>
        </is>
      </c>
      <c r="S2039" t="inlineStr">
        <is>
          <t>25.06</t>
        </is>
      </c>
      <c r="T2039" t="inlineStr">
        <is>
          <t>3523408527460</t>
        </is>
      </c>
    </row>
    <row r="2040" ht="87" customHeight="1">
      <c r="A2040" s="2">
        <f>HYPERLINK("https://edmondsonsupply.com/collections/hvac/products/malco-tools-m2002-max2000%C2%AE-standard-aviation-snip-right-cutting", "https://edmondsonsupply.com/collections/hvac/products/malco-tools-m2002-max2000%C2%AE-standard-aviation-snip-right-cutting")</f>
        <v/>
      </c>
      <c r="B2040" s="2">
        <f>HYPERLINK("https://edmondsonsupply.com/products/malco-tools-m2002-max2000%c2%ae-standard-aviation-snip-right-cutting", "https://edmondsonsupply.com/products/malco-tools-m2002-max2000%c2%ae-standard-aviation-snip-right-cutting")</f>
        <v/>
      </c>
      <c r="C2040" t="inlineStr">
        <is>
          <t>Malco Tools M2002 Max2000® Standard Aviation Snip - Right Cutting</t>
        </is>
      </c>
      <c r="D2040" t="inlineStr">
        <is>
          <t>Malco M2002 Standard Aviation Snip, Right</t>
        </is>
      </c>
      <c r="E2040" s="2">
        <f>HYPERLINK("https://www.amazon.com/Malco-M2002-MAX2000-Capacity-Aviation/dp/B00004SUQK/ref=sr_1_1?keywords=Malco+Tools+M2002+Max2000%C2%AE+Standard+Aviation+Snip+-+Right+Cutting&amp;qid=1694734777&amp;sr=8-1", "https://www.amazon.com/Malco-M2002-MAX2000-Capacity-Aviation/dp/B00004SUQK/ref=sr_1_1?keywords=Malco+Tools+M2002+Max2000%C2%AE+Standard+Aviation+Snip+-+Right+Cutting&amp;qid=1694734777&amp;sr=8-1")</f>
        <v/>
      </c>
      <c r="F2040" t="inlineStr">
        <is>
          <t>B00004SUQK</t>
        </is>
      </c>
      <c r="G2040">
        <f>_xlfn.IMAGE("https://edmondsonsupply.com/cdn/shop/products/m2002_catalog-big.jpg?v=1633030961")</f>
        <v/>
      </c>
      <c r="H2040">
        <f>_xlfn.IMAGE("https://m.media-amazon.com/images/I/51tAHq+9A8L._AC_UL320_.jpg")</f>
        <v/>
      </c>
      <c r="K2040" t="inlineStr">
        <is>
          <t>32.99</t>
        </is>
      </c>
      <c r="L2040" t="n">
        <v>42.67</v>
      </c>
      <c r="M2040" s="1" t="inlineStr">
        <is>
          <t>29.34%</t>
        </is>
      </c>
      <c r="N2040" s="7" t="n">
        <v>-22.24</v>
      </c>
      <c r="O2040" t="n">
        <v>4.8</v>
      </c>
      <c r="P2040" t="n">
        <v>37</v>
      </c>
      <c r="R2040" t="inlineStr">
        <is>
          <t>InStock</t>
        </is>
      </c>
      <c r="S2040" t="inlineStr">
        <is>
          <t>37.68</t>
        </is>
      </c>
      <c r="T2040" t="inlineStr">
        <is>
          <t>6620410249389</t>
        </is>
      </c>
    </row>
    <row r="2041" hidden="1" ht="15.75" customHeight="1">
      <c r="A2041" s="2">
        <f>HYPERLINK("https://edmondsonsupply.com/collections/hvac/products/white-rodgers-50m56-743-integrated-furnace-control-board-replacement-for-goodman", "https://edmondsonsupply.com/collections/hvac/products/white-rodgers-50m56-743-integrated-furnace-control-board-replacement-for-goodman")</f>
        <v/>
      </c>
      <c r="B2041" s="2">
        <f>HYPERLINK("https://edmondsonsupply.com/products/white-rodgers-50m56-743-integrated-furnace-control-board-replacement-for-goodman", "https://edmondsonsupply.com/products/white-rodgers-50m56-743-integrated-furnace-control-board-replacement-for-goodman")</f>
        <v/>
      </c>
      <c r="C2041" t="inlineStr">
        <is>
          <t>White-Rodgers 50M56-743 Integrated Furnace Control Board, Replacement for Goodman</t>
        </is>
      </c>
      <c r="D2041" t="inlineStr">
        <is>
          <t>Home &amp; Tools 50A55-743 Emerson Single-Stage HSI Integrated Furnace Control Board Kit (OEM Replacement for White-Rodgers and Goodman Controls) Model: 50A55-743</t>
        </is>
      </c>
      <c r="E2041" s="2">
        <f>HYPERLINK("https://www.amazon.com/Home-Tools-Single-Stage-Replacement-White-Rodgers/dp/B00TW2G416/ref=sr_1_1?keywords=White-Rodgers+50M56-743+Integrated+Furnace+Control+Board%2C+Replacement+for+Goodman&amp;qid=1694734602&amp;sr=8-1", "https://www.amazon.com/Home-Tools-Single-Stage-Replacement-White-Rodgers/dp/B00TW2G416/ref=sr_1_1?keywords=White-Rodgers+50M56-743+Integrated+Furnace+Control+Board%2C+Replacement+for+Goodman&amp;qid=1694734602&amp;sr=8-1")</f>
        <v/>
      </c>
      <c r="F2041" t="inlineStr">
        <is>
          <t>B00TW2G416</t>
        </is>
      </c>
      <c r="G2041">
        <f>_xludf.IMAGE("https://edmondsonsupply.com/cdn/shop/products/50m56-743-front.jpg?v=1633030704")</f>
        <v/>
      </c>
      <c r="H2041">
        <f>_xludf.IMAGE("https://m.media-amazon.com/images/I/51HGvJrwnvL._AC_UL320_.jpg")</f>
        <v/>
      </c>
      <c r="K2041" t="inlineStr">
        <is>
          <t>62.87</t>
        </is>
      </c>
      <c r="L2041" t="n">
        <v>81.29000000000001</v>
      </c>
      <c r="M2041" s="1" t="inlineStr">
        <is>
          <t>29.30%</t>
        </is>
      </c>
      <c r="N2041" s="1" t="n">
        <v>-22.24</v>
      </c>
      <c r="O2041" t="n">
        <v>3.9</v>
      </c>
      <c r="P2041" t="n">
        <v>21</v>
      </c>
      <c r="R2041" t="inlineStr">
        <is>
          <t>InStock</t>
        </is>
      </c>
      <c r="S2041" t="inlineStr">
        <is>
          <t>143.71</t>
        </is>
      </c>
      <c r="T2041" t="inlineStr">
        <is>
          <t>5858158870696</t>
        </is>
      </c>
    </row>
    <row r="2042" hidden="1" ht="15.75" customHeight="1">
      <c r="A2042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2042" s="2">
        <f>HYPERLINK("https://edmondsonsupply.com/products/packard-c230b-contactor-2-pole-30-amps-120-coil-voltage", "https://edmondsonsupply.com/products/packard-c230b-contactor-2-pole-30-amps-120-coil-voltage")</f>
        <v/>
      </c>
      <c r="C2042" t="inlineStr">
        <is>
          <t>Packard C230B Contactor 2 Pole 30 AMPS 120 Coil Voltage</t>
        </is>
      </c>
      <c r="D2042" t="inlineStr">
        <is>
          <t>Carrier HVAC Motor Contactor, 120V 30 Amp Coil 2 Pole Replacement Relays Compatible with C230B, Air Conditioner, Heat Pump, Refrigeration Systems</t>
        </is>
      </c>
      <c r="E2042" s="2">
        <f>HYPERLINK("https://www.amazon.com/Contactor-Replacement-Compatible-Conditioner-Refrigeration/dp/B095KKYL6B/ref=sr_1_6?keywords=Packard+C230B+Contactor+2+Pole+30+AMPS+120+Coil+Voltage&amp;qid=1694734817&amp;sr=8-6", "https://www.amazon.com/Contactor-Replacement-Compatible-Conditioner-Refrigeration/dp/B095KKYL6B/ref=sr_1_6?keywords=Packard+C230B+Contactor+2+Pole+30+AMPS+120+Coil+Voltage&amp;qid=1694734817&amp;sr=8-6")</f>
        <v/>
      </c>
      <c r="F2042" t="inlineStr">
        <is>
          <t>B095KKYL6B</t>
        </is>
      </c>
      <c r="G2042">
        <f>_xludf.IMAGE("https://edmondsonsupply.com/cdn/shop/products/C230B-1.jpg?v=1587142333")</f>
        <v/>
      </c>
      <c r="H2042">
        <f>_xludf.IMAGE("https://m.media-amazon.com/images/I/81cKBewdyNL._AC_UY218_.jpg")</f>
        <v/>
      </c>
      <c r="K2042" t="inlineStr">
        <is>
          <t>10.82</t>
        </is>
      </c>
      <c r="L2042" t="n">
        <v>13.99</v>
      </c>
      <c r="M2042" s="1" t="inlineStr">
        <is>
          <t>29.30%</t>
        </is>
      </c>
      <c r="N2042" s="1" t="n">
        <v>-22.26</v>
      </c>
      <c r="O2042" t="n">
        <v>4.6</v>
      </c>
      <c r="P2042" t="n">
        <v>1037</v>
      </c>
      <c r="R2042" t="inlineStr">
        <is>
          <t>InStock</t>
        </is>
      </c>
      <c r="S2042" t="inlineStr">
        <is>
          <t>undefined</t>
        </is>
      </c>
      <c r="T2042" t="inlineStr">
        <is>
          <t>4367983673444</t>
        </is>
      </c>
    </row>
    <row r="2043" ht="87" customHeight="1">
      <c r="A2043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2043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2043" t="inlineStr">
        <is>
          <t>Klein Tools 55600 Tradesman Pro™ Tough Box Cooler, 17-Quart</t>
        </is>
      </c>
      <c r="D2043" t="inlineStr">
        <is>
          <t>Klein Tools 55600 Work Cooler, 17-Quart Lunch Box Holds 18 Cans, Tradesman Pro Tough Box &amp; Tool Bag, Flame Resistant Canvas Bag for Bolt Storage with Double Reinforced Bottom and Tunnel Connect</t>
        </is>
      </c>
      <c r="E2043" s="2">
        <f>HYPERLINK("https://www.amazon.com/Klein-Tools-Tradesman-Resistant-Reinforced/dp/B08DY41653/ref=sr_1_4?keywords=Klein+Tools+55600+Tradesman+Pro%E2%84%A2+Tough+Box+Cooler%2C+17-Quart&amp;qid=1694734812&amp;sr=8-4", "https://www.amazon.com/Klein-Tools-Tradesman-Resistant-Reinforced/dp/B08DY41653/ref=sr_1_4?keywords=Klein+Tools+55600+Tradesman+Pro%E2%84%A2+Tough+Box+Cooler%2C+17-Quart&amp;qid=1694734812&amp;sr=8-4")</f>
        <v/>
      </c>
      <c r="F2043" t="inlineStr">
        <is>
          <t>B08DY41653</t>
        </is>
      </c>
      <c r="G2043">
        <f>_xlfn.IMAGE("https://edmondsonsupply.com/cdn/shop/products/55600.jpg?v=1587145287")</f>
        <v/>
      </c>
      <c r="H2043">
        <f>_xlfn.IMAGE("https://m.media-amazon.com/images/I/61jzPgCIeGL._AC_UL320_.jpg")</f>
        <v/>
      </c>
      <c r="K2043" t="inlineStr">
        <is>
          <t>64.97</t>
        </is>
      </c>
      <c r="L2043" t="n">
        <v>83.98999999999999</v>
      </c>
      <c r="M2043" s="1" t="inlineStr">
        <is>
          <t>29.28%</t>
        </is>
      </c>
      <c r="N2043" s="7" t="n">
        <v>-22.43</v>
      </c>
      <c r="O2043" t="n">
        <v>4.8</v>
      </c>
      <c r="P2043" t="n">
        <v>9</v>
      </c>
      <c r="R2043" t="inlineStr">
        <is>
          <t>InStock</t>
        </is>
      </c>
      <c r="S2043" t="inlineStr">
        <is>
          <t>91.98</t>
        </is>
      </c>
      <c r="T2043" t="inlineStr">
        <is>
          <t>1707778277476</t>
        </is>
      </c>
    </row>
    <row r="2044" ht="87" customHeight="1">
      <c r="A2044" s="2">
        <f>HYPERLINK("https://edmondsonsupply.com/collections/hvac/products/tajima-dfc671n-r1-rock-hard-fin%E2%84%A2-utility-knife-dial-lock", "https://edmondsonsupply.com/collections/hvac/products/tajima-dfc671n-r1-rock-hard-fin%E2%84%A2-utility-knife-dial-lock")</f>
        <v/>
      </c>
      <c r="B2044" s="2">
        <f>HYPERLINK("https://edmondsonsupply.com/products/tajima-dfc671n-r1-rock-hard-fin%e2%84%a2-utility-knife-dial-lock", "https://edmondsonsupply.com/products/tajima-dfc671n-r1-rock-hard-fin%e2%84%a2-utility-knife-dial-lock")</f>
        <v/>
      </c>
      <c r="C2044" t="inlineStr">
        <is>
          <t>Tajima DFC671N-R1 Rock Hard FIN™ Utility Knife, Dial Lock</t>
        </is>
      </c>
      <c r="D2044" t="inlineStr">
        <is>
          <t>TAJIMA Utility Knife - 1" 7-Point Rock Hard FIN Snap Blade Box Cutter with Dial Lock &amp; 2 Rock Hard Blades - DFC671N-R1</t>
        </is>
      </c>
      <c r="E2044" s="2">
        <f>HYPERLINK("https://www.amazon.com/TAJIMA-Utility-Knife-7-Point-DFC671N-R1/dp/B07W4FVQKV/ref=sr_1_1?keywords=Tajima+DFC671N-R1+Rock+Hard+FIN%E2%84%A2+Utility+Knife%2C+Dial+Lock&amp;qid=1694734837&amp;sr=8-1", "https://www.amazon.com/TAJIMA-Utility-Knife-7-Point-DFC671N-R1/dp/B07W4FVQKV/ref=sr_1_1?keywords=Tajima+DFC671N-R1+Rock+Hard+FIN%E2%84%A2+Utility+Knife%2C+Dial+Lock&amp;qid=1694734837&amp;sr=8-1")</f>
        <v/>
      </c>
      <c r="F2044" t="inlineStr">
        <is>
          <t>B07W4FVQKV</t>
        </is>
      </c>
      <c r="G2044">
        <f>_xlfn.IMAGE("https://edmondsonsupply.com/cdn/shop/files/DFC671N-R1-2.jpg?v=1693510020")</f>
        <v/>
      </c>
      <c r="H2044">
        <f>_xlfn.IMAGE("https://m.media-amazon.com/images/I/51udy51xLdL._AC_UL320_.jpg")</f>
        <v/>
      </c>
      <c r="K2044" t="inlineStr">
        <is>
          <t>15.28</t>
        </is>
      </c>
      <c r="L2044" t="n">
        <v>19.75</v>
      </c>
      <c r="M2044" s="1" t="inlineStr">
        <is>
          <t>29.25%</t>
        </is>
      </c>
      <c r="N2044" s="7" t="n">
        <v>-22.75</v>
      </c>
      <c r="O2044" t="n">
        <v>4.6</v>
      </c>
      <c r="P2044" t="n">
        <v>36</v>
      </c>
      <c r="R2044" t="inlineStr">
        <is>
          <t>InStock</t>
        </is>
      </c>
      <c r="S2044" t="inlineStr">
        <is>
          <t>undefined</t>
        </is>
      </c>
      <c r="T2044" t="inlineStr">
        <is>
          <t>8032842514648</t>
        </is>
      </c>
    </row>
    <row r="2045" ht="87" customHeight="1">
      <c r="A2045" s="2">
        <f>HYPERLINK("https://edmondsonsupply.com/collections/hvac/products/us-motors-1861-5-6-condenser-fan-motor-208-230v-1-3-hp-1075-rpm-psc-teao", "https://edmondsonsupply.com/collections/hvac/products/us-motors-1861-5-6-condenser-fan-motor-208-230v-1-3-hp-1075-rpm-psc-teao")</f>
        <v/>
      </c>
      <c r="B2045" s="2">
        <f>HYPERLINK("https://edmondsonsupply.com/products/us-motors-1861-5-6-condenser-fan-motor-208-230v-1-3-hp-1075-rpm-psc-teao", "https://edmondsonsupply.com/products/us-motors-1861-5-6-condenser-fan-motor-208-230v-1-3-hp-1075-rpm-psc-teao")</f>
        <v/>
      </c>
      <c r="C2045" t="inlineStr">
        <is>
          <t>US Motors 1861 5.6" Condenser Fan Motor, 208-230V, 1/3 HP, 1075 RPM, PSC, TEAO</t>
        </is>
      </c>
      <c r="D2045" t="inlineStr">
        <is>
          <t>Nidec US Motors 2246 Condenser Fan Motor, 1/5 HP, PSC, 1075 RPM, 208-230V</t>
        </is>
      </c>
      <c r="E2045" s="2">
        <f>HYPERLINK("https://www.amazon.com/Nidec-Motors-Condenser-Motor-208-230V/dp/B08VN53ZKP/ref=sr_1_8?keywords=US+Motors+1861+5.6%22+Condenser+Fan+Motor%2C+208-230V%2C+1%2F3+HP%2C+1075+RPM%2C+PSC%2C+TEAO&amp;qid=1694734635&amp;sr=8-8", "https://www.amazon.com/Nidec-Motors-Condenser-Motor-208-230V/dp/B08VN53ZKP/ref=sr_1_8?keywords=US+Motors+1861+5.6%22+Condenser+Fan+Motor%2C+208-230V%2C+1%2F3+HP%2C+1075+RPM%2C+PSC%2C+TEAO&amp;qid=1694734635&amp;sr=8-8")</f>
        <v/>
      </c>
      <c r="F2045" t="inlineStr">
        <is>
          <t>B08VN53ZKP</t>
        </is>
      </c>
      <c r="G2045">
        <f>_xlfn.IMAGE("https://edmondsonsupply.com/cdn/shop/products/1861-2.jpg?v=1633030344")</f>
        <v/>
      </c>
      <c r="H2045">
        <f>_xlfn.IMAGE("https://m.media-amazon.com/images/I/41p4vhJP1+L._AC_UL320_.jpg")</f>
        <v/>
      </c>
      <c r="K2045" t="inlineStr">
        <is>
          <t>111.26</t>
        </is>
      </c>
      <c r="L2045" t="n">
        <v>143.8</v>
      </c>
      <c r="M2045" s="1" t="inlineStr">
        <is>
          <t>29.25%</t>
        </is>
      </c>
      <c r="N2045" s="7" t="n">
        <v>-22.78</v>
      </c>
      <c r="O2045" t="n">
        <v>5</v>
      </c>
      <c r="P2045" t="n">
        <v>1</v>
      </c>
      <c r="R2045" t="inlineStr">
        <is>
          <t>InStock</t>
        </is>
      </c>
      <c r="S2045" t="inlineStr">
        <is>
          <t>undefined</t>
        </is>
      </c>
      <c r="T2045" t="inlineStr">
        <is>
          <t>5279552667816</t>
        </is>
      </c>
    </row>
    <row r="2046" hidden="1" ht="15.75" customHeight="1">
      <c r="A2046" s="2">
        <f>HYPERLINK("https://edmondsonsupply.com/collections/hvac/products/rack-a-tiers-43095-electricians-grande-butt-pouch", "https://edmondsonsupply.com/collections/hvac/products/rack-a-tiers-43095-electricians-grande-butt-pouch")</f>
        <v/>
      </c>
      <c r="B2046" s="2">
        <f>HYPERLINK("https://edmondsonsupply.com/products/rack-a-tiers-43095-electricians-grande-butt-pouch", "https://edmondsonsupply.com/products/rack-a-tiers-43095-electricians-grande-butt-pouch")</f>
        <v/>
      </c>
      <c r="C2046" t="inlineStr">
        <is>
          <t>Rack-A-Tiers 43095 Electrician's Grande Butt Pouch</t>
        </is>
      </c>
      <c r="D2046" t="inlineStr">
        <is>
          <t>Rack-A-Tiers 43095 Ballistic Nylon Butt Pouch Grande Pocket Tool Holder Black</t>
        </is>
      </c>
      <c r="E2046" s="2">
        <f>HYPERLINK("https://www.amazon.com/Rack-Tiers-Ballistic-Grande-Pocket/dp/B0186JN22E/ref=sr_1_2?keywords=Rack-A-Tiers+43095+Electrician%27s+Grande+Butt+Pouch&amp;qid=1694734786&amp;sr=8-2", "https://www.amazon.com/Rack-Tiers-Ballistic-Grande-Pocket/dp/B0186JN22E/ref=sr_1_2?keywords=Rack-A-Tiers+43095+Electrician%27s+Grande+Butt+Pouch&amp;qid=1694734786&amp;sr=8-2")</f>
        <v/>
      </c>
      <c r="F2046" t="inlineStr">
        <is>
          <t>B0186JN22E</t>
        </is>
      </c>
      <c r="G2046">
        <f>_xludf.IMAGE("https://edmondsonsupply.com/cdn/shop/products/43095-Grande-Butt-Pouch-1-1-1-1-1-300x300.png?v=1633030598")</f>
        <v/>
      </c>
      <c r="H2046">
        <f>_xludf.IMAGE("https://m.media-amazon.com/images/I/518zKc1qDyL._AC_UL320_.jpg")</f>
        <v/>
      </c>
      <c r="K2046" t="inlineStr">
        <is>
          <t>29.49</t>
        </is>
      </c>
      <c r="L2046" t="n">
        <v>38.1</v>
      </c>
      <c r="M2046" s="1" t="inlineStr">
        <is>
          <t>29.20%</t>
        </is>
      </c>
      <c r="N2046" s="1" t="n">
        <v>-22.81</v>
      </c>
      <c r="O2046" t="n">
        <v>3.6</v>
      </c>
      <c r="P2046" t="n">
        <v>29</v>
      </c>
      <c r="R2046" t="inlineStr">
        <is>
          <t>InStock</t>
        </is>
      </c>
      <c r="S2046" t="inlineStr">
        <is>
          <t>31.99</t>
        </is>
      </c>
      <c r="T2046" t="inlineStr">
        <is>
          <t>5609988980904</t>
        </is>
      </c>
    </row>
    <row r="2047" ht="87" customHeight="1">
      <c r="A2047" s="2">
        <f>HYPERLINK("https://edmondsonsupply.com/collections/hvac/products/rectorseal-66734-rectorseal-nokink-7-8-x-3-flexible-hose", "https://edmondsonsupply.com/collections/hvac/products/rectorseal-66734-rectorseal-nokink-7-8-x-3-flexible-hose")</f>
        <v/>
      </c>
      <c r="B2047" s="2">
        <f>HYPERLINK("https://edmondsonsupply.com/products/rectorseal-66734-rectorseal-nokink-7-8-x-3-flexible-hose", "https://edmondsonsupply.com/products/rectorseal-66734-rectorseal-nokink-7-8-x-3-flexible-hose")</f>
        <v/>
      </c>
      <c r="C2047" t="inlineStr">
        <is>
          <t>RectorSeal 66734 NoKink 7/8" x 3' Flexible Hose</t>
        </is>
      </c>
      <c r="D2047" t="inlineStr">
        <is>
          <t>Rectorseal 66734 Nokink Flexible Hose, 7/8" x 3'</t>
        </is>
      </c>
      <c r="E2047" s="2">
        <f>HYPERLINK("https://www.amazon.com/Rectorseal-66734-Nokink-Flexible-Hose/dp/B01BKAZIN2/ref=sr_1_1?keywords=RectorSeal+66734+NoKink+7%2F8%22+x+3%27+Flexible+Hose&amp;qid=1694734864&amp;sr=8-1", "https://www.amazon.com/Rectorseal-66734-Nokink-Flexible-Hose/dp/B01BKAZIN2/ref=sr_1_1?keywords=RectorSeal+66734+NoKink+7%2F8%22+x+3%27+Flexible+Hose&amp;qid=1694734864&amp;sr=8-1")</f>
        <v/>
      </c>
      <c r="F2047" t="inlineStr">
        <is>
          <t>B01BKAZIN2</t>
        </is>
      </c>
      <c r="G2047">
        <f>_xlfn.IMAGE("https://edmondsonsupply.com/cdn/shop/files/66734.png?v=1691419524")</f>
        <v/>
      </c>
      <c r="H2047">
        <f>_xlfn.IMAGE("https://m.media-amazon.com/images/I/61maqanlaGL._AC_UL320_.jpg")</f>
        <v/>
      </c>
      <c r="K2047" t="inlineStr">
        <is>
          <t>169.99</t>
        </is>
      </c>
      <c r="L2047" t="n">
        <v>219.62</v>
      </c>
      <c r="M2047" s="1" t="inlineStr">
        <is>
          <t>29.20%</t>
        </is>
      </c>
      <c r="N2047" s="7" t="n">
        <v>-22.9</v>
      </c>
      <c r="O2047" t="n">
        <v>5</v>
      </c>
      <c r="P2047" t="n">
        <v>2</v>
      </c>
      <c r="R2047" t="inlineStr">
        <is>
          <t>InStock</t>
        </is>
      </c>
      <c r="S2047" t="inlineStr">
        <is>
          <t>undefined</t>
        </is>
      </c>
      <c r="T2047" t="inlineStr">
        <is>
          <t>8025255051480</t>
        </is>
      </c>
    </row>
    <row r="2048" hidden="1" ht="15.75" customHeight="1">
      <c r="A2048" s="2">
        <f>HYPERLINK("https://edmondsonsupply.com/collections/hvac/products/solderweld-sw-alcu5k-al-cop-braze-aluminum-to-copper-brazing-rod-flux-core-5-rod-pack", "https://edmondsonsupply.com/collections/hvac/products/solderweld-sw-alcu5k-al-cop-braze-aluminum-to-copper-brazing-rod-flux-core-5-rod-pack")</f>
        <v/>
      </c>
      <c r="B2048" s="2">
        <f>HYPERLINK("https://edmondsonsupply.com/products/solderweld-sw-alcu5k-al-cop-braze-aluminum-to-copper-brazing-rod-flux-core-5-rod-pack", "https://edmondsonsupply.com/products/solderweld-sw-alcu5k-al-cop-braze-aluminum-to-copper-brazing-rod-flux-core-5-rod-pack")</f>
        <v/>
      </c>
      <c r="C2048" t="inlineStr">
        <is>
          <t>SolderWeld SW-AlCu5K Al-Cop Braze - Aluminum to Copper Brazing Rod - Flux Core, 5 Rod Pack</t>
        </is>
      </c>
      <c r="D2048" t="inlineStr">
        <is>
          <t>Solderweld SW-ALCU5K Al-Cop Braze Aluminum to Copper Brazing Rods 5 18" Rods per pack</t>
        </is>
      </c>
      <c r="E2048" s="2">
        <f>HYPERLINK("https://www.amazon.com/Solderweld-SW-ALCU5K-Al-Cop-Aluminum-Brazing/dp/B0B72CH83W/ref=sr_1_1?keywords=SolderWeld+SW-AlCu5K+Al-Cop+Braze+-+Aluminum+to+Copper+Brazing+Rod+-+Flux+Core%2C+5+Rod+Pack&amp;qid=1694734580&amp;sr=8-1", "https://www.amazon.com/Solderweld-SW-ALCU5K-Al-Cop-Aluminum-Brazing/dp/B0B72CH83W/ref=sr_1_1?keywords=SolderWeld+SW-AlCu5K+Al-Cop+Braze+-+Aluminum+to+Copper+Brazing+Rod+-+Flux+Core%2C+5+Rod+Pack&amp;qid=1694734580&amp;sr=8-1")</f>
        <v/>
      </c>
      <c r="F2048" t="inlineStr">
        <is>
          <t>B0B72CH83W</t>
        </is>
      </c>
      <c r="G2048">
        <f>_xludf.IMAGE("https://edmondsonsupply.com/cdn/shop/products/AlCopBraze_1024x1024_c03bc993-98ff-4fd2-9871-1a1e24a818d0.jpg?v=1633030235")</f>
        <v/>
      </c>
      <c r="H2048">
        <f>_xludf.IMAGE("https://m.media-amazon.com/images/I/61wo7bUAPUL._AC_UL320_.jpg")</f>
        <v/>
      </c>
      <c r="K2048" t="inlineStr">
        <is>
          <t>27.75</t>
        </is>
      </c>
      <c r="L2048" t="n">
        <v>35.85</v>
      </c>
      <c r="M2048" s="1" t="inlineStr">
        <is>
          <t>29.19%</t>
        </is>
      </c>
      <c r="N2048" s="1" t="n">
        <v>-23.05</v>
      </c>
      <c r="O2048" t="n">
        <v>3</v>
      </c>
      <c r="P2048" t="n">
        <v>2</v>
      </c>
      <c r="R2048" t="inlineStr">
        <is>
          <t>InStock</t>
        </is>
      </c>
      <c r="S2048" t="inlineStr">
        <is>
          <t>undefined</t>
        </is>
      </c>
      <c r="T2048" t="inlineStr">
        <is>
          <t>4599315497060</t>
        </is>
      </c>
    </row>
    <row r="2049" ht="87" customHeight="1">
      <c r="A2049" s="2">
        <f>HYPERLINK("https://edmondsonsupply.com/collections/hvac/products/uniweld-70022", "https://edmondsonsupply.com/collections/hvac/products/uniweld-70022")</f>
        <v/>
      </c>
      <c r="B2049" s="2">
        <f>HYPERLINK("https://edmondsonsupply.com/products/uniweld-70022", "https://edmondsonsupply.com/products/uniweld-70022")</f>
        <v/>
      </c>
      <c r="C2049" t="inlineStr">
        <is>
          <t>Uniweld 70022 Ratchet Service Wrench+</t>
        </is>
      </c>
      <c r="D2049" t="inlineStr">
        <is>
          <t>Uniweld 70022 Reversible Ratchet Wrench with DHVA Dual Hex Wrench Adaptor, Silver</t>
        </is>
      </c>
      <c r="E2049" s="2">
        <f>HYPERLINK("https://www.amazon.com/Uniweld-70022-Reversible-Ratchet-Adaptor/dp/B00ECC6DE4/ref=sr_1_1?keywords=Uniweld+70022+Ratchet+Service+Wrench&amp;qid=1694734692&amp;sr=8-1", "https://www.amazon.com/Uniweld-70022-Reversible-Ratchet-Adaptor/dp/B00ECC6DE4/ref=sr_1_1?keywords=Uniweld+70022+Ratchet+Service+Wrench&amp;qid=1694734692&amp;sr=8-1")</f>
        <v/>
      </c>
      <c r="F2049" t="inlineStr">
        <is>
          <t>B00ECC6DE4</t>
        </is>
      </c>
      <c r="G2049">
        <f>_xlfn.IMAGE("https://edmondsonsupply.com/cdn/shop/products/70022_pkg.jpg?v=1656082349")</f>
        <v/>
      </c>
      <c r="H2049">
        <f>_xlfn.IMAGE("https://m.media-amazon.com/images/I/61tFH9OW43L._AC_UL320_.jpg")</f>
        <v/>
      </c>
      <c r="K2049" t="inlineStr">
        <is>
          <t>13.39</t>
        </is>
      </c>
      <c r="L2049" t="n">
        <v>17.29</v>
      </c>
      <c r="M2049" s="1" t="inlineStr">
        <is>
          <t>29.13%</t>
        </is>
      </c>
      <c r="N2049" s="7" t="n">
        <v>-23.07</v>
      </c>
      <c r="O2049" t="n">
        <v>4.7</v>
      </c>
      <c r="P2049" t="n">
        <v>209</v>
      </c>
      <c r="R2049" t="inlineStr">
        <is>
          <t>InStock</t>
        </is>
      </c>
      <c r="S2049" t="inlineStr">
        <is>
          <t>18.02</t>
        </is>
      </c>
      <c r="T2049" t="inlineStr">
        <is>
          <t>7729278386392</t>
        </is>
      </c>
    </row>
    <row r="2050" ht="87" customHeight="1">
      <c r="A2050" s="2">
        <f>HYPERLINK("https://edmondsonsupply.com/collections/hvac/products/fluke-t5-600", "https://edmondsonsupply.com/collections/hvac/products/fluke-t5-600")</f>
        <v/>
      </c>
      <c r="B2050" s="2">
        <f>HYPERLINK("https://edmondsonsupply.com/products/fluke-t5-600", "https://edmondsonsupply.com/products/fluke-t5-600")</f>
        <v/>
      </c>
      <c r="C2050" t="inlineStr">
        <is>
          <t>Fluke T5-600 Voltage, Continuity and Current Tester, 600V AC/DC</t>
        </is>
      </c>
      <c r="D2050" t="inlineStr">
        <is>
          <t>Fluke T5-1000 Voltage, Continuity and Current Tester, OpenJaw Design For Current Measurements Without Metallic Contact, Includes Detachable Slim Reach Probe Tips, Auto Selects AC or DC Voltage</t>
        </is>
      </c>
      <c r="E2050" s="2">
        <f>HYPERLINK("https://www.amazon.com/Fluke-T5-1000-Electrical-Tester/dp/B000LDKX62/ref=sr_1_6?keywords=Fluke+T5-600+Voltage%2C+Continuity+and+Current+Tester%2C+600V+AC%2FDC&amp;qid=1694734616&amp;sr=8-6", "https://www.amazon.com/Fluke-T5-1000-Electrical-Tester/dp/B000LDKX62/ref=sr_1_6?keywords=Fluke+T5-600+Voltage%2C+Continuity+and+Current+Tester%2C+600V+AC%2FDC&amp;qid=1694734616&amp;sr=8-6")</f>
        <v/>
      </c>
      <c r="F2050" t="inlineStr">
        <is>
          <t>B000LDKX62</t>
        </is>
      </c>
      <c r="G2050">
        <f>_xlfn.IMAGE("https://edmondsonsupply.com/cdn/shop/products/F-t5-600-euro_03a_c.jpg?v=1633030279")</f>
        <v/>
      </c>
      <c r="H2050">
        <f>_xlfn.IMAGE("https://m.media-amazon.com/images/I/61hF9Hj61sL._AC_UL320_.jpg")</f>
        <v/>
      </c>
      <c r="K2050" t="inlineStr">
        <is>
          <t>137.99</t>
        </is>
      </c>
      <c r="L2050" t="n">
        <v>177.98</v>
      </c>
      <c r="M2050" s="1" t="inlineStr">
        <is>
          <t>28.98%</t>
        </is>
      </c>
      <c r="N2050" s="7" t="n">
        <v>-23.4</v>
      </c>
      <c r="O2050" t="n">
        <v>4.8</v>
      </c>
      <c r="P2050" t="n">
        <v>1278</v>
      </c>
      <c r="R2050" t="inlineStr">
        <is>
          <t>InStock</t>
        </is>
      </c>
      <c r="S2050" t="inlineStr">
        <is>
          <t>152.99</t>
        </is>
      </c>
      <c r="T2050" t="inlineStr">
        <is>
          <t>5238394781864</t>
        </is>
      </c>
    </row>
    <row r="2051" ht="87" customHeight="1">
      <c r="A2051" s="2">
        <f>HYPERLINK("https://edmondsonsupply.com/collections/hvac/products/kroil-ks102-original-penetrant-aerosol-10oz-can", "https://edmondsonsupply.com/collections/hvac/products/kroil-ks102-original-penetrant-aerosol-10oz-can")</f>
        <v/>
      </c>
      <c r="B2051" s="2">
        <f>HYPERLINK("https://edmondsonsupply.com/products/kroil-ks102-original-penetrant-aerosol-10oz-can", "https://edmondsonsupply.com/products/kroil-ks102-original-penetrant-aerosol-10oz-can")</f>
        <v/>
      </c>
      <c r="C2051" t="inlineStr">
        <is>
          <t>Kroil KS102 Original Penetrant Aerosol 10oz can</t>
        </is>
      </c>
      <c r="D2051" t="inlineStr">
        <is>
          <t>Kroil Original Penetrating Oil 10 oz Aerosol, Penetrant Loosens Rusty Nuts &amp; Bolts, Screws, Clamps, Pipes (Kroil Original KS102C)</t>
        </is>
      </c>
      <c r="E2051" s="2">
        <f>HYPERLINK("https://www.amazon.com/Kano-Aerokroil-Penetrating-aerosol-AEROKROIL/dp/B000F09CEA/ref=sr_1_1?keywords=Kroil+KS102+Original+Penetrant+Aerosol+10oz+can&amp;qid=1694734906&amp;sr=8-1", "https://www.amazon.com/Kano-Aerokroil-Penetrating-aerosol-AEROKROIL/dp/B000F09CEA/ref=sr_1_1?keywords=Kroil+KS102+Original+Penetrant+Aerosol+10oz+can&amp;qid=1694734906&amp;sr=8-1")</f>
        <v/>
      </c>
      <c r="F2051" t="inlineStr">
        <is>
          <t>B000F09CEA</t>
        </is>
      </c>
      <c r="G2051">
        <f>_xlfn.IMAGE("https://edmondsonsupply.com/cdn/shop/files/KS102.webp?v=1686779653")</f>
        <v/>
      </c>
      <c r="H2051">
        <f>_xlfn.IMAGE("https://m.media-amazon.com/images/I/81PG+9teC8L._AC_UY218_.jpg")</f>
        <v/>
      </c>
      <c r="K2051" t="inlineStr">
        <is>
          <t>19.98</t>
        </is>
      </c>
      <c r="L2051" t="n">
        <v>25.75</v>
      </c>
      <c r="M2051" s="1" t="inlineStr">
        <is>
          <t>28.88%</t>
        </is>
      </c>
      <c r="N2051" s="7" t="n">
        <v>-23.54</v>
      </c>
      <c r="O2051" t="n">
        <v>4.8</v>
      </c>
      <c r="P2051" t="n">
        <v>2755</v>
      </c>
      <c r="R2051" t="inlineStr">
        <is>
          <t>InStock</t>
        </is>
      </c>
      <c r="S2051" t="inlineStr">
        <is>
          <t>22.9</t>
        </is>
      </c>
      <c r="T2051" t="inlineStr">
        <is>
          <t>8005750391000</t>
        </is>
      </c>
    </row>
    <row r="2052" hidden="1" ht="15.75" customHeight="1">
      <c r="A2052" s="2">
        <f>HYPERLINK("https://edmondsonsupply.com/collections/hvac/products/boss-products-315-100-rtv-silicone-sealant-10-1-oz-cartridge-clear", "https://edmondsonsupply.com/collections/hvac/products/boss-products-315-100-rtv-silicone-sealant-10-1-oz-cartridge-clear")</f>
        <v/>
      </c>
      <c r="B2052" s="2">
        <f>HYPERLINK("https://edmondsonsupply.com/products/boss-products-315-100-rtv-silicone-sealant-10-1-oz-cartridge-clear", "https://edmondsonsupply.com/products/boss-products-315-100-rtv-silicone-sealant-10-1-oz-cartridge-clear")</f>
        <v/>
      </c>
      <c r="C2052" t="inlineStr">
        <is>
          <t>Boss Products 315 100% RTV Silicone Sealant, 10.1 oz Cartridge, Clear</t>
        </is>
      </c>
      <c r="D2052" t="inlineStr">
        <is>
          <t>Boss Silicone RTV 100% 315 Clear Sealant, 3 oz. Tube</t>
        </is>
      </c>
      <c r="E2052" s="2">
        <f>HYPERLINK("https://www.amazon.com/Boss-Silicone-315-Clear-Sealant/dp/B00X521W1G/ref=sr_1_1?keywords=Boss+Products+315+100%25+RTV+Silicone+Sealant%2C+10.1+oz+Cartridge%2C+Clear&amp;qid=1694734910&amp;sr=8-1", "https://www.amazon.com/Boss-Silicone-315-Clear-Sealant/dp/B00X521W1G/ref=sr_1_1?keywords=Boss+Products+315+100%25+RTV+Silicone+Sealant%2C+10.1+oz+Cartridge%2C+Clear&amp;qid=1694734910&amp;sr=8-1")</f>
        <v/>
      </c>
      <c r="F2052" t="inlineStr">
        <is>
          <t>B00X521W1G</t>
        </is>
      </c>
      <c r="G2052">
        <f>_xludf.IMAGE("https://edmondsonsupply.com/cdn/shop/files/315-1217202330448PM.png?v=1686443142")</f>
        <v/>
      </c>
      <c r="H2052">
        <f>_xludf.IMAGE("https://m.media-amazon.com/images/I/61tVTRGK2mL._AC_UY218_.jpg")</f>
        <v/>
      </c>
      <c r="K2052" t="inlineStr">
        <is>
          <t>7.76</t>
        </is>
      </c>
      <c r="L2052" t="n">
        <v>9.99</v>
      </c>
      <c r="M2052" s="1" t="inlineStr">
        <is>
          <t>28.74%</t>
        </is>
      </c>
      <c r="N2052" s="1" t="n">
        <v>-23.57</v>
      </c>
      <c r="O2052" t="n">
        <v>4.7</v>
      </c>
      <c r="P2052" t="n">
        <v>92</v>
      </c>
      <c r="R2052" t="inlineStr">
        <is>
          <t>InStock</t>
        </is>
      </c>
      <c r="S2052" t="inlineStr">
        <is>
          <t>undefined</t>
        </is>
      </c>
      <c r="T2052" t="inlineStr">
        <is>
          <t>8003733389528</t>
        </is>
      </c>
    </row>
    <row r="2053" ht="87" customHeight="1">
      <c r="A2053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053" s="2">
        <f>HYPERLINK("https://edmondsonsupply.com/products/klein-tools-11053-klein-kurve%c2%ae-wire-stripper-cutter", "https://edmondsonsupply.com/products/klein-tools-11053-klein-kurve%c2%ae-wire-stripper-cutter")</f>
        <v/>
      </c>
      <c r="C2053" t="inlineStr">
        <is>
          <t>Klein Tools 11053 Klein-Kurve® Wire Stripper/Cutter</t>
        </is>
      </c>
      <c r="D2053" t="inlineStr">
        <is>
          <t>Klein Tools 11055GLW Wire Stripper / Cutter, Klein-Kurve Stripper / Cutter, 10-18 AWG Solid, 12-20 AWG Stranded Wire, Glow in the Dark Grips</t>
        </is>
      </c>
      <c r="E2053" s="2">
        <f>HYPERLINK("https://www.amazon.com/Klein-Tools-11055GLW-Stripper-Klein-Kurve/dp/B09FVTWPQV/ref=sr_1_3?keywords=Klein+Tools+11053+Klein-Kurve%C2%AE+Wire+Stripper%2FCutter&amp;qid=1694734664&amp;sr=8-3", "https://www.amazon.com/Klein-Tools-11055GLW-Stripper-Klein-Kurve/dp/B09FVTWPQV/ref=sr_1_3?keywords=Klein+Tools+11053+Klein-Kurve%C2%AE+Wire+Stripper%2FCutter&amp;qid=1694734664&amp;sr=8-3")</f>
        <v/>
      </c>
      <c r="F2053" t="inlineStr">
        <is>
          <t>B09FVTWPQV</t>
        </is>
      </c>
      <c r="G2053">
        <f>_xlfn.IMAGE("https://edmondsonsupply.com/cdn/shop/products/11053.jpg?v=1633030511")</f>
        <v/>
      </c>
      <c r="H2053">
        <f>_xlfn.IMAGE("https://m.media-amazon.com/images/I/41qRg9375VL._AC_UL320_.jpg")</f>
        <v/>
      </c>
      <c r="K2053" t="inlineStr">
        <is>
          <t>20.97</t>
        </is>
      </c>
      <c r="L2053" t="n">
        <v>26.99</v>
      </c>
      <c r="M2053" s="1" t="inlineStr">
        <is>
          <t>28.71%</t>
        </is>
      </c>
      <c r="N2053" s="7" t="n">
        <v>-23.64</v>
      </c>
      <c r="O2053" t="n">
        <v>4.8</v>
      </c>
      <c r="P2053" t="n">
        <v>7578</v>
      </c>
      <c r="R2053" t="inlineStr">
        <is>
          <t>InStock</t>
        </is>
      </c>
      <c r="S2053" t="inlineStr">
        <is>
          <t>31.76</t>
        </is>
      </c>
      <c r="T2053" t="inlineStr">
        <is>
          <t>5387171299496</t>
        </is>
      </c>
    </row>
    <row r="2054" ht="87" customHeight="1">
      <c r="A2054" s="2">
        <f>HYPERLINK("https://edmondsonsupply.com/collections/hvac/products/appion-mgavct-1-4in-valve-core-removal-tool", "https://edmondsonsupply.com/collections/hvac/products/appion-mgavct-1-4in-valve-core-removal-tool")</f>
        <v/>
      </c>
      <c r="B2054" s="2">
        <f>HYPERLINK("https://edmondsonsupply.com/products/appion-mgavct-1-4in-valve-core-removal-tool", "https://edmondsonsupply.com/products/appion-mgavct-1-4in-valve-core-removal-tool")</f>
        <v/>
      </c>
      <c r="C2054" t="inlineStr">
        <is>
          <t>Appion MGAVCT 1/4in Valve Core Removal Tool</t>
        </is>
      </c>
      <c r="D2054" t="inlineStr">
        <is>
          <t>Appion MGAVCT 1/4" MegaFlow Vacuum-Rated Valve Core Removal Tool</t>
        </is>
      </c>
      <c r="E2054" s="2">
        <f>HYPERLINK("https://www.amazon.com/Appion-MGAVCT-MegaFlow-Vacuum-Rated-Removal/dp/B01M7SQGTR/ref=sr_1_1?keywords=Appion+MGAVCT+1%2F4in+Valve+Core+Removal+Tool&amp;qid=1694734577&amp;sr=8-1", "https://www.amazon.com/Appion-MGAVCT-MegaFlow-Vacuum-Rated-Removal/dp/B01M7SQGTR/ref=sr_1_1?keywords=Appion+MGAVCT+1%2F4in+Valve+Core+Removal+Tool&amp;qid=1694734577&amp;sr=8-1")</f>
        <v/>
      </c>
      <c r="F2054" t="inlineStr">
        <is>
          <t>B01M7SQGTR</t>
        </is>
      </c>
      <c r="G2054">
        <f>_xlfn.IMAGE("https://edmondsonsupply.com/cdn/shop/products/MGAVCT_1080.png?v=1678240814")</f>
        <v/>
      </c>
      <c r="H2054">
        <f>_xlfn.IMAGE("https://m.media-amazon.com/images/I/51er8S19ytL._AC_UL320_.jpg")</f>
        <v/>
      </c>
      <c r="K2054" t="inlineStr">
        <is>
          <t>69.99</t>
        </is>
      </c>
      <c r="L2054" t="n">
        <v>89.98999999999999</v>
      </c>
      <c r="M2054" s="1" t="inlineStr">
        <is>
          <t>28.58%</t>
        </is>
      </c>
      <c r="N2054" s="7" t="n">
        <v>-23.75</v>
      </c>
      <c r="O2054" t="n">
        <v>4.8</v>
      </c>
      <c r="P2054" t="n">
        <v>2171</v>
      </c>
      <c r="R2054" t="inlineStr">
        <is>
          <t>InStock</t>
        </is>
      </c>
      <c r="S2054" t="inlineStr">
        <is>
          <t>89.99</t>
        </is>
      </c>
      <c r="T2054" t="inlineStr">
        <is>
          <t>7957780267224</t>
        </is>
      </c>
    </row>
    <row r="2055" ht="87" customHeight="1">
      <c r="A2055" s="2">
        <f>HYPERLINK("https://edmondsonsupply.com/collections/hvac/products/midwest-mwt-6510r-right-offset-aviation-snip", "https://edmondsonsupply.com/collections/hvac/products/midwest-mwt-6510r-right-offset-aviation-snip")</f>
        <v/>
      </c>
      <c r="B2055" s="2">
        <f>HYPERLINK("https://edmondsonsupply.com/products/midwest-mwt-6510r-right-offset-aviation-snip", "https://edmondsonsupply.com/products/midwest-mwt-6510r-right-offset-aviation-snip")</f>
        <v/>
      </c>
      <c r="C2055" t="inlineStr">
        <is>
          <t>Midwest MWT-6510R Right Offset Aviation Snip</t>
        </is>
      </c>
      <c r="D2055" t="inlineStr">
        <is>
          <t>Midwest Tool &amp; Cutlery Aviation Snip - Right Cut Offset Tin Cutting Shears with Forged Blade &amp; KUSH'N-POWER Comfort Grips - MWT-6510R, Offset Cut</t>
        </is>
      </c>
      <c r="E2055" s="2">
        <f>HYPERLINK("https://www.amazon.com/MIDWEST-Aviation-Snip-KUSHN-POWER-MWT-6510R/dp/B00OCGQG6A/ref=sr_1_1?keywords=Midwest+MWT-6510R+Right+Offset+Aviation+Snip&amp;qid=1694734735&amp;sr=8-1", "https://www.amazon.com/MIDWEST-Aviation-Snip-KUSHN-POWER-MWT-6510R/dp/B00OCGQG6A/ref=sr_1_1?keywords=Midwest+MWT-6510R+Right+Offset+Aviation+Snip&amp;qid=1694734735&amp;sr=8-1")</f>
        <v/>
      </c>
      <c r="F2055" t="inlineStr">
        <is>
          <t>B00OCGQG6A</t>
        </is>
      </c>
      <c r="G2055">
        <f>_xlfn.IMAGE("https://edmondsonsupply.com/cdn/shop/products/MWT-6510R.png?v=1587144877")</f>
        <v/>
      </c>
      <c r="H2055">
        <f>_xlfn.IMAGE("https://m.media-amazon.com/images/I/714fHvEMecL._AC_UL320_.jpg")</f>
        <v/>
      </c>
      <c r="K2055" t="inlineStr">
        <is>
          <t>24.89</t>
        </is>
      </c>
      <c r="L2055" t="n">
        <v>31.99</v>
      </c>
      <c r="M2055" s="1" t="inlineStr">
        <is>
          <t>28.53%</t>
        </is>
      </c>
      <c r="N2055" s="7" t="n">
        <v>-23.84</v>
      </c>
      <c r="O2055" t="n">
        <v>4.7</v>
      </c>
      <c r="P2055" t="n">
        <v>2712</v>
      </c>
      <c r="R2055" t="inlineStr">
        <is>
          <t>InStock</t>
        </is>
      </c>
      <c r="S2055" t="inlineStr">
        <is>
          <t>33.49</t>
        </is>
      </c>
      <c r="T2055" t="inlineStr">
        <is>
          <t>4414962597988</t>
        </is>
      </c>
    </row>
    <row r="2056" ht="87" customHeight="1">
      <c r="A2056" s="2">
        <f>HYPERLINK("https://edmondsonsupply.com/collections/hvac/products/midwest-mwt-6900r-upright-right-cutting-aviation-snip", "https://edmondsonsupply.com/collections/hvac/products/midwest-mwt-6900r-upright-right-cutting-aviation-snip")</f>
        <v/>
      </c>
      <c r="B2056" s="2">
        <f>HYPERLINK("https://edmondsonsupply.com/products/midwest-mwt-6900r-upright-right-cutting-aviation-snip", "https://edmondsonsupply.com/products/midwest-mwt-6900r-upright-right-cutting-aviation-snip")</f>
        <v/>
      </c>
      <c r="C2056" t="inlineStr">
        <is>
          <t>Midwest MWT-6900R Upright Right-Cutting Aviation Snip</t>
        </is>
      </c>
      <c r="D2056" t="inlineStr">
        <is>
          <t>MIDWEST Aviation Snip - Right Cut Upright Tin Cutting Shears with Forged Blade &amp; KUSH'N-POWER Comfort Grips - MWT-6900R</t>
        </is>
      </c>
      <c r="E2056" s="2">
        <f>HYPERLINK("https://www.amazon.com/MIDWEST-Aviation-Snip-KUSHN-POWER-MWT-6900R/dp/B00OJ0KPE8/ref=sr_1_1?keywords=Midwest+MWT-6900R+Upright+Right-Cutting+Aviation+Snip&amp;qid=1694734651&amp;sr=8-1", "https://www.amazon.com/MIDWEST-Aviation-Snip-KUSHN-POWER-MWT-6900R/dp/B00OJ0KPE8/ref=sr_1_1?keywords=Midwest+MWT-6900R+Upright+Right-Cutting+Aviation+Snip&amp;qid=1694734651&amp;sr=8-1")</f>
        <v/>
      </c>
      <c r="F2056" t="inlineStr">
        <is>
          <t>B00OJ0KPE8</t>
        </is>
      </c>
      <c r="G2056">
        <f>_xlfn.IMAGE("https://edmondsonsupply.com/cdn/shop/products/MW-P6900R1.jpg?v=1587142622")</f>
        <v/>
      </c>
      <c r="H2056">
        <f>_xlfn.IMAGE("https://m.media-amazon.com/images/I/715hD0L0+uL._AC_UL320_.jpg")</f>
        <v/>
      </c>
      <c r="K2056" t="inlineStr">
        <is>
          <t>25.29</t>
        </is>
      </c>
      <c r="L2056" t="n">
        <v>32.48</v>
      </c>
      <c r="M2056" s="1" t="inlineStr">
        <is>
          <t>28.43%</t>
        </is>
      </c>
      <c r="N2056" s="7" t="n">
        <v>-24</v>
      </c>
      <c r="O2056" t="n">
        <v>4.7</v>
      </c>
      <c r="P2056" t="n">
        <v>777</v>
      </c>
      <c r="R2056" t="inlineStr">
        <is>
          <t>InStock</t>
        </is>
      </c>
      <c r="S2056" t="inlineStr">
        <is>
          <t>37.05</t>
        </is>
      </c>
      <c r="T2056" t="inlineStr">
        <is>
          <t>4509684596836</t>
        </is>
      </c>
    </row>
    <row r="2057" ht="87" customHeight="1">
      <c r="A2057" s="2">
        <f>HYPERLINK("https://edmondsonsupply.com/collections/hvac/products/nu-calgon-4050-05-easyseal-ultimate-ss-ac-leak-sealant", "https://edmondsonsupply.com/collections/hvac/products/nu-calgon-4050-05-easyseal-ultimate-ss-ac-leak-sealant")</f>
        <v/>
      </c>
      <c r="B2057" s="2">
        <f>HYPERLINK("https://edmondsonsupply.com/products/nu-calgon-4050-05-easyseal-ultimate-ss-ac-leak-sealant", "https://edmondsonsupply.com/products/nu-calgon-4050-05-easyseal-ultimate-ss-ac-leak-sealant")</f>
        <v/>
      </c>
      <c r="C2057" t="inlineStr">
        <is>
          <t>Nu-Calgon 4050-05 EasySeal Ultimate-SS AC Leak Sealant</t>
        </is>
      </c>
      <c r="D2057" t="inlineStr">
        <is>
          <t>Nu-Calgon 4050-11 EasySeal Direct Inject-UV Dye Refrigerant Leak Sealant, One Size Treats Systems 2 to 7.5 Tons</t>
        </is>
      </c>
      <c r="E2057" s="2">
        <f>HYPERLINK("https://www.amazon.com/Nu-Calgon-4050-11-EasySeal-Inject-UV-Refrigerant/dp/B072Q3MX47/ref=sr_1_1?keywords=Nu-Calgon+4050-05+EasySeal+Ultimate-SS+AC+Leak+Sealant&amp;qid=1694734657&amp;sr=8-1", "https://www.amazon.com/Nu-Calgon-4050-11-EasySeal-Inject-UV-Refrigerant/dp/B072Q3MX47/ref=sr_1_1?keywords=Nu-Calgon+4050-05+EasySeal+Ultimate-SS+AC+Leak+Sealant&amp;qid=1694734657&amp;sr=8-1")</f>
        <v/>
      </c>
      <c r="F2057" t="inlineStr">
        <is>
          <t>B072Q3MX47</t>
        </is>
      </c>
      <c r="G2057">
        <f>_xlfn.IMAGE("https://edmondsonsupply.com/cdn/shop/products/4050-05a.jpg?v=1658965880")</f>
        <v/>
      </c>
      <c r="H2057">
        <f>_xlfn.IMAGE("https://m.media-amazon.com/images/I/51kJOZZkRVL._AC_UL320_.jpg")</f>
        <v/>
      </c>
      <c r="K2057" t="inlineStr">
        <is>
          <t>52.99</t>
        </is>
      </c>
      <c r="L2057" t="n">
        <v>68</v>
      </c>
      <c r="M2057" s="1" t="inlineStr">
        <is>
          <t>28.33%</t>
        </is>
      </c>
      <c r="N2057" s="7" t="n">
        <v>-24.18</v>
      </c>
      <c r="O2057" t="n">
        <v>4.4</v>
      </c>
      <c r="P2057" t="n">
        <v>209</v>
      </c>
      <c r="R2057" t="inlineStr">
        <is>
          <t>InStock</t>
        </is>
      </c>
      <c r="S2057" t="inlineStr">
        <is>
          <t>76.78</t>
        </is>
      </c>
      <c r="T2057" t="inlineStr">
        <is>
          <t>7763518062808</t>
        </is>
      </c>
    </row>
    <row r="2058" ht="87" customHeight="1">
      <c r="A2058" s="2">
        <f>HYPERLINK("https://edmondsonsupply.com/collections/hvac/products/midwest-mwt-6510l-left-offset-aviation-snip", "https://edmondsonsupply.com/collections/hvac/products/midwest-mwt-6510l-left-offset-aviation-snip")</f>
        <v/>
      </c>
      <c r="B2058" s="2">
        <f>HYPERLINK("https://edmondsonsupply.com/products/midwest-mwt-6510l-left-offset-aviation-snip", "https://edmondsonsupply.com/products/midwest-mwt-6510l-left-offset-aviation-snip")</f>
        <v/>
      </c>
      <c r="C2058" t="inlineStr">
        <is>
          <t>Midwest MWT-6510L Left Offset Aviation Snip</t>
        </is>
      </c>
      <c r="D2058" t="inlineStr">
        <is>
          <t>MIDWEST Aviation Snip - Right Cut Offset Stainless Steel Cutting Shears with Forged Blade &amp; KUSH'N-POWER Comfort Grips - MWT-SS6510R</t>
        </is>
      </c>
      <c r="E2058" s="2">
        <f>HYPERLINK("https://www.amazon.com/MIDWEST-Aviation-Snip-KUSHN-POWER-MWT-SS6510R/dp/B00OMSVOZ6/ref=sr_1_11?keywords=Midwest+MWT-6510L+Left+Offset+Aviation+Snip&amp;qid=1694734618&amp;sr=8-11", "https://www.amazon.com/MIDWEST-Aviation-Snip-KUSHN-POWER-MWT-SS6510R/dp/B00OMSVOZ6/ref=sr_1_11?keywords=Midwest+MWT-6510L+Left+Offset+Aviation+Snip&amp;qid=1694734618&amp;sr=8-11")</f>
        <v/>
      </c>
      <c r="F2058" t="inlineStr">
        <is>
          <t>B00OMSVOZ6</t>
        </is>
      </c>
      <c r="G2058">
        <f>_xlfn.IMAGE("https://edmondsonsupply.com/cdn/shop/products/mwt-6510l.png?v=1587142880")</f>
        <v/>
      </c>
      <c r="H2058">
        <f>_xlfn.IMAGE("https://m.media-amazon.com/images/I/6111Xzz5-TL._AC_UL320_.jpg")</f>
        <v/>
      </c>
      <c r="K2058" t="inlineStr">
        <is>
          <t>25.99</t>
        </is>
      </c>
      <c r="L2058" t="n">
        <v>33.32</v>
      </c>
      <c r="M2058" s="1" t="inlineStr">
        <is>
          <t>28.20%</t>
        </is>
      </c>
      <c r="N2058" s="7" t="n">
        <v>-24.19</v>
      </c>
      <c r="O2058" t="n">
        <v>4.3</v>
      </c>
      <c r="P2058" t="n">
        <v>99</v>
      </c>
      <c r="R2058" t="inlineStr">
        <is>
          <t>InStock</t>
        </is>
      </c>
      <c r="S2058" t="inlineStr">
        <is>
          <t>33.49</t>
        </is>
      </c>
      <c r="T2058" t="inlineStr">
        <is>
          <t>3688846917732</t>
        </is>
      </c>
    </row>
    <row r="2059" hidden="1" ht="15.75" customHeight="1">
      <c r="A2059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2059" s="2">
        <f>HYPERLINK("https://edmondsonsupply.com/products/packard-c130a-contactor-1-pole-30-amps-24-coil-voltage", "https://edmondsonsupply.com/products/packard-c130a-contactor-1-pole-30-amps-24-coil-voltage")</f>
        <v/>
      </c>
      <c r="C2059" t="inlineStr">
        <is>
          <t>Packard C130A Contactor 1 Pole 30 Amps 24 Coil Voltage</t>
        </is>
      </c>
      <c r="D2059" t="inlineStr">
        <is>
          <t>Tempstar • 30 Amp 1 Pole 24v Coil Packard Replacement Contactor C130A</t>
        </is>
      </c>
      <c r="E2059" s="2">
        <f>HYPERLINK("https://www.amazon.com/Tempstar-Packard-Replacement-Contactor-C130A/dp/B00S8JK244/ref=sr_1_5?keywords=Packard+C130A+Contactor+1+Pole+30+Amps+24+Coil+Voltage&amp;qid=1694734616&amp;sr=8-5", "https://www.amazon.com/Tempstar-Packard-Replacement-Contactor-C130A/dp/B00S8JK244/ref=sr_1_5?keywords=Packard+C130A+Contactor+1+Pole+30+Amps+24+Coil+Voltage&amp;qid=1694734616&amp;sr=8-5")</f>
        <v/>
      </c>
      <c r="F2059" t="inlineStr">
        <is>
          <t>B00S8JK244</t>
        </is>
      </c>
      <c r="G2059">
        <f>_xludf.IMAGE("https://edmondsonsupply.com/cdn/shop/products/61bb566724620904123205.jpg?v=1650335931")</f>
        <v/>
      </c>
      <c r="H2059">
        <f>_xludf.IMAGE("https://m.media-amazon.com/images/I/41Is+M5WoFL._AC_UY218_.jpg")</f>
        <v/>
      </c>
      <c r="K2059" t="inlineStr">
        <is>
          <t>9.62</t>
        </is>
      </c>
      <c r="L2059" t="n">
        <v>12.31</v>
      </c>
      <c r="M2059" s="1" t="inlineStr">
        <is>
          <t>27.96%</t>
        </is>
      </c>
      <c r="N2059" s="1" t="n">
        <v>-24.24</v>
      </c>
      <c r="O2059" t="n">
        <v>5</v>
      </c>
      <c r="P2059" t="n">
        <v>2</v>
      </c>
      <c r="R2059" t="inlineStr">
        <is>
          <t>InStock</t>
        </is>
      </c>
      <c r="S2059" t="inlineStr">
        <is>
          <t>undefined</t>
        </is>
      </c>
      <c r="T2059" t="inlineStr">
        <is>
          <t>5301652095144</t>
        </is>
      </c>
    </row>
    <row r="2060" hidden="1" ht="15.75" customHeight="1">
      <c r="A2060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2060" s="2">
        <f>HYPERLINK("https://edmondsonsupply.com/products/packard-c130a-contactor-1-pole-30-amps-24-coil-voltage", "https://edmondsonsupply.com/products/packard-c130a-contactor-1-pole-30-amps-24-coil-voltage")</f>
        <v/>
      </c>
      <c r="C2060" t="inlineStr">
        <is>
          <t>Packard C130A Contactor 1 Pole 30 Amps 24 Coil Voltage</t>
        </is>
      </c>
      <c r="D2060" t="inlineStr">
        <is>
          <t>Lennox • 30 Amp 1 Pole 24v Coil Packard Replacement Contactor C130A</t>
        </is>
      </c>
      <c r="E2060" s="2">
        <f>HYPERLINK("https://www.amazon.com/Lennox-Packard-Replacement-Contactor-C130A/dp/B00S8JJR0E/ref=sr_1_12?keywords=Packard+C130A+Contactor+1+Pole+30+Amps+24+Coil+Voltage&amp;qid=1694734616&amp;sr=8-12", "https://www.amazon.com/Lennox-Packard-Replacement-Contactor-C130A/dp/B00S8JJR0E/ref=sr_1_12?keywords=Packard+C130A+Contactor+1+Pole+30+Amps+24+Coil+Voltage&amp;qid=1694734616&amp;sr=8-12")</f>
        <v/>
      </c>
      <c r="F2060" t="inlineStr">
        <is>
          <t>B00S8JJR0E</t>
        </is>
      </c>
      <c r="G2060">
        <f>_xludf.IMAGE("https://edmondsonsupply.com/cdn/shop/products/61bb566724620904123205.jpg?v=1650335931")</f>
        <v/>
      </c>
      <c r="H2060">
        <f>_xludf.IMAGE("https://m.media-amazon.com/images/I/61Xmo3JFZxL._AC_UY218_.jpg")</f>
        <v/>
      </c>
      <c r="K2060" t="inlineStr">
        <is>
          <t>9.62</t>
        </is>
      </c>
      <c r="L2060" t="n">
        <v>12.31</v>
      </c>
      <c r="M2060" s="1" t="inlineStr">
        <is>
          <t>27.96%</t>
        </is>
      </c>
      <c r="N2060" s="1" t="n">
        <v>-24.26</v>
      </c>
      <c r="O2060" t="n">
        <v>3.7</v>
      </c>
      <c r="P2060" t="n">
        <v>4</v>
      </c>
      <c r="R2060" t="inlineStr">
        <is>
          <t>InStock</t>
        </is>
      </c>
      <c r="S2060" t="inlineStr">
        <is>
          <t>undefined</t>
        </is>
      </c>
      <c r="T2060" t="inlineStr">
        <is>
          <t>5301652095144</t>
        </is>
      </c>
    </row>
    <row r="2061" hidden="1" ht="15.75" customHeight="1">
      <c r="A2061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2061" s="2">
        <f>HYPERLINK("https://edmondsonsupply.com/products/packard-prmj189-motor-start-capacitor-189-227-mfd-330-vac", "https://edmondsonsupply.com/products/packard-prmj189-motor-start-capacitor-189-227-mfd-330-vac")</f>
        <v/>
      </c>
      <c r="C2061" t="inlineStr">
        <is>
          <t>Packard PRMJ189 Motor Start Capacitor 189-227 MFD 330 VAC</t>
        </is>
      </c>
      <c r="D2061" t="inlineStr">
        <is>
          <t>BlueStars Ultra Durable 189-227 uf/MFD 125 VAC Volts Round Start Capacitor 50/60 Hz AC Electric - Lot -1 - Exact Replacement of OEM Single Phase Motor Capacitors</t>
        </is>
      </c>
      <c r="E2061" s="2">
        <f>HYPERLINK("https://www.amazon.com/BlueStars-Durable-189-227-Capacitor-Electric/dp/B09TKVYDV1/ref=sr_1_14?keywords=Packard+PRMJ189+Motor+Start+Capacitor+189-227+MFD+330+VAC&amp;qid=1694734820&amp;sr=8-14", "https://www.amazon.com/BlueStars-Durable-189-227-Capacitor-Electric/dp/B09TKVYDV1/ref=sr_1_14?keywords=Packard+PRMJ189+Motor+Start+Capacitor+189-227+MFD+330+VAC&amp;qid=1694734820&amp;sr=8-14")</f>
        <v/>
      </c>
      <c r="F2061" t="inlineStr">
        <is>
          <t>B09TKVYDV1</t>
        </is>
      </c>
      <c r="G2061">
        <f>_xludf.IMAGE("https://edmondsonsupply.com/cdn/shop/products/PRMJ189-2.jpg?v=1663378512")</f>
        <v/>
      </c>
      <c r="H2061">
        <f>_xludf.IMAGE("https://m.media-amazon.com/images/I/81bxm6oL30L._AC_UY218_.jpg")</f>
        <v/>
      </c>
      <c r="K2061" t="inlineStr">
        <is>
          <t>8.59</t>
        </is>
      </c>
      <c r="L2061" t="n">
        <v>10.99</v>
      </c>
      <c r="M2061" s="1" t="inlineStr">
        <is>
          <t>27.94%</t>
        </is>
      </c>
      <c r="N2061" s="1" t="n">
        <v>-24.27</v>
      </c>
      <c r="O2061" t="n">
        <v>4.7</v>
      </c>
      <c r="P2061" t="n">
        <v>47</v>
      </c>
      <c r="R2061" t="inlineStr">
        <is>
          <t>InStock</t>
        </is>
      </c>
      <c r="S2061" t="inlineStr">
        <is>
          <t>undefined</t>
        </is>
      </c>
      <c r="T2061" t="inlineStr">
        <is>
          <t>4298778378340</t>
        </is>
      </c>
    </row>
    <row r="2062" ht="87" customHeight="1">
      <c r="A2062" s="2">
        <f>HYPERLINK("https://edmondsonsupply.com/collections/hvac/products/diversitech-asurity%E2%84%A2-cp-22-230-condensate-pump-22ft-lift-230v", "https://edmondsonsupply.com/collections/hvac/products/diversitech-asurity%E2%84%A2-cp-22-230-condensate-pump-22ft-lift-230v")</f>
        <v/>
      </c>
      <c r="B2062" s="2">
        <f>HYPERLINK("https://edmondsonsupply.com/products/diversitech-asurity%e2%84%a2-cp-22-230-condensate-pump-22ft-lift-230v", "https://edmondsonsupply.com/products/diversitech-asurity%e2%84%a2-cp-22-230-condensate-pump-22ft-lift-230v")</f>
        <v/>
      </c>
      <c r="C2062" t="inlineStr">
        <is>
          <t>DiversiTech Asurity™ CP-22-230 Condensate Pump, 22ft. Lift, 230V</t>
        </is>
      </c>
      <c r="D2062" t="inlineStr">
        <is>
          <t>DiversiTech CP-22-230 230V 22ft condensate pump</t>
        </is>
      </c>
      <c r="E2062" s="2">
        <f>HYPERLINK("https://www.amazon.com/DiversiTech-CP-22-230-230V-22ft-condensate/dp/B079RM2JFX/ref=sr_1_2?keywords=DiversiTech+Asurity%E2%84%A2+CP-22-230+Condensate+Pump%2C+22ft.+Lift%2C+230V&amp;qid=1694734872&amp;sr=8-2", "https://www.amazon.com/DiversiTech-CP-22-230-230V-22ft-condensate/dp/B079RM2JFX/ref=sr_1_2?keywords=DiversiTech+Asurity%E2%84%A2+CP-22-230+Condensate+Pump%2C+22ft.+Lift%2C+230V&amp;qid=1694734872&amp;sr=8-2")</f>
        <v/>
      </c>
      <c r="F2062" t="inlineStr">
        <is>
          <t>B079RM2JFX</t>
        </is>
      </c>
      <c r="G2062">
        <f>_xlfn.IMAGE("https://edmondsonsupply.com/cdn/shop/files/64274d57081aa759857757.jpg?v=1690809952")</f>
        <v/>
      </c>
      <c r="H2062">
        <f>_xlfn.IMAGE("https://m.media-amazon.com/images/I/41hfn2ETEpL._AC_UL320_.jpg")</f>
        <v/>
      </c>
      <c r="K2062" t="inlineStr">
        <is>
          <t>68.79</t>
        </is>
      </c>
      <c r="L2062" t="n">
        <v>87.98999999999999</v>
      </c>
      <c r="M2062" s="1" t="inlineStr">
        <is>
          <t>27.91%</t>
        </is>
      </c>
      <c r="N2062" s="7" t="n">
        <v>-24.31</v>
      </c>
      <c r="O2062" t="n">
        <v>5</v>
      </c>
      <c r="P2062" t="n">
        <v>3</v>
      </c>
      <c r="R2062" t="inlineStr">
        <is>
          <t>InStock</t>
        </is>
      </c>
      <c r="S2062" t="inlineStr">
        <is>
          <t>undefined</t>
        </is>
      </c>
      <c r="T2062" t="inlineStr">
        <is>
          <t>8023187718360</t>
        </is>
      </c>
    </row>
    <row r="2063" ht="87" customHeight="1">
      <c r="A2063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2063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2063" t="inlineStr">
        <is>
          <t>Klein Tools 55600 Tradesman Pro™ Tough Box Cooler, 17-Quart</t>
        </is>
      </c>
      <c r="D2063" t="inlineStr">
        <is>
          <t>Klein Tools 55600 Work Cooler, 17-Quart Lunch Box Holds 18 Cans, Keeps Cool 30 Hours, Seats 300 Lb, Tradesman Pro Tough Box</t>
        </is>
      </c>
      <c r="E2063" s="2">
        <f>HYPERLINK("https://www.amazon.com/Klein-Tools-17-Quart-Currituck-Reusable/dp/B0BRMYHG5X/ref=sr_1_8?keywords=Klein+Tools+55600+Tradesman+Pro%E2%84%A2+Tough+Box+Cooler%2C+17-Quart&amp;qid=1694734812&amp;sr=8-8", "https://www.amazon.com/Klein-Tools-17-Quart-Currituck-Reusable/dp/B0BRMYHG5X/ref=sr_1_8?keywords=Klein+Tools+55600+Tradesman+Pro%E2%84%A2+Tough+Box+Cooler%2C+17-Quart&amp;qid=1694734812&amp;sr=8-8")</f>
        <v/>
      </c>
      <c r="F2063" t="inlineStr">
        <is>
          <t>B0BRMYHG5X</t>
        </is>
      </c>
      <c r="G2063">
        <f>_xlfn.IMAGE("https://edmondsonsupply.com/cdn/shop/products/55600.jpg?v=1587145287")</f>
        <v/>
      </c>
      <c r="H2063">
        <f>_xlfn.IMAGE("https://m.media-amazon.com/images/I/41rmHOU3XhL._AC_UL320_.jpg")</f>
        <v/>
      </c>
      <c r="K2063" t="inlineStr">
        <is>
          <t>64.97</t>
        </is>
      </c>
      <c r="L2063" t="n">
        <v>82.98999999999999</v>
      </c>
      <c r="M2063" s="1" t="inlineStr">
        <is>
          <t>27.74%</t>
        </is>
      </c>
      <c r="N2063" s="7" t="n">
        <v>-24.38</v>
      </c>
      <c r="O2063" t="n">
        <v>4.9</v>
      </c>
      <c r="P2063" t="n">
        <v>46</v>
      </c>
      <c r="R2063" t="inlineStr">
        <is>
          <t>InStock</t>
        </is>
      </c>
      <c r="S2063" t="inlineStr">
        <is>
          <t>91.98</t>
        </is>
      </c>
      <c r="T2063" t="inlineStr">
        <is>
          <t>1707778277476</t>
        </is>
      </c>
    </row>
    <row r="2064" ht="87" customHeight="1">
      <c r="A2064" s="2">
        <f>HYPERLINK("https://edmondsonsupply.com/collections/hvac/products/channellock-804", "https://edmondsonsupply.com/collections/hvac/products/channellock-804")</f>
        <v/>
      </c>
      <c r="B2064" s="2">
        <f>HYPERLINK("https://edmondsonsupply.com/products/channellock-804", "https://edmondsonsupply.com/products/channellock-804")</f>
        <v/>
      </c>
      <c r="C2064" t="inlineStr">
        <is>
          <t>Channellock 804 4-Inch Chrome Adjustable Wrench</t>
        </is>
      </c>
      <c r="D2064" t="inlineStr">
        <is>
          <t>URREA Adjustable Wrench - 4-Inch Professional Grade Tool with Extra-Wide Capacity &amp; Nickel-Chrome Finish - 704</t>
        </is>
      </c>
      <c r="E2064" s="2">
        <f>HYPERLINK("https://www.amazon.com/704-4-Inch-Chrome-Adjustable-Wrench/dp/B000NG7JXM/ref=sr_1_37?keywords=Channellock+804+4-Inch+Chrome+Adjustable+Wrench&amp;qid=1694734791&amp;sr=8-37", "https://www.amazon.com/704-4-Inch-Chrome-Adjustable-Wrench/dp/B000NG7JXM/ref=sr_1_37?keywords=Channellock+804+4-Inch+Chrome+Adjustable+Wrench&amp;qid=1694734791&amp;sr=8-37")</f>
        <v/>
      </c>
      <c r="F2064" t="inlineStr">
        <is>
          <t>B000NG7JXM</t>
        </is>
      </c>
      <c r="G2064">
        <f>_xlfn.IMAGE("https://edmondsonsupply.com/cdn/shop/products/804-683x1024.jpg?v=1587145853")</f>
        <v/>
      </c>
      <c r="H2064">
        <f>_xlfn.IMAGE("https://m.media-amazon.com/images/I/51XA7h8jlXL._AC_UL320_.jpg")</f>
        <v/>
      </c>
      <c r="K2064" t="inlineStr">
        <is>
          <t>16.95</t>
        </is>
      </c>
      <c r="L2064" t="n">
        <v>21.65</v>
      </c>
      <c r="M2064" s="1" t="inlineStr">
        <is>
          <t>27.73%</t>
        </is>
      </c>
      <c r="N2064" s="7" t="n">
        <v>-24.5</v>
      </c>
      <c r="O2064" t="n">
        <v>4.4</v>
      </c>
      <c r="P2064" t="n">
        <v>65</v>
      </c>
      <c r="R2064" t="inlineStr">
        <is>
          <t>InStock</t>
        </is>
      </c>
      <c r="S2064" t="inlineStr">
        <is>
          <t>26.62</t>
        </is>
      </c>
      <c r="T2064" t="inlineStr">
        <is>
          <t>4094611488868</t>
        </is>
      </c>
    </row>
    <row r="2065" hidden="1" ht="15.75" customHeight="1">
      <c r="A2065" s="2">
        <f>HYPERLINK("https://edmondsonsupply.com/collections/hvac/products/hilmor-1838947-fs-quick-engage-flare-swage-tool-kit-3-16-to-3-4", "https://edmondsonsupply.com/collections/hvac/products/hilmor-1838947-fs-quick-engage-flare-swage-tool-kit-3-16-to-3-4")</f>
        <v/>
      </c>
      <c r="B2065" s="2">
        <f>HYPERLINK("https://edmondsonsupply.com/products/hilmor-1838947-fs-quick-engage-flare-swage-tool-kit-3-16-to-3-4", "https://edmondsonsupply.com/products/hilmor-1838947-fs-quick-engage-flare-swage-tool-kit-3-16-to-3-4")</f>
        <v/>
      </c>
      <c r="C2065" t="inlineStr">
        <is>
          <t>Hilmor 1838947 FS Quick-Engage Flare + Swage Tool Kit - 3/16" to 3/4"</t>
        </is>
      </c>
      <c r="D2065" t="inlineStr">
        <is>
          <t>Hilmor 1838947 Quick Engage Flare and Swage Kit - HVAC Tools and Equipment for Flaring and Swaging, Black</t>
        </is>
      </c>
      <c r="E2065" s="2">
        <f>HYPERLINK("https://www.amazon.com/hilmor-Quick-Engage-Flare-1838947/dp/B00IOS0OKQ/ref=sr_1_1?keywords=Hilmor+1838947+FS+Quick-Engage+Flare+Swage+Tool+Kit+-+3%2F16+to+3%2F4&amp;qid=1694734746&amp;sr=8-1", "https://www.amazon.com/hilmor-Quick-Engage-Flare-1838947/dp/B00IOS0OKQ/ref=sr_1_1?keywords=Hilmor+1838947+FS+Quick-Engage+Flare+Swage+Tool+Kit+-+3%2F16+to+3%2F4&amp;qid=1694734746&amp;sr=8-1")</f>
        <v/>
      </c>
      <c r="F2065" t="inlineStr">
        <is>
          <t>B00IOS0OKQ</t>
        </is>
      </c>
      <c r="G2065">
        <f>_xludf.IMAGE("https://edmondsonsupply.com/cdn/shop/products/1838947-re-1.jpg?v=1587149391")</f>
        <v/>
      </c>
      <c r="H2065">
        <f>_xludf.IMAGE("https://m.media-amazon.com/images/I/91syuKpfXPL._AC_UL320_.jpg")</f>
        <v/>
      </c>
      <c r="K2065" t="inlineStr">
        <is>
          <t>150.24</t>
        </is>
      </c>
      <c r="L2065" t="n">
        <v>191.8</v>
      </c>
      <c r="M2065" s="1" t="inlineStr">
        <is>
          <t>27.66%</t>
        </is>
      </c>
      <c r="N2065" s="1" t="n">
        <v>-24.51</v>
      </c>
      <c r="O2065" t="n">
        <v>3.9</v>
      </c>
      <c r="P2065" t="n">
        <v>190</v>
      </c>
      <c r="R2065" t="inlineStr">
        <is>
          <t>InStock</t>
        </is>
      </c>
      <c r="S2065" t="inlineStr">
        <is>
          <t>undefined</t>
        </is>
      </c>
      <c r="T2065" t="inlineStr">
        <is>
          <t>2109183557732</t>
        </is>
      </c>
    </row>
    <row r="2066" hidden="1" ht="15.75" customHeight="1">
      <c r="A2066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2066" s="2">
        <f>HYPERLINK("https://edmondsonsupply.com/products/midwest-mwt-6510s-straight-offset-aviation-snip", "https://edmondsonsupply.com/products/midwest-mwt-6510s-straight-offset-aviation-snip")</f>
        <v/>
      </c>
      <c r="C2066" t="inlineStr">
        <is>
          <t>Midwest MWT-6510S Straight Offset Aviation Snip</t>
        </is>
      </c>
      <c r="D2066" t="inlineStr">
        <is>
          <t>MIDWEST Deep Serration Power Cutters Aviation Snip - Straight Cut Regular Tin Cutting Shears with Forged Blade &amp; KUSH'N-POWER Comfort Grips - MWT-6716AS</t>
        </is>
      </c>
      <c r="E2066" s="2">
        <f>HYPERLINK("https://www.amazon.com/MIDWEST-Serration-Power-Cutters-Aviation/dp/B00OMSVOJW/ref=sr_1_12?keywords=Midwest+MWT-6510S+Straight+Offset+Aviation+Snip&amp;qid=1694734608&amp;sr=8-12", "https://www.amazon.com/MIDWEST-Serration-Power-Cutters-Aviation/dp/B00OMSVOJW/ref=sr_1_12?keywords=Midwest+MWT-6510S+Straight+Offset+Aviation+Snip&amp;qid=1694734608&amp;sr=8-12")</f>
        <v/>
      </c>
      <c r="F2066" t="inlineStr">
        <is>
          <t>B00OMSVOJW</t>
        </is>
      </c>
      <c r="G2066">
        <f>_xludf.IMAGE("https://edmondsonsupply.com/cdn/shop/products/MWT-6510S-1.jpg?v=1587150061")</f>
        <v/>
      </c>
      <c r="H2066">
        <f>_xludf.IMAGE("https://m.media-amazon.com/images/I/610+NpCB6hL._AC_UL320_.jpg")</f>
        <v/>
      </c>
      <c r="K2066" t="inlineStr">
        <is>
          <t>23.49</t>
        </is>
      </c>
      <c r="L2066" t="n">
        <v>29.95</v>
      </c>
      <c r="M2066" s="1" t="inlineStr">
        <is>
          <t>27.50%</t>
        </is>
      </c>
      <c r="N2066" s="1" t="n">
        <v>-24.64</v>
      </c>
      <c r="O2066" t="n">
        <v>4</v>
      </c>
      <c r="P2066" t="n">
        <v>19</v>
      </c>
      <c r="R2066" t="inlineStr">
        <is>
          <t>OutOfStock</t>
        </is>
      </c>
      <c r="S2066" t="inlineStr">
        <is>
          <t>33.49</t>
        </is>
      </c>
      <c r="T2066" t="inlineStr">
        <is>
          <t>4436158677092</t>
        </is>
      </c>
    </row>
    <row r="2067" ht="87" customHeight="1">
      <c r="A2067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067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067" t="inlineStr">
        <is>
          <t>ICM Controls ICM2805A Furnace Control Board - Replacement for Nordyne</t>
        </is>
      </c>
      <c r="D2067" t="inlineStr">
        <is>
          <t>OEM Upgraded Replacement for Nordyne Furnace Control Circuit Board 624640-B</t>
        </is>
      </c>
      <c r="E2067" s="2">
        <f>HYPERLINK("https://www.amazon.com/Upgraded-Replacement-Nordyne-Furnace-624640-B/dp/B00EFAZPUQ/ref=sr_1_26?keywords=ICM+Controls+ICM2805A+Furnace+Control+Board+-+Replacement+for+Nordyne&amp;qid=1694734623&amp;sr=8-26", "https://www.amazon.com/Upgraded-Replacement-Nordyne-Furnace-624640-B/dp/B00EFAZPUQ/ref=sr_1_26?keywords=ICM+Controls+ICM2805A+Furnace+Control+Board+-+Replacement+for+Nordyne&amp;qid=1694734623&amp;sr=8-26")</f>
        <v/>
      </c>
      <c r="F2067" t="inlineStr">
        <is>
          <t>B00EFAZPUQ</t>
        </is>
      </c>
      <c r="G2067">
        <f>_xlfn.IMAGE("https://edmondsonsupply.com/cdn/shop/products/57_3_42a53dd2-02e8-4469-bc0c-0265897201e7.jpg?v=1633031145")</f>
        <v/>
      </c>
      <c r="H2067">
        <f>_xlfn.IMAGE("https://m.media-amazon.com/images/I/51s04g2tVoL._AC_UL320_.jpg")</f>
        <v/>
      </c>
      <c r="K2067" t="inlineStr">
        <is>
          <t>116.59</t>
        </is>
      </c>
      <c r="L2067" t="n">
        <v>148.5</v>
      </c>
      <c r="M2067" s="1" t="inlineStr">
        <is>
          <t>27.37%</t>
        </is>
      </c>
      <c r="N2067" s="7" t="n">
        <v>-24.64</v>
      </c>
      <c r="O2067" t="n">
        <v>4.6</v>
      </c>
      <c r="P2067" t="n">
        <v>3</v>
      </c>
      <c r="R2067" t="inlineStr">
        <is>
          <t>InStock</t>
        </is>
      </c>
      <c r="S2067" t="inlineStr">
        <is>
          <t>161.12</t>
        </is>
      </c>
      <c r="T2067" t="inlineStr">
        <is>
          <t>6892060639405</t>
        </is>
      </c>
    </row>
    <row r="2068" ht="87" customHeight="1">
      <c r="A2068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068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068" t="inlineStr">
        <is>
          <t>ICM Controls ICM2805A Furnace Control Board - Replacement for Nordyne</t>
        </is>
      </c>
      <c r="D2068" t="inlineStr">
        <is>
          <t>OEM Upgraded Replacement for Nordyne Furnace Control Circuit Board 624602-B</t>
        </is>
      </c>
      <c r="E2068" s="2">
        <f>HYPERLINK("https://www.amazon.com/Upgraded-Replacement-Nordyne-Furnace-624602-B/dp/B00EFAZRHC/ref=sr_1_27?keywords=ICM+Controls+ICM2805A+Furnace+Control+Board+-+Replacement+for+Nordyne&amp;qid=1694734623&amp;sr=8-27", "https://www.amazon.com/Upgraded-Replacement-Nordyne-Furnace-624602-B/dp/B00EFAZRHC/ref=sr_1_27?keywords=ICM+Controls+ICM2805A+Furnace+Control+Board+-+Replacement+for+Nordyne&amp;qid=1694734623&amp;sr=8-27")</f>
        <v/>
      </c>
      <c r="F2068" t="inlineStr">
        <is>
          <t>B00EFAZRHC</t>
        </is>
      </c>
      <c r="G2068">
        <f>_xlfn.IMAGE("https://edmondsonsupply.com/cdn/shop/products/57_3_42a53dd2-02e8-4469-bc0c-0265897201e7.jpg?v=1633031145")</f>
        <v/>
      </c>
      <c r="H2068">
        <f>_xlfn.IMAGE("https://m.media-amazon.com/images/I/51s04g2tVoL._AC_UL320_.jpg")</f>
        <v/>
      </c>
      <c r="K2068" t="inlineStr">
        <is>
          <t>116.59</t>
        </is>
      </c>
      <c r="L2068" t="n">
        <v>148.5</v>
      </c>
      <c r="M2068" s="1" t="inlineStr">
        <is>
          <t>27.37%</t>
        </is>
      </c>
      <c r="N2068" s="7" t="n">
        <v>-24.78</v>
      </c>
      <c r="O2068" t="n">
        <v>4.5</v>
      </c>
      <c r="P2068" t="n">
        <v>29</v>
      </c>
      <c r="R2068" t="inlineStr">
        <is>
          <t>InStock</t>
        </is>
      </c>
      <c r="S2068" t="inlineStr">
        <is>
          <t>161.12</t>
        </is>
      </c>
      <c r="T2068" t="inlineStr">
        <is>
          <t>6892060639405</t>
        </is>
      </c>
    </row>
    <row r="2069" ht="87" customHeight="1">
      <c r="A2069" s="2">
        <f>HYPERLINK("https://edmondsonsupply.com/collections/hvac/products/malco-mshxl14-1-4-extra-long-magnetic-hex-chuck-driver-6-long", "https://edmondsonsupply.com/collections/hvac/products/malco-mshxl14-1-4-extra-long-magnetic-hex-chuck-driver-6-long")</f>
        <v/>
      </c>
      <c r="B2069" s="2">
        <f>HYPERLINK("https://edmondsonsupply.com/products/malco-mshxl14-1-4-extra-long-magnetic-hex-chuck-driver-6-long", "https://edmondsonsupply.com/products/malco-mshxl14-1-4-extra-long-magnetic-hex-chuck-driver-6-long")</f>
        <v/>
      </c>
      <c r="C2069" t="inlineStr">
        <is>
          <t>Malco Tools MSHXL14 1/4" Extra Long Magnetic Hex Chuck Driver - 6" Long</t>
        </is>
      </c>
      <c r="D2069" t="inlineStr">
        <is>
          <t>Malco MSHXL14 1/4" Extra Long Red Magnetic Hex Chuck Driver</t>
        </is>
      </c>
      <c r="E2069" s="2">
        <f>HYPERLINK("https://www.amazon.com/Malco-MSHXL14-Chuck-Driver-Inch/dp/B0028TB140/ref=sr_1_1?keywords=Malco+Tools+MSHXL14+1%2F4+Extra+Long+Magnetic+Hex+Chuck+Driver+-+6+Long&amp;qid=1694734735&amp;sr=8-1", "https://www.amazon.com/Malco-MSHXL14-Chuck-Driver-Inch/dp/B0028TB140/ref=sr_1_1?keywords=Malco+Tools+MSHXL14+1%2F4+Extra+Long+Magnetic+Hex+Chuck+Driver+-+6+Long&amp;qid=1694734735&amp;sr=8-1")</f>
        <v/>
      </c>
      <c r="F2069" t="inlineStr">
        <is>
          <t>B0028TB140</t>
        </is>
      </c>
      <c r="G2069">
        <f>_xlfn.IMAGE("https://edmondsonsupply.com/cdn/shop/products/mshxl14_catalog-000-big.jpg?v=1587147469")</f>
        <v/>
      </c>
      <c r="H2069">
        <f>_xlfn.IMAGE("https://m.media-amazon.com/images/I/51Tix0DBCCL._AC_UL320_.jpg")</f>
        <v/>
      </c>
      <c r="K2069" t="inlineStr">
        <is>
          <t>13.49</t>
        </is>
      </c>
      <c r="L2069" t="n">
        <v>17.17</v>
      </c>
      <c r="M2069" s="1" t="inlineStr">
        <is>
          <t>27.28%</t>
        </is>
      </c>
      <c r="N2069" s="7" t="n">
        <v>-24.86</v>
      </c>
      <c r="O2069" t="n">
        <v>4.7</v>
      </c>
      <c r="P2069" t="n">
        <v>580</v>
      </c>
      <c r="R2069" t="inlineStr">
        <is>
          <t>InStock</t>
        </is>
      </c>
      <c r="S2069" t="inlineStr">
        <is>
          <t>undefined</t>
        </is>
      </c>
      <c r="T2069" t="inlineStr">
        <is>
          <t>3680874692708</t>
        </is>
      </c>
    </row>
    <row r="2070" ht="87" customHeight="1">
      <c r="A2070" s="2">
        <f>HYPERLINK("https://edmondsonsupply.com/collections/hvac/products/fluke-373-true-rms-ac-clamp-meter", "https://edmondsonsupply.com/collections/hvac/products/fluke-373-true-rms-ac-clamp-meter")</f>
        <v/>
      </c>
      <c r="B2070" s="2">
        <f>HYPERLINK("https://edmondsonsupply.com/products/fluke-373-true-rms-ac-clamp-meter", "https://edmondsonsupply.com/products/fluke-373-true-rms-ac-clamp-meter")</f>
        <v/>
      </c>
      <c r="C2070" t="inlineStr">
        <is>
          <t>Fluke 373 True-RMS AC Clamp Meter</t>
        </is>
      </c>
      <c r="D2070" t="inlineStr">
        <is>
          <t>Fluke 374 FC 600A AC/DC TRMS Wireless Clamp Meter</t>
        </is>
      </c>
      <c r="E2070" s="2">
        <f>HYPERLINK("https://www.amazon.com/FLUKE-374-600A-Trms-Wireless-Clamp/dp/B017OVC2GW/ref=sr_1_13?keywords=Fluke+373+True-RMS+AC+Clamp+Meter&amp;qid=1694734920&amp;sr=8-13", "https://www.amazon.com/FLUKE-374-600A-Trms-Wireless-Clamp/dp/B017OVC2GW/ref=sr_1_13?keywords=Fluke+373+True-RMS+AC+Clamp+Meter&amp;qid=1694734920&amp;sr=8-13")</f>
        <v/>
      </c>
      <c r="F2070" t="inlineStr">
        <is>
          <t>B017OVC2GW</t>
        </is>
      </c>
      <c r="G2070">
        <f>_xlfn.IMAGE("https://edmondsonsupply.com/cdn/shop/files/f-373-01d-1500x1000.webp?v=1689369435")</f>
        <v/>
      </c>
      <c r="H2070">
        <f>_xlfn.IMAGE("https://m.media-amazon.com/images/I/71QwjWdgSDL._AC_UY218_.jpg")</f>
        <v/>
      </c>
      <c r="K2070" t="inlineStr">
        <is>
          <t>290.05</t>
        </is>
      </c>
      <c r="L2070" t="n">
        <v>369.01</v>
      </c>
      <c r="M2070" s="1" t="inlineStr">
        <is>
          <t>27.22%</t>
        </is>
      </c>
      <c r="N2070" s="7" t="n">
        <v>-25.01</v>
      </c>
      <c r="O2070" t="n">
        <v>4.6</v>
      </c>
      <c r="P2070" t="n">
        <v>126</v>
      </c>
      <c r="R2070" t="inlineStr">
        <is>
          <t>InStock</t>
        </is>
      </c>
      <c r="S2070" t="inlineStr">
        <is>
          <t>undefined</t>
        </is>
      </c>
      <c r="T2070" t="inlineStr">
        <is>
          <t>8016406773976</t>
        </is>
      </c>
    </row>
    <row r="2071" ht="87" customHeight="1">
      <c r="A2071" s="2">
        <f>HYPERLINK("https://edmondsonsupply.com/collections/hvac/products/malco-mshxlc-6", "https://edmondsonsupply.com/collections/hvac/products/malco-mshxlc-6")</f>
        <v/>
      </c>
      <c r="B2071" s="2">
        <f>HYPERLINK("https://edmondsonsupply.com/products/malco-mshxlc-6", "https://edmondsonsupply.com/products/malco-mshxlc-6")</f>
        <v/>
      </c>
      <c r="C2071" t="inlineStr">
        <is>
          <t>Malco Tools MSHXLC 6-Inch C-Rhex Cleanable, Reversible Magnetic Hex Driver, 1/4" &amp; 5/16"</t>
        </is>
      </c>
      <c r="D2071" t="inlineStr">
        <is>
          <t>Malco MSH2XLC2 C-RHEX® Building Construction Series Cleanable, Reversible Magnetic Hex Driver (1/4" &amp; 5/16")</t>
        </is>
      </c>
      <c r="E2071" s="2">
        <f>HYPERLINK("https://www.amazon.com/Malco-MSH2XLC2-Construction-Cleanable-Reversible/dp/B0BX79N2BV/ref=sr_1_10?keywords=Malco+Tools+MSHXLC+6-Inch+C-Rhex+Cleanable%2C+Reversible+Magnetic+Hex+Driver%2C+1%2F4&amp;qid=1694734630&amp;sr=8-10", "https://www.amazon.com/Malco-MSH2XLC2-Construction-Cleanable-Reversible/dp/B0BX79N2BV/ref=sr_1_10?keywords=Malco+Tools+MSHXLC+6-Inch+C-Rhex+Cleanable%2C+Reversible+Magnetic+Hex+Driver%2C+1%2F4&amp;qid=1694734630&amp;sr=8-10")</f>
        <v/>
      </c>
      <c r="F2071" t="inlineStr">
        <is>
          <t>B0BX79N2BV</t>
        </is>
      </c>
      <c r="G2071">
        <f>_xlfn.IMAGE("https://edmondsonsupply.com/cdn/shop/products/Malco-MSHXLC-CRHEX-Slim-Design.jpg?v=1668084662")</f>
        <v/>
      </c>
      <c r="H2071">
        <f>_xlfn.IMAGE("https://m.media-amazon.com/images/I/31odlSGS4kL._AC_UL320_.jpg")</f>
        <v/>
      </c>
      <c r="K2071" t="inlineStr">
        <is>
          <t>17.99</t>
        </is>
      </c>
      <c r="L2071" t="n">
        <v>22.86</v>
      </c>
      <c r="M2071" s="1" t="inlineStr">
        <is>
          <t>27.07%</t>
        </is>
      </c>
      <c r="N2071" s="7" t="n">
        <v>-25.01</v>
      </c>
      <c r="O2071" t="n">
        <v>5</v>
      </c>
      <c r="P2071" t="n">
        <v>1</v>
      </c>
      <c r="R2071" t="inlineStr">
        <is>
          <t>InStock</t>
        </is>
      </c>
      <c r="S2071" t="inlineStr">
        <is>
          <t>19.11</t>
        </is>
      </c>
      <c r="T2071" t="inlineStr">
        <is>
          <t>4102710394980</t>
        </is>
      </c>
    </row>
    <row r="2072" ht="87" customHeight="1">
      <c r="A2072" s="2">
        <f>HYPERLINK("https://edmondsonsupply.com/collections/hvac/products/ritchie-yellow-jacket-60652-eight-head-precision-torque-wrench-kit", "https://edmondsonsupply.com/collections/hvac/products/ritchie-yellow-jacket-60652-eight-head-precision-torque-wrench-kit")</f>
        <v/>
      </c>
      <c r="B2072" s="2">
        <f>HYPERLINK("https://edmondsonsupply.com/products/ritchie-yellow-jacket-60652-eight-head-precision-torque-wrench-kit", "https://edmondsonsupply.com/products/ritchie-yellow-jacket-60652-eight-head-precision-torque-wrench-kit")</f>
        <v/>
      </c>
      <c r="C2072" t="inlineStr">
        <is>
          <t>Yellow Jacket 60652 Eight Head Precision Torque Wrench Kit</t>
        </is>
      </c>
      <c r="D2072" t="inlineStr">
        <is>
          <t>YELLOW JACKET 60652 Eight Head Torque Wrench Kit</t>
        </is>
      </c>
      <c r="E2072" s="2">
        <f>HYPERLINK("https://www.amazon.com/YELLOW-JACKET-60652-Torque-Wrench/dp/B00IA2J4E8/ref=sr_1_1?keywords=Yellow+Jacket+60652+Eight+Head+Precision+Torque+Wrench+Kit&amp;qid=1694734634&amp;sr=8-1", "https://www.amazon.com/YELLOW-JACKET-60652-Torque-Wrench/dp/B00IA2J4E8/ref=sr_1_1?keywords=Yellow+Jacket+60652+Eight+Head+Precision+Torque+Wrench+Kit&amp;qid=1694734634&amp;sr=8-1")</f>
        <v/>
      </c>
      <c r="F2072" t="inlineStr">
        <is>
          <t>B00IA2J4E8</t>
        </is>
      </c>
      <c r="G2072">
        <f>_xlfn.IMAGE("https://edmondsonsupply.com/cdn/shop/products/precision-torque-wrench.jpg?v=1640296268")</f>
        <v/>
      </c>
      <c r="H2072">
        <f>_xlfn.IMAGE("https://m.media-amazon.com/images/I/61Z6Hhk3g5L._AC_UL320_.jpg")</f>
        <v/>
      </c>
      <c r="K2072" t="inlineStr">
        <is>
          <t>195.13</t>
        </is>
      </c>
      <c r="L2072" t="n">
        <v>247.95</v>
      </c>
      <c r="M2072" s="1" t="inlineStr">
        <is>
          <t>27.07%</t>
        </is>
      </c>
      <c r="N2072" s="7" t="n">
        <v>-25.02</v>
      </c>
      <c r="O2072" t="n">
        <v>4.4</v>
      </c>
      <c r="P2072" t="n">
        <v>204</v>
      </c>
      <c r="R2072" t="inlineStr">
        <is>
          <t>OutOfStock</t>
        </is>
      </c>
      <c r="S2072" t="inlineStr">
        <is>
          <t>undefined</t>
        </is>
      </c>
      <c r="T2072" t="inlineStr">
        <is>
          <t>2645153874020</t>
        </is>
      </c>
    </row>
    <row r="2073" ht="87" customHeight="1">
      <c r="A2073" s="2">
        <f>HYPERLINK("https://edmondsonsupply.com/collections/hvac/products/klein-tools-k12035-klein-kurve%C2%AE-heavy-duty-wire-stripper-8-20-awg", "https://edmondsonsupply.com/collections/hvac/products/klein-tools-k12035-klein-kurve%C2%AE-heavy-duty-wire-stripper-8-20-awg")</f>
        <v/>
      </c>
      <c r="B2073" s="2">
        <f>HYPERLINK("https://edmondsonsupply.com/products/klein-tools-k12035-klein-kurve%c2%ae-heavy-duty-wire-stripper-8-20-awg", "https://edmondsonsupply.com/products/klein-tools-k12035-klein-kurve%c2%ae-heavy-duty-wire-stripper-8-20-awg")</f>
        <v/>
      </c>
      <c r="C2073" t="inlineStr">
        <is>
          <t>Klein Tools K12035 Klein-Kurve® Heavy-Duty Wire Stripper 8-20 AWG</t>
        </is>
      </c>
      <c r="D2073" t="inlineStr">
        <is>
          <t>Klein Tools K12035 Klein-Kurve Wire Cutters, Heavy Duty Wire Stripping Tool &amp; 32581 4-in-1 Electronics Screwdriver Set with Precision Machines Bits: 2 Slotted, 2 Phillips, 4-Piece</t>
        </is>
      </c>
      <c r="E2073" s="2">
        <f>HYPERLINK("https://www.amazon.com/Klein-Tools-Klein-Kurve-Electronics-Screwdriver/dp/B09Z91XMF1/ref=sr_1_11?keywords=Klein+Tools+K12035+Klein-Kurve%C2%AE+Heavy-Duty+Wire+Stripper+8-20+AWG&amp;qid=1694734814&amp;sr=8-11", "https://www.amazon.com/Klein-Tools-Klein-Kurve-Electronics-Screwdriver/dp/B09Z91XMF1/ref=sr_1_11?keywords=Klein+Tools+K12035+Klein-Kurve%C2%AE+Heavy-Duty+Wire+Stripper+8-20+AWG&amp;qid=1694734814&amp;sr=8-11")</f>
        <v/>
      </c>
      <c r="F2073" t="inlineStr">
        <is>
          <t>B09Z91XMF1</t>
        </is>
      </c>
      <c r="G2073">
        <f>_xlfn.IMAGE("https://edmondsonsupply.com/cdn/shop/products/k12035_c.jpg?v=1678970768")</f>
        <v/>
      </c>
      <c r="H2073">
        <f>_xlfn.IMAGE("https://m.media-amazon.com/images/I/41-4krrkm2L._AC_UL320_.jpg")</f>
        <v/>
      </c>
      <c r="K2073" t="inlineStr">
        <is>
          <t>34.97</t>
        </is>
      </c>
      <c r="L2073" t="n">
        <v>44.29</v>
      </c>
      <c r="M2073" s="1" t="inlineStr">
        <is>
          <t>26.65%</t>
        </is>
      </c>
      <c r="N2073" s="7" t="n">
        <v>-25.14</v>
      </c>
      <c r="O2073" t="n">
        <v>4.6</v>
      </c>
      <c r="P2073" t="n">
        <v>616</v>
      </c>
      <c r="R2073" t="inlineStr">
        <is>
          <t>InStock</t>
        </is>
      </c>
      <c r="S2073" t="inlineStr">
        <is>
          <t>48.86</t>
        </is>
      </c>
      <c r="T2073" t="inlineStr">
        <is>
          <t>3699495665764</t>
        </is>
      </c>
    </row>
    <row r="2074" ht="87" customHeight="1">
      <c r="A2074" s="2">
        <f>HYPERLINK("https://edmondsonsupply.com/collections/hvac/products/robertshaw-rs8110-digital-non-programmable-thermostat-single-stage-1-heat-1-cool", "https://edmondsonsupply.com/collections/hvac/products/robertshaw-rs8110-digital-non-programmable-thermostat-single-stage-1-heat-1-cool")</f>
        <v/>
      </c>
      <c r="B2074" s="2">
        <f>HYPERLINK("https://edmondsonsupply.com/products/robertshaw-rs8110-digital-non-programmable-thermostat-single-stage-1-heat-1-cool", "https://edmondsonsupply.com/products/robertshaw-rs8110-digital-non-programmable-thermostat-single-stage-1-heat-1-cool")</f>
        <v/>
      </c>
      <c r="C2074" t="inlineStr">
        <is>
          <t>Robertshaw RS8110 Digital Non-Programmable Thermostat, Single Stage - 1 Heat/1 Cool</t>
        </is>
      </c>
      <c r="D2074" t="inlineStr">
        <is>
          <t>Robertshaw RS8210 Pro Series Non-Programmable Thermostat, Multi-Stage, 2 Heat / 1 Cool</t>
        </is>
      </c>
      <c r="E2074" s="2">
        <f>HYPERLINK("https://www.amazon.com/Robertshaw-Non-Programmable-Thermostat-Multi-Stage-Conventional/dp/B00U5CAN6O/ref=sr_1_7?keywords=Robertshaw+RS8110+Digital+Non-Programmable+Thermostat%2C+Single+Stage+-+1+Heat%2F1+Cool&amp;qid=1694734638&amp;sr=8-7", "https://www.amazon.com/Robertshaw-Non-Programmable-Thermostat-Multi-Stage-Conventional/dp/B00U5CAN6O/ref=sr_1_7?keywords=Robertshaw+RS8110+Digital+Non-Programmable+Thermostat%2C+Single+Stage+-+1+Heat%2F1+Cool&amp;qid=1694734638&amp;sr=8-7")</f>
        <v/>
      </c>
      <c r="F2074" t="inlineStr">
        <is>
          <t>B00U5CAN6O</t>
        </is>
      </c>
      <c r="G2074">
        <f>_xlfn.IMAGE("https://edmondsonsupply.com/cdn/shop/products/RS8110.jpg?v=1633031027")</f>
        <v/>
      </c>
      <c r="H2074">
        <f>_xlfn.IMAGE("https://m.media-amazon.com/images/I/715RZLigtNL._AC_UL320_.jpg")</f>
        <v/>
      </c>
      <c r="K2074" t="inlineStr">
        <is>
          <t>32.96</t>
        </is>
      </c>
      <c r="L2074" t="n">
        <v>41.7</v>
      </c>
      <c r="M2074" s="1" t="inlineStr">
        <is>
          <t>26.52%</t>
        </is>
      </c>
      <c r="N2074" s="7" t="n">
        <v>-25.22</v>
      </c>
      <c r="O2074" t="n">
        <v>4.1</v>
      </c>
      <c r="P2074" t="n">
        <v>20</v>
      </c>
      <c r="R2074" t="inlineStr">
        <is>
          <t>InStock</t>
        </is>
      </c>
      <c r="S2074" t="inlineStr">
        <is>
          <t>61.37</t>
        </is>
      </c>
      <c r="T2074" t="inlineStr">
        <is>
          <t>6728860827821</t>
        </is>
      </c>
    </row>
    <row r="2075" hidden="1" ht="15.75" customHeight="1">
      <c r="A2075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075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075" t="inlineStr">
        <is>
          <t>Klein Tools 605-6 1/4-Inch Cabinet Tip Screwdriver, Heavy Duty, 6-Inch</t>
        </is>
      </c>
      <c r="D2075" t="inlineStr">
        <is>
          <t>Klein Tools 602-6 5/16-Inch Keystone Tip Screwdriver, 6-Inch Heavy Duty Round Shank with Cushion Grip Handle</t>
        </is>
      </c>
      <c r="E2075" s="2">
        <f>HYPERLINK("https://www.amazon.com/Keystone-Screwdriver-Klein-Tools-602-6/dp/B0000302WW/ref=sr_1_7?keywords=Klein+Tools+605-6+1%2F4-Inch+Cabinet+Tip+Screwdriver%2C+Heavy+Duty%2C+6-Inch&amp;qid=1694734725&amp;sr=8-7", "https://www.amazon.com/Keystone-Screwdriver-Klein-Tools-602-6/dp/B0000302WW/ref=sr_1_7?keywords=Klein+Tools+605-6+1%2F4-Inch+Cabinet+Tip+Screwdriver%2C+Heavy+Duty%2C+6-Inch&amp;qid=1694734725&amp;sr=8-7")</f>
        <v/>
      </c>
      <c r="F2075" t="inlineStr">
        <is>
          <t>B0000302WW</t>
        </is>
      </c>
      <c r="G2075">
        <f>_xludf.IMAGE("https://edmondsonsupply.com/cdn/shop/products/605-6.jpg?v=1587149759")</f>
        <v/>
      </c>
      <c r="H2075">
        <f>_xludf.IMAGE("https://m.media-amazon.com/images/I/51yw04G5ZvL._AC_UL320_.jpg")</f>
        <v/>
      </c>
      <c r="K2075" t="inlineStr">
        <is>
          <t>9.49</t>
        </is>
      </c>
      <c r="L2075" t="n">
        <v>11.99</v>
      </c>
      <c r="M2075" s="1" t="inlineStr">
        <is>
          <t>26.34%</t>
        </is>
      </c>
      <c r="N2075" s="1" t="n">
        <v>-25.27</v>
      </c>
      <c r="O2075" t="n">
        <v>4.8</v>
      </c>
      <c r="P2075" t="n">
        <v>879</v>
      </c>
      <c r="R2075" t="inlineStr">
        <is>
          <t>InStock</t>
        </is>
      </c>
      <c r="S2075" t="inlineStr">
        <is>
          <t>14.38</t>
        </is>
      </c>
      <c r="T2075" t="inlineStr">
        <is>
          <t>4512371310692</t>
        </is>
      </c>
    </row>
    <row r="2076" hidden="1" ht="15.75" customHeight="1">
      <c r="A2076" s="2">
        <f>HYPERLINK("https://edmondsonsupply.com/collections/hvac/products/packard-titan-pro-trcd305-run-capacitor-30-5-mfd-370-volt-round", "https://edmondsonsupply.com/collections/hvac/products/packard-titan-pro-trcd305-run-capacitor-30-5-mfd-370-volt-round")</f>
        <v/>
      </c>
      <c r="B2076" s="2">
        <f>HYPERLINK("https://edmondsonsupply.com/products/packard-titan-pro-trcd305-run-capacitor-30-5-mfd-370-volt-round", "https://edmondsonsupply.com/products/packard-titan-pro-trcd305-run-capacitor-30-5-mfd-370-volt-round")</f>
        <v/>
      </c>
      <c r="C2076" t="inlineStr">
        <is>
          <t>Packard Titan PRO TRCD305 Run Capacitor 30+5 MFD 370 Volt Round</t>
        </is>
      </c>
      <c r="D2076" t="inlineStr">
        <is>
          <t>PACKARD TRCD455 Titan Pro 45 MFD 370V Round Run Capacitor Replaces PRCD455 by PACKARD TRCD455 Titan Pro 45 MFD 370V Round Run Capacitor Replaces PRCD455</t>
        </is>
      </c>
      <c r="E2076" s="2">
        <f>HYPERLINK("https://www.amazon.com/PACKARD-TRCD455-Capacitor-Replaces-PRCD455/dp/B01IU7YGT0/ref=sr_1_8?keywords=Packard+Titan+PRO+TRCD305+Run+Capacitor+30%2B5+MFD+370+Volt+Round&amp;qid=1694734786&amp;sr=8-8", "https://www.amazon.com/PACKARD-TRCD455-Capacitor-Replaces-PRCD455/dp/B01IU7YGT0/ref=sr_1_8?keywords=Packard+Titan+PRO+TRCD305+Run+Capacitor+30%2B5+MFD+370+Volt+Round&amp;qid=1694734786&amp;sr=8-8")</f>
        <v/>
      </c>
      <c r="F2076" t="inlineStr">
        <is>
          <t>B01IU7YGT0</t>
        </is>
      </c>
      <c r="G2076">
        <f>_xludf.IMAGE("https://edmondsonsupply.com/cdn/shop/products/TRCD305-2.jpg?v=1633030487")</f>
        <v/>
      </c>
      <c r="H2076">
        <f>_xludf.IMAGE("https://m.media-amazon.com/images/I/41FHysaaRIL._AC_UY218_.jpg")</f>
        <v/>
      </c>
      <c r="K2076" t="inlineStr">
        <is>
          <t>7.92</t>
        </is>
      </c>
      <c r="L2076" t="n">
        <v>10</v>
      </c>
      <c r="M2076" s="1" t="inlineStr">
        <is>
          <t>26.26%</t>
        </is>
      </c>
      <c r="N2076" s="1" t="n">
        <v>-25.34</v>
      </c>
      <c r="O2076" t="n">
        <v>5</v>
      </c>
      <c r="P2076" t="n">
        <v>1</v>
      </c>
      <c r="R2076" t="inlineStr">
        <is>
          <t>InStock</t>
        </is>
      </c>
      <c r="S2076" t="inlineStr">
        <is>
          <t>undefined</t>
        </is>
      </c>
      <c r="T2076" t="inlineStr">
        <is>
          <t>5373456646312</t>
        </is>
      </c>
    </row>
    <row r="2077" ht="87" customHeight="1">
      <c r="A2077" s="2">
        <f>HYPERLINK("https://edmondsonsupply.com/collections/hvac/products/appion-ctee14-megaseal-low-loss-charging-t-fitting-1-4in-fl", "https://edmondsonsupply.com/collections/hvac/products/appion-ctee14-megaseal-low-loss-charging-t-fitting-1-4in-fl")</f>
        <v/>
      </c>
      <c r="B2077" s="2">
        <f>HYPERLINK("https://edmondsonsupply.com/products/appion-ctee14-megaseal-low-loss-charging-t-fitting-1-4in-fl", "https://edmondsonsupply.com/products/appion-ctee14-megaseal-low-loss-charging-t-fitting-1-4in-fl")</f>
        <v/>
      </c>
      <c r="C2077" t="inlineStr">
        <is>
          <t>Appion CTEE14 MegaSeal Low-Loss Charging T-Fitting 1/4in FL</t>
        </is>
      </c>
      <c r="D2077" t="inlineStr">
        <is>
          <t>Appion CTEE14 - MegaSeal Low-Loss Charging T-Fitting 1/4in FL</t>
        </is>
      </c>
      <c r="E2077" s="2">
        <f>HYPERLINK("https://www.amazon.com/Appion-MegaSeal-Low-Loss-Charging-T-Fitting/dp/B07CZ3V566/ref=sr_1_1?keywords=Appion+CTEE14+MegaSeal+Low-Loss+Charging+T-Fitting+1%2F4in+FL&amp;qid=1694734612&amp;sr=8-1", "https://www.amazon.com/Appion-MegaSeal-Low-Loss-Charging-T-Fitting/dp/B07CZ3V566/ref=sr_1_1?keywords=Appion+CTEE14+MegaSeal+Low-Loss+Charging+T-Fitting+1%2F4in+FL&amp;qid=1694734612&amp;sr=8-1")</f>
        <v/>
      </c>
      <c r="F2077" t="inlineStr">
        <is>
          <t>B07CZ3V566</t>
        </is>
      </c>
      <c r="G2077">
        <f>_xlfn.IMAGE("https://edmondsonsupply.com/cdn/shop/products/CTEE14_1080.png?v=1678496277")</f>
        <v/>
      </c>
      <c r="H2077">
        <f>_xlfn.IMAGE("https://m.media-amazon.com/images/I/415dEuy1meL._AC_UL320_.jpg")</f>
        <v/>
      </c>
      <c r="K2077" t="inlineStr">
        <is>
          <t>49.99</t>
        </is>
      </c>
      <c r="L2077" t="n">
        <v>63.1</v>
      </c>
      <c r="M2077" s="1" t="inlineStr">
        <is>
          <t>26.23%</t>
        </is>
      </c>
      <c r="N2077" s="7" t="n">
        <v>-25.53</v>
      </c>
      <c r="O2077" t="n">
        <v>4.5</v>
      </c>
      <c r="P2077" t="n">
        <v>169</v>
      </c>
      <c r="R2077" t="inlineStr">
        <is>
          <t>InStock</t>
        </is>
      </c>
      <c r="S2077" t="inlineStr">
        <is>
          <t>59.99</t>
        </is>
      </c>
      <c r="T2077" t="inlineStr">
        <is>
          <t>7959631659224</t>
        </is>
      </c>
    </row>
    <row r="2078" ht="87" customHeight="1">
      <c r="A2078" s="2">
        <f>HYPERLINK("https://edmondsonsupply.com/collections/hvac/products/midwest-mwt-6716rls-left-right-straight-aviation-3-piece-set", "https://edmondsonsupply.com/collections/hvac/products/midwest-mwt-6716rls-left-right-straight-aviation-3-piece-set")</f>
        <v/>
      </c>
      <c r="B2078" s="2">
        <f>HYPERLINK("https://edmondsonsupply.com/products/midwest-mwt-6716rls-left-right-straight-aviation-3-piece-set", "https://edmondsonsupply.com/products/midwest-mwt-6716rls-left-right-straight-aviation-3-piece-set")</f>
        <v/>
      </c>
      <c r="C2078" t="inlineStr">
        <is>
          <t>Midwest MWT-6716RLS Left, Right &amp; Straight Aviation 3-Piece Set</t>
        </is>
      </c>
      <c r="D2078" t="inlineStr">
        <is>
          <t>MIDWEST Aviation Snip Set - Left, Right and Straight Cut Regular Tin Cutting Shears with Forged Blade &amp; KUSH'N-POWER Comfort Grips - MW-P6716RLS</t>
        </is>
      </c>
      <c r="E2078" s="2">
        <f>HYPERLINK("https://www.amazon.com/MIDWEST-Aviation-Snip-Set-KUSHN-POWER/dp/B003IWDQR6/ref=sr_1_1?keywords=Midwest+MWT-6716RLS+Left%2C+Right+%26+Straight+Aviation+3-Piece+Set&amp;qid=1694734667&amp;sr=8-1", "https://www.amazon.com/MIDWEST-Aviation-Snip-Set-KUSHN-POWER/dp/B003IWDQR6/ref=sr_1_1?keywords=Midwest+MWT-6716RLS+Left%2C+Right+%26+Straight+Aviation+3-Piece+Set&amp;qid=1694734667&amp;sr=8-1")</f>
        <v/>
      </c>
      <c r="F2078" t="inlineStr">
        <is>
          <t>B003IWDQR6</t>
        </is>
      </c>
      <c r="G2078">
        <f>_xlfn.IMAGE("https://edmondsonsupply.com/cdn/shop/products/MW-P6716RLS.jpg?v=1587144680")</f>
        <v/>
      </c>
      <c r="H2078">
        <f>_xlfn.IMAGE("https://m.media-amazon.com/images/I/71eotZZ9UtL._AC_UL320_.jpg")</f>
        <v/>
      </c>
      <c r="K2078" t="inlineStr">
        <is>
          <t>63.99</t>
        </is>
      </c>
      <c r="L2078" t="n">
        <v>80.75</v>
      </c>
      <c r="M2078" s="1" t="inlineStr">
        <is>
          <t>26.19%</t>
        </is>
      </c>
      <c r="N2078" s="7" t="n">
        <v>-25.97</v>
      </c>
      <c r="O2078" t="n">
        <v>4.4</v>
      </c>
      <c r="P2078" t="n">
        <v>575</v>
      </c>
      <c r="R2078" t="inlineStr">
        <is>
          <t>InStock</t>
        </is>
      </c>
      <c r="S2078" t="inlineStr">
        <is>
          <t>87.87</t>
        </is>
      </c>
      <c r="T2078" t="inlineStr">
        <is>
          <t>4508640870500</t>
        </is>
      </c>
    </row>
    <row r="2079" ht="87" customHeight="1">
      <c r="A2079" s="2">
        <f>HYPERLINK("https://edmondsonsupply.com/collections/hvac/products/nu-calgon-4179-20-gallo-gun-mag-20-co2-cartridge-12-cartridges", "https://edmondsonsupply.com/collections/hvac/products/nu-calgon-4179-20-gallo-gun-mag-20-co2-cartridge-12-cartridges")</f>
        <v/>
      </c>
      <c r="B2079" s="2">
        <f>HYPERLINK("https://edmondsonsupply.com/products/nu-calgon-4179-20-gallo-gun-mag-20-co2-cartridge-12-cartridges", "https://edmondsonsupply.com/products/nu-calgon-4179-20-gallo-gun-mag-20-co2-cartridge-12-cartridges")</f>
        <v/>
      </c>
      <c r="C2079" t="inlineStr">
        <is>
          <t>Nu-Calgon 4179-20 Gallo Gun Mag 20 CO2 cartridge, 12 cartridges</t>
        </is>
      </c>
      <c r="D2079" t="inlineStr">
        <is>
          <t>Nu-Calgon 4179-20 Includes (12)-20g Mag 20 CO2 Cartridges, Piece</t>
        </is>
      </c>
      <c r="E2079" s="2">
        <f>HYPERLINK("https://www.amazon.com/Nu-Calgon-4179-20-20g-Cartridges-Piece/dp/B0BSG2CY6V/ref=sr_1_2?keywords=Nu-Calgon+4179-20+Gallo+Gun+Mag+20+CO2+cartridge%2C+12+cartridges&amp;qid=1694734592&amp;sr=8-2", "https://www.amazon.com/Nu-Calgon-4179-20-20g-Cartridges-Piece/dp/B0BSG2CY6V/ref=sr_1_2?keywords=Nu-Calgon+4179-20+Gallo+Gun+Mag+20+CO2+cartridge%2C+12+cartridges&amp;qid=1694734592&amp;sr=8-2")</f>
        <v/>
      </c>
      <c r="F2079" t="inlineStr">
        <is>
          <t>B0BSG2CY6V</t>
        </is>
      </c>
      <c r="G2079">
        <f>_xlfn.IMAGE("https://edmondsonsupply.com/cdn/shop/products/4179-20_20210322.jpg?v=1659368916")</f>
        <v/>
      </c>
      <c r="H2079">
        <f>_xlfn.IMAGE("https://m.media-amazon.com/images/I/71ULfKwjXSL._AC_UL320_.jpg")</f>
        <v/>
      </c>
      <c r="K2079" t="inlineStr">
        <is>
          <t>37.19</t>
        </is>
      </c>
      <c r="L2079" t="n">
        <v>46.91</v>
      </c>
      <c r="M2079" s="1" t="inlineStr">
        <is>
          <t>26.14%</t>
        </is>
      </c>
      <c r="N2079" s="7" t="n">
        <v>-26.54</v>
      </c>
      <c r="O2079" t="n">
        <v>5</v>
      </c>
      <c r="P2079" t="n">
        <v>1</v>
      </c>
      <c r="R2079" t="inlineStr">
        <is>
          <t>InStock</t>
        </is>
      </c>
      <c r="S2079" t="inlineStr">
        <is>
          <t>53.38</t>
        </is>
      </c>
      <c r="T2079" t="inlineStr">
        <is>
          <t>7769336840408</t>
        </is>
      </c>
    </row>
    <row r="2080" hidden="1" ht="15.75" customHeight="1">
      <c r="A2080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080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080" t="inlineStr">
        <is>
          <t>Klein Tools 605-6 1/4-Inch Cabinet Tip Screwdriver, Heavy Duty, 6-Inch</t>
        </is>
      </c>
      <c r="D2080" t="inlineStr">
        <is>
          <t>Klein Tools 6816INS Insulated Screwdriver, 1000V 3/16-Inch Cabinet Tip Screwdriver with 6-Inch Shank, Tip-Ident, Cushion-Grip Handle</t>
        </is>
      </c>
      <c r="E2080" s="2">
        <f>HYPERLINK("https://www.amazon.com/Klein-Tools-6816INS-Screwdriver-Cushion-Grip/dp/B0BF7JHR5X/ref=sr_1_29?keywords=Klein+Tools+605-6+1%2F4-Inch+Cabinet+Tip+Screwdriver%2C+Heavy+Duty%2C+6-Inch&amp;qid=1694734725&amp;sr=8-29", "https://www.amazon.com/Klein-Tools-6816INS-Screwdriver-Cushion-Grip/dp/B0BF7JHR5X/ref=sr_1_29?keywords=Klein+Tools+605-6+1%2F4-Inch+Cabinet+Tip+Screwdriver%2C+Heavy+Duty%2C+6-Inch&amp;qid=1694734725&amp;sr=8-29")</f>
        <v/>
      </c>
      <c r="F2080" t="inlineStr">
        <is>
          <t>B0BF7JHR5X</t>
        </is>
      </c>
      <c r="G2080">
        <f>_xludf.IMAGE("https://edmondsonsupply.com/cdn/shop/products/605-6.jpg?v=1587149759")</f>
        <v/>
      </c>
      <c r="H2080">
        <f>_xludf.IMAGE("https://m.media-amazon.com/images/I/31ngLMMA6xL._AC_UL320_.jpg")</f>
        <v/>
      </c>
      <c r="K2080" t="inlineStr">
        <is>
          <t>9.49</t>
        </is>
      </c>
      <c r="L2080" t="n">
        <v>11.97</v>
      </c>
      <c r="M2080" s="1" t="inlineStr">
        <is>
          <t>26.13%</t>
        </is>
      </c>
      <c r="N2080" s="1" t="n">
        <v>-26.64</v>
      </c>
      <c r="O2080" t="n">
        <v>4</v>
      </c>
      <c r="P2080" t="n">
        <v>6</v>
      </c>
      <c r="R2080" t="inlineStr">
        <is>
          <t>InStock</t>
        </is>
      </c>
      <c r="S2080" t="inlineStr">
        <is>
          <t>14.38</t>
        </is>
      </c>
      <c r="T2080" t="inlineStr">
        <is>
          <t>4512371310692</t>
        </is>
      </c>
    </row>
    <row r="2081" hidden="1" ht="15.75" customHeight="1">
      <c r="A2081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081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081" t="inlineStr">
        <is>
          <t>Klein Tools 605-6 1/4-Inch Cabinet Tip Screwdriver, Heavy Duty, 6-Inch</t>
        </is>
      </c>
      <c r="D2081" t="inlineStr">
        <is>
          <t>Klein Tools 6866INS Insulated Screwdriver, 1000V 5/16-Inch Cabinet Tip, Screwdriver with 6-Inch Shank, Tip-Ident, Cushion-Grip Handle</t>
        </is>
      </c>
      <c r="E2081" s="2">
        <f>HYPERLINK("https://www.amazon.com/Klein-Tools-6866INS-Screwdriver-Cushion-Grip/dp/B0BF73PSWC/ref=sr_1_6?keywords=Klein+Tools+605-6+1%2F4-Inch+Cabinet+Tip+Screwdriver%2C+Heavy+Duty%2C+6-Inch&amp;qid=1694734725&amp;sr=8-6", "https://www.amazon.com/Klein-Tools-6866INS-Screwdriver-Cushion-Grip/dp/B0BF73PSWC/ref=sr_1_6?keywords=Klein+Tools+605-6+1%2F4-Inch+Cabinet+Tip+Screwdriver%2C+Heavy+Duty%2C+6-Inch&amp;qid=1694734725&amp;sr=8-6")</f>
        <v/>
      </c>
      <c r="F2081" t="inlineStr">
        <is>
          <t>B0BF73PSWC</t>
        </is>
      </c>
      <c r="G2081">
        <f>_xludf.IMAGE("https://edmondsonsupply.com/cdn/shop/products/605-6.jpg?v=1587149759")</f>
        <v/>
      </c>
      <c r="H2081">
        <f>_xludf.IMAGE("https://m.media-amazon.com/images/I/41Sx5h6xG-L._AC_UL320_.jpg")</f>
        <v/>
      </c>
      <c r="K2081" t="inlineStr">
        <is>
          <t>9.49</t>
        </is>
      </c>
      <c r="L2081" t="n">
        <v>11.97</v>
      </c>
      <c r="M2081" s="1" t="inlineStr">
        <is>
          <t>26.13%</t>
        </is>
      </c>
      <c r="N2081" s="1" t="n">
        <v>-26.69</v>
      </c>
      <c r="O2081" t="n">
        <v>4.9</v>
      </c>
      <c r="P2081" t="n">
        <v>202</v>
      </c>
      <c r="R2081" t="inlineStr">
        <is>
          <t>InStock</t>
        </is>
      </c>
      <c r="S2081" t="inlineStr">
        <is>
          <t>14.38</t>
        </is>
      </c>
      <c r="T2081" t="inlineStr">
        <is>
          <t>4512371310692</t>
        </is>
      </c>
    </row>
    <row r="2082" hidden="1" ht="15.75" customHeight="1">
      <c r="A2082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082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082" t="inlineStr">
        <is>
          <t>Klein Tools 605-6 1/4-Inch Cabinet Tip Screwdriver, Heavy Duty, 6-Inch</t>
        </is>
      </c>
      <c r="D2082" t="inlineStr">
        <is>
          <t>Klein Tools 6826INS Insulated Screwdriver, 1000V 1/4-Inch Cabinet Tip Screwdriver with 6-Inch Shank, Tip-Ident, Cushion-Grip Handle</t>
        </is>
      </c>
      <c r="E2082" s="2">
        <f>HYPERLINK("https://www.amazon.com/Klein-Tools-6826INS-Screwdriver-Cushion-Grip/dp/B0BF79W49J/ref=sr_1_28?keywords=Klein+Tools+605-6+1%2F4-Inch+Cabinet+Tip+Screwdriver%2C+Heavy+Duty%2C+6-Inch&amp;qid=1694734725&amp;sr=8-28", "https://www.amazon.com/Klein-Tools-6826INS-Screwdriver-Cushion-Grip/dp/B0BF79W49J/ref=sr_1_28?keywords=Klein+Tools+605-6+1%2F4-Inch+Cabinet+Tip+Screwdriver%2C+Heavy+Duty%2C+6-Inch&amp;qid=1694734725&amp;sr=8-28")</f>
        <v/>
      </c>
      <c r="F2082" t="inlineStr">
        <is>
          <t>B0BF79W49J</t>
        </is>
      </c>
      <c r="G2082">
        <f>_xludf.IMAGE("https://edmondsonsupply.com/cdn/shop/products/605-6.jpg?v=1587149759")</f>
        <v/>
      </c>
      <c r="H2082">
        <f>_xludf.IMAGE("https://m.media-amazon.com/images/I/41dJ6lRyHyL._AC_UL320_.jpg")</f>
        <v/>
      </c>
      <c r="K2082" t="inlineStr">
        <is>
          <t>9.49</t>
        </is>
      </c>
      <c r="L2082" t="n">
        <v>11.97</v>
      </c>
      <c r="M2082" s="1" t="inlineStr">
        <is>
          <t>26.13%</t>
        </is>
      </c>
      <c r="N2082" s="1" t="n">
        <v>-26.86</v>
      </c>
      <c r="O2082" t="n">
        <v>4.9</v>
      </c>
      <c r="P2082" t="n">
        <v>9</v>
      </c>
      <c r="R2082" t="inlineStr">
        <is>
          <t>InStock</t>
        </is>
      </c>
      <c r="S2082" t="inlineStr">
        <is>
          <t>14.38</t>
        </is>
      </c>
      <c r="T2082" t="inlineStr">
        <is>
          <t>4512371310692</t>
        </is>
      </c>
    </row>
    <row r="2083" ht="87" customHeight="1">
      <c r="A2083" s="2">
        <f>HYPERLINK("https://edmondsonsupply.com/collections/hvac/products/cps-bfs300-blackmax%C2%AE-flaring-swaging-tool", "https://edmondsonsupply.com/collections/hvac/products/cps-bfs300-blackmax%C2%AE-flaring-swaging-tool")</f>
        <v/>
      </c>
      <c r="B2083" s="2">
        <f>HYPERLINK("https://edmondsonsupply.com/products/cps-bfs300-blackmax%c2%ae-flaring-swaging-tool", "https://edmondsonsupply.com/products/cps-bfs300-blackmax%c2%ae-flaring-swaging-tool")</f>
        <v/>
      </c>
      <c r="C2083" t="inlineStr">
        <is>
          <t>CPS BFS300QC Blackmax® Flaring &amp; Swaging Tool</t>
        </is>
      </c>
      <c r="D2083" t="inlineStr">
        <is>
          <t>CPS BFS300QC 45˚ Flaring and Swaging Tool w/Quick Change Feature; 1/4", 5/16, 3/8, 1/2, 5/8, 3/4" O.D. Tube</t>
        </is>
      </c>
      <c r="E2083" s="2">
        <f>HYPERLINK("https://www.amazon.com/CPS-BFS300QC-BlackMax-Flaring-Swaging/dp/B08K3Q8K6K/ref=sr_1_1?keywords=CPS+BFS300QC+Blackmax%C2%AE+Flaring+%26+Swaging+Tool&amp;qid=1694734776&amp;sr=8-1", "https://www.amazon.com/CPS-BFS300QC-BlackMax-Flaring-Swaging/dp/B08K3Q8K6K/ref=sr_1_1?keywords=CPS+BFS300QC+Blackmax%C2%AE+Flaring+%26+Swaging+Tool&amp;qid=1694734776&amp;sr=8-1")</f>
        <v/>
      </c>
      <c r="F2083" t="inlineStr">
        <is>
          <t>B08K3Q8K6K</t>
        </is>
      </c>
      <c r="G2083">
        <f>_xlfn.IMAGE("https://edmondsonsupply.com/cdn/shop/products/BFS300QC-c-1.jpg?v=1633031099")</f>
        <v/>
      </c>
      <c r="H2083">
        <f>_xlfn.IMAGE("https://m.media-amazon.com/images/I/71XaYRPbG+L._AC_UL320_.jpg")</f>
        <v/>
      </c>
      <c r="K2083" t="inlineStr">
        <is>
          <t>142.55</t>
        </is>
      </c>
      <c r="L2083" t="n">
        <v>179.72</v>
      </c>
      <c r="M2083" s="1" t="inlineStr">
        <is>
          <t>26.08%</t>
        </is>
      </c>
      <c r="N2083" s="7" t="n">
        <v>-26.93</v>
      </c>
      <c r="O2083" t="n">
        <v>5</v>
      </c>
      <c r="P2083" t="n">
        <v>4</v>
      </c>
      <c r="R2083" t="inlineStr">
        <is>
          <t>InStock</t>
        </is>
      </c>
      <c r="S2083" t="inlineStr">
        <is>
          <t>164.48</t>
        </is>
      </c>
      <c r="T2083" t="inlineStr">
        <is>
          <t>6844101591213</t>
        </is>
      </c>
    </row>
    <row r="2084" hidden="1" ht="15.75" customHeight="1">
      <c r="A2084" s="2">
        <f>HYPERLINK("https://edmondsonsupply.com/collections/hvac/products/accutools-s10735-core-removal-tool-1-4", "https://edmondsonsupply.com/collections/hvac/products/accutools-s10735-core-removal-tool-1-4")</f>
        <v/>
      </c>
      <c r="B2084" s="2">
        <f>HYPERLINK("https://edmondsonsupply.com/products/accutools-s10735-core-removal-tool-1-4", "https://edmondsonsupply.com/products/accutools-s10735-core-removal-tool-1-4")</f>
        <v/>
      </c>
      <c r="C2084" t="inlineStr">
        <is>
          <t>AccuTools S10735 Core Removal Tool, 1/4"</t>
        </is>
      </c>
      <c r="D2084" t="inlineStr">
        <is>
          <t>hilmor Valve Core Removal Tool, 1/4", 1947967</t>
        </is>
      </c>
      <c r="E2084" s="2">
        <f>HYPERLINK("https://www.amazon.com/hilmor-Valve-Core-Removal-1947967/dp/B06WVH3KHL/ref=sr_1_8?keywords=AccuTools+S10735+Core+Removal+Tool%2C+1%2F4%22&amp;qid=1694734777&amp;sr=8-8", "https://www.amazon.com/hilmor-Valve-Core-Removal-1947967/dp/B06WVH3KHL/ref=sr_1_8?keywords=AccuTools+S10735+Core+Removal+Tool%2C+1%2F4%22&amp;qid=1694734777&amp;sr=8-8")</f>
        <v/>
      </c>
      <c r="F2084" t="inlineStr">
        <is>
          <t>B06WVH3KHL</t>
        </is>
      </c>
      <c r="G2084">
        <f>_xludf.IMAGE("https://edmondsonsupply.com/cdn/shop/products/S10735-1.jpg?v=1633030861")</f>
        <v/>
      </c>
      <c r="H2084">
        <f>_xludf.IMAGE("https://m.media-amazon.com/images/I/71hWJ76GwoL._AC_UL320_.jpg")</f>
        <v/>
      </c>
      <c r="K2084" t="inlineStr">
        <is>
          <t>59.95</t>
        </is>
      </c>
      <c r="L2084" t="n">
        <v>75.53</v>
      </c>
      <c r="M2084" s="1" t="inlineStr">
        <is>
          <t>25.99%</t>
        </is>
      </c>
      <c r="N2084" s="1" t="n">
        <v>-26.95</v>
      </c>
      <c r="O2084" t="n">
        <v>3.4</v>
      </c>
      <c r="P2084" t="n">
        <v>54</v>
      </c>
      <c r="R2084" t="inlineStr">
        <is>
          <t>InStock</t>
        </is>
      </c>
      <c r="S2084" t="inlineStr">
        <is>
          <t>undefined</t>
        </is>
      </c>
      <c r="T2084" t="inlineStr">
        <is>
          <t>6120779972781</t>
        </is>
      </c>
    </row>
    <row r="2085" hidden="1" ht="15.75" customHeight="1">
      <c r="A2085" s="2">
        <f>HYPERLINK("https://edmondsonsupply.com/collections/hvac/products/icm-controls-icm493-single-phase-line-voltage-monitor-with-surge-protection", "https://edmondsonsupply.com/collections/hvac/products/icm-controls-icm493-single-phase-line-voltage-monitor-with-surge-protection")</f>
        <v/>
      </c>
      <c r="B2085" s="2">
        <f>HYPERLINK("https://edmondsonsupply.com/products/icm-controls-icm493-single-phase-line-voltage-monitor-with-surge-protection", "https://edmondsonsupply.com/products/icm-controls-icm493-single-phase-line-voltage-monitor-with-surge-protection")</f>
        <v/>
      </c>
      <c r="C2085" t="inlineStr">
        <is>
          <t>ICM Controls ICM493 Single Phase Line Voltage Monitor with Surge Protection</t>
        </is>
      </c>
      <c r="D2085" t="inlineStr">
        <is>
          <t>ICM ICM493 Advanced Single-Phase line Voltage Monitor with a Bank of Surge arresters for Added Protection Against Lightning Strikes. Includes a Built-in 40A contactor. Ideal for Mini-Splits or Other</t>
        </is>
      </c>
      <c r="E2085" s="2">
        <f>HYPERLINK("https://www.amazon.com/ICM-Single-Phase-Protection-contactor-Mini-Splits/dp/B07SZ45HQH/ref=sr_1_2?keywords=ICM+Controls+ICM493+Single+Phase+Line+Voltage+Monitor+with+Surge+Protection&amp;qid=1694734609&amp;sr=8-2", "https://www.amazon.com/ICM-Single-Phase-Protection-contactor-Mini-Splits/dp/B07SZ45HQH/ref=sr_1_2?keywords=ICM+Controls+ICM493+Single+Phase+Line+Voltage+Monitor+with+Surge+Protection&amp;qid=1694734609&amp;sr=8-2")</f>
        <v/>
      </c>
      <c r="F2085" t="inlineStr">
        <is>
          <t>B07SZ45HQH</t>
        </is>
      </c>
      <c r="G2085">
        <f>_xludf.IMAGE("https://edmondsonsupply.com/cdn/shop/files/ICM493-Path-Color.webp?v=1683757575")</f>
        <v/>
      </c>
      <c r="H2085">
        <f>_xludf.IMAGE("https://m.media-amazon.com/images/I/41b2VVsBxRL._AC_UL320_.jpg")</f>
        <v/>
      </c>
      <c r="K2085" t="inlineStr">
        <is>
          <t>241.89</t>
        </is>
      </c>
      <c r="L2085" t="n">
        <v>304.72</v>
      </c>
      <c r="M2085" s="1" t="inlineStr">
        <is>
          <t>25.97%</t>
        </is>
      </c>
      <c r="N2085" s="1" t="n">
        <v>-26.97</v>
      </c>
      <c r="O2085" t="n">
        <v>1</v>
      </c>
      <c r="P2085" t="n">
        <v>1</v>
      </c>
      <c r="R2085" t="inlineStr">
        <is>
          <t>InStock</t>
        </is>
      </c>
      <c r="S2085" t="inlineStr">
        <is>
          <t>272.02</t>
        </is>
      </c>
      <c r="T2085" t="inlineStr">
        <is>
          <t>7990403268824</t>
        </is>
      </c>
    </row>
    <row r="2086" ht="87" customHeight="1">
      <c r="A2086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2086" s="2">
        <f>HYPERLINK("https://edmondsonsupply.com/products/klein-tools-sk234-screwdriver-set-slotted-screw-holding-3-piece", "https://edmondsonsupply.com/products/klein-tools-sk234-screwdriver-set-slotted-screw-holding-3-piece")</f>
        <v/>
      </c>
      <c r="C2086" t="inlineStr">
        <is>
          <t>Klein Tools SK234 Screwdriver Set, Slotted Screw Holding, 3-Piece</t>
        </is>
      </c>
      <c r="D2086" t="inlineStr">
        <is>
          <t>Klein Tools 85076INS Insulated Screwdriver Set features 1000V Screwdrivers, (3) Phillips and (2) Slotted and Square Tips, 6-Piece</t>
        </is>
      </c>
      <c r="E2086" s="2">
        <f>HYPERLINK("https://www.amazon.com/Klein-Tools-85076INS-Screwdriver-Screwdrivers/dp/B0BF76JDCC/ref=sr_1_13?keywords=Klein+Tools+SK234+Screwdriver+Set%2C+Slotted+Screw+Holding%2C+3-Piece&amp;qid=1694734646&amp;sr=8-13", "https://www.amazon.com/Klein-Tools-85076INS-Screwdriver-Screwdrivers/dp/B0BF76JDCC/ref=sr_1_13?keywords=Klein+Tools+SK234+Screwdriver+Set%2C+Slotted+Screw+Holding%2C+3-Piece&amp;qid=1694734646&amp;sr=8-13")</f>
        <v/>
      </c>
      <c r="F2086" t="inlineStr">
        <is>
          <t>B0BF76JDCC</t>
        </is>
      </c>
      <c r="G2086">
        <f>_xlfn.IMAGE("https://edmondsonsupply.com/cdn/shop/products/sk234.jpg?v=1587144984")</f>
        <v/>
      </c>
      <c r="H2086">
        <f>_xlfn.IMAGE("https://m.media-amazon.com/images/I/51wtKAQ0TLL._AC_UL320_.jpg")</f>
        <v/>
      </c>
      <c r="K2086" t="inlineStr">
        <is>
          <t>29.97</t>
        </is>
      </c>
      <c r="L2086" t="n">
        <v>37.74</v>
      </c>
      <c r="M2086" s="1" t="inlineStr">
        <is>
          <t>25.93%</t>
        </is>
      </c>
      <c r="N2086" s="7" t="n">
        <v>-27.02</v>
      </c>
      <c r="O2086" t="n">
        <v>4.7</v>
      </c>
      <c r="P2086" t="n">
        <v>201</v>
      </c>
      <c r="R2086" t="inlineStr">
        <is>
          <t>OutOfStock</t>
        </is>
      </c>
      <c r="S2086" t="inlineStr">
        <is>
          <t>45.42</t>
        </is>
      </c>
      <c r="T2086" t="inlineStr">
        <is>
          <t>4405483143268</t>
        </is>
      </c>
    </row>
    <row r="2087" ht="87" customHeight="1">
      <c r="A2087" s="2">
        <f>HYPERLINK("https://edmondsonsupply.com/collections/hvac/products/robertshaw-41-414-hot-surface-furnace-ignitor-carbide", "https://edmondsonsupply.com/collections/hvac/products/robertshaw-41-414-hot-surface-furnace-ignitor-carbide")</f>
        <v/>
      </c>
      <c r="B2087" s="2">
        <f>HYPERLINK("https://edmondsonsupply.com/products/robertshaw-41-414-hot-surface-furnace-ignitor-carbide", "https://edmondsonsupply.com/products/robertshaw-41-414-hot-surface-furnace-ignitor-carbide")</f>
        <v/>
      </c>
      <c r="C2087" t="inlineStr">
        <is>
          <t>Robertshaw 41-414 Hot Surface Furnace Ignitor (Carbide)</t>
        </is>
      </c>
      <c r="D2087" t="inlineStr">
        <is>
          <t>Robertshaw 41-409 120V Silicon Carbide Hot Surface Gas Furnace Ignitor</t>
        </is>
      </c>
      <c r="E2087" s="2">
        <f>HYPERLINK("https://www.amazon.com/Robertshaw-41-409-Hot-Surface-Ignitor/dp/B000VYOWVI/ref=sr_1_1?keywords=Robertshaw+41-414+Hot+Surface+Furnace+Ignitor+%28Carbide%29&amp;qid=1694734867&amp;sr=8-1", "https://www.amazon.com/Robertshaw-41-409-Hot-Surface-Ignitor/dp/B000VYOWVI/ref=sr_1_1?keywords=Robertshaw+41-414+Hot+Surface+Furnace+Ignitor+%28Carbide%29&amp;qid=1694734867&amp;sr=8-1")</f>
        <v/>
      </c>
      <c r="F2087" t="inlineStr">
        <is>
          <t>B000VYOWVI</t>
        </is>
      </c>
      <c r="G2087">
        <f>_xlfn.IMAGE("https://edmondsonsupply.com/cdn/shop/files/41-414.jpg?v=1691509200")</f>
        <v/>
      </c>
      <c r="H2087">
        <f>_xlfn.IMAGE("https://m.media-amazon.com/images/I/31EeWrdtmvL._AC_UL320_.jpg")</f>
        <v/>
      </c>
      <c r="K2087" t="inlineStr">
        <is>
          <t>18.08</t>
        </is>
      </c>
      <c r="L2087" t="n">
        <v>22.76</v>
      </c>
      <c r="M2087" s="1" t="inlineStr">
        <is>
          <t>25.88%</t>
        </is>
      </c>
      <c r="N2087" s="7" t="n">
        <v>-27.08</v>
      </c>
      <c r="O2087" t="n">
        <v>4.4</v>
      </c>
      <c r="P2087" t="n">
        <v>36</v>
      </c>
      <c r="R2087" t="inlineStr">
        <is>
          <t>InStock</t>
        </is>
      </c>
      <c r="S2087" t="inlineStr">
        <is>
          <t>undefined</t>
        </is>
      </c>
      <c r="T2087" t="inlineStr">
        <is>
          <t>8025482821848</t>
        </is>
      </c>
    </row>
    <row r="2088" ht="87" customHeight="1">
      <c r="A2088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2088" s="2">
        <f>HYPERLINK("https://edmondsonsupply.com/products/klein-tools-11046-wire-stripper-cutter-16-26-awg-stranded", "https://edmondsonsupply.com/products/klein-tools-11046-wire-stripper-cutter-16-26-awg-stranded")</f>
        <v/>
      </c>
      <c r="C2088" t="inlineStr">
        <is>
          <t>Klein Tools 11046 Wire Stripper/Cutter 16-26 AWG Stranded</t>
        </is>
      </c>
      <c r="D2088" t="inlineStr">
        <is>
          <t>Klein Tools K11095 Klein-Kurve Wire Stripper and Cutter, for 8-18 AWG Solid and 10-20 AWG Stranded Wire,Blue/White</t>
        </is>
      </c>
      <c r="E2088" s="2">
        <f>HYPERLINK("https://www.amazon.com/Klein-Tools-K11095-Klein-Kurve-Stripper/dp/B08TQ83P2C/ref=sr_1_15?keywords=Klein+Tools+11046+Wire+Stripper%2FCutter+16-26+AWG+Stranded&amp;qid=1694734810&amp;sr=8-15", "https://www.amazon.com/Klein-Tools-K11095-Klein-Kurve-Stripper/dp/B08TQ83P2C/ref=sr_1_15?keywords=Klein+Tools+11046+Wire+Stripper%2FCutter+16-26+AWG+Stranded&amp;qid=1694734810&amp;sr=8-15")</f>
        <v/>
      </c>
      <c r="F2088" t="inlineStr">
        <is>
          <t>B08TQ83P2C</t>
        </is>
      </c>
      <c r="G2088">
        <f>_xlfn.IMAGE("https://edmondsonsupply.com/cdn/shop/products/11046.jpg?v=1587147965")</f>
        <v/>
      </c>
      <c r="H2088">
        <f>_xlfn.IMAGE("https://m.media-amazon.com/images/I/5180XMjuiIL._AC_UL320_.jpg")</f>
        <v/>
      </c>
      <c r="K2088" t="inlineStr">
        <is>
          <t>15.97</t>
        </is>
      </c>
      <c r="L2088" t="n">
        <v>20.09</v>
      </c>
      <c r="M2088" s="1" t="inlineStr">
        <is>
          <t>25.80%</t>
        </is>
      </c>
      <c r="N2088" s="7" t="n">
        <v>-27.33</v>
      </c>
      <c r="O2088" t="n">
        <v>4.8</v>
      </c>
      <c r="P2088" t="n">
        <v>438</v>
      </c>
      <c r="R2088" t="inlineStr">
        <is>
          <t>InStock</t>
        </is>
      </c>
      <c r="S2088" t="inlineStr">
        <is>
          <t>23.56</t>
        </is>
      </c>
      <c r="T2088" t="inlineStr">
        <is>
          <t>3688603910244</t>
        </is>
      </c>
    </row>
    <row r="2089" ht="87" customHeight="1">
      <c r="A2089" s="2">
        <f>HYPERLINK("https://edmondsonsupply.com/collections/hvac/products/robertshaw-41-414-hot-surface-furnace-ignitor-carbide", "https://edmondsonsupply.com/collections/hvac/products/robertshaw-41-414-hot-surface-furnace-ignitor-carbide")</f>
        <v/>
      </c>
      <c r="B2089" s="2">
        <f>HYPERLINK("https://edmondsonsupply.com/products/robertshaw-41-414-hot-surface-furnace-ignitor-carbide", "https://edmondsonsupply.com/products/robertshaw-41-414-hot-surface-furnace-ignitor-carbide")</f>
        <v/>
      </c>
      <c r="C2089" t="inlineStr">
        <is>
          <t>Robertshaw 41-414 Hot Surface Furnace Ignitor (Carbide)</t>
        </is>
      </c>
      <c r="D2089" t="inlineStr">
        <is>
          <t>Replacement for Robertshaw Gas Furnace Hot Surface Ignitor Igniter 41-409</t>
        </is>
      </c>
      <c r="E2089" s="2">
        <f>HYPERLINK("https://www.amazon.com/Replacement-Robertshaw-Furnace-Surface-Ignitor/dp/B00E3CDU6M/ref=sr_1_14?keywords=Robertshaw+41-414+Hot+Surface+Furnace+Ignitor+%28Carbide%29&amp;qid=1694734867&amp;sr=8-14", "https://www.amazon.com/Replacement-Robertshaw-Furnace-Surface-Ignitor/dp/B00E3CDU6M/ref=sr_1_14?keywords=Robertshaw+41-414+Hot+Surface+Furnace+Ignitor+%28Carbide%29&amp;qid=1694734867&amp;sr=8-14")</f>
        <v/>
      </c>
      <c r="F2089" t="inlineStr">
        <is>
          <t>B00E3CDU6M</t>
        </is>
      </c>
      <c r="G2089">
        <f>_xlfn.IMAGE("https://edmondsonsupply.com/cdn/shop/files/41-414.jpg?v=1691509200")</f>
        <v/>
      </c>
      <c r="H2089">
        <f>_xlfn.IMAGE("https://m.media-amazon.com/images/I/51x4i0Xe39L._AC_UL320_.jpg")</f>
        <v/>
      </c>
      <c r="K2089" t="inlineStr">
        <is>
          <t>18.08</t>
        </is>
      </c>
      <c r="L2089" t="n">
        <v>22.74</v>
      </c>
      <c r="M2089" s="1" t="inlineStr">
        <is>
          <t>25.77%</t>
        </is>
      </c>
      <c r="N2089" s="7" t="n">
        <v>-27.33</v>
      </c>
      <c r="O2089" t="n">
        <v>4.3</v>
      </c>
      <c r="P2089" t="n">
        <v>10</v>
      </c>
      <c r="R2089" t="inlineStr">
        <is>
          <t>InStock</t>
        </is>
      </c>
      <c r="S2089" t="inlineStr">
        <is>
          <t>undefined</t>
        </is>
      </c>
      <c r="T2089" t="inlineStr">
        <is>
          <t>8025482821848</t>
        </is>
      </c>
    </row>
    <row r="2090" hidden="1" ht="15.75" customHeight="1">
      <c r="A2090" s="2">
        <f>HYPERLINK("https://edmondsonsupply.com/collections/hvac/products/robertshaw-1980-036-36-1980-series-snap-fit%C2%AE-universal-thermocouple", "https://edmondsonsupply.com/collections/hvac/products/robertshaw-1980-036-36-1980-series-snap-fit%C2%AE-universal-thermocouple")</f>
        <v/>
      </c>
      <c r="B2090" s="2">
        <f>HYPERLINK("https://edmondsonsupply.com/products/robertshaw-1980-036-36-1980-series-snap-fit%c2%ae-universal-thermocouple", "https://edmondsonsupply.com/products/robertshaw-1980-036-36-1980-series-snap-fit%c2%ae-universal-thermocouple")</f>
        <v/>
      </c>
      <c r="C2090" t="inlineStr">
        <is>
          <t>Robertshaw 1980-036 36" 1980 Series Snap-Fit® Universal Thermocouple</t>
        </is>
      </c>
      <c r="D2090" t="inlineStr">
        <is>
          <t>MENSI Thermocoupler for Robertshaw Thermostat Control Pilot Burner Assembly Replacement 1980-024 &amp; 1980-036 Snap Fit Universal Thermocouple (36")</t>
        </is>
      </c>
      <c r="E2090" s="2">
        <f>HYPERLINK("https://www.amazon.com/MENSI-Robertshaw-Thermostat-Replacement-Thermocouple/dp/B0832H3B1X/ref=sr_1_1?keywords=Robertshaw+1980-036+36%22+1980+Series+Snap-Fit%C2%AE+Universal+Thermocouple&amp;qid=1694734660&amp;sr=8-1", "https://www.amazon.com/MENSI-Robertshaw-Thermostat-Replacement-Thermocouple/dp/B0832H3B1X/ref=sr_1_1?keywords=Robertshaw+1980-036+36%22+1980+Series+Snap-Fit%C2%AE+Universal+Thermocouple&amp;qid=1694734660&amp;sr=8-1")</f>
        <v/>
      </c>
      <c r="F2090" t="inlineStr">
        <is>
          <t>B0832H3B1X</t>
        </is>
      </c>
      <c r="G2090">
        <f>_xludf.IMAGE("https://edmondsonsupply.com/cdn/shop/products/1980thermocouplecmyk300dpi_bfd55032-b53e-4ff9-b16f-2ba21c0267c9.jpg?v=1636064130")</f>
        <v/>
      </c>
      <c r="H2090">
        <f>_xludf.IMAGE("https://m.media-amazon.com/images/I/61gin6oRlNL._AC_UL320_.jpg")</f>
        <v/>
      </c>
      <c r="K2090" t="inlineStr">
        <is>
          <t>7.15</t>
        </is>
      </c>
      <c r="L2090" t="n">
        <v>8.99</v>
      </c>
      <c r="M2090" s="1" t="inlineStr">
        <is>
          <t>25.73%</t>
        </is>
      </c>
      <c r="N2090" s="1" t="n">
        <v>-27.34</v>
      </c>
      <c r="O2090" t="n">
        <v>4.3</v>
      </c>
      <c r="P2090" t="n">
        <v>57</v>
      </c>
      <c r="R2090" t="inlineStr">
        <is>
          <t>InStock</t>
        </is>
      </c>
      <c r="S2090" t="inlineStr">
        <is>
          <t>15.42</t>
        </is>
      </c>
      <c r="T2090" t="inlineStr">
        <is>
          <t>7441743970520</t>
        </is>
      </c>
    </row>
    <row r="2091" ht="87" customHeight="1">
      <c r="A2091" s="2">
        <f>HYPERLINK("https://edmondsonsupply.com/collections/hvac/products/hilmor-1839054-3-quick-change-magnetic-nut-driver-1-4-5-16", "https://edmondsonsupply.com/collections/hvac/products/hilmor-1839054-3-quick-change-magnetic-nut-driver-1-4-5-16")</f>
        <v/>
      </c>
      <c r="B2091" s="2">
        <f>HYPERLINK("https://edmondsonsupply.com/products/hilmor-1839054-3-quick-change-magnetic-nut-driver-1-4-5-16", "https://edmondsonsupply.com/products/hilmor-1839054-3-quick-change-magnetic-nut-driver-1-4-5-16")</f>
        <v/>
      </c>
      <c r="C2091" t="inlineStr">
        <is>
          <t>Hilmor 1839054 3" Quick-Change Magnetic Nut Driver, 1/4" &amp; 5/16"</t>
        </is>
      </c>
      <c r="D2091" t="inlineStr">
        <is>
          <t>Hilmor 1891260 Quick Change Magnetic Nut Driver, 6" 1/4" + 5/16" - HVAC Tool</t>
        </is>
      </c>
      <c r="E2091" s="2">
        <f>HYPERLINK("https://www.amazon.com/Hilmor-1891260-Change-Magnetic-Driver/dp/B00ITFZ1S4/ref=sr_1_2?keywords=Hilmor+1839054+3%22+Quick-Change+Magnetic+Nut+Driver%2C+1%2F4%22+%26+5%2F16%22&amp;qid=1694734833&amp;sr=8-2", "https://www.amazon.com/Hilmor-1891260-Change-Magnetic-Driver/dp/B00ITFZ1S4/ref=sr_1_2?keywords=Hilmor+1839054+3%22+Quick-Change+Magnetic+Nut+Driver%2C+1%2F4%22+%26+5%2F16%22&amp;qid=1694734833&amp;sr=8-2")</f>
        <v/>
      </c>
      <c r="F2091" t="inlineStr">
        <is>
          <t>B00ITFZ1S4</t>
        </is>
      </c>
      <c r="G2091">
        <f>_xlfn.IMAGE("https://edmondsonsupply.com/cdn/shop/products/1839054-O1.jpg?v=1587145838")</f>
        <v/>
      </c>
      <c r="H2091">
        <f>_xlfn.IMAGE("https://m.media-amazon.com/images/I/715lsCig6NL._AC_UL320_.jpg")</f>
        <v/>
      </c>
      <c r="K2091" t="inlineStr">
        <is>
          <t>22.24</t>
        </is>
      </c>
      <c r="L2091" t="n">
        <v>27.91</v>
      </c>
      <c r="M2091" s="1" t="inlineStr">
        <is>
          <t>25.49%</t>
        </is>
      </c>
      <c r="N2091" s="7" t="n">
        <v>-27.44</v>
      </c>
      <c r="O2091" t="n">
        <v>4.3</v>
      </c>
      <c r="P2091" t="n">
        <v>214</v>
      </c>
      <c r="R2091" t="inlineStr">
        <is>
          <t>InStock</t>
        </is>
      </c>
      <c r="S2091" t="inlineStr">
        <is>
          <t>undefined</t>
        </is>
      </c>
      <c r="T2091" t="inlineStr">
        <is>
          <t>3544914231396</t>
        </is>
      </c>
    </row>
    <row r="2092" ht="87" customHeight="1">
      <c r="A2092" s="2">
        <f>HYPERLINK("https://edmondsonsupply.com/collections/hvac/products/klein-tools-d504-10-classic-klaw%E2%84%A2-pump-pliers-10-inch", "https://edmondsonsupply.com/collections/hvac/products/klein-tools-d504-10-classic-klaw%E2%84%A2-pump-pliers-10-inch")</f>
        <v/>
      </c>
      <c r="B2092" s="2">
        <f>HYPERLINK("https://edmondsonsupply.com/products/klein-tools-d504-10-classic-klaw%e2%84%a2-pump-pliers-10-inch", "https://edmondsonsupply.com/products/klein-tools-d504-10-classic-klaw%e2%84%a2-pump-pliers-10-inch")</f>
        <v/>
      </c>
      <c r="C2092" t="inlineStr">
        <is>
          <t>Klein Tools D504-10 Classic Klaw™ Pump Pliers, 10-Inch</t>
        </is>
      </c>
      <c r="D2092" t="inlineStr">
        <is>
          <t>Klein Tools D504-10B Pump Pliers, Quick-Adjust Tongue and Groove Klaw Water Pump Pliers, 10-Inch</t>
        </is>
      </c>
      <c r="E2092" s="2">
        <f>HYPERLINK("https://www.amazon.com/Quick-Adjust-10-Inch-Klein-Tools-D504-10B/dp/B00BJ4ORDM/ref=sr_1_2?keywords=Klein+Tools+D504-10+Classic+Klaw%E2%84%A2+Pump+Pliers%2C+10-Inch&amp;qid=1694734805&amp;sr=8-2", "https://www.amazon.com/Quick-Adjust-10-Inch-Klein-Tools-D504-10B/dp/B00BJ4ORDM/ref=sr_1_2?keywords=Klein+Tools+D504-10+Classic+Klaw%E2%84%A2+Pump+Pliers%2C+10-Inch&amp;qid=1694734805&amp;sr=8-2")</f>
        <v/>
      </c>
      <c r="F2092" t="inlineStr">
        <is>
          <t>B00BJ4ORDM</t>
        </is>
      </c>
      <c r="G2092">
        <f>_xlfn.IMAGE("https://edmondsonsupply.com/cdn/shop/products/d504-10.jpg?v=1587142942")</f>
        <v/>
      </c>
      <c r="H2092">
        <f>_xlfn.IMAGE("https://m.media-amazon.com/images/I/51G8XuICYiL._AC_UL320_.jpg")</f>
        <v/>
      </c>
      <c r="K2092" t="inlineStr">
        <is>
          <t>33.97</t>
        </is>
      </c>
      <c r="L2092" t="n">
        <v>42.59</v>
      </c>
      <c r="M2092" s="1" t="inlineStr">
        <is>
          <t>25.38%</t>
        </is>
      </c>
      <c r="N2092" s="7" t="n">
        <v>-27.7</v>
      </c>
      <c r="O2092" t="n">
        <v>4.7</v>
      </c>
      <c r="P2092" t="n">
        <v>254</v>
      </c>
      <c r="R2092" t="inlineStr">
        <is>
          <t>InStock</t>
        </is>
      </c>
      <c r="S2092" t="inlineStr">
        <is>
          <t>47.1</t>
        </is>
      </c>
      <c r="T2092" t="inlineStr">
        <is>
          <t>3694795522148</t>
        </is>
      </c>
    </row>
    <row r="2093" hidden="1" ht="15.75" customHeight="1">
      <c r="A2093" s="2">
        <f>HYPERLINK("https://edmondsonsupply.com/collections/hvac/products/klein-tools-mm400-digital-multimeter-auto-ranging-600v", "https://edmondsonsupply.com/collections/hvac/products/klein-tools-mm400-digital-multimeter-auto-ranging-600v")</f>
        <v/>
      </c>
      <c r="B2093" s="2">
        <f>HYPERLINK("https://edmondsonsupply.com/products/klein-tools-mm400-digital-multimeter-auto-ranging-600v", "https://edmondsonsupply.com/products/klein-tools-mm400-digital-multimeter-auto-ranging-600v")</f>
        <v/>
      </c>
      <c r="C2093" t="inlineStr">
        <is>
          <t>Klein Tools MM400 Digital Multimeter, Auto-Ranging, 600V</t>
        </is>
      </c>
      <c r="D2093" t="inlineStr">
        <is>
          <t>Klein Tools MM400 Multimeter, Digital Auto Ranging, Orange &amp; RT250 GFCI Receptacle Tester with LCD Display, for Standard 3-Wire 120V Electrical Outlets</t>
        </is>
      </c>
      <c r="E2093" s="2">
        <f>HYPERLINK("https://www.amazon.com/Klein-Tools-Multimeter-Receptacle-Electrical/dp/B09Y7XWBDN/ref=sr_1_3?keywords=Klein+Tools+MM400+Digital+Multimeter%2C+Auto-Ranging%2C+600V&amp;qid=1694734709&amp;sr=8-3", "https://www.amazon.com/Klein-Tools-Multimeter-Receptacle-Electrical/dp/B09Y7XWBDN/ref=sr_1_3?keywords=Klein+Tools+MM400+Digital+Multimeter%2C+Auto-Ranging%2C+600V&amp;qid=1694734709&amp;sr=8-3")</f>
        <v/>
      </c>
      <c r="F2093" t="inlineStr">
        <is>
          <t>B09Y7XWBDN</t>
        </is>
      </c>
      <c r="G2093">
        <f>_xludf.IMAGE("https://edmondsonsupply.com/cdn/shop/products/mm400_alt1.jpg?v=1633030778")</f>
        <v/>
      </c>
      <c r="H2093">
        <f>_xludf.IMAGE("https://m.media-amazon.com/images/I/513dpkrUdRL._AC_UL320_.jpg")</f>
        <v/>
      </c>
      <c r="K2093" t="inlineStr">
        <is>
          <t>54.97</t>
        </is>
      </c>
      <c r="L2093" t="n">
        <v>68.87</v>
      </c>
      <c r="M2093" s="1" t="inlineStr">
        <is>
          <t>25.29%</t>
        </is>
      </c>
      <c r="N2093" s="1" t="n">
        <v>-28.01</v>
      </c>
      <c r="O2093" t="n">
        <v>3.7</v>
      </c>
      <c r="P2093" t="n">
        <v>3</v>
      </c>
      <c r="R2093" t="inlineStr">
        <is>
          <t>InStock</t>
        </is>
      </c>
      <c r="S2093" t="inlineStr">
        <is>
          <t>79.76</t>
        </is>
      </c>
      <c r="T2093" t="inlineStr">
        <is>
          <t>5963177492648</t>
        </is>
      </c>
    </row>
    <row r="2094" ht="87" customHeight="1">
      <c r="A2094" s="2">
        <f>HYPERLINK("https://edmondsonsupply.com/collections/hvac/products/milwaukee-48-22-0305-folding-jab-saw", "https://edmondsonsupply.com/collections/hvac/products/milwaukee-48-22-0305-folding-jab-saw")</f>
        <v/>
      </c>
      <c r="B2094" s="2">
        <f>HYPERLINK("https://edmondsonsupply.com/products/milwaukee-48-22-0305-folding-jab-saw", "https://edmondsonsupply.com/products/milwaukee-48-22-0305-folding-jab-saw")</f>
        <v/>
      </c>
      <c r="C2094" t="inlineStr">
        <is>
          <t>Milwaukee 48-22-0305 Folding Jab Saw</t>
        </is>
      </c>
      <c r="D2094" t="inlineStr">
        <is>
          <t>MILWAUKEE 48-22-1906J FASTBACK &amp; DRYWALL PLASTER RASPING JAB HAND SAW</t>
        </is>
      </c>
      <c r="E2094" s="2">
        <f>HYPERLINK("https://www.amazon.com/MILWAUKEE-48-22-1906J-FASTBACK-DRYWALL-PLASTER/dp/B07STGMWT6/ref=sr_1_7?keywords=Milwaukee+48-22-0305+Folding+Jab+Saw&amp;qid=1694734816&amp;sr=8-7", "https://www.amazon.com/MILWAUKEE-48-22-1906J-FASTBACK-DRYWALL-PLASTER/dp/B07STGMWT6/ref=sr_1_7?keywords=Milwaukee+48-22-0305+Folding+Jab+Saw&amp;qid=1694734816&amp;sr=8-7")</f>
        <v/>
      </c>
      <c r="F2094" t="inlineStr">
        <is>
          <t>B07STGMWT6</t>
        </is>
      </c>
      <c r="G2094">
        <f>_xlfn.IMAGE("https://edmondsonsupply.com/cdn/shop/products/49678_48-22-0305-lg.jpg?v=1587148349")</f>
        <v/>
      </c>
      <c r="H2094">
        <f>_xlfn.IMAGE("https://m.media-amazon.com/images/I/414z44lqh3L._AC_UL320_.jpg")</f>
        <v/>
      </c>
      <c r="K2094" t="inlineStr">
        <is>
          <t>19.97</t>
        </is>
      </c>
      <c r="L2094" t="n">
        <v>25</v>
      </c>
      <c r="M2094" s="1" t="inlineStr">
        <is>
          <t>25.19%</t>
        </is>
      </c>
      <c r="N2094" s="7" t="n">
        <v>-28.07</v>
      </c>
      <c r="O2094" t="n">
        <v>4.9</v>
      </c>
      <c r="P2094" t="n">
        <v>11</v>
      </c>
      <c r="R2094" t="inlineStr">
        <is>
          <t>InStock</t>
        </is>
      </c>
      <c r="S2094" t="inlineStr">
        <is>
          <t>31.1</t>
        </is>
      </c>
      <c r="T2094" t="inlineStr">
        <is>
          <t>4349655449700</t>
        </is>
      </c>
    </row>
    <row r="2095" ht="87" customHeight="1">
      <c r="A2095" s="2">
        <f>HYPERLINK("https://edmondsonsupply.com/collections/hvac/products/copy-of-jb-industries-cmvc003-coremax-high-flow-valve-with-caps", "https://edmondsonsupply.com/collections/hvac/products/copy-of-jb-industries-cmvc003-coremax-high-flow-valve-with-caps")</f>
        <v/>
      </c>
      <c r="B2095" s="2">
        <f>HYPERLINK("https://edmondsonsupply.com/products/copy-of-jb-industries-cmvc003-coremax-high-flow-valve-with-caps", "https://edmondsonsupply.com/products/copy-of-jb-industries-cmvc003-coremax-high-flow-valve-with-caps")</f>
        <v/>
      </c>
      <c r="C2095" t="inlineStr">
        <is>
          <t>JB Industries CM-VC010 CoreMax High-Flow Valve with Caps (10 pack)</t>
        </is>
      </c>
      <c r="D2095" t="inlineStr">
        <is>
          <t>JB Industries CM-VC010 CoreMax High Flow Valve w/Caps</t>
        </is>
      </c>
      <c r="E2095" s="2">
        <f>HYPERLINK("https://www.amazon.com/JB-Industries-CM-VC010-CoreMax-Valve/dp/B071SG7H2M/ref=sr_1_1?keywords=JB+Industries+CM-VC010+CoreMax+High-Flow+Valve+with+Caps+%2810+pack%29&amp;qid=1694734893&amp;sr=8-1", "https://www.amazon.com/JB-Industries-CM-VC010-CoreMax-Valve/dp/B071SG7H2M/ref=sr_1_1?keywords=JB+Industries+CM-VC010+CoreMax+High-Flow+Valve+with+Caps+%2810+pack%29&amp;qid=1694734893&amp;sr=8-1")</f>
        <v/>
      </c>
      <c r="F2095" t="inlineStr">
        <is>
          <t>B071SG7H2M</t>
        </is>
      </c>
      <c r="G2095">
        <f>_xlfn.IMAGE("https://edmondsonsupply.com/cdn/shop/files/CM-VC010-JB-CoreMax-High-Flow-Access-Valves.png?v=1687796681")</f>
        <v/>
      </c>
      <c r="H2095">
        <f>_xlfn.IMAGE("https://m.media-amazon.com/images/I/51TUmkJsZZL._AC_UL320_.jpg")</f>
        <v/>
      </c>
      <c r="K2095" t="inlineStr">
        <is>
          <t>56.34</t>
        </is>
      </c>
      <c r="L2095" t="n">
        <v>70.51000000000001</v>
      </c>
      <c r="M2095" s="1" t="inlineStr">
        <is>
          <t>25.15%</t>
        </is>
      </c>
      <c r="N2095" s="7" t="n">
        <v>-28.85</v>
      </c>
      <c r="O2095" t="n">
        <v>5</v>
      </c>
      <c r="P2095" t="n">
        <v>1</v>
      </c>
      <c r="R2095" t="inlineStr">
        <is>
          <t>InStock</t>
        </is>
      </c>
      <c r="S2095" t="inlineStr">
        <is>
          <t>89.42</t>
        </is>
      </c>
      <c r="T2095" t="inlineStr">
        <is>
          <t>8009333899480</t>
        </is>
      </c>
    </row>
    <row r="2096" ht="87" customHeight="1">
      <c r="A2096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2096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2096" t="inlineStr">
        <is>
          <t>Klein Tools JTH4E17 1/2-Inch Hex Key, Journeyman T-Handle, 4-Inch</t>
        </is>
      </c>
      <c r="D2096" t="inlineStr">
        <is>
          <t>Klein Tools JTH4E17 1/2-Inch Hex Key with Journeyman T-Handle, 4-Inch</t>
        </is>
      </c>
      <c r="E2096" s="2">
        <f>HYPERLINK("https://www.amazon.com/Journeyman-T-Handle-Klein-Tools-JTH4E17/dp/B004LRBOA8/ref=sr_1_1?keywords=Klein+Tools+JTH4E17+1%2F2-Inch+Hex+Key%2C+Journeyman+T-Handle%2C+4-Inch&amp;qid=1694734780&amp;sr=8-1", "https://www.amazon.com/Journeyman-T-Handle-Klein-Tools-JTH4E17/dp/B004LRBOA8/ref=sr_1_1?keywords=Klein+Tools+JTH4E17+1%2F2-Inch+Hex+Key%2C+Journeyman+T-Handle%2C+4-Inch&amp;qid=1694734780&amp;sr=8-1")</f>
        <v/>
      </c>
      <c r="F2096" t="inlineStr">
        <is>
          <t>B004LRBOA8</t>
        </is>
      </c>
      <c r="G2096">
        <f>_xlfn.IMAGE("https://edmondsonsupply.com/cdn/shop/products/jth4e17_583549be-7b42-43c7-9c3d-a92f2416ede5.jpg?v=1610655610")</f>
        <v/>
      </c>
      <c r="H2096">
        <f>_xlfn.IMAGE("https://m.media-amazon.com/images/I/41kJkcAGkqL._AC_UL320_.jpg")</f>
        <v/>
      </c>
      <c r="K2096" t="inlineStr">
        <is>
          <t>15.99</t>
        </is>
      </c>
      <c r="L2096" t="n">
        <v>20.01</v>
      </c>
      <c r="M2096" s="1" t="inlineStr">
        <is>
          <t>25.14%</t>
        </is>
      </c>
      <c r="N2096" s="7" t="n">
        <v>-28.91</v>
      </c>
      <c r="O2096" t="n">
        <v>4.7</v>
      </c>
      <c r="P2096" t="n">
        <v>44</v>
      </c>
      <c r="R2096" t="inlineStr">
        <is>
          <t>InStock</t>
        </is>
      </c>
      <c r="S2096" t="inlineStr">
        <is>
          <t>24.24</t>
        </is>
      </c>
      <c r="T2096" t="inlineStr">
        <is>
          <t>6203851538605</t>
        </is>
      </c>
    </row>
    <row r="2097" ht="87" customHeight="1">
      <c r="A2097" s="2">
        <f>HYPERLINK("https://edmondsonsupply.com/collections/hvac/products/klein-tools-85076ins-screwdriver-set-1000v-insulated-6-piece", "https://edmondsonsupply.com/collections/hvac/products/klein-tools-85076ins-screwdriver-set-1000v-insulated-6-piece")</f>
        <v/>
      </c>
      <c r="B2097" s="2">
        <f>HYPERLINK("https://edmondsonsupply.com/products/klein-tools-85076ins-screwdriver-set-1000v-insulated-6-piece", "https://edmondsonsupply.com/products/klein-tools-85076ins-screwdriver-set-1000v-insulated-6-piece")</f>
        <v/>
      </c>
      <c r="C2097" t="inlineStr">
        <is>
          <t>Klein Tools 85076INS Screwdriver Set, 1000V Insulated, 6-Piece</t>
        </is>
      </c>
      <c r="D2097" t="inlineStr">
        <is>
          <t>Klein Tools 33736INS Insulated Screwdriver Set, 1000V Slim-Tip Driver with Phillips, Cabinet and Square Bits and a Magnetizer, 6-Piece</t>
        </is>
      </c>
      <c r="E2097" s="2">
        <f>HYPERLINK("https://www.amazon.com/Klein-Tools-33736INS-Screwdriver-Magnetizer/dp/B09GPZPMTD/ref=sr_1_2?keywords=Klein+Tools+85076INS+Screwdriver+Set%2C+1000V+Insulated%2C+6-Piece&amp;qid=1694734687&amp;sr=8-2", "https://www.amazon.com/Klein-Tools-33736INS-Screwdriver-Magnetizer/dp/B09GPZPMTD/ref=sr_1_2?keywords=Klein+Tools+85076INS+Screwdriver+Set%2C+1000V+Insulated%2C+6-Piece&amp;qid=1694734687&amp;sr=8-2")</f>
        <v/>
      </c>
      <c r="F2097" t="inlineStr">
        <is>
          <t>B09GPZPMTD</t>
        </is>
      </c>
      <c r="G2097">
        <f>_xlfn.IMAGE("https://edmondsonsupply.com/cdn/shop/products/85076ins.jpg?v=1664891110")</f>
        <v/>
      </c>
      <c r="H2097">
        <f>_xlfn.IMAGE("https://m.media-amazon.com/images/I/51W2DUA3c7L._AC_UL320_.jpg")</f>
        <v/>
      </c>
      <c r="K2097" t="inlineStr">
        <is>
          <t>39.97</t>
        </is>
      </c>
      <c r="L2097" t="n">
        <v>49.99</v>
      </c>
      <c r="M2097" s="1" t="inlineStr">
        <is>
          <t>25.07%</t>
        </is>
      </c>
      <c r="N2097" s="7" t="n">
        <v>-28.99</v>
      </c>
      <c r="O2097" t="n">
        <v>4.8</v>
      </c>
      <c r="P2097" t="n">
        <v>414</v>
      </c>
      <c r="R2097" t="inlineStr">
        <is>
          <t>InStock</t>
        </is>
      </c>
      <c r="S2097" t="inlineStr">
        <is>
          <t>59.98</t>
        </is>
      </c>
      <c r="T2097" t="inlineStr">
        <is>
          <t>7839263916248</t>
        </is>
      </c>
    </row>
    <row r="2098" ht="87" customHeight="1">
      <c r="A2098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098" s="2">
        <f>HYPERLINK("https://edmondsonsupply.com/products/klein-tools-65064-2-in-1-hex-head-screwdriver-1-4-5-16", "https://edmondsonsupply.com/products/klein-tools-65064-2-in-1-hex-head-screwdriver-1-4-5-16")</f>
        <v/>
      </c>
      <c r="C2098" t="inlineStr">
        <is>
          <t>Klein Tools 65064 2-in-1 Nut Driver, Hex Head, 1/4-Inch and 5/16-Inch</t>
        </is>
      </c>
      <c r="D2098" t="inlineStr">
        <is>
          <t>Klein Tools 65129 2-in-1 Nut Driver, Hex Head Slide Drive, 6-Inch</t>
        </is>
      </c>
      <c r="E2098" s="2">
        <f>HYPERLINK("https://www.amazon.com/Driver-6-Inch-Klein-Tools-65129/dp/B0716VDFTD/ref=sr_1_5?keywords=Klein+Tools+65064+2-in-1+Nut+Driver%2C+Hex+Head%2C+1%2F4-Inch+and+5%2F16-Inch&amp;qid=1694734734&amp;sr=8-5", "https://www.amazon.com/Driver-6-Inch-Klein-Tools-65129/dp/B0716VDFTD/ref=sr_1_5?keywords=Klein+Tools+65064+2-in-1+Nut+Driver%2C+Hex+Head%2C+1%2F4-Inch+and+5%2F16-Inch&amp;qid=1694734734&amp;sr=8-5")</f>
        <v/>
      </c>
      <c r="F2098" t="inlineStr">
        <is>
          <t>B0716VDFTD</t>
        </is>
      </c>
      <c r="G2098">
        <f>_xlfn.IMAGE("https://edmondsonsupply.com/cdn/shop/products/65064.jpg?v=1587147719")</f>
        <v/>
      </c>
      <c r="H2098">
        <f>_xlfn.IMAGE("https://m.media-amazon.com/images/I/31G5opAPxjL._AC_UL320_.jpg")</f>
        <v/>
      </c>
      <c r="K2098" t="inlineStr">
        <is>
          <t>15.97</t>
        </is>
      </c>
      <c r="L2098" t="n">
        <v>19.97</v>
      </c>
      <c r="M2098" s="1" t="inlineStr">
        <is>
          <t>25.05%</t>
        </is>
      </c>
      <c r="N2098" s="7" t="n">
        <v>-29</v>
      </c>
      <c r="O2098" t="n">
        <v>4.8</v>
      </c>
      <c r="P2098" t="n">
        <v>687</v>
      </c>
      <c r="R2098" t="inlineStr">
        <is>
          <t>InStock</t>
        </is>
      </c>
      <c r="S2098" t="inlineStr">
        <is>
          <t>23.36</t>
        </is>
      </c>
      <c r="T2098" t="inlineStr">
        <is>
          <t>1707342889060</t>
        </is>
      </c>
    </row>
    <row r="2099" ht="87" customHeight="1">
      <c r="A2099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099" s="2">
        <f>HYPERLINK("https://edmondsonsupply.com/products/klein-tools-32314-14-in-1-precision-screwdriver-nut-driver", "https://edmondsonsupply.com/products/klein-tools-32314-14-in-1-precision-screwdriver-nut-driver")</f>
        <v/>
      </c>
      <c r="C2099" t="inlineStr">
        <is>
          <t>Klein Tools 32314 14-in-1 Precision Screwdriver/ Nut Driver</t>
        </is>
      </c>
      <c r="D2099" t="inlineStr">
        <is>
          <t>Klein Tools 32303 Multi-Bit Screwdriver / Nut Driver, Impact Rated 14-in-1 Magnetic Screwdriver Set Phillips, Slotted, Square, Combo, Torx</t>
        </is>
      </c>
      <c r="E2099" s="2">
        <f>HYPERLINK("https://www.amazon.com/Klein-Tools-Multi-bit-Screwdriver-Adjustable/dp/B08KFM8833/ref=sr_1_18?keywords=Klein+Tools+32314+14-in-1+Precision+Screwdriver%2F+Nut+Driver&amp;qid=1694734697&amp;sr=8-18", "https://www.amazon.com/Klein-Tools-Multi-bit-Screwdriver-Adjustable/dp/B08KFM8833/ref=sr_1_18?keywords=Klein+Tools+32314+14-in-1+Precision+Screwdriver%2F+Nut+Driver&amp;qid=1694734697&amp;sr=8-18")</f>
        <v/>
      </c>
      <c r="F2099" t="inlineStr">
        <is>
          <t>B08KFM8833</t>
        </is>
      </c>
      <c r="G2099">
        <f>_xlfn.IMAGE("https://edmondsonsupply.com/cdn/shop/products/32314.jpg?v=1646593726")</f>
        <v/>
      </c>
      <c r="H2099">
        <f>_xlfn.IMAGE("https://m.media-amazon.com/images/I/51MWPRqx3sL._AC_UL320_.jpg")</f>
        <v/>
      </c>
      <c r="K2099" t="inlineStr">
        <is>
          <t>15.97</t>
        </is>
      </c>
      <c r="L2099" t="n">
        <v>19.97</v>
      </c>
      <c r="M2099" s="1" t="inlineStr">
        <is>
          <t>25.05%</t>
        </is>
      </c>
      <c r="N2099" s="7" t="n">
        <v>-29.38</v>
      </c>
      <c r="O2099" t="n">
        <v>4.6</v>
      </c>
      <c r="P2099" t="n">
        <v>2694</v>
      </c>
      <c r="R2099" t="inlineStr">
        <is>
          <t>InStock</t>
        </is>
      </c>
      <c r="S2099" t="inlineStr">
        <is>
          <t>22.38</t>
        </is>
      </c>
      <c r="T2099" t="inlineStr">
        <is>
          <t>7626984947928</t>
        </is>
      </c>
    </row>
    <row r="2100" ht="87" customHeight="1">
      <c r="A2100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100" s="2">
        <f>HYPERLINK("https://edmondsonsupply.com/products/klein-tools-32314-14-in-1-precision-screwdriver-nut-driver", "https://edmondsonsupply.com/products/klein-tools-32314-14-in-1-precision-screwdriver-nut-driver")</f>
        <v/>
      </c>
      <c r="C2100" t="inlineStr">
        <is>
          <t>Klein Tools 32314 14-in-1 Precision Screwdriver/ Nut Driver</t>
        </is>
      </c>
      <c r="D2100" t="inlineStr">
        <is>
          <t>Klein Tools 32328 Precision Screwdriver, 27-in-1 Multi-Bit Screwdriver, Bits for Apple Product Repair, Rare-Earth Magnet</t>
        </is>
      </c>
      <c r="E2100" s="2">
        <f>HYPERLINK("https://www.amazon.com/Klein-Tools-32328-Screwdriver-Rare-Earth/dp/B09Z78CPK3/ref=sr_1_25?keywords=Klein+Tools+32314+14-in-1+Precision+Screwdriver%2F+Nut+Driver&amp;qid=1694734697&amp;sr=8-25", "https://www.amazon.com/Klein-Tools-32328-Screwdriver-Rare-Earth/dp/B09Z78CPK3/ref=sr_1_25?keywords=Klein+Tools+32314+14-in-1+Precision+Screwdriver%2F+Nut+Driver&amp;qid=1694734697&amp;sr=8-25")</f>
        <v/>
      </c>
      <c r="F2100" t="inlineStr">
        <is>
          <t>B09Z78CPK3</t>
        </is>
      </c>
      <c r="G2100">
        <f>_xlfn.IMAGE("https://edmondsonsupply.com/cdn/shop/products/32314.jpg?v=1646593726")</f>
        <v/>
      </c>
      <c r="H2100">
        <f>_xlfn.IMAGE("https://m.media-amazon.com/images/I/41AMJw8sOTL._AC_UL320_.jpg")</f>
        <v/>
      </c>
      <c r="K2100" t="inlineStr">
        <is>
          <t>15.97</t>
        </is>
      </c>
      <c r="L2100" t="n">
        <v>19.97</v>
      </c>
      <c r="M2100" s="1" t="inlineStr">
        <is>
          <t>25.05%</t>
        </is>
      </c>
      <c r="N2100" s="7" t="n">
        <v>-30.33</v>
      </c>
      <c r="O2100" t="n">
        <v>4.8</v>
      </c>
      <c r="P2100" t="n">
        <v>537</v>
      </c>
      <c r="R2100" t="inlineStr">
        <is>
          <t>InStock</t>
        </is>
      </c>
      <c r="S2100" t="inlineStr">
        <is>
          <t>22.38</t>
        </is>
      </c>
      <c r="T2100" t="inlineStr">
        <is>
          <t>7626984947928</t>
        </is>
      </c>
    </row>
    <row r="2101" ht="87" customHeight="1">
      <c r="A2101" s="2">
        <f>HYPERLINK("https://edmondsonsupply.com/collections/hvac/products/channellock-8wcb", "https://edmondsonsupply.com/collections/hvac/products/channellock-8wcb")</f>
        <v/>
      </c>
      <c r="B2101" s="2">
        <f>HYPERLINK("https://edmondsonsupply.com/products/channellock-8wcb", "https://edmondsonsupply.com/products/channellock-8wcb")</f>
        <v/>
      </c>
      <c r="C2101" t="inlineStr">
        <is>
          <t>Channellock 8WCB 8" Code Blue WIDEAZZ Adjustable Wrench</t>
        </is>
      </c>
      <c r="D2101" t="inlineStr">
        <is>
          <t>Channellock 10WCB 10-inch CODE BLUE WideAzz Adjustable Wrench | 2-inch Wide Mouth Jaw Capacity | Precise Jaw Design Grips in Tight Spaces | Measurement Scales for Easy Sizing Diameters</t>
        </is>
      </c>
      <c r="E2101" s="2">
        <f>HYPERLINK("https://www.amazon.com/Channellock-10WCB-Adjustable-Measurement-Diameters/dp/B0BDHWW8K8/ref=sr_1_4?keywords=Channellock+8WCB+8%22+Code+Blue+WIDEAZZ+Adjustable+Wrench&amp;qid=1694734792&amp;sr=8-4", "https://www.amazon.com/Channellock-10WCB-Adjustable-Measurement-Diameters/dp/B0BDHWW8K8/ref=sr_1_4?keywords=Channellock+8WCB+8%22+Code+Blue+WIDEAZZ+Adjustable+Wrench&amp;qid=1694734792&amp;sr=8-4")</f>
        <v/>
      </c>
      <c r="F2101" t="inlineStr">
        <is>
          <t>B0BDHWW8K8</t>
        </is>
      </c>
      <c r="G2101">
        <f>_xlfn.IMAGE("https://edmondsonsupply.com/cdn/shop/products/8WCB-683x1024.jpg?v=1633030324")</f>
        <v/>
      </c>
      <c r="H2101">
        <f>_xlfn.IMAGE("https://m.media-amazon.com/images/I/61w0hdzcX7L._AC_UL320_.jpg")</f>
        <v/>
      </c>
      <c r="K2101" t="inlineStr">
        <is>
          <t>31.95</t>
        </is>
      </c>
      <c r="L2101" t="n">
        <v>39.95</v>
      </c>
      <c r="M2101" s="1" t="inlineStr">
        <is>
          <t>25.04%</t>
        </is>
      </c>
      <c r="N2101" s="7" t="n">
        <v>-31.79</v>
      </c>
      <c r="O2101" t="n">
        <v>4.9</v>
      </c>
      <c r="P2101" t="n">
        <v>60</v>
      </c>
      <c r="R2101" t="inlineStr">
        <is>
          <t>InStock</t>
        </is>
      </c>
      <c r="S2101" t="inlineStr">
        <is>
          <t>48.49</t>
        </is>
      </c>
      <c r="T2101" t="inlineStr">
        <is>
          <t>5247300436136</t>
        </is>
      </c>
    </row>
    <row r="2102" ht="87" customHeight="1">
      <c r="A2102" s="2">
        <f>HYPERLINK("https://edmondsonsupply.com/collections/hvac/products/klein-tools-602-4dd-4-demolition-driver-1-4-keystone", "https://edmondsonsupply.com/collections/hvac/products/klein-tools-602-4dd-4-demolition-driver-1-4-keystone")</f>
        <v/>
      </c>
      <c r="B2102" s="2">
        <f>HYPERLINK("https://edmondsonsupply.com/products/klein-tools-602-4dd-4-demolition-driver-1-4-keystone", "https://edmondsonsupply.com/products/klein-tools-602-4dd-4-demolition-driver-1-4-keystone")</f>
        <v/>
      </c>
      <c r="C2102" t="inlineStr">
        <is>
          <t>Klein Tools 602-4DD 1/4-Inch Keystone Demolition Driver, 4-Inch Shank</t>
        </is>
      </c>
      <c r="D2102" t="inlineStr">
        <is>
          <t>Klein Tools 602-7DD 5/16-Inch Keystone Demolition Driver, 7-Inch Shank</t>
        </is>
      </c>
      <c r="E2102" s="2">
        <f>HYPERLINK("https://www.amazon.com/16-Inch-Keystone-Demolition-Klein-Tools/dp/B00B9HIBYA/ref=sr_1_2?keywords=Klein+Tools+602-4DD+1%2F4-Inch+Keystone+Demolition+Driver%2C+4-Inch+Shank&amp;qid=1694734822&amp;sr=8-2", "https://www.amazon.com/16-Inch-Keystone-Demolition-Klein-Tools/dp/B00B9HIBYA/ref=sr_1_2?keywords=Klein+Tools+602-4DD+1%2F4-Inch+Keystone+Demolition+Driver%2C+4-Inch+Shank&amp;qid=1694734822&amp;sr=8-2")</f>
        <v/>
      </c>
      <c r="F2102" t="inlineStr">
        <is>
          <t>B00B9HIBYA</t>
        </is>
      </c>
      <c r="G2102">
        <f>_xlfn.IMAGE("https://edmondsonsupply.com/cdn/shop/products/602-4dd.jpg?v=1587143287")</f>
        <v/>
      </c>
      <c r="H2102">
        <f>_xlfn.IMAGE("https://m.media-amazon.com/images/I/41sh3Q2vVYL._AC_UL320_.jpg")</f>
        <v/>
      </c>
      <c r="K2102" t="inlineStr">
        <is>
          <t>15.99</t>
        </is>
      </c>
      <c r="L2102" t="n">
        <v>19.99</v>
      </c>
      <c r="M2102" s="1" t="inlineStr">
        <is>
          <t>25.02%</t>
        </is>
      </c>
      <c r="N2102" s="7" t="n">
        <v>-32.14</v>
      </c>
      <c r="O2102" t="n">
        <v>4.8</v>
      </c>
      <c r="P2102" t="n">
        <v>1374</v>
      </c>
      <c r="R2102" t="inlineStr">
        <is>
          <t>InStock</t>
        </is>
      </c>
      <c r="S2102" t="inlineStr">
        <is>
          <t>22.4</t>
        </is>
      </c>
      <c r="T2102" t="inlineStr">
        <is>
          <t>1989595988068</t>
        </is>
      </c>
    </row>
    <row r="2103" ht="87" customHeight="1">
      <c r="A2103" s="2">
        <f>HYPERLINK("https://edmondsonsupply.com/collections/hvac/products/hilmor-1839110-4-valve-aluminum-manifold-set-r410a", "https://edmondsonsupply.com/collections/hvac/products/hilmor-1839110-4-valve-aluminum-manifold-set-r410a")</f>
        <v/>
      </c>
      <c r="B2103" s="2">
        <f>HYPERLINK("https://edmondsonsupply.com/products/hilmor-1839110-4-valve-aluminum-manifold-set-r410a", "https://edmondsonsupply.com/products/hilmor-1839110-4-valve-aluminum-manifold-set-r410a")</f>
        <v/>
      </c>
      <c r="C2103" t="inlineStr">
        <is>
          <t>Hilmor 1839110 4-Valve Aluminum Manifold Set - R410A</t>
        </is>
      </c>
      <c r="D2103" t="inlineStr">
        <is>
          <t>Hilmor 1839110 R410A 4-Valve Aluminum Manifold HVAC Gauge Set with Hose and Dual Readout Thermometer, Multi-Color</t>
        </is>
      </c>
      <c r="E2103" s="2">
        <f>HYPERLINK("https://www.amazon.com/1839110-4-Valve-Manifold-Readout-Thermometer/dp/B00FPP2SQO/ref=sr_1_1?keywords=Hilmor+1839110+4-Valve+Aluminum+Manifold+Set+-+R410A&amp;qid=1694734738&amp;sr=8-1", "https://www.amazon.com/1839110-4-Valve-Manifold-Readout-Thermometer/dp/B00FPP2SQO/ref=sr_1_1?keywords=Hilmor+1839110+4-Valve+Aluminum+Manifold+Set+-+R410A&amp;qid=1694734738&amp;sr=8-1")</f>
        <v/>
      </c>
      <c r="F2103" t="inlineStr">
        <is>
          <t>B00FPP2SQO</t>
        </is>
      </c>
      <c r="G2103">
        <f>_xlfn.IMAGE("https://edmondsonsupply.com/cdn/shop/files/Manifolds_4V410_FrontFacingWithDROTHosesAndClamps_735x480px-735x480_68ca81f0-40f2-4882-b1a7-b0b2eecb33af.jpg?v=1694523226")</f>
        <v/>
      </c>
      <c r="H2103">
        <f>_xlfn.IMAGE("https://m.media-amazon.com/images/I/91-w1LM9vCL._AC_UL320_.jpg")</f>
        <v/>
      </c>
      <c r="K2103" t="inlineStr">
        <is>
          <t>510.99</t>
        </is>
      </c>
      <c r="L2103" t="n">
        <v>638.16</v>
      </c>
      <c r="M2103" s="1" t="inlineStr">
        <is>
          <t>24.89%</t>
        </is>
      </c>
      <c r="N2103" s="7" t="n">
        <v>-32.42</v>
      </c>
      <c r="O2103" t="n">
        <v>4.1</v>
      </c>
      <c r="P2103" t="n">
        <v>20</v>
      </c>
      <c r="R2103" t="inlineStr">
        <is>
          <t>InStock</t>
        </is>
      </c>
      <c r="S2103" t="inlineStr">
        <is>
          <t>1748.57</t>
        </is>
      </c>
      <c r="T2103" t="inlineStr">
        <is>
          <t>3657657843812</t>
        </is>
      </c>
    </row>
    <row r="2104" hidden="1" ht="15.75" customHeight="1">
      <c r="A2104" s="2">
        <f>HYPERLINK("https://edmondsonsupply.com/collections/hvac/products/supco-90380-general-purpose-fan-relay-no-nc-24-vac", "https://edmondsonsupply.com/collections/hvac/products/supco-90380-general-purpose-fan-relay-no-nc-24-vac")</f>
        <v/>
      </c>
      <c r="B2104" s="2">
        <f>HYPERLINK("https://edmondsonsupply.com/products/supco-90380-general-purpose-fan-relay-no-nc-24-vac", "https://edmondsonsupply.com/products/supco-90380-general-purpose-fan-relay-no-nc-24-vac")</f>
        <v/>
      </c>
      <c r="C2104" t="inlineStr">
        <is>
          <t>Supco 90380 General Purpose Fan Relay, NO/NC, 24 VAC</t>
        </is>
      </c>
      <c r="D2104" t="inlineStr">
        <is>
          <t>Supco 90380 General Purpose Fan Relay, 13 A Load Current, 24 V Coil Voltage, Normally Open and Normally Closed Contacts</t>
        </is>
      </c>
      <c r="E2104" s="2">
        <f>HYPERLINK("https://www.amazon.com/Supco-90380-General-Normally-Contacts/dp/B004XS1ZX6/ref=sr_1_1?keywords=Supco+90380+General+Purpose+Fan+Relay%2C+NO%2FNC%2C+24+VAC&amp;qid=1694734620&amp;sr=8-1", "https://www.amazon.com/Supco-90380-General-Normally-Contacts/dp/B004XS1ZX6/ref=sr_1_1?keywords=Supco+90380+General+Purpose+Fan+Relay%2C+NO%2FNC%2C+24+VAC&amp;qid=1694734620&amp;sr=8-1")</f>
        <v/>
      </c>
      <c r="F2104" t="inlineStr">
        <is>
          <t>B004XS1ZX6</t>
        </is>
      </c>
      <c r="G2104">
        <f>_xludf.IMAGE("https://edmondsonsupply.com/cdn/shop/products/90380_L.png?v=1661907049")</f>
        <v/>
      </c>
      <c r="H2104">
        <f>_xludf.IMAGE("https://m.media-amazon.com/images/I/614+MLxrEiL._AC_UY218_.jpg")</f>
        <v/>
      </c>
      <c r="K2104" t="inlineStr">
        <is>
          <t>7.28</t>
        </is>
      </c>
      <c r="L2104" t="n">
        <v>9.09</v>
      </c>
      <c r="M2104" s="1" t="inlineStr">
        <is>
          <t>24.86%</t>
        </is>
      </c>
      <c r="N2104" s="1" t="n">
        <v>-32.62</v>
      </c>
      <c r="O2104" t="n">
        <v>4.4</v>
      </c>
      <c r="P2104" t="n">
        <v>392</v>
      </c>
      <c r="R2104" t="inlineStr">
        <is>
          <t>InStock</t>
        </is>
      </c>
      <c r="S2104" t="inlineStr">
        <is>
          <t>undefined</t>
        </is>
      </c>
      <c r="T2104" t="inlineStr">
        <is>
          <t>7797851160792</t>
        </is>
      </c>
    </row>
    <row r="2105" hidden="1" ht="15.75" customHeight="1">
      <c r="A2105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105" s="2">
        <f>HYPERLINK("https://edmondsonsupply.com/products/klein-tools-646-5-16-5-16-inch-nut-driver-6-inch-hollow-shaft", "https://edmondsonsupply.com/products/klein-tools-646-5-16-5-16-inch-nut-driver-6-inch-hollow-shaft")</f>
        <v/>
      </c>
      <c r="C2105" t="inlineStr">
        <is>
          <t>Klein Tools 646-5/16 5/16-Inch Nut Driver, 6-Inch Hollow Shaft</t>
        </is>
      </c>
      <c r="D2105" t="inlineStr">
        <is>
          <t>Klein Tools 630-5/16M 5/16-Inch Magnetic Tip Nut Driver with 3-Inch Hollow Shaft</t>
        </is>
      </c>
      <c r="E2105" s="2">
        <f>HYPERLINK("https://www.amazon.com/Magnetic-Klein-Tools-630-5-16M/dp/B000LEX58E/ref=sr_1_9?keywords=Klein+Tools+646-5%2F16+5%2F16-Inch+Nut+Driver%2C+6-Inch+Hollow+Shaft&amp;qid=1694734728&amp;sr=8-9", "https://www.amazon.com/Magnetic-Klein-Tools-630-5-16M/dp/B000LEX58E/ref=sr_1_9?keywords=Klein+Tools+646-5%2F16+5%2F16-Inch+Nut+Driver%2C+6-Inch+Hollow+Shaft&amp;qid=1694734728&amp;sr=8-9")</f>
        <v/>
      </c>
      <c r="F2105" t="inlineStr">
        <is>
          <t>B000LEX58E</t>
        </is>
      </c>
      <c r="G2105">
        <f>_xludf.IMAGE("https://edmondsonsupply.com/cdn/shop/products/646-1-2_e1540905-f750-4509-90c5-74ff653e4d83.jpg?v=1587145119")</f>
        <v/>
      </c>
      <c r="H2105">
        <f>_xludf.IMAGE("https://m.media-amazon.com/images/I/515W26xlnhL._AC_UL320_.jpg")</f>
        <v/>
      </c>
      <c r="K2105" t="inlineStr">
        <is>
          <t>7.99</t>
        </is>
      </c>
      <c r="L2105" t="n">
        <v>9.970000000000001</v>
      </c>
      <c r="M2105" s="1" t="inlineStr">
        <is>
          <t>24.78%</t>
        </is>
      </c>
      <c r="N2105" s="1" t="n">
        <v>-32.84</v>
      </c>
      <c r="O2105" t="n">
        <v>4.7</v>
      </c>
      <c r="P2105" t="n">
        <v>1571</v>
      </c>
      <c r="R2105" t="inlineStr">
        <is>
          <t>InStock</t>
        </is>
      </c>
      <c r="S2105" t="inlineStr">
        <is>
          <t>12.1</t>
        </is>
      </c>
      <c r="T2105" t="inlineStr">
        <is>
          <t>4395303272548</t>
        </is>
      </c>
    </row>
    <row r="2106" ht="87" customHeight="1">
      <c r="A2106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2106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2106" t="inlineStr">
        <is>
          <t>Diablo Tools DMAMXCC5030 3-1/4 in. x 7 in. SDS-Max Carbide Tipped Core Bit</t>
        </is>
      </c>
      <c r="D2106" t="inlineStr">
        <is>
          <t>Diablo 4 in. x 7 in. SDS-Max Carbide Tipped Core Bit</t>
        </is>
      </c>
      <c r="E2106" s="2">
        <f>HYPERLINK("https://www.amazon.com/Diablo-SDS-Max-Carbide-Tipped-Core/dp/B089M8ST7R/ref=sr_1_4?keywords=Diablo+Tools+DMAMXCC5030+3-1%2F4+in.+x+7+in.+SDS-Max+Carbide+Tipped+Core+Bit&amp;qid=1694734916&amp;sr=8-4", "https://www.amazon.com/Diablo-SDS-Max-Carbide-Tipped-Core/dp/B089M8ST7R/ref=sr_1_4?keywords=Diablo+Tools+DMAMXCC5030+3-1%2F4+in.+x+7+in.+SDS-Max+Carbide+Tipped+Core+Bit&amp;qid=1694734916&amp;sr=8-4")</f>
        <v/>
      </c>
      <c r="F2106" t="inlineStr">
        <is>
          <t>B089M8ST7R</t>
        </is>
      </c>
      <c r="G2106">
        <f>_xlfn.IMAGE("https://edmondsonsupply.com/cdn/shop/files/gtygiwnduxetozty2qne.webp?v=1686585332")</f>
        <v/>
      </c>
      <c r="H2106">
        <f>_xlfn.IMAGE("https://m.media-amazon.com/images/I/71bh3TRvqmL._AC_UL320_.jpg")</f>
        <v/>
      </c>
      <c r="K2106" t="inlineStr">
        <is>
          <t>125.99</t>
        </is>
      </c>
      <c r="L2106" t="n">
        <v>157.21</v>
      </c>
      <c r="M2106" s="1" t="inlineStr">
        <is>
          <t>24.78%</t>
        </is>
      </c>
      <c r="N2106" s="7" t="n">
        <v>-33.34</v>
      </c>
      <c r="O2106" t="n">
        <v>4.7</v>
      </c>
      <c r="P2106" t="n">
        <v>8</v>
      </c>
      <c r="R2106" t="inlineStr">
        <is>
          <t>InStock</t>
        </is>
      </c>
      <c r="S2106" t="inlineStr">
        <is>
          <t>201.87</t>
        </is>
      </c>
      <c r="T2106" t="inlineStr">
        <is>
          <t>8004507435224</t>
        </is>
      </c>
    </row>
    <row r="2107" ht="87" customHeight="1">
      <c r="A2107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107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107" t="inlineStr">
        <is>
          <t>Klein Tools D20009NEGLW High-Visibility Side-Cutting Pliers High-Leverage</t>
        </is>
      </c>
      <c r="D2107" t="inlineStr">
        <is>
          <t>Klein Tools J20008 Pliers, 8-Inch Side Cutters, High Leverage Lineman's Pliers Cut ACSR, Screws, Nails, Hard Wire</t>
        </is>
      </c>
      <c r="E2107" s="2">
        <f>HYPERLINK("https://www.amazon.com/Journeyman-Cutters-High-Leverage-Klein-Tools/dp/B002LPZLSI/ref=sr_1_31?keywords=Klein+Tools+D20009NEGLW+High-Visibility+Side-Cutting+Pliers+High-Leverage&amp;qid=1694734809&amp;sr=8-31", "https://www.amazon.com/Journeyman-Cutters-High-Leverage-Klein-Tools/dp/B002LPZLSI/ref=sr_1_31?keywords=Klein+Tools+D20009NEGLW+High-Visibility+Side-Cutting+Pliers+High-Leverage&amp;qid=1694734809&amp;sr=8-31")</f>
        <v/>
      </c>
      <c r="F2107" t="inlineStr">
        <is>
          <t>B002LPZLSI</t>
        </is>
      </c>
      <c r="G2107">
        <f>_xlfn.IMAGE("https://edmondsonsupply.com/cdn/shop/products/d20009neglw.jpg?v=1587144933")</f>
        <v/>
      </c>
      <c r="H2107">
        <f>_xlfn.IMAGE("https://m.media-amazon.com/images/I/61eewofIaVL._AC_UL320_.jpg")</f>
        <v/>
      </c>
      <c r="K2107" t="inlineStr">
        <is>
          <t>44.97</t>
        </is>
      </c>
      <c r="L2107" t="n">
        <v>55.99</v>
      </c>
      <c r="M2107" s="1" t="inlineStr">
        <is>
          <t>24.51%</t>
        </is>
      </c>
      <c r="N2107" s="7" t="n">
        <v>-33.36</v>
      </c>
      <c r="O2107" t="n">
        <v>4.3</v>
      </c>
      <c r="P2107" t="n">
        <v>21</v>
      </c>
      <c r="R2107" t="inlineStr">
        <is>
          <t>InStock</t>
        </is>
      </c>
      <c r="S2107" t="inlineStr">
        <is>
          <t>68.16</t>
        </is>
      </c>
      <c r="T2107" t="inlineStr">
        <is>
          <t>4396888490084</t>
        </is>
      </c>
    </row>
    <row r="2108" hidden="1" ht="15.75" customHeight="1">
      <c r="A2108" s="2">
        <f>HYPERLINK("https://edmondsonsupply.com/collections/hvac/products/fresh-aire-uv-apco-tuv-apco-er2", "https://edmondsonsupply.com/collections/hvac/products/fresh-aire-uv-apco-tuv-apco-er2")</f>
        <v/>
      </c>
      <c r="B2108" s="2">
        <f>HYPERLINK("https://edmondsonsupply.com/products/fresh-aire-uv-apco-tuv-apco-er2", "https://edmondsonsupply.com/products/fresh-aire-uv-apco-tuv-apco-er2")</f>
        <v/>
      </c>
      <c r="C2108" t="inlineStr">
        <is>
          <t>Fresh-Aire UV APCO TUV-APCO-ER2 18-32 VAC, 2-Year UV Lamp</t>
        </is>
      </c>
      <c r="D2108" t="inlineStr">
        <is>
          <t>APCO Carbon Cell Matrix HVAC UV Air Purifier with Power Cord, Includes 1-Year UVC Lamp (18-32 VAC Series) # TUV-APCO-ER</t>
        </is>
      </c>
      <c r="E2108" s="2">
        <f>HYPERLINK("https://www.amazon.com/Duct-System-1-Year-18-32-TUV-APCO-ER/dp/B09P9VLYMJ/ref=sr_1_13?keywords=Fresh-Aire+UV+APCO+TUV-APCO-ER2+18-32+VAC%2C+2-Year+UV+Lamp&amp;qid=1694734608&amp;sr=8-13", "https://www.amazon.com/Duct-System-1-Year-18-32-TUV-APCO-ER/dp/B09P9VLYMJ/ref=sr_1_13?keywords=Fresh-Aire+UV+APCO+TUV-APCO-ER2+18-32+VAC%2C+2-Year+UV+Lamp&amp;qid=1694734608&amp;sr=8-13")</f>
        <v/>
      </c>
      <c r="F2108" t="inlineStr">
        <is>
          <t>B09P9VLYMJ</t>
        </is>
      </c>
      <c r="G2108">
        <f>_xludf.IMAGE("https://edmondsonsupply.com/cdn/shop/products/fresh-aire-uv_tuv-apco-er2_article_1367841289911_en_normal.jpg?v=1587143929")</f>
        <v/>
      </c>
      <c r="H2108">
        <f>_xludf.IMAGE("https://m.media-amazon.com/images/I/81A421QCiML._AC_UL320_.jpg")</f>
        <v/>
      </c>
      <c r="K2108" t="inlineStr">
        <is>
          <t>385.99</t>
        </is>
      </c>
      <c r="L2108" t="n">
        <v>480.33</v>
      </c>
      <c r="M2108" s="1" t="inlineStr">
        <is>
          <t>24.44%</t>
        </is>
      </c>
      <c r="N2108" s="1" t="n">
        <v>-33.37</v>
      </c>
      <c r="O2108" t="n">
        <v>3.6</v>
      </c>
      <c r="P2108" t="n">
        <v>7</v>
      </c>
      <c r="R2108" t="inlineStr">
        <is>
          <t>InStock</t>
        </is>
      </c>
      <c r="S2108" t="inlineStr">
        <is>
          <t>undefined</t>
        </is>
      </c>
      <c r="T2108" t="inlineStr">
        <is>
          <t>4429144260708</t>
        </is>
      </c>
    </row>
    <row r="2109" ht="87" customHeight="1">
      <c r="A2109" s="2">
        <f>HYPERLINK("https://edmondsonsupply.com/collections/hvac/products/rectorseal-97085-safe-t-switch-ss1", "https://edmondsonsupply.com/collections/hvac/products/rectorseal-97085-safe-t-switch-ss1")</f>
        <v/>
      </c>
      <c r="B2109" s="2">
        <f>HYPERLINK("https://edmondsonsupply.com/products/rectorseal-97085-safe-t-switch-ss1", "https://edmondsonsupply.com/products/rectorseal-97085-safe-t-switch-ss1")</f>
        <v/>
      </c>
      <c r="C2109" t="inlineStr">
        <is>
          <t>RectorSeal 97085 Safe-T-Switch SS1</t>
        </is>
      </c>
      <c r="D2109" t="inlineStr">
        <is>
          <t>Rectorseal 97632 Safe-T-Switch Ss1,Black/ White</t>
        </is>
      </c>
      <c r="E2109" s="2">
        <f>HYPERLINK("https://www.amazon.com/Rectorseal-97632-Safe-T-Switch-Ss1/dp/B007CZCRXY/ref=sr_1_2?keywords=RectorSeal+97085+Safe-T-Switch+SS1&amp;qid=1694734864&amp;sr=8-2", "https://www.amazon.com/Rectorseal-97632-Safe-T-Switch-Ss1/dp/B007CZCRXY/ref=sr_1_2?keywords=RectorSeal+97085+Safe-T-Switch+SS1&amp;qid=1694734864&amp;sr=8-2")</f>
        <v/>
      </c>
      <c r="F2109" t="inlineStr">
        <is>
          <t>B007CZCRXY</t>
        </is>
      </c>
      <c r="G2109">
        <f>_xlfn.IMAGE("https://edmondsonsupply.com/cdn/shop/files/97085-ss1-ratchet-safe-t-switch-img.webp?v=1690985732")</f>
        <v/>
      </c>
      <c r="H2109">
        <f>_xlfn.IMAGE("https://m.media-amazon.com/images/I/513gqjJS2bL._AC_UY218_.jpg")</f>
        <v/>
      </c>
      <c r="K2109" t="inlineStr">
        <is>
          <t>26.53</t>
        </is>
      </c>
      <c r="L2109" t="n">
        <v>32.99</v>
      </c>
      <c r="M2109" s="1" t="inlineStr">
        <is>
          <t>24.35%</t>
        </is>
      </c>
      <c r="N2109" s="7" t="n">
        <v>-33.61</v>
      </c>
      <c r="O2109" t="n">
        <v>4.8</v>
      </c>
      <c r="P2109" t="n">
        <v>757</v>
      </c>
      <c r="R2109" t="inlineStr">
        <is>
          <t>InStock</t>
        </is>
      </c>
      <c r="S2109" t="inlineStr">
        <is>
          <t>35.61</t>
        </is>
      </c>
      <c r="T2109" t="inlineStr">
        <is>
          <t>8023703552216</t>
        </is>
      </c>
    </row>
    <row r="2110" ht="87" customHeight="1">
      <c r="A2110" s="2">
        <f>HYPERLINK("https://edmondsonsupply.com/collections/hvac/products/nu-calgon-4300-89-rx11-flush-injection-valve", "https://edmondsonsupply.com/collections/hvac/products/nu-calgon-4300-89-rx11-flush-injection-valve")</f>
        <v/>
      </c>
      <c r="B2110" s="2">
        <f>HYPERLINK("https://edmondsonsupply.com/products/nu-calgon-4300-89-rx11-flush-injection-valve", "https://edmondsonsupply.com/products/nu-calgon-4300-89-rx11-flush-injection-valve")</f>
        <v/>
      </c>
      <c r="C2110" t="inlineStr">
        <is>
          <t>Nu-Calgon 4300-89 Rx11-Flush Injection Valve</t>
        </is>
      </c>
      <c r="D2110" t="inlineStr">
        <is>
          <t>Nu-calgon Rx11 Flush Injection Tool 4300-89</t>
        </is>
      </c>
      <c r="E2110" s="2">
        <f>HYPERLINK("https://www.amazon.com/Nu-calgon-Rx11-Flush-Injection-4300-89/dp/B082J5HCH4/ref=sr_1_2?keywords=Nu-Calgon+4300-89+Rx11-Flush+Injection+Valve&amp;qid=1694734762&amp;sr=8-2", "https://www.amazon.com/Nu-calgon-Rx11-Flush-Injection-4300-89/dp/B082J5HCH4/ref=sr_1_2?keywords=Nu-Calgon+4300-89+Rx11-Flush+Injection+Valve&amp;qid=1694734762&amp;sr=8-2")</f>
        <v/>
      </c>
      <c r="F2110" t="inlineStr">
        <is>
          <t>B082J5HCH4</t>
        </is>
      </c>
      <c r="G2110">
        <f>_xlfn.IMAGE("https://edmondsonsupply.com/cdn/shop/products/4300-89.jpg?v=1658853039")</f>
        <v/>
      </c>
      <c r="H2110">
        <f>_xlfn.IMAGE("https://m.media-amazon.com/images/I/41yGd3S4UGL._AC_UY218_.jpg")</f>
        <v/>
      </c>
      <c r="K2110" t="inlineStr">
        <is>
          <t>38.27</t>
        </is>
      </c>
      <c r="L2110" t="n">
        <v>47.51</v>
      </c>
      <c r="M2110" s="1" t="inlineStr">
        <is>
          <t>24.14%</t>
        </is>
      </c>
      <c r="N2110" s="7" t="n">
        <v>-33.78</v>
      </c>
      <c r="O2110" t="n">
        <v>4.4</v>
      </c>
      <c r="P2110" t="n">
        <v>5</v>
      </c>
      <c r="R2110" t="inlineStr">
        <is>
          <t>InStock</t>
        </is>
      </c>
      <c r="S2110" t="inlineStr">
        <is>
          <t>51.02</t>
        </is>
      </c>
      <c r="T2110" t="inlineStr">
        <is>
          <t>7761647108312</t>
        </is>
      </c>
    </row>
    <row r="2111" ht="87" customHeight="1">
      <c r="A2111" s="2">
        <f>HYPERLINK("https://edmondsonsupply.com/collections/hvac/products/malco-tools-av8-vertical-upright-aviation-snip-left-cutting", "https://edmondsonsupply.com/collections/hvac/products/malco-tools-av8-vertical-upright-aviation-snip-left-cutting")</f>
        <v/>
      </c>
      <c r="B2111" s="2">
        <f>HYPERLINK("https://edmondsonsupply.com/products/malco-tools-av8-vertical-upright-aviation-snip-left-cutting", "https://edmondsonsupply.com/products/malco-tools-av8-vertical-upright-aviation-snip-left-cutting")</f>
        <v/>
      </c>
      <c r="C2111" t="inlineStr">
        <is>
          <t>Malco Tools AV8 Vertical/Upright Aviation Snip - Left Cutting</t>
        </is>
      </c>
      <c r="D2111" t="inlineStr">
        <is>
          <t>Malco AV8 Left Cutting Vertical Aviation Snip</t>
        </is>
      </c>
      <c r="E2111" s="2">
        <f>HYPERLINK("https://www.amazon.com/Malco-AV8-Cutting-Vertical-Aviation/dp/B009FAZNOO/ref=sr_1_1?keywords=Malco+Tools+AV8+Vertical%2FUpright+Aviation+Snip+-+Left+Cutting&amp;qid=1694734792&amp;sr=8-1", "https://www.amazon.com/Malco-AV8-Cutting-Vertical-Aviation/dp/B009FAZNOO/ref=sr_1_1?keywords=Malco+Tools+AV8+Vertical%2FUpright+Aviation+Snip+-+Left+Cutting&amp;qid=1694734792&amp;sr=8-1")</f>
        <v/>
      </c>
      <c r="F2111" t="inlineStr">
        <is>
          <t>B009FAZNOO</t>
        </is>
      </c>
      <c r="G2111">
        <f>_xlfn.IMAGE("https://edmondsonsupply.com/cdn/shop/products/av8-big-e1530194005742.jpg?v=1633030538")</f>
        <v/>
      </c>
      <c r="H2111">
        <f>_xlfn.IMAGE("https://m.media-amazon.com/images/I/617TTJdzrXL._AC_UL320_.jpg")</f>
        <v/>
      </c>
      <c r="K2111" t="inlineStr">
        <is>
          <t>26.39</t>
        </is>
      </c>
      <c r="L2111" t="n">
        <v>32.76</v>
      </c>
      <c r="M2111" s="1" t="inlineStr">
        <is>
          <t>24.14%</t>
        </is>
      </c>
      <c r="N2111" s="7" t="n">
        <v>-34.48</v>
      </c>
      <c r="O2111" t="n">
        <v>4.8</v>
      </c>
      <c r="P2111" t="n">
        <v>343</v>
      </c>
      <c r="R2111" t="inlineStr">
        <is>
          <t>InStock</t>
        </is>
      </c>
      <c r="S2111" t="inlineStr">
        <is>
          <t>27.44</t>
        </is>
      </c>
      <c r="T2111" t="inlineStr">
        <is>
          <t>5419059478696</t>
        </is>
      </c>
    </row>
    <row r="2112" ht="87" customHeight="1">
      <c r="A2112" s="2">
        <f>HYPERLINK("https://edmondsonsupply.com/collections/hvac/products/channellock-804", "https://edmondsonsupply.com/collections/hvac/products/channellock-804")</f>
        <v/>
      </c>
      <c r="B2112" s="2">
        <f>HYPERLINK("https://edmondsonsupply.com/products/channellock-804", "https://edmondsonsupply.com/products/channellock-804")</f>
        <v/>
      </c>
      <c r="C2112" t="inlineStr">
        <is>
          <t>Channellock 804 4-Inch Chrome Adjustable Wrench</t>
        </is>
      </c>
      <c r="D2112" t="inlineStr">
        <is>
          <t>ARES 79000-4-Inch Adjustable Wrench - 11/16-Inch Jaw Capacity - Chrome Vanadium Steel Construction - Ergonomic TPR Handle</t>
        </is>
      </c>
      <c r="E2112" s="2">
        <f>HYPERLINK("https://www.amazon.com/ARES-Adjustable-Capacity-Construction-Ergonomic/dp/B07HR4T1M5/ref=sr_1_24?keywords=Channellock+804+4-Inch+Chrome+Adjustable+Wrench&amp;qid=1694734791&amp;sr=8-24", "https://www.amazon.com/ARES-Adjustable-Capacity-Construction-Ergonomic/dp/B07HR4T1M5/ref=sr_1_24?keywords=Channellock+804+4-Inch+Chrome+Adjustable+Wrench&amp;qid=1694734791&amp;sr=8-24")</f>
        <v/>
      </c>
      <c r="F2112" t="inlineStr">
        <is>
          <t>B07HR4T1M5</t>
        </is>
      </c>
      <c r="G2112">
        <f>_xlfn.IMAGE("https://edmondsonsupply.com/cdn/shop/products/804-683x1024.jpg?v=1587145853")</f>
        <v/>
      </c>
      <c r="H2112">
        <f>_xlfn.IMAGE("https://m.media-amazon.com/images/I/711bnKwEs3L._AC_UL320_.jpg")</f>
        <v/>
      </c>
      <c r="K2112" t="inlineStr">
        <is>
          <t>16.95</t>
        </is>
      </c>
      <c r="L2112" t="n">
        <v>21.02</v>
      </c>
      <c r="M2112" s="1" t="inlineStr">
        <is>
          <t>24.01%</t>
        </is>
      </c>
      <c r="N2112" s="7" t="n">
        <v>-34.61</v>
      </c>
      <c r="O2112" t="n">
        <v>4.6</v>
      </c>
      <c r="P2112" t="n">
        <v>416</v>
      </c>
      <c r="R2112" t="inlineStr">
        <is>
          <t>InStock</t>
        </is>
      </c>
      <c r="S2112" t="inlineStr">
        <is>
          <t>26.62</t>
        </is>
      </c>
      <c r="T2112" t="inlineStr">
        <is>
          <t>4094611488868</t>
        </is>
      </c>
    </row>
    <row r="2113" ht="87" customHeight="1">
      <c r="A2113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113" s="2">
        <f>HYPERLINK("https://edmondsonsupply.com/products/klein-tools-11053-klein-kurve%c2%ae-wire-stripper-cutter", "https://edmondsonsupply.com/products/klein-tools-11053-klein-kurve%c2%ae-wire-stripper-cutter")</f>
        <v/>
      </c>
      <c r="C2113" t="inlineStr">
        <is>
          <t>Klein Tools 11053 Klein-Kurve® Wire Stripper/Cutter</t>
        </is>
      </c>
      <c r="D2113" t="inlineStr">
        <is>
          <t>Klein Tools 1001 Multi Tool, Wire Stripper, Wire Cutters, Crimper Tool for 8-22 AWG, Multi-Purpose Electrician Tool is 8.5-Inch Long</t>
        </is>
      </c>
      <c r="E2113" s="2">
        <f>HYPERLINK("https://www.amazon.com/Klein-Tools-1001-Multi-Purpose-Electricians/dp/B000EVLUR2/ref=sr_1_20?keywords=Klein+Tools+11053+Klein-Kurve%C2%AE+Wire+Stripper%2FCutter&amp;qid=1694734664&amp;sr=8-20", "https://www.amazon.com/Klein-Tools-1001-Multi-Purpose-Electricians/dp/B000EVLUR2/ref=sr_1_20?keywords=Klein+Tools+11053+Klein-Kurve%C2%AE+Wire+Stripper%2FCutter&amp;qid=1694734664&amp;sr=8-20")</f>
        <v/>
      </c>
      <c r="F2113" t="inlineStr">
        <is>
          <t>B000EVLUR2</t>
        </is>
      </c>
      <c r="G2113">
        <f>_xlfn.IMAGE("https://edmondsonsupply.com/cdn/shop/products/11053.jpg?v=1633030511")</f>
        <v/>
      </c>
      <c r="H2113">
        <f>_xlfn.IMAGE("https://m.media-amazon.com/images/I/51Df2gzkHqL._AC_UL320_.jpg")</f>
        <v/>
      </c>
      <c r="K2113" t="inlineStr">
        <is>
          <t>20.97</t>
        </is>
      </c>
      <c r="L2113" t="n">
        <v>25.99</v>
      </c>
      <c r="M2113" s="1" t="inlineStr">
        <is>
          <t>23.94%</t>
        </is>
      </c>
      <c r="N2113" s="7" t="n">
        <v>-34.77</v>
      </c>
      <c r="O2113" t="n">
        <v>4.5</v>
      </c>
      <c r="P2113" t="n">
        <v>475</v>
      </c>
      <c r="R2113" t="inlineStr">
        <is>
          <t>InStock</t>
        </is>
      </c>
      <c r="S2113" t="inlineStr">
        <is>
          <t>31.76</t>
        </is>
      </c>
      <c r="T2113" t="inlineStr">
        <is>
          <t>5387171299496</t>
        </is>
      </c>
    </row>
    <row r="2114" hidden="1" ht="15.75" customHeight="1">
      <c r="A2114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114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114" t="inlineStr">
        <is>
          <t>Diablo Tools DMAPL2290 7/16 in. x 10 in. x 12 in. SDS-Plus 2-Cutter</t>
        </is>
      </c>
      <c r="D2114" t="inlineStr">
        <is>
          <t>Diablo by Freud DMAPL4160 3/8 in. x 10 in. x 12 in. Rebar Demon SDS-Plus 4-Cutter Full Carbide Head Hammer Bit</t>
        </is>
      </c>
      <c r="E2114" s="2">
        <f>HYPERLINK("https://www.amazon.com/Diablo-Freud-DMAPL4160-SDS-Plus-4-Cutter/dp/B089KX25B7/ref=sr_1_16?keywords=Diablo+Tools+DMAPL2290+7%2F16+in.+x+10+in.+x+12+in.+SDS-Plus+2-Cutter&amp;qid=1694734916&amp;sr=8-16", "https://www.amazon.com/Diablo-Freud-DMAPL4160-SDS-Plus-4-Cutter/dp/B089KX25B7/ref=sr_1_16?keywords=Diablo+Tools+DMAPL2290+7%2F16+in.+x+10+in.+x+12+in.+SDS-Plus+2-Cutter&amp;qid=1694734916&amp;sr=8-16")</f>
        <v/>
      </c>
      <c r="F2114" t="inlineStr">
        <is>
          <t>B089KX25B7</t>
        </is>
      </c>
      <c r="G2114">
        <f>_xludf.IMAGE("https://edmondsonsupply.com/cdn/shop/files/lgvfccwvf9ikjakt8qfb.webp?v=1686146379")</f>
        <v/>
      </c>
      <c r="H2114">
        <f>_xludf.IMAGE("https://m.media-amazon.com/images/I/61MHnm3+2bL._AC_UL320_.jpg")</f>
        <v/>
      </c>
      <c r="K2114" t="inlineStr">
        <is>
          <t>10.5</t>
        </is>
      </c>
      <c r="L2114" t="n">
        <v>13.01</v>
      </c>
      <c r="M2114" s="1" t="inlineStr">
        <is>
          <t>23.90%</t>
        </is>
      </c>
      <c r="N2114" s="1" t="n">
        <v>-34.98</v>
      </c>
      <c r="O2114" t="n">
        <v>4.5</v>
      </c>
      <c r="P2114" t="n">
        <v>39</v>
      </c>
      <c r="R2114" t="inlineStr">
        <is>
          <t>InStock</t>
        </is>
      </c>
      <c r="S2114" t="inlineStr">
        <is>
          <t>16.67</t>
        </is>
      </c>
      <c r="T2114" t="inlineStr">
        <is>
          <t>8002354872536</t>
        </is>
      </c>
    </row>
    <row r="2115" hidden="1" ht="15.75" customHeight="1">
      <c r="A2115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115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115" t="inlineStr">
        <is>
          <t>Diablo Tools DMAPL2290 7/16 in. x 10 in. x 12 in. SDS-Plus 2-Cutter</t>
        </is>
      </c>
      <c r="D2115" t="inlineStr">
        <is>
          <t>Diablo DMAPL4120 5/16 in. x 10 in. x 12 in. Rebar Demon™ SDS-Plus 4-Cutter Full Carbide Head Hammer Bit</t>
        </is>
      </c>
      <c r="E2115" s="2">
        <f>HYPERLINK("https://www.amazon.com/Diablo-SDS-Plus-4-Cutter-Carbide-Hammer/dp/B089KTHL12/ref=sr_1_12?keywords=Diablo+Tools+DMAPL2290+7%2F16+in.+x+10+in.+x+12+in.+SDS-Plus+2-Cutter&amp;qid=1694734916&amp;sr=8-12", "https://www.amazon.com/Diablo-SDS-Plus-4-Cutter-Carbide-Hammer/dp/B089KTHL12/ref=sr_1_12?keywords=Diablo+Tools+DMAPL2290+7%2F16+in.+x+10+in.+x+12+in.+SDS-Plus+2-Cutter&amp;qid=1694734916&amp;sr=8-12")</f>
        <v/>
      </c>
      <c r="F2115" t="inlineStr">
        <is>
          <t>B089KTHL12</t>
        </is>
      </c>
      <c r="G2115">
        <f>_xludf.IMAGE("https://edmondsonsupply.com/cdn/shop/files/lgvfccwvf9ikjakt8qfb.webp?v=1686146379")</f>
        <v/>
      </c>
      <c r="H2115">
        <f>_xludf.IMAGE("https://m.media-amazon.com/images/I/61P8b1v1TBL._AC_UL320_.jpg")</f>
        <v/>
      </c>
      <c r="K2115" t="inlineStr">
        <is>
          <t>10.5</t>
        </is>
      </c>
      <c r="L2115" t="n">
        <v>12.99</v>
      </c>
      <c r="M2115" s="1" t="inlineStr">
        <is>
          <t>23.71%</t>
        </is>
      </c>
      <c r="N2115" s="1" t="n">
        <v>-35.19</v>
      </c>
      <c r="O2115" t="n">
        <v>5</v>
      </c>
      <c r="P2115" t="n">
        <v>6</v>
      </c>
      <c r="R2115" t="inlineStr">
        <is>
          <t>InStock</t>
        </is>
      </c>
      <c r="S2115" t="inlineStr">
        <is>
          <t>16.67</t>
        </is>
      </c>
      <c r="T2115" t="inlineStr">
        <is>
          <t>8002354872536</t>
        </is>
      </c>
    </row>
    <row r="2116" ht="87" customHeight="1">
      <c r="A2116" s="2">
        <f>HYPERLINK("https://edmondsonsupply.com/collections/hvac/products/fluke-376", "https://edmondsonsupply.com/collections/hvac/products/fluke-376")</f>
        <v/>
      </c>
      <c r="B2116" s="2">
        <f>HYPERLINK("https://edmondsonsupply.com/products/fluke-376", "https://edmondsonsupply.com/products/fluke-376")</f>
        <v/>
      </c>
      <c r="C2116" t="inlineStr">
        <is>
          <t>Fluke 376 FC Wireless True-RMS AC/DC Clamp Meter with iFlex</t>
        </is>
      </c>
      <c r="D2116" t="inlineStr">
        <is>
          <t>Fluke 376-FC True RMS AC/DC Clamp Meter with iFlex with a NIST-Traceable Calibration Certificate with Data</t>
        </is>
      </c>
      <c r="E2116" s="2">
        <f>HYPERLINK("https://www.amazon.com/Fluke-376-FC-NIST-Traceable-Calibration-Certificate/dp/B01CFXIMOU/ref=sr_1_1?keywords=Fluke+376+FC+Wireless+True-RMS+AC%2FDC+Clamp+Meter+with+iFlex&amp;qid=1694734720&amp;sr=8-1", "https://www.amazon.com/Fluke-376-FC-NIST-Traceable-Calibration-Certificate/dp/B01CFXIMOU/ref=sr_1_1?keywords=Fluke+376+FC+Wireless+True-RMS+AC%2FDC+Clamp+Meter+with+iFlex&amp;qid=1694734720&amp;sr=8-1")</f>
        <v/>
      </c>
      <c r="F2116" t="inlineStr">
        <is>
          <t>B01CFXIMOU</t>
        </is>
      </c>
      <c r="G2116">
        <f>_xlfn.IMAGE("https://edmondsonsupply.com/cdn/shop/products/f-376fc-16a-1500x1000.jpg?v=1633030274")</f>
        <v/>
      </c>
      <c r="H2116">
        <f>_xlfn.IMAGE("https://m.media-amazon.com/images/I/81SZ2OCx2VL._AC_UY218_.jpg")</f>
        <v/>
      </c>
      <c r="K2116" t="inlineStr">
        <is>
          <t>533.69</t>
        </is>
      </c>
      <c r="L2116" t="n">
        <v>659.99</v>
      </c>
      <c r="M2116" s="1" t="inlineStr">
        <is>
          <t>23.67%</t>
        </is>
      </c>
      <c r="N2116" s="7" t="n">
        <v>-35.38</v>
      </c>
      <c r="O2116" t="n">
        <v>4.6</v>
      </c>
      <c r="P2116" t="n">
        <v>21</v>
      </c>
      <c r="R2116" t="inlineStr">
        <is>
          <t>InStock</t>
        </is>
      </c>
      <c r="S2116" t="inlineStr">
        <is>
          <t>592.99</t>
        </is>
      </c>
      <c r="T2116" t="inlineStr">
        <is>
          <t>5238364668072</t>
        </is>
      </c>
    </row>
    <row r="2117" hidden="1" ht="15.75" customHeight="1">
      <c r="A2117" s="2">
        <f>HYPERLINK("https://edmondsonsupply.com/collections/hvac/products/midwest-mwt-x1-12-inch-duct-slitter", "https://edmondsonsupply.com/collections/hvac/products/midwest-mwt-x1-12-inch-duct-slitter")</f>
        <v/>
      </c>
      <c r="B2117" s="2">
        <f>HYPERLINK("https://edmondsonsupply.com/products/midwest-mwt-x1-12-inch-duct-slitter", "https://edmondsonsupply.com/products/midwest-mwt-x1-12-inch-duct-slitter")</f>
        <v/>
      </c>
      <c r="C2117" t="inlineStr">
        <is>
          <t>Midwest MWT-X1 12-Inch Duct Slitter</t>
        </is>
      </c>
      <c r="D2117" t="inlineStr">
        <is>
          <t>MIDWEST Duct Slitter - 12" Punch For Sheet Metal Starter Hole Tool With Steel Forged Blade &amp; Grooved Acrylic Handle - MWT-X1</t>
        </is>
      </c>
      <c r="E2117" s="2">
        <f>HYPERLINK("https://www.amazon.com/MIDWEST-Duct-Slitter-Starter-Grooved/dp/B01CI0BOXG/ref=sr_1_1?keywords=Midwest+MWT-X1+12-Inch+Duct+Slitter&amp;qid=1694734728&amp;sr=8-1", "https://www.amazon.com/MIDWEST-Duct-Slitter-Starter-Grooved/dp/B01CI0BOXG/ref=sr_1_1?keywords=Midwest+MWT-X1+12-Inch+Duct+Slitter&amp;qid=1694734728&amp;sr=8-1")</f>
        <v/>
      </c>
      <c r="F2117" t="inlineStr">
        <is>
          <t>B01CI0BOXG</t>
        </is>
      </c>
      <c r="G2117">
        <f>_xludf.IMAGE("https://edmondsonsupply.com/cdn/shop/products/MWT-X11.jpg?v=1633030232")</f>
        <v/>
      </c>
      <c r="H2117">
        <f>_xludf.IMAGE("https://m.media-amazon.com/images/I/61WdxL6QVpL._AC_UL320_.jpg")</f>
        <v/>
      </c>
      <c r="K2117" t="inlineStr">
        <is>
          <t>16.99</t>
        </is>
      </c>
      <c r="L2117" t="n">
        <v>20.99</v>
      </c>
      <c r="M2117" s="1" t="inlineStr">
        <is>
          <t>23.54%</t>
        </is>
      </c>
      <c r="N2117" s="1" t="n">
        <v>-35.54</v>
      </c>
      <c r="O2117" t="n">
        <v>3.5</v>
      </c>
      <c r="P2117" t="n">
        <v>23</v>
      </c>
      <c r="R2117" t="inlineStr">
        <is>
          <t>InStock</t>
        </is>
      </c>
      <c r="S2117" t="inlineStr">
        <is>
          <t>24.37</t>
        </is>
      </c>
      <c r="T2117" t="inlineStr">
        <is>
          <t>4592464461924</t>
        </is>
      </c>
    </row>
    <row r="2118" ht="87" customHeight="1">
      <c r="A2118" s="2">
        <f>HYPERLINK("https://edmondsonsupply.com/collections/hvac/products/yellow-jacket-78080-2-gas-test-gauge-3-4-npt-0-30-lb", "https://edmondsonsupply.com/collections/hvac/products/yellow-jacket-78080-2-gas-test-gauge-3-4-npt-0-30-lb")</f>
        <v/>
      </c>
      <c r="B2118" s="2">
        <f>HYPERLINK("https://edmondsonsupply.com/products/yellow-jacket-78080-2-gas-test-gauge-3-4-npt-0-30-lb", "https://edmondsonsupply.com/products/yellow-jacket-78080-2-gas-test-gauge-3-4-npt-0-30-lb")</f>
        <v/>
      </c>
      <c r="C2118" t="inlineStr">
        <is>
          <t>Yellow Jacket 78080 2" Gas Test Gauge - 3/4" NPT - 0-30 lb</t>
        </is>
      </c>
      <c r="D2118" t="inlineStr">
        <is>
          <t>Yellow Jacket 78077 2" Test Unit 0-15 lb Gauge 3/4" Pipe</t>
        </is>
      </c>
      <c r="E2118" s="2">
        <f>HYPERLINK("https://www.amazon.com/Yellow-Jacket-78077-Test-Gauge/dp/B0039WY5L6/ref=sr_1_1?keywords=Yellow+Jacket+78080+2%22+Gas+Test+Gauge+-+3%2F4%22+NPT+-+0-30+lb&amp;qid=1694734707&amp;sr=8-1", "https://www.amazon.com/Yellow-Jacket-78077-Test-Gauge/dp/B0039WY5L6/ref=sr_1_1?keywords=Yellow+Jacket+78080+2%22+Gas+Test+Gauge+-+3%2F4%22+NPT+-+0-30+lb&amp;qid=1694734707&amp;sr=8-1")</f>
        <v/>
      </c>
      <c r="F2118" t="inlineStr">
        <is>
          <t>B0039WY5L6</t>
        </is>
      </c>
      <c r="G2118">
        <f>_xlfn.IMAGE("https://edmondsonsupply.com/cdn/shop/products/57_2.jpg?v=1633030928")</f>
        <v/>
      </c>
      <c r="H2118">
        <f>_xlfn.IMAGE("https://m.media-amazon.com/images/I/71l38khsscL._AC_UY218_.jpg")</f>
        <v/>
      </c>
      <c r="K2118" t="inlineStr">
        <is>
          <t>30.8</t>
        </is>
      </c>
      <c r="L2118" t="n">
        <v>37.99</v>
      </c>
      <c r="M2118" s="1" t="inlineStr">
        <is>
          <t>23.34%</t>
        </is>
      </c>
      <c r="N2118" s="7" t="n">
        <v>-36.02</v>
      </c>
      <c r="O2118" t="n">
        <v>4.3</v>
      </c>
      <c r="P2118" t="n">
        <v>17</v>
      </c>
      <c r="R2118" t="inlineStr">
        <is>
          <t>InStock</t>
        </is>
      </c>
      <c r="S2118" t="inlineStr">
        <is>
          <t>undefined</t>
        </is>
      </c>
      <c r="T2118" t="inlineStr">
        <is>
          <t>6550757965997</t>
        </is>
      </c>
    </row>
    <row r="2119" hidden="1" ht="15.75" customHeight="1">
      <c r="A2119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2119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2119" t="inlineStr">
        <is>
          <t>Klein Tools JTH6E11 3/16-Inch Hex Key, Journeyman T-Handle, 6-Inch</t>
        </is>
      </c>
      <c r="D2119" t="inlineStr">
        <is>
          <t>Klein Tools JTH6E12BE 7/32-Inch Ball End Hex Key with Journeyman T-Handle,6-Inch</t>
        </is>
      </c>
      <c r="E2119" s="2">
        <f>HYPERLINK("https://www.amazon.com/Journeyman-T-Handle-Klein-Tools-JTH6E12BE/dp/B004QW74L6/ref=sr_1_4?keywords=Klein+Tools+JTH6E11+3%2F16-Inch+Hex+Key%2C+Journeyman+T-Handle%2C+6-Inch&amp;qid=1694734729&amp;sr=8-4", "https://www.amazon.com/Journeyman-T-Handle-Klein-Tools-JTH6E12BE/dp/B004QW74L6/ref=sr_1_4?keywords=Klein+Tools+JTH6E11+3%2F16-Inch+Hex+Key%2C+Journeyman+T-Handle%2C+6-Inch&amp;qid=1694734729&amp;sr=8-4")</f>
        <v/>
      </c>
      <c r="F2119" t="inlineStr">
        <is>
          <t>B004QW74L6</t>
        </is>
      </c>
      <c r="G2119">
        <f>_xludf.IMAGE("https://edmondsonsupply.com/cdn/shop/products/jth6e15_0266106d-0a3b-44ba-997b-66db7749d83f.jpg?v=1587144829")</f>
        <v/>
      </c>
      <c r="H2119">
        <f>_xludf.IMAGE("https://m.media-amazon.com/images/I/51f9vBFVXgL._AC_UL320_.jpg")</f>
        <v/>
      </c>
      <c r="K2119" t="inlineStr">
        <is>
          <t>4.99</t>
        </is>
      </c>
      <c r="L2119" t="n">
        <v>6.15</v>
      </c>
      <c r="M2119" s="1" t="inlineStr">
        <is>
          <t>23.25%</t>
        </is>
      </c>
      <c r="N2119" s="1" t="n">
        <v>-36.1</v>
      </c>
      <c r="O2119" t="n">
        <v>4.5</v>
      </c>
      <c r="P2119" t="n">
        <v>9</v>
      </c>
      <c r="R2119" t="inlineStr">
        <is>
          <t>InStock</t>
        </is>
      </c>
      <c r="S2119" t="inlineStr">
        <is>
          <t>7.56</t>
        </is>
      </c>
      <c r="T2119" t="inlineStr">
        <is>
          <t>4396293947492</t>
        </is>
      </c>
    </row>
    <row r="2120" ht="87" customHeight="1">
      <c r="A2120" s="2">
        <f>HYPERLINK("https://edmondsonsupply.com/collections/hvac/products/lucas-milhaupt-95177-sil-fos-15-7-rods-15-silver", "https://edmondsonsupply.com/collections/hvac/products/lucas-milhaupt-95177-sil-fos-15-7-rods-15-silver")</f>
        <v/>
      </c>
      <c r="B2120" s="2">
        <f>HYPERLINK("https://edmondsonsupply.com/products/lucas-milhaupt-95177-sil-fos-15-7-rods-15-silver", "https://edmondsonsupply.com/products/lucas-milhaupt-95177-sil-fos-15-7-rods-15-silver")</f>
        <v/>
      </c>
      <c r="C2120" t="inlineStr">
        <is>
          <t>Lucas Milhaupt 95060 Sil-Fos 5 28 Rods, 5% Silver</t>
        </is>
      </c>
      <c r="D2120" t="inlineStr">
        <is>
          <t>Lucas Milhaupt SIL FOS 5 28 Rods #95060</t>
        </is>
      </c>
      <c r="E2120" s="2">
        <f>HYPERLINK("https://www.amazon.com/Lucas-Milhaupt-SIL-Rods-95060/dp/B00CD70V3O/ref=sr_1_1?keywords=Lucas+Milhaupt+95060+Sil-Fos+5+28+Rods%2C+5%25+Silver&amp;qid=1694734823&amp;sr=8-1", "https://www.amazon.com/Lucas-Milhaupt-SIL-Rods-95060/dp/B00CD70V3O/ref=sr_1_1?keywords=Lucas+Milhaupt+95060+Sil-Fos+5+28+Rods%2C+5%25+Silver&amp;qid=1694734823&amp;sr=8-1")</f>
        <v/>
      </c>
      <c r="F2120" t="inlineStr">
        <is>
          <t>B00CD70V3O</t>
        </is>
      </c>
      <c r="G2120">
        <f>_xlfn.IMAGE("https://edmondsonsupply.com/cdn/shop/products/95060-2.jpg?v=1587142682")</f>
        <v/>
      </c>
      <c r="H2120">
        <f>_xlfn.IMAGE("https://m.media-amazon.com/images/I/61-yNKLlEBL._AC_UL320_.jpg")</f>
        <v/>
      </c>
      <c r="K2120" t="inlineStr">
        <is>
          <t>47.89</t>
        </is>
      </c>
      <c r="L2120" t="n">
        <v>59</v>
      </c>
      <c r="M2120" s="1" t="inlineStr">
        <is>
          <t>23.20%</t>
        </is>
      </c>
      <c r="N2120" s="7" t="n">
        <v>-36.25</v>
      </c>
      <c r="O2120" t="n">
        <v>4.4</v>
      </c>
      <c r="P2120" t="n">
        <v>54</v>
      </c>
      <c r="R2120" t="inlineStr">
        <is>
          <t>InStock</t>
        </is>
      </c>
      <c r="S2120" t="inlineStr">
        <is>
          <t>undefined</t>
        </is>
      </c>
      <c r="T2120" t="inlineStr">
        <is>
          <t>3566474657892</t>
        </is>
      </c>
    </row>
    <row r="2121" ht="87" customHeight="1">
      <c r="A2121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2121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2121" t="inlineStr">
        <is>
          <t>Diablo Tools DMAMXCC5010 2 in. x 7 in. SDS-Max Carbide Tipped Core Bit</t>
        </is>
      </c>
      <c r="D2121" t="inlineStr">
        <is>
          <t>Sabre Tools 2-1/2 in x 20 in x 24 in SDS MAX Breakthrough Bit, Thru Hole Bit Carbide Tipped, Multi-Cutting Head for Concrete, Brick, Stone</t>
        </is>
      </c>
      <c r="E2121" s="2">
        <f>HYPERLINK("https://www.amazon.com/Sabre-Tools-Breakthrough-Multi-Cutting-Concrete/dp/B08BNVYGQV/ref=sr_1_23?keywords=Diablo+Tools+DMAMXCC5010+2+in.+x+7+in.+SDS-Max+Carbide+Tipped+Core+Bit&amp;qid=1694734911&amp;sr=8-23", "https://www.amazon.com/Sabre-Tools-Breakthrough-Multi-Cutting-Concrete/dp/B08BNVYGQV/ref=sr_1_23?keywords=Diablo+Tools+DMAMXCC5010+2+in.+x+7+in.+SDS-Max+Carbide+Tipped+Core+Bit&amp;qid=1694734911&amp;sr=8-23")</f>
        <v/>
      </c>
      <c r="F2121" t="inlineStr">
        <is>
          <t>B08BNVYGQV</t>
        </is>
      </c>
      <c r="G2121">
        <f>_xlfn.IMAGE("https://edmondsonsupply.com/cdn/shop/files/kbs61qpkymnshwvx13k1.webp?v=1686583113")</f>
        <v/>
      </c>
      <c r="H2121">
        <f>_xlfn.IMAGE("https://m.media-amazon.com/images/I/614IZHLBrrL._AC_UL320_.jpg")</f>
        <v/>
      </c>
      <c r="K2121" t="inlineStr">
        <is>
          <t>101.49</t>
        </is>
      </c>
      <c r="L2121" t="n">
        <v>124.99</v>
      </c>
      <c r="M2121" s="1" t="inlineStr">
        <is>
          <t>23.15%</t>
        </is>
      </c>
      <c r="N2121" s="7" t="n">
        <v>-36.93</v>
      </c>
      <c r="O2121" t="n">
        <v>4.8</v>
      </c>
      <c r="P2121" t="n">
        <v>26</v>
      </c>
      <c r="R2121" t="inlineStr">
        <is>
          <t>InStock</t>
        </is>
      </c>
      <c r="S2121" t="inlineStr">
        <is>
          <t>161.02</t>
        </is>
      </c>
      <c r="T2121" t="inlineStr">
        <is>
          <t>8004502585560</t>
        </is>
      </c>
    </row>
    <row r="2122" hidden="1" ht="15.75" customHeight="1">
      <c r="A2122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2122" s="2">
        <f>HYPERLINK("https://edmondsonsupply.com/products/packard-c140a-contactor-1-pole-40-amps-24-coil-voltage", "https://edmondsonsupply.com/products/packard-c140a-contactor-1-pole-40-amps-24-coil-voltage")</f>
        <v/>
      </c>
      <c r="C2122" t="inlineStr">
        <is>
          <t>Packard C140A Contactor 1 Pole 40 AMPS 24 Coil Voltage</t>
        </is>
      </c>
      <c r="D2122" t="inlineStr">
        <is>
          <t>Packard C140A 1 Pole 40 Amp Contactor 24 Volt Coil Contactor</t>
        </is>
      </c>
      <c r="E2122" s="2">
        <f>HYPERLINK("https://www.amazon.com/Packard-C140A-Pole-Contactor-Coil/dp/B003U81D2I/ref=sr_1_1?keywords=Packard+C140A+Contactor+1+Pole+40+AMPS+24+Coil+Voltage&amp;qid=1694734583&amp;sr=8-1", "https://www.amazon.com/Packard-C140A-Pole-Contactor-Coil/dp/B003U81D2I/ref=sr_1_1?keywords=Packard+C140A+Contactor+1+Pole+40+AMPS+24+Coil+Voltage&amp;qid=1694734583&amp;sr=8-1")</f>
        <v/>
      </c>
      <c r="F2122" t="inlineStr">
        <is>
          <t>B003U81D2I</t>
        </is>
      </c>
      <c r="G2122">
        <f>_xludf.IMAGE("https://edmondsonsupply.com/cdn/shop/products/C140A-1.jpg?v=1587147314")</f>
        <v/>
      </c>
      <c r="H2122">
        <f>_xludf.IMAGE("https://m.media-amazon.com/images/I/91Wf6DG-DGL._AC_UY218_.jpg")</f>
        <v/>
      </c>
      <c r="K2122" t="inlineStr">
        <is>
          <t>9.98</t>
        </is>
      </c>
      <c r="L2122" t="n">
        <v>12.29</v>
      </c>
      <c r="M2122" s="1" t="inlineStr">
        <is>
          <t>23.15%</t>
        </is>
      </c>
      <c r="N2122" s="1" t="n">
        <v>-37.03</v>
      </c>
      <c r="O2122" t="n">
        <v>4.6</v>
      </c>
      <c r="P2122" t="n">
        <v>1436</v>
      </c>
      <c r="R2122" t="inlineStr">
        <is>
          <t>InStock</t>
        </is>
      </c>
      <c r="S2122" t="inlineStr">
        <is>
          <t>undefined</t>
        </is>
      </c>
      <c r="T2122" t="inlineStr">
        <is>
          <t>4359080607844</t>
        </is>
      </c>
    </row>
    <row r="2123" ht="87" customHeight="1">
      <c r="A2123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2123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2123" t="inlineStr">
        <is>
          <t>Diablo Tools DMAPL4250 3/4 in. x 8 in. x 10 in. Rebar Demon™ SDS-Plus 4-Cutter Full Carbide Head Hammer Drill Bit</t>
        </is>
      </c>
      <c r="D2123" t="inlineStr">
        <is>
          <t>Diablo by Freud DMAPL4270 27/32 in. x 8 in. x 10 in. Rebar Demon SDS-Plus 4-Cutter Full Carbide Head Hammer Bit</t>
        </is>
      </c>
      <c r="E2123" s="2">
        <f>HYPERLINK("https://www.amazon.com/Diablo-Freud-DMAPL4270-SDS-Plus-4-Cutter/dp/B089KXBGLM/ref=sr_1_2?keywords=Diablo+Tools+DMAPL4250+3%2F4+in.+x+8+in.+x+10+in.+Rebar+Demon%E2%84%A2+SDS-Plus+4-Cutter+Full+Carbide+Head+Hammer+Drill+Bit&amp;qid=1694734913&amp;sr=8-2", "https://www.amazon.com/Diablo-Freud-DMAPL4270-SDS-Plus-4-Cutter/dp/B089KXBGLM/ref=sr_1_2?keywords=Diablo+Tools+DMAPL4250+3%2F4+in.+x+8+in.+x+10+in.+Rebar+Demon%E2%84%A2+SDS-Plus+4-Cutter+Full+Carbide+Head+Hammer+Drill+Bit&amp;qid=1694734913&amp;sr=8-2")</f>
        <v/>
      </c>
      <c r="F2123" t="inlineStr">
        <is>
          <t>B089KXBGLM</t>
        </is>
      </c>
      <c r="G2123">
        <f>_xlfn.IMAGE("https://edmondsonsupply.com/cdn/shop/files/rltcbi253wmfv6otmtz6.webp?v=1686576913")</f>
        <v/>
      </c>
      <c r="H2123">
        <f>_xlfn.IMAGE("https://m.media-amazon.com/images/I/611A6sphG9L._AC_UL320_.jpg")</f>
        <v/>
      </c>
      <c r="K2123" t="inlineStr">
        <is>
          <t>24.47</t>
        </is>
      </c>
      <c r="L2123" t="n">
        <v>30.13</v>
      </c>
      <c r="M2123" s="1" t="inlineStr">
        <is>
          <t>23.13%</t>
        </is>
      </c>
      <c r="N2123" s="7" t="n">
        <v>-37.19</v>
      </c>
      <c r="O2123" t="n">
        <v>5</v>
      </c>
      <c r="P2123" t="n">
        <v>2</v>
      </c>
      <c r="R2123" t="inlineStr">
        <is>
          <t>InStock</t>
        </is>
      </c>
      <c r="S2123" t="inlineStr">
        <is>
          <t>38.21</t>
        </is>
      </c>
      <c r="T2123" t="inlineStr">
        <is>
          <t>8004486168792</t>
        </is>
      </c>
    </row>
    <row r="2124" ht="87" customHeight="1">
      <c r="A2124" s="2">
        <f>HYPERLINK("https://edmondsonsupply.com/collections/hvac/products/appion-mgavct-1-4in-valve-core-removal-tool", "https://edmondsonsupply.com/collections/hvac/products/appion-mgavct-1-4in-valve-core-removal-tool")</f>
        <v/>
      </c>
      <c r="B2124" s="2">
        <f>HYPERLINK("https://edmondsonsupply.com/products/appion-mgavct-1-4in-valve-core-removal-tool", "https://edmondsonsupply.com/products/appion-mgavct-1-4in-valve-core-removal-tool")</f>
        <v/>
      </c>
      <c r="C2124" t="inlineStr">
        <is>
          <t>Appion MGAVCT 1/4in Valve Core Removal Tool</t>
        </is>
      </c>
      <c r="D2124" t="inlineStr">
        <is>
          <t>Appion MGAVCR Mega Flow Vacuum Rated Valve Core Removal Tool – 5/16" System Connection</t>
        </is>
      </c>
      <c r="E2124" s="2">
        <f>HYPERLINK("https://www.amazon.com/Appion-MGAVCR-Vacuum-Rated-Removal/dp/B008HQ2EZ8/ref=sr_1_4?keywords=Appion+MGAVCT+1%2F4in+Valve+Core+Removal+Tool&amp;qid=1694734577&amp;sr=8-4", "https://www.amazon.com/Appion-MGAVCR-Vacuum-Rated-Removal/dp/B008HQ2EZ8/ref=sr_1_4?keywords=Appion+MGAVCT+1%2F4in+Valve+Core+Removal+Tool&amp;qid=1694734577&amp;sr=8-4")</f>
        <v/>
      </c>
      <c r="F2124" t="inlineStr">
        <is>
          <t>B008HQ2EZ8</t>
        </is>
      </c>
      <c r="G2124">
        <f>_xlfn.IMAGE("https://edmondsonsupply.com/cdn/shop/products/MGAVCT_1080.png?v=1678240814")</f>
        <v/>
      </c>
      <c r="H2124">
        <f>_xlfn.IMAGE("https://m.media-amazon.com/images/I/51u6BXUiN9L._AC_UL320_.jpg")</f>
        <v/>
      </c>
      <c r="K2124" t="inlineStr">
        <is>
          <t>69.99</t>
        </is>
      </c>
      <c r="L2124" t="n">
        <v>85.98999999999999</v>
      </c>
      <c r="M2124" s="1" t="inlineStr">
        <is>
          <t>22.86%</t>
        </is>
      </c>
      <c r="N2124" s="7" t="n">
        <v>-37.26</v>
      </c>
      <c r="O2124" t="n">
        <v>4.8</v>
      </c>
      <c r="P2124" t="n">
        <v>886</v>
      </c>
      <c r="R2124" t="inlineStr">
        <is>
          <t>InStock</t>
        </is>
      </c>
      <c r="S2124" t="inlineStr">
        <is>
          <t>89.99</t>
        </is>
      </c>
      <c r="T2124" t="inlineStr">
        <is>
          <t>7957780267224</t>
        </is>
      </c>
    </row>
    <row r="2125" ht="87" customHeight="1">
      <c r="A2125" s="2">
        <f>HYPERLINK("https://edmondsonsupply.com/collections/hvac/products/reed-mfg-deb3-deburring-tool", "https://edmondsonsupply.com/collections/hvac/products/reed-mfg-deb3-deburring-tool")</f>
        <v/>
      </c>
      <c r="B2125" s="2">
        <f>HYPERLINK("https://edmondsonsupply.com/products/reed-mfg-deb3-deburring-tool", "https://edmondsonsupply.com/products/reed-mfg-deb3-deburring-tool")</f>
        <v/>
      </c>
      <c r="C2125" t="inlineStr">
        <is>
          <t>Reed Mfg DEB3 Deburring Tool</t>
        </is>
      </c>
      <c r="D2125" t="inlineStr">
        <is>
          <t>Reed Tool DEB3B Deburring Tool Replacement Blades (Pack of 10)</t>
        </is>
      </c>
      <c r="E2125" s="2">
        <f>HYPERLINK("https://www.amazon.com/Reed-DEB3B-Deburring-Replacement-Blades/dp/B005CCLEEM/ref=sr_1_6?keywords=Reed+Mfg+DEB3+Deburring+Tool&amp;qid=1694734581&amp;sr=8-6", "https://www.amazon.com/Reed-DEB3B-Deburring-Replacement-Blades/dp/B005CCLEEM/ref=sr_1_6?keywords=Reed+Mfg+DEB3+Deburring+Tool&amp;qid=1694734581&amp;sr=8-6")</f>
        <v/>
      </c>
      <c r="F2125" t="inlineStr">
        <is>
          <t>B005CCLEEM</t>
        </is>
      </c>
      <c r="G2125">
        <f>_xlfn.IMAGE("https://edmondsonsupply.com/cdn/shop/products/DEB3-HighRes.jpg?v=1633030907")</f>
        <v/>
      </c>
      <c r="H2125">
        <f>_xlfn.IMAGE("https://m.media-amazon.com/images/I/716okKlRBeL._AC_UY218_.jpg")</f>
        <v/>
      </c>
      <c r="K2125" t="inlineStr">
        <is>
          <t>14.65</t>
        </is>
      </c>
      <c r="L2125" t="n">
        <v>17.99</v>
      </c>
      <c r="M2125" s="1" t="inlineStr">
        <is>
          <t>22.80%</t>
        </is>
      </c>
      <c r="N2125" s="7" t="n">
        <v>-37.58</v>
      </c>
      <c r="O2125" t="n">
        <v>4.9</v>
      </c>
      <c r="P2125" t="n">
        <v>20</v>
      </c>
      <c r="R2125" t="inlineStr">
        <is>
          <t>InStock</t>
        </is>
      </c>
      <c r="S2125" t="inlineStr">
        <is>
          <t>15.39</t>
        </is>
      </c>
      <c r="T2125" t="inlineStr">
        <is>
          <t>6245641683117</t>
        </is>
      </c>
    </row>
    <row r="2126" ht="87" customHeight="1">
      <c r="A2126" s="2">
        <f>HYPERLINK("https://edmondsonsupply.com/collections/hvac/products/esp-el10", "https://edmondsonsupply.com/collections/hvac/products/esp-el10")</f>
        <v/>
      </c>
      <c r="B2126" s="2">
        <f>HYPERLINK("https://edmondsonsupply.com/products/esp-el10", "https://edmondsonsupply.com/products/esp-el10")</f>
        <v/>
      </c>
      <c r="C2126" t="inlineStr">
        <is>
          <t>ESP EL10 Easy Leveler Adjustable Furnace Legs</t>
        </is>
      </c>
      <c r="D2126" t="inlineStr">
        <is>
          <t>ESP Easy Leveler EL10 Adjustable Furnace Legs</t>
        </is>
      </c>
      <c r="E2126" s="2">
        <f>HYPERLINK("https://www.amazon.com/Easy-Leveler-EL10-Adjustable-Furnace/dp/B00FJCS2DG/ref=sr_1_1?keywords=ESP+EL10+Easy+Leveler+Adjustable+Furnace+Legs&amp;qid=1694734816&amp;sr=8-1", "https://www.amazon.com/Easy-Leveler-EL10-Adjustable-Furnace/dp/B00FJCS2DG/ref=sr_1_1?keywords=ESP+EL10+Easy+Leveler+Adjustable+Furnace+Legs&amp;qid=1694734816&amp;sr=8-1")</f>
        <v/>
      </c>
      <c r="F2126" t="inlineStr">
        <is>
          <t>B00FJCS2DG</t>
        </is>
      </c>
      <c r="G2126">
        <f>_xlfn.IMAGE("https://edmondsonsupply.com/cdn/shop/products/el10_lg_1.jpg?v=1587147043")</f>
        <v/>
      </c>
      <c r="H2126">
        <f>_xlfn.IMAGE("https://m.media-amazon.com/images/I/71n9h7RaHqL._AC_UL320_.jpg")</f>
        <v/>
      </c>
      <c r="K2126" t="inlineStr">
        <is>
          <t>18.49</t>
        </is>
      </c>
      <c r="L2126" t="n">
        <v>22.7</v>
      </c>
      <c r="M2126" s="1" t="inlineStr">
        <is>
          <t>22.77%</t>
        </is>
      </c>
      <c r="N2126" s="7" t="n">
        <v>-37.76</v>
      </c>
      <c r="O2126" t="n">
        <v>5</v>
      </c>
      <c r="P2126" t="n">
        <v>3</v>
      </c>
      <c r="R2126" t="inlineStr">
        <is>
          <t>InStock</t>
        </is>
      </c>
      <c r="S2126" t="inlineStr">
        <is>
          <t>undefined</t>
        </is>
      </c>
      <c r="T2126" t="inlineStr">
        <is>
          <t>4334171357284</t>
        </is>
      </c>
    </row>
    <row r="2127" hidden="1" ht="15.75" customHeight="1">
      <c r="A2127" s="2">
        <f>HYPERLINK("https://edmondsonsupply.com/collections/hvac/products/nu-calgon-4774-0-coil-gun", "https://edmondsonsupply.com/collections/hvac/products/nu-calgon-4774-0-coil-gun")</f>
        <v/>
      </c>
      <c r="B2127" s="2">
        <f>HYPERLINK("https://edmondsonsupply.com/products/nu-calgon-4774-0-coil-gun", "https://edmondsonsupply.com/products/nu-calgon-4774-0-coil-gun")</f>
        <v/>
      </c>
      <c r="C2127" t="inlineStr">
        <is>
          <t>Nu-Calgon 4774-0 Coil Gun</t>
        </is>
      </c>
      <c r="D2127" t="inlineStr">
        <is>
          <t>Nu-Calgon Coil Gun Sprayer - 1/2 gallon #4774-0</t>
        </is>
      </c>
      <c r="E2127" s="2">
        <f>HYPERLINK("https://www.amazon.com/Nu-Calgon-Coil-Gun-Sprayer-gallon/dp/B0794HTC8H/ref=sr_1_1?keywords=Nu-Calgon+4774-0+Coil+Gun&amp;qid=1694734571&amp;sr=8-1", "https://www.amazon.com/Nu-Calgon-Coil-Gun-Sprayer-gallon/dp/B0794HTC8H/ref=sr_1_1?keywords=Nu-Calgon+4774-0+Coil+Gun&amp;qid=1694734571&amp;sr=8-1")</f>
        <v/>
      </c>
      <c r="F2127" t="inlineStr">
        <is>
          <t>B0794HTC8H</t>
        </is>
      </c>
      <c r="G2127">
        <f>_xludf.IMAGE("https://edmondsonsupply.com/cdn/shop/products/4774-0.jpg?v=1660159773")</f>
        <v/>
      </c>
      <c r="H2127">
        <f>_xludf.IMAGE("https://m.media-amazon.com/images/I/61wOPrQrwgL._AC_UL320_.jpg")</f>
        <v/>
      </c>
      <c r="K2127" t="inlineStr">
        <is>
          <t>87.99</t>
        </is>
      </c>
      <c r="L2127" t="n">
        <v>108</v>
      </c>
      <c r="M2127" s="1" t="inlineStr">
        <is>
          <t>22.74%</t>
        </is>
      </c>
      <c r="N2127" s="1" t="n">
        <v>-37.83</v>
      </c>
      <c r="O2127" t="n">
        <v>3.6</v>
      </c>
      <c r="P2127" t="n">
        <v>14</v>
      </c>
      <c r="R2127" t="inlineStr">
        <is>
          <t>InStock</t>
        </is>
      </c>
      <c r="S2127" t="inlineStr">
        <is>
          <t>133.84</t>
        </is>
      </c>
      <c r="T2127" t="inlineStr">
        <is>
          <t>7777952202968</t>
        </is>
      </c>
    </row>
    <row r="2128" ht="87" customHeight="1">
      <c r="A2128" s="2">
        <f>HYPERLINK("https://edmondsonsupply.com/collections/hvac/products/uniweld-typetft-tuning-fork%E2%84%A2-tip", "https://edmondsonsupply.com/collections/hvac/products/uniweld-typetft-tuning-fork%E2%84%A2-tip")</f>
        <v/>
      </c>
      <c r="B2128" s="2">
        <f>HYPERLINK("https://edmondsonsupply.com/products/uniweld-typetft-tuning-fork%e2%84%a2-tip", "https://edmondsonsupply.com/products/uniweld-typetft-tuning-fork%e2%84%a2-tip")</f>
        <v/>
      </c>
      <c r="C2128" t="inlineStr">
        <is>
          <t>Uniweld Type17TFT Tuning Fork™ Tip</t>
        </is>
      </c>
      <c r="D2128" t="inlineStr">
        <is>
          <t>Uniweld - OMER-OPN-893853 Type17TFT Tuning Fork Tip for Defective Reversing Valve Removal</t>
        </is>
      </c>
      <c r="E2128" s="2">
        <f>HYPERLINK("https://www.amazon.com/Uniweld-Type17TFT-Defective-Reversing-Removal/dp/B00FI1JBV0/ref=sr_1_1?keywords=Uniweld+Type17TFT+Tuning+Fork%E2%84%A2+Tip&amp;qid=1694734770&amp;sr=8-1", "https://www.amazon.com/Uniweld-Type17TFT-Defective-Reversing-Removal/dp/B00FI1JBV0/ref=sr_1_1?keywords=Uniweld+Type17TFT+Tuning+Fork%E2%84%A2+Tip&amp;qid=1694734770&amp;sr=8-1")</f>
        <v/>
      </c>
      <c r="F2128" t="inlineStr">
        <is>
          <t>B00FI1JBV0</t>
        </is>
      </c>
      <c r="G2128">
        <f>_xlfn.IMAGE("https://edmondsonsupply.com/cdn/shop/products/type17tft-package-1.jpg?v=1656352218")</f>
        <v/>
      </c>
      <c r="H2128">
        <f>_xlfn.IMAGE("https://m.media-amazon.com/images/I/61+827Co6HS._AC_UL320_.jpg")</f>
        <v/>
      </c>
      <c r="K2128" t="inlineStr">
        <is>
          <t>81.99</t>
        </is>
      </c>
      <c r="L2128" t="n">
        <v>100.4</v>
      </c>
      <c r="M2128" s="1" t="inlineStr">
        <is>
          <t>22.45%</t>
        </is>
      </c>
      <c r="N2128" s="7" t="n">
        <v>-37.84</v>
      </c>
      <c r="O2128" t="n">
        <v>4.1</v>
      </c>
      <c r="P2128" t="n">
        <v>17</v>
      </c>
      <c r="R2128" t="inlineStr">
        <is>
          <t>InStock</t>
        </is>
      </c>
      <c r="S2128" t="inlineStr">
        <is>
          <t>105.64</t>
        </is>
      </c>
      <c r="T2128" t="inlineStr">
        <is>
          <t>7731703873752</t>
        </is>
      </c>
    </row>
    <row r="2129" hidden="1" ht="15.75" customHeight="1">
      <c r="A2129" s="2">
        <f>HYPERLINK("https://edmondsonsupply.com/collections/hvac/products/packard-titan-pro-trcd5-run-capacitor-40-5-mfd-370-volt-round", "https://edmondsonsupply.com/collections/hvac/products/packard-titan-pro-trcd5-run-capacitor-40-5-mfd-370-volt-round")</f>
        <v/>
      </c>
      <c r="B2129" s="2">
        <f>HYPERLINK("https://edmondsonsupply.com/products/packard-titan-pro-trcd5-run-capacitor-40-5-mfd-370-volt-round", "https://edmondsonsupply.com/products/packard-titan-pro-trcd5-run-capacitor-40-5-mfd-370-volt-round")</f>
        <v/>
      </c>
      <c r="C2129" t="inlineStr">
        <is>
          <t>Packard Titan PRO TRCD405 Run Capacitor 40+5 MFD 370 Volt Round</t>
        </is>
      </c>
      <c r="D2129" t="inlineStr">
        <is>
          <t>Titan TRCFD405 Dual Rated Motor Run Capacitor Round MFD 40/5 Volts 440/370</t>
        </is>
      </c>
      <c r="E2129" s="2">
        <f>HYPERLINK("https://www.amazon.com/Titan-TRCFD405-Rated-Motor-Capacitor/dp/B01HPK5ANO/ref=sr_1_3?keywords=Packard+Titan+PRO+TRCD405+Run+Capacitor+40+5+MFD+370+Volt+Round&amp;qid=1694734787&amp;sr=8-3", "https://www.amazon.com/Titan-TRCFD405-Rated-Motor-Capacitor/dp/B01HPK5ANO/ref=sr_1_3?keywords=Packard+Titan+PRO+TRCD405+Run+Capacitor+40+5+MFD+370+Volt+Round&amp;qid=1694734787&amp;sr=8-3")</f>
        <v/>
      </c>
      <c r="F2129" t="inlineStr">
        <is>
          <t>B01HPK5ANO</t>
        </is>
      </c>
      <c r="G2129">
        <f>_xludf.IMAGE("https://edmondsonsupply.com/cdn/shop/products/TRCD405-2.jpg?v=1633030397")</f>
        <v/>
      </c>
      <c r="H2129">
        <f>_xludf.IMAGE("https://m.media-amazon.com/images/I/31rIunJqcaL._AC_UY218_.jpg")</f>
        <v/>
      </c>
      <c r="K2129" t="inlineStr">
        <is>
          <t>9.04</t>
        </is>
      </c>
      <c r="L2129" t="n">
        <v>11.05</v>
      </c>
      <c r="M2129" s="1" t="inlineStr">
        <is>
          <t>22.23%</t>
        </is>
      </c>
      <c r="N2129" s="1" t="n">
        <v>-37.91</v>
      </c>
      <c r="O2129" t="n">
        <v>4.7</v>
      </c>
      <c r="P2129" t="n">
        <v>392</v>
      </c>
      <c r="R2129" t="inlineStr">
        <is>
          <t>InStock</t>
        </is>
      </c>
      <c r="S2129" t="inlineStr">
        <is>
          <t>undefined</t>
        </is>
      </c>
      <c r="T2129" t="inlineStr">
        <is>
          <t>5302353002664</t>
        </is>
      </c>
    </row>
    <row r="2130" ht="87" customHeight="1">
      <c r="A2130" s="2">
        <f>HYPERLINK("https://edmondsonsupply.com/collections/hvac/products/diversitech-dp-1-nitrogen-purge-tool", "https://edmondsonsupply.com/collections/hvac/products/diversitech-dp-1-nitrogen-purge-tool")</f>
        <v/>
      </c>
      <c r="B2130" s="2">
        <f>HYPERLINK("https://edmondsonsupply.com/products/diversitech-dp-1-nitrogen-purge-tool", "https://edmondsonsupply.com/products/diversitech-dp-1-nitrogen-purge-tool")</f>
        <v/>
      </c>
      <c r="C2130" t="inlineStr">
        <is>
          <t>DiversiTech DP-1 Nitrogen Purge Tool</t>
        </is>
      </c>
      <c r="D2130" t="inlineStr">
        <is>
          <t>Diversitech DP-1 Nitrogen Purge Tool , Red</t>
        </is>
      </c>
      <c r="E2130" s="2">
        <f>HYPERLINK("https://www.amazon.com/Diversitech-DP-1-Nitrogen-Purge-Tool/dp/B01H3DRH7A/ref=sr_1_1?keywords=DiversiTech+DP-1+Nitrogen+Purge+Tool&amp;qid=1694734590&amp;sr=8-1", "https://www.amazon.com/Diversitech-DP-1-Nitrogen-Purge-Tool/dp/B01H3DRH7A/ref=sr_1_1?keywords=DiversiTech+DP-1+Nitrogen+Purge+Tool&amp;qid=1694734590&amp;sr=8-1")</f>
        <v/>
      </c>
      <c r="F2130" t="inlineStr">
        <is>
          <t>B01H3DRH7A</t>
        </is>
      </c>
      <c r="G2130">
        <f>_xlfn.IMAGE("https://edmondsonsupply.com/cdn/shop/products/DP-1.jpg?v=1633030773")</f>
        <v/>
      </c>
      <c r="H2130">
        <f>_xlfn.IMAGE("https://m.media-amazon.com/images/I/51CdVEqDq+L._AC_UL320_.jpg")</f>
        <v/>
      </c>
      <c r="K2130" t="inlineStr">
        <is>
          <t>60.91</t>
        </is>
      </c>
      <c r="L2130" t="n">
        <v>74.45</v>
      </c>
      <c r="M2130" s="1" t="inlineStr">
        <is>
          <t>22.23%</t>
        </is>
      </c>
      <c r="N2130" s="7" t="n">
        <v>-38.71</v>
      </c>
      <c r="O2130" t="n">
        <v>4.5</v>
      </c>
      <c r="P2130" t="n">
        <v>298</v>
      </c>
      <c r="R2130" t="inlineStr">
        <is>
          <t>InStock</t>
        </is>
      </c>
      <c r="S2130" t="inlineStr">
        <is>
          <t>undefined</t>
        </is>
      </c>
      <c r="T2130" t="inlineStr">
        <is>
          <t>5958953795752</t>
        </is>
      </c>
    </row>
    <row r="2131" ht="87" customHeight="1">
      <c r="A2131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131" s="2">
        <f>HYPERLINK("https://edmondsonsupply.com/products/diablo-tools-dag1130-1-in-x-7-1-2-in-auger-bit", "https://edmondsonsupply.com/products/diablo-tools-dag1130-1-in-x-7-1-2-in-auger-bit")</f>
        <v/>
      </c>
      <c r="C2131" t="inlineStr">
        <is>
          <t>Diablo Tools DAG1130 1 in. x 7-1/2 in. Auger Bit</t>
        </is>
      </c>
      <c r="D2131" t="inlineStr">
        <is>
          <t>Diablo 1-1/4 in. x 7-1/2 in. Auger Bit</t>
        </is>
      </c>
      <c r="E2131" s="2">
        <f>HYPERLINK("https://www.amazon.com/Diablo-Freud-DAG1150-1-1-Auger/dp/B089LGR2GW/ref=sr_1_3?keywords=Diablo+Tools+DAG1130+1+in.+x+7-1%2F2+in.+Auger+Bit&amp;qid=1694734776&amp;sr=8-3", "https://www.amazon.com/Diablo-Freud-DAG1150-1-1-Auger/dp/B089LGR2GW/ref=sr_1_3?keywords=Diablo+Tools+DAG1130+1+in.+x+7-1%2F2+in.+Auger+Bit&amp;qid=1694734776&amp;sr=8-3")</f>
        <v/>
      </c>
      <c r="F2131" t="inlineStr">
        <is>
          <t>B089LGR2GW</t>
        </is>
      </c>
      <c r="G2131">
        <f>_xlfn.IMAGE("https://edmondsonsupply.com/cdn/shop/products/DAG1130_Main-Image20200712.png?v=1633031124")</f>
        <v/>
      </c>
      <c r="H2131">
        <f>_xlfn.IMAGE("https://m.media-amazon.com/images/I/71M61xRfPtL._AC_UL320_.jpg")</f>
        <v/>
      </c>
      <c r="K2131" t="inlineStr">
        <is>
          <t>16.37</t>
        </is>
      </c>
      <c r="L2131" t="n">
        <v>20</v>
      </c>
      <c r="M2131" s="1" t="inlineStr">
        <is>
          <t>22.17%</t>
        </is>
      </c>
      <c r="N2131" s="7" t="n">
        <v>-39.13</v>
      </c>
      <c r="O2131" t="n">
        <v>4.6</v>
      </c>
      <c r="P2131" t="n">
        <v>28</v>
      </c>
      <c r="R2131" t="inlineStr">
        <is>
          <t>InStock</t>
        </is>
      </c>
      <c r="S2131" t="inlineStr">
        <is>
          <t>25.94</t>
        </is>
      </c>
      <c r="T2131" t="inlineStr">
        <is>
          <t>6866560581805</t>
        </is>
      </c>
    </row>
    <row r="2132" ht="87" customHeight="1">
      <c r="A2132" s="2">
        <f>HYPERLINK("https://edmondsonsupply.com/collections/hvac/products/cps-pro-set-tlvcs", "https://edmondsonsupply.com/collections/hvac/products/cps-pro-set-tlvcs")</f>
        <v/>
      </c>
      <c r="B2132" s="2">
        <f>HYPERLINK("https://edmondsonsupply.com/products/cps-pro-set-tlvcs", "https://edmondsonsupply.com/products/cps-pro-set-tlvcs")</f>
        <v/>
      </c>
      <c r="C2132" t="inlineStr">
        <is>
          <t>CPS Products Pro-Set® TLVCS 1/4" SAE Valve Core Remover / Installer Tool w/ Side Port</t>
        </is>
      </c>
      <c r="D2132" t="inlineStr">
        <is>
          <t>Unknown CPS TLVCS410-5/16' Valve Core Remover/Installer Tool w/Side Port</t>
        </is>
      </c>
      <c r="E2132" s="2">
        <f>HYPERLINK("https://www.amazon.com/CPS-TLVCS410-5-Valve-Remover-Installer/dp/B009M9V3ME/ref=sr_1_2?keywords=CPS+Products+Pro-Set%C2%AE+TLVCS+1%2F4%22+SAE+Valve+Core+Remover+%2F+Installer+Tool+w%2F+Side+Port&amp;qid=1694734796&amp;sr=8-2", "https://www.amazon.com/CPS-TLVCS410-5-Valve-Remover-Installer/dp/B009M9V3ME/ref=sr_1_2?keywords=CPS+Products+Pro-Set%C2%AE+TLVCS+1%2F4%22+SAE+Valve+Core+Remover+%2F+Installer+Tool+w%2F+Side+Port&amp;qid=1694734796&amp;sr=8-2")</f>
        <v/>
      </c>
      <c r="F2132" t="inlineStr">
        <is>
          <t>B009M9V3ME</t>
        </is>
      </c>
      <c r="G2132">
        <f>_xlfn.IMAGE("https://edmondsonsupply.com/cdn/shop/products/TLVCS.jpg?v=1587148860")</f>
        <v/>
      </c>
      <c r="H2132">
        <f>_xlfn.IMAGE("https://m.media-amazon.com/images/I/41y2um0SkPL._AC_UL320_.jpg")</f>
        <v/>
      </c>
      <c r="K2132" t="inlineStr">
        <is>
          <t>36.93</t>
        </is>
      </c>
      <c r="L2132" t="n">
        <v>45.11</v>
      </c>
      <c r="M2132" s="1" t="inlineStr">
        <is>
          <t>22.15%</t>
        </is>
      </c>
      <c r="N2132" s="7" t="n">
        <v>-39.56</v>
      </c>
      <c r="O2132" t="n">
        <v>5</v>
      </c>
      <c r="P2132" t="n">
        <v>2</v>
      </c>
      <c r="R2132" t="inlineStr">
        <is>
          <t>InStock</t>
        </is>
      </c>
      <c r="S2132" t="inlineStr">
        <is>
          <t>36.93</t>
        </is>
      </c>
      <c r="T2132" t="inlineStr">
        <is>
          <t>2008011767908</t>
        </is>
      </c>
    </row>
    <row r="2133" hidden="1" ht="15.75" customHeight="1">
      <c r="A2133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133" s="2">
        <f>HYPERLINK("https://edmondsonsupply.com/products/klein-tools-s8m-1-4-inch-magnetic-nut-driver-3-inch-shank", "https://edmondsonsupply.com/products/klein-tools-s8m-1-4-inch-magnetic-nut-driver-3-inch-shank")</f>
        <v/>
      </c>
      <c r="C2133" t="inlineStr">
        <is>
          <t>Klein Tools S8M 1/4-Inch Magnetic Nut Driver 3-Inch Shank</t>
        </is>
      </c>
      <c r="D2133" t="inlineStr">
        <is>
          <t>Klein Tools 630-3/8M 3/8-Inch Magnetic Tip Nut Driver with 3-Inch Hollow Shank</t>
        </is>
      </c>
      <c r="E2133" s="2">
        <f>HYPERLINK("https://www.amazon.com/Magnetic-Klein-Tools-630-3-8M/dp/B000MKH4OS/ref=sr_1_8?keywords=Klein+Tools+S8M+1%2F4-Inch+Magnetic+Nut+Driver+3-Inch+Shank&amp;qid=1694734781&amp;sr=8-8", "https://www.amazon.com/Magnetic-Klein-Tools-630-3-8M/dp/B000MKH4OS/ref=sr_1_8?keywords=Klein+Tools+S8M+1%2F4-Inch+Magnetic+Nut+Driver+3-Inch+Shank&amp;qid=1694734781&amp;sr=8-8")</f>
        <v/>
      </c>
      <c r="F2133" t="inlineStr">
        <is>
          <t>B000MKH4OS</t>
        </is>
      </c>
      <c r="G2133">
        <f>_xludf.IMAGE("https://edmondsonsupply.com/cdn/shop/products/s8m.jpg?v=1633030818")</f>
        <v/>
      </c>
      <c r="H2133">
        <f>_xludf.IMAGE("https://m.media-amazon.com/images/I/51TxY7IaTtL._AC_UL320_.jpg")</f>
        <v/>
      </c>
      <c r="K2133" t="inlineStr">
        <is>
          <t>8.99</t>
        </is>
      </c>
      <c r="L2133" t="n">
        <v>10.97</v>
      </c>
      <c r="M2133" s="1" t="inlineStr">
        <is>
          <t>22.02%</t>
        </is>
      </c>
      <c r="N2133" s="1" t="n">
        <v>-40</v>
      </c>
      <c r="O2133" t="n">
        <v>4.7</v>
      </c>
      <c r="P2133" t="n">
        <v>1571</v>
      </c>
      <c r="R2133" t="inlineStr">
        <is>
          <t>InStock</t>
        </is>
      </c>
      <c r="S2133" t="inlineStr">
        <is>
          <t>13.62</t>
        </is>
      </c>
      <c r="T2133" t="inlineStr">
        <is>
          <t>6072223957165</t>
        </is>
      </c>
    </row>
    <row r="2134" ht="87" customHeight="1">
      <c r="A2134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134" s="2">
        <f>HYPERLINK("https://edmondsonsupply.com/products/diablo-tools-dag1130-1-in-x-7-1-2-in-auger-bit", "https://edmondsonsupply.com/products/diablo-tools-dag1130-1-in-x-7-1-2-in-auger-bit")</f>
        <v/>
      </c>
      <c r="C2134" t="inlineStr">
        <is>
          <t>Diablo Tools DAG1130 1 in. x 7-1/2 in. Auger Bit</t>
        </is>
      </c>
      <c r="D2134" t="inlineStr">
        <is>
          <t>Diablo by Freud DAG1120 15/16 in. x 7-1/2 in. Auger Bit Multi, One Size</t>
        </is>
      </c>
      <c r="E2134" s="2">
        <f>HYPERLINK("https://www.amazon.com/Diablo-DAG1120-7-1-Auger-Bit/dp/B089L8PCBB/ref=sr_1_11?keywords=Diablo+Tools+DAG1130+1+in.+x+7-1%2F2+in.+Auger+Bit&amp;qid=1694734776&amp;sr=8-11", "https://www.amazon.com/Diablo-DAG1120-7-1-Auger-Bit/dp/B089L8PCBB/ref=sr_1_11?keywords=Diablo+Tools+DAG1130+1+in.+x+7-1%2F2+in.+Auger+Bit&amp;qid=1694734776&amp;sr=8-11")</f>
        <v/>
      </c>
      <c r="F2134" t="inlineStr">
        <is>
          <t>B089L8PCBB</t>
        </is>
      </c>
      <c r="G2134">
        <f>_xlfn.IMAGE("https://edmondsonsupply.com/cdn/shop/products/DAG1130_Main-Image20200712.png?v=1633031124")</f>
        <v/>
      </c>
      <c r="H2134">
        <f>_xlfn.IMAGE("https://m.media-amazon.com/images/I/71IHzQVI3GL._AC_UL320_.jpg")</f>
        <v/>
      </c>
      <c r="K2134" t="inlineStr">
        <is>
          <t>16.37</t>
        </is>
      </c>
      <c r="L2134" t="n">
        <v>19.97</v>
      </c>
      <c r="M2134" s="1" t="inlineStr">
        <is>
          <t>21.99%</t>
        </is>
      </c>
      <c r="N2134" s="7" t="n">
        <v>-40.14</v>
      </c>
      <c r="O2134" t="n">
        <v>4.5</v>
      </c>
      <c r="P2134" t="n">
        <v>4</v>
      </c>
      <c r="R2134" t="inlineStr">
        <is>
          <t>InStock</t>
        </is>
      </c>
      <c r="S2134" t="inlineStr">
        <is>
          <t>25.94</t>
        </is>
      </c>
      <c r="T2134" t="inlineStr">
        <is>
          <t>6866560581805</t>
        </is>
      </c>
    </row>
    <row r="2135" ht="87" customHeight="1">
      <c r="A2135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2135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2135" t="inlineStr">
        <is>
          <t>Klein Tools JTH4E17 1/2-Inch Hex Key, Journeyman T-Handle, 4-Inch</t>
        </is>
      </c>
      <c r="D2135" t="inlineStr">
        <is>
          <t>Klein Tools JTH6E17 1/2-Inch Hex Key, Journeyman T-Handle, 6-Inch</t>
        </is>
      </c>
      <c r="E2135" s="2">
        <f>HYPERLINK("https://www.amazon.com/Journeyman-T-Handle-Klein-Tools-JTH6E17/dp/B004N604GC/ref=sr_1_3?keywords=Klein+Tools+JTH4E17+1%2F2-Inch+Hex+Key%2C+Journeyman+T-Handle%2C+4-Inch&amp;qid=1694734780&amp;sr=8-3", "https://www.amazon.com/Journeyman-T-Handle-Klein-Tools-JTH6E17/dp/B004N604GC/ref=sr_1_3?keywords=Klein+Tools+JTH4E17+1%2F2-Inch+Hex+Key%2C+Journeyman+T-Handle%2C+4-Inch&amp;qid=1694734780&amp;sr=8-3")</f>
        <v/>
      </c>
      <c r="F2135" t="inlineStr">
        <is>
          <t>B004N604GC</t>
        </is>
      </c>
      <c r="G2135">
        <f>_xlfn.IMAGE("https://edmondsonsupply.com/cdn/shop/products/jth4e17_583549be-7b42-43c7-9c3d-a92f2416ede5.jpg?v=1610655610")</f>
        <v/>
      </c>
      <c r="H2135">
        <f>_xlfn.IMAGE("https://m.media-amazon.com/images/I/41bgisgIOrL._AC_UL320_.jpg")</f>
        <v/>
      </c>
      <c r="K2135" t="inlineStr">
        <is>
          <t>15.99</t>
        </is>
      </c>
      <c r="L2135" t="n">
        <v>19.5</v>
      </c>
      <c r="M2135" s="1" t="inlineStr">
        <is>
          <t>21.95%</t>
        </is>
      </c>
      <c r="N2135" s="7" t="n">
        <v>-40.55</v>
      </c>
      <c r="O2135" t="n">
        <v>4.8</v>
      </c>
      <c r="P2135" t="n">
        <v>772</v>
      </c>
      <c r="R2135" t="inlineStr">
        <is>
          <t>InStock</t>
        </is>
      </c>
      <c r="S2135" t="inlineStr">
        <is>
          <t>24.24</t>
        </is>
      </c>
      <c r="T2135" t="inlineStr">
        <is>
          <t>6203851538605</t>
        </is>
      </c>
    </row>
    <row r="2136" ht="87" customHeight="1">
      <c r="A2136" s="2">
        <f>HYPERLINK("https://edmondsonsupply.com/collections/hvac/products/diablo-tools-dou125cgp-1-1-4-in-universal-fit-carbide-oscillating-blade-for-general-purpose-cuts", "https://edmondsonsupply.com/collections/hvac/products/diablo-tools-dou125cgp-1-1-4-in-universal-fit-carbide-oscillating-blade-for-general-purpose-cuts")</f>
        <v/>
      </c>
      <c r="B2136" s="2">
        <f>HYPERLINK("https://edmondsonsupply.com/products/diablo-tools-dou125cgp-1-1-4-in-universal-fit-carbide-oscillating-blade-for-general-purpose-cuts", "https://edmondsonsupply.com/products/diablo-tools-dou125cgp-1-1-4-in-universal-fit-carbide-oscillating-blade-for-general-purpose-cuts")</f>
        <v/>
      </c>
      <c r="C2136" t="inlineStr">
        <is>
          <t>Diablo Tools DOU125CGP 1-1/4 in. Universal Fit Carbide Oscillating Blade for General Purpose Cuts</t>
        </is>
      </c>
      <c r="D2136" t="inlineStr">
        <is>
          <t>Diablo 1-1/4" Universal Carbide Oscillating Blades for General Purpose Cuts 3pk</t>
        </is>
      </c>
      <c r="E2136" s="2">
        <f>HYPERLINK("https://www.amazon.com/Diablo-Freud-DOU125CGP3-Universal-Oscillating/dp/B089KW6C8Q/ref=sr_1_2?keywords=Diablo+Tools+DOU125CGP+1-1%2F4+in.+Universal+Fit+Carbide+Oscillating+Blade+for+General+Purpose+Cuts&amp;qid=1694734915&amp;sr=8-2", "https://www.amazon.com/Diablo-Freud-DOU125CGP3-Universal-Oscillating/dp/B089KW6C8Q/ref=sr_1_2?keywords=Diablo+Tools+DOU125CGP+1-1%2F4+in.+Universal+Fit+Carbide+Oscillating+Blade+for+General+Purpose+Cuts&amp;qid=1694734915&amp;sr=8-2")</f>
        <v/>
      </c>
      <c r="F2136" t="inlineStr">
        <is>
          <t>B089KW6C8Q</t>
        </is>
      </c>
      <c r="G2136">
        <f>_xlfn.IMAGE("https://edmondsonsupply.com/cdn/shop/files/htobgrjt150mygkkk6to_dca17485-ff4c-4cd2-9345-f1b96a9206f3.webp?v=1686146827")</f>
        <v/>
      </c>
      <c r="H2136">
        <f>_xlfn.IMAGE("https://m.media-amazon.com/images/I/71lNEMXVnHL._AC_UL320_.jpg")</f>
        <v/>
      </c>
      <c r="K2136" t="inlineStr">
        <is>
          <t>22.97</t>
        </is>
      </c>
      <c r="L2136" t="n">
        <v>27.99</v>
      </c>
      <c r="M2136" s="1" t="inlineStr">
        <is>
          <t>21.85%</t>
        </is>
      </c>
      <c r="N2136" s="7" t="n">
        <v>-40.82</v>
      </c>
      <c r="O2136" t="n">
        <v>4.5</v>
      </c>
      <c r="P2136" t="n">
        <v>139</v>
      </c>
      <c r="R2136" t="inlineStr">
        <is>
          <t>InStock</t>
        </is>
      </c>
      <c r="S2136" t="inlineStr">
        <is>
          <t>28.57</t>
        </is>
      </c>
      <c r="T2136" t="inlineStr">
        <is>
          <t>8002356576472</t>
        </is>
      </c>
    </row>
    <row r="2137" ht="87" customHeight="1">
      <c r="A2137" s="2">
        <f>HYPERLINK("https://edmondsonsupply.com/collections/hvac/products/testo-0590-7551-755-1-current-voltage-meter-with-200-a-ac-600-v-ac-dc-and-continuity", "https://edmondsonsupply.com/collections/hvac/products/testo-0590-7551-755-1-current-voltage-meter-with-200-a-ac-600-v-ac-dc-and-continuity")</f>
        <v/>
      </c>
      <c r="B2137" s="2">
        <f>HYPERLINK("https://edmondsonsupply.com/products/testo-0590-7551-755-1-current-voltage-meter-with-200-a-ac-600-v-ac-dc-and-continuity", "https://edmondsonsupply.com/products/testo-0590-7551-755-1-current-voltage-meter-with-200-a-ac-600-v-ac-dc-and-continuity")</f>
        <v/>
      </c>
      <c r="C2137" t="inlineStr">
        <is>
          <t>Testo 0590 7551 755-1 - Current / Voltage Meter with 200 A AC, 600 V AC/DC, and Continuity</t>
        </is>
      </c>
      <c r="D2137" t="inlineStr">
        <is>
          <t>Testo 755-2 (0590 7552) Current/Voltage Meter w/ Continuity, Phase Rotation, 200 A AC, 1000 V AC/DC</t>
        </is>
      </c>
      <c r="E2137" s="2">
        <f>HYPERLINK("https://www.amazon.com/Testo-755-2-Current-Continuity-Rotation/dp/B01F3MPHQG/ref=sr_1_2?keywords=Testo+0590+7551+755-1+-+Current+%2F+Voltage+Meter+with+200+A+AC%2C+600+V+AC%2FDC%2C+and+Continuity&amp;qid=1694734891&amp;sr=8-2", "https://www.amazon.com/Testo-755-2-Current-Continuity-Rotation/dp/B01F3MPHQG/ref=sr_1_2?keywords=Testo+0590+7551+755-1+-+Current+%2F+Voltage+Meter+with+200+A+AC%2C+600+V+AC%2FDC%2C+and+Continuity&amp;qid=1694734891&amp;sr=8-2")</f>
        <v/>
      </c>
      <c r="F2137" t="inlineStr">
        <is>
          <t>B01F3MPHQG</t>
        </is>
      </c>
      <c r="G2137">
        <f>_xlfn.IMAGE("https://edmondsonsupply.com/cdn/shop/files/testo-755-1_front_prl.jpg?v=1688226764")</f>
        <v/>
      </c>
      <c r="H2137">
        <f>_xlfn.IMAGE("https://m.media-amazon.com/images/I/617sSpgpYbL._AC_UY218_.jpg")</f>
        <v/>
      </c>
      <c r="K2137" t="inlineStr">
        <is>
          <t>177.65</t>
        </is>
      </c>
      <c r="L2137" t="n">
        <v>216.45</v>
      </c>
      <c r="M2137" s="1" t="inlineStr">
        <is>
          <t>21.84%</t>
        </is>
      </c>
      <c r="N2137" s="7" t="n">
        <v>-40.84</v>
      </c>
      <c r="O2137" t="n">
        <v>4.2</v>
      </c>
      <c r="P2137" t="n">
        <v>7</v>
      </c>
      <c r="R2137" t="inlineStr">
        <is>
          <t>InStock</t>
        </is>
      </c>
      <c r="S2137" t="inlineStr">
        <is>
          <t>209.0</t>
        </is>
      </c>
      <c r="T2137" t="inlineStr">
        <is>
          <t>8011673043160</t>
        </is>
      </c>
    </row>
    <row r="2138" ht="87" customHeight="1">
      <c r="A2138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2138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2138" t="inlineStr">
        <is>
          <t>Klein Tools 55600 Tradesman Pro™ Tough Box Cooler, 17-Quart</t>
        </is>
      </c>
      <c r="D2138" t="inlineStr">
        <is>
          <t>Klein Tools 55600 Work Cooler, 17-Quart Lunch Box Holds 18 Cans &amp; Klein Tools 55470 Utility Bag, Stand-Up Zipper Tool Bags, Tough 1680d Ballistic Weave, Orange/Black, Gray/Black, 2-Pack</t>
        </is>
      </c>
      <c r="E2138" s="2">
        <f>HYPERLINK("https://www.amazon.com/Klein-Tools-17-Quart-Stand-Up-Ballistic/dp/B09Y843VXJ/ref=sr_1_5?keywords=Klein+Tools+55600+Tradesman+Pro%E2%84%A2+Tough+Box+Cooler%2C+17-Quart&amp;qid=1694734812&amp;sr=8-5", "https://www.amazon.com/Klein-Tools-17-Quart-Stand-Up-Ballistic/dp/B09Y843VXJ/ref=sr_1_5?keywords=Klein+Tools+55600+Tradesman+Pro%E2%84%A2+Tough+Box+Cooler%2C+17-Quart&amp;qid=1694734812&amp;sr=8-5")</f>
        <v/>
      </c>
      <c r="F2138" t="inlineStr">
        <is>
          <t>B09Y843VXJ</t>
        </is>
      </c>
      <c r="G2138">
        <f>_xlfn.IMAGE("https://edmondsonsupply.com/cdn/shop/products/55600.jpg?v=1587145287")</f>
        <v/>
      </c>
      <c r="H2138">
        <f>_xlfn.IMAGE("https://m.media-amazon.com/images/I/518mY-OPxzL._AC_UL320_.jpg")</f>
        <v/>
      </c>
      <c r="K2138" t="inlineStr">
        <is>
          <t>64.97</t>
        </is>
      </c>
      <c r="L2138" t="n">
        <v>78.98999999999999</v>
      </c>
      <c r="M2138" s="1" t="inlineStr">
        <is>
          <t>21.58%</t>
        </is>
      </c>
      <c r="N2138" s="7" t="n">
        <v>-40.84</v>
      </c>
      <c r="O2138" t="n">
        <v>5</v>
      </c>
      <c r="P2138" t="n">
        <v>1</v>
      </c>
      <c r="R2138" t="inlineStr">
        <is>
          <t>InStock</t>
        </is>
      </c>
      <c r="S2138" t="inlineStr">
        <is>
          <t>91.98</t>
        </is>
      </c>
      <c r="T2138" t="inlineStr">
        <is>
          <t>1707778277476</t>
        </is>
      </c>
    </row>
    <row r="2139" ht="87" customHeight="1">
      <c r="A2139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2139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2139" t="inlineStr">
        <is>
          <t>Klein Tools 55600 Tradesman Pro™ Tough Box Cooler, 17-Quart</t>
        </is>
      </c>
      <c r="D2139" t="inlineStr">
        <is>
          <t>Klein Tools 55600 Work Cooler, 17-Quart Lunch Box Holds 18 Cans &amp; Fit + Fresh XL Cool Coolers Freezer Slim Ice Pack for Lunch Box, Coolers, Beach Bags and Picnic Baskets, Multi-Colored, 4 Pack</t>
        </is>
      </c>
      <c r="E2139" s="2">
        <f>HYPERLINK("https://www.amazon.com/Klein-Tools-17-Quart-Coolers-Multi-Colored/dp/B09Z6QNJQK/ref=sr_1_6?keywords=Klein+Tools+55600+Tradesman+Pro%E2%84%A2+Tough+Box+Cooler%2C+17-Quart&amp;qid=1694734812&amp;sr=8-6", "https://www.amazon.com/Klein-Tools-17-Quart-Coolers-Multi-Colored/dp/B09Z6QNJQK/ref=sr_1_6?keywords=Klein+Tools+55600+Tradesman+Pro%E2%84%A2+Tough+Box+Cooler%2C+17-Quart&amp;qid=1694734812&amp;sr=8-6")</f>
        <v/>
      </c>
      <c r="F2139" t="inlineStr">
        <is>
          <t>B09Z6QNJQK</t>
        </is>
      </c>
      <c r="G2139">
        <f>_xlfn.IMAGE("https://edmondsonsupply.com/cdn/shop/products/55600.jpg?v=1587145287")</f>
        <v/>
      </c>
      <c r="H2139">
        <f>_xlfn.IMAGE("https://m.media-amazon.com/images/I/51yZOLPDFBL._AC_UL320_.jpg")</f>
        <v/>
      </c>
      <c r="K2139" t="inlineStr">
        <is>
          <t>64.97</t>
        </is>
      </c>
      <c r="L2139" t="n">
        <v>78.91</v>
      </c>
      <c r="M2139" s="1" t="inlineStr">
        <is>
          <t>21.46%</t>
        </is>
      </c>
      <c r="N2139" s="7" t="n">
        <v>-41.02</v>
      </c>
      <c r="O2139" t="n">
        <v>4.5</v>
      </c>
      <c r="P2139" t="n">
        <v>16</v>
      </c>
      <c r="R2139" t="inlineStr">
        <is>
          <t>InStock</t>
        </is>
      </c>
      <c r="S2139" t="inlineStr">
        <is>
          <t>91.98</t>
        </is>
      </c>
      <c r="T2139" t="inlineStr">
        <is>
          <t>1707778277476</t>
        </is>
      </c>
    </row>
    <row r="2140" ht="87" customHeight="1">
      <c r="A2140" s="2">
        <f>HYPERLINK("https://edmondsonsupply.com/collections/hvac/products/uei-pdt655-differential-folding-pocket-thermometer-w-large-easy-to-read-display", "https://edmondsonsupply.com/collections/hvac/products/uei-pdt655-differential-folding-pocket-thermometer-w-large-easy-to-read-display")</f>
        <v/>
      </c>
      <c r="B2140" s="2">
        <f>HYPERLINK("https://edmondsonsupply.com/products/uei-pdt655-differential-folding-pocket-thermometer-w-large-easy-to-read-display", "https://edmondsonsupply.com/products/uei-pdt655-differential-folding-pocket-thermometer-w-large-easy-to-read-display")</f>
        <v/>
      </c>
      <c r="C2140" t="inlineStr">
        <is>
          <t>UEi PDT655 Differential Folding Pocket Thermometer w/ Large Easy-to-Read Display</t>
        </is>
      </c>
      <c r="D2140" t="inlineStr">
        <is>
          <t>UEi PDT655 Differential Temperature Folding Pocket Thermometer, HVAC Digital Thermometer with Backlit Display and Magnetic Mount, Measures -58 to 572°F</t>
        </is>
      </c>
      <c r="E2140" s="2">
        <f>HYPERLINK("https://www.amazon.com/UEi-PDT655-Folding-Pocket-Thermometer/dp/B0938HPW8R/ref=sr_1_1?keywords=UEi+PDT655+Differential+Folding+Pocket+Thermometer+w%2F+Large+Easy-to-Read+Display&amp;qid=1694734623&amp;sr=8-1", "https://www.amazon.com/UEi-PDT655-Folding-Pocket-Thermometer/dp/B0938HPW8R/ref=sr_1_1?keywords=UEi+PDT655+Differential+Folding+Pocket+Thermometer+w%2F+Large+Easy-to-Read+Display&amp;qid=1694734623&amp;sr=8-1")</f>
        <v/>
      </c>
      <c r="F2140" t="inlineStr">
        <is>
          <t>B0938HPW8R</t>
        </is>
      </c>
      <c r="G2140">
        <f>_xlfn.IMAGE("https://edmondsonsupply.com/cdn/shop/products/PDT655-1.png?v=1633031102")</f>
        <v/>
      </c>
      <c r="H2140">
        <f>_xlfn.IMAGE("https://m.media-amazon.com/images/I/41g8A4ZvhTS._AC_UY218_.jpg")</f>
        <v/>
      </c>
      <c r="K2140" t="inlineStr">
        <is>
          <t>26.31</t>
        </is>
      </c>
      <c r="L2140" t="n">
        <v>31.95</v>
      </c>
      <c r="M2140" s="1" t="inlineStr">
        <is>
          <t>21.44%</t>
        </is>
      </c>
      <c r="N2140" s="7" t="n">
        <v>-41.5</v>
      </c>
      <c r="O2140" t="n">
        <v>4.6</v>
      </c>
      <c r="P2140" t="n">
        <v>52</v>
      </c>
      <c r="R2140" t="inlineStr">
        <is>
          <t>InStock</t>
        </is>
      </c>
      <c r="S2140" t="inlineStr">
        <is>
          <t>30.95</t>
        </is>
      </c>
      <c r="T2140" t="inlineStr">
        <is>
          <t>6851646521517</t>
        </is>
      </c>
    </row>
    <row r="2141" hidden="1" ht="15.75" customHeight="1">
      <c r="A2141" s="2">
        <f>HYPERLINK("https://edmondsonsupply.com/collections/hvac/products/tajima-lc-500-heavy-duty-ergonomic-utility-knife-auto-blade-lock-3-x-endura-blade", "https://edmondsonsupply.com/collections/hvac/products/tajima-lc-500-heavy-duty-ergonomic-utility-knife-auto-blade-lock-3-x-endura-blade")</f>
        <v/>
      </c>
      <c r="B2141" s="2">
        <f>HYPERLINK("https://edmondsonsupply.com/products/tajima-lc-500-heavy-duty-ergonomic-utility-knife-auto-blade-lock-3-x-endura-blade", "https://edmondsonsupply.com/products/tajima-lc-500-heavy-duty-ergonomic-utility-knife-auto-blade-lock-3-x-endura-blade")</f>
        <v/>
      </c>
      <c r="C2141" t="inlineStr">
        <is>
          <t>Tajima LC-500 Heavy Duty Ergonomic Utility Knife, Auto Blade Lock, 3 x Endura-Blade</t>
        </is>
      </c>
      <c r="D2141" t="inlineStr">
        <is>
          <t>TAJIMA Utility Knives &amp; Blades - 7/8" Heavy Duty Snap Blade Box Cutter with Auto Lock &amp; 3 Endura-Blades - LC-620</t>
        </is>
      </c>
      <c r="E2141" s="2">
        <f>HYPERLINK("https://www.amazon.com/TAJIMA-Utility-Knives-Blades-Endura-Blades/dp/B003O684GO/ref=sr_1_1?keywords=Tajima+LC-500+Heavy+Duty+Ergonomic+Utility+Knife%2C+Auto+Blade+Lock%2C+3+x+Endura-Blade&amp;qid=1694734703&amp;sr=8-1", "https://www.amazon.com/TAJIMA-Utility-Knives-Blades-Endura-Blades/dp/B003O684GO/ref=sr_1_1?keywords=Tajima+LC-500+Heavy+Duty+Ergonomic+Utility+Knife%2C+Auto+Blade+Lock%2C+3+x+Endura-Blade&amp;qid=1694734703&amp;sr=8-1")</f>
        <v/>
      </c>
      <c r="F2141" t="inlineStr">
        <is>
          <t>B003O684GO</t>
        </is>
      </c>
      <c r="G2141">
        <f>_xludf.IMAGE("https://edmondsonsupply.com/cdn/shop/products/LC-500_s.jpg?v=1633031159")</f>
        <v/>
      </c>
      <c r="H2141">
        <f>_xludf.IMAGE("https://m.media-amazon.com/images/I/61+jGAA-25L._AC_UL320_.jpg")</f>
        <v/>
      </c>
      <c r="K2141" t="inlineStr">
        <is>
          <t>8.59</t>
        </is>
      </c>
      <c r="L2141" t="n">
        <v>10.43</v>
      </c>
      <c r="M2141" s="1" t="inlineStr">
        <is>
          <t>21.42%</t>
        </is>
      </c>
      <c r="N2141" s="1" t="n">
        <v>-41.87</v>
      </c>
      <c r="O2141" t="n">
        <v>4.8</v>
      </c>
      <c r="P2141" t="n">
        <v>25</v>
      </c>
      <c r="R2141" t="inlineStr">
        <is>
          <t>InStock</t>
        </is>
      </c>
      <c r="S2141" t="inlineStr">
        <is>
          <t>undefined</t>
        </is>
      </c>
      <c r="T2141" t="inlineStr">
        <is>
          <t>6897266000045</t>
        </is>
      </c>
    </row>
    <row r="2142" hidden="1" ht="15.75" customHeight="1">
      <c r="A2142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142" s="2">
        <f>HYPERLINK("https://edmondsonsupply.com/products/klein-tools-s8m-1-4-inch-magnetic-nut-driver-3-inch-shank", "https://edmondsonsupply.com/products/klein-tools-s8m-1-4-inch-magnetic-nut-driver-3-inch-shank")</f>
        <v/>
      </c>
      <c r="C2142" t="inlineStr">
        <is>
          <t>Klein Tools S8M 1/4-Inch Magnetic Nut Driver 3-Inch Shank</t>
        </is>
      </c>
      <c r="D2142" t="inlineStr">
        <is>
          <t>Klein Tools 635-1/4 1/4-Inch Heavy Duty Nut Driver with Magnetic Tip, 4-Inch Hollow Shaft, Cushion Grip Handle</t>
        </is>
      </c>
      <c r="E2142" s="2">
        <f>HYPERLINK("https://www.amazon.com/4-Inch-Magnetic-Cushion-Klein-Tools/dp/B01D6DZRFA/ref=sr_1_11?keywords=Klein+Tools+S8M+1%2F4-Inch+Magnetic+Nut+Driver+3-Inch+Shank&amp;qid=1694734781&amp;sr=8-11", "https://www.amazon.com/4-Inch-Magnetic-Cushion-Klein-Tools/dp/B01D6DZRFA/ref=sr_1_11?keywords=Klein+Tools+S8M+1%2F4-Inch+Magnetic+Nut+Driver+3-Inch+Shank&amp;qid=1694734781&amp;sr=8-11")</f>
        <v/>
      </c>
      <c r="F2142" t="inlineStr">
        <is>
          <t>B01D6DZRFA</t>
        </is>
      </c>
      <c r="G2142">
        <f>_xludf.IMAGE("https://edmondsonsupply.com/cdn/shop/products/s8m.jpg?v=1633030818")</f>
        <v/>
      </c>
      <c r="H2142">
        <f>_xludf.IMAGE("https://m.media-amazon.com/images/I/41DrStZKvjL._AC_UL320_.jpg")</f>
        <v/>
      </c>
      <c r="K2142" t="inlineStr">
        <is>
          <t>8.99</t>
        </is>
      </c>
      <c r="L2142" t="n">
        <v>10.91</v>
      </c>
      <c r="M2142" s="1" t="inlineStr">
        <is>
          <t>21.36%</t>
        </is>
      </c>
      <c r="N2142" s="1" t="n">
        <v>-42.23</v>
      </c>
      <c r="O2142" t="n">
        <v>4.7</v>
      </c>
      <c r="P2142" t="n">
        <v>999</v>
      </c>
      <c r="R2142" t="inlineStr">
        <is>
          <t>InStock</t>
        </is>
      </c>
      <c r="S2142" t="inlineStr">
        <is>
          <t>13.62</t>
        </is>
      </c>
      <c r="T2142" t="inlineStr">
        <is>
          <t>6072223957165</t>
        </is>
      </c>
    </row>
    <row r="2143" ht="87" customHeight="1">
      <c r="A2143" s="2">
        <f>HYPERLINK("https://edmondsonsupply.com/collections/hvac/products/icm-controls-icm271-fan-blower-control-board-replacement-for-carrier", "https://edmondsonsupply.com/collections/hvac/products/icm-controls-icm271-fan-blower-control-board-replacement-for-carrier")</f>
        <v/>
      </c>
      <c r="B2143" s="2">
        <f>HYPERLINK("https://edmondsonsupply.com/products/icm-controls-icm271-fan-blower-control-board-replacement-for-carrier", "https://edmondsonsupply.com/products/icm-controls-icm271-fan-blower-control-board-replacement-for-carrier")</f>
        <v/>
      </c>
      <c r="C2143" t="inlineStr">
        <is>
          <t>ICM Controls ICM271 Fan Blower Control Board, Replacement for Carrier</t>
        </is>
      </c>
      <c r="D2143" t="inlineStr">
        <is>
          <t>ICM Controls ICM271 Fan Blower Control OEM Replacement Carrier HH84AA020, Multicolor</t>
        </is>
      </c>
      <c r="E2143" s="2">
        <f>HYPERLINK("https://www.amazon.com/ICM-Controls-ICM271-Replacement-HH84AA020/dp/B000TMK310/ref=sr_1_1?keywords=ICM+Controls+ICM271+Fan+Blower+Control+Board%2C+Replacement+for+Carrier&amp;qid=1694734662&amp;sr=8-1", "https://www.amazon.com/ICM-Controls-ICM271-Replacement-HH84AA020/dp/B000TMK310/ref=sr_1_1?keywords=ICM+Controls+ICM271+Fan+Blower+Control+Board%2C+Replacement+for+Carrier&amp;qid=1694734662&amp;sr=8-1")</f>
        <v/>
      </c>
      <c r="F2143" t="inlineStr">
        <is>
          <t>B000TMK310</t>
        </is>
      </c>
      <c r="G2143">
        <f>_xlfn.IMAGE("https://edmondsonsupply.com/cdn/shop/products/icm271.jpg?v=1633285273")</f>
        <v/>
      </c>
      <c r="H2143">
        <f>_xlfn.IMAGE("https://m.media-amazon.com/images/I/612YOajKtML._AC_UL320_.jpg")</f>
        <v/>
      </c>
      <c r="K2143" t="inlineStr">
        <is>
          <t>67.99</t>
        </is>
      </c>
      <c r="L2143" t="n">
        <v>82.5</v>
      </c>
      <c r="M2143" s="1" t="inlineStr">
        <is>
          <t>21.34%</t>
        </is>
      </c>
      <c r="N2143" s="7" t="n">
        <v>-42.87</v>
      </c>
      <c r="O2143" t="n">
        <v>4.7</v>
      </c>
      <c r="P2143" t="n">
        <v>325</v>
      </c>
      <c r="R2143" t="inlineStr">
        <is>
          <t>InStock</t>
        </is>
      </c>
      <c r="S2143" t="inlineStr">
        <is>
          <t>97.17</t>
        </is>
      </c>
      <c r="T2143" t="inlineStr">
        <is>
          <t>6991454306477</t>
        </is>
      </c>
    </row>
    <row r="2144" ht="87" customHeight="1">
      <c r="A2144" s="2">
        <f>HYPERLINK("https://edmondsonsupply.com/collections/hvac/products/rectorseal-97705-mighty-bracket-mini-split-installation-support-tool", "https://edmondsonsupply.com/collections/hvac/products/rectorseal-97705-mighty-bracket-mini-split-installation-support-tool")</f>
        <v/>
      </c>
      <c r="B2144" s="2">
        <f>HYPERLINK("https://edmondsonsupply.com/products/rectorseal-97705-mighty-bracket-mini-split-installation-support-tool", "https://edmondsonsupply.com/products/rectorseal-97705-mighty-bracket-mini-split-installation-support-tool")</f>
        <v/>
      </c>
      <c r="C2144" t="inlineStr">
        <is>
          <t>RectorSeal 97705 Mighty Bracket Mini-Split Installation Support Tool</t>
        </is>
      </c>
      <c r="D2144" t="inlineStr">
        <is>
          <t>Rectorseal 97705 Mighty Bracket Mini-Split Support Tool</t>
        </is>
      </c>
      <c r="E2144" s="2">
        <f>HYPERLINK("https://www.amazon.com/Rectorseal-97705-Bracket-Mini-Split-Support/dp/B010M261GW/ref=sr_1_1?keywords=RectorSeal+97705+Mighty+Bracket+Mini-Split+Installation+Support+Tool&amp;qid=1694734643&amp;sr=8-1", "https://www.amazon.com/Rectorseal-97705-Bracket-Mini-Split-Support/dp/B010M261GW/ref=sr_1_1?keywords=RectorSeal+97705+Mighty+Bracket+Mini-Split+Installation+Support+Tool&amp;qid=1694734643&amp;sr=8-1")</f>
        <v/>
      </c>
      <c r="F2144" t="inlineStr">
        <is>
          <t>B010M261GW</t>
        </is>
      </c>
      <c r="G2144">
        <f>_xlfn.IMAGE("https://edmondsonsupply.com/cdn/shop/products/13771_94491864.png?v=1633031092")</f>
        <v/>
      </c>
      <c r="H2144">
        <f>_xlfn.IMAGE("https://m.media-amazon.com/images/I/51UJSHgdRSL._AC_UL320_.jpg")</f>
        <v/>
      </c>
      <c r="K2144" t="inlineStr">
        <is>
          <t>151.9</t>
        </is>
      </c>
      <c r="L2144" t="n">
        <v>184.16</v>
      </c>
      <c r="M2144" s="1" t="inlineStr">
        <is>
          <t>21.24%</t>
        </is>
      </c>
      <c r="N2144" s="7" t="n">
        <v>-43.25</v>
      </c>
      <c r="O2144" t="n">
        <v>4.5</v>
      </c>
      <c r="P2144" t="n">
        <v>246</v>
      </c>
      <c r="R2144" t="inlineStr">
        <is>
          <t>InStock</t>
        </is>
      </c>
      <c r="S2144" t="inlineStr">
        <is>
          <t>undefined</t>
        </is>
      </c>
      <c r="T2144" t="inlineStr">
        <is>
          <t>6837858893997</t>
        </is>
      </c>
    </row>
    <row r="2145" ht="87" customHeight="1">
      <c r="A2145" s="2">
        <f>HYPERLINK("https://edmondsonsupply.com/collections/hvac/products/milwaukee-2912-22-m18-fuel%E2%84%A2-1-sds-plus-rotary-hammer-kit", "https://edmondsonsupply.com/collections/hvac/products/milwaukee-2912-22-m18-fuel%E2%84%A2-1-sds-plus-rotary-hammer-kit")</f>
        <v/>
      </c>
      <c r="B2145" s="2">
        <f>HYPERLINK("https://edmondsonsupply.com/products/milwaukee-2912-22-m18-fuel%e2%84%a2-1-sds-plus-rotary-hammer-kit", "https://edmondsonsupply.com/products/milwaukee-2912-22-m18-fuel%e2%84%a2-1-sds-plus-rotary-hammer-kit")</f>
        <v/>
      </c>
      <c r="C2145" t="inlineStr">
        <is>
          <t>Milwaukee 2912-22 M18 FUEL™ 1" SDS Plus Rotary Hammer Kit</t>
        </is>
      </c>
      <c r="D2145" t="inlineStr">
        <is>
          <t>Milwaukee 2715-22 M18 Fuel 1-1/8" SDS Plus Rotary Hammer Kit</t>
        </is>
      </c>
      <c r="E2145" s="2">
        <f>HYPERLINK("https://www.amazon.com/Milwaukee-2715-22-Fuel-Rotary-Hammer/dp/B00OTXQUL2/ref=sr_1_5?keywords=Milwaukee+2912-22+M18+FUEL%E2%84%A2+1%22+SDS+Plus+Rotary+Hammer+Kit&amp;qid=1694734903&amp;sr=8-5", "https://www.amazon.com/Milwaukee-2715-22-Fuel-Rotary-Hammer/dp/B00OTXQUL2/ref=sr_1_5?keywords=Milwaukee+2912-22+M18+FUEL%E2%84%A2+1%22+SDS+Plus+Rotary+Hammer+Kit&amp;qid=1694734903&amp;sr=8-5")</f>
        <v/>
      </c>
      <c r="F2145" t="inlineStr">
        <is>
          <t>B00OTXQUL2</t>
        </is>
      </c>
      <c r="G2145">
        <f>_xlfn.IMAGE("https://edmondsonsupply.com/cdn/shop/files/2912-20_1.webp?v=1686934956")</f>
        <v/>
      </c>
      <c r="H2145">
        <f>_xlfn.IMAGE("https://m.media-amazon.com/images/I/615tfbdfVfL._AC_UL320_.jpg")</f>
        <v/>
      </c>
      <c r="K2145" t="inlineStr">
        <is>
          <t>599.0</t>
        </is>
      </c>
      <c r="L2145" t="n">
        <v>726</v>
      </c>
      <c r="M2145" s="1" t="inlineStr">
        <is>
          <t>21.20%</t>
        </is>
      </c>
      <c r="N2145" s="7" t="n">
        <v>-43.31</v>
      </c>
      <c r="O2145" t="n">
        <v>4.2</v>
      </c>
      <c r="P2145" t="n">
        <v>21</v>
      </c>
      <c r="R2145" t="inlineStr">
        <is>
          <t>InStock</t>
        </is>
      </c>
      <c r="S2145" t="inlineStr">
        <is>
          <t>1054.0</t>
        </is>
      </c>
      <c r="T2145" t="inlineStr">
        <is>
          <t>8006184960216</t>
        </is>
      </c>
    </row>
    <row r="2146" hidden="1" ht="15.75" customHeight="1">
      <c r="A2146" s="2">
        <f>HYPERLINK("https://edmondsonsupply.com/collections/hvac/products/pro1-iaq-t721-digital-non-programmable-thermostat-single-stage-2-heat-1-cool-heat-pump-conventional", "https://edmondsonsupply.com/collections/hvac/products/pro1-iaq-t721-digital-non-programmable-thermostat-single-stage-2-heat-1-cool-heat-pump-conventional")</f>
        <v/>
      </c>
      <c r="B2146" s="2">
        <f>HYPERLINK("https://edmondsonsupply.com/products/pro1-iaq-t721-digital-non-programmable-thermostat-single-stage-2-heat-1-cool-heat-pump-conventional", "https://edmondsonsupply.com/products/pro1-iaq-t721-digital-non-programmable-thermostat-single-stage-2-heat-1-cool-heat-pump-conventional")</f>
        <v/>
      </c>
      <c r="C2146" t="inlineStr">
        <is>
          <t>PRO1 IAQ T721 Digital Non-Programmable Thermostat, 2 Heat - 1 Cool, Heat Pump/Conventional</t>
        </is>
      </c>
      <c r="D2146" t="inlineStr">
        <is>
          <t>PRO1 T721 T700 Platform: Non-programmable, 2H/1C Heat Pump or 1H/1C Conventional with 4 sq. in. Display, White</t>
        </is>
      </c>
      <c r="E2146" s="2">
        <f>HYPERLINK("https://www.amazon.com/conditoner-non-programmable-Digital-Thermostat-PRO1/dp/B006103HDU/ref=sr_1_1?keywords=PRO1+IAQ+T721+Digital+Non-Programmable+Thermostat%2C+2+Heat+-+1+Cool%2C+Heat+Pump%2FConventional&amp;qid=1694734885&amp;sr=8-1", "https://www.amazon.com/conditoner-non-programmable-Digital-Thermostat-PRO1/dp/B006103HDU/ref=sr_1_1?keywords=PRO1+IAQ+T721+Digital+Non-Programmable+Thermostat%2C+2+Heat+-+1+Cool%2C+Heat+Pump%2FConventional&amp;qid=1694734885&amp;sr=8-1")</f>
        <v/>
      </c>
      <c r="F2146" t="inlineStr">
        <is>
          <t>B006103HDU</t>
        </is>
      </c>
      <c r="G2146">
        <f>_xludf.IMAGE("https://edmondsonsupply.com/cdn/shop/files/pro1-t721-hero.png?v=1689544101")</f>
        <v/>
      </c>
      <c r="H2146">
        <f>_xludf.IMAGE("https://m.media-amazon.com/images/I/41W8VKU3BXL._AC_UL320_.jpg")</f>
        <v/>
      </c>
      <c r="K2146" t="inlineStr">
        <is>
          <t>49.47</t>
        </is>
      </c>
      <c r="L2146" t="n">
        <v>59.95</v>
      </c>
      <c r="M2146" s="1" t="inlineStr">
        <is>
          <t>21.18%</t>
        </is>
      </c>
      <c r="N2146" s="1" t="n">
        <v>-43.76</v>
      </c>
      <c r="O2146" t="n">
        <v>3.6</v>
      </c>
      <c r="P2146" t="n">
        <v>12</v>
      </c>
      <c r="R2146" t="inlineStr">
        <is>
          <t>InStock</t>
        </is>
      </c>
      <c r="S2146" t="inlineStr">
        <is>
          <t>115.43</t>
        </is>
      </c>
      <c r="T2146" t="inlineStr">
        <is>
          <t>8017422549208</t>
        </is>
      </c>
    </row>
    <row r="2147" ht="87" customHeight="1">
      <c r="A2147" s="2">
        <f>HYPERLINK("https://edmondsonsupply.com/collections/hvac/products/kroil-ks162-original-penetrant-aerosol-16oz-can", "https://edmondsonsupply.com/collections/hvac/products/kroil-ks162-original-penetrant-aerosol-16oz-can")</f>
        <v/>
      </c>
      <c r="B2147" s="2">
        <f>HYPERLINK("https://edmondsonsupply.com/products/kroil-ks162-original-penetrant-aerosol-16oz-can", "https://edmondsonsupply.com/products/kroil-ks162-original-penetrant-aerosol-16oz-can")</f>
        <v/>
      </c>
      <c r="C2147" t="inlineStr">
        <is>
          <t>Kroil KS162 Original Penetrant Aerosol 16.5oz can</t>
        </is>
      </c>
      <c r="D2147" t="inlineStr">
        <is>
          <t>Kroil Original Penetrating Oil (Aerosol Spray-16.5oz Can-Single) | Penetrant for Rusted Bolts, Metal, Hinges, Chains, Moving Parts | Rust, Corrosion Inhibitor (KS162)</t>
        </is>
      </c>
      <c r="E2147" s="2">
        <f>HYPERLINK("https://www.amazon.com/Penetrating-Spray-16-5oz-Can-Single-Penetrant-Corrosion/dp/B005ESIHZI/ref=sr_1_1?keywords=Kroil+KS162+Original+Penetrant+Aerosol+16.5oz+can&amp;qid=1694734905&amp;sr=8-1", "https://www.amazon.com/Penetrating-Spray-16-5oz-Can-Single-Penetrant-Corrosion/dp/B005ESIHZI/ref=sr_1_1?keywords=Kroil+KS162+Original+Penetrant+Aerosol+16.5oz+can&amp;qid=1694734905&amp;sr=8-1")</f>
        <v/>
      </c>
      <c r="F2147" t="inlineStr">
        <is>
          <t>B005ESIHZI</t>
        </is>
      </c>
      <c r="G2147">
        <f>_xlfn.IMAGE("https://edmondsonsupply.com/cdn/shop/files/KS162.webp?v=1686779895")</f>
        <v/>
      </c>
      <c r="H2147">
        <f>_xlfn.IMAGE("https://m.media-amazon.com/images/I/51mtHxiqoDL._AC_UY218_.jpg")</f>
        <v/>
      </c>
      <c r="K2147" t="inlineStr">
        <is>
          <t>27.89</t>
        </is>
      </c>
      <c r="L2147" t="n">
        <v>33.78</v>
      </c>
      <c r="M2147" s="1" t="inlineStr">
        <is>
          <t>21.12%</t>
        </is>
      </c>
      <c r="N2147" s="7" t="n">
        <v>-43.96</v>
      </c>
      <c r="O2147" t="n">
        <v>4.8</v>
      </c>
      <c r="P2147" t="n">
        <v>2787</v>
      </c>
      <c r="R2147" t="inlineStr">
        <is>
          <t>InStock</t>
        </is>
      </c>
      <c r="S2147" t="inlineStr">
        <is>
          <t>32.0</t>
        </is>
      </c>
      <c r="T2147" t="inlineStr">
        <is>
          <t>8005750685912</t>
        </is>
      </c>
    </row>
    <row r="2148" ht="87" customHeight="1">
      <c r="A2148" s="2">
        <f>HYPERLINK("https://edmondsonsupply.com/collections/hvac/products/uniweld-40061-sludge-blaster%C2%AE", "https://edmondsonsupply.com/collections/hvac/products/uniweld-40061-sludge-blaster%C2%AE")</f>
        <v/>
      </c>
      <c r="B2148" s="2">
        <f>HYPERLINK("https://edmondsonsupply.com/products/uniweld-40061-sludge-blaster%c2%ae", "https://edmondsonsupply.com/products/uniweld-40061-sludge-blaster%c2%ae")</f>
        <v/>
      </c>
      <c r="C2148" t="inlineStr">
        <is>
          <t>Uniweld 40061 Sludge Blaster®</t>
        </is>
      </c>
      <c r="D2148" t="inlineStr">
        <is>
          <t>Uniweld 40061 Sludge Blaster</t>
        </is>
      </c>
      <c r="E2148" s="2">
        <f>HYPERLINK("https://www.amazon.com/Uniweld-40061-Sludge-Blaster/dp/B00CIRZ936/ref=sr_1_1?keywords=Uniweld+40061+Sludge+Blaster%C2%AE&amp;qid=1694734659&amp;sr=8-1", "https://www.amazon.com/Uniweld-40061-Sludge-Blaster/dp/B00CIRZ936/ref=sr_1_1?keywords=Uniweld+40061+Sludge+Blaster%C2%AE&amp;qid=1694734659&amp;sr=8-1")</f>
        <v/>
      </c>
      <c r="F2148" t="inlineStr">
        <is>
          <t>B00CIRZ936</t>
        </is>
      </c>
      <c r="G2148">
        <f>_xlfn.IMAGE("https://edmondsonsupply.com/cdn/shop/products/40061_pkg.jpg?v=1656353031")</f>
        <v/>
      </c>
      <c r="H2148">
        <f>_xlfn.IMAGE("https://m.media-amazon.com/images/I/61PURvecGcL._AC_UL320_.jpg")</f>
        <v/>
      </c>
      <c r="K2148" t="inlineStr">
        <is>
          <t>23.99</t>
        </is>
      </c>
      <c r="L2148" t="n">
        <v>28.95</v>
      </c>
      <c r="M2148" s="1" t="inlineStr">
        <is>
          <t>20.68%</t>
        </is>
      </c>
      <c r="N2148" s="7" t="n">
        <v>-44.38</v>
      </c>
      <c r="O2148" t="n">
        <v>4.4</v>
      </c>
      <c r="P2148" t="n">
        <v>318</v>
      </c>
      <c r="R2148" t="inlineStr">
        <is>
          <t>InStock</t>
        </is>
      </c>
      <c r="S2148" t="inlineStr">
        <is>
          <t>27.11</t>
        </is>
      </c>
      <c r="T2148" t="inlineStr">
        <is>
          <t>7731708133592</t>
        </is>
      </c>
    </row>
    <row r="2149" hidden="1" ht="15.75" customHeight="1">
      <c r="A2149" s="2">
        <f>HYPERLINK("https://edmondsonsupply.com/collections/hvac/products/robertshaw-1820-019-pg9-pilot-generator-replacement-kit", "https://edmondsonsupply.com/collections/hvac/products/robertshaw-1820-019-pg9-pilot-generator-replacement-kit")</f>
        <v/>
      </c>
      <c r="B2149" s="2">
        <f>HYPERLINK("https://edmondsonsupply.com/products/robertshaw-1820-019-pg9-pilot-generator-replacement-kit", "https://edmondsonsupply.com/products/robertshaw-1820-019-pg9-pilot-generator-replacement-kit")</f>
        <v/>
      </c>
      <c r="C2149" t="inlineStr">
        <is>
          <t>Robertshaw 1820-019 PG9 Pilot Generator Replacement Kit</t>
        </is>
      </c>
      <c r="D2149" t="inlineStr">
        <is>
          <t>Robertshaw 90° left hand flame PG9 Furnace Replacement Pilot 1820-019</t>
        </is>
      </c>
      <c r="E2149" s="2">
        <f>HYPERLINK("https://www.amazon.com/Robertshaw-Product-1820-019/dp/B00EZHK9LE/ref=sr_1_2?keywords=Robertshaw+1820-019+PG9+Pilot+Generator+Replacement+Kit&amp;qid=1694734602&amp;sr=8-2", "https://www.amazon.com/Robertshaw-Product-1820-019/dp/B00EZHK9LE/ref=sr_1_2?keywords=Robertshaw+1820-019+PG9+Pilot+Generator+Replacement+Kit&amp;qid=1694734602&amp;sr=8-2")</f>
        <v/>
      </c>
      <c r="F2149" t="inlineStr">
        <is>
          <t>B00EZHK9LE</t>
        </is>
      </c>
      <c r="G2149">
        <f>_xludf.IMAGE("https://edmondsonsupply.com/cdn/shop/products/1820-019.jpg?v=1633030771")</f>
        <v/>
      </c>
      <c r="H2149">
        <f>_xludf.IMAGE("https://m.media-amazon.com/images/I/81622tuX76L._AC_UL320_.jpg")</f>
        <v/>
      </c>
      <c r="K2149" t="inlineStr">
        <is>
          <t>37.29</t>
        </is>
      </c>
      <c r="L2149" t="n">
        <v>44.9</v>
      </c>
      <c r="M2149" s="1" t="inlineStr">
        <is>
          <t>20.41%</t>
        </is>
      </c>
      <c r="N2149" s="1" t="n">
        <v>-44.45</v>
      </c>
      <c r="O2149" t="n">
        <v>4</v>
      </c>
      <c r="P2149" t="n">
        <v>4</v>
      </c>
      <c r="R2149" t="inlineStr">
        <is>
          <t>InStock</t>
        </is>
      </c>
      <c r="S2149" t="inlineStr">
        <is>
          <t>78.48</t>
        </is>
      </c>
      <c r="T2149" t="inlineStr">
        <is>
          <t>5941052440744</t>
        </is>
      </c>
    </row>
    <row r="2150" ht="87" customHeight="1">
      <c r="A2150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2150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2150" t="inlineStr">
        <is>
          <t>Diablo Tools DMAMXCC5010 2 in. x 7 in. SDS-Max Carbide Tipped Core Bit</t>
        </is>
      </c>
      <c r="D2150" t="inlineStr">
        <is>
          <t>Diablo 2-5/8 in. x 7 in. SDS-Max Carbide Tipped Core Bit</t>
        </is>
      </c>
      <c r="E2150" s="2">
        <f>HYPERLINK("https://www.amazon.com/Diablo-DMAMXCC5020-SDS-Max-Carbide-Tipped/dp/B089M7TYBC/ref=sr_1_2?keywords=Diablo+Tools+DMAMXCC5010+2+in.+x+7+in.+SDS-Max+Carbide+Tipped+Core+Bit&amp;qid=1694734911&amp;sr=8-2", "https://www.amazon.com/Diablo-DMAMXCC5020-SDS-Max-Carbide-Tipped/dp/B089M7TYBC/ref=sr_1_2?keywords=Diablo+Tools+DMAMXCC5010+2+in.+x+7+in.+SDS-Max+Carbide+Tipped+Core+Bit&amp;qid=1694734911&amp;sr=8-2")</f>
        <v/>
      </c>
      <c r="F2150" t="inlineStr">
        <is>
          <t>B089M7TYBC</t>
        </is>
      </c>
      <c r="G2150">
        <f>_xlfn.IMAGE("https://edmondsonsupply.com/cdn/shop/files/kbs61qpkymnshwvx13k1.webp?v=1686583113")</f>
        <v/>
      </c>
      <c r="H2150">
        <f>_xlfn.IMAGE("https://m.media-amazon.com/images/I/61fu3xDsk5L._AC_UL320_.jpg")</f>
        <v/>
      </c>
      <c r="K2150" t="inlineStr">
        <is>
          <t>101.49</t>
        </is>
      </c>
      <c r="L2150" t="n">
        <v>121.99</v>
      </c>
      <c r="M2150" s="1" t="inlineStr">
        <is>
          <t>20.20%</t>
        </is>
      </c>
      <c r="N2150" s="7" t="n">
        <v>-44.53</v>
      </c>
      <c r="O2150" t="n">
        <v>4.8</v>
      </c>
      <c r="P2150" t="n">
        <v>5</v>
      </c>
      <c r="R2150" t="inlineStr">
        <is>
          <t>InStock</t>
        </is>
      </c>
      <c r="S2150" t="inlineStr">
        <is>
          <t>161.02</t>
        </is>
      </c>
      <c r="T2150" t="inlineStr">
        <is>
          <t>8004502585560</t>
        </is>
      </c>
    </row>
    <row r="2151" hidden="1" ht="15.75" customHeight="1">
      <c r="A2151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2151" s="2">
        <f>HYPERLINK("https://edmondsonsupply.com/products/packard-c140a-contactor-1-pole-40-amps-24-coil-voltage", "https://edmondsonsupply.com/products/packard-c140a-contactor-1-pole-40-amps-24-coil-voltage")</f>
        <v/>
      </c>
      <c r="C2151" t="inlineStr">
        <is>
          <t>Packard C140A Contactor 1 Pole 40 AMPS 24 Coil Voltage</t>
        </is>
      </c>
      <c r="D2151" t="inlineStr">
        <is>
          <t>Sunlee controls 1 pole 40 Amp 24V coil Single Pole DP Contactor Replacement for Condenser Contactor C140A</t>
        </is>
      </c>
      <c r="E2151" s="2">
        <f>HYPERLINK("https://www.amazon.com/Contactor-Replacement-Condenser-CTR02579_x000D_-hn51kc024/dp/B0888B95JB/ref=sr_1_14?keywords=Packard+C140A+Contactor+1+Pole+40+AMPS+24+Coil+Voltage&amp;qid=1694734583&amp;sr=8-14", "https://www.amazon.com/Contactor-Replacement-Condenser-CTR02579_x000D_-hn51kc024/dp/B0888B95JB/ref=sr_1_14?keywords=Packard+C140A+Contactor+1+Pole+40+AMPS+24+Coil+Voltage&amp;qid=1694734583&amp;sr=8-14")</f>
        <v/>
      </c>
      <c r="F2151" t="inlineStr">
        <is>
          <t>B0888B95JB</t>
        </is>
      </c>
      <c r="G2151">
        <f>_xludf.IMAGE("https://edmondsonsupply.com/cdn/shop/products/C140A-1.jpg?v=1587147314")</f>
        <v/>
      </c>
      <c r="H2151">
        <f>_xludf.IMAGE("https://m.media-amazon.com/images/I/71yAYxvw8OL._AC_UY218_.jpg")</f>
        <v/>
      </c>
      <c r="K2151" t="inlineStr">
        <is>
          <t>9.98</t>
        </is>
      </c>
      <c r="L2151" t="n">
        <v>11.99</v>
      </c>
      <c r="M2151" s="1" t="inlineStr">
        <is>
          <t>20.14%</t>
        </is>
      </c>
      <c r="N2151" s="1" t="n">
        <v>-45.22</v>
      </c>
      <c r="O2151" t="n">
        <v>4</v>
      </c>
      <c r="P2151" t="n">
        <v>71</v>
      </c>
      <c r="R2151" t="inlineStr">
        <is>
          <t>InStock</t>
        </is>
      </c>
      <c r="S2151" t="inlineStr">
        <is>
          <t>undefined</t>
        </is>
      </c>
      <c r="T2151" t="inlineStr">
        <is>
          <t>4359080607844</t>
        </is>
      </c>
    </row>
    <row r="2152" hidden="1" ht="15.75" customHeight="1">
      <c r="A2152" s="2">
        <f>HYPERLINK("https://edmondsonsupply.com/collections/hvac/products/packard-c140a-contactor-1-pole-40-amps-24-coil-voltage", "https://edmondsonsupply.com/collections/hvac/products/packard-c140a-contactor-1-pole-40-amps-24-coil-voltage")</f>
        <v/>
      </c>
      <c r="B2152" s="2">
        <f>HYPERLINK("https://edmondsonsupply.com/products/packard-c140a-contactor-1-pole-40-amps-24-coil-voltage", "https://edmondsonsupply.com/products/packard-c140a-contactor-1-pole-40-amps-24-coil-voltage")</f>
        <v/>
      </c>
      <c r="C2152" t="inlineStr">
        <is>
          <t>Packard C140A Contactor 1 Pole 40 AMPS 24 Coil Voltage</t>
        </is>
      </c>
      <c r="D2152" t="inlineStr">
        <is>
          <t>ANTOBLE PC140A C140A Contactor Single One 1 Pole 40 Amps 24 Volts A/C Air Conditioner</t>
        </is>
      </c>
      <c r="E2152" s="2">
        <f>HYPERLINK("https://www.amazon.com/PC140A-C140A-Contactor-Single-Conditioner/dp/B07H2SVVH3/ref=sr_1_13?keywords=Packard+C140A+Contactor+1+Pole+40+AMPS+24+Coil+Voltage&amp;qid=1694734583&amp;sr=8-13", "https://www.amazon.com/PC140A-C140A-Contactor-Single-Conditioner/dp/B07H2SVVH3/ref=sr_1_13?keywords=Packard+C140A+Contactor+1+Pole+40+AMPS+24+Coil+Voltage&amp;qid=1694734583&amp;sr=8-13")</f>
        <v/>
      </c>
      <c r="F2152" t="inlineStr">
        <is>
          <t>B07H2SVVH3</t>
        </is>
      </c>
      <c r="G2152">
        <f>_xludf.IMAGE("https://edmondsonsupply.com/cdn/shop/products/C140A-1.jpg?v=1587147314")</f>
        <v/>
      </c>
      <c r="H2152">
        <f>_xludf.IMAGE("https://m.media-amazon.com/images/I/51YcRhjpcNL._AC_UY218_.jpg")</f>
        <v/>
      </c>
      <c r="K2152" t="inlineStr">
        <is>
          <t>9.98</t>
        </is>
      </c>
      <c r="L2152" t="n">
        <v>11.99</v>
      </c>
      <c r="M2152" s="1" t="inlineStr">
        <is>
          <t>20.14%</t>
        </is>
      </c>
      <c r="N2152" s="1" t="n">
        <v>-45.25</v>
      </c>
      <c r="O2152" t="n">
        <v>4.6</v>
      </c>
      <c r="P2152" t="n">
        <v>224</v>
      </c>
      <c r="R2152" t="inlineStr">
        <is>
          <t>InStock</t>
        </is>
      </c>
      <c r="S2152" t="inlineStr">
        <is>
          <t>undefined</t>
        </is>
      </c>
      <c r="T2152" t="inlineStr">
        <is>
          <t>4359080607844</t>
        </is>
      </c>
    </row>
    <row r="2153" hidden="1" ht="15.75" customHeight="1">
      <c r="A2153" s="2">
        <f>HYPERLINK("https://edmondsonsupply.com/collections/hvac/products/milwaukee-49-90-1900-hepa-filter", "https://edmondsonsupply.com/collections/hvac/products/milwaukee-49-90-1900-hepa-filter")</f>
        <v/>
      </c>
      <c r="B2153" s="2">
        <f>HYPERLINK("https://edmondsonsupply.com/products/milwaukee-49-90-1900-hepa-filter", "https://edmondsonsupply.com/products/milwaukee-49-90-1900-hepa-filter")</f>
        <v/>
      </c>
      <c r="C2153" t="inlineStr">
        <is>
          <t>Milwaukee 49-90-1900 HEPA Filter</t>
        </is>
      </c>
      <c r="D2153" t="inlineStr">
        <is>
          <t>4 Pack 49-90-0160 HEPA Filter Compatible with Milwaukee 49-90-0160 0882-20 M18 Compact Vacuum</t>
        </is>
      </c>
      <c r="E2153" s="2">
        <f>HYPERLINK("https://www.amazon.com/49-90-0160-Compatible-Milwaukee-0882-20-Compact/dp/B0CDL1GZVK/ref=sr_1_42?keywords=Milwaukee+49-90-1900+HEPA+Filter&amp;qid=1694734913&amp;sr=8-42", "https://www.amazon.com/49-90-0160-Compatible-Milwaukee-0882-20-Compact/dp/B0CDL1GZVK/ref=sr_1_42?keywords=Milwaukee+49-90-1900+HEPA+Filter&amp;qid=1694734913&amp;sr=8-42")</f>
        <v/>
      </c>
      <c r="F2153" t="inlineStr">
        <is>
          <t>B0CDL1GZVK</t>
        </is>
      </c>
      <c r="G2153">
        <f>_xludf.IMAGE("https://edmondsonsupply.com/cdn/shop/files/49-90-1900_1.png?v=1686234774")</f>
        <v/>
      </c>
      <c r="H2153">
        <f>_xludf.IMAGE("https://m.media-amazon.com/images/I/71V4I4mCDBL._AC_UL320_.jpg")</f>
        <v/>
      </c>
      <c r="K2153" t="inlineStr">
        <is>
          <t>24.98</t>
        </is>
      </c>
      <c r="L2153" t="n">
        <v>29.99</v>
      </c>
      <c r="M2153" s="1" t="inlineStr">
        <is>
          <t>20.06%</t>
        </is>
      </c>
      <c r="N2153" s="1" t="n">
        <v>-45.25</v>
      </c>
      <c r="O2153" t="n">
        <v>4</v>
      </c>
      <c r="P2153" t="n">
        <v>3</v>
      </c>
      <c r="R2153" t="inlineStr">
        <is>
          <t>InStock</t>
        </is>
      </c>
      <c r="S2153" t="inlineStr">
        <is>
          <t>40.0</t>
        </is>
      </c>
      <c r="T2153" t="inlineStr">
        <is>
          <t>8002625306840</t>
        </is>
      </c>
    </row>
    <row r="2154" ht="87" customHeight="1">
      <c r="A2154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154" s="2">
        <f>HYPERLINK("https://edmondsonsupply.com/products/klein-tools-mm300kit-digital-multimeter-electrical-test-kit", "https://edmondsonsupply.com/products/klein-tools-mm300kit-digital-multimeter-electrical-test-kit")</f>
        <v/>
      </c>
      <c r="C2154" t="inlineStr">
        <is>
          <t>Klein Tools MM320KIT Digital Multimeter Electrical Test Kit</t>
        </is>
      </c>
      <c r="D2154" t="inlineStr">
        <is>
          <t>Klein Tools 80130 Multimeter Tester Kit, Digital Multimeter Auto-Range 600V and Non-Contact Voltage Detector Pen, 50V to 1000V AC, 2-Piece</t>
        </is>
      </c>
      <c r="E2154" s="2">
        <f>HYPERLINK("https://www.amazon.com/Klein-Tools-80130-Multimeter-Non-Contact/dp/B0BVSK581C/ref=sr_1_5?keywords=Klein+Tools+MM320KIT+Digital+Multimeter+Electrical+Test+Kit&amp;qid=1694734657&amp;sr=8-5", "https://www.amazon.com/Klein-Tools-80130-Multimeter-Non-Contact/dp/B0BVSK581C/ref=sr_1_5?keywords=Klein+Tools+MM320KIT+Digital+Multimeter+Electrical+Test+Kit&amp;qid=1694734657&amp;sr=8-5")</f>
        <v/>
      </c>
      <c r="F2154" t="inlineStr">
        <is>
          <t>B0BVSK581C</t>
        </is>
      </c>
      <c r="G2154">
        <f>_xlfn.IMAGE("https://edmondsonsupply.com/cdn/shop/products/mm320kit_photo.jpg?v=1660756496")</f>
        <v/>
      </c>
      <c r="H2154">
        <f>_xlfn.IMAGE("https://m.media-amazon.com/images/I/61U30g-38NL._AC_UL320_.jpg")</f>
        <v/>
      </c>
      <c r="K2154" t="inlineStr">
        <is>
          <t>49.97</t>
        </is>
      </c>
      <c r="L2154" t="n">
        <v>59.99</v>
      </c>
      <c r="M2154" s="1" t="inlineStr">
        <is>
          <t>20.05%</t>
        </is>
      </c>
      <c r="N2154" s="7" t="n">
        <v>-45.52</v>
      </c>
      <c r="O2154" t="n">
        <v>5</v>
      </c>
      <c r="P2154" t="n">
        <v>2</v>
      </c>
      <c r="R2154" t="inlineStr">
        <is>
          <t>InStock</t>
        </is>
      </c>
      <c r="S2154" t="inlineStr">
        <is>
          <t>79.3</t>
        </is>
      </c>
      <c r="T2154" t="inlineStr">
        <is>
          <t>7783570309336</t>
        </is>
      </c>
    </row>
    <row r="2155" hidden="1" ht="15.75" customHeight="1">
      <c r="A2155" s="2">
        <f>HYPERLINK("https://edmondsonsupply.com/collections/hvac/products/klein-tools-60439-neck-and-face-cooling-band", "https://edmondsonsupply.com/collections/hvac/products/klein-tools-60439-neck-and-face-cooling-band")</f>
        <v/>
      </c>
      <c r="B2155" s="2">
        <f>HYPERLINK("https://edmondsonsupply.com/products/klein-tools-60439-neck-and-face-cooling-band", "https://edmondsonsupply.com/products/klein-tools-60439-neck-and-face-cooling-band")</f>
        <v/>
      </c>
      <c r="C2155" t="inlineStr">
        <is>
          <t>Klein Tools 60439 Neck and Face Cooling Band</t>
        </is>
      </c>
      <c r="D2155" t="inlineStr">
        <is>
          <t>Klein Tools 60466 Neck and Face Warming Gaiter, Double-Layered Half-Band, Black, One Size fits Most</t>
        </is>
      </c>
      <c r="E2155" s="2">
        <f>HYPERLINK("https://www.amazon.com/Klein-60466-Warming-Double-Layered-Half-Band/dp/B08P3TJJH3/ref=sr_1_5?keywords=Klein+Tools+60439+Neck+and+Face+Cooling+Band&amp;qid=1694734716&amp;sr=8-5", "https://www.amazon.com/Klein-60466-Warming-Double-Layered-Half-Band/dp/B08P3TJJH3/ref=sr_1_5?keywords=Klein+Tools+60439+Neck+and+Face+Cooling+Band&amp;qid=1694734716&amp;sr=8-5")</f>
        <v/>
      </c>
      <c r="F2155" t="inlineStr">
        <is>
          <t>B08P3TJJH3</t>
        </is>
      </c>
      <c r="G2155">
        <f>_xludf.IMAGE("https://edmondsonsupply.com/cdn/shop/products/60439.jpg?v=1633030400")</f>
        <v/>
      </c>
      <c r="H2155">
        <f>_xludf.IMAGE("https://m.media-amazon.com/images/I/61tmjd9lm7L._AC_UL320_.jpg")</f>
        <v/>
      </c>
      <c r="K2155" t="inlineStr">
        <is>
          <t>9.99</t>
        </is>
      </c>
      <c r="L2155" t="n">
        <v>11.99</v>
      </c>
      <c r="M2155" s="1" t="inlineStr">
        <is>
          <t>20.02%</t>
        </is>
      </c>
      <c r="N2155" s="1" t="n">
        <v>-45.52</v>
      </c>
      <c r="O2155" t="n">
        <v>4.2</v>
      </c>
      <c r="P2155" t="n">
        <v>95</v>
      </c>
      <c r="R2155" t="inlineStr">
        <is>
          <t>InStock</t>
        </is>
      </c>
      <c r="S2155" t="inlineStr">
        <is>
          <t>14.0</t>
        </is>
      </c>
      <c r="T2155" t="inlineStr">
        <is>
          <t>5304644599976</t>
        </is>
      </c>
    </row>
    <row r="2156" ht="87" customHeight="1">
      <c r="A2156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2156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2156" t="inlineStr">
        <is>
          <t>Klein Tools NCVT1XTKIT Non-Contact Voltage and GFCI Receptacle Premium Test Kit</t>
        </is>
      </c>
      <c r="D2156" t="inlineStr">
        <is>
          <t>Klein Tools 80077 Voltage Tester Kit with Electronic AC/DC GFCI Outlet Tester and Non-Contact Voltage Tester Pen, 3-Piece, Green</t>
        </is>
      </c>
      <c r="E2156" s="2">
        <f>HYPERLINK("https://www.amazon.com/Klein-Tools-80077-Electronic-Non-Contact/dp/B0B11F7Q69/ref=sr_1_7?keywords=Klein+Tools+NCVT1XTKIT+Non-Contact+Voltage+and+GFCI+Receptacle+Premium+Test+Kit&amp;qid=1694734686&amp;sr=8-7", "https://www.amazon.com/Klein-Tools-80077-Electronic-Non-Contact/dp/B0B11F7Q69/ref=sr_1_7?keywords=Klein+Tools+NCVT1XTKIT+Non-Contact+Voltage+and+GFCI+Receptacle+Premium+Test+Kit&amp;qid=1694734686&amp;sr=8-7")</f>
        <v/>
      </c>
      <c r="F2156" t="inlineStr">
        <is>
          <t>B0B11F7Q69</t>
        </is>
      </c>
      <c r="G2156">
        <f>_xlfn.IMAGE("https://edmondsonsupply.com/cdn/shop/products/ncvt1xtkit.jpg?v=1674497102")</f>
        <v/>
      </c>
      <c r="H2156">
        <f>_xlfn.IMAGE("https://m.media-amazon.com/images/I/51cU3aEkbCL._AC_UL320_.jpg")</f>
        <v/>
      </c>
      <c r="K2156" t="inlineStr">
        <is>
          <t>24.99</t>
        </is>
      </c>
      <c r="L2156" t="n">
        <v>29.99</v>
      </c>
      <c r="M2156" s="1" t="inlineStr">
        <is>
          <t>20.01%</t>
        </is>
      </c>
      <c r="N2156" s="7" t="n">
        <v>-45.79</v>
      </c>
      <c r="O2156" t="n">
        <v>4.6</v>
      </c>
      <c r="P2156" t="n">
        <v>180</v>
      </c>
      <c r="R2156" t="inlineStr">
        <is>
          <t>InStock</t>
        </is>
      </c>
      <c r="S2156" t="inlineStr">
        <is>
          <t>32.98</t>
        </is>
      </c>
      <c r="T2156" t="inlineStr">
        <is>
          <t>7931949187288</t>
        </is>
      </c>
    </row>
    <row r="2157" ht="87" customHeight="1">
      <c r="A2157" s="2">
        <f>HYPERLINK("https://edmondsonsupply.com/collections/hvac/products/hilmor-1963826-digital-adjustable-torque-wrench", "https://edmondsonsupply.com/collections/hvac/products/hilmor-1963826-digital-adjustable-torque-wrench")</f>
        <v/>
      </c>
      <c r="B2157" s="2">
        <f>HYPERLINK("https://edmondsonsupply.com/products/hilmor-1963826-digital-adjustable-torque-wrench", "https://edmondsonsupply.com/products/hilmor-1963826-digital-adjustable-torque-wrench")</f>
        <v/>
      </c>
      <c r="C2157" t="inlineStr">
        <is>
          <t>Hilmor 1963826 Digital Adjustable Torque Wrench</t>
        </is>
      </c>
      <c r="D2157" t="inlineStr">
        <is>
          <t>Hilmor 1963826 Digital Adjustable Torque Wrench</t>
        </is>
      </c>
      <c r="E2157" s="2">
        <f>HYPERLINK("https://www.amazon.com/hilmor-Digital-Adjustable-Torque-1963826/dp/B01N5XLDMS/ref=sr_1_1?keywords=Hilmor+1963826+Digital+Adjustable+Torque+Wrench&amp;qid=1694734597&amp;sr=8-1", "https://www.amazon.com/hilmor-Digital-Adjustable-Torque-1963826/dp/B01N5XLDMS/ref=sr_1_1?keywords=Hilmor+1963826+Digital+Adjustable+Torque+Wrench&amp;qid=1694734597&amp;sr=8-1")</f>
        <v/>
      </c>
      <c r="F2157" t="inlineStr">
        <is>
          <t>B01N5XLDMS</t>
        </is>
      </c>
      <c r="G2157">
        <f>_xlfn.IMAGE("https://edmondsonsupply.com/cdn/shop/products/1963826-hilmor-service-tools-digital-adjustable-torque-wrench-primary-735x480-735x480.jpg?v=1643855265")</f>
        <v/>
      </c>
      <c r="H2157">
        <f>_xlfn.IMAGE("https://m.media-amazon.com/images/I/619YFeVr6yL._AC_UL320_.jpg")</f>
        <v/>
      </c>
      <c r="K2157" t="inlineStr">
        <is>
          <t>201.02</t>
        </is>
      </c>
      <c r="L2157" t="n">
        <v>241.19</v>
      </c>
      <c r="M2157" s="1" t="inlineStr">
        <is>
          <t>19.98%</t>
        </is>
      </c>
      <c r="N2157" s="7" t="n">
        <v>-45.81</v>
      </c>
      <c r="O2157" t="n">
        <v>4.7</v>
      </c>
      <c r="P2157" t="n">
        <v>58</v>
      </c>
      <c r="R2157" t="inlineStr">
        <is>
          <t>InStock</t>
        </is>
      </c>
      <c r="S2157" t="inlineStr">
        <is>
          <t>626.2</t>
        </is>
      </c>
      <c r="T2157" t="inlineStr">
        <is>
          <t>3547077640292</t>
        </is>
      </c>
    </row>
    <row r="2158" ht="87" customHeight="1">
      <c r="A2158" s="2">
        <f>HYPERLINK("https://edmondsonsupply.com/collections/hvac/products/klein-tools-85153k-slotted-screw-holding-driver-kit-3-16-inch-and-1-4-inch", "https://edmondsonsupply.com/collections/hvac/products/klein-tools-85153k-slotted-screw-holding-driver-kit-3-16-inch-and-1-4-inch")</f>
        <v/>
      </c>
      <c r="B2158" s="2">
        <f>HYPERLINK("https://edmondsonsupply.com/products/klein-tools-85153k-slotted-screw-holding-driver-kit-3-16-inch-and-1-4-inch", "https://edmondsonsupply.com/products/klein-tools-85153k-slotted-screw-holding-driver-kit-3-16-inch-and-1-4-inch")</f>
        <v/>
      </c>
      <c r="C2158" t="inlineStr">
        <is>
          <t>Klein Tools 85153K Slotted Screw Holding Driver Kit, 3/16-Inch and 1/4-Inch</t>
        </is>
      </c>
      <c r="D2158" t="inlineStr">
        <is>
          <t>Klein Tools 85153K Slotted Screw-Holding Screwdriver Set, 3/16-Inch, 1/4-Inch Split-Blade Flat Head Driver, Positive Gripping Action, 2-Piece</t>
        </is>
      </c>
      <c r="E2158" s="2">
        <f>HYPERLINK("https://www.amazon.com/Klein-Tools-85153K-Screw-Holding-Screwdriver/dp/B0CFRP1K3L/ref=sr_1_1?keywords=Klein+Tools+85153K+Slotted+Screw+Holding+Driver+Kit%2C+3%2F16-Inch+and+1%2F4-Inch&amp;qid=1694734835&amp;sr=8-1", "https://www.amazon.com/Klein-Tools-85153K-Screw-Holding-Screwdriver/dp/B0CFRP1K3L/ref=sr_1_1?keywords=Klein+Tools+85153K+Slotted+Screw+Holding+Driver+Kit%2C+3%2F16-Inch+and+1%2F4-Inch&amp;qid=1694734835&amp;sr=8-1")</f>
        <v/>
      </c>
      <c r="F2158" t="inlineStr">
        <is>
          <t>B0CFRP1K3L</t>
        </is>
      </c>
      <c r="G2158">
        <f>_xlfn.IMAGE("https://edmondsonsupply.com/cdn/shop/files/85153k.jpg?v=1693933663")</f>
        <v/>
      </c>
      <c r="H2158">
        <f>_xlfn.IMAGE("https://m.media-amazon.com/images/I/41KoRmOkBpL._AC_UL320_.jpg")</f>
        <v/>
      </c>
      <c r="K2158" t="inlineStr">
        <is>
          <t>19.98</t>
        </is>
      </c>
      <c r="L2158" t="n">
        <v>23.97</v>
      </c>
      <c r="M2158" s="1" t="inlineStr">
        <is>
          <t>19.97%</t>
        </is>
      </c>
      <c r="N2158" s="7" t="n">
        <v>-46.11</v>
      </c>
      <c r="O2158" t="n">
        <v>5</v>
      </c>
      <c r="P2158" t="n">
        <v>1</v>
      </c>
      <c r="R2158" t="inlineStr">
        <is>
          <t>InStock</t>
        </is>
      </c>
      <c r="S2158" t="inlineStr">
        <is>
          <t>29.98</t>
        </is>
      </c>
      <c r="T2158" t="inlineStr">
        <is>
          <t>8034276344024</t>
        </is>
      </c>
    </row>
    <row r="2159" ht="87" customHeight="1">
      <c r="A2159" s="2">
        <f>HYPERLINK("https://edmondsonsupply.com/collections/hvac/products/klein-tools-ir07-dual-ir-probe-thermometer", "https://edmondsonsupply.com/collections/hvac/products/klein-tools-ir07-dual-ir-probe-thermometer")</f>
        <v/>
      </c>
      <c r="B2159" s="2">
        <f>HYPERLINK("https://edmondsonsupply.com/products/klein-tools-ir07-dual-ir-probe-thermometer", "https://edmondsonsupply.com/products/klein-tools-ir07-dual-ir-probe-thermometer")</f>
        <v/>
      </c>
      <c r="C2159" t="inlineStr">
        <is>
          <t>Klein Tools IR07 Dual IR/Probe Thermometer</t>
        </is>
      </c>
      <c r="D2159" t="inlineStr">
        <is>
          <t>Klein Tools IR07 Dual Infrared (IR) and Probe Pocket Size LCD Digital Thermometer &amp; 32308 Multi-bit Stubby Screwdriver, Impact Rated 8-in-1 Adjustable Magnetic Tool</t>
        </is>
      </c>
      <c r="E2159" s="2">
        <f>HYPERLINK("https://www.amazon.com/Klein-Tools-Thermometer-Screwdriver-Adjustable/dp/B0BNL7N5NM/ref=sr_1_3?keywords=Klein+Tools+IR07+Dual+IR%2FProbe+Thermometer&amp;qid=1694734825&amp;sr=8-3", "https://www.amazon.com/Klein-Tools-Thermometer-Screwdriver-Adjustable/dp/B0BNL7N5NM/ref=sr_1_3?keywords=Klein+Tools+IR07+Dual+IR%2FProbe+Thermometer&amp;qid=1694734825&amp;sr=8-3")</f>
        <v/>
      </c>
      <c r="F2159" t="inlineStr">
        <is>
          <t>B0BNL7N5NM</t>
        </is>
      </c>
      <c r="G2159">
        <f>_xlfn.IMAGE("https://edmondsonsupply.com/cdn/shop/products/ir07.jpg?v=1599003623")</f>
        <v/>
      </c>
      <c r="H2159">
        <f>_xlfn.IMAGE("https://m.media-amazon.com/images/I/51TF5FbvFYL._AC_UY218_.jpg")</f>
        <v/>
      </c>
      <c r="K2159" t="inlineStr">
        <is>
          <t>57.49</t>
        </is>
      </c>
      <c r="L2159" t="n">
        <v>68.94</v>
      </c>
      <c r="M2159" s="1" t="inlineStr">
        <is>
          <t>19.92%</t>
        </is>
      </c>
      <c r="N2159" s="7" t="n">
        <v>-46.12</v>
      </c>
      <c r="O2159" t="n">
        <v>5</v>
      </c>
      <c r="P2159" t="n">
        <v>1</v>
      </c>
      <c r="R2159" t="inlineStr">
        <is>
          <t>InStock</t>
        </is>
      </c>
      <c r="S2159" t="inlineStr">
        <is>
          <t>72.06</t>
        </is>
      </c>
      <c r="T2159" t="inlineStr">
        <is>
          <t>3320746770532</t>
        </is>
      </c>
    </row>
    <row r="2160" ht="87" customHeight="1">
      <c r="A2160" s="2">
        <f>HYPERLINK("https://edmondsonsupply.com/collections/hvac/products/channellock-431", "https://edmondsonsupply.com/collections/hvac/products/channellock-431")</f>
        <v/>
      </c>
      <c r="B2160" s="2">
        <f>HYPERLINK("https://edmondsonsupply.com/products/channellock-431", "https://edmondsonsupply.com/products/channellock-431")</f>
        <v/>
      </c>
      <c r="C2160" t="inlineStr">
        <is>
          <t>Channellock 432 10-Inch V-Jaw Tongue &amp; Groove Pliers</t>
        </is>
      </c>
      <c r="D2160" t="inlineStr">
        <is>
          <t>Channellock 410 1-1/8-Inch Jaw Capacity 9-1/2-Inch Double Tongue and Groove Plier , Blue</t>
        </is>
      </c>
      <c r="E2160" s="2">
        <f>HYPERLINK("https://www.amazon.com/Channellock-410-8-Inch-Capacity-2-Inch/dp/B000189GQK/ref=sr_1_24?keywords=Channellock+432+10-Inch+V-Jaw+Tongue+%26+Groove+Pliers&amp;qid=1694734826&amp;sr=8-24", "https://www.amazon.com/Channellock-410-8-Inch-Capacity-2-Inch/dp/B000189GQK/ref=sr_1_24?keywords=Channellock+432+10-Inch+V-Jaw+Tongue+%26+Groove+Pliers&amp;qid=1694734826&amp;sr=8-24")</f>
        <v/>
      </c>
      <c r="F2160" t="inlineStr">
        <is>
          <t>B000189GQK</t>
        </is>
      </c>
      <c r="G2160">
        <f>_xlfn.IMAGE("https://edmondsonsupply.com/cdn/shop/products/432-683x1024.jpg?v=1587147134")</f>
        <v/>
      </c>
      <c r="H2160">
        <f>_xlfn.IMAGE("https://m.media-amazon.com/images/I/71ZjCtNfsgL._AC_UL320_.jpg")</f>
        <v/>
      </c>
      <c r="K2160" t="inlineStr">
        <is>
          <t>19.95</t>
        </is>
      </c>
      <c r="L2160" t="n">
        <v>23.92</v>
      </c>
      <c r="M2160" s="1" t="inlineStr">
        <is>
          <t>19.90%</t>
        </is>
      </c>
      <c r="N2160" s="7" t="n">
        <v>-46.3</v>
      </c>
      <c r="O2160" t="n">
        <v>4.8</v>
      </c>
      <c r="P2160" t="n">
        <v>629</v>
      </c>
      <c r="R2160" t="inlineStr">
        <is>
          <t>InStock</t>
        </is>
      </c>
      <c r="S2160" t="inlineStr">
        <is>
          <t>27.63</t>
        </is>
      </c>
      <c r="T2160" t="inlineStr">
        <is>
          <t>3553468317796</t>
        </is>
      </c>
    </row>
    <row r="2161" ht="87" customHeight="1">
      <c r="A2161" s="2">
        <f>HYPERLINK("https://edmondsonsupply.com/collections/hvac/products/greenlee-gsb02-1-2-step-bit-2", "https://edmondsonsupply.com/collections/hvac/products/greenlee-gsb02-1-2-step-bit-2")</f>
        <v/>
      </c>
      <c r="B2161" s="2">
        <f>HYPERLINK("https://edmondsonsupply.com/products/greenlee-gsb02-1-2-step-bit-2", "https://edmondsonsupply.com/products/greenlee-gsb02-1-2-step-bit-2")</f>
        <v/>
      </c>
      <c r="C2161" t="inlineStr">
        <is>
          <t>Greenlee GSB02 1/2" Step Bit (#2)</t>
        </is>
      </c>
      <c r="D2161" t="inlineStr">
        <is>
          <t>Greenlee GSB12 1-3/8" Step Bit (#12) Metal Cutter with Patented Split-Step Design, 1-3/8" Metal Cutting Tool for 1/2" Drill Chucks</t>
        </is>
      </c>
      <c r="E2161" s="2">
        <f>HYPERLINK("https://www.amazon.com/Greenlee-GSB12-Step-Bit-1-3/dp/B08TVF7KMP/ref=sr_1_1?keywords=Greenlee+GSB02+1%2F2%22+Step+Bit+%28%232%29&amp;qid=1694734901&amp;sr=8-1", "https://www.amazon.com/Greenlee-GSB12-Step-Bit-1-3/dp/B08TVF7KMP/ref=sr_1_1?keywords=Greenlee+GSB02+1%2F2%22+Step+Bit+%28%232%29&amp;qid=1694734901&amp;sr=8-1")</f>
        <v/>
      </c>
      <c r="F2161" t="inlineStr">
        <is>
          <t>B08TVF7KMP</t>
        </is>
      </c>
      <c r="G2161">
        <f>_xlfn.IMAGE("https://edmondsonsupply.com/cdn/shop/files/GSB02_CAT1_72dpi.jpg?v=1687783943")</f>
        <v/>
      </c>
      <c r="H2161">
        <f>_xlfn.IMAGE("https://m.media-amazon.com/images/I/41Z8kxeeZfL._AC_UY218_.jpg")</f>
        <v/>
      </c>
      <c r="K2161" t="inlineStr">
        <is>
          <t>39.29</t>
        </is>
      </c>
      <c r="L2161" t="n">
        <v>47</v>
      </c>
      <c r="M2161" s="1" t="inlineStr">
        <is>
          <t>19.62%</t>
        </is>
      </c>
      <c r="N2161" s="7" t="n">
        <v>-46.64</v>
      </c>
      <c r="O2161" t="n">
        <v>4.8</v>
      </c>
      <c r="P2161" t="n">
        <v>27</v>
      </c>
      <c r="R2161" t="inlineStr">
        <is>
          <t>InStock</t>
        </is>
      </c>
      <c r="S2161" t="inlineStr">
        <is>
          <t>40.55</t>
        </is>
      </c>
      <c r="T2161" t="inlineStr">
        <is>
          <t>8008010137816</t>
        </is>
      </c>
    </row>
    <row r="2162" hidden="1" ht="15.75" customHeight="1">
      <c r="A2162" s="2">
        <f>HYPERLINK("https://edmondsonsupply.com/collections/hvac/products/supco-mag1bk-30-vac-magnetic-test-leads", "https://edmondsonsupply.com/collections/hvac/products/supco-mag1bk-30-vac-magnetic-test-leads")</f>
        <v/>
      </c>
      <c r="B2162" s="2">
        <f>HYPERLINK("https://edmondsonsupply.com/products/supco-mag1bk-30-vac-magnetic-test-leads", "https://edmondsonsupply.com/products/supco-mag1bk-30-vac-magnetic-test-leads")</f>
        <v/>
      </c>
      <c r="C2162" t="inlineStr">
        <is>
          <t>Supco MAG1BK 30 VAC Magnetic Test Leads</t>
        </is>
      </c>
      <c r="D2162" t="inlineStr">
        <is>
          <t>Supco MAG1BK 30 VAC Magnetic Test Leads</t>
        </is>
      </c>
      <c r="E2162" s="2">
        <f>HYPERLINK("https://www.amazon.com/Supco-MAG1BK-Magnetic-Test-Leads/dp/B01KU9583E/ref=sr_1_1?keywords=Supco+MAG1BK+30+VAC+Magnetic+Test+Leads&amp;qid=1694734686&amp;sr=8-1", "https://www.amazon.com/Supco-MAG1BK-Magnetic-Test-Leads/dp/B01KU9583E/ref=sr_1_1?keywords=Supco+MAG1BK+30+VAC+Magnetic+Test+Leads&amp;qid=1694734686&amp;sr=8-1")</f>
        <v/>
      </c>
      <c r="F2162" t="inlineStr">
        <is>
          <t>B01KU9583E</t>
        </is>
      </c>
      <c r="G2162">
        <f>_xludf.IMAGE("https://edmondsonsupply.com/cdn/shop/products/mag1bk.png?v=1671744087")</f>
        <v/>
      </c>
      <c r="H2162">
        <f>_xludf.IMAGE("https://m.media-amazon.com/images/I/61u4F4PHojL._AC_UY218_.jpg")</f>
        <v/>
      </c>
      <c r="K2162" t="inlineStr">
        <is>
          <t>9.99</t>
        </is>
      </c>
      <c r="L2162" t="n">
        <v>11.95</v>
      </c>
      <c r="M2162" s="1" t="inlineStr">
        <is>
          <t>19.62%</t>
        </is>
      </c>
      <c r="N2162" s="1" t="n">
        <v>-46.65</v>
      </c>
      <c r="O2162" t="n">
        <v>4.5</v>
      </c>
      <c r="P2162" t="n">
        <v>305</v>
      </c>
      <c r="R2162" t="inlineStr">
        <is>
          <t>InStock</t>
        </is>
      </c>
      <c r="S2162" t="inlineStr">
        <is>
          <t>undefined</t>
        </is>
      </c>
      <c r="T2162" t="inlineStr">
        <is>
          <t>7910334660824</t>
        </is>
      </c>
    </row>
    <row r="2163" hidden="1" ht="15.75" customHeight="1">
      <c r="A2163" s="2">
        <f>HYPERLINK("https://edmondsonsupply.com/collections/hvac/products/rectorseal-66732-nokink-3-4-x-3-flex-hose", "https://edmondsonsupply.com/collections/hvac/products/rectorseal-66732-nokink-3-4-x-3-flex-hose")</f>
        <v/>
      </c>
      <c r="B2163" s="2">
        <f>HYPERLINK("https://edmondsonsupply.com/products/rectorseal-66732-nokink-3-4-x-3-flex-hose", "https://edmondsonsupply.com/products/rectorseal-66732-nokink-3-4-x-3-flex-hose")</f>
        <v/>
      </c>
      <c r="C2163" t="inlineStr">
        <is>
          <t>RectorSeal 66732 NoKink 3/4" x 3' Flexible Refrigerant Line Connector</t>
        </is>
      </c>
      <c r="D2163" t="inlineStr">
        <is>
          <t>Rectorseal 68235 NoKink Flexible Refrigerant Line Connector, 5/8" x 72"</t>
        </is>
      </c>
      <c r="E2163" s="2">
        <f>HYPERLINK("https://www.amazon.com/Rectorseal-68235-Flexible-Refrigerant-Connector/dp/B01ALRVLTA/ref=sr_1_2?keywords=RectorSeal+66732+NoKink+3%2F4%22+x+3%27+Flexible+Refrigerant+Line+Connector&amp;qid=1694734868&amp;sr=8-2", "https://www.amazon.com/Rectorseal-68235-Flexible-Refrigerant-Connector/dp/B01ALRVLTA/ref=sr_1_2?keywords=RectorSeal+66732+NoKink+3%2F4%22+x+3%27+Flexible+Refrigerant+Line+Connector&amp;qid=1694734868&amp;sr=8-2")</f>
        <v/>
      </c>
      <c r="F2163" t="inlineStr">
        <is>
          <t>B01ALRVLTA</t>
        </is>
      </c>
      <c r="G2163">
        <f>_xludf.IMAGE("https://edmondsonsupply.com/cdn/shop/files/66732.png?v=1691010373")</f>
        <v/>
      </c>
      <c r="H2163">
        <f>_xludf.IMAGE("https://m.media-amazon.com/images/I/51pjB6ZOm9L._AC_UL320_.jpg")</f>
        <v/>
      </c>
      <c r="K2163" t="inlineStr">
        <is>
          <t>123.99</t>
        </is>
      </c>
      <c r="L2163" t="n">
        <v>148.08</v>
      </c>
      <c r="M2163" s="1" t="inlineStr">
        <is>
          <t>19.43%</t>
        </is>
      </c>
      <c r="N2163" s="1" t="n">
        <v>-46.77</v>
      </c>
      <c r="O2163" t="n">
        <v>4</v>
      </c>
      <c r="P2163" t="n">
        <v>5</v>
      </c>
      <c r="R2163" t="inlineStr">
        <is>
          <t>InStock</t>
        </is>
      </c>
      <c r="S2163" t="inlineStr">
        <is>
          <t>undefined</t>
        </is>
      </c>
      <c r="T2163" t="inlineStr">
        <is>
          <t>8023863918808</t>
        </is>
      </c>
    </row>
    <row r="2164" ht="87" customHeight="1">
      <c r="A2164" s="2">
        <f>HYPERLINK("https://edmondsonsupply.com/collections/hvac/products/klein-tools-cl445-hvac-clamp-meter", "https://edmondsonsupply.com/collections/hvac/products/klein-tools-cl445-hvac-clamp-meter")</f>
        <v/>
      </c>
      <c r="B2164" s="2">
        <f>HYPERLINK("https://edmondsonsupply.com/products/klein-tools-cl445-hvac-clamp-meter", "https://edmondsonsupply.com/products/klein-tools-cl445-hvac-clamp-meter")</f>
        <v/>
      </c>
      <c r="C2164" t="inlineStr">
        <is>
          <t>Klein Tools CL445 HVAC Clamp Meter</t>
        </is>
      </c>
      <c r="D2164" t="inlineStr">
        <is>
          <t>Klein Tools CL320KIT HVAC Kit for HVAC Testing; Digital Clamp Meter, Non-Contact Voltage Tester, and Infrared/Probe Thermometer</t>
        </is>
      </c>
      <c r="E2164" s="2" t="n"/>
      <c r="F2164" t="inlineStr">
        <is>
          <t>B08ZJSN5X3</t>
        </is>
      </c>
      <c r="G2164">
        <f>_xlfn.IMAGE("https://edmondsonsupply.com/cdn/shop/files/cl445.jpg?v=1689781250")</f>
        <v/>
      </c>
      <c r="H2164">
        <f>_xlfn.IMAGE("https://m.media-amazon.com/images/I/61JFrOx-zjL._AC_UY218_.jpg")</f>
        <v/>
      </c>
      <c r="K2164" t="inlineStr">
        <is>
          <t>99.99</t>
        </is>
      </c>
      <c r="L2164" t="n">
        <v>118.99</v>
      </c>
      <c r="M2164" s="1" t="inlineStr">
        <is>
          <t>19.00%</t>
        </is>
      </c>
      <c r="N2164" s="7" t="n">
        <v>-46.86</v>
      </c>
      <c r="O2164" t="n">
        <v>4.8</v>
      </c>
      <c r="P2164" t="n">
        <v>986</v>
      </c>
      <c r="R2164" t="inlineStr">
        <is>
          <t>InStock</t>
        </is>
      </c>
      <c r="S2164" t="inlineStr">
        <is>
          <t>140.0</t>
        </is>
      </c>
      <c r="T2164" t="inlineStr">
        <is>
          <t>8018511134936</t>
        </is>
      </c>
    </row>
    <row r="2165" ht="87" customHeight="1">
      <c r="A2165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165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165" t="inlineStr">
        <is>
          <t>Diablo Tools DMAMX1300 1-1/4 in. x 16 in. x 21 in. Rebar Demon™ SDS-Max 4-Cutter Full Carbide Head Hammer Drill Bit</t>
        </is>
      </c>
      <c r="D2165" t="inlineStr">
        <is>
          <t>Diablo DMAMX1110 5/8 in. x 24 in. x 29 in. Rebar Demon™ SDS-Max 4-Cutter Full Carbide Head Hammer Bit</t>
        </is>
      </c>
      <c r="E2165" s="2">
        <f>HYPERLINK("https://www.amazon.com/Diablo-SDS-Max-4-Cutter-Carbide-Hammer/dp/B089LJ9GHW/ref=sr_1_6?keywords=Diablo+Tools+DMAMX1300+1-1%2F4+in.+x+16+in.+x+21+in.+Rebar+Demon%E2%84%A2+SDS-Max+4-Cutter+Full+Carbide+Head+Hammer+Drill+Bit&amp;qid=1694734676&amp;sr=8-6", "https://www.amazon.com/Diablo-SDS-Max-4-Cutter-Carbide-Hammer/dp/B089LJ9GHW/ref=sr_1_6?keywords=Diablo+Tools+DMAMX1300+1-1%2F4+in.+x+16+in.+x+21+in.+Rebar+Demon%E2%84%A2+SDS-Max+4-Cutter+Full+Carbide+Head+Hammer+Drill+Bit&amp;qid=1694734676&amp;sr=8-6")</f>
        <v/>
      </c>
      <c r="F2165" t="inlineStr">
        <is>
          <t>B089LJ9GHW</t>
        </is>
      </c>
      <c r="G2165">
        <f>_xlfn.IMAGE("https://edmondsonsupply.com/cdn/shop/files/immoyh7jjmbau4fzhuq6_7dd7fd73-2865-4c12-9443-da45b48dbd51.webp?v=1685465465")</f>
        <v/>
      </c>
      <c r="H2165">
        <f>_xlfn.IMAGE("https://m.media-amazon.com/images/I/61vWAd-z8eL._AC_UL320_.jpg")</f>
        <v/>
      </c>
      <c r="K2165" t="inlineStr">
        <is>
          <t>66.4</t>
        </is>
      </c>
      <c r="L2165" t="n">
        <v>78.98999999999999</v>
      </c>
      <c r="M2165" s="1" t="inlineStr">
        <is>
          <t>18.96%</t>
        </is>
      </c>
      <c r="N2165" s="7" t="n">
        <v>-46.88</v>
      </c>
      <c r="O2165" t="n">
        <v>4.7</v>
      </c>
      <c r="P2165" t="n">
        <v>4</v>
      </c>
      <c r="R2165" t="inlineStr">
        <is>
          <t>OutOfStock</t>
        </is>
      </c>
      <c r="S2165" t="inlineStr">
        <is>
          <t>105.4</t>
        </is>
      </c>
      <c r="T2165" t="inlineStr">
        <is>
          <t>7997856874712</t>
        </is>
      </c>
    </row>
    <row r="2166" ht="87" customHeight="1">
      <c r="A2166" s="2">
        <f>HYPERLINK("https://edmondsonsupply.com/collections/hvac/products/packard-titan-pro-trcfd605-run-capacitor-60-5-mfd-440-370-volt-round", "https://edmondsonsupply.com/collections/hvac/products/packard-titan-pro-trcfd605-run-capacitor-60-5-mfd-440-370-volt-round")</f>
        <v/>
      </c>
      <c r="B2166" s="2">
        <f>HYPERLINK("https://edmondsonsupply.com/products/packard-titan-pro-trcfd605-run-capacitor-60-5-mfd-440-370-volt-round", "https://edmondsonsupply.com/products/packard-titan-pro-trcfd605-run-capacitor-60-5-mfd-440-370-volt-round")</f>
        <v/>
      </c>
      <c r="C2166" t="inlineStr">
        <is>
          <t>Packard TRCFD605 Titan PRO Run Capacitor 60+5 MFD 440/370 Volt Round</t>
        </is>
      </c>
      <c r="D2166" t="inlineStr">
        <is>
          <t>Packard Titan PRO TRCF60 Run Capacitor 60 MFD 440/370 Volt Round</t>
        </is>
      </c>
      <c r="E2166" s="2">
        <f>HYPERLINK("https://www.amazon.com/Packard-Titan-TRCF60-Capacitor-Round/dp/B08P3R452R/ref=sr_1_2?keywords=Packard+TRCFD605+Titan+PRO+Run+Capacitor+60%2B5+MFD+440%2F370+Volt+Round&amp;qid=1694734650&amp;sr=8-2", "https://www.amazon.com/Packard-Titan-TRCF60-Capacitor-Round/dp/B08P3R452R/ref=sr_1_2?keywords=Packard+TRCFD605+Titan+PRO+Run+Capacitor+60%2B5+MFD+440%2F370+Volt+Round&amp;qid=1694734650&amp;sr=8-2")</f>
        <v/>
      </c>
      <c r="F2166" t="inlineStr">
        <is>
          <t>B08P3R452R</t>
        </is>
      </c>
      <c r="G2166">
        <f>_xlfn.IMAGE("https://edmondsonsupply.com/cdn/shop/products/61bb567904cdd692881387_jpeg.webp?v=1655427971")</f>
        <v/>
      </c>
      <c r="H2166">
        <f>_xlfn.IMAGE("https://m.media-amazon.com/images/I/41joDGOR+kL._AC_UY218_.jpg")</f>
        <v/>
      </c>
      <c r="K2166" t="inlineStr">
        <is>
          <t>13.49</t>
        </is>
      </c>
      <c r="L2166" t="n">
        <v>16.04</v>
      </c>
      <c r="M2166" s="1" t="inlineStr">
        <is>
          <t>18.90%</t>
        </is>
      </c>
      <c r="N2166" s="7" t="n">
        <v>-47.01</v>
      </c>
      <c r="O2166" t="n">
        <v>5</v>
      </c>
      <c r="P2166" t="n">
        <v>1</v>
      </c>
      <c r="R2166" t="inlineStr">
        <is>
          <t>InStock</t>
        </is>
      </c>
      <c r="S2166" t="inlineStr">
        <is>
          <t>undefined</t>
        </is>
      </c>
      <c r="T2166" t="inlineStr">
        <is>
          <t>3651856040036</t>
        </is>
      </c>
    </row>
    <row r="2167" ht="87" customHeight="1">
      <c r="A2167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167" s="2">
        <f>HYPERLINK("https://edmondsonsupply.com/products/klein-tools-mm300kit-digital-multimeter-electrical-test-kit", "https://edmondsonsupply.com/products/klein-tools-mm300kit-digital-multimeter-electrical-test-kit")</f>
        <v/>
      </c>
      <c r="C2167" t="inlineStr">
        <is>
          <t>Klein Tools MM320KIT Digital Multimeter Electrical Test Kit</t>
        </is>
      </c>
      <c r="D2167" t="inlineStr">
        <is>
          <t>Klein Tools 80117 Multimeter Kit with a Digital Multimeter and Noncontact Voltage Tester Penlight, 2-Piece,Green</t>
        </is>
      </c>
      <c r="E2167" s="2">
        <f>HYPERLINK("https://www.amazon.com/Klein-Tools-80117-Multimeter-Noncontact/dp/B0B9T1GCTM/ref=sr_1_16?keywords=Klein+Tools+MM320KIT+Digital+Multimeter+Electrical+Test+Kit&amp;qid=1694734657&amp;sr=8-16", "https://www.amazon.com/Klein-Tools-80117-Multimeter-Noncontact/dp/B0B9T1GCTM/ref=sr_1_16?keywords=Klein+Tools+MM320KIT+Digital+Multimeter+Electrical+Test+Kit&amp;qid=1694734657&amp;sr=8-16")</f>
        <v/>
      </c>
      <c r="F2167" t="inlineStr">
        <is>
          <t>B0B9T1GCTM</t>
        </is>
      </c>
      <c r="G2167">
        <f>_xlfn.IMAGE("https://edmondsonsupply.com/cdn/shop/products/mm320kit_photo.jpg?v=1660756496")</f>
        <v/>
      </c>
      <c r="H2167">
        <f>_xlfn.IMAGE("https://m.media-amazon.com/images/I/51ZS80GUM4L._AC_UL320_.jpg")</f>
        <v/>
      </c>
      <c r="K2167" t="inlineStr">
        <is>
          <t>49.97</t>
        </is>
      </c>
      <c r="L2167" t="n">
        <v>59.4</v>
      </c>
      <c r="M2167" s="1" t="inlineStr">
        <is>
          <t>18.87%</t>
        </is>
      </c>
      <c r="N2167" s="7" t="n">
        <v>-47.43</v>
      </c>
      <c r="O2167" t="n">
        <v>4.8</v>
      </c>
      <c r="P2167" t="n">
        <v>14</v>
      </c>
      <c r="R2167" t="inlineStr">
        <is>
          <t>InStock</t>
        </is>
      </c>
      <c r="S2167" t="inlineStr">
        <is>
          <t>79.3</t>
        </is>
      </c>
      <c r="T2167" t="inlineStr">
        <is>
          <t>7783570309336</t>
        </is>
      </c>
    </row>
    <row r="2168" ht="87" customHeight="1">
      <c r="A2168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168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168" t="inlineStr">
        <is>
          <t>ICM Controls ICM2811 Furnace Control Board - Replacement for Goodman</t>
        </is>
      </c>
      <c r="D2168" t="inlineStr">
        <is>
          <t>PCBBF140 - OEM Upgraded Replacement for Goodman Furnace Control Circuit Board</t>
        </is>
      </c>
      <c r="E2168" s="2">
        <f>HYPERLINK("https://www.amazon.com/PCBBF140-Upgraded-Replacement-Goodman-Furnace/dp/B079YXPQSC/ref=sr_1_22?keywords=ICM+Controls+ICM2811+Furnace+Control+Board+-+Replacement+for+Goodman&amp;qid=1694734652&amp;sr=8-22", "https://www.amazon.com/PCBBF140-Upgraded-Replacement-Goodman-Furnace/dp/B079YXPQSC/ref=sr_1_22?keywords=ICM+Controls+ICM2811+Furnace+Control+Board+-+Replacement+for+Goodman&amp;qid=1694734652&amp;sr=8-22")</f>
        <v/>
      </c>
      <c r="F2168" t="inlineStr">
        <is>
          <t>B079YXPQSC</t>
        </is>
      </c>
      <c r="G2168">
        <f>_xlfn.IMAGE("https://edmondsonsupply.com/cdn/shop/products/photo_3800_medium_86f45e25-a764-4839-bc84-759a6ce1c7bd.jpg?v=1659910436")</f>
        <v/>
      </c>
      <c r="H2168">
        <f>_xlfn.IMAGE("https://m.media-amazon.com/images/I/51QC-63B2vL._AC_UL320_.jpg")</f>
        <v/>
      </c>
      <c r="K2168" t="inlineStr">
        <is>
          <t>68.99</t>
        </is>
      </c>
      <c r="L2168" t="n">
        <v>81.98</v>
      </c>
      <c r="M2168" s="1" t="inlineStr">
        <is>
          <t>18.83%</t>
        </is>
      </c>
      <c r="N2168" s="7" t="n">
        <v>-47.68</v>
      </c>
      <c r="O2168" t="n">
        <v>5</v>
      </c>
      <c r="P2168" t="n">
        <v>7</v>
      </c>
      <c r="R2168" t="inlineStr">
        <is>
          <t>InStock</t>
        </is>
      </c>
      <c r="S2168" t="inlineStr">
        <is>
          <t>93.62</t>
        </is>
      </c>
      <c r="T2168" t="inlineStr">
        <is>
          <t>4345448202340</t>
        </is>
      </c>
    </row>
    <row r="2169" hidden="1" ht="15.75" customHeight="1">
      <c r="A2169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169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169" t="inlineStr">
        <is>
          <t>Klein Tools 646-1/4 1/4-Inch Nut Driver with 6-Inch Hollow Shaft</t>
        </is>
      </c>
      <c r="D2169" t="inlineStr">
        <is>
          <t>Klein Tools 610-1/4M 1/4-Inch Magnetic Nut Driver with 1-1/2-Inch Hollow Shaft and Cushion Grip Handle</t>
        </is>
      </c>
      <c r="E2169" s="2">
        <f>HYPERLINK("https://www.amazon.com/Magnetic-Cushion-Klein-610-1-4M/dp/B00093GE3A/ref=sr_1_4?keywords=Klein+Tools+646-1%2F4+1%2F4-Inch+Nut+Driver+with+6-Inch+Hollow+Shaft&amp;qid=1694734727&amp;sr=8-4", "https://www.amazon.com/Magnetic-Cushion-Klein-610-1-4M/dp/B00093GE3A/ref=sr_1_4?keywords=Klein+Tools+646-1%2F4+1%2F4-Inch+Nut+Driver+with+6-Inch+Hollow+Shaft&amp;qid=1694734727&amp;sr=8-4")</f>
        <v/>
      </c>
      <c r="F2169" t="inlineStr">
        <is>
          <t>B00093GE3A</t>
        </is>
      </c>
      <c r="G2169">
        <f>_xludf.IMAGE("https://edmondsonsupply.com/cdn/shop/products/646-1-2_08d87fa9-eac4-4869-8d3b-bb680d4b1d53.jpg?v=1587150676")</f>
        <v/>
      </c>
      <c r="H2169">
        <f>_xludf.IMAGE("https://m.media-amazon.com/images/I/41piyjqJVeL._AC_UL320_.jpg")</f>
        <v/>
      </c>
      <c r="K2169" t="inlineStr">
        <is>
          <t>7.99</t>
        </is>
      </c>
      <c r="L2169" t="n">
        <v>9.49</v>
      </c>
      <c r="M2169" s="1" t="inlineStr">
        <is>
          <t>18.77%</t>
        </is>
      </c>
      <c r="N2169" s="1" t="n">
        <v>-47.78</v>
      </c>
      <c r="O2169" t="n">
        <v>4.7</v>
      </c>
      <c r="P2169" t="n">
        <v>258</v>
      </c>
      <c r="R2169" t="inlineStr">
        <is>
          <t>InStock</t>
        </is>
      </c>
      <c r="S2169" t="inlineStr">
        <is>
          <t>12.1</t>
        </is>
      </c>
      <c r="T2169" t="inlineStr">
        <is>
          <t>4439433740388</t>
        </is>
      </c>
    </row>
    <row r="2170" ht="87" customHeight="1">
      <c r="A2170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2170" s="2">
        <f>HYPERLINK("https://edmondsonsupply.com/products/packard-c240a-contactor-2-pole-40-amps-24-coil-voltage", "https://edmondsonsupply.com/products/packard-c240a-contactor-2-pole-40-amps-24-coil-voltage")</f>
        <v/>
      </c>
      <c r="C2170" t="inlineStr">
        <is>
          <t>Packard C240A Contactor 2 Pole 40 AMPS 24 Coil Voltage</t>
        </is>
      </c>
      <c r="D2170" t="inlineStr">
        <is>
          <t>Packard C240B Packard Contactor 2 Pole 40 Amps 120 Coil Voltage</t>
        </is>
      </c>
      <c r="E2170" s="2">
        <f>HYPERLINK("https://www.amazon.com/Packard-C240B-Contactor-Pole-Voltage/dp/B004Z0RLL2/ref=sr_1_12?keywords=Packard+C240A+Contactor+2+Pole+40+AMPS+24+Coil+Voltage&amp;qid=1694734591&amp;sr=8-12", "https://www.amazon.com/Packard-C240B-Contactor-Pole-Voltage/dp/B004Z0RLL2/ref=sr_1_12?keywords=Packard+C240A+Contactor+2+Pole+40+AMPS+24+Coil+Voltage&amp;qid=1694734591&amp;sr=8-12")</f>
        <v/>
      </c>
      <c r="F2170" t="inlineStr">
        <is>
          <t>B004Z0RLL2</t>
        </is>
      </c>
      <c r="G2170">
        <f>_xlfn.IMAGE("https://edmondsonsupply.com/cdn/shop/products/C240A-1.jpg?v=1590239996")</f>
        <v/>
      </c>
      <c r="H2170">
        <f>_xlfn.IMAGE("https://m.media-amazon.com/images/I/81OXIO+-K1L._AC_UY218_.jpg")</f>
        <v/>
      </c>
      <c r="K2170" t="inlineStr">
        <is>
          <t>13.96</t>
        </is>
      </c>
      <c r="L2170" t="n">
        <v>16.58</v>
      </c>
      <c r="M2170" s="1" t="inlineStr">
        <is>
          <t>18.77%</t>
        </is>
      </c>
      <c r="N2170" s="7" t="n">
        <v>-48.03</v>
      </c>
      <c r="O2170" t="n">
        <v>4.6</v>
      </c>
      <c r="P2170" t="n">
        <v>299</v>
      </c>
      <c r="R2170" t="inlineStr">
        <is>
          <t>InStock</t>
        </is>
      </c>
      <c r="S2170" t="inlineStr">
        <is>
          <t>undefined</t>
        </is>
      </c>
      <c r="T2170" t="inlineStr">
        <is>
          <t>4316288680036</t>
        </is>
      </c>
    </row>
    <row r="2171" ht="87" customHeight="1">
      <c r="A2171" s="2">
        <f>HYPERLINK("https://edmondsonsupply.com/collections/hvac/products/fresh-aire-uv-apco-tuv-apco-er2", "https://edmondsonsupply.com/collections/hvac/products/fresh-aire-uv-apco-tuv-apco-er2")</f>
        <v/>
      </c>
      <c r="B2171" s="2">
        <f>HYPERLINK("https://edmondsonsupply.com/products/fresh-aire-uv-apco-tuv-apco-er2", "https://edmondsonsupply.com/products/fresh-aire-uv-apco-tuv-apco-er2")</f>
        <v/>
      </c>
      <c r="C2171" t="inlineStr">
        <is>
          <t>Fresh-Aire UV APCO TUV-APCO-ER2 18-32 VAC, 2-Year UV Lamp</t>
        </is>
      </c>
      <c r="D2171" t="inlineStr">
        <is>
          <t>APCO/PCO with 2-Year Lamp (18-32 VAC Series) # TUV-APCO-ER2 in-Duct System</t>
        </is>
      </c>
      <c r="E2171" s="2">
        <f>HYPERLINK("https://www.amazon.com/2-Year-18-32-TUV-APCO-ER2-Duct-System/dp/B08QDWLH6Y/ref=sr_1_6?keywords=Fresh-Aire+UV+APCO+TUV-APCO-ER2+18-32+VAC%2C+2-Year+UV+Lamp&amp;qid=1694734608&amp;sr=8-6", "https://www.amazon.com/2-Year-18-32-TUV-APCO-ER2-Duct-System/dp/B08QDWLH6Y/ref=sr_1_6?keywords=Fresh-Aire+UV+APCO+TUV-APCO-ER2+18-32+VAC%2C+2-Year+UV+Lamp&amp;qid=1694734608&amp;sr=8-6")</f>
        <v/>
      </c>
      <c r="F2171" t="inlineStr">
        <is>
          <t>B08QDWLH6Y</t>
        </is>
      </c>
      <c r="G2171">
        <f>_xlfn.IMAGE("https://edmondsonsupply.com/cdn/shop/products/fresh-aire-uv_tuv-apco-er2_article_1367841289911_en_normal.jpg?v=1587143929")</f>
        <v/>
      </c>
      <c r="H2171">
        <f>_xlfn.IMAGE("https://m.media-amazon.com/images/I/61JtPkLOZrL._AC_UL320_.jpg")</f>
        <v/>
      </c>
      <c r="K2171" t="inlineStr">
        <is>
          <t>385.99</t>
        </is>
      </c>
      <c r="L2171" t="n">
        <v>458.36</v>
      </c>
      <c r="M2171" s="1" t="inlineStr">
        <is>
          <t>18.75%</t>
        </is>
      </c>
      <c r="N2171" s="7" t="n">
        <v>-48.58</v>
      </c>
      <c r="O2171" t="n">
        <v>4.5</v>
      </c>
      <c r="P2171" t="n">
        <v>2</v>
      </c>
      <c r="R2171" t="inlineStr">
        <is>
          <t>InStock</t>
        </is>
      </c>
      <c r="S2171" t="inlineStr">
        <is>
          <t>undefined</t>
        </is>
      </c>
      <c r="T2171" t="inlineStr">
        <is>
          <t>4429144260708</t>
        </is>
      </c>
    </row>
    <row r="2172" ht="87" customHeight="1">
      <c r="A2172" s="2">
        <f>HYPERLINK("https://edmondsonsupply.com/collections/hvac/products/rectorseal-66737-nokink-1-2-x-3-flexible-refrigerant-line-connector", "https://edmondsonsupply.com/collections/hvac/products/rectorseal-66737-nokink-1-2-x-3-flexible-refrigerant-line-connector")</f>
        <v/>
      </c>
      <c r="B2172" s="2">
        <f>HYPERLINK("https://edmondsonsupply.com/products/rectorseal-66737-nokink-1-2-x-3-flexible-refrigerant-line-connector", "https://edmondsonsupply.com/products/rectorseal-66737-nokink-1-2-x-3-flexible-refrigerant-line-connector")</f>
        <v/>
      </c>
      <c r="C2172" t="inlineStr">
        <is>
          <t>RectorSeal 66737 NoKink 1/2" x 3' Flexible Refrigerant Line Connector</t>
        </is>
      </c>
      <c r="D2172" t="inlineStr">
        <is>
          <t>Rectorseal 66737 NoKink Flexible Refrigerant Line Connector, 1/2"</t>
        </is>
      </c>
      <c r="E2172" s="2">
        <f>HYPERLINK("https://www.amazon.com/Rectorseal-66737-Flexible-Refrigerant-Connector/dp/B010M22SNM/ref=sr_1_1?keywords=RectorSeal+66737+NoKink+1%2F2%22+x+3%27+Flexible+Refrigerant+Line+Connector&amp;qid=1694734665&amp;sr=8-1", "https://www.amazon.com/Rectorseal-66737-Flexible-Refrigerant-Connector/dp/B010M22SNM/ref=sr_1_1?keywords=RectorSeal+66737+NoKink+1%2F2%22+x+3%27+Flexible+Refrigerant+Line+Connector&amp;qid=1694734665&amp;sr=8-1")</f>
        <v/>
      </c>
      <c r="F2172" t="inlineStr">
        <is>
          <t>B010M22SNM</t>
        </is>
      </c>
      <c r="G2172">
        <f>_xlfn.IMAGE("https://edmondsonsupply.com/cdn/shop/products/66737.png?v=1665964950")</f>
        <v/>
      </c>
      <c r="H2172">
        <f>_xlfn.IMAGE("https://m.media-amazon.com/images/I/4101YLR79GL._AC_UL320_.jpg")</f>
        <v/>
      </c>
      <c r="K2172" t="inlineStr">
        <is>
          <t>75.86</t>
        </is>
      </c>
      <c r="L2172" t="n">
        <v>89.97</v>
      </c>
      <c r="M2172" s="1" t="inlineStr">
        <is>
          <t>18.60%</t>
        </is>
      </c>
      <c r="N2172" s="7" t="n">
        <v>-48.87</v>
      </c>
      <c r="O2172" t="n">
        <v>4.5</v>
      </c>
      <c r="P2172" t="n">
        <v>6</v>
      </c>
      <c r="R2172" t="inlineStr">
        <is>
          <t>InStock</t>
        </is>
      </c>
      <c r="S2172" t="inlineStr">
        <is>
          <t>undefined</t>
        </is>
      </c>
      <c r="T2172" t="inlineStr">
        <is>
          <t>6957694353581</t>
        </is>
      </c>
    </row>
    <row r="2173" hidden="1" ht="15.75" customHeight="1">
      <c r="A2173" s="2">
        <f>HYPERLINK("https://edmondsonsupply.com/collections/hvac/products/klein-tools-86939-hex-key-adapter-for-refrigeration-wrench", "https://edmondsonsupply.com/collections/hvac/products/klein-tools-86939-hex-key-adapter-for-refrigeration-wrench")</f>
        <v/>
      </c>
      <c r="B2173" s="2">
        <f>HYPERLINK("https://edmondsonsupply.com/products/klein-tools-86939-hex-key-adapter-for-refrigeration-wrench", "https://edmondsonsupply.com/products/klein-tools-86939-hex-key-adapter-for-refrigeration-wrench")</f>
        <v/>
      </c>
      <c r="C2173" t="inlineStr">
        <is>
          <t>Klein Tools 86939 Hex Key Adapter for Refrigeration Wrench</t>
        </is>
      </c>
      <c r="D2173" t="inlineStr">
        <is>
          <t>Klein Tools 86939 Hex Adapter for 1/4-Inch Square to 3/16 and 5/16-Inch Hex for Refrigeration Wrench, HVAC&amp;R</t>
        </is>
      </c>
      <c r="E2173" s="2">
        <f>HYPERLINK("https://www.amazon.com/Klein-Tools-Adapter-Refrigeration-Wrench/dp/B07HFDT6SX/ref=sr_1_1?keywords=Klein+Tools+86939+Hex+Key+Adapter+for+Refrigeration+Wrench&amp;qid=1694734776&amp;sr=8-1", "https://www.amazon.com/Klein-Tools-Adapter-Refrigeration-Wrench/dp/B07HFDT6SX/ref=sr_1_1?keywords=Klein+Tools+86939+Hex+Key+Adapter+for+Refrigeration+Wrench&amp;qid=1694734776&amp;sr=8-1")</f>
        <v/>
      </c>
      <c r="F2173" t="inlineStr">
        <is>
          <t>B07HFDT6SX</t>
        </is>
      </c>
      <c r="G2173">
        <f>_xludf.IMAGE("https://edmondsonsupply.com/cdn/shop/products/86939.jpg?v=1587145061")</f>
        <v/>
      </c>
      <c r="H2173">
        <f>_xludf.IMAGE("https://m.media-amazon.com/images/I/41PotE8OMsL._AC_UL320_.jpg")</f>
        <v/>
      </c>
      <c r="K2173" t="inlineStr">
        <is>
          <t>11.99</t>
        </is>
      </c>
      <c r="L2173" t="n">
        <v>14.22</v>
      </c>
      <c r="M2173" s="1" t="inlineStr">
        <is>
          <t>18.60%</t>
        </is>
      </c>
      <c r="N2173" s="1" t="n">
        <v>-49.1</v>
      </c>
      <c r="O2173" t="n">
        <v>4.7</v>
      </c>
      <c r="P2173" t="n">
        <v>80</v>
      </c>
      <c r="R2173" t="inlineStr">
        <is>
          <t>InStock</t>
        </is>
      </c>
      <c r="S2173" t="inlineStr">
        <is>
          <t>16.94</t>
        </is>
      </c>
      <c r="T2173" t="inlineStr">
        <is>
          <t>3692924338276</t>
        </is>
      </c>
    </row>
    <row r="2174" ht="87" customHeight="1">
      <c r="A2174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2174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2174" t="inlineStr">
        <is>
          <t>Diablo Tools DMAPL4250 3/4 in. x 8 in. x 10 in. Rebar Demon™ SDS-Plus 4-Cutter Full Carbide Head Hammer Drill Bit</t>
        </is>
      </c>
      <c r="D2174" t="inlineStr">
        <is>
          <t>Diablo - DMAPL4250 3/4" x 8"x10" Rebar Demon SDS-Plus 4-Cutter Full Carbide Head Hammer Bit</t>
        </is>
      </c>
      <c r="E2174" s="2">
        <f>HYPERLINK("https://www.amazon.com/Diablo-Freud-DMAPL4250-SDS-Plus-4-Cutter/dp/B089KX6X16/ref=sr_1_6?keywords=Diablo+Tools+DMAPL4250+3%2F4+in.+x+8+in.+x+10+in.+Rebar+Demon%E2%84%A2+SDS-Plus+4-Cutter+Full+Carbide+Head+Hammer+Drill+Bit&amp;qid=1694734913&amp;sr=8-6", "https://www.amazon.com/Diablo-Freud-DMAPL4250-SDS-Plus-4-Cutter/dp/B089KX6X16/ref=sr_1_6?keywords=Diablo+Tools+DMAPL4250+3%2F4+in.+x+8+in.+x+10+in.+Rebar+Demon%E2%84%A2+SDS-Plus+4-Cutter+Full+Carbide+Head+Hammer+Drill+Bit&amp;qid=1694734913&amp;sr=8-6")</f>
        <v/>
      </c>
      <c r="F2174" t="inlineStr">
        <is>
          <t>B089KX6X16</t>
        </is>
      </c>
      <c r="G2174">
        <f>_xlfn.IMAGE("https://edmondsonsupply.com/cdn/shop/files/rltcbi253wmfv6otmtz6.webp?v=1686576913")</f>
        <v/>
      </c>
      <c r="H2174">
        <f>_xlfn.IMAGE("https://m.media-amazon.com/images/I/61s0RHCLXEL._AC_UL320_.jpg")</f>
        <v/>
      </c>
      <c r="K2174" t="inlineStr">
        <is>
          <t>24.47</t>
        </is>
      </c>
      <c r="L2174" t="n">
        <v>28.97</v>
      </c>
      <c r="M2174" s="1" t="inlineStr">
        <is>
          <t>18.39%</t>
        </is>
      </c>
      <c r="N2174" s="7" t="n">
        <v>-49.48</v>
      </c>
      <c r="O2174" t="n">
        <v>4.4</v>
      </c>
      <c r="P2174" t="n">
        <v>82</v>
      </c>
      <c r="R2174" t="inlineStr">
        <is>
          <t>InStock</t>
        </is>
      </c>
      <c r="S2174" t="inlineStr">
        <is>
          <t>38.21</t>
        </is>
      </c>
      <c r="T2174" t="inlineStr">
        <is>
          <t>8004486168792</t>
        </is>
      </c>
    </row>
    <row r="2175" hidden="1" ht="15.75" customHeight="1">
      <c r="A2175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175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175" t="inlineStr">
        <is>
          <t>Klein Tools 646-1/4 1/4-Inch Nut Driver with 6-Inch Hollow Shaft</t>
        </is>
      </c>
      <c r="D2175" t="inlineStr">
        <is>
          <t>Klein Tools 630-1/4M Nut Driver, 1/4-Inch Magnetic Tip Nut Driver with 3-Inch Hollow Shaft, Cushion Grip Handle</t>
        </is>
      </c>
      <c r="E2175" s="2">
        <f>HYPERLINK("https://www.amazon.com/Magnetic-Klein-Tools-630-1-4M/dp/B00093GE6M/ref=sr_1_9?keywords=Klein+Tools+646-1%2F4+1%2F4-Inch+Nut+Driver+with+6-Inch+Hollow+Shaft&amp;qid=1694734727&amp;sr=8-9", "https://www.amazon.com/Magnetic-Klein-Tools-630-1-4M/dp/B00093GE6M/ref=sr_1_9?keywords=Klein+Tools+646-1%2F4+1%2F4-Inch+Nut+Driver+with+6-Inch+Hollow+Shaft&amp;qid=1694734727&amp;sr=8-9")</f>
        <v/>
      </c>
      <c r="F2175" t="inlineStr">
        <is>
          <t>B00093GE6M</t>
        </is>
      </c>
      <c r="G2175">
        <f>_xludf.IMAGE("https://edmondsonsupply.com/cdn/shop/products/646-1-2_08d87fa9-eac4-4869-8d3b-bb680d4b1d53.jpg?v=1587150676")</f>
        <v/>
      </c>
      <c r="H2175">
        <f>_xludf.IMAGE("https://m.media-amazon.com/images/I/51TXA1qvEdL._AC_UL320_.jpg")</f>
        <v/>
      </c>
      <c r="K2175" t="inlineStr">
        <is>
          <t>7.99</t>
        </is>
      </c>
      <c r="L2175" t="n">
        <v>9.449999999999999</v>
      </c>
      <c r="M2175" s="1" t="inlineStr">
        <is>
          <t>18.27%</t>
        </is>
      </c>
      <c r="N2175" s="1" t="n">
        <v>-49.53</v>
      </c>
      <c r="O2175" t="n">
        <v>4.7</v>
      </c>
      <c r="P2175" t="n">
        <v>1571</v>
      </c>
      <c r="R2175" t="inlineStr">
        <is>
          <t>InStock</t>
        </is>
      </c>
      <c r="S2175" t="inlineStr">
        <is>
          <t>12.1</t>
        </is>
      </c>
      <c r="T2175" t="inlineStr">
        <is>
          <t>4439433740388</t>
        </is>
      </c>
    </row>
    <row r="2176" ht="87" customHeight="1">
      <c r="A2176" s="2">
        <f>HYPERLINK("https://edmondsonsupply.com/collections/hvac/products/klein-tools-32562-6-in-1-multi-bit-screwdriver-nut-driver-stubby", "https://edmondsonsupply.com/collections/hvac/products/klein-tools-32562-6-in-1-multi-bit-screwdriver-nut-driver-stubby")</f>
        <v/>
      </c>
      <c r="B2176" s="2">
        <f>HYPERLINK("https://edmondsonsupply.com/products/klein-tools-32562-6-in-1-multi-bit-screwdriver-nut-driver-stubby", "https://edmondsonsupply.com/products/klein-tools-32562-6-in-1-multi-bit-screwdriver-nut-driver-stubby")</f>
        <v/>
      </c>
      <c r="C2176" t="inlineStr">
        <is>
          <t>Klein Tools 32562 Multi-Bit Screwdriver / Nut Driver, 6-in-1, Stubby, Ph, Sl, Sq Bits</t>
        </is>
      </c>
      <c r="D2176" t="inlineStr">
        <is>
          <t>Klein Tools 32594 Multi-Bit Screwdriver / Nut Driver, 6-in-1 Stubby Tool with Phillips, Slotted and Square Bits and 2 Nut Driver Sizes</t>
        </is>
      </c>
      <c r="E2176" s="2">
        <f>HYPERLINK("https://www.amazon.com/Ratcheting-Screwdriver-Klein-Tools-32594/dp/B01I2KTKR8/ref=sr_1_4?keywords=Klein+Tools+32562+Multi-Bit+Screwdriver+%2F+Nut+Driver%2C+6-in-1%2C+Stubby%2C+Ph%2C+Sl%2C+Sq+Bits&amp;qid=1694734806&amp;sr=8-4", "https://www.amazon.com/Ratcheting-Screwdriver-Klein-Tools-32594/dp/B01I2KTKR8/ref=sr_1_4?keywords=Klein+Tools+32562+Multi-Bit+Screwdriver+%2F+Nut+Driver%2C+6-in-1%2C+Stubby%2C+Ph%2C+Sl%2C+Sq+Bits&amp;qid=1694734806&amp;sr=8-4")</f>
        <v/>
      </c>
      <c r="F2176" t="inlineStr">
        <is>
          <t>B01I2KTKR8</t>
        </is>
      </c>
      <c r="G2176">
        <f>_xlfn.IMAGE("https://edmondsonsupply.com/cdn/shop/products/32562.jpg?v=1587145424")</f>
        <v/>
      </c>
      <c r="H2176">
        <f>_xlfn.IMAGE("https://m.media-amazon.com/images/I/51pkI+hcIbL._AC_UL320_.jpg")</f>
        <v/>
      </c>
      <c r="K2176" t="inlineStr">
        <is>
          <t>12.99</t>
        </is>
      </c>
      <c r="L2176" t="n">
        <v>15.36</v>
      </c>
      <c r="M2176" s="1" t="inlineStr">
        <is>
          <t>18.24%</t>
        </is>
      </c>
      <c r="N2176" s="7" t="n">
        <v>-49.85</v>
      </c>
      <c r="O2176" t="n">
        <v>4.8</v>
      </c>
      <c r="P2176" t="n">
        <v>550</v>
      </c>
      <c r="R2176" t="inlineStr">
        <is>
          <t>InStock</t>
        </is>
      </c>
      <c r="S2176" t="inlineStr">
        <is>
          <t>18.9</t>
        </is>
      </c>
      <c r="T2176" t="inlineStr">
        <is>
          <t>4396350439524</t>
        </is>
      </c>
    </row>
    <row r="2177" ht="87" customHeight="1">
      <c r="A2177" s="2">
        <f>HYPERLINK("https://edmondsonsupply.com/collections/hvac/products/malco-tools-m2001-max2000%C2%AE-standard-aviation-snip-left-cutting", "https://edmondsonsupply.com/collections/hvac/products/malco-tools-m2001-max2000%C2%AE-standard-aviation-snip-left-cutting")</f>
        <v/>
      </c>
      <c r="B2177" s="2">
        <f>HYPERLINK("https://edmondsonsupply.com/products/malco-tools-m2001-max2000%c2%ae-standard-aviation-snip-left-cutting", "https://edmondsonsupply.com/products/malco-tools-m2001-max2000%c2%ae-standard-aviation-snip-left-cutting")</f>
        <v/>
      </c>
      <c r="C2177" t="inlineStr">
        <is>
          <t>Malco Tools M2001 Max2000® Standard Aviation Snip - Left Cutting</t>
        </is>
      </c>
      <c r="D2177" t="inlineStr">
        <is>
          <t>Malco M2001 Standard Aviation Snip, Left</t>
        </is>
      </c>
      <c r="E2177" s="2">
        <f>HYPERLINK("https://www.amazon.com/Malco-M2001-MAX2000-Capacity-Aviation/dp/B00004SUQJ/ref=sr_1_1?keywords=Malco+Tools+M2001+Max2000%C2%AE+Standard+Aviation+Snip+-+Left+Cutting&amp;qid=1694734809&amp;sr=8-1", "https://www.amazon.com/Malco-M2001-MAX2000-Capacity-Aviation/dp/B00004SUQJ/ref=sr_1_1?keywords=Malco+Tools+M2001+Max2000%C2%AE+Standard+Aviation+Snip+-+Left+Cutting&amp;qid=1694734809&amp;sr=8-1")</f>
        <v/>
      </c>
      <c r="F2177" t="inlineStr">
        <is>
          <t>B00004SUQJ</t>
        </is>
      </c>
      <c r="G2177">
        <f>_xlfn.IMAGE("https://edmondsonsupply.com/cdn/shop/products/m2001_catalog-big-e1530194086198.jpg?v=1587147477")</f>
        <v/>
      </c>
      <c r="H2177">
        <f>_xlfn.IMAGE("https://m.media-amazon.com/images/I/51xKEGPGMPL._AC_UL320_.jpg")</f>
        <v/>
      </c>
      <c r="K2177" t="inlineStr">
        <is>
          <t>35.99</t>
        </is>
      </c>
      <c r="L2177" t="n">
        <v>42.5</v>
      </c>
      <c r="M2177" s="1" t="inlineStr">
        <is>
          <t>18.09%</t>
        </is>
      </c>
      <c r="N2177" s="7" t="n">
        <v>-49.96</v>
      </c>
      <c r="O2177" t="n">
        <v>4.7</v>
      </c>
      <c r="P2177" t="n">
        <v>47</v>
      </c>
      <c r="R2177" t="inlineStr">
        <is>
          <t>InStock</t>
        </is>
      </c>
      <c r="S2177" t="inlineStr">
        <is>
          <t>37.68</t>
        </is>
      </c>
      <c r="T2177" t="inlineStr">
        <is>
          <t>4406978609252</t>
        </is>
      </c>
    </row>
    <row r="2178" hidden="1" ht="15.75" customHeight="1">
      <c r="A2178" s="2">
        <f>HYPERLINK("https://edmondsonsupply.com/collections/hvac/products/supco-spp6-super-boost-relay-hard-start-capacitor-starter-pow-r-pak", "https://edmondsonsupply.com/collections/hvac/products/supco-spp6-super-boost-relay-hard-start-capacitor-starter-pow-r-pak")</f>
        <v/>
      </c>
      <c r="B2178" s="2">
        <f>HYPERLINK("https://edmondsonsupply.com/products/supco-spp6-super-boost-relay-hard-start-capacitor-starter-pow-r-pak", "https://edmondsonsupply.com/products/supco-spp6-super-boost-relay-hard-start-capacitor-starter-pow-r-pak")</f>
        <v/>
      </c>
      <c r="C2178" t="inlineStr">
        <is>
          <t>Supco SPP6 SUPER BOOST AC Hard Start Capacitor Kit, 500% Torque Increase</t>
        </is>
      </c>
      <c r="D2178" t="inlineStr">
        <is>
          <t>SUPCO SPP6 Relay/Capacitor Hard Start Kit with 500% Increase Starting Torque</t>
        </is>
      </c>
      <c r="E2178" s="2">
        <f>HYPERLINK("https://www.amazon.com/SPP6-Capacitor-Increase-Starting-Torque/dp/B0002YTLFE/ref=sr_1_1?keywords=Supco+SPP6+SUPER+BOOST+AC+Hard+Start+Capacitor+Kit%2C+500%25+Torque+Increase&amp;qid=1694734591&amp;sr=8-1", "https://www.amazon.com/SPP6-Capacitor-Increase-Starting-Torque/dp/B0002YTLFE/ref=sr_1_1?keywords=Supco+SPP6+SUPER+BOOST+AC+Hard+Start+Capacitor+Kit%2C+500%25+Torque+Increase&amp;qid=1694734591&amp;sr=8-1")</f>
        <v/>
      </c>
      <c r="F2178" t="inlineStr">
        <is>
          <t>B0002YTLFE</t>
        </is>
      </c>
      <c r="G2178">
        <f>_xludf.IMAGE("https://edmondsonsupply.com/cdn/shop/products/SPP6_L.png?v=1633030097")</f>
        <v/>
      </c>
      <c r="H2178">
        <f>_xludf.IMAGE("https://m.media-amazon.com/images/I/71wgg5wU+zL._AC_UY218_.jpg")</f>
        <v/>
      </c>
      <c r="K2178" t="inlineStr">
        <is>
          <t>10.08</t>
        </is>
      </c>
      <c r="L2178" t="n">
        <v>11.9</v>
      </c>
      <c r="M2178" s="1" t="inlineStr">
        <is>
          <t>18.06%</t>
        </is>
      </c>
      <c r="N2178" s="1" t="n">
        <v>-51.06</v>
      </c>
      <c r="O2178" t="n">
        <v>4.6</v>
      </c>
      <c r="P2178" t="n">
        <v>1682</v>
      </c>
      <c r="R2178" t="inlineStr">
        <is>
          <t>InStock</t>
        </is>
      </c>
      <c r="S2178" t="inlineStr">
        <is>
          <t>undefined</t>
        </is>
      </c>
      <c r="T2178" t="inlineStr">
        <is>
          <t>3564200591460</t>
        </is>
      </c>
    </row>
    <row r="2179" hidden="1" ht="15.75" customHeight="1">
      <c r="A2179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2179" s="2">
        <f>HYPERLINK("https://edmondsonsupply.com/products/klein-tools-jth4e17-1-2-inch-hex-key-journeyman-t-handle-4-inch", "https://edmondsonsupply.com/products/klein-tools-jth4e17-1-2-inch-hex-key-journeyman-t-handle-4-inch")</f>
        <v/>
      </c>
      <c r="C2179" t="inlineStr">
        <is>
          <t>Klein Tools JTH4E11 3/16-Inch Hex Key with Journeyman T-Handle, 4-Inch</t>
        </is>
      </c>
      <c r="D2179" t="inlineStr">
        <is>
          <t>Klein Tools JTH9M3 3 mm Hex Key, Journeyman T-Handle, 9-Inch</t>
        </is>
      </c>
      <c r="E2179" s="2">
        <f>HYPERLINK("https://www.amazon.com/Journeyman-T-Handle-Klein-Tools-JTH9M3/dp/B005G3HJ28/ref=sr_1_9?keywords=Klein+Tools+JTH4E11+3%2F16-Inch+Hex+Key+with+Journeyman+T-Handle%2C+4-Inch&amp;qid=1694734725&amp;sr=8-9", "https://www.amazon.com/Journeyman-T-Handle-Klein-Tools-JTH9M3/dp/B005G3HJ28/ref=sr_1_9?keywords=Klein+Tools+JTH4E11+3%2F16-Inch+Hex+Key+with+Journeyman+T-Handle%2C+4-Inch&amp;qid=1694734725&amp;sr=8-9")</f>
        <v/>
      </c>
      <c r="F2179" t="inlineStr">
        <is>
          <t>B005G3HJ28</t>
        </is>
      </c>
      <c r="G2179">
        <f>_xludf.IMAGE("https://edmondsonsupply.com/cdn/shop/products/jth4e17.jpg?v=1587144836")</f>
        <v/>
      </c>
      <c r="H2179">
        <f>_xludf.IMAGE("https://m.media-amazon.com/images/I/51MZtGjDOtL._AC_UL320_.jpg")</f>
        <v/>
      </c>
      <c r="K2179" t="inlineStr">
        <is>
          <t>4.99</t>
        </is>
      </c>
      <c r="L2179" t="n">
        <v>5.88</v>
      </c>
      <c r="M2179" s="1" t="inlineStr">
        <is>
          <t>17.84%</t>
        </is>
      </c>
      <c r="N2179" s="1" t="n">
        <v>-51.41</v>
      </c>
      <c r="O2179" t="n">
        <v>4.6</v>
      </c>
      <c r="P2179" t="n">
        <v>179</v>
      </c>
      <c r="R2179" t="inlineStr">
        <is>
          <t>InStock</t>
        </is>
      </c>
      <c r="S2179" t="inlineStr">
        <is>
          <t>7.6</t>
        </is>
      </c>
      <c r="T2179" t="inlineStr">
        <is>
          <t>4432217964644</t>
        </is>
      </c>
    </row>
    <row r="2180" hidden="1" ht="15.75" customHeight="1">
      <c r="A2180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2180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2180" t="inlineStr">
        <is>
          <t>Klein Tools JTH6E11 3/16-Inch Hex Key, Journeyman T-Handle, 6-Inch</t>
        </is>
      </c>
      <c r="D2180" t="inlineStr">
        <is>
          <t>Klein Tools JTH9M3 3 mm Hex Key, Journeyman T-Handle, 9-Inch</t>
        </is>
      </c>
      <c r="E2180" s="2">
        <f>HYPERLINK("https://www.amazon.com/Journeyman-T-Handle-Klein-Tools-JTH9M3/dp/B005G3HJ28/ref=sr_1_11?keywords=Klein+Tools+JTH6E11+3%2F16-Inch+Hex+Key%2C+Journeyman+T-Handle%2C+6-Inch&amp;qid=1694734729&amp;sr=8-11", "https://www.amazon.com/Journeyman-T-Handle-Klein-Tools-JTH9M3/dp/B005G3HJ28/ref=sr_1_11?keywords=Klein+Tools+JTH6E11+3%2F16-Inch+Hex+Key%2C+Journeyman+T-Handle%2C+6-Inch&amp;qid=1694734729&amp;sr=8-11")</f>
        <v/>
      </c>
      <c r="F2180" t="inlineStr">
        <is>
          <t>B005G3HJ28</t>
        </is>
      </c>
      <c r="G2180">
        <f>_xludf.IMAGE("https://edmondsonsupply.com/cdn/shop/products/jth6e15_0266106d-0a3b-44ba-997b-66db7749d83f.jpg?v=1587144829")</f>
        <v/>
      </c>
      <c r="H2180">
        <f>_xludf.IMAGE("https://m.media-amazon.com/images/I/51MZtGjDOtL._AC_UL320_.jpg")</f>
        <v/>
      </c>
      <c r="K2180" t="inlineStr">
        <is>
          <t>4.99</t>
        </is>
      </c>
      <c r="L2180" t="n">
        <v>5.88</v>
      </c>
      <c r="M2180" s="1" t="inlineStr">
        <is>
          <t>17.84%</t>
        </is>
      </c>
      <c r="N2180" s="1" t="n">
        <v>-52.07</v>
      </c>
      <c r="O2180" t="n">
        <v>4.6</v>
      </c>
      <c r="P2180" t="n">
        <v>179</v>
      </c>
      <c r="R2180" t="inlineStr">
        <is>
          <t>InStock</t>
        </is>
      </c>
      <c r="S2180" t="inlineStr">
        <is>
          <t>7.56</t>
        </is>
      </c>
      <c r="T2180" t="inlineStr">
        <is>
          <t>4396293947492</t>
        </is>
      </c>
    </row>
    <row r="2181" ht="87" customHeight="1">
      <c r="A2181" s="2">
        <f>HYPERLINK("https://edmondsonsupply.com/collections/hvac/products/channellock-428", "https://edmondsonsupply.com/collections/hvac/products/channellock-428")</f>
        <v/>
      </c>
      <c r="B2181" s="2">
        <f>HYPERLINK("https://edmondsonsupply.com/products/channellock-428", "https://edmondsonsupply.com/products/channellock-428")</f>
        <v/>
      </c>
      <c r="C2181" t="inlineStr">
        <is>
          <t>Channellock 428 8-Inch Straight Jaw Tongue &amp; Groove Pliers</t>
        </is>
      </c>
      <c r="D2181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2181" s="2">
        <f>HYPERLINK("https://www.amazon.com/Channellock-430-Straight-Heat-Treated-Reinforcing/dp/B00002N5JF/ref=sr_1_4?keywords=Channellock+428+8-Inch+Straight+Jaw+Tongue&amp;qid=1694734826&amp;sr=8-4", "https://www.amazon.com/Channellock-430-Straight-Heat-Treated-Reinforcing/dp/B00002N5JF/ref=sr_1_4?keywords=Channellock+428+8-Inch+Straight+Jaw+Tongue&amp;qid=1694734826&amp;sr=8-4")</f>
        <v/>
      </c>
      <c r="F2181" t="inlineStr">
        <is>
          <t>B00002N5JF</t>
        </is>
      </c>
      <c r="G2181">
        <f>_xlfn.IMAGE("https://edmondsonsupply.com/cdn/shop/products/428-683x1024.jpg?v=1587145854")</f>
        <v/>
      </c>
      <c r="H2181">
        <f>_xlfn.IMAGE("https://m.media-amazon.com/images/I/71JqgqffnnL._AC_UL320_.jpg")</f>
        <v/>
      </c>
      <c r="K2181" t="inlineStr">
        <is>
          <t>16.95</t>
        </is>
      </c>
      <c r="L2181" t="n">
        <v>19.95</v>
      </c>
      <c r="M2181" s="1" t="inlineStr">
        <is>
          <t>17.70%</t>
        </is>
      </c>
      <c r="N2181" s="7" t="n">
        <v>-52.43</v>
      </c>
      <c r="O2181" t="n">
        <v>4.8</v>
      </c>
      <c r="P2181" t="n">
        <v>2186</v>
      </c>
      <c r="R2181" t="inlineStr">
        <is>
          <t>InStock</t>
        </is>
      </c>
      <c r="S2181" t="inlineStr">
        <is>
          <t>25.06</t>
        </is>
      </c>
      <c r="T2181" t="inlineStr">
        <is>
          <t>3523408527460</t>
        </is>
      </c>
    </row>
    <row r="2182" ht="87" customHeight="1">
      <c r="A2182" s="2">
        <f>HYPERLINK("https://edmondsonsupply.com/collections/hvac/products/channellock-804", "https://edmondsonsupply.com/collections/hvac/products/channellock-804")</f>
        <v/>
      </c>
      <c r="B2182" s="2">
        <f>HYPERLINK("https://edmondsonsupply.com/products/channellock-804", "https://edmondsonsupply.com/products/channellock-804")</f>
        <v/>
      </c>
      <c r="C2182" t="inlineStr">
        <is>
          <t>Channellock 804 4-Inch Chrome Adjustable Wrench</t>
        </is>
      </c>
      <c r="D2182" t="inlineStr">
        <is>
          <t>Channellock 808W 8-Inch Adjustable Wide Wrench, Chrome</t>
        </is>
      </c>
      <c r="E2182" s="2">
        <f>HYPERLINK("https://www.amazon.com/Channellock-808W-8-Inch-Adjustable-Wrench/dp/B000UJQ6EA/ref=sr_1_7?keywords=Channellock+804+4-Inch+Chrome+Adjustable+Wrench&amp;qid=1694734791&amp;sr=8-7", "https://www.amazon.com/Channellock-808W-8-Inch-Adjustable-Wrench/dp/B000UJQ6EA/ref=sr_1_7?keywords=Channellock+804+4-Inch+Chrome+Adjustable+Wrench&amp;qid=1694734791&amp;sr=8-7")</f>
        <v/>
      </c>
      <c r="F2182" t="inlineStr">
        <is>
          <t>B000UJQ6EA</t>
        </is>
      </c>
      <c r="G2182">
        <f>_xlfn.IMAGE("https://edmondsonsupply.com/cdn/shop/products/804-683x1024.jpg?v=1587145853")</f>
        <v/>
      </c>
      <c r="H2182">
        <f>_xlfn.IMAGE("https://m.media-amazon.com/images/I/71Gsk0R5dIL._AC_UL320_.jpg")</f>
        <v/>
      </c>
      <c r="K2182" t="inlineStr">
        <is>
          <t>16.95</t>
        </is>
      </c>
      <c r="L2182" t="n">
        <v>19.95</v>
      </c>
      <c r="M2182" s="1" t="inlineStr">
        <is>
          <t>17.70%</t>
        </is>
      </c>
      <c r="N2182" s="7" t="n">
        <v>-52.5</v>
      </c>
      <c r="O2182" t="n">
        <v>4.8</v>
      </c>
      <c r="P2182" t="n">
        <v>368</v>
      </c>
      <c r="R2182" t="inlineStr">
        <is>
          <t>InStock</t>
        </is>
      </c>
      <c r="S2182" t="inlineStr">
        <is>
          <t>26.62</t>
        </is>
      </c>
      <c r="T2182" t="inlineStr">
        <is>
          <t>4094611488868</t>
        </is>
      </c>
    </row>
    <row r="2183" ht="87" customHeight="1">
      <c r="A2183" s="2">
        <f>HYPERLINK("https://edmondsonsupply.com/collections/hvac/products/emerson-white-rodgers-1f78-144-70-series-non-programmable-thermostat-1-heat-1-cool", "https://edmondsonsupply.com/collections/hvac/products/emerson-white-rodgers-1f78-144-70-series-non-programmable-thermostat-1-heat-1-cool")</f>
        <v/>
      </c>
      <c r="B2183" s="2">
        <f>HYPERLINK("https://edmondsonsupply.com/products/emerson-white-rodgers-1f78-144-70-series-non-programmable-thermostat-1-heat-1-cool", "https://edmondsonsupply.com/products/emerson-white-rodgers-1f78-144-70-series-non-programmable-thermostat-1-heat-1-cool")</f>
        <v/>
      </c>
      <c r="C2183" t="inlineStr">
        <is>
          <t>Emerson White-Rodgers 1F78-144 70 Series Non-Programmable Thermostat, 1 Heat - 1 Cool</t>
        </is>
      </c>
      <c r="D2183" t="inlineStr">
        <is>
          <t>Digital Thermostat White Rodgers 1F78-144 70-Series Single Stage NonProgrammable</t>
        </is>
      </c>
      <c r="E2183" s="2">
        <f>HYPERLINK("https://www.amazon.com/Rodgers-1F78-144-NonProgrammable-Digital-Thermostat/dp/B01HAH5NBG/ref=sr_1_33?keywords=Emerson+White-Rodgers+1F78-144+70+Series+Non-Programmable+Thermostat%2C+1+Heat+-+1+Cool&amp;qid=1694734782&amp;sr=8-33", "https://www.amazon.com/Rodgers-1F78-144-NonProgrammable-Digital-Thermostat/dp/B01HAH5NBG/ref=sr_1_33?keywords=Emerson+White-Rodgers+1F78-144+70+Series+Non-Programmable+Thermostat%2C+1+Heat+-+1+Cool&amp;qid=1694734782&amp;sr=8-33")</f>
        <v/>
      </c>
      <c r="F2183" t="inlineStr">
        <is>
          <t>B01HAH5NBG</t>
        </is>
      </c>
      <c r="G2183">
        <f>_xlfn.IMAGE("https://edmondsonsupply.com/cdn/shop/products/70-series-thermostats-i.jpg?v=1633030660")</f>
        <v/>
      </c>
      <c r="H2183">
        <f>_xlfn.IMAGE("https://m.media-amazon.com/images/I/31bQo-0J2FS._AC_UL320_.jpg")</f>
        <v/>
      </c>
      <c r="K2183" t="inlineStr">
        <is>
          <t>27.41</t>
        </is>
      </c>
      <c r="L2183" t="n">
        <v>32.25</v>
      </c>
      <c r="M2183" s="1" t="inlineStr">
        <is>
          <t>17.66%</t>
        </is>
      </c>
      <c r="N2183" s="7" t="n">
        <v>-53.33</v>
      </c>
      <c r="O2183" t="n">
        <v>4.5</v>
      </c>
      <c r="P2183" t="n">
        <v>155</v>
      </c>
      <c r="R2183" t="inlineStr">
        <is>
          <t>InStock</t>
        </is>
      </c>
      <c r="S2183" t="inlineStr">
        <is>
          <t>64.96</t>
        </is>
      </c>
      <c r="T2183" t="inlineStr">
        <is>
          <t>5751448043688</t>
        </is>
      </c>
    </row>
    <row r="2184" ht="87" customHeight="1">
      <c r="A2184" s="2">
        <f>HYPERLINK("https://edmondsonsupply.com/collections/hvac/products/solderweld-sw-hb1-hot-block-reusable-heat-absorption-putty", "https://edmondsonsupply.com/collections/hvac/products/solderweld-sw-hb1-hot-block-reusable-heat-absorption-putty")</f>
        <v/>
      </c>
      <c r="B2184" s="2">
        <f>HYPERLINK("https://edmondsonsupply.com/products/solderweld-sw-hb1-hot-block-reusable-heat-absorption-putty", "https://edmondsonsupply.com/products/solderweld-sw-hb1-hot-block-reusable-heat-absorption-putty")</f>
        <v/>
      </c>
      <c r="C2184" t="inlineStr">
        <is>
          <t>SolderWeld SW-HB1 Hot Block - Reusable Heat Absorption Putty, 1 lb Tub</t>
        </is>
      </c>
      <c r="D2184" t="inlineStr">
        <is>
          <t>Solderweld SW-HB1 Hot Block Heat Stop Putty 1 Lb. Tub</t>
        </is>
      </c>
      <c r="E2184" s="2">
        <f>HYPERLINK("https://www.amazon.com/Solderweld-SW-HB1-Welding-accesory/dp/B07QF6T8BH/ref=sr_1_1?keywords=SolderWeld+SW-HB1+Hot+Block+-+Reusable+Heat+Absorption+Putty%2C+1+lb+Tub&amp;qid=1694734625&amp;sr=8-1", "https://www.amazon.com/Solderweld-SW-HB1-Welding-accesory/dp/B07QF6T8BH/ref=sr_1_1?keywords=SolderWeld+SW-HB1+Hot+Block+-+Reusable+Heat+Absorption+Putty%2C+1+lb+Tub&amp;qid=1694734625&amp;sr=8-1")</f>
        <v/>
      </c>
      <c r="F2184" t="inlineStr">
        <is>
          <t>B07QF6T8BH</t>
        </is>
      </c>
      <c r="G2184">
        <f>_xlfn.IMAGE("https://edmondsonsupply.com/cdn/shop/products/HotBlock_06de5d94-9e03-4006-9cb0-fca470d5534a_500x334_png.webp?v=1660614324")</f>
        <v/>
      </c>
      <c r="H2184">
        <f>_xlfn.IMAGE("https://m.media-amazon.com/images/I/31CMhAWXGtL._AC_UL320_.jpg")</f>
        <v/>
      </c>
      <c r="K2184" t="inlineStr">
        <is>
          <t>50.99</t>
        </is>
      </c>
      <c r="L2184" t="n">
        <v>59.99</v>
      </c>
      <c r="M2184" s="1" t="inlineStr">
        <is>
          <t>17.65%</t>
        </is>
      </c>
      <c r="N2184" s="7" t="n">
        <v>-54.48</v>
      </c>
      <c r="O2184" t="n">
        <v>4.3</v>
      </c>
      <c r="P2184" t="n">
        <v>56</v>
      </c>
      <c r="R2184" t="inlineStr">
        <is>
          <t>InStock</t>
        </is>
      </c>
      <c r="S2184" t="inlineStr">
        <is>
          <t>89.0</t>
        </is>
      </c>
      <c r="T2184" t="inlineStr">
        <is>
          <t>6632639037613</t>
        </is>
      </c>
    </row>
    <row r="2185" ht="87" customHeight="1">
      <c r="A2185" s="2">
        <f>HYPERLINK("https://edmondsonsupply.com/collections/hvac/products/testo-0560-1410-01-410i-vane-anemometer-wireless-smart-probe", "https://edmondsonsupply.com/collections/hvac/products/testo-0560-1410-01-410i-vane-anemometer-wireless-smart-probe")</f>
        <v/>
      </c>
      <c r="B2185" s="2">
        <f>HYPERLINK("https://edmondsonsupply.com/products/testo-0560-1410-01-410i-vane-anemometer-wireless-smart-probe", "https://edmondsonsupply.com/products/testo-0560-1410-01-410i-vane-anemometer-wireless-smart-probe")</f>
        <v/>
      </c>
      <c r="C2185" t="inlineStr">
        <is>
          <t>Testo 0560 1410 01 - 410i Vane Anemometer Wireless Smart Probe</t>
        </is>
      </c>
      <c r="D2185" t="inlineStr">
        <is>
          <t>Testo 0560 1410 410I Vane Anemometer Smart and Wireless Probe, 1" Height, 2" Width, 6" Length</t>
        </is>
      </c>
      <c r="E2185" s="2">
        <f>HYPERLINK("https://www.amazon.com/Testo-0560-1410-Anemometer-Wireless/dp/B018VO5GIM/ref=sr_1_1?keywords=Testo+0560+1410+01+-+410i+Vane+Anemometer+Wireless+Smart+Probe&amp;qid=1694734732&amp;sr=8-1", "https://www.amazon.com/Testo-0560-1410-Anemometer-Wireless/dp/B018VO5GIM/ref=sr_1_1?keywords=Testo+0560+1410+01+-+410i+Vane+Anemometer+Wireless+Smart+Probe&amp;qid=1694734732&amp;sr=8-1")</f>
        <v/>
      </c>
      <c r="F2185" t="inlineStr">
        <is>
          <t>B018VO5GIM</t>
        </is>
      </c>
      <c r="G2185">
        <f>_xlfn.IMAGE("https://edmondsonsupply.com/cdn/shop/products/testo-410i-velocity-front_master.jpg?v=1587142563")</f>
        <v/>
      </c>
      <c r="H2185">
        <f>_xlfn.IMAGE("https://m.media-amazon.com/images/I/51zFrsbbAmL._AC_UL320_.jpg")</f>
        <v/>
      </c>
      <c r="K2185" t="inlineStr">
        <is>
          <t>131.75</t>
        </is>
      </c>
      <c r="L2185" t="n">
        <v>155</v>
      </c>
      <c r="M2185" s="1" t="inlineStr">
        <is>
          <t>17.65%</t>
        </is>
      </c>
      <c r="N2185" s="7" t="n">
        <v>-54.62</v>
      </c>
      <c r="O2185" t="n">
        <v>4.5</v>
      </c>
      <c r="P2185" t="n">
        <v>176</v>
      </c>
      <c r="R2185" t="inlineStr">
        <is>
          <t>InStock</t>
        </is>
      </c>
      <c r="S2185" t="inlineStr">
        <is>
          <t>155.0</t>
        </is>
      </c>
      <c r="T2185" t="inlineStr">
        <is>
          <t>4165072945252</t>
        </is>
      </c>
    </row>
    <row r="2186" ht="87" customHeight="1">
      <c r="A2186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186" s="2">
        <f>HYPERLINK("https://edmondsonsupply.com/products/klein-tools-pnd-12-5-1-2-inch-power-nut-driver-5-inch-length", "https://edmondsonsupply.com/products/klein-tools-pnd-12-5-1-2-inch-power-nut-driver-5-inch-length")</f>
        <v/>
      </c>
      <c r="C2186" t="inlineStr">
        <is>
          <t>Klein Tools PND-12-5 1/2-Inch Power Nut Driver 5-Inch Length</t>
        </is>
      </c>
      <c r="D2186" t="inlineStr">
        <is>
          <t>Klein Tools 646M Tool Set, Magnetic Nut Drivers Sizes 1/4 and 5/16-Inch, 6-Inch Shafts, 2-Piece</t>
        </is>
      </c>
      <c r="E2186" s="2">
        <f>HYPERLINK("https://www.amazon.com/Magnetic-16-Inch-Klein-Tools-646M/dp/B000936QV0/ref=sr_1_19?keywords=Klein+Tools+PND-12-5+1%2F2-Inch+Power+Nut+Driver+5-Inch+Length&amp;qid=1694734708&amp;sr=8-19", "https://www.amazon.com/Magnetic-16-Inch-Klein-Tools-646M/dp/B000936QV0/ref=sr_1_19?keywords=Klein+Tools+PND-12-5+1%2F2-Inch+Power+Nut+Driver+5-Inch+Length&amp;qid=1694734708&amp;sr=8-19")</f>
        <v/>
      </c>
      <c r="F2186" t="inlineStr">
        <is>
          <t>B000936QV0</t>
        </is>
      </c>
      <c r="G2186">
        <f>_xlfn.IMAGE("https://edmondsonsupply.com/cdn/shop/products/pnd125.jpg?v=1633031028")</f>
        <v/>
      </c>
      <c r="H2186">
        <f>_xlfn.IMAGE("https://m.media-amazon.com/images/I/41lkJ6KRq9L._AC_UL320_.jpg")</f>
        <v/>
      </c>
      <c r="K2186" t="inlineStr">
        <is>
          <t>18.99</t>
        </is>
      </c>
      <c r="L2186" t="n">
        <v>22.34</v>
      </c>
      <c r="M2186" s="1" t="inlineStr">
        <is>
          <t>17.64%</t>
        </is>
      </c>
      <c r="N2186" s="7" t="n">
        <v>-54.64</v>
      </c>
      <c r="O2186" t="n">
        <v>4.8</v>
      </c>
      <c r="P2186" t="n">
        <v>1652</v>
      </c>
      <c r="R2186" t="inlineStr">
        <is>
          <t>InStock</t>
        </is>
      </c>
      <c r="S2186" t="inlineStr">
        <is>
          <t>30.98</t>
        </is>
      </c>
      <c r="T2186" t="inlineStr">
        <is>
          <t>6729466445997</t>
        </is>
      </c>
    </row>
    <row r="2187" ht="87" customHeight="1">
      <c r="A2187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2187" s="2">
        <f>HYPERLINK("https://edmondsonsupply.com/products/klein-tools-630m-magnetic-nut-driver-set-3-inch-shafts-2-piece", "https://edmondsonsupply.com/products/klein-tools-630m-magnetic-nut-driver-set-3-inch-shafts-2-piece")</f>
        <v/>
      </c>
      <c r="C2187" t="inlineStr">
        <is>
          <t>Klein Tools 630M Magnetic Nut Driver Set, 3-Inch Shafts, 2-Piece</t>
        </is>
      </c>
      <c r="D2187" t="inlineStr">
        <is>
          <t>Klein Tools 646M Tool Set, Magnetic Nut Drivers Sizes 1/4 and 5/16-Inch, 6-Inch Shafts, 2-Piece</t>
        </is>
      </c>
      <c r="E2187" s="2">
        <f>HYPERLINK("https://www.amazon.com/Magnetic-16-Inch-Klein-Tools-646M/dp/B000936QV0/ref=sr_1_2?keywords=Klein+Tools+630M+Magnetic+Nut+Driver+Set%2C+3-Inch+Shafts%2C+2-Piece&amp;qid=1694734796&amp;sr=8-2", "https://www.amazon.com/Magnetic-16-Inch-Klein-Tools-646M/dp/B000936QV0/ref=sr_1_2?keywords=Klein+Tools+630M+Magnetic+Nut+Driver+Set%2C+3-Inch+Shafts%2C+2-Piece&amp;qid=1694734796&amp;sr=8-2")</f>
        <v/>
      </c>
      <c r="F2187" t="inlineStr">
        <is>
          <t>B000936QV0</t>
        </is>
      </c>
      <c r="G2187">
        <f>_xlfn.IMAGE("https://edmondsonsupply.com/cdn/shop/products/630m.jpg?v=1587143237")</f>
        <v/>
      </c>
      <c r="H2187">
        <f>_xlfn.IMAGE("https://m.media-amazon.com/images/I/41lkJ6KRq9L._AC_UL320_.jpg")</f>
        <v/>
      </c>
      <c r="K2187" t="inlineStr">
        <is>
          <t>18.99</t>
        </is>
      </c>
      <c r="L2187" t="n">
        <v>22.34</v>
      </c>
      <c r="M2187" s="1" t="inlineStr">
        <is>
          <t>17.64%</t>
        </is>
      </c>
      <c r="N2187" s="7" t="n">
        <v>-54.85</v>
      </c>
      <c r="O2187" t="n">
        <v>4.8</v>
      </c>
      <c r="P2187" t="n">
        <v>1652</v>
      </c>
      <c r="R2187" t="inlineStr">
        <is>
          <t>InStock</t>
        </is>
      </c>
      <c r="S2187" t="inlineStr">
        <is>
          <t>28.78</t>
        </is>
      </c>
      <c r="T2187" t="inlineStr">
        <is>
          <t>4508216787044</t>
        </is>
      </c>
    </row>
    <row r="2188" hidden="1" ht="15.75" customHeight="1">
      <c r="A2188" s="2">
        <f>HYPERLINK("https://edmondsonsupply.com/collections/hvac/products/supco-mag1bk-30-vac-magnetic-test-leads", "https://edmondsonsupply.com/collections/hvac/products/supco-mag1bk-30-vac-magnetic-test-leads")</f>
        <v/>
      </c>
      <c r="B2188" s="2">
        <f>HYPERLINK("https://edmondsonsupply.com/products/supco-mag1bk-30-vac-magnetic-test-leads", "https://edmondsonsupply.com/products/supco-mag1bk-30-vac-magnetic-test-leads")</f>
        <v/>
      </c>
      <c r="C2188" t="inlineStr">
        <is>
          <t>Supco MAG1BK 30 VAC Magnetic Test Leads</t>
        </is>
      </c>
      <c r="D2188" t="inlineStr">
        <is>
          <t>Supco MAG1BL 30 VAC Magnetic Test Leads | Low Voltage Magnetic Jumper, Blue</t>
        </is>
      </c>
      <c r="E2188" s="2">
        <f>HYPERLINK("https://www.amazon.com/Supco-MAG1BL-Orginal-Replacement-Parts/dp/B01KU9564K/ref=sr_1_4?keywords=Supco+MAG1BK+30+VAC+Magnetic+Test+Leads&amp;qid=1694734686&amp;sr=8-4", "https://www.amazon.com/Supco-MAG1BL-Orginal-Replacement-Parts/dp/B01KU9564K/ref=sr_1_4?keywords=Supco+MAG1BK+30+VAC+Magnetic+Test+Leads&amp;qid=1694734686&amp;sr=8-4")</f>
        <v/>
      </c>
      <c r="F2188" t="inlineStr">
        <is>
          <t>B01KU9564K</t>
        </is>
      </c>
      <c r="G2188">
        <f>_xludf.IMAGE("https://edmondsonsupply.com/cdn/shop/products/mag1bk.png?v=1671744087")</f>
        <v/>
      </c>
      <c r="H2188">
        <f>_xludf.IMAGE("https://m.media-amazon.com/images/I/61ha6OxORnL._AC_UY218_.jpg")</f>
        <v/>
      </c>
      <c r="K2188" t="inlineStr">
        <is>
          <t>9.99</t>
        </is>
      </c>
      <c r="L2188" t="n">
        <v>11.75</v>
      </c>
      <c r="M2188" s="1" t="inlineStr">
        <is>
          <t>17.62%</t>
        </is>
      </c>
      <c r="N2188" s="1" t="n">
        <v>-55.56</v>
      </c>
      <c r="O2188" t="n">
        <v>4.5</v>
      </c>
      <c r="P2188" t="n">
        <v>462</v>
      </c>
      <c r="R2188" t="inlineStr">
        <is>
          <t>InStock</t>
        </is>
      </c>
      <c r="S2188" t="inlineStr">
        <is>
          <t>undefined</t>
        </is>
      </c>
      <c r="T2188" t="inlineStr">
        <is>
          <t>7910334660824</t>
        </is>
      </c>
    </row>
    <row r="2189" ht="87" customHeight="1">
      <c r="A2189" s="2">
        <f>HYPERLINK("https://edmondsonsupply.com/collections/hvac/products/icm-controls-icm271-fan-blower-control-board-replacement-for-carrier", "https://edmondsonsupply.com/collections/hvac/products/icm-controls-icm271-fan-blower-control-board-replacement-for-carrier")</f>
        <v/>
      </c>
      <c r="B2189" s="2">
        <f>HYPERLINK("https://edmondsonsupply.com/products/icm-controls-icm271-fan-blower-control-board-replacement-for-carrier", "https://edmondsonsupply.com/products/icm-controls-icm271-fan-blower-control-board-replacement-for-carrier")</f>
        <v/>
      </c>
      <c r="C2189" t="inlineStr">
        <is>
          <t>ICM Controls ICM271 Fan Blower Control Board, Replacement for Carrier</t>
        </is>
      </c>
      <c r="D2189" t="inlineStr">
        <is>
          <t>ICM Controls ICM275 Fan Blower Control Replacement for OEM Models Including Carrier CES0110019 and HH84AA-x Series Control Boards</t>
        </is>
      </c>
      <c r="E2189" s="2">
        <f>HYPERLINK("https://www.amazon.com/ICM-Controls-ICM275-Replacement-CES0110019/dp/B007HOJ82I/ref=sr_1_4?keywords=ICM+Controls+ICM271+Fan+Blower+Control+Board%2C+Replacement+for+Carrier&amp;qid=1694734662&amp;sr=8-4", "https://www.amazon.com/ICM-Controls-ICM275-Replacement-CES0110019/dp/B007HOJ82I/ref=sr_1_4?keywords=ICM+Controls+ICM271+Fan+Blower+Control+Board%2C+Replacement+for+Carrier&amp;qid=1694734662&amp;sr=8-4")</f>
        <v/>
      </c>
      <c r="F2189" t="inlineStr">
        <is>
          <t>B007HOJ82I</t>
        </is>
      </c>
      <c r="G2189">
        <f>_xlfn.IMAGE("https://edmondsonsupply.com/cdn/shop/products/icm271.jpg?v=1633285273")</f>
        <v/>
      </c>
      <c r="H2189">
        <f>_xlfn.IMAGE("https://m.media-amazon.com/images/I/615i4J8CinL._AC_UL320_.jpg")</f>
        <v/>
      </c>
      <c r="K2189" t="inlineStr">
        <is>
          <t>67.99</t>
        </is>
      </c>
      <c r="L2189" t="n">
        <v>79.89</v>
      </c>
      <c r="M2189" s="1" t="inlineStr">
        <is>
          <t>17.50%</t>
        </is>
      </c>
      <c r="N2189" s="7" t="n">
        <v>-55.57</v>
      </c>
      <c r="O2189" t="n">
        <v>4.4</v>
      </c>
      <c r="P2189" t="n">
        <v>55</v>
      </c>
      <c r="R2189" t="inlineStr">
        <is>
          <t>InStock</t>
        </is>
      </c>
      <c r="S2189" t="inlineStr">
        <is>
          <t>97.17</t>
        </is>
      </c>
      <c r="T2189" t="inlineStr">
        <is>
          <t>6991454306477</t>
        </is>
      </c>
    </row>
    <row r="2190" ht="87" customHeight="1">
      <c r="A2190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2190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2190" t="inlineStr">
        <is>
          <t>Robertshaw 41-224 Hot Surface Furnace Ignitor</t>
        </is>
      </c>
      <c r="D2190" t="inlineStr">
        <is>
          <t>Robertshaw 41-602 Hot Surface Furnace Mini-Ignitor, Amana 20165702, White Rodgers 767A-378</t>
        </is>
      </c>
      <c r="E2190" s="2">
        <f>HYPERLINK("https://www.amazon.com/Robertshaw-41-602-Mini-Ignitor-20165702-767A-378/dp/B003AST41U/ref=sr_1_14?keywords=Robertshaw+41-224+Hot+Surface+Furnace+Ignitor&amp;qid=1694734847&amp;sr=8-14", "https://www.amazon.com/Robertshaw-41-602-Mini-Ignitor-20165702-767A-378/dp/B003AST41U/ref=sr_1_14?keywords=Robertshaw+41-224+Hot+Surface+Furnace+Ignitor&amp;qid=1694734847&amp;sr=8-14")</f>
        <v/>
      </c>
      <c r="F2190" t="inlineStr">
        <is>
          <t>B003AST41U</t>
        </is>
      </c>
      <c r="G2190">
        <f>_xlfn.IMAGE("https://edmondsonsupply.com/cdn/shop/files/41-224.jpg?v=1694616534")</f>
        <v/>
      </c>
      <c r="H2190">
        <f>_xlfn.IMAGE("https://m.media-amazon.com/images/I/61apSaBH7NL._AC_UL320_.jpg")</f>
        <v/>
      </c>
      <c r="K2190" t="inlineStr">
        <is>
          <t>41.78</t>
        </is>
      </c>
      <c r="L2190" t="n">
        <v>49.05</v>
      </c>
      <c r="M2190" s="1" t="inlineStr">
        <is>
          <t>17.40%</t>
        </is>
      </c>
      <c r="N2190" s="7" t="n">
        <v>-55.63</v>
      </c>
      <c r="O2190" t="n">
        <v>4.3</v>
      </c>
      <c r="P2190" t="n">
        <v>26</v>
      </c>
      <c r="R2190" t="inlineStr">
        <is>
          <t>InStock</t>
        </is>
      </c>
      <c r="S2190" t="inlineStr">
        <is>
          <t>undefined</t>
        </is>
      </c>
      <c r="T2190" t="inlineStr">
        <is>
          <t>8035179692248</t>
        </is>
      </c>
    </row>
    <row r="2191" hidden="1" ht="15.75" customHeight="1">
      <c r="A2191" s="2">
        <f>HYPERLINK("https://edmondsonsupply.com/collections/hvac/products/packard-titan-pro-trcd355-run-capacitor-35-5-mfd-370-volt-round", "https://edmondsonsupply.com/collections/hvac/products/packard-titan-pro-trcd355-run-capacitor-35-5-mfd-370-volt-round")</f>
        <v/>
      </c>
      <c r="B2191" s="2">
        <f>HYPERLINK("https://edmondsonsupply.com/products/packard-titan-pro-trcd355-run-capacitor-35-5-mfd-370-volt-round", "https://edmondsonsupply.com/products/packard-titan-pro-trcd355-run-capacitor-35-5-mfd-370-volt-round")</f>
        <v/>
      </c>
      <c r="C2191" t="inlineStr">
        <is>
          <t>Packard Titan PRO TRCD355 Run Capacitor 35+5 MFD 370 Volt Round</t>
        </is>
      </c>
      <c r="D2191" t="inlineStr">
        <is>
          <t>PACKARD TRCD455 Titan Pro 45 MFD 370V Round Run Capacitor Replaces PRCD455 by PACKARD TRCD455 Titan Pro 45 MFD 370V Round Run Capacitor Replaces PRCD455</t>
        </is>
      </c>
      <c r="E2191" s="2">
        <f>HYPERLINK("https://www.amazon.com/PACKARD-TRCD455-Capacitor-Replaces-PRCD455/dp/B01IU7YGT0/ref=sr_1_12?keywords=Packard+Titan+PRO+TRCD355+Run+Capacitor+35%2B5+MFD+370+Volt+Round&amp;qid=1694734648&amp;sr=8-12", "https://www.amazon.com/PACKARD-TRCD455-Capacitor-Replaces-PRCD455/dp/B01IU7YGT0/ref=sr_1_12?keywords=Packard+Titan+PRO+TRCD355+Run+Capacitor+35%2B5+MFD+370+Volt+Round&amp;qid=1694734648&amp;sr=8-12")</f>
        <v/>
      </c>
      <c r="F2191" t="inlineStr">
        <is>
          <t>B01IU7YGT0</t>
        </is>
      </c>
      <c r="G2191">
        <f>_xludf.IMAGE("https://edmondsonsupply.com/cdn/shop/products/TRCD355-2.jpg?v=1633030395")</f>
        <v/>
      </c>
      <c r="H2191">
        <f>_xludf.IMAGE("https://m.media-amazon.com/images/I/41FHysaaRIL._AC_UY218_.jpg")</f>
        <v/>
      </c>
      <c r="K2191" t="inlineStr">
        <is>
          <t>8.53</t>
        </is>
      </c>
      <c r="L2191" t="n">
        <v>10</v>
      </c>
      <c r="M2191" s="1" t="inlineStr">
        <is>
          <t>17.23%</t>
        </is>
      </c>
      <c r="N2191" s="1" t="n">
        <v>-55.63</v>
      </c>
      <c r="O2191" t="n">
        <v>5</v>
      </c>
      <c r="P2191" t="n">
        <v>1</v>
      </c>
      <c r="R2191" t="inlineStr">
        <is>
          <t>InStock</t>
        </is>
      </c>
      <c r="S2191" t="inlineStr">
        <is>
          <t>undefined</t>
        </is>
      </c>
      <c r="T2191" t="inlineStr">
        <is>
          <t>5302188998824</t>
        </is>
      </c>
    </row>
    <row r="2192" hidden="1" ht="15.75" customHeight="1">
      <c r="A2192" s="2">
        <f>HYPERLINK("https://edmondsonsupply.com/collections/hvac/products/jb-industries-a32008-1-4-valve-core-torque-tool", "https://edmondsonsupply.com/collections/hvac/products/jb-industries-a32008-1-4-valve-core-torque-tool")</f>
        <v/>
      </c>
      <c r="B2192" s="2">
        <f>HYPERLINK("https://edmondsonsupply.com/products/jb-industries-a32008-1-4-valve-core-torque-tool", "https://edmondsonsupply.com/products/jb-industries-a32008-1-4-valve-core-torque-tool")</f>
        <v/>
      </c>
      <c r="C2192" t="inlineStr">
        <is>
          <t>JB Industries A32008 1/4" Valve Core Torque Tool</t>
        </is>
      </c>
      <c r="D2192" t="inlineStr">
        <is>
          <t>JB Industries A32008 Valve Core Torque Tool</t>
        </is>
      </c>
      <c r="E2192" s="2">
        <f>HYPERLINK("https://www.amazon.com/JB-Industries-A32008-Valve-Torque/dp/B00LO2JJ78/ref=sr_1_1?keywords=JB+Industries+A32008+1%2F4%22+Valve+Core+Torque+Tool&amp;qid=1694734595&amp;sr=8-1", "https://www.amazon.com/JB-Industries-A32008-Valve-Torque/dp/B00LO2JJ78/ref=sr_1_1?keywords=JB+Industries+A32008+1%2F4%22+Valve+Core+Torque+Tool&amp;qid=1694734595&amp;sr=8-1")</f>
        <v/>
      </c>
      <c r="F2192" t="inlineStr">
        <is>
          <t>B00LO2JJ78</t>
        </is>
      </c>
      <c r="G2192">
        <f>_xludf.IMAGE("https://edmondsonsupply.com/cdn/shop/products/A32008-JB-Valve-Core-Torque-Tool-Access-Valves.png?v=1680140821")</f>
        <v/>
      </c>
      <c r="H2192">
        <f>_xludf.IMAGE("https://m.media-amazon.com/images/I/41YaJf3IQxL._AC_UL320_.jpg")</f>
        <v/>
      </c>
      <c r="K2192" t="inlineStr">
        <is>
          <t>23.03</t>
        </is>
      </c>
      <c r="L2192" t="n">
        <v>26.99</v>
      </c>
      <c r="M2192" s="1" t="inlineStr">
        <is>
          <t>17.19%</t>
        </is>
      </c>
      <c r="N2192" s="1" t="n">
        <v>-55.72</v>
      </c>
      <c r="O2192" t="n">
        <v>4</v>
      </c>
      <c r="P2192" t="n">
        <v>28</v>
      </c>
      <c r="R2192" t="inlineStr">
        <is>
          <t>InStock</t>
        </is>
      </c>
      <c r="S2192" t="inlineStr">
        <is>
          <t>42.82</t>
        </is>
      </c>
      <c r="T2192" t="inlineStr">
        <is>
          <t>3539324928100</t>
        </is>
      </c>
    </row>
    <row r="2193" hidden="1" ht="15.75" customHeight="1">
      <c r="A2193" s="2">
        <f>HYPERLINK("https://edmondsonsupply.com/collections/hvac/products/packard-titan-pro-trcd455-run-capacitor-45-5-mfd-370-volt-round", "https://edmondsonsupply.com/collections/hvac/products/packard-titan-pro-trcd455-run-capacitor-45-5-mfd-370-volt-round")</f>
        <v/>
      </c>
      <c r="B2193" s="2">
        <f>HYPERLINK("https://edmondsonsupply.com/products/packard-titan-pro-trcd455-run-capacitor-45-5-mfd-370-volt-round", "https://edmondsonsupply.com/products/packard-titan-pro-trcd455-run-capacitor-45-5-mfd-370-volt-round")</f>
        <v/>
      </c>
      <c r="C2193" t="inlineStr">
        <is>
          <t>Packard Titan PRO TRCD455 Run Capacitor 45+5 MFD 370 Volt, Round</t>
        </is>
      </c>
      <c r="D2193" t="inlineStr">
        <is>
          <t>Packard Titan Pro 370 Motor Run Capacitor, Oval, 15 Mfd, 370 Volt, 15-370, TOC15</t>
        </is>
      </c>
      <c r="E2193" s="2">
        <f>HYPERLINK("https://www.amazon.com/Packard-Titan-Motor-Capacitor-15-370/dp/B07F79HNQ7/ref=sr_1_16?keywords=Packard+Titan+PRO+TRCD455+Run+Capacitor+45%2B5+MFD+370+Volt%2C+Round&amp;qid=1694734586&amp;sr=8-16", "https://www.amazon.com/Packard-Titan-Motor-Capacitor-15-370/dp/B07F79HNQ7/ref=sr_1_16?keywords=Packard+Titan+PRO+TRCD455+Run+Capacitor+45%2B5+MFD+370+Volt%2C+Round&amp;qid=1694734586&amp;sr=8-16")</f>
        <v/>
      </c>
      <c r="F2193" t="inlineStr">
        <is>
          <t>B07F79HNQ7</t>
        </is>
      </c>
      <c r="G2193">
        <f>_xludf.IMAGE("https://edmondsonsupply.com/cdn/shop/products/TRCD455-2.jpg?v=1633030398")</f>
        <v/>
      </c>
      <c r="H2193">
        <f>_xludf.IMAGE("https://m.media-amazon.com/images/I/61p+cdqLa1L._AC_UY218_.jpg")</f>
        <v/>
      </c>
      <c r="K2193" t="inlineStr">
        <is>
          <t>9.39</t>
        </is>
      </c>
      <c r="L2193" t="n">
        <v>10.99</v>
      </c>
      <c r="M2193" s="1" t="inlineStr">
        <is>
          <t>17.04%</t>
        </is>
      </c>
      <c r="N2193" s="1" t="n">
        <v>-56.06</v>
      </c>
      <c r="O2193" t="n">
        <v>4.7</v>
      </c>
      <c r="P2193" t="n">
        <v>33</v>
      </c>
      <c r="R2193" t="inlineStr">
        <is>
          <t>InStock</t>
        </is>
      </c>
      <c r="S2193" t="inlineStr">
        <is>
          <t>undefined</t>
        </is>
      </c>
      <c r="T2193" t="inlineStr">
        <is>
          <t>5302371090600</t>
        </is>
      </c>
    </row>
    <row r="2194" ht="87" customHeight="1">
      <c r="A2194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194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194" t="inlineStr">
        <is>
          <t>ICM Controls ICM2805A Furnace Control Board - Replacement for Nordyne</t>
        </is>
      </c>
      <c r="D2194" t="inlineStr">
        <is>
          <t>OEM Upgraded Replacement for Nordyne Furnace Control Circuit Board 624602-0</t>
        </is>
      </c>
      <c r="E2194" s="2">
        <f>HYPERLINK("https://www.amazon.com/Upgraded-Replacement-Intertherm-Furnace-624602-0/dp/B00EFAZLXM/ref=sr_1_24?keywords=ICM+Controls+ICM2805A+Furnace+Control+Board+-+Replacement+for+Nordyne&amp;qid=1694734623&amp;sr=8-24", "https://www.amazon.com/Upgraded-Replacement-Intertherm-Furnace-624602-0/dp/B00EFAZLXM/ref=sr_1_24?keywords=ICM+Controls+ICM2805A+Furnace+Control+Board+-+Replacement+for+Nordyne&amp;qid=1694734623&amp;sr=8-24")</f>
        <v/>
      </c>
      <c r="F2194" t="inlineStr">
        <is>
          <t>B00EFAZLXM</t>
        </is>
      </c>
      <c r="G2194">
        <f>_xlfn.IMAGE("https://edmondsonsupply.com/cdn/shop/products/57_3_42a53dd2-02e8-4469-bc0c-0265897201e7.jpg?v=1633031145")</f>
        <v/>
      </c>
      <c r="H2194">
        <f>_xlfn.IMAGE("https://m.media-amazon.com/images/I/51gvICSTJPL._AC_UL320_.jpg")</f>
        <v/>
      </c>
      <c r="K2194" t="inlineStr">
        <is>
          <t>116.59</t>
        </is>
      </c>
      <c r="L2194" t="n">
        <v>136.4</v>
      </c>
      <c r="M2194" s="1" t="inlineStr">
        <is>
          <t>16.99%</t>
        </is>
      </c>
      <c r="N2194" s="7" t="n">
        <v>-56.29</v>
      </c>
      <c r="O2194" t="n">
        <v>4.1</v>
      </c>
      <c r="P2194" t="n">
        <v>16</v>
      </c>
      <c r="R2194" t="inlineStr">
        <is>
          <t>InStock</t>
        </is>
      </c>
      <c r="S2194" t="inlineStr">
        <is>
          <t>161.12</t>
        </is>
      </c>
      <c r="T2194" t="inlineStr">
        <is>
          <t>6892060639405</t>
        </is>
      </c>
    </row>
    <row r="2195" ht="87" customHeight="1">
      <c r="A2195" s="2">
        <f>HYPERLINK("https://edmondsonsupply.com/collections/hvac/products/ranco-etc-112000-000-single-stage-electronic-temperature-control-24v", "https://edmondsonsupply.com/collections/hvac/products/ranco-etc-112000-000-single-stage-electronic-temperature-control-24v")</f>
        <v/>
      </c>
      <c r="B2195" s="2">
        <f>HYPERLINK("https://edmondsonsupply.com/products/ranco-etc-112000-000-single-stage-electronic-temperature-control-24v", "https://edmondsonsupply.com/products/ranco-etc-112000-000-single-stage-electronic-temperature-control-24v")</f>
        <v/>
      </c>
      <c r="C2195" t="inlineStr">
        <is>
          <t>Ranco ETC-112000-000 Single Stage Electronic Temperature Control, 24V</t>
        </is>
      </c>
      <c r="D2195" t="inlineStr">
        <is>
          <t>Ranco ETC-112000 Single Stage Temperature Control w/ Sensor (24V Input)</t>
        </is>
      </c>
      <c r="E2195" s="2">
        <f>HYPERLINK("https://www.amazon.com/Ranco-ETC-112000-Single-Temperature-Control/dp/B003V14XBM/ref=sr_1_1?keywords=Ranco+ETC-112000-000+Single+Stage+Electronic+Temperature+Control%2C+24V&amp;qid=1694734782&amp;sr=8-1", "https://www.amazon.com/Ranco-ETC-112000-Single-Temperature-Control/dp/B003V14XBM/ref=sr_1_1?keywords=Ranco+ETC-112000-000+Single+Stage+Electronic+Temperature+Control%2C+24V&amp;qid=1694734782&amp;sr=8-1")</f>
        <v/>
      </c>
      <c r="F2195" t="inlineStr">
        <is>
          <t>B003V14XBM</t>
        </is>
      </c>
      <c r="G2195">
        <f>_xlfn.IMAGE("https://edmondsonsupply.com/cdn/shop/products/ETC-112000-000-2.jpg?v=1633030606")</f>
        <v/>
      </c>
      <c r="H2195">
        <f>_xlfn.IMAGE("https://m.media-amazon.com/images/I/21PGKYtLF5L._AC_UY218_.jpg")</f>
        <v/>
      </c>
      <c r="K2195" t="inlineStr">
        <is>
          <t>97.73</t>
        </is>
      </c>
      <c r="L2195" t="n">
        <v>114.26</v>
      </c>
      <c r="M2195" s="1" t="inlineStr">
        <is>
          <t>16.91%</t>
        </is>
      </c>
      <c r="N2195" s="7" t="n">
        <v>-56.56</v>
      </c>
      <c r="O2195" t="n">
        <v>4.7</v>
      </c>
      <c r="P2195" t="n">
        <v>3</v>
      </c>
      <c r="R2195" t="inlineStr">
        <is>
          <t>InStock</t>
        </is>
      </c>
      <c r="S2195" t="inlineStr">
        <is>
          <t>142.5</t>
        </is>
      </c>
      <c r="T2195" t="inlineStr">
        <is>
          <t>5626767769768</t>
        </is>
      </c>
    </row>
    <row r="2196" ht="87" customHeight="1">
      <c r="A2196" s="2">
        <f>HYPERLINK("https://edmondsonsupply.com/collections/hvac/products/packard-c340a-contactor-3-pole-40-amps-24-coil-voltage", "https://edmondsonsupply.com/collections/hvac/products/packard-c340a-contactor-3-pole-40-amps-24-coil-voltage")</f>
        <v/>
      </c>
      <c r="B2196" s="2">
        <f>HYPERLINK("https://edmondsonsupply.com/products/packard-c340a-contactor-3-pole-40-amps-24-coil-voltage", "https://edmondsonsupply.com/products/packard-c340a-contactor-3-pole-40-amps-24-coil-voltage")</f>
        <v/>
      </c>
      <c r="C2196" t="inlineStr">
        <is>
          <t>Packard C340A Contactor 3 Pole 40 Amps 24 Coil Voltage</t>
        </is>
      </c>
      <c r="D2196" t="inlineStr">
        <is>
          <t>Packard C340A 3 Pole 40 Amp Contactor 24 Volt Coil Contactor, Pack of 2</t>
        </is>
      </c>
      <c r="E2196" s="2">
        <f>HYPERLINK("https://www.amazon.com/Packard-C340A-Pole-Contactor-Volt/dp/B0B3JSBJDJ/ref=sr_1_6?keywords=Packard+C340A+Contactor+3+Pole+40+Amps+24+Coil+Voltage&amp;qid=1694734727&amp;sr=8-6", "https://www.amazon.com/Packard-C340A-Pole-Contactor-Volt/dp/B0B3JSBJDJ/ref=sr_1_6?keywords=Packard+C340A+Contactor+3+Pole+40+Amps+24+Coil+Voltage&amp;qid=1694734727&amp;sr=8-6")</f>
        <v/>
      </c>
      <c r="F2196" t="inlineStr">
        <is>
          <t>B0B3JSBJDJ</t>
        </is>
      </c>
      <c r="G2196">
        <f>_xlfn.IMAGE("https://edmondsonsupply.com/cdn/shop/products/C340A-2.jpg?v=1633030393")</f>
        <v/>
      </c>
      <c r="H2196">
        <f>_xlfn.IMAGE("https://m.media-amazon.com/images/I/71--hRIpqWL._AC_UY218_.jpg")</f>
        <v/>
      </c>
      <c r="I2196" t="n">
        <v>0</v>
      </c>
      <c r="J2196" t="inlineStr">
        <is>
          <t>low sales</t>
        </is>
      </c>
      <c r="K2196" t="inlineStr">
        <is>
          <t>22.24</t>
        </is>
      </c>
      <c r="L2196" t="n">
        <v>26</v>
      </c>
      <c r="M2196" s="1" t="inlineStr">
        <is>
          <t>16.91%</t>
        </is>
      </c>
      <c r="N2196" s="7" t="n">
        <v>-58.42</v>
      </c>
      <c r="O2196" t="n">
        <v>4.4</v>
      </c>
      <c r="P2196" t="n">
        <v>93</v>
      </c>
      <c r="R2196" t="inlineStr">
        <is>
          <t>InStock</t>
        </is>
      </c>
      <c r="S2196" t="inlineStr">
        <is>
          <t>undefined</t>
        </is>
      </c>
      <c r="T2196" t="inlineStr">
        <is>
          <t>5301718810792</t>
        </is>
      </c>
    </row>
    <row r="2197" ht="87" customHeight="1">
      <c r="A2197" s="2">
        <f>HYPERLINK("https://edmondsonsupply.com/collections/hvac/products/sensible-products-dwl-1-dual-worklight-blue", "https://edmondsonsupply.com/collections/hvac/products/sensible-products-dwl-1-dual-worklight-blue")</f>
        <v/>
      </c>
      <c r="B2197" s="2">
        <f>HYPERLINK("https://edmondsonsupply.com/products/sensible-products-dwl-1-dual-worklight-blue", "https://edmondsonsupply.com/products/sensible-products-dwl-1-dual-worklight-blue")</f>
        <v/>
      </c>
      <c r="C2197" t="inlineStr">
        <is>
          <t>Sensible Products DWL-1 Dual Worklight, Blue</t>
        </is>
      </c>
      <c r="D2197" t="inlineStr">
        <is>
          <t>Sold Each Blue Dual Work Light # DWL-1 with Holster by Sensible Products</t>
        </is>
      </c>
      <c r="E2197" s="2">
        <f>HYPERLINK("https://www.amazon.com/Light-DWL-1-Holster-Sensible-Products/dp/B079MDF76G/ref=sr_1_3?keywords=Sensible+Products+DWL-1+Dual+Worklight%2C+Blue&amp;qid=1694734618&amp;sr=8-3", "https://www.amazon.com/Light-DWL-1-Holster-Sensible-Products/dp/B079MDF76G/ref=sr_1_3?keywords=Sensible+Products+DWL-1+Dual+Worklight%2C+Blue&amp;qid=1694734618&amp;sr=8-3")</f>
        <v/>
      </c>
      <c r="F2197" t="inlineStr">
        <is>
          <t>B079MDF76G</t>
        </is>
      </c>
      <c r="G2197">
        <f>_xlfn.IMAGE("https://edmondsonsupply.com/cdn/shop/products/DWL-1-2.jpg?v=1587148321")</f>
        <v/>
      </c>
      <c r="H2197">
        <f>_xlfn.IMAGE("https://m.media-amazon.com/images/I/51bpVy8B6iL._AC_UL320_.jpg")</f>
        <v/>
      </c>
      <c r="K2197" t="inlineStr">
        <is>
          <t>27.79</t>
        </is>
      </c>
      <c r="L2197" t="n">
        <v>32.45</v>
      </c>
      <c r="M2197" s="1" t="inlineStr">
        <is>
          <t>16.77%</t>
        </is>
      </c>
      <c r="N2197" s="7" t="n">
        <v>-58.69</v>
      </c>
      <c r="O2197" t="n">
        <v>4.8</v>
      </c>
      <c r="P2197" t="n">
        <v>31</v>
      </c>
      <c r="R2197" t="inlineStr">
        <is>
          <t>InStock</t>
        </is>
      </c>
      <c r="S2197" t="inlineStr">
        <is>
          <t>undefined</t>
        </is>
      </c>
      <c r="T2197" t="inlineStr">
        <is>
          <t>4338918195300</t>
        </is>
      </c>
    </row>
    <row r="2198" ht="87" customHeight="1">
      <c r="A2198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2198" s="2">
        <f>HYPERLINK("https://edmondsonsupply.com/products/klein-tools-sk234-screwdriver-set-slotted-screw-holding-3-piece", "https://edmondsonsupply.com/products/klein-tools-sk234-screwdriver-set-slotted-screw-holding-3-piece")</f>
        <v/>
      </c>
      <c r="C2198" t="inlineStr">
        <is>
          <t>Klein Tools SK234 Screwdriver Set, Slotted Screw Holding, 3-Piece</t>
        </is>
      </c>
      <c r="D2198" t="inlineStr">
        <is>
          <t>Klein Tools 85613 Precision Screwdriver Set, Electronics Slotted and Phillips Screwdrivers with Rotating Caps and Color-Coded Rings, 4-Piece</t>
        </is>
      </c>
      <c r="E2198" s="2">
        <f>HYPERLINK("https://www.amazon.com/Klein-Tools-Electronics-Screwdriver-4-Piece/dp/B0081AFEIE/ref=sr_1_49?keywords=Klein+Tools+SK234+Screwdriver+Set%2C+Slotted+Screw+Holding%2C+3-Piece&amp;qid=1694734646&amp;sr=8-49", "https://www.amazon.com/Klein-Tools-Electronics-Screwdriver-4-Piece/dp/B0081AFEIE/ref=sr_1_49?keywords=Klein+Tools+SK234+Screwdriver+Set%2C+Slotted+Screw+Holding%2C+3-Piece&amp;qid=1694734646&amp;sr=8-49")</f>
        <v/>
      </c>
      <c r="F2198" t="inlineStr">
        <is>
          <t>B0081AFEIE</t>
        </is>
      </c>
      <c r="G2198">
        <f>_xlfn.IMAGE("https://edmondsonsupply.com/cdn/shop/products/sk234.jpg?v=1587144984")</f>
        <v/>
      </c>
      <c r="H2198">
        <f>_xlfn.IMAGE("https://m.media-amazon.com/images/I/61AaW0JcLsL._AC_UL320_.jpg")</f>
        <v/>
      </c>
      <c r="K2198" t="inlineStr">
        <is>
          <t>29.97</t>
        </is>
      </c>
      <c r="L2198" t="n">
        <v>34.99</v>
      </c>
      <c r="M2198" s="1" t="inlineStr">
        <is>
          <t>16.75%</t>
        </is>
      </c>
      <c r="N2198" s="7" t="n">
        <v>-58.94</v>
      </c>
      <c r="O2198" t="n">
        <v>4.8</v>
      </c>
      <c r="P2198" t="n">
        <v>590</v>
      </c>
      <c r="R2198" t="inlineStr">
        <is>
          <t>OutOfStock</t>
        </is>
      </c>
      <c r="S2198" t="inlineStr">
        <is>
          <t>45.42</t>
        </is>
      </c>
      <c r="T2198" t="inlineStr">
        <is>
          <t>4405483143268</t>
        </is>
      </c>
    </row>
    <row r="2199" ht="87" customHeight="1">
      <c r="A2199" s="2">
        <f>HYPERLINK("https://edmondsonsupply.com/collections/hvac/products/midwest-mwt-c5-5-blade-sheet-metal-crimper", "https://edmondsonsupply.com/collections/hvac/products/midwest-mwt-c5-5-blade-sheet-metal-crimper")</f>
        <v/>
      </c>
      <c r="B2199" s="2">
        <f>HYPERLINK("https://edmondsonsupply.com/products/midwest-mwt-c5-5-blade-sheet-metal-crimper", "https://edmondsonsupply.com/products/midwest-mwt-c5-5-blade-sheet-metal-crimper")</f>
        <v/>
      </c>
      <c r="C2199" t="inlineStr">
        <is>
          <t>Midwest MWT-C5 5-Blade Sheet Metal Crimper</t>
        </is>
      </c>
      <c r="D2199" t="inlineStr">
        <is>
          <t>MIDWEST Blade Crimper - Sheet Metal Duct End Crimps Up to 1-5/8" with Compound Leverage &amp; KUSH'N-POWER Comfort Grips - MWT-C5</t>
        </is>
      </c>
      <c r="E2199" s="2">
        <f>HYPERLINK("https://www.amazon.com/MIDWEST-Blade-Crimper-Compound-KUSHN-POWER/dp/B00OJ0KPBG/ref=sr_1_1?keywords=Midwest+MWT-C5+5-Blade+Sheet+Metal+Crimper&amp;qid=1694734676&amp;sr=8-1", "https://www.amazon.com/MIDWEST-Blade-Crimper-Compound-KUSHN-POWER/dp/B00OJ0KPBG/ref=sr_1_1?keywords=Midwest+MWT-C5+5-Blade+Sheet+Metal+Crimper&amp;qid=1694734676&amp;sr=8-1")</f>
        <v/>
      </c>
      <c r="F2199" t="inlineStr">
        <is>
          <t>B00OJ0KPBG</t>
        </is>
      </c>
      <c r="G2199">
        <f>_xlfn.IMAGE("https://edmondsonsupply.com/cdn/shop/products/MWT-C51.jpg?v=1587151243")</f>
        <v/>
      </c>
      <c r="H2199">
        <f>_xlfn.IMAGE("https://m.media-amazon.com/images/I/61Lp1Xf+1VL._AC_UL320_.jpg")</f>
        <v/>
      </c>
      <c r="K2199" t="inlineStr">
        <is>
          <t>25.69</t>
        </is>
      </c>
      <c r="L2199" t="n">
        <v>29.99</v>
      </c>
      <c r="M2199" s="1" t="inlineStr">
        <is>
          <t>16.74%</t>
        </is>
      </c>
      <c r="N2199" s="7" t="n">
        <v>-59.58</v>
      </c>
      <c r="O2199" t="n">
        <v>4.5</v>
      </c>
      <c r="P2199" t="n">
        <v>306</v>
      </c>
      <c r="R2199" t="inlineStr">
        <is>
          <t>OutOfStock</t>
        </is>
      </c>
      <c r="S2199" t="inlineStr">
        <is>
          <t>35.04</t>
        </is>
      </c>
      <c r="T2199" t="inlineStr">
        <is>
          <t>4409568428132</t>
        </is>
      </c>
    </row>
    <row r="2200" hidden="1" ht="15.75" customHeight="1">
      <c r="A2200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200" s="2">
        <f>HYPERLINK("https://edmondsonsupply.com/products/klein-tools-s8m-1-4-inch-magnetic-nut-driver-3-inch-shank", "https://edmondsonsupply.com/products/klein-tools-s8m-1-4-inch-magnetic-nut-driver-3-inch-shank")</f>
        <v/>
      </c>
      <c r="C2200" t="inlineStr">
        <is>
          <t>Klein Tools S8M 1/4-Inch Magnetic Nut Driver 3-Inch Shank</t>
        </is>
      </c>
      <c r="D2200" t="inlineStr">
        <is>
          <t>Klein Tools 646-1/4M Nut Driver, 1/4-Inch Magnetic Tip Nut Driver with 6-Inch Hollow Shaft, Cushion Grip Handle</t>
        </is>
      </c>
      <c r="E2200" s="2">
        <f>HYPERLINK("https://www.amazon.com/Magnetic-Klein-Tools-646-1-4M/dp/B00093GEC6/ref=sr_1_2?keywords=Klein+Tools+S8M+1%2F4-Inch+Magnetic+Nut+Driver+3-Inch+Shank&amp;qid=1694734781&amp;sr=8-2", "https://www.amazon.com/Magnetic-Klein-Tools-646-1-4M/dp/B00093GEC6/ref=sr_1_2?keywords=Klein+Tools+S8M+1%2F4-Inch+Magnetic+Nut+Driver+3-Inch+Shank&amp;qid=1694734781&amp;sr=8-2")</f>
        <v/>
      </c>
      <c r="F2200" t="inlineStr">
        <is>
          <t>B00093GEC6</t>
        </is>
      </c>
      <c r="G2200">
        <f>_xludf.IMAGE("https://edmondsonsupply.com/cdn/shop/products/s8m.jpg?v=1633030818")</f>
        <v/>
      </c>
      <c r="H2200">
        <f>_xludf.IMAGE("https://m.media-amazon.com/images/I/418bbEGck1L._AC_UL320_.jpg")</f>
        <v/>
      </c>
      <c r="K2200" t="inlineStr">
        <is>
          <t>8.99</t>
        </is>
      </c>
      <c r="L2200" t="n">
        <v>10.49</v>
      </c>
      <c r="M2200" s="1" t="inlineStr">
        <is>
          <t>16.69%</t>
        </is>
      </c>
      <c r="N2200" s="1" t="n">
        <v>-59.69</v>
      </c>
      <c r="O2200" t="n">
        <v>4.8</v>
      </c>
      <c r="P2200" t="n">
        <v>2491</v>
      </c>
      <c r="R2200" t="inlineStr">
        <is>
          <t>InStock</t>
        </is>
      </c>
      <c r="S2200" t="inlineStr">
        <is>
          <t>13.62</t>
        </is>
      </c>
      <c r="T2200" t="inlineStr">
        <is>
          <t>6072223957165</t>
        </is>
      </c>
    </row>
    <row r="2201" ht="87" customHeight="1">
      <c r="A2201" s="2">
        <f>HYPERLINK("https://edmondsonsupply.com/collections/hvac/products/malco-mshxlc-6", "https://edmondsonsupply.com/collections/hvac/products/malco-mshxlc-6")</f>
        <v/>
      </c>
      <c r="B2201" s="2">
        <f>HYPERLINK("https://edmondsonsupply.com/products/malco-mshxlc-6", "https://edmondsonsupply.com/products/malco-mshxlc-6")</f>
        <v/>
      </c>
      <c r="C2201" t="inlineStr">
        <is>
          <t>Malco Tools MSHXLC 6-Inch C-Rhex Cleanable, Reversible Magnetic Hex Driver, 1/4" &amp; 5/16"</t>
        </is>
      </c>
      <c r="D2201" t="inlineStr">
        <is>
          <t>Malco 5/16 &amp; 3/8 x 4" Dual Sided Hex Driver~ Cleanable, Reversible, Magnetic. Easy to Clean- MSHXLC1</t>
        </is>
      </c>
      <c r="E2201" s="2">
        <f>HYPERLINK("https://www.amazon.com/Driver-Cleanable-Reversible-Magnetic-MSHXLC1/dp/B082QSHRQ2/ref=sr_1_29?keywords=Malco+Tools+MSHXLC+6-Inch+C-Rhex+Cleanable%2C+Reversible+Magnetic+Hex+Driver%2C+1%2F4&amp;qid=1694734630&amp;sr=8-29", "https://www.amazon.com/Driver-Cleanable-Reversible-Magnetic-MSHXLC1/dp/B082QSHRQ2/ref=sr_1_29?keywords=Malco+Tools+MSHXLC+6-Inch+C-Rhex+Cleanable%2C+Reversible+Magnetic+Hex+Driver%2C+1%2F4&amp;qid=1694734630&amp;sr=8-29")</f>
        <v/>
      </c>
      <c r="F2201" t="inlineStr">
        <is>
          <t>B082QSHRQ2</t>
        </is>
      </c>
      <c r="G2201">
        <f>_xlfn.IMAGE("https://edmondsonsupply.com/cdn/shop/products/Malco-MSHXLC-CRHEX-Slim-Design.jpg?v=1668084662")</f>
        <v/>
      </c>
      <c r="H2201">
        <f>_xlfn.IMAGE("https://m.media-amazon.com/images/I/31eOl08OCEL._AC_UL320_.jpg")</f>
        <v/>
      </c>
      <c r="K2201" t="inlineStr">
        <is>
          <t>17.99</t>
        </is>
      </c>
      <c r="L2201" t="n">
        <v>20.99</v>
      </c>
      <c r="M2201" s="1" t="inlineStr">
        <is>
          <t>16.68%</t>
        </is>
      </c>
      <c r="N2201" s="7" t="n">
        <v>-59.88</v>
      </c>
      <c r="O2201" t="n">
        <v>4.7</v>
      </c>
      <c r="P2201" t="n">
        <v>708</v>
      </c>
      <c r="R2201" t="inlineStr">
        <is>
          <t>InStock</t>
        </is>
      </c>
      <c r="S2201" t="inlineStr">
        <is>
          <t>19.11</t>
        </is>
      </c>
      <c r="T2201" t="inlineStr">
        <is>
          <t>4102710394980</t>
        </is>
      </c>
    </row>
    <row r="2202" hidden="1" ht="15.75" customHeight="1">
      <c r="A2202" s="2">
        <f>HYPERLINK("https://edmondsonsupply.com/collections/hvac/products/testo-0590-7551-755-1-current-voltage-meter-with-200-a-ac-600-v-ac-dc-and-continuity", "https://edmondsonsupply.com/collections/hvac/products/testo-0590-7551-755-1-current-voltage-meter-with-200-a-ac-600-v-ac-dc-and-continuity")</f>
        <v/>
      </c>
      <c r="B2202" s="2">
        <f>HYPERLINK("https://edmondsonsupply.com/products/testo-0590-7551-755-1-current-voltage-meter-with-200-a-ac-600-v-ac-dc-and-continuity", "https://edmondsonsupply.com/products/testo-0590-7551-755-1-current-voltage-meter-with-200-a-ac-600-v-ac-dc-and-continuity")</f>
        <v/>
      </c>
      <c r="C2202" t="inlineStr">
        <is>
          <t>Testo 0590 7551 755-1 - Current / Voltage Meter with 200 A AC, 600 V AC/DC, and Continuity</t>
        </is>
      </c>
      <c r="D2202" t="inlineStr">
        <is>
          <t>Testo 755-1 (0590 7551) Current/Voltage Meter, 200 A AC, 600 V AC/DC</t>
        </is>
      </c>
      <c r="E2202" s="2">
        <f>HYPERLINK("https://www.amazon.com/Testo-755-1-Current-Voltage-Continuity/dp/B01F3MPHMU/ref=sr_1_1?keywords=Testo+0590+7551+755-1+-+Current+%2F+Voltage+Meter+with+200+A+AC%2C+600+V+AC%2FDC%2C+and+Continuity&amp;qid=1694734891&amp;sr=8-1", "https://www.amazon.com/Testo-755-1-Current-Voltage-Continuity/dp/B01F3MPHMU/ref=sr_1_1?keywords=Testo+0590+7551+755-1+-+Current+%2F+Voltage+Meter+with+200+A+AC%2C+600+V+AC%2FDC%2C+and+Continuity&amp;qid=1694734891&amp;sr=8-1")</f>
        <v/>
      </c>
      <c r="F2202" t="inlineStr">
        <is>
          <t>B01F3MPHMU</t>
        </is>
      </c>
      <c r="G2202">
        <f>_xludf.IMAGE("https://edmondsonsupply.com/cdn/shop/files/testo-755-1_front_prl.jpg?v=1688226764")</f>
        <v/>
      </c>
      <c r="H2202">
        <f>_xludf.IMAGE("https://m.media-amazon.com/images/I/81EGlqWO01L._AC_UY218_.jpg")</f>
        <v/>
      </c>
      <c r="K2202" t="inlineStr">
        <is>
          <t>177.65</t>
        </is>
      </c>
      <c r="L2202" t="n">
        <v>207.25</v>
      </c>
      <c r="M2202" s="1" t="inlineStr">
        <is>
          <t>16.66%</t>
        </is>
      </c>
      <c r="N2202" s="1" t="n">
        <v>-60</v>
      </c>
      <c r="O2202" t="n">
        <v>3.2</v>
      </c>
      <c r="P2202" t="n">
        <v>5</v>
      </c>
      <c r="R2202" t="inlineStr">
        <is>
          <t>InStock</t>
        </is>
      </c>
      <c r="S2202" t="inlineStr">
        <is>
          <t>209.0</t>
        </is>
      </c>
      <c r="T2202" t="inlineStr">
        <is>
          <t>8011673043160</t>
        </is>
      </c>
    </row>
    <row r="2203" hidden="1" ht="15.75" customHeight="1">
      <c r="A2203" s="2">
        <f>HYPERLINK("https://edmondsonsupply.com/collections/hvac/products/cps-products-ad64-3-8-sae-m-x-1-4sae-f-adapter", "https://edmondsonsupply.com/collections/hvac/products/cps-products-ad64-3-8-sae-m-x-1-4sae-f-adapter")</f>
        <v/>
      </c>
      <c r="B2203" s="2">
        <f>HYPERLINK("https://edmondsonsupply.com/products/cps-products-ad64-3-8-sae-m-x-1-4sae-f-adapter", "https://edmondsonsupply.com/products/cps-products-ad64-3-8-sae-m-x-1-4sae-f-adapter")</f>
        <v/>
      </c>
      <c r="C2203" t="inlineStr">
        <is>
          <t>CPS Products AD64 - 3/8" SAE M x 1/4"SAE F Adapter</t>
        </is>
      </c>
      <c r="D2203" t="inlineStr">
        <is>
          <t>CPS AD64 3/8' SAE M x 1/4'SAE F Adapter Black Cable Adapter</t>
        </is>
      </c>
      <c r="E2203" s="2">
        <f>HYPERLINK("https://www.amazon.com/CPS-AD64-3-SAE-4SAE-Adapter/dp/B07N93GJGZ/ref=sr_1_1?keywords=CPS+Products+AD64+-+3%2F8+SAE+M+x+1%2F4SAE+F+Adapter&amp;qid=1694734899&amp;sr=8-1", "https://www.amazon.com/CPS-AD64-3-SAE-4SAE-Adapter/dp/B07N93GJGZ/ref=sr_1_1?keywords=CPS+Products+AD64+-+3%2F8+SAE+M+x+1%2F4SAE+F+Adapter&amp;qid=1694734899&amp;sr=8-1")</f>
        <v/>
      </c>
      <c r="F2203" t="inlineStr">
        <is>
          <t>B07N93GJGZ</t>
        </is>
      </c>
      <c r="G2203">
        <f>_xludf.IMAGE("https://edmondsonsupply.com/cdn/shop/files/CPSad68-2.jpg?v=1687354474")</f>
        <v/>
      </c>
      <c r="H2203">
        <f>_xludf.IMAGE("https://m.media-amazon.com/images/I/41J1x8a1PDL._AC_UL320_.jpg")</f>
        <v/>
      </c>
      <c r="K2203" t="inlineStr">
        <is>
          <t>5.99</t>
        </is>
      </c>
      <c r="L2203" t="n">
        <v>6.97</v>
      </c>
      <c r="M2203" s="1" t="inlineStr">
        <is>
          <t>16.36%</t>
        </is>
      </c>
      <c r="N2203" s="1" t="n">
        <v>-61.18</v>
      </c>
      <c r="O2203" t="n">
        <v>3</v>
      </c>
      <c r="P2203" t="n">
        <v>1</v>
      </c>
      <c r="R2203" t="inlineStr">
        <is>
          <t>InStock</t>
        </is>
      </c>
      <c r="S2203" t="inlineStr">
        <is>
          <t>undefined</t>
        </is>
      </c>
      <c r="T2203" t="inlineStr">
        <is>
          <t>8007781679320</t>
        </is>
      </c>
    </row>
    <row r="2204" hidden="1" ht="15.75" customHeight="1">
      <c r="A2204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2204" s="2">
        <f>HYPERLINK("https://edmondsonsupply.com/products/packard-prmj189-motor-start-capacitor-189-227-mfd-330-vac", "https://edmondsonsupply.com/products/packard-prmj189-motor-start-capacitor-189-227-mfd-330-vac")</f>
        <v/>
      </c>
      <c r="C2204" t="inlineStr">
        <is>
          <t>Packard PRMJ189 Motor Start Capacitor 189-227 MFD 330 VAC</t>
        </is>
      </c>
      <c r="D2204" t="inlineStr">
        <is>
          <t>Motor Start Capacitor 189-227 MFD uF 125VAC US Style Round for Single Phase Motor</t>
        </is>
      </c>
      <c r="E2204" s="2">
        <f>HYPERLINK("https://www.amazon.com/Motor-Capacitor-189-227-125VAC-Single/dp/B07H28CRSJ/ref=sr_1_13?keywords=Packard+PRMJ189+Motor+Start+Capacitor+189-227+MFD+330+VAC&amp;qid=1694734820&amp;sr=8-13", "https://www.amazon.com/Motor-Capacitor-189-227-125VAC-Single/dp/B07H28CRSJ/ref=sr_1_13?keywords=Packard+PRMJ189+Motor+Start+Capacitor+189-227+MFD+330+VAC&amp;qid=1694734820&amp;sr=8-13")</f>
        <v/>
      </c>
      <c r="F2204" t="inlineStr">
        <is>
          <t>B07H28CRSJ</t>
        </is>
      </c>
      <c r="G2204">
        <f>_xludf.IMAGE("https://edmondsonsupply.com/cdn/shop/products/PRMJ189-2.jpg?v=1663378512")</f>
        <v/>
      </c>
      <c r="H2204">
        <f>_xludf.IMAGE("https://m.media-amazon.com/images/I/61AHnMO+owL._AC_UY218_.jpg")</f>
        <v/>
      </c>
      <c r="K2204" t="inlineStr">
        <is>
          <t>8.59</t>
        </is>
      </c>
      <c r="L2204" t="n">
        <v>9.99</v>
      </c>
      <c r="M2204" s="1" t="inlineStr">
        <is>
          <t>16.30%</t>
        </is>
      </c>
      <c r="N2204" s="1" t="n">
        <v>-62.26</v>
      </c>
      <c r="O2204" t="n">
        <v>4.6</v>
      </c>
      <c r="P2204" t="n">
        <v>245</v>
      </c>
      <c r="R2204" t="inlineStr">
        <is>
          <t>InStock</t>
        </is>
      </c>
      <c r="S2204" t="inlineStr">
        <is>
          <t>undefined</t>
        </is>
      </c>
      <c r="T2204" t="inlineStr">
        <is>
          <t>4298778378340</t>
        </is>
      </c>
    </row>
    <row r="2205" ht="87" customHeight="1">
      <c r="A2205" s="2">
        <f>HYPERLINK("https://edmondsonsupply.com/collections/hvac/products/greenlee-gsb01-1-2-step-bit-1", "https://edmondsonsupply.com/collections/hvac/products/greenlee-gsb01-1-2-step-bit-1")</f>
        <v/>
      </c>
      <c r="B2205" s="2">
        <f>HYPERLINK("https://edmondsonsupply.com/products/greenlee-gsb01-1-2-step-bit-1", "https://edmondsonsupply.com/products/greenlee-gsb01-1-2-step-bit-1")</f>
        <v/>
      </c>
      <c r="C2205" t="inlineStr">
        <is>
          <t>Greenlee GSB01 1/2" Step Bit (#1)</t>
        </is>
      </c>
      <c r="D2205" t="inlineStr">
        <is>
          <t>Greenlee GSB04 7/8" Step Bit (#4) Metal Cutter with Patented Split-Step Design, 7/8" Metal Cutting Tool for 1/2" Drill Chucks</t>
        </is>
      </c>
      <c r="E2205" s="2">
        <f>HYPERLINK("https://www.amazon.com/Greenlee-GSB04-Step-Bit/dp/B08TVF22W4/ref=sr_1_1?keywords=Greenlee+GSB01+1%2F2%22+Step+Bit+%28%231%29&amp;qid=1694734894&amp;sr=8-1", "https://www.amazon.com/Greenlee-GSB04-Step-Bit/dp/B08TVF22W4/ref=sr_1_1?keywords=Greenlee+GSB01+1%2F2%22+Step+Bit+%28%231%29&amp;qid=1694734894&amp;sr=8-1")</f>
        <v/>
      </c>
      <c r="F2205" t="inlineStr">
        <is>
          <t>B08TVF22W4</t>
        </is>
      </c>
      <c r="G2205">
        <f>_xlfn.IMAGE("https://edmondsonsupply.com/cdn/shop/files/GSB01_CAT1_72dpi_1.jpg?v=1687790366")</f>
        <v/>
      </c>
      <c r="H2205">
        <f>_xlfn.IMAGE("https://m.media-amazon.com/images/I/41FX4czhS0L._AC_UY218_.jpg")</f>
        <v/>
      </c>
      <c r="K2205" t="inlineStr">
        <is>
          <t>31.22</t>
        </is>
      </c>
      <c r="L2205" t="n">
        <v>36.24</v>
      </c>
      <c r="M2205" s="1" t="inlineStr">
        <is>
          <t>16.08%</t>
        </is>
      </c>
      <c r="N2205" s="7" t="n">
        <v>-62.66</v>
      </c>
      <c r="O2205" t="n">
        <v>5</v>
      </c>
      <c r="P2205" t="n">
        <v>7</v>
      </c>
      <c r="R2205" t="inlineStr">
        <is>
          <t>InStock</t>
        </is>
      </c>
      <c r="S2205" t="inlineStr">
        <is>
          <t>undefined</t>
        </is>
      </c>
      <c r="T2205" t="inlineStr">
        <is>
          <t>8009320628440</t>
        </is>
      </c>
    </row>
    <row r="2206" ht="87" customHeight="1">
      <c r="A2206" s="2">
        <f>HYPERLINK("https://edmondsonsupply.com/collections/hvac/products/uniweld-type17-15-oxyacetylene-rosebud-heating-welding-brazing-tip", "https://edmondsonsupply.com/collections/hvac/products/uniweld-type17-15-oxyacetylene-rosebud-heating-welding-brazing-tip")</f>
        <v/>
      </c>
      <c r="B2206" s="2">
        <f>HYPERLINK("https://edmondsonsupply.com/products/uniweld-type17-15-oxyacetylene-rosebud-heating-welding-brazing-tip", "https://edmondsonsupply.com/products/uniweld-type17-15-oxyacetylene-rosebud-heating-welding-brazing-tip")</f>
        <v/>
      </c>
      <c r="C2206" t="inlineStr">
        <is>
          <t>Uniweld Type17-15 Oxyacetylene Rosebud Heating Welding &amp; Brazing Tip</t>
        </is>
      </c>
      <c r="D2206" t="inlineStr">
        <is>
          <t>Uniweld TYPE17-15 Rosebud Brazing &amp; Heating Tip #15</t>
        </is>
      </c>
      <c r="E2206" s="2">
        <f>HYPERLINK("https://www.amazon.com/Uniweld-Type17-15-Rosebud-Heating-Tip/dp/B00FI1J1V0/ref=sr_1_1?keywords=Uniweld+Type17-15+Oxyacetylene+Rosebud+Heating+Welding&amp;qid=1694734581&amp;sr=8-1", "https://www.amazon.com/Uniweld-Type17-15-Rosebud-Heating-Tip/dp/B00FI1J1V0/ref=sr_1_1?keywords=Uniweld+Type17-15+Oxyacetylene+Rosebud+Heating+Welding&amp;qid=1694734581&amp;sr=8-1")</f>
        <v/>
      </c>
      <c r="F2206" t="inlineStr">
        <is>
          <t>B00FI1J1V0</t>
        </is>
      </c>
      <c r="G2206">
        <f>_xlfn.IMAGE("https://edmondsonsupply.com/cdn/shop/products/type17-15.jpg?v=1633030590")</f>
        <v/>
      </c>
      <c r="H2206">
        <f>_xlfn.IMAGE("https://m.media-amazon.com/images/I/51L7GasrP9L._AC_UL320_.jpg")</f>
        <v/>
      </c>
      <c r="K2206" t="inlineStr">
        <is>
          <t>63.15</t>
        </is>
      </c>
      <c r="L2206" t="n">
        <v>73.29000000000001</v>
      </c>
      <c r="M2206" s="1" t="inlineStr">
        <is>
          <t>16.06%</t>
        </is>
      </c>
      <c r="N2206" s="7" t="n">
        <v>-63.01</v>
      </c>
      <c r="O2206" t="n">
        <v>4.3</v>
      </c>
      <c r="P2206" t="n">
        <v>98</v>
      </c>
      <c r="R2206" t="inlineStr">
        <is>
          <t>InStock</t>
        </is>
      </c>
      <c r="S2206" t="inlineStr">
        <is>
          <t>82.02</t>
        </is>
      </c>
      <c r="T2206" t="inlineStr">
        <is>
          <t>5597938286760</t>
        </is>
      </c>
    </row>
    <row r="2207" ht="87" customHeight="1">
      <c r="A2207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207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207" t="inlineStr">
        <is>
          <t>ICM Controls ICM2811 Furnace Control Board - Replacement for Goodman</t>
        </is>
      </c>
      <c r="D2207" t="inlineStr">
        <is>
          <t>OEM Upgraded Replacement for Goodman Furnace Control Circuit Board PCBBF112</t>
        </is>
      </c>
      <c r="E2207" s="2">
        <f>HYPERLINK("https://www.amazon.com/Upgraded-Replacement-Goodman-Furnace-PCBBF112/dp/B00EFAXPGC/ref=sr_1_17?keywords=ICM+Controls+ICM2811+Furnace+Control+Board+-+Replacement+for+Goodman&amp;qid=1694734652&amp;sr=8-17", "https://www.amazon.com/Upgraded-Replacement-Goodman-Furnace-PCBBF112/dp/B00EFAXPGC/ref=sr_1_17?keywords=ICM+Controls+ICM2811+Furnace+Control+Board+-+Replacement+for+Goodman&amp;qid=1694734652&amp;sr=8-17")</f>
        <v/>
      </c>
      <c r="F2207" t="inlineStr">
        <is>
          <t>B00EFAXPGC</t>
        </is>
      </c>
      <c r="G2207">
        <f>_xlfn.IMAGE("https://edmondsonsupply.com/cdn/shop/products/photo_3800_medium_86f45e25-a764-4839-bc84-759a6ce1c7bd.jpg?v=1659910436")</f>
        <v/>
      </c>
      <c r="H2207">
        <f>_xlfn.IMAGE("https://m.media-amazon.com/images/I/513910cXR+L._AC_UL320_.jpg")</f>
        <v/>
      </c>
      <c r="K2207" t="inlineStr">
        <is>
          <t>68.99</t>
        </is>
      </c>
      <c r="L2207" t="n">
        <v>80</v>
      </c>
      <c r="M2207" s="1" t="inlineStr">
        <is>
          <t>15.96%</t>
        </is>
      </c>
      <c r="N2207" s="7" t="n">
        <v>-63.62</v>
      </c>
      <c r="O2207" t="n">
        <v>4.4</v>
      </c>
      <c r="P2207" t="n">
        <v>47</v>
      </c>
      <c r="R2207" t="inlineStr">
        <is>
          <t>InStock</t>
        </is>
      </c>
      <c r="S2207" t="inlineStr">
        <is>
          <t>93.62</t>
        </is>
      </c>
      <c r="T2207" t="inlineStr">
        <is>
          <t>4345448202340</t>
        </is>
      </c>
    </row>
    <row r="2208" hidden="1" ht="15.75" customHeight="1">
      <c r="A2208" s="2">
        <f>HYPERLINK("https://edmondsonsupply.com/collections/hvac/products/white-rodgers-50m56u-843-integrated-furnace-control-board-universal-replacement", "https://edmondsonsupply.com/collections/hvac/products/white-rodgers-50m56u-843-integrated-furnace-control-board-universal-replacement")</f>
        <v/>
      </c>
      <c r="B2208" s="2">
        <f>HYPERLINK("https://edmondsonsupply.com/products/white-rodgers-50m56u-843-integrated-furnace-control-board-universal-replacement", "https://edmondsonsupply.com/products/white-rodgers-50m56u-843-integrated-furnace-control-board-universal-replacement")</f>
        <v/>
      </c>
      <c r="C2208" t="inlineStr">
        <is>
          <t>White-Rodgers 50M56U-843 Integrated Furnace Control Board, Universal Replacement</t>
        </is>
      </c>
      <c r="D2208" t="inlineStr">
        <is>
          <t>White-rodgers Universal Single Stage Hsi Integrated Furnace Control Kit 50m56u-843</t>
        </is>
      </c>
      <c r="E2208" s="2">
        <f>HYPERLINK("https://www.amazon.com/White-rodgers-Universal-Integrated-Furnace-50m56u-843/dp/B082J512XT/ref=sr_1_1?keywords=White-Rodgers+50M56U-843+Integrated+Furnace+Control+Board%2C+Universal+Replacement&amp;qid=1694734587&amp;sr=8-1", "https://www.amazon.com/White-rodgers-Universal-Integrated-Furnace-50m56u-843/dp/B082J512XT/ref=sr_1_1?keywords=White-Rodgers+50M56U-843+Integrated+Furnace+Control+Board%2C+Universal+Replacement&amp;qid=1694734587&amp;sr=8-1")</f>
        <v/>
      </c>
      <c r="F2208" t="inlineStr">
        <is>
          <t>B082J512XT</t>
        </is>
      </c>
      <c r="G2208">
        <f>_xludf.IMAGE("https://edmondsonsupply.com/cdn/shop/products/integrated-furnace-controls-universal-replacement-img-4a.jpg?v=1633030752")</f>
        <v/>
      </c>
      <c r="H2208">
        <f>_xludf.IMAGE("https://m.media-amazon.com/images/I/51hdpsDr8TL._AC_UL320_.jpg")</f>
        <v/>
      </c>
      <c r="K2208" t="inlineStr">
        <is>
          <t>160.92</t>
        </is>
      </c>
      <c r="L2208" t="n">
        <v>186.58</v>
      </c>
      <c r="M2208" s="1" t="inlineStr">
        <is>
          <t>15.95%</t>
        </is>
      </c>
      <c r="N2208" s="1" t="n">
        <v>-64.43000000000001</v>
      </c>
      <c r="O2208" t="n">
        <v>2.8</v>
      </c>
      <c r="P2208" t="n">
        <v>4</v>
      </c>
      <c r="R2208" t="inlineStr">
        <is>
          <t>InStock</t>
        </is>
      </c>
      <c r="S2208" t="inlineStr">
        <is>
          <t>367.81</t>
        </is>
      </c>
      <c r="T2208" t="inlineStr">
        <is>
          <t>5896435368104</t>
        </is>
      </c>
    </row>
    <row r="2209" hidden="1" ht="15.75" customHeight="1">
      <c r="A2209" s="2">
        <f>HYPERLINK("https://edmondsonsupply.com/collections/hvac/products/white-rodgers-50a65-5165-integrated-furnace-control-board-replacement-for-trane", "https://edmondsonsupply.com/collections/hvac/products/white-rodgers-50a65-5165-integrated-furnace-control-board-replacement-for-trane")</f>
        <v/>
      </c>
      <c r="B2209" s="2">
        <f>HYPERLINK("https://edmondsonsupply.com/products/white-rodgers-50a65-5165-integrated-furnace-control-board-replacement-for-trane", "https://edmondsonsupply.com/products/white-rodgers-50a65-5165-integrated-furnace-control-board-replacement-for-trane")</f>
        <v/>
      </c>
      <c r="C2209" t="inlineStr">
        <is>
          <t>White-Rodgers 50A65-5165 Integrated Furnace Control Board, Replacement for Trane</t>
        </is>
      </c>
      <c r="D2209" t="inlineStr">
        <is>
          <t>White-rodgers Trane Single Stage 80v Ignitor Hsi Integrated Furnace Control Kit 50a65-5165</t>
        </is>
      </c>
      <c r="E2209" s="2">
        <f>HYPERLINK("https://www.amazon.com/White-rodgers-Ignitor-Integrated-Furnace-50a65-5165/dp/B082J6QBJH/ref=sr_1_2?keywords=White-Rodgers+50A65-5165+Integrated+Furnace+Control+Board%2C+Replacement+for+Trane&amp;qid=1694734629&amp;sr=8-2", "https://www.amazon.com/White-rodgers-Ignitor-Integrated-Furnace-50a65-5165/dp/B082J6QBJH/ref=sr_1_2?keywords=White-Rodgers+50A65-5165+Integrated+Furnace+Control+Board%2C+Replacement+for+Trane&amp;qid=1694734629&amp;sr=8-2")</f>
        <v/>
      </c>
      <c r="F2209" t="inlineStr">
        <is>
          <t>B082J6QBJH</t>
        </is>
      </c>
      <c r="G2209">
        <f>_xludf.IMAGE("https://edmondsonsupply.com/cdn/shop/products/integrated-furnace-controls-direct-oem-replacement-g.jpg?v=1633030662")</f>
        <v/>
      </c>
      <c r="H2209">
        <f>_xludf.IMAGE("https://m.media-amazon.com/images/I/51TXilEX9sL._AC_UL320_.jpg")</f>
        <v/>
      </c>
      <c r="K2209" t="inlineStr">
        <is>
          <t>112.58</t>
        </is>
      </c>
      <c r="L2209" t="n">
        <v>130.5</v>
      </c>
      <c r="M2209" s="1" t="inlineStr">
        <is>
          <t>15.92%</t>
        </is>
      </c>
      <c r="N2209" s="1" t="n">
        <v>-64.43000000000001</v>
      </c>
      <c r="O2209" t="n">
        <v>3.7</v>
      </c>
      <c r="P2209" t="n">
        <v>4</v>
      </c>
      <c r="R2209" t="inlineStr">
        <is>
          <t>InStock</t>
        </is>
      </c>
      <c r="S2209" t="inlineStr">
        <is>
          <t>257.31</t>
        </is>
      </c>
      <c r="T2209" t="inlineStr">
        <is>
          <t>5757333209256</t>
        </is>
      </c>
    </row>
    <row r="2210" ht="87" customHeight="1">
      <c r="A2210" s="2">
        <f>HYPERLINK("https://edmondsonsupply.com/collections/hvac/products/robertshaw-rs9220", "https://edmondsonsupply.com/collections/hvac/products/robertshaw-rs9220")</f>
        <v/>
      </c>
      <c r="B2210" s="2">
        <f>HYPERLINK("https://edmondsonsupply.com/products/robertshaw-rs9220", "https://edmondsonsupply.com/products/robertshaw-rs9220")</f>
        <v/>
      </c>
      <c r="C2210" t="inlineStr">
        <is>
          <t>Robertshaw RS9220 Programmable Wall Thermostat, Multi-Stage - 2 Heat / 2 Cool</t>
        </is>
      </c>
      <c r="D2210" t="inlineStr">
        <is>
          <t>Robertshaw RS9220 Pro Series 7-Day Programmable Thermostat, Multi-Stage, 2 Heat / 2 Cool</t>
        </is>
      </c>
      <c r="E2210" s="2">
        <f>HYPERLINK("https://www.amazon.com/Robertshaw-RS9220-Programmable-Thermostat-Multi-Stage/dp/B00U5CAZAS/ref=sr_1_1?keywords=Robertshaw+RS9220+Programmable+Wall+Thermostat%2C+Multi-Stage+-+2+Heat+%2F+2+Cool&amp;qid=1694734846&amp;sr=8-1", "https://www.amazon.com/Robertshaw-RS9220-Programmable-Thermostat-Multi-Stage/dp/B00U5CAZAS/ref=sr_1_1?keywords=Robertshaw+RS9220+Programmable+Wall+Thermostat%2C+Multi-Stage+-+2+Heat+%2F+2+Cool&amp;qid=1694734846&amp;sr=8-1")</f>
        <v/>
      </c>
      <c r="F2210" t="inlineStr">
        <is>
          <t>B00U5CAZAS</t>
        </is>
      </c>
      <c r="G2210">
        <f>_xlfn.IMAGE("https://edmondsonsupply.com/cdn/shop/files/67652dc9-4ca4-4b9c-987a-a2c62c95b630.jpg?v=1693935585")</f>
        <v/>
      </c>
      <c r="H2210">
        <f>_xlfn.IMAGE("https://m.media-amazon.com/images/I/61kDR6KMw4L._AC_UL320_.jpg")</f>
        <v/>
      </c>
      <c r="K2210" t="inlineStr">
        <is>
          <t>47.04</t>
        </is>
      </c>
      <c r="L2210" t="n">
        <v>54.51</v>
      </c>
      <c r="M2210" s="1" t="inlineStr">
        <is>
          <t>15.88%</t>
        </is>
      </c>
      <c r="N2210" s="7" t="n">
        <v>-65.36</v>
      </c>
      <c r="O2210" t="n">
        <v>4.6</v>
      </c>
      <c r="P2210" t="n">
        <v>6</v>
      </c>
      <c r="R2210" t="inlineStr">
        <is>
          <t>InStock</t>
        </is>
      </c>
      <c r="S2210" t="inlineStr">
        <is>
          <t>undefined</t>
        </is>
      </c>
      <c r="T2210" t="inlineStr">
        <is>
          <t>8034296594648</t>
        </is>
      </c>
    </row>
    <row r="2211" ht="87" customHeight="1">
      <c r="A2211" s="2">
        <f>HYPERLINK("https://edmondsonsupply.com/collections/hvac/products/5-2-1-compressor-saver-csru2", "https://edmondsonsupply.com/collections/hvac/products/5-2-1-compressor-saver-csru2")</f>
        <v/>
      </c>
      <c r="B2211" s="2">
        <f>HYPERLINK("https://edmondsonsupply.com/products/5-2-1-compressor-saver-csru2", "https://edmondsonsupply.com/products/5-2-1-compressor-saver-csru2")</f>
        <v/>
      </c>
      <c r="C2211" t="inlineStr">
        <is>
          <t>5-2-1 CSRU2 Compressor Saver, 3-1/2 to 5 Tons</t>
        </is>
      </c>
      <c r="D2211" t="inlineStr">
        <is>
          <t>CPS 5-2-1 CSRU1 Compressor Saver for 1 to 3 Ton Units</t>
        </is>
      </c>
      <c r="E2211" s="2">
        <f>HYPERLINK("https://www.amazon.com/CPS-5-2-1-CSRU1-Compressor-Saver/dp/B003FNMADE/ref=sr_1_9?keywords=5-2-1+CSRU2+Compressor+Saver%2C+3-1%2F2+to+5+Tons&amp;qid=1694734823&amp;sr=8-9", "https://www.amazon.com/CPS-5-2-1-CSRU1-Compressor-Saver/dp/B003FNMADE/ref=sr_1_9?keywords=5-2-1+CSRU2+Compressor+Saver%2C+3-1%2F2+to+5+Tons&amp;qid=1694734823&amp;sr=8-9")</f>
        <v/>
      </c>
      <c r="F2211" t="inlineStr">
        <is>
          <t>B003FNMADE</t>
        </is>
      </c>
      <c r="G2211">
        <f>_xlfn.IMAGE("https://edmondsonsupply.com/cdn/shop/products/CSRU2.jpg?v=1633030087")</f>
        <v/>
      </c>
      <c r="H2211">
        <f>_xlfn.IMAGE("https://m.media-amazon.com/images/I/41opwK2dhRL._AC_UL320_.jpg")</f>
        <v/>
      </c>
      <c r="K2211" t="inlineStr">
        <is>
          <t>42.24</t>
        </is>
      </c>
      <c r="L2211" t="n">
        <v>48.86</v>
      </c>
      <c r="M2211" s="1" t="inlineStr">
        <is>
          <t>15.67%</t>
        </is>
      </c>
      <c r="N2211" s="7" t="n">
        <v>-65.56999999999999</v>
      </c>
      <c r="O2211" t="n">
        <v>4.6</v>
      </c>
      <c r="P2211" t="n">
        <v>875</v>
      </c>
      <c r="R2211" t="inlineStr">
        <is>
          <t>InStock</t>
        </is>
      </c>
      <c r="S2211" t="inlineStr">
        <is>
          <t>48.74</t>
        </is>
      </c>
      <c r="T2211" t="inlineStr">
        <is>
          <t>3561347317860</t>
        </is>
      </c>
    </row>
    <row r="2212" hidden="1" ht="15.75" customHeight="1">
      <c r="A2212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2212" s="2">
        <f>HYPERLINK("https://edmondsonsupply.com/products/packard-prmj270-motor-start-capacitor-270-324-mfd-330-vac", "https://edmondsonsupply.com/products/packard-prmj270-motor-start-capacitor-270-324-mfd-330-vac")</f>
        <v/>
      </c>
      <c r="C2212" t="inlineStr">
        <is>
          <t>Packard PRMJ270 Motor Start Capacitor 270-324 MFD 330 VAC</t>
        </is>
      </c>
      <c r="D2212" t="inlineStr">
        <is>
          <t>Universal Fit 270-324 Mfd uF 110-125VAC Round Motor Start Capacitor 50/60 Hz AC Electric Replacement Part by Blue Stars</t>
        </is>
      </c>
      <c r="E2212" s="2">
        <f>HYPERLINK("https://www.amazon.com/Universal-110-125VAC-Capacitor-Electric-Replacement/dp/B09TKVW8CD/ref=sr_1_13?keywords=Packard+PRMJ270+Motor+Start+Capacitor+270-324+MFD+330+VAC&amp;qid=1694734674&amp;sr=8-13", "https://www.amazon.com/Universal-110-125VAC-Capacitor-Electric-Replacement/dp/B09TKVW8CD/ref=sr_1_13?keywords=Packard+PRMJ270+Motor+Start+Capacitor+270-324+MFD+330+VAC&amp;qid=1694734674&amp;sr=8-13")</f>
        <v/>
      </c>
      <c r="F2212" t="inlineStr">
        <is>
          <t>B09TKVW8CD</t>
        </is>
      </c>
      <c r="G2212">
        <f>_xludf.IMAGE("https://edmondsonsupply.com/cdn/shop/products/PRMJ270-2.jpg?v=1633030164")</f>
        <v/>
      </c>
      <c r="H2212">
        <f>_xludf.IMAGE("https://m.media-amazon.com/images/I/817Tf+h23IL._AC_UY218_.jpg")</f>
        <v/>
      </c>
      <c r="K2212" t="inlineStr">
        <is>
          <t>10.37</t>
        </is>
      </c>
      <c r="L2212" t="n">
        <v>11.99</v>
      </c>
      <c r="M2212" s="1" t="inlineStr">
        <is>
          <t>15.62%</t>
        </is>
      </c>
      <c r="N2212" s="1" t="n">
        <v>-65.64</v>
      </c>
      <c r="O2212" t="n">
        <v>4.6</v>
      </c>
      <c r="P2212" t="n">
        <v>43</v>
      </c>
      <c r="R2212" t="inlineStr">
        <is>
          <t>InStock</t>
        </is>
      </c>
      <c r="S2212" t="inlineStr">
        <is>
          <t>undefined</t>
        </is>
      </c>
      <c r="T2212" t="inlineStr">
        <is>
          <t>4298743185508</t>
        </is>
      </c>
    </row>
    <row r="2213" ht="87" customHeight="1">
      <c r="A2213" s="2">
        <f>HYPERLINK("https://edmondsonsupply.com/collections/hvac/products/uei-dl429b-true-rms-digital-clamp-meter-w-wireless-and-differential-temperature", "https://edmondsonsupply.com/collections/hvac/products/uei-dl429b-true-rms-digital-clamp-meter-w-wireless-and-differential-temperature")</f>
        <v/>
      </c>
      <c r="B2213" s="2">
        <f>HYPERLINK("https://edmondsonsupply.com/products/uei-dl429b-true-rms-digital-clamp-meter-w-wireless-and-differential-temperature", "https://edmondsonsupply.com/products/uei-dl429b-true-rms-digital-clamp-meter-w-wireless-and-differential-temperature")</f>
        <v/>
      </c>
      <c r="C2213" t="inlineStr">
        <is>
          <t>UEi DL479 AC 600A True RMS HVAC/R Clamp Meter</t>
        </is>
      </c>
      <c r="D2213" t="inlineStr">
        <is>
          <t>UEi DL389B Digital True RMS Clamp Meter, HVAC 4000 Counts Auto Ranging Voltmeter, Measures AC &amp; DC Volts AC Amps AC/DC Microamps Temperature Frequency Resistance Capacitance Duty Cycle NCV Diode Test</t>
        </is>
      </c>
      <c r="E2213" s="2">
        <f>HYPERLINK("https://www.amazon.com/DL389B-True-Display-Clamp-Meter/dp/B07T9GD6DB/ref=sr_1_1?keywords=UEi+DL479+AC+600A+True+RMS+HVAC%2FR+Clamp+Meter&amp;qid=1694734735&amp;sr=8-1", "https://www.amazon.com/DL389B-True-Display-Clamp-Meter/dp/B07T9GD6DB/ref=sr_1_1?keywords=UEi+DL479+AC+600A+True+RMS+HVAC%2FR+Clamp+Meter&amp;qid=1694734735&amp;sr=8-1")</f>
        <v/>
      </c>
      <c r="F2213" t="inlineStr">
        <is>
          <t>B07T9GD6DB</t>
        </is>
      </c>
      <c r="G2213">
        <f>_xlfn.IMAGE("https://edmondsonsupply.com/cdn/shop/products/DL479-1.jpg?v=1587142104")</f>
        <v/>
      </c>
      <c r="H2213">
        <f>_xlfn.IMAGE("https://m.media-amazon.com/images/I/61+s0r8oDBL._AC_UY218_.jpg")</f>
        <v/>
      </c>
      <c r="K2213" t="inlineStr">
        <is>
          <t>138.51</t>
        </is>
      </c>
      <c r="L2213" t="n">
        <v>160</v>
      </c>
      <c r="M2213" s="1" t="inlineStr">
        <is>
          <t>15.52%</t>
        </is>
      </c>
      <c r="N2213" s="7" t="n">
        <v>-65.76000000000001</v>
      </c>
      <c r="O2213" t="n">
        <v>4.6</v>
      </c>
      <c r="P2213" t="n">
        <v>214</v>
      </c>
      <c r="R2213" t="inlineStr">
        <is>
          <t>OutOfStock</t>
        </is>
      </c>
      <c r="S2213" t="inlineStr">
        <is>
          <t>162.95</t>
        </is>
      </c>
      <c r="T2213" t="inlineStr">
        <is>
          <t>3564094488676</t>
        </is>
      </c>
    </row>
    <row r="2214" ht="87" customHeight="1">
      <c r="A2214" s="2">
        <f>HYPERLINK("https://edmondsonsupply.com/collections/hvac/products/fieldpiece-sc260", "https://edmondsonsupply.com/collections/hvac/products/fieldpiece-sc260")</f>
        <v/>
      </c>
      <c r="B2214" s="2">
        <f>HYPERLINK("https://edmondsonsupply.com/products/fieldpiece-sc260", "https://edmondsonsupply.com/products/fieldpiece-sc260")</f>
        <v/>
      </c>
      <c r="C2214" t="inlineStr">
        <is>
          <t>Fieldpiece SC260 Compact Clamp Meter with True RMS</t>
        </is>
      </c>
      <c r="D2214" t="inlineStr">
        <is>
          <t>SC260, Compact Clamp Meter with True RMS</t>
        </is>
      </c>
      <c r="E2214" s="2">
        <f>HYPERLINK("https://www.amazon.com/SC260-Compact-Clamp-Meter-True/dp/B079L5D55Z/ref=sr_1_2?keywords=Fieldpiece+SC260+Compact+Clamp+Meter+with+True+RMS&amp;qid=1694734833&amp;sr=8-2", "https://www.amazon.com/SC260-Compact-Clamp-Meter-True/dp/B079L5D55Z/ref=sr_1_2?keywords=Fieldpiece+SC260+Compact+Clamp+Meter+with+True+RMS&amp;qid=1694734833&amp;sr=8-2")</f>
        <v/>
      </c>
      <c r="F2214" t="inlineStr">
        <is>
          <t>B079L5D55Z</t>
        </is>
      </c>
      <c r="G2214">
        <f>_xlfn.IMAGE("https://edmondsonsupply.com/cdn/shop/products/SC260-SRC-product.jpg?v=1633030161")</f>
        <v/>
      </c>
      <c r="H2214">
        <f>_xlfn.IMAGE("https://m.media-amazon.com/images/I/41mbTzA5D0L._AC_UY218_.jpg")</f>
        <v/>
      </c>
      <c r="K2214" t="inlineStr">
        <is>
          <t>138.55</t>
        </is>
      </c>
      <c r="L2214" t="n">
        <v>160</v>
      </c>
      <c r="M2214" s="1" t="inlineStr">
        <is>
          <t>15.48%</t>
        </is>
      </c>
      <c r="N2214" s="7" t="n">
        <v>-66.05</v>
      </c>
      <c r="O2214" t="n">
        <v>4.8</v>
      </c>
      <c r="P2214" t="n">
        <v>11</v>
      </c>
      <c r="R2214" t="inlineStr">
        <is>
          <t>InStock</t>
        </is>
      </c>
      <c r="S2214" t="inlineStr">
        <is>
          <t>163.0</t>
        </is>
      </c>
      <c r="T2214" t="inlineStr">
        <is>
          <t>4288310771812</t>
        </is>
      </c>
    </row>
    <row r="2215" hidden="1" ht="15.75" customHeight="1">
      <c r="A2215" s="2">
        <f>HYPERLINK("https://edmondsonsupply.com/collections/hvac/products/supco-sb100-shaft-blaster-motor-shaft-cutting-tool", "https://edmondsonsupply.com/collections/hvac/products/supco-sb100-shaft-blaster-motor-shaft-cutting-tool")</f>
        <v/>
      </c>
      <c r="B2215" s="2">
        <f>HYPERLINK("https://edmondsonsupply.com/products/supco-sb100-shaft-blaster-motor-shaft-cutting-tool", "https://edmondsonsupply.com/products/supco-sb100-shaft-blaster-motor-shaft-cutting-tool")</f>
        <v/>
      </c>
      <c r="C2215" t="inlineStr">
        <is>
          <t>Supco SB100 Shaft Blaster - Motor Shaft Cutting Tool</t>
        </is>
      </c>
      <c r="D2215" t="inlineStr">
        <is>
          <t>Supplying Demand SB100 Shaft Blaster HVAC/R Motor Shaft Cutting Wheel Tool</t>
        </is>
      </c>
      <c r="E2215" s="2">
        <f>HYPERLINK("https://www.amazon.com/Supplying-Demand-SB100-Blaster-Cutting/dp/B09W68Z7WB/ref=sr_1_2?keywords=Supco+SB100+Shaft+Blaster+-+Motor+Shaft+Cutting+Tool&amp;qid=1694734786&amp;sr=8-2", "https://www.amazon.com/Supplying-Demand-SB100-Blaster-Cutting/dp/B09W68Z7WB/ref=sr_1_2?keywords=Supco+SB100+Shaft+Blaster+-+Motor+Shaft+Cutting+Tool&amp;qid=1694734786&amp;sr=8-2")</f>
        <v/>
      </c>
      <c r="F2215" t="inlineStr">
        <is>
          <t>B09W68Z7WB</t>
        </is>
      </c>
      <c r="G2215">
        <f>_xludf.IMAGE("https://edmondsonsupply.com/cdn/shop/products/sb100-1.jpg?v=1633030480")</f>
        <v/>
      </c>
      <c r="H2215">
        <f>_xludf.IMAGE("https://m.media-amazon.com/images/I/61sywlAJU-L._AC_UL320_.jpg")</f>
        <v/>
      </c>
      <c r="K2215" t="inlineStr">
        <is>
          <t>138.6</t>
        </is>
      </c>
      <c r="L2215" t="n">
        <v>159.99</v>
      </c>
      <c r="M2215" s="1" t="inlineStr">
        <is>
          <t>15.43%</t>
        </is>
      </c>
      <c r="N2215" s="1" t="n">
        <v>-67.41</v>
      </c>
      <c r="O2215" t="n">
        <v>2.9</v>
      </c>
      <c r="P2215" t="n">
        <v>3</v>
      </c>
      <c r="R2215" t="inlineStr">
        <is>
          <t>InStock</t>
        </is>
      </c>
      <c r="S2215" t="inlineStr">
        <is>
          <t>undefined</t>
        </is>
      </c>
      <c r="T2215" t="inlineStr">
        <is>
          <t>5370497892520</t>
        </is>
      </c>
    </row>
    <row r="2216" hidden="1" ht="15.75" customHeight="1">
      <c r="A2216" s="2">
        <f>HYPERLINK("https://edmondsonsupply.com/collections/hvac/products/klein-tools-32562-6-in-1-multi-bit-screwdriver-nut-driver-stubby", "https://edmondsonsupply.com/collections/hvac/products/klein-tools-32562-6-in-1-multi-bit-screwdriver-nut-driver-stubby")</f>
        <v/>
      </c>
      <c r="B2216" s="2">
        <f>HYPERLINK("https://edmondsonsupply.com/products/klein-tools-32562-6-in-1-multi-bit-screwdriver-nut-driver-stubby", "https://edmondsonsupply.com/products/klein-tools-32562-6-in-1-multi-bit-screwdriver-nut-driver-stubby")</f>
        <v/>
      </c>
      <c r="C2216" t="inlineStr">
        <is>
          <t>Klein Tools 32562 Multi-Bit Screwdriver / Nut Driver, 6-in-1, Stubby, Ph, Sl, Sq Bits</t>
        </is>
      </c>
      <c r="D2216" t="inlineStr">
        <is>
          <t>Klein Tools 32557 Multi-Bit Screwdriver / Nut Driver, Heavy Duty 10-in-1 with Interchangable Shafts and Ph, Sl, Sq, Hex Bits and Nut Drivers</t>
        </is>
      </c>
      <c r="E2216" s="2">
        <f>HYPERLINK("https://www.amazon.com/Klein-Tools-32557-Multi-Bit-Screwdriver/dp/B005FQDH9A/ref=sr_1_3?keywords=Klein+Tools+32562+Multi-Bit+Screwdriver+%2F+Nut+Driver%2C+6-in-1%2C+Stubby%2C+Ph%2C+Sl%2C+Sq+Bits&amp;qid=1694734806&amp;sr=8-3", "https://www.amazon.com/Klein-Tools-32557-Multi-Bit-Screwdriver/dp/B005FQDH9A/ref=sr_1_3?keywords=Klein+Tools+32562+Multi-Bit+Screwdriver+%2F+Nut+Driver%2C+6-in-1%2C+Stubby%2C+Ph%2C+Sl%2C+Sq+Bits&amp;qid=1694734806&amp;sr=8-3")</f>
        <v/>
      </c>
      <c r="F2216" t="inlineStr">
        <is>
          <t>B005FQDH9A</t>
        </is>
      </c>
      <c r="G2216">
        <f>_xludf.IMAGE("https://edmondsonsupply.com/cdn/shop/products/32562.jpg?v=1587145424")</f>
        <v/>
      </c>
      <c r="H2216">
        <f>_xludf.IMAGE("https://m.media-amazon.com/images/I/41vMDiO0rOL._AC_UL320_.jpg")</f>
        <v/>
      </c>
      <c r="K2216" t="inlineStr">
        <is>
          <t>12.99</t>
        </is>
      </c>
      <c r="L2216" t="n">
        <v>14.98</v>
      </c>
      <c r="M2216" s="1" t="inlineStr">
        <is>
          <t>15.32%</t>
        </is>
      </c>
      <c r="N2216" s="1" t="n">
        <v>-67.61</v>
      </c>
      <c r="O2216" t="n">
        <v>4.8</v>
      </c>
      <c r="P2216" t="n">
        <v>918</v>
      </c>
      <c r="R2216" t="inlineStr">
        <is>
          <t>InStock</t>
        </is>
      </c>
      <c r="S2216" t="inlineStr">
        <is>
          <t>18.9</t>
        </is>
      </c>
      <c r="T2216" t="inlineStr">
        <is>
          <t>4396350439524</t>
        </is>
      </c>
    </row>
    <row r="2217" hidden="1" ht="15.75" customHeight="1">
      <c r="A2217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2217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2217" t="inlineStr">
        <is>
          <t>Diablo Tools DMAPL4210 5/8 in. x 4 in. x 6 in. Rebar Demon™ SDS‑Plus 4‑Cutter Full Carbide Head Hammer Bit</t>
        </is>
      </c>
      <c r="D2217" t="inlineStr">
        <is>
          <t>Diablo by Freud Diablo DMAPL4210 5/8 in. x 4 in. x 6 in. Rebar Demon SDS-Plus 4-Cutter Full Carbide Head Hammer Bit</t>
        </is>
      </c>
      <c r="E2217" s="2">
        <f>HYPERLINK("https://www.amazon.com/Diablo-Freud-DMAPL4210-SDS-Plus-4-Cutter/dp/B089LGF2KS/ref=sr_1_1?keywords=Diablo+Tools+DMAPL4210+5%2F8+in.+x+4+in.+x+6+in.+Rebar+Demon%E2%84%A2+SDS%E2%80%91Plus+4%E2%80%91Cutter+Full+Carbide+Head+Hammer+Bit&amp;qid=1694734723&amp;sr=8-1", "https://www.amazon.com/Diablo-Freud-DMAPL4210-SDS-Plus-4-Cutter/dp/B089LGF2KS/ref=sr_1_1?keywords=Diablo+Tools+DMAPL4210+5%2F8+in.+x+4+in.+x+6+in.+Rebar+Demon%E2%84%A2+SDS%E2%80%91Plus+4%E2%80%91Cutter+Full+Carbide+Head+Hammer+Bit&amp;qid=1694734723&amp;sr=8-1")</f>
        <v/>
      </c>
      <c r="F2217" t="inlineStr">
        <is>
          <t>B089LGF2KS</t>
        </is>
      </c>
      <c r="G2217">
        <f>_xludf.IMAGE("https://edmondsonsupply.com/cdn/shop/products/DMAPL4210_Main-Image20200701.png?v=1633030426")</f>
        <v/>
      </c>
      <c r="H2217">
        <f>_xludf.IMAGE("https://m.media-amazon.com/images/I/61rU9ZgmndL._AC_UL320_.jpg")</f>
        <v/>
      </c>
      <c r="K2217" t="inlineStr">
        <is>
          <t>9.97</t>
        </is>
      </c>
      <c r="L2217" t="n">
        <v>11.49</v>
      </c>
      <c r="M2217" s="1" t="inlineStr">
        <is>
          <t>15.25%</t>
        </is>
      </c>
      <c r="N2217" s="1" t="n">
        <v>-67.66</v>
      </c>
      <c r="O2217" t="n">
        <v>4.6</v>
      </c>
      <c r="P2217" t="n">
        <v>63</v>
      </c>
      <c r="R2217" t="inlineStr">
        <is>
          <t>InStock</t>
        </is>
      </c>
      <c r="S2217" t="inlineStr">
        <is>
          <t>13.77</t>
        </is>
      </c>
      <c r="T2217" t="inlineStr">
        <is>
          <t>5326920482984</t>
        </is>
      </c>
    </row>
    <row r="2218" ht="87" customHeight="1">
      <c r="A2218" s="2">
        <f>HYPERLINK("https://edmondsonsupply.com/collections/hvac/products/5-2-1-csru1", "https://edmondsonsupply.com/collections/hvac/products/5-2-1-csru1")</f>
        <v/>
      </c>
      <c r="B2218" s="2">
        <f>HYPERLINK("https://edmondsonsupply.com/products/5-2-1-csru1", "https://edmondsonsupply.com/products/5-2-1-csru1")</f>
        <v/>
      </c>
      <c r="C2218" t="inlineStr">
        <is>
          <t>5-2-1 CSRU1 Compressor Saver, 1 to 3 Tons</t>
        </is>
      </c>
      <c r="D2218" t="inlineStr">
        <is>
          <t>[Upgraded] Ultra Durable 5-2-1 CSR-U2 Compressor Saver Hard Start Capacitor by BlueStars - Compatible for 3 1/2 to 5 Ton Units</t>
        </is>
      </c>
      <c r="E2218" s="2">
        <f>HYPERLINK("https://www.amazon.com/Upgraded-Durable-CSR-U2-Compressor-Capacitor/dp/B097947PG6/ref=sr_1_13?keywords=5-2-1+CSRU1+Compressor+Saver%2C+1+to+3+Tons&amp;qid=1694734741&amp;sr=8-13", "https://www.amazon.com/Upgraded-Durable-CSR-U2-Compressor-Capacitor/dp/B097947PG6/ref=sr_1_13?keywords=5-2-1+CSRU1+Compressor+Saver%2C+1+to+3+Tons&amp;qid=1694734741&amp;sr=8-13")</f>
        <v/>
      </c>
      <c r="F2218" t="inlineStr">
        <is>
          <t>B097947PG6</t>
        </is>
      </c>
      <c r="G2218">
        <f>_xlfn.IMAGE("https://edmondsonsupply.com/cdn/shop/products/CSRU1.jpg?v=1633030087")</f>
        <v/>
      </c>
      <c r="H2218">
        <f>_xlfn.IMAGE("https://m.media-amazon.com/images/I/81D4yuVmb4S._AC_UL320_.jpg")</f>
        <v/>
      </c>
      <c r="K2218" t="inlineStr">
        <is>
          <t>34.62</t>
        </is>
      </c>
      <c r="L2218" t="n">
        <v>39.87</v>
      </c>
      <c r="M2218" s="1" t="inlineStr">
        <is>
          <t>15.16%</t>
        </is>
      </c>
      <c r="N2218" s="7" t="n">
        <v>-69.25</v>
      </c>
      <c r="O2218" t="n">
        <v>4.2</v>
      </c>
      <c r="P2218" t="n">
        <v>35</v>
      </c>
      <c r="R2218" t="inlineStr">
        <is>
          <t>InStock</t>
        </is>
      </c>
      <c r="S2218" t="inlineStr">
        <is>
          <t>39.95</t>
        </is>
      </c>
      <c r="T2218" t="inlineStr">
        <is>
          <t>3558315950180</t>
        </is>
      </c>
    </row>
    <row r="2219" ht="87" customHeight="1">
      <c r="A2219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2219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2219" t="inlineStr">
        <is>
          <t>ICM Controls ICM289 Furnace Control Board - Replacement for Lennox</t>
        </is>
      </c>
      <c r="D2219" t="inlineStr">
        <is>
          <t>ICM Controls ICM289 Furnace Control Replacement for Lennox Control Boards, Replaces All BCC1, BCC2 and BCC3 Circuit Boards</t>
        </is>
      </c>
      <c r="E2219" s="2">
        <f>HYPERLINK("https://www.amazon.com/ICM-Controls-ICM289-Replacement-Replaces/dp/B004I55HHY/ref=sr_1_1?keywords=ICM+Controls+ICM289+Furnace+Control+Board+-+Replacement+for+Lennox&amp;qid=1694734661&amp;sr=8-1", "https://www.amazon.com/ICM-Controls-ICM289-Replacement-Replaces/dp/B004I55HHY/ref=sr_1_1?keywords=ICM+Controls+ICM289+Furnace+Control+Board+-+Replacement+for+Lennox&amp;qid=1694734661&amp;sr=8-1")</f>
        <v/>
      </c>
      <c r="F2219" t="inlineStr">
        <is>
          <t>B004I55HHY</t>
        </is>
      </c>
      <c r="G2219">
        <f>_xlfn.IMAGE("https://edmondsonsupply.com/cdn/shop/products/photo_3601_medium_abc82be0-5d13-465a-9be5-04a6748e2d27.png?v=1656728911")</f>
        <v/>
      </c>
      <c r="H2219">
        <f>_xlfn.IMAGE("https://m.media-amazon.com/images/I/617eMhg9d2L._AC_UL320_.jpg")</f>
        <v/>
      </c>
      <c r="K2219" t="inlineStr">
        <is>
          <t>134.99</t>
        </is>
      </c>
      <c r="L2219" t="n">
        <v>155.15</v>
      </c>
      <c r="M2219" s="1" t="inlineStr">
        <is>
          <t>14.93%</t>
        </is>
      </c>
      <c r="N2219" s="7" t="n">
        <v>-69.87</v>
      </c>
      <c r="O2219" t="n">
        <v>4.8</v>
      </c>
      <c r="P2219" t="n">
        <v>156</v>
      </c>
      <c r="R2219" t="inlineStr">
        <is>
          <t>OutOfStock</t>
        </is>
      </c>
      <c r="S2219" t="inlineStr">
        <is>
          <t>198.98</t>
        </is>
      </c>
      <c r="T2219" t="inlineStr">
        <is>
          <t>7735114432728</t>
        </is>
      </c>
    </row>
    <row r="2220" ht="87" customHeight="1">
      <c r="A2220" s="2">
        <f>HYPERLINK("https://edmondsonsupply.com/collections/hvac/products/hilmor-1839027-tb1412-tri-tube-benders-1-4-3-8-1-2", "https://edmondsonsupply.com/collections/hvac/products/hilmor-1839027-tb1412-tri-tube-benders-1-4-3-8-1-2")</f>
        <v/>
      </c>
      <c r="B2220" s="2">
        <f>HYPERLINK("https://edmondsonsupply.com/products/hilmor-1839027-tb1412-tri-tube-benders-1-4-3-8-1-2", "https://edmondsonsupply.com/products/hilmor-1839027-tb1412-tri-tube-benders-1-4-3-8-1-2")</f>
        <v/>
      </c>
      <c r="C2220" t="inlineStr">
        <is>
          <t>Hilmor 1839027 Tri-Tube Bender - 1/4", 3/8", 1/2"</t>
        </is>
      </c>
      <c r="D2220" t="inlineStr">
        <is>
          <t>Hilmor HVAC Tri-Tube Bender 1/4", 3/8", 1/2", Pipe, Tubing &amp; Copper Bender, TB1412 1839027</t>
        </is>
      </c>
      <c r="E2220" s="2">
        <f>HYPERLINK("https://www.amazon.com/hilmor-1839027-TB1412-Tri-Tube-Bender/dp/B00IPEJVJE/ref=sr_1_1?keywords=Hilmor+1839027+Tri-Tube+Bender+-+1%2F4%22%2C+3%2F8%22%2C+1%2F2%22&amp;qid=1694734830&amp;sr=8-1", "https://www.amazon.com/hilmor-1839027-TB1412-Tri-Tube-Bender/dp/B00IPEJVJE/ref=sr_1_1?keywords=Hilmor+1839027+Tri-Tube+Bender+-+1%2F4%22%2C+3%2F8%22%2C+1%2F2%22&amp;qid=1694734830&amp;sr=8-1")</f>
        <v/>
      </c>
      <c r="F2220" t="inlineStr">
        <is>
          <t>B00IPEJVJE</t>
        </is>
      </c>
      <c r="G2220">
        <f>_xlfn.IMAGE("https://edmondsonsupply.com/cdn/shop/products/Tri-Tube_Bender2-green_glow-735x480.png?v=1643678213")</f>
        <v/>
      </c>
      <c r="H2220">
        <f>_xlfn.IMAGE("https://m.media-amazon.com/images/I/51sA9FK-flS._AC_UL320_.jpg")</f>
        <v/>
      </c>
      <c r="K2220" t="inlineStr">
        <is>
          <t>49.99</t>
        </is>
      </c>
      <c r="L2220" t="n">
        <v>57.37</v>
      </c>
      <c r="M2220" s="1" t="inlineStr">
        <is>
          <t>14.76%</t>
        </is>
      </c>
      <c r="N2220" s="7" t="n">
        <v>-70.45</v>
      </c>
      <c r="O2220" t="n">
        <v>4.4</v>
      </c>
      <c r="P2220" t="n">
        <v>88</v>
      </c>
      <c r="R2220" t="inlineStr">
        <is>
          <t>InStock</t>
        </is>
      </c>
      <c r="S2220" t="inlineStr">
        <is>
          <t>172.6</t>
        </is>
      </c>
      <c r="T2220" t="inlineStr">
        <is>
          <t>2109289791588</t>
        </is>
      </c>
    </row>
    <row r="2221" ht="87" customHeight="1">
      <c r="A2221" s="2">
        <f>HYPERLINK("https://edmondsonsupply.com/collections/hvac/products/bacharach-3015-0486-h-10-pro-refrigerant-leak-detector-replacement-sensor", "https://edmondsonsupply.com/collections/hvac/products/bacharach-3015-0486-h-10-pro-refrigerant-leak-detector-replacement-sensor")</f>
        <v/>
      </c>
      <c r="B2221" s="2">
        <f>HYPERLINK("https://edmondsonsupply.com/products/bacharach-3015-0486-h-10-pro-refrigerant-leak-detector-replacement-sensor", "https://edmondsonsupply.com/products/bacharach-3015-0486-h-10-pro-refrigerant-leak-detector-replacement-sensor")</f>
        <v/>
      </c>
      <c r="C2221" t="inlineStr">
        <is>
          <t>Bacharach 3015-0486 H-10 PRO Refrigerant Leak Detector Replacement Sensor</t>
        </is>
      </c>
      <c r="D2221" t="inlineStr">
        <is>
          <t>Bacharach 3015-0486 Replacement Refrigerant Sensor for Models H-10PM All-in-One Refrigerant Leak Detector and H-10G Manual Balance Refrigerant Leak Detector</t>
        </is>
      </c>
      <c r="E2221" s="2">
        <f>HYPERLINK("https://www.amazon.com/Bacharach-3015-0486-Replacement-Refrigerant-Detector/dp/B00DSVGIUE/ref=sr_1_1?keywords=Bacharach+3015-0486+H-10+PRO+Refrigerant+Leak+Detector+Replacement+Sensor&amp;qid=1694734687&amp;sr=8-1", "https://www.amazon.com/Bacharach-3015-0486-Replacement-Refrigerant-Detector/dp/B00DSVGIUE/ref=sr_1_1?keywords=Bacharach+3015-0486+H-10+PRO+Refrigerant+Leak+Detector+Replacement+Sensor&amp;qid=1694734687&amp;sr=8-1")</f>
        <v/>
      </c>
      <c r="F2221" t="inlineStr">
        <is>
          <t>B00DSVGIUE</t>
        </is>
      </c>
      <c r="G2221">
        <f>_xlfn.IMAGE("https://edmondsonsupply.com/cdn/shop/products/3015.png?v=1664282949")</f>
        <v/>
      </c>
      <c r="H2221">
        <f>_xlfn.IMAGE("https://m.media-amazon.com/images/I/71cff7LAGrL._AC_UL320_.jpg")</f>
        <v/>
      </c>
      <c r="K2221" t="inlineStr">
        <is>
          <t>146.7</t>
        </is>
      </c>
      <c r="L2221" t="n">
        <v>168.15</v>
      </c>
      <c r="M2221" s="1" t="inlineStr">
        <is>
          <t>14.62%</t>
        </is>
      </c>
      <c r="N2221" s="7" t="n">
        <v>-71.40000000000001</v>
      </c>
      <c r="O2221" t="n">
        <v>4.5</v>
      </c>
      <c r="P2221" t="n">
        <v>9</v>
      </c>
      <c r="R2221" t="inlineStr">
        <is>
          <t>InStock</t>
        </is>
      </c>
      <c r="S2221" t="inlineStr">
        <is>
          <t>163.0</t>
        </is>
      </c>
      <c r="T2221" t="inlineStr">
        <is>
          <t>7830926622936</t>
        </is>
      </c>
    </row>
    <row r="2222" ht="87" customHeight="1">
      <c r="A2222" s="2">
        <f>HYPERLINK("https://edmondsonsupply.com/collections/hvac/products/channellock-428", "https://edmondsonsupply.com/collections/hvac/products/channellock-428")</f>
        <v/>
      </c>
      <c r="B2222" s="2">
        <f>HYPERLINK("https://edmondsonsupply.com/products/channellock-428", "https://edmondsonsupply.com/products/channellock-428")</f>
        <v/>
      </c>
      <c r="C2222" t="inlineStr">
        <is>
          <t>Channellock 428 8-Inch Straight Jaw Tongue &amp; Groove Pliers</t>
        </is>
      </c>
      <c r="D2222" t="inlineStr">
        <is>
          <t>Olympia Tools 2 Piece Tongue and Groove Plier Set, 8 &amp; 10-Inch Straight Jaw Pliers with Cushion grip, Multiple Jaw positions, and Jaw Capacity</t>
        </is>
      </c>
      <c r="E2222" s="2">
        <f>HYPERLINK("https://www.amazon.com/Olympia-Tools-Straight-Multiple-positions/dp/B09WCX53SM/ref=sr_1_47?keywords=Channellock+428+8-Inch+Straight+Jaw+Tongue&amp;qid=1694734826&amp;sr=8-47", "https://www.amazon.com/Olympia-Tools-Straight-Multiple-positions/dp/B09WCX53SM/ref=sr_1_47?keywords=Channellock+428+8-Inch+Straight+Jaw+Tongue&amp;qid=1694734826&amp;sr=8-47")</f>
        <v/>
      </c>
      <c r="F2222" t="inlineStr">
        <is>
          <t>B09WCX53SM</t>
        </is>
      </c>
      <c r="G2222">
        <f>_xlfn.IMAGE("https://edmondsonsupply.com/cdn/shop/products/428-683x1024.jpg?v=1587145854")</f>
        <v/>
      </c>
      <c r="H2222">
        <f>_xlfn.IMAGE("https://m.media-amazon.com/images/I/61TbNwdthYL._AC_UL320_.jpg")</f>
        <v/>
      </c>
      <c r="K2222" t="inlineStr">
        <is>
          <t>16.95</t>
        </is>
      </c>
      <c r="L2222" t="n">
        <v>19.41</v>
      </c>
      <c r="M2222" s="1" t="inlineStr">
        <is>
          <t>14.51%</t>
        </is>
      </c>
      <c r="N2222" s="7" t="n">
        <v>-72.92</v>
      </c>
      <c r="O2222" t="n">
        <v>5</v>
      </c>
      <c r="P2222" t="n">
        <v>1</v>
      </c>
      <c r="R2222" t="inlineStr">
        <is>
          <t>InStock</t>
        </is>
      </c>
      <c r="S2222" t="inlineStr">
        <is>
          <t>25.06</t>
        </is>
      </c>
      <c r="T2222" t="inlineStr">
        <is>
          <t>3523408527460</t>
        </is>
      </c>
    </row>
    <row r="2223" hidden="1" ht="15.75" customHeight="1">
      <c r="A2223" s="2">
        <f>HYPERLINK("https://edmondsonsupply.com/collections/hvac/products/klein-tools-32791-pro-impact-power-bit-extension-1-4-inch-hex", "https://edmondsonsupply.com/collections/hvac/products/klein-tools-32791-pro-impact-power-bit-extension-1-4-inch-hex")</f>
        <v/>
      </c>
      <c r="B2223" s="2">
        <f>HYPERLINK("https://edmondsonsupply.com/products/klein-tools-32791-pro-impact-power-bit-extension-1-4-inch-hex", "https://edmondsonsupply.com/products/klein-tools-32791-pro-impact-power-bit-extension-1-4-inch-hex")</f>
        <v/>
      </c>
      <c r="C2223" t="inlineStr">
        <is>
          <t>Klein Tools 32791 Pro Impact Power Bit Extension 1/4-Inch Hex</t>
        </is>
      </c>
      <c r="D2223" t="inlineStr">
        <is>
          <t>Klein Tools 32792 Pro Impact Driver Bit, 1/4-Inch Hex 3 Pack</t>
        </is>
      </c>
      <c r="E2223" s="2">
        <f>HYPERLINK("https://www.amazon.com/Klein-Tools-32792-Impact-Driver/dp/B07RGVMK47/ref=sr_1_2?keywords=Klein+Tools+32791+Pro+Impact+Power+Bit+Extension+1%2F4-Inch+Hex&amp;qid=1694734796&amp;sr=8-2", "https://www.amazon.com/Klein-Tools-32792-Impact-Driver/dp/B07RGVMK47/ref=sr_1_2?keywords=Klein+Tools+32791+Pro+Impact+Power+Bit+Extension+1%2F4-Inch+Hex&amp;qid=1694734796&amp;sr=8-2")</f>
        <v/>
      </c>
      <c r="F2223" t="inlineStr">
        <is>
          <t>B07RGVMK47</t>
        </is>
      </c>
      <c r="G2223">
        <f>_xludf.IMAGE("https://edmondsonsupply.com/cdn/shop/products/32791.jpg?v=1587145614")</f>
        <v/>
      </c>
      <c r="H2223">
        <f>_xludf.IMAGE("https://m.media-amazon.com/images/I/51JzG4GF5wL._AC_UL320_.jpg")</f>
        <v/>
      </c>
      <c r="K2223" t="inlineStr">
        <is>
          <t>6.99</t>
        </is>
      </c>
      <c r="L2223" t="n">
        <v>7.99</v>
      </c>
      <c r="M2223" s="1" t="inlineStr">
        <is>
          <t>14.31%</t>
        </is>
      </c>
      <c r="N2223" s="1" t="n">
        <v>-73.23999999999999</v>
      </c>
      <c r="O2223" t="n">
        <v>4.6</v>
      </c>
      <c r="P2223" t="n">
        <v>130</v>
      </c>
      <c r="R2223" t="inlineStr">
        <is>
          <t>InStock</t>
        </is>
      </c>
      <c r="S2223" t="inlineStr">
        <is>
          <t>9.82</t>
        </is>
      </c>
      <c r="T2223" t="inlineStr">
        <is>
          <t>3500862570596</t>
        </is>
      </c>
    </row>
    <row r="2224" ht="87" customHeight="1">
      <c r="A2224" s="2">
        <f>HYPERLINK("https://edmondsonsupply.com/collections/hvac/products/supco-sfpc-freeze-protection-control", "https://edmondsonsupply.com/collections/hvac/products/supco-sfpc-freeze-protection-control")</f>
        <v/>
      </c>
      <c r="B2224" s="2">
        <f>HYPERLINK("https://edmondsonsupply.com/products/supco-sfpc-freeze-protection-control", "https://edmondsonsupply.com/products/supco-sfpc-freeze-protection-control")</f>
        <v/>
      </c>
      <c r="C2224" t="inlineStr">
        <is>
          <t>Supco SFPC Freeze Protection Control</t>
        </is>
      </c>
      <c r="D2224" t="inlineStr">
        <is>
          <t>Sealed Unit Parts Company, Inc. (SUPCO) SFPC Freeze Protection Control Opens 35F/Close 50F Supco</t>
        </is>
      </c>
      <c r="E2224" s="2">
        <f>HYPERLINK("https://www.amazon.com/Sealed-Company-Protection-Control-Supco/dp/B00QW2H53A/ref=sr_1_1?keywords=Supco+SFPC+Freeze+Protection+Control&amp;qid=1694734837&amp;sr=8-1", "https://www.amazon.com/Sealed-Company-Protection-Control-Supco/dp/B00QW2H53A/ref=sr_1_1?keywords=Supco+SFPC+Freeze+Protection+Control&amp;qid=1694734837&amp;sr=8-1")</f>
        <v/>
      </c>
      <c r="F2224" t="inlineStr">
        <is>
          <t>B00QW2H53A</t>
        </is>
      </c>
      <c r="G2224">
        <f>_xlfn.IMAGE("https://edmondsonsupply.com/cdn/shop/files/sfpc.png?v=1693337866")</f>
        <v/>
      </c>
      <c r="H2224">
        <f>_xlfn.IMAGE("https://m.media-amazon.com/images/I/61Q-j1cvxiL._AC_UY218_.jpg")</f>
        <v/>
      </c>
      <c r="K2224" t="inlineStr">
        <is>
          <t>19.23</t>
        </is>
      </c>
      <c r="L2224" t="n">
        <v>21.98</v>
      </c>
      <c r="M2224" s="1" t="inlineStr">
        <is>
          <t>14.30%</t>
        </is>
      </c>
      <c r="N2224" s="7" t="n">
        <v>-73.78</v>
      </c>
      <c r="O2224" t="n">
        <v>4.5</v>
      </c>
      <c r="P2224" t="n">
        <v>38</v>
      </c>
      <c r="R2224" t="inlineStr">
        <is>
          <t>InStock</t>
        </is>
      </c>
      <c r="S2224" t="inlineStr">
        <is>
          <t>undefined</t>
        </is>
      </c>
      <c r="T2224" t="inlineStr">
        <is>
          <t>8032400605400</t>
        </is>
      </c>
    </row>
    <row r="2225" ht="87" customHeight="1">
      <c r="A2225" s="2">
        <f>HYPERLINK("https://edmondsonsupply.com/collections/hvac/products/milwaukee-48-25-1372-1-3-8-self-feed-wood-bit", "https://edmondsonsupply.com/collections/hvac/products/milwaukee-48-25-1372-1-3-8-self-feed-wood-bit")</f>
        <v/>
      </c>
      <c r="B2225" s="2">
        <f>HYPERLINK("https://edmondsonsupply.com/products/milwaukee-48-25-1372-1-3-8-self-feed-wood-bit", "https://edmondsonsupply.com/products/milwaukee-48-25-1372-1-3-8-self-feed-wood-bit")</f>
        <v/>
      </c>
      <c r="C2225" t="inlineStr">
        <is>
          <t>Milwaukee 48-25-1372 1-3/8" Self Feed Wood Bit</t>
        </is>
      </c>
      <c r="D2225" t="inlineStr">
        <is>
          <t>Milwaukee 48-25-1371 1-3/8-Inch Bit with 7/16-Inch Shank Selfeed Bit</t>
        </is>
      </c>
      <c r="E2225" s="2">
        <f>HYPERLINK("https://www.amazon.com/Milwaukee-48-25-1371-8-Inch-16-Inch-Selfeed/dp/B00002249T/ref=sr_1_1?keywords=Milwaukee+48-25-1372+1-3%2F8%22+Self+Feed+Wood+Bit&amp;qid=1694734814&amp;sr=8-1", "https://www.amazon.com/Milwaukee-48-25-1371-8-Inch-16-Inch-Selfeed/dp/B00002249T/ref=sr_1_1?keywords=Milwaukee+48-25-1372+1-3%2F8%22+Self+Feed+Wood+Bit&amp;qid=1694734814&amp;sr=8-1")</f>
        <v/>
      </c>
      <c r="F2225" t="inlineStr">
        <is>
          <t>B00002249T</t>
        </is>
      </c>
      <c r="G2225">
        <f>_xlfn.IMAGE("https://edmondsonsupply.com/cdn/shop/products/milwaukee-auger-bits-48-25-1372-64_1000.jpg?v=1587150001")</f>
        <v/>
      </c>
      <c r="H2225">
        <f>_xlfn.IMAGE("https://m.media-amazon.com/images/I/51xlKJWPzYL._AC_UL320_.jpg")</f>
        <v/>
      </c>
      <c r="K2225" t="inlineStr">
        <is>
          <t>34.99</t>
        </is>
      </c>
      <c r="L2225" t="n">
        <v>39.99</v>
      </c>
      <c r="M2225" s="1" t="inlineStr">
        <is>
          <t>14.29%</t>
        </is>
      </c>
      <c r="N2225" s="7" t="n">
        <v>-74.43000000000001</v>
      </c>
      <c r="O2225" t="n">
        <v>4.6</v>
      </c>
      <c r="P2225" t="n">
        <v>106</v>
      </c>
      <c r="R2225" t="inlineStr">
        <is>
          <t>InStock</t>
        </is>
      </c>
      <c r="S2225" t="inlineStr">
        <is>
          <t>43.2</t>
        </is>
      </c>
      <c r="T2225" t="inlineStr">
        <is>
          <t>4364850102372</t>
        </is>
      </c>
    </row>
    <row r="2226" ht="87" customHeight="1">
      <c r="A2226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2226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2226" t="inlineStr">
        <is>
          <t>Klein Tools KTSB03 Step Drill Bit Double Fluted #3, 1/4 to 3/4-Inch</t>
        </is>
      </c>
      <c r="D2226" t="inlineStr">
        <is>
          <t>Klein Tools 25960 Step Drill Bit, 7/8 to 1-3/8-Inch, Spiral Double-Fluted, Cut Thin Metal, Plastic, Aluminum, Wood, 1/4-Inch Hex Shank, VACO</t>
        </is>
      </c>
      <c r="E2226" s="2">
        <f>HYPERLINK("https://www.amazon.com/Klein-Tools-25960-Double-Fluted-Aluminum/dp/B0BLDMH5R8/ref=sr_1_3?keywords=Klein+Tools+KTSB03+Step+Drill+Bit+Double+Fluted+%233%2C+1%2F4+to+3%2F4-Inch&amp;qid=1694734821&amp;sr=8-3", "https://www.amazon.com/Klein-Tools-25960-Double-Fluted-Aluminum/dp/B0BLDMH5R8/ref=sr_1_3?keywords=Klein+Tools+KTSB03+Step+Drill+Bit+Double+Fluted+%233%2C+1%2F4+to+3%2F4-Inch&amp;qid=1694734821&amp;sr=8-3")</f>
        <v/>
      </c>
      <c r="F2226" t="inlineStr">
        <is>
          <t>B0BLDMH5R8</t>
        </is>
      </c>
      <c r="G2226">
        <f>_xlfn.IMAGE("https://edmondsonsupply.com/cdn/shop/products/ktsb03.jpg?v=1666012212")</f>
        <v/>
      </c>
      <c r="H2226">
        <f>_xlfn.IMAGE("https://m.media-amazon.com/images/I/51d0gnaA58L._AC_UY218_.jpg")</f>
        <v/>
      </c>
      <c r="K2226" t="inlineStr">
        <is>
          <t>34.99</t>
        </is>
      </c>
      <c r="L2226" t="n">
        <v>39.99</v>
      </c>
      <c r="M2226" s="1" t="inlineStr">
        <is>
          <t>14.29%</t>
        </is>
      </c>
      <c r="N2226" s="7" t="n">
        <v>-78.13</v>
      </c>
      <c r="O2226" t="n">
        <v>5</v>
      </c>
      <c r="P2226" t="n">
        <v>6</v>
      </c>
      <c r="R2226" t="inlineStr">
        <is>
          <t>InStock</t>
        </is>
      </c>
      <c r="S2226" t="inlineStr">
        <is>
          <t>47.68</t>
        </is>
      </c>
      <c r="T2226" t="inlineStr">
        <is>
          <t>4174339670116</t>
        </is>
      </c>
    </row>
    <row r="2227" ht="87" customHeight="1">
      <c r="A2227" s="2">
        <f>HYPERLINK("https://edmondsonsupply.com/collections/hvac/products/appion-mgavcr-5-16in-valve-core-removal-tool", "https://edmondsonsupply.com/collections/hvac/products/appion-mgavcr-5-16in-valve-core-removal-tool")</f>
        <v/>
      </c>
      <c r="B2227" s="2">
        <f>HYPERLINK("https://edmondsonsupply.com/products/appion-mgavcr-5-16in-valve-core-removal-tool", "https://edmondsonsupply.com/products/appion-mgavcr-5-16in-valve-core-removal-tool")</f>
        <v/>
      </c>
      <c r="C2227" t="inlineStr">
        <is>
          <t>Appion MGAVCR 5/16in Valve Core Removal Tool</t>
        </is>
      </c>
      <c r="D2227" t="inlineStr">
        <is>
          <t>Appion MGAVCR Mega Flow Vacuum Rated Valve Core Removal Tool – 5/16" System Connection</t>
        </is>
      </c>
      <c r="E2227" s="2">
        <f>HYPERLINK("https://www.amazon.com/Appion-MGAVCR-Vacuum-Rated-Removal/dp/B008HQ2EZ8/ref=sr_1_1?keywords=Appion+MGAVCR+5%2F16in+Valve+Core+Removal+Tool&amp;qid=1694734653&amp;sr=8-1", "https://www.amazon.com/Appion-MGAVCR-Vacuum-Rated-Removal/dp/B008HQ2EZ8/ref=sr_1_1?keywords=Appion+MGAVCR+5%2F16in+Valve+Core+Removal+Tool&amp;qid=1694734653&amp;sr=8-1")</f>
        <v/>
      </c>
      <c r="F2227" t="inlineStr">
        <is>
          <t>B008HQ2EZ8</t>
        </is>
      </c>
      <c r="G2227">
        <f>_xlfn.IMAGE("https://edmondsonsupply.com/cdn/shop/products/MGAVCR_1080.png?v=1678239697")</f>
        <v/>
      </c>
      <c r="H2227">
        <f>_xlfn.IMAGE("https://m.media-amazon.com/images/I/51u6BXUiN9L._AC_UL320_.jpg")</f>
        <v/>
      </c>
      <c r="K2227" t="inlineStr">
        <is>
          <t>69.99</t>
        </is>
      </c>
      <c r="L2227" t="n">
        <v>79.98999999999999</v>
      </c>
      <c r="M2227" s="1" t="inlineStr">
        <is>
          <t>14.29%</t>
        </is>
      </c>
      <c r="N2227" s="7" t="n">
        <v>-78.72</v>
      </c>
      <c r="O2227" t="n">
        <v>4.8</v>
      </c>
      <c r="P2227" t="n">
        <v>886</v>
      </c>
      <c r="R2227" t="inlineStr">
        <is>
          <t>InStock</t>
        </is>
      </c>
      <c r="S2227" t="inlineStr">
        <is>
          <t>89.99</t>
        </is>
      </c>
      <c r="T2227" t="inlineStr">
        <is>
          <t>7957758673112</t>
        </is>
      </c>
    </row>
    <row r="2228" ht="87" customHeight="1">
      <c r="A2228" s="2">
        <f>HYPERLINK("https://edmondsonsupply.com/collections/hvac/products/appion-mgavct-1-4in-valve-core-removal-tool", "https://edmondsonsupply.com/collections/hvac/products/appion-mgavct-1-4in-valve-core-removal-tool")</f>
        <v/>
      </c>
      <c r="B2228" s="2">
        <f>HYPERLINK("https://edmondsonsupply.com/products/appion-mgavct-1-4in-valve-core-removal-tool", "https://edmondsonsupply.com/products/appion-mgavct-1-4in-valve-core-removal-tool")</f>
        <v/>
      </c>
      <c r="C2228" t="inlineStr">
        <is>
          <t>Appion MGAVCT 1/4in Valve Core Removal Tool</t>
        </is>
      </c>
      <c r="D2228" t="inlineStr">
        <is>
          <t>Appion MGAVCT Mega Flow Vacuum-Rated Valve Core Removal Tool, 1/4" Connection, Black</t>
        </is>
      </c>
      <c r="E2228" s="2">
        <f>HYPERLINK("https://www.amazon.com/Appion-MGAVCT-Vacuum-Rated-Removal-Connection/dp/B008GVRI50/ref=sr_1_2?keywords=Appion+MGAVCT+1%2F4in+Valve+Core+Removal+Tool&amp;qid=1694734577&amp;sr=8-2", "https://www.amazon.com/Appion-MGAVCT-Vacuum-Rated-Removal-Connection/dp/B008GVRI50/ref=sr_1_2?keywords=Appion+MGAVCT+1%2F4in+Valve+Core+Removal+Tool&amp;qid=1694734577&amp;sr=8-2")</f>
        <v/>
      </c>
      <c r="F2228" t="inlineStr">
        <is>
          <t>B008GVRI50</t>
        </is>
      </c>
      <c r="G2228">
        <f>_xlfn.IMAGE("https://edmondsonsupply.com/cdn/shop/products/MGAVCT_1080.png?v=1678240814")</f>
        <v/>
      </c>
      <c r="H2228">
        <f>_xlfn.IMAGE("https://m.media-amazon.com/images/I/71Y3KHHd0cL._AC_UL320_.jpg")</f>
        <v/>
      </c>
      <c r="K2228" t="inlineStr">
        <is>
          <t>69.99</t>
        </is>
      </c>
      <c r="L2228" t="n">
        <v>79.97</v>
      </c>
      <c r="M2228" s="1" t="inlineStr">
        <is>
          <t>14.26%</t>
        </is>
      </c>
      <c r="N2228" s="7" t="n">
        <v>-78.72</v>
      </c>
      <c r="O2228" t="n">
        <v>4.7</v>
      </c>
      <c r="P2228" t="n">
        <v>68</v>
      </c>
      <c r="R2228" t="inlineStr">
        <is>
          <t>InStock</t>
        </is>
      </c>
      <c r="S2228" t="inlineStr">
        <is>
          <t>89.99</t>
        </is>
      </c>
      <c r="T2228" t="inlineStr">
        <is>
          <t>7957780267224</t>
        </is>
      </c>
    </row>
    <row r="2229" ht="87" customHeight="1">
      <c r="A2229" s="2">
        <f>HYPERLINK("https://edmondsonsupply.com/collections/hvac/products/diversitech-cp-m115", "https://edmondsonsupply.com/collections/hvac/products/diversitech-cp-m115")</f>
        <v/>
      </c>
      <c r="B2229" s="2">
        <f>HYPERLINK("https://edmondsonsupply.com/products/diversitech-cp-m115", "https://edmondsonsupply.com/products/diversitech-cp-m115")</f>
        <v/>
      </c>
      <c r="C2229" t="inlineStr">
        <is>
          <t>DiversiTech CP-M115 Mini-Split Condensate Pump, 115V</t>
        </is>
      </c>
      <c r="D2229" t="inlineStr">
        <is>
          <t>Diversitech CP-M115 Cond. Pump,for Mini Split,115V</t>
        </is>
      </c>
      <c r="E2229" s="2">
        <f>HYPERLINK("https://www.amazon.com/Diversitech-CP-M115-Mini-Split-Condensate-Pump/dp/B01LYB6WRD/ref=sr_1_1?keywords=DiversiTech+CP-M115+Mini-Split+Condensate+Pump%2C+115V&amp;qid=1694734653&amp;sr=8-1", "https://www.amazon.com/Diversitech-CP-M115-Mini-Split-Condensate-Pump/dp/B01LYB6WRD/ref=sr_1_1?keywords=DiversiTech+CP-M115+Mini-Split+Condensate+Pump%2C+115V&amp;qid=1694734653&amp;sr=8-1")</f>
        <v/>
      </c>
      <c r="F2229" t="inlineStr">
        <is>
          <t>B01LYB6WRD</t>
        </is>
      </c>
      <c r="G2229">
        <f>_xlfn.IMAGE("https://edmondsonsupply.com/cdn/shop/products/CP-M230_bc4e9a15-626b-4bef-bde3-a9f714acff00.jpg?v=1587150729")</f>
        <v/>
      </c>
      <c r="H2229">
        <f>_xlfn.IMAGE("https://m.media-amazon.com/images/I/51xVBCtmzmL._AC_UL320_.jpg")</f>
        <v/>
      </c>
      <c r="K2229" t="inlineStr">
        <is>
          <t>112.99</t>
        </is>
      </c>
      <c r="L2229" t="n">
        <v>129</v>
      </c>
      <c r="M2229" s="1" t="inlineStr">
        <is>
          <t>14.17%</t>
        </is>
      </c>
      <c r="N2229" s="7" t="n">
        <v>-80.03</v>
      </c>
      <c r="O2229" t="n">
        <v>5</v>
      </c>
      <c r="P2229" t="n">
        <v>1</v>
      </c>
      <c r="R2229" t="inlineStr">
        <is>
          <t>InStock</t>
        </is>
      </c>
      <c r="S2229" t="inlineStr">
        <is>
          <t>231.4</t>
        </is>
      </c>
      <c r="T2229" t="inlineStr">
        <is>
          <t>4337569726564</t>
        </is>
      </c>
    </row>
    <row r="2230" ht="87" customHeight="1">
      <c r="A2230" s="2">
        <f>HYPERLINK("https://edmondsonsupply.com/collections/hvac/products/nu-calgon-4774-0-coil-gun", "https://edmondsonsupply.com/collections/hvac/products/nu-calgon-4774-0-coil-gun")</f>
        <v/>
      </c>
      <c r="B2230" s="2">
        <f>HYPERLINK("https://edmondsonsupply.com/products/nu-calgon-4774-0-coil-gun", "https://edmondsonsupply.com/products/nu-calgon-4774-0-coil-gun")</f>
        <v/>
      </c>
      <c r="C2230" t="inlineStr">
        <is>
          <t>Nu-Calgon 4774-0 Coil Gun</t>
        </is>
      </c>
      <c r="D2230" t="inlineStr">
        <is>
          <t>NU CALGON 4774-0 Coil Gun Sprayer With Quick Connect Hose Nozzle</t>
        </is>
      </c>
      <c r="E2230" s="2">
        <f>HYPERLINK("https://www.amazon.com/Nu-Calgon-4774-0-Sprayer-Nozzle-SX-0470877/dp/B000R81VMG/ref=sr_1_3?keywords=Nu-Calgon+4774-0+Coil+Gun&amp;qid=1694734571&amp;sr=8-3", "https://www.amazon.com/Nu-Calgon-4774-0-Sprayer-Nozzle-SX-0470877/dp/B000R81VMG/ref=sr_1_3?keywords=Nu-Calgon+4774-0+Coil+Gun&amp;qid=1694734571&amp;sr=8-3")</f>
        <v/>
      </c>
      <c r="F2230" t="inlineStr">
        <is>
          <t>B000R81VMG</t>
        </is>
      </c>
      <c r="G2230">
        <f>_xlfn.IMAGE("https://edmondsonsupply.com/cdn/shop/products/4774-0.jpg?v=1660159773")</f>
        <v/>
      </c>
      <c r="H2230">
        <f>_xlfn.IMAGE("https://m.media-amazon.com/images/I/81ywNYt43kL._AC_UL320_.jpg")</f>
        <v/>
      </c>
      <c r="K2230" t="inlineStr">
        <is>
          <t>87.99</t>
        </is>
      </c>
      <c r="L2230" t="n">
        <v>100.37</v>
      </c>
      <c r="M2230" s="1" t="inlineStr">
        <is>
          <t>14.07%</t>
        </is>
      </c>
      <c r="N2230" s="7" t="n">
        <v>-80.17</v>
      </c>
      <c r="O2230" t="n">
        <v>4.7</v>
      </c>
      <c r="P2230" t="n">
        <v>267</v>
      </c>
      <c r="R2230" t="inlineStr">
        <is>
          <t>InStock</t>
        </is>
      </c>
      <c r="S2230" t="inlineStr">
        <is>
          <t>133.84</t>
        </is>
      </c>
      <c r="T2230" t="inlineStr">
        <is>
          <t>7777952202968</t>
        </is>
      </c>
    </row>
    <row r="2231" ht="87" customHeight="1">
      <c r="A2231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231" s="2">
        <f>HYPERLINK("https://edmondsonsupply.com/products/klein-tools-11053-klein-kurve%c2%ae-wire-stripper-cutter", "https://edmondsonsupply.com/products/klein-tools-11053-klein-kurve%c2%ae-wire-stripper-cutter")</f>
        <v/>
      </c>
      <c r="C2231" t="inlineStr">
        <is>
          <t>Klein Tools 11053 Klein-Kurve® Wire Stripper/Cutter</t>
        </is>
      </c>
      <c r="D2231" t="inlineStr">
        <is>
          <t>Klein Tools 1010 Multi Tool Long Nose Wire Cutter, Wire Crimper, Stripper and Bolt Cutter Multi-Purpose Electrician Tool, 8-Inch Long</t>
        </is>
      </c>
      <c r="E2231" s="2">
        <f>HYPERLINK("https://www.amazon.com/Klein-Tools-1010-Crimper-Stripper/dp/B0000302WX/ref=sr_1_4?keywords=Klein+Tools+11053+Klein-Kurve%C2%AE+Wire+Stripper%2FCutter&amp;qid=1694734664&amp;sr=8-4", "https://www.amazon.com/Klein-Tools-1010-Crimper-Stripper/dp/B0000302WX/ref=sr_1_4?keywords=Klein+Tools+11053+Klein-Kurve%C2%AE+Wire+Stripper%2FCutter&amp;qid=1694734664&amp;sr=8-4")</f>
        <v/>
      </c>
      <c r="F2231" t="inlineStr">
        <is>
          <t>B0000302WX</t>
        </is>
      </c>
      <c r="G2231">
        <f>_xlfn.IMAGE("https://edmondsonsupply.com/cdn/shop/products/11053.jpg?v=1633030511")</f>
        <v/>
      </c>
      <c r="H2231">
        <f>_xlfn.IMAGE("https://m.media-amazon.com/images/I/51hS7c2qzvL._AC_UL320_.jpg")</f>
        <v/>
      </c>
      <c r="K2231" t="inlineStr">
        <is>
          <t>20.97</t>
        </is>
      </c>
      <c r="L2231" t="n">
        <v>23.91</v>
      </c>
      <c r="M2231" s="1" t="inlineStr">
        <is>
          <t>14.02%</t>
        </is>
      </c>
      <c r="N2231" s="7" t="n">
        <v>-80.23999999999999</v>
      </c>
      <c r="O2231" t="n">
        <v>4.8</v>
      </c>
      <c r="P2231" t="n">
        <v>1503</v>
      </c>
      <c r="R2231" t="inlineStr">
        <is>
          <t>InStock</t>
        </is>
      </c>
      <c r="S2231" t="inlineStr">
        <is>
          <t>31.76</t>
        </is>
      </c>
      <c r="T2231" t="inlineStr">
        <is>
          <t>5387171299496</t>
        </is>
      </c>
    </row>
    <row r="2232" hidden="1" ht="15.75" customHeight="1">
      <c r="A2232" s="2">
        <f>HYPERLINK("https://edmondsonsupply.com/collections/hvac/products/klein-tools-32791-pro-impact-power-bit-extension-1-4-inch-hex", "https://edmondsonsupply.com/collections/hvac/products/klein-tools-32791-pro-impact-power-bit-extension-1-4-inch-hex")</f>
        <v/>
      </c>
      <c r="B2232" s="2">
        <f>HYPERLINK("https://edmondsonsupply.com/products/klein-tools-32791-pro-impact-power-bit-extension-1-4-inch-hex", "https://edmondsonsupply.com/products/klein-tools-32791-pro-impact-power-bit-extension-1-4-inch-hex")</f>
        <v/>
      </c>
      <c r="C2232" t="inlineStr">
        <is>
          <t>Klein Tools 32791 Pro Impact Power Bit Extension 1/4-Inch Hex</t>
        </is>
      </c>
      <c r="D2232" t="inlineStr">
        <is>
          <t>WORKPRO 9-Piece Socket Adapter Extension Set, 1/4, 3/8, 1/2-Inch Drive, 1/4-Inch Hex Shank, Impact Grade Extension Bit with Holder for Power Drill &amp; Impact Driver</t>
        </is>
      </c>
      <c r="E2232" s="2">
        <f>HYPERLINK("https://www.amazon.com/WORKPRO-9-Piece-Socket-Adapter-Extension/dp/B0B6YYSZ6N/ref=sr_1_7?keywords=Klein+Tools+32791+Pro+Impact+Power+Bit+Extension+1%2F4-Inch+Hex&amp;qid=1694734796&amp;sr=8-7", "https://www.amazon.com/WORKPRO-9-Piece-Socket-Adapter-Extension/dp/B0B6YYSZ6N/ref=sr_1_7?keywords=Klein+Tools+32791+Pro+Impact+Power+Bit+Extension+1%2F4-Inch+Hex&amp;qid=1694734796&amp;sr=8-7")</f>
        <v/>
      </c>
      <c r="F2232" t="inlineStr">
        <is>
          <t>B0B6YYSZ6N</t>
        </is>
      </c>
      <c r="G2232">
        <f>_xludf.IMAGE("https://edmondsonsupply.com/cdn/shop/products/32791.jpg?v=1587145614")</f>
        <v/>
      </c>
      <c r="H2232">
        <f>_xludf.IMAGE("https://m.media-amazon.com/images/I/61f5WFB-N1L._AC_UL320_.jpg")</f>
        <v/>
      </c>
      <c r="K2232" t="inlineStr">
        <is>
          <t>6.99</t>
        </is>
      </c>
      <c r="L2232" t="n">
        <v>7.97</v>
      </c>
      <c r="M2232" s="1" t="inlineStr">
        <is>
          <t>14.02%</t>
        </is>
      </c>
      <c r="N2232" s="1" t="n">
        <v>-83.28</v>
      </c>
      <c r="O2232" t="n">
        <v>4.6</v>
      </c>
      <c r="P2232" t="n">
        <v>196</v>
      </c>
      <c r="R2232" t="inlineStr">
        <is>
          <t>InStock</t>
        </is>
      </c>
      <c r="S2232" t="inlineStr">
        <is>
          <t>9.82</t>
        </is>
      </c>
      <c r="T2232" t="inlineStr">
        <is>
          <t>3500862570596</t>
        </is>
      </c>
    </row>
    <row r="2233" hidden="1" ht="15.75" customHeight="1">
      <c r="A2233" s="2">
        <f>HYPERLINK("https://edmondsonsupply.com/collections/hvac/products/nu-calgon-4155-01-connect-injector-tool", "https://edmondsonsupply.com/collections/hvac/products/nu-calgon-4155-01-connect-injector-tool")</f>
        <v/>
      </c>
      <c r="B2233" s="2">
        <f>HYPERLINK("https://edmondsonsupply.com/products/nu-calgon-4155-01-connect-injector-tool", "https://edmondsonsupply.com/products/nu-calgon-4155-01-connect-injector-tool")</f>
        <v/>
      </c>
      <c r="C2233" t="inlineStr">
        <is>
          <t>Nu-Calgon 4155-01 Connect Injector Tool</t>
        </is>
      </c>
      <c r="D2233" t="inlineStr">
        <is>
          <t>Nu-Calgon 4155-01 A/C Re-New Connect Injector Tool</t>
        </is>
      </c>
      <c r="E2233" s="2">
        <f>HYPERLINK("https://www.amazon.com/Nu-Calgon-4155-01-Re-New-Connect-Injector/dp/B07QD2PRH2/ref=sr_1_1?keywords=Nu-Calgon+4155-01+Connect+Injector+Tool&amp;qid=1694734764&amp;sr=8-1", "https://www.amazon.com/Nu-Calgon-4155-01-Re-New-Connect-Injector/dp/B07QD2PRH2/ref=sr_1_1?keywords=Nu-Calgon+4155-01+Connect+Injector+Tool&amp;qid=1694734764&amp;sr=8-1")</f>
        <v/>
      </c>
      <c r="F2233" t="inlineStr">
        <is>
          <t>B07QD2PRH2</t>
        </is>
      </c>
      <c r="G2233">
        <f>_xludf.IMAGE("https://edmondsonsupply.com/cdn/shop/products/4155-01.jpg?v=1660684967")</f>
        <v/>
      </c>
      <c r="H2233">
        <f>_xludf.IMAGE("https://m.media-amazon.com/images/I/51mPfVLAVJL._AC_UY218_.jpg")</f>
        <v/>
      </c>
      <c r="K2233" t="inlineStr">
        <is>
          <t>30.89</t>
        </is>
      </c>
      <c r="L2233" t="n">
        <v>35.21</v>
      </c>
      <c r="M2233" s="1" t="inlineStr">
        <is>
          <t>13.99%</t>
        </is>
      </c>
      <c r="N2233" s="1" t="n">
        <v>-83.42</v>
      </c>
      <c r="O2233" t="n">
        <v>3.7</v>
      </c>
      <c r="P2233" t="n">
        <v>3</v>
      </c>
      <c r="R2233" t="inlineStr">
        <is>
          <t>InStock</t>
        </is>
      </c>
      <c r="S2233" t="inlineStr">
        <is>
          <t>41.18</t>
        </is>
      </c>
      <c r="T2233" t="inlineStr">
        <is>
          <t>7783178076376</t>
        </is>
      </c>
    </row>
    <row r="2234" ht="87" customHeight="1">
      <c r="A2234" s="2">
        <f>HYPERLINK("https://edmondsonsupply.com/collections/hvac/products/supco-ecmpro-ecm-universal-tester", "https://edmondsonsupply.com/collections/hvac/products/supco-ecmpro-ecm-universal-tester")</f>
        <v/>
      </c>
      <c r="B2234" s="2">
        <f>HYPERLINK("https://edmondsonsupply.com/products/supco-ecmpro-ecm-universal-tester", "https://edmondsonsupply.com/products/supco-ecmpro-ecm-universal-tester")</f>
        <v/>
      </c>
      <c r="C2234" t="inlineStr">
        <is>
          <t>Supco ECMPRO ECM Universal Tester</t>
        </is>
      </c>
      <c r="D2234" t="inlineStr">
        <is>
          <t>Universal ECM Tester ECMPRO</t>
        </is>
      </c>
      <c r="E2234" s="2">
        <f>HYPERLINK("https://www.amazon.com/Airstar-Supply-ECMPRO-Universal-Tester/dp/B08NXWDYMV/ref=sr_1_1?keywords=Supco+ECMPRO+ECM+Universal+Tester&amp;qid=1694734567&amp;sr=8-1", "https://www.amazon.com/Airstar-Supply-ECMPRO-Universal-Tester/dp/B08NXWDYMV/ref=sr_1_1?keywords=Supco+ECMPRO+ECM+Universal+Tester&amp;qid=1694734567&amp;sr=8-1")</f>
        <v/>
      </c>
      <c r="F2234" t="inlineStr">
        <is>
          <t>B08NXWDYMV</t>
        </is>
      </c>
      <c r="G2234">
        <f>_xlfn.IMAGE("https://edmondsonsupply.com/cdn/shop/products/ECMPRO_L.png?v=1587142591")</f>
        <v/>
      </c>
      <c r="H2234">
        <f>_xlfn.IMAGE("https://m.media-amazon.com/images/I/41umt7JlOeL._AC_UY218_.jpg")</f>
        <v/>
      </c>
      <c r="K2234" t="inlineStr">
        <is>
          <t>52.73</t>
        </is>
      </c>
      <c r="L2234" t="n">
        <v>59.95</v>
      </c>
      <c r="M2234" s="1" t="inlineStr">
        <is>
          <t>13.69%</t>
        </is>
      </c>
      <c r="N2234" s="7" t="n">
        <v>-83.67</v>
      </c>
      <c r="O2234" t="n">
        <v>4.6</v>
      </c>
      <c r="P2234" t="n">
        <v>92</v>
      </c>
      <c r="R2234" t="inlineStr">
        <is>
          <t>InStock</t>
        </is>
      </c>
      <c r="S2234" t="inlineStr">
        <is>
          <t>undefined</t>
        </is>
      </c>
      <c r="T2234" t="inlineStr">
        <is>
          <t>4429012041828</t>
        </is>
      </c>
    </row>
    <row r="2235" ht="87" customHeight="1">
      <c r="A2235" s="2">
        <f>HYPERLINK("https://edmondsonsupply.com/collections/hvac/products/fresh-aire-uv-apco-tuvl-215-2-year-replacement-uv-lamp", "https://edmondsonsupply.com/collections/hvac/products/fresh-aire-uv-apco-tuvl-215-2-year-replacement-uv-lamp")</f>
        <v/>
      </c>
      <c r="B2235" s="2">
        <f>HYPERLINK("https://edmondsonsupply.com/products/fresh-aire-uv-apco-tuvl-215-2-year-replacement-uv-lamp", "https://edmondsonsupply.com/products/fresh-aire-uv-apco-tuvl-215-2-year-replacement-uv-lamp")</f>
        <v/>
      </c>
      <c r="C2235" t="inlineStr">
        <is>
          <t>Fresh-Aire UV APCO TUVL-215, 2-Year Replacement UV Lamp</t>
        </is>
      </c>
      <c r="D2235" t="inlineStr">
        <is>
          <t>Fresh-Aire UV Genuine Replacement UV-C Lamp, 15", 2 Year Effective Life</t>
        </is>
      </c>
      <c r="E2235" s="2">
        <f>HYPERLINK("https://www.amazon.com/Fresh-Aire-UV-Genuine-Replacement-Effective/dp/B072N1MGRC/ref=sr_1_2?keywords=Fresh-Aire+UV+APCO+TUVL-215%2C+2-Year+Replacement+UV+Lamp&amp;qid=1694734567&amp;sr=8-2", "https://www.amazon.com/Fresh-Aire-UV-Genuine-Replacement-Effective/dp/B072N1MGRC/ref=sr_1_2?keywords=Fresh-Aire+UV+APCO+TUVL-215%2C+2-Year+Replacement+UV+Lamp&amp;qid=1694734567&amp;sr=8-2")</f>
        <v/>
      </c>
      <c r="F2235" t="inlineStr">
        <is>
          <t>B072N1MGRC</t>
        </is>
      </c>
      <c r="G2235">
        <f>_xlfn.IMAGE("https://edmondsonsupply.com/cdn/shop/products/TUVL-215_1ea9b67d-7d35-4102-a10b-a43913714c29.jpg?v=1633030216")</f>
        <v/>
      </c>
      <c r="H2235">
        <f>_xlfn.IMAGE("https://m.media-amazon.com/images/I/417N6rXTb6L._AC_UL320_.jpg")</f>
        <v/>
      </c>
      <c r="K2235" t="inlineStr">
        <is>
          <t>108.19</t>
        </is>
      </c>
      <c r="L2235" t="n">
        <v>123</v>
      </c>
      <c r="M2235" s="1" t="inlineStr">
        <is>
          <t>13.69%</t>
        </is>
      </c>
      <c r="N2235" s="7" t="n">
        <v>-84.43000000000001</v>
      </c>
      <c r="O2235" t="n">
        <v>4.6</v>
      </c>
      <c r="P2235" t="n">
        <v>151</v>
      </c>
      <c r="R2235" t="inlineStr">
        <is>
          <t>InStock</t>
        </is>
      </c>
      <c r="S2235" t="inlineStr">
        <is>
          <t>undefined</t>
        </is>
      </c>
      <c r="T2235" t="inlineStr">
        <is>
          <t>4452264837220</t>
        </is>
      </c>
    </row>
    <row r="2236" hidden="1" ht="15.75" customHeight="1">
      <c r="A2236" s="2">
        <f>HYPERLINK("https://edmondsonsupply.com/collections/hvac/products/packard-psmj400-motor-start-capacitor-400-480-mfd-165-vac", "https://edmondsonsupply.com/collections/hvac/products/packard-psmj400-motor-start-capacitor-400-480-mfd-165-vac")</f>
        <v/>
      </c>
      <c r="B2236" s="2">
        <f>HYPERLINK("https://edmondsonsupply.com/products/packard-psmj400-motor-start-capacitor-400-480-mfd-165-vac", "https://edmondsonsupply.com/products/packard-psmj400-motor-start-capacitor-400-480-mfd-165-vac")</f>
        <v/>
      </c>
      <c r="C2236" t="inlineStr">
        <is>
          <t>Packard PSMJ400 Motor Start Capacitor 400-480 MFD 165 VAC</t>
        </is>
      </c>
      <c r="D2236" t="inlineStr">
        <is>
          <t>400-480 uf/MFD 110-125 VAC Round Start Capacitor ±20% 50/60 Hz CD60 Round Motor Well Pump Start Capacitor (400-480 uf/MFD)</t>
        </is>
      </c>
      <c r="E2236" s="2">
        <f>HYPERLINK("https://www.amazon.com/400-480-MFD-110-125-Round-Capacitor/dp/B0BGC242L4/ref=sr_1_9?keywords=Packard+PSMJ400+Motor+Start+Capacitor+400-480+MFD+165+VAC&amp;qid=1694734737&amp;sr=8-9", "https://www.amazon.com/400-480-MFD-110-125-Round-Capacitor/dp/B0BGC242L4/ref=sr_1_9?keywords=Packard+PSMJ400+Motor+Start+Capacitor+400-480+MFD+165+VAC&amp;qid=1694734737&amp;sr=8-9")</f>
        <v/>
      </c>
      <c r="F2236" t="inlineStr">
        <is>
          <t>B0BGC242L4</t>
        </is>
      </c>
      <c r="G2236">
        <f>_xludf.IMAGE("https://edmondsonsupply.com/cdn/shop/products/PSMJ400-2.jpg?v=1587142312")</f>
        <v/>
      </c>
      <c r="H2236">
        <f>_xludf.IMAGE("https://m.media-amazon.com/images/I/51UlEes6qOL._AC_UY218_.jpg")</f>
        <v/>
      </c>
      <c r="K2236" t="inlineStr">
        <is>
          <t>7.92</t>
        </is>
      </c>
      <c r="L2236" t="n">
        <v>8.99</v>
      </c>
      <c r="M2236" s="1" t="inlineStr">
        <is>
          <t>13.51%</t>
        </is>
      </c>
      <c r="N2236" s="1" t="n">
        <v>-85.51000000000001</v>
      </c>
      <c r="O2236" t="n">
        <v>4.7</v>
      </c>
      <c r="P2236" t="n">
        <v>21</v>
      </c>
      <c r="R2236" t="inlineStr">
        <is>
          <t>InStock</t>
        </is>
      </c>
      <c r="S2236" t="inlineStr">
        <is>
          <t>undefined</t>
        </is>
      </c>
      <c r="T2236" t="inlineStr">
        <is>
          <t>3683072016484</t>
        </is>
      </c>
    </row>
    <row r="2237" ht="87" customHeight="1">
      <c r="A2237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2237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2237" t="inlineStr">
        <is>
          <t>ICM Controls ICM2813 Furnace Control Board - Replacement for Lennox</t>
        </is>
      </c>
      <c r="D2237" t="inlineStr">
        <is>
          <t>ICM2813 Furnace Control Board Module for Lennox 23W5101 30W2501 69M0801 69M1501</t>
        </is>
      </c>
      <c r="E2237" s="2">
        <f>HYPERLINK("https://www.amazon.com/ICM2813-Furnace-Control-23W5101-30W2501/dp/B08TPQ179V/ref=sr_1_1?keywords=ICM+Controls+ICM2813+Furnace+Control+Board+-+Replacement+for+Lennox&amp;qid=1694734575&amp;sr=8-1", "https://www.amazon.com/ICM2813-Furnace-Control-23W5101-30W2501/dp/B08TPQ179V/ref=sr_1_1?keywords=ICM+Controls+ICM2813+Furnace+Control+Board+-+Replacement+for+Lennox&amp;qid=1694734575&amp;sr=8-1")</f>
        <v/>
      </c>
      <c r="F2237" t="inlineStr">
        <is>
          <t>B08TPQ179V</t>
        </is>
      </c>
      <c r="G2237">
        <f>_xlfn.IMAGE("https://edmondsonsupply.com/cdn/shop/products/ICM2813.jpg?v=1666552363")</f>
        <v/>
      </c>
      <c r="H2237">
        <f>_xlfn.IMAGE("https://m.media-amazon.com/images/I/81ojjm5E6kL._AC_UL320_.jpg")</f>
        <v/>
      </c>
      <c r="K2237" t="inlineStr">
        <is>
          <t>99.99</t>
        </is>
      </c>
      <c r="L2237" t="n">
        <v>113.48</v>
      </c>
      <c r="M2237" s="1" t="inlineStr">
        <is>
          <t>13.49%</t>
        </is>
      </c>
      <c r="N2237" s="7" t="n">
        <v>-86.19</v>
      </c>
      <c r="O2237" t="n">
        <v>4.8</v>
      </c>
      <c r="P2237" t="n">
        <v>5</v>
      </c>
      <c r="R2237" t="inlineStr">
        <is>
          <t>InStock</t>
        </is>
      </c>
      <c r="S2237" t="inlineStr">
        <is>
          <t>111.21</t>
        </is>
      </c>
      <c r="T2237" t="inlineStr">
        <is>
          <t>7864012341464</t>
        </is>
      </c>
    </row>
    <row r="2238" hidden="1" ht="15.75" customHeight="1">
      <c r="A2238" s="2">
        <f>HYPERLINK("https://edmondsonsupply.com/collections/hvac/products/spin-tools-s1014-swaging-1-4-drill-bit", "https://edmondsonsupply.com/collections/hvac/products/spin-tools-s1014-swaging-1-4-drill-bit")</f>
        <v/>
      </c>
      <c r="B2238" s="2">
        <f>HYPERLINK("https://edmondsonsupply.com/products/spin-tools-s1014-swaging-1-4-drill-bit", "https://edmondsonsupply.com/products/spin-tools-s1014-swaging-1-4-drill-bit")</f>
        <v/>
      </c>
      <c r="C2238" t="inlineStr">
        <is>
          <t>SPIN Tools S1014 Swaging Individual 1/4" Drill Bit</t>
        </is>
      </c>
      <c r="D2238" t="inlineStr">
        <is>
          <t>SPIN S1014 1/4" Drill Bit Swaging Tool</t>
        </is>
      </c>
      <c r="E2238" s="2">
        <f>HYPERLINK("https://www.amazon.com/HVAC-Tools-Expander-Swaging-Refrigeration/dp/B087WSN432/ref=sr_1_2?keywords=SPIN+Tools+S1014+Swaging+Individual+1%2F4%22+Drill+Bit&amp;qid=1694734668&amp;sr=8-2", "https://www.amazon.com/HVAC-Tools-Expander-Swaging-Refrigeration/dp/B087WSN432/ref=sr_1_2?keywords=SPIN+Tools+S1014+Swaging+Individual+1%2F4%22+Drill+Bit&amp;qid=1694734668&amp;sr=8-2")</f>
        <v/>
      </c>
      <c r="F2238" t="inlineStr">
        <is>
          <t>B087WSN432</t>
        </is>
      </c>
      <c r="G2238">
        <f>_xludf.IMAGE("https://edmondsonsupply.com/cdn/shop/products/S1014-2.jpg?v=1633030315")</f>
        <v/>
      </c>
      <c r="H2238">
        <f>_xludf.IMAGE("https://m.media-amazon.com/images/I/41IKHISHP4L._AC_UL320_.jpg")</f>
        <v/>
      </c>
      <c r="K2238" t="inlineStr">
        <is>
          <t>26.45</t>
        </is>
      </c>
      <c r="L2238" t="n">
        <v>29.96</v>
      </c>
      <c r="M2238" s="1" t="inlineStr">
        <is>
          <t>13.27%</t>
        </is>
      </c>
      <c r="N2238" s="1" t="n">
        <v>-86.19</v>
      </c>
      <c r="O2238" t="n">
        <v>4</v>
      </c>
      <c r="P2238" t="n">
        <v>16</v>
      </c>
      <c r="R2238" t="inlineStr">
        <is>
          <t>OutOfStock</t>
        </is>
      </c>
      <c r="S2238" t="inlineStr">
        <is>
          <t>30.0</t>
        </is>
      </c>
      <c r="T2238" t="inlineStr">
        <is>
          <t>5242852114600</t>
        </is>
      </c>
    </row>
    <row r="2239" ht="87" customHeight="1">
      <c r="A2239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239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239" t="inlineStr">
        <is>
          <t>ICM Controls ICM2805A Furnace Control Board - Replacement for Nordyne</t>
        </is>
      </c>
      <c r="D2239" t="inlineStr">
        <is>
          <t>ICM - ICM2805A - Furnace Control Board, 120/240 Input Voltage, for Use with Commercial HVAC Equipment, Residential</t>
        </is>
      </c>
      <c r="E2239" s="2">
        <f>HYPERLINK("https://www.amazon.com/ICM-ICM2805A-Furnace-Control-Board/dp/B0716MJL45/ref=sr_1_6?keywords=ICM+Controls+ICM2805A+Furnace+Control+Board+-+Replacement+for+Nordyne&amp;qid=1694734623&amp;sr=8-6", "https://www.amazon.com/ICM-ICM2805A-Furnace-Control-Board/dp/B0716MJL45/ref=sr_1_6?keywords=ICM+Controls+ICM2805A+Furnace+Control+Board+-+Replacement+for+Nordyne&amp;qid=1694734623&amp;sr=8-6")</f>
        <v/>
      </c>
      <c r="F2239" t="inlineStr">
        <is>
          <t>B0716MJL45</t>
        </is>
      </c>
      <c r="G2239">
        <f>_xlfn.IMAGE("https://edmondsonsupply.com/cdn/shop/products/57_3_42a53dd2-02e8-4469-bc0c-0265897201e7.jpg?v=1633031145")</f>
        <v/>
      </c>
      <c r="H2239">
        <f>_xlfn.IMAGE("https://m.media-amazon.com/images/I/71WbYlTC1yL._AC_UL320_.jpg")</f>
        <v/>
      </c>
      <c r="K2239" t="inlineStr">
        <is>
          <t>116.59</t>
        </is>
      </c>
      <c r="L2239" t="n">
        <v>131.99</v>
      </c>
      <c r="M2239" s="1" t="inlineStr">
        <is>
          <t>13.21%</t>
        </is>
      </c>
      <c r="N2239" s="7" t="n">
        <v>-86.20999999999999</v>
      </c>
      <c r="O2239" t="n">
        <v>4.4</v>
      </c>
      <c r="P2239" t="n">
        <v>12</v>
      </c>
      <c r="R2239" t="inlineStr">
        <is>
          <t>InStock</t>
        </is>
      </c>
      <c r="S2239" t="inlineStr">
        <is>
          <t>161.12</t>
        </is>
      </c>
      <c r="T2239" t="inlineStr">
        <is>
          <t>6892060639405</t>
        </is>
      </c>
    </row>
    <row r="2240" ht="87" customHeight="1">
      <c r="A2240" s="2">
        <f>HYPERLINK("https://edmondsonsupply.com/collections/hvac/products/diablo-tools-dou125cgp-1-1-4-in-universal-fit-carbide-oscillating-blade-for-general-purpose-cuts", "https://edmondsonsupply.com/collections/hvac/products/diablo-tools-dou125cgp-1-1-4-in-universal-fit-carbide-oscillating-blade-for-general-purpose-cuts")</f>
        <v/>
      </c>
      <c r="B2240" s="2">
        <f>HYPERLINK("https://edmondsonsupply.com/products/diablo-tools-dou125cgp-1-1-4-in-universal-fit-carbide-oscillating-blade-for-general-purpose-cuts", "https://edmondsonsupply.com/products/diablo-tools-dou125cgp-1-1-4-in-universal-fit-carbide-oscillating-blade-for-general-purpose-cuts")</f>
        <v/>
      </c>
      <c r="C2240" t="inlineStr">
        <is>
          <t>Diablo Tools DOU125CGP 1-1/4 in. Universal Fit Carbide Oscillating Blade for General Purpose Cuts</t>
        </is>
      </c>
      <c r="D2240" t="inlineStr">
        <is>
          <t>1-1/4 in. Universal Fit Carbide Oscillating Blades for General Purpose (2)</t>
        </is>
      </c>
      <c r="E2240" s="2">
        <f>HYPERLINK("https://www.amazon.com/Universal-Carbide-Oscillating-General-Purpose/dp/B09X4LSH27/ref=sr_1_8?keywords=Diablo+Tools+DOU125CGP+1-1%2F4+in.+Universal+Fit+Carbide+Oscillating+Blade+for+General+Purpose+Cuts&amp;qid=1694734915&amp;sr=8-8", "https://www.amazon.com/Universal-Carbide-Oscillating-General-Purpose/dp/B09X4LSH27/ref=sr_1_8?keywords=Diablo+Tools+DOU125CGP+1-1%2F4+in.+Universal+Fit+Carbide+Oscillating+Blade+for+General+Purpose+Cuts&amp;qid=1694734915&amp;sr=8-8")</f>
        <v/>
      </c>
      <c r="F2240" t="inlineStr">
        <is>
          <t>B09X4LSH27</t>
        </is>
      </c>
      <c r="G2240">
        <f>_xlfn.IMAGE("https://edmondsonsupply.com/cdn/shop/files/htobgrjt150mygkkk6to_dca17485-ff4c-4cd2-9345-f1b96a9206f3.webp?v=1686146827")</f>
        <v/>
      </c>
      <c r="H2240">
        <f>_xlfn.IMAGE("https://m.media-amazon.com/images/I/51goyVwfKDL._AC_UL320_.jpg")</f>
        <v/>
      </c>
      <c r="K2240" t="inlineStr">
        <is>
          <t>22.97</t>
        </is>
      </c>
      <c r="L2240" t="n">
        <v>26</v>
      </c>
      <c r="M2240" s="1" t="inlineStr">
        <is>
          <t>13.19%</t>
        </is>
      </c>
      <c r="N2240" s="7" t="n">
        <v>-86.90000000000001</v>
      </c>
      <c r="O2240" t="n">
        <v>5</v>
      </c>
      <c r="P2240" t="n">
        <v>2</v>
      </c>
      <c r="R2240" t="inlineStr">
        <is>
          <t>InStock</t>
        </is>
      </c>
      <c r="S2240" t="inlineStr">
        <is>
          <t>28.57</t>
        </is>
      </c>
      <c r="T2240" t="inlineStr">
        <is>
          <t>8002356576472</t>
        </is>
      </c>
    </row>
    <row r="2241" ht="87" customHeight="1">
      <c r="A2241" s="2">
        <f>HYPERLINK("https://edmondsonsupply.com/collections/hvac/products/sensible-products-up-1-ultimate-puller-fan-blade-and-blower-wheel-puller", "https://edmondsonsupply.com/collections/hvac/products/sensible-products-up-1-ultimate-puller-fan-blade-and-blower-wheel-puller")</f>
        <v/>
      </c>
      <c r="B2241" s="2">
        <f>HYPERLINK("https://edmondsonsupply.com/products/sensible-products-up-1-ultimate-puller-fan-blade-and-blower-wheel-puller", "https://edmondsonsupply.com/products/sensible-products-up-1-ultimate-puller-fan-blade-and-blower-wheel-puller")</f>
        <v/>
      </c>
      <c r="C2241" t="inlineStr">
        <is>
          <t>Sensible Products UP-1 Ultimate Puller - Fan Blade and Blower Wheel Puller</t>
        </is>
      </c>
      <c r="D2241" t="inlineStr">
        <is>
          <t>Sensible Products UP-1 Ultimate Hub Fan Blade Blower Wheel Puller</t>
        </is>
      </c>
      <c r="E2241" s="2">
        <f>HYPERLINK("https://www.amazon.com/Blade-Wheel-Puller-Original-Version/dp/B001CGFQDW/ref=sr_1_1?keywords=Sensible+Products+UP-1+Ultimate+Puller+-+Fan+Blade+and+Blower+Wheel+Puller&amp;qid=1694734567&amp;sr=8-1", "https://www.amazon.com/Blade-Wheel-Puller-Original-Version/dp/B001CGFQDW/ref=sr_1_1?keywords=Sensible+Products+UP-1+Ultimate+Puller+-+Fan+Blade+and+Blower+Wheel+Puller&amp;qid=1694734567&amp;sr=8-1")</f>
        <v/>
      </c>
      <c r="F2241" t="inlineStr">
        <is>
          <t>B001CGFQDW</t>
        </is>
      </c>
      <c r="G2241">
        <f>_xlfn.IMAGE("https://edmondsonsupply.com/cdn/shop/products/UPAsset-2_3x_28364a83-d5d7-4a51-b059-b5bf0887b56e.png?v=1638146548")</f>
        <v/>
      </c>
      <c r="H2241">
        <f>_xlfn.IMAGE("https://m.media-amazon.com/images/I/61KvznXd3nL._AC_UY218_.jpg")</f>
        <v/>
      </c>
      <c r="K2241" t="inlineStr">
        <is>
          <t>47.6</t>
        </is>
      </c>
      <c r="L2241" t="n">
        <v>53.85</v>
      </c>
      <c r="M2241" s="1" t="inlineStr">
        <is>
          <t>13.13%</t>
        </is>
      </c>
      <c r="N2241" s="7" t="n">
        <v>-87.25</v>
      </c>
      <c r="O2241" t="n">
        <v>4.7</v>
      </c>
      <c r="P2241" t="n">
        <v>880</v>
      </c>
      <c r="R2241" t="inlineStr">
        <is>
          <t>InStock</t>
        </is>
      </c>
      <c r="S2241" t="inlineStr">
        <is>
          <t>undefined</t>
        </is>
      </c>
      <c r="T2241" t="inlineStr">
        <is>
          <t>4337179885668</t>
        </is>
      </c>
    </row>
    <row r="2242" ht="87" customHeight="1">
      <c r="A2242" s="2">
        <f>HYPERLINK("https://edmondsonsupply.com/collections/hvac/products/diablo-tools-dmamxcc5020-2-5-8-in-x-7-in-sds-max-carbide-tipped-core-bit", "https://edmondsonsupply.com/collections/hvac/products/diablo-tools-dmamxcc5020-2-5-8-in-x-7-in-sds-max-carbide-tipped-core-bit")</f>
        <v/>
      </c>
      <c r="B2242" s="2">
        <f>HYPERLINK("https://edmondsonsupply.com/products/diablo-tools-dmamxcc5020-2-5-8-in-x-7-in-sds-max-carbide-tipped-core-bit", "https://edmondsonsupply.com/products/diablo-tools-dmamxcc5020-2-5-8-in-x-7-in-sds-max-carbide-tipped-core-bit")</f>
        <v/>
      </c>
      <c r="C2242" t="inlineStr">
        <is>
          <t>Diablo Tools DMAMXCC5020 2-5/8 in. x 7 in. SDS-Max Carbide Tipped Core Bit</t>
        </is>
      </c>
      <c r="D2242" t="inlineStr">
        <is>
          <t>Diablo 2-5/8 in. x 7 in. SDS-Max Carbide Tipped Core Bit</t>
        </is>
      </c>
      <c r="E2242" s="2">
        <f>HYPERLINK("https://www.amazon.com/Diablo-DMAMXCC5020-SDS-Max-Carbide-Tipped/dp/B089M7TYBC/ref=sr_1_1?keywords=Diablo+Tools+DMAMXCC5020+2-5%2F8+in.+x+7+in.+SDS-Max+Carbide+Tipped+Core+Bit&amp;qid=1694734909&amp;sr=8-1", "https://www.amazon.com/Diablo-DMAMXCC5020-SDS-Max-Carbide-Tipped/dp/B089M7TYBC/ref=sr_1_1?keywords=Diablo+Tools+DMAMXCC5020+2-5%2F8+in.+x+7+in.+SDS-Max+Carbide+Tipped+Core+Bit&amp;qid=1694734909&amp;sr=8-1")</f>
        <v/>
      </c>
      <c r="F2242" t="inlineStr">
        <is>
          <t>B089M7TYBC</t>
        </is>
      </c>
      <c r="G2242">
        <f>_xlfn.IMAGE("https://edmondsonsupply.com/cdn/shop/files/vashcrdlazsqjug8tmyc.webp?v=1686584484")</f>
        <v/>
      </c>
      <c r="H2242">
        <f>_xlfn.IMAGE("https://m.media-amazon.com/images/I/61fu3xDsk5L._AC_UL320_.jpg")</f>
        <v/>
      </c>
      <c r="K2242" t="inlineStr">
        <is>
          <t>107.99</t>
        </is>
      </c>
      <c r="L2242" t="n">
        <v>121.99</v>
      </c>
      <c r="M2242" s="1" t="inlineStr">
        <is>
          <t>12.96%</t>
        </is>
      </c>
      <c r="N2242" s="7" t="n">
        <v>-87.44</v>
      </c>
      <c r="O2242" t="n">
        <v>4.8</v>
      </c>
      <c r="P2242" t="n">
        <v>5</v>
      </c>
      <c r="R2242" t="inlineStr">
        <is>
          <t>InStock</t>
        </is>
      </c>
      <c r="S2242" t="inlineStr">
        <is>
          <t>173.04</t>
        </is>
      </c>
      <c r="T2242" t="inlineStr">
        <is>
          <t>8004505272536</t>
        </is>
      </c>
    </row>
    <row r="2243" ht="87" customHeight="1">
      <c r="A2243" s="2">
        <f>HYPERLINK("https://edmondsonsupply.com/collections/hvac/products/sensible-products-hrf-2-high-beam-rechargeable-flashlight-2-black", "https://edmondsonsupply.com/collections/hvac/products/sensible-products-hrf-2-high-beam-rechargeable-flashlight-2-black")</f>
        <v/>
      </c>
      <c r="B2243" s="2">
        <f>HYPERLINK("https://edmondsonsupply.com/products/sensible-products-hrf-2-high-beam-rechargeable-flashlight-2-black", "https://edmondsonsupply.com/products/sensible-products-hrf-2-high-beam-rechargeable-flashlight-2-black")</f>
        <v/>
      </c>
      <c r="C2243" t="inlineStr">
        <is>
          <t>Sensible Products HRF-2 High-Beam Rechargeable Flashlight-2, Black</t>
        </is>
      </c>
      <c r="D2243" t="inlineStr">
        <is>
          <t>Sensible Products High-Beam Rechargeable Flashlight #HRF-1 - Sold Each</t>
        </is>
      </c>
      <c r="E2243" s="2">
        <f>HYPERLINK("https://www.amazon.com/Sensible-Products-High-Beam-Rechargeable-Flashlight/dp/B0BVGLNYDK/ref=sr_1_1?keywords=Sensible+Products+HRF-2+High-Beam+Rechargeable+Flashlight-2%2C+Black&amp;qid=1694734741&amp;sr=8-1", "https://www.amazon.com/Sensible-Products-High-Beam-Rechargeable-Flashlight/dp/B0BVGLNYDK/ref=sr_1_1?keywords=Sensible+Products+HRF-2+High-Beam+Rechargeable+Flashlight-2%2C+Black&amp;qid=1694734741&amp;sr=8-1")</f>
        <v/>
      </c>
      <c r="F2243" t="inlineStr">
        <is>
          <t>B0BVGLNYDK</t>
        </is>
      </c>
      <c r="G2243">
        <f>_xlfn.IMAGE("https://edmondsonsupply.com/cdn/shop/files/hrf2.jpg?v=1693231375")</f>
        <v/>
      </c>
      <c r="H2243">
        <f>_xlfn.IMAGE("https://m.media-amazon.com/images/I/31tIPF-TUsL._AC_UL320_.jpg")</f>
        <v/>
      </c>
      <c r="K2243" t="inlineStr">
        <is>
          <t>34.49</t>
        </is>
      </c>
      <c r="L2243" t="n">
        <v>38.95</v>
      </c>
      <c r="M2243" s="1" t="inlineStr">
        <is>
          <t>12.93%</t>
        </is>
      </c>
      <c r="N2243" s="7" t="n">
        <v>-87.56</v>
      </c>
      <c r="O2243" t="n">
        <v>5</v>
      </c>
      <c r="P2243" t="n">
        <v>1</v>
      </c>
      <c r="R2243" t="inlineStr">
        <is>
          <t>InStock</t>
        </is>
      </c>
      <c r="S2243" t="inlineStr">
        <is>
          <t>undefined</t>
        </is>
      </c>
      <c r="T2243" t="inlineStr">
        <is>
          <t>8032026919128</t>
        </is>
      </c>
    </row>
    <row r="2244" ht="87" customHeight="1">
      <c r="A2244" s="2">
        <f>HYPERLINK("https://edmondsonsupply.com/collections/hvac/products/milwaukee-2997-22-m18-fuel%E2%84%A2-2-tool-combo-kit-hammer-drill-impact", "https://edmondsonsupply.com/collections/hvac/products/milwaukee-2997-22-m18-fuel%E2%84%A2-2-tool-combo-kit-hammer-drill-impact")</f>
        <v/>
      </c>
      <c r="B2244" s="2">
        <f>HYPERLINK("https://edmondsonsupply.com/products/milwaukee-2997-22-m18-fuel%e2%84%a2-2-tool-combo-kit-hammer-drill-impact", "https://edmondsonsupply.com/products/milwaukee-2997-22-m18-fuel%e2%84%a2-2-tool-combo-kit-hammer-drill-impact")</f>
        <v/>
      </c>
      <c r="C2244" t="inlineStr">
        <is>
          <t>Milwaukee 2997-22 M18 FUEL™ 2-Tool Combo Kit: Hammer Drill/Impact</t>
        </is>
      </c>
      <c r="D2244" t="inlineStr">
        <is>
          <t>Milwaukee 2797-22 M18 Fuel Lithium 2-Tool Combo Kit includes Hammer Drill and Hex Impact Driver</t>
        </is>
      </c>
      <c r="E2244" s="2">
        <f>HYPERLINK("https://www.amazon.com/Milwaukee-2797-22-Lithium-2-Tool-Hammer/dp/B009OO84RY/ref=sr_1_1?keywords=Milwaukee+2997-22+M18+FUEL%E2%84%A2+2-Tool+Combo+Kit%3A+Hammer+Drill%2FImpact&amp;qid=1694734766&amp;sr=8-1", "https://www.amazon.com/Milwaukee-2797-22-Lithium-2-Tool-Hammer/dp/B009OO84RY/ref=sr_1_1?keywords=Milwaukee+2997-22+M18+FUEL%E2%84%A2+2-Tool+Combo+Kit%3A+Hammer+Drill%2FImpact&amp;qid=1694734766&amp;sr=8-1")</f>
        <v/>
      </c>
      <c r="F2244" t="inlineStr">
        <is>
          <t>B009OO84RY</t>
        </is>
      </c>
      <c r="G2244">
        <f>_xlfn.IMAGE("https://edmondsonsupply.com/cdn/shop/products/2997-22-1.png?v=1657217833")</f>
        <v/>
      </c>
      <c r="H2244">
        <f>_xlfn.IMAGE("https://m.media-amazon.com/images/I/51XUQoGSTFL._AC_UL320_.jpg")</f>
        <v/>
      </c>
      <c r="K2244" t="inlineStr">
        <is>
          <t>399.0</t>
        </is>
      </c>
      <c r="L2244" t="n">
        <v>449.9</v>
      </c>
      <c r="M2244" s="1" t="inlineStr">
        <is>
          <t>12.76%</t>
        </is>
      </c>
      <c r="N2244" s="7" t="n">
        <v>-87.92</v>
      </c>
      <c r="O2244" t="n">
        <v>4.5</v>
      </c>
      <c r="P2244" t="n">
        <v>162</v>
      </c>
      <c r="R2244" t="inlineStr">
        <is>
          <t>OutOfStock</t>
        </is>
      </c>
      <c r="S2244" t="inlineStr">
        <is>
          <t>726.0</t>
        </is>
      </c>
      <c r="T2244" t="inlineStr">
        <is>
          <t>7741327409368</t>
        </is>
      </c>
    </row>
    <row r="2245" ht="87" customHeight="1">
      <c r="A2245" s="2">
        <f>HYPERLINK("https://edmondsonsupply.com/collections/hvac/products/fluke-t5-600", "https://edmondsonsupply.com/collections/hvac/products/fluke-t5-600")</f>
        <v/>
      </c>
      <c r="B2245" s="2">
        <f>HYPERLINK("https://edmondsonsupply.com/products/fluke-t5-600", "https://edmondsonsupply.com/products/fluke-t5-600")</f>
        <v/>
      </c>
      <c r="C2245" t="inlineStr">
        <is>
          <t>Fluke T5-600 Voltage, Continuity and Current Tester, 600V AC/DC</t>
        </is>
      </c>
      <c r="D2245" t="inlineStr">
        <is>
          <t>Fluke T5-600 Electrical Voltage, Continuity and Current Tester, Measures AC Current Up To 100 A Without Contact, Automatically Select AC/DC Voltage For Tests, Includes Detachable SlimReach Probe Tip</t>
        </is>
      </c>
      <c r="E2245" s="2">
        <f>HYPERLINK("https://www.amazon.com/Fluke-Electrical-Voltage-Continuity-Current/dp/B0006Z3GZU/ref=sr_1_1?keywords=Fluke+T5-600+Voltage%2C+Continuity+and+Current+Tester%2C+600V+AC%2FDC&amp;qid=1694734616&amp;sr=8-1", "https://www.amazon.com/Fluke-Electrical-Voltage-Continuity-Current/dp/B0006Z3GZU/ref=sr_1_1?keywords=Fluke+T5-600+Voltage%2C+Continuity+and+Current+Tester%2C+600V+AC%2FDC&amp;qid=1694734616&amp;sr=8-1")</f>
        <v/>
      </c>
      <c r="F2245" t="inlineStr">
        <is>
          <t>B0006Z3GZU</t>
        </is>
      </c>
      <c r="G2245">
        <f>_xlfn.IMAGE("https://edmondsonsupply.com/cdn/shop/products/F-t5-600-euro_03a_c.jpg?v=1633030279")</f>
        <v/>
      </c>
      <c r="H2245">
        <f>_xlfn.IMAGE("https://m.media-amazon.com/images/I/51Ymlw0UFUL._AC_UL320_.jpg")</f>
        <v/>
      </c>
      <c r="K2245" t="inlineStr">
        <is>
          <t>137.99</t>
        </is>
      </c>
      <c r="L2245" t="n">
        <v>155.58</v>
      </c>
      <c r="M2245" s="1" t="inlineStr">
        <is>
          <t>12.75%</t>
        </is>
      </c>
      <c r="N2245" s="7" t="n">
        <v>-87.95</v>
      </c>
      <c r="O2245" t="n">
        <v>4.8</v>
      </c>
      <c r="P2245" t="n">
        <v>4631</v>
      </c>
      <c r="R2245" t="inlineStr">
        <is>
          <t>InStock</t>
        </is>
      </c>
      <c r="S2245" t="inlineStr">
        <is>
          <t>152.99</t>
        </is>
      </c>
      <c r="T2245" t="inlineStr">
        <is>
          <t>5238394781864</t>
        </is>
      </c>
    </row>
    <row r="2246" hidden="1" ht="15.75" customHeight="1">
      <c r="A2246" s="2">
        <f>HYPERLINK("https://edmondsonsupply.com/collections/hvac/products/icm-controls-icm492-single-phase-line-voltage-monitor", "https://edmondsonsupply.com/collections/hvac/products/icm-controls-icm492-single-phase-line-voltage-monitor")</f>
        <v/>
      </c>
      <c r="B2246" s="2">
        <f>HYPERLINK("https://edmondsonsupply.com/products/icm-controls-icm492-single-phase-line-voltage-monitor", "https://edmondsonsupply.com/products/icm-controls-icm492-single-phase-line-voltage-monitor")</f>
        <v/>
      </c>
      <c r="C2246" t="inlineStr">
        <is>
          <t>ICM Controls ICM492 Single Phase Line Voltage Monitor</t>
        </is>
      </c>
      <c r="D2246" t="inlineStr">
        <is>
          <t>ICM Controls ICM492 Single Phase Monitor, 80-300 VAC, 5-Fault Memory, LCD Setup and Diagnostics.</t>
        </is>
      </c>
      <c r="E2246" s="2">
        <f>HYPERLINK("https://www.amazon.com/ICM-Controls-ICM492-Monitor-Diagnostics/dp/B003MX23SE/ref=sr_1_1?keywords=ICM+Controls+ICM492+Single+Phase+Line+Voltage+Monitor&amp;qid=1694734589&amp;sr=8-1", "https://www.amazon.com/ICM-Controls-ICM492-Monitor-Diagnostics/dp/B003MX23SE/ref=sr_1_1?keywords=ICM+Controls+ICM492+Single+Phase+Line+Voltage+Monitor&amp;qid=1694734589&amp;sr=8-1")</f>
        <v/>
      </c>
      <c r="F2246" t="inlineStr">
        <is>
          <t>B003MX23SE</t>
        </is>
      </c>
      <c r="G2246">
        <f>_xludf.IMAGE("https://edmondsonsupply.com/cdn/shop/products/photo_3666_medium_19efda5b-a59a-4ff4-8872-2cd0c4aa35aa.png?v=1665085673")</f>
        <v/>
      </c>
      <c r="H2246">
        <f>_xludf.IMAGE("https://m.media-amazon.com/images/I/61yENUQbaFL._AC_UL320_.jpg")</f>
        <v/>
      </c>
      <c r="K2246" t="inlineStr">
        <is>
          <t>89.99</t>
        </is>
      </c>
      <c r="L2246" t="n">
        <v>101.44</v>
      </c>
      <c r="M2246" s="1" t="inlineStr">
        <is>
          <t>12.72%</t>
        </is>
      </c>
      <c r="N2246" s="1" t="n">
        <v>-87.97</v>
      </c>
      <c r="O2246" t="n">
        <v>3.9</v>
      </c>
      <c r="P2246" t="n">
        <v>35</v>
      </c>
      <c r="R2246" t="inlineStr">
        <is>
          <t>InStock</t>
        </is>
      </c>
      <c r="S2246" t="inlineStr">
        <is>
          <t>94.5</t>
        </is>
      </c>
      <c r="T2246" t="inlineStr">
        <is>
          <t>7842397257944</t>
        </is>
      </c>
    </row>
    <row r="2247" ht="87" customHeight="1">
      <c r="A2247" s="2">
        <f>HYPERLINK("https://edmondsonsupply.com/collections/hvac/products/uei-dmg150-digital-micron-gauge", "https://edmondsonsupply.com/collections/hvac/products/uei-dmg150-digital-micron-gauge")</f>
        <v/>
      </c>
      <c r="B2247" s="2">
        <f>HYPERLINK("https://edmondsonsupply.com/products/uei-dmg150-digital-micron-gauge", "https://edmondsonsupply.com/products/uei-dmg150-digital-micron-gauge")</f>
        <v/>
      </c>
      <c r="C2247" t="inlineStr">
        <is>
          <t>UEi PDT650 Digital Folding Pocket Thermometer</t>
        </is>
      </c>
      <c r="D2247" t="inlineStr">
        <is>
          <t>UEi Test Instruments PDT650 Folding Pocket Digital Thermometer,Yellow</t>
        </is>
      </c>
      <c r="E2247" s="2">
        <f>HYPERLINK("https://www.amazon.com/UEi-Test-Instruments-PDT650-Thermometer/dp/B004WE73N2/ref=sr_1_1?keywords=UEi+PDT650+Digital+Folding+Pocket+Thermometer&amp;qid=1694734589&amp;sr=8-1", "https://www.amazon.com/UEi-Test-Instruments-PDT650-Thermometer/dp/B004WE73N2/ref=sr_1_1?keywords=UEi+PDT650+Digital+Folding+Pocket+Thermometer&amp;qid=1694734589&amp;sr=8-1")</f>
        <v/>
      </c>
      <c r="F2247" t="inlineStr">
        <is>
          <t>B004WE73N2</t>
        </is>
      </c>
      <c r="G2247">
        <f>_xlfn.IMAGE("https://edmondsonsupply.com/cdn/shop/products/PDT650-1.png?v=1633030101")</f>
        <v/>
      </c>
      <c r="H2247">
        <f>_xlfn.IMAGE("https://m.media-amazon.com/images/I/51VR1dx-YlL._AC_UY218_.jpg")</f>
        <v/>
      </c>
      <c r="K2247" t="inlineStr">
        <is>
          <t>19.51</t>
        </is>
      </c>
      <c r="L2247" t="n">
        <v>21.99</v>
      </c>
      <c r="M2247" s="1" t="inlineStr">
        <is>
          <t>12.71%</t>
        </is>
      </c>
      <c r="N2247" s="7" t="n">
        <v>-88.29000000000001</v>
      </c>
      <c r="O2247" t="n">
        <v>4.7</v>
      </c>
      <c r="P2247" t="n">
        <v>6152</v>
      </c>
      <c r="R2247" t="inlineStr">
        <is>
          <t>InStock</t>
        </is>
      </c>
      <c r="S2247" t="inlineStr">
        <is>
          <t>22.95</t>
        </is>
      </c>
      <c r="T2247" t="inlineStr">
        <is>
          <t>3569106649188</t>
        </is>
      </c>
    </row>
    <row r="2248" ht="87" customHeight="1">
      <c r="A2248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248" s="2">
        <f>HYPERLINK("https://edmondsonsupply.com/products/klein-tools-65064-2-in-1-hex-head-screwdriver-1-4-5-16", "https://edmondsonsupply.com/products/klein-tools-65064-2-in-1-hex-head-screwdriver-1-4-5-16")</f>
        <v/>
      </c>
      <c r="C2248" t="inlineStr">
        <is>
          <t>Klein Tools 65064 2-in-1 Nut Driver, Hex Head, 1/4-Inch and 5/16-Inch</t>
        </is>
      </c>
      <c r="D2248" t="inlineStr">
        <is>
          <t>Klein Tools 610M Tool Set, Magnetic Nut Driver Set with Stubby Nut Driver Sizes 1/4 and 5/16-Inch, Full Hollow Shaft, 2-Piece</t>
        </is>
      </c>
      <c r="E2248" s="2">
        <f>HYPERLINK("https://www.amazon.com/Klein-Tools-610M-16-Inch-Magnetic/dp/B00093DZO6/ref=sr_1_11?keywords=Klein+Tools+65064+2-in-1+Nut+Driver%2C+Hex+Head%2C+1%2F4-Inch+and+5%2F16-Inch&amp;qid=1694734734&amp;sr=8-11", "https://www.amazon.com/Klein-Tools-610M-16-Inch-Magnetic/dp/B00093DZO6/ref=sr_1_11?keywords=Klein+Tools+65064+2-in-1+Nut+Driver%2C+Hex+Head%2C+1%2F4-Inch+and+5%2F16-Inch&amp;qid=1694734734&amp;sr=8-11")</f>
        <v/>
      </c>
      <c r="F2248" t="inlineStr">
        <is>
          <t>B00093DZO6</t>
        </is>
      </c>
      <c r="G2248">
        <f>_xlfn.IMAGE("https://edmondsonsupply.com/cdn/shop/products/65064.jpg?v=1587147719")</f>
        <v/>
      </c>
      <c r="H2248">
        <f>_xlfn.IMAGE("https://m.media-amazon.com/images/I/51lgiheW64L._AC_UL320_.jpg")</f>
        <v/>
      </c>
      <c r="K2248" t="inlineStr">
        <is>
          <t>15.97</t>
        </is>
      </c>
      <c r="L2248" t="n">
        <v>17.99</v>
      </c>
      <c r="M2248" s="1" t="inlineStr">
        <is>
          <t>12.65%</t>
        </is>
      </c>
      <c r="N2248" s="7" t="n">
        <v>-88.40000000000001</v>
      </c>
      <c r="O2248" t="n">
        <v>4.8</v>
      </c>
      <c r="P2248" t="n">
        <v>559</v>
      </c>
      <c r="R2248" t="inlineStr">
        <is>
          <t>InStock</t>
        </is>
      </c>
      <c r="S2248" t="inlineStr">
        <is>
          <t>23.36</t>
        </is>
      </c>
      <c r="T2248" t="inlineStr">
        <is>
          <t>1707342889060</t>
        </is>
      </c>
    </row>
    <row r="2249" ht="87" customHeight="1">
      <c r="A2249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249" s="2">
        <f>HYPERLINK("https://edmondsonsupply.com/products/klein-tools-65064-2-in-1-hex-head-screwdriver-1-4-5-16", "https://edmondsonsupply.com/products/klein-tools-65064-2-in-1-hex-head-screwdriver-1-4-5-16")</f>
        <v/>
      </c>
      <c r="C2249" t="inlineStr">
        <is>
          <t>Klein Tools 65064 2-in-1 Nut Driver, Hex Head, 1/4-Inch and 5/16-Inch</t>
        </is>
      </c>
      <c r="D2249" t="inlineStr">
        <is>
          <t>Klein Tools 65131 2-in-1 Nut Driver, Hex Head Slide Drive, 1-1/2-Inch</t>
        </is>
      </c>
      <c r="E2249" s="2">
        <f>HYPERLINK("https://www.amazon.com/Driver-2-Inch-Klein-Tools-65131/dp/B071LCCGT1/ref=sr_1_6?keywords=Klein+Tools+65064+2-in-1+Nut+Driver%2C+Hex+Head%2C+1%2F4-Inch+and+5%2F16-Inch&amp;qid=1694734734&amp;sr=8-6", "https://www.amazon.com/Driver-2-Inch-Klein-Tools-65131/dp/B071LCCGT1/ref=sr_1_6?keywords=Klein+Tools+65064+2-in-1+Nut+Driver%2C+Hex+Head%2C+1%2F4-Inch+and+5%2F16-Inch&amp;qid=1694734734&amp;sr=8-6")</f>
        <v/>
      </c>
      <c r="F2249" t="inlineStr">
        <is>
          <t>B071LCCGT1</t>
        </is>
      </c>
      <c r="G2249">
        <f>_xlfn.IMAGE("https://edmondsonsupply.com/cdn/shop/products/65064.jpg?v=1587147719")</f>
        <v/>
      </c>
      <c r="H2249">
        <f>_xlfn.IMAGE("https://m.media-amazon.com/images/I/51SI9ktOe4L._AC_UL320_.jpg")</f>
        <v/>
      </c>
      <c r="K2249" t="inlineStr">
        <is>
          <t>15.97</t>
        </is>
      </c>
      <c r="L2249" t="n">
        <v>17.99</v>
      </c>
      <c r="M2249" s="1" t="inlineStr">
        <is>
          <t>12.65%</t>
        </is>
      </c>
      <c r="N2249" s="7" t="n">
        <v>-88.45</v>
      </c>
      <c r="O2249" t="n">
        <v>4.8</v>
      </c>
      <c r="P2249" t="n">
        <v>908</v>
      </c>
      <c r="R2249" t="inlineStr">
        <is>
          <t>InStock</t>
        </is>
      </c>
      <c r="S2249" t="inlineStr">
        <is>
          <t>23.36</t>
        </is>
      </c>
      <c r="T2249" t="inlineStr">
        <is>
          <t>1707342889060</t>
        </is>
      </c>
    </row>
    <row r="2250" hidden="1" ht="15.75" customHeight="1">
      <c r="A2250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250" s="2">
        <f>HYPERLINK("https://edmondsonsupply.com/products/klein-tools-646-5-16-5-16-inch-nut-driver-6-inch-hollow-shaft", "https://edmondsonsupply.com/products/klein-tools-646-5-16-5-16-inch-nut-driver-6-inch-hollow-shaft")</f>
        <v/>
      </c>
      <c r="C2250" t="inlineStr">
        <is>
          <t>Klein Tools 646-5/16 5/16-Inch Nut Driver, 6-Inch Hollow Shaft</t>
        </is>
      </c>
      <c r="D2250" t="inlineStr">
        <is>
          <t>Klein Tools 630-5/16 Nut Driver, 5/16-Inch Tip Nut Driver with 3-Inch Hollow Shaft, Cushion Grip Handle</t>
        </is>
      </c>
      <c r="E2250" s="2">
        <f>HYPERLINK("https://www.amazon.com/16-Inch-Klein-Tools-630-5-16/dp/B001BY0ESW/ref=sr_1_5?keywords=Klein+Tools+646-5%2F16+5%2F16-Inch+Nut+Driver%2C+6-Inch+Hollow+Shaft&amp;qid=1694734728&amp;sr=8-5", "https://www.amazon.com/16-Inch-Klein-Tools-630-5-16/dp/B001BY0ESW/ref=sr_1_5?keywords=Klein+Tools+646-5%2F16+5%2F16-Inch+Nut+Driver%2C+6-Inch+Hollow+Shaft&amp;qid=1694734728&amp;sr=8-5")</f>
        <v/>
      </c>
      <c r="F2250" t="inlineStr">
        <is>
          <t>B001BY0ESW</t>
        </is>
      </c>
      <c r="G2250">
        <f>_xludf.IMAGE("https://edmondsonsupply.com/cdn/shop/products/646-1-2_e1540905-f750-4509-90c5-74ff653e4d83.jpg?v=1587145119")</f>
        <v/>
      </c>
      <c r="H2250">
        <f>_xludf.IMAGE("https://m.media-amazon.com/images/I/41Cj8-Y8KnL._AC_UL320_.jpg")</f>
        <v/>
      </c>
      <c r="K2250" t="inlineStr">
        <is>
          <t>7.99</t>
        </is>
      </c>
      <c r="L2250" t="n">
        <v>8.99</v>
      </c>
      <c r="M2250" s="1" t="inlineStr">
        <is>
          <t>12.52%</t>
        </is>
      </c>
      <c r="N2250" s="1" t="n">
        <v>-88.59999999999999</v>
      </c>
      <c r="O2250" t="n">
        <v>4.8</v>
      </c>
      <c r="P2250" t="n">
        <v>2069</v>
      </c>
      <c r="R2250" t="inlineStr">
        <is>
          <t>InStock</t>
        </is>
      </c>
      <c r="S2250" t="inlineStr">
        <is>
          <t>12.1</t>
        </is>
      </c>
      <c r="T2250" t="inlineStr">
        <is>
          <t>4395303272548</t>
        </is>
      </c>
    </row>
    <row r="2251" ht="87" customHeight="1">
      <c r="A2251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2251" s="2">
        <f>HYPERLINK("https://edmondsonsupply.com/products/klein-tools-610-stubby-nut-driver-set-1-1-2-inch-shafts-2-piece", "https://edmondsonsupply.com/products/klein-tools-610-stubby-nut-driver-set-1-1-2-inch-shafts-2-piece")</f>
        <v/>
      </c>
      <c r="C2251" t="inlineStr">
        <is>
          <t>Klein Tools 610 Stubby Nut Driver Set 1-1/2-Inch Shafts 2-Piece</t>
        </is>
      </c>
      <c r="D2251" t="inlineStr">
        <is>
          <t>Klein Tools 610M Tool Set, Magnetic Nut Driver Set with Stubby Nut Driver Sizes 1/4 and 5/16-Inch, Full Hollow Shaft, 2-Piece</t>
        </is>
      </c>
      <c r="E2251" s="2">
        <f>HYPERLINK("https://www.amazon.com/Klein-Tools-610M-16-Inch-Magnetic/dp/B00093DZO6/ref=sr_1_1?keywords=Klein+Tools+610+Stubby+Nut+Driver+Set+1-1%2F2-Inch+Shafts+2-Piece&amp;qid=1694734809&amp;sr=8-1", "https://www.amazon.com/Klein-Tools-610M-16-Inch-Magnetic/dp/B00093DZO6/ref=sr_1_1?keywords=Klein+Tools+610+Stubby+Nut+Driver+Set+1-1%2F2-Inch+Shafts+2-Piece&amp;qid=1694734809&amp;sr=8-1")</f>
        <v/>
      </c>
      <c r="F2251" t="inlineStr">
        <is>
          <t>B00093DZO6</t>
        </is>
      </c>
      <c r="G2251">
        <f>_xlfn.IMAGE("https://edmondsonsupply.com/cdn/shop/products/610m_169714eb-6816-4f42-aa86-ea17ea5fcbbb.jpg?v=1633030110")</f>
        <v/>
      </c>
      <c r="H2251">
        <f>_xlfn.IMAGE("https://m.media-amazon.com/images/I/51lgiheW64L._AC_UL320_.jpg")</f>
        <v/>
      </c>
      <c r="K2251" t="inlineStr">
        <is>
          <t>15.99</t>
        </is>
      </c>
      <c r="L2251" t="n">
        <v>17.99</v>
      </c>
      <c r="M2251" s="1" t="inlineStr">
        <is>
          <t>12.51%</t>
        </is>
      </c>
      <c r="N2251" s="7" t="n">
        <v>-88.65000000000001</v>
      </c>
      <c r="O2251" t="n">
        <v>4.8</v>
      </c>
      <c r="P2251" t="n">
        <v>559</v>
      </c>
      <c r="R2251" t="inlineStr">
        <is>
          <t>InStock</t>
        </is>
      </c>
      <c r="S2251" t="inlineStr">
        <is>
          <t>24.26</t>
        </is>
      </c>
      <c r="T2251" t="inlineStr">
        <is>
          <t>3671774855268</t>
        </is>
      </c>
    </row>
    <row r="2252" hidden="1" ht="15.75" customHeight="1">
      <c r="A2252" s="2">
        <f>HYPERLINK("https://edmondsonsupply.com/collections/hvac/products/refrigeration-technologies-rt375a-viper-aerosol-foaming-coil-cleaner", "https://edmondsonsupply.com/collections/hvac/products/refrigeration-technologies-rt375a-viper-aerosol-foaming-coil-cleaner")</f>
        <v/>
      </c>
      <c r="B2252" s="2">
        <f>HYPERLINK("https://edmondsonsupply.com/products/refrigeration-technologies-rt375a-viper-aerosol-foaming-coil-cleaner", "https://edmondsonsupply.com/products/refrigeration-technologies-rt375a-viper-aerosol-foaming-coil-cleaner")</f>
        <v/>
      </c>
      <c r="C2252" t="inlineStr">
        <is>
          <t>Refrigeration Technologies RT375A Viper Aerosol Foaming Coil Cleaner</t>
        </is>
      </c>
      <c r="D2252" t="inlineStr">
        <is>
          <t>Refrigeration Technologies RT375A Viper Aerosol Foaming Coil Cleaner 18 oz</t>
        </is>
      </c>
      <c r="E2252" s="2">
        <f>HYPERLINK("https://www.amazon.com/Refrigeration-Technologies-RT375A-Aerosol-Foaming/dp/B0BLQRP1VL/ref=sr_1_2?keywords=Refrigeration+Technologies+RT375A+Viper+Aerosol+Foaming+Coil+Cleaner&amp;qid=1694734567&amp;sr=8-2", "https://www.amazon.com/Refrigeration-Technologies-RT375A-Aerosol-Foaming/dp/B0BLQRP1VL/ref=sr_1_2?keywords=Refrigeration+Technologies+RT375A+Viper+Aerosol+Foaming+Coil+Cleaner&amp;qid=1694734567&amp;sr=8-2")</f>
        <v/>
      </c>
      <c r="F2252" t="inlineStr">
        <is>
          <t>B0BLQRP1VL</t>
        </is>
      </c>
      <c r="G2252">
        <f>_xludf.IMAGE("https://edmondsonsupply.com/cdn/shop/products/Viper_Aerosol_Reflection-o17r8mukbuad3cksp9inhu09n67txxt340x6dk69z4.jpg?v=1633030253")</f>
        <v/>
      </c>
      <c r="H2252">
        <f>_xludf.IMAGE("https://m.media-amazon.com/images/I/61KJzAB1boL._AC_UL320_.jpg")</f>
        <v/>
      </c>
      <c r="K2252" t="inlineStr">
        <is>
          <t>9.79</t>
        </is>
      </c>
      <c r="L2252" t="n">
        <v>10.99</v>
      </c>
      <c r="M2252" s="1" t="inlineStr">
        <is>
          <t>12.26%</t>
        </is>
      </c>
      <c r="N2252" s="1" t="n">
        <v>-88.98</v>
      </c>
      <c r="O2252" t="n">
        <v>4.8</v>
      </c>
      <c r="P2252" t="n">
        <v>8</v>
      </c>
      <c r="R2252" t="inlineStr">
        <is>
          <t>InStock</t>
        </is>
      </c>
      <c r="S2252" t="inlineStr">
        <is>
          <t>10.81</t>
        </is>
      </c>
      <c r="T2252" t="inlineStr">
        <is>
          <t>4628294926436</t>
        </is>
      </c>
    </row>
    <row r="2253" ht="87" customHeight="1">
      <c r="A2253" s="2">
        <f>HYPERLINK("https://edmondsonsupply.com/collections/hvac/products/klein-tools-80028-electricians-tool-kit-28-piece", "https://edmondsonsupply.com/collections/hvac/products/klein-tools-80028-electricians-tool-kit-28-piece")</f>
        <v/>
      </c>
      <c r="B2253" s="2">
        <f>HYPERLINK("https://edmondsonsupply.com/products/klein-tools-80028-electricians-tool-kit-28-piece", "https://edmondsonsupply.com/products/klein-tools-80028-electricians-tool-kit-28-piece")</f>
        <v/>
      </c>
      <c r="C2253" t="inlineStr">
        <is>
          <t>Klein Tools 80028 Electrician's Tool Kit, 28-Piece</t>
        </is>
      </c>
      <c r="D2253" t="inlineStr">
        <is>
          <t>Klein Tools 80028 Hand Tools Kit includes Pliers, Screwdrivers, Nut Drivers, Backpack, and More Jobsite Tools, 28-Piece &amp; 80019 Tool Set, Multi-Bit Screwdriver and Nut Driver Tool Kit, 4-Piece</t>
        </is>
      </c>
      <c r="E2253" s="2">
        <f>HYPERLINK("https://www.amazon.com/Klein-Tools-Screwdrivers-Multi-Bit-Screwdriver/dp/B0BC7Y96KZ/ref=sr_1_2?keywords=Klein+Tools+80028+Electrician%27s+Tool+Kit%2C+28-Piece&amp;qid=1694734712&amp;sr=8-2", "https://www.amazon.com/Klein-Tools-Screwdrivers-Multi-Bit-Screwdriver/dp/B0BC7Y96KZ/ref=sr_1_2?keywords=Klein+Tools+80028+Electrician%27s+Tool+Kit%2C+28-Piece&amp;qid=1694734712&amp;sr=8-2")</f>
        <v/>
      </c>
      <c r="F2253" t="inlineStr">
        <is>
          <t>B0BC7Y96KZ</t>
        </is>
      </c>
      <c r="G2253">
        <f>_xlfn.IMAGE("https://edmondsonsupply.com/cdn/shop/files/80028_d.jpg?v=1686062794")</f>
        <v/>
      </c>
      <c r="H2253">
        <f>_xlfn.IMAGE("https://m.media-amazon.com/images/I/51ilyu0AbQL._AC_UL320_.jpg")</f>
        <v/>
      </c>
      <c r="K2253" t="inlineStr">
        <is>
          <t>414.99</t>
        </is>
      </c>
      <c r="L2253" t="n">
        <v>464.98</v>
      </c>
      <c r="M2253" s="1" t="inlineStr">
        <is>
          <t>12.05%</t>
        </is>
      </c>
      <c r="N2253" s="7" t="n">
        <v>-90.45999999999999</v>
      </c>
      <c r="O2253" t="n">
        <v>5</v>
      </c>
      <c r="P2253" t="n">
        <v>5</v>
      </c>
      <c r="R2253" t="inlineStr">
        <is>
          <t>InStock</t>
        </is>
      </c>
      <c r="S2253" t="inlineStr">
        <is>
          <t>628.74</t>
        </is>
      </c>
      <c r="T2253" t="inlineStr">
        <is>
          <t>5868172214440</t>
        </is>
      </c>
    </row>
    <row r="2254" ht="87" customHeight="1">
      <c r="A2254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254" s="2">
        <f>HYPERLINK("https://edmondsonsupply.com/products/klein-tools-mm300kit-digital-multimeter-electrical-test-kit", "https://edmondsonsupply.com/products/klein-tools-mm300kit-digital-multimeter-electrical-test-kit")</f>
        <v/>
      </c>
      <c r="C2254" t="inlineStr">
        <is>
          <t>Klein Tools MM320KIT Digital Multimeter Electrical Test Kit</t>
        </is>
      </c>
      <c r="D2254" t="inlineStr">
        <is>
          <t>Klein Tools 69149P Multimeter Test Kit, Klein Digital Multimeter, Noncontact Voltage Tester and Outlet Tester, Leads and Batteries Included &amp; 69401 Multimeter Carrying Case</t>
        </is>
      </c>
      <c r="E2254" s="2">
        <f>HYPERLINK("https://www.amazon.com/Klein-Tools-Multimeter-Noncontact-Batteries/dp/B0BC819G7C/ref=sr_1_20?keywords=Klein+Tools+MM320KIT+Digital+Multimeter+Electrical+Test+Kit&amp;qid=1694734657&amp;sr=8-20", "https://www.amazon.com/Klein-Tools-Multimeter-Noncontact-Batteries/dp/B0BC819G7C/ref=sr_1_20?keywords=Klein+Tools+MM320KIT+Digital+Multimeter+Electrical+Test+Kit&amp;qid=1694734657&amp;sr=8-20")</f>
        <v/>
      </c>
      <c r="F2254" t="inlineStr">
        <is>
          <t>B0BC819G7C</t>
        </is>
      </c>
      <c r="G2254">
        <f>_xlfn.IMAGE("https://edmondsonsupply.com/cdn/shop/products/mm320kit_photo.jpg?v=1660756496")</f>
        <v/>
      </c>
      <c r="H2254">
        <f>_xlfn.IMAGE("https://m.media-amazon.com/images/I/61-QuyRIr7L._AC_UL320_.jpg")</f>
        <v/>
      </c>
      <c r="K2254" t="inlineStr">
        <is>
          <t>49.97</t>
        </is>
      </c>
      <c r="L2254" t="n">
        <v>55.97</v>
      </c>
      <c r="M2254" s="1" t="inlineStr">
        <is>
          <t>12.01%</t>
        </is>
      </c>
      <c r="N2254" s="7" t="n">
        <v>-90.88</v>
      </c>
      <c r="O2254" t="n">
        <v>5</v>
      </c>
      <c r="P2254" t="n">
        <v>2</v>
      </c>
      <c r="R2254" t="inlineStr">
        <is>
          <t>InStock</t>
        </is>
      </c>
      <c r="S2254" t="inlineStr">
        <is>
          <t>79.3</t>
        </is>
      </c>
      <c r="T2254" t="inlineStr">
        <is>
          <t>7783570309336</t>
        </is>
      </c>
    </row>
    <row r="2255" ht="87" customHeight="1">
      <c r="A2255" s="2">
        <f>HYPERLINK("https://edmondsonsupply.com/collections/hvac/products/fresh-aire-uv-apco-tuv-apco-rt-er2-18-32-vac-2-year-uv-lamp", "https://edmondsonsupply.com/collections/hvac/products/fresh-aire-uv-apco-tuv-apco-rt-er2-18-32-vac-2-year-uv-lamp")</f>
        <v/>
      </c>
      <c r="B2255" s="2">
        <f>HYPERLINK("https://edmondsonsupply.com/products/fresh-aire-uv-apco-tuv-apco-rt-er2-18-32-vac-2-year-uv-lamp", "https://edmondsonsupply.com/products/fresh-aire-uv-apco-tuv-apco-rt-er2-18-32-vac-2-year-uv-lamp")</f>
        <v/>
      </c>
      <c r="C2255" t="inlineStr">
        <is>
          <t>Fresh-Aire UV APCO TUV-APCO-RT-ER2 18-32 VAC, 2-Year UV Lamp</t>
        </is>
      </c>
      <c r="D2255" t="inlineStr">
        <is>
          <t>APCO/PCO with 2-Year Lamp (18-32 VAC Series) # TUV-APCO-ER2 in-Duct System</t>
        </is>
      </c>
      <c r="E2255" s="2">
        <f>HYPERLINK("https://www.amazon.com/2-Year-18-32-TUV-APCO-ER2-Duct-System/dp/B08QDWLH6Y/ref=sr_1_6?keywords=Fresh-Aire+UV+APCO+TUV-APCO-RT-ER2+18-32+VAC%2C+2-Year+UV+Lamp&amp;qid=1694734662&amp;sr=8-6", "https://www.amazon.com/2-Year-18-32-TUV-APCO-ER2-Duct-System/dp/B08QDWLH6Y/ref=sr_1_6?keywords=Fresh-Aire+UV+APCO+TUV-APCO-RT-ER2+18-32+VAC%2C+2-Year+UV+Lamp&amp;qid=1694734662&amp;sr=8-6")</f>
        <v/>
      </c>
      <c r="F2255" t="inlineStr">
        <is>
          <t>B08QDWLH6Y</t>
        </is>
      </c>
      <c r="G2255">
        <f>_xlfn.IMAGE("https://edmondsonsupply.com/cdn/shop/products/APCO-RT-front.jpg?v=1664831717")</f>
        <v/>
      </c>
      <c r="H2255">
        <f>_xlfn.IMAGE("https://m.media-amazon.com/images/I/61JtPkLOZrL._AC_UL320_.jpg")</f>
        <v/>
      </c>
      <c r="K2255" t="inlineStr">
        <is>
          <t>409.92</t>
        </is>
      </c>
      <c r="L2255" t="n">
        <v>458.36</v>
      </c>
      <c r="M2255" s="1" t="inlineStr">
        <is>
          <t>11.82%</t>
        </is>
      </c>
      <c r="N2255" s="7" t="n">
        <v>-93.11</v>
      </c>
      <c r="O2255" t="n">
        <v>4.5</v>
      </c>
      <c r="P2255" t="n">
        <v>2</v>
      </c>
      <c r="R2255" t="inlineStr">
        <is>
          <t>InStock</t>
        </is>
      </c>
      <c r="S2255" t="inlineStr">
        <is>
          <t>522.5</t>
        </is>
      </c>
      <c r="T2255" t="inlineStr">
        <is>
          <t>6694665781421</t>
        </is>
      </c>
    </row>
    <row r="2256" hidden="1" ht="15.75" customHeight="1">
      <c r="A2256" s="2">
        <f>HYPERLINK("https://edmondsonsupply.com/collections/hvac/products/packard-c230b-contactor-2-pole-30-amps-120-coil-voltage", "https://edmondsonsupply.com/collections/hvac/products/packard-c230b-contactor-2-pole-30-amps-120-coil-voltage")</f>
        <v/>
      </c>
      <c r="B2256" s="2">
        <f>HYPERLINK("https://edmondsonsupply.com/products/packard-c230b-contactor-2-pole-30-amps-120-coil-voltage", "https://edmondsonsupply.com/products/packard-c230b-contactor-2-pole-30-amps-120-coil-voltage")</f>
        <v/>
      </c>
      <c r="C2256" t="inlineStr">
        <is>
          <t>Packard C230B Contactor 2 Pole 30 AMPS 120 Coil Voltage</t>
        </is>
      </c>
      <c r="D2256" t="inlineStr">
        <is>
          <t>ANTDM Compatible with Pack-ard C230B Contactor 2 Pole 30 Amps 120 Coil Voltage</t>
        </is>
      </c>
      <c r="E2256" s="2">
        <f>HYPERLINK("https://www.amazon.com/Packard-C230B-Contactor-Voltage-Limited/dp/B07C1YQB6R/ref=sr_1_2?keywords=Packard+C230B+Contactor+2+Pole+30+AMPS+120+Coil+Voltage&amp;qid=1694734817&amp;sr=8-2", "https://www.amazon.com/Packard-C230B-Contactor-Voltage-Limited/dp/B07C1YQB6R/ref=sr_1_2?keywords=Packard+C230B+Contactor+2+Pole+30+AMPS+120+Coil+Voltage&amp;qid=1694734817&amp;sr=8-2")</f>
        <v/>
      </c>
      <c r="F2256" t="inlineStr">
        <is>
          <t>B07C1YQB6R</t>
        </is>
      </c>
      <c r="G2256">
        <f>_xludf.IMAGE("https://edmondsonsupply.com/cdn/shop/products/C230B-1.jpg?v=1587142333")</f>
        <v/>
      </c>
      <c r="H2256">
        <f>_xludf.IMAGE("https://m.media-amazon.com/images/I/71HXTdpmisL._AC_UY218_.jpg")</f>
        <v/>
      </c>
      <c r="K2256" t="inlineStr">
        <is>
          <t>10.82</t>
        </is>
      </c>
      <c r="L2256" t="n">
        <v>12.09</v>
      </c>
      <c r="M2256" s="1" t="inlineStr">
        <is>
          <t>11.74%</t>
        </is>
      </c>
      <c r="N2256" s="1" t="n">
        <v>-93.62</v>
      </c>
      <c r="O2256" t="n">
        <v>4.8</v>
      </c>
      <c r="P2256" t="n">
        <v>74</v>
      </c>
      <c r="R2256" t="inlineStr">
        <is>
          <t>InStock</t>
        </is>
      </c>
      <c r="S2256" t="inlineStr">
        <is>
          <t>undefined</t>
        </is>
      </c>
      <c r="T2256" t="inlineStr">
        <is>
          <t>4367983673444</t>
        </is>
      </c>
    </row>
    <row r="2257" hidden="1" ht="15.75" customHeight="1">
      <c r="A2257" s="2">
        <f>HYPERLINK("https://edmondsonsupply.com/collections/hvac/products/packard-c230a-contactor-2-pole-30-amps-24-coil-voltage", "https://edmondsonsupply.com/collections/hvac/products/packard-c230a-contactor-2-pole-30-amps-24-coil-voltage")</f>
        <v/>
      </c>
      <c r="B2257" s="2">
        <f>HYPERLINK("https://edmondsonsupply.com/products/packard-c230a-contactor-2-pole-30-amps-24-coil-voltage", "https://edmondsonsupply.com/products/packard-c230a-contactor-2-pole-30-amps-24-coil-voltage")</f>
        <v/>
      </c>
      <c r="C2257" t="inlineStr">
        <is>
          <t>Packard C230A Contactor 2 Pole 30 Amps 24 Coil Voltage</t>
        </is>
      </c>
      <c r="D2257" t="inlineStr">
        <is>
          <t>ANTDM Compatible with Pack-ard C230B Contactor 2 Pole 30 Amps 120 Coil Voltage</t>
        </is>
      </c>
      <c r="E2257" s="2">
        <f>HYPERLINK("https://www.amazon.com/Packard-C230B-Contactor-Voltage-Limited/dp/B07C1YQB6R/ref=sr_1_13?keywords=Packard+C230A+Contactor+2+Pole+30+Amps+24+Coil+Voltage&amp;qid=1694734623&amp;sr=8-13", "https://www.amazon.com/Packard-C230B-Contactor-Voltage-Limited/dp/B07C1YQB6R/ref=sr_1_13?keywords=Packard+C230A+Contactor+2+Pole+30+Amps+24+Coil+Voltage&amp;qid=1694734623&amp;sr=8-13")</f>
        <v/>
      </c>
      <c r="F2257" t="inlineStr">
        <is>
          <t>B07C1YQB6R</t>
        </is>
      </c>
      <c r="G2257">
        <f>_xludf.IMAGE("https://edmondsonsupply.com/cdn/shop/products/C230A-1.jpg?v=1633030392")</f>
        <v/>
      </c>
      <c r="H2257">
        <f>_xludf.IMAGE("https://m.media-amazon.com/images/I/71HXTdpmisL._AC_UY218_.jpg")</f>
        <v/>
      </c>
      <c r="K2257" t="inlineStr">
        <is>
          <t>10.82</t>
        </is>
      </c>
      <c r="L2257" t="n">
        <v>12.09</v>
      </c>
      <c r="M2257" s="1" t="inlineStr">
        <is>
          <t>11.74%</t>
        </is>
      </c>
      <c r="N2257" s="1" t="n">
        <v>-94.2</v>
      </c>
      <c r="O2257" t="n">
        <v>4.8</v>
      </c>
      <c r="P2257" t="n">
        <v>74</v>
      </c>
      <c r="R2257" t="inlineStr">
        <is>
          <t>InStock</t>
        </is>
      </c>
      <c r="S2257" t="inlineStr">
        <is>
          <t>undefined</t>
        </is>
      </c>
      <c r="T2257" t="inlineStr">
        <is>
          <t>5301685092520</t>
        </is>
      </c>
    </row>
    <row r="2258" ht="87" customHeight="1">
      <c r="A2258" s="2">
        <f>HYPERLINK("https://edmondsonsupply.com/collections/hvac/products/lucas-milhaupt-95150-sil-fos-15-28-rods-15-silver-1", "https://edmondsonsupply.com/collections/hvac/products/lucas-milhaupt-95150-sil-fos-15-28-rods-15-silver-1")</f>
        <v/>
      </c>
      <c r="B2258" s="2">
        <f>HYPERLINK("https://edmondsonsupply.com/products/lucas-milhaupt-95150-sil-fos-15-28-rods-15-silver-1", "https://edmondsonsupply.com/products/lucas-milhaupt-95150-sil-fos-15-28-rods-15-silver-1")</f>
        <v/>
      </c>
      <c r="C2258" t="inlineStr">
        <is>
          <t>Lucas Milhaupt 95177 Sil-Fos 15, 7 Rods, 15% Silver</t>
        </is>
      </c>
      <c r="D2258" t="inlineStr">
        <is>
          <t>LUCAS MILHAUPT SIL-FOS 15% Part #95177 Silver Solder 7 Sticks</t>
        </is>
      </c>
      <c r="E2258" s="2">
        <f>HYPERLINK("https://www.amazon.com/MILHAUPT-SIL-FOS-Silver-Solder-Sticks/dp/B016C2ONKC/ref=sr_1_1?keywords=Lucas+Milhaupt+95177+Sil-Fos+15%2C+7+Rods%2C+15%25+Silver&amp;qid=1694734583&amp;sr=8-1", "https://www.amazon.com/MILHAUPT-SIL-FOS-Silver-Solder-Sticks/dp/B016C2ONKC/ref=sr_1_1?keywords=Lucas+Milhaupt+95177+Sil-Fos+15%2C+7+Rods%2C+15%25+Silver&amp;qid=1694734583&amp;sr=8-1")</f>
        <v/>
      </c>
      <c r="F2258" t="inlineStr">
        <is>
          <t>B016C2ONKC</t>
        </is>
      </c>
      <c r="G2258">
        <f>_xlfn.IMAGE("https://edmondsonsupply.com/cdn/shop/products/95177-2.jpg?v=1587148431")</f>
        <v/>
      </c>
      <c r="H2258">
        <f>_xlfn.IMAGE("https://m.media-amazon.com/images/I/31YWhWdfoOL._AC_UL320_.jpg")</f>
        <v/>
      </c>
      <c r="K2258" t="inlineStr">
        <is>
          <t>34.99</t>
        </is>
      </c>
      <c r="L2258" t="n">
        <v>39.09</v>
      </c>
      <c r="M2258" s="1" t="inlineStr">
        <is>
          <t>11.72%</t>
        </is>
      </c>
      <c r="N2258" s="7" t="n">
        <v>-95.16</v>
      </c>
      <c r="O2258" t="n">
        <v>4.7</v>
      </c>
      <c r="P2258" t="n">
        <v>338</v>
      </c>
      <c r="R2258" t="inlineStr">
        <is>
          <t>InStock</t>
        </is>
      </c>
      <c r="S2258" t="inlineStr">
        <is>
          <t>undefined</t>
        </is>
      </c>
      <c r="T2258" t="inlineStr">
        <is>
          <t>3566453260388</t>
        </is>
      </c>
    </row>
    <row r="2259" ht="87" customHeight="1">
      <c r="A2259" s="2">
        <f>HYPERLINK("https://edmondsonsupply.com/collections/hvac/products/viega-25211-1-x-1-megapressg-90-elbow", "https://edmondsonsupply.com/collections/hvac/products/viega-25211-1-x-1-megapressg-90-elbow")</f>
        <v/>
      </c>
      <c r="B2259" s="2">
        <f>HYPERLINK("https://edmondsonsupply.com/products/viega-25211-1-x-1-megapressg-90-elbow", "https://edmondsonsupply.com/products/viega-25211-1-x-1-megapressg-90-elbow")</f>
        <v/>
      </c>
      <c r="C2259" t="inlineStr">
        <is>
          <t>Viega 25211 1" x 1" MegaPressG 90° Elbow</t>
        </is>
      </c>
      <c r="D2259" t="inlineStr">
        <is>
          <t>Viega MegaPressG 90 Elbow, 1" x 1", Steel</t>
        </is>
      </c>
      <c r="E2259" s="2">
        <f>HYPERLINK("https://www.amazon.com/Viega-MegaPressG-Carbon-Steel-Elbow/dp/B00COVX3K2/ref=sr_1_1?keywords=Viega+25211+1%22+x+1%22+MegaPressG+90%C2%B0+Elbow&amp;qid=1694734854&amp;sr=8-1", "https://www.amazon.com/Viega-MegaPressG-Carbon-Steel-Elbow/dp/B00COVX3K2/ref=sr_1_1?keywords=Viega+25211+1%22+x+1%22+MegaPressG+90%C2%B0+Elbow&amp;qid=1694734854&amp;sr=8-1")</f>
        <v/>
      </c>
      <c r="F2259" t="inlineStr">
        <is>
          <t>B00COVX3K2</t>
        </is>
      </c>
      <c r="G2259">
        <f>_xlfn.IMAGE("https://edmondsonsupply.com/cdn/shop/files/PPm6616_6d7922c5-32ed-413f-8970-be97ca56ff5b.jpg?v=1692320707")</f>
        <v/>
      </c>
      <c r="H2259">
        <f>_xlfn.IMAGE("https://m.media-amazon.com/images/I/51cc8PBnNUL._AC_UL320_.jpg")</f>
        <v/>
      </c>
      <c r="K2259" t="inlineStr">
        <is>
          <t>17.43</t>
        </is>
      </c>
      <c r="L2259" t="n">
        <v>19.45</v>
      </c>
      <c r="M2259" s="1" t="inlineStr">
        <is>
          <t>11.59%</t>
        </is>
      </c>
      <c r="N2259" s="7" t="n">
        <v>-95.17</v>
      </c>
      <c r="O2259" t="n">
        <v>5</v>
      </c>
      <c r="P2259" t="n">
        <v>1</v>
      </c>
      <c r="R2259" t="inlineStr">
        <is>
          <t>InStock</t>
        </is>
      </c>
      <c r="S2259" t="inlineStr">
        <is>
          <t>30.05</t>
        </is>
      </c>
      <c r="T2259" t="inlineStr">
        <is>
          <t>8028334555352</t>
        </is>
      </c>
    </row>
    <row r="2260" ht="87" customHeight="1">
      <c r="A2260" s="2">
        <f>HYPERLINK("https://edmondsonsupply.com/collections/hvac/products/fluke-1587-fc-insulation-multimeter", "https://edmondsonsupply.com/collections/hvac/products/fluke-1587-fc-insulation-multimeter")</f>
        <v/>
      </c>
      <c r="B2260" s="2">
        <f>HYPERLINK("https://edmondsonsupply.com/products/fluke-1587-fc-insulation-multimeter", "https://edmondsonsupply.com/products/fluke-1587-fc-insulation-multimeter")</f>
        <v/>
      </c>
      <c r="C2260" t="inlineStr">
        <is>
          <t>Fluke 1587 FC Insulation Multimeter</t>
        </is>
      </c>
      <c r="D2260" t="inlineStr">
        <is>
          <t>Fluke 1587/I400 FC 2-In-1 Insulation Multimeter With Clamp</t>
        </is>
      </c>
      <c r="E2260" s="2">
        <f>HYPERLINK("https://www.amazon.com/FLUKE-1587-I400-Insulation-Multimeter-Clamp/dp/B017OVC2HG/ref=sr_1_2?keywords=Fluke+1587+FC+Insulation+Multimeter&amp;qid=1694734664&amp;sr=8-2", "https://www.amazon.com/FLUKE-1587-I400-Insulation-Multimeter-Clamp/dp/B017OVC2HG/ref=sr_1_2?keywords=Fluke+1587+FC+Insulation+Multimeter&amp;qid=1694734664&amp;sr=8-2")</f>
        <v/>
      </c>
      <c r="F2260" t="inlineStr">
        <is>
          <t>B017OVC2HG</t>
        </is>
      </c>
      <c r="G2260">
        <f>_xlfn.IMAGE("https://edmondsonsupply.com/cdn/shop/products/Fluke_1587_FC_True-rms_Insulation_Multimeter__1280x1006px_E_NR-20298.jpg?v=1633031188")</f>
        <v/>
      </c>
      <c r="H2260">
        <f>_xlfn.IMAGE("https://m.media-amazon.com/images/I/71DPKysk4VL._AC_UL320_.jpg")</f>
        <v/>
      </c>
      <c r="K2260" t="inlineStr">
        <is>
          <t>929.99</t>
        </is>
      </c>
      <c r="L2260" t="n">
        <v>1036.67</v>
      </c>
      <c r="M2260" s="1" t="inlineStr">
        <is>
          <t>11.47%</t>
        </is>
      </c>
      <c r="N2260" s="7" t="n">
        <v>-95.17</v>
      </c>
      <c r="O2260" t="n">
        <v>4.6</v>
      </c>
      <c r="P2260" t="n">
        <v>128</v>
      </c>
      <c r="R2260" t="inlineStr">
        <is>
          <t>InStock</t>
        </is>
      </c>
      <c r="S2260" t="inlineStr">
        <is>
          <t>1038.99</t>
        </is>
      </c>
      <c r="T2260" t="inlineStr">
        <is>
          <t>6925453754541</t>
        </is>
      </c>
    </row>
    <row r="2261" ht="87" customHeight="1">
      <c r="A2261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2261" s="2">
        <f>HYPERLINK("https://edmondsonsupply.com/products/klein-tools-69417-rare-earth-magnetic-meter-hanger", "https://edmondsonsupply.com/products/klein-tools-69417-rare-earth-magnetic-meter-hanger")</f>
        <v/>
      </c>
      <c r="C2261" t="inlineStr">
        <is>
          <t>Klein Tools 69417 Rare Earth Magnetic Meter Hanger, with Strap</t>
        </is>
      </c>
      <c r="D2261" t="inlineStr">
        <is>
          <t>Klein Tools 69445 Magnetic Hanger Without Strap for Klein Tools Clamp Meters and Multimeters with Powerful Rare Earth Magnets</t>
        </is>
      </c>
      <c r="E2261" s="2">
        <f>HYPERLINK("https://www.amazon.com/Klein-Tools-69445-Magnetic-Multimeters/dp/B08CP568HY/ref=sr_1_4?keywords=Klein+Tools+69417+Rare+Earth+Magnetic+Meter+Hanger%2C+with+Strap&amp;qid=1694734820&amp;sr=8-4", "https://www.amazon.com/Klein-Tools-69445-Magnetic-Multimeters/dp/B08CP568HY/ref=sr_1_4?keywords=Klein+Tools+69417+Rare+Earth+Magnetic+Meter+Hanger%2C+with+Strap&amp;qid=1694734820&amp;sr=8-4")</f>
        <v/>
      </c>
      <c r="F2261" t="inlineStr">
        <is>
          <t>B08CP568HY</t>
        </is>
      </c>
      <c r="G2261">
        <f>_xlfn.IMAGE("https://edmondsonsupply.com/cdn/shop/products/69417.jpg?v=1587150163")</f>
        <v/>
      </c>
      <c r="H2261">
        <f>_xlfn.IMAGE("https://m.media-amazon.com/images/I/61xhBmfQ1SL._AC_UL320_.jpg")</f>
        <v/>
      </c>
      <c r="K2261" t="inlineStr">
        <is>
          <t>13.99</t>
        </is>
      </c>
      <c r="L2261" t="n">
        <v>15.59</v>
      </c>
      <c r="M2261" s="1" t="inlineStr">
        <is>
          <t>11.44%</t>
        </is>
      </c>
      <c r="N2261" s="7" t="n">
        <v>-95.44</v>
      </c>
      <c r="O2261" t="n">
        <v>4.8</v>
      </c>
      <c r="P2261" t="n">
        <v>400</v>
      </c>
      <c r="R2261" t="inlineStr">
        <is>
          <t>InStock</t>
        </is>
      </c>
      <c r="S2261" t="inlineStr">
        <is>
          <t>20.0</t>
        </is>
      </c>
      <c r="T2261" t="inlineStr">
        <is>
          <t>1778073731172</t>
        </is>
      </c>
    </row>
    <row r="2262" hidden="1" ht="15.75" customHeight="1">
      <c r="A2262" s="2">
        <f>HYPERLINK("https://edmondsonsupply.com/collections/hvac/products/diversitech-cc-1", "https://edmondsonsupply.com/collections/hvac/products/diversitech-cc-1")</f>
        <v/>
      </c>
      <c r="B2262" s="2">
        <f>HYPERLINK("https://edmondsonsupply.com/products/diversitech-cc-1", "https://edmondsonsupply.com/products/diversitech-cc-1")</f>
        <v/>
      </c>
      <c r="C2262" t="inlineStr">
        <is>
          <t>DiversiTech CC-1 Condensate Cop™ Clamp-On Condensate Float Switch</t>
        </is>
      </c>
      <c r="D2262" t="inlineStr">
        <is>
          <t>Diversitech CC-1 Condensate Cop Drain Pain Switch (Pack of 2)</t>
        </is>
      </c>
      <c r="E2262" s="2">
        <f>HYPERLINK("https://www.amazon.com/Diversitech-CC-1-Condensate-Drain-Switch/dp/B09WJV2557/ref=sr_1_2?keywords=DiversiTech+CC-1+Condensate+Cop%E2%84%A2+Clamp-On+Condensate+Float+Switch&amp;qid=1694734618&amp;sr=8-2", "https://www.amazon.com/Diversitech-CC-1-Condensate-Drain-Switch/dp/B09WJV2557/ref=sr_1_2?keywords=DiversiTech+CC-1+Condensate+Cop%E2%84%A2+Clamp-On+Condensate+Float+Switch&amp;qid=1694734618&amp;sr=8-2")</f>
        <v/>
      </c>
      <c r="F2262" t="inlineStr">
        <is>
          <t>B09WJV2557</t>
        </is>
      </c>
      <c r="G2262">
        <f>_xludf.IMAGE("https://edmondsonsupply.com/cdn/shop/products/CC-1.jpg?v=1587149890")</f>
        <v/>
      </c>
      <c r="H2262">
        <f>_xludf.IMAGE("https://m.media-amazon.com/images/I/61xteGyw7nL._AC_UY218_.jpg")</f>
        <v/>
      </c>
      <c r="K2262" t="inlineStr">
        <is>
          <t>11.73</t>
        </is>
      </c>
      <c r="L2262" t="n">
        <v>13.06</v>
      </c>
      <c r="M2262" s="1" t="inlineStr">
        <is>
          <t>11.34%</t>
        </is>
      </c>
      <c r="N2262" s="1" t="n">
        <v>-95.44</v>
      </c>
      <c r="O2262" t="n">
        <v>4.7</v>
      </c>
      <c r="P2262" t="n">
        <v>146</v>
      </c>
      <c r="R2262" t="inlineStr">
        <is>
          <t>InStock</t>
        </is>
      </c>
      <c r="S2262" t="inlineStr">
        <is>
          <t>28.76</t>
        </is>
      </c>
      <c r="T2262" t="inlineStr">
        <is>
          <t>4409581699172</t>
        </is>
      </c>
    </row>
    <row r="2263" hidden="1" ht="15.75" customHeight="1">
      <c r="A2263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2263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2263" t="inlineStr">
        <is>
          <t>Diablo Tools DMAMXCC5010 2 in. x 7 in. SDS-Max Carbide Tipped Core Bit</t>
        </is>
      </c>
      <c r="D2263" t="inlineStr">
        <is>
          <t>Diablo 3-9/16 in. x 7 in. SDS-Max Carbide Tipped Core Bit</t>
        </is>
      </c>
      <c r="E2263" s="2">
        <f>HYPERLINK("https://www.amazon.com/Diablo-DMAMXCC5040-SDS-Max-Carbide-Tipped/dp/B089M9SDDV/ref=sr_1_5?keywords=Diablo+Tools+DMAMXCC5010+2+in.+x+7+in.+SDS-Max+Carbide+Tipped+Core+Bit&amp;qid=1694734911&amp;sr=8-5", "https://www.amazon.com/Diablo-DMAMXCC5040-SDS-Max-Carbide-Tipped/dp/B089M9SDDV/ref=sr_1_5?keywords=Diablo+Tools+DMAMXCC5010+2+in.+x+7+in.+SDS-Max+Carbide+Tipped+Core+Bit&amp;qid=1694734911&amp;sr=8-5")</f>
        <v/>
      </c>
      <c r="F2263" t="inlineStr">
        <is>
          <t>B089M9SDDV</t>
        </is>
      </c>
      <c r="G2263">
        <f>_xludf.IMAGE("https://edmondsonsupply.com/cdn/shop/files/kbs61qpkymnshwvx13k1.webp?v=1686583113")</f>
        <v/>
      </c>
      <c r="H2263">
        <f>_xludf.IMAGE("https://m.media-amazon.com/images/I/71hVl4OIfrL._AC_UL320_.jpg")</f>
        <v/>
      </c>
      <c r="K2263" t="inlineStr">
        <is>
          <t>101.49</t>
        </is>
      </c>
      <c r="L2263" t="n">
        <v>112.99</v>
      </c>
      <c r="M2263" s="1" t="inlineStr">
        <is>
          <t>11.33%</t>
        </is>
      </c>
      <c r="N2263" s="1" t="n">
        <v>-95.63</v>
      </c>
      <c r="O2263" t="n">
        <v>4</v>
      </c>
      <c r="P2263" t="n">
        <v>1</v>
      </c>
      <c r="R2263" t="inlineStr">
        <is>
          <t>InStock</t>
        </is>
      </c>
      <c r="S2263" t="inlineStr">
        <is>
          <t>161.02</t>
        </is>
      </c>
      <c r="T2263" t="inlineStr">
        <is>
          <t>8004502585560</t>
        </is>
      </c>
    </row>
    <row r="2264" ht="87" customHeight="1">
      <c r="A2264" s="2">
        <f>HYPERLINK("https://edmondsonsupply.com/collections/hvac/products/uniweld-45503-gas-pressure-test-kit", "https://edmondsonsupply.com/collections/hvac/products/uniweld-45503-gas-pressure-test-kit")</f>
        <v/>
      </c>
      <c r="B2264" s="2">
        <f>HYPERLINK("https://edmondsonsupply.com/products/uniweld-45503-gas-pressure-test-kit", "https://edmondsonsupply.com/products/uniweld-45503-gas-pressure-test-kit")</f>
        <v/>
      </c>
      <c r="C2264" t="inlineStr">
        <is>
          <t>Uniweld 45503 Gas Pressure Test Kit</t>
        </is>
      </c>
      <c r="D2264" t="inlineStr">
        <is>
          <t>Uniweld Products 45503 Uni-Weld Gas Pressure Test Kit</t>
        </is>
      </c>
      <c r="E2264" s="2">
        <f>HYPERLINK("https://www.amazon.com/Uniweld-Products-45503-Uni-Weld-Pressure/dp/B0023ROKS6/ref=sr_1_1?keywords=Uniweld+45503+Gas+Pressure+Test+Kit&amp;qid=1694734630&amp;sr=8-1", "https://www.amazon.com/Uniweld-Products-45503-Uni-Weld-Pressure/dp/B0023ROKS6/ref=sr_1_1?keywords=Uniweld+45503+Gas+Pressure+Test+Kit&amp;qid=1694734630&amp;sr=8-1")</f>
        <v/>
      </c>
      <c r="F2264" t="inlineStr">
        <is>
          <t>B0023ROKS6</t>
        </is>
      </c>
      <c r="G2264">
        <f>_xlfn.IMAGE("https://edmondsonsupply.com/cdn/shop/products/45503.jpg?v=1633030423")</f>
        <v/>
      </c>
      <c r="H2264">
        <f>_xlfn.IMAGE("https://m.media-amazon.com/images/I/515ONQo8VnL._AC_UL320_.jpg")</f>
        <v/>
      </c>
      <c r="K2264" t="inlineStr">
        <is>
          <t>52.99</t>
        </is>
      </c>
      <c r="L2264" t="n">
        <v>58.99</v>
      </c>
      <c r="M2264" s="1" t="inlineStr">
        <is>
          <t>11.32%</t>
        </is>
      </c>
      <c r="N2264" s="7" t="n">
        <v>-95.75</v>
      </c>
      <c r="O2264" t="n">
        <v>4.6</v>
      </c>
      <c r="P2264" t="n">
        <v>3</v>
      </c>
      <c r="R2264" t="inlineStr">
        <is>
          <t>InStock</t>
        </is>
      </c>
      <c r="S2264" t="inlineStr">
        <is>
          <t>69.35</t>
        </is>
      </c>
      <c r="T2264" t="inlineStr">
        <is>
          <t>5323211899048</t>
        </is>
      </c>
    </row>
    <row r="2265" ht="87" customHeight="1">
      <c r="A2265" s="2">
        <f>HYPERLINK("https://edmondsonsupply.com/collections/hvac/products/uniweld-rhp800-nitrogen-regulator-0-800-delivery-psig", "https://edmondsonsupply.com/collections/hvac/products/uniweld-rhp800-nitrogen-regulator-0-800-delivery-psig")</f>
        <v/>
      </c>
      <c r="B2265" s="2">
        <f>HYPERLINK("https://edmondsonsupply.com/products/uniweld-rhp800-nitrogen-regulator-0-800-delivery-psig", "https://edmondsonsupply.com/products/uniweld-rhp800-nitrogen-regulator-0-800-delivery-psig")</f>
        <v/>
      </c>
      <c r="C2265" t="inlineStr">
        <is>
          <t>Uniweld RHP800 Nitrogen Regulator, 0-800 Delivery PSIG</t>
        </is>
      </c>
      <c r="D2265" t="inlineStr">
        <is>
          <t>Uniweld RHP800 Nitrogen Regulator with 0-800 psi Delivery Pressure, 2"</t>
        </is>
      </c>
      <c r="E2265" s="2">
        <f>HYPERLINK("https://www.amazon.com/Uniweld-RHP800-Nitrogen-Regulator-Delivery/dp/B00GYGJUQ4/ref=sr_1_1?keywords=Uniweld+RHP800+Nitrogen+Regulator%2C+0-800+Delivery+PSIG&amp;qid=1694734578&amp;sr=8-1", "https://www.amazon.com/Uniweld-RHP800-Nitrogen-Regulator-Delivery/dp/B00GYGJUQ4/ref=sr_1_1?keywords=Uniweld+RHP800+Nitrogen+Regulator%2C+0-800+Delivery+PSIG&amp;qid=1694734578&amp;sr=8-1")</f>
        <v/>
      </c>
      <c r="F2265" t="inlineStr">
        <is>
          <t>B00GYGJUQ4</t>
        </is>
      </c>
      <c r="G2265">
        <f>_xlfn.IMAGE("https://edmondsonsupply.com/cdn/shop/products/rhp800-front.jpg?v=1633030389")</f>
        <v/>
      </c>
      <c r="H2265">
        <f>_xlfn.IMAGE("https://m.media-amazon.com/images/I/71cKGUPs1KL._AC_UL320_.jpg")</f>
        <v/>
      </c>
      <c r="K2265" t="inlineStr">
        <is>
          <t>89.39</t>
        </is>
      </c>
      <c r="L2265" t="n">
        <v>99.48999999999999</v>
      </c>
      <c r="M2265" s="1" t="inlineStr">
        <is>
          <t>11.30%</t>
        </is>
      </c>
      <c r="N2265" s="7" t="n">
        <v>-95.75</v>
      </c>
      <c r="O2265" t="n">
        <v>4.5</v>
      </c>
      <c r="P2265" t="n">
        <v>153</v>
      </c>
      <c r="R2265" t="inlineStr">
        <is>
          <t>InStock</t>
        </is>
      </c>
      <c r="S2265" t="inlineStr">
        <is>
          <t>150.62</t>
        </is>
      </c>
      <c r="T2265" t="inlineStr">
        <is>
          <t>5300292845736</t>
        </is>
      </c>
    </row>
    <row r="2266" hidden="1" ht="15.75" customHeight="1">
      <c r="A2266" s="2">
        <f>HYPERLINK("https://edmondsonsupply.com/collections/hvac/products/packard-trcfd455-titan-pro-run-capacitor-45-5-mfd-440-370-volt-round", "https://edmondsonsupply.com/collections/hvac/products/packard-trcfd455-titan-pro-run-capacitor-45-5-mfd-440-370-volt-round")</f>
        <v/>
      </c>
      <c r="B2266" s="2">
        <f>HYPERLINK("https://edmondsonsupply.com/products/packard-trcfd455-titan-pro-run-capacitor-45-5-mfd-440-370-volt-round", "https://edmondsonsupply.com/products/packard-trcfd455-titan-pro-run-capacitor-45-5-mfd-440-370-volt-round")</f>
        <v/>
      </c>
      <c r="C2266" t="inlineStr">
        <is>
          <t>Packard TRCFD455 Titan PRO Run Capacitor 45+5 MFD 440/370 Volt Round</t>
        </is>
      </c>
      <c r="D2266" t="inlineStr">
        <is>
          <t>PACKARD TRCD455 Titan Pro 45 MFD 370V Round Run Capacitor Replaces PRCD455 by PACKARD TRCD455 Titan Pro 45 MFD 370V Round Run Capacitor Replaces PRCD455</t>
        </is>
      </c>
      <c r="E2266" s="2">
        <f>HYPERLINK("https://www.amazon.com/PACKARD-TRCD455-Capacitor-Replaces-PRCD455/dp/B01IU7YGT0/ref=sr_1_14?keywords=Packard+TRCFD455+Titan+PRO+Run+Capacitor+45%2B5+MFD+440%2F370+Volt+Round&amp;qid=1694734617&amp;sr=8-14", "https://www.amazon.com/PACKARD-TRCD455-Capacitor-Replaces-PRCD455/dp/B01IU7YGT0/ref=sr_1_14?keywords=Packard+TRCFD455+Titan+PRO+Run+Capacitor+45%2B5+MFD+440%2F370+Volt+Round&amp;qid=1694734617&amp;sr=8-14")</f>
        <v/>
      </c>
      <c r="F2266" t="inlineStr">
        <is>
          <t>B01IU7YGT0</t>
        </is>
      </c>
      <c r="G2266">
        <f>_xludf.IMAGE("https://edmondsonsupply.com/cdn/shop/products/TRCFD455-2.jpg?v=1587147298")</f>
        <v/>
      </c>
      <c r="H2266">
        <f>_xludf.IMAGE("https://m.media-amazon.com/images/I/41FHysaaRIL._AC_UY218_.jpg")</f>
        <v/>
      </c>
      <c r="K2266" t="inlineStr">
        <is>
          <t>8.99</t>
        </is>
      </c>
      <c r="L2266" t="n">
        <v>10</v>
      </c>
      <c r="M2266" s="1" t="inlineStr">
        <is>
          <t>11.23%</t>
        </is>
      </c>
      <c r="N2266" s="1" t="n">
        <v>-95.75</v>
      </c>
      <c r="O2266" t="n">
        <v>5</v>
      </c>
      <c r="P2266" t="n">
        <v>1</v>
      </c>
      <c r="R2266" t="inlineStr">
        <is>
          <t>OutOfStock</t>
        </is>
      </c>
      <c r="S2266" t="inlineStr">
        <is>
          <t>undefined</t>
        </is>
      </c>
      <c r="T2266" t="inlineStr">
        <is>
          <t>4309334556772</t>
        </is>
      </c>
    </row>
    <row r="2267" ht="87" customHeight="1">
      <c r="A2267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267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267" t="inlineStr">
        <is>
          <t>Klein Tools D20009NEGLW High-Visibility Side-Cutting Pliers High-Leverage</t>
        </is>
      </c>
      <c r="D2267" t="inlineStr">
        <is>
          <t>Klein Tools J213-9NECR Jouneyman Pliers Connector Crimp Side, With High-Leverage Design Featuring Crimping Die Behind Hinge, 9-Inch</t>
        </is>
      </c>
      <c r="E2267" s="2">
        <f>HYPERLINK("https://www.amazon.com/Klein-Tools-J213-9NECR-Jouneyman-High-Leverage/dp/B000BYBZ9U/ref=sr_1_10?keywords=Klein+Tools+D20009NEGLW+High-Visibility+Side-Cutting+Pliers+High-Leverage&amp;qid=1694734809&amp;sr=8-10", "https://www.amazon.com/Klein-Tools-J213-9NECR-Jouneyman-High-Leverage/dp/B000BYBZ9U/ref=sr_1_10?keywords=Klein+Tools+D20009NEGLW+High-Visibility+Side-Cutting+Pliers+High-Leverage&amp;qid=1694734809&amp;sr=8-10")</f>
        <v/>
      </c>
      <c r="F2267" t="inlineStr">
        <is>
          <t>B000BYBZ9U</t>
        </is>
      </c>
      <c r="G2267">
        <f>_xlfn.IMAGE("https://edmondsonsupply.com/cdn/shop/products/d20009neglw.jpg?v=1587144933")</f>
        <v/>
      </c>
      <c r="H2267">
        <f>_xlfn.IMAGE("https://m.media-amazon.com/images/I/41FjzQmfBpL._AC_UL320_.jpg")</f>
        <v/>
      </c>
      <c r="K2267" t="inlineStr">
        <is>
          <t>44.97</t>
        </is>
      </c>
      <c r="L2267" t="n">
        <v>49.99</v>
      </c>
      <c r="M2267" s="1" t="inlineStr">
        <is>
          <t>11.16%</t>
        </is>
      </c>
      <c r="N2267" s="7" t="n">
        <v>-96.2</v>
      </c>
      <c r="O2267" t="n">
        <v>4.8</v>
      </c>
      <c r="P2267" t="n">
        <v>419</v>
      </c>
      <c r="R2267" t="inlineStr">
        <is>
          <t>InStock</t>
        </is>
      </c>
      <c r="S2267" t="inlineStr">
        <is>
          <t>68.16</t>
        </is>
      </c>
      <c r="T2267" t="inlineStr">
        <is>
          <t>4396888490084</t>
        </is>
      </c>
    </row>
    <row r="2268" hidden="1" ht="15.75" customHeight="1">
      <c r="A2268" s="2">
        <f>HYPERLINK("https://edmondsonsupply.com/collections/hvac/products/milwaukee-48-22-1500-fastback%E2%84%A2-compact-folding-utility-knife", "https://edmondsonsupply.com/collections/hvac/products/milwaukee-48-22-1500-fastback%E2%84%A2-compact-folding-utility-knife")</f>
        <v/>
      </c>
      <c r="B2268" s="2">
        <f>HYPERLINK("https://edmondsonsupply.com/products/milwaukee-48-22-1500-fastback%e2%84%a2-compact-folding-utility-knife", "https://edmondsonsupply.com/products/milwaukee-48-22-1500-fastback%e2%84%a2-compact-folding-utility-knife")</f>
        <v/>
      </c>
      <c r="C2268" t="inlineStr">
        <is>
          <t>Milwaukee 48-22-1500 FASTBACK™ Compact Folding Utility Knife</t>
        </is>
      </c>
      <c r="D2268" t="inlineStr">
        <is>
          <t>Milwaukee 48-22-1500 Fastback Compact Folding Utility Knife</t>
        </is>
      </c>
      <c r="E2268" s="2">
        <f>HYPERLINK("https://www.amazon.com/Milwaukee-48-22-1500-Fastback-Compact-Folding/dp/B08127SPCX/ref=sr_1_1?keywords=Milwaukee+48-22-1500+FASTBACK%E2%84%A2+Compact+Folding+Utility+Knife&amp;qid=1694734731&amp;sr=8-1", "https://www.amazon.com/Milwaukee-48-22-1500-Fastback-Compact-Folding/dp/B08127SPCX/ref=sr_1_1?keywords=Milwaukee+48-22-1500+FASTBACK%E2%84%A2+Compact+Folding+Utility+Knife&amp;qid=1694734731&amp;sr=8-1")</f>
        <v/>
      </c>
      <c r="F2268" t="inlineStr">
        <is>
          <t>B08127SPCX</t>
        </is>
      </c>
      <c r="G2268">
        <f>_xludf.IMAGE("https://edmondsonsupply.com/cdn/shop/products/48-22-1500_3.png?v=1587142474")</f>
        <v/>
      </c>
      <c r="H2268">
        <f>_xludf.IMAGE("https://m.media-amazon.com/images/I/51JoK6Sfw9L._AC_UL320_.jpg")</f>
        <v/>
      </c>
      <c r="K2268" t="inlineStr">
        <is>
          <t>8.97</t>
        </is>
      </c>
      <c r="L2268" t="n">
        <v>9.970000000000001</v>
      </c>
      <c r="M2268" s="1" t="inlineStr">
        <is>
          <t>11.15%</t>
        </is>
      </c>
      <c r="N2268" s="1" t="n">
        <v>-96.2</v>
      </c>
      <c r="O2268" t="n">
        <v>4.8</v>
      </c>
      <c r="P2268" t="n">
        <v>687</v>
      </c>
      <c r="R2268" t="inlineStr">
        <is>
          <t>InStock</t>
        </is>
      </c>
      <c r="S2268" t="inlineStr">
        <is>
          <t>13.0</t>
        </is>
      </c>
      <c r="T2268" t="inlineStr">
        <is>
          <t>4342633824356</t>
        </is>
      </c>
    </row>
    <row r="2269" ht="87" customHeight="1">
      <c r="A2269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269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269" t="inlineStr">
        <is>
          <t>Klein Tools D20009NEGLW High-Visibility Side-Cutting Pliers High-Leverage</t>
        </is>
      </c>
      <c r="D2269" t="inlineStr">
        <is>
          <t>Klein Tools J2159CRTP Side Cutting Pliers, 9-Inch Journeyman High Leverage Hybrid Pliers with Crimper, Fish Tape Puller and Wire Stripper</t>
        </is>
      </c>
      <c r="E2269" s="2">
        <f>HYPERLINK("https://www.amazon.com/Klein-Tools-J2159CRTP-Journeyman-Leverage/dp/B09YSR1M8G/ref=sr_1_8?keywords=Klein+Tools+D20009NEGLW+High-Visibility+Side-Cutting+Pliers+High-Leverage&amp;qid=1694734809&amp;sr=8-8", "https://www.amazon.com/Klein-Tools-J2159CRTP-Journeyman-Leverage/dp/B09YSR1M8G/ref=sr_1_8?keywords=Klein+Tools+D20009NEGLW+High-Visibility+Side-Cutting+Pliers+High-Leverage&amp;qid=1694734809&amp;sr=8-8")</f>
        <v/>
      </c>
      <c r="F2269" t="inlineStr">
        <is>
          <t>B09YSR1M8G</t>
        </is>
      </c>
      <c r="G2269">
        <f>_xlfn.IMAGE("https://edmondsonsupply.com/cdn/shop/products/d20009neglw.jpg?v=1587144933")</f>
        <v/>
      </c>
      <c r="H2269">
        <f>_xlfn.IMAGE("https://m.media-amazon.com/images/I/41p9xe-fzjL._AC_UL320_.jpg")</f>
        <v/>
      </c>
      <c r="K2269" t="inlineStr">
        <is>
          <t>44.97</t>
        </is>
      </c>
      <c r="L2269" t="n">
        <v>49.97</v>
      </c>
      <c r="M2269" s="1" t="inlineStr">
        <is>
          <t>11.12%</t>
        </is>
      </c>
      <c r="N2269" s="7" t="n">
        <v>-96.2</v>
      </c>
      <c r="O2269" t="n">
        <v>4.7</v>
      </c>
      <c r="P2269" t="n">
        <v>176</v>
      </c>
      <c r="R2269" t="inlineStr">
        <is>
          <t>InStock</t>
        </is>
      </c>
      <c r="S2269" t="inlineStr">
        <is>
          <t>68.16</t>
        </is>
      </c>
      <c r="T2269" t="inlineStr">
        <is>
          <t>4396888490084</t>
        </is>
      </c>
    </row>
    <row r="2270" ht="87" customHeight="1">
      <c r="A2270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270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270" t="inlineStr">
        <is>
          <t>Klein Tools D20009NEGLW High-Visibility Side-Cutting Pliers High-Leverage</t>
        </is>
      </c>
      <c r="D2270" t="inlineStr">
        <is>
          <t>Klein Tools 2139NERINS 1000V Insulated Side Cutter Pliers, High Leverage Design, Induction Hardened Knives, 9-Inch</t>
        </is>
      </c>
      <c r="E2270" s="2">
        <f>HYPERLINK("https://www.amazon.com/Klein-Tools-2139NERINS-Insulated-Induction/dp/B0BFZRMX2B/ref=sr_1_15?keywords=Klein+Tools+D20009NEGLW+High-Visibility+Side-Cutting+Pliers+High-Leverage&amp;qid=1694734809&amp;sr=8-15", "https://www.amazon.com/Klein-Tools-2139NERINS-Insulated-Induction/dp/B0BFZRMX2B/ref=sr_1_15?keywords=Klein+Tools+D20009NEGLW+High-Visibility+Side-Cutting+Pliers+High-Leverage&amp;qid=1694734809&amp;sr=8-15")</f>
        <v/>
      </c>
      <c r="F2270" t="inlineStr">
        <is>
          <t>B0BFZRMX2B</t>
        </is>
      </c>
      <c r="G2270">
        <f>_xlfn.IMAGE("https://edmondsonsupply.com/cdn/shop/products/d20009neglw.jpg?v=1587144933")</f>
        <v/>
      </c>
      <c r="H2270">
        <f>_xlfn.IMAGE("https://m.media-amazon.com/images/I/41W1+RI2nNL._AC_UL320_.jpg")</f>
        <v/>
      </c>
      <c r="K2270" t="inlineStr">
        <is>
          <t>44.97</t>
        </is>
      </c>
      <c r="L2270" t="n">
        <v>49.97</v>
      </c>
      <c r="M2270" s="1" t="inlineStr">
        <is>
          <t>11.12%</t>
        </is>
      </c>
      <c r="N2270" s="7" t="n">
        <v>-96.66</v>
      </c>
      <c r="O2270" t="n">
        <v>4.6</v>
      </c>
      <c r="P2270" t="n">
        <v>54</v>
      </c>
      <c r="R2270" t="inlineStr">
        <is>
          <t>InStock</t>
        </is>
      </c>
      <c r="S2270" t="inlineStr">
        <is>
          <t>68.16</t>
        </is>
      </c>
      <c r="T2270" t="inlineStr">
        <is>
          <t>4396888490084</t>
        </is>
      </c>
    </row>
    <row r="2271" ht="87" customHeight="1">
      <c r="A2271" s="2">
        <f>HYPERLINK("https://edmondsonsupply.com/collections/hvac/products/hilmor-1926598-cbkrb-compact-bender-kit-with-reverse-bending-attachment", "https://edmondsonsupply.com/collections/hvac/products/hilmor-1926598-cbkrb-compact-bender-kit-with-reverse-bending-attachment")</f>
        <v/>
      </c>
      <c r="B2271" s="2">
        <f>HYPERLINK("https://edmondsonsupply.com/products/hilmor-1926598-cbkrb-compact-bender-kit-with-reverse-bending-attachment", "https://edmondsonsupply.com/products/hilmor-1926598-cbkrb-compact-bender-kit-with-reverse-bending-attachment")</f>
        <v/>
      </c>
      <c r="C2271" t="inlineStr">
        <is>
          <t>Hilmor 1926598 CBKRB Compact Bender Kit with Reverse Bending Attachment</t>
        </is>
      </c>
      <c r="D2271" t="inlineStr">
        <is>
          <t>Hilmor Compact Bender Kit with Reverse Bending Attachment for 1/4" - 7/8" Tube and Pipe Bending, Black, CBKRB 1926598</t>
        </is>
      </c>
      <c r="E2271" s="2">
        <f>HYPERLINK("https://www.amazon.com/1926598-Compact-Reverse-Bending-Attachment/dp/B00X9BJ8IC/ref=sr_1_1?keywords=Hilmor+1926598+CBKRB+Compact+Bender+Kit+with+Reverse+Bending+Attachment&amp;qid=1694734574&amp;sr=8-1", "https://www.amazon.com/1926598-Compact-Reverse-Bending-Attachment/dp/B00X9BJ8IC/ref=sr_1_1?keywords=Hilmor+1926598+CBKRB+Compact+Bender+Kit+with+Reverse+Bending+Attachment&amp;qid=1694734574&amp;sr=8-1")</f>
        <v/>
      </c>
      <c r="F2271" t="inlineStr">
        <is>
          <t>B00X9BJ8IC</t>
        </is>
      </c>
      <c r="G2271">
        <f>_xlfn.IMAGE("https://edmondsonsupply.com/cdn/shop/products/57_4722856f-2f25-4fd0-bfb9-375a4a8cbf3a.jpg?v=1633030018")</f>
        <v/>
      </c>
      <c r="H2271">
        <f>_xlfn.IMAGE("https://m.media-amazon.com/images/I/91YIw1z-oyL._AC_UL320_.jpg")</f>
        <v/>
      </c>
      <c r="K2271" t="inlineStr">
        <is>
          <t>264.02</t>
        </is>
      </c>
      <c r="L2271" t="n">
        <v>293.23</v>
      </c>
      <c r="M2271" s="1" t="inlineStr">
        <is>
          <t>11.06%</t>
        </is>
      </c>
      <c r="N2271" s="7" t="n">
        <v>-96.66</v>
      </c>
      <c r="O2271" t="n">
        <v>4.7</v>
      </c>
      <c r="P2271" t="n">
        <v>1384</v>
      </c>
      <c r="R2271" t="inlineStr">
        <is>
          <t>InStock</t>
        </is>
      </c>
      <c r="S2271" t="inlineStr">
        <is>
          <t>914.52</t>
        </is>
      </c>
      <c r="T2271" t="inlineStr">
        <is>
          <t>2097313546340</t>
        </is>
      </c>
    </row>
    <row r="2272" hidden="1" ht="15.75" customHeight="1">
      <c r="A2272" s="2">
        <f>HYPERLINK("https://edmondsonsupply.com/collections/hvac/products/nu-calgon-4050-11-easyseal-ultimate-ls-uv-ac-leak-sealant", "https://edmondsonsupply.com/collections/hvac/products/nu-calgon-4050-11-easyseal-ultimate-ls-uv-ac-leak-sealant")</f>
        <v/>
      </c>
      <c r="B2272" s="2">
        <f>HYPERLINK("https://edmondsonsupply.com/products/nu-calgon-4050-11-easyseal-ultimate-ls-uv-ac-leak-sealant", "https://edmondsonsupply.com/products/nu-calgon-4050-11-easyseal-ultimate-ls-uv-ac-leak-sealant")</f>
        <v/>
      </c>
      <c r="C2272" t="inlineStr">
        <is>
          <t>Nu-Calgon 4050-11 EasySeal Ultimate-LS/UV AC Leak Sealant</t>
        </is>
      </c>
      <c r="D2272" t="inlineStr">
        <is>
          <t>Nu-Calgon 4050-11 (0.1 oz. Vessel) EasySeal Ultimate LS/UV</t>
        </is>
      </c>
      <c r="E2272" s="2">
        <f>HYPERLINK("https://www.amazon.com/Nu-Calgon-4050-11-Easy-Seal-Dye/dp/B07LBGHT6Q/ref=sr_1_1?keywords=Nu-Calgon+4050-11+EasySeal+Ultimate-LS%2FUV+AC+Leak+Sealant&amp;qid=1694734664&amp;sr=8-1", "https://www.amazon.com/Nu-Calgon-4050-11-Easy-Seal-Dye/dp/B07LBGHT6Q/ref=sr_1_1?keywords=Nu-Calgon+4050-11+EasySeal+Ultimate-LS%2FUV+AC+Leak+Sealant&amp;qid=1694734664&amp;sr=8-1")</f>
        <v/>
      </c>
      <c r="F2272" t="inlineStr">
        <is>
          <t>B07LBGHT6Q</t>
        </is>
      </c>
      <c r="G2272">
        <f>_xludf.IMAGE("https://edmondsonsupply.com/cdn/shop/products/4050-11a.jpg?v=1659027152")</f>
        <v/>
      </c>
      <c r="H2272">
        <f>_xludf.IMAGE("https://m.media-amazon.com/images/I/61BpmON0M6S._AC_UL320_.jpg")</f>
        <v/>
      </c>
      <c r="K2272" t="inlineStr">
        <is>
          <t>66.79</t>
        </is>
      </c>
      <c r="L2272" t="n">
        <v>74</v>
      </c>
      <c r="M2272" s="1" t="inlineStr">
        <is>
          <t>10.80%</t>
        </is>
      </c>
      <c r="N2272" s="1" t="n">
        <v>-96.66</v>
      </c>
      <c r="O2272" t="n">
        <v>1</v>
      </c>
      <c r="P2272" t="n">
        <v>1</v>
      </c>
      <c r="R2272" t="inlineStr">
        <is>
          <t>InStock</t>
        </is>
      </c>
      <c r="S2272" t="inlineStr">
        <is>
          <t>101.64</t>
        </is>
      </c>
      <c r="T2272" t="inlineStr">
        <is>
          <t>7764947927256</t>
        </is>
      </c>
    </row>
    <row r="2273" ht="87" customHeight="1">
      <c r="A2273" s="2">
        <f>HYPERLINK("https://edmondsonsupply.com/collections/hvac/products/nu-calgon-4179-01-gallo-gun", "https://edmondsonsupply.com/collections/hvac/products/nu-calgon-4179-01-gallo-gun")</f>
        <v/>
      </c>
      <c r="B2273" s="2">
        <f>HYPERLINK("https://edmondsonsupply.com/products/nu-calgon-4179-01-gallo-gun", "https://edmondsonsupply.com/products/nu-calgon-4179-01-gallo-gun")</f>
        <v/>
      </c>
      <c r="C2273" t="inlineStr">
        <is>
          <t>Nu-Calgon 4179-01 Gallo Gun Condensate Drain Line Cleaner</t>
        </is>
      </c>
      <c r="D2273" t="inlineStr">
        <is>
          <t>Nu-Calgon 4179-01 (1 Pack) Gallo Gun-Clears Condensate Drain Lines</t>
        </is>
      </c>
      <c r="E2273" s="2">
        <f>HYPERLINK("https://www.amazon.com/Nu-Calgon-4179-01-Gallo-Gun-Clears-Condensate/dp/B0BSG1NW8T/ref=sr_1_1?keywords=Nu-Calgon+4179-01+Gallo+Gun+Condensate+Drain+Line+Cleaner&amp;qid=1694734581&amp;sr=8-1", "https://www.amazon.com/Nu-Calgon-4179-01-Gallo-Gun-Clears-Condensate/dp/B0BSG1NW8T/ref=sr_1_1?keywords=Nu-Calgon+4179-01+Gallo+Gun+Condensate+Drain+Line+Cleaner&amp;qid=1694734581&amp;sr=8-1")</f>
        <v/>
      </c>
      <c r="F2273" t="inlineStr">
        <is>
          <t>B0BSG1NW8T</t>
        </is>
      </c>
      <c r="G2273">
        <f>_xlfn.IMAGE("https://edmondsonsupply.com/cdn/shop/products/4179-01_20200624_pak.png?v=1659367795")</f>
        <v/>
      </c>
      <c r="H2273">
        <f>_xlfn.IMAGE("https://m.media-amazon.com/images/I/7158+93inqL._AC_UL320_.jpg")</f>
        <v/>
      </c>
      <c r="K2273" t="inlineStr">
        <is>
          <t>49.89</t>
        </is>
      </c>
      <c r="L2273" t="n">
        <v>55.2</v>
      </c>
      <c r="M2273" s="1" t="inlineStr">
        <is>
          <t>10.64%</t>
        </is>
      </c>
      <c r="N2273" s="7" t="n">
        <v>-96.77</v>
      </c>
      <c r="O2273" t="n">
        <v>4.2</v>
      </c>
      <c r="P2273" t="n">
        <v>7</v>
      </c>
      <c r="R2273" t="inlineStr">
        <is>
          <t>InStock</t>
        </is>
      </c>
      <c r="S2273" t="inlineStr">
        <is>
          <t>67.02</t>
        </is>
      </c>
      <c r="T2273" t="inlineStr">
        <is>
          <t>7769280708824</t>
        </is>
      </c>
    </row>
    <row r="2274" hidden="1" ht="15.75" customHeight="1">
      <c r="A2274" s="2">
        <f>HYPERLINK("https://edmondsonsupply.com/collections/hvac/products/packard-titan-pro-trcd5-run-capacitor-40-5-mfd-370-volt-round", "https://edmondsonsupply.com/collections/hvac/products/packard-titan-pro-trcd5-run-capacitor-40-5-mfd-370-volt-round")</f>
        <v/>
      </c>
      <c r="B2274" s="2">
        <f>HYPERLINK("https://edmondsonsupply.com/products/packard-titan-pro-trcd5-run-capacitor-40-5-mfd-370-volt-round", "https://edmondsonsupply.com/products/packard-titan-pro-trcd5-run-capacitor-40-5-mfd-370-volt-round")</f>
        <v/>
      </c>
      <c r="C2274" t="inlineStr">
        <is>
          <t>Packard Titan PRO TRCD405 Run Capacitor 40+5 MFD 370 Volt Round</t>
        </is>
      </c>
      <c r="D2274" t="inlineStr">
        <is>
          <t>PACKARD TRCD455 Titan Pro 45 MFD 370V Round Run Capacitor Replaces PRCD455 by PACKARD TRCD455 Titan Pro 45 MFD 370V Round Run Capacitor Replaces PRCD455</t>
        </is>
      </c>
      <c r="E2274" s="2">
        <f>HYPERLINK("https://www.amazon.com/PACKARD-TRCD455-Capacitor-Replaces-PRCD455/dp/B01IU7YGT0/ref=sr_1_5?keywords=Packard+Titan+PRO+TRCD405+Run+Capacitor+40+5+MFD+370+Volt+Round&amp;qid=1694734787&amp;sr=8-5", "https://www.amazon.com/PACKARD-TRCD455-Capacitor-Replaces-PRCD455/dp/B01IU7YGT0/ref=sr_1_5?keywords=Packard+Titan+PRO+TRCD405+Run+Capacitor+40+5+MFD+370+Volt+Round&amp;qid=1694734787&amp;sr=8-5")</f>
        <v/>
      </c>
      <c r="F2274" t="inlineStr">
        <is>
          <t>B01IU7YGT0</t>
        </is>
      </c>
      <c r="G2274">
        <f>_xludf.IMAGE("https://edmondsonsupply.com/cdn/shop/products/TRCD405-2.jpg?v=1633030397")</f>
        <v/>
      </c>
      <c r="H2274">
        <f>_xludf.IMAGE("https://m.media-amazon.com/images/I/41FHysaaRIL._AC_UY218_.jpg")</f>
        <v/>
      </c>
      <c r="K2274" t="inlineStr">
        <is>
          <t>9.04</t>
        </is>
      </c>
      <c r="L2274" t="n">
        <v>10</v>
      </c>
      <c r="M2274" s="1" t="inlineStr">
        <is>
          <t>10.62%</t>
        </is>
      </c>
      <c r="N2274" s="1" t="n">
        <v>-96.78</v>
      </c>
      <c r="O2274" t="n">
        <v>5</v>
      </c>
      <c r="P2274" t="n">
        <v>1</v>
      </c>
      <c r="R2274" t="inlineStr">
        <is>
          <t>InStock</t>
        </is>
      </c>
      <c r="S2274" t="inlineStr">
        <is>
          <t>undefined</t>
        </is>
      </c>
      <c r="T2274" t="inlineStr">
        <is>
          <t>5302353002664</t>
        </is>
      </c>
    </row>
    <row r="2275" ht="87" customHeight="1">
      <c r="A2275" s="2">
        <f>HYPERLINK("https://edmondsonsupply.com/collections/hvac/products/imperial-tc-1050-imp%C2%AE-mini-tube-cutter-1-8-5-8-o-d", "https://edmondsonsupply.com/collections/hvac/products/imperial-tc-1050-imp%C2%AE-mini-tube-cutter-1-8-5-8-o-d")</f>
        <v/>
      </c>
      <c r="B2275" s="2">
        <f>HYPERLINK("https://edmondsonsupply.com/products/imperial-tc-1050-imp%c2%ae-mini-tube-cutter-1-8-5-8-o-d", "https://edmondsonsupply.com/products/imperial-tc-1050-imp%c2%ae-mini-tube-cutter-1-8-5-8-o-d")</f>
        <v/>
      </c>
      <c r="C2275" t="inlineStr">
        <is>
          <t>Imperial TC-1050 IMP® Mini Tube Cutter 1/8" - 5/8" O.D.</t>
        </is>
      </c>
      <c r="D2275" t="inlineStr">
        <is>
          <t>Imperial Tool TC1050 IMP Mini Tube Cutter for 1/8” to 5/8” O.D. Tubing</t>
        </is>
      </c>
      <c r="E2275" s="2">
        <f>HYPERLINK("https://www.amazon.com/Imperial-Tool-TC1050-Tube-Cutter/dp/B002FCVPX2/ref=sr_1_1?keywords=Imperial+TC-1050+IMP%C2%AE+Mini+Tube+Cutter+1%2F8%22+-+5%2F8%22+O.D.&amp;qid=1694734652&amp;sr=8-1", "https://www.amazon.com/Imperial-Tool-TC1050-Tube-Cutter/dp/B002FCVPX2/ref=sr_1_1?keywords=Imperial+TC-1050+IMP%C2%AE+Mini+Tube+Cutter+1%2F8%22+-+5%2F8%22+O.D.&amp;qid=1694734652&amp;sr=8-1")</f>
        <v/>
      </c>
      <c r="F2275" t="inlineStr">
        <is>
          <t>B002FCVPX2</t>
        </is>
      </c>
      <c r="G2275">
        <f>_xlfn.IMAGE("https://edmondsonsupply.com/cdn/shop/products/imperial-pipe-tube-cutters-tc1050-64_1000.jpg?v=1587144076")</f>
        <v/>
      </c>
      <c r="H2275">
        <f>_xlfn.IMAGE("https://m.media-amazon.com/images/I/51pwBeK-86L._AC_UL320_.jpg")</f>
        <v/>
      </c>
      <c r="K2275" t="inlineStr">
        <is>
          <t>18.99</t>
        </is>
      </c>
      <c r="L2275" t="n">
        <v>21</v>
      </c>
      <c r="M2275" s="1" t="inlineStr">
        <is>
          <t>10.58%</t>
        </is>
      </c>
      <c r="N2275" s="7" t="n">
        <v>-97.42</v>
      </c>
      <c r="O2275" t="n">
        <v>4.5</v>
      </c>
      <c r="P2275" t="n">
        <v>174</v>
      </c>
      <c r="R2275" t="inlineStr">
        <is>
          <t>InStock</t>
        </is>
      </c>
      <c r="S2275" t="inlineStr">
        <is>
          <t>undefined</t>
        </is>
      </c>
      <c r="T2275" t="inlineStr">
        <is>
          <t>3679475138660</t>
        </is>
      </c>
    </row>
    <row r="2276" hidden="1" ht="15.75" customHeight="1">
      <c r="A2276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276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276" t="inlineStr">
        <is>
          <t>Klein Tools 605-6 1/4-Inch Cabinet Tip Screwdriver, Heavy Duty, 6-Inch</t>
        </is>
      </c>
      <c r="D2276" t="inlineStr">
        <is>
          <t>Klein Tools 670-6 Screwdriver, 3/16-Inch Cabinet Tip, Rapi-Driv with 6-Inch Shank</t>
        </is>
      </c>
      <c r="E2276" s="2">
        <f>HYPERLINK("https://www.amazon.com/Klein-Tools-670-6-Screwdriver-Rapi-Driv/dp/B000BO9T3Y/ref=sr_1_5?keywords=Klein+Tools+605-6+1%2F4-Inch+Cabinet+Tip+Screwdriver%2C+Heavy+Duty%2C+6-Inch&amp;qid=1694734725&amp;sr=8-5", "https://www.amazon.com/Klein-Tools-670-6-Screwdriver-Rapi-Driv/dp/B000BO9T3Y/ref=sr_1_5?keywords=Klein+Tools+605-6+1%2F4-Inch+Cabinet+Tip+Screwdriver%2C+Heavy+Duty%2C+6-Inch&amp;qid=1694734725&amp;sr=8-5")</f>
        <v/>
      </c>
      <c r="F2276" t="inlineStr">
        <is>
          <t>B000BO9T3Y</t>
        </is>
      </c>
      <c r="G2276">
        <f>_xludf.IMAGE("https://edmondsonsupply.com/cdn/shop/products/605-6.jpg?v=1587149759")</f>
        <v/>
      </c>
      <c r="H2276">
        <f>_xludf.IMAGE("https://m.media-amazon.com/images/I/31+1RSUdZ+S._AC_UL320_.jpg")</f>
        <v/>
      </c>
      <c r="K2276" t="inlineStr">
        <is>
          <t>9.49</t>
        </is>
      </c>
      <c r="L2276" t="n">
        <v>10.49</v>
      </c>
      <c r="M2276" s="1" t="inlineStr">
        <is>
          <t>10.54%</t>
        </is>
      </c>
      <c r="N2276" s="3" t="n">
        <v>5115.27</v>
      </c>
      <c r="O2276" t="n">
        <v>4.8</v>
      </c>
      <c r="P2276" t="n">
        <v>1603</v>
      </c>
      <c r="R2276" t="inlineStr">
        <is>
          <t>InStock</t>
        </is>
      </c>
      <c r="S2276" t="inlineStr">
        <is>
          <t>14.38</t>
        </is>
      </c>
      <c r="T2276" t="inlineStr">
        <is>
          <t>4512371310692</t>
        </is>
      </c>
    </row>
    <row r="2277" ht="87" customHeight="1">
      <c r="A2277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2277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2277" t="inlineStr">
        <is>
          <t>Klein Tools 60164 Professional Safety Glasses, Full Frame, Gray Lens</t>
        </is>
      </c>
      <c r="D2277" t="inlineStr">
        <is>
          <t>Klein Tools 60161 Safety Glasses, Professional PPE Protective Eyewear with Semi Frame, Scratch Resistant and Anti-Fog, Clear Lens</t>
        </is>
      </c>
      <c r="E2277" s="2">
        <f>HYPERLINK("https://www.amazon.com/Klein-60161-Professional-Protective-Resistant/dp/B08B496F57/ref=sr_1_10?keywords=Klein+Tools+60164+Professional+Safety+Glasses%2C+Full+Frame%2C+Gray+Lens&amp;qid=1694734778&amp;sr=8-10", "https://www.amazon.com/Klein-60161-Professional-Protective-Resistant/dp/B08B496F57/ref=sr_1_10?keywords=Klein+Tools+60164+Professional+Safety+Glasses%2C+Full+Frame%2C+Gray+Lens&amp;qid=1694734778&amp;sr=8-10")</f>
        <v/>
      </c>
      <c r="F2277" t="inlineStr">
        <is>
          <t>B08B496F57</t>
        </is>
      </c>
      <c r="G2277">
        <f>_xlfn.IMAGE("https://edmondsonsupply.com/cdn/shop/products/60164.jpg?v=1633030851")</f>
        <v/>
      </c>
      <c r="H2277">
        <f>_xlfn.IMAGE("https://m.media-amazon.com/images/I/515pVZPvJ0L._AC_UL320_.jpg")</f>
        <v/>
      </c>
      <c r="K2277" t="inlineStr">
        <is>
          <t>14.99</t>
        </is>
      </c>
      <c r="L2277" t="n">
        <v>16.56</v>
      </c>
      <c r="M2277" s="1" t="inlineStr">
        <is>
          <t>10.47%</t>
        </is>
      </c>
      <c r="N2277" s="8" t="n">
        <v>4458.44</v>
      </c>
      <c r="O2277" t="n">
        <v>4.4</v>
      </c>
      <c r="P2277" t="n">
        <v>371</v>
      </c>
      <c r="R2277" t="inlineStr">
        <is>
          <t>InStock</t>
        </is>
      </c>
      <c r="S2277" t="inlineStr">
        <is>
          <t>20.98</t>
        </is>
      </c>
      <c r="T2277" t="inlineStr">
        <is>
          <t>6103189520557</t>
        </is>
      </c>
    </row>
    <row r="2278" hidden="1" ht="15.75" customHeight="1">
      <c r="A2278" s="2">
        <f>HYPERLINK("https://edmondsonsupply.com/collections/hvac/products/packard-c230a-contactor-2-pole-30-amps-24-coil-voltage", "https://edmondsonsupply.com/collections/hvac/products/packard-c230a-contactor-2-pole-30-amps-24-coil-voltage")</f>
        <v/>
      </c>
      <c r="B2278" s="2">
        <f>HYPERLINK("https://edmondsonsupply.com/products/packard-c230a-contactor-2-pole-30-amps-24-coil-voltage", "https://edmondsonsupply.com/products/packard-c230a-contactor-2-pole-30-amps-24-coil-voltage")</f>
        <v/>
      </c>
      <c r="C2278" t="inlineStr">
        <is>
          <t>Packard C230A Contactor 2 Pole 30 Amps 24 Coil Voltage</t>
        </is>
      </c>
      <c r="D2278" t="inlineStr">
        <is>
          <t>Packard C230A 2 Pole 30 Amp Contactor 24 Volt Coil Contactor</t>
        </is>
      </c>
      <c r="E2278" s="2">
        <f>HYPERLINK("https://www.amazon.com/Packard-C230A-Pole-Coil-Contactor/dp/B003U7W3SM/ref=sr_1_1?keywords=Packard+C230A+Contactor+2+Pole+30+Amps+24+Coil+Voltage&amp;qid=1694734623&amp;sr=8-1", "https://www.amazon.com/Packard-C230A-Pole-Coil-Contactor/dp/B003U7W3SM/ref=sr_1_1?keywords=Packard+C230A+Contactor+2+Pole+30+Amps+24+Coil+Voltage&amp;qid=1694734623&amp;sr=8-1")</f>
        <v/>
      </c>
      <c r="F2278" t="inlineStr">
        <is>
          <t>B003U7W3SM</t>
        </is>
      </c>
      <c r="G2278">
        <f>_xludf.IMAGE("https://edmondsonsupply.com/cdn/shop/products/C230A-1.jpg?v=1633030392")</f>
        <v/>
      </c>
      <c r="H2278">
        <f>_xludf.IMAGE("https://m.media-amazon.com/images/I/61-Htl5iYqL._AC_UY218_.jpg")</f>
        <v/>
      </c>
      <c r="K2278" t="inlineStr">
        <is>
          <t>10.82</t>
        </is>
      </c>
      <c r="L2278" t="n">
        <v>11.95</v>
      </c>
      <c r="M2278" s="1" t="inlineStr">
        <is>
          <t>10.44%</t>
        </is>
      </c>
      <c r="N2278" s="3" t="n">
        <v>3783.63</v>
      </c>
      <c r="O2278" t="n">
        <v>4.7</v>
      </c>
      <c r="P2278" t="n">
        <v>512</v>
      </c>
      <c r="R2278" t="inlineStr">
        <is>
          <t>InStock</t>
        </is>
      </c>
      <c r="S2278" t="inlineStr">
        <is>
          <t>undefined</t>
        </is>
      </c>
      <c r="T2278" t="inlineStr">
        <is>
          <t>5301685092520</t>
        </is>
      </c>
    </row>
    <row r="2279" ht="87" customHeight="1">
      <c r="A2279" s="2">
        <f>HYPERLINK("https://edmondsonsupply.com/collections/hvac/products/channellock-431", "https://edmondsonsupply.com/collections/hvac/products/channellock-431")</f>
        <v/>
      </c>
      <c r="B2279" s="2">
        <f>HYPERLINK("https://edmondsonsupply.com/products/channellock-431", "https://edmondsonsupply.com/products/channellock-431")</f>
        <v/>
      </c>
      <c r="C2279" t="inlineStr">
        <is>
          <t>Channellock 432 10-Inch V-Jaw Tongue &amp; Groove Pliers</t>
        </is>
      </c>
      <c r="D2279" t="inlineStr">
        <is>
          <t>WORKPRO 2 Piece Groove Joint Pliers Set, 7 &amp; 9-1/2-Inch Fast Adjustable Water Pump Pliers, V-Jaw Tongue and Groove Pliers in CRV Steel</t>
        </is>
      </c>
      <c r="E2279" s="2">
        <f>HYPERLINK("https://www.amazon.com/WORKPRO-Groove-Pliers-2-Inch-Adjustable/dp/B09NMBQNSP/ref=sr_1_8?keywords=Channellock+432+10-Inch+V-Jaw+Tongue+%26+Groove+Pliers&amp;qid=1694734826&amp;sr=8-8", "https://www.amazon.com/WORKPRO-Groove-Pliers-2-Inch-Adjustable/dp/B09NMBQNSP/ref=sr_1_8?keywords=Channellock+432+10-Inch+V-Jaw+Tongue+%26+Groove+Pliers&amp;qid=1694734826&amp;sr=8-8")</f>
        <v/>
      </c>
      <c r="F2279" t="inlineStr">
        <is>
          <t>B09NMBQNSP</t>
        </is>
      </c>
      <c r="G2279">
        <f>_xlfn.IMAGE("https://edmondsonsupply.com/cdn/shop/products/432-683x1024.jpg?v=1587147134")</f>
        <v/>
      </c>
      <c r="H2279">
        <f>_xlfn.IMAGE("https://m.media-amazon.com/images/I/5196NVQBrrL._AC_UL320_.jpg")</f>
        <v/>
      </c>
      <c r="K2279" t="inlineStr">
        <is>
          <t>19.95</t>
        </is>
      </c>
      <c r="L2279" t="n">
        <v>21.99</v>
      </c>
      <c r="M2279" s="1" t="inlineStr">
        <is>
          <t>10.23%</t>
        </is>
      </c>
      <c r="N2279" s="8" t="n">
        <v>3404.26</v>
      </c>
      <c r="O2279" t="n">
        <v>4.5</v>
      </c>
      <c r="P2279" t="n">
        <v>968</v>
      </c>
      <c r="R2279" t="inlineStr">
        <is>
          <t>InStock</t>
        </is>
      </c>
      <c r="S2279" t="inlineStr">
        <is>
          <t>27.63</t>
        </is>
      </c>
      <c r="T2279" t="inlineStr">
        <is>
          <t>3553468317796</t>
        </is>
      </c>
    </row>
    <row r="2280" ht="87" customHeight="1">
      <c r="A2280" s="2">
        <f>HYPERLINK("https://edmondsonsupply.com/collections/hvac/products/greenlee-gsb06-1-2-step-bit-6", "https://edmondsonsupply.com/collections/hvac/products/greenlee-gsb06-1-2-step-bit-6")</f>
        <v/>
      </c>
      <c r="B2280" s="2">
        <f>HYPERLINK("https://edmondsonsupply.com/products/greenlee-gsb06-1-2-step-bit-6", "https://edmondsonsupply.com/products/greenlee-gsb06-1-2-step-bit-6")</f>
        <v/>
      </c>
      <c r="C2280" t="inlineStr">
        <is>
          <t>Greenlee GSB06 1/2" Step Bit (#6)</t>
        </is>
      </c>
      <c r="D2280" t="inlineStr">
        <is>
          <t>Greenlee GSB04 7/8" Step Bit (#4) Metal Cutter with Patented Split-Step Design, 7/8" Metal Cutting Tool for 1/2" Drill Chucks</t>
        </is>
      </c>
      <c r="E2280" s="2">
        <f>HYPERLINK("https://www.amazon.com/Greenlee-GSB04-Step-Bit/dp/B08TVF22W4/ref=sr_1_1?keywords=Greenlee+GSB06+1%2F2%22+Step+Bit+%28%236%29&amp;qid=1694734747&amp;sr=8-1", "https://www.amazon.com/Greenlee-GSB04-Step-Bit/dp/B08TVF22W4/ref=sr_1_1?keywords=Greenlee+GSB06+1%2F2%22+Step+Bit+%28%236%29&amp;qid=1694734747&amp;sr=8-1")</f>
        <v/>
      </c>
      <c r="F2280" t="inlineStr">
        <is>
          <t>B08TVF22W4</t>
        </is>
      </c>
      <c r="G2280">
        <f>_xlfn.IMAGE("https://edmondsonsupply.com/cdn/shop/files/GSB06_CAT1_72dpi.jpg?v=1687788659")</f>
        <v/>
      </c>
      <c r="H2280">
        <f>_xlfn.IMAGE("https://m.media-amazon.com/images/I/41FX4czhS0L._AC_UY218_.jpg")</f>
        <v/>
      </c>
      <c r="K2280" t="inlineStr">
        <is>
          <t>32.89</t>
        </is>
      </c>
      <c r="L2280" t="n">
        <v>36.24</v>
      </c>
      <c r="M2280" s="1" t="inlineStr">
        <is>
          <t>10.19%</t>
        </is>
      </c>
      <c r="N2280" s="8" t="n">
        <v>3069.74</v>
      </c>
      <c r="O2280" t="n">
        <v>5</v>
      </c>
      <c r="P2280" t="n">
        <v>7</v>
      </c>
      <c r="R2280" t="inlineStr">
        <is>
          <t>InStock</t>
        </is>
      </c>
      <c r="S2280" t="inlineStr">
        <is>
          <t>33.55</t>
        </is>
      </c>
      <c r="T2280" t="inlineStr">
        <is>
          <t>8009318367448</t>
        </is>
      </c>
    </row>
    <row r="2281" ht="87" customHeight="1">
      <c r="A2281" s="2">
        <f>HYPERLINK("https://edmondsonsupply.com/collections/hvac/products/malco-tools-s3r-redline-3-inch-offset-hand-seamer", "https://edmondsonsupply.com/collections/hvac/products/malco-tools-s3r-redline-3-inch-offset-hand-seamer")</f>
        <v/>
      </c>
      <c r="B2281" s="2">
        <f>HYPERLINK("https://edmondsonsupply.com/products/malco-tools-s3r-redline-3-inch-offset-hand-seamer", "https://edmondsonsupply.com/products/malco-tools-s3r-redline-3-inch-offset-hand-seamer")</f>
        <v/>
      </c>
      <c r="C2281" t="inlineStr">
        <is>
          <t>Malco Tools S3R RedLine 3-Inch Offset Hand Seamer</t>
        </is>
      </c>
      <c r="D2281" t="inlineStr">
        <is>
          <t>Malco S3R 3.25in Offset REDLINE Hand Seamer</t>
        </is>
      </c>
      <c r="E2281" s="2">
        <f>HYPERLINK("https://www.amazon.com/Malco-S3R-3-25in-Offset-REDLINE/dp/B005ZDY5FS/ref=sr_1_1?keywords=Malco+Tools+S3R+RedLine+3-Inch+Offset+Hand+Seamer&amp;qid=1694734629&amp;sr=8-1", "https://www.amazon.com/Malco-S3R-3-25in-Offset-REDLINE/dp/B005ZDY5FS/ref=sr_1_1?keywords=Malco+Tools+S3R+RedLine+3-Inch+Offset+Hand+Seamer&amp;qid=1694734629&amp;sr=8-1")</f>
        <v/>
      </c>
      <c r="F2281" t="inlineStr">
        <is>
          <t>B005ZDY5FS</t>
        </is>
      </c>
      <c r="G2281">
        <f>_xlfn.IMAGE("https://edmondsonsupply.com/cdn/shop/products/3in-Offset-Hand-Seamers-Forged-Jaws-1.jpg?v=1587148509")</f>
        <v/>
      </c>
      <c r="H2281">
        <f>_xlfn.IMAGE("https://m.media-amazon.com/images/I/61-QormbHGL._AC_UL320_.jpg")</f>
        <v/>
      </c>
      <c r="K2281" t="inlineStr">
        <is>
          <t>65.99</t>
        </is>
      </c>
      <c r="L2281" t="n">
        <v>72.65000000000001</v>
      </c>
      <c r="M2281" s="1" t="inlineStr">
        <is>
          <t>10.09%</t>
        </is>
      </c>
      <c r="N2281" s="8" t="n">
        <v>2931.32</v>
      </c>
      <c r="O2281" t="n">
        <v>4.8</v>
      </c>
      <c r="P2281" t="n">
        <v>385</v>
      </c>
      <c r="R2281" t="inlineStr">
        <is>
          <t>InStock</t>
        </is>
      </c>
      <c r="S2281" t="inlineStr">
        <is>
          <t>68.74</t>
        </is>
      </c>
      <c r="T2281" t="inlineStr">
        <is>
          <t>4504369528932</t>
        </is>
      </c>
    </row>
    <row r="2282" ht="87" customHeight="1">
      <c r="A2282" s="2">
        <f>HYPERLINK("https://edmondsonsupply.com/collections/hvac/products/channellock-431", "https://edmondsonsupply.com/collections/hvac/products/channellock-431")</f>
        <v/>
      </c>
      <c r="B2282" s="2">
        <f>HYPERLINK("https://edmondsonsupply.com/products/channellock-431", "https://edmondsonsupply.com/products/channellock-431")</f>
        <v/>
      </c>
      <c r="C2282" t="inlineStr">
        <is>
          <t>Channellock 432 10-Inch V-Jaw Tongue &amp; Groove Pliers</t>
        </is>
      </c>
      <c r="D2282" t="inlineStr">
        <is>
          <t>Channellock 440 Tongue and Groove Pliers | 12-Inch Straight Jaw Groove Joint Plier with Comfort Grips | 2.25-Inch Jaw Capacity | Laser Heat-Treated 90° Teeth| Forged High Carbon Steel | Made in USA, Black, Blue, Silver</t>
        </is>
      </c>
      <c r="E2282" s="2">
        <f>HYPERLINK("https://www.amazon.com/Channellock-440-12-Inch-Tongue-Groove/dp/B00004SBCU/ref=sr_1_7?keywords=Channellock+432+10-Inch+V-Jaw+Tongue+%26+Groove+Pliers&amp;qid=1694734826&amp;sr=8-7", "https://www.amazon.com/Channellock-440-12-Inch-Tongue-Groove/dp/B00004SBCU/ref=sr_1_7?keywords=Channellock+432+10-Inch+V-Jaw+Tongue+%26+Groove+Pliers&amp;qid=1694734826&amp;sr=8-7")</f>
        <v/>
      </c>
      <c r="F2282" t="inlineStr">
        <is>
          <t>B00004SBCU</t>
        </is>
      </c>
      <c r="G2282">
        <f>_xlfn.IMAGE("https://edmondsonsupply.com/cdn/shop/products/432-683x1024.jpg?v=1587147134")</f>
        <v/>
      </c>
      <c r="H2282">
        <f>_xlfn.IMAGE("https://m.media-amazon.com/images/I/71FM1bkavsL._AC_UL320_.jpg")</f>
        <v/>
      </c>
      <c r="K2282" t="inlineStr">
        <is>
          <t>19.95</t>
        </is>
      </c>
      <c r="L2282" t="n">
        <v>21.95</v>
      </c>
      <c r="M2282" s="1" t="inlineStr">
        <is>
          <t>10.03%</t>
        </is>
      </c>
      <c r="N2282" s="8" t="n">
        <v>2931.32</v>
      </c>
      <c r="O2282" t="n">
        <v>4.8</v>
      </c>
      <c r="P2282" t="n">
        <v>3558</v>
      </c>
      <c r="R2282" t="inlineStr">
        <is>
          <t>InStock</t>
        </is>
      </c>
      <c r="S2282" t="inlineStr">
        <is>
          <t>27.63</t>
        </is>
      </c>
      <c r="T2282" t="inlineStr">
        <is>
          <t>3553468317796</t>
        </is>
      </c>
    </row>
    <row r="2283" ht="87" customHeight="1">
      <c r="A2283" s="2">
        <f>HYPERLINK("https://edmondsonsupply.com/collections/hvac/products/klein-tools-44131-folding-utility-knife", "https://edmondsonsupply.com/collections/hvac/products/klein-tools-44131-folding-utility-knife")</f>
        <v/>
      </c>
      <c r="B2283" s="2">
        <f>HYPERLINK("https://edmondsonsupply.com/products/klein-tools-44131-folding-utility-knife", "https://edmondsonsupply.com/products/klein-tools-44131-folding-utility-knife")</f>
        <v/>
      </c>
      <c r="C2283" t="inlineStr">
        <is>
          <t>Klein Tools 44131 Folding Utility Knife</t>
        </is>
      </c>
      <c r="D2283" t="inlineStr">
        <is>
          <t>Klein Tools 44218 Utility Knife, Lockback Electricians Knife and Folding Knife with Hawkbill Blade for Cable Skinning, Replaceable Blade</t>
        </is>
      </c>
      <c r="E2283" s="2">
        <f>HYPERLINK("https://www.amazon.com/Replaceable-Mechanism-Klein-Tools-44218/dp/B071YR1Q2L/ref=sr_1_3?keywords=Klein+Tools+44131+Folding+Utility+Knife&amp;qid=1694734729&amp;sr=8-3", "https://www.amazon.com/Replaceable-Mechanism-Klein-Tools-44218/dp/B071YR1Q2L/ref=sr_1_3?keywords=Klein+Tools+44131+Folding+Utility+Knife&amp;qid=1694734729&amp;sr=8-3")</f>
        <v/>
      </c>
      <c r="F2283" t="inlineStr">
        <is>
          <t>B071YR1Q2L</t>
        </is>
      </c>
      <c r="G2283">
        <f>_xlfn.IMAGE("https://edmondsonsupply.com/cdn/shop/files/44131.jpg?v=1685458449")</f>
        <v/>
      </c>
      <c r="H2283">
        <f>_xlfn.IMAGE("https://m.media-amazon.com/images/I/41ToQfPYPnL._AC_UL320_.jpg")</f>
        <v/>
      </c>
      <c r="K2283" t="inlineStr">
        <is>
          <t>19.97</t>
        </is>
      </c>
      <c r="L2283" t="n">
        <v>21.97</v>
      </c>
      <c r="M2283" s="1" t="inlineStr">
        <is>
          <t>10.02%</t>
        </is>
      </c>
      <c r="N2283" s="8" t="n">
        <v>2781.84</v>
      </c>
      <c r="O2283" t="n">
        <v>4.8</v>
      </c>
      <c r="P2283" t="n">
        <v>3343</v>
      </c>
      <c r="R2283" t="inlineStr">
        <is>
          <t>InStock</t>
        </is>
      </c>
      <c r="S2283" t="inlineStr">
        <is>
          <t>28.62</t>
        </is>
      </c>
      <c r="T2283" t="inlineStr">
        <is>
          <t>1778892898404</t>
        </is>
      </c>
    </row>
    <row r="2284" ht="87" customHeight="1">
      <c r="A2284" s="2">
        <f>HYPERLINK("https://edmondsonsupply.com/collections/hvac/products/klein-tools-935r-aluminum-torpedo-level-rare-earth-magnet", "https://edmondsonsupply.com/collections/hvac/products/klein-tools-935r-aluminum-torpedo-level-rare-earth-magnet")</f>
        <v/>
      </c>
      <c r="B2284" s="2">
        <f>HYPERLINK("https://edmondsonsupply.com/products/klein-tools-935r-aluminum-torpedo-level-rare-earth-magnet", "https://edmondsonsupply.com/products/klein-tools-935r-aluminum-torpedo-level-rare-earth-magnet")</f>
        <v/>
      </c>
      <c r="C2284" t="inlineStr">
        <is>
          <t>Klein Tools 935R Aluminum Torpedo Level Rare Earth Magnet, 9-Inch</t>
        </is>
      </c>
      <c r="D2284" t="inlineStr">
        <is>
          <t>Klein Tools 935R Aluminum Torpedo Level, Rare-Earth Magnet, 9-Inch, Hi-Viz, V-Groove, 3 Vials, Top-View Vial, One Size, Factory</t>
        </is>
      </c>
      <c r="E2284" s="2">
        <f>HYPERLINK("https://www.amazon.com/Magnetic-Aluminum-Klein-Tools-935R/dp/B01M7SWA5B/ref=sr_1_1?keywords=Klein+Tools+935R+Aluminum+Torpedo+Level+Rare+Earth+Magnet%2C+9-Inch&amp;qid=1694734736&amp;sr=8-1", "https://www.amazon.com/Magnetic-Aluminum-Klein-Tools-935R/dp/B01M7SWA5B/ref=sr_1_1?keywords=Klein+Tools+935R+Aluminum+Torpedo+Level+Rare+Earth+Magnet%2C+9-Inch&amp;qid=1694734736&amp;sr=8-1")</f>
        <v/>
      </c>
      <c r="F2284" t="inlineStr">
        <is>
          <t>B01M7SWA5B</t>
        </is>
      </c>
      <c r="G2284">
        <f>_xlfn.IMAGE("https://edmondsonsupply.com/cdn/shop/products/935r_b.jpg?v=1658103129")</f>
        <v/>
      </c>
      <c r="H2284">
        <f>_xlfn.IMAGE("https://m.media-amazon.com/images/I/51BvZgLyLHL._AC_UL320_.jpg")</f>
        <v/>
      </c>
      <c r="K2284" t="inlineStr">
        <is>
          <t>19.99</t>
        </is>
      </c>
      <c r="L2284" t="n">
        <v>21.99</v>
      </c>
      <c r="M2284" s="1" t="inlineStr">
        <is>
          <t>10.01%</t>
        </is>
      </c>
      <c r="N2284" s="8" t="n">
        <v>2781.56</v>
      </c>
      <c r="O2284" t="n">
        <v>4.5</v>
      </c>
      <c r="P2284" t="n">
        <v>762</v>
      </c>
      <c r="R2284" t="inlineStr">
        <is>
          <t>InStock</t>
        </is>
      </c>
      <c r="S2284" t="inlineStr">
        <is>
          <t>29.0</t>
        </is>
      </c>
      <c r="T2284" t="inlineStr">
        <is>
          <t>4353101824100</t>
        </is>
      </c>
    </row>
    <row r="2285" ht="87" customHeight="1">
      <c r="A2285" s="2">
        <f>HYPERLINK("https://edmondsonsupply.com/collections/hvac/products/wiha-tools-76889-32-piece-gobox-terminatorblue-impact-bit-set-with-mini-ratchet", "https://edmondsonsupply.com/collections/hvac/products/wiha-tools-76889-32-piece-gobox-terminatorblue-impact-bit-set-with-mini-ratchet")</f>
        <v/>
      </c>
      <c r="B2285" s="2">
        <f>HYPERLINK("https://edmondsonsupply.com/products/wiha-tools-76889-32-piece-gobox-terminatorblue-impact-bit-set-with-mini-ratchet", "https://edmondsonsupply.com/products/wiha-tools-76889-32-piece-gobox-terminatorblue-impact-bit-set-with-mini-ratchet")</f>
        <v/>
      </c>
      <c r="C2285" t="inlineStr">
        <is>
          <t>Wiha Tools 76889 32 Piece GoBox TerminatorBlue Impact Bit Set with Mini Ratchet</t>
        </is>
      </c>
      <c r="D2285" t="inlineStr">
        <is>
          <t>Wiha 76889 32 Piece GoBox TerminatorBlue Impact Bit Set with Mini Ratchet</t>
        </is>
      </c>
      <c r="E2285" s="2">
        <f>HYPERLINK("https://www.amazon.com/Wiha-Impact-Ratchet-Compact-Storage/dp/B07MVNQ2KZ/ref=sr_1_1?keywords=Wiha+Tools+76889+32+Piece+GoBox+TerminatorBlue+Impact+Bit+Set+with+Mini+Ratchet&amp;qid=1694734867&amp;sr=8-1", "https://www.amazon.com/Wiha-Impact-Ratchet-Compact-Storage/dp/B07MVNQ2KZ/ref=sr_1_1?keywords=Wiha+Tools+76889+32+Piece+GoBox+TerminatorBlue+Impact+Bit+Set+with+Mini+Ratchet&amp;qid=1694734867&amp;sr=8-1")</f>
        <v/>
      </c>
      <c r="F2285" t="inlineStr">
        <is>
          <t>B07MVNQ2KZ</t>
        </is>
      </c>
      <c r="G2285">
        <f>_xlfn.IMAGE("https://edmondsonsupply.com/cdn/shop/files/hfx5og2ykdq224nkquvr_1000x_fdfee816-5508-46f3-892d-f4d0e2f2859c.webp?v=1690908048")</f>
        <v/>
      </c>
      <c r="H2285">
        <f>_xlfn.IMAGE("https://m.media-amazon.com/images/I/71x8KBiz5-L._AC_UL320_.jpg")</f>
        <v/>
      </c>
      <c r="K2285" t="inlineStr">
        <is>
          <t>29.99</t>
        </is>
      </c>
      <c r="L2285" t="n">
        <v>32.98</v>
      </c>
      <c r="M2285" s="1" t="inlineStr">
        <is>
          <t>9.97%</t>
        </is>
      </c>
      <c r="N2285" s="8" t="n">
        <v>2692.75</v>
      </c>
      <c r="O2285" t="n">
        <v>4.8</v>
      </c>
      <c r="P2285" t="n">
        <v>343</v>
      </c>
      <c r="R2285" t="inlineStr">
        <is>
          <t>InStock</t>
        </is>
      </c>
      <c r="S2285" t="inlineStr">
        <is>
          <t>41.72</t>
        </is>
      </c>
      <c r="T2285" t="inlineStr">
        <is>
          <t>8023445668056</t>
        </is>
      </c>
    </row>
    <row r="2286" ht="87" customHeight="1">
      <c r="A2286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286" s="2">
        <f>HYPERLINK("https://edmondsonsupply.com/products/diablo-tools-dag1130-1-in-x-7-1-2-in-auger-bit", "https://edmondsonsupply.com/products/diablo-tools-dag1130-1-in-x-7-1-2-in-auger-bit")</f>
        <v/>
      </c>
      <c r="C2286" t="inlineStr">
        <is>
          <t>Diablo Tools DAG1130 1 in. x 7-1/2 in. Auger Bit</t>
        </is>
      </c>
      <c r="D2286" t="inlineStr">
        <is>
          <t>Diablo by Freud DAG1110 7/8 in. x 7-1/2 in. Auger Bit</t>
        </is>
      </c>
      <c r="E2286" s="2">
        <f>HYPERLINK("https://www.amazon.com/Diablo-Freud-DAG1110-7-1-Auger/dp/B089KWR9F4/ref=sr_1_6?keywords=Diablo+Tools+DAG1130+1+in.+x+7-1%2F2+in.+Auger+Bit&amp;qid=1694734776&amp;sr=8-6", "https://www.amazon.com/Diablo-Freud-DAG1110-7-1-Auger/dp/B089KWR9F4/ref=sr_1_6?keywords=Diablo+Tools+DAG1130+1+in.+x+7-1%2F2+in.+Auger+Bit&amp;qid=1694734776&amp;sr=8-6")</f>
        <v/>
      </c>
      <c r="F2286" t="inlineStr">
        <is>
          <t>B089KWR9F4</t>
        </is>
      </c>
      <c r="G2286">
        <f>_xlfn.IMAGE("https://edmondsonsupply.com/cdn/shop/products/DAG1130_Main-Image20200712.png?v=1633031124")</f>
        <v/>
      </c>
      <c r="H2286">
        <f>_xlfn.IMAGE("https://m.media-amazon.com/images/I/61FgY3Jv5eL._AC_UL320_.jpg")</f>
        <v/>
      </c>
      <c r="K2286" t="inlineStr">
        <is>
          <t>16.37</t>
        </is>
      </c>
      <c r="L2286" t="n">
        <v>18</v>
      </c>
      <c r="M2286" s="1" t="inlineStr">
        <is>
          <t>9.96%</t>
        </is>
      </c>
      <c r="N2286" s="8" t="n">
        <v>2670.53</v>
      </c>
      <c r="O2286" t="n">
        <v>4.8</v>
      </c>
      <c r="P2286" t="n">
        <v>48</v>
      </c>
      <c r="R2286" t="inlineStr">
        <is>
          <t>InStock</t>
        </is>
      </c>
      <c r="S2286" t="inlineStr">
        <is>
          <t>25.94</t>
        </is>
      </c>
      <c r="T2286" t="inlineStr">
        <is>
          <t>6866560581805</t>
        </is>
      </c>
    </row>
    <row r="2287" ht="87" customHeight="1">
      <c r="A2287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287" s="2">
        <f>HYPERLINK("https://edmondsonsupply.com/products/diablo-tools-dag1130-1-in-x-7-1-2-in-auger-bit", "https://edmondsonsupply.com/products/diablo-tools-dag1130-1-in-x-7-1-2-in-auger-bit")</f>
        <v/>
      </c>
      <c r="C2287" t="inlineStr">
        <is>
          <t>Diablo Tools DAG1130 1 in. x 7-1/2 in. Auger Bit</t>
        </is>
      </c>
      <c r="D2287" t="inlineStr">
        <is>
          <t>Diablo 1/2 in. x 13 in. Auger Bit</t>
        </is>
      </c>
      <c r="E2287" s="2">
        <f>HYPERLINK("https://www.amazon.com/Diablo-Freud-DAG2030-Auger-Bit/dp/B089LJWJ57/ref=sr_1_40?keywords=Diablo+Tools+DAG1130+1+in.+x+7-1%2F2+in.+Auger+Bit&amp;qid=1694734776&amp;sr=8-40", "https://www.amazon.com/Diablo-Freud-DAG2030-Auger-Bit/dp/B089LJWJ57/ref=sr_1_40?keywords=Diablo+Tools+DAG1130+1+in.+x+7-1%2F2+in.+Auger+Bit&amp;qid=1694734776&amp;sr=8-40")</f>
        <v/>
      </c>
      <c r="F2287" t="inlineStr">
        <is>
          <t>B089LJWJ57</t>
        </is>
      </c>
      <c r="G2287">
        <f>_xlfn.IMAGE("https://edmondsonsupply.com/cdn/shop/products/DAG1130_Main-Image20200712.png?v=1633031124")</f>
        <v/>
      </c>
      <c r="H2287">
        <f>_xlfn.IMAGE("https://m.media-amazon.com/images/I/612t6HS7ySL._AC_UL320_.jpg")</f>
        <v/>
      </c>
      <c r="K2287" t="inlineStr">
        <is>
          <t>16.37</t>
        </is>
      </c>
      <c r="L2287" t="n">
        <v>17.99</v>
      </c>
      <c r="M2287" s="1" t="inlineStr">
        <is>
          <t>9.90%</t>
        </is>
      </c>
      <c r="N2287" s="8" t="n">
        <v>2458.29</v>
      </c>
      <c r="O2287" t="n">
        <v>4.7</v>
      </c>
      <c r="P2287" t="n">
        <v>26</v>
      </c>
      <c r="R2287" t="inlineStr">
        <is>
          <t>InStock</t>
        </is>
      </c>
      <c r="S2287" t="inlineStr">
        <is>
          <t>25.94</t>
        </is>
      </c>
      <c r="T2287" t="inlineStr">
        <is>
          <t>6866560581805</t>
        </is>
      </c>
    </row>
    <row r="2288" ht="87" customHeight="1">
      <c r="A2288" s="2">
        <f>HYPERLINK("https://edmondsonsupply.com/collections/hvac/products/yellow-jacket-25002-9-flexflow%E2%84%A2-1-4-adaper-hose-with-ball-valve-yellow", "https://edmondsonsupply.com/collections/hvac/products/yellow-jacket-25002-9-flexflow%E2%84%A2-1-4-adaper-hose-with-ball-valve-yellow")</f>
        <v/>
      </c>
      <c r="B2288" s="2">
        <f>HYPERLINK("https://edmondsonsupply.com/products/yellow-jacket-25002-9-flexflow%e2%84%a2-1-4-adaper-hose-with-ball-valve-yellow", "https://edmondsonsupply.com/products/yellow-jacket-25002-9-flexflow%e2%84%a2-1-4-adaper-hose-with-ball-valve-yellow")</f>
        <v/>
      </c>
      <c r="C2288" t="inlineStr">
        <is>
          <t>Yellow Jacket 25002 9" FLEXFLOW™ 1/4" Adaper Hose with Ball Valve - Yellow</t>
        </is>
      </c>
      <c r="D2288" t="inlineStr">
        <is>
          <t>Yellow Jacket 29465 Plus II 1/4" Hose with Ball Valve for R410A, 60", Red</t>
        </is>
      </c>
      <c r="E2288" s="2">
        <f>HYPERLINK("https://www.amazon.com/Yellow-Jacket-29465-Valve-R410A/dp/B009AXBTB2/ref=sr_1_12?keywords=Yellow+Jacket+25002+9%22+FLEXFLOW%E2%84%A2+1%2F4%22+Adaper+Hose+with+Ball+Valve+-+Yellow&amp;qid=1694734728&amp;sr=8-12", "https://www.amazon.com/Yellow-Jacket-29465-Valve-R410A/dp/B009AXBTB2/ref=sr_1_12?keywords=Yellow+Jacket+25002+9%22+FLEXFLOW%E2%84%A2+1%2F4%22+Adaper+Hose+with+Ball+Valve+-+Yellow&amp;qid=1694734728&amp;sr=8-12")</f>
        <v/>
      </c>
      <c r="F2288" t="inlineStr">
        <is>
          <t>B009AXBTB2</t>
        </is>
      </c>
      <c r="G2288">
        <f>_xlfn.IMAGE("https://edmondsonsupply.com/cdn/shop/products/Yellow_Jacket_25002.jpg?v=1587150917")</f>
        <v/>
      </c>
      <c r="H2288">
        <f>_xlfn.IMAGE("https://m.media-amazon.com/images/I/81USLbS1TPL._AC_UL320_.jpg")</f>
        <v/>
      </c>
      <c r="K2288" t="inlineStr">
        <is>
          <t>35.54</t>
        </is>
      </c>
      <c r="L2288" t="n">
        <v>39.01</v>
      </c>
      <c r="M2288" s="1" t="inlineStr">
        <is>
          <t>9.76%</t>
        </is>
      </c>
      <c r="N2288" s="8" t="n">
        <v>2418.64</v>
      </c>
      <c r="O2288" t="n">
        <v>5</v>
      </c>
      <c r="P2288" t="n">
        <v>2</v>
      </c>
      <c r="R2288" t="inlineStr">
        <is>
          <t>InStock</t>
        </is>
      </c>
      <c r="S2288" t="inlineStr">
        <is>
          <t>undefined</t>
        </is>
      </c>
      <c r="T2288" t="inlineStr">
        <is>
          <t>2633213739108</t>
        </is>
      </c>
    </row>
    <row r="2289" hidden="1" ht="15.75" customHeight="1">
      <c r="A2289" s="2">
        <f>HYPERLINK("https://edmondsonsupply.com/collections/hvac/products/sensible-products-hrf-1-high-beam-rechargeable-flashlight-black", "https://edmondsonsupply.com/collections/hvac/products/sensible-products-hrf-1-high-beam-rechargeable-flashlight-black")</f>
        <v/>
      </c>
      <c r="B2289" s="2">
        <f>HYPERLINK("https://edmondsonsupply.com/products/sensible-products-hrf-1-high-beam-rechargeable-flashlight-black", "https://edmondsonsupply.com/products/sensible-products-hrf-1-high-beam-rechargeable-flashlight-black")</f>
        <v/>
      </c>
      <c r="C2289" t="inlineStr">
        <is>
          <t>Sensible Products HRF-1 High-Beam Rechargeable Flashlight, Black</t>
        </is>
      </c>
      <c r="D2289" t="inlineStr">
        <is>
          <t>Sold Each - High-Beam Rechargeable Flashlight #HRF-1 by Sensible Products</t>
        </is>
      </c>
      <c r="E2289" s="2">
        <f>HYPERLINK("https://www.amazon.com/Sold-Each-High-Beam-Rechargeable-Flashlight/dp/B07QV3HVKP/ref=sr_1_2?keywords=Sensible+Products+HRF-1+High-Beam+Rechargeable+Flashlight%2C+Black&amp;qid=1694734595&amp;sr=8-2", "https://www.amazon.com/Sold-Each-High-Beam-Rechargeable-Flashlight/dp/B07QV3HVKP/ref=sr_1_2?keywords=Sensible+Products+HRF-1+High-Beam+Rechargeable+Flashlight%2C+Black&amp;qid=1694734595&amp;sr=8-2")</f>
        <v/>
      </c>
      <c r="F2289" t="inlineStr">
        <is>
          <t>B07QV3HVKP</t>
        </is>
      </c>
      <c r="G2289">
        <f>_xludf.IMAGE("https://edmondsonsupply.com/cdn/shop/products/HRF1BLACK-2.jpg?v=1587144533")</f>
        <v/>
      </c>
      <c r="H2289">
        <f>_xludf.IMAGE("https://m.media-amazon.com/images/I/31tIPF-TUsL._AC_UL320_.jpg")</f>
        <v/>
      </c>
      <c r="K2289" t="inlineStr">
        <is>
          <t>27.33</t>
        </is>
      </c>
      <c r="L2289" t="n">
        <v>29.99</v>
      </c>
      <c r="M2289" s="1" t="inlineStr">
        <is>
          <t>9.73%</t>
        </is>
      </c>
      <c r="N2289" s="3" t="n">
        <v>2385.69</v>
      </c>
      <c r="O2289" t="n">
        <v>4</v>
      </c>
      <c r="P2289" t="n">
        <v>14</v>
      </c>
      <c r="R2289" t="inlineStr">
        <is>
          <t>InStock</t>
        </is>
      </c>
      <c r="S2289" t="inlineStr">
        <is>
          <t>undefined</t>
        </is>
      </c>
      <c r="T2289" t="inlineStr">
        <is>
          <t>4340565540964</t>
        </is>
      </c>
    </row>
    <row r="2290" hidden="1" ht="15.75" customHeight="1">
      <c r="A2290" s="2">
        <f>HYPERLINK("https://edmondsonsupply.com/collections/hvac/products/sensible-products-hrf-1-high-beam-rechargeable-flashlight-silver", "https://edmondsonsupply.com/collections/hvac/products/sensible-products-hrf-1-high-beam-rechargeable-flashlight-silver")</f>
        <v/>
      </c>
      <c r="B2290" s="2">
        <f>HYPERLINK("https://edmondsonsupply.com/products/sensible-products-hrf-1-high-beam-rechargeable-flashlight-silver", "https://edmondsonsupply.com/products/sensible-products-hrf-1-high-beam-rechargeable-flashlight-silver")</f>
        <v/>
      </c>
      <c r="C2290" t="inlineStr">
        <is>
          <t>Sensible Products HRF-1 High-Beam Rechargeable Flashlight, Silver</t>
        </is>
      </c>
      <c r="D2290" t="inlineStr">
        <is>
          <t>Sold Each - High-Beam Rechargeable Flashlight #HRF-1 by Sensible Products</t>
        </is>
      </c>
      <c r="E2290" s="2">
        <f>HYPERLINK("https://www.amazon.com/Sold-Each-High-Beam-Rechargeable-Flashlight/dp/B07QV3HVKP/ref=sr_1_2?keywords=Sensible+Products+HRF-1+High-Beam+Rechargeable+Flashlight%2C+Silver&amp;qid=1694734664&amp;sr=8-2", "https://www.amazon.com/Sold-Each-High-Beam-Rechargeable-Flashlight/dp/B07QV3HVKP/ref=sr_1_2?keywords=Sensible+Products+HRF-1+High-Beam+Rechargeable+Flashlight%2C+Silver&amp;qid=1694734664&amp;sr=8-2")</f>
        <v/>
      </c>
      <c r="F2290" t="inlineStr">
        <is>
          <t>B07QV3HVKP</t>
        </is>
      </c>
      <c r="G2290">
        <f>_xludf.IMAGE("https://edmondsonsupply.com/cdn/shop/products/HRF1SILVER-2.jpg?v=1587142434")</f>
        <v/>
      </c>
      <c r="H2290">
        <f>_xludf.IMAGE("https://m.media-amazon.com/images/I/31tIPF-TUsL._AC_UL320_.jpg")</f>
        <v/>
      </c>
      <c r="K2290" t="inlineStr">
        <is>
          <t>27.33</t>
        </is>
      </c>
      <c r="L2290" t="n">
        <v>29.99</v>
      </c>
      <c r="M2290" s="1" t="inlineStr">
        <is>
          <t>9.73%</t>
        </is>
      </c>
      <c r="N2290" s="3" t="n">
        <v>2382.44</v>
      </c>
      <c r="O2290" t="n">
        <v>4</v>
      </c>
      <c r="P2290" t="n">
        <v>14</v>
      </c>
      <c r="R2290" t="inlineStr">
        <is>
          <t>InStock</t>
        </is>
      </c>
      <c r="S2290" t="inlineStr">
        <is>
          <t>undefined</t>
        </is>
      </c>
      <c r="T2290" t="inlineStr">
        <is>
          <t>4340572553316</t>
        </is>
      </c>
    </row>
    <row r="2291" ht="87" customHeight="1">
      <c r="A2291" s="2">
        <f>HYPERLINK("https://edmondsonsupply.com/collections/hvac/products/nu-calgon-4774-0-coil-gun", "https://edmondsonsupply.com/collections/hvac/products/nu-calgon-4774-0-coil-gun")</f>
        <v/>
      </c>
      <c r="B2291" s="2">
        <f>HYPERLINK("https://edmondsonsupply.com/products/nu-calgon-4774-0-coil-gun", "https://edmondsonsupply.com/products/nu-calgon-4774-0-coil-gun")</f>
        <v/>
      </c>
      <c r="C2291" t="inlineStr">
        <is>
          <t>Nu-Calgon 4774-0 Coil Gun</t>
        </is>
      </c>
      <c r="D2291" t="inlineStr">
        <is>
          <t>Nucalgon 4774-1 Coil Gun Probe</t>
        </is>
      </c>
      <c r="E2291" s="2">
        <f>HYPERLINK("https://www.amazon.com/Nucalgon-4774-1-Coil-Gun-Probe/dp/B01M0S74LG/ref=sr_1_2?keywords=Nu-Calgon+4774-0+Coil+Gun&amp;qid=1694734571&amp;sr=8-2", "https://www.amazon.com/Nucalgon-4774-1-Coil-Gun-Probe/dp/B01M0S74LG/ref=sr_1_2?keywords=Nu-Calgon+4774-0+Coil+Gun&amp;qid=1694734571&amp;sr=8-2")</f>
        <v/>
      </c>
      <c r="F2291" t="inlineStr">
        <is>
          <t>B01M0S74LG</t>
        </is>
      </c>
      <c r="G2291">
        <f>_xlfn.IMAGE("https://edmondsonsupply.com/cdn/shop/products/4774-0.jpg?v=1660159773")</f>
        <v/>
      </c>
      <c r="H2291">
        <f>_xlfn.IMAGE("https://m.media-amazon.com/images/I/41LxKFxOSfL._AC_UL320_.jpg")</f>
        <v/>
      </c>
      <c r="K2291" t="inlineStr">
        <is>
          <t>87.99</t>
        </is>
      </c>
      <c r="L2291" t="n">
        <v>96.52</v>
      </c>
      <c r="M2291" s="1" t="inlineStr">
        <is>
          <t>9.69%</t>
        </is>
      </c>
      <c r="N2291" s="8" t="n">
        <v>2194.81</v>
      </c>
      <c r="O2291" t="n">
        <v>4.3</v>
      </c>
      <c r="P2291" t="n">
        <v>11</v>
      </c>
      <c r="R2291" t="inlineStr">
        <is>
          <t>InStock</t>
        </is>
      </c>
      <c r="S2291" t="inlineStr">
        <is>
          <t>133.84</t>
        </is>
      </c>
      <c r="T2291" t="inlineStr">
        <is>
          <t>7777952202968</t>
        </is>
      </c>
    </row>
    <row r="2292" hidden="1" ht="15.75" customHeight="1">
      <c r="A2292" s="2">
        <f>HYPERLINK("https://edmondsonsupply.com/collections/hvac/products/diablo-tools-dsp2090-3-4-in-x-6-in-spade-bit", "https://edmondsonsupply.com/collections/hvac/products/diablo-tools-dsp2090-3-4-in-x-6-in-spade-bit")</f>
        <v/>
      </c>
      <c r="B2292" s="2">
        <f>HYPERLINK("https://edmondsonsupply.com/products/diablo-tools-dsp2090-3-4-in-x-6-in-spade-bit", "https://edmondsonsupply.com/products/diablo-tools-dsp2090-3-4-in-x-6-in-spade-bit")</f>
        <v/>
      </c>
      <c r="C2292" t="inlineStr">
        <is>
          <t>Diablo Tools DSP2090 3/4 in. x 6 in. Spade Bit</t>
        </is>
      </c>
      <c r="D2292" t="inlineStr">
        <is>
          <t>IVY Classic 10712 3/4 x 6-Inch Swift Bore® Wood Spade Bit, High-Carbon Steel, 1/Card</t>
        </is>
      </c>
      <c r="E2292" s="2">
        <f>HYPERLINK("https://www.amazon.com/IVY-Classic-10712-6-Inch-High-Carbon/dp/B00065DQM8/ref=sr_1_8?keywords=Diablo+Tools+DSP2090+3%2F4+in.+x+6+in.+Spade+Bit&amp;qid=1694734914&amp;sr=8-8", "https://www.amazon.com/IVY-Classic-10712-6-Inch-High-Carbon/dp/B00065DQM8/ref=sr_1_8?keywords=Diablo+Tools+DSP2090+3%2F4+in.+x+6+in.+Spade+Bit&amp;qid=1694734914&amp;sr=8-8")</f>
        <v/>
      </c>
      <c r="F2292" t="inlineStr">
        <is>
          <t>B00065DQM8</t>
        </is>
      </c>
      <c r="G2292">
        <f>_xludf.IMAGE("https://edmondsonsupply.com/cdn/shop/files/hg4rmyretai2aybkajqp.webp?v=1686587275")</f>
        <v/>
      </c>
      <c r="H2292">
        <f>_xludf.IMAGE("https://m.media-amazon.com/images/I/51KYeklpBvL._AC_UL320_.jpg")</f>
        <v/>
      </c>
      <c r="K2292" t="inlineStr">
        <is>
          <t>5.37</t>
        </is>
      </c>
      <c r="L2292" t="n">
        <v>5.89</v>
      </c>
      <c r="M2292" s="1" t="inlineStr">
        <is>
          <t>9.68%</t>
        </is>
      </c>
      <c r="N2292" s="3" t="n">
        <v>2176.37</v>
      </c>
      <c r="O2292" t="n">
        <v>4.6</v>
      </c>
      <c r="P2292" t="n">
        <v>481</v>
      </c>
      <c r="R2292" t="inlineStr">
        <is>
          <t>InStock</t>
        </is>
      </c>
      <c r="S2292" t="inlineStr">
        <is>
          <t>undefined</t>
        </is>
      </c>
      <c r="T2292" t="inlineStr">
        <is>
          <t>8004512710872</t>
        </is>
      </c>
    </row>
    <row r="2293" ht="87" customHeight="1">
      <c r="A2293" s="2">
        <f>HYPERLINK("https://edmondsonsupply.com/collections/hvac/products/us-motors-1862-5-6-condenser-fan-motor-208-230v-1-2-hp-1075-rpm-psc-teao", "https://edmondsonsupply.com/collections/hvac/products/us-motors-1862-5-6-condenser-fan-motor-208-230v-1-2-hp-1075-rpm-psc-teao")</f>
        <v/>
      </c>
      <c r="B2293" s="2">
        <f>HYPERLINK("https://edmondsonsupply.com/products/us-motors-1862-5-6-condenser-fan-motor-208-230v-1-2-hp-1075-rpm-psc-teao", "https://edmondsonsupply.com/products/us-motors-1862-5-6-condenser-fan-motor-208-230v-1-2-hp-1075-rpm-psc-teao")</f>
        <v/>
      </c>
      <c r="C2293" t="inlineStr">
        <is>
          <t>US Motors 1862 5.6" Condenser Fan Motor, 208-230V, 1/2 HP, 1075 RPM, PSC, TEAO</t>
        </is>
      </c>
      <c r="D2293" t="inlineStr">
        <is>
          <t>Nidec US Motors 2246 Condenser Fan Motor, 1/5 HP, PSC, 1075 RPM, 208-230V</t>
        </is>
      </c>
      <c r="E2293" s="2">
        <f>HYPERLINK("https://www.amazon.com/Nidec-Motors-Condenser-Motor-208-230V/dp/B08VN53ZKP/ref=sr_1_14?keywords=US+Motors+1862+5.6%22+Condenser+Fan+Motor%2C+208-230V%2C+1%2F2+HP%2C+1075+RPM%2C+PSC%2C+TEAO&amp;qid=1694734647&amp;sr=8-14", "https://www.amazon.com/Nidec-Motors-Condenser-Motor-208-230V/dp/B08VN53ZKP/ref=sr_1_14?keywords=US+Motors+1862+5.6%22+Condenser+Fan+Motor%2C+208-230V%2C+1%2F2+HP%2C+1075+RPM%2C+PSC%2C+TEAO&amp;qid=1694734647&amp;sr=8-14")</f>
        <v/>
      </c>
      <c r="F2293" t="inlineStr">
        <is>
          <t>B08VN53ZKP</t>
        </is>
      </c>
      <c r="G2293">
        <f>_xlfn.IMAGE("https://edmondsonsupply.com/cdn/shop/products/1862-2.jpg?v=1633030344")</f>
        <v/>
      </c>
      <c r="H2293">
        <f>_xlfn.IMAGE("https://m.media-amazon.com/images/I/41p4vhJP1+L._AC_UL320_.jpg")</f>
        <v/>
      </c>
      <c r="K2293" t="inlineStr">
        <is>
          <t>131.19</t>
        </is>
      </c>
      <c r="L2293" t="n">
        <v>143.8</v>
      </c>
      <c r="M2293" s="1" t="inlineStr">
        <is>
          <t>9.61%</t>
        </is>
      </c>
      <c r="N2293" s="8" t="n">
        <v>2170.64</v>
      </c>
      <c r="O2293" t="n">
        <v>5</v>
      </c>
      <c r="P2293" t="n">
        <v>1</v>
      </c>
      <c r="R2293" t="inlineStr">
        <is>
          <t>InStock</t>
        </is>
      </c>
      <c r="S2293" t="inlineStr">
        <is>
          <t>undefined</t>
        </is>
      </c>
      <c r="T2293" t="inlineStr">
        <is>
          <t>5279569871016</t>
        </is>
      </c>
    </row>
    <row r="2294" ht="87" customHeight="1">
      <c r="A2294" s="2">
        <f>HYPERLINK("https://edmondsonsupply.com/collections/hvac/products/icm-controls-icm450-3-phase-line-voltage-monitor", "https://edmondsonsupply.com/collections/hvac/products/icm-controls-icm450-3-phase-line-voltage-monitor")</f>
        <v/>
      </c>
      <c r="B2294" s="2">
        <f>HYPERLINK("https://edmondsonsupply.com/products/icm-controls-icm450-3-phase-line-voltage-monitor", "https://edmondsonsupply.com/products/icm-controls-icm450-3-phase-line-voltage-monitor")</f>
        <v/>
      </c>
      <c r="C2294" t="inlineStr">
        <is>
          <t>ICM Controls ICM450A 3 Phase Line Voltage Monitor</t>
        </is>
      </c>
      <c r="D2294" t="inlineStr">
        <is>
          <t>ICM Controls ICM409 Three-Phase Line Voltage Monitor Offering Protection Against Phase Loss/Reversal, Unbalance and High/Low Voltage, 50/60 Hz, 190-480 VAC, Din Rail Mount</t>
        </is>
      </c>
      <c r="E2294" s="2">
        <f>HYPERLINK("https://www.amazon.com/ICM-Controls-Three-Phase-Protection-Unbalance/dp/B00DGB4PQU/ref=sr_1_5?keywords=ICM+Controls+ICM450A+3+Phase+Line+Voltage+Monitor&amp;qid=1694734635&amp;sr=8-5", "https://www.amazon.com/ICM-Controls-Three-Phase-Protection-Unbalance/dp/B00DGB4PQU/ref=sr_1_5?keywords=ICM+Controls+ICM450A+3+Phase+Line+Voltage+Monitor&amp;qid=1694734635&amp;sr=8-5")</f>
        <v/>
      </c>
      <c r="F2294" t="inlineStr">
        <is>
          <t>B00DGB4PQU</t>
        </is>
      </c>
      <c r="G2294">
        <f>_xlfn.IMAGE("https://edmondsonsupply.com/cdn/shop/products/450A.png?v=1666732398")</f>
        <v/>
      </c>
      <c r="H2294">
        <f>_xlfn.IMAGE("https://m.media-amazon.com/images/I/61og6zGDF+L._AC_UL320_.jpg")</f>
        <v/>
      </c>
      <c r="K2294" t="inlineStr">
        <is>
          <t>149.99</t>
        </is>
      </c>
      <c r="L2294" t="n">
        <v>164.38</v>
      </c>
      <c r="M2294" s="1" t="inlineStr">
        <is>
          <t>9.59%</t>
        </is>
      </c>
      <c r="N2294" s="8" t="n">
        <v>2036.6</v>
      </c>
      <c r="O2294" t="n">
        <v>5</v>
      </c>
      <c r="P2294" t="n">
        <v>2</v>
      </c>
      <c r="R2294" t="inlineStr">
        <is>
          <t>InStock</t>
        </is>
      </c>
      <c r="S2294" t="inlineStr">
        <is>
          <t>202.72</t>
        </is>
      </c>
      <c r="T2294" t="inlineStr">
        <is>
          <t>7861482062040</t>
        </is>
      </c>
    </row>
    <row r="2295" hidden="1" ht="15.75" customHeight="1">
      <c r="A2295" s="2">
        <f>HYPERLINK("https://edmondsonsupply.com/collections/hvac/products/uniweld-utc702-premium-tubing-cutter", "https://edmondsonsupply.com/collections/hvac/products/uniweld-utc702-premium-tubing-cutter")</f>
        <v/>
      </c>
      <c r="B2295" s="2">
        <f>HYPERLINK("https://edmondsonsupply.com/products/uniweld-utc702-premium-tubing-cutter", "https://edmondsonsupply.com/products/uniweld-utc702-premium-tubing-cutter")</f>
        <v/>
      </c>
      <c r="C2295" t="inlineStr">
        <is>
          <t>Uniweld UTC702 1/8″ to 1-1/8″ Premium Tubing Cutter</t>
        </is>
      </c>
      <c r="D2295" t="inlineStr">
        <is>
          <t>Uniweld UTC702 Premium Tubing Cutter Cuts 1/8 Inch to 1-1/8 Inch O.D. Copper, Brass, and Aluminum Tubing</t>
        </is>
      </c>
      <c r="E2295" s="2">
        <f>HYPERLINK("https://www.amazon.com/Uniweld-UTC702-Premium-Tubing-Aluminum/dp/B00HNQRKGG/ref=sr_1_1?keywords=Uniweld+UTC702+1%2F8%E2%80%B3+to+1-1%2F8%E2%80%B3+Premium+Tubing+Cutter&amp;qid=1694734759&amp;sr=8-1", "https://www.amazon.com/Uniweld-UTC702-Premium-Tubing-Aluminum/dp/B00HNQRKGG/ref=sr_1_1?keywords=Uniweld+UTC702+1%2F8%E2%80%B3+to+1-1%2F8%E2%80%B3+Premium+Tubing+Cutter&amp;qid=1694734759&amp;sr=8-1")</f>
        <v/>
      </c>
      <c r="F2295" t="inlineStr">
        <is>
          <t>B00HNQRKGG</t>
        </is>
      </c>
      <c r="G2295">
        <f>_xludf.IMAGE("https://edmondsonsupply.com/cdn/shop/products/utc702-front.jpg?v=1656354409")</f>
        <v/>
      </c>
      <c r="H2295">
        <f>_xludf.IMAGE("https://m.media-amazon.com/images/I/61fYazQJiCL._AC_UL320_.jpg")</f>
        <v/>
      </c>
      <c r="K2295" t="inlineStr">
        <is>
          <t>24.59</t>
        </is>
      </c>
      <c r="L2295" t="n">
        <v>26.89</v>
      </c>
      <c r="M2295" s="1" t="inlineStr">
        <is>
          <t>9.35%</t>
        </is>
      </c>
      <c r="N2295" s="3" t="n">
        <v>1977.08</v>
      </c>
      <c r="O2295" t="n">
        <v>2.7</v>
      </c>
      <c r="P2295" t="n">
        <v>5</v>
      </c>
      <c r="R2295" t="inlineStr">
        <is>
          <t>InStock</t>
        </is>
      </c>
      <c r="S2295" t="inlineStr">
        <is>
          <t>31.81</t>
        </is>
      </c>
      <c r="T2295" t="inlineStr">
        <is>
          <t>7731714883800</t>
        </is>
      </c>
    </row>
    <row r="2296" ht="87" customHeight="1">
      <c r="A2296" s="2">
        <f>HYPERLINK("https://edmondsonsupply.com/collections/hvac/products/icm-controls-icm280-lf-icm-furnace-board-goodman-oem-replacement-board", "https://edmondsonsupply.com/collections/hvac/products/icm-controls-icm280-lf-icm-furnace-board-goodman-oem-replacement-board")</f>
        <v/>
      </c>
      <c r="B2296" s="2">
        <f>HYPERLINK("https://edmondsonsupply.com/products/icm-controls-icm280-lf-icm-furnace-board-goodman-oem-replacement-board", "https://edmondsonsupply.com/products/icm-controls-icm280-lf-icm-furnace-board-goodman-oem-replacement-board")</f>
        <v/>
      </c>
      <c r="C2296" t="inlineStr">
        <is>
          <t>ICM Controls ICM280 Furnace Board; Goodman OEM Replacement Board</t>
        </is>
      </c>
      <c r="D2296" t="inlineStr">
        <is>
          <t>ICM Controls ICM280 Furnace Control Replacement for OEM Models Including Goodman B18099-xx Series Control Boards, Multicolor</t>
        </is>
      </c>
      <c r="E2296" s="2">
        <f>HYPERLINK("https://www.amazon.com/ICM-Controls-ICM280-Replacement-Including/dp/B000TVHUFI/ref=sr_1_1?keywords=ICM+Controls+ICM280+Furnace+Board%3B+Goodman+OEM+Replacement+Board&amp;qid=1694734758&amp;sr=8-1", "https://www.amazon.com/ICM-Controls-ICM280-Replacement-Including/dp/B000TVHUFI/ref=sr_1_1?keywords=ICM+Controls+ICM280+Furnace+Board%3B+Goodman+OEM+Replacement+Board&amp;qid=1694734758&amp;sr=8-1")</f>
        <v/>
      </c>
      <c r="F2296" t="inlineStr">
        <is>
          <t>B000TVHUFI</t>
        </is>
      </c>
      <c r="G2296">
        <f>_xlfn.IMAGE("https://edmondsonsupply.com/cdn/shop/products/ICM280.png?v=1664296085")</f>
        <v/>
      </c>
      <c r="H2296">
        <f>_xlfn.IMAGE("https://m.media-amazon.com/images/I/71FSDA5PBjL._AC_UL320_.jpg")</f>
        <v/>
      </c>
      <c r="K2296" t="inlineStr">
        <is>
          <t>91.29</t>
        </is>
      </c>
      <c r="L2296" t="n">
        <v>99.75</v>
      </c>
      <c r="M2296" s="1" t="inlineStr">
        <is>
          <t>9.27%</t>
        </is>
      </c>
      <c r="N2296" s="8" t="n">
        <v>1917.5</v>
      </c>
      <c r="O2296" t="n">
        <v>4.5</v>
      </c>
      <c r="P2296" t="n">
        <v>457</v>
      </c>
      <c r="R2296" t="inlineStr">
        <is>
          <t>InStock</t>
        </is>
      </c>
      <c r="S2296" t="inlineStr">
        <is>
          <t>130.14</t>
        </is>
      </c>
      <c r="T2296" t="inlineStr">
        <is>
          <t>7830935273688</t>
        </is>
      </c>
    </row>
    <row r="2297" ht="87" customHeight="1">
      <c r="A2297" s="2">
        <f>HYPERLINK("https://edmondsonsupply.com/collections/hvac/products/milwaukee-48-39-0521-18-tpi-band-saw-blade-deep-cut-3-pack", "https://edmondsonsupply.com/collections/hvac/products/milwaukee-48-39-0521-18-tpi-band-saw-blade-deep-cut-3-pack")</f>
        <v/>
      </c>
      <c r="B2297" s="2">
        <f>HYPERLINK("https://edmondsonsupply.com/products/milwaukee-48-39-0521-18-tpi-band-saw-blade-deep-cut-3-pack", "https://edmondsonsupply.com/products/milwaukee-48-39-0521-18-tpi-band-saw-blade-deep-cut-3-pack")</f>
        <v/>
      </c>
      <c r="C2297" t="inlineStr">
        <is>
          <t>Milwaukee 48-39-0521 18 TPI Band Saw Blade, Deep Cut- 3 Pack</t>
        </is>
      </c>
      <c r="D2297" t="inlineStr">
        <is>
          <t>FOXBC 35-3/8 Inch Bandsaw Blade 18 TPI for Milwaukee 48-39-0529 Portable Band Saw Blade, 35-3/8" x 1/2" x .020" 18 TPI, 3-Pack</t>
        </is>
      </c>
      <c r="E2297" s="2">
        <f>HYPERLINK("https://www.amazon.com/FOXBC-Bandsaw-Milwaukee-48-39-0529-Portable/dp/B0C3C69BHQ/ref=sr_1_5?keywords=Milwaukee+48-39-0521+18+TPI+Band+Saw+Blade%2C+Deep+Cut-+3+Pack&amp;qid=1694734906&amp;sr=8-5", "https://www.amazon.com/FOXBC-Bandsaw-Milwaukee-48-39-0529-Portable/dp/B0C3C69BHQ/ref=sr_1_5?keywords=Milwaukee+48-39-0521+18+TPI+Band+Saw+Blade%2C+Deep+Cut-+3+Pack&amp;qid=1694734906&amp;sr=8-5")</f>
        <v/>
      </c>
      <c r="F2297" t="inlineStr">
        <is>
          <t>B0C3C69BHQ</t>
        </is>
      </c>
      <c r="G2297">
        <f>_xlfn.IMAGE("https://edmondsonsupply.com/cdn/shop/files/21432_48-39-0510_1.jpg?v=1686932969")</f>
        <v/>
      </c>
      <c r="H2297">
        <f>_xlfn.IMAGE("https://m.media-amazon.com/images/I/612OX4NJuxL._AC_UL320_.jpg")</f>
        <v/>
      </c>
      <c r="K2297" t="inlineStr">
        <is>
          <t>21.97</t>
        </is>
      </c>
      <c r="L2297" t="n">
        <v>23.99</v>
      </c>
      <c r="M2297" s="1" t="inlineStr">
        <is>
          <t>9.19%</t>
        </is>
      </c>
      <c r="N2297" s="8" t="n">
        <v>1905.79</v>
      </c>
      <c r="O2297" t="n">
        <v>4.7</v>
      </c>
      <c r="P2297" t="n">
        <v>19</v>
      </c>
      <c r="R2297" t="inlineStr">
        <is>
          <t>InStock</t>
        </is>
      </c>
      <c r="S2297" t="inlineStr">
        <is>
          <t>27.9</t>
        </is>
      </c>
      <c r="T2297" t="inlineStr">
        <is>
          <t>8006180339928</t>
        </is>
      </c>
    </row>
    <row r="2298" hidden="1" ht="15.75" customHeight="1">
      <c r="A2298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298" s="2">
        <f>HYPERLINK("https://edmondsonsupply.com/products/klein-tools-646-5-16-5-16-inch-nut-driver-6-inch-hollow-shaft", "https://edmondsonsupply.com/products/klein-tools-646-5-16-5-16-inch-nut-driver-6-inch-hollow-shaft")</f>
        <v/>
      </c>
      <c r="C2298" t="inlineStr">
        <is>
          <t>Klein Tools 646-5/16 5/16-Inch Nut Driver, 6-Inch Hollow Shaft</t>
        </is>
      </c>
      <c r="D2298" t="inlineStr">
        <is>
          <t>Capri Tools Kontour 5/16-Inch Nut Driver, 3-Inch Hollow Shaft</t>
        </is>
      </c>
      <c r="E2298" s="2">
        <f>HYPERLINK("https://www.amazon.com/Capri-Tools-Kontour-16-Inch-Driver/dp/B079G8GDJK/ref=sr_1_31?keywords=Klein+Tools+646-5%2F16+5%2F16-Inch+Nut+Driver%2C+6-Inch+Hollow+Shaft&amp;qid=1694734728&amp;sr=8-31", "https://www.amazon.com/Capri-Tools-Kontour-16-Inch-Driver/dp/B079G8GDJK/ref=sr_1_31?keywords=Klein+Tools+646-5%2F16+5%2F16-Inch+Nut+Driver%2C+6-Inch+Hollow+Shaft&amp;qid=1694734728&amp;sr=8-31")</f>
        <v/>
      </c>
      <c r="F2298" t="inlineStr">
        <is>
          <t>B079G8GDJK</t>
        </is>
      </c>
      <c r="G2298">
        <f>_xludf.IMAGE("https://edmondsonsupply.com/cdn/shop/products/646-1-2_e1540905-f750-4509-90c5-74ff653e4d83.jpg?v=1587145119")</f>
        <v/>
      </c>
      <c r="H2298">
        <f>_xludf.IMAGE("https://m.media-amazon.com/images/I/61BC4AqecIL._AC_UL320_.jpg")</f>
        <v/>
      </c>
      <c r="K2298" t="inlineStr">
        <is>
          <t>7.99</t>
        </is>
      </c>
      <c r="L2298" t="n">
        <v>8.720000000000001</v>
      </c>
      <c r="M2298" s="1" t="inlineStr">
        <is>
          <t>9.14%</t>
        </is>
      </c>
      <c r="N2298" s="3" t="n">
        <v>1903.81</v>
      </c>
      <c r="O2298" t="n">
        <v>4.5</v>
      </c>
      <c r="P2298" t="n">
        <v>62</v>
      </c>
      <c r="R2298" t="inlineStr">
        <is>
          <t>InStock</t>
        </is>
      </c>
      <c r="S2298" t="inlineStr">
        <is>
          <t>12.1</t>
        </is>
      </c>
      <c r="T2298" t="inlineStr">
        <is>
          <t>4395303272548</t>
        </is>
      </c>
    </row>
    <row r="2299" hidden="1" ht="15.75" customHeight="1">
      <c r="A2299" s="2">
        <f>HYPERLINK("https://edmondsonsupply.com/collections/hvac/products/milwaukee-48-39-0521-18-tpi-band-saw-blade-deep-cut-3-pack", "https://edmondsonsupply.com/collections/hvac/products/milwaukee-48-39-0521-18-tpi-band-saw-blade-deep-cut-3-pack")</f>
        <v/>
      </c>
      <c r="B2299" s="2">
        <f>HYPERLINK("https://edmondsonsupply.com/products/milwaukee-48-39-0521-18-tpi-band-saw-blade-deep-cut-3-pack", "https://edmondsonsupply.com/products/milwaukee-48-39-0521-18-tpi-band-saw-blade-deep-cut-3-pack")</f>
        <v/>
      </c>
      <c r="C2299" t="inlineStr">
        <is>
          <t>Milwaukee 48-39-0521 18 TPI Band Saw Blade, Deep Cut- 3 Pack</t>
        </is>
      </c>
      <c r="D2299" t="inlineStr">
        <is>
          <t>Milwaukee 48-39-0554 Deep Cut Band Saw Blade 44-7/8-Inch 10/14TPI, 2 Pack</t>
        </is>
      </c>
      <c r="E2299" s="2">
        <f>HYPERLINK("https://www.amazon.com/Milwaukee-48-39-0554-Blade-8-Inch-14TPI/dp/B000F6SYQQ/ref=sr_1_19?keywords=Milwaukee+48-39-0521+18+TPI+Band+Saw+Blade%2C+Deep+Cut-+3+Pack&amp;qid=1694734906&amp;sr=8-19", "https://www.amazon.com/Milwaukee-48-39-0554-Blade-8-Inch-14TPI/dp/B000F6SYQQ/ref=sr_1_19?keywords=Milwaukee+48-39-0521+18+TPI+Band+Saw+Blade%2C+Deep+Cut-+3+Pack&amp;qid=1694734906&amp;sr=8-19")</f>
        <v/>
      </c>
      <c r="F2299" t="inlineStr">
        <is>
          <t>B000F6SYQQ</t>
        </is>
      </c>
      <c r="G2299">
        <f>_xludf.IMAGE("https://edmondsonsupply.com/cdn/shop/files/21432_48-39-0510_1.jpg?v=1686932969")</f>
        <v/>
      </c>
      <c r="H2299">
        <f>_xludf.IMAGE("https://m.media-amazon.com/images/I/31IIkd-OW0L._AC_UL320_.jpg")</f>
        <v/>
      </c>
      <c r="K2299" t="inlineStr">
        <is>
          <t>21.97</t>
        </is>
      </c>
      <c r="L2299" t="n">
        <v>23.97</v>
      </c>
      <c r="M2299" s="1" t="inlineStr">
        <is>
          <t>9.10%</t>
        </is>
      </c>
      <c r="N2299" s="3" t="n">
        <v>1889.67</v>
      </c>
      <c r="O2299" t="n">
        <v>3.6</v>
      </c>
      <c r="P2299" t="n">
        <v>7</v>
      </c>
      <c r="R2299" t="inlineStr">
        <is>
          <t>InStock</t>
        </is>
      </c>
      <c r="S2299" t="inlineStr">
        <is>
          <t>27.9</t>
        </is>
      </c>
      <c r="T2299" t="inlineStr">
        <is>
          <t>8006180339928</t>
        </is>
      </c>
    </row>
    <row r="2300" hidden="1" ht="15.75" customHeight="1">
      <c r="A2300" s="2">
        <f>HYPERLINK("https://edmondsonsupply.com/collections/hvac/products/milwaukee-48-39-0511-14-tpi-band-saw-blade-deep-cut-3-pack", "https://edmondsonsupply.com/collections/hvac/products/milwaukee-48-39-0511-14-tpi-band-saw-blade-deep-cut-3-pack")</f>
        <v/>
      </c>
      <c r="B2300" s="2">
        <f>HYPERLINK("https://edmondsonsupply.com/products/milwaukee-48-39-0511-14-tpi-band-saw-blade-deep-cut-3-pack", "https://edmondsonsupply.com/products/milwaukee-48-39-0511-14-tpi-band-saw-blade-deep-cut-3-pack")</f>
        <v/>
      </c>
      <c r="C2300" t="inlineStr">
        <is>
          <t>Milwaukee 48-39-0511 14 TPI Band Saw Blade, Deep Cut- 3 Pack</t>
        </is>
      </c>
      <c r="D2300" t="inlineStr">
        <is>
          <t>Milwaukee 48-39-0554 Deep Cut Band Saw Blade 44-7/8-Inch 10/14TPI, 2 Pack</t>
        </is>
      </c>
      <c r="E2300" s="2">
        <f>HYPERLINK("https://www.amazon.com/Milwaukee-48-39-0554-Blade-8-Inch-14TPI/dp/B000F6SYQQ/ref=sr_1_12?keywords=Milwaukee+48-39-0511+14+TPI+Band+Saw+Blade%2C+Deep+Cut-+3+Pack&amp;qid=1694734913&amp;sr=8-12", "https://www.amazon.com/Milwaukee-48-39-0554-Blade-8-Inch-14TPI/dp/B000F6SYQQ/ref=sr_1_12?keywords=Milwaukee+48-39-0511+14+TPI+Band+Saw+Blade%2C+Deep+Cut-+3+Pack&amp;qid=1694734913&amp;sr=8-12")</f>
        <v/>
      </c>
      <c r="F2300" t="inlineStr">
        <is>
          <t>B000F6SYQQ</t>
        </is>
      </c>
      <c r="G2300">
        <f>_xludf.IMAGE("https://edmondsonsupply.com/cdn/shop/files/21432_48-39-0510_319e7935-f772-46a1-be2a-e6da41fc34ff.jpg?v=1686664178")</f>
        <v/>
      </c>
      <c r="H2300">
        <f>_xludf.IMAGE("https://m.media-amazon.com/images/I/31IIkd-OW0L._AC_UL320_.jpg")</f>
        <v/>
      </c>
      <c r="K2300" t="inlineStr">
        <is>
          <t>21.97</t>
        </is>
      </c>
      <c r="L2300" t="n">
        <v>23.97</v>
      </c>
      <c r="M2300" s="1" t="inlineStr">
        <is>
          <t>9.10%</t>
        </is>
      </c>
      <c r="N2300" s="3" t="n">
        <v>1750.38</v>
      </c>
      <c r="O2300" t="n">
        <v>3.6</v>
      </c>
      <c r="P2300" t="n">
        <v>7</v>
      </c>
      <c r="R2300" t="inlineStr">
        <is>
          <t>InStock</t>
        </is>
      </c>
      <c r="S2300" t="inlineStr">
        <is>
          <t>27.9</t>
        </is>
      </c>
      <c r="T2300" t="inlineStr">
        <is>
          <t>8005110202584</t>
        </is>
      </c>
    </row>
    <row r="2301" ht="87" customHeight="1">
      <c r="A2301" s="2">
        <f>HYPERLINK("https://edmondsonsupply.com/collections/hvac/products/klein-tools-mm400-digital-multimeter-auto-ranging-600v", "https://edmondsonsupply.com/collections/hvac/products/klein-tools-mm400-digital-multimeter-auto-ranging-600v")</f>
        <v/>
      </c>
      <c r="B2301" s="2">
        <f>HYPERLINK("https://edmondsonsupply.com/products/klein-tools-mm400-digital-multimeter-auto-ranging-600v", "https://edmondsonsupply.com/products/klein-tools-mm400-digital-multimeter-auto-ranging-600v")</f>
        <v/>
      </c>
      <c r="C2301" t="inlineStr">
        <is>
          <t>Klein Tools MM400 Digital Multimeter, Auto-Ranging, 600V</t>
        </is>
      </c>
      <c r="D2301" t="inlineStr">
        <is>
          <t>Klein Tools MM400 Multimeter, Digital Auto Ranging, AC/DC Voltage, Current, Capacitance, Frequency, Duty-Cycle, Diode, Continuity, Temp 600V &amp; 69417 Rare-Earth Magnetic Hanger, with Strap</t>
        </is>
      </c>
      <c r="E2301" s="2">
        <f>HYPERLINK("https://www.amazon.com/Klein-Tools-Multimeter-Auto-Ranging-Magnetic/dp/B095RFF319/ref=sr_1_2?keywords=Klein+Tools+MM400+Digital+Multimeter%2C+Auto-Ranging%2C+600V&amp;qid=1694734709&amp;sr=8-2", "https://www.amazon.com/Klein-Tools-Multimeter-Auto-Ranging-Magnetic/dp/B095RFF319/ref=sr_1_2?keywords=Klein+Tools+MM400+Digital+Multimeter%2C+Auto-Ranging%2C+600V&amp;qid=1694734709&amp;sr=8-2")</f>
        <v/>
      </c>
      <c r="F2301" t="inlineStr">
        <is>
          <t>B095RFF319</t>
        </is>
      </c>
      <c r="G2301">
        <f>_xlfn.IMAGE("https://edmondsonsupply.com/cdn/shop/products/mm400_alt1.jpg?v=1633030778")</f>
        <v/>
      </c>
      <c r="H2301">
        <f>_xlfn.IMAGE("https://m.media-amazon.com/images/I/51JeRgf8UeS._AC_UL320_.jpg")</f>
        <v/>
      </c>
      <c r="K2301" t="inlineStr">
        <is>
          <t>54.97</t>
        </is>
      </c>
      <c r="L2301" t="n">
        <v>59.9</v>
      </c>
      <c r="M2301" s="1" t="inlineStr">
        <is>
          <t>8.97%</t>
        </is>
      </c>
      <c r="N2301" s="8" t="n">
        <v>1715.15</v>
      </c>
      <c r="O2301" t="n">
        <v>4.8</v>
      </c>
      <c r="P2301" t="n">
        <v>37</v>
      </c>
      <c r="R2301" t="inlineStr">
        <is>
          <t>InStock</t>
        </is>
      </c>
      <c r="S2301" t="inlineStr">
        <is>
          <t>79.76</t>
        </is>
      </c>
      <c r="T2301" t="inlineStr">
        <is>
          <t>5963177492648</t>
        </is>
      </c>
    </row>
    <row r="2302" ht="87" customHeight="1">
      <c r="A2302" s="2">
        <f>HYPERLINK("https://edmondsonsupply.com/collections/hvac/products/klein-tools-86522-straight-hand-seamer-3-inch", "https://edmondsonsupply.com/collections/hvac/products/klein-tools-86522-straight-hand-seamer-3-inch")</f>
        <v/>
      </c>
      <c r="B2302" s="2">
        <f>HYPERLINK("https://edmondsonsupply.com/products/klein-tools-86522-straight-hand-seamer-3-inch", "https://edmondsonsupply.com/products/klein-tools-86522-straight-hand-seamer-3-inch")</f>
        <v/>
      </c>
      <c r="C2302" t="inlineStr">
        <is>
          <t>Klein Tools 86522 Straight Hand Seamer, 3-Inch</t>
        </is>
      </c>
      <c r="D2302" t="inlineStr">
        <is>
          <t>Klein Tools 86522 Hand Seamer, Straight Metal Seamer has 3-Inch Jaw, for 22 Gauge Steel and 24 Gauge Stainless</t>
        </is>
      </c>
      <c r="E2302" s="2">
        <f>HYPERLINK("https://www.amazon.com/Straight-Stainless-Klein-Tools-86522/dp/B07F3GX5M6/ref=sr_1_1?keywords=Klein+Tools+86522+Straight+Hand+Seamer%2C+3-Inch&amp;qid=1694734803&amp;sr=8-1", "https://www.amazon.com/Straight-Stainless-Klein-Tools-86522/dp/B07F3GX5M6/ref=sr_1_1?keywords=Klein+Tools+86522+Straight+Hand+Seamer%2C+3-Inch&amp;qid=1694734803&amp;sr=8-1")</f>
        <v/>
      </c>
      <c r="F2302" t="inlineStr">
        <is>
          <t>B07F3GX5M6</t>
        </is>
      </c>
      <c r="G2302">
        <f>_xlfn.IMAGE("https://edmondsonsupply.com/cdn/shop/products/86522.jpg?v=1587151096")</f>
        <v/>
      </c>
      <c r="H2302">
        <f>_xlfn.IMAGE("https://m.media-amazon.com/images/I/41TWlJy74oL._AC_UL320_.jpg")</f>
        <v/>
      </c>
      <c r="K2302" t="inlineStr">
        <is>
          <t>41.99</t>
        </is>
      </c>
      <c r="L2302" t="n">
        <v>45.66</v>
      </c>
      <c r="M2302" s="1" t="inlineStr">
        <is>
          <t>8.74%</t>
        </is>
      </c>
      <c r="N2302" s="8" t="n">
        <v>1715.15</v>
      </c>
      <c r="O2302" t="n">
        <v>4.6</v>
      </c>
      <c r="P2302" t="n">
        <v>233</v>
      </c>
      <c r="R2302" t="inlineStr">
        <is>
          <t>InStock</t>
        </is>
      </c>
      <c r="S2302" t="inlineStr">
        <is>
          <t>60.3</t>
        </is>
      </c>
      <c r="T2302" t="inlineStr">
        <is>
          <t>4410466992228</t>
        </is>
      </c>
    </row>
    <row r="2303" hidden="1" ht="15.75" customHeight="1">
      <c r="A2303" s="2">
        <f>HYPERLINK("https://edmondsonsupply.com/collections/hvac/products/diversitech-sg-1-20g-swoosh-drain-gun-big-shot", "https://edmondsonsupply.com/collections/hvac/products/diversitech-sg-1-20g-swoosh-drain-gun-big-shot")</f>
        <v/>
      </c>
      <c r="B2303" s="2">
        <f>HYPERLINK("https://edmondsonsupply.com/products/diversitech-sg-1-20g-swoosh-drain-gun-big-shot", "https://edmondsonsupply.com/products/diversitech-sg-1-20g-swoosh-drain-gun-big-shot")</f>
        <v/>
      </c>
      <c r="C2303" t="inlineStr">
        <is>
          <t>DiversiTech SG-1 20G SWOOSH Drain Gun Big Shot</t>
        </is>
      </c>
      <c r="D2303" t="inlineStr">
        <is>
          <t>Diversitech SG-1 20G Swoosh Big Shot Drain Gun, Red</t>
        </is>
      </c>
      <c r="E2303" s="2">
        <f>HYPERLINK("https://www.amazon.com/Diversitech-SG-1-SWOOSH-Drain-Shot/dp/B08B1S9X59/ref=sr_1_1?keywords=DiversiTech+SG-1+20G+SWOOSH+Drain+Gun+Big+Shot&amp;qid=1694734596&amp;sr=8-1", "https://www.amazon.com/Diversitech-SG-1-SWOOSH-Drain-Shot/dp/B08B1S9X59/ref=sr_1_1?keywords=DiversiTech+SG-1+20G+SWOOSH+Drain+Gun+Big+Shot&amp;qid=1694734596&amp;sr=8-1")</f>
        <v/>
      </c>
      <c r="F2303" t="inlineStr">
        <is>
          <t>B08B1S9X59</t>
        </is>
      </c>
      <c r="G2303">
        <f>_xludf.IMAGE("https://edmondsonsupply.com/cdn/shop/products/SG-1.jpg?v=1633030338")</f>
        <v/>
      </c>
      <c r="H2303">
        <f>_xludf.IMAGE("https://m.media-amazon.com/images/I/71vtRHtkxcL._AC_UL320_.jpg")</f>
        <v/>
      </c>
      <c r="K2303" t="inlineStr">
        <is>
          <t>35.86</t>
        </is>
      </c>
      <c r="L2303" t="n">
        <v>38.99</v>
      </c>
      <c r="M2303" s="1" t="inlineStr">
        <is>
          <t>8.73%</t>
        </is>
      </c>
      <c r="N2303" s="3" t="n">
        <v>1600</v>
      </c>
      <c r="O2303" t="n">
        <v>4</v>
      </c>
      <c r="P2303" t="n">
        <v>126</v>
      </c>
      <c r="R2303" t="inlineStr">
        <is>
          <t>InStock</t>
        </is>
      </c>
      <c r="S2303" t="inlineStr">
        <is>
          <t>124.44</t>
        </is>
      </c>
      <c r="T2303" t="inlineStr">
        <is>
          <t>5274588938408</t>
        </is>
      </c>
    </row>
    <row r="2304" ht="87" customHeight="1">
      <c r="A2304" s="2">
        <f>HYPERLINK("https://edmondsonsupply.com/collections/hvac/products/hilmor-1926598-cbkrb-compact-bender-kit-with-reverse-bending-attachment", "https://edmondsonsupply.com/collections/hvac/products/hilmor-1926598-cbkrb-compact-bender-kit-with-reverse-bending-attachment")</f>
        <v/>
      </c>
      <c r="B2304" s="2">
        <f>HYPERLINK("https://edmondsonsupply.com/products/hilmor-1926598-cbkrb-compact-bender-kit-with-reverse-bending-attachment", "https://edmondsonsupply.com/products/hilmor-1926598-cbkrb-compact-bender-kit-with-reverse-bending-attachment")</f>
        <v/>
      </c>
      <c r="C2304" t="inlineStr">
        <is>
          <t>Hilmor 1926598 CBKRB Compact Bender Kit with Reverse Bending Attachment</t>
        </is>
      </c>
      <c r="D2304" t="inlineStr">
        <is>
          <t>hilmor Compact Bender Kit with Reverse Bending Attachment for 1/4" - 7/8" Tube and Pipe Bending, Black, CBKRB 1926598 and 2.75" 1/4 &amp; 5/16 Reversible Magnetic Nut Driver, 3-Pack</t>
        </is>
      </c>
      <c r="E2304" s="2">
        <f>HYPERLINK("https://www.amazon.com/hilmor-Compact-Reverse-Bending-Attachment/dp/B0BQ5F2JVJ/ref=sr_1_2?keywords=Hilmor+1926598+CBKRB+Compact+Bender+Kit+with+Reverse+Bending+Attachment&amp;qid=1694734574&amp;sr=8-2", "https://www.amazon.com/hilmor-Compact-Reverse-Bending-Attachment/dp/B0BQ5F2JVJ/ref=sr_1_2?keywords=Hilmor+1926598+CBKRB+Compact+Bender+Kit+with+Reverse+Bending+Attachment&amp;qid=1694734574&amp;sr=8-2")</f>
        <v/>
      </c>
      <c r="F2304" t="inlineStr">
        <is>
          <t>B0BQ5F2JVJ</t>
        </is>
      </c>
      <c r="G2304">
        <f>_xlfn.IMAGE("https://edmondsonsupply.com/cdn/shop/products/57_4722856f-2f25-4fd0-bfb9-375a4a8cbf3a.jpg?v=1633030018")</f>
        <v/>
      </c>
      <c r="H2304">
        <f>_xlfn.IMAGE("https://m.media-amazon.com/images/I/51hyNMjbjEL._AC_UL320_.jpg")</f>
        <v/>
      </c>
      <c r="K2304" t="inlineStr">
        <is>
          <t>264.02</t>
        </is>
      </c>
      <c r="L2304" t="n">
        <v>286.99</v>
      </c>
      <c r="M2304" s="1" t="inlineStr">
        <is>
          <t>8.70%</t>
        </is>
      </c>
      <c r="N2304" s="8" t="n">
        <v>1597.38</v>
      </c>
      <c r="O2304" t="n">
        <v>5</v>
      </c>
      <c r="P2304" t="n">
        <v>1</v>
      </c>
      <c r="R2304" t="inlineStr">
        <is>
          <t>InStock</t>
        </is>
      </c>
      <c r="S2304" t="inlineStr">
        <is>
          <t>914.52</t>
        </is>
      </c>
      <c r="T2304" t="inlineStr">
        <is>
          <t>2097313546340</t>
        </is>
      </c>
    </row>
    <row r="2305" ht="87" customHeight="1">
      <c r="A2305" s="2">
        <f>HYPERLINK("https://edmondsonsupply.com/collections/hvac/products/fluke-373-true-rms-ac-clamp-meter", "https://edmondsonsupply.com/collections/hvac/products/fluke-373-true-rms-ac-clamp-meter")</f>
        <v/>
      </c>
      <c r="B2305" s="2">
        <f>HYPERLINK("https://edmondsonsupply.com/products/fluke-373-true-rms-ac-clamp-meter", "https://edmondsonsupply.com/products/fluke-373-true-rms-ac-clamp-meter")</f>
        <v/>
      </c>
      <c r="C2305" t="inlineStr">
        <is>
          <t>Fluke 373 True-RMS AC Clamp Meter</t>
        </is>
      </c>
      <c r="D2305" t="inlineStr">
        <is>
          <t>Fluke 325 Clamp Multimeter AC-DC TRMS</t>
        </is>
      </c>
      <c r="E2305" s="2">
        <f>HYPERLINK("https://www.amazon.com/Fluke-Clamp-Multimeter-AC-DC-TRMS/dp/B0091EXB2A/ref=sr_1_11?keywords=Fluke+373+True-RMS+AC+Clamp+Meter&amp;qid=1694734920&amp;sr=8-11", "https://www.amazon.com/Fluke-Clamp-Multimeter-AC-DC-TRMS/dp/B0091EXB2A/ref=sr_1_11?keywords=Fluke+373+True-RMS+AC+Clamp+Meter&amp;qid=1694734920&amp;sr=8-11")</f>
        <v/>
      </c>
      <c r="F2305" t="inlineStr">
        <is>
          <t>B0091EXB2A</t>
        </is>
      </c>
      <c r="G2305">
        <f>_xlfn.IMAGE("https://edmondsonsupply.com/cdn/shop/files/f-373-01d-1500x1000.webp?v=1689369435")</f>
        <v/>
      </c>
      <c r="H2305">
        <f>_xlfn.IMAGE("https://m.media-amazon.com/images/I/51VwXbOhWjL._AC_UY218_.jpg")</f>
        <v/>
      </c>
      <c r="K2305" t="inlineStr">
        <is>
          <t>290.05</t>
        </is>
      </c>
      <c r="L2305" t="n">
        <v>315.26</v>
      </c>
      <c r="M2305" s="1" t="inlineStr">
        <is>
          <t>8.69%</t>
        </is>
      </c>
      <c r="N2305" s="8" t="n">
        <v>1574.87</v>
      </c>
      <c r="O2305" t="n">
        <v>4.7</v>
      </c>
      <c r="P2305" t="n">
        <v>930</v>
      </c>
      <c r="R2305" t="inlineStr">
        <is>
          <t>InStock</t>
        </is>
      </c>
      <c r="S2305" t="inlineStr">
        <is>
          <t>undefined</t>
        </is>
      </c>
      <c r="T2305" t="inlineStr">
        <is>
          <t>8016406773976</t>
        </is>
      </c>
    </row>
    <row r="2306" ht="87" customHeight="1">
      <c r="A2306" s="2">
        <f>HYPERLINK("https://edmondsonsupply.com/collections/hvac/products/rack-a-tiers-43095-electricians-grande-butt-pouch", "https://edmondsonsupply.com/collections/hvac/products/rack-a-tiers-43095-electricians-grande-butt-pouch")</f>
        <v/>
      </c>
      <c r="B2306" s="2">
        <f>HYPERLINK("https://edmondsonsupply.com/products/rack-a-tiers-43095-electricians-grande-butt-pouch", "https://edmondsonsupply.com/products/rack-a-tiers-43095-electricians-grande-butt-pouch")</f>
        <v/>
      </c>
      <c r="C2306" t="inlineStr">
        <is>
          <t>Rack-A-Tiers 43095 Electrician's Grande Butt Pouch</t>
        </is>
      </c>
      <c r="D2306" t="inlineStr">
        <is>
          <t>Rack-A-Tiers Grande Butt Pouch, Tool Pouch for Back Pocket (43095) Black</t>
        </is>
      </c>
      <c r="E2306" s="2">
        <f>HYPERLINK("https://www.amazon.com/Rack-Tiers-43095-Pocket-Holder/dp/B079DWYQQF/ref=sr_1_1?keywords=Rack-A-Tiers+43095+Electrician%27s+Grande+Butt+Pouch&amp;qid=1694734786&amp;sr=8-1", "https://www.amazon.com/Rack-Tiers-43095-Pocket-Holder/dp/B079DWYQQF/ref=sr_1_1?keywords=Rack-A-Tiers+43095+Electrician%27s+Grande+Butt+Pouch&amp;qid=1694734786&amp;sr=8-1")</f>
        <v/>
      </c>
      <c r="F2306" t="inlineStr">
        <is>
          <t>B079DWYQQF</t>
        </is>
      </c>
      <c r="G2306">
        <f>_xlfn.IMAGE("https://edmondsonsupply.com/cdn/shop/products/43095-Grande-Butt-Pouch-1-1-1-1-1-300x300.png?v=1633030598")</f>
        <v/>
      </c>
      <c r="H2306">
        <f>_xlfn.IMAGE("https://m.media-amazon.com/images/I/51y+Jt8bC5L._AC_UL320_.jpg")</f>
        <v/>
      </c>
      <c r="K2306" t="inlineStr">
        <is>
          <t>29.49</t>
        </is>
      </c>
      <c r="L2306" t="n">
        <v>31.99</v>
      </c>
      <c r="M2306" s="1" t="inlineStr">
        <is>
          <t>8.48%</t>
        </is>
      </c>
      <c r="N2306" s="8" t="n">
        <v>1549.68</v>
      </c>
      <c r="O2306" t="n">
        <v>5</v>
      </c>
      <c r="P2306" t="n">
        <v>1</v>
      </c>
      <c r="R2306" t="inlineStr">
        <is>
          <t>InStock</t>
        </is>
      </c>
      <c r="S2306" t="inlineStr">
        <is>
          <t>31.99</t>
        </is>
      </c>
      <c r="T2306" t="inlineStr">
        <is>
          <t>5609988980904</t>
        </is>
      </c>
    </row>
    <row r="2307" ht="87" customHeight="1">
      <c r="A2307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2307" s="2">
        <f>HYPERLINK("https://edmondsonsupply.com/products/milwaukee-48-22-1540-fastback%e2%84%a2-5-in-1-folding-knife", "https://edmondsonsupply.com/products/milwaukee-48-22-1540-fastback%e2%84%a2-5-in-1-folding-knife")</f>
        <v/>
      </c>
      <c r="C2307" t="inlineStr">
        <is>
          <t>Milwaukee 48-22-1540 FASTBACK™ 5-in-1 Folding Knife</t>
        </is>
      </c>
      <c r="D2307" t="inlineStr">
        <is>
          <t>Milwaukee 48-22-1990 FASTBACK Smooth Folding Knife Stainless Steel</t>
        </is>
      </c>
      <c r="E2307" s="2">
        <f>HYPERLINK("https://www.amazon.com/Milwaukee-48-22-1990-FASTBACK-Smooth-Folding/dp/B00IKVFCUO/ref=sr_1_2?keywords=Milwaukee+48-22-1540+FASTBACK%E2%84%A2+5-in-1+Folding+Knife&amp;qid=1694734631&amp;sr=8-2", "https://www.amazon.com/Milwaukee-48-22-1990-FASTBACK-Smooth-Folding/dp/B00IKVFCUO/ref=sr_1_2?keywords=Milwaukee+48-22-1540+FASTBACK%E2%84%A2+5-in-1+Folding+Knife&amp;qid=1694734631&amp;sr=8-2")</f>
        <v/>
      </c>
      <c r="F2307" t="inlineStr">
        <is>
          <t>B00IKVFCUO</t>
        </is>
      </c>
      <c r="G2307">
        <f>_xlfn.IMAGE("https://edmondsonsupply.com/cdn/shop/products/48-22-1540_1.png?v=1587142762")</f>
        <v/>
      </c>
      <c r="H2307">
        <f>_xlfn.IMAGE("https://m.media-amazon.com/images/I/81wFFG5g9vL._AC_UL320_.jpg")</f>
        <v/>
      </c>
      <c r="K2307" t="inlineStr">
        <is>
          <t>23.97</t>
        </is>
      </c>
      <c r="L2307" t="n">
        <v>26</v>
      </c>
      <c r="M2307" s="1" t="inlineStr">
        <is>
          <t>8.47%</t>
        </is>
      </c>
      <c r="N2307" s="8" t="n">
        <v>1495.79</v>
      </c>
      <c r="O2307" t="n">
        <v>4.5</v>
      </c>
      <c r="P2307" t="n">
        <v>978</v>
      </c>
      <c r="R2307" t="inlineStr">
        <is>
          <t>InStock</t>
        </is>
      </c>
      <c r="S2307" t="inlineStr">
        <is>
          <t>39.0</t>
        </is>
      </c>
      <c r="T2307" t="inlineStr">
        <is>
          <t>4452621090916</t>
        </is>
      </c>
    </row>
    <row r="2308" ht="87" customHeight="1">
      <c r="A2308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2308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2308" t="inlineStr">
        <is>
          <t>Diablo Tools DMAMXCC5010 2 in. x 7 in. SDS-Max Carbide Tipped Core Bit</t>
        </is>
      </c>
      <c r="D2308" t="inlineStr">
        <is>
          <t>Diablo by Freud DMAMXCC5030 3-1/4 in. x 7 in. SDS-Max Carbide Tipped Core Bit Multi, One Size</t>
        </is>
      </c>
      <c r="E2308" s="2">
        <f>HYPERLINK("https://www.amazon.com/Diablo-DMAMXCC5030-SDS-Max-Carbide-Tipped/dp/B089M8K3HG/ref=sr_1_3?keywords=Diablo+Tools+DMAMXCC5010+2+in.+x+7+in.+SDS-Max+Carbide+Tipped+Core+Bit&amp;qid=1694734911&amp;sr=8-3", "https://www.amazon.com/Diablo-DMAMXCC5030-SDS-Max-Carbide-Tipped/dp/B089M8K3HG/ref=sr_1_3?keywords=Diablo+Tools+DMAMXCC5010+2+in.+x+7+in.+SDS-Max+Carbide+Tipped+Core+Bit&amp;qid=1694734911&amp;sr=8-3")</f>
        <v/>
      </c>
      <c r="F2308" t="inlineStr">
        <is>
          <t>B089M8K3HG</t>
        </is>
      </c>
      <c r="G2308">
        <f>_xlfn.IMAGE("https://edmondsonsupply.com/cdn/shop/files/kbs61qpkymnshwvx13k1.webp?v=1686583113")</f>
        <v/>
      </c>
      <c r="H2308">
        <f>_xlfn.IMAGE("https://m.media-amazon.com/images/I/71U1Um--OXL._AC_UL320_.jpg")</f>
        <v/>
      </c>
      <c r="K2308" t="inlineStr">
        <is>
          <t>101.49</t>
        </is>
      </c>
      <c r="L2308" t="n">
        <v>110</v>
      </c>
      <c r="M2308" s="1" t="inlineStr">
        <is>
          <t>8.39%</t>
        </is>
      </c>
      <c r="N2308" s="8" t="n">
        <v>1485.01</v>
      </c>
      <c r="O2308" t="n">
        <v>5</v>
      </c>
      <c r="P2308" t="n">
        <v>3</v>
      </c>
      <c r="R2308" t="inlineStr">
        <is>
          <t>InStock</t>
        </is>
      </c>
      <c r="S2308" t="inlineStr">
        <is>
          <t>161.02</t>
        </is>
      </c>
      <c r="T2308" t="inlineStr">
        <is>
          <t>8004502585560</t>
        </is>
      </c>
    </row>
    <row r="2309" ht="87" customHeight="1">
      <c r="A2309" s="2">
        <f>HYPERLINK("https://edmondsonsupply.com/collections/hvac/products/klein-tools-et450-advanced-circuit-tracer-kit", "https://edmondsonsupply.com/collections/hvac/products/klein-tools-et450-advanced-circuit-tracer-kit")</f>
        <v/>
      </c>
      <c r="B2309" s="2">
        <f>HYPERLINK("https://edmondsonsupply.com/products/klein-tools-et450-advanced-circuit-tracer-kit", "https://edmondsonsupply.com/products/klein-tools-et450-advanced-circuit-tracer-kit")</f>
        <v/>
      </c>
      <c r="C2309" t="inlineStr">
        <is>
          <t>Klein Tools ET450 Advanced Circuit Tracer Kit</t>
        </is>
      </c>
      <c r="D2309" t="inlineStr">
        <is>
          <t>Klein Tools ET450 Advanced Circuit Breaker Finder and Wire Tracer Kit &amp; VDV500-820 Cable Tracer with Probe Tone Pro Kit for Telephone, Internet, Video, Data and Communications Cables</t>
        </is>
      </c>
      <c r="E2309" s="2">
        <f>HYPERLINK("https://www.amazon.com/Klein-Tools-VDV500-820-Telephone-Communications/dp/B0BS36CVBC/ref=sr_1_3?keywords=Klein+Tools+ET450+Advanced+Circuit+Tracer+Kit&amp;qid=1694734693&amp;sr=8-3", "https://www.amazon.com/Klein-Tools-VDV500-820-Telephone-Communications/dp/B0BS36CVBC/ref=sr_1_3?keywords=Klein+Tools+ET450+Advanced+Circuit+Tracer+Kit&amp;qid=1694734693&amp;sr=8-3")</f>
        <v/>
      </c>
      <c r="F2309" t="inlineStr">
        <is>
          <t>B0BS36CVBC</t>
        </is>
      </c>
      <c r="G2309">
        <f>_xlfn.IMAGE("https://edmondsonsupply.com/cdn/shop/products/et450.jpg?v=1660165248")</f>
        <v/>
      </c>
      <c r="H2309">
        <f>_xlfn.IMAGE("https://m.media-amazon.com/images/I/616jkVkV61L._AC_UL320_.jpg")</f>
        <v/>
      </c>
      <c r="K2309" t="inlineStr">
        <is>
          <t>239.99</t>
        </is>
      </c>
      <c r="L2309" t="n">
        <v>259.96</v>
      </c>
      <c r="M2309" s="1" t="inlineStr">
        <is>
          <t>8.32%</t>
        </is>
      </c>
      <c r="N2309" s="8" t="n">
        <v>1445.44</v>
      </c>
      <c r="O2309" t="n">
        <v>5</v>
      </c>
      <c r="P2309" t="n">
        <v>3</v>
      </c>
      <c r="R2309" t="inlineStr">
        <is>
          <t>InStock</t>
        </is>
      </c>
      <c r="S2309" t="inlineStr">
        <is>
          <t>359.98</t>
        </is>
      </c>
      <c r="T2309" t="inlineStr">
        <is>
          <t>7778011971800</t>
        </is>
      </c>
    </row>
    <row r="2310" hidden="1" ht="15.75" customHeight="1">
      <c r="A2310" s="2">
        <f>HYPERLINK("https://edmondsonsupply.com/collections/hvac/products/jb-industries-dv-41-supernova%C2%AE-digital-vacuum-gauge-with-case", "https://edmondsonsupply.com/collections/hvac/products/jb-industries-dv-41-supernova%C2%AE-digital-vacuum-gauge-with-case")</f>
        <v/>
      </c>
      <c r="B2310" s="2">
        <f>HYPERLINK("https://edmondsonsupply.com/products/jb-industries-dv-41-supernova%c2%ae-digital-vacuum-gauge-with-case", "https://edmondsonsupply.com/products/jb-industries-dv-41-supernova%c2%ae-digital-vacuum-gauge-with-case")</f>
        <v/>
      </c>
      <c r="C2310" t="inlineStr">
        <is>
          <t>JB Industries DV-41 Supernova® Digital Vacuum Gauge with Case</t>
        </is>
      </c>
      <c r="D2310" t="inlineStr">
        <is>
          <t>JB Industries DV-41 Supernova Digital Micron Gauge with Case and AC Adapter</t>
        </is>
      </c>
      <c r="E2310" s="2">
        <f>HYPERLINK("https://www.amazon.com/JB-Industries-DV-41-Supernova-Digital/dp/B00E1N4OBS/ref=sr_1_1?keywords=JB+Industries+DV-41+Supernova%C2%AE+Digital+Vacuum+Gauge+with+Case&amp;qid=1694734792&amp;sr=8-1", "https://www.amazon.com/JB-Industries-DV-41-Supernova-Digital/dp/B00E1N4OBS/ref=sr_1_1?keywords=JB+Industries+DV-41+Supernova%C2%AE+Digital+Vacuum+Gauge+with+Case&amp;qid=1694734792&amp;sr=8-1")</f>
        <v/>
      </c>
      <c r="F2310" t="inlineStr">
        <is>
          <t>B00E1N4OBS</t>
        </is>
      </c>
      <c r="G2310">
        <f>_xludf.IMAGE("https://edmondsonsupply.com/cdn/shop/products/dv-41.png?v=1633030566")</f>
        <v/>
      </c>
      <c r="H2310">
        <f>_xludf.IMAGE("https://m.media-amazon.com/images/I/713wm6Ii-jL._AC_UY218_.jpg")</f>
        <v/>
      </c>
      <c r="K2310" t="inlineStr">
        <is>
          <t>283.93</t>
        </is>
      </c>
      <c r="L2310" t="n">
        <v>306.79</v>
      </c>
      <c r="M2310" s="1" t="inlineStr">
        <is>
          <t>8.05%</t>
        </is>
      </c>
      <c r="N2310" s="3" t="n">
        <v>1443.21</v>
      </c>
      <c r="O2310" t="n">
        <v>2.5</v>
      </c>
      <c r="P2310" t="n">
        <v>14</v>
      </c>
      <c r="R2310" t="inlineStr">
        <is>
          <t>InStock</t>
        </is>
      </c>
      <c r="S2310" t="inlineStr">
        <is>
          <t>368.03</t>
        </is>
      </c>
      <c r="T2310" t="inlineStr">
        <is>
          <t>5451053826216</t>
        </is>
      </c>
    </row>
    <row r="2311" ht="87" customHeight="1">
      <c r="A2311" s="2">
        <f>HYPERLINK("https://edmondsonsupply.com/collections/hvac/products/yellow-jacket-29985-plus-ii-60-charging-hose", "https://edmondsonsupply.com/collections/hvac/products/yellow-jacket-29985-plus-ii-60-charging-hose")</f>
        <v/>
      </c>
      <c r="B2311" s="2">
        <f>HYPERLINK("https://edmondsonsupply.com/products/yellow-jacket-29985-plus-ii-60-charging-hose", "https://edmondsonsupply.com/products/yellow-jacket-29985-plus-ii-60-charging-hose")</f>
        <v/>
      </c>
      <c r="C2311" t="inlineStr">
        <is>
          <t>Yellow Jacket 29985 PLUS II 60" Charging Hose (RYB) w/ Compact Ball Valve, 3-Pack</t>
        </is>
      </c>
      <c r="D2311" t="inlineStr">
        <is>
          <t>Yellow Jacket 29986 Plus II 1/4" Hose with Compact Ball Valve, 72" (Pack of 3)</t>
        </is>
      </c>
      <c r="E2311" s="2">
        <f>HYPERLINK("https://www.amazon.com/Yellow-Jacket-29986-Compact-Valve/dp/B0036UK0UQ/ref=sr_1_1?keywords=Yellow+Jacket+29985+PLUS+II+60%22+Charging+Hose+%28RYB%29+w%2F+Compact+Ball+Valve%2C+3-Pack&amp;qid=1694734589&amp;sr=8-1", "https://www.amazon.com/Yellow-Jacket-29986-Compact-Valve/dp/B0036UK0UQ/ref=sr_1_1?keywords=Yellow+Jacket+29985+PLUS+II+60%22+Charging+Hose+%28RYB%29+w%2F+Compact+Ball+Valve%2C+3-Pack&amp;qid=1694734589&amp;sr=8-1")</f>
        <v/>
      </c>
      <c r="F2311" t="inlineStr">
        <is>
          <t>B0036UK0UQ</t>
        </is>
      </c>
      <c r="G2311">
        <f>_xlfn.IMAGE("https://edmondsonsupply.com/cdn/shop/products/plus-ii-with-compact-ball-valve-end_daf9ff49-90e3-4782-bcfe-be83f0c422fa.jpg?v=1652142880")</f>
        <v/>
      </c>
      <c r="H2311">
        <f>_xlfn.IMAGE("https://m.media-amazon.com/images/I/81U1hYka1XL._AC_UY218_.jpg")</f>
        <v/>
      </c>
      <c r="K2311" t="inlineStr">
        <is>
          <t>139.83</t>
        </is>
      </c>
      <c r="L2311" t="n">
        <v>151.07</v>
      </c>
      <c r="M2311" s="1" t="inlineStr">
        <is>
          <t>8.04%</t>
        </is>
      </c>
      <c r="N2311" s="8" t="n">
        <v>1443.06</v>
      </c>
      <c r="O2311" t="n">
        <v>4.8</v>
      </c>
      <c r="P2311" t="n">
        <v>449</v>
      </c>
      <c r="R2311" t="inlineStr">
        <is>
          <t>InStock</t>
        </is>
      </c>
      <c r="S2311" t="inlineStr">
        <is>
          <t>undefined</t>
        </is>
      </c>
      <c r="T2311" t="inlineStr">
        <is>
          <t>2503608041572</t>
        </is>
      </c>
    </row>
    <row r="2312" hidden="1" ht="15.75" customHeight="1">
      <c r="A2312" s="2">
        <f>HYPERLINK("https://edmondsonsupply.com/collections/hvac/products/packard-trcfd3575-titan-pro-run-capacitor-35-7-5-mfd-440-370-volt-round", "https://edmondsonsupply.com/collections/hvac/products/packard-trcfd3575-titan-pro-run-capacitor-35-7-5-mfd-440-370-volt-round")</f>
        <v/>
      </c>
      <c r="B2312" s="2">
        <f>HYPERLINK("https://edmondsonsupply.com/products/packard-trcfd3575-titan-pro-run-capacitor-35-7-5-mfd-440-370-volt-round", "https://edmondsonsupply.com/products/packard-trcfd3575-titan-pro-run-capacitor-35-7-5-mfd-440-370-volt-round")</f>
        <v/>
      </c>
      <c r="C2312" t="inlineStr">
        <is>
          <t>Packard TRCFD3575 Titan PRO Run Capacitor 35+7.5 MFD 440/370 Volt Round</t>
        </is>
      </c>
      <c r="D2312" t="inlineStr">
        <is>
          <t>Packard (Ship from USA Titan PRO TOCF7.5 Run Capacitor 7.5 MFD 440/370 Volt Oval (Made in The USA) /Item#H3NG UE-EW23D210882</t>
        </is>
      </c>
      <c r="E2312" s="2">
        <f>HYPERLINK("https://www.amazon.com/Ship-TITAN-TOCF7-5-Capacitor-UE-EW23D210882/dp/B01IBV3OW0/ref=sr_1_7?keywords=Packard+TRCFD3575+Titan+PRO+Run+Capacitor+35+7.5+MFD+440%2F370+Volt+Round&amp;qid=1694734662&amp;sr=8-7", "https://www.amazon.com/Ship-TITAN-TOCF7-5-Capacitor-UE-EW23D210882/dp/B01IBV3OW0/ref=sr_1_7?keywords=Packard+TRCFD3575+Titan+PRO+Run+Capacitor+35+7.5+MFD+440%2F370+Volt+Round&amp;qid=1694734662&amp;sr=8-7")</f>
        <v/>
      </c>
      <c r="F2312" t="inlineStr">
        <is>
          <t>B01IBV3OW0</t>
        </is>
      </c>
      <c r="G2312">
        <f>_xludf.IMAGE("https://edmondsonsupply.com/cdn/shop/products/trcfd-2_xl_1.jpg?v=1633030977")</f>
        <v/>
      </c>
      <c r="H2312">
        <f>_xludf.IMAGE("https://m.media-amazon.com/images/I/31sjomcmQxL._AC_UY218_.jpg")</f>
        <v/>
      </c>
      <c r="K2312" t="inlineStr">
        <is>
          <t>8.73</t>
        </is>
      </c>
      <c r="L2312" t="n">
        <v>9.43</v>
      </c>
      <c r="M2312" s="1" t="inlineStr">
        <is>
          <t>8.02%</t>
        </is>
      </c>
      <c r="N2312" s="3" t="n">
        <v>1411.86</v>
      </c>
      <c r="O2312" t="n">
        <v>5</v>
      </c>
      <c r="P2312" t="n">
        <v>9</v>
      </c>
      <c r="R2312" t="inlineStr">
        <is>
          <t>InStock</t>
        </is>
      </c>
      <c r="S2312" t="inlineStr">
        <is>
          <t>undefined</t>
        </is>
      </c>
      <c r="T2312" t="inlineStr">
        <is>
          <t>6649855475885</t>
        </is>
      </c>
    </row>
    <row r="2313" ht="87" customHeight="1">
      <c r="A2313" s="2">
        <f>HYPERLINK("https://edmondsonsupply.com/collections/hvac/products/jb-industries-dv-200n-platinum-7-cfm-vacuum-pump", "https://edmondsonsupply.com/collections/hvac/products/jb-industries-dv-200n-platinum-7-cfm-vacuum-pump")</f>
        <v/>
      </c>
      <c r="B2313" s="2">
        <f>HYPERLINK("https://edmondsonsupply.com/products/jb-industries-dv-200n-platinum-7-cfm-vacuum-pump", "https://edmondsonsupply.com/products/jb-industries-dv-200n-platinum-7-cfm-vacuum-pump")</f>
        <v/>
      </c>
      <c r="C2313" t="inlineStr">
        <is>
          <t>JB Industries DV-200N Platinum 7 CFM Vacuum Pump</t>
        </is>
      </c>
      <c r="D2313" t="inlineStr">
        <is>
          <t>Jb 7 Cfm Platinum Series Vacuum Pump Dv-200n</t>
        </is>
      </c>
      <c r="E2313" s="2">
        <f>HYPERLINK("https://www.amazon.com/Cfm-Platinum-Vacuum-Pump-Dv-200n/dp/B082MQ7W29/ref=sr_1_2?keywords=JB+Industries+DV-200N+Platinum+7+CFM+Vacuum+Pump&amp;qid=1694734737&amp;sr=8-2", "https://www.amazon.com/Cfm-Platinum-Vacuum-Pump-Dv-200n/dp/B082MQ7W29/ref=sr_1_2?keywords=JB+Industries+DV-200N+Platinum+7+CFM+Vacuum+Pump&amp;qid=1694734737&amp;sr=8-2")</f>
        <v/>
      </c>
      <c r="F2313" t="inlineStr">
        <is>
          <t>B082MQ7W29</t>
        </is>
      </c>
      <c r="G2313">
        <f>_xlfn.IMAGE("https://edmondsonsupply.com/cdn/shop/products/dv-200n.jpg?v=1587145620")</f>
        <v/>
      </c>
      <c r="H2313">
        <f>_xlfn.IMAGE("https://m.media-amazon.com/images/I/41ksijmvvlL._AC_UL320_.jpg")</f>
        <v/>
      </c>
      <c r="K2313" t="inlineStr">
        <is>
          <t>611.21</t>
        </is>
      </c>
      <c r="L2313" t="n">
        <v>660</v>
      </c>
      <c r="M2313" s="1" t="inlineStr">
        <is>
          <t>7.98%</t>
        </is>
      </c>
      <c r="N2313" s="8" t="n">
        <v>1334.58</v>
      </c>
      <c r="O2313" t="n">
        <v>5</v>
      </c>
      <c r="P2313" t="n">
        <v>5</v>
      </c>
      <c r="R2313" t="inlineStr">
        <is>
          <t>InStock</t>
        </is>
      </c>
      <c r="S2313" t="inlineStr">
        <is>
          <t>886.79</t>
        </is>
      </c>
      <c r="T2313" t="inlineStr">
        <is>
          <t>3699353059428</t>
        </is>
      </c>
    </row>
    <row r="2314" ht="87" customHeight="1">
      <c r="A2314" s="2">
        <f>HYPERLINK("https://edmondsonsupply.com/collections/hvac/products/jb-industries-ld-5000-prowler-refrigerant-leak-detector-with-case", "https://edmondsonsupply.com/collections/hvac/products/jb-industries-ld-5000-prowler-refrigerant-leak-detector-with-case")</f>
        <v/>
      </c>
      <c r="B2314" s="2">
        <f>HYPERLINK("https://edmondsonsupply.com/products/jb-industries-ld-5000-prowler-refrigerant-leak-detector-with-case", "https://edmondsonsupply.com/products/jb-industries-ld-5000-prowler-refrigerant-leak-detector-with-case")</f>
        <v/>
      </c>
      <c r="C2314" t="inlineStr">
        <is>
          <t>JB Industries LD-5000 Prowler Electrochemical Refrigerant Leak Detector</t>
        </is>
      </c>
      <c r="D2314" t="inlineStr">
        <is>
          <t>JB Industries LD-5000 Prowler Refrigerant Leak Detector</t>
        </is>
      </c>
      <c r="E2314" s="2">
        <f>HYPERLINK("https://www.amazon.com/JB-Industries-LD-5000-Refrigerant-Detector/dp/B007BR545G/ref=sr_1_1?keywords=JB+Industries+LD-5000+Prowler+Electrochemical+Refrigerant+Leak+Detector&amp;qid=1694734656&amp;sr=8-1", "https://www.amazon.com/JB-Industries-LD-5000-Refrigerant-Detector/dp/B007BR545G/ref=sr_1_1?keywords=JB+Industries+LD-5000+Prowler+Electrochemical+Refrigerant+Leak+Detector&amp;qid=1694734656&amp;sr=8-1")</f>
        <v/>
      </c>
      <c r="F2314" t="inlineStr">
        <is>
          <t>B007BR545G</t>
        </is>
      </c>
      <c r="G2314">
        <f>_xlfn.IMAGE("https://edmondsonsupply.com/cdn/shop/products/LD-5000.jpg?v=1587143861")</f>
        <v/>
      </c>
      <c r="H2314">
        <f>_xlfn.IMAGE("https://m.media-amazon.com/images/I/7133q6nUFyL._AC_UL320_.jpg")</f>
        <v/>
      </c>
      <c r="K2314" t="inlineStr">
        <is>
          <t>454.67</t>
        </is>
      </c>
      <c r="L2314" t="n">
        <v>489.9</v>
      </c>
      <c r="M2314" s="1" t="inlineStr">
        <is>
          <t>7.75%</t>
        </is>
      </c>
      <c r="N2314" s="8" t="n">
        <v>1329.46</v>
      </c>
      <c r="O2314" t="n">
        <v>4.1</v>
      </c>
      <c r="P2314" t="n">
        <v>11</v>
      </c>
      <c r="R2314" t="inlineStr">
        <is>
          <t>InStock</t>
        </is>
      </c>
      <c r="S2314" t="inlineStr">
        <is>
          <t>615.75</t>
        </is>
      </c>
      <c r="T2314" t="inlineStr">
        <is>
          <t>3645497376868</t>
        </is>
      </c>
    </row>
    <row r="2315" ht="87" customHeight="1">
      <c r="A2315" s="2">
        <f>HYPERLINK("https://edmondsonsupply.com/collections/hvac/products/icm-controls-icm206-delay-on-break-timer-with-3-10-minute-time-delay-18-30-vac", "https://edmondsonsupply.com/collections/hvac/products/icm-controls-icm206-delay-on-break-timer-with-3-10-minute-time-delay-18-30-vac")</f>
        <v/>
      </c>
      <c r="B2315" s="2">
        <f>HYPERLINK("https://edmondsonsupply.com/products/icm-controls-icm206-delay-on-break-timer-with-3-10-minute-time-delay-18-30-vac", "https://edmondsonsupply.com/products/icm-controls-icm206-delay-on-break-timer-with-3-10-minute-time-delay-18-30-vac")</f>
        <v/>
      </c>
      <c r="C2315" t="inlineStr">
        <is>
          <t>ICM Controls ICM206 Delay on Break Timer with 3-10 Minute Time Delay, 18-30 VAC</t>
        </is>
      </c>
      <c r="D2315" t="inlineStr">
        <is>
          <t>ICM Controls ICM105 Delay-on-Make Timer with 0.03-10 Minute Adjustable Delay, Universal 18-240 VAC</t>
        </is>
      </c>
      <c r="E2315" s="2">
        <f>HYPERLINK("https://www.amazon.com/ICM-Controls-ICM105-Adjustable-Universal/dp/B00441XZXK/ref=sr_1_8?keywords=ICM+Controls+ICM206+Delay+on+Break+Timer+with+3-10+Minute+Time+Delay%2C+18-30+VAC&amp;qid=1694734573&amp;sr=8-8", "https://www.amazon.com/ICM-Controls-ICM105-Adjustable-Universal/dp/B00441XZXK/ref=sr_1_8?keywords=ICM+Controls+ICM206+Delay+on+Break+Timer+with+3-10+Minute+Time+Delay%2C+18-30+VAC&amp;qid=1694734573&amp;sr=8-8")</f>
        <v/>
      </c>
      <c r="F2315" t="inlineStr">
        <is>
          <t>B00441XZXK</t>
        </is>
      </c>
      <c r="G2315">
        <f>_xlfn.IMAGE("https://edmondsonsupply.com/cdn/shop/products/61Oa3Tbl-VL._SL1000.jpg?v=1633030862")</f>
        <v/>
      </c>
      <c r="H2315">
        <f>_xlfn.IMAGE("https://m.media-amazon.com/images/I/61Fd+ZYvG1L._AC_UL320_.jpg")</f>
        <v/>
      </c>
      <c r="K2315" t="inlineStr">
        <is>
          <t>31.79</t>
        </is>
      </c>
      <c r="L2315" t="n">
        <v>34.25</v>
      </c>
      <c r="M2315" s="1" t="inlineStr">
        <is>
          <t>7.74%</t>
        </is>
      </c>
      <c r="N2315" s="8" t="n">
        <v>1320.23</v>
      </c>
      <c r="O2315" t="n">
        <v>4.3</v>
      </c>
      <c r="P2315" t="n">
        <v>4</v>
      </c>
      <c r="R2315" t="inlineStr">
        <is>
          <t>InStock</t>
        </is>
      </c>
      <c r="S2315" t="inlineStr">
        <is>
          <t>35.74</t>
        </is>
      </c>
      <c r="T2315" t="inlineStr">
        <is>
          <t>6120854651053</t>
        </is>
      </c>
    </row>
    <row r="2316" hidden="1" ht="15.75" customHeight="1">
      <c r="A2316" s="2">
        <f>HYPERLINK("https://edmondsonsupply.com/collections/hvac/products/milwaukee-2912-22-m18-fuel%E2%84%A2-1-sds-plus-rotary-hammer-kit", "https://edmondsonsupply.com/collections/hvac/products/milwaukee-2912-22-m18-fuel%E2%84%A2-1-sds-plus-rotary-hammer-kit")</f>
        <v/>
      </c>
      <c r="B2316" s="2">
        <f>HYPERLINK("https://edmondsonsupply.com/products/milwaukee-2912-22-m18-fuel%e2%84%a2-1-sds-plus-rotary-hammer-kit", "https://edmondsonsupply.com/products/milwaukee-2912-22-m18-fuel%e2%84%a2-1-sds-plus-rotary-hammer-kit")</f>
        <v/>
      </c>
      <c r="C2316" t="inlineStr">
        <is>
          <t>Milwaukee 2912-22 M18 FUEL™ 1" SDS Plus Rotary Hammer Kit</t>
        </is>
      </c>
      <c r="D2316" t="inlineStr">
        <is>
          <t>Milwaukee 2712-22DE M18 Fuel 1" SDS Plus Rotary Hammer with De Kit</t>
        </is>
      </c>
      <c r="E2316" s="2">
        <f>HYPERLINK("https://www.amazon.com/Milwaukee-2712-22DE-Fuel-Rotary-Hammer/dp/B00PP3CX3O/ref=sr_1_2?keywords=Milwaukee+2912-22+M18+FUEL%E2%84%A2+1%22+SDS+Plus+Rotary+Hammer+Kit&amp;qid=1694734903&amp;sr=8-2", "https://www.amazon.com/Milwaukee-2712-22DE-Fuel-Rotary-Hammer/dp/B00PP3CX3O/ref=sr_1_2?keywords=Milwaukee+2912-22+M18+FUEL%E2%84%A2+1%22+SDS+Plus+Rotary+Hammer+Kit&amp;qid=1694734903&amp;sr=8-2")</f>
        <v/>
      </c>
      <c r="F2316" t="inlineStr">
        <is>
          <t>B00PP3CX3O</t>
        </is>
      </c>
      <c r="G2316">
        <f>_xludf.IMAGE("https://edmondsonsupply.com/cdn/shop/files/2912-20_1.webp?v=1686934956")</f>
        <v/>
      </c>
      <c r="H2316">
        <f>_xludf.IMAGE("https://m.media-amazon.com/images/I/618mxmdIXEL._AC_UL320_.jpg")</f>
        <v/>
      </c>
      <c r="K2316" t="inlineStr">
        <is>
          <t>599.0</t>
        </is>
      </c>
      <c r="L2316" t="n">
        <v>645</v>
      </c>
      <c r="M2316" s="1" t="inlineStr">
        <is>
          <t>7.68%</t>
        </is>
      </c>
      <c r="N2316" s="3" t="n">
        <v>1302.75</v>
      </c>
      <c r="O2316" t="n">
        <v>3.3</v>
      </c>
      <c r="P2316" t="n">
        <v>6</v>
      </c>
      <c r="R2316" t="inlineStr">
        <is>
          <t>InStock</t>
        </is>
      </c>
      <c r="S2316" t="inlineStr">
        <is>
          <t>1054.0</t>
        </is>
      </c>
      <c r="T2316" t="inlineStr">
        <is>
          <t>8006184960216</t>
        </is>
      </c>
    </row>
    <row r="2317" hidden="1" ht="15.75" customHeight="1">
      <c r="A2317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317" s="2">
        <f>HYPERLINK("https://edmondsonsupply.com/products/klein-tools-d2000-28glw-diagonal-cutting-pliers-hi-viz-8-inch", "https://edmondsonsupply.com/products/klein-tools-d2000-28glw-diagonal-cutting-pliers-hi-viz-8-inch")</f>
        <v/>
      </c>
      <c r="C2317" t="inlineStr">
        <is>
          <t>Klein Tools D200028GLW Diagonal Cutting Pliers, High-Visibility, 8-Inch</t>
        </is>
      </c>
      <c r="D2317" t="inlineStr">
        <is>
          <t>Klein Tools D528V Pliers, Diagonal Cutting Bell System Pliers with Tapered Nose and "W" and "V" Notches, 5-Inch</t>
        </is>
      </c>
      <c r="E2317" s="2">
        <f>HYPERLINK("https://www.amazon.com/Diagonal-System-Notches-Klein-D528V/dp/B00093GCKA/ref=sr_1_38?keywords=Klein+Tools+D200028GLW+Diagonal+Cutting+Pliers%2C+High-Visibility%2C+8-Inch&amp;qid=1694734781&amp;sr=8-38", "https://www.amazon.com/Diagonal-System-Notches-Klein-D528V/dp/B00093GCKA/ref=sr_1_38?keywords=Klein+Tools+D200028GLW+Diagonal+Cutting+Pliers%2C+High-Visibility%2C+8-Inch&amp;qid=1694734781&amp;sr=8-38")</f>
        <v/>
      </c>
      <c r="F2317" t="inlineStr">
        <is>
          <t>B00093GCKA</t>
        </is>
      </c>
      <c r="G2317">
        <f>_xludf.IMAGE("https://edmondsonsupply.com/cdn/shop/products/d200028glw.jpg?v=1633030701")</f>
        <v/>
      </c>
      <c r="H2317">
        <f>_xludf.IMAGE("https://m.media-amazon.com/images/I/517VrFpYSmL._AC_UL320_.jpg")</f>
        <v/>
      </c>
      <c r="K2317" t="inlineStr">
        <is>
          <t>37.49</t>
        </is>
      </c>
      <c r="L2317" t="n">
        <v>40.33</v>
      </c>
      <c r="M2317" s="1" t="inlineStr">
        <is>
          <t>7.58%</t>
        </is>
      </c>
      <c r="N2317" s="3" t="n">
        <v>1271.6</v>
      </c>
      <c r="O2317" t="n">
        <v>4</v>
      </c>
      <c r="P2317" t="n">
        <v>10</v>
      </c>
      <c r="R2317" t="inlineStr">
        <is>
          <t>InStock</t>
        </is>
      </c>
      <c r="S2317" t="inlineStr">
        <is>
          <t>56.78</t>
        </is>
      </c>
      <c r="T2317" t="inlineStr">
        <is>
          <t>5848287477928</t>
        </is>
      </c>
    </row>
    <row r="2318" ht="87" customHeight="1">
      <c r="A2318" s="2">
        <f>HYPERLINK("https://edmondsonsupply.com/collections/hvac/products/klein-tools-ir07-dual-ir-probe-thermometer", "https://edmondsonsupply.com/collections/hvac/products/klein-tools-ir07-dual-ir-probe-thermometer")</f>
        <v/>
      </c>
      <c r="B2318" s="2">
        <f>HYPERLINK("https://edmondsonsupply.com/products/klein-tools-ir07-dual-ir-probe-thermometer", "https://edmondsonsupply.com/products/klein-tools-ir07-dual-ir-probe-thermometer")</f>
        <v/>
      </c>
      <c r="C2318" t="inlineStr">
        <is>
          <t>Klein Tools IR07 Dual IR/Probe Thermometer</t>
        </is>
      </c>
      <c r="D2318" t="inlineStr">
        <is>
          <t>Klein Tools IR5 Dual Laser 12:1 Infrared Thermometer Digital Backlit</t>
        </is>
      </c>
      <c r="E2318" s="2">
        <f>HYPERLINK("https://www.amazon.com/Klein-Tools-IR5-Dual-Laser/dp/B01DR066WU/ref=sr_1_10?keywords=Klein+Tools+IR07+Dual+IR%2FProbe+Thermometer&amp;qid=1694734825&amp;sr=8-10", "https://www.amazon.com/Klein-Tools-IR5-Dual-Laser/dp/B01DR066WU/ref=sr_1_10?keywords=Klein+Tools+IR07+Dual+IR%2FProbe+Thermometer&amp;qid=1694734825&amp;sr=8-10")</f>
        <v/>
      </c>
      <c r="F2318" t="inlineStr">
        <is>
          <t>B01DR066WU</t>
        </is>
      </c>
      <c r="G2318">
        <f>_xlfn.IMAGE("https://edmondsonsupply.com/cdn/shop/products/ir07.jpg?v=1599003623")</f>
        <v/>
      </c>
      <c r="H2318">
        <f>_xlfn.IMAGE("https://m.media-amazon.com/images/I/51XCexih1QL._AC_UY218_.jpg")</f>
        <v/>
      </c>
      <c r="K2318" t="inlineStr">
        <is>
          <t>57.49</t>
        </is>
      </c>
      <c r="L2318" t="n">
        <v>61.83</v>
      </c>
      <c r="M2318" s="1" t="inlineStr">
        <is>
          <t>7.55%</t>
        </is>
      </c>
      <c r="N2318" s="8" t="n">
        <v>1271.6</v>
      </c>
      <c r="O2318" t="n">
        <v>4.6</v>
      </c>
      <c r="P2318" t="n">
        <v>1020</v>
      </c>
      <c r="R2318" t="inlineStr">
        <is>
          <t>InStock</t>
        </is>
      </c>
      <c r="S2318" t="inlineStr">
        <is>
          <t>72.06</t>
        </is>
      </c>
      <c r="T2318" t="inlineStr">
        <is>
          <t>3320746770532</t>
        </is>
      </c>
    </row>
    <row r="2319" ht="87" customHeight="1">
      <c r="A2319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2319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2319" t="inlineStr">
        <is>
          <t>Diablo Tools DMAMXCC5030 3-1/4 in. x 7 in. SDS-Max Carbide Tipped Core Bit</t>
        </is>
      </c>
      <c r="D2319" t="inlineStr">
        <is>
          <t>Diablo DMAMX1390 1-3/4 in. x 16 in. x 21 in. Rebar Demon™ SDS-Max 4-Cutter Carbide-Tipped Hammer Bit</t>
        </is>
      </c>
      <c r="E2319" s="2">
        <f>HYPERLINK("https://www.amazon.com/Diablo-DMAMX1390-SDS-Max-4-Cutter-Carbide-Tipped/dp/B089KW6C8V/ref=sr_1_6?keywords=Diablo+Tools+DMAMXCC5030+3-1%2F4+in.+x+7+in.+SDS-Max+Carbide+Tipped+Core+Bit&amp;qid=1694734916&amp;sr=8-6", "https://www.amazon.com/Diablo-DMAMX1390-SDS-Max-4-Cutter-Carbide-Tipped/dp/B089KW6C8V/ref=sr_1_6?keywords=Diablo+Tools+DMAMXCC5030+3-1%2F4+in.+x+7+in.+SDS-Max+Carbide+Tipped+Core+Bit&amp;qid=1694734916&amp;sr=8-6")</f>
        <v/>
      </c>
      <c r="F2319" t="inlineStr">
        <is>
          <t>B089KW6C8V</t>
        </is>
      </c>
      <c r="G2319">
        <f>_xlfn.IMAGE("https://edmondsonsupply.com/cdn/shop/files/gtygiwnduxetozty2qne.webp?v=1686585332")</f>
        <v/>
      </c>
      <c r="H2319">
        <f>_xlfn.IMAGE("https://m.media-amazon.com/images/I/61J-83UaGmL._AC_UL320_.jpg")</f>
        <v/>
      </c>
      <c r="K2319" t="inlineStr">
        <is>
          <t>125.99</t>
        </is>
      </c>
      <c r="L2319" t="n">
        <v>135.21</v>
      </c>
      <c r="M2319" s="1" t="inlineStr">
        <is>
          <t>7.32%</t>
        </is>
      </c>
      <c r="N2319" s="8" t="n">
        <v>1238.55</v>
      </c>
      <c r="O2319" t="n">
        <v>5</v>
      </c>
      <c r="P2319" t="n">
        <v>9</v>
      </c>
      <c r="R2319" t="inlineStr">
        <is>
          <t>InStock</t>
        </is>
      </c>
      <c r="S2319" t="inlineStr">
        <is>
          <t>201.87</t>
        </is>
      </c>
      <c r="T2319" t="inlineStr">
        <is>
          <t>8004507435224</t>
        </is>
      </c>
    </row>
    <row r="2320" ht="87" customHeight="1">
      <c r="A2320" s="2">
        <f>HYPERLINK("https://edmondsonsupply.com/collections/hvac/products/klein-tools-502-10-eins-insulated-pump-pliers-slim-handle-10-inch", "https://edmondsonsupply.com/collections/hvac/products/klein-tools-502-10-eins-insulated-pump-pliers-slim-handle-10-inch")</f>
        <v/>
      </c>
      <c r="B2320" s="2">
        <f>HYPERLINK("https://edmondsonsupply.com/products/klein-tools-502-10-eins-insulated-pump-pliers-slim-handle-10-inch", "https://edmondsonsupply.com/products/klein-tools-502-10-eins-insulated-pump-pliers-slim-handle-10-inch")</f>
        <v/>
      </c>
      <c r="C2320" t="inlineStr">
        <is>
          <t>Klein Tools 502-10-EINS Insulated Pump Pliers, Slim Handle, 10-Inch</t>
        </is>
      </c>
      <c r="D2320" t="inlineStr">
        <is>
          <t>Klein Tools 50210EINS Electrician's Insulated Pump Pliers with Slim Handle, 10-Inch</t>
        </is>
      </c>
      <c r="E2320" s="2">
        <f>HYPERLINK("https://www.amazon.com/Electricians-Insulated-Klein-Tools-502-10-EINS/dp/B00JGG5QE4/ref=sr_1_1?keywords=Klein+Tools+502-10-EINS+Insulated+Pump+Pliers%2C+Slim+Handle%2C+10-Inch&amp;qid=1694734814&amp;sr=8-1", "https://www.amazon.com/Electricians-Insulated-Klein-Tools-502-10-EINS/dp/B00JGG5QE4/ref=sr_1_1?keywords=Klein+Tools+502-10-EINS+Insulated+Pump+Pliers%2C+Slim+Handle%2C+10-Inch&amp;qid=1694734814&amp;sr=8-1")</f>
        <v/>
      </c>
      <c r="F2320" t="inlineStr">
        <is>
          <t>B00JGG5QE4</t>
        </is>
      </c>
      <c r="G2320">
        <f>_xlfn.IMAGE("https://edmondsonsupply.com/cdn/shop/products/50210eins.jpg?v=1633030819")</f>
        <v/>
      </c>
      <c r="H2320">
        <f>_xlfn.IMAGE("https://m.media-amazon.com/images/I/51NdzPzCWBL._AC_UL320_.jpg")</f>
        <v/>
      </c>
      <c r="K2320" t="inlineStr">
        <is>
          <t>59.99</t>
        </is>
      </c>
      <c r="L2320" t="n">
        <v>64.34999999999999</v>
      </c>
      <c r="M2320" s="1" t="inlineStr">
        <is>
          <t>7.27%</t>
        </is>
      </c>
      <c r="N2320" s="8" t="n">
        <v>1238.55</v>
      </c>
      <c r="O2320" t="n">
        <v>4.6</v>
      </c>
      <c r="P2320" t="n">
        <v>77</v>
      </c>
      <c r="R2320" t="inlineStr">
        <is>
          <t>InStock</t>
        </is>
      </c>
      <c r="S2320" t="inlineStr">
        <is>
          <t>87.86</t>
        </is>
      </c>
      <c r="T2320" t="inlineStr">
        <is>
          <t>6080591528109</t>
        </is>
      </c>
    </row>
    <row r="2321" ht="87" customHeight="1">
      <c r="A2321" s="2">
        <f>HYPERLINK("https://edmondsonsupply.com/collections/hvac/products/klein-tools-80028-electricians-tool-kit-28-piece", "https://edmondsonsupply.com/collections/hvac/products/klein-tools-80028-electricians-tool-kit-28-piece")</f>
        <v/>
      </c>
      <c r="B2321" s="2">
        <f>HYPERLINK("https://edmondsonsupply.com/products/klein-tools-80028-electricians-tool-kit-28-piece", "https://edmondsonsupply.com/products/klein-tools-80028-electricians-tool-kit-28-piece")</f>
        <v/>
      </c>
      <c r="C2321" t="inlineStr">
        <is>
          <t>Klein Tools 80028 Electrician's Tool Kit, 28-Piece</t>
        </is>
      </c>
      <c r="D2321" t="inlineStr">
        <is>
          <t>Klein Tools 80028 Hand Tools Kit includes Pliers, 28-Piece &amp; 32807MAG 7-in-1 Nut Driver, Magnetic Driver has SAE Hex Nut Sizes 1/4 to 9/16-Inch, Cushion Grip Handle for Added Torque</t>
        </is>
      </c>
      <c r="E2321" s="2">
        <f>HYPERLINK("https://www.amazon.com/Klein-Tools-28-Piece-32807MAG-Magnetic/dp/B09T6Z6BK9/ref=sr_1_4?keywords=Klein+Tools+80028+Electrician%27s+Tool+Kit%2C+28-Piece&amp;qid=1694734712&amp;sr=8-4", "https://www.amazon.com/Klein-Tools-28-Piece-32807MAG-Magnetic/dp/B09T6Z6BK9/ref=sr_1_4?keywords=Klein+Tools+80028+Electrician%27s+Tool+Kit%2C+28-Piece&amp;qid=1694734712&amp;sr=8-4")</f>
        <v/>
      </c>
      <c r="F2321" t="inlineStr">
        <is>
          <t>B09T6Z6BK9</t>
        </is>
      </c>
      <c r="G2321">
        <f>_xlfn.IMAGE("https://edmondsonsupply.com/cdn/shop/files/80028_d.jpg?v=1686062794")</f>
        <v/>
      </c>
      <c r="H2321">
        <f>_xlfn.IMAGE("https://m.media-amazon.com/images/I/511xo9SQ+rL._AC_UL320_.jpg")</f>
        <v/>
      </c>
      <c r="K2321" t="inlineStr">
        <is>
          <t>414.99</t>
        </is>
      </c>
      <c r="L2321" t="n">
        <v>444.96</v>
      </c>
      <c r="M2321" s="1" t="inlineStr">
        <is>
          <t>7.22%</t>
        </is>
      </c>
      <c r="N2321" s="8" t="n">
        <v>1233.84</v>
      </c>
      <c r="O2321" t="n">
        <v>5</v>
      </c>
      <c r="P2321" t="n">
        <v>1</v>
      </c>
      <c r="R2321" t="inlineStr">
        <is>
          <t>InStock</t>
        </is>
      </c>
      <c r="S2321" t="inlineStr">
        <is>
          <t>628.74</t>
        </is>
      </c>
      <c r="T2321" t="inlineStr">
        <is>
          <t>5868172214440</t>
        </is>
      </c>
    </row>
    <row r="2322" hidden="1" ht="15.75" customHeight="1">
      <c r="A2322" s="2">
        <f>HYPERLINK("https://edmondsonsupply.com/collections/hvac/products/malco-mshmlc-4-inch-c-rhex%C2%AE-dual-sided-magnetic-hex-driver", "https://edmondsonsupply.com/collections/hvac/products/malco-mshmlc-4-inch-c-rhex%C2%AE-dual-sided-magnetic-hex-driver")</f>
        <v/>
      </c>
      <c r="B2322" s="2">
        <f>HYPERLINK("https://edmondsonsupply.com/products/malco-mshmlc-4-inch-c-rhex%c2%ae-dual-sided-magnetic-hex-driver", "https://edmondsonsupply.com/products/malco-mshmlc-4-inch-c-rhex%c2%ae-dual-sided-magnetic-hex-driver")</f>
        <v/>
      </c>
      <c r="C2322" t="inlineStr">
        <is>
          <t>Malco Tools MSHMLC 4-Inch C-Rhex Cleanable, Reversible Magnetic Hex Driver, 1/4" &amp; 5/16"</t>
        </is>
      </c>
      <c r="D2322" t="inlineStr">
        <is>
          <t>Malco MSHMLC2 C-RHEX® Building Construction Series Cleanable, Reversible Magnetic Hex Driver (1/4" &amp; 5/16")</t>
        </is>
      </c>
      <c r="E2322" s="2">
        <f>HYPERLINK("https://www.amazon.com/Malco-MSHMLC2-Construction-Cleanable-Reversible/dp/B0BX77PFCY/ref=sr_1_5?keywords=Malco+Tools+MSHMLC+4-Inch+C-Rhex+Cleanable%2C+Reversible+Magnetic+Hex+Driver%2C+1%2F4%22+%26+5%2F16%22&amp;qid=1694734740&amp;sr=8-5", "https://www.amazon.com/Malco-MSHMLC2-Construction-Cleanable-Reversible/dp/B0BX77PFCY/ref=sr_1_5?keywords=Malco+Tools+MSHMLC+4-Inch+C-Rhex+Cleanable%2C+Reversible+Magnetic+Hex+Driver%2C+1%2F4%22+%26+5%2F16%22&amp;qid=1694734740&amp;sr=8-5")</f>
        <v/>
      </c>
      <c r="F2322" t="inlineStr">
        <is>
          <t>B0BX77PFCY</t>
        </is>
      </c>
      <c r="G2322">
        <f>_xludf.IMAGE("https://edmondsonsupply.com/cdn/shop/products/Malco-MSHMLC-CRHEX-Slim-Design.jpg?v=1653096554")</f>
        <v/>
      </c>
      <c r="H2322">
        <f>_xludf.IMAGE("https://m.media-amazon.com/images/I/61SpFpw6GjL._AC_UL320_.jpg")</f>
        <v/>
      </c>
      <c r="K2322" t="inlineStr">
        <is>
          <t>12.99</t>
        </is>
      </c>
      <c r="L2322" t="n">
        <v>13.91</v>
      </c>
      <c r="M2322" s="1" t="inlineStr">
        <is>
          <t>7.08%</t>
        </is>
      </c>
      <c r="N2322" s="3" t="n">
        <v>1233.84</v>
      </c>
      <c r="O2322" t="n">
        <v>2.5</v>
      </c>
      <c r="P2322" t="n">
        <v>3</v>
      </c>
      <c r="R2322" t="inlineStr">
        <is>
          <t>InStock</t>
        </is>
      </c>
      <c r="S2322" t="inlineStr">
        <is>
          <t>13.23</t>
        </is>
      </c>
      <c r="T2322" t="inlineStr">
        <is>
          <t>3680855097444</t>
        </is>
      </c>
    </row>
    <row r="2323" ht="87" customHeight="1">
      <c r="A2323" s="2">
        <f>HYPERLINK("https://edmondsonsupply.com/collections/hvac/products/robertshaw-rs8210-digital-non-programmable-thermostat-multi-stage-2-heat-1-cool", "https://edmondsonsupply.com/collections/hvac/products/robertshaw-rs8210-digital-non-programmable-thermostat-multi-stage-2-heat-1-cool")</f>
        <v/>
      </c>
      <c r="B2323" s="2">
        <f>HYPERLINK("https://edmondsonsupply.com/products/robertshaw-rs8210-digital-non-programmable-thermostat-multi-stage-2-heat-1-cool", "https://edmondsonsupply.com/products/robertshaw-rs8210-digital-non-programmable-thermostat-multi-stage-2-heat-1-cool")</f>
        <v/>
      </c>
      <c r="C2323" t="inlineStr">
        <is>
          <t>Robertshaw RS8210 Digital Non-Programmable Thermostat, Multi-Stage - 2 Heat/1 Cool</t>
        </is>
      </c>
      <c r="D2323" t="inlineStr">
        <is>
          <t>Robertshaw RS8210 Pro Series Non-Programmable Thermostat, Multi-Stage, 2 Heat / 1 Cool</t>
        </is>
      </c>
      <c r="E2323" s="2">
        <f>HYPERLINK("https://www.amazon.com/Robertshaw-Non-Programmable-Thermostat-Multi-Stage-Conventional/dp/B00U5CAN6O/ref=sr_1_1?keywords=Robertshaw+RS8210+Digital+Non-Programmable+Thermostat%2C+Multi-Stage+-+2+Heat%2F1+Cool&amp;qid=1694734572&amp;sr=8-1", "https://www.amazon.com/Robertshaw-Non-Programmable-Thermostat-Multi-Stage-Conventional/dp/B00U5CAN6O/ref=sr_1_1?keywords=Robertshaw+RS8210+Digital+Non-Programmable+Thermostat%2C+Multi-Stage+-+2+Heat%2F1+Cool&amp;qid=1694734572&amp;sr=8-1")</f>
        <v/>
      </c>
      <c r="F2323" t="inlineStr">
        <is>
          <t>B00U5CAN6O</t>
        </is>
      </c>
      <c r="G2323">
        <f>_xlfn.IMAGE("https://edmondsonsupply.com/cdn/shop/products/RS8210-RS9210.jpg?v=1633031027")</f>
        <v/>
      </c>
      <c r="H2323">
        <f>_xlfn.IMAGE("https://m.media-amazon.com/images/I/715RZLigtNL._AC_UL320_.jpg")</f>
        <v/>
      </c>
      <c r="K2323" t="inlineStr">
        <is>
          <t>38.99</t>
        </is>
      </c>
      <c r="L2323" t="n">
        <v>41.7</v>
      </c>
      <c r="M2323" s="1" t="inlineStr">
        <is>
          <t>6.95%</t>
        </is>
      </c>
      <c r="N2323" s="8" t="n">
        <v>1223.12</v>
      </c>
      <c r="O2323" t="n">
        <v>4.1</v>
      </c>
      <c r="P2323" t="n">
        <v>20</v>
      </c>
      <c r="R2323" t="inlineStr">
        <is>
          <t>InStock</t>
        </is>
      </c>
      <c r="S2323" t="inlineStr">
        <is>
          <t>72.04</t>
        </is>
      </c>
      <c r="T2323" t="inlineStr">
        <is>
          <t>6728872493229</t>
        </is>
      </c>
    </row>
    <row r="2324" ht="87" customHeight="1">
      <c r="A2324" s="2">
        <f>HYPERLINK("https://edmondsonsupply.com/collections/hvac/products/rack-a-tiers-bb1520-bumper-balls-kit", "https://edmondsonsupply.com/collections/hvac/products/rack-a-tiers-bb1520-bumper-balls-kit")</f>
        <v/>
      </c>
      <c r="B2324" s="2">
        <f>HYPERLINK("https://edmondsonsupply.com/products/rack-a-tiers-bb1520-bumper-balls-kit", "https://edmondsonsupply.com/products/rack-a-tiers-bb1520-bumper-balls-kit")</f>
        <v/>
      </c>
      <c r="C2324" t="inlineStr">
        <is>
          <t>Rack-A-Tiers BB1520 Bumper Balls Kit</t>
        </is>
      </c>
      <c r="D2324" t="inlineStr">
        <is>
          <t>Rack-A-Tiers Bumper Balls - Drill Alignment Tool 1-1/2" and 2" Kit (BB1520)</t>
        </is>
      </c>
      <c r="E2324" s="2">
        <f>HYPERLINK("https://www.amazon.com/Rack-Tiers-Bumper-Balls-Alignment/dp/B09JTWFQHT/ref=sr_1_1?keywords=Rack-A-Tiers+BB1520+Bumper+Balls+Kit&amp;qid=1694734706&amp;sr=8-1", "https://www.amazon.com/Rack-Tiers-Bumper-Balls-Alignment/dp/B09JTWFQHT/ref=sr_1_1?keywords=Rack-A-Tiers+BB1520+Bumper+Balls+Kit&amp;qid=1694734706&amp;sr=8-1")</f>
        <v/>
      </c>
      <c r="F2324" t="inlineStr">
        <is>
          <t>B09JTWFQHT</t>
        </is>
      </c>
      <c r="G2324">
        <f>_xlfn.IMAGE("https://edmondsonsupply.com/cdn/shop/products/BB1520-Bumper-Balls.png?v=1633031148")</f>
        <v/>
      </c>
      <c r="H2324">
        <f>_xlfn.IMAGE("https://m.media-amazon.com/images/I/41V-bJsX0DL._AC_UL320_.jpg")</f>
        <v/>
      </c>
      <c r="K2324" t="inlineStr">
        <is>
          <t>14.49</t>
        </is>
      </c>
      <c r="L2324" t="n">
        <v>15.49</v>
      </c>
      <c r="M2324" s="1" t="inlineStr">
        <is>
          <t>6.90%</t>
        </is>
      </c>
      <c r="N2324" s="8" t="n">
        <v>1195.42</v>
      </c>
      <c r="O2324" t="n">
        <v>4.1</v>
      </c>
      <c r="P2324" t="n">
        <v>24</v>
      </c>
      <c r="R2324" t="inlineStr">
        <is>
          <t>InStock</t>
        </is>
      </c>
      <c r="S2324" t="inlineStr">
        <is>
          <t>15.49</t>
        </is>
      </c>
      <c r="T2324" t="inlineStr">
        <is>
          <t>6895308013741</t>
        </is>
      </c>
    </row>
    <row r="2325" ht="87" customHeight="1">
      <c r="A2325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2325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2325" t="inlineStr">
        <is>
          <t>Klein Tools 60164 Professional Safety Glasses, Full Frame, Gray Lens</t>
        </is>
      </c>
      <c r="D2325" t="inlineStr">
        <is>
          <t>Klein Tools 60471 Safety Glasses, ANSI Z87.1+ Pro Full Frame Gasket Safety Glasses, Gray Lens, UV Protection, Anti-Fog, Scratch Resistant</t>
        </is>
      </c>
      <c r="E2325" s="2">
        <f>HYPERLINK("https://www.amazon.com/Klein-60471-Protection-Anti-Fog-Resistant/dp/B0B69LNT2Y/ref=sr_1_3?keywords=Klein+Tools+60164+Professional+Safety+Glasses%2C+Full+Frame%2C+Gray+Lens&amp;qid=1694734778&amp;sr=8-3", "https://www.amazon.com/Klein-60471-Protection-Anti-Fog-Resistant/dp/B0B69LNT2Y/ref=sr_1_3?keywords=Klein+Tools+60164+Professional+Safety+Glasses%2C+Full+Frame%2C+Gray+Lens&amp;qid=1694734778&amp;sr=8-3")</f>
        <v/>
      </c>
      <c r="F2325" t="inlineStr">
        <is>
          <t>B0B69LNT2Y</t>
        </is>
      </c>
      <c r="G2325">
        <f>_xlfn.IMAGE("https://edmondsonsupply.com/cdn/shop/products/60164.jpg?v=1633030851")</f>
        <v/>
      </c>
      <c r="H2325">
        <f>_xlfn.IMAGE("https://m.media-amazon.com/images/I/51z-a2tdJlL._AC_UL320_.jpg")</f>
        <v/>
      </c>
      <c r="K2325" t="inlineStr">
        <is>
          <t>14.99</t>
        </is>
      </c>
      <c r="L2325" t="n">
        <v>15.99</v>
      </c>
      <c r="M2325" s="1" t="inlineStr">
        <is>
          <t>6.67%</t>
        </is>
      </c>
      <c r="N2325" s="8" t="n">
        <v>1165.99</v>
      </c>
      <c r="O2325" t="n">
        <v>4.4</v>
      </c>
      <c r="P2325" t="n">
        <v>49</v>
      </c>
      <c r="R2325" t="inlineStr">
        <is>
          <t>InStock</t>
        </is>
      </c>
      <c r="S2325" t="inlineStr">
        <is>
          <t>20.98</t>
        </is>
      </c>
      <c r="T2325" t="inlineStr">
        <is>
          <t>6103189520557</t>
        </is>
      </c>
    </row>
    <row r="2326" ht="87" customHeight="1">
      <c r="A2326" s="2">
        <f>HYPERLINK("https://edmondsonsupply.com/collections/hvac/products/rack-a-tiers-47002-crocs-jr-needle-nose-wire-strippers", "https://edmondsonsupply.com/collections/hvac/products/rack-a-tiers-47002-crocs-jr-needle-nose-wire-strippers")</f>
        <v/>
      </c>
      <c r="B2326" s="2">
        <f>HYPERLINK("https://edmondsonsupply.com/products/rack-a-tiers-47002-crocs-jr-needle-nose-wire-strippers", "https://edmondsonsupply.com/products/rack-a-tiers-47002-crocs-jr-needle-nose-wire-strippers")</f>
        <v/>
      </c>
      <c r="C2326" t="inlineStr">
        <is>
          <t>Rack-A-Tiers 47002 Croc's Jr. Needle Nose Wire Strippers</t>
        </is>
      </c>
      <c r="D2326" t="inlineStr">
        <is>
          <t>Rack-A-Tiers Crocs Jr. - Croc's Junior Needle Nose Wire Strippers AWG #8 – #22 sizes, Heavy Duty, Ergonomic Handles, Bolt cutters, glow in the dark handles (47002)</t>
        </is>
      </c>
      <c r="E2326" s="2">
        <f>HYPERLINK("https://www.amazon.com/Rack-A-Tiers-CECOMINOD033650-47002-Crocs-Jr/dp/B00ZV4JXU8/ref=sr_1_1?keywords=Rack-A-Tiers+47002+Croc%27s+Jr.+Needle+Nose+Wire+Strippers&amp;qid=1694734651&amp;sr=8-1", "https://www.amazon.com/Rack-A-Tiers-CECOMINOD033650-47002-Crocs-Jr/dp/B00ZV4JXU8/ref=sr_1_1?keywords=Rack-A-Tiers+47002+Croc%27s+Jr.+Needle+Nose+Wire+Strippers&amp;qid=1694734651&amp;sr=8-1")</f>
        <v/>
      </c>
      <c r="F2326" t="inlineStr">
        <is>
          <t>B00ZV4JXU8</t>
        </is>
      </c>
      <c r="G2326">
        <f>_xlfn.IMAGE("https://edmondsonsupply.com/cdn/shop/products/47002-Crocs-Jr-2-1-1-1.png?v=1587142280")</f>
        <v/>
      </c>
      <c r="H2326">
        <f>_xlfn.IMAGE("https://m.media-amazon.com/images/I/41nJh9Nus8S._AC_UL320_.jpg")</f>
        <v/>
      </c>
      <c r="K2326" t="inlineStr">
        <is>
          <t>22.49</t>
        </is>
      </c>
      <c r="L2326" t="n">
        <v>23.99</v>
      </c>
      <c r="M2326" s="1" t="inlineStr">
        <is>
          <t>6.67%</t>
        </is>
      </c>
      <c r="N2326" s="8" t="n">
        <v>1143.33</v>
      </c>
      <c r="O2326" t="n">
        <v>4.5</v>
      </c>
      <c r="P2326" t="n">
        <v>252</v>
      </c>
      <c r="R2326" t="inlineStr">
        <is>
          <t>InStock</t>
        </is>
      </c>
      <c r="S2326" t="inlineStr">
        <is>
          <t>23.99</t>
        </is>
      </c>
      <c r="T2326" t="inlineStr">
        <is>
          <t>3351147577444</t>
        </is>
      </c>
    </row>
    <row r="2327" ht="87" customHeight="1">
      <c r="A2327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327" s="2">
        <f>HYPERLINK("https://edmondsonsupply.com/products/klein-tools-d2000-28glw-diagonal-cutting-pliers-hi-viz-8-inch", "https://edmondsonsupply.com/products/klein-tools-d2000-28glw-diagonal-cutting-pliers-hi-viz-8-inch")</f>
        <v/>
      </c>
      <c r="C2327" t="inlineStr">
        <is>
          <t>Klein Tools D200028GLW Diagonal Cutting Pliers, High-Visibility, 8-Inch</t>
        </is>
      </c>
      <c r="D2327" t="inlineStr">
        <is>
          <t>Klein Tools J2000-48 Pliers, Diagonal Cutting Pliers with Angled Head, Heavy-Duty to Cut ACSR, Screws, Nails, and most Hardened Wire, 8-Inch</t>
        </is>
      </c>
      <c r="E2327" s="2">
        <f>HYPERLINK("https://www.amazon.com/Klein-Tools-J2000-48-Diagonal-Cutters/dp/B0006M6Y8O/ref=sr_1_10?keywords=Klein+Tools+D200028GLW+Diagonal+Cutting+Pliers%2C+High-Visibility%2C+8-Inch&amp;qid=1694734781&amp;sr=8-10", "https://www.amazon.com/Klein-Tools-J2000-48-Diagonal-Cutters/dp/B0006M6Y8O/ref=sr_1_10?keywords=Klein+Tools+D200028GLW+Diagonal+Cutting+Pliers%2C+High-Visibility%2C+8-Inch&amp;qid=1694734781&amp;sr=8-10")</f>
        <v/>
      </c>
      <c r="F2327" t="inlineStr">
        <is>
          <t>B0006M6Y8O</t>
        </is>
      </c>
      <c r="G2327">
        <f>_xlfn.IMAGE("https://edmondsonsupply.com/cdn/shop/products/d200028glw.jpg?v=1633030701")</f>
        <v/>
      </c>
      <c r="H2327">
        <f>_xlfn.IMAGE("https://m.media-amazon.com/images/I/41ZnJLE+YFL._AC_UL320_.jpg")</f>
        <v/>
      </c>
      <c r="K2327" t="inlineStr">
        <is>
          <t>37.49</t>
        </is>
      </c>
      <c r="L2327" t="n">
        <v>39.99</v>
      </c>
      <c r="M2327" s="1" t="inlineStr">
        <is>
          <t>6.67%</t>
        </is>
      </c>
      <c r="N2327" s="8" t="n">
        <v>1143.33</v>
      </c>
      <c r="O2327" t="n">
        <v>4.8</v>
      </c>
      <c r="P2327" t="n">
        <v>1553</v>
      </c>
      <c r="R2327" t="inlineStr">
        <is>
          <t>InStock</t>
        </is>
      </c>
      <c r="S2327" t="inlineStr">
        <is>
          <t>56.78</t>
        </is>
      </c>
      <c r="T2327" t="inlineStr">
        <is>
          <t>5848287477928</t>
        </is>
      </c>
    </row>
    <row r="2328" ht="87" customHeight="1">
      <c r="A2328" s="2">
        <f>HYPERLINK("https://edmondsonsupply.com/collections/hvac/products/robertshaw-720-400-24vac-fast-opening-standing-pilot-gas-valve-150-000-btu", "https://edmondsonsupply.com/collections/hvac/products/robertshaw-720-400-24vac-fast-opening-standing-pilot-gas-valve-150-000-btu")</f>
        <v/>
      </c>
      <c r="B2328" s="2">
        <f>HYPERLINK("https://edmondsonsupply.com/products/robertshaw-720-400-24vac-fast-opening-standing-pilot-gas-valve-150-000-btu", "https://edmondsonsupply.com/products/robertshaw-720-400-24vac-fast-opening-standing-pilot-gas-valve-150-000-btu")</f>
        <v/>
      </c>
      <c r="C2328" t="inlineStr">
        <is>
          <t>Robertshaw 720-400 24VAC, Fast Opening, Standing Pilot Gas Valve, 150,000 BTU</t>
        </is>
      </c>
      <c r="D2328" t="inlineStr">
        <is>
          <t>Robertshaw Gas Valve, Fast Opening, 150,000 BtuH - 720-400</t>
        </is>
      </c>
      <c r="E2328" s="2">
        <f>HYPERLINK("https://www.amazon.com/Robertshaw-Valve-Fast-Opening-BtuH/dp/B07L5DZXRW/ref=sr_1_1?keywords=Robertshaw+720-400+24VAC%2C+Fast+Opening%2C+Standing+Pilot+Gas+Valve%2C+150%2C000+BTU&amp;qid=1694734610&amp;sr=8-1", "https://www.amazon.com/Robertshaw-Valve-Fast-Opening-BtuH/dp/B07L5DZXRW/ref=sr_1_1?keywords=Robertshaw+720-400+24VAC%2C+Fast+Opening%2C+Standing+Pilot+Gas+Valve%2C+150%2C000+BTU&amp;qid=1694734610&amp;sr=8-1")</f>
        <v/>
      </c>
      <c r="F2328" t="inlineStr">
        <is>
          <t>B07L5DZXRW</t>
        </is>
      </c>
      <c r="G2328">
        <f>_xlfn.IMAGE("https://edmondsonsupply.com/cdn/shop/products/720-400.jpg?v=1633030768")</f>
        <v/>
      </c>
      <c r="H2328">
        <f>_xlfn.IMAGE("https://m.media-amazon.com/images/I/515iHN7GdoL._AC_UY218_.jpg")</f>
        <v/>
      </c>
      <c r="K2328" t="inlineStr">
        <is>
          <t>104.08</t>
        </is>
      </c>
      <c r="L2328" t="n">
        <v>111</v>
      </c>
      <c r="M2328" s="1" t="inlineStr">
        <is>
          <t>6.65%</t>
        </is>
      </c>
      <c r="N2328" s="8" t="n">
        <v>1130.76</v>
      </c>
      <c r="O2328" t="n">
        <v>5</v>
      </c>
      <c r="P2328" t="n">
        <v>1</v>
      </c>
      <c r="R2328" t="inlineStr">
        <is>
          <t>InStock</t>
        </is>
      </c>
      <c r="S2328" t="inlineStr">
        <is>
          <t>183.04</t>
        </is>
      </c>
      <c r="T2328" t="inlineStr">
        <is>
          <t>5925305319592</t>
        </is>
      </c>
    </row>
    <row r="2329" ht="87" customHeight="1">
      <c r="A2329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329" s="2">
        <f>HYPERLINK("https://edmondsonsupply.com/products/klein-tools-d2000-28glw-diagonal-cutting-pliers-hi-viz-8-inch", "https://edmondsonsupply.com/products/klein-tools-d2000-28glw-diagonal-cutting-pliers-hi-viz-8-inch")</f>
        <v/>
      </c>
      <c r="C2329" t="inlineStr">
        <is>
          <t>Klein Tools D200028GLW Diagonal Cutting Pliers, High-Visibility, 8-Inch</t>
        </is>
      </c>
      <c r="D2329" t="inlineStr">
        <is>
          <t>Klein Tools J248-8 Pliers, Diagonal Cutting Pliers with Angeled Head, Short Jaws, High-Leverage Design, 8-Inch</t>
        </is>
      </c>
      <c r="E2329" s="2">
        <f>HYPERLINK("https://www.amazon.com/Klein-Tools-J248-8-Diagonal-Cutters-Angled/dp/B000CRY52A/ref=sr_1_7?keywords=Klein+Tools+D200028GLW+Diagonal+Cutting+Pliers%2C+High-Visibility%2C+8-Inch&amp;qid=1694734781&amp;sr=8-7", "https://www.amazon.com/Klein-Tools-J248-8-Diagonal-Cutters-Angled/dp/B000CRY52A/ref=sr_1_7?keywords=Klein+Tools+D200028GLW+Diagonal+Cutting+Pliers%2C+High-Visibility%2C+8-Inch&amp;qid=1694734781&amp;sr=8-7")</f>
        <v/>
      </c>
      <c r="F2329" t="inlineStr">
        <is>
          <t>B000CRY52A</t>
        </is>
      </c>
      <c r="G2329">
        <f>_xlfn.IMAGE("https://edmondsonsupply.com/cdn/shop/products/d200028glw.jpg?v=1633030701")</f>
        <v/>
      </c>
      <c r="H2329">
        <f>_xlfn.IMAGE("https://m.media-amazon.com/images/I/51AWyzskD+L._AC_UL320_.jpg")</f>
        <v/>
      </c>
      <c r="K2329" t="inlineStr">
        <is>
          <t>37.49</t>
        </is>
      </c>
      <c r="L2329" t="n">
        <v>39.97</v>
      </c>
      <c r="M2329" s="1" t="inlineStr">
        <is>
          <t>6.62%</t>
        </is>
      </c>
      <c r="N2329" s="8" t="n">
        <v>1128.86</v>
      </c>
      <c r="O2329" t="n">
        <v>4.9</v>
      </c>
      <c r="P2329" t="n">
        <v>488</v>
      </c>
      <c r="R2329" t="inlineStr">
        <is>
          <t>InStock</t>
        </is>
      </c>
      <c r="S2329" t="inlineStr">
        <is>
          <t>56.78</t>
        </is>
      </c>
      <c r="T2329" t="inlineStr">
        <is>
          <t>5848287477928</t>
        </is>
      </c>
    </row>
    <row r="2330" ht="87" customHeight="1">
      <c r="A2330" s="2">
        <f>HYPERLINK("https://edmondsonsupply.com/collections/hvac/products/milwaukee-2962p-22-m18-fuel%E2%84%A2-1-2-mid-torque-impact-wrench-w-pin-detent-kit", "https://edmondsonsupply.com/collections/hvac/products/milwaukee-2962p-22-m18-fuel%E2%84%A2-1-2-mid-torque-impact-wrench-w-pin-detent-kit")</f>
        <v/>
      </c>
      <c r="B2330" s="2">
        <f>HYPERLINK("https://edmondsonsupply.com/products/milwaukee-2962p-22-m18-fuel%e2%84%a2-1-2-mid-torque-impact-wrench-w-pin-detent-kit", "https://edmondsonsupply.com/products/milwaukee-2962p-22-m18-fuel%e2%84%a2-1-2-mid-torque-impact-wrench-w-pin-detent-kit")</f>
        <v/>
      </c>
      <c r="C2330" t="inlineStr">
        <is>
          <t>Milwaukee 2962P-22 M18 FUEL™ 1/2 " Mid-Torque Impact Wrench w/ Pin Detent Kit</t>
        </is>
      </c>
      <c r="D2330" t="inlineStr">
        <is>
          <t>Milwaukee 2766-22 M18 FUEL High Torque 1/2 in. Impact Wrench with Pin Detent (Kit)</t>
        </is>
      </c>
      <c r="E2330" s="2">
        <f>HYPERLINK("https://www.amazon.com/Milwaukee-276622-Torque-Impact-Wrench/dp/B076S2DV48/ref=sr_1_3?keywords=Milwaukee+2962P-22+M18+FUEL%E2%84%A2+1%2F2+%22+Mid-Torque+Impact+Wrench+w%2F+Pin+Detent+Kit&amp;qid=1694734877&amp;sr=8-3", "https://www.amazon.com/Milwaukee-276622-Torque-Impact-Wrench/dp/B076S2DV48/ref=sr_1_3?keywords=Milwaukee+2962P-22+M18+FUEL%E2%84%A2+1%2F2+%22+Mid-Torque+Impact+Wrench+w%2F+Pin+Detent+Kit&amp;qid=1694734877&amp;sr=8-3")</f>
        <v/>
      </c>
      <c r="F2330" t="inlineStr">
        <is>
          <t>B076S2DV48</t>
        </is>
      </c>
      <c r="G2330">
        <f>_xlfn.IMAGE("https://edmondsonsupply.com/cdn/shop/files/2962P-22_Kit_1.png?v=1690295413")</f>
        <v/>
      </c>
      <c r="H2330">
        <f>_xlfn.IMAGE("https://m.media-amazon.com/images/I/51nVC273wLL._AC_UL320_.jpg")</f>
        <v/>
      </c>
      <c r="K2330" t="inlineStr">
        <is>
          <t>459.0</t>
        </is>
      </c>
      <c r="L2330" t="n">
        <v>488.95</v>
      </c>
      <c r="M2330" s="1" t="inlineStr">
        <is>
          <t>6.53%</t>
        </is>
      </c>
      <c r="N2330" s="8" t="n">
        <v>1121.41</v>
      </c>
      <c r="O2330" t="n">
        <v>4.5</v>
      </c>
      <c r="P2330" t="n">
        <v>51</v>
      </c>
      <c r="R2330" t="inlineStr">
        <is>
          <t>InStock</t>
        </is>
      </c>
      <c r="S2330" t="inlineStr">
        <is>
          <t>896.0</t>
        </is>
      </c>
      <c r="T2330" t="inlineStr">
        <is>
          <t>8020489142488</t>
        </is>
      </c>
    </row>
    <row r="2331" hidden="1" ht="15.75" customHeight="1">
      <c r="A2331" s="2">
        <f>HYPERLINK("https://edmondsonsupply.com/collections/hvac/products/packard-titan-pro-trcd455-run-capacitor-45-5-mfd-370-volt-round", "https://edmondsonsupply.com/collections/hvac/products/packard-titan-pro-trcd455-run-capacitor-45-5-mfd-370-volt-round")</f>
        <v/>
      </c>
      <c r="B2331" s="2">
        <f>HYPERLINK("https://edmondsonsupply.com/products/packard-titan-pro-trcd455-run-capacitor-45-5-mfd-370-volt-round", "https://edmondsonsupply.com/products/packard-titan-pro-trcd455-run-capacitor-45-5-mfd-370-volt-round")</f>
        <v/>
      </c>
      <c r="C2331" t="inlineStr">
        <is>
          <t>Packard Titan PRO TRCD455 Run Capacitor 45+5 MFD 370 Volt, Round</t>
        </is>
      </c>
      <c r="D2331" t="inlineStr">
        <is>
          <t>PACKARD TRCD455 Titan Pro 45 MFD 370V Round Run Capacitor Replaces PRCD455 by PACKARD TRCD455 Titan Pro 45 MFD 370V Round Run Capacitor Replaces PRCD455</t>
        </is>
      </c>
      <c r="E2331" s="2">
        <f>HYPERLINK("https://www.amazon.com/PACKARD-TRCD455-Capacitor-Replaces-PRCD455/dp/B01IU7YGT0/ref=sr_1_3?keywords=Packard+Titan+PRO+TRCD455+Run+Capacitor+45%2B5+MFD+370+Volt%2C+Round&amp;qid=1694734586&amp;sr=8-3", "https://www.amazon.com/PACKARD-TRCD455-Capacitor-Replaces-PRCD455/dp/B01IU7YGT0/ref=sr_1_3?keywords=Packard+Titan+PRO+TRCD455+Run+Capacitor+45%2B5+MFD+370+Volt%2C+Round&amp;qid=1694734586&amp;sr=8-3")</f>
        <v/>
      </c>
      <c r="F2331" t="inlineStr">
        <is>
          <t>B01IU7YGT0</t>
        </is>
      </c>
      <c r="G2331">
        <f>_xludf.IMAGE("https://edmondsonsupply.com/cdn/shop/products/TRCD455-2.jpg?v=1633030398")</f>
        <v/>
      </c>
      <c r="H2331">
        <f>_xludf.IMAGE("https://m.media-amazon.com/images/I/41FHysaaRIL._AC_UY218_.jpg")</f>
        <v/>
      </c>
      <c r="K2331" t="inlineStr">
        <is>
          <t>9.39</t>
        </is>
      </c>
      <c r="L2331" t="n">
        <v>10</v>
      </c>
      <c r="M2331" s="1" t="inlineStr">
        <is>
          <t>6.50%</t>
        </is>
      </c>
      <c r="N2331" s="3" t="n">
        <v>1120.87</v>
      </c>
      <c r="O2331" t="n">
        <v>5</v>
      </c>
      <c r="P2331" t="n">
        <v>1</v>
      </c>
      <c r="R2331" t="inlineStr">
        <is>
          <t>InStock</t>
        </is>
      </c>
      <c r="S2331" t="inlineStr">
        <is>
          <t>undefined</t>
        </is>
      </c>
      <c r="T2331" t="inlineStr">
        <is>
          <t>5302371090600</t>
        </is>
      </c>
    </row>
    <row r="2332" ht="87" customHeight="1">
      <c r="A2332" s="2">
        <f>HYPERLINK("https://edmondsonsupply.com/collections/hvac/products/fluke-1587-fc-insulation-multimeter", "https://edmondsonsupply.com/collections/hvac/products/fluke-1587-fc-insulation-multimeter")</f>
        <v/>
      </c>
      <c r="B2332" s="2">
        <f>HYPERLINK("https://edmondsonsupply.com/products/fluke-1587-fc-insulation-multimeter", "https://edmondsonsupply.com/products/fluke-1587-fc-insulation-multimeter")</f>
        <v/>
      </c>
      <c r="C2332" t="inlineStr">
        <is>
          <t>Fluke 1587 FC Insulation Multimeter</t>
        </is>
      </c>
      <c r="D2332" t="inlineStr">
        <is>
          <t>Fluke 1587T Insulation Multimeter for Telecommunications Testing</t>
        </is>
      </c>
      <c r="E2332" s="2">
        <f>HYPERLINK("https://www.amazon.com/Fluke-Insulation-Multimeter-Telecommunications-Resistance/dp/B0012WTHIQ/ref=sr_1_4?keywords=Fluke+1587+FC+Insulation+Multimeter&amp;qid=1694734664&amp;sr=8-4", "https://www.amazon.com/Fluke-Insulation-Multimeter-Telecommunications-Resistance/dp/B0012WTHIQ/ref=sr_1_4?keywords=Fluke+1587+FC+Insulation+Multimeter&amp;qid=1694734664&amp;sr=8-4")</f>
        <v/>
      </c>
      <c r="F2332" t="inlineStr">
        <is>
          <t>B0012WTHIQ</t>
        </is>
      </c>
      <c r="G2332">
        <f>_xlfn.IMAGE("https://edmondsonsupply.com/cdn/shop/products/Fluke_1587_FC_True-rms_Insulation_Multimeter__1280x1006px_E_NR-20298.jpg?v=1633031188")</f>
        <v/>
      </c>
      <c r="H2332">
        <f>_xlfn.IMAGE("https://m.media-amazon.com/images/I/91ygwKv9dWL._AC_UL320_.jpg")</f>
        <v/>
      </c>
      <c r="K2332" t="inlineStr">
        <is>
          <t>929.99</t>
        </is>
      </c>
      <c r="L2332" t="n">
        <v>989.99</v>
      </c>
      <c r="M2332" s="1" t="inlineStr">
        <is>
          <t>6.45%</t>
        </is>
      </c>
      <c r="N2332" s="8" t="n">
        <v>1118.98</v>
      </c>
      <c r="O2332" t="n">
        <v>5</v>
      </c>
      <c r="P2332" t="n">
        <v>1</v>
      </c>
      <c r="R2332" t="inlineStr">
        <is>
          <t>InStock</t>
        </is>
      </c>
      <c r="S2332" t="inlineStr">
        <is>
          <t>1038.99</t>
        </is>
      </c>
      <c r="T2332" t="inlineStr">
        <is>
          <t>6925453754541</t>
        </is>
      </c>
    </row>
    <row r="2333" hidden="1" ht="15.75" customHeight="1">
      <c r="A2333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2333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2333" t="inlineStr">
        <is>
          <t>Klein Tools JTH6E14 5/16-Inch Hex Key with Journeyman T-Handle, 6-Inch</t>
        </is>
      </c>
      <c r="D2333" t="inlineStr">
        <is>
          <t>Klein Tools JTH9E14 5/16-Inch Hex Key, Journeyman T-Handle, 9-Inch</t>
        </is>
      </c>
      <c r="E2333" s="2">
        <f>HYPERLINK("https://www.amazon.com/Journeyman-T-Handle-Klein-Tools-JTH9E14/dp/B004QVAH4I/ref=sr_1_3?keywords=Klein+Tools+JTH6E14+5%2F16-Inch+Hex+Key+with+Journeyman+T-Handle%2C+6-Inch&amp;qid=1694734648&amp;sr=8-3", "https://www.amazon.com/Journeyman-T-Handle-Klein-Tools-JTH9E14/dp/B004QVAH4I/ref=sr_1_3?keywords=Klein+Tools+JTH6E14+5%2F16-Inch+Hex+Key+with+Journeyman+T-Handle%2C+6-Inch&amp;qid=1694734648&amp;sr=8-3")</f>
        <v/>
      </c>
      <c r="F2333" t="inlineStr">
        <is>
          <t>B004QVAH4I</t>
        </is>
      </c>
      <c r="G2333">
        <f>_xludf.IMAGE("https://edmondsonsupply.com/cdn/shop/products/jth6e15.jpg?v=1587148489")</f>
        <v/>
      </c>
      <c r="H2333">
        <f>_xludf.IMAGE("https://m.media-amazon.com/images/I/51Yb8h41vLL._AC_UL320_.jpg")</f>
        <v/>
      </c>
      <c r="K2333" t="inlineStr">
        <is>
          <t>6.99</t>
        </is>
      </c>
      <c r="L2333" t="n">
        <v>7.44</v>
      </c>
      <c r="M2333" s="1" t="inlineStr">
        <is>
          <t>6.44%</t>
        </is>
      </c>
      <c r="N2333" s="3" t="n">
        <v>1107.27</v>
      </c>
      <c r="O2333" t="n">
        <v>4.8</v>
      </c>
      <c r="P2333" t="n">
        <v>114</v>
      </c>
      <c r="R2333" t="inlineStr">
        <is>
          <t>InStock</t>
        </is>
      </c>
      <c r="S2333" t="inlineStr">
        <is>
          <t>10.5</t>
        </is>
      </c>
      <c r="T2333" t="inlineStr">
        <is>
          <t>3694843822180</t>
        </is>
      </c>
    </row>
    <row r="2334" ht="87" customHeight="1">
      <c r="A2334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334" s="2">
        <f>HYPERLINK("https://edmondsonsupply.com/products/klein-tools-32314-14-in-1-precision-screwdriver-nut-driver", "https://edmondsonsupply.com/products/klein-tools-32314-14-in-1-precision-screwdriver-nut-driver")</f>
        <v/>
      </c>
      <c r="C2334" t="inlineStr">
        <is>
          <t>Klein Tools 32314 14-in-1 Precision Screwdriver/ Nut Driver</t>
        </is>
      </c>
      <c r="D2334" t="inlineStr">
        <is>
          <t>Klein Tools 32560 Multi-Bit Screwdriver / Nut Driver, Extended Reach 6-in-1 Tool with Phillips, Slotted and Square Bits and Nut Drivers</t>
        </is>
      </c>
      <c r="E2334" s="2">
        <f>HYPERLINK("https://www.amazon.com/Extended-Screwdriver-Klein-Tools-32560/dp/B005FQDHF4/ref=sr_1_46?keywords=Klein+Tools+32314+14-in-1+Precision+Screwdriver%2F+Nut+Driver&amp;qid=1694734697&amp;sr=8-46", "https://www.amazon.com/Extended-Screwdriver-Klein-Tools-32560/dp/B005FQDHF4/ref=sr_1_46?keywords=Klein+Tools+32314+14-in-1+Precision+Screwdriver%2F+Nut+Driver&amp;qid=1694734697&amp;sr=8-46")</f>
        <v/>
      </c>
      <c r="F2334" t="inlineStr">
        <is>
          <t>B005FQDHF4</t>
        </is>
      </c>
      <c r="G2334">
        <f>_xlfn.IMAGE("https://edmondsonsupply.com/cdn/shop/products/32314.jpg?v=1646593726")</f>
        <v/>
      </c>
      <c r="H2334">
        <f>_xlfn.IMAGE("https://m.media-amazon.com/images/I/516UhfUKmUL._AC_UL320_.jpg")</f>
        <v/>
      </c>
      <c r="K2334" t="inlineStr">
        <is>
          <t>15.97</t>
        </is>
      </c>
      <c r="L2334" t="n">
        <v>16.99</v>
      </c>
      <c r="M2334" s="1" t="inlineStr">
        <is>
          <t>6.39%</t>
        </is>
      </c>
      <c r="N2334" s="8" t="n">
        <v>1083.25</v>
      </c>
      <c r="O2334" t="n">
        <v>4.8</v>
      </c>
      <c r="P2334" t="n">
        <v>679</v>
      </c>
      <c r="R2334" t="inlineStr">
        <is>
          <t>InStock</t>
        </is>
      </c>
      <c r="S2334" t="inlineStr">
        <is>
          <t>22.38</t>
        </is>
      </c>
      <c r="T2334" t="inlineStr">
        <is>
          <t>7626984947928</t>
        </is>
      </c>
    </row>
    <row r="2335" hidden="1" ht="15.75" customHeight="1">
      <c r="A2335" s="2">
        <f>HYPERLINK("https://edmondsonsupply.com/collections/hvac/products/nu-calgon-4050-05-easyseal-ultimate-ss-ac-leak-sealant", "https://edmondsonsupply.com/collections/hvac/products/nu-calgon-4050-05-easyseal-ultimate-ss-ac-leak-sealant")</f>
        <v/>
      </c>
      <c r="B2335" s="2">
        <f>HYPERLINK("https://edmondsonsupply.com/products/nu-calgon-4050-05-easyseal-ultimate-ss-ac-leak-sealant", "https://edmondsonsupply.com/products/nu-calgon-4050-05-easyseal-ultimate-ss-ac-leak-sealant")</f>
        <v/>
      </c>
      <c r="C2335" t="inlineStr">
        <is>
          <t>Nu-Calgon 4050-05 EasySeal Ultimate-SS AC Leak Sealant</t>
        </is>
      </c>
      <c r="D2335" t="inlineStr">
        <is>
          <t>Nu-Calgon 4050-05 (0.1 oz. Vessel) EasySeal Ultimate SS</t>
        </is>
      </c>
      <c r="E2335" s="2">
        <f>HYPERLINK("https://www.amazon.com/Nu-Calgon-4050-05-EasySeal-SS-Refrigerant-Fractional/dp/B014T2K8WO/ref=sr_1_7?keywords=Nu-Calgon+4050-05+EasySeal+Ultimate-SS+AC+Leak+Sealant&amp;qid=1694734657&amp;sr=8-7", "https://www.amazon.com/Nu-Calgon-4050-05-EasySeal-SS-Refrigerant-Fractional/dp/B014T2K8WO/ref=sr_1_7?keywords=Nu-Calgon+4050-05+EasySeal+Ultimate-SS+AC+Leak+Sealant&amp;qid=1694734657&amp;sr=8-7")</f>
        <v/>
      </c>
      <c r="F2335" t="inlineStr">
        <is>
          <t>B014T2K8WO</t>
        </is>
      </c>
      <c r="G2335">
        <f>_xludf.IMAGE("https://edmondsonsupply.com/cdn/shop/products/4050-05a.jpg?v=1658965880")</f>
        <v/>
      </c>
      <c r="H2335">
        <f>_xludf.IMAGE("https://m.media-amazon.com/images/I/71Kg73kPLyL._AC_UL320_.jpg")</f>
        <v/>
      </c>
      <c r="K2335" t="inlineStr">
        <is>
          <t>52.99</t>
        </is>
      </c>
      <c r="L2335" t="n">
        <v>56.35</v>
      </c>
      <c r="M2335" s="1" t="inlineStr">
        <is>
          <t>6.34%</t>
        </is>
      </c>
      <c r="N2335" s="3" t="n">
        <v>1080.52</v>
      </c>
      <c r="O2335" t="n">
        <v>3.7</v>
      </c>
      <c r="P2335" t="n">
        <v>24</v>
      </c>
      <c r="R2335" t="inlineStr">
        <is>
          <t>InStock</t>
        </is>
      </c>
      <c r="S2335" t="inlineStr">
        <is>
          <t>76.78</t>
        </is>
      </c>
      <c r="T2335" t="inlineStr">
        <is>
          <t>7763518062808</t>
        </is>
      </c>
    </row>
    <row r="2336" ht="87" customHeight="1">
      <c r="A2336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2336" s="2">
        <f>HYPERLINK("https://edmondsonsupply.com/products/klein-tools-32535-10-in-1-10-fold-screwdriver-nut-driver", "https://edmondsonsupply.com/products/klein-tools-32535-10-in-1-10-fold-screwdriver-nut-driver")</f>
        <v/>
      </c>
      <c r="C2336" t="inlineStr">
        <is>
          <t>Klein Tools 32535 10-in-1 10 Fold Screwdriver / Nut Driver</t>
        </is>
      </c>
      <c r="D2336" t="inlineStr">
        <is>
          <t>Klein Tools 32534 10 Fold Screwdriver with Schrader Valve Core</t>
        </is>
      </c>
      <c r="E2336" s="2">
        <f>HYPERLINK("https://www.amazon.com/Klein-Tools-10-Fold-Screwdriver-Schrader/dp/B007OX62QM/ref=sr_1_5?keywords=Klein+Tools+32535+10-in-1+10+Fold+Screwdriver+%2F+Nut+Driver&amp;qid=1694734776&amp;sr=8-5", "https://www.amazon.com/Klein-Tools-10-Fold-Screwdriver-Schrader/dp/B007OX62QM/ref=sr_1_5?keywords=Klein+Tools+32535+10-in-1+10+Fold+Screwdriver+%2F+Nut+Driver&amp;qid=1694734776&amp;sr=8-5")</f>
        <v/>
      </c>
      <c r="F2336" t="inlineStr">
        <is>
          <t>B007OX62QM</t>
        </is>
      </c>
      <c r="G2336">
        <f>_xlfn.IMAGE("https://edmondsonsupply.com/cdn/shop/products/32535.jpg?v=1633030894")</f>
        <v/>
      </c>
      <c r="H2336">
        <f>_xlfn.IMAGE("https://m.media-amazon.com/images/I/51VSZEBhlgL._AC_UL320_.jpg")</f>
        <v/>
      </c>
      <c r="K2336" t="inlineStr">
        <is>
          <t>29.99</t>
        </is>
      </c>
      <c r="L2336" t="n">
        <v>31.89</v>
      </c>
      <c r="M2336" s="1" t="inlineStr">
        <is>
          <t>6.34%</t>
        </is>
      </c>
      <c r="N2336" s="8" t="n">
        <v>1078.49</v>
      </c>
      <c r="O2336" t="n">
        <v>4.6</v>
      </c>
      <c r="P2336" t="n">
        <v>153</v>
      </c>
      <c r="R2336" t="inlineStr">
        <is>
          <t>InStock</t>
        </is>
      </c>
      <c r="S2336" t="inlineStr">
        <is>
          <t>45.36</t>
        </is>
      </c>
      <c r="T2336" t="inlineStr">
        <is>
          <t>6224651485357</t>
        </is>
      </c>
    </row>
    <row r="2337" ht="87" customHeight="1">
      <c r="A2337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337" s="2">
        <f>HYPERLINK("https://edmondsonsupply.com/products/klein-tools-32314-14-in-1-precision-screwdriver-nut-driver", "https://edmondsonsupply.com/products/klein-tools-32314-14-in-1-precision-screwdriver-nut-driver")</f>
        <v/>
      </c>
      <c r="C2337" t="inlineStr">
        <is>
          <t>Klein Tools 32314 14-in-1 Precision Screwdriver/ Nut Driver</t>
        </is>
      </c>
      <c r="D2337" t="inlineStr">
        <is>
          <t>Klein Tools 32308 Multi-bit Stubby Screwdriver, Impact Rated 8-in-1 Adjustable Magnetic Tool with Phillips, Slotted, Square and Nut Driver</t>
        </is>
      </c>
      <c r="E2337" s="2">
        <f>HYPERLINK("https://www.amazon.com/Klein-Tools-Evaporative-Performance-Protection/dp/B08KFNDBRW/ref=sr_1_37?keywords=Klein+Tools+32314+14-in-1+Precision+Screwdriver%2F+Nut+Driver&amp;qid=1694734697&amp;sr=8-37", "https://www.amazon.com/Klein-Tools-Evaporative-Performance-Protection/dp/B08KFNDBRW/ref=sr_1_37?keywords=Klein+Tools+32314+14-in-1+Precision+Screwdriver%2F+Nut+Driver&amp;qid=1694734697&amp;sr=8-37")</f>
        <v/>
      </c>
      <c r="F2337" t="inlineStr">
        <is>
          <t>B08KFNDBRW</t>
        </is>
      </c>
      <c r="G2337">
        <f>_xlfn.IMAGE("https://edmondsonsupply.com/cdn/shop/products/32314.jpg?v=1646593726")</f>
        <v/>
      </c>
      <c r="H2337">
        <f>_xlfn.IMAGE("https://m.media-amazon.com/images/I/61qTHFhrhZL._AC_UL320_.jpg")</f>
        <v/>
      </c>
      <c r="K2337" t="inlineStr">
        <is>
          <t>15.97</t>
        </is>
      </c>
      <c r="L2337" t="n">
        <v>16.97</v>
      </c>
      <c r="M2337" s="1" t="inlineStr">
        <is>
          <t>6.26%</t>
        </is>
      </c>
      <c r="N2337" s="8" t="n">
        <v>1044.35</v>
      </c>
      <c r="O2337" t="n">
        <v>4.7</v>
      </c>
      <c r="P2337" t="n">
        <v>5219</v>
      </c>
      <c r="R2337" t="inlineStr">
        <is>
          <t>InStock</t>
        </is>
      </c>
      <c r="S2337" t="inlineStr">
        <is>
          <t>22.38</t>
        </is>
      </c>
      <c r="T2337" t="inlineStr">
        <is>
          <t>7626984947928</t>
        </is>
      </c>
    </row>
    <row r="2338" ht="87" customHeight="1">
      <c r="A2338" s="2">
        <f>HYPERLINK("https://edmondsonsupply.com/collections/hvac/products/white-rodgers-21d64-2-hotrod%E2%84%A2-120v-nitride-universal-hot-surface-ignitor", "https://edmondsonsupply.com/collections/hvac/products/white-rodgers-21d64-2-hotrod%E2%84%A2-120v-nitride-universal-hot-surface-ignitor")</f>
        <v/>
      </c>
      <c r="B2338" s="2">
        <f>HYPERLINK("https://edmondsonsupply.com/products/white-rodgers-21d64-2-hotrod%e2%84%a2-120v-nitride-universal-hot-surface-ignitor", "https://edmondsonsupply.com/products/white-rodgers-21d64-2-hotrod%e2%84%a2-120v-nitride-universal-hot-surface-ignitor")</f>
        <v/>
      </c>
      <c r="C2338" t="inlineStr">
        <is>
          <t>White-Rodgers 21D64-2 HotRod™ 120V Nitride Universal Hot Surface Ignitor</t>
        </is>
      </c>
      <c r="D2338" t="inlineStr">
        <is>
          <t>White Rodgers 21D64-2 Universal Silicon Nitride Hot Surface Igniter</t>
        </is>
      </c>
      <c r="E2338" s="2">
        <f>HYPERLINK("https://www.amazon.com/White-Rodgers-21D64-2-Universal-Silicon/dp/B00BTLLJ40/ref=sr_1_2?keywords=White-Rodgers+21D64-2+HotRod%E2%84%A2+120V+Nitride+Universal+Hot+Surface+Ignitor&amp;qid=1694734785&amp;sr=8-2", "https://www.amazon.com/White-Rodgers-21D64-2-Universal-Silicon/dp/B00BTLLJ40/ref=sr_1_2?keywords=White-Rodgers+21D64-2+HotRod%E2%84%A2+120V+Nitride+Universal+Hot+Surface+Ignitor&amp;qid=1694734785&amp;sr=8-2")</f>
        <v/>
      </c>
      <c r="F2338" t="inlineStr">
        <is>
          <t>B00BTLLJ40</t>
        </is>
      </c>
      <c r="G2338">
        <f>_xlfn.IMAGE("https://edmondsonsupply.com/cdn/shop/products/21d64-2.png?v=1649028076")</f>
        <v/>
      </c>
      <c r="H2338">
        <f>_xlfn.IMAGE("https://m.media-amazon.com/images/I/71bXfIO696L._AC_UL320_.jpg")</f>
        <v/>
      </c>
      <c r="K2338" t="inlineStr">
        <is>
          <t>30.07</t>
        </is>
      </c>
      <c r="L2338" t="n">
        <v>31.93</v>
      </c>
      <c r="M2338" s="1" t="inlineStr">
        <is>
          <t>6.19%</t>
        </is>
      </c>
      <c r="N2338" s="8" t="n">
        <v>1031.77</v>
      </c>
      <c r="O2338" t="n">
        <v>4.6</v>
      </c>
      <c r="P2338" t="n">
        <v>226</v>
      </c>
      <c r="R2338" t="inlineStr">
        <is>
          <t>InStock</t>
        </is>
      </c>
      <c r="S2338" t="inlineStr">
        <is>
          <t>68.74</t>
        </is>
      </c>
      <c r="T2338" t="inlineStr">
        <is>
          <t>5756900507816</t>
        </is>
      </c>
    </row>
    <row r="2339" ht="87" customHeight="1">
      <c r="A2339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339" s="2">
        <f>HYPERLINK("https://edmondsonsupply.com/products/klein-tools-d2000-28glw-diagonal-cutting-pliers-hi-viz-8-inch", "https://edmondsonsupply.com/products/klein-tools-d2000-28glw-diagonal-cutting-pliers-hi-viz-8-inch")</f>
        <v/>
      </c>
      <c r="C2339" t="inlineStr">
        <is>
          <t>Klein Tools D200028GLW Diagonal Cutting Pliers, High-Visibility, 8-Inch</t>
        </is>
      </c>
      <c r="D2339" t="inlineStr">
        <is>
          <t>Klein Tools J2000-59 Pliers, Diagonal Cutting Journeyman Pliers with High-Leverage Design, Larger Head and Extra Long Blades, 9-Inch</t>
        </is>
      </c>
      <c r="E2339" s="2">
        <f>HYPERLINK("https://www.amazon.com/Journeyman-Diagonal-Cut-Klein-Tools-J2000-59/dp/B075XG1DFD/ref=sr_1_18?keywords=Klein+Tools+D200028GLW+Diagonal+Cutting+Pliers%2C+High-Visibility%2C+8-Inch&amp;qid=1694734781&amp;sr=8-18", "https://www.amazon.com/Journeyman-Diagonal-Cut-Klein-Tools-J2000-59/dp/B075XG1DFD/ref=sr_1_18?keywords=Klein+Tools+D200028GLW+Diagonal+Cutting+Pliers%2C+High-Visibility%2C+8-Inch&amp;qid=1694734781&amp;sr=8-18")</f>
        <v/>
      </c>
      <c r="F2339" t="inlineStr">
        <is>
          <t>B075XG1DFD</t>
        </is>
      </c>
      <c r="G2339">
        <f>_xlfn.IMAGE("https://edmondsonsupply.com/cdn/shop/products/d200028glw.jpg?v=1633030701")</f>
        <v/>
      </c>
      <c r="H2339">
        <f>_xlfn.IMAGE("https://m.media-amazon.com/images/I/41d2z7PlSnL._AC_UL320_.jpg")</f>
        <v/>
      </c>
      <c r="K2339" t="inlineStr">
        <is>
          <t>37.49</t>
        </is>
      </c>
      <c r="L2339" t="n">
        <v>39.77</v>
      </c>
      <c r="M2339" s="1" t="inlineStr">
        <is>
          <t>6.08%</t>
        </is>
      </c>
      <c r="N2339" s="8" t="n">
        <v>1026.28</v>
      </c>
      <c r="O2339" t="n">
        <v>4.7</v>
      </c>
      <c r="P2339" t="n">
        <v>491</v>
      </c>
      <c r="R2339" t="inlineStr">
        <is>
          <t>InStock</t>
        </is>
      </c>
      <c r="S2339" t="inlineStr">
        <is>
          <t>56.78</t>
        </is>
      </c>
      <c r="T2339" t="inlineStr">
        <is>
          <t>5848287477928</t>
        </is>
      </c>
    </row>
    <row r="2340" hidden="1" ht="15.75" customHeight="1">
      <c r="A2340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2340" s="2">
        <f>HYPERLINK("https://edmondsonsupply.com/products/packard-prmj270-motor-start-capacitor-270-324-mfd-330-vac", "https://edmondsonsupply.com/products/packard-prmj270-motor-start-capacitor-270-324-mfd-330-vac")</f>
        <v/>
      </c>
      <c r="C2340" t="inlineStr">
        <is>
          <t>Packard PRMJ270 Motor Start Capacitor 270-324 MFD 330 VAC</t>
        </is>
      </c>
      <c r="D2340" t="inlineStr">
        <is>
          <t>Canamax Premium 270-324 uf/MFD 330 VAC Round Start Capacitor 50/60 Hz AC Electric - Lot -1 - Compatible for Air Conditioner or Heat Pump Condenser</t>
        </is>
      </c>
      <c r="E2340" s="2">
        <f>HYPERLINK("https://www.amazon.com/Canamax-Premium-270-324-Capacitor-Electric/dp/B0B281LFFL/ref=sr_1_14?keywords=Packard+PRMJ270+Motor+Start+Capacitor+270-324+MFD+330+VAC&amp;qid=1694734674&amp;sr=8-14", "https://www.amazon.com/Canamax-Premium-270-324-Capacitor-Electric/dp/B0B281LFFL/ref=sr_1_14?keywords=Packard+PRMJ270+Motor+Start+Capacitor+270-324+MFD+330+VAC&amp;qid=1694734674&amp;sr=8-14")</f>
        <v/>
      </c>
      <c r="F2340" t="inlineStr">
        <is>
          <t>B0B281LFFL</t>
        </is>
      </c>
      <c r="G2340">
        <f>_xludf.IMAGE("https://edmondsonsupply.com/cdn/shop/products/PRMJ270-2.jpg?v=1633030164")</f>
        <v/>
      </c>
      <c r="H2340">
        <f>_xludf.IMAGE("https://m.media-amazon.com/images/I/71t0396BaVL._AC_UY218_.jpg")</f>
        <v/>
      </c>
      <c r="K2340" t="inlineStr">
        <is>
          <t>10.37</t>
        </is>
      </c>
      <c r="L2340" t="n">
        <v>10.99</v>
      </c>
      <c r="M2340" s="1" t="inlineStr">
        <is>
          <t>5.98%</t>
        </is>
      </c>
      <c r="N2340" s="3" t="n">
        <v>1014.72</v>
      </c>
      <c r="O2340" t="n">
        <v>4.6</v>
      </c>
      <c r="P2340" t="n">
        <v>13</v>
      </c>
      <c r="R2340" t="inlineStr">
        <is>
          <t>InStock</t>
        </is>
      </c>
      <c r="S2340" t="inlineStr">
        <is>
          <t>undefined</t>
        </is>
      </c>
      <c r="T2340" t="inlineStr">
        <is>
          <t>4298743185508</t>
        </is>
      </c>
    </row>
    <row r="2341" hidden="1" ht="15.75" customHeight="1">
      <c r="A2341" s="2">
        <f>HYPERLINK("https://edmondsonsupply.com/collections/hvac/products/uniweld-70022", "https://edmondsonsupply.com/collections/hvac/products/uniweld-70022")</f>
        <v/>
      </c>
      <c r="B2341" s="2">
        <f>HYPERLINK("https://edmondsonsupply.com/products/uniweld-70022", "https://edmondsonsupply.com/products/uniweld-70022")</f>
        <v/>
      </c>
      <c r="C2341" t="inlineStr">
        <is>
          <t>Uniweld 70022 Ratchet Service Wrench+</t>
        </is>
      </c>
      <c r="D2341" t="inlineStr">
        <is>
          <t>Uniweld DHW316 Dual 3/16" &amp; 5/16" Hex Key Adapter for Service Ratcheting Wrench</t>
        </is>
      </c>
      <c r="E2341" s="2">
        <f>HYPERLINK("https://www.amazon.com/Uniweld-DHW316/dp/B00ECC6DR6/ref=sr_1_2?keywords=Uniweld+70022+Ratchet+Service+Wrench&amp;qid=1694734692&amp;sr=8-2", "https://www.amazon.com/Uniweld-DHW316/dp/B00ECC6DR6/ref=sr_1_2?keywords=Uniweld+70022+Ratchet+Service+Wrench&amp;qid=1694734692&amp;sr=8-2")</f>
        <v/>
      </c>
      <c r="F2341" t="inlineStr">
        <is>
          <t>B00ECC6DR6</t>
        </is>
      </c>
      <c r="G2341">
        <f>_xludf.IMAGE("https://edmondsonsupply.com/cdn/shop/products/70022_pkg.jpg?v=1656082349")</f>
        <v/>
      </c>
      <c r="H2341">
        <f>_xludf.IMAGE("https://m.media-amazon.com/images/I/61AUWm45d4L._AC_UL320_.jpg")</f>
        <v/>
      </c>
      <c r="K2341" t="inlineStr">
        <is>
          <t>13.39</t>
        </is>
      </c>
      <c r="L2341" t="n">
        <v>14.19</v>
      </c>
      <c r="M2341" s="1" t="inlineStr">
        <is>
          <t>5.97%</t>
        </is>
      </c>
      <c r="N2341" s="3" t="n">
        <v>1014.72</v>
      </c>
      <c r="O2341" t="n">
        <v>3.9</v>
      </c>
      <c r="P2341" t="n">
        <v>26</v>
      </c>
      <c r="R2341" t="inlineStr">
        <is>
          <t>InStock</t>
        </is>
      </c>
      <c r="S2341" t="inlineStr">
        <is>
          <t>18.02</t>
        </is>
      </c>
      <c r="T2341" t="inlineStr">
        <is>
          <t>7729278386392</t>
        </is>
      </c>
    </row>
    <row r="2342" ht="87" customHeight="1">
      <c r="A2342" s="2">
        <f>HYPERLINK("https://edmondsonsupply.com/collections/hvac/products/icm-controls-icm275-fan-blower-control-board-replacement-for-carrier-robertshaw", "https://edmondsonsupply.com/collections/hvac/products/icm-controls-icm275-fan-blower-control-board-replacement-for-carrier-robertshaw")</f>
        <v/>
      </c>
      <c r="B2342" s="2">
        <f>HYPERLINK("https://edmondsonsupply.com/products/icm-controls-icm275-fan-blower-control-board-replacement-for-carrier-robertshaw", "https://edmondsonsupply.com/products/icm-controls-icm275-fan-blower-control-board-replacement-for-carrier-robertshaw")</f>
        <v/>
      </c>
      <c r="C2342" t="inlineStr">
        <is>
          <t>ICM Controls ICM275 Fan Blower Control Board - Replacement for Carrier/Robertshaw</t>
        </is>
      </c>
      <c r="D2342" t="inlineStr">
        <is>
          <t>ICM Controls ICM275 Fan Blower Control Replacement for OEM Models Including Carrier CES0110019 and HH84AA-x Series Control Boards</t>
        </is>
      </c>
      <c r="E2342" s="2">
        <f>HYPERLINK("https://www.amazon.com/ICM-Controls-ICM275-Replacement-CES0110019/dp/B007HOJ82I/ref=sr_1_1?keywords=ICM+Controls+ICM275+Fan+Blower+Control+Board+-+Replacement+for+Carrier%2FRobertshaw&amp;qid=1694734690&amp;sr=8-1", "https://www.amazon.com/ICM-Controls-ICM275-Replacement-CES0110019/dp/B007HOJ82I/ref=sr_1_1?keywords=ICM+Controls+ICM275+Fan+Blower+Control+Board+-+Replacement+for+Carrier%2FRobertshaw&amp;qid=1694734690&amp;sr=8-1")</f>
        <v/>
      </c>
      <c r="F2342" t="inlineStr">
        <is>
          <t>B007HOJ82I</t>
        </is>
      </c>
      <c r="G2342">
        <f>_xlfn.IMAGE("https://edmondsonsupply.com/cdn/shop/products/275.png?v=1664540893")</f>
        <v/>
      </c>
      <c r="H2342">
        <f>_xlfn.IMAGE("https://m.media-amazon.com/images/I/615i4J8CinL._AC_UL320_.jpg")</f>
        <v/>
      </c>
      <c r="K2342" t="inlineStr">
        <is>
          <t>75.39</t>
        </is>
      </c>
      <c r="L2342" t="n">
        <v>79.89</v>
      </c>
      <c r="M2342" s="1" t="inlineStr">
        <is>
          <t>5.97%</t>
        </is>
      </c>
      <c r="N2342" s="7" t="n">
        <v>997.26</v>
      </c>
      <c r="O2342" t="n">
        <v>4.4</v>
      </c>
      <c r="P2342" t="n">
        <v>55</v>
      </c>
      <c r="R2342" t="inlineStr">
        <is>
          <t>InStock</t>
        </is>
      </c>
      <c r="S2342" t="inlineStr">
        <is>
          <t>103.56</t>
        </is>
      </c>
      <c r="T2342" t="inlineStr">
        <is>
          <t>7834777125080</t>
        </is>
      </c>
    </row>
    <row r="2343" ht="87" customHeight="1">
      <c r="A2343" s="2">
        <f>HYPERLINK("https://edmondsonsupply.com/collections/hvac/products/icm-controls-icm325a-low-ambient-head-pressure-control", "https://edmondsonsupply.com/collections/hvac/products/icm-controls-icm325a-low-ambient-head-pressure-control")</f>
        <v/>
      </c>
      <c r="B2343" s="2">
        <f>HYPERLINK("https://edmondsonsupply.com/products/icm-controls-icm325a-low-ambient-head-pressure-control", "https://edmondsonsupply.com/products/icm-controls-icm325a-low-ambient-head-pressure-control")</f>
        <v/>
      </c>
      <c r="C2343" t="inlineStr">
        <is>
          <t>ICM Controls ICM325A Low Ambient Head Pressure Control</t>
        </is>
      </c>
      <c r="D2343" t="inlineStr">
        <is>
          <t>ICM Controls ICM325HN Low Ambient Head Pressure Control, Output 120-480 VAC, Temperature Input</t>
        </is>
      </c>
      <c r="E2343" s="2">
        <f>HYPERLINK("https://www.amazon.com/ICM-Controls-ICM325HN-Pressure-Temperature/dp/B003U4JG5I/ref=sr_1_5?keywords=ICM+Controls+ICM325A+Low+Ambient+Head+Pressure+Control&amp;qid=1694734748&amp;sr=8-5", "https://www.amazon.com/ICM-Controls-ICM325HN-Pressure-Temperature/dp/B003U4JG5I/ref=sr_1_5?keywords=ICM+Controls+ICM325A+Low+Ambient+Head+Pressure+Control&amp;qid=1694734748&amp;sr=8-5")</f>
        <v/>
      </c>
      <c r="F2343" t="inlineStr">
        <is>
          <t>B003U4JG5I</t>
        </is>
      </c>
      <c r="G2343">
        <f>_xlfn.IMAGE("https://edmondsonsupply.com/cdn/shop/files/icm325.png?v=1684274593")</f>
        <v/>
      </c>
      <c r="H2343">
        <f>_xlfn.IMAGE("https://m.media-amazon.com/images/I/61hN8SbAvCL._AC_UL320_.jpg")</f>
        <v/>
      </c>
      <c r="K2343" t="inlineStr">
        <is>
          <t>153.19</t>
        </is>
      </c>
      <c r="L2343" t="n">
        <v>162.11</v>
      </c>
      <c r="M2343" s="1" t="inlineStr">
        <is>
          <t>5.82%</t>
        </is>
      </c>
      <c r="N2343" s="7" t="n">
        <v>992.3200000000001</v>
      </c>
      <c r="O2343" t="n">
        <v>4.4</v>
      </c>
      <c r="P2343" t="n">
        <v>14</v>
      </c>
      <c r="R2343" t="inlineStr">
        <is>
          <t>InStock</t>
        </is>
      </c>
      <c r="S2343" t="inlineStr">
        <is>
          <t>undefined</t>
        </is>
      </c>
      <c r="T2343" t="inlineStr">
        <is>
          <t>7993205948632</t>
        </is>
      </c>
    </row>
    <row r="2344" ht="87" customHeight="1">
      <c r="A2344" s="2">
        <f>HYPERLINK("https://edmondsonsupply.com/collections/hvac/products/freud-99-240-2-drawer-lock-bit", "https://edmondsonsupply.com/collections/hvac/products/freud-99-240-2-drawer-lock-bit")</f>
        <v/>
      </c>
      <c r="B2344" s="2">
        <f>HYPERLINK("https://edmondsonsupply.com/products/freud-99-240-2-drawer-lock-bit", "https://edmondsonsupply.com/products/freud-99-240-2-drawer-lock-bit")</f>
        <v/>
      </c>
      <c r="C2344" t="inlineStr">
        <is>
          <t>Freud 99-240 2" Drawer Lock Bit</t>
        </is>
      </c>
      <c r="D2344" t="inlineStr">
        <is>
          <t>Freud 99-239: 1-1/4" (Dia.) Drawer Lock Bit with 1/2" Shank</t>
        </is>
      </c>
      <c r="E2344" s="2">
        <f>HYPERLINK("https://www.amazon.com/Freud-99-239-4-Inch-2-Inch-Drawer/dp/B0002TUDME/ref=sr_1_4?keywords=Freud+99-240+2%22+Drawer+Lock+Bit&amp;qid=1694734902&amp;sr=8-4", "https://www.amazon.com/Freud-99-239-4-Inch-2-Inch-Drawer/dp/B0002TUDME/ref=sr_1_4?keywords=Freud+99-240+2%22+Drawer+Lock+Bit&amp;qid=1694734902&amp;sr=8-4")</f>
        <v/>
      </c>
      <c r="F2344" t="inlineStr">
        <is>
          <t>B0002TUDME</t>
        </is>
      </c>
      <c r="G2344">
        <f>_xlfn.IMAGE("https://edmondsonsupply.com/cdn/shop/files/2-dia-drawer-lock-bit.webp?v=1687359925")</f>
        <v/>
      </c>
      <c r="H2344">
        <f>_xlfn.IMAGE("https://m.media-amazon.com/images/I/71r1txo5pmL._AC_UL320_.jpg")</f>
        <v/>
      </c>
      <c r="K2344" t="inlineStr">
        <is>
          <t>36.98</t>
        </is>
      </c>
      <c r="L2344" t="n">
        <v>39.09</v>
      </c>
      <c r="M2344" s="1" t="inlineStr">
        <is>
          <t>5.71%</t>
        </is>
      </c>
      <c r="N2344" s="7" t="n">
        <v>983.54</v>
      </c>
      <c r="O2344" t="n">
        <v>4.8</v>
      </c>
      <c r="P2344" t="n">
        <v>8</v>
      </c>
      <c r="R2344" t="inlineStr">
        <is>
          <t>InStock</t>
        </is>
      </c>
      <c r="S2344" t="inlineStr">
        <is>
          <t>63.21</t>
        </is>
      </c>
      <c r="T2344" t="inlineStr">
        <is>
          <t>8007803601112</t>
        </is>
      </c>
    </row>
    <row r="2345" hidden="1" ht="15.75" customHeight="1">
      <c r="A2345" s="2">
        <f>HYPERLINK("https://edmondsonsupply.com/collections/hvac/products/cps-pro-set-tlvcs", "https://edmondsonsupply.com/collections/hvac/products/cps-pro-set-tlvcs")</f>
        <v/>
      </c>
      <c r="B2345" s="2">
        <f>HYPERLINK("https://edmondsonsupply.com/products/cps-pro-set-tlvcs", "https://edmondsonsupply.com/products/cps-pro-set-tlvcs")</f>
        <v/>
      </c>
      <c r="C2345" t="inlineStr">
        <is>
          <t>CPS Products Pro-Set® TLVCS 1/4" SAE Valve Core Remover / Installer Tool w/ Side Port</t>
        </is>
      </c>
      <c r="D2345" t="inlineStr">
        <is>
          <t>CPS Products TLVCS Valve Core Remover/Installer Tool with Side Port, 1/4" SAE</t>
        </is>
      </c>
      <c r="E2345" s="2">
        <f>HYPERLINK("https://www.amazon.com/Inch-Ball-Valve-Remover-Installer/dp/B009M9V392/ref=sr_1_1?keywords=CPS+Products+Pro-Set%C2%AE+TLVCS+1%2F4%22+SAE+Valve+Core+Remover+%2F+Installer+Tool+w%2F+Side+Port&amp;qid=1694734796&amp;sr=8-1", "https://www.amazon.com/Inch-Ball-Valve-Remover-Installer/dp/B009M9V392/ref=sr_1_1?keywords=CPS+Products+Pro-Set%C2%AE+TLVCS+1%2F4%22+SAE+Valve+Core+Remover+%2F+Installer+Tool+w%2F+Side+Port&amp;qid=1694734796&amp;sr=8-1")</f>
        <v/>
      </c>
      <c r="F2345" t="inlineStr">
        <is>
          <t>B009M9V392</t>
        </is>
      </c>
      <c r="G2345">
        <f>_xludf.IMAGE("https://edmondsonsupply.com/cdn/shop/products/TLVCS.jpg?v=1587148860")</f>
        <v/>
      </c>
      <c r="H2345">
        <f>_xludf.IMAGE("https://m.media-amazon.com/images/I/416forpOGRL._AC_UL320_.jpg")</f>
        <v/>
      </c>
      <c r="K2345" t="inlineStr">
        <is>
          <t>36.93</t>
        </is>
      </c>
      <c r="L2345" t="n">
        <v>39</v>
      </c>
      <c r="M2345" s="1" t="inlineStr">
        <is>
          <t>5.61%</t>
        </is>
      </c>
      <c r="N2345" s="1" t="n">
        <v>981.73</v>
      </c>
      <c r="O2345" t="n">
        <v>3.8</v>
      </c>
      <c r="P2345" t="n">
        <v>4</v>
      </c>
      <c r="R2345" t="inlineStr">
        <is>
          <t>InStock</t>
        </is>
      </c>
      <c r="S2345" t="inlineStr">
        <is>
          <t>36.93</t>
        </is>
      </c>
      <c r="T2345" t="inlineStr">
        <is>
          <t>2008011767908</t>
        </is>
      </c>
    </row>
    <row r="2346" hidden="1" ht="15.75" customHeight="1">
      <c r="A2346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346" s="2">
        <f>HYPERLINK("https://edmondsonsupply.com/products/klein-tools-s8m-1-4-inch-magnetic-nut-driver-3-inch-shank", "https://edmondsonsupply.com/products/klein-tools-s8m-1-4-inch-magnetic-nut-driver-3-inch-shank")</f>
        <v/>
      </c>
      <c r="C2346" t="inlineStr">
        <is>
          <t>Klein Tools S8M 1/4-Inch Magnetic Nut Driver 3-Inch Shank</t>
        </is>
      </c>
      <c r="D2346" t="inlineStr">
        <is>
          <t>Klein Tools 610-1/4M 1/4-Inch Magnetic Nut Driver with 1-1/2-Inch Hollow Shaft and Cushion Grip Handle</t>
        </is>
      </c>
      <c r="E2346" s="2">
        <f>HYPERLINK("https://www.amazon.com/Magnetic-Cushion-Klein-610-1-4M/dp/B00093GE3A/ref=sr_1_4?keywords=Klein+Tools+S8M+1%2F4-Inch+Magnetic+Nut+Driver+3-Inch+Shank&amp;qid=1694734781&amp;sr=8-4", "https://www.amazon.com/Magnetic-Cushion-Klein-610-1-4M/dp/B00093GE3A/ref=sr_1_4?keywords=Klein+Tools+S8M+1%2F4-Inch+Magnetic+Nut+Driver+3-Inch+Shank&amp;qid=1694734781&amp;sr=8-4")</f>
        <v/>
      </c>
      <c r="F2346" t="inlineStr">
        <is>
          <t>B00093GE3A</t>
        </is>
      </c>
      <c r="G2346">
        <f>_xludf.IMAGE("https://edmondsonsupply.com/cdn/shop/products/s8m.jpg?v=1633030818")</f>
        <v/>
      </c>
      <c r="H2346">
        <f>_xludf.IMAGE("https://m.media-amazon.com/images/I/41piyjqJVeL._AC_UL320_.jpg")</f>
        <v/>
      </c>
      <c r="K2346" t="inlineStr">
        <is>
          <t>8.99</t>
        </is>
      </c>
      <c r="L2346" t="n">
        <v>9.49</v>
      </c>
      <c r="M2346" s="1" t="inlineStr">
        <is>
          <t>5.56%</t>
        </is>
      </c>
      <c r="N2346" s="1" t="n">
        <v>966.41</v>
      </c>
      <c r="O2346" t="n">
        <v>4.7</v>
      </c>
      <c r="P2346" t="n">
        <v>258</v>
      </c>
      <c r="R2346" t="inlineStr">
        <is>
          <t>InStock</t>
        </is>
      </c>
      <c r="S2346" t="inlineStr">
        <is>
          <t>13.62</t>
        </is>
      </c>
      <c r="T2346" t="inlineStr">
        <is>
          <t>6072223957165</t>
        </is>
      </c>
    </row>
    <row r="2347" ht="87" customHeight="1">
      <c r="A2347" s="2">
        <f>HYPERLINK("https://edmondsonsupply.com/collections/hvac/products/speedclean-coiljet%C2%AE-cj-125-hvac-coil-cleaner-system", "https://edmondsonsupply.com/collections/hvac/products/speedclean-coiljet%C2%AE-cj-125-hvac-coil-cleaner-system")</f>
        <v/>
      </c>
      <c r="B2347" s="2">
        <f>HYPERLINK("https://edmondsonsupply.com/products/speedclean-coiljet%c2%ae-cj-125-hvac-coil-cleaner-system", "https://edmondsonsupply.com/products/speedclean-coiljet%c2%ae-cj-125-hvac-coil-cleaner-system")</f>
        <v/>
      </c>
      <c r="C2347" t="inlineStr">
        <is>
          <t>SpeedClean CoilJet® CJ-125 HVAC Coil Cleaner System</t>
        </is>
      </c>
      <c r="D2347" t="inlineStr">
        <is>
          <t>SpeedClean CJ-125 Portable CoilJet Condenser Evaporator Cleaner, Safely Cleans HVAC Coils</t>
        </is>
      </c>
      <c r="E2347" s="2">
        <f>HYPERLINK("https://www.amazon.com/SpeedClean-Portable-CoilJet-Condenser-Evaporator/dp/B003ZZZ6EM/ref=sr_1_1?keywords=SpeedClean+CoilJet%C2%AE+CJ-125+HVAC+Coil+Cleaner+System&amp;qid=1694734579&amp;sr=8-1", "https://www.amazon.com/SpeedClean-Portable-CoilJet-Condenser-Evaporator/dp/B003ZZZ6EM/ref=sr_1_1?keywords=SpeedClean+CoilJet%C2%AE+CJ-125+HVAC+Coil+Cleaner+System&amp;qid=1694734579&amp;sr=8-1")</f>
        <v/>
      </c>
      <c r="F2347" t="inlineStr">
        <is>
          <t>B003ZZZ6EM</t>
        </is>
      </c>
      <c r="G2347">
        <f>_xlfn.IMAGE("https://edmondsonsupply.com/cdn/shop/products/SpeedClean-CJ125_1.jpg?v=1633030984")</f>
        <v/>
      </c>
      <c r="H2347">
        <f>_xlfn.IMAGE("https://m.media-amazon.com/images/I/51e-z2PcDEL._AC_UL320_.jpg")</f>
        <v/>
      </c>
      <c r="K2347" t="inlineStr">
        <is>
          <t>721.88</t>
        </is>
      </c>
      <c r="L2347" t="n">
        <v>759.99</v>
      </c>
      <c r="M2347" s="1" t="inlineStr">
        <is>
          <t>5.28%</t>
        </is>
      </c>
      <c r="N2347" s="7" t="n">
        <v>966</v>
      </c>
      <c r="O2347" t="n">
        <v>4.4</v>
      </c>
      <c r="P2347" t="n">
        <v>31</v>
      </c>
      <c r="R2347" t="inlineStr">
        <is>
          <t>InStock</t>
        </is>
      </c>
      <c r="S2347" t="inlineStr">
        <is>
          <t>undefined</t>
        </is>
      </c>
      <c r="T2347" t="inlineStr">
        <is>
          <t>6656697106605</t>
        </is>
      </c>
    </row>
    <row r="2348" hidden="1" ht="15.75" customHeight="1">
      <c r="A2348" s="2">
        <f>HYPERLINK("https://edmondsonsupply.com/collections/hvac/products/speedclean-coiljet%C2%AE-cj-125-hvac-coil-cleaner-system", "https://edmondsonsupply.com/collections/hvac/products/speedclean-coiljet%C2%AE-cj-125-hvac-coil-cleaner-system")</f>
        <v/>
      </c>
      <c r="B2348" s="2">
        <f>HYPERLINK("https://edmondsonsupply.com/products/speedclean-coiljet%c2%ae-cj-125-hvac-coil-cleaner-system", "https://edmondsonsupply.com/products/speedclean-coiljet%c2%ae-cj-125-hvac-coil-cleaner-system")</f>
        <v/>
      </c>
      <c r="C2348" t="inlineStr">
        <is>
          <t>SpeedClean CoilJet® CJ-125 HVAC Coil Cleaner System</t>
        </is>
      </c>
      <c r="D2348" t="inlineStr">
        <is>
          <t>SpeedClean CJ-125 Portable CoilJet Condenser Evaporator Cleaner, Safely Cleans HVAC Coils</t>
        </is>
      </c>
      <c r="E2348" s="2">
        <f>HYPERLINK("https://www.amazon.com/SpeedClean-CoilJet-Cleaning-System-CJ-125/dp/B00HQO4KOU/ref=sr_1_2?keywords=SpeedClean+CoilJet%C2%AE+CJ-125+HVAC+Coil+Cleaner+System&amp;qid=1694734579&amp;sr=8-2", "https://www.amazon.com/SpeedClean-CoilJet-Cleaning-System-CJ-125/dp/B00HQO4KOU/ref=sr_1_2?keywords=SpeedClean+CoilJet%C2%AE+CJ-125+HVAC+Coil+Cleaner+System&amp;qid=1694734579&amp;sr=8-2")</f>
        <v/>
      </c>
      <c r="F2348" t="inlineStr">
        <is>
          <t>B00HQO4KOU</t>
        </is>
      </c>
      <c r="G2348">
        <f>_xludf.IMAGE("https://edmondsonsupply.com/cdn/shop/products/SpeedClean-CJ125_1.jpg?v=1633030984")</f>
        <v/>
      </c>
      <c r="H2348">
        <f>_xludf.IMAGE("https://m.media-amazon.com/images/I/61BG79AMUWL._AC_UL320_.jpg")</f>
        <v/>
      </c>
      <c r="K2348" t="inlineStr">
        <is>
          <t>721.88</t>
        </is>
      </c>
      <c r="L2348" t="n">
        <v>759.98</v>
      </c>
      <c r="M2348" s="1" t="inlineStr">
        <is>
          <t>5.28%</t>
        </is>
      </c>
      <c r="N2348" s="1" t="n">
        <v>957.4299999999999</v>
      </c>
      <c r="O2348" t="n">
        <v>3.8</v>
      </c>
      <c r="P2348" t="n">
        <v>14</v>
      </c>
      <c r="R2348" t="inlineStr">
        <is>
          <t>InStock</t>
        </is>
      </c>
      <c r="S2348" t="inlineStr">
        <is>
          <t>undefined</t>
        </is>
      </c>
      <c r="T2348" t="inlineStr">
        <is>
          <t>6656697106605</t>
        </is>
      </c>
    </row>
    <row r="2349" ht="87" customHeight="1">
      <c r="A2349" s="2">
        <f>HYPERLINK("https://edmondsonsupply.com/collections/hvac/products/milwaukee-2997-22-m18-fuel%E2%84%A2-2-tool-combo-kit-hammer-drill-impact", "https://edmondsonsupply.com/collections/hvac/products/milwaukee-2997-22-m18-fuel%E2%84%A2-2-tool-combo-kit-hammer-drill-impact")</f>
        <v/>
      </c>
      <c r="B2349" s="2">
        <f>HYPERLINK("https://edmondsonsupply.com/products/milwaukee-2997-22-m18-fuel%e2%84%a2-2-tool-combo-kit-hammer-drill-impact", "https://edmondsonsupply.com/products/milwaukee-2997-22-m18-fuel%e2%84%a2-2-tool-combo-kit-hammer-drill-impact")</f>
        <v/>
      </c>
      <c r="C2349" t="inlineStr">
        <is>
          <t>Milwaukee 2997-22 M18 FUEL™ 2-Tool Combo Kit: Hammer Drill/Impact</t>
        </is>
      </c>
      <c r="D2349" t="inlineStr">
        <is>
          <t>Milwaukee 2893-22CXP M18 18-Volt Lithium-Ion Brushless Cordless Hammer Drill/Impact/Hackzaw Combo Kit (3-Tool) with 2 Batteries, Charger and Bag</t>
        </is>
      </c>
      <c r="E2349" s="2">
        <f>HYPERLINK("https://www.amazon.com/Milwaukee-2893-22CXP-Lithium-Ion-Brushless-Drill/dp/B07PF5WLFZ/ref=sr_1_22?keywords=Milwaukee+2997-22+M18+FUEL%E2%84%A2+2-Tool+Combo+Kit%3A+Hammer+Drill%2FImpact&amp;qid=1694734766&amp;sr=8-22", "https://www.amazon.com/Milwaukee-2893-22CXP-Lithium-Ion-Brushless-Drill/dp/B07PF5WLFZ/ref=sr_1_22?keywords=Milwaukee+2997-22+M18+FUEL%E2%84%A2+2-Tool+Combo+Kit%3A+Hammer+Drill%2FImpact&amp;qid=1694734766&amp;sr=8-22")</f>
        <v/>
      </c>
      <c r="F2349" t="inlineStr">
        <is>
          <t>B07PF5WLFZ</t>
        </is>
      </c>
      <c r="G2349">
        <f>_xlfn.IMAGE("https://edmondsonsupply.com/cdn/shop/products/2997-22-1.png?v=1657217833")</f>
        <v/>
      </c>
      <c r="H2349">
        <f>_xlfn.IMAGE("https://m.media-amazon.com/images/I/61bUObbR9zL._AC_UL320_.jpg")</f>
        <v/>
      </c>
      <c r="K2349" t="inlineStr">
        <is>
          <t>399.0</t>
        </is>
      </c>
      <c r="L2349" t="n">
        <v>419.99</v>
      </c>
      <c r="M2349" s="1" t="inlineStr">
        <is>
          <t>5.26%</t>
        </is>
      </c>
      <c r="N2349" s="7" t="n">
        <v>952.54</v>
      </c>
      <c r="O2349" t="n">
        <v>4.5</v>
      </c>
      <c r="P2349" t="n">
        <v>79</v>
      </c>
      <c r="R2349" t="inlineStr">
        <is>
          <t>OutOfStock</t>
        </is>
      </c>
      <c r="S2349" t="inlineStr">
        <is>
          <t>726.0</t>
        </is>
      </c>
      <c r="T2349" t="inlineStr">
        <is>
          <t>7741327409368</t>
        </is>
      </c>
    </row>
    <row r="2350" ht="87" customHeight="1">
      <c r="A2350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350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350" t="inlineStr">
        <is>
          <t>Diablo Tools DMAMX1300 1-1/4 in. x 16 in. x 21 in. Rebar Demon™ SDS-Max 4-Cutter Full Carbide Head Hammer Drill Bit</t>
        </is>
      </c>
      <c r="D2350" t="inlineStr">
        <is>
          <t>Diablo by Freud DMAMX1300 1-1/4 in. x 16 in. x 21 in. Rebar Demon SDS-Max 4-Cutter Carbide-Tipped Hammer Bit</t>
        </is>
      </c>
      <c r="E2350" s="2">
        <f>HYPERLINK("https://www.amazon.com/Diablo-Freud-DMAMX1300-4-Cutter-Carbide-Tipped/dp/B089KX2QSQ/ref=sr_1_1?keywords=Diablo+Tools+DMAMX1300+1-1%2F4+in.+x+16+in.+x+21+in.+Rebar+Demon%E2%84%A2+SDS-Max+4-Cutter+Full+Carbide+Head+Hammer+Drill+Bit&amp;qid=1694734676&amp;sr=8-1", "https://www.amazon.com/Diablo-Freud-DMAMX1300-4-Cutter-Carbide-Tipped/dp/B089KX2QSQ/ref=sr_1_1?keywords=Diablo+Tools+DMAMX1300+1-1%2F4+in.+x+16+in.+x+21+in.+Rebar+Demon%E2%84%A2+SDS-Max+4-Cutter+Full+Carbide+Head+Hammer+Drill+Bit&amp;qid=1694734676&amp;sr=8-1")</f>
        <v/>
      </c>
      <c r="F2350" t="inlineStr">
        <is>
          <t>B089KX2QSQ</t>
        </is>
      </c>
      <c r="G2350">
        <f>_xlfn.IMAGE("https://edmondsonsupply.com/cdn/shop/files/immoyh7jjmbau4fzhuq6_7dd7fd73-2865-4c12-9443-da45b48dbd51.webp?v=1685465465")</f>
        <v/>
      </c>
      <c r="H2350">
        <f>_xlfn.IMAGE("https://m.media-amazon.com/images/I/61pgqdG9SfL._AC_UL320_.jpg")</f>
        <v/>
      </c>
      <c r="K2350" t="inlineStr">
        <is>
          <t>66.4</t>
        </is>
      </c>
      <c r="L2350" t="n">
        <v>69.89</v>
      </c>
      <c r="M2350" s="1" t="inlineStr">
        <is>
          <t>5.26%</t>
        </is>
      </c>
      <c r="N2350" s="7" t="n">
        <v>922.87</v>
      </c>
      <c r="O2350" t="n">
        <v>5</v>
      </c>
      <c r="P2350" t="n">
        <v>2</v>
      </c>
      <c r="R2350" t="inlineStr">
        <is>
          <t>OutOfStock</t>
        </is>
      </c>
      <c r="S2350" t="inlineStr">
        <is>
          <t>105.4</t>
        </is>
      </c>
      <c r="T2350" t="inlineStr">
        <is>
          <t>7997856874712</t>
        </is>
      </c>
    </row>
    <row r="2351" ht="87" customHeight="1">
      <c r="A2351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351" s="2">
        <f>HYPERLINK("https://edmondsonsupply.com/products/klein-tools-pnd-12-5-1-2-inch-power-nut-driver-5-inch-length", "https://edmondsonsupply.com/products/klein-tools-pnd-12-5-1-2-inch-power-nut-driver-5-inch-length")</f>
        <v/>
      </c>
      <c r="C2351" t="inlineStr">
        <is>
          <t>Klein Tools PND-12-5 1/2-Inch Power Nut Driver 5-Inch Length</t>
        </is>
      </c>
      <c r="D2351" t="inlineStr">
        <is>
          <t>Klein Tools 65129 2-in-1 Nut Driver, Hex Head Slide Drive, 6-Inch</t>
        </is>
      </c>
      <c r="E2351" s="2">
        <f>HYPERLINK("https://www.amazon.com/Driver-6-Inch-Klein-Tools-65129/dp/B0716VDFTD/ref=sr_1_18?keywords=Klein+Tools+PND-12-5+1%2F2-Inch+Power+Nut+Driver+5-Inch+Length&amp;qid=1694734708&amp;sr=8-18", "https://www.amazon.com/Driver-6-Inch-Klein-Tools-65129/dp/B0716VDFTD/ref=sr_1_18?keywords=Klein+Tools+PND-12-5+1%2F2-Inch+Power+Nut+Driver+5-Inch+Length&amp;qid=1694734708&amp;sr=8-18")</f>
        <v/>
      </c>
      <c r="F2351" t="inlineStr">
        <is>
          <t>B0716VDFTD</t>
        </is>
      </c>
      <c r="G2351">
        <f>_xlfn.IMAGE("https://edmondsonsupply.com/cdn/shop/products/pnd125.jpg?v=1633031028")</f>
        <v/>
      </c>
      <c r="H2351">
        <f>_xlfn.IMAGE("https://m.media-amazon.com/images/I/31G5opAPxjL._AC_UL320_.jpg")</f>
        <v/>
      </c>
      <c r="K2351" t="inlineStr">
        <is>
          <t>18.99</t>
        </is>
      </c>
      <c r="L2351" t="n">
        <v>19.97</v>
      </c>
      <c r="M2351" s="1" t="inlineStr">
        <is>
          <t>5.16%</t>
        </is>
      </c>
      <c r="N2351" s="7" t="n">
        <v>922.87</v>
      </c>
      <c r="O2351" t="n">
        <v>4.8</v>
      </c>
      <c r="P2351" t="n">
        <v>687</v>
      </c>
      <c r="R2351" t="inlineStr">
        <is>
          <t>InStock</t>
        </is>
      </c>
      <c r="S2351" t="inlineStr">
        <is>
          <t>30.98</t>
        </is>
      </c>
      <c r="T2351" t="inlineStr">
        <is>
          <t>6729466445997</t>
        </is>
      </c>
    </row>
    <row r="2352" ht="87" customHeight="1">
      <c r="A2352" s="2">
        <f>HYPERLINK("https://edmondsonsupply.com/collections/hvac/products/klein-tools-80028-electricians-tool-kit-28-piece", "https://edmondsonsupply.com/collections/hvac/products/klein-tools-80028-electricians-tool-kit-28-piece")</f>
        <v/>
      </c>
      <c r="B2352" s="2">
        <f>HYPERLINK("https://edmondsonsupply.com/products/klein-tools-80028-electricians-tool-kit-28-piece", "https://edmondsonsupply.com/products/klein-tools-80028-electricians-tool-kit-28-piece")</f>
        <v/>
      </c>
      <c r="C2352" t="inlineStr">
        <is>
          <t>Klein Tools 80028 Electrician's Tool Kit, 28-Piece</t>
        </is>
      </c>
      <c r="D2352" t="inlineStr">
        <is>
          <t>Klein Tools 80028 Hand Tools Kit includes Pliers, Screwdrivers, 28-Piece &amp; 31737 Folding Jab Saw/Drywall Saw, Hand Saw with Lockback at 180 and 125 Degrees and Tether Hole</t>
        </is>
      </c>
      <c r="E2352" s="2">
        <f>HYPERLINK("https://www.amazon.com/Klein-Tools-Screwdrivers-28-Piece-Lockback/dp/B0BXK9YSJS/ref=sr_1_3?keywords=Klein+Tools+80028+Electrician%27s+Tool+Kit%2C+28-Piece&amp;qid=1694734712&amp;sr=8-3", "https://www.amazon.com/Klein-Tools-Screwdrivers-28-Piece-Lockback/dp/B0BXK9YSJS/ref=sr_1_3?keywords=Klein+Tools+80028+Electrician%27s+Tool+Kit%2C+28-Piece&amp;qid=1694734712&amp;sr=8-3")</f>
        <v/>
      </c>
      <c r="F2352" t="inlineStr">
        <is>
          <t>B0BXK9YSJS</t>
        </is>
      </c>
      <c r="G2352">
        <f>_xlfn.IMAGE("https://edmondsonsupply.com/cdn/shop/files/80028_d.jpg?v=1686062794")</f>
        <v/>
      </c>
      <c r="H2352">
        <f>_xlfn.IMAGE("https://m.media-amazon.com/images/I/51rspFjanxL._AC_UL320_.jpg")</f>
        <v/>
      </c>
      <c r="K2352" t="inlineStr">
        <is>
          <t>414.99</t>
        </is>
      </c>
      <c r="L2352" t="n">
        <v>435.98</v>
      </c>
      <c r="M2352" s="1" t="inlineStr">
        <is>
          <t>5.06%</t>
        </is>
      </c>
      <c r="N2352" s="7" t="n">
        <v>920.65</v>
      </c>
      <c r="O2352" t="n">
        <v>5</v>
      </c>
      <c r="P2352" t="n">
        <v>1</v>
      </c>
      <c r="R2352" t="inlineStr">
        <is>
          <t>InStock</t>
        </is>
      </c>
      <c r="S2352" t="inlineStr">
        <is>
          <t>628.74</t>
        </is>
      </c>
      <c r="T2352" t="inlineStr">
        <is>
          <t>5868172214440</t>
        </is>
      </c>
    </row>
    <row r="2353" ht="87" customHeight="1">
      <c r="A2353" s="2">
        <f>HYPERLINK("https://edmondsonsupply.com/collections/hvac/products/klein-tools-85153k-slotted-screw-holding-driver-kit-3-16-inch-and-1-4-inch", "https://edmondsonsupply.com/collections/hvac/products/klein-tools-85153k-slotted-screw-holding-driver-kit-3-16-inch-and-1-4-inch")</f>
        <v/>
      </c>
      <c r="B2353" s="2">
        <f>HYPERLINK("https://edmondsonsupply.com/products/klein-tools-85153k-slotted-screw-holding-driver-kit-3-16-inch-and-1-4-inch", "https://edmondsonsupply.com/products/klein-tools-85153k-slotted-screw-holding-driver-kit-3-16-inch-and-1-4-inch")</f>
        <v/>
      </c>
      <c r="C2353" t="inlineStr">
        <is>
          <t>Klein Tools 85153K Slotted Screw Holding Driver Kit, 3/16-Inch and 1/4-Inch</t>
        </is>
      </c>
      <c r="D2353" t="inlineStr">
        <is>
          <t>Klein Tools 32751 Screwdriver with Adjustable Length 4 to 8-Inch, #2 Phillips Tip and 1/4-Inch Slotted Tip</t>
        </is>
      </c>
      <c r="E2353" s="2">
        <f>HYPERLINK("https://www.amazon.com/Klein-Tools-32751-Screwdriver-Adjustable/dp/B010TNZDHW/ref=sr_1_21?keywords=Klein+Tools+85153K+Slotted+Screw+Holding+Driver+Kit%2C+3%2F16-Inch+and+1%2F4-Inch&amp;qid=1694734835&amp;sr=8-21", "https://www.amazon.com/Klein-Tools-32751-Screwdriver-Adjustable/dp/B010TNZDHW/ref=sr_1_21?keywords=Klein+Tools+85153K+Slotted+Screw+Holding+Driver+Kit%2C+3%2F16-Inch+and+1%2F4-Inch&amp;qid=1694734835&amp;sr=8-21")</f>
        <v/>
      </c>
      <c r="F2353" t="inlineStr">
        <is>
          <t>B010TNZDHW</t>
        </is>
      </c>
      <c r="G2353">
        <f>_xlfn.IMAGE("https://edmondsonsupply.com/cdn/shop/files/85153k.jpg?v=1693933663")</f>
        <v/>
      </c>
      <c r="H2353">
        <f>_xlfn.IMAGE("https://m.media-amazon.com/images/I/415jqxJt+CL._AC_UL320_.jpg")</f>
        <v/>
      </c>
      <c r="K2353" t="inlineStr">
        <is>
          <t>19.98</t>
        </is>
      </c>
      <c r="L2353" t="n">
        <v>20.99</v>
      </c>
      <c r="M2353" s="1" t="inlineStr">
        <is>
          <t>5.06%</t>
        </is>
      </c>
      <c r="N2353" s="7" t="n">
        <v>909.34</v>
      </c>
      <c r="O2353" t="n">
        <v>4.7</v>
      </c>
      <c r="P2353" t="n">
        <v>1726</v>
      </c>
      <c r="R2353" t="inlineStr">
        <is>
          <t>InStock</t>
        </is>
      </c>
      <c r="S2353" t="inlineStr">
        <is>
          <t>29.98</t>
        </is>
      </c>
      <c r="T2353" t="inlineStr">
        <is>
          <t>8034276344024</t>
        </is>
      </c>
    </row>
    <row r="2354" ht="87" customHeight="1">
      <c r="A2354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354" s="2">
        <f>HYPERLINK("https://edmondsonsupply.com/products/klein-tools-mm300kit-digital-multimeter-electrical-test-kit", "https://edmondsonsupply.com/products/klein-tools-mm300kit-digital-multimeter-electrical-test-kit")</f>
        <v/>
      </c>
      <c r="C2354" t="inlineStr">
        <is>
          <t>Klein Tools MM320KIT Digital Multimeter Electrical Test Kit</t>
        </is>
      </c>
      <c r="D2354" t="inlineStr">
        <is>
          <t>Digital Multimeter Electrical Test Kit, Non-Contact Voltage Tester, Receptacle Tester, Carrying Case and Batteries Klein Tools MM320KIT</t>
        </is>
      </c>
      <c r="E2354" s="2">
        <f>HYPERLINK("https://www.amazon.com/Multimeter-Non-Contact-Klein-Tools-MM320KIT/dp/B08W1THSM8/ref=sr_1_1?keywords=Klein+Tools+MM320KIT+Digital+Multimeter+Electrical+Test+Kit&amp;qid=1694734657&amp;sr=8-1", "https://www.amazon.com/Multimeter-Non-Contact-Klein-Tools-MM320KIT/dp/B08W1THSM8/ref=sr_1_1?keywords=Klein+Tools+MM320KIT+Digital+Multimeter+Electrical+Test+Kit&amp;qid=1694734657&amp;sr=8-1")</f>
        <v/>
      </c>
      <c r="F2354" t="inlineStr">
        <is>
          <t>B08W1THSM8</t>
        </is>
      </c>
      <c r="G2354">
        <f>_xlfn.IMAGE("https://edmondsonsupply.com/cdn/shop/products/mm320kit_photo.jpg?v=1660756496")</f>
        <v/>
      </c>
      <c r="H2354">
        <f>_xlfn.IMAGE("https://m.media-amazon.com/images/I/61xZtUfGpuL._AC_UL320_.jpg")</f>
        <v/>
      </c>
      <c r="K2354" t="inlineStr">
        <is>
          <t>49.97</t>
        </is>
      </c>
      <c r="L2354" t="n">
        <v>52.49</v>
      </c>
      <c r="M2354" s="1" t="inlineStr">
        <is>
          <t>5.04%</t>
        </is>
      </c>
      <c r="N2354" s="7" t="n">
        <v>907.0700000000001</v>
      </c>
      <c r="O2354" t="n">
        <v>4.8</v>
      </c>
      <c r="P2354" t="n">
        <v>1447</v>
      </c>
      <c r="R2354" t="inlineStr">
        <is>
          <t>InStock</t>
        </is>
      </c>
      <c r="S2354" t="inlineStr">
        <is>
          <t>79.3</t>
        </is>
      </c>
      <c r="T2354" t="inlineStr">
        <is>
          <t>7783570309336</t>
        </is>
      </c>
    </row>
    <row r="2355" ht="87" customHeight="1">
      <c r="A2355" s="2">
        <f>HYPERLINK("https://edmondsonsupply.com/collections/hvac/products/speedclean-msb-kit-mini-split-bib%C2%AE-kit", "https://edmondsonsupply.com/collections/hvac/products/speedclean-msb-kit-mini-split-bib%C2%AE-kit")</f>
        <v/>
      </c>
      <c r="B2355" s="2">
        <f>HYPERLINK("https://edmondsonsupply.com/products/speedclean-msb-kit-mini-split-bib%c2%ae-kit", "https://edmondsonsupply.com/products/speedclean-msb-kit-mini-split-bib%c2%ae-kit")</f>
        <v/>
      </c>
      <c r="C2355" t="inlineStr">
        <is>
          <t>SpeedClean MSB-KIT Mini-Split Bib® Kit</t>
        </is>
      </c>
      <c r="D2355" t="inlineStr">
        <is>
          <t>SpeedClean MSB-KIT Mini Split Bib Kit</t>
        </is>
      </c>
      <c r="E2355" s="2">
        <f>HYPERLINK("https://www.amazon.com/SpeedClean-MSB-KIT-Mini-Split-Bib/dp/B00TG7QCDC/ref=sr_1_1?keywords=SpeedClean+MSB-KIT+Mini-Split+Bib%C2%AE+Kit&amp;qid=1694734887&amp;sr=8-1", "https://www.amazon.com/SpeedClean-MSB-KIT-Mini-Split-Bib/dp/B00TG7QCDC/ref=sr_1_1?keywords=SpeedClean+MSB-KIT+Mini-Split+Bib%C2%AE+Kit&amp;qid=1694734887&amp;sr=8-1")</f>
        <v/>
      </c>
      <c r="F2355" t="inlineStr">
        <is>
          <t>B00TG7QCDC</t>
        </is>
      </c>
      <c r="G2355">
        <f>_xlfn.IMAGE("https://edmondsonsupply.com/cdn/shop/files/64274f3119e9f363178468.jpg?v=1689861211")</f>
        <v/>
      </c>
      <c r="H2355">
        <f>_xlfn.IMAGE("https://m.media-amazon.com/images/I/71M-2cdrpoL._AC_UL320_.jpg")</f>
        <v/>
      </c>
      <c r="K2355" t="inlineStr">
        <is>
          <t>107.64</t>
        </is>
      </c>
      <c r="L2355" t="n">
        <v>112.99</v>
      </c>
      <c r="M2355" s="1" t="inlineStr">
        <is>
          <t>4.97%</t>
        </is>
      </c>
      <c r="N2355" s="7" t="n">
        <v>902.91</v>
      </c>
      <c r="O2355" t="n">
        <v>4.5</v>
      </c>
      <c r="P2355" t="n">
        <v>181</v>
      </c>
      <c r="R2355" t="inlineStr">
        <is>
          <t>InStock</t>
        </is>
      </c>
      <c r="S2355" t="inlineStr">
        <is>
          <t>undefined</t>
        </is>
      </c>
      <c r="T2355" t="inlineStr">
        <is>
          <t>8018789040344</t>
        </is>
      </c>
    </row>
    <row r="2356" ht="87" customHeight="1">
      <c r="A2356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356" s="2">
        <f>HYPERLINK("https://edmondsonsupply.com/products/klein-tools-11053-klein-kurve%c2%ae-wire-stripper-cutter", "https://edmondsonsupply.com/products/klein-tools-11053-klein-kurve%c2%ae-wire-stripper-cutter")</f>
        <v/>
      </c>
      <c r="C2356" t="inlineStr">
        <is>
          <t>Klein Tools 11053 Klein-Kurve® Wire Stripper/Cutter</t>
        </is>
      </c>
      <c r="D2356" t="inlineStr">
        <is>
          <t>Klein Tools 11061 Wire Stripper / Wire Cutter for Solid and Stranded AWG Wire, Heavy Duty Kleins are Self Adjusting,Blue/Black</t>
        </is>
      </c>
      <c r="E2356" s="2">
        <f>HYPERLINK("https://www.amazon.com/Self-Adjusting-Stripper-Klein-Tools-11061/dp/B00CXKOEQ6/ref=sr_1_15?keywords=Klein+Tools+11053+Klein-Kurve%C2%AE+Wire+Stripper%2FCutter&amp;qid=1694734664&amp;sr=8-15", "https://www.amazon.com/Self-Adjusting-Stripper-Klein-Tools-11061/dp/B00CXKOEQ6/ref=sr_1_15?keywords=Klein+Tools+11053+Klein-Kurve%C2%AE+Wire+Stripper%2FCutter&amp;qid=1694734664&amp;sr=8-15")</f>
        <v/>
      </c>
      <c r="F2356" t="inlineStr">
        <is>
          <t>B00CXKOEQ6</t>
        </is>
      </c>
      <c r="G2356">
        <f>_xlfn.IMAGE("https://edmondsonsupply.com/cdn/shop/products/11053.jpg?v=1633030511")</f>
        <v/>
      </c>
      <c r="H2356">
        <f>_xlfn.IMAGE("https://m.media-amazon.com/images/I/61nMz2jkNIL._AC_UL320_.jpg")</f>
        <v/>
      </c>
      <c r="K2356" t="inlineStr">
        <is>
          <t>20.97</t>
        </is>
      </c>
      <c r="L2356" t="n">
        <v>21.97</v>
      </c>
      <c r="M2356" s="1" t="inlineStr">
        <is>
          <t>4.77%</t>
        </is>
      </c>
      <c r="N2356" s="7" t="n">
        <v>902.91</v>
      </c>
      <c r="O2356" t="n">
        <v>4.6</v>
      </c>
      <c r="P2356" t="n">
        <v>7723</v>
      </c>
      <c r="R2356" t="inlineStr">
        <is>
          <t>InStock</t>
        </is>
      </c>
      <c r="S2356" t="inlineStr">
        <is>
          <t>31.76</t>
        </is>
      </c>
      <c r="T2356" t="inlineStr">
        <is>
          <t>5387171299496</t>
        </is>
      </c>
    </row>
    <row r="2357" ht="87" customHeight="1">
      <c r="A2357" s="2">
        <f>HYPERLINK("https://edmondsonsupply.com/collections/hvac/products/western-enterprises-vn-500-hvac-nitrogen-purging-regulator-flowmeter", "https://edmondsonsupply.com/collections/hvac/products/western-enterprises-vn-500-hvac-nitrogen-purging-regulator-flowmeter")</f>
        <v/>
      </c>
      <c r="B2357" s="2">
        <f>HYPERLINK("https://edmondsonsupply.com/products/western-enterprises-vn-500-hvac-nitrogen-purging-regulator-flowmeter", "https://edmondsonsupply.com/products/western-enterprises-vn-500-hvac-nitrogen-purging-regulator-flowmeter")</f>
        <v/>
      </c>
      <c r="C2357" t="inlineStr">
        <is>
          <t>Western Enterprises VN-500 HVAC Nitrogen Purging Regulator/Flowmeter</t>
        </is>
      </c>
      <c r="D2357" t="inlineStr">
        <is>
          <t>Western Enterprises VN-650 Flowmeter Nitrogen Purging Regulator w/650 PSI Test Pressure</t>
        </is>
      </c>
      <c r="E2357" s="2">
        <f>HYPERLINK("https://www.amazon.com/Western-Enterprises-VN-650-Flowmeter-Regulator/dp/B072F7PH8J/ref=sr_1_2?keywords=Western+Enterprises+VN-500+HVAC+Nitrogen+Purging+Regulator%2FFlowmeter&amp;qid=1694734577&amp;sr=8-2", "https://www.amazon.com/Western-Enterprises-VN-650-Flowmeter-Regulator/dp/B072F7PH8J/ref=sr_1_2?keywords=Western+Enterprises+VN-500+HVAC+Nitrogen+Purging+Regulator%2FFlowmeter&amp;qid=1694734577&amp;sr=8-2")</f>
        <v/>
      </c>
      <c r="F2357" t="inlineStr">
        <is>
          <t>B072F7PH8J</t>
        </is>
      </c>
      <c r="G2357">
        <f>_xlfn.IMAGE("https://edmondsonsupply.com/cdn/shop/products/VN-500-1.jpg?v=1587142253")</f>
        <v/>
      </c>
      <c r="H2357">
        <f>_xlfn.IMAGE("https://m.media-amazon.com/images/I/716h9oUMa2L._AC_UL320_.jpg")</f>
        <v/>
      </c>
      <c r="K2357" t="inlineStr">
        <is>
          <t>169.71</t>
        </is>
      </c>
      <c r="L2357" t="n">
        <v>177.71</v>
      </c>
      <c r="M2357" s="1" t="inlineStr">
        <is>
          <t>4.71%</t>
        </is>
      </c>
      <c r="N2357" s="7" t="n">
        <v>901.13</v>
      </c>
      <c r="O2357" t="n">
        <v>4.8</v>
      </c>
      <c r="P2357" t="n">
        <v>178</v>
      </c>
      <c r="R2357" t="inlineStr">
        <is>
          <t>InStock</t>
        </is>
      </c>
      <c r="S2357" t="inlineStr">
        <is>
          <t>251.42</t>
        </is>
      </c>
      <c r="T2357" t="inlineStr">
        <is>
          <t>3498894393444</t>
        </is>
      </c>
    </row>
    <row r="2358" hidden="1" ht="15.75" customHeight="1">
      <c r="A2358" s="2">
        <f>HYPERLINK("https://edmondsonsupply.com/collections/hvac/products/ritchie-yellow-jacket-19306-valve-core-tool-with-6-cores", "https://edmondsonsupply.com/collections/hvac/products/ritchie-yellow-jacket-19306-valve-core-tool-with-6-cores")</f>
        <v/>
      </c>
      <c r="B2358" s="2">
        <f>HYPERLINK("https://edmondsonsupply.com/products/ritchie-yellow-jacket-19306-valve-core-tool-with-6-cores", "https://edmondsonsupply.com/products/ritchie-yellow-jacket-19306-valve-core-tool-with-6-cores")</f>
        <v/>
      </c>
      <c r="C2358" t="inlineStr">
        <is>
          <t>Yellow Jacket 19306 Valve Core Tool with 6 Cores</t>
        </is>
      </c>
      <c r="D2358" t="inlineStr">
        <is>
          <t>YELLOW JACKET 19306 Valve Core Tool</t>
        </is>
      </c>
      <c r="E2358" s="2">
        <f>HYPERLINK("https://www.amazon.com/YELLOW-JACKET-19306-Valve-Core/dp/B009AXKN6E/ref=sr_1_1?keywords=Yellow+Jacket+19306+Valve+Core+Tool+with+6+Cores&amp;qid=1694734580&amp;sr=8-1", "https://www.amazon.com/YELLOW-JACKET-19306-Valve-Core/dp/B009AXKN6E/ref=sr_1_1?keywords=Yellow+Jacket+19306+Valve+Core+Tool+with+6+Cores&amp;qid=1694734580&amp;sr=8-1")</f>
        <v/>
      </c>
      <c r="F2358" t="inlineStr">
        <is>
          <t>B009AXKN6E</t>
        </is>
      </c>
      <c r="G2358">
        <f>_xludf.IMAGE("https://edmondsonsupply.com/cdn/shop/products/19306-Valve-Core-Tool.jpg?v=1653092813")</f>
        <v/>
      </c>
      <c r="H2358">
        <f>_xludf.IMAGE("https://m.media-amazon.com/images/I/61Ii4UdcAFL._AC_UL320_.jpg")</f>
        <v/>
      </c>
      <c r="K2358" t="inlineStr">
        <is>
          <t>14.33</t>
        </is>
      </c>
      <c r="L2358" t="n">
        <v>14.99</v>
      </c>
      <c r="M2358" s="1" t="inlineStr">
        <is>
          <t>4.61%</t>
        </is>
      </c>
      <c r="N2358" s="1" t="n">
        <v>901.13</v>
      </c>
      <c r="O2358" t="n">
        <v>3.6</v>
      </c>
      <c r="P2358" t="n">
        <v>35</v>
      </c>
      <c r="R2358" t="inlineStr">
        <is>
          <t>InStock</t>
        </is>
      </c>
      <c r="S2358" t="inlineStr">
        <is>
          <t>undefined</t>
        </is>
      </c>
      <c r="T2358" t="inlineStr">
        <is>
          <t>2443881250916</t>
        </is>
      </c>
    </row>
    <row r="2359" ht="87" customHeight="1">
      <c r="A2359" s="2">
        <f>HYPERLINK("https://edmondsonsupply.com/collections/hvac/products/supco-cppro-coolpressor-high-powered-magnetic-water-dispenser", "https://edmondsonsupply.com/collections/hvac/products/supco-cppro-coolpressor-high-powered-magnetic-water-dispenser")</f>
        <v/>
      </c>
      <c r="B2359" s="2">
        <f>HYPERLINK("https://edmondsonsupply.com/products/supco-cppro-coolpressor-high-powered-magnetic-water-dispenser", "https://edmondsonsupply.com/products/supco-cppro-coolpressor-high-powered-magnetic-water-dispenser")</f>
        <v/>
      </c>
      <c r="C2359" t="inlineStr">
        <is>
          <t>Supco CPPRO COOLPRESSOR - High-Powered Magnetic Compressor Cooler</t>
        </is>
      </c>
      <c r="D2359" t="inlineStr">
        <is>
          <t>CPPRO TradeFox Coolpressor High-Powered Magnetic Water Dispenser to Cool Down Compressors</t>
        </is>
      </c>
      <c r="E2359" s="2">
        <f>HYPERLINK("https://www.amazon.com/TradeFox-Coolpressor-High-Powered-Dispenser-Compressors/dp/B0913P8G5T/ref=sr_1_2?keywords=Supco+CPPRO+COOLPRESSOR+-+High-Powered+Magnetic+Compressor+Cooler&amp;qid=1694734576&amp;sr=8-2", "https://www.amazon.com/TradeFox-Coolpressor-High-Powered-Dispenser-Compressors/dp/B0913P8G5T/ref=sr_1_2?keywords=Supco+CPPRO+COOLPRESSOR+-+High-Powered+Magnetic+Compressor+Cooler&amp;qid=1694734576&amp;sr=8-2")</f>
        <v/>
      </c>
      <c r="F2359" t="inlineStr">
        <is>
          <t>B0913P8G5T</t>
        </is>
      </c>
      <c r="G2359">
        <f>_xlfn.IMAGE("https://edmondsonsupply.com/cdn/shop/products/CPPRO_L.png?v=1587144664")</f>
        <v/>
      </c>
      <c r="H2359">
        <f>_xlfn.IMAGE("https://m.media-amazon.com/images/I/614x6cCgu4L._AC_UL320_.jpg")</f>
        <v/>
      </c>
      <c r="K2359" t="inlineStr">
        <is>
          <t>48.75</t>
        </is>
      </c>
      <c r="L2359" t="n">
        <v>50.95</v>
      </c>
      <c r="M2359" s="1" t="inlineStr">
        <is>
          <t>4.51%</t>
        </is>
      </c>
      <c r="N2359" s="7" t="n">
        <v>900.4</v>
      </c>
      <c r="O2359" t="n">
        <v>4.9</v>
      </c>
      <c r="P2359" t="n">
        <v>57</v>
      </c>
      <c r="R2359" t="inlineStr">
        <is>
          <t>OutOfStock</t>
        </is>
      </c>
      <c r="S2359" t="inlineStr">
        <is>
          <t>undefined</t>
        </is>
      </c>
      <c r="T2359" t="inlineStr">
        <is>
          <t>4485088378980</t>
        </is>
      </c>
    </row>
    <row r="2360" ht="87" customHeight="1">
      <c r="A2360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2360" s="2">
        <f>HYPERLINK("https://edmondsonsupply.com/products/milwaukee-48-22-1540-fastback%e2%84%a2-5-in-1-folding-knife", "https://edmondsonsupply.com/products/milwaukee-48-22-1540-fastback%e2%84%a2-5-in-1-folding-knife")</f>
        <v/>
      </c>
      <c r="C2360" t="inlineStr">
        <is>
          <t>Milwaukee 48-22-1540 FASTBACK™ 5-in-1 Folding Knife</t>
        </is>
      </c>
      <c r="D2360" t="inlineStr">
        <is>
          <t>Milwaukee 48-22-1985 Fastback Hawk Bill Folding Knife w/Belt Clip and Lanyard Hole, Metal</t>
        </is>
      </c>
      <c r="E2360" s="2">
        <f>HYPERLINK("https://www.amazon.com/Milwaukee-48-22-1985-Fastback-Folding-Lanyard/dp/B00IQCDWIG/ref=sr_1_3?keywords=Milwaukee+48-22-1540+FASTBACK%E2%84%A2+5-in-1+Folding+Knife&amp;qid=1694734631&amp;sr=8-3", "https://www.amazon.com/Milwaukee-48-22-1985-Fastback-Folding-Lanyard/dp/B00IQCDWIG/ref=sr_1_3?keywords=Milwaukee+48-22-1540+FASTBACK%E2%84%A2+5-in-1+Folding+Knife&amp;qid=1694734631&amp;sr=8-3")</f>
        <v/>
      </c>
      <c r="F2360" t="inlineStr">
        <is>
          <t>B00IQCDWIG</t>
        </is>
      </c>
      <c r="G2360">
        <f>_xlfn.IMAGE("https://edmondsonsupply.com/cdn/shop/products/48-22-1540_1.png?v=1587142762")</f>
        <v/>
      </c>
      <c r="H2360">
        <f>_xlfn.IMAGE("https://m.media-amazon.com/images/I/714SFoSX-4L._AC_UL320_.jpg")</f>
        <v/>
      </c>
      <c r="K2360" t="inlineStr">
        <is>
          <t>23.97</t>
        </is>
      </c>
      <c r="L2360" t="n">
        <v>25.05</v>
      </c>
      <c r="M2360" s="1" t="inlineStr">
        <is>
          <t>4.51%</t>
        </is>
      </c>
      <c r="N2360" s="7" t="n">
        <v>878.39</v>
      </c>
      <c r="O2360" t="n">
        <v>4.6</v>
      </c>
      <c r="P2360" t="n">
        <v>625</v>
      </c>
      <c r="R2360" t="inlineStr">
        <is>
          <t>InStock</t>
        </is>
      </c>
      <c r="S2360" t="inlineStr">
        <is>
          <t>39.0</t>
        </is>
      </c>
      <c r="T2360" t="inlineStr">
        <is>
          <t>4452621090916</t>
        </is>
      </c>
    </row>
    <row r="2361" hidden="1" ht="15.75" customHeight="1">
      <c r="A2361" s="2">
        <f>HYPERLINK("https://edmondsonsupply.com/collections/hvac/products/packard-c140b-contactor-1-pole-40-amps-120-coil-voltage", "https://edmondsonsupply.com/collections/hvac/products/packard-c140b-contactor-1-pole-40-amps-120-coil-voltage")</f>
        <v/>
      </c>
      <c r="B2361" s="2">
        <f>HYPERLINK("https://edmondsonsupply.com/products/packard-c140b-contactor-1-pole-40-amps-120-coil-voltage", "https://edmondsonsupply.com/products/packard-c140b-contactor-1-pole-40-amps-120-coil-voltage")</f>
        <v/>
      </c>
      <c r="C2361" t="inlineStr">
        <is>
          <t>Packard C140B Contactor 1 Pole 40 Amps 120 Coil Voltage</t>
        </is>
      </c>
      <c r="D2361" t="inlineStr">
        <is>
          <t>Packard Contactor C130A 1 Pole 30 Amps 24 Coil Voltage 4.5 Out of 5 Stars 44</t>
        </is>
      </c>
      <c r="E2361" s="2">
        <f>HYPERLINK("https://www.amazon.com/Packard-Contactor-C130A-Pole-Voltage/dp/B002CJFJWQ/ref=sr_1_12?keywords=Packard+C140B+Contactor+1+Pole+40+Amps+120+Coil+Voltage&amp;qid=1694734666&amp;sr=8-12", "https://www.amazon.com/Packard-Contactor-C130A-Pole-Voltage/dp/B002CJFJWQ/ref=sr_1_12?keywords=Packard+C140B+Contactor+1+Pole+40+Amps+120+Coil+Voltage&amp;qid=1694734666&amp;sr=8-12")</f>
        <v/>
      </c>
      <c r="F2361" t="inlineStr">
        <is>
          <t>B002CJFJWQ</t>
        </is>
      </c>
      <c r="G2361">
        <f>_xludf.IMAGE("https://edmondsonsupply.com/cdn/shop/products/C140B-1.jpg?v=1633030391")</f>
        <v/>
      </c>
      <c r="H2361">
        <f>_xludf.IMAGE("https://m.media-amazon.com/images/I/41n4xVc0BbL._AC_UY218_.jpg")</f>
        <v/>
      </c>
      <c r="K2361" t="inlineStr">
        <is>
          <t>9.82</t>
        </is>
      </c>
      <c r="L2361" t="n">
        <v>10.26</v>
      </c>
      <c r="M2361" s="1" t="inlineStr">
        <is>
          <t>4.48%</t>
        </is>
      </c>
      <c r="N2361" s="1" t="n">
        <v>853.98</v>
      </c>
      <c r="O2361" t="n">
        <v>4.6</v>
      </c>
      <c r="P2361" t="n">
        <v>273</v>
      </c>
      <c r="R2361" t="inlineStr">
        <is>
          <t>InStock</t>
        </is>
      </c>
      <c r="S2361" t="inlineStr">
        <is>
          <t>undefined</t>
        </is>
      </c>
      <c r="T2361" t="inlineStr">
        <is>
          <t>5301666218152</t>
        </is>
      </c>
    </row>
    <row r="2362" hidden="1" ht="15.75" customHeight="1">
      <c r="A2362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362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362" t="inlineStr">
        <is>
          <t>Diablo Tools DMAPL2290 7/16 in. x 10 in. x 12 in. SDS-Plus 2-Cutter</t>
        </is>
      </c>
      <c r="D2362" t="inlineStr">
        <is>
          <t>Diablo DMAPL2240 3/8 in. x 10 in. x 12 in. SDS-Plus 2-Cutter</t>
        </is>
      </c>
      <c r="E2362" s="2">
        <f>HYPERLINK("https://www.amazon.com/Diablo-10-12-SDS-Plus-2-Cutter/dp/B089KVWDFV/ref=sr_1_4?keywords=Diablo+Tools+DMAPL2290+7%2F16+in.+x+10+in.+x+12+in.+SDS-Plus+2-Cutter&amp;qid=1694734916&amp;sr=8-4", "https://www.amazon.com/Diablo-10-12-SDS-Plus-2-Cutter/dp/B089KVWDFV/ref=sr_1_4?keywords=Diablo+Tools+DMAPL2290+7%2F16+in.+x+10+in.+x+12+in.+SDS-Plus+2-Cutter&amp;qid=1694734916&amp;sr=8-4")</f>
        <v/>
      </c>
      <c r="F2362" t="inlineStr">
        <is>
          <t>B089KVWDFV</t>
        </is>
      </c>
      <c r="G2362">
        <f>_xludf.IMAGE("https://edmondsonsupply.com/cdn/shop/files/lgvfccwvf9ikjakt8qfb.webp?v=1686146379")</f>
        <v/>
      </c>
      <c r="H2362">
        <f>_xludf.IMAGE("https://m.media-amazon.com/images/I/61jSXDDK72L._AC_UL320_.jpg")</f>
        <v/>
      </c>
      <c r="K2362" t="inlineStr">
        <is>
          <t>10.5</t>
        </is>
      </c>
      <c r="L2362" t="n">
        <v>10.97</v>
      </c>
      <c r="M2362" s="1" t="inlineStr">
        <is>
          <t>4.48%</t>
        </is>
      </c>
      <c r="N2362" s="1" t="n">
        <v>852.66</v>
      </c>
      <c r="O2362" t="n">
        <v>5</v>
      </c>
      <c r="P2362" t="n">
        <v>1</v>
      </c>
      <c r="R2362" t="inlineStr">
        <is>
          <t>InStock</t>
        </is>
      </c>
      <c r="S2362" t="inlineStr">
        <is>
          <t>16.67</t>
        </is>
      </c>
      <c r="T2362" t="inlineStr">
        <is>
          <t>8002354872536</t>
        </is>
      </c>
    </row>
    <row r="2363" ht="87" customHeight="1">
      <c r="A2363" s="2">
        <f>HYPERLINK("https://edmondsonsupply.com/collections/hvac/products/white-rodgers-24a34-6-24v-electric-heat-sequencer-2-dpst", "https://edmondsonsupply.com/collections/hvac/products/white-rodgers-24a34-6-24v-electric-heat-sequencer-2-dpst")</f>
        <v/>
      </c>
      <c r="B2363" s="2">
        <f>HYPERLINK("https://edmondsonsupply.com/products/white-rodgers-24a34-6-24v-electric-heat-sequencer-2-dpst", "https://edmondsonsupply.com/products/white-rodgers-24a34-6-24v-electric-heat-sequencer-2-dpst")</f>
        <v/>
      </c>
      <c r="C2363" t="inlineStr">
        <is>
          <t>White-Rodgers 24A34-6 24V Electric Heat Sequencer, 2 DPST</t>
        </is>
      </c>
      <c r="D2363" t="inlineStr">
        <is>
          <t>HVAC Parts Emerson White-Rodgers 24A34-4 24V Electric Heat Sequencer DPST</t>
        </is>
      </c>
      <c r="E2363" s="2">
        <f>HYPERLINK("https://www.amazon.com/HVAC-Parts-White-Rodgers-Electric-Sequencer/dp/B09N9VYKL1/ref=sr_1_4?keywords=White-Rodgers+24A34-6+24V+Electric+Heat+Sequencer%2C+2+DPST&amp;qid=1694734618&amp;sr=8-4", "https://www.amazon.com/HVAC-Parts-White-Rodgers-Electric-Sequencer/dp/B09N9VYKL1/ref=sr_1_4?keywords=White-Rodgers+24A34-6+24V+Electric+Heat+Sequencer%2C+2+DPST&amp;qid=1694734618&amp;sr=8-4")</f>
        <v/>
      </c>
      <c r="F2363" t="inlineStr">
        <is>
          <t>B09N9VYKL1</t>
        </is>
      </c>
      <c r="G2363">
        <f>_xlfn.IMAGE("https://edmondsonsupply.com/cdn/shop/products/24A34-6.jpg?v=1633030752")</f>
        <v/>
      </c>
      <c r="H2363">
        <f>_xlfn.IMAGE("https://m.media-amazon.com/images/I/71IXexQVGwL._AC_UL320_.jpg")</f>
        <v/>
      </c>
      <c r="K2363" t="inlineStr">
        <is>
          <t>23.5</t>
        </is>
      </c>
      <c r="L2363" t="n">
        <v>24.54</v>
      </c>
      <c r="M2363" s="1" t="inlineStr">
        <is>
          <t>4.43%</t>
        </is>
      </c>
      <c r="N2363" s="7" t="n">
        <v>852.46</v>
      </c>
      <c r="O2363" t="n">
        <v>5</v>
      </c>
      <c r="P2363" t="n">
        <v>1</v>
      </c>
      <c r="R2363" t="inlineStr">
        <is>
          <t>InStock</t>
        </is>
      </c>
      <c r="S2363" t="inlineStr">
        <is>
          <t>58.43</t>
        </is>
      </c>
      <c r="T2363" t="inlineStr">
        <is>
          <t>5896305213608</t>
        </is>
      </c>
    </row>
    <row r="2364" ht="87" customHeight="1">
      <c r="A2364" s="2">
        <f>HYPERLINK("https://edmondsonsupply.com/collections/hvac/products/imperial-535-c-kwik-charge%C2%AE-liquid-refrigerant-low-side-charger", "https://edmondsonsupply.com/collections/hvac/products/imperial-535-c-kwik-charge%C2%AE-liquid-refrigerant-low-side-charger")</f>
        <v/>
      </c>
      <c r="B2364" s="2">
        <f>HYPERLINK("https://edmondsonsupply.com/products/imperial-535-c-kwik-charge%c2%ae-liquid-refrigerant-low-side-charger", "https://edmondsonsupply.com/products/imperial-535-c-kwik-charge%c2%ae-liquid-refrigerant-low-side-charger")</f>
        <v/>
      </c>
      <c r="C2364" t="inlineStr">
        <is>
          <t>Imperial 535-C Kwik Charge® Liquid Refrigerant Low Side Charger</t>
        </is>
      </c>
      <c r="D2364" t="inlineStr">
        <is>
          <t>Imperial Tool 535C Kwik Charge Liquid Low Side Charger</t>
        </is>
      </c>
      <c r="E2364" s="2">
        <f>HYPERLINK("https://www.amazon.com/Imperial-535-C-Charge-Liquid-Charger/dp/B004RIDG02/ref=sr_1_1?keywords=Imperial+535-C+Kwik+Charge%C2%AE+Liquid+Refrigerant+Low+Side+Charger&amp;qid=1694734606&amp;sr=8-1", "https://www.amazon.com/Imperial-535-C-Charge-Liquid-Charger/dp/B004RIDG02/ref=sr_1_1?keywords=Imperial+535-C+Kwik+Charge%C2%AE+Liquid+Refrigerant+Low+Side+Charger&amp;qid=1694734606&amp;sr=8-1")</f>
        <v/>
      </c>
      <c r="F2364" t="inlineStr">
        <is>
          <t>B004RIDG02</t>
        </is>
      </c>
      <c r="G2364">
        <f>_xlfn.IMAGE("https://edmondsonsupply.com/cdn/shop/products/535-c.jpg?v=1587148089")</f>
        <v/>
      </c>
      <c r="H2364">
        <f>_xlfn.IMAGE("https://m.media-amazon.com/images/I/71Xd1kL22bL._AC_UL320_.jpg")</f>
        <v/>
      </c>
      <c r="K2364" t="inlineStr">
        <is>
          <t>33.99</t>
        </is>
      </c>
      <c r="L2364" t="n">
        <v>35.4</v>
      </c>
      <c r="M2364" s="1" t="inlineStr">
        <is>
          <t>4.15%</t>
        </is>
      </c>
      <c r="N2364" s="7" t="n">
        <v>841.83</v>
      </c>
      <c r="O2364" t="n">
        <v>4.7</v>
      </c>
      <c r="P2364" t="n">
        <v>1324</v>
      </c>
      <c r="R2364" t="inlineStr">
        <is>
          <t>InStock</t>
        </is>
      </c>
      <c r="S2364" t="inlineStr">
        <is>
          <t>41.95</t>
        </is>
      </c>
      <c r="T2364" t="inlineStr">
        <is>
          <t>4166513885284</t>
        </is>
      </c>
    </row>
    <row r="2365" ht="87" customHeight="1">
      <c r="A2365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365" s="2">
        <f>HYPERLINK("https://edmondsonsupply.com/products/klein-tools-mm300kit-digital-multimeter-electrical-test-kit", "https://edmondsonsupply.com/products/klein-tools-mm300kit-digital-multimeter-electrical-test-kit")</f>
        <v/>
      </c>
      <c r="C2365" t="inlineStr">
        <is>
          <t>Klein Tools MM320KIT Digital Multimeter Electrical Test Kit</t>
        </is>
      </c>
      <c r="D2365" t="inlineStr">
        <is>
          <t>Klein Tools 81021 Electrical Tester Tool Kit with Multimeter, Non-Contact Voltage Pen, Receptacle Tester, Wire Stripper / Cutter, 4-Piece, Orange</t>
        </is>
      </c>
      <c r="E2365" s="2">
        <f>HYPERLINK("https://www.amazon.com/Klein-Tools-81021-Electrical-Non-Contact/dp/B09N5598J2/ref=sr_1_12?keywords=Klein+Tools+MM320KIT+Digital+Multimeter+Electrical+Test+Kit&amp;qid=1694734657&amp;sr=8-12", "https://www.amazon.com/Klein-Tools-81021-Electrical-Non-Contact/dp/B09N5598J2/ref=sr_1_12?keywords=Klein+Tools+MM320KIT+Digital+Multimeter+Electrical+Test+Kit&amp;qid=1694734657&amp;sr=8-12")</f>
        <v/>
      </c>
      <c r="F2365" t="inlineStr">
        <is>
          <t>B09N5598J2</t>
        </is>
      </c>
      <c r="G2365">
        <f>_xlfn.IMAGE("https://edmondsonsupply.com/cdn/shop/products/mm320kit_photo.jpg?v=1660756496")</f>
        <v/>
      </c>
      <c r="H2365">
        <f>_xlfn.IMAGE("https://m.media-amazon.com/images/I/61J5iWONbvL._AC_UL320_.jpg")</f>
        <v/>
      </c>
      <c r="K2365" t="inlineStr">
        <is>
          <t>49.97</t>
        </is>
      </c>
      <c r="L2365" t="n">
        <v>51.99</v>
      </c>
      <c r="M2365" s="1" t="inlineStr">
        <is>
          <t>4.04%</t>
        </is>
      </c>
      <c r="N2365" s="7" t="n">
        <v>840.14</v>
      </c>
      <c r="O2365" t="n">
        <v>4.8</v>
      </c>
      <c r="P2365" t="n">
        <v>39</v>
      </c>
      <c r="R2365" t="inlineStr">
        <is>
          <t>InStock</t>
        </is>
      </c>
      <c r="S2365" t="inlineStr">
        <is>
          <t>79.3</t>
        </is>
      </c>
      <c r="T2365" t="inlineStr">
        <is>
          <t>7783570309336</t>
        </is>
      </c>
    </row>
    <row r="2366" hidden="1" ht="15.75" customHeight="1">
      <c r="A2366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2366" s="2">
        <f>HYPERLINK("https://edmondsonsupply.com/products/packard-prmj216-motor-start-capacitor-216-259-mfd-330-vac", "https://edmondsonsupply.com/products/packard-prmj216-motor-start-capacitor-216-259-mfd-330-vac")</f>
        <v/>
      </c>
      <c r="C2366" t="inlineStr">
        <is>
          <t>Packard PRMJ216 Motor Start Capacitor 216-259 MFD 330 VAC</t>
        </is>
      </c>
      <c r="D2366" t="inlineStr">
        <is>
          <t>PMJ216 - Packard Upgraded Replacement Motor Start Capacitor 216-259 MFD 110-125 Volt VAC</t>
        </is>
      </c>
      <c r="E2366" s="2">
        <f>HYPERLINK("https://www.amazon.com/PMJ216-Packard-Upgraded-Replacement-Capacitor/dp/B0773XR2MH/ref=sr_1_6?keywords=Packard+PRMJ216+Motor+Start+Capacitor+216-259+MFD+330+VAC&amp;qid=1694734827&amp;sr=8-6", "https://www.amazon.com/PMJ216-Packard-Upgraded-Replacement-Capacitor/dp/B0773XR2MH/ref=sr_1_6?keywords=Packard+PRMJ216+Motor+Start+Capacitor+216-259+MFD+330+VAC&amp;qid=1694734827&amp;sr=8-6")</f>
        <v/>
      </c>
      <c r="F2366" t="inlineStr">
        <is>
          <t>B0773XR2MH</t>
        </is>
      </c>
      <c r="G2366">
        <f>_xludf.IMAGE("https://edmondsonsupply.com/cdn/shop/products/PRMJ216-2.jpg?v=1633030106")</f>
        <v/>
      </c>
      <c r="H2366">
        <f>_xludf.IMAGE("https://m.media-amazon.com/images/I/41fqQrQgJaL._AC_UY218_.jpg")</f>
        <v/>
      </c>
      <c r="K2366" t="inlineStr">
        <is>
          <t>8.94</t>
        </is>
      </c>
      <c r="L2366" t="n">
        <v>9.300000000000001</v>
      </c>
      <c r="M2366" s="1" t="inlineStr">
        <is>
          <t>4.03%</t>
        </is>
      </c>
      <c r="N2366" s="1" t="n">
        <v>838.55</v>
      </c>
      <c r="O2366" t="n">
        <v>4</v>
      </c>
      <c r="P2366" t="n">
        <v>10</v>
      </c>
      <c r="R2366" t="inlineStr">
        <is>
          <t>InStock</t>
        </is>
      </c>
      <c r="S2366" t="inlineStr">
        <is>
          <t>undefined</t>
        </is>
      </c>
      <c r="T2366" t="inlineStr">
        <is>
          <t>3595512217700</t>
        </is>
      </c>
    </row>
    <row r="2367" ht="87" customHeight="1">
      <c r="A2367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2367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2367" t="inlineStr">
        <is>
          <t>Klein Tools NCVT1XTKIT Non-Contact Voltage and GFCI Receptacle Premium Test Kit</t>
        </is>
      </c>
      <c r="D2367" t="inlineStr">
        <is>
          <t>Klein Tools 80097 Beginner Tester Kit with GFCI Outlet and Receptacle Tester, Electronic Voltage Tester, Non-Contact Voltage Tester, 3-Piece Red</t>
        </is>
      </c>
      <c r="E2367" s="2">
        <f>HYPERLINK("https://www.amazon.com/Klein-Tools-80097-Beginner-3-Piece/dp/B0B7Z178B1/ref=sr_1_5?keywords=Klein+Tools+NCVT1XTKIT+Non-Contact+Voltage+and+GFCI+Receptacle+Premium+Test+Kit&amp;qid=1694734686&amp;sr=8-5", "https://www.amazon.com/Klein-Tools-80097-Beginner-3-Piece/dp/B0B7Z178B1/ref=sr_1_5?keywords=Klein+Tools+NCVT1XTKIT+Non-Contact+Voltage+and+GFCI+Receptacle+Premium+Test+Kit&amp;qid=1694734686&amp;sr=8-5")</f>
        <v/>
      </c>
      <c r="F2367" t="inlineStr">
        <is>
          <t>B0B7Z178B1</t>
        </is>
      </c>
      <c r="G2367">
        <f>_xlfn.IMAGE("https://edmondsonsupply.com/cdn/shop/products/ncvt1xtkit.jpg?v=1674497102")</f>
        <v/>
      </c>
      <c r="H2367">
        <f>_xlfn.IMAGE("https://m.media-amazon.com/images/I/51TWbZ0INyL._AC_UL320_.jpg")</f>
        <v/>
      </c>
      <c r="K2367" t="inlineStr">
        <is>
          <t>24.99</t>
        </is>
      </c>
      <c r="L2367" t="n">
        <v>25.99</v>
      </c>
      <c r="M2367" s="1" t="inlineStr">
        <is>
          <t>4.00%</t>
        </is>
      </c>
      <c r="N2367" s="7" t="n">
        <v>836.71</v>
      </c>
      <c r="O2367" t="n">
        <v>4.7</v>
      </c>
      <c r="P2367" t="n">
        <v>118</v>
      </c>
      <c r="R2367" t="inlineStr">
        <is>
          <t>InStock</t>
        </is>
      </c>
      <c r="S2367" t="inlineStr">
        <is>
          <t>32.98</t>
        </is>
      </c>
      <c r="T2367" t="inlineStr">
        <is>
          <t>7931949187288</t>
        </is>
      </c>
    </row>
    <row r="2368" hidden="1" ht="15.75" customHeight="1">
      <c r="A2368" s="2">
        <f>HYPERLINK("https://edmondsonsupply.com/collections/hvac/products/appion-mh380001bab-megaflow-megaflow-3-8in-hose-1-ft-1-4fl-to-1-4fl-45-blue", "https://edmondsonsupply.com/collections/hvac/products/appion-mh380001bab-megaflow-megaflow-3-8in-hose-1-ft-1-4fl-to-1-4fl-45-blue")</f>
        <v/>
      </c>
      <c r="B2368" s="2">
        <f>HYPERLINK("https://edmondsonsupply.com/products/appion-mh380001bab-megaflow-megaflow-3-8in-hose-1-ft-1-4fl-to-1-4fl-45-blue", "https://edmondsonsupply.com/products/appion-mh380001bab-megaflow-megaflow-3-8in-hose-1-ft-1-4fl-to-1-4fl-45-blue")</f>
        <v/>
      </c>
      <c r="C2368" t="inlineStr">
        <is>
          <t>Appion MH380001BAB MegaFlow 3/8in Hose - 1 ft (1/4FL to 1/4FL-45°) Blue</t>
        </is>
      </c>
      <c r="D2368" t="inlineStr">
        <is>
          <t>Appion MH380001BAB - MegaFlow 3/8in Hose - 1 ft (1/4FL to 1/4FL-45°) Blue</t>
        </is>
      </c>
      <c r="E2368" s="2">
        <f>HYPERLINK("https://www.amazon.com/Appion-MH380001BAB-MegaFlow-Filter-Degrees/dp/B08BR98WQB/ref=sr_1_1?keywords=Appion+MH380001BAB+MegaFlow+3%2F8in+Hose+-+1+ft+%281%2F4FL+to+1%2F4FL-45%C2%B0%29+Blue&amp;qid=1694734683&amp;sr=8-1", "https://www.amazon.com/Appion-MH380001BAB-MegaFlow-Filter-Degrees/dp/B08BR98WQB/ref=sr_1_1?keywords=Appion+MH380001BAB+MegaFlow+3%2F8in+Hose+-+1+ft+%281%2F4FL+to+1%2F4FL-45%C2%B0%29+Blue&amp;qid=1694734683&amp;sr=8-1")</f>
        <v/>
      </c>
      <c r="F2368" t="inlineStr">
        <is>
          <t>B08BR98WQB</t>
        </is>
      </c>
      <c r="G2368">
        <f>_xludf.IMAGE("https://edmondsonsupply.com/cdn/shop/products/MH380001BAB_1080.png?v=1678328641")</f>
        <v/>
      </c>
      <c r="H2368">
        <f>_xludf.IMAGE("https://m.media-amazon.com/images/I/31SeKRPf6nL._AC_UL320_.jpg")</f>
        <v/>
      </c>
      <c r="K2368" t="inlineStr">
        <is>
          <t>43.99</t>
        </is>
      </c>
      <c r="L2368" t="n">
        <v>45.72</v>
      </c>
      <c r="M2368" s="1" t="inlineStr">
        <is>
          <t>3.93%</t>
        </is>
      </c>
      <c r="N2368" s="1" t="n">
        <v>836.71</v>
      </c>
      <c r="O2368" t="n">
        <v>3.9</v>
      </c>
      <c r="P2368" t="n">
        <v>8</v>
      </c>
      <c r="R2368" t="inlineStr">
        <is>
          <t>InStock</t>
        </is>
      </c>
      <c r="S2368" t="inlineStr">
        <is>
          <t>54.99</t>
        </is>
      </c>
      <c r="T2368" t="inlineStr">
        <is>
          <t>7958665167064</t>
        </is>
      </c>
    </row>
    <row r="2369" ht="87" customHeight="1">
      <c r="A2369" s="2">
        <f>HYPERLINK("https://edmondsonsupply.com/collections/hvac/products/supco-sb100-shaft-blaster-motor-shaft-cutting-tool", "https://edmondsonsupply.com/collections/hvac/products/supco-sb100-shaft-blaster-motor-shaft-cutting-tool")</f>
        <v/>
      </c>
      <c r="B2369" s="2">
        <f>HYPERLINK("https://edmondsonsupply.com/products/supco-sb100-shaft-blaster-motor-shaft-cutting-tool", "https://edmondsonsupply.com/products/supco-sb100-shaft-blaster-motor-shaft-cutting-tool")</f>
        <v/>
      </c>
      <c r="C2369" t="inlineStr">
        <is>
          <t>Supco SB100 Shaft Blaster - Motor Shaft Cutting Tool</t>
        </is>
      </c>
      <c r="D2369" t="inlineStr">
        <is>
          <t>Supco SB100 Motor Shaft Blaster Cutting Tool HVAC Tool</t>
        </is>
      </c>
      <c r="E2369" s="2">
        <f>HYPERLINK("https://www.amazon.com/Supco-SB100-Motor-Blaster-Cutting/dp/B08P3Z57MY/ref=sr_1_1?keywords=Supco+SB100+Shaft+Blaster+-+Motor+Shaft+Cutting+Tool&amp;qid=1694734786&amp;sr=8-1", "https://www.amazon.com/Supco-SB100-Motor-Blaster-Cutting/dp/B08P3Z57MY/ref=sr_1_1?keywords=Supco+SB100+Shaft+Blaster+-+Motor+Shaft+Cutting+Tool&amp;qid=1694734786&amp;sr=8-1")</f>
        <v/>
      </c>
      <c r="F2369" t="inlineStr">
        <is>
          <t>B08P3Z57MY</t>
        </is>
      </c>
      <c r="G2369">
        <f>_xlfn.IMAGE("https://edmondsonsupply.com/cdn/shop/products/sb100-1.jpg?v=1633030480")</f>
        <v/>
      </c>
      <c r="H2369">
        <f>_xlfn.IMAGE("https://m.media-amazon.com/images/I/61nbbfpFpZL._AC_UL320_.jpg")</f>
        <v/>
      </c>
      <c r="K2369" t="inlineStr">
        <is>
          <t>138.6</t>
        </is>
      </c>
      <c r="L2369" t="n">
        <v>143.99</v>
      </c>
      <c r="M2369" s="1" t="inlineStr">
        <is>
          <t>3.89%</t>
        </is>
      </c>
      <c r="N2369" s="7" t="n">
        <v>832.59</v>
      </c>
      <c r="O2369" t="n">
        <v>4.5</v>
      </c>
      <c r="P2369" t="n">
        <v>3</v>
      </c>
      <c r="R2369" t="inlineStr">
        <is>
          <t>InStock</t>
        </is>
      </c>
      <c r="S2369" t="inlineStr">
        <is>
          <t>undefined</t>
        </is>
      </c>
      <c r="T2369" t="inlineStr">
        <is>
          <t>5370497892520</t>
        </is>
      </c>
    </row>
    <row r="2370" ht="87" customHeight="1">
      <c r="A2370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2370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2370" t="inlineStr">
        <is>
          <t>ICM Controls ICM2813 Furnace Control Board - Replacement for Lennox</t>
        </is>
      </c>
      <c r="D2370" t="inlineStr">
        <is>
          <t>ICM Controls ICM286 Furnace Control Board Replacement for Goodman PCBBF112S, B1809926S, 0130F00005S Control Boards</t>
        </is>
      </c>
      <c r="E2370" s="2">
        <f>HYPERLINK("https://www.amazon.com/ICM-Controls-ICM286-Replacement-0130F00005S/dp/B00QW2U7KS/ref=sr_1_3?keywords=ICM+Controls+ICM2813+Furnace+Control+Board+-+Replacement+for+Lennox&amp;qid=1694734575&amp;sr=8-3", "https://www.amazon.com/ICM-Controls-ICM286-Replacement-0130F00005S/dp/B00QW2U7KS/ref=sr_1_3?keywords=ICM+Controls+ICM2813+Furnace+Control+Board+-+Replacement+for+Lennox&amp;qid=1694734575&amp;sr=8-3")</f>
        <v/>
      </c>
      <c r="F2370" t="inlineStr">
        <is>
          <t>B00QW2U7KS</t>
        </is>
      </c>
      <c r="G2370">
        <f>_xlfn.IMAGE("https://edmondsonsupply.com/cdn/shop/products/ICM2813.jpg?v=1666552363")</f>
        <v/>
      </c>
      <c r="H2370">
        <f>_xlfn.IMAGE("https://m.media-amazon.com/images/I/71CBn8jMCiL._AC_UL320_.jpg")</f>
        <v/>
      </c>
      <c r="K2370" t="inlineStr">
        <is>
          <t>99.99</t>
        </is>
      </c>
      <c r="L2370" t="n">
        <v>103.85</v>
      </c>
      <c r="M2370" s="1" t="inlineStr">
        <is>
          <t>3.86%</t>
        </is>
      </c>
      <c r="N2370" s="7" t="n">
        <v>832.15</v>
      </c>
      <c r="O2370" t="n">
        <v>4.3</v>
      </c>
      <c r="P2370" t="n">
        <v>157</v>
      </c>
      <c r="R2370" t="inlineStr">
        <is>
          <t>InStock</t>
        </is>
      </c>
      <c r="S2370" t="inlineStr">
        <is>
          <t>111.21</t>
        </is>
      </c>
      <c r="T2370" t="inlineStr">
        <is>
          <t>7864012341464</t>
        </is>
      </c>
    </row>
    <row r="2371" ht="87" customHeight="1">
      <c r="A2371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371" s="2">
        <f>HYPERLINK("https://edmondsonsupply.com/products/diablo-tools-dag1130-1-in-x-7-1-2-in-auger-bit", "https://edmondsonsupply.com/products/diablo-tools-dag1130-1-in-x-7-1-2-in-auger-bit")</f>
        <v/>
      </c>
      <c r="C2371" t="inlineStr">
        <is>
          <t>Diablo Tools DAG1130 1 in. x 7-1/2 in. Auger Bit</t>
        </is>
      </c>
      <c r="D2371" t="inlineStr">
        <is>
          <t>Diablo 1 in. x 7-1/2 in. Auger Bit</t>
        </is>
      </c>
      <c r="E2371" s="2">
        <f>HYPERLINK("https://www.amazon.com/Diablo-7-1-Auger-Bit/dp/B089LHLLW4/ref=sr_1_1?keywords=Diablo+Tools+DAG1130+1+in.+x+7-1%2F2+in.+Auger+Bit&amp;qid=1694734776&amp;sr=8-1", "https://www.amazon.com/Diablo-7-1-Auger-Bit/dp/B089LHLLW4/ref=sr_1_1?keywords=Diablo+Tools+DAG1130+1+in.+x+7-1%2F2+in.+Auger+Bit&amp;qid=1694734776&amp;sr=8-1")</f>
        <v/>
      </c>
      <c r="F2371" t="inlineStr">
        <is>
          <t>B089LHLLW4</t>
        </is>
      </c>
      <c r="G2371">
        <f>_xlfn.IMAGE("https://edmondsonsupply.com/cdn/shop/products/DAG1130_Main-Image20200712.png?v=1633031124")</f>
        <v/>
      </c>
      <c r="H2371">
        <f>_xlfn.IMAGE("https://m.media-amazon.com/images/I/61bFULmp4GL._AC_UL320_.jpg")</f>
        <v/>
      </c>
      <c r="K2371" t="inlineStr">
        <is>
          <t>16.37</t>
        </is>
      </c>
      <c r="L2371" t="n">
        <v>17</v>
      </c>
      <c r="M2371" s="1" t="inlineStr">
        <is>
          <t>3.85%</t>
        </is>
      </c>
      <c r="N2371" s="7" t="n">
        <v>828.46</v>
      </c>
      <c r="O2371" t="n">
        <v>4.4</v>
      </c>
      <c r="P2371" t="n">
        <v>38</v>
      </c>
      <c r="R2371" t="inlineStr">
        <is>
          <t>InStock</t>
        </is>
      </c>
      <c r="S2371" t="inlineStr">
        <is>
          <t>25.94</t>
        </is>
      </c>
      <c r="T2371" t="inlineStr">
        <is>
          <t>6866560581805</t>
        </is>
      </c>
    </row>
    <row r="2372" ht="87" customHeight="1">
      <c r="A2372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2372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2372" t="inlineStr">
        <is>
          <t>Diablo Tools DMAMXCC5050 4 in. x 7 in. SDS-Max Carbide Tipped Core Bit</t>
        </is>
      </c>
      <c r="D2372" t="inlineStr">
        <is>
          <t>Diablo 4 in. x 7 in. SDS-Max Carbide Tipped Core Bit</t>
        </is>
      </c>
      <c r="E2372" s="2">
        <f>HYPERLINK("https://www.amazon.com/Diablo-SDS-Max-Carbide-Tipped-Core/dp/B089M8ST7R/ref=sr_1_1?keywords=Diablo+Tools+DMAMXCC5050+4+in.+x+7+in.+SDS-Max+Carbide+Tipped+Core+Bit&amp;qid=1694734908&amp;sr=8-1", "https://www.amazon.com/Diablo-SDS-Max-Carbide-Tipped-Core/dp/B089M8ST7R/ref=sr_1_1?keywords=Diablo+Tools+DMAMXCC5050+4+in.+x+7+in.+SDS-Max+Carbide+Tipped+Core+Bit&amp;qid=1694734908&amp;sr=8-1")</f>
        <v/>
      </c>
      <c r="F2372" t="inlineStr">
        <is>
          <t>B089M8ST7R</t>
        </is>
      </c>
      <c r="G2372">
        <f>_xlfn.IMAGE("https://edmondsonsupply.com/cdn/shop/files/yghx7uqdjxchri5fikny.webp?v=1686586834")</f>
        <v/>
      </c>
      <c r="H2372">
        <f>_xlfn.IMAGE("https://m.media-amazon.com/images/I/71bh3TRvqmL._AC_UL320_.jpg")</f>
        <v/>
      </c>
      <c r="K2372" t="inlineStr">
        <is>
          <t>151.4</t>
        </is>
      </c>
      <c r="L2372" t="n">
        <v>157.21</v>
      </c>
      <c r="M2372" s="1" t="inlineStr">
        <is>
          <t>3.84%</t>
        </is>
      </c>
      <c r="N2372" s="7" t="n">
        <v>826.85</v>
      </c>
      <c r="O2372" t="n">
        <v>4.7</v>
      </c>
      <c r="P2372" t="n">
        <v>8</v>
      </c>
      <c r="R2372" t="inlineStr">
        <is>
          <t>InStock</t>
        </is>
      </c>
      <c r="S2372" t="inlineStr">
        <is>
          <t>240.33</t>
        </is>
      </c>
      <c r="T2372" t="inlineStr">
        <is>
          <t>8004510908632</t>
        </is>
      </c>
    </row>
    <row r="2373" ht="87" customHeight="1">
      <c r="A2373" s="2">
        <f>HYPERLINK("https://edmondsonsupply.com/collections/hvac/products/robertshaw-710-205-hydraulic-snap-action-low-capacity-gas-valve", "https://edmondsonsupply.com/collections/hvac/products/robertshaw-710-205-hydraulic-snap-action-low-capacity-gas-valve")</f>
        <v/>
      </c>
      <c r="B2373" s="2">
        <f>HYPERLINK("https://edmondsonsupply.com/products/robertshaw-710-205-hydraulic-snap-action-low-capacity-gas-valve", "https://edmondsonsupply.com/products/robertshaw-710-205-hydraulic-snap-action-low-capacity-gas-valve")</f>
        <v/>
      </c>
      <c r="C2373" t="inlineStr">
        <is>
          <t>Robertshaw 710-205 Hydraulic Snap-Action Low Capacity Gas Valve</t>
        </is>
      </c>
      <c r="D2373" t="inlineStr">
        <is>
          <t>Robertshaw 710-205 Low-Profile Hydraulic Snap Action Gas Valve</t>
        </is>
      </c>
      <c r="E2373" s="2">
        <f>HYPERLINK("https://www.amazon.com/Robertshaw-710-205-Low-Profile-Hydraulic-Action/dp/B00VWGYSVS/ref=sr_1_1?keywords=Robertshaw+710-205+Hydraulic+Snap-Action+Low+Capacity+Gas+Valve&amp;qid=1694734831&amp;sr=8-1", "https://www.amazon.com/Robertshaw-710-205-Low-Profile-Hydraulic-Action/dp/B00VWGYSVS/ref=sr_1_1?keywords=Robertshaw+710-205+Hydraulic+Snap-Action+Low+Capacity+Gas+Valve&amp;qid=1694734831&amp;sr=8-1")</f>
        <v/>
      </c>
      <c r="F2373" t="inlineStr">
        <is>
          <t>B00VWGYSVS</t>
        </is>
      </c>
      <c r="G2373">
        <f>_xlfn.IMAGE("https://edmondsonsupply.com/cdn/shop/files/710-205.jpg?v=1694621932")</f>
        <v/>
      </c>
      <c r="H2373">
        <f>_xlfn.IMAGE("https://m.media-amazon.com/images/I/8139453F-UL._AC_UY218_.jpg")</f>
        <v/>
      </c>
      <c r="K2373" t="inlineStr">
        <is>
          <t>165.15</t>
        </is>
      </c>
      <c r="L2373" t="n">
        <v>171.46</v>
      </c>
      <c r="M2373" s="1" t="inlineStr">
        <is>
          <t>3.82%</t>
        </is>
      </c>
      <c r="N2373" s="7" t="n">
        <v>818.88</v>
      </c>
      <c r="O2373" t="n">
        <v>4.6</v>
      </c>
      <c r="P2373" t="n">
        <v>51</v>
      </c>
      <c r="R2373" t="inlineStr">
        <is>
          <t>InStock</t>
        </is>
      </c>
      <c r="S2373" t="inlineStr">
        <is>
          <t>undefined</t>
        </is>
      </c>
      <c r="T2373" t="inlineStr">
        <is>
          <t>8036857708760</t>
        </is>
      </c>
    </row>
    <row r="2374" ht="87" customHeight="1">
      <c r="A2374" s="2">
        <f>HYPERLINK("https://edmondsonsupply.com/collections/hvac/products/testo-0638-1557-external-vacuum-probe-for-testo-557", "https://edmondsonsupply.com/collections/hvac/products/testo-0638-1557-external-vacuum-probe-for-testo-557")</f>
        <v/>
      </c>
      <c r="B2374" s="2">
        <f>HYPERLINK("https://edmondsonsupply.com/products/testo-0638-1557-external-vacuum-probe-for-testo-557", "https://edmondsonsupply.com/products/testo-0638-1557-external-vacuum-probe-for-testo-557")</f>
        <v/>
      </c>
      <c r="C2374" t="inlineStr">
        <is>
          <t>Testo 0638 1557 External Vacuum Probe for Testo 557</t>
        </is>
      </c>
      <c r="D2374" t="inlineStr">
        <is>
          <t>Testo - 0638 1557 External Vacuum Probe for 557</t>
        </is>
      </c>
      <c r="E2374" s="2">
        <f>HYPERLINK("https://www.amazon.com/Testo-External-Vacuum-Digital-Manifold/dp/B074JHGHMN/ref=sr_1_1?keywords=Testo+0638+1557+External+Vacuum+Probe+for+Testo+557&amp;qid=1694734835&amp;sr=8-1", "https://www.amazon.com/Testo-External-Vacuum-Digital-Manifold/dp/B074JHGHMN/ref=sr_1_1?keywords=Testo+0638+1557+External+Vacuum+Probe+for+Testo+557&amp;qid=1694734835&amp;sr=8-1")</f>
        <v/>
      </c>
      <c r="F2374" t="inlineStr">
        <is>
          <t>B074JHGHMN</t>
        </is>
      </c>
      <c r="G2374">
        <f>_xlfn.IMAGE("https://edmondsonsupply.com/cdn/shop/products/0638-1557-image_master.jpg?v=1587151029")</f>
        <v/>
      </c>
      <c r="H2374">
        <f>_xlfn.IMAGE("https://m.media-amazon.com/images/I/31RsVYkCJQL._AC_UY218_.jpg")</f>
        <v/>
      </c>
      <c r="K2374" t="inlineStr">
        <is>
          <t>192.95</t>
        </is>
      </c>
      <c r="L2374" t="n">
        <v>199.99</v>
      </c>
      <c r="M2374" s="1" t="inlineStr">
        <is>
          <t>3.65%</t>
        </is>
      </c>
      <c r="N2374" s="7" t="n">
        <v>811.49</v>
      </c>
      <c r="O2374" t="n">
        <v>4.5</v>
      </c>
      <c r="P2374" t="n">
        <v>20</v>
      </c>
      <c r="R2374" t="inlineStr">
        <is>
          <t>OutOfStock</t>
        </is>
      </c>
      <c r="S2374" t="inlineStr">
        <is>
          <t>227.0</t>
        </is>
      </c>
      <c r="T2374" t="inlineStr">
        <is>
          <t>4328741404772</t>
        </is>
      </c>
    </row>
    <row r="2375" ht="87" customHeight="1">
      <c r="A2375" s="2">
        <f>HYPERLINK("https://edmondsonsupply.com/collections/hvac/products/midwest-mwt-ss6510r-special-hardness-offset-aviation-snip-right-cutting", "https://edmondsonsupply.com/collections/hvac/products/midwest-mwt-ss6510r-special-hardness-offset-aviation-snip-right-cutting")</f>
        <v/>
      </c>
      <c r="B2375" s="2">
        <f>HYPERLINK("https://edmondsonsupply.com/products/midwest-mwt-ss6510r-special-hardness-offset-aviation-snip-right-cutting", "https://edmondsonsupply.com/products/midwest-mwt-ss6510r-special-hardness-offset-aviation-snip-right-cutting")</f>
        <v/>
      </c>
      <c r="C2375" t="inlineStr">
        <is>
          <t>Midwest MWT-SS6510R Special Hardness Offset Aviation Snip - Right-Cutting</t>
        </is>
      </c>
      <c r="D2375" t="inlineStr">
        <is>
          <t>MIDWEST Aviation Snip - Right Cut Offset Stainless Steel Cutting Shears with Forged Blade &amp; KUSH'N-POWER Comfort Grips - MWT-SS6510R</t>
        </is>
      </c>
      <c r="E2375" s="2">
        <f>HYPERLINK("https://www.amazon.com/MIDWEST-Aviation-Snip-KUSHN-POWER-MWT-SS6510R/dp/B00OMSVOZ6/ref=sr_1_2?keywords=Midwest+MWT-SS6510R+Special+Hardness+Offset+Aviation+Snip+-+Right-Cutting&amp;qid=1694734585&amp;sr=8-2", "https://www.amazon.com/MIDWEST-Aviation-Snip-KUSHN-POWER-MWT-SS6510R/dp/B00OMSVOZ6/ref=sr_1_2?keywords=Midwest+MWT-SS6510R+Special+Hardness+Offset+Aviation+Snip+-+Right-Cutting&amp;qid=1694734585&amp;sr=8-2")</f>
        <v/>
      </c>
      <c r="F2375" t="inlineStr">
        <is>
          <t>B00OMSVOZ6</t>
        </is>
      </c>
      <c r="G2375">
        <f>_xlfn.IMAGE("https://edmondsonsupply.com/cdn/shop/products/MWT-SSP6510R.jpg?v=1587142544")</f>
        <v/>
      </c>
      <c r="H2375">
        <f>_xlfn.IMAGE("https://m.media-amazon.com/images/I/6111Xzz5-TL._AC_UL320_.jpg")</f>
        <v/>
      </c>
      <c r="K2375" t="inlineStr">
        <is>
          <t>32.15</t>
        </is>
      </c>
      <c r="L2375" t="n">
        <v>33.32</v>
      </c>
      <c r="M2375" s="1" t="inlineStr">
        <is>
          <t>3.64%</t>
        </is>
      </c>
      <c r="N2375" s="7" t="n">
        <v>789.77</v>
      </c>
      <c r="O2375" t="n">
        <v>4.3</v>
      </c>
      <c r="P2375" t="n">
        <v>99</v>
      </c>
      <c r="R2375" t="inlineStr">
        <is>
          <t>OutOfStock</t>
        </is>
      </c>
      <c r="S2375" t="inlineStr">
        <is>
          <t>47.17</t>
        </is>
      </c>
      <c r="T2375" t="inlineStr">
        <is>
          <t>4473073107044</t>
        </is>
      </c>
    </row>
    <row r="2376" hidden="1" ht="15.75" customHeight="1">
      <c r="A2376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376" s="2">
        <f>HYPERLINK("https://edmondsonsupply.com/products/klein-tools-646-5-16-5-16-inch-nut-driver-6-inch-hollow-shaft", "https://edmondsonsupply.com/products/klein-tools-646-5-16-5-16-inch-nut-driver-6-inch-hollow-shaft")</f>
        <v/>
      </c>
      <c r="C2376" t="inlineStr">
        <is>
          <t>Klein Tools 646-5/16 5/16-Inch Nut Driver, 6-Inch Hollow Shaft</t>
        </is>
      </c>
      <c r="D2376" t="inlineStr">
        <is>
          <t>Crescent CND3V 5/16-Inch Hollow Shaft Cushion Grip Nutdriver, Red/Black</t>
        </is>
      </c>
      <c r="E2376" s="2">
        <f>HYPERLINK("https://www.amazon.com/Crescent-CND3V-16-Inch-Cushion-Nutdriver/dp/B00931QHGS/ref=sr_1_33?keywords=Klein+Tools+646-5%2F16+5%2F16-Inch+Nut+Driver%2C+6-Inch+Hollow+Shaft&amp;qid=1694734728&amp;sr=8-33", "https://www.amazon.com/Crescent-CND3V-16-Inch-Cushion-Nutdriver/dp/B00931QHGS/ref=sr_1_33?keywords=Klein+Tools+646-5%2F16+5%2F16-Inch+Nut+Driver%2C+6-Inch+Hollow+Shaft&amp;qid=1694734728&amp;sr=8-33")</f>
        <v/>
      </c>
      <c r="F2376" t="inlineStr">
        <is>
          <t>B00931QHGS</t>
        </is>
      </c>
      <c r="G2376">
        <f>_xludf.IMAGE("https://edmondsonsupply.com/cdn/shop/products/646-1-2_e1540905-f750-4509-90c5-74ff653e4d83.jpg?v=1587145119")</f>
        <v/>
      </c>
      <c r="H2376">
        <f>_xludf.IMAGE("https://m.media-amazon.com/images/I/51oqCIqXaFL._AC_UL320_.jpg")</f>
        <v/>
      </c>
      <c r="K2376" t="inlineStr">
        <is>
          <t>7.99</t>
        </is>
      </c>
      <c r="L2376" t="n">
        <v>8.27</v>
      </c>
      <c r="M2376" s="1" t="inlineStr">
        <is>
          <t>3.50%</t>
        </is>
      </c>
      <c r="N2376" s="1" t="n">
        <v>789.77</v>
      </c>
      <c r="O2376" t="n">
        <v>4</v>
      </c>
      <c r="P2376" t="n">
        <v>31</v>
      </c>
      <c r="R2376" t="inlineStr">
        <is>
          <t>InStock</t>
        </is>
      </c>
      <c r="S2376" t="inlineStr">
        <is>
          <t>12.1</t>
        </is>
      </c>
      <c r="T2376" t="inlineStr">
        <is>
          <t>4395303272548</t>
        </is>
      </c>
    </row>
    <row r="2377" hidden="1" ht="15.75" customHeight="1">
      <c r="A2377" s="2">
        <f>HYPERLINK("https://edmondsonsupply.com/collections/hvac/products/hilmor-1839052-dbur-deburrer-1-4-to-1-5-8", "https://edmondsonsupply.com/collections/hvac/products/hilmor-1839052-dbur-deburrer-1-4-to-1-5-8")</f>
        <v/>
      </c>
      <c r="B2377" s="2">
        <f>HYPERLINK("https://edmondsonsupply.com/products/hilmor-1839052-dbur-deburrer-1-4-to-1-5-8", "https://edmondsonsupply.com/products/hilmor-1839052-dbur-deburrer-1-4-to-1-5-8")</f>
        <v/>
      </c>
      <c r="C2377" t="inlineStr">
        <is>
          <t>Hilmor 1839052 DBUR Deburrer, 1/4" to 1-5/8"</t>
        </is>
      </c>
      <c r="D2377" t="inlineStr">
        <is>
          <t>hilmor 1839052 Deburrer, 1/4" to 1-5/8"</t>
        </is>
      </c>
      <c r="E2377" s="2">
        <f>HYPERLINK("https://www.amazon.com/Hilmor-1839052-hilmor-Deburrer-1-5/dp/B00F8QLBA4/ref=sr_1_1?keywords=Hilmor+1839052+DBUR+Deburrer%2C+1%2F4%22+to+1-5%2F8%22&amp;qid=1694734620&amp;sr=8-1", "https://www.amazon.com/Hilmor-1839052-hilmor-Deburrer-1-5/dp/B00F8QLBA4/ref=sr_1_1?keywords=Hilmor+1839052+DBUR+Deburrer%2C+1%2F4%22+to+1-5%2F8%22&amp;qid=1694734620&amp;sr=8-1")</f>
        <v/>
      </c>
      <c r="F2377" t="inlineStr">
        <is>
          <t>B00F8QLBA4</t>
        </is>
      </c>
      <c r="G2377">
        <f>_xludf.IMAGE("https://edmondsonsupply.com/cdn/shop/products/1839052-2.jpg?v=1587150270")</f>
        <v/>
      </c>
      <c r="H2377">
        <f>_xludf.IMAGE("https://m.media-amazon.com/images/I/71NNv0nFGvL._AC_UY218_.jpg")</f>
        <v/>
      </c>
      <c r="K2377" t="inlineStr">
        <is>
          <t>14.49</t>
        </is>
      </c>
      <c r="L2377" t="n">
        <v>14.99</v>
      </c>
      <c r="M2377" s="1" t="inlineStr">
        <is>
          <t>3.45%</t>
        </is>
      </c>
      <c r="N2377" s="1" t="n">
        <v>789.77</v>
      </c>
      <c r="O2377" t="n">
        <v>4</v>
      </c>
      <c r="P2377" t="n">
        <v>14</v>
      </c>
      <c r="R2377" t="inlineStr">
        <is>
          <t>InStock</t>
        </is>
      </c>
      <c r="S2377" t="inlineStr">
        <is>
          <t>47.24</t>
        </is>
      </c>
      <c r="T2377" t="inlineStr">
        <is>
          <t>4337582178404</t>
        </is>
      </c>
    </row>
    <row r="2378" ht="87" customHeight="1">
      <c r="A2378" s="2">
        <f>HYPERLINK("https://edmondsonsupply.com/collections/hvac/products/hilmor-1839054-3-quick-change-magnetic-nut-driver-1-4-5-16", "https://edmondsonsupply.com/collections/hvac/products/hilmor-1839054-3-quick-change-magnetic-nut-driver-1-4-5-16")</f>
        <v/>
      </c>
      <c r="B2378" s="2">
        <f>HYPERLINK("https://edmondsonsupply.com/products/hilmor-1839054-3-quick-change-magnetic-nut-driver-1-4-5-16", "https://edmondsonsupply.com/products/hilmor-1839054-3-quick-change-magnetic-nut-driver-1-4-5-16")</f>
        <v/>
      </c>
      <c r="C2378" t="inlineStr">
        <is>
          <t>Hilmor 1839054 3" Quick-Change Magnetic Nut Driver, 1/4" &amp; 5/16"</t>
        </is>
      </c>
      <c r="D2378" t="inlineStr">
        <is>
          <t>"Hilmor 1891260 Quick Change Magnetic Nut Driver, 3"" 1/4"" + 5/16"" - HVAC Tool" (1839054)</t>
        </is>
      </c>
      <c r="E2378" s="2">
        <f>HYPERLINK("https://www.amazon.com/hilmor-1839054-Change-Magnetic-Driver/dp/B00FFMMV78/ref=sr_1_1?keywords=Hilmor+1839054+3%22+Quick-Change+Magnetic+Nut+Driver%2C+1%2F4%22+%26+5%2F16%22&amp;qid=1694734833&amp;sr=8-1", "https://www.amazon.com/hilmor-1839054-Change-Magnetic-Driver/dp/B00FFMMV78/ref=sr_1_1?keywords=Hilmor+1839054+3%22+Quick-Change+Magnetic+Nut+Driver%2C+1%2F4%22+%26+5%2F16%22&amp;qid=1694734833&amp;sr=8-1")</f>
        <v/>
      </c>
      <c r="F2378" t="inlineStr">
        <is>
          <t>B00FFMMV78</t>
        </is>
      </c>
      <c r="G2378">
        <f>_xlfn.IMAGE("https://edmondsonsupply.com/cdn/shop/products/1839054-O1.jpg?v=1587145838")</f>
        <v/>
      </c>
      <c r="H2378">
        <f>_xlfn.IMAGE("https://m.media-amazon.com/images/I/61j5zGEcE7L._AC_UL320_.jpg")</f>
        <v/>
      </c>
      <c r="K2378" t="inlineStr">
        <is>
          <t>22.24</t>
        </is>
      </c>
      <c r="L2378" t="n">
        <v>22.99</v>
      </c>
      <c r="M2378" s="1" t="inlineStr">
        <is>
          <t>3.37%</t>
        </is>
      </c>
      <c r="N2378" s="7" t="n">
        <v>789.77</v>
      </c>
      <c r="O2378" t="n">
        <v>4.6</v>
      </c>
      <c r="P2378" t="n">
        <v>119</v>
      </c>
      <c r="R2378" t="inlineStr">
        <is>
          <t>InStock</t>
        </is>
      </c>
      <c r="S2378" t="inlineStr">
        <is>
          <t>undefined</t>
        </is>
      </c>
      <c r="T2378" t="inlineStr">
        <is>
          <t>3544914231396</t>
        </is>
      </c>
    </row>
    <row r="2379" ht="87" customHeight="1">
      <c r="A2379" s="2">
        <f>HYPERLINK("https://edmondsonsupply.com/collections/hvac/products/fluke-376", "https://edmondsonsupply.com/collections/hvac/products/fluke-376")</f>
        <v/>
      </c>
      <c r="B2379" s="2">
        <f>HYPERLINK("https://edmondsonsupply.com/products/fluke-376", "https://edmondsonsupply.com/products/fluke-376")</f>
        <v/>
      </c>
      <c r="C2379" t="inlineStr">
        <is>
          <t>Fluke 376 FC Wireless True-RMS AC/DC Clamp Meter with iFlex</t>
        </is>
      </c>
      <c r="D2379" t="inlineStr">
        <is>
          <t>Fluke 375 FC True-RMS 600A AC/DC Wireless Clamp Meter &amp; TL224 SureGrip Insulated Test Leads</t>
        </is>
      </c>
      <c r="E2379" s="2">
        <f>HYPERLINK("https://www.amazon.com/Fluke-True-RMS-Wireless-SureGrip-Insulated/dp/B091V6HYZT/ref=sr_1_2?keywords=Fluke+376+FC+Wireless+True-RMS+AC%2FDC+Clamp+Meter+with+iFlex&amp;qid=1694734720&amp;sr=8-2", "https://www.amazon.com/Fluke-True-RMS-Wireless-SureGrip-Insulated/dp/B091V6HYZT/ref=sr_1_2?keywords=Fluke+376+FC+Wireless+True-RMS+AC%2FDC+Clamp+Meter+with+iFlex&amp;qid=1694734720&amp;sr=8-2")</f>
        <v/>
      </c>
      <c r="F2379" t="inlineStr">
        <is>
          <t>B091V6HYZT</t>
        </is>
      </c>
      <c r="G2379">
        <f>_xlfn.IMAGE("https://edmondsonsupply.com/cdn/shop/products/f-376fc-16a-1500x1000.jpg?v=1633030274")</f>
        <v/>
      </c>
      <c r="H2379">
        <f>_xlfn.IMAGE("https://m.media-amazon.com/images/I/51vCHQK2pmL._AC_UY218_.jpg")</f>
        <v/>
      </c>
      <c r="K2379" t="inlineStr">
        <is>
          <t>533.69</t>
        </is>
      </c>
      <c r="L2379" t="n">
        <v>551.22</v>
      </c>
      <c r="M2379" s="1" t="inlineStr">
        <is>
          <t>3.28%</t>
        </is>
      </c>
      <c r="N2379" s="7" t="n">
        <v>788.67</v>
      </c>
      <c r="O2379" t="n">
        <v>5</v>
      </c>
      <c r="P2379" t="n">
        <v>3</v>
      </c>
      <c r="R2379" t="inlineStr">
        <is>
          <t>InStock</t>
        </is>
      </c>
      <c r="S2379" t="inlineStr">
        <is>
          <t>592.99</t>
        </is>
      </c>
      <c r="T2379" t="inlineStr">
        <is>
          <t>5238364668072</t>
        </is>
      </c>
    </row>
    <row r="2380" ht="87" customHeight="1">
      <c r="A2380" s="2">
        <f>HYPERLINK("https://edmondsonsupply.com/collections/hvac/products/robertshaw-700-506-millivolt-combination-gas-valve-3-4-x-3-4-300-000-btu", "https://edmondsonsupply.com/collections/hvac/products/robertshaw-700-506-millivolt-combination-gas-valve-3-4-x-3-4-300-000-btu")</f>
        <v/>
      </c>
      <c r="B2380" s="2">
        <f>HYPERLINK("https://edmondsonsupply.com/products/robertshaw-700-506-millivolt-combination-gas-valve-3-4-x-3-4-300-000-btu", "https://edmondsonsupply.com/products/robertshaw-700-506-millivolt-combination-gas-valve-3-4-x-3-4-300-000-btu")</f>
        <v/>
      </c>
      <c r="C2380" t="inlineStr">
        <is>
          <t>Robertshaw 700-506 Millivolt Combination Gas Valve, 3/4" x 3/4", 300,000 BTU</t>
        </is>
      </c>
      <c r="D2380" t="inlineStr">
        <is>
          <t>Supplying Demand 700-506 Millivolt Combination Gas Valve 300,000 Capacity BTU 3/4 Inch x 3/4 Inch</t>
        </is>
      </c>
      <c r="E2380" s="2">
        <f>HYPERLINK("https://www.amazon.com/Supplying-Demand-Millivolt-Combination-Capacity/dp/B0BQ194KZS/ref=sr_1_1?keywords=Robertshaw+700-506+Millivolt+Combination+Gas+Valve%2C+3%2F4%22+x+3%2F4%22%2C+300%2C000+BTU&amp;qid=1694734602&amp;sr=8-1", "https://www.amazon.com/Supplying-Demand-Millivolt-Combination-Capacity/dp/B0BQ194KZS/ref=sr_1_1?keywords=Robertshaw+700-506+Millivolt+Combination+Gas+Valve%2C+3%2F4%22+x+3%2F4%22%2C+300%2C000+BTU&amp;qid=1694734602&amp;sr=8-1")</f>
        <v/>
      </c>
      <c r="F2380" t="inlineStr">
        <is>
          <t>B0BQ194KZS</t>
        </is>
      </c>
      <c r="G2380">
        <f>_xlfn.IMAGE("https://edmondsonsupply.com/cdn/shop/products/700-506.jpg?v=1633030879")</f>
        <v/>
      </c>
      <c r="H2380">
        <f>_xlfn.IMAGE("https://m.media-amazon.com/images/I/710aWgcwmeL._AC_UY218_.jpg")</f>
        <v/>
      </c>
      <c r="K2380" t="inlineStr">
        <is>
          <t>106.55</t>
        </is>
      </c>
      <c r="L2380" t="n">
        <v>109.99</v>
      </c>
      <c r="M2380" s="1" t="inlineStr">
        <is>
          <t>3.23%</t>
        </is>
      </c>
      <c r="N2380" s="7" t="n">
        <v>787.74</v>
      </c>
      <c r="O2380" t="n">
        <v>5</v>
      </c>
      <c r="P2380" t="n">
        <v>5</v>
      </c>
      <c r="R2380" t="inlineStr">
        <is>
          <t>InStock</t>
        </is>
      </c>
      <c r="S2380" t="inlineStr">
        <is>
          <t>254.85</t>
        </is>
      </c>
      <c r="T2380" t="inlineStr">
        <is>
          <t>6152434614445</t>
        </is>
      </c>
    </row>
    <row r="2381" ht="87" customHeight="1">
      <c r="A2381" s="2">
        <f>HYPERLINK("https://edmondsonsupply.com/collections/hvac/products/fieldpiece-spk2", "https://edmondsonsupply.com/collections/hvac/products/fieldpiece-spk2")</f>
        <v/>
      </c>
      <c r="B2381" s="2">
        <f>HYPERLINK("https://edmondsonsupply.com/products/fieldpiece-spk2", "https://edmondsonsupply.com/products/fieldpiece-spk2")</f>
        <v/>
      </c>
      <c r="C2381" t="inlineStr">
        <is>
          <t>Fieldpiece SPK2 Folding Pocket In-Duct Thermometer</t>
        </is>
      </c>
      <c r="D2381" t="inlineStr">
        <is>
          <t>Fieldpiece SPK2 Folding Pocket in-Duct Thermometer with MAX/MIN Hold and Stainless Steel Probe</t>
        </is>
      </c>
      <c r="E2381" s="2">
        <f>HYPERLINK("https://www.amazon.com/Fieldpiece-SPK2-Folding-Thermometer-Stainless/dp/B00KDQ2ED2/ref=sr_1_1?keywords=Fieldpiece+SPK2+Folding+Pocket+In-Duct+Thermometer&amp;qid=1694734669&amp;sr=8-1", "https://www.amazon.com/Fieldpiece-SPK2-Folding-Thermometer-Stainless/dp/B00KDQ2ED2/ref=sr_1_1?keywords=Fieldpiece+SPK2+Folding+Pocket+In-Duct+Thermometer&amp;qid=1694734669&amp;sr=8-1")</f>
        <v/>
      </c>
      <c r="F2381" t="inlineStr">
        <is>
          <t>B00KDQ2ED2</t>
        </is>
      </c>
      <c r="G2381">
        <f>_xlfn.IMAGE("https://edmondsonsupply.com/cdn/shop/products/SPK2-SRC-Product.jpg?v=1633030206")</f>
        <v/>
      </c>
      <c r="H2381">
        <f>_xlfn.IMAGE("https://m.media-amazon.com/images/I/81atMLws-zL._AC_UY218_.jpg")</f>
        <v/>
      </c>
      <c r="K2381" t="inlineStr">
        <is>
          <t>34.85</t>
        </is>
      </c>
      <c r="L2381" t="n">
        <v>35.95</v>
      </c>
      <c r="M2381" s="1" t="inlineStr">
        <is>
          <t>3.16%</t>
        </is>
      </c>
      <c r="N2381" s="7" t="n">
        <v>785.95</v>
      </c>
      <c r="O2381" t="n">
        <v>4.6</v>
      </c>
      <c r="P2381" t="n">
        <v>529</v>
      </c>
      <c r="R2381" t="inlineStr">
        <is>
          <t>InStock</t>
        </is>
      </c>
      <c r="S2381" t="inlineStr">
        <is>
          <t>41.0</t>
        </is>
      </c>
      <c r="T2381" t="inlineStr">
        <is>
          <t>4421438177380</t>
        </is>
      </c>
    </row>
    <row r="2382" ht="87" customHeight="1">
      <c r="A2382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2382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2382" t="inlineStr">
        <is>
          <t>Klein Tools 70550 Pro Folding Hex Key Set, 11-Key, SAE Sizes</t>
        </is>
      </c>
      <c r="D2382" t="inlineStr">
        <is>
          <t>Klein Tools 70591 Folding Hex Key Set, 9-Key, SAE Sizes &amp; 70582 Folding Hex Key Set, 7-Key, Metric Sizes</t>
        </is>
      </c>
      <c r="E2382" s="2">
        <f>HYPERLINK("https://www.amazon.com/Klein-Tools-70591-Folding-Metric/dp/B0BGPYC631/ref=sr_1_14?keywords=Klein+Tools+70550+Pro+Folding+Hex+Key+Set%2C+11-Key%2C+SAE+Sizes&amp;qid=1694734808&amp;sr=8-14", "https://www.amazon.com/Klein-Tools-70591-Folding-Metric/dp/B0BGPYC631/ref=sr_1_14?keywords=Klein+Tools+70550+Pro+Folding+Hex+Key+Set%2C+11-Key%2C+SAE+Sizes&amp;qid=1694734808&amp;sr=8-14")</f>
        <v/>
      </c>
      <c r="F2382" t="inlineStr">
        <is>
          <t>B0BGPYC631</t>
        </is>
      </c>
      <c r="G2382">
        <f>_xlfn.IMAGE("https://edmondsonsupply.com/cdn/shop/products/70550.jpg?v=1587145237")</f>
        <v/>
      </c>
      <c r="H2382">
        <f>_xlfn.IMAGE("https://m.media-amazon.com/images/I/41F+-ZtFyRL._AC_UL320_.jpg")</f>
        <v/>
      </c>
      <c r="K2382" t="inlineStr">
        <is>
          <t>19.97</t>
        </is>
      </c>
      <c r="L2382" t="n">
        <v>20.59</v>
      </c>
      <c r="M2382" s="1" t="inlineStr">
        <is>
          <t>3.10%</t>
        </is>
      </c>
      <c r="N2382" s="7" t="n">
        <v>780.6</v>
      </c>
      <c r="O2382" t="n">
        <v>4.8</v>
      </c>
      <c r="P2382" t="n">
        <v>14</v>
      </c>
      <c r="R2382" t="inlineStr">
        <is>
          <t>InStock</t>
        </is>
      </c>
      <c r="S2382" t="inlineStr">
        <is>
          <t>27.18</t>
        </is>
      </c>
      <c r="T2382" t="inlineStr">
        <is>
          <t>3693538082916</t>
        </is>
      </c>
    </row>
    <row r="2383" ht="87" customHeight="1">
      <c r="A2383" s="2">
        <f>HYPERLINK("https://edmondsonsupply.com/collections/hvac/products/refrigeration-technologies-rt300s-viper-foaming-sprayer-gun", "https://edmondsonsupply.com/collections/hvac/products/refrigeration-technologies-rt300s-viper-foaming-sprayer-gun")</f>
        <v/>
      </c>
      <c r="B2383" s="2">
        <f>HYPERLINK("https://edmondsonsupply.com/products/refrigeration-technologies-rt300s-viper-foaming-sprayer-gun", "https://edmondsonsupply.com/products/refrigeration-technologies-rt300s-viper-foaming-sprayer-gun")</f>
        <v/>
      </c>
      <c r="C2383" t="inlineStr">
        <is>
          <t>Refrigeration Technologies RT300S Viper Foaming Sprayer Gun</t>
        </is>
      </c>
      <c r="D2383" t="inlineStr">
        <is>
          <t>Refrigeration Technologies Viper Coil Cleaning Foam Spray Gun (Chemical Not Included) RT300S</t>
        </is>
      </c>
      <c r="E2383" s="2">
        <f>HYPERLINK("https://www.amazon.com/Refrigeration-Technologies-Cleaning-Chemical-RT300S/dp/B0BLTDRF15/ref=sr_1_1?keywords=Refrigeration+Technologies+RT300S+Viper+Foaming+Sprayer+Gun&amp;qid=1694734640&amp;sr=8-1", "https://www.amazon.com/Refrigeration-Technologies-Cleaning-Chemical-RT300S/dp/B0BLTDRF15/ref=sr_1_1?keywords=Refrigeration+Technologies+RT300S+Viper+Foaming+Sprayer+Gun&amp;qid=1694734640&amp;sr=8-1")</f>
        <v/>
      </c>
      <c r="F2383" t="inlineStr">
        <is>
          <t>B0BLTDRF15</t>
        </is>
      </c>
      <c r="G2383">
        <f>_xlfn.IMAGE("https://edmondsonsupply.com/cdn/shop/products/Viper-Foam-Gun-RT300S.jpg?v=1633030976")</f>
        <v/>
      </c>
      <c r="H2383">
        <f>_xlfn.IMAGE("https://m.media-amazon.com/images/I/51bicnSXrYL._AC_UL320_.jpg")</f>
        <v/>
      </c>
      <c r="K2383" t="inlineStr">
        <is>
          <t>87.34</t>
        </is>
      </c>
      <c r="L2383" t="n">
        <v>89.98999999999999</v>
      </c>
      <c r="M2383" s="1" t="inlineStr">
        <is>
          <t>3.03%</t>
        </is>
      </c>
      <c r="N2383" s="7" t="n">
        <v>768.3</v>
      </c>
      <c r="O2383" t="n">
        <v>5</v>
      </c>
      <c r="P2383" t="n">
        <v>1</v>
      </c>
      <c r="R2383" t="inlineStr">
        <is>
          <t>InStock</t>
        </is>
      </c>
      <c r="S2383" t="inlineStr">
        <is>
          <t>95.93</t>
        </is>
      </c>
      <c r="T2383" t="inlineStr">
        <is>
          <t>6649129599149</t>
        </is>
      </c>
    </row>
    <row r="2384" hidden="1" ht="15.75" customHeight="1">
      <c r="A2384" s="2">
        <f>HYPERLINK("https://edmondsonsupply.com/collections/hvac/products/robertshaw-rs10420t", "https://edmondsonsupply.com/collections/hvac/products/robertshaw-rs10420t")</f>
        <v/>
      </c>
      <c r="B2384" s="2">
        <f>HYPERLINK("https://edmondsonsupply.com/products/robertshaw-rs10420t", "https://edmondsonsupply.com/products/robertshaw-rs10420t")</f>
        <v/>
      </c>
      <c r="C2384" t="inlineStr">
        <is>
          <t>Robertshaw RS10420T WIFI Programmable Touchscreen Wall Thermostat, Multi-Stage - 4 Heat / 2 Cool</t>
        </is>
      </c>
      <c r="D2384" t="inlineStr">
        <is>
          <t>Robertshaw RS10420T Pro Series 7-Day Wi-Fi Programmable Touchscreen Thermostat, Multi-Stage, 4 Heat / 2 Cool…</t>
        </is>
      </c>
      <c r="E2384" s="2">
        <f>HYPERLINK("https://www.amazon.com/Robertshaw-RS10420T-Programmable-Multi-Stage-Conventional/dp/B00U5CBBJC/ref=sr_1_1?keywords=Robertshaw+RS10420T+WIFI+Programmable+Touchscreen+Wall+Thermostat%2C+Multi-Stage+-+4+Heat+%2F+2+Cool&amp;qid=1694734857&amp;sr=8-1", "https://www.amazon.com/Robertshaw-RS10420T-Programmable-Multi-Stage-Conventional/dp/B00U5CBBJC/ref=sr_1_1?keywords=Robertshaw+RS10420T+WIFI+Programmable+Touchscreen+Wall+Thermostat%2C+Multi-Stage+-+4+Heat+%2F+2+Cool&amp;qid=1694734857&amp;sr=8-1")</f>
        <v/>
      </c>
      <c r="F2384" t="inlineStr">
        <is>
          <t>B00U5CBBJC</t>
        </is>
      </c>
      <c r="G2384">
        <f>_xludf.IMAGE("https://edmondsonsupply.com/cdn/shop/files/bf4cbb96-100e-4c93-9520-73ef61e2b961.jpg?v=1692304879")</f>
        <v/>
      </c>
      <c r="H2384">
        <f>_xludf.IMAGE("https://m.media-amazon.com/images/I/71tm1J0vjML._AC_UL320_.jpg")</f>
        <v/>
      </c>
      <c r="K2384" t="inlineStr">
        <is>
          <t>72.8</t>
        </is>
      </c>
      <c r="L2384" t="n">
        <v>74.95</v>
      </c>
      <c r="M2384" s="1" t="inlineStr">
        <is>
          <t>2.95%</t>
        </is>
      </c>
      <c r="N2384" s="1" t="n">
        <v>755.16</v>
      </c>
      <c r="O2384" t="n">
        <v>3.1</v>
      </c>
      <c r="P2384" t="n">
        <v>24</v>
      </c>
      <c r="R2384" t="inlineStr">
        <is>
          <t>InStock</t>
        </is>
      </c>
      <c r="S2384" t="inlineStr">
        <is>
          <t>undefined</t>
        </is>
      </c>
      <c r="T2384" t="inlineStr">
        <is>
          <t>8028306079960</t>
        </is>
      </c>
    </row>
    <row r="2385" ht="87" customHeight="1">
      <c r="A2385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385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385" t="inlineStr">
        <is>
          <t>ICM Controls ICM2805A Furnace Control Board - Replacement for Nordyne</t>
        </is>
      </c>
      <c r="D2385" t="inlineStr">
        <is>
          <t>ICM Controls ICM2805A Furnace Control Replacement for Nor Dyne 624631 Control Boards, Used with G3, G4, G5, G6, M2 and M3 Furnace Modules</t>
        </is>
      </c>
      <c r="E2385" s="2">
        <f>HYPERLINK("https://www.amazon.com/ICM-Controls-ICM2805A-Furnace-Replacement/dp/B006M7E8QW/ref=sr_1_1?keywords=ICM+Controls+ICM2805A+Furnace+Control+Board+-+Replacement+for+Nordyne&amp;qid=1694734623&amp;sr=8-1", "https://www.amazon.com/ICM-Controls-ICM2805A-Furnace-Replacement/dp/B006M7E8QW/ref=sr_1_1?keywords=ICM+Controls+ICM2805A+Furnace+Control+Board+-+Replacement+for+Nordyne&amp;qid=1694734623&amp;sr=8-1")</f>
        <v/>
      </c>
      <c r="F2385" t="inlineStr">
        <is>
          <t>B006M7E8QW</t>
        </is>
      </c>
      <c r="G2385">
        <f>_xlfn.IMAGE("https://edmondsonsupply.com/cdn/shop/products/57_3_42a53dd2-02e8-4469-bc0c-0265897201e7.jpg?v=1633031145")</f>
        <v/>
      </c>
      <c r="H2385">
        <f>_xlfn.IMAGE("https://m.media-amazon.com/images/I/715AvGgYR1L._AC_UL320_.jpg")</f>
        <v/>
      </c>
      <c r="K2385" t="inlineStr">
        <is>
          <t>116.59</t>
        </is>
      </c>
      <c r="L2385" t="n">
        <v>119.99</v>
      </c>
      <c r="M2385" s="1" t="inlineStr">
        <is>
          <t>2.92%</t>
        </is>
      </c>
      <c r="N2385" s="7" t="n">
        <v>751.28</v>
      </c>
      <c r="O2385" t="n">
        <v>4.5</v>
      </c>
      <c r="P2385" t="n">
        <v>215</v>
      </c>
      <c r="R2385" t="inlineStr">
        <is>
          <t>InStock</t>
        </is>
      </c>
      <c r="S2385" t="inlineStr">
        <is>
          <t>161.12</t>
        </is>
      </c>
      <c r="T2385" t="inlineStr">
        <is>
          <t>6892060639405</t>
        </is>
      </c>
    </row>
    <row r="2386" ht="87" customHeight="1">
      <c r="A2386" s="2">
        <f>HYPERLINK("https://edmondsonsupply.com/collections/hvac/products/uei-dth35", "https://edmondsonsupply.com/collections/hvac/products/uei-dth35")</f>
        <v/>
      </c>
      <c r="B2386" s="2">
        <f>HYPERLINK("https://edmondsonsupply.com/products/uei-dth35", "https://edmondsonsupply.com/products/uei-dth35")</f>
        <v/>
      </c>
      <c r="C2386" t="inlineStr">
        <is>
          <t>UEi DTH35 Digital Pocket Psychrometer</t>
        </is>
      </c>
      <c r="D2386" t="inlineStr">
        <is>
          <t>UEi DTH35 Digital HVAC Psychrometer Thermo-Hygrometer, Portable Relative Humidity Meter, Handheld Electronic in-Duct Thermometer, Measures Wet Bulb Dry Bulb Dew Point Temperature Humidity</t>
        </is>
      </c>
      <c r="E2386" s="2">
        <f>HYPERLINK("https://www.amazon.com/UEi-Test-Instruments-DTH35-Psychrometer/dp/B00M0EU6H6/ref=sr_1_1?keywords=UEi+DTH35+Digital+Pocket+Psychrometer&amp;qid=1694734818&amp;sr=8-1", "https://www.amazon.com/UEi-Test-Instruments-DTH35-Psychrometer/dp/B00M0EU6H6/ref=sr_1_1?keywords=UEi+DTH35+Digital+Pocket+Psychrometer&amp;qid=1694734818&amp;sr=8-1")</f>
        <v/>
      </c>
      <c r="F2386" t="inlineStr">
        <is>
          <t>B00M0EU6H6</t>
        </is>
      </c>
      <c r="G2386">
        <f>_xlfn.IMAGE("https://edmondsonsupply.com/cdn/shop/products/DTH35-1.png?v=1588450662")</f>
        <v/>
      </c>
      <c r="H2386">
        <f>_xlfn.IMAGE("https://m.media-amazon.com/images/I/51q9I65y63L._AC_UY218_.jpg")</f>
        <v/>
      </c>
      <c r="K2386" t="inlineStr">
        <is>
          <t>90.06</t>
        </is>
      </c>
      <c r="L2386" t="n">
        <v>92.61</v>
      </c>
      <c r="M2386" s="1" t="inlineStr">
        <is>
          <t>2.83%</t>
        </is>
      </c>
      <c r="N2386" s="7" t="n">
        <v>743.72</v>
      </c>
      <c r="O2386" t="n">
        <v>4.7</v>
      </c>
      <c r="P2386" t="n">
        <v>253</v>
      </c>
      <c r="R2386" t="inlineStr">
        <is>
          <t>InStock</t>
        </is>
      </c>
      <c r="S2386" t="inlineStr">
        <is>
          <t>105.95</t>
        </is>
      </c>
      <c r="T2386" t="inlineStr">
        <is>
          <t>4603602894948</t>
        </is>
      </c>
    </row>
    <row r="2387" ht="87" customHeight="1">
      <c r="A2387" s="2">
        <f>HYPERLINK("https://edmondsonsupply.com/collections/hvac/products/malco-tools-c5a2-turbocrimper-impact-power-crimper", "https://edmondsonsupply.com/collections/hvac/products/malco-tools-c5a2-turbocrimper-impact-power-crimper")</f>
        <v/>
      </c>
      <c r="B2387" s="2">
        <f>HYPERLINK("https://edmondsonsupply.com/products/malco-tools-c5a2-turbocrimper-impact-power-crimper", "https://edmondsonsupply.com/products/malco-tools-c5a2-turbocrimper-impact-power-crimper")</f>
        <v/>
      </c>
      <c r="C2387" t="inlineStr">
        <is>
          <t>Malco Tools C5A2 TurboCrimper® IMPACT Power Crimper</t>
        </is>
      </c>
      <c r="D2387" t="inlineStr">
        <is>
          <t>Malco C5A2 Impact Power Assisted Crimper</t>
        </is>
      </c>
      <c r="E2387" s="2">
        <f>HYPERLINK("https://www.amazon.com/PRODUCTS-C5A2-Impact-Assisted-Crimper/dp/B01H1N3AA0/ref=sr_1_1?keywords=Malco+Tools+C5A2+TurboCrimper%C2%AE+IMPACT+Power+Crimper&amp;qid=1694734825&amp;sr=8-1", "https://www.amazon.com/PRODUCTS-C5A2-Impact-Assisted-Crimper/dp/B01H1N3AA0/ref=sr_1_1?keywords=Malco+Tools+C5A2+TurboCrimper%C2%AE+IMPACT+Power+Crimper&amp;qid=1694734825&amp;sr=8-1")</f>
        <v/>
      </c>
      <c r="F2387" t="inlineStr">
        <is>
          <t>B01H1N3AA0</t>
        </is>
      </c>
      <c r="G2387">
        <f>_xlfn.IMAGE("https://edmondsonsupply.com/cdn/shop/products/Sheet-Metal-Crimping-Tool-Attachment-e1529520236162.jpg?v=1587142660")</f>
        <v/>
      </c>
      <c r="H2387">
        <f>_xlfn.IMAGE("https://m.media-amazon.com/images/I/51-c15zdu9L._AC_UL320_.jpg")</f>
        <v/>
      </c>
      <c r="K2387" t="inlineStr">
        <is>
          <t>142.99</t>
        </is>
      </c>
      <c r="L2387" t="n">
        <v>146.99</v>
      </c>
      <c r="M2387" s="1" t="inlineStr">
        <is>
          <t>2.80%</t>
        </is>
      </c>
      <c r="N2387" s="7" t="n">
        <v>742.21</v>
      </c>
      <c r="O2387" t="n">
        <v>4.4</v>
      </c>
      <c r="P2387" t="n">
        <v>679</v>
      </c>
      <c r="R2387" t="inlineStr">
        <is>
          <t>InStock</t>
        </is>
      </c>
      <c r="S2387" t="inlineStr">
        <is>
          <t>166.86</t>
        </is>
      </c>
      <c r="T2387" t="inlineStr">
        <is>
          <t>3550191517796</t>
        </is>
      </c>
    </row>
    <row r="2388" ht="87" customHeight="1">
      <c r="A2388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2388" s="2">
        <f>HYPERLINK("https://edmondsonsupply.com/products/klein-tools-sk234-screwdriver-set-slotted-screw-holding-3-piece", "https://edmondsonsupply.com/products/klein-tools-sk234-screwdriver-set-slotted-screw-holding-3-piece")</f>
        <v/>
      </c>
      <c r="C2388" t="inlineStr">
        <is>
          <t>Klein Tools SK234 Screwdriver Set, Slotted Screw Holding, 3-Piece</t>
        </is>
      </c>
      <c r="D2388" t="inlineStr">
        <is>
          <t>Klein Tools 80031 Screwdriver Set, 5-Piece Kit Includes 2 Slotted, 2 Phillips and 1 Square Tip Screwdriver, Cushion Grip Comfort</t>
        </is>
      </c>
      <c r="E2388" s="2">
        <f>HYPERLINK("https://www.amazon.com/Klein-Tools-80031-Screwdriver-Phillips/dp/B09N54D7C6/ref=sr_1_15?keywords=Klein+Tools+SK234+Screwdriver+Set%2C+Slotted+Screw+Holding%2C+3-Piece&amp;qid=1694734646&amp;sr=8-15", "https://www.amazon.com/Klein-Tools-80031-Screwdriver-Phillips/dp/B09N54D7C6/ref=sr_1_15?keywords=Klein+Tools+SK234+Screwdriver+Set%2C+Slotted+Screw+Holding%2C+3-Piece&amp;qid=1694734646&amp;sr=8-15")</f>
        <v/>
      </c>
      <c r="F2388" t="inlineStr">
        <is>
          <t>B09N54D7C6</t>
        </is>
      </c>
      <c r="G2388">
        <f>_xlfn.IMAGE("https://edmondsonsupply.com/cdn/shop/products/sk234.jpg?v=1587144984")</f>
        <v/>
      </c>
      <c r="H2388">
        <f>_xlfn.IMAGE("https://m.media-amazon.com/images/I/51HdKvRvjiL._AC_UL320_.jpg")</f>
        <v/>
      </c>
      <c r="K2388" t="inlineStr">
        <is>
          <t>29.97</t>
        </is>
      </c>
      <c r="L2388" t="n">
        <v>30.75</v>
      </c>
      <c r="M2388" s="1" t="inlineStr">
        <is>
          <t>2.60%</t>
        </is>
      </c>
      <c r="N2388" s="7" t="n">
        <v>741.88</v>
      </c>
      <c r="O2388" t="n">
        <v>4.9</v>
      </c>
      <c r="P2388" t="n">
        <v>2839</v>
      </c>
      <c r="R2388" t="inlineStr">
        <is>
          <t>OutOfStock</t>
        </is>
      </c>
      <c r="S2388" t="inlineStr">
        <is>
          <t>45.42</t>
        </is>
      </c>
      <c r="T2388" t="inlineStr">
        <is>
          <t>4405483143268</t>
        </is>
      </c>
    </row>
    <row r="2389" hidden="1" ht="15.75" customHeight="1">
      <c r="A2389" s="2">
        <f>HYPERLINK("https://edmondsonsupply.com/collections/hvac/products/appion-mgabas-megaflow-basics-1-2in-hose-evacuation-kit-with-1-4in-valve-core-tool", "https://edmondsonsupply.com/collections/hvac/products/appion-mgabas-megaflow-basics-1-2in-hose-evacuation-kit-with-1-4in-valve-core-tool")</f>
        <v/>
      </c>
      <c r="B2389" s="2">
        <f>HYPERLINK("https://edmondsonsupply.com/products/appion-mgabas-megaflow-basics-1-2in-hose-evacuation-kit-with-1-4in-valve-core-tool", "https://edmondsonsupply.com/products/appion-mgabas-megaflow-basics-1-2in-hose-evacuation-kit-with-1-4in-valve-core-tool")</f>
        <v/>
      </c>
      <c r="C2389" t="inlineStr">
        <is>
          <t>Appion MGABAS MegaFlow Basics 1/2in Hose Evacuation Kit with 1/4in Valve Core Tool</t>
        </is>
      </c>
      <c r="D2389" t="inlineStr">
        <is>
          <t>Appion MGABRO - MegaFlow Basics 1/2in Hose Evacuation Kit with 5/16in Valve Core Tool</t>
        </is>
      </c>
      <c r="E2389" s="2">
        <f>HYPERLINK("https://www.amazon.com/Appion-MGABRO-MegaFlow-Basics-Evacuation/dp/B084CXC6Y3/ref=sr_1_2?keywords=Appion+MGABAS+MegaFlow+Basics+1%2F2in+Hose+Evacuation+Kit+with+1%2F4in+Valve+Core+Tool&amp;qid=1694734683&amp;sr=8-2", "https://www.amazon.com/Appion-MGABRO-MegaFlow-Basics-Evacuation/dp/B084CXC6Y3/ref=sr_1_2?keywords=Appion+MGABAS+MegaFlow+Basics+1%2F2in+Hose+Evacuation+Kit+with+1%2F4in+Valve+Core+Tool&amp;qid=1694734683&amp;sr=8-2")</f>
        <v/>
      </c>
      <c r="F2389" t="inlineStr">
        <is>
          <t>B084CXC6Y3</t>
        </is>
      </c>
      <c r="G2389">
        <f>_xludf.IMAGE("https://edmondsonsupply.com/cdn/shop/products/MGABAS_MHH_1080.png?v=1678063276")</f>
        <v/>
      </c>
      <c r="H2389">
        <f>_xludf.IMAGE("https://m.media-amazon.com/images/I/51E1HtyzKYL._AC_UL320_.jpg")</f>
        <v/>
      </c>
      <c r="K2389" t="inlineStr">
        <is>
          <t>139.99</t>
        </is>
      </c>
      <c r="L2389" t="n">
        <v>143.57</v>
      </c>
      <c r="M2389" s="1" t="inlineStr">
        <is>
          <t>2.56%</t>
        </is>
      </c>
      <c r="N2389" s="1" t="n">
        <v>734.15</v>
      </c>
      <c r="O2389" t="n">
        <v>4</v>
      </c>
      <c r="P2389" t="n">
        <v>5</v>
      </c>
      <c r="R2389" t="inlineStr">
        <is>
          <t>InStock</t>
        </is>
      </c>
      <c r="S2389" t="inlineStr">
        <is>
          <t>179.99</t>
        </is>
      </c>
      <c r="T2389" t="inlineStr">
        <is>
          <t>7956964704472</t>
        </is>
      </c>
    </row>
    <row r="2390" hidden="1" ht="15.75" customHeight="1">
      <c r="A2390" s="2">
        <f>HYPERLINK("https://edmondsonsupply.com/collections/hvac/products/appion-mgabro-megaflow-basics-1-2in-hose-evacuation-kit-with-5-16in-valve-core-tool", "https://edmondsonsupply.com/collections/hvac/products/appion-mgabro-megaflow-basics-1-2in-hose-evacuation-kit-with-5-16in-valve-core-tool")</f>
        <v/>
      </c>
      <c r="B2390" s="2">
        <f>HYPERLINK("https://edmondsonsupply.com/products/appion-mgabro-megaflow-basics-1-2in-hose-evacuation-kit-with-5-16in-valve-core-tool", "https://edmondsonsupply.com/products/appion-mgabro-megaflow-basics-1-2in-hose-evacuation-kit-with-5-16in-valve-core-tool")</f>
        <v/>
      </c>
      <c r="C2390" t="inlineStr">
        <is>
          <t>Appion MGABRO MegaFlow Basics 1/2in Hose Evacuation Kit with 5/16in Valve Core Tool</t>
        </is>
      </c>
      <c r="D2390" t="inlineStr">
        <is>
          <t>Appion MGABRO - MegaFlow Basics 1/2in Hose Evacuation Kit with 5/16in Valve Core Tool</t>
        </is>
      </c>
      <c r="E2390" s="2">
        <f>HYPERLINK("https://www.amazon.com/Appion-MGABRO-MegaFlow-Basics-Evacuation/dp/B084CXC6Y3/ref=sr_1_1?keywords=Appion+MGABRO+MegaFlow+Basics+1%2F2in+Hose+Evacuation+Kit+with+5%2F16in+Valve+Core+Tool&amp;qid=1694734752&amp;sr=8-1", "https://www.amazon.com/Appion-MGABRO-MegaFlow-Basics-Evacuation/dp/B084CXC6Y3/ref=sr_1_1?keywords=Appion+MGABRO+MegaFlow+Basics+1%2F2in+Hose+Evacuation+Kit+with+5%2F16in+Valve+Core+Tool&amp;qid=1694734752&amp;sr=8-1")</f>
        <v/>
      </c>
      <c r="F2390" t="inlineStr">
        <is>
          <t>B084CXC6Y3</t>
        </is>
      </c>
      <c r="G2390">
        <f>_xludf.IMAGE("https://edmondsonsupply.com/cdn/shop/products/MGABRO_MHH_1080.png?v=1678154998")</f>
        <v/>
      </c>
      <c r="H2390">
        <f>_xludf.IMAGE("https://m.media-amazon.com/images/I/51E1HtyzKYL._AC_UL320_.jpg")</f>
        <v/>
      </c>
      <c r="K2390" t="inlineStr">
        <is>
          <t>139.99</t>
        </is>
      </c>
      <c r="L2390" t="n">
        <v>143.57</v>
      </c>
      <c r="M2390" s="1" t="inlineStr">
        <is>
          <t>2.56%</t>
        </is>
      </c>
      <c r="N2390" s="1" t="n">
        <v>732.6900000000001</v>
      </c>
      <c r="O2390" t="n">
        <v>4</v>
      </c>
      <c r="P2390" t="n">
        <v>5</v>
      </c>
      <c r="R2390" t="inlineStr">
        <is>
          <t>InStock</t>
        </is>
      </c>
      <c r="S2390" t="inlineStr">
        <is>
          <t>179.99</t>
        </is>
      </c>
      <c r="T2390" t="inlineStr">
        <is>
          <t>7957268529368</t>
        </is>
      </c>
    </row>
    <row r="2391" hidden="1" ht="15.75" customHeight="1">
      <c r="A2391" s="2">
        <f>HYPERLINK("https://edmondsonsupply.com/collections/hvac/products/diablo-tools-dsp2090-3-4-in-x-6-in-spade-bit", "https://edmondsonsupply.com/collections/hvac/products/diablo-tools-dsp2090-3-4-in-x-6-in-spade-bit")</f>
        <v/>
      </c>
      <c r="B2391" s="2">
        <f>HYPERLINK("https://edmondsonsupply.com/products/diablo-tools-dsp2090-3-4-in-x-6-in-spade-bit", "https://edmondsonsupply.com/products/diablo-tools-dsp2090-3-4-in-x-6-in-spade-bit")</f>
        <v/>
      </c>
      <c r="C2391" t="inlineStr">
        <is>
          <t>Diablo Tools DSP2090 3/4 in. x 6 in. Spade Bit</t>
        </is>
      </c>
      <c r="D2391" t="inlineStr">
        <is>
          <t>Irwin Tools 88814 Speedbor Spade Wood Drill Bit 7/8" X 6", Pack of 1</t>
        </is>
      </c>
      <c r="E2391" s="2">
        <f>HYPERLINK("https://www.amazon.com/Irwin-Tools-HAN88814-Spade-Bit/dp/B00N07YR0Y/ref=sr_1_44?keywords=Diablo+Tools+DSP2090+3%2F4+in.+x+6+in.+Spade+Bit&amp;qid=1694734914&amp;sr=8-44", "https://www.amazon.com/Irwin-Tools-HAN88814-Spade-Bit/dp/B00N07YR0Y/ref=sr_1_44?keywords=Diablo+Tools+DSP2090+3%2F4+in.+x+6+in.+Spade+Bit&amp;qid=1694734914&amp;sr=8-44")</f>
        <v/>
      </c>
      <c r="F2391" t="inlineStr">
        <is>
          <t>B00N07YR0Y</t>
        </is>
      </c>
      <c r="G2391">
        <f>_xludf.IMAGE("https://edmondsonsupply.com/cdn/shop/files/hg4rmyretai2aybkajqp.webp?v=1686587275")</f>
        <v/>
      </c>
      <c r="H2391">
        <f>_xludf.IMAGE("https://m.media-amazon.com/images/I/51RMMedCvjS._AC_UL320_.jpg")</f>
        <v/>
      </c>
      <c r="K2391" t="inlineStr">
        <is>
          <t>5.37</t>
        </is>
      </c>
      <c r="L2391" t="n">
        <v>5.5</v>
      </c>
      <c r="M2391" s="1" t="inlineStr">
        <is>
          <t>2.42%</t>
        </is>
      </c>
      <c r="N2391" s="1" t="n">
        <v>728.91</v>
      </c>
      <c r="O2391" t="n">
        <v>4.7</v>
      </c>
      <c r="P2391" t="n">
        <v>1051</v>
      </c>
      <c r="R2391" t="inlineStr">
        <is>
          <t>InStock</t>
        </is>
      </c>
      <c r="S2391" t="inlineStr">
        <is>
          <t>undefined</t>
        </is>
      </c>
      <c r="T2391" t="inlineStr">
        <is>
          <t>8004512710872</t>
        </is>
      </c>
    </row>
    <row r="2392" ht="87" customHeight="1">
      <c r="A2392" s="2">
        <f>HYPERLINK("https://edmondsonsupply.com/collections/hvac/products/malco-tools-m2007-max2000%C2%AE-offset-aviation-snip-right-cutting", "https://edmondsonsupply.com/collections/hvac/products/malco-tools-m2007-max2000%C2%AE-offset-aviation-snip-right-cutting")</f>
        <v/>
      </c>
      <c r="B2392" s="2">
        <f>HYPERLINK("https://edmondsonsupply.com/products/malco-tools-m2007-max2000%c2%ae-offset-aviation-snip-right-cutting", "https://edmondsonsupply.com/products/malco-tools-m2007-max2000%c2%ae-offset-aviation-snip-right-cutting")</f>
        <v/>
      </c>
      <c r="C2392" t="inlineStr">
        <is>
          <t>Malco Tools M2007 Max2000® Offset Aviation Snip - Right Cutting</t>
        </is>
      </c>
      <c r="D2392" t="inlineStr">
        <is>
          <t>Malco M2007 MAX2000 Bulldog 1-1/4-inch Cut Capacity 10-3/4-inch Right Cut Offset Aviation Snip (1 per Pack)</t>
        </is>
      </c>
      <c r="E2392" s="2">
        <f>HYPERLINK("https://www.amazon.com/Malco-M2007-MAX2000-Capacity-Aviation/dp/B00004SUQO/ref=sr_1_1?keywords=Malco+Tools+M2007+Max2000%C2%AE+Offset+Aviation+Snip+-+Right+Cutting&amp;qid=1694734717&amp;sr=8-1", "https://www.amazon.com/Malco-M2007-MAX2000-Capacity-Aviation/dp/B00004SUQO/ref=sr_1_1?keywords=Malco+Tools+M2007+Max2000%C2%AE+Offset+Aviation+Snip+-+Right+Cutting&amp;qid=1694734717&amp;sr=8-1")</f>
        <v/>
      </c>
      <c r="F2392" t="inlineStr">
        <is>
          <t>B00004SUQO</t>
        </is>
      </c>
      <c r="G2392">
        <f>_xlfn.IMAGE("https://edmondsonsupply.com/cdn/shop/products/m2007.jpg?v=1633030573")</f>
        <v/>
      </c>
      <c r="H2392">
        <f>_xlfn.IMAGE("https://m.media-amazon.com/images/I/51ydP7Orl6L._AC_UL320_.jpg")</f>
        <v/>
      </c>
      <c r="K2392" t="inlineStr">
        <is>
          <t>42.99</t>
        </is>
      </c>
      <c r="L2392" t="n">
        <v>43.99</v>
      </c>
      <c r="M2392" s="1" t="inlineStr">
        <is>
          <t>2.33%</t>
        </is>
      </c>
      <c r="N2392" s="7" t="n">
        <v>713.39</v>
      </c>
      <c r="O2392" t="n">
        <v>4.7</v>
      </c>
      <c r="P2392" t="n">
        <v>657</v>
      </c>
      <c r="R2392" t="inlineStr">
        <is>
          <t>InStock</t>
        </is>
      </c>
      <c r="S2392" t="inlineStr">
        <is>
          <t>45.82</t>
        </is>
      </c>
      <c r="T2392" t="inlineStr">
        <is>
          <t>5517863682216</t>
        </is>
      </c>
    </row>
    <row r="2393" hidden="1" ht="15.75" customHeight="1">
      <c r="A2393" s="2">
        <f>HYPERLINK("https://edmondsonsupply.com/collections/hvac/products/reed-mfg-deb3-deburring-tool", "https://edmondsonsupply.com/collections/hvac/products/reed-mfg-deb3-deburring-tool")</f>
        <v/>
      </c>
      <c r="B2393" s="2">
        <f>HYPERLINK("https://edmondsonsupply.com/products/reed-mfg-deb3-deburring-tool", "https://edmondsonsupply.com/products/reed-mfg-deb3-deburring-tool")</f>
        <v/>
      </c>
      <c r="C2393" t="inlineStr">
        <is>
          <t>Reed Mfg DEB3 Deburring Tool</t>
        </is>
      </c>
      <c r="D2393" t="inlineStr">
        <is>
          <t>Reed Tool DEB3 Deburring Tool</t>
        </is>
      </c>
      <c r="E2393" s="2">
        <f>HYPERLINK("https://www.amazon.com/Reed-Tool-DEB3-Deburring/dp/B003NU3DSA/ref=sr_1_2?keywords=Reed+Mfg+DEB3+Deburring+Tool&amp;qid=1694734581&amp;sr=8-2", "https://www.amazon.com/Reed-Tool-DEB3-Deburring/dp/B003NU3DSA/ref=sr_1_2?keywords=Reed+Mfg+DEB3+Deburring+Tool&amp;qid=1694734581&amp;sr=8-2")</f>
        <v/>
      </c>
      <c r="F2393" t="inlineStr">
        <is>
          <t>B003NU3DSA</t>
        </is>
      </c>
      <c r="G2393">
        <f>_xludf.IMAGE("https://edmondsonsupply.com/cdn/shop/products/DEB3-HighRes.jpg?v=1633030907")</f>
        <v/>
      </c>
      <c r="H2393">
        <f>_xludf.IMAGE("https://m.media-amazon.com/images/I/61zcvyDyQNL._AC_UY218_.jpg")</f>
        <v/>
      </c>
      <c r="K2393" t="inlineStr">
        <is>
          <t>14.65</t>
        </is>
      </c>
      <c r="L2393" t="n">
        <v>14.99</v>
      </c>
      <c r="M2393" s="1" t="inlineStr">
        <is>
          <t>2.32%</t>
        </is>
      </c>
      <c r="N2393" s="1" t="n">
        <v>712.23</v>
      </c>
      <c r="O2393" t="n">
        <v>4.6</v>
      </c>
      <c r="P2393" t="n">
        <v>138</v>
      </c>
      <c r="R2393" t="inlineStr">
        <is>
          <t>InStock</t>
        </is>
      </c>
      <c r="S2393" t="inlineStr">
        <is>
          <t>15.39</t>
        </is>
      </c>
      <c r="T2393" t="inlineStr">
        <is>
          <t>6245641683117</t>
        </is>
      </c>
    </row>
    <row r="2394" ht="87" customHeight="1">
      <c r="A2394" s="2">
        <f>HYPERLINK("https://edmondsonsupply.com/collections/hvac/products/sensible-products-up-1-ultimate-puller-fan-blade-and-blower-wheel-puller", "https://edmondsonsupply.com/collections/hvac/products/sensible-products-up-1-ultimate-puller-fan-blade-and-blower-wheel-puller")</f>
        <v/>
      </c>
      <c r="B2394" s="2">
        <f>HYPERLINK("https://edmondsonsupply.com/products/sensible-products-up-1-ultimate-puller-fan-blade-and-blower-wheel-puller", "https://edmondsonsupply.com/products/sensible-products-up-1-ultimate-puller-fan-blade-and-blower-wheel-puller")</f>
        <v/>
      </c>
      <c r="C2394" t="inlineStr">
        <is>
          <t>Sensible Products UP-1 Ultimate Puller - Fan Blade and Blower Wheel Puller</t>
        </is>
      </c>
      <c r="D2394" t="inlineStr">
        <is>
          <t>UP-1 Ultimate Hub Fan Blade Blower Wheel Puller, Hub Puller, Fan Blade Puller Perfect for 5/8" Belt Drive and 1/2" Or Less Direct Drive Motor Shafts</t>
        </is>
      </c>
      <c r="E2394" s="2">
        <f>HYPERLINK("https://www.amazon.com/Ultimate-Blower-Puller-Perfect-Direct/dp/B0BNHFVTF4/ref=sr_1_4?keywords=Sensible+Products+UP-1+Ultimate+Puller+-+Fan+Blade+and+Blower+Wheel+Puller&amp;qid=1694734567&amp;sr=8-4", "https://www.amazon.com/Ultimate-Blower-Puller-Perfect-Direct/dp/B0BNHFVTF4/ref=sr_1_4?keywords=Sensible+Products+UP-1+Ultimate+Puller+-+Fan+Blade+and+Blower+Wheel+Puller&amp;qid=1694734567&amp;sr=8-4")</f>
        <v/>
      </c>
      <c r="F2394" t="inlineStr">
        <is>
          <t>B0BNHFVTF4</t>
        </is>
      </c>
      <c r="G2394">
        <f>_xlfn.IMAGE("https://edmondsonsupply.com/cdn/shop/products/UPAsset-2_3x_28364a83-d5d7-4a51-b059-b5bf0887b56e.png?v=1638146548")</f>
        <v/>
      </c>
      <c r="H2394">
        <f>_xlfn.IMAGE("https://m.media-amazon.com/images/I/51G3fOcLtmL._AC_UY218_.jpg")</f>
        <v/>
      </c>
      <c r="K2394" t="inlineStr">
        <is>
          <t>47.6</t>
        </is>
      </c>
      <c r="L2394" t="n">
        <v>48.55</v>
      </c>
      <c r="M2394" s="1" t="inlineStr">
        <is>
          <t>2.00%</t>
        </is>
      </c>
      <c r="N2394" s="7" t="n">
        <v>712.23</v>
      </c>
      <c r="O2394" t="n">
        <v>4.2</v>
      </c>
      <c r="P2394" t="n">
        <v>42</v>
      </c>
      <c r="R2394" t="inlineStr">
        <is>
          <t>InStock</t>
        </is>
      </c>
      <c r="S2394" t="inlineStr">
        <is>
          <t>undefined</t>
        </is>
      </c>
      <c r="T2394" t="inlineStr">
        <is>
          <t>4337179885668</t>
        </is>
      </c>
    </row>
    <row r="2395" hidden="1" ht="15.75" customHeight="1">
      <c r="A2395" s="2">
        <f>HYPERLINK("https://edmondsonsupply.com/collections/hvac/products/reed-mfg-dhr12-1-1-4npt-r12-drophead-1-1-4-npt", "https://edmondsonsupply.com/collections/hvac/products/reed-mfg-dhr12-1-1-4npt-r12-drophead-1-1-4-npt")</f>
        <v/>
      </c>
      <c r="B2395" s="2">
        <f>HYPERLINK("https://edmondsonsupply.com/products/reed-mfg-dhr12-1-1-4npt-r12-drophead-1-1-4-npt", "https://edmondsonsupply.com/products/reed-mfg-dhr12-1-1-4npt-r12-drophead-1-1-4-npt")</f>
        <v/>
      </c>
      <c r="C2395" t="inlineStr">
        <is>
          <t>Reed Mfg DHR12 1 1/4NPT R12+ Drophead, 1-1/4" NPT</t>
        </is>
      </c>
      <c r="D2395" t="inlineStr">
        <is>
          <t>Reed Tool DHR12 1NPT R12+ Drophead, 1-Inch NPT</t>
        </is>
      </c>
      <c r="E2395" s="2">
        <f>HYPERLINK("https://www.amazon.com/Reed-Tool-DHR12-1NPT-Drophead/dp/B000ZGZ0PY/ref=sr_1_fkmr0_2?keywords=Reed+Mfg+DHR12+1+1%2F4NPT+R12%2B+Drophead%2C+1-1%2F4%22+NPT&amp;qid=1694734769&amp;sr=8-2-fkmr0", "https://www.amazon.com/Reed-Tool-DHR12-1NPT-Drophead/dp/B000ZGZ0PY/ref=sr_1_fkmr0_2?keywords=Reed+Mfg+DHR12+1+1%2F4NPT+R12%2B+Drophead%2C+1-1%2F4%22+NPT&amp;qid=1694734769&amp;sr=8-2-fkmr0")</f>
        <v/>
      </c>
      <c r="F2395" t="inlineStr">
        <is>
          <t>B000ZGZ0PY</t>
        </is>
      </c>
      <c r="G2395">
        <f>_xludf.IMAGE("https://edmondsonsupply.com/cdn/shop/products/05632-DHR121-1-4NPT-RGB.jpg?v=1633031013")</f>
        <v/>
      </c>
      <c r="H2395">
        <f>_xludf.IMAGE("https://m.media-amazon.com/images/I/61ePWvUMWkL._AC_UY218_.jpg")</f>
        <v/>
      </c>
      <c r="K2395" t="inlineStr">
        <is>
          <t>154.86</t>
        </is>
      </c>
      <c r="L2395" t="n">
        <v>157.93</v>
      </c>
      <c r="M2395" s="1" t="inlineStr">
        <is>
          <t>1.98%</t>
        </is>
      </c>
      <c r="N2395" s="1" t="n">
        <v>701.47</v>
      </c>
      <c r="O2395" t="n">
        <v>1</v>
      </c>
      <c r="P2395" t="n">
        <v>1</v>
      </c>
      <c r="R2395" t="inlineStr">
        <is>
          <t>InStock</t>
        </is>
      </c>
      <c r="S2395" t="inlineStr">
        <is>
          <t>179.13</t>
        </is>
      </c>
      <c r="T2395" t="inlineStr">
        <is>
          <t>6698096230573</t>
        </is>
      </c>
    </row>
    <row r="2396" ht="87" customHeight="1">
      <c r="A2396" s="2">
        <f>HYPERLINK("https://edmondsonsupply.com/collections/hvac/products/viega-25306-3-4-x-3-4-x-3-4-megapressg-tee", "https://edmondsonsupply.com/collections/hvac/products/viega-25306-3-4-x-3-4-x-3-4-megapressg-tee")</f>
        <v/>
      </c>
      <c r="B2396" s="2">
        <f>HYPERLINK("https://edmondsonsupply.com/products/viega-25306-3-4-x-3-4-x-3-4-megapressg-tee", "https://edmondsonsupply.com/products/viega-25306-3-4-x-3-4-x-3-4-megapressg-tee")</f>
        <v/>
      </c>
      <c r="C2396" t="inlineStr">
        <is>
          <t>Viega 25306 3/4" x 3/4" x 3/4" MegaPressG Tee</t>
        </is>
      </c>
      <c r="D2396" t="inlineStr">
        <is>
          <t>Viega MegaPressG 6616 Carbon Steel Elbow, 3/4"</t>
        </is>
      </c>
      <c r="E2396" s="2">
        <f>HYPERLINK("https://www.amazon.com/Viega-MegaPressG-Carbon-Steel-Elbow/dp/B00COVXBYK/ref=sr_1_12?keywords=Viega+25306+3%2F4%22+x+3%2F4%22+x+3%2F4%22+MegaPressG+Tee&amp;qid=1694734857&amp;sr=8-12", "https://www.amazon.com/Viega-MegaPressG-Carbon-Steel-Elbow/dp/B00COVXBYK/ref=sr_1_12?keywords=Viega+25306+3%2F4%22+x+3%2F4%22+x+3%2F4%22+MegaPressG+Tee&amp;qid=1694734857&amp;sr=8-12")</f>
        <v/>
      </c>
      <c r="F2396" t="inlineStr">
        <is>
          <t>B00COVXBYK</t>
        </is>
      </c>
      <c r="G2396">
        <f>_xlfn.IMAGE("https://edmondsonsupply.com/cdn/shop/files/PPm6618_c19b93a9-ada2-4a2c-b4ba-ad5d5af9c9b6.jpg?v=1692569569")</f>
        <v/>
      </c>
      <c r="H2396">
        <f>_xlfn.IMAGE("https://m.media-amazon.com/images/I/51cc8PBnNUL._AC_UL320_.jpg")</f>
        <v/>
      </c>
      <c r="K2396" t="inlineStr">
        <is>
          <t>22.74</t>
        </is>
      </c>
      <c r="L2396" t="n">
        <v>23.19</v>
      </c>
      <c r="M2396" s="1" t="inlineStr">
        <is>
          <t>1.98%</t>
        </is>
      </c>
      <c r="N2396" s="7" t="n">
        <v>700.7</v>
      </c>
      <c r="O2396" t="n">
        <v>5</v>
      </c>
      <c r="P2396" t="n">
        <v>1</v>
      </c>
      <c r="R2396" t="inlineStr">
        <is>
          <t>InStock</t>
        </is>
      </c>
      <c r="S2396" t="inlineStr">
        <is>
          <t>39.2</t>
        </is>
      </c>
      <c r="T2396" t="inlineStr">
        <is>
          <t>8029272408280</t>
        </is>
      </c>
    </row>
    <row r="2397" ht="87" customHeight="1">
      <c r="A2397" s="2">
        <f>HYPERLINK("https://edmondsonsupply.com/collections/hvac/products/diablo-tools-dmamxcc5020-2-5-8-in-x-7-in-sds-max-carbide-tipped-core-bit", "https://edmondsonsupply.com/collections/hvac/products/diablo-tools-dmamxcc5020-2-5-8-in-x-7-in-sds-max-carbide-tipped-core-bit")</f>
        <v/>
      </c>
      <c r="B2397" s="2">
        <f>HYPERLINK("https://edmondsonsupply.com/products/diablo-tools-dmamxcc5020-2-5-8-in-x-7-in-sds-max-carbide-tipped-core-bit", "https://edmondsonsupply.com/products/diablo-tools-dmamxcc5020-2-5-8-in-x-7-in-sds-max-carbide-tipped-core-bit")</f>
        <v/>
      </c>
      <c r="C2397" t="inlineStr">
        <is>
          <t>Diablo Tools DMAMXCC5020 2-5/8 in. x 7 in. SDS-Max Carbide Tipped Core Bit</t>
        </is>
      </c>
      <c r="D2397" t="inlineStr">
        <is>
          <t>Diablo by Freud DMAMXCC5030 3-1/4 in. x 7 in. SDS-Max Carbide Tipped Core Bit Multi, One Size</t>
        </is>
      </c>
      <c r="E2397" s="2">
        <f>HYPERLINK("https://www.amazon.com/Diablo-DMAMXCC5030-SDS-Max-Carbide-Tipped/dp/B089M8K3HG/ref=sr_1_2?keywords=Diablo+Tools+DMAMXCC5020+2-5%2F8+in.+x+7+in.+SDS-Max+Carbide+Tipped+Core+Bit&amp;qid=1694734909&amp;sr=8-2", "https://www.amazon.com/Diablo-DMAMXCC5030-SDS-Max-Carbide-Tipped/dp/B089M8K3HG/ref=sr_1_2?keywords=Diablo+Tools+DMAMXCC5020+2-5%2F8+in.+x+7+in.+SDS-Max+Carbide+Tipped+Core+Bit&amp;qid=1694734909&amp;sr=8-2")</f>
        <v/>
      </c>
      <c r="F2397" t="inlineStr">
        <is>
          <t>B089M8K3HG</t>
        </is>
      </c>
      <c r="G2397">
        <f>_xlfn.IMAGE("https://edmondsonsupply.com/cdn/shop/files/vashcrdlazsqjug8tmyc.webp?v=1686584484")</f>
        <v/>
      </c>
      <c r="H2397">
        <f>_xlfn.IMAGE("https://m.media-amazon.com/images/I/71U1Um--OXL._AC_UL320_.jpg")</f>
        <v/>
      </c>
      <c r="K2397" t="inlineStr">
        <is>
          <t>107.99</t>
        </is>
      </c>
      <c r="L2397" t="n">
        <v>110</v>
      </c>
      <c r="M2397" s="1" t="inlineStr">
        <is>
          <t>1.86%</t>
        </is>
      </c>
      <c r="N2397" s="7" t="n">
        <v>700.7</v>
      </c>
      <c r="O2397" t="n">
        <v>5</v>
      </c>
      <c r="P2397" t="n">
        <v>3</v>
      </c>
      <c r="R2397" t="inlineStr">
        <is>
          <t>InStock</t>
        </is>
      </c>
      <c r="S2397" t="inlineStr">
        <is>
          <t>173.04</t>
        </is>
      </c>
      <c r="T2397" t="inlineStr">
        <is>
          <t>8004505272536</t>
        </is>
      </c>
    </row>
    <row r="2398" ht="87" customHeight="1">
      <c r="A2398" s="2">
        <f>HYPERLINK("https://edmondsonsupply.com/collections/hvac/products/wiha-tools-66990-9-piece-magicring-ball-end-long-arm-hex-l-key-set-metric", "https://edmondsonsupply.com/collections/hvac/products/wiha-tools-66990-9-piece-magicring-ball-end-long-arm-hex-l-key-set-metric")</f>
        <v/>
      </c>
      <c r="B2398" s="2">
        <f>HYPERLINK("https://edmondsonsupply.com/products/wiha-tools-66990-9-piece-magicring-ball-end-long-arm-hex-l-key-set-metric", "https://edmondsonsupply.com/products/wiha-tools-66990-9-piece-magicring-ball-end-long-arm-hex-l-key-set-metric")</f>
        <v/>
      </c>
      <c r="C2398" t="inlineStr">
        <is>
          <t>Wiha Tools 66990 9 Piece MagicRing Ball End Long Arm Hex L-Key Set - Metric</t>
        </is>
      </c>
      <c r="D2398" t="inlineStr">
        <is>
          <t>Wiha 66991 MagicRing Ball End Hex Key Set, Long Inch, In Holder, 13 Piece</t>
        </is>
      </c>
      <c r="E2398" s="2">
        <f>HYPERLINK("https://www.amazon.com/Wiha-66991-MagicRing-Holder-Piece/dp/B000WTAK2C/ref=sr_1_7?keywords=Wiha+Tools+66990+9+Piece+MagicRing+Ball+End+Long+Arm+Hex+L-Key+Set+-+Metric&amp;qid=1694734869&amp;sr=8-7", "https://www.amazon.com/Wiha-66991-MagicRing-Holder-Piece/dp/B000WTAK2C/ref=sr_1_7?keywords=Wiha+Tools+66990+9+Piece+MagicRing+Ball+End+Long+Arm+Hex+L-Key+Set+-+Metric&amp;qid=1694734869&amp;sr=8-7")</f>
        <v/>
      </c>
      <c r="F2398" t="inlineStr">
        <is>
          <t>B000WTAK2C</t>
        </is>
      </c>
      <c r="G2398">
        <f>_xlfn.IMAGE("https://edmondsonsupply.com/cdn/shop/files/13e958aad91c16597a10bc35346fe94965ff7cc5_1000x_585c36ae-bd90-4c7e-95df-eb1519527f63.webp?v=1690841217")</f>
        <v/>
      </c>
      <c r="H2398">
        <f>_xlfn.IMAGE("https://m.media-amazon.com/images/I/61jqxmDwZLL._AC_UL320_.jpg")</f>
        <v/>
      </c>
      <c r="K2398" t="inlineStr">
        <is>
          <t>39.26</t>
        </is>
      </c>
      <c r="L2398" t="n">
        <v>39.99</v>
      </c>
      <c r="M2398" s="1" t="inlineStr">
        <is>
          <t>1.86%</t>
        </is>
      </c>
      <c r="N2398" s="7" t="n">
        <v>700.28</v>
      </c>
      <c r="O2398" t="n">
        <v>4.8</v>
      </c>
      <c r="P2398" t="n">
        <v>17</v>
      </c>
      <c r="R2398" t="inlineStr">
        <is>
          <t>InStock</t>
        </is>
      </c>
      <c r="S2398" t="inlineStr">
        <is>
          <t>52.34</t>
        </is>
      </c>
      <c r="T2398" t="inlineStr">
        <is>
          <t>8023273111768</t>
        </is>
      </c>
    </row>
    <row r="2399" hidden="1" ht="15.75" customHeight="1">
      <c r="A2399" s="2">
        <f>HYPERLINK("https://edmondsonsupply.com/collections/hvac/products/fluke-373-true-rms-ac-clamp-meter", "https://edmondsonsupply.com/collections/hvac/products/fluke-373-true-rms-ac-clamp-meter")</f>
        <v/>
      </c>
      <c r="B2399" s="2">
        <f>HYPERLINK("https://edmondsonsupply.com/products/fluke-373-true-rms-ac-clamp-meter", "https://edmondsonsupply.com/products/fluke-373-true-rms-ac-clamp-meter")</f>
        <v/>
      </c>
      <c r="C2399" t="inlineStr">
        <is>
          <t>Fluke 373 True-RMS AC Clamp Meter</t>
        </is>
      </c>
      <c r="D2399" t="inlineStr">
        <is>
          <t>Fluke 374 True-RMS AC/DC Clamp Meter, 600A/600V</t>
        </is>
      </c>
      <c r="E2399" s="2">
        <f>HYPERLINK("https://www.amazon.com/Fluke-True-RMS-Clamp-Meter-600A/dp/B004E248XA/ref=sr_1_4?keywords=Fluke+373+True-RMS+AC+Clamp+Meter&amp;qid=1694734920&amp;sr=8-4", "https://www.amazon.com/Fluke-True-RMS-Clamp-Meter-600A/dp/B004E248XA/ref=sr_1_4?keywords=Fluke+373+True-RMS+AC+Clamp+Meter&amp;qid=1694734920&amp;sr=8-4")</f>
        <v/>
      </c>
      <c r="F2399" t="inlineStr">
        <is>
          <t>B004E248XA</t>
        </is>
      </c>
      <c r="G2399">
        <f>_xludf.IMAGE("https://edmondsonsupply.com/cdn/shop/files/f-373-01d-1500x1000.webp?v=1689369435")</f>
        <v/>
      </c>
      <c r="H2399">
        <f>_xludf.IMAGE("https://m.media-amazon.com/images/I/51dRRtycxZL._AC_UY218_.jpg")</f>
        <v/>
      </c>
      <c r="K2399" t="inlineStr">
        <is>
          <t>290.05</t>
        </is>
      </c>
      <c r="L2399" t="n">
        <v>295</v>
      </c>
      <c r="M2399" s="1" t="inlineStr">
        <is>
          <t>1.71%</t>
        </is>
      </c>
      <c r="N2399" s="1" t="n">
        <v>698.7</v>
      </c>
      <c r="O2399" t="n">
        <v>4</v>
      </c>
      <c r="P2399" t="n">
        <v>64</v>
      </c>
      <c r="R2399" t="inlineStr">
        <is>
          <t>InStock</t>
        </is>
      </c>
      <c r="S2399" t="inlineStr">
        <is>
          <t>undefined</t>
        </is>
      </c>
      <c r="T2399" t="inlineStr">
        <is>
          <t>8016406773976</t>
        </is>
      </c>
    </row>
    <row r="2400" ht="87" customHeight="1">
      <c r="A2400" s="2">
        <f>HYPERLINK("https://edmondsonsupply.com/collections/hvac/products/channellock-8wcb", "https://edmondsonsupply.com/collections/hvac/products/channellock-8wcb")</f>
        <v/>
      </c>
      <c r="B2400" s="2">
        <f>HYPERLINK("https://edmondsonsupply.com/products/channellock-8wcb", "https://edmondsonsupply.com/products/channellock-8wcb")</f>
        <v/>
      </c>
      <c r="C2400" t="inlineStr">
        <is>
          <t>Channellock 8WCB 8" Code Blue WIDEAZZ Adjustable Wrench</t>
        </is>
      </c>
      <c r="D2400" t="inlineStr">
        <is>
          <t>Channellock 808WCB 8-Inch Chrome Adjustable Wrench with Code Blue Grips</t>
        </is>
      </c>
      <c r="E2400" s="2">
        <f>HYPERLINK("https://www.amazon.com/Channellock-808WCB-8-Inch-Chrome-Adjustable/dp/B00LFIEQ3S/ref=sr_1_3?keywords=Channellock+8WCB+8%22+Code+Blue+WIDEAZZ+Adjustable+Wrench&amp;qid=1694734792&amp;sr=8-3", "https://www.amazon.com/Channellock-808WCB-8-Inch-Chrome-Adjustable/dp/B00LFIEQ3S/ref=sr_1_3?keywords=Channellock+8WCB+8%22+Code+Blue+WIDEAZZ+Adjustable+Wrench&amp;qid=1694734792&amp;sr=8-3")</f>
        <v/>
      </c>
      <c r="F2400" t="inlineStr">
        <is>
          <t>B00LFIEQ3S</t>
        </is>
      </c>
      <c r="G2400">
        <f>_xlfn.IMAGE("https://edmondsonsupply.com/cdn/shop/products/8WCB-683x1024.jpg?v=1633030324")</f>
        <v/>
      </c>
      <c r="H2400">
        <f>_xlfn.IMAGE("https://m.media-amazon.com/images/I/717njKwq-cL._AC_UL320_.jpg")</f>
        <v/>
      </c>
      <c r="K2400" t="inlineStr">
        <is>
          <t>31.95</t>
        </is>
      </c>
      <c r="L2400" t="n">
        <v>32.45</v>
      </c>
      <c r="M2400" s="1" t="inlineStr">
        <is>
          <t>1.56%</t>
        </is>
      </c>
      <c r="N2400" s="7" t="n">
        <v>698.7</v>
      </c>
      <c r="O2400" t="n">
        <v>4.6</v>
      </c>
      <c r="P2400" t="n">
        <v>89</v>
      </c>
      <c r="R2400" t="inlineStr">
        <is>
          <t>InStock</t>
        </is>
      </c>
      <c r="S2400" t="inlineStr">
        <is>
          <t>48.49</t>
        </is>
      </c>
      <c r="T2400" t="inlineStr">
        <is>
          <t>5247300436136</t>
        </is>
      </c>
    </row>
    <row r="2401" ht="87" customHeight="1">
      <c r="A2401" s="2">
        <f>HYPERLINK("https://edmondsonsupply.com/collections/hvac/products/fresh-aire-uv-blue-tube-uv-tuv-bter2-18-32-vac-2-year-uv-lamp", "https://edmondsonsupply.com/collections/hvac/products/fresh-aire-uv-blue-tube-uv-tuv-bter2-18-32-vac-2-year-uv-lamp")</f>
        <v/>
      </c>
      <c r="B2401" s="2">
        <f>HYPERLINK("https://edmondsonsupply.com/products/fresh-aire-uv-blue-tube-uv-tuv-bter2-18-32-vac-2-year-uv-lamp", "https://edmondsonsupply.com/products/fresh-aire-uv-blue-tube-uv-tuv-bter2-18-32-vac-2-year-uv-lamp")</f>
        <v/>
      </c>
      <c r="C2401" t="inlineStr">
        <is>
          <t>Fresh-Aire UV Blue-Tube UV TUV-BTER2 18-32 VAC, 2-Year UV Lamp</t>
        </is>
      </c>
      <c r="D2401" t="inlineStr">
        <is>
          <t>Fresh-Aire Blue Tube 24-Volt UV Light HVAC Air Purification System, Includes 1-Year UVC Lamp #TUV-BTER</t>
        </is>
      </c>
      <c r="E2401" s="2">
        <f>HYPERLINK("https://www.amazon.com/Fresh-Aire-Blue-Tube-TUV-BTER-Light/dp/B00D48XDO0/ref=sr_1_3?keywords=Fresh-Aire+UV+Blue-Tube+UV+TUV-BTER2+18-32+VAC%2C+2-Year+UV+Lamp&amp;qid=1694734567&amp;sr=8-3", "https://www.amazon.com/Fresh-Aire-Blue-Tube-TUV-BTER-Light/dp/B00D48XDO0/ref=sr_1_3?keywords=Fresh-Aire+UV+Blue-Tube+UV+TUV-BTER2+18-32+VAC%2C+2-Year+UV+Lamp&amp;qid=1694734567&amp;sr=8-3")</f>
        <v/>
      </c>
      <c r="F2401" t="inlineStr">
        <is>
          <t>B00D48XDO0</t>
        </is>
      </c>
      <c r="G2401">
        <f>_xlfn.IMAGE("https://edmondsonsupply.com/cdn/shop/products/apco_tuv-bter2__lamp.jpg?v=1587145673")</f>
        <v/>
      </c>
      <c r="H2401">
        <f>_xlfn.IMAGE("https://m.media-amazon.com/images/I/61smPttWkRL._AC_UL320_.jpg")</f>
        <v/>
      </c>
      <c r="K2401" t="inlineStr">
        <is>
          <t>193.99</t>
        </is>
      </c>
      <c r="L2401" t="n">
        <v>197</v>
      </c>
      <c r="M2401" s="1" t="inlineStr">
        <is>
          <t>1.55%</t>
        </is>
      </c>
      <c r="N2401" s="7" t="n">
        <v>695.47</v>
      </c>
      <c r="O2401" t="n">
        <v>4.5</v>
      </c>
      <c r="P2401" t="n">
        <v>48</v>
      </c>
      <c r="R2401" t="inlineStr">
        <is>
          <t>InStock</t>
        </is>
      </c>
      <c r="S2401" t="inlineStr">
        <is>
          <t>undefined</t>
        </is>
      </c>
      <c r="T2401" t="inlineStr">
        <is>
          <t>4439449436260</t>
        </is>
      </c>
    </row>
    <row r="2402" ht="87" customHeight="1">
      <c r="A2402" s="2">
        <f>HYPERLINK("https://edmondsonsupply.com/collections/hvac/products/white-rodgers-50m56u-843-integrated-furnace-control-board-universal-replacement", "https://edmondsonsupply.com/collections/hvac/products/white-rodgers-50m56u-843-integrated-furnace-control-board-universal-replacement")</f>
        <v/>
      </c>
      <c r="B2402" s="2">
        <f>HYPERLINK("https://edmondsonsupply.com/products/white-rodgers-50m56u-843-integrated-furnace-control-board-universal-replacement", "https://edmondsonsupply.com/products/white-rodgers-50m56u-843-integrated-furnace-control-board-universal-replacement")</f>
        <v/>
      </c>
      <c r="C2402" t="inlineStr">
        <is>
          <t>White-Rodgers 50M56U-843 Integrated Furnace Control Board, Universal Replacement</t>
        </is>
      </c>
      <c r="D2402" t="inlineStr">
        <is>
          <t>White-Rodgers 50M56U-843 White Rodgers Universal Integrated Control</t>
        </is>
      </c>
      <c r="E2402" s="2">
        <f>HYPERLINK("https://www.amazon.com/White-Rodgers-50M56U-843-Rodgers-Universal-Integrated/dp/B0039ZBSWW/ref=sr_1_3?keywords=White-Rodgers+50M56U-843+Integrated+Furnace+Control+Board%2C+Universal+Replacement&amp;qid=1694734587&amp;sr=8-3", "https://www.amazon.com/White-Rodgers-50M56U-843-Rodgers-Universal-Integrated/dp/B0039ZBSWW/ref=sr_1_3?keywords=White-Rodgers+50M56U-843+Integrated+Furnace+Control+Board%2C+Universal+Replacement&amp;qid=1694734587&amp;sr=8-3")</f>
        <v/>
      </c>
      <c r="F2402" t="inlineStr">
        <is>
          <t>B0039ZBSWW</t>
        </is>
      </c>
      <c r="G2402">
        <f>_xlfn.IMAGE("https://edmondsonsupply.com/cdn/shop/products/integrated-furnace-controls-universal-replacement-img-4a.jpg?v=1633030752")</f>
        <v/>
      </c>
      <c r="H2402">
        <f>_xlfn.IMAGE("https://m.media-amazon.com/images/I/71jCdLUOFnL._AC_UL320_.jpg")</f>
        <v/>
      </c>
      <c r="K2402" t="inlineStr">
        <is>
          <t>160.92</t>
        </is>
      </c>
      <c r="L2402" t="n">
        <v>163.34</v>
      </c>
      <c r="M2402" s="1" t="inlineStr">
        <is>
          <t>1.50%</t>
        </is>
      </c>
      <c r="N2402" s="7" t="n">
        <v>694.85</v>
      </c>
      <c r="O2402" t="n">
        <v>4.4</v>
      </c>
      <c r="P2402" t="n">
        <v>98</v>
      </c>
      <c r="R2402" t="inlineStr">
        <is>
          <t>InStock</t>
        </is>
      </c>
      <c r="S2402" t="inlineStr">
        <is>
          <t>367.81</t>
        </is>
      </c>
      <c r="T2402" t="inlineStr">
        <is>
          <t>5896435368104</t>
        </is>
      </c>
    </row>
    <row r="2403" ht="87" customHeight="1">
      <c r="A2403" s="2">
        <f>HYPERLINK("https://edmondsonsupply.com/collections/hvac/products/hilmor-1950536-lightweight-brushless-dc-refrigerant-recovery-machine", "https://edmondsonsupply.com/collections/hvac/products/hilmor-1950536-lightweight-brushless-dc-refrigerant-recovery-machine")</f>
        <v/>
      </c>
      <c r="B2403" s="2">
        <f>HYPERLINK("https://edmondsonsupply.com/products/hilmor-1950536-lightweight-brushless-dc-refrigerant-recovery-machine", "https://edmondsonsupply.com/products/hilmor-1950536-lightweight-brushless-dc-refrigerant-recovery-machine")</f>
        <v/>
      </c>
      <c r="C2403" t="inlineStr">
        <is>
          <t>Hilmor 1950536 Lightweight Brushless DC Refrigerant Recovery Machine</t>
        </is>
      </c>
      <c r="D2403" t="inlineStr">
        <is>
          <t>Hilmor Brushless DC Refrigerant Recovery Machine, 9.6" x 5.4" x 13.3", Black (1950536)</t>
        </is>
      </c>
      <c r="E2403" s="2">
        <f>HYPERLINK("https://www.amazon.com/Hilmor-Brushless-Refrigerant-Recovery-1950536/dp/B0872D9DH8/ref=sr_1_1?keywords=Hilmor+1950536+Lightweight+Brushless+DC+Refrigerant+Recovery+Machine&amp;qid=1694734738&amp;sr=8-1", "https://www.amazon.com/Hilmor-Brushless-Refrigerant-Recovery-1950536/dp/B0872D9DH8/ref=sr_1_1?keywords=Hilmor+1950536+Lightweight+Brushless+DC+Refrigerant+Recovery+Machine&amp;qid=1694734738&amp;sr=8-1")</f>
        <v/>
      </c>
      <c r="F2403" t="inlineStr">
        <is>
          <t>B0872D9DH8</t>
        </is>
      </c>
      <c r="G2403">
        <f>_xlfn.IMAGE("https://edmondsonsupply.com/cdn/shop/products/1950536-1.jpg?v=1587148105")</f>
        <v/>
      </c>
      <c r="H2403">
        <f>_xlfn.IMAGE("https://m.media-amazon.com/images/I/71egN-pGu5L._AC_UL320_.jpg")</f>
        <v/>
      </c>
      <c r="K2403" t="inlineStr">
        <is>
          <t>643.5</t>
        </is>
      </c>
      <c r="L2403" t="n">
        <v>653</v>
      </c>
      <c r="M2403" s="1" t="inlineStr">
        <is>
          <t>1.48%</t>
        </is>
      </c>
      <c r="N2403" s="7" t="n">
        <v>692.28</v>
      </c>
      <c r="O2403" t="n">
        <v>5</v>
      </c>
      <c r="P2403" t="n">
        <v>4</v>
      </c>
      <c r="R2403" t="inlineStr">
        <is>
          <t>InStock</t>
        </is>
      </c>
      <c r="S2403" t="inlineStr">
        <is>
          <t>undefined</t>
        </is>
      </c>
      <c r="T2403" t="inlineStr">
        <is>
          <t>3540872921188</t>
        </is>
      </c>
    </row>
    <row r="2404" hidden="1" ht="15.75" customHeight="1">
      <c r="A2404" s="2">
        <f>HYPERLINK("https://edmondsonsupply.com/collections/hvac/products/inficon-whisper%C2%AE-ultrasonic-leak-detector-with-accessory-kit", "https://edmondsonsupply.com/collections/hvac/products/inficon-whisper%C2%AE-ultrasonic-leak-detector-with-accessory-kit")</f>
        <v/>
      </c>
      <c r="B2404" s="2">
        <f>HYPERLINK("https://edmondsonsupply.com/products/inficon-whisper%c2%ae-ultrasonic-leak-detector-with-accessory-kit", "https://edmondsonsupply.com/products/inficon-whisper%c2%ae-ultrasonic-leak-detector-with-accessory-kit")</f>
        <v/>
      </c>
      <c r="C2404" t="inlineStr">
        <is>
          <t>Inficon Whisper® Ultrasonic Leak Detector with Accessory Kit</t>
        </is>
      </c>
      <c r="D2404" t="inlineStr">
        <is>
          <t>INFICON Whisper with Accessory Kit, Enhanced Ultrasonic Leak Detector, 711-203-G1,Off-White</t>
        </is>
      </c>
      <c r="E2404" s="2">
        <f>HYPERLINK("https://www.amazon.com/711-203-G1-Enhanced-Ultrasonic-Detector-Accessory/dp/B00DAOI5EQ/ref=sr_1_1?keywords=Inficon+Whisper%C2%AE+Ultrasonic+Leak+Detector+with+Accessory+Kit&amp;qid=1694734722&amp;sr=8-1", "https://www.amazon.com/711-203-G1-Enhanced-Ultrasonic-Detector-Accessory/dp/B00DAOI5EQ/ref=sr_1_1?keywords=Inficon+Whisper%C2%AE+Ultrasonic+Leak+Detector+with+Accessory+Kit&amp;qid=1694734722&amp;sr=8-1")</f>
        <v/>
      </c>
      <c r="F2404" t="inlineStr">
        <is>
          <t>B00DAOI5EQ</t>
        </is>
      </c>
      <c r="G2404">
        <f>_xludf.IMAGE("https://edmondsonsupply.com/cdn/shop/products/t5rPU4FQ.png?v=1633030885")</f>
        <v/>
      </c>
      <c r="H2404">
        <f>_xludf.IMAGE("https://m.media-amazon.com/images/I/41v0d5VMaxL._AC_UY218_.jpg")</f>
        <v/>
      </c>
      <c r="K2404" t="inlineStr">
        <is>
          <t>408.99</t>
        </is>
      </c>
      <c r="L2404" t="n">
        <v>415</v>
      </c>
      <c r="M2404" s="1" t="inlineStr">
        <is>
          <t>1.47%</t>
        </is>
      </c>
      <c r="N2404" s="1" t="n">
        <v>692.28</v>
      </c>
      <c r="O2404" t="n">
        <v>4</v>
      </c>
      <c r="P2404" t="n">
        <v>40</v>
      </c>
      <c r="R2404" t="inlineStr">
        <is>
          <t>InStock</t>
        </is>
      </c>
      <c r="S2404" t="inlineStr">
        <is>
          <t>510.0</t>
        </is>
      </c>
      <c r="T2404" t="inlineStr">
        <is>
          <t>6207749783725</t>
        </is>
      </c>
    </row>
    <row r="2405" ht="87" customHeight="1">
      <c r="A2405" s="2">
        <f>HYPERLINK("https://edmondsonsupply.com/collections/hvac/products/testo-0590-7552-755-2-current-voltage-meter-with-200-a-ac-1000-v-ac-dc-continuity-and-phase-rotation-tester", "https://edmondsonsupply.com/collections/hvac/products/testo-0590-7552-755-2-current-voltage-meter-with-200-a-ac-1000-v-ac-dc-continuity-and-phase-rotation-tester")</f>
        <v/>
      </c>
      <c r="B2405" s="2">
        <f>HYPERLINK("https://edmondsonsupply.com/products/testo-0590-7552-755-2-current-voltage-meter-with-200-a-ac-1000-v-ac-dc-continuity-and-phase-rotation-tester", "https://edmondsonsupply.com/products/testo-0590-7552-755-2-current-voltage-meter-with-200-a-ac-1000-v-ac-dc-continuity-and-phase-rotation-tester")</f>
        <v/>
      </c>
      <c r="C2405" t="inlineStr">
        <is>
          <t>Testo 0590 7552 755-2 - Current / Voltage Meter with 200 A AC, 1000 V AC/DC, Continuity, and Phase Rotation Tester</t>
        </is>
      </c>
      <c r="D2405" t="inlineStr">
        <is>
          <t>Testo 755-2 (0590 7552) Current/Voltage Meter w/ Continuity, Phase Rotation, 200 A AC, 1000 V AC/DC</t>
        </is>
      </c>
      <c r="E2405" s="2">
        <f>HYPERLINK("https://www.amazon.com/Testo-755-2-Current-Continuity-Rotation/dp/B01F3MPHQG/ref=sr_1_1?keywords=Testo+0590+7552+755-2+-+Current+%2F+Voltage+Meter+with+200+A+AC%2C+1000+V+AC%2FDC%2C+Continuity%2C+and+Phase+Rotation+Tester&amp;qid=1694734892&amp;sr=8-1", "https://www.amazon.com/Testo-755-2-Current-Continuity-Rotation/dp/B01F3MPHQG/ref=sr_1_1?keywords=Testo+0590+7552+755-2+-+Current+%2F+Voltage+Meter+with+200+A+AC%2C+1000+V+AC%2FDC%2C+Continuity%2C+and+Phase+Rotation+Tester&amp;qid=1694734892&amp;sr=8-1")</f>
        <v/>
      </c>
      <c r="F2405" t="inlineStr">
        <is>
          <t>B01F3MPHQG</t>
        </is>
      </c>
      <c r="G2405">
        <f>_xlfn.IMAGE("https://edmondsonsupply.com/cdn/shop/files/testo-755-2_front_master.jpg?v=1688227541")</f>
        <v/>
      </c>
      <c r="H2405">
        <f>_xlfn.IMAGE("https://m.media-amazon.com/images/I/617sSpgpYbL._AC_UY218_.jpg")</f>
        <v/>
      </c>
      <c r="K2405" t="inlineStr">
        <is>
          <t>213.35</t>
        </is>
      </c>
      <c r="L2405" t="n">
        <v>216.45</v>
      </c>
      <c r="M2405" s="1" t="inlineStr">
        <is>
          <t>1.45%</t>
        </is>
      </c>
      <c r="N2405" s="7" t="n">
        <v>681.38</v>
      </c>
      <c r="O2405" t="n">
        <v>4.2</v>
      </c>
      <c r="P2405" t="n">
        <v>7</v>
      </c>
      <c r="R2405" t="inlineStr">
        <is>
          <t>InStock</t>
        </is>
      </c>
      <c r="S2405" t="inlineStr">
        <is>
          <t>251.0</t>
        </is>
      </c>
      <c r="T2405" t="inlineStr">
        <is>
          <t>8011674222808</t>
        </is>
      </c>
    </row>
    <row r="2406" ht="87" customHeight="1">
      <c r="A2406" s="2">
        <f>HYPERLINK("https://edmondsonsupply.com/collections/hvac/products/ritchie-yellow-jacket-60667-refrigerant-recovery-pliers", "https://edmondsonsupply.com/collections/hvac/products/ritchie-yellow-jacket-60667-refrigerant-recovery-pliers")</f>
        <v/>
      </c>
      <c r="B2406" s="2">
        <f>HYPERLINK("https://edmondsonsupply.com/products/ritchie-yellow-jacket-60667-refrigerant-recovery-pliers", "https://edmondsonsupply.com/products/ritchie-yellow-jacket-60667-refrigerant-recovery-pliers")</f>
        <v/>
      </c>
      <c r="C2406" t="inlineStr">
        <is>
          <t>Yellow Jacket 60667 Refrigerant Recovery Pliers</t>
        </is>
      </c>
      <c r="D2406" t="inlineStr">
        <is>
          <t>YELLOW JACKET 60667 Refrigerant Recovery Plier</t>
        </is>
      </c>
      <c r="E2406" s="2">
        <f>HYPERLINK("https://www.amazon.com/YELLOW-JACKET-60667-Refrigerant-Recovery/dp/B008FMBA90/ref=sr_1_1?keywords=Yellow+Jacket+60667+Refrigerant+Recovery+Pliers&amp;qid=1694734830&amp;sr=8-1", "https://www.amazon.com/YELLOW-JACKET-60667-Refrigerant-Recovery/dp/B008FMBA90/ref=sr_1_1?keywords=Yellow+Jacket+60667+Refrigerant+Recovery+Pliers&amp;qid=1694734830&amp;sr=8-1")</f>
        <v/>
      </c>
      <c r="F2406" t="inlineStr">
        <is>
          <t>B008FMBA90</t>
        </is>
      </c>
      <c r="G2406">
        <f>_xlfn.IMAGE("https://edmondsonsupply.com/cdn/shop/products/60667.jpg?v=1616109772")</f>
        <v/>
      </c>
      <c r="H2406">
        <f>_xlfn.IMAGE("https://m.media-amazon.com/images/I/81Ve6uGsbvL._AC_UL320_.jpg")</f>
        <v/>
      </c>
      <c r="K2406" t="inlineStr">
        <is>
          <t>60.87</t>
        </is>
      </c>
      <c r="L2406" t="n">
        <v>61.75</v>
      </c>
      <c r="M2406" s="1" t="inlineStr">
        <is>
          <t>1.45%</t>
        </is>
      </c>
      <c r="N2406" s="7" t="n">
        <v>677.97</v>
      </c>
      <c r="O2406" t="n">
        <v>4.6</v>
      </c>
      <c r="P2406" t="n">
        <v>77</v>
      </c>
      <c r="R2406" t="inlineStr">
        <is>
          <t>InStock</t>
        </is>
      </c>
      <c r="S2406" t="inlineStr">
        <is>
          <t>undefined</t>
        </is>
      </c>
      <c r="T2406" t="inlineStr">
        <is>
          <t>2443085643876</t>
        </is>
      </c>
    </row>
    <row r="2407" ht="87" customHeight="1">
      <c r="A2407" s="2">
        <f>HYPERLINK("https://edmondsonsupply.com/collections/hvac/products/midwest-mwt-ss6510r-special-hardness-offset-aviation-snip-right-cutting", "https://edmondsonsupply.com/collections/hvac/products/midwest-mwt-ss6510r-special-hardness-offset-aviation-snip-right-cutting")</f>
        <v/>
      </c>
      <c r="B2407" s="2">
        <f>HYPERLINK("https://edmondsonsupply.com/products/midwest-mwt-ss6510r-special-hardness-offset-aviation-snip-right-cutting", "https://edmondsonsupply.com/products/midwest-mwt-ss6510r-special-hardness-offset-aviation-snip-right-cutting")</f>
        <v/>
      </c>
      <c r="C2407" t="inlineStr">
        <is>
          <t>Midwest MWT-SS6510R Special Hardness Offset Aviation Snip - Right-Cutting</t>
        </is>
      </c>
      <c r="D2407" t="inlineStr">
        <is>
          <t>Midwest Tool &amp; Cutlery Aviation Snip - Right Cut Offset Tin Cutting Shears with Forged Blade &amp; KUSH'N-POWER Comfort Grips - MWT-6510R, Offset Cut</t>
        </is>
      </c>
      <c r="E2407" s="2">
        <f>HYPERLINK("https://www.amazon.com/MIDWEST-Aviation-Snip-KUSHN-POWER-MWT-6510R/dp/B00OCGQG6A/ref=sr_1_7?keywords=Midwest+MWT-SS6510R+Special+Hardness+Offset+Aviation+Snip+-+Right-Cutting&amp;qid=1694734585&amp;sr=8-7", "https://www.amazon.com/MIDWEST-Aviation-Snip-KUSHN-POWER-MWT-6510R/dp/B00OCGQG6A/ref=sr_1_7?keywords=Midwest+MWT-SS6510R+Special+Hardness+Offset+Aviation+Snip+-+Right-Cutting&amp;qid=1694734585&amp;sr=8-7")</f>
        <v/>
      </c>
      <c r="F2407" t="inlineStr">
        <is>
          <t>B00OCGQG6A</t>
        </is>
      </c>
      <c r="G2407">
        <f>_xlfn.IMAGE("https://edmondsonsupply.com/cdn/shop/products/MWT-SSP6510R.jpg?v=1587142544")</f>
        <v/>
      </c>
      <c r="H2407">
        <f>_xlfn.IMAGE("https://m.media-amazon.com/images/I/714fHvEMecL._AC_UL320_.jpg")</f>
        <v/>
      </c>
      <c r="K2407" t="inlineStr">
        <is>
          <t>32.15</t>
        </is>
      </c>
      <c r="L2407" t="n">
        <v>32.6</v>
      </c>
      <c r="M2407" s="1" t="inlineStr">
        <is>
          <t>1.40%</t>
        </is>
      </c>
      <c r="N2407" s="7" t="n">
        <v>670.9299999999999</v>
      </c>
      <c r="O2407" t="n">
        <v>4.7</v>
      </c>
      <c r="P2407" t="n">
        <v>2712</v>
      </c>
      <c r="R2407" t="inlineStr">
        <is>
          <t>OutOfStock</t>
        </is>
      </c>
      <c r="S2407" t="inlineStr">
        <is>
          <t>47.17</t>
        </is>
      </c>
      <c r="T2407" t="inlineStr">
        <is>
          <t>4473073107044</t>
        </is>
      </c>
    </row>
    <row r="2408" ht="87" customHeight="1">
      <c r="A2408" s="2">
        <f>HYPERLINK("https://edmondsonsupply.com/collections/hvac/products/klein-tools-mm720-digital-multimeter-trms-auto-ranging-1000v-temp-low-impedance", "https://edmondsonsupply.com/collections/hvac/products/klein-tools-mm720-digital-multimeter-trms-auto-ranging-1000v-temp-low-impedance")</f>
        <v/>
      </c>
      <c r="B2408" s="2">
        <f>HYPERLINK("https://edmondsonsupply.com/products/klein-tools-mm720-digital-multimeter-trms-auto-ranging-1000v-temp-low-impedance", "https://edmondsonsupply.com/products/klein-tools-mm720-digital-multimeter-trms-auto-ranging-1000v-temp-low-impedance")</f>
        <v/>
      </c>
      <c r="C2408" t="inlineStr">
        <is>
          <t>Klein Tools MM720 Digital Multimeter, TRMS Auto-Ranging, 1000V, Temp, Low Impedance</t>
        </is>
      </c>
      <c r="D2408" t="inlineStr">
        <is>
          <t>Klein Tools MM720 Digital Multimeter, Auto-Ranging TRMS, Low Impedance (LOZ), 1000V AC/DC Voltage, 10A AC/DC Current, 60 MOhms Resistance,Orange/Black &amp; 69410 Replacement Test Lead Set, Right Angle</t>
        </is>
      </c>
      <c r="E2408" s="2">
        <f>HYPERLINK("https://www.amazon.com/Klein-Tools-Auto-Ranging-MOhms-Resistance-Replacement/dp/B0C7QB94HG/ref=sr_1_3?keywords=Klein+Tools+MM720+Digital+Multimeter%2C+TRMS+Auto-Ranging%2C+1000V%2C+Temp%2C+Low+Impedance&amp;qid=1694734687&amp;sr=8-3", "https://www.amazon.com/Klein-Tools-Auto-Ranging-MOhms-Resistance-Replacement/dp/B0C7QB94HG/ref=sr_1_3?keywords=Klein+Tools+MM720+Digital+Multimeter%2C+TRMS+Auto-Ranging%2C+1000V%2C+Temp%2C+Low+Impedance&amp;qid=1694734687&amp;sr=8-3")</f>
        <v/>
      </c>
      <c r="F2408" t="inlineStr">
        <is>
          <t>B0C7QB94HG</t>
        </is>
      </c>
      <c r="G2408">
        <f>_xlfn.IMAGE("https://edmondsonsupply.com/cdn/shop/products/mm720.jpg?v=1663609402")</f>
        <v/>
      </c>
      <c r="H2408">
        <f>_xlfn.IMAGE("https://m.media-amazon.com/images/I/51iZGkiWnZL._AC_UL320_.jpg")</f>
        <v/>
      </c>
      <c r="K2408" t="inlineStr">
        <is>
          <t>99.97</t>
        </is>
      </c>
      <c r="L2408" t="n">
        <v>101.34</v>
      </c>
      <c r="M2408" s="1" t="inlineStr">
        <is>
          <t>1.37%</t>
        </is>
      </c>
      <c r="N2408" s="7" t="n">
        <v>667.9400000000001</v>
      </c>
      <c r="O2408" t="n">
        <v>5</v>
      </c>
      <c r="P2408" t="n">
        <v>1</v>
      </c>
      <c r="R2408" t="inlineStr">
        <is>
          <t>InStock</t>
        </is>
      </c>
      <c r="S2408" t="inlineStr">
        <is>
          <t>145.98</t>
        </is>
      </c>
      <c r="T2408" t="inlineStr">
        <is>
          <t>7822904754392</t>
        </is>
      </c>
    </row>
    <row r="2409" ht="87" customHeight="1">
      <c r="A2409" s="2">
        <f>HYPERLINK("https://edmondsonsupply.com/collections/hvac/products/ritchie-yellow-jacket-19165-1-2-female-acme-quick-coupler-x-1-4-male-flare", "https://edmondsonsupply.com/collections/hvac/products/ritchie-yellow-jacket-19165-1-2-female-acme-quick-coupler-x-1-4-male-flare")</f>
        <v/>
      </c>
      <c r="B2409" s="2">
        <f>HYPERLINK("https://edmondsonsupply.com/products/ritchie-yellow-jacket-19165-1-2-female-acme-quick-coupler-x-1-4-male-flare", "https://edmondsonsupply.com/products/ritchie-yellow-jacket-19165-1-2-female-acme-quick-coupler-x-1-4-male-flare")</f>
        <v/>
      </c>
      <c r="C2409" t="inlineStr">
        <is>
          <t>Yellow Jacket 19165 1/2" Female Acme Quick Coupler X 1/4" Male Flare</t>
        </is>
      </c>
      <c r="D2409" t="inlineStr">
        <is>
          <t>Ritchie Yellow Jacket 19173 5/16'' Female Quick Couplersx1/4'' Male Flare, Pack of 3</t>
        </is>
      </c>
      <c r="E2409" s="2">
        <f>HYPERLINK("https://www.amazon.com/Ritchie-Yellow-Jacket-Female-Couplersx1/dp/B0B1YN6DC7/ref=sr_1_4?keywords=Yellow+Jacket+19165+1%2F2%22+Female+Acme+Quick+Coupler+X+1%2F4%22+Male+Flare&amp;qid=1694734741&amp;sr=8-4", "https://www.amazon.com/Ritchie-Yellow-Jacket-Female-Couplersx1/dp/B0B1YN6DC7/ref=sr_1_4?keywords=Yellow+Jacket+19165+1%2F2%22+Female+Acme+Quick+Coupler+X+1%2F4%22+Male+Flare&amp;qid=1694734741&amp;sr=8-4")</f>
        <v/>
      </c>
      <c r="F2409" t="inlineStr">
        <is>
          <t>B0B1YN6DC7</t>
        </is>
      </c>
      <c r="G2409">
        <f>_xlfn.IMAGE("https://edmondsonsupply.com/cdn/shop/products/s-l500_35c9f138-c108-4fd6-aab6-baa85329b323.jpg?v=1597544718")</f>
        <v/>
      </c>
      <c r="H2409">
        <f>_xlfn.IMAGE("https://m.media-amazon.com/images/I/71xnb6cLD8L._AC_UL320_.jpg")</f>
        <v/>
      </c>
      <c r="K2409" t="inlineStr">
        <is>
          <t>19.03</t>
        </is>
      </c>
      <c r="L2409" t="n">
        <v>19.29</v>
      </c>
      <c r="M2409" s="1" t="inlineStr">
        <is>
          <t>1.37%</t>
        </is>
      </c>
      <c r="N2409" s="7" t="n">
        <v>667.12</v>
      </c>
      <c r="O2409" t="n">
        <v>4.7</v>
      </c>
      <c r="P2409" t="n">
        <v>688</v>
      </c>
      <c r="R2409" t="inlineStr">
        <is>
          <t>InStock</t>
        </is>
      </c>
      <c r="S2409" t="inlineStr">
        <is>
          <t>undefined</t>
        </is>
      </c>
      <c r="T2409" t="inlineStr">
        <is>
          <t>2633090400356</t>
        </is>
      </c>
    </row>
    <row r="2410" ht="87" customHeight="1">
      <c r="A2410" s="2">
        <f>HYPERLINK("https://edmondsonsupply.com/collections/hvac/products/nu-calgon-4290-75-nu-blast-aerosol-coil-cleaner", "https://edmondsonsupply.com/collections/hvac/products/nu-calgon-4290-75-nu-blast-aerosol-coil-cleaner")</f>
        <v/>
      </c>
      <c r="B2410" s="2">
        <f>HYPERLINK("https://edmondsonsupply.com/products/nu-calgon-4290-75-nu-blast-aerosol-coil-cleaner", "https://edmondsonsupply.com/products/nu-calgon-4290-75-nu-blast-aerosol-coil-cleaner")</f>
        <v/>
      </c>
      <c r="C2410" t="inlineStr">
        <is>
          <t>Nu-Calgon 4290-75 Nu-Blast Aerosol Coil Cleaner</t>
        </is>
      </c>
      <c r="D2410" t="inlineStr">
        <is>
          <t>4171-75 Nu-Calgon Evap Foam No Rinse Evaporator Coil Cleaner 18 OZ Aerosol Spray</t>
        </is>
      </c>
      <c r="E2410" s="2">
        <f>HYPERLINK("https://www.amazon.com/4171-75-Nu-Calgon-Evaporator-Cleaner-Aerosol/dp/B00E2X3MRE/ref=sr_1_11?keywords=Nu-Calgon+4290-75+Nu-Blast+Aerosol+Coil+Cleaner&amp;qid=1694734637&amp;sr=8-11", "https://www.amazon.com/4171-75-Nu-Calgon-Evaporator-Cleaner-Aerosol/dp/B00E2X3MRE/ref=sr_1_11?keywords=Nu-Calgon+4290-75+Nu-Blast+Aerosol+Coil+Cleaner&amp;qid=1694734637&amp;sr=8-11")</f>
        <v/>
      </c>
      <c r="F2410" t="inlineStr">
        <is>
          <t>B00E2X3MRE</t>
        </is>
      </c>
      <c r="G2410">
        <f>_xlfn.IMAGE("https://edmondsonsupply.com/cdn/shop/products/4290-75.jpg?v=1659464661")</f>
        <v/>
      </c>
      <c r="H2410">
        <f>_xlfn.IMAGE("https://m.media-amazon.com/images/I/41FecUXSw6L._AC_UL320_.jpg")</f>
        <v/>
      </c>
      <c r="K2410" t="inlineStr">
        <is>
          <t>18.79</t>
        </is>
      </c>
      <c r="L2410" t="n">
        <v>19.01</v>
      </c>
      <c r="M2410" s="1" t="inlineStr">
        <is>
          <t>1.17%</t>
        </is>
      </c>
      <c r="N2410" s="7" t="n">
        <v>664.71</v>
      </c>
      <c r="O2410" t="n">
        <v>4.6</v>
      </c>
      <c r="P2410" t="n">
        <v>29</v>
      </c>
      <c r="R2410" t="inlineStr">
        <is>
          <t>InStock</t>
        </is>
      </c>
      <c r="S2410" t="inlineStr">
        <is>
          <t>25.06</t>
        </is>
      </c>
      <c r="T2410" t="inlineStr">
        <is>
          <t>7769839829208</t>
        </is>
      </c>
    </row>
    <row r="2411" ht="87" customHeight="1">
      <c r="A2411" s="2">
        <f>HYPERLINK("https://edmondsonsupply.com/collections/hvac/products/malco-tools-m2004-max2000%C2%AE-double-cut-aviation-snip", "https://edmondsonsupply.com/collections/hvac/products/malco-tools-m2004-max2000%C2%AE-double-cut-aviation-snip")</f>
        <v/>
      </c>
      <c r="B2411" s="2">
        <f>HYPERLINK("https://edmondsonsupply.com/products/malco-tools-m2004-max2000%c2%ae-double-cut-aviation-snip", "https://edmondsonsupply.com/products/malco-tools-m2004-max2000%c2%ae-double-cut-aviation-snip")</f>
        <v/>
      </c>
      <c r="C2411" t="inlineStr">
        <is>
          <t>Malco Tools M2004 Max2000® Double-Cut Aviation Snip</t>
        </is>
      </c>
      <c r="D2411" t="inlineStr">
        <is>
          <t>Malco M2004 10 in. Double Cut Aviation Snips</t>
        </is>
      </c>
      <c r="E2411" s="2">
        <f>HYPERLINK("https://www.amazon.com/Malco-M2004-Double-Made-Aviation/dp/B006ZOMTYU/ref=sr_1_1?keywords=Malco+Tools+M2004+Max2000%C2%AE+Double-Cut+Aviation+Snip&amp;qid=1694734669&amp;sr=8-1", "https://www.amazon.com/Malco-M2004-Double-Made-Aviation/dp/B006ZOMTYU/ref=sr_1_1?keywords=Malco+Tools+M2004+Max2000%C2%AE+Double-Cut+Aviation+Snip&amp;qid=1694734669&amp;sr=8-1")</f>
        <v/>
      </c>
      <c r="F2411" t="inlineStr">
        <is>
          <t>B006ZOMTYU</t>
        </is>
      </c>
      <c r="G2411">
        <f>_xlfn.IMAGE("https://edmondsonsupply.com/cdn/shop/products/m2004_catalog-big-e1530195457745.jpg?v=1587142642")</f>
        <v/>
      </c>
      <c r="H2411">
        <f>_xlfn.IMAGE("https://m.media-amazon.com/images/I/51r0YGmZXoL._AC_UL320_.jpg")</f>
        <v/>
      </c>
      <c r="K2411" t="inlineStr">
        <is>
          <t>63.49</t>
        </is>
      </c>
      <c r="L2411" t="n">
        <v>64.09999999999999</v>
      </c>
      <c r="M2411" s="1" t="inlineStr">
        <is>
          <t>0.96%</t>
        </is>
      </c>
      <c r="N2411" s="7" t="n">
        <v>660.49</v>
      </c>
      <c r="O2411" t="n">
        <v>4.5</v>
      </c>
      <c r="P2411" t="n">
        <v>179</v>
      </c>
      <c r="R2411" t="inlineStr">
        <is>
          <t>InStock</t>
        </is>
      </c>
      <c r="S2411" t="inlineStr">
        <is>
          <t>71.38</t>
        </is>
      </c>
      <c r="T2411" t="inlineStr">
        <is>
          <t>4531101991012</t>
        </is>
      </c>
    </row>
    <row r="2412" hidden="1" ht="15.75" customHeight="1">
      <c r="A2412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412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412" t="inlineStr">
        <is>
          <t>Diablo Tools DMAPL2290 7/16 in. x 10 in. x 12 in. SDS-Plus 2-Cutter</t>
        </is>
      </c>
      <c r="D2412" t="inlineStr">
        <is>
          <t>Diablo 1/2 in. x 10 in. x 12 in. SDS-Plus 2-Cutter</t>
        </is>
      </c>
      <c r="E2412" s="2">
        <f>HYPERLINK("https://www.amazon.com/Diablo-10-12-SDS-Plus-2-Cutter/dp/B089LLL1VX/ref=sr_1_24?keywords=Diablo+Tools+DMAPL2290+7%2F16+in.+x+10+in.+x+12+in.+SDS-Plus+2-Cutter&amp;qid=1694734916&amp;sr=8-24", "https://www.amazon.com/Diablo-10-12-SDS-Plus-2-Cutter/dp/B089LLL1VX/ref=sr_1_24?keywords=Diablo+Tools+DMAPL2290+7%2F16+in.+x+10+in.+x+12+in.+SDS-Plus+2-Cutter&amp;qid=1694734916&amp;sr=8-24")</f>
        <v/>
      </c>
      <c r="F2412" t="inlineStr">
        <is>
          <t>B089LLL1VX</t>
        </is>
      </c>
      <c r="G2412">
        <f>_xludf.IMAGE("https://edmondsonsupply.com/cdn/shop/files/lgvfccwvf9ikjakt8qfb.webp?v=1686146379")</f>
        <v/>
      </c>
      <c r="H2412">
        <f>_xludf.IMAGE("https://m.media-amazon.com/images/I/61+hWGquLCL._AC_UL320_.jpg")</f>
        <v/>
      </c>
      <c r="K2412" t="inlineStr">
        <is>
          <t>10.5</t>
        </is>
      </c>
      <c r="L2412" t="n">
        <v>10.6</v>
      </c>
      <c r="M2412" s="1" t="inlineStr">
        <is>
          <t>0.95%</t>
        </is>
      </c>
      <c r="N2412" s="1" t="n">
        <v>660.09</v>
      </c>
      <c r="O2412" t="n">
        <v>4.7</v>
      </c>
      <c r="P2412" t="n">
        <v>4</v>
      </c>
      <c r="R2412" t="inlineStr">
        <is>
          <t>InStock</t>
        </is>
      </c>
      <c r="S2412" t="inlineStr">
        <is>
          <t>16.67</t>
        </is>
      </c>
      <c r="T2412" t="inlineStr">
        <is>
          <t>8002354872536</t>
        </is>
      </c>
    </row>
    <row r="2413" ht="87" customHeight="1">
      <c r="A2413" s="2">
        <f>HYPERLINK("https://edmondsonsupply.com/collections/hvac/products/us-motors-5464-rescue-5-6-condenser-fan-motor-208-230v-1-3-1-6-hp-825-rpm", "https://edmondsonsupply.com/collections/hvac/products/us-motors-5464-rescue-5-6-condenser-fan-motor-208-230v-1-3-1-6-hp-825-rpm")</f>
        <v/>
      </c>
      <c r="B2413" s="2">
        <f>HYPERLINK("https://edmondsonsupply.com/products/us-motors-5464-rescue-5-6-condenser-fan-motor-208-230v-1-3-1-6-hp-825-rpm", "https://edmondsonsupply.com/products/us-motors-5464-rescue-5-6-condenser-fan-motor-208-230v-1-3-1-6-hp-825-rpm")</f>
        <v/>
      </c>
      <c r="C2413" t="inlineStr">
        <is>
          <t>US Motors 5464 Rescue 5.6" Condenser Fan Motor, 208-230V, 1/3-1/6 HP, 825 RPM</t>
        </is>
      </c>
      <c r="D2413" t="inlineStr">
        <is>
          <t>U.S. Motors RESCUE Condenser Fan Motor 1/3 HP to 1/6HP 208-230V 1-Phase 60Hz 825 RPM 2-Speed (Emerson Nidec Protech Rheem #5464)</t>
        </is>
      </c>
      <c r="E2413" s="2">
        <f>HYPERLINK("https://www.amazon.com/Condenser-208-230V-1-Phase-Rheem-5464/dp/B009AXINPW/ref=sr_1_1?keywords=US+Motors+5464+Rescue+5.6%22+Condenser+Fan+Motor%2C+208-230V%2C+1%2F3-1%2F6+HP%2C+825+RPM&amp;qid=1694734623&amp;sr=8-1", "https://www.amazon.com/Condenser-208-230V-1-Phase-Rheem-5464/dp/B009AXINPW/ref=sr_1_1?keywords=US+Motors+5464+Rescue+5.6%22+Condenser+Fan+Motor%2C+208-230V%2C+1%2F3-1%2F6+HP%2C+825+RPM&amp;qid=1694734623&amp;sr=8-1")</f>
        <v/>
      </c>
      <c r="F2413" t="inlineStr">
        <is>
          <t>B009AXINPW</t>
        </is>
      </c>
      <c r="G2413">
        <f>_xlfn.IMAGE("https://edmondsonsupply.com/cdn/shop/products/5464-2.jpg?v=1587142075")</f>
        <v/>
      </c>
      <c r="H2413">
        <f>_xlfn.IMAGE("https://m.media-amazon.com/images/I/81KtKKXB3zL._AC_UL320_.jpg")</f>
        <v/>
      </c>
      <c r="K2413" t="inlineStr">
        <is>
          <t>177.36</t>
        </is>
      </c>
      <c r="L2413" t="n">
        <v>179</v>
      </c>
      <c r="M2413" s="1" t="inlineStr">
        <is>
          <t>0.92%</t>
        </is>
      </c>
      <c r="N2413" s="7" t="n">
        <v>658.9400000000001</v>
      </c>
      <c r="O2413" t="n">
        <v>4.7</v>
      </c>
      <c r="P2413" t="n">
        <v>39</v>
      </c>
      <c r="R2413" t="inlineStr">
        <is>
          <t>InStock</t>
        </is>
      </c>
      <c r="S2413" t="inlineStr">
        <is>
          <t>182.0</t>
        </is>
      </c>
      <c r="T2413" t="inlineStr">
        <is>
          <t>4472494850148</t>
        </is>
      </c>
    </row>
    <row r="2414" ht="87" customHeight="1">
      <c r="A2414" s="2">
        <f>HYPERLINK("https://edmondsonsupply.com/collections/hvac/products/sensible-products-up-1-ultimate-puller-fan-blade-and-blower-wheel-puller", "https://edmondsonsupply.com/collections/hvac/products/sensible-products-up-1-ultimate-puller-fan-blade-and-blower-wheel-puller")</f>
        <v/>
      </c>
      <c r="B2414" s="2">
        <f>HYPERLINK("https://edmondsonsupply.com/products/sensible-products-up-1-ultimate-puller-fan-blade-and-blower-wheel-puller", "https://edmondsonsupply.com/products/sensible-products-up-1-ultimate-puller-fan-blade-and-blower-wheel-puller")</f>
        <v/>
      </c>
      <c r="C2414" t="inlineStr">
        <is>
          <t>Sensible Products UP-1 Ultimate Puller - Fan Blade and Blower Wheel Puller</t>
        </is>
      </c>
      <c r="D2414" t="inlineStr">
        <is>
          <t>MARKETTY UP-1 Ultimate Hub Fan Blade Blower Wheel Puller Perfect for 5/8" Belt Drive and 1/2" Or Less Direct Drive Motor Shafts</t>
        </is>
      </c>
      <c r="E2414" s="2">
        <f>HYPERLINK("https://www.amazon.com/MARKETTY-Ultimate-Hub-Puller-Perfect/dp/B0C6T3YQNC/ref=sr_1_3?keywords=Sensible+Products+UP-1+Ultimate+Puller+-+Fan+Blade+and+Blower+Wheel+Puller&amp;qid=1694734567&amp;sr=8-3", "https://www.amazon.com/MARKETTY-Ultimate-Hub-Puller-Perfect/dp/B0C6T3YQNC/ref=sr_1_3?keywords=Sensible+Products+UP-1+Ultimate+Puller+-+Fan+Blade+and+Blower+Wheel+Puller&amp;qid=1694734567&amp;sr=8-3")</f>
        <v/>
      </c>
      <c r="F2414" t="inlineStr">
        <is>
          <t>B0C6T3YQNC</t>
        </is>
      </c>
      <c r="G2414">
        <f>_xlfn.IMAGE("https://edmondsonsupply.com/cdn/shop/products/UPAsset-2_3x_28364a83-d5d7-4a51-b059-b5bf0887b56e.png?v=1638146548")</f>
        <v/>
      </c>
      <c r="H2414">
        <f>_xlfn.IMAGE("https://m.media-amazon.com/images/I/51VxkG8fG2L._AC_UY218_.jpg")</f>
        <v/>
      </c>
      <c r="K2414" t="inlineStr">
        <is>
          <t>47.6</t>
        </is>
      </c>
      <c r="L2414" t="n">
        <v>47.99</v>
      </c>
      <c r="M2414" s="1" t="inlineStr">
        <is>
          <t>0.82%</t>
        </is>
      </c>
      <c r="N2414" s="7" t="n">
        <v>652.16</v>
      </c>
      <c r="O2414" t="n">
        <v>4.9</v>
      </c>
      <c r="P2414" t="n">
        <v>11</v>
      </c>
      <c r="R2414" t="inlineStr">
        <is>
          <t>InStock</t>
        </is>
      </c>
      <c r="S2414" t="inlineStr">
        <is>
          <t>undefined</t>
        </is>
      </c>
      <c r="T2414" t="inlineStr">
        <is>
          <t>4337179885668</t>
        </is>
      </c>
    </row>
    <row r="2415" hidden="1" ht="15.75" customHeight="1">
      <c r="A2415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415" s="2">
        <f>HYPERLINK("https://edmondsonsupply.com/products/klein-tools-s8m-1-4-inch-magnetic-nut-driver-3-inch-shank", "https://edmondsonsupply.com/products/klein-tools-s8m-1-4-inch-magnetic-nut-driver-3-inch-shank")</f>
        <v/>
      </c>
      <c r="C2415" t="inlineStr">
        <is>
          <t>Klein Tools S8M 1/4-Inch Magnetic Nut Driver 3-Inch Shank</t>
        </is>
      </c>
      <c r="D2415" t="inlineStr">
        <is>
          <t>Klein Tools S10M 5/16-Inch Magnetic Nut Driver with 3-Inch Solid Shaft and Comfordome Handle</t>
        </is>
      </c>
      <c r="E2415" s="2">
        <f>HYPERLINK("https://www.amazon.com/Magnetic-Comfordome-Klein-Tools-S10M/dp/B000936PCU/ref=sr_1_9?keywords=Klein+Tools+S8M+1%2F4-Inch+Magnetic+Nut+Driver+3-Inch+Shank&amp;qid=1694734781&amp;sr=8-9", "https://www.amazon.com/Magnetic-Comfordome-Klein-Tools-S10M/dp/B000936PCU/ref=sr_1_9?keywords=Klein+Tools+S8M+1%2F4-Inch+Magnetic+Nut+Driver+3-Inch+Shank&amp;qid=1694734781&amp;sr=8-9")</f>
        <v/>
      </c>
      <c r="F2415" t="inlineStr">
        <is>
          <t>B000936PCU</t>
        </is>
      </c>
      <c r="G2415">
        <f>_xludf.IMAGE("https://edmondsonsupply.com/cdn/shop/products/s8m.jpg?v=1633030818")</f>
        <v/>
      </c>
      <c r="H2415">
        <f>_xludf.IMAGE("https://m.media-amazon.com/images/I/51wT5Rnu5GL._AC_UL320_.jpg")</f>
        <v/>
      </c>
      <c r="K2415" t="inlineStr">
        <is>
          <t>8.99</t>
        </is>
      </c>
      <c r="L2415" t="n">
        <v>9.050000000000001</v>
      </c>
      <c r="M2415" s="1" t="inlineStr">
        <is>
          <t>0.67%</t>
        </is>
      </c>
      <c r="N2415" s="1" t="n">
        <v>652.16</v>
      </c>
      <c r="O2415" t="n">
        <v>4.6</v>
      </c>
      <c r="P2415" t="n">
        <v>231</v>
      </c>
      <c r="R2415" t="inlineStr">
        <is>
          <t>InStock</t>
        </is>
      </c>
      <c r="S2415" t="inlineStr">
        <is>
          <t>13.62</t>
        </is>
      </c>
      <c r="T2415" t="inlineStr">
        <is>
          <t>6072223957165</t>
        </is>
      </c>
    </row>
    <row r="2416" ht="87" customHeight="1">
      <c r="A2416" s="2">
        <f>HYPERLINK("https://edmondsonsupply.com/collections/hvac/products/fresh-aire-uv-blue-tube-uv-tuv-bter2-18-32-vac-2-year-uv-lamp", "https://edmondsonsupply.com/collections/hvac/products/fresh-aire-uv-blue-tube-uv-tuv-bter2-18-32-vac-2-year-uv-lamp")</f>
        <v/>
      </c>
      <c r="B2416" s="2">
        <f>HYPERLINK("https://edmondsonsupply.com/products/fresh-aire-uv-blue-tube-uv-tuv-bter2-18-32-vac-2-year-uv-lamp", "https://edmondsonsupply.com/products/fresh-aire-uv-blue-tube-uv-tuv-bter2-18-32-vac-2-year-uv-lamp")</f>
        <v/>
      </c>
      <c r="C2416" t="inlineStr">
        <is>
          <t>Fresh-Aire UV Blue-Tube UV TUV-BTER2 18-32 VAC, 2-Year UV Lamp</t>
        </is>
      </c>
      <c r="D2416" t="inlineStr">
        <is>
          <t>Fresh-Aire Blue Tube Light/Lamp TUV-BTER, 18-32 VAC, 1 Year Bulb</t>
        </is>
      </c>
      <c r="E2416" s="2">
        <f>HYPERLINK("https://www.amazon.com/Fresh-Aire-Blue-Light-TUV-BTER-18-32/dp/B08QDQHKP3/ref=sr_1_4?keywords=Fresh-Aire+UV+Blue-Tube+UV+TUV-BTER2+18-32+VAC%2C+2-Year+UV+Lamp&amp;qid=1694734567&amp;sr=8-4", "https://www.amazon.com/Fresh-Aire-Blue-Light-TUV-BTER-18-32/dp/B08QDQHKP3/ref=sr_1_4?keywords=Fresh-Aire+UV+Blue-Tube+UV+TUV-BTER2+18-32+VAC%2C+2-Year+UV+Lamp&amp;qid=1694734567&amp;sr=8-4")</f>
        <v/>
      </c>
      <c r="F2416" t="inlineStr">
        <is>
          <t>B08QDQHKP3</t>
        </is>
      </c>
      <c r="G2416">
        <f>_xlfn.IMAGE("https://edmondsonsupply.com/cdn/shop/products/apco_tuv-bter2__lamp.jpg?v=1587145673")</f>
        <v/>
      </c>
      <c r="H2416">
        <f>_xlfn.IMAGE("https://m.media-amazon.com/images/I/41m35CrFGsL._AC_UL320_.jpg")</f>
        <v/>
      </c>
      <c r="K2416" t="inlineStr">
        <is>
          <t>193.99</t>
        </is>
      </c>
      <c r="L2416" t="n">
        <v>195</v>
      </c>
      <c r="M2416" s="1" t="inlineStr">
        <is>
          <t>0.52%</t>
        </is>
      </c>
      <c r="N2416" s="7" t="n">
        <v>650.65</v>
      </c>
      <c r="O2416" t="n">
        <v>5</v>
      </c>
      <c r="P2416" t="n">
        <v>1</v>
      </c>
      <c r="R2416" t="inlineStr">
        <is>
          <t>InStock</t>
        </is>
      </c>
      <c r="S2416" t="inlineStr">
        <is>
          <t>undefined</t>
        </is>
      </c>
      <c r="T2416" t="inlineStr">
        <is>
          <t>4439449436260</t>
        </is>
      </c>
    </row>
    <row r="2417" ht="87" customHeight="1">
      <c r="A2417" s="2">
        <f>HYPERLINK("https://edmondsonsupply.com/collections/hvac/products/us-motors-5471-rescue-5-6-direct-drive-blower-motor-208-230v-3-4-1-5-hp-1075-rpm", "https://edmondsonsupply.com/collections/hvac/products/us-motors-5471-rescue-5-6-direct-drive-blower-motor-208-230v-3-4-1-5-hp-1075-rpm")</f>
        <v/>
      </c>
      <c r="B2417" s="2">
        <f>HYPERLINK("https://edmondsonsupply.com/products/us-motors-5471-rescue-5-6-direct-drive-blower-motor-208-230v-3-4-1-5-hp-1075-rpm", "https://edmondsonsupply.com/products/us-motors-5471-rescue-5-6-direct-drive-blower-motor-208-230v-3-4-1-5-hp-1075-rpm")</f>
        <v/>
      </c>
      <c r="C2417" t="inlineStr">
        <is>
          <t>US Motors 5471 Rescue 5.6" Direct Drive Blower Motor, 208-230V, 3/4-1/5 HP, 1075 RPM</t>
        </is>
      </c>
      <c r="D2417" t="inlineStr">
        <is>
          <t>Packard 43784 Torsion Flex Direct Drive Blower Motor, 1/4 hp, 208-230V, 1075 RPM</t>
        </is>
      </c>
      <c r="E2417" s="2">
        <f>HYPERLINK("https://www.amazon.com/Packard-43784-Torsion-Direct-208-230V/dp/B072N5NMXZ/ref=sr_1_16?keywords=US+Motors+5471+Rescue+5.6%22+Direct+Drive+Blower+Motor%2C+208-230V%2C+3%2F4-1%2F5+HP%2C+1075+RPM&amp;qid=1694734651&amp;sr=8-16", "https://www.amazon.com/Packard-43784-Torsion-Direct-208-230V/dp/B072N5NMXZ/ref=sr_1_16?keywords=US+Motors+5471+Rescue+5.6%22+Direct+Drive+Blower+Motor%2C+208-230V%2C+3%2F4-1%2F5+HP%2C+1075+RPM&amp;qid=1694734651&amp;sr=8-16")</f>
        <v/>
      </c>
      <c r="F2417" t="inlineStr">
        <is>
          <t>B072N5NMXZ</t>
        </is>
      </c>
      <c r="G2417">
        <f>_xlfn.IMAGE("https://edmondsonsupply.com/cdn/shop/products/5471-2.jpg?v=1587148920")</f>
        <v/>
      </c>
      <c r="H2417">
        <f>_xlfn.IMAGE("https://m.media-amazon.com/images/I/61KS4Jq9lcL._AC_UY218_.jpg")</f>
        <v/>
      </c>
      <c r="K2417" t="inlineStr">
        <is>
          <t>151.79</t>
        </is>
      </c>
      <c r="L2417" t="n">
        <v>152.55</v>
      </c>
      <c r="M2417" s="1" t="inlineStr">
        <is>
          <t>0.50%</t>
        </is>
      </c>
      <c r="N2417" s="7" t="n">
        <v>650.65</v>
      </c>
      <c r="O2417" t="n">
        <v>4.4</v>
      </c>
      <c r="P2417" t="n">
        <v>2</v>
      </c>
      <c r="R2417" t="inlineStr">
        <is>
          <t>InStock</t>
        </is>
      </c>
      <c r="S2417" t="inlineStr">
        <is>
          <t>181.0</t>
        </is>
      </c>
      <c r="T2417" t="inlineStr">
        <is>
          <t>4463101804644</t>
        </is>
      </c>
    </row>
    <row r="2418" ht="87" customHeight="1">
      <c r="A2418" s="2">
        <f>HYPERLINK("https://edmondsonsupply.com/collections/hvac/products/fluke-378-fc-non-contact-voltage-true-rms-ac-dc-clamp-meter-with-iflex", "https://edmondsonsupply.com/collections/hvac/products/fluke-378-fc-non-contact-voltage-true-rms-ac-dc-clamp-meter-with-iflex")</f>
        <v/>
      </c>
      <c r="B2418" s="2">
        <f>HYPERLINK("https://edmondsonsupply.com/products/fluke-378-fc-non-contact-voltage-true-rms-ac-dc-clamp-meter-with-iflex", "https://edmondsonsupply.com/products/fluke-378-fc-non-contact-voltage-true-rms-ac-dc-clamp-meter-with-iflex")</f>
        <v/>
      </c>
      <c r="C2418" t="inlineStr">
        <is>
          <t>Fluke 378 FC Non-Contact Voltage True-RMS AC/DC Clamp Meter with iFlex</t>
        </is>
      </c>
      <c r="D2418" t="inlineStr">
        <is>
          <t>Fluke 378FC AC/DC TRMS Non-Contact Voltage Wireless Clamp w/PQ Indicator &amp; iFlex</t>
        </is>
      </c>
      <c r="E2418" s="2">
        <f>HYPERLINK("https://www.amazon.com/Fluke-Non-Contact-Voltage-Wireless-Indicator/dp/B0916K6JZF/ref=sr_1_1?keywords=Fluke+378+FC+Non-Contact+Voltage+True-RMS+AC%2FDC+Clamp+Meter+with+iFlex&amp;qid=1694734624&amp;sr=8-1", "https://www.amazon.com/Fluke-Non-Contact-Voltage-Wireless-Indicator/dp/B0916K6JZF/ref=sr_1_1?keywords=Fluke+378+FC+Non-Contact+Voltage+True-RMS+AC%2FDC+Clamp+Meter+with+iFlex&amp;qid=1694734624&amp;sr=8-1")</f>
        <v/>
      </c>
      <c r="F2418" t="inlineStr">
        <is>
          <t>B0916K6JZF</t>
        </is>
      </c>
      <c r="G2418">
        <f>_xlfn.IMAGE("https://edmondsonsupply.com/cdn/shop/products/378_FC_72dpi_499x1024px_E_NR-27689.jpg?v=1633031120")</f>
        <v/>
      </c>
      <c r="H2418">
        <f>_xlfn.IMAGE("https://m.media-amazon.com/images/I/813NB9dMeUL._AC_UY218_.jpg")</f>
        <v/>
      </c>
      <c r="K2418" t="inlineStr">
        <is>
          <t>776.69</t>
        </is>
      </c>
      <c r="L2418" t="n">
        <v>779.89</v>
      </c>
      <c r="M2418" s="1" t="inlineStr">
        <is>
          <t>0.41%</t>
        </is>
      </c>
      <c r="N2418" s="7" t="n">
        <v>650.16</v>
      </c>
      <c r="O2418" t="n">
        <v>4.6</v>
      </c>
      <c r="P2418" t="n">
        <v>97</v>
      </c>
      <c r="R2418" t="inlineStr">
        <is>
          <t>OutOfStock</t>
        </is>
      </c>
      <c r="S2418" t="inlineStr">
        <is>
          <t>862.99</t>
        </is>
      </c>
      <c r="T2418" t="inlineStr">
        <is>
          <t>6864217309357</t>
        </is>
      </c>
    </row>
    <row r="2419" ht="87" customHeight="1">
      <c r="A2419" s="2">
        <f>HYPERLINK("https://edmondsonsupply.com/collections/hvac/products/nu-calgon-4057-56-a-c-re-new-connect-inject", "https://edmondsonsupply.com/collections/hvac/products/nu-calgon-4057-56-a-c-re-new-connect-inject")</f>
        <v/>
      </c>
      <c r="B2419" s="2">
        <f>HYPERLINK("https://edmondsonsupply.com/products/nu-calgon-4057-56-a-c-re-new-connect-inject", "https://edmondsonsupply.com/products/nu-calgon-4057-56-a-c-re-new-connect-inject")</f>
        <v/>
      </c>
      <c r="C2419" t="inlineStr">
        <is>
          <t>Nu-Calgon 4057-56 A/C Re-New Connect Inject</t>
        </is>
      </c>
      <c r="D2419" t="inlineStr">
        <is>
          <t>Nu-Calgon 4057-55 A/C Renew 4oz Unpressurized Can Install with the A/C Re~New Injector (NOT INCLUDED)</t>
        </is>
      </c>
      <c r="E2419" s="2">
        <f>HYPERLINK("https://www.amazon.com/Nu-Calgon-4057-55-Unpressurized-Injector-INCLUDED/dp/B00ULIQ8XE/ref=sr_1_3?keywords=Nu-Calgon+4057-56+A%2FC+Re-New+Connect+Inject&amp;qid=1694734613&amp;sr=8-3", "https://www.amazon.com/Nu-Calgon-4057-55-Unpressurized-Injector-INCLUDED/dp/B00ULIQ8XE/ref=sr_1_3?keywords=Nu-Calgon+4057-56+A%2FC+Re-New+Connect+Inject&amp;qid=1694734613&amp;sr=8-3")</f>
        <v/>
      </c>
      <c r="F2419" t="inlineStr">
        <is>
          <t>B00ULIQ8XE</t>
        </is>
      </c>
      <c r="G2419">
        <f>_xlfn.IMAGE("https://edmondsonsupply.com/cdn/shop/products/4057-56.jpg?v=1659034051")</f>
        <v/>
      </c>
      <c r="H2419">
        <f>_xlfn.IMAGE("https://m.media-amazon.com/images/I/419Ss5cwa1L._AC_UL320_.jpg")</f>
        <v/>
      </c>
      <c r="K2419" t="inlineStr">
        <is>
          <t>90.65</t>
        </is>
      </c>
      <c r="L2419" t="n">
        <v>91.01000000000001</v>
      </c>
      <c r="M2419" s="1" t="inlineStr">
        <is>
          <t>0.40%</t>
        </is>
      </c>
      <c r="N2419" s="7" t="n">
        <v>648.3</v>
      </c>
      <c r="O2419" t="n">
        <v>4.4</v>
      </c>
      <c r="P2419" t="n">
        <v>33</v>
      </c>
      <c r="R2419" t="inlineStr">
        <is>
          <t>InStock</t>
        </is>
      </c>
      <c r="S2419" t="inlineStr">
        <is>
          <t>139.4</t>
        </is>
      </c>
      <c r="T2419" t="inlineStr">
        <is>
          <t>7765083324632</t>
        </is>
      </c>
    </row>
    <row r="2420" ht="87" customHeight="1">
      <c r="A2420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2420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2420" t="inlineStr">
        <is>
          <t>Diablo Tools DMAMXCC5050 4 in. x 7 in. SDS-Max Carbide Tipped Core Bit</t>
        </is>
      </c>
      <c r="D2420" t="inlineStr">
        <is>
          <t>Diablo by Freud DMAMX1400 2 in. x 16 in. x 21 in. Rebar Demon SDS-Max 4-Cutter Carbide-Tipped Hammer Bit</t>
        </is>
      </c>
      <c r="E2420" s="2">
        <f>HYPERLINK("https://www.amazon.com/Diablo-SDS-Max-4-Cutter-Carbide-Tipped-Hammer/dp/B089LHKFQ2/ref=sr_1_9?keywords=Diablo+Tools+DMAMXCC5050+4+in.+x+7+in.+SDS-Max+Carbide+Tipped+Core+Bit&amp;qid=1694734908&amp;sr=8-9", "https://www.amazon.com/Diablo-SDS-Max-4-Cutter-Carbide-Tipped-Hammer/dp/B089LHKFQ2/ref=sr_1_9?keywords=Diablo+Tools+DMAMXCC5050+4+in.+x+7+in.+SDS-Max+Carbide+Tipped+Core+Bit&amp;qid=1694734908&amp;sr=8-9")</f>
        <v/>
      </c>
      <c r="F2420" t="inlineStr">
        <is>
          <t>B089LHKFQ2</t>
        </is>
      </c>
      <c r="G2420">
        <f>_xlfn.IMAGE("https://edmondsonsupply.com/cdn/shop/files/yghx7uqdjxchri5fikny.webp?v=1686586834")</f>
        <v/>
      </c>
      <c r="H2420">
        <f>_xlfn.IMAGE("https://m.media-amazon.com/images/I/61p4Q032qYL._AC_UL320_.jpg")</f>
        <v/>
      </c>
      <c r="K2420" t="inlineStr">
        <is>
          <t>151.4</t>
        </is>
      </c>
      <c r="L2420" t="n">
        <v>151.99</v>
      </c>
      <c r="M2420" s="1" t="inlineStr">
        <is>
          <t>0.39%</t>
        </is>
      </c>
      <c r="N2420" s="7" t="n">
        <v>642.13</v>
      </c>
      <c r="O2420" t="n">
        <v>4.4</v>
      </c>
      <c r="P2420" t="n">
        <v>4</v>
      </c>
      <c r="R2420" t="inlineStr">
        <is>
          <t>InStock</t>
        </is>
      </c>
      <c r="S2420" t="inlineStr">
        <is>
          <t>240.33</t>
        </is>
      </c>
      <c r="T2420" t="inlineStr">
        <is>
          <t>8004510908632</t>
        </is>
      </c>
    </row>
    <row r="2421" hidden="1" ht="15.75" customHeight="1">
      <c r="A2421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421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421" t="inlineStr">
        <is>
          <t>Diablo Tools DMAPL2290 7/16 in. x 10 in. x 12 in. SDS-Plus 2-Cutter</t>
        </is>
      </c>
      <c r="D2421" t="inlineStr">
        <is>
          <t>Diablo 7/16 in. x 10 in. x 12 in. SDS-Plus 2-Cutter</t>
        </is>
      </c>
      <c r="E2421" s="2">
        <f>HYPERLINK("https://www.amazon.com/Diablo-DMAPL2290-16-SDS-Plus-2-Cutter/dp/B089KVPSVG/ref=sr_1_1?keywords=Diablo+Tools+DMAPL2290+7%2F16+in.+x+10+in.+x+12+in.+SDS-Plus+2-Cutter&amp;qid=1694734916&amp;sr=8-1", "https://www.amazon.com/Diablo-DMAPL2290-16-SDS-Plus-2-Cutter/dp/B089KVPSVG/ref=sr_1_1?keywords=Diablo+Tools+DMAPL2290+7%2F16+in.+x+10+in.+x+12+in.+SDS-Plus+2-Cutter&amp;qid=1694734916&amp;sr=8-1")</f>
        <v/>
      </c>
      <c r="F2421" t="inlineStr">
        <is>
          <t>B089KVPSVG</t>
        </is>
      </c>
      <c r="G2421">
        <f>_xludf.IMAGE("https://edmondsonsupply.com/cdn/shop/files/lgvfccwvf9ikjakt8qfb.webp?v=1686146379")</f>
        <v/>
      </c>
      <c r="H2421">
        <f>_xludf.IMAGE("https://m.media-amazon.com/images/I/61fcva10QfL._AC_UL320_.jpg")</f>
        <v/>
      </c>
      <c r="K2421" t="inlineStr">
        <is>
          <t>10.5</t>
        </is>
      </c>
      <c r="L2421" t="n">
        <v>10.54</v>
      </c>
      <c r="M2421" s="1" t="inlineStr">
        <is>
          <t>0.38%</t>
        </is>
      </c>
      <c r="N2421" s="1" t="n">
        <v>637.01</v>
      </c>
      <c r="O2421" t="n">
        <v>4.7</v>
      </c>
      <c r="P2421" t="n">
        <v>6</v>
      </c>
      <c r="R2421" t="inlineStr">
        <is>
          <t>InStock</t>
        </is>
      </c>
      <c r="S2421" t="inlineStr">
        <is>
          <t>16.67</t>
        </is>
      </c>
      <c r="T2421" t="inlineStr">
        <is>
          <t>8002354872536</t>
        </is>
      </c>
    </row>
    <row r="2422" hidden="1" ht="15.75" customHeight="1">
      <c r="A2422" s="2">
        <f>HYPERLINK("https://edmondsonsupply.com/collections/hvac/products/supco-fsc10-flame-sensor-cleaner", "https://edmondsonsupply.com/collections/hvac/products/supco-fsc10-flame-sensor-cleaner")</f>
        <v/>
      </c>
      <c r="B2422" s="2">
        <f>HYPERLINK("https://edmondsonsupply.com/products/supco-fsc10-flame-sensor-cleaner", "https://edmondsonsupply.com/products/supco-fsc10-flame-sensor-cleaner")</f>
        <v/>
      </c>
      <c r="C2422" t="inlineStr">
        <is>
          <t>Supco FSC10 Flame Sensor Cleaner</t>
        </is>
      </c>
      <c r="D2422" t="inlineStr">
        <is>
          <t>Supco FSC10 Flame Sensor Cleaner</t>
        </is>
      </c>
      <c r="E2422" s="2">
        <f>HYPERLINK("https://www.amazon.com/Supco-FSC10-Orginal-Replacement-Parts/dp/B07B5CVTCT/ref=sr_1_1?keywords=Supco+FSC10+Flame+Sensor+Cleaner&amp;qid=1694734702&amp;sr=8-1", "https://www.amazon.com/Supco-FSC10-Orginal-Replacement-Parts/dp/B07B5CVTCT/ref=sr_1_1?keywords=Supco+FSC10+Flame+Sensor+Cleaner&amp;qid=1694734702&amp;sr=8-1")</f>
        <v/>
      </c>
      <c r="F2422" t="inlineStr">
        <is>
          <t>B07B5CVTCT</t>
        </is>
      </c>
      <c r="G2422">
        <f>_xludf.IMAGE("https://edmondsonsupply.com/cdn/shop/products/FSC10_L.png?v=1633031127")</f>
        <v/>
      </c>
      <c r="H2422">
        <f>_xludf.IMAGE("https://m.media-amazon.com/images/I/81mhPQuN5VL._AC_UL320_.jpg")</f>
        <v/>
      </c>
      <c r="K2422" t="inlineStr">
        <is>
          <t>7.13</t>
        </is>
      </c>
      <c r="L2422" t="n">
        <v>7.15</v>
      </c>
      <c r="M2422" s="1" t="inlineStr">
        <is>
          <t>0.28%</t>
        </is>
      </c>
      <c r="N2422" s="1" t="n">
        <v>636.71</v>
      </c>
      <c r="O2422" t="n">
        <v>4.2</v>
      </c>
      <c r="P2422" t="n">
        <v>902</v>
      </c>
      <c r="R2422" t="inlineStr">
        <is>
          <t>InStock</t>
        </is>
      </c>
      <c r="S2422" t="inlineStr">
        <is>
          <t>undefined</t>
        </is>
      </c>
      <c r="T2422" t="inlineStr">
        <is>
          <t>6870162079917</t>
        </is>
      </c>
    </row>
    <row r="2423" hidden="1" ht="15.75" customHeight="1">
      <c r="A2423" s="2">
        <f>HYPERLINK("https://edmondsonsupply.com/collections/hvac/products/white-rodgers-50m56x-843-integrated-furnace-control-board-universal-replacement", "https://edmondsonsupply.com/collections/hvac/products/white-rodgers-50m56x-843-integrated-furnace-control-board-universal-replacement")</f>
        <v/>
      </c>
      <c r="B2423" s="2">
        <f>HYPERLINK("https://edmondsonsupply.com/products/white-rodgers-50m56x-843-integrated-furnace-control-board-universal-replacement", "https://edmondsonsupply.com/products/white-rodgers-50m56x-843-integrated-furnace-control-board-universal-replacement")</f>
        <v/>
      </c>
      <c r="C2423" t="inlineStr">
        <is>
          <t>White-Rodgers 50M56X-843 Integrated Furnace Control Board, Universal Replacement</t>
        </is>
      </c>
      <c r="D2423" t="inlineStr">
        <is>
          <t>White-rodgers Universal Single Stage Hsi Integrated Furnace Control Kit 50m56u-843</t>
        </is>
      </c>
      <c r="E2423" s="2">
        <f>HYPERLINK("https://www.amazon.com/White-rodgers-Universal-Integrated-Furnace-50m56u-843/dp/B082J512XT/ref=sr_1_3?keywords=White-Rodgers+50M56X-843+Integrated+Furnace+Control+Board%2C+Universal+Replacement&amp;qid=1694734749&amp;sr=8-3", "https://www.amazon.com/White-rodgers-Universal-Integrated-Furnace-50m56u-843/dp/B082J512XT/ref=sr_1_3?keywords=White-Rodgers+50M56X-843+Integrated+Furnace+Control+Board%2C+Universal+Replacement&amp;qid=1694734749&amp;sr=8-3")</f>
        <v/>
      </c>
      <c r="F2423" t="inlineStr">
        <is>
          <t>B082J512XT</t>
        </is>
      </c>
      <c r="G2423">
        <f>_xludf.IMAGE("https://edmondsonsupply.com/cdn/shop/products/50m56x-843.png?v=1674841489")</f>
        <v/>
      </c>
      <c r="H2423">
        <f>_xludf.IMAGE("https://m.media-amazon.com/images/I/51hdpsDr8TL._AC_UL320_.jpg")</f>
        <v/>
      </c>
      <c r="K2423" t="inlineStr">
        <is>
          <t>186.13</t>
        </is>
      </c>
      <c r="L2423" t="n">
        <v>186.58</v>
      </c>
      <c r="M2423" s="1" t="inlineStr">
        <is>
          <t>0.24%</t>
        </is>
      </c>
      <c r="N2423" s="1" t="n">
        <v>636.71</v>
      </c>
      <c r="O2423" t="n">
        <v>2.8</v>
      </c>
      <c r="P2423" t="n">
        <v>4</v>
      </c>
      <c r="R2423" t="inlineStr">
        <is>
          <t>InStock</t>
        </is>
      </c>
      <c r="S2423" t="inlineStr">
        <is>
          <t>425.44</t>
        </is>
      </c>
      <c r="T2423" t="inlineStr">
        <is>
          <t>7934945034456</t>
        </is>
      </c>
    </row>
    <row r="2424" ht="87" customHeight="1">
      <c r="A2424" s="2">
        <f>HYPERLINK("https://edmondsonsupply.com/collections/hvac/products/channellock-431", "https://edmondsonsupply.com/collections/hvac/products/channellock-431")</f>
        <v/>
      </c>
      <c r="B2424" s="2">
        <f>HYPERLINK("https://edmondsonsupply.com/products/channellock-431", "https://edmondsonsupply.com/products/channellock-431")</f>
        <v/>
      </c>
      <c r="C2424" t="inlineStr">
        <is>
          <t>Channellock 432 10-Inch V-Jaw Tongue &amp; Groove Pliers</t>
        </is>
      </c>
      <c r="D2424" t="inlineStr">
        <is>
          <t>MAXPOWER 10 inch Groove Joint Pliers, Quick Adjustable Serrtated V Jaw Tongue and Groove Pliers</t>
        </is>
      </c>
      <c r="E2424" s="2">
        <f>HYPERLINK("https://www.amazon.com/MAXPOWER-Groove-Pliers-Adjustable-Serrtated/dp/B0BBMQZ28N/ref=sr_1_4?keywords=Channellock+432+10-Inch+V-Jaw+Tongue+%26+Groove+Pliers&amp;qid=1694734826&amp;sr=8-4", "https://www.amazon.com/MAXPOWER-Groove-Pliers-Adjustable-Serrtated/dp/B0BBMQZ28N/ref=sr_1_4?keywords=Channellock+432+10-Inch+V-Jaw+Tongue+%26+Groove+Pliers&amp;qid=1694734826&amp;sr=8-4")</f>
        <v/>
      </c>
      <c r="F2424" t="inlineStr">
        <is>
          <t>B0BBMQZ28N</t>
        </is>
      </c>
      <c r="G2424">
        <f>_xlfn.IMAGE("https://edmondsonsupply.com/cdn/shop/products/432-683x1024.jpg?v=1587147134")</f>
        <v/>
      </c>
      <c r="H2424">
        <f>_xlfn.IMAGE("https://m.media-amazon.com/images/I/6184vDVNMFL._AC_UL320_.jpg")</f>
        <v/>
      </c>
      <c r="K2424" t="inlineStr">
        <is>
          <t>19.95</t>
        </is>
      </c>
      <c r="L2424" t="n">
        <v>19.99</v>
      </c>
      <c r="M2424" s="1" t="inlineStr">
        <is>
          <t>0.20%</t>
        </is>
      </c>
      <c r="N2424" s="7" t="n">
        <v>628.4299999999999</v>
      </c>
      <c r="O2424" t="n">
        <v>4.5</v>
      </c>
      <c r="P2424" t="n">
        <v>18</v>
      </c>
      <c r="R2424" t="inlineStr">
        <is>
          <t>InStock</t>
        </is>
      </c>
      <c r="S2424" t="inlineStr">
        <is>
          <t>27.63</t>
        </is>
      </c>
      <c r="T2424" t="inlineStr">
        <is>
          <t>3553468317796</t>
        </is>
      </c>
    </row>
    <row r="2425" ht="87" customHeight="1">
      <c r="A2425" s="2">
        <f>HYPERLINK("https://edmondsonsupply.com/collections/hvac/products/western-enterprises-vn-500-hvac-nitrogen-purging-regulator-flowmeter", "https://edmondsonsupply.com/collections/hvac/products/western-enterprises-vn-500-hvac-nitrogen-purging-regulator-flowmeter")</f>
        <v/>
      </c>
      <c r="B2425" s="2">
        <f>HYPERLINK("https://edmondsonsupply.com/products/western-enterprises-vn-500-hvac-nitrogen-purging-regulator-flowmeter", "https://edmondsonsupply.com/products/western-enterprises-vn-500-hvac-nitrogen-purging-regulator-flowmeter")</f>
        <v/>
      </c>
      <c r="C2425" t="inlineStr">
        <is>
          <t>Western Enterprises VN-500 HVAC Nitrogen Purging Regulator/Flowmeter</t>
        </is>
      </c>
      <c r="D2425" t="inlineStr">
        <is>
          <t>Western Enterprises VN-500 Flowmeter Nitrogen Purging Regulator w/500 PSI Test Pressure, Brass</t>
        </is>
      </c>
      <c r="E2425" s="2">
        <f>HYPERLINK("https://www.amazon.com/Western-Enterprises-VN-500-Flowmeter-Regulator/dp/B00D5R4H7W/ref=sr_1_1?keywords=Western+Enterprises+VN-500+HVAC+Nitrogen+Purging+Regulator%2FFlowmeter&amp;qid=1694734577&amp;sr=8-1", "https://www.amazon.com/Western-Enterprises-VN-500-Flowmeter-Regulator/dp/B00D5R4H7W/ref=sr_1_1?keywords=Western+Enterprises+VN-500+HVAC+Nitrogen+Purging+Regulator%2FFlowmeter&amp;qid=1694734577&amp;sr=8-1")</f>
        <v/>
      </c>
      <c r="F2425" t="inlineStr">
        <is>
          <t>B00D5R4H7W</t>
        </is>
      </c>
      <c r="G2425">
        <f>_xlfn.IMAGE("https://edmondsonsupply.com/cdn/shop/products/VN-500-1.jpg?v=1587142253")</f>
        <v/>
      </c>
      <c r="H2425">
        <f>_xlfn.IMAGE("https://m.media-amazon.com/images/I/41Oiqc0-bpL._AC_UL320_.jpg")</f>
        <v/>
      </c>
      <c r="K2425" t="inlineStr">
        <is>
          <t>169.71</t>
        </is>
      </c>
      <c r="L2425" t="n">
        <v>169.97</v>
      </c>
      <c r="M2425" s="1" t="inlineStr">
        <is>
          <t>0.15%</t>
        </is>
      </c>
      <c r="N2425" s="7" t="n">
        <v>627.84</v>
      </c>
      <c r="O2425" t="n">
        <v>4.8</v>
      </c>
      <c r="P2425" t="n">
        <v>436</v>
      </c>
      <c r="R2425" t="inlineStr">
        <is>
          <t>InStock</t>
        </is>
      </c>
      <c r="S2425" t="inlineStr">
        <is>
          <t>251.42</t>
        </is>
      </c>
      <c r="T2425" t="inlineStr">
        <is>
          <t>3498894393444</t>
        </is>
      </c>
    </row>
    <row r="2426" ht="87" customHeight="1">
      <c r="A2426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2426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2426" t="inlineStr">
        <is>
          <t>ICM Controls ICM282B Furnace Control Board - Replacement for Carrier</t>
        </is>
      </c>
      <c r="D2426" t="inlineStr">
        <is>
          <t>ICM Controls ICM291 Furnace Control Replacement for Carrier LH33WP003/3A Control Boards, Multicolor</t>
        </is>
      </c>
      <c r="E2426" s="2">
        <f>HYPERLINK("https://www.amazon.com/ICM-Controls-ICM291-Replacement-LH33WP003/dp/B0046V6VF2/ref=sr_1_7?keywords=ICM+Controls+ICM282B+Furnace+Control+Board+-+Replacement+for+Carrier&amp;qid=1694734691&amp;sr=8-7", "https://www.amazon.com/ICM-Controls-ICM291-Replacement-LH33WP003/dp/B0046V6VF2/ref=sr_1_7?keywords=ICM+Controls+ICM282B+Furnace+Control+Board+-+Replacement+for+Carrier&amp;qid=1694734691&amp;sr=8-7")</f>
        <v/>
      </c>
      <c r="F2426" t="inlineStr">
        <is>
          <t>B0046V6VF2</t>
        </is>
      </c>
      <c r="G2426">
        <f>_xlfn.IMAGE("https://edmondsonsupply.com/cdn/shop/products/57_5_96e476f9-dc43-4075-94fb-2c5efeccce22.jpg?v=1659481947")</f>
        <v/>
      </c>
      <c r="H2426">
        <f>_xlfn.IMAGE("https://m.media-amazon.com/images/I/71uUnepi38L._AC_UL320_.jpg")</f>
        <v/>
      </c>
      <c r="K2426" t="inlineStr">
        <is>
          <t>195.99</t>
        </is>
      </c>
      <c r="L2426" t="n">
        <v>196.26</v>
      </c>
      <c r="M2426" s="1" t="inlineStr">
        <is>
          <t>0.14%</t>
        </is>
      </c>
      <c r="N2426" s="7" t="n">
        <v>627.84</v>
      </c>
      <c r="O2426" t="n">
        <v>4.2</v>
      </c>
      <c r="P2426" t="n">
        <v>74</v>
      </c>
      <c r="R2426" t="inlineStr">
        <is>
          <t>InStock</t>
        </is>
      </c>
      <c r="S2426" t="inlineStr">
        <is>
          <t>256.41</t>
        </is>
      </c>
      <c r="T2426" t="inlineStr">
        <is>
          <t>7770046464216</t>
        </is>
      </c>
    </row>
    <row r="2427" ht="87" customHeight="1">
      <c r="A2427" s="2">
        <f>HYPERLINK("https://edmondsonsupply.com/collections/hvac/products/hilmor-1839032-cbk-compact-bender-kit-1-4-to-7-8", "https://edmondsonsupply.com/collections/hvac/products/hilmor-1839032-cbk-compact-bender-kit-1-4-to-7-8")</f>
        <v/>
      </c>
      <c r="B2427" s="2">
        <f>HYPERLINK("https://edmondsonsupply.com/products/hilmor-1839032-cbk-compact-bender-kit-1-4-to-7-8", "https://edmondsonsupply.com/products/hilmor-1839032-cbk-compact-bender-kit-1-4-to-7-8")</f>
        <v/>
      </c>
      <c r="C2427" t="inlineStr">
        <is>
          <t>Hilmor 1839032 CBK Compact Bender Kit - 1/4" to 7/8"</t>
        </is>
      </c>
      <c r="D2427" t="inlineStr">
        <is>
          <t>Hilmor 1839032 CBK Compact Bender Kit, 1/4" To 7/8" - HVAC Tools and Equipment for Tube and Pipe Bending, Black</t>
        </is>
      </c>
      <c r="E2427" s="2">
        <f>HYPERLINK("https://www.amazon.com/hilmor-1839032-CBK-Compact-Bender/dp/B00FPPDK70/ref=sr_1_1?keywords=Hilmor+1839032+CBK+Compact+Bender+Kit+-+1%2F4+to+7%2F8&amp;qid=1694734585&amp;sr=8-1", "https://www.amazon.com/hilmor-1839032-CBK-Compact-Bender/dp/B00FPPDK70/ref=sr_1_1?keywords=Hilmor+1839032+CBK+Compact+Bender+Kit+-+1%2F4+to+7%2F8&amp;qid=1694734585&amp;sr=8-1")</f>
        <v/>
      </c>
      <c r="F2427" t="inlineStr">
        <is>
          <t>B00FPPDK70</t>
        </is>
      </c>
      <c r="G2427">
        <f>_xlfn.IMAGE("https://edmondsonsupply.com/cdn/shop/products/Compact_Bender_Detail_5_724px_Compact_Bender_Kit-600x400_3831f819-be7d-4c1e-971e-3b6358aeff8e.jpg?v=1620520717")</f>
        <v/>
      </c>
      <c r="H2427">
        <f>_xlfn.IMAGE("https://m.media-amazon.com/images/I/71zS+KGqLoL._AC_UL320_.jpg")</f>
        <v/>
      </c>
      <c r="K2427" t="inlineStr">
        <is>
          <t>191.8</t>
        </is>
      </c>
      <c r="L2427" t="n">
        <v>191.99</v>
      </c>
      <c r="M2427" s="1" t="inlineStr">
        <is>
          <t>0.10%</t>
        </is>
      </c>
      <c r="N2427" s="7" t="n">
        <v>624.8099999999999</v>
      </c>
      <c r="O2427" t="n">
        <v>4.7</v>
      </c>
      <c r="P2427" t="n">
        <v>1384</v>
      </c>
      <c r="R2427" t="inlineStr">
        <is>
          <t>InStock</t>
        </is>
      </c>
      <c r="S2427" t="inlineStr">
        <is>
          <t>655.72</t>
        </is>
      </c>
      <c r="T2427" t="inlineStr">
        <is>
          <t>2097359749220</t>
        </is>
      </c>
    </row>
    <row r="2428" ht="87" customHeight="1">
      <c r="A2428" s="2">
        <f>HYPERLINK("https://edmondsonsupply.com/collections/hvac/products/milwaukee-48-39-0521-18-tpi-band-saw-blade-deep-cut-3-pack", "https://edmondsonsupply.com/collections/hvac/products/milwaukee-48-39-0521-18-tpi-band-saw-blade-deep-cut-3-pack")</f>
        <v/>
      </c>
      <c r="B2428" s="2">
        <f>HYPERLINK("https://edmondsonsupply.com/products/milwaukee-48-39-0521-18-tpi-band-saw-blade-deep-cut-3-pack", "https://edmondsonsupply.com/products/milwaukee-48-39-0521-18-tpi-band-saw-blade-deep-cut-3-pack")</f>
        <v/>
      </c>
      <c r="C2428" t="inlineStr">
        <is>
          <t>Milwaukee 48-39-0521 18 TPI Band Saw Blade, Deep Cut- 3 Pack</t>
        </is>
      </c>
      <c r="D2428" t="inlineStr">
        <is>
          <t>FOXBC 44-7/8-inch Bandsaw Blades, 44-7/8" x 1/2" x .020" 18 TPI, Replacement for DeWalt DW3983 DCS374B, Milwaukee 48-39-0521 Portable Band Saw Blades, 3-Pack</t>
        </is>
      </c>
      <c r="E2428" s="2">
        <f>HYPERLINK("https://www.amazon.com/FOXBC-Replacement-Milwaukee-48-39-0521-Portable/dp/B0C3C8Q6K1/ref=sr_1_4?keywords=Milwaukee+48-39-0521+18+TPI+Band+Saw+Blade%2C+Deep+Cut-+3+Pack&amp;qid=1694734906&amp;sr=8-4", "https://www.amazon.com/FOXBC-Replacement-Milwaukee-48-39-0521-Portable/dp/B0C3C8Q6K1/ref=sr_1_4?keywords=Milwaukee+48-39-0521+18+TPI+Band+Saw+Blade%2C+Deep+Cut-+3+Pack&amp;qid=1694734906&amp;sr=8-4")</f>
        <v/>
      </c>
      <c r="F2428" t="inlineStr">
        <is>
          <t>B0C3C8Q6K1</t>
        </is>
      </c>
      <c r="G2428">
        <f>_xlfn.IMAGE("https://edmondsonsupply.com/cdn/shop/files/21432_48-39-0510_1.jpg?v=1686932969")</f>
        <v/>
      </c>
      <c r="H2428">
        <f>_xlfn.IMAGE("https://m.media-amazon.com/images/I/61VscaX1XdL._AC_UL320_.jpg")</f>
        <v/>
      </c>
      <c r="K2428" t="inlineStr">
        <is>
          <t>21.97</t>
        </is>
      </c>
      <c r="L2428" t="n">
        <v>21.99</v>
      </c>
      <c r="M2428" s="1" t="inlineStr">
        <is>
          <t>0.09%</t>
        </is>
      </c>
      <c r="N2428" s="7" t="n">
        <v>621.76</v>
      </c>
      <c r="O2428" t="n">
        <v>4.5</v>
      </c>
      <c r="P2428" t="n">
        <v>41</v>
      </c>
      <c r="R2428" t="inlineStr">
        <is>
          <t>InStock</t>
        </is>
      </c>
      <c r="S2428" t="inlineStr">
        <is>
          <t>27.9</t>
        </is>
      </c>
      <c r="T2428" t="inlineStr">
        <is>
          <t>8006180339928</t>
        </is>
      </c>
    </row>
    <row r="2429" ht="87" customHeight="1">
      <c r="A2429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429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429" t="inlineStr">
        <is>
          <t>Klein Tools D20009NEGLW High-Visibility Side-Cutting Pliers High-Leverage</t>
        </is>
      </c>
      <c r="D2429" t="inlineStr">
        <is>
          <t>Klein Tools D2000-7 Pliers, Heavy Duty Side Cutters, High Leverage fFor Cutting ACSR, Screws, Nails and Most Wire, 7-Inch</t>
        </is>
      </c>
      <c r="E2429" s="2">
        <f>HYPERLINK("https://www.amazon.com/Cutters-Leverage-Klein-Tools-D2000-7/dp/B00093DXUW/ref=sr_1_16?keywords=Klein+Tools+D20009NEGLW+High-Visibility+Side-Cutting+Pliers+High-Leverage&amp;qid=1694734809&amp;sr=8-16", "https://www.amazon.com/Cutters-Leverage-Klein-Tools-D2000-7/dp/B00093DXUW/ref=sr_1_16?keywords=Klein+Tools+D20009NEGLW+High-Visibility+Side-Cutting+Pliers+High-Leverage&amp;qid=1694734809&amp;sr=8-16")</f>
        <v/>
      </c>
      <c r="F2429" t="inlineStr">
        <is>
          <t>B00093DXUW</t>
        </is>
      </c>
      <c r="G2429">
        <f>_xlfn.IMAGE("https://edmondsonsupply.com/cdn/shop/products/d20009neglw.jpg?v=1587144933")</f>
        <v/>
      </c>
      <c r="H2429">
        <f>_xlfn.IMAGE("https://m.media-amazon.com/images/I/51qEoG92lmL._AC_UL320_.jpg")</f>
        <v/>
      </c>
      <c r="K2429" t="inlineStr">
        <is>
          <t>44.97</t>
        </is>
      </c>
      <c r="L2429" t="n">
        <v>44.99</v>
      </c>
      <c r="M2429" s="1" t="inlineStr">
        <is>
          <t>0.04%</t>
        </is>
      </c>
      <c r="N2429" s="7" t="n">
        <v>621.5599999999999</v>
      </c>
      <c r="O2429" t="n">
        <v>4.4</v>
      </c>
      <c r="P2429" t="n">
        <v>48</v>
      </c>
      <c r="R2429" t="inlineStr">
        <is>
          <t>InStock</t>
        </is>
      </c>
      <c r="S2429" t="inlineStr">
        <is>
          <t>68.16</t>
        </is>
      </c>
      <c r="T2429" t="inlineStr">
        <is>
          <t>4396888490084</t>
        </is>
      </c>
    </row>
    <row r="2430" ht="87" customHeight="1">
      <c r="A2430" s="2">
        <f>HYPERLINK("https://edmondsonsupply.com/collections/hvac/products/milwaukee-49-90-1900-hepa-filter", "https://edmondsonsupply.com/collections/hvac/products/milwaukee-49-90-1900-hepa-filter")</f>
        <v/>
      </c>
      <c r="B2430" s="2">
        <f>HYPERLINK("https://edmondsonsupply.com/products/milwaukee-49-90-1900-hepa-filter", "https://edmondsonsupply.com/products/milwaukee-49-90-1900-hepa-filter")</f>
        <v/>
      </c>
      <c r="C2430" t="inlineStr">
        <is>
          <t>Milwaukee 49-90-1900 HEPA Filter</t>
        </is>
      </c>
      <c r="D2430" t="inlineStr">
        <is>
          <t>SpaceTent 3 Pack 49-90-1900 Hepa Filters for Milwaukee M18 Wet Dry Vacs (0880-20, 0970-20) and M12 Wet Dry Vacs (0960-20, 0960-21)</t>
        </is>
      </c>
      <c r="E2430" s="2">
        <f>HYPERLINK("https://www.amazon.com/SpaceTent-49-90-1900-Filters-Milwaukee-0880-20/dp/B0C8HF1NGW/ref=sr_1_7?keywords=Milwaukee+49-90-1900+HEPA+Filter&amp;qid=1694734913&amp;sr=8-7", "https://www.amazon.com/SpaceTent-49-90-1900-Filters-Milwaukee-0880-20/dp/B0C8HF1NGW/ref=sr_1_7?keywords=Milwaukee+49-90-1900+HEPA+Filter&amp;qid=1694734913&amp;sr=8-7")</f>
        <v/>
      </c>
      <c r="F2430" t="inlineStr">
        <is>
          <t>B0C8HF1NGW</t>
        </is>
      </c>
      <c r="G2430">
        <f>_xlfn.IMAGE("https://edmondsonsupply.com/cdn/shop/files/49-90-1900_1.png?v=1686234774")</f>
        <v/>
      </c>
      <c r="H2430">
        <f>_xlfn.IMAGE("https://m.media-amazon.com/images/I/61cxD0+NfyL._AC_UL320_.jpg")</f>
        <v/>
      </c>
      <c r="K2430" t="inlineStr">
        <is>
          <t>24.98</t>
        </is>
      </c>
      <c r="L2430" t="n">
        <v>24.99</v>
      </c>
      <c r="M2430" s="1" t="inlineStr">
        <is>
          <t>0.04%</t>
        </is>
      </c>
      <c r="N2430" s="7" t="n">
        <v>620.05</v>
      </c>
      <c r="O2430" t="n">
        <v>4.7</v>
      </c>
      <c r="P2430" t="n">
        <v>11</v>
      </c>
      <c r="R2430" t="inlineStr">
        <is>
          <t>InStock</t>
        </is>
      </c>
      <c r="S2430" t="inlineStr">
        <is>
          <t>40.0</t>
        </is>
      </c>
      <c r="T2430" t="inlineStr">
        <is>
          <t>8002625306840</t>
        </is>
      </c>
    </row>
    <row r="2431" ht="87" customHeight="1">
      <c r="A2431" s="2">
        <f>HYPERLINK("https://edmondsonsupply.com/collections/hvac/products/klein-tools-56040-rechargeable-focus-flashlight-with-laser", "https://edmondsonsupply.com/collections/hvac/products/klein-tools-56040-rechargeable-focus-flashlight-with-laser")</f>
        <v/>
      </c>
      <c r="B2431" s="2">
        <f>HYPERLINK("https://edmondsonsupply.com/products/klein-tools-56040-rechargeable-focus-flashlight-with-laser", "https://edmondsonsupply.com/products/klein-tools-56040-rechargeable-focus-flashlight-with-laser")</f>
        <v/>
      </c>
      <c r="C2431" t="inlineStr">
        <is>
          <t>Klein Tools 56040 Rechargeable Focus Flashlight with Laser</t>
        </is>
      </c>
      <c r="D2431" t="inlineStr">
        <is>
          <t>Klein Tools 56040 LED Rechargeable Flashlight, 350 Lumens, Twist Focus, Laser Pointer, Hands-Free, USB Charging Cable, for Work and Outdoor</t>
        </is>
      </c>
      <c r="E2431" s="2">
        <f>HYPERLINK("https://www.amazon.com/Klein-56040-Rechargeable-Focus-Flashlight/dp/B0828NGD4V/ref=sr_1_1?keywords=Klein+Tools+56040+Rechargeable+Focus+Flashlight+with+Laser&amp;qid=1694734818&amp;sr=8-1", "https://www.amazon.com/Klein-56040-Rechargeable-Focus-Flashlight/dp/B0828NGD4V/ref=sr_1_1?keywords=Klein+Tools+56040+Rechargeable+Focus+Flashlight+with+Laser&amp;qid=1694734818&amp;sr=8-1")</f>
        <v/>
      </c>
      <c r="F2431" t="inlineStr">
        <is>
          <t>B0828NGD4V</t>
        </is>
      </c>
      <c r="G2431">
        <f>_xlfn.IMAGE("https://edmondsonsupply.com/cdn/shop/products/56040.jpg?v=1587143371")</f>
        <v/>
      </c>
      <c r="H2431">
        <f>_xlfn.IMAGE("https://m.media-amazon.com/images/I/51XNgm063EL._AC_UL320_.jpg")</f>
        <v/>
      </c>
      <c r="K2431" t="inlineStr">
        <is>
          <t>39.97</t>
        </is>
      </c>
      <c r="L2431" t="n">
        <v>39.97</v>
      </c>
      <c r="M2431" s="1" t="inlineStr">
        <is>
          <t>0.00%</t>
        </is>
      </c>
      <c r="N2431" s="7" t="n">
        <v>617.46</v>
      </c>
      <c r="O2431" t="n">
        <v>4.6</v>
      </c>
      <c r="P2431" t="n">
        <v>468</v>
      </c>
      <c r="R2431" t="inlineStr">
        <is>
          <t>InStock</t>
        </is>
      </c>
      <c r="S2431" t="inlineStr">
        <is>
          <t>56.8</t>
        </is>
      </c>
      <c r="T2431" t="inlineStr">
        <is>
          <t>4412139634788</t>
        </is>
      </c>
    </row>
    <row r="2432" ht="87" customHeight="1">
      <c r="A2432" s="2">
        <f>HYPERLINK("https://edmondsonsupply.com/collections/hvac/products/klein-tools-602-4dd-4-demolition-driver-1-4-keystone", "https://edmondsonsupply.com/collections/hvac/products/klein-tools-602-4dd-4-demolition-driver-1-4-keystone")</f>
        <v/>
      </c>
      <c r="B2432" s="2">
        <f>HYPERLINK("https://edmondsonsupply.com/products/klein-tools-602-4dd-4-demolition-driver-1-4-keystone", "https://edmondsonsupply.com/products/klein-tools-602-4dd-4-demolition-driver-1-4-keystone")</f>
        <v/>
      </c>
      <c r="C2432" t="inlineStr">
        <is>
          <t>Klein Tools 602-4DD 1/4-Inch Keystone Demolition Driver, 4-Inch Shank</t>
        </is>
      </c>
      <c r="D2432" t="inlineStr">
        <is>
          <t>Klein Tools 602-4DD Demolition Driver with Keystone Tip and 4-Inch Shank, Made in USA</t>
        </is>
      </c>
      <c r="E2432" s="2">
        <f>HYPERLINK("https://www.amazon.com/Keystone-Demolition-Klein-Tools-602-4DD/dp/B00B9HIC12/ref=sr_1_1?keywords=Klein+Tools+602-4DD+1%2F4-Inch+Keystone+Demolition+Driver%2C+4-Inch+Shank&amp;qid=1694734822&amp;sr=8-1", "https://www.amazon.com/Keystone-Demolition-Klein-Tools-602-4DD/dp/B00B9HIC12/ref=sr_1_1?keywords=Klein+Tools+602-4DD+1%2F4-Inch+Keystone+Demolition+Driver%2C+4-Inch+Shank&amp;qid=1694734822&amp;sr=8-1")</f>
        <v/>
      </c>
      <c r="F2432" t="inlineStr">
        <is>
          <t>B00B9HIC12</t>
        </is>
      </c>
      <c r="G2432">
        <f>_xlfn.IMAGE("https://edmondsonsupply.com/cdn/shop/products/602-4dd.jpg?v=1587143287")</f>
        <v/>
      </c>
      <c r="H2432">
        <f>_xlfn.IMAGE("https://m.media-amazon.com/images/I/41LGnPo9m-L._AC_UL320_.jpg")</f>
        <v/>
      </c>
      <c r="K2432" t="inlineStr">
        <is>
          <t>15.99</t>
        </is>
      </c>
      <c r="L2432" t="n">
        <v>15.99</v>
      </c>
      <c r="M2432" s="1" t="inlineStr">
        <is>
          <t>0.00%</t>
        </is>
      </c>
      <c r="N2432" s="7" t="n">
        <v>615.16</v>
      </c>
      <c r="O2432" t="n">
        <v>4.8</v>
      </c>
      <c r="P2432" t="n">
        <v>994</v>
      </c>
      <c r="R2432" t="inlineStr">
        <is>
          <t>InStock</t>
        </is>
      </c>
      <c r="S2432" t="inlineStr">
        <is>
          <t>22.4</t>
        </is>
      </c>
      <c r="T2432" t="inlineStr">
        <is>
          <t>1989595988068</t>
        </is>
      </c>
    </row>
    <row r="2433" ht="87" customHeight="1">
      <c r="A2433" s="2">
        <f>HYPERLINK("https://edmondsonsupply.com/collections/hvac/products/klein-tools-69410-replacement-test-lead-set-right-angle", "https://edmondsonsupply.com/collections/hvac/products/klein-tools-69410-replacement-test-lead-set-right-angle")</f>
        <v/>
      </c>
      <c r="B2433" s="2">
        <f>HYPERLINK("https://edmondsonsupply.com/products/klein-tools-69410-replacement-test-lead-set-right-angle", "https://edmondsonsupply.com/products/klein-tools-69410-replacement-test-lead-set-right-angle")</f>
        <v/>
      </c>
      <c r="C2433" t="inlineStr">
        <is>
          <t>Klein Tools 69410 Replacement Test Lead Set, Right Angle</t>
        </is>
      </c>
      <c r="D2433" t="inlineStr">
        <is>
          <t>Klein Tools 69410 Replacement Test Lead Set, Right Angle</t>
        </is>
      </c>
      <c r="E2433" s="2">
        <f>HYPERLINK("https://www.amazon.com/Replacement-Right-Klein-Tools-69410/dp/B003U2GONM/ref=sr_1_1?keywords=Klein+Tools+69410+Replacement+Test+Lead+Set%2C+Right+Angle&amp;qid=1694734832&amp;sr=8-1", "https://www.amazon.com/Replacement-Right-Klein-Tools-69410/dp/B003U2GONM/ref=sr_1_1?keywords=Klein+Tools+69410+Replacement+Test+Lead+Set%2C+Right+Angle&amp;qid=1694734832&amp;sr=8-1")</f>
        <v/>
      </c>
      <c r="F2433" t="inlineStr">
        <is>
          <t>B003U2GONM</t>
        </is>
      </c>
      <c r="G2433">
        <f>_xlfn.IMAGE("https://edmondsonsupply.com/cdn/shop/products/69410.jpg?v=1587143393")</f>
        <v/>
      </c>
      <c r="H2433">
        <f>_xlfn.IMAGE("https://m.media-amazon.com/images/I/61VbepdaATL._AC_UY218_.jpg")</f>
        <v/>
      </c>
      <c r="K2433" t="inlineStr">
        <is>
          <t>19.97</t>
        </is>
      </c>
      <c r="L2433" t="n">
        <v>19.97</v>
      </c>
      <c r="M2433" s="1" t="inlineStr">
        <is>
          <t>0.00%</t>
        </is>
      </c>
      <c r="N2433" s="7" t="n">
        <v>608.59</v>
      </c>
      <c r="O2433" t="n">
        <v>4.7</v>
      </c>
      <c r="P2433" t="n">
        <v>2351</v>
      </c>
      <c r="R2433" t="inlineStr">
        <is>
          <t>InStock</t>
        </is>
      </c>
      <c r="S2433" t="inlineStr">
        <is>
          <t>27.1</t>
        </is>
      </c>
      <c r="T2433" t="inlineStr">
        <is>
          <t>4274171543652</t>
        </is>
      </c>
    </row>
    <row r="2434" ht="87" customHeight="1">
      <c r="A2434" s="2">
        <f>HYPERLINK("https://edmondsonsupply.com/collections/hvac/products/channellock-431", "https://edmondsonsupply.com/collections/hvac/products/channellock-431")</f>
        <v/>
      </c>
      <c r="B2434" s="2">
        <f>HYPERLINK("https://edmondsonsupply.com/products/channellock-431", "https://edmondsonsupply.com/products/channellock-431")</f>
        <v/>
      </c>
      <c r="C2434" t="inlineStr">
        <is>
          <t>Channellock 432 10-Inch V-Jaw Tongue &amp; Groove Pliers</t>
        </is>
      </c>
      <c r="D2434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2434" s="2">
        <f>HYPERLINK("https://www.amazon.com/Channellock-430-Straight-Heat-Treated-Reinforcing/dp/B00002N5JF/ref=sr_1_3?keywords=Channellock+432+10-Inch+V-Jaw+Tongue+%26+Groove+Pliers&amp;qid=1694734826&amp;sr=8-3", "https://www.amazon.com/Channellock-430-Straight-Heat-Treated-Reinforcing/dp/B00002N5JF/ref=sr_1_3?keywords=Channellock+432+10-Inch+V-Jaw+Tongue+%26+Groove+Pliers&amp;qid=1694734826&amp;sr=8-3")</f>
        <v/>
      </c>
      <c r="F2434" t="inlineStr">
        <is>
          <t>B00002N5JF</t>
        </is>
      </c>
      <c r="G2434">
        <f>_xlfn.IMAGE("https://edmondsonsupply.com/cdn/shop/products/432-683x1024.jpg?v=1587147134")</f>
        <v/>
      </c>
      <c r="H2434">
        <f>_xlfn.IMAGE("https://m.media-amazon.com/images/I/71JqgqffnnL._AC_UL320_.jpg")</f>
        <v/>
      </c>
      <c r="K2434" t="inlineStr">
        <is>
          <t>19.95</t>
        </is>
      </c>
      <c r="L2434" t="n">
        <v>19.95</v>
      </c>
      <c r="M2434" s="1" t="inlineStr">
        <is>
          <t>0.00%</t>
        </is>
      </c>
      <c r="N2434" s="7" t="n">
        <v>602.64</v>
      </c>
      <c r="O2434" t="n">
        <v>4.8</v>
      </c>
      <c r="P2434" t="n">
        <v>2186</v>
      </c>
      <c r="R2434" t="inlineStr">
        <is>
          <t>InStock</t>
        </is>
      </c>
      <c r="S2434" t="inlineStr">
        <is>
          <t>27.63</t>
        </is>
      </c>
      <c r="T2434" t="inlineStr">
        <is>
          <t>3553468317796</t>
        </is>
      </c>
    </row>
    <row r="2435" ht="87" customHeight="1">
      <c r="A2435" s="2">
        <f>HYPERLINK("https://edmondsonsupply.com/collections/hvac/products/channellock-431", "https://edmondsonsupply.com/collections/hvac/products/channellock-431")</f>
        <v/>
      </c>
      <c r="B2435" s="2">
        <f>HYPERLINK("https://edmondsonsupply.com/products/channellock-431", "https://edmondsonsupply.com/products/channellock-431")</f>
        <v/>
      </c>
      <c r="C2435" t="inlineStr">
        <is>
          <t>Channellock 432 10-Inch V-Jaw Tongue &amp; Groove Pliers</t>
        </is>
      </c>
      <c r="D2435" t="inlineStr">
        <is>
          <t>Channellock 432 Tongue and Groove Pliers, 10 In, Polished</t>
        </is>
      </c>
      <c r="E2435" s="2">
        <f>HYPERLINK("https://www.amazon.com/Channellock-432-2-Inch-Capacity-10-Inch/dp/B000189GRY/ref=sr_1_2?keywords=Channellock+432+10-Inch+V-Jaw+Tongue+%26+Groove+Pliers&amp;qid=1694734826&amp;sr=8-2", "https://www.amazon.com/Channellock-432-2-Inch-Capacity-10-Inch/dp/B000189GRY/ref=sr_1_2?keywords=Channellock+432+10-Inch+V-Jaw+Tongue+%26+Groove+Pliers&amp;qid=1694734826&amp;sr=8-2")</f>
        <v/>
      </c>
      <c r="F2435" t="inlineStr">
        <is>
          <t>B000189GRY</t>
        </is>
      </c>
      <c r="G2435">
        <f>_xlfn.IMAGE("https://edmondsonsupply.com/cdn/shop/products/432-683x1024.jpg?v=1587147134")</f>
        <v/>
      </c>
      <c r="H2435">
        <f>_xlfn.IMAGE("https://m.media-amazon.com/images/I/71ZFfDuDhxL._AC_UL320_.jpg")</f>
        <v/>
      </c>
      <c r="K2435" t="inlineStr">
        <is>
          <t>19.95</t>
        </is>
      </c>
      <c r="L2435" t="n">
        <v>19.95</v>
      </c>
      <c r="M2435" s="1" t="inlineStr">
        <is>
          <t>0.00%</t>
        </is>
      </c>
      <c r="N2435" s="7" t="n">
        <v>602.34</v>
      </c>
      <c r="O2435" t="n">
        <v>4.7</v>
      </c>
      <c r="P2435" t="n">
        <v>2311</v>
      </c>
      <c r="R2435" t="inlineStr">
        <is>
          <t>InStock</t>
        </is>
      </c>
      <c r="S2435" t="inlineStr">
        <is>
          <t>27.63</t>
        </is>
      </c>
      <c r="T2435" t="inlineStr">
        <is>
          <t>3553468317796</t>
        </is>
      </c>
    </row>
    <row r="2436" ht="87" customHeight="1">
      <c r="A2436" s="2">
        <f>HYPERLINK("https://edmondsonsupply.com/collections/hvac/products/klein-tools-89552-hole-cutter-for-duct-and-sheet-metal-2-to-12-inch", "https://edmondsonsupply.com/collections/hvac/products/klein-tools-89552-hole-cutter-for-duct-and-sheet-metal-2-to-12-inch")</f>
        <v/>
      </c>
      <c r="B2436" s="2">
        <f>HYPERLINK("https://edmondsonsupply.com/products/klein-tools-89552-hole-cutter-for-duct-and-sheet-metal-2-to-12-inch", "https://edmondsonsupply.com/products/klein-tools-89552-hole-cutter-for-duct-and-sheet-metal-2-to-12-inch")</f>
        <v/>
      </c>
      <c r="C2436" t="inlineStr">
        <is>
          <t>Klein Tools 89552 Hole Cutter for Duct and Sheet Metal, 2 to 12-Inch</t>
        </is>
      </c>
      <c r="D2436" t="inlineStr">
        <is>
          <t>Klein Tools 89552 Hole Cutter, Adjustable Cutter from 2 to 12 Inch, Cuts 24 gauge Steel and 26 gauge Stainless</t>
        </is>
      </c>
      <c r="E2436" s="2">
        <f>HYPERLINK("https://www.amazon.com/Adjustable-Stainless-Klein-Tools-89552/dp/B07DLT79N8/ref=sr_1_1?keywords=Klein+Tools+89552+Hole+Cutter+for+Duct+and+Sheet+Metal%2C+2+to+12-Inch&amp;qid=1694734820&amp;sr=8-1", "https://www.amazon.com/Adjustable-Stainless-Klein-Tools-89552/dp/B07DLT79N8/ref=sr_1_1?keywords=Klein+Tools+89552+Hole+Cutter+for+Duct+and+Sheet+Metal%2C+2+to+12-Inch&amp;qid=1694734820&amp;sr=8-1")</f>
        <v/>
      </c>
      <c r="F2436" t="inlineStr">
        <is>
          <t>B07DLT79N8</t>
        </is>
      </c>
      <c r="G2436">
        <f>_xlfn.IMAGE("https://edmondsonsupply.com/cdn/shop/products/89552.jpg?v=1587143132")</f>
        <v/>
      </c>
      <c r="H2436">
        <f>_xlfn.IMAGE("https://m.media-amazon.com/images/I/41anKoMOthL._AC_UL320_.jpg")</f>
        <v/>
      </c>
      <c r="K2436" t="inlineStr">
        <is>
          <t>56.99</t>
        </is>
      </c>
      <c r="L2436" t="n">
        <v>56.99</v>
      </c>
      <c r="M2436" s="1" t="inlineStr">
        <is>
          <t>0.00%</t>
        </is>
      </c>
      <c r="N2436" s="7" t="n">
        <v>597.89</v>
      </c>
      <c r="O2436" t="n">
        <v>4.3</v>
      </c>
      <c r="P2436" t="n">
        <v>792</v>
      </c>
      <c r="R2436" t="inlineStr">
        <is>
          <t>InStock</t>
        </is>
      </c>
      <c r="S2436" t="inlineStr">
        <is>
          <t>83.98</t>
        </is>
      </c>
      <c r="T2436" t="inlineStr">
        <is>
          <t>4169413165156</t>
        </is>
      </c>
    </row>
    <row r="2437" ht="87" customHeight="1">
      <c r="A2437" s="2">
        <f>HYPERLINK("https://edmondsonsupply.com/collections/hvac/products/yellow-jacket-60475-punch-type-swaging-tool", "https://edmondsonsupply.com/collections/hvac/products/yellow-jacket-60475-punch-type-swaging-tool")</f>
        <v/>
      </c>
      <c r="B2437" s="2">
        <f>HYPERLINK("https://edmondsonsupply.com/products/yellow-jacket-60475-punch-type-swaging-tool", "https://edmondsonsupply.com/products/yellow-jacket-60475-punch-type-swaging-tool")</f>
        <v/>
      </c>
      <c r="C2437" t="inlineStr">
        <is>
          <t>Yellow Jacket 60475 PUNCH-TYPE SWAGING TOOL</t>
        </is>
      </c>
      <c r="D2437" t="inlineStr">
        <is>
          <t>Yellow Jacket 60475 swaging Punch Tool Set</t>
        </is>
      </c>
      <c r="E2437" s="2">
        <f>HYPERLINK("https://www.amazon.com/Yellow-Jacket-60475-swaging-punch/dp/B003ANV9PO/ref=sr_1_1?keywords=Yellow+Jacket+60475+PUNCH-TYPE+SWAGING+TOOL&amp;qid=1694734862&amp;sr=8-1", "https://www.amazon.com/Yellow-Jacket-60475-swaging-punch/dp/B003ANV9PO/ref=sr_1_1?keywords=Yellow+Jacket+60475+PUNCH-TYPE+SWAGING+TOOL&amp;qid=1694734862&amp;sr=8-1")</f>
        <v/>
      </c>
      <c r="F2437" t="inlineStr">
        <is>
          <t>B003ANV9PO</t>
        </is>
      </c>
      <c r="G2437">
        <f>_xlfn.IMAGE("https://edmondsonsupply.com/cdn/shop/files/punch-type-swaging-tool.jpg?v=1691499219")</f>
        <v/>
      </c>
      <c r="H2437">
        <f>_xlfn.IMAGE("https://m.media-amazon.com/images/I/61Fh428aunL._AC_UL320_.jpg")</f>
        <v/>
      </c>
      <c r="K2437" t="inlineStr">
        <is>
          <t>47.67</t>
        </is>
      </c>
      <c r="L2437" t="n">
        <v>47.67</v>
      </c>
      <c r="M2437" s="1" t="inlineStr">
        <is>
          <t>0.00%</t>
        </is>
      </c>
      <c r="N2437" s="7" t="n">
        <v>591.51</v>
      </c>
      <c r="O2437" t="n">
        <v>4.7</v>
      </c>
      <c r="P2437" t="n">
        <v>6</v>
      </c>
      <c r="R2437" t="inlineStr">
        <is>
          <t>InStock</t>
        </is>
      </c>
      <c r="S2437" t="inlineStr">
        <is>
          <t>undefined</t>
        </is>
      </c>
      <c r="T2437" t="inlineStr">
        <is>
          <t>8025470009560</t>
        </is>
      </c>
    </row>
    <row r="2438" ht="87" customHeight="1">
      <c r="A2438" s="2">
        <f>HYPERLINK("https://edmondsonsupply.com/collections/hvac/products/klein-tools-pjsfm2-rechargeable-clamping-fan", "https://edmondsonsupply.com/collections/hvac/products/klein-tools-pjsfm2-rechargeable-clamping-fan")</f>
        <v/>
      </c>
      <c r="B2438" s="2">
        <f>HYPERLINK("https://edmondsonsupply.com/products/klein-tools-pjsfm2-rechargeable-clamping-fan", "https://edmondsonsupply.com/products/klein-tools-pjsfm2-rechargeable-clamping-fan")</f>
        <v/>
      </c>
      <c r="C2438" t="inlineStr">
        <is>
          <t>Klein Tools PJSFM2 Rechargeable Clamping Fan</t>
        </is>
      </c>
      <c r="D2438" t="inlineStr">
        <is>
          <t>Klein Tools PJSFM2 Lithium Battery Operated Fan, Rechargeable Mini USB Fan with Clip On, Hang Hole, and Magnet Mounting, Portable, Orange/Gray 9-Inch</t>
        </is>
      </c>
      <c r="E2438" s="2">
        <f>HYPERLINK("https://www.amazon.com/Klein-Tools-PJSFM2-Operated-Rechargeable/dp/B0BWGQVPSC/ref=sr_1_1?keywords=Klein+Tools+PJSFM2+Rechargeable+Clamping+Fan&amp;qid=1694734748&amp;sr=8-1", "https://www.amazon.com/Klein-Tools-PJSFM2-Operated-Rechargeable/dp/B0BWGQVPSC/ref=sr_1_1?keywords=Klein+Tools+PJSFM2+Rechargeable+Clamping+Fan&amp;qid=1694734748&amp;sr=8-1")</f>
        <v/>
      </c>
      <c r="F2438" t="inlineStr">
        <is>
          <t>B0BWGQVPSC</t>
        </is>
      </c>
      <c r="G2438">
        <f>_xlfn.IMAGE("https://edmondsonsupply.com/cdn/shop/products/pjsfm2.jpg?v=1681741049")</f>
        <v/>
      </c>
      <c r="H2438">
        <f>_xlfn.IMAGE("https://m.media-amazon.com/images/I/61s9r8X1JSL._AC_UL320_.jpg")</f>
        <v/>
      </c>
      <c r="K2438" t="inlineStr">
        <is>
          <t>99.99</t>
        </is>
      </c>
      <c r="L2438" t="n">
        <v>99.98999999999999</v>
      </c>
      <c r="M2438" s="1" t="inlineStr">
        <is>
          <t>0.00%</t>
        </is>
      </c>
      <c r="N2438" s="7" t="n">
        <v>589.4400000000001</v>
      </c>
      <c r="O2438" t="n">
        <v>4.9</v>
      </c>
      <c r="P2438" t="n">
        <v>14</v>
      </c>
      <c r="R2438" t="inlineStr">
        <is>
          <t>InStock</t>
        </is>
      </c>
      <c r="S2438" t="inlineStr">
        <is>
          <t>149.98</t>
        </is>
      </c>
      <c r="T2438" t="inlineStr">
        <is>
          <t>7980631687384</t>
        </is>
      </c>
    </row>
    <row r="2439" ht="87" customHeight="1">
      <c r="A2439" s="2">
        <f>HYPERLINK("https://edmondsonsupply.com/collections/hvac/products/ritchie-yellow-jacket-93600-bullet%E2%84%A2-7-cfm-vacuum-pump", "https://edmondsonsupply.com/collections/hvac/products/ritchie-yellow-jacket-93600-bullet%E2%84%A2-7-cfm-vacuum-pump")</f>
        <v/>
      </c>
      <c r="B2439" s="2">
        <f>HYPERLINK("https://edmondsonsupply.com/products/ritchie-yellow-jacket-93600-bullet%e2%84%a2-7-cfm-vacuum-pump", "https://edmondsonsupply.com/products/ritchie-yellow-jacket-93600-bullet%e2%84%a2-7-cfm-vacuum-pump")</f>
        <v/>
      </c>
      <c r="C2439" t="inlineStr">
        <is>
          <t>Yellow Jacket 93600 BULLET®X 7 CFM Vacuum Pump</t>
        </is>
      </c>
      <c r="D2439" t="inlineStr">
        <is>
          <t>YELLOW JACKET 93600 Bullet Single Phase Vacuum Pump, 7 Cfm, 115V, 60 Hz</t>
        </is>
      </c>
      <c r="E2439" s="2">
        <f>HYPERLINK("https://www.amazon.com/YELLOW-JACKET-93600-Bullet-Single/dp/B007ID2BKE/ref=sr_1_1?keywords=Yellow+Jacket+93600+BULLET%C2%AEX+7+CFM+Vacuum+Pump&amp;qid=1694734744&amp;sr=8-1", "https://www.amazon.com/YELLOW-JACKET-93600-Bullet-Single/dp/B007ID2BKE/ref=sr_1_1?keywords=Yellow+Jacket+93600+BULLET%C2%AEX+7+CFM+Vacuum+Pump&amp;qid=1694734744&amp;sr=8-1")</f>
        <v/>
      </c>
      <c r="F2439" t="inlineStr">
        <is>
          <t>B007ID2BKE</t>
        </is>
      </c>
      <c r="G2439">
        <f>_xlfn.IMAGE("https://edmondsonsupply.com/cdn/shop/products/93600-Bullet-Vacuum-Pump-ANGLE-RGB-5x5-1.jpg?v=1633030034")</f>
        <v/>
      </c>
      <c r="H2439">
        <f>_xlfn.IMAGE("https://m.media-amazon.com/images/I/615RV1bqJ5S._AC_UL320_.jpg")</f>
        <v/>
      </c>
      <c r="K2439" t="inlineStr">
        <is>
          <t>533.94</t>
        </is>
      </c>
      <c r="L2439" t="n">
        <v>533.9400000000001</v>
      </c>
      <c r="M2439" s="1" t="inlineStr">
        <is>
          <t>0.00%</t>
        </is>
      </c>
      <c r="N2439" s="7" t="n">
        <v>585.73</v>
      </c>
      <c r="O2439" t="n">
        <v>4.3</v>
      </c>
      <c r="P2439" t="n">
        <v>34</v>
      </c>
      <c r="R2439" t="inlineStr">
        <is>
          <t>InStock</t>
        </is>
      </c>
      <c r="S2439" t="inlineStr">
        <is>
          <t>undefined</t>
        </is>
      </c>
      <c r="T2439" t="inlineStr">
        <is>
          <t>2647547641956</t>
        </is>
      </c>
    </row>
    <row r="2440" hidden="1" ht="15.75" customHeight="1">
      <c r="A2440" s="2">
        <f>HYPERLINK("https://edmondsonsupply.com/collections/hvac/products/rectorseal-83809-aspen-mini-aqua-pump-kit-100-250v", "https://edmondsonsupply.com/collections/hvac/products/rectorseal-83809-aspen-mini-aqua-pump-kit-100-250v")</f>
        <v/>
      </c>
      <c r="B2440" s="2">
        <f>HYPERLINK("https://edmondsonsupply.com/products/rectorseal-83809-aspen-mini-aqua-pump-kit-100-250v", "https://edmondsonsupply.com/products/rectorseal-83809-aspen-mini-aqua-pump-kit-100-250v")</f>
        <v/>
      </c>
      <c r="C2440" t="inlineStr">
        <is>
          <t>Rectorseal 83809 Aspen Mini Aqua Pump Kit 100-250V</t>
        </is>
      </c>
      <c r="D2440" t="inlineStr">
        <is>
          <t>Rectorseal 83809 Aspen Mini Aqua 100 to 230V Air Conditioner Condensate Pump</t>
        </is>
      </c>
      <c r="E2440" s="2">
        <f>HYPERLINK("https://www.amazon.com/Rectorseal-83809-Aspen-Conditioner-Condensate/dp/B00GZYR09E/ref=sr_1_1?keywords=Rectorseal+83809+Aspen+Mini+Aqua+Pump+Kit+100-250V&amp;qid=1694734864&amp;sr=8-1", "https://www.amazon.com/Rectorseal-83809-Aspen-Conditioner-Condensate/dp/B00GZYR09E/ref=sr_1_1?keywords=Rectorseal+83809+Aspen+Mini+Aqua+Pump+Kit+100-250V&amp;qid=1694734864&amp;sr=8-1")</f>
        <v/>
      </c>
      <c r="F2440" t="inlineStr">
        <is>
          <t>B00GZYR09E</t>
        </is>
      </c>
      <c r="G2440">
        <f>_xludf.IMAGE("https://edmondsonsupply.com/cdn/shop/files/83809.png?v=1690982586")</f>
        <v/>
      </c>
      <c r="H2440">
        <f>_xludf.IMAGE("https://m.media-amazon.com/images/I/81ETqOJsgqL._AC_UL320_.jpg")</f>
        <v/>
      </c>
      <c r="K2440" t="inlineStr">
        <is>
          <t>309.45</t>
        </is>
      </c>
      <c r="L2440" t="n">
        <v>309.45</v>
      </c>
      <c r="M2440" s="1" t="inlineStr">
        <is>
          <t>0.00%</t>
        </is>
      </c>
      <c r="N2440" s="1" t="n">
        <v>582.35</v>
      </c>
      <c r="O2440" t="n">
        <v>3</v>
      </c>
      <c r="P2440" t="n">
        <v>10</v>
      </c>
      <c r="R2440" t="inlineStr">
        <is>
          <t>InStock</t>
        </is>
      </c>
      <c r="S2440" t="inlineStr">
        <is>
          <t>undefined</t>
        </is>
      </c>
      <c r="T2440" t="inlineStr">
        <is>
          <t>8023691919576</t>
        </is>
      </c>
    </row>
    <row r="2441" ht="87" customHeight="1">
      <c r="A2441" s="2">
        <f>HYPERLINK("https://edmondsonsupply.com/collections/hvac/products/klein-tools-69445-rare-earth-magnetic-hanger-no-strap", "https://edmondsonsupply.com/collections/hvac/products/klein-tools-69445-rare-earth-magnetic-hanger-no-strap")</f>
        <v/>
      </c>
      <c r="B2441" s="2">
        <f>HYPERLINK("https://edmondsonsupply.com/products/klein-tools-69445-rare-earth-magnetic-hanger-no-strap", "https://edmondsonsupply.com/products/klein-tools-69445-rare-earth-magnetic-hanger-no-strap")</f>
        <v/>
      </c>
      <c r="C2441" t="inlineStr">
        <is>
          <t>Klein Tools 69445 Rare Earth Magnetic Hanger, no Strap</t>
        </is>
      </c>
      <c r="D2441" t="inlineStr">
        <is>
          <t>Klein Tools 69445 Magnetic Hanger Without Strap for Klein Tools Clamp Meters and Multimeters with Powerful Rare Earth Magnets</t>
        </is>
      </c>
      <c r="E2441" s="2">
        <f>HYPERLINK("https://www.amazon.com/Klein-Tools-69445-Magnetic-Multimeters/dp/B08CP568HY/ref=sr_1_1?keywords=Klein+Tools+69445+Rare+Earth+Magnetic+Hanger%2C+no+Strap&amp;qid=1694734706&amp;sr=8-1", "https://www.amazon.com/Klein-Tools-69445-Magnetic-Multimeters/dp/B08CP568HY/ref=sr_1_1?keywords=Klein+Tools+69445+Rare+Earth+Magnetic+Hanger%2C+no+Strap&amp;qid=1694734706&amp;sr=8-1")</f>
        <v/>
      </c>
      <c r="F2441" t="inlineStr">
        <is>
          <t>B08CP568HY</t>
        </is>
      </c>
      <c r="G2441">
        <f>_xlfn.IMAGE("https://edmondsonsupply.com/cdn/shop/products/69445.jpg?v=1633030859")</f>
        <v/>
      </c>
      <c r="H2441">
        <f>_xlfn.IMAGE("https://m.media-amazon.com/images/I/61xhBmfQ1SL._AC_UL320_.jpg")</f>
        <v/>
      </c>
      <c r="K2441" t="inlineStr">
        <is>
          <t>15.99</t>
        </is>
      </c>
      <c r="L2441" t="n">
        <v>15.99</v>
      </c>
      <c r="M2441" s="1" t="inlineStr">
        <is>
          <t>0.00%</t>
        </is>
      </c>
      <c r="N2441" s="7" t="n">
        <v>581.23</v>
      </c>
      <c r="O2441" t="n">
        <v>4.8</v>
      </c>
      <c r="P2441" t="n">
        <v>400</v>
      </c>
      <c r="R2441" t="inlineStr">
        <is>
          <t>InStock</t>
        </is>
      </c>
      <c r="S2441" t="inlineStr">
        <is>
          <t>22.84</t>
        </is>
      </c>
      <c r="T2441" t="inlineStr">
        <is>
          <t>6112025280685</t>
        </is>
      </c>
    </row>
    <row r="2442" hidden="1" ht="15.75" customHeight="1">
      <c r="A2442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2442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2442" t="inlineStr">
        <is>
          <t>Klein Tools 60164 Professional Safety Glasses, Full Frame, Gray Lens</t>
        </is>
      </c>
      <c r="D2442" t="inlineStr">
        <is>
          <t>Klein Tools 60163 Safety Glasses, Professional PPE Protective Eyewear with Full Frame, Scratch Resistant and Anti-Fog, Clear Lens , 5.6 x 4 inch</t>
        </is>
      </c>
      <c r="E2442" s="2">
        <f>HYPERLINK("https://www.amazon.com/Klein-60163-Professional-Protective-Resistant/dp/B08B48CZ5V/ref=sr_1_5?keywords=Klein+Tools+60164+Professional+Safety+Glasses%2C+Full+Frame%2C+Gray+Lens&amp;qid=1694734778&amp;sr=8-5", "https://www.amazon.com/Klein-60163-Professional-Protective-Resistant/dp/B08B48CZ5V/ref=sr_1_5?keywords=Klein+Tools+60164+Professional+Safety+Glasses%2C+Full+Frame%2C+Gray+Lens&amp;qid=1694734778&amp;sr=8-5")</f>
        <v/>
      </c>
      <c r="F2442" t="inlineStr">
        <is>
          <t>B08B48CZ5V</t>
        </is>
      </c>
      <c r="G2442">
        <f>_xludf.IMAGE("https://edmondsonsupply.com/cdn/shop/products/60164.jpg?v=1633030851")</f>
        <v/>
      </c>
      <c r="H2442">
        <f>_xludf.IMAGE("https://m.media-amazon.com/images/I/41IY8K6EFLL._AC_UL320_.jpg")</f>
        <v/>
      </c>
      <c r="K2442" t="inlineStr">
        <is>
          <t>14.99</t>
        </is>
      </c>
      <c r="L2442" t="n">
        <v>14.99</v>
      </c>
      <c r="M2442" s="1" t="inlineStr">
        <is>
          <t>0.00%</t>
        </is>
      </c>
      <c r="N2442" s="1" t="n">
        <v>577.88</v>
      </c>
      <c r="O2442" t="n">
        <v>4.4</v>
      </c>
      <c r="P2442" t="n">
        <v>196</v>
      </c>
      <c r="R2442" t="inlineStr">
        <is>
          <t>InStock</t>
        </is>
      </c>
      <c r="S2442" t="inlineStr">
        <is>
          <t>20.98</t>
        </is>
      </c>
      <c r="T2442" t="inlineStr">
        <is>
          <t>6103189520557</t>
        </is>
      </c>
    </row>
    <row r="2443" hidden="1" ht="15.75" customHeight="1">
      <c r="A2443" s="2">
        <f>HYPERLINK("https://edmondsonsupply.com/collections/hvac/products/klein-tools-60164-professional-safety-glasses-full-frame-gray-lens", "https://edmondsonsupply.com/collections/hvac/products/klein-tools-60164-professional-safety-glasses-full-frame-gray-lens")</f>
        <v/>
      </c>
      <c r="B2443" s="2">
        <f>HYPERLINK("https://edmondsonsupply.com/products/klein-tools-60164-professional-safety-glasses-full-frame-gray-lens", "https://edmondsonsupply.com/products/klein-tools-60164-professional-safety-glasses-full-frame-gray-lens")</f>
        <v/>
      </c>
      <c r="C2443" t="inlineStr">
        <is>
          <t>Klein Tools 60164 Professional Safety Glasses, Full Frame, Gray Lens</t>
        </is>
      </c>
      <c r="D2443" t="inlineStr">
        <is>
          <t>Klein Tools 60164 Safety Glasses, Professional PPE Protective Eyewear with Full Frame, Scratch Resistant and Anti-Fog, Gray Lens 5.6 x 4 inch</t>
        </is>
      </c>
      <c r="E2443" s="2">
        <f>HYPERLINK("https://www.amazon.com/Klein-60164-Professional-Protective-Resistant/dp/B08B4BNSHM/ref=sr_1_1?keywords=Klein+Tools+60164+Professional+Safety+Glasses%2C+Full+Frame%2C+Gray+Lens&amp;qid=1694734778&amp;sr=8-1", "https://www.amazon.com/Klein-60164-Professional-Protective-Resistant/dp/B08B4BNSHM/ref=sr_1_1?keywords=Klein+Tools+60164+Professional+Safety+Glasses%2C+Full+Frame%2C+Gray+Lens&amp;qid=1694734778&amp;sr=8-1")</f>
        <v/>
      </c>
      <c r="F2443" t="inlineStr">
        <is>
          <t>B08B4BNSHM</t>
        </is>
      </c>
      <c r="G2443">
        <f>_xludf.IMAGE("https://edmondsonsupply.com/cdn/shop/products/60164.jpg?v=1633030851")</f>
        <v/>
      </c>
      <c r="H2443">
        <f>_xludf.IMAGE("https://m.media-amazon.com/images/I/41bNrH9NnFL._AC_UL320_.jpg")</f>
        <v/>
      </c>
      <c r="K2443" t="inlineStr">
        <is>
          <t>14.99</t>
        </is>
      </c>
      <c r="L2443" t="n">
        <v>14.99</v>
      </c>
      <c r="M2443" s="1" t="inlineStr">
        <is>
          <t>0.00%</t>
        </is>
      </c>
      <c r="N2443" s="1" t="n">
        <v>577.25</v>
      </c>
      <c r="O2443" t="n">
        <v>4.4</v>
      </c>
      <c r="P2443" t="n">
        <v>459</v>
      </c>
      <c r="R2443" t="inlineStr">
        <is>
          <t>InStock</t>
        </is>
      </c>
      <c r="S2443" t="inlineStr">
        <is>
          <t>20.98</t>
        </is>
      </c>
      <c r="T2443" t="inlineStr">
        <is>
          <t>6103189520557</t>
        </is>
      </c>
    </row>
    <row r="2444" ht="87" customHeight="1">
      <c r="A2444" s="2">
        <f>HYPERLINK("https://edmondsonsupply.com/collections/hvac/products/klein-tools-pnd-916-10-9-16-inch-power-nut-driver-10-inch-length-pnd91610", "https://edmondsonsupply.com/collections/hvac/products/klein-tools-pnd-916-10-9-16-inch-power-nut-driver-10-inch-length-pnd91610")</f>
        <v/>
      </c>
      <c r="B2444" s="2">
        <f>HYPERLINK("https://edmondsonsupply.com/products/klein-tools-pnd-916-10-9-16-inch-power-nut-driver-10-inch-length-pnd91610", "https://edmondsonsupply.com/products/klein-tools-pnd-916-10-9-16-inch-power-nut-driver-10-inch-length-pnd91610")</f>
        <v/>
      </c>
      <c r="C2444" t="inlineStr">
        <is>
          <t>Klein Tools PND91610 9/16-Inch Power Nut Driver, 10-Inch Length</t>
        </is>
      </c>
      <c r="D2444" t="inlineStr">
        <is>
          <t>Klein Tools PND91610 9/16-Inch Power Nut Driver, 10-Inch Length</t>
        </is>
      </c>
      <c r="E2444" s="2">
        <f>HYPERLINK("https://www.amazon.com/16-Inch-10-Inch-Klein-Tools-PND91610/dp/B00ELGQ9WC/ref=sr_1_1?keywords=Klein+Tools+PND91610+9%2F16-Inch+Power+Nut+Driver%2C+10-Inch+Length&amp;qid=1694734705&amp;sr=8-1", "https://www.amazon.com/16-Inch-10-Inch-Klein-Tools-PND91610/dp/B00ELGQ9WC/ref=sr_1_1?keywords=Klein+Tools+PND91610+9%2F16-Inch+Power+Nut+Driver%2C+10-Inch+Length&amp;qid=1694734705&amp;sr=8-1")</f>
        <v/>
      </c>
      <c r="F2444" t="inlineStr">
        <is>
          <t>B00ELGQ9WC</t>
        </is>
      </c>
      <c r="G2444">
        <f>_xlfn.IMAGE("https://edmondsonsupply.com/cdn/shop/products/pnd91610.jpg?v=1587144987")</f>
        <v/>
      </c>
      <c r="H2444">
        <f>_xlfn.IMAGE("https://m.media-amazon.com/images/I/31wQ2+L9xFL._AC_UL320_.jpg")</f>
        <v/>
      </c>
      <c r="K2444" t="inlineStr">
        <is>
          <t>24.99</t>
        </is>
      </c>
      <c r="L2444" t="n">
        <v>24.99</v>
      </c>
      <c r="M2444" s="1" t="inlineStr">
        <is>
          <t>0.00%</t>
        </is>
      </c>
      <c r="N2444" s="7" t="n">
        <v>576.4400000000001</v>
      </c>
      <c r="O2444" t="n">
        <v>4.6</v>
      </c>
      <c r="P2444" t="n">
        <v>1105</v>
      </c>
      <c r="R2444" t="inlineStr">
        <is>
          <t>InStock</t>
        </is>
      </c>
      <c r="S2444" t="inlineStr">
        <is>
          <t>37.86</t>
        </is>
      </c>
      <c r="T2444" t="inlineStr">
        <is>
          <t>3698739347556</t>
        </is>
      </c>
    </row>
    <row r="2445" ht="87" customHeight="1">
      <c r="A2445" s="2">
        <f>HYPERLINK("https://edmondsonsupply.com/collections/hvac/products/klein-tools-32217-drill-tap-tool-kit-8-piece", "https://edmondsonsupply.com/collections/hvac/products/klein-tools-32217-drill-tap-tool-kit-8-piece")</f>
        <v/>
      </c>
      <c r="B2445" s="2">
        <f>HYPERLINK("https://edmondsonsupply.com/products/klein-tools-32217-drill-tap-tool-kit-8-piece", "https://edmondsonsupply.com/products/klein-tools-32217-drill-tap-tool-kit-8-piece")</f>
        <v/>
      </c>
      <c r="C2445" t="inlineStr">
        <is>
          <t>Klein Tools 32217 Drill Tap Tool Kit, 8-Piece</t>
        </is>
      </c>
      <c r="D2445" t="inlineStr">
        <is>
          <t>Klein Tools 32217 Drill Tap Tool Kit, 8-Piece, For Aluminum-Brass-Copper-Plastic-Mild Steel, Quick Connect Power Tools Compatible</t>
        </is>
      </c>
      <c r="E2445" s="2">
        <f>HYPERLINK("https://www.amazon.com/Tapping-Connect-Tools-Klein-32217/dp/B00SGMHU7U/ref=sr_1_1?keywords=Klein+Tools+32217+Drill+Tap+Tool+Kit%2C+8-Piece&amp;qid=1694734814&amp;sr=8-1", "https://www.amazon.com/Tapping-Connect-Tools-Klein-32217/dp/B00SGMHU7U/ref=sr_1_1?keywords=Klein+Tools+32217+Drill+Tap+Tool+Kit%2C+8-Piece&amp;qid=1694734814&amp;sr=8-1")</f>
        <v/>
      </c>
      <c r="F2445" t="inlineStr">
        <is>
          <t>B00SGMHU7U</t>
        </is>
      </c>
      <c r="G2445">
        <f>_xlfn.IMAGE("https://edmondsonsupply.com/cdn/shop/products/32217.jpg?v=1587150239")</f>
        <v/>
      </c>
      <c r="H2445">
        <f>_xlfn.IMAGE("https://m.media-amazon.com/images/I/51y50+-mANL._AC_UL320_.jpg")</f>
        <v/>
      </c>
      <c r="K2445" t="inlineStr">
        <is>
          <t>49.99</t>
        </is>
      </c>
      <c r="L2445" t="n">
        <v>49.99</v>
      </c>
      <c r="M2445" s="1" t="inlineStr">
        <is>
          <t>0.00%</t>
        </is>
      </c>
      <c r="N2445" s="7" t="n">
        <v>567.14</v>
      </c>
      <c r="O2445" t="n">
        <v>4.6</v>
      </c>
      <c r="P2445" t="n">
        <v>318</v>
      </c>
      <c r="R2445" t="inlineStr">
        <is>
          <t>InStock</t>
        </is>
      </c>
      <c r="S2445" t="inlineStr">
        <is>
          <t>75.74</t>
        </is>
      </c>
      <c r="T2445" t="inlineStr">
        <is>
          <t>4381003907172</t>
        </is>
      </c>
    </row>
    <row r="2446" ht="87" customHeight="1">
      <c r="A2446" s="2">
        <f>HYPERLINK("https://edmondsonsupply.com/collections/hvac/products/klein-tools-ti220-thermal-imager-for-android%C2%AE-devices", "https://edmondsonsupply.com/collections/hvac/products/klein-tools-ti220-thermal-imager-for-android%C2%AE-devices")</f>
        <v/>
      </c>
      <c r="B2446" s="2">
        <f>HYPERLINK("https://edmondsonsupply.com/products/klein-tools-ti220-thermal-imager-for-android%c2%ae-devices", "https://edmondsonsupply.com/products/klein-tools-ti220-thermal-imager-for-android%c2%ae-devices")</f>
        <v/>
      </c>
      <c r="C2446" t="inlineStr">
        <is>
          <t>Klein Tools TI220 Thermal Imager for Android® Devices</t>
        </is>
      </c>
      <c r="D2446" t="inlineStr">
        <is>
          <t>Klein Tools TI220 Thermal Imager for Android Devices, Thermal Imaging Camera, 10,800 Pixels, Three Color Palettes, High/Low Temperatures</t>
        </is>
      </c>
      <c r="E2446" s="2">
        <f>HYPERLINK("https://www.amazon.com/Klein-Tools-TI220-Thermal-Imager-Temperatures/dp/B0B356X9ZD/ref=sr_1_1?keywords=Klein+Tools+TI220+Thermal+Imager+for+Android%C2%AE+Devices&amp;qid=1694734697&amp;sr=8-1", "https://www.amazon.com/Klein-Tools-TI220-Thermal-Imager-Temperatures/dp/B0B356X9ZD/ref=sr_1_1?keywords=Klein+Tools+TI220+Thermal+Imager+for+Android%C2%AE+Devices&amp;qid=1694734697&amp;sr=8-1")</f>
        <v/>
      </c>
      <c r="F2446" t="inlineStr">
        <is>
          <t>B0B356X9ZD</t>
        </is>
      </c>
      <c r="G2446">
        <f>_xlfn.IMAGE("https://edmondsonsupply.com/cdn/shop/products/ti220.jpg?v=1663594817")</f>
        <v/>
      </c>
      <c r="H2446">
        <f>_xlfn.IMAGE("https://m.media-amazon.com/images/I/71DqBIDjgfL._AC_UY218_.jpg")</f>
        <v/>
      </c>
      <c r="K2446" t="inlineStr">
        <is>
          <t>249.99</t>
        </is>
      </c>
      <c r="L2446" t="n">
        <v>249.99</v>
      </c>
      <c r="M2446" s="1" t="inlineStr">
        <is>
          <t>0.00%</t>
        </is>
      </c>
      <c r="N2446" s="7" t="n">
        <v>567.04</v>
      </c>
      <c r="O2446" t="n">
        <v>4.5</v>
      </c>
      <c r="P2446" t="n">
        <v>91</v>
      </c>
      <c r="R2446" t="inlineStr">
        <is>
          <t>InStock</t>
        </is>
      </c>
      <c r="S2446" t="inlineStr">
        <is>
          <t>369.98</t>
        </is>
      </c>
      <c r="T2446" t="inlineStr">
        <is>
          <t>7822884962520</t>
        </is>
      </c>
    </row>
    <row r="2447" ht="87" customHeight="1">
      <c r="A2447" s="2">
        <f>HYPERLINK("https://edmondsonsupply.com/collections/hvac/products/klein-tools-93ldm100c-compact-laser-distance-measure", "https://edmondsonsupply.com/collections/hvac/products/klein-tools-93ldm100c-compact-laser-distance-measure")</f>
        <v/>
      </c>
      <c r="B2447" s="2">
        <f>HYPERLINK("https://edmondsonsupply.com/products/klein-tools-93ldm100c-compact-laser-distance-measure", "https://edmondsonsupply.com/products/klein-tools-93ldm100c-compact-laser-distance-measure")</f>
        <v/>
      </c>
      <c r="C2447" t="inlineStr">
        <is>
          <t>Klein Tools 93LDM100C Compact Laser Distance Measure</t>
        </is>
      </c>
      <c r="D2447" t="inlineStr">
        <is>
          <t>Klein Tools 93LDM100C Compact Laser Distance Measure, 100 Feet, Measures in Feet, Inches, Meters</t>
        </is>
      </c>
      <c r="E2447" s="2">
        <f>HYPERLINK("https://www.amazon.com/Klein-Tools-93LDM100C-Compact-Distance/dp/B09VJS94G3/ref=sr_1_1?keywords=Klein+Tools+93LDM100C+Compact+Laser+Distance+Measure&amp;qid=1694734774&amp;sr=8-1", "https://www.amazon.com/Klein-Tools-93LDM100C-Compact-Distance/dp/B09VJS94G3/ref=sr_1_1?keywords=Klein+Tools+93LDM100C+Compact+Laser+Distance+Measure&amp;qid=1694734774&amp;sr=8-1")</f>
        <v/>
      </c>
      <c r="F2447" t="inlineStr">
        <is>
          <t>B09VJS94G3</t>
        </is>
      </c>
      <c r="G2447">
        <f>_xlfn.IMAGE("https://edmondsonsupply.com/cdn/shop/products/93ldm100c.jpg?v=1666806501")</f>
        <v/>
      </c>
      <c r="H2447">
        <f>_xlfn.IMAGE("https://m.media-amazon.com/images/I/41mpZjYwkfL._AC_UL320_.jpg")</f>
        <v/>
      </c>
      <c r="K2447" t="inlineStr">
        <is>
          <t>34.97</t>
        </is>
      </c>
      <c r="L2447" t="n">
        <v>34.97</v>
      </c>
      <c r="M2447" s="1" t="inlineStr">
        <is>
          <t>0.00%</t>
        </is>
      </c>
      <c r="N2447" s="7" t="n">
        <v>566.97</v>
      </c>
      <c r="O2447" t="n">
        <v>4.5</v>
      </c>
      <c r="P2447" t="n">
        <v>253</v>
      </c>
      <c r="R2447" t="inlineStr">
        <is>
          <t>InStock</t>
        </is>
      </c>
      <c r="S2447" t="inlineStr">
        <is>
          <t>51.46</t>
        </is>
      </c>
      <c r="T2447" t="inlineStr">
        <is>
          <t>7866238861528</t>
        </is>
      </c>
    </row>
    <row r="2448" ht="87" customHeight="1">
      <c r="A2448" s="2">
        <f>HYPERLINK("https://edmondsonsupply.com/collections/hvac/products/fieldpiece-sc260", "https://edmondsonsupply.com/collections/hvac/products/fieldpiece-sc260")</f>
        <v/>
      </c>
      <c r="B2448" s="2">
        <f>HYPERLINK("https://edmondsonsupply.com/products/fieldpiece-sc260", "https://edmondsonsupply.com/products/fieldpiece-sc260")</f>
        <v/>
      </c>
      <c r="C2448" t="inlineStr">
        <is>
          <t>Fieldpiece SC260 Compact Clamp Meter with True RMS</t>
        </is>
      </c>
      <c r="D2448" t="inlineStr">
        <is>
          <t>Fieldpiece Compact HVACR Clamp Multimeter SC260 – True RMS Clamp Meter with Temperature, Capacitance &amp; Backlight</t>
        </is>
      </c>
      <c r="E2448" s="2">
        <f>HYPERLINK("https://www.amazon.com/Fieldpiece-SC260-Compact-Clamp-Multimeter/dp/B00KLYJG78/ref=sr_1_1?keywords=Fieldpiece+SC260+Compact+Clamp+Meter+with+True+RMS&amp;qid=1694734833&amp;sr=8-1", "https://www.amazon.com/Fieldpiece-SC260-Compact-Clamp-Multimeter/dp/B00KLYJG78/ref=sr_1_1?keywords=Fieldpiece+SC260+Compact+Clamp+Meter+with+True+RMS&amp;qid=1694734833&amp;sr=8-1")</f>
        <v/>
      </c>
      <c r="F2448" t="inlineStr">
        <is>
          <t>B00KLYJG78</t>
        </is>
      </c>
      <c r="G2448">
        <f>_xlfn.IMAGE("https://edmondsonsupply.com/cdn/shop/products/SC260-SRC-product.jpg?v=1633030161")</f>
        <v/>
      </c>
      <c r="H2448">
        <f>_xlfn.IMAGE("https://m.media-amazon.com/images/I/71b7m0X1ZcL._AC_UY218_.jpg")</f>
        <v/>
      </c>
      <c r="K2448" t="inlineStr">
        <is>
          <t>138.55</t>
        </is>
      </c>
      <c r="L2448" t="n">
        <v>138.55</v>
      </c>
      <c r="M2448" s="1" t="inlineStr">
        <is>
          <t>0.00%</t>
        </is>
      </c>
      <c r="N2448" s="7" t="n">
        <v>565.25</v>
      </c>
      <c r="O2448" t="n">
        <v>4.7</v>
      </c>
      <c r="P2448" t="n">
        <v>1245</v>
      </c>
      <c r="R2448" t="inlineStr">
        <is>
          <t>InStock</t>
        </is>
      </c>
      <c r="S2448" t="inlineStr">
        <is>
          <t>163.0</t>
        </is>
      </c>
      <c r="T2448" t="inlineStr">
        <is>
          <t>4288310771812</t>
        </is>
      </c>
    </row>
    <row r="2449" ht="87" customHeight="1">
      <c r="A2449" s="2">
        <f>HYPERLINK("https://edmondsonsupply.com/collections/hvac/products/klein-tools-shbkit-grip-it%E2%84%A2-strap-wrench-kit-6-inch-and-12-inch-handles-2-piece", "https://edmondsonsupply.com/collections/hvac/products/klein-tools-shbkit-grip-it%E2%84%A2-strap-wrench-kit-6-inch-and-12-inch-handles-2-piece")</f>
        <v/>
      </c>
      <c r="B2449" s="2">
        <f>HYPERLINK("https://edmondsonsupply.com/products/klein-tools-shbkit-grip-it%e2%84%a2-strap-wrench-kit-6-inch-and-12-inch-handles-2-piece", "https://edmondsonsupply.com/products/klein-tools-shbkit-grip-it%e2%84%a2-strap-wrench-kit-6-inch-and-12-inch-handles-2-piece")</f>
        <v/>
      </c>
      <c r="C2449" t="inlineStr">
        <is>
          <t>Klein Tools SHBKIT Grip-It™ Strap Wrench Kit, 6-Inch and 12-Inch Handles, 2-Piece</t>
        </is>
      </c>
      <c r="D2449" t="inlineStr">
        <is>
          <t>Klein Tools SHBKIT Grip-It Strap Wrench Kit, Adjustable Strap Wrenches with 6 and 12-Inch Handles, 2-Piece</t>
        </is>
      </c>
      <c r="E2449" s="2">
        <f>HYPERLINK("https://www.amazon.com/Klein-Tools-SHBKIT-Adjustable-Wrenches/dp/B0C1ZXXMN5/ref=sr_1_1?keywords=Klein+Tools+SHBKIT+Grip-It%E2%84%A2+Strap+Wrench+Kit%2C+6-Inch+and+12-Inch+Handles%2C+2-Piece&amp;qid=1694734888&amp;sr=8-1", "https://www.amazon.com/Klein-Tools-SHBKIT-Adjustable-Wrenches/dp/B0C1ZXXMN5/ref=sr_1_1?keywords=Klein+Tools+SHBKIT+Grip-It%E2%84%A2+Strap+Wrench+Kit%2C+6-Inch+and+12-Inch+Handles%2C+2-Piece&amp;qid=1694734888&amp;sr=8-1")</f>
        <v/>
      </c>
      <c r="F2449" t="inlineStr">
        <is>
          <t>B0C1ZXXMN5</t>
        </is>
      </c>
      <c r="G2449">
        <f>_xlfn.IMAGE("https://edmondsonsupply.com/cdn/shop/files/shbkit_b.jpg?v=1689782457")</f>
        <v/>
      </c>
      <c r="H2449">
        <f>_xlfn.IMAGE("https://m.media-amazon.com/images/I/51j2kkzuqAL._AC_UL320_.jpg")</f>
        <v/>
      </c>
      <c r="K2449" t="inlineStr">
        <is>
          <t>29.99</t>
        </is>
      </c>
      <c r="L2449" t="n">
        <v>29.99</v>
      </c>
      <c r="M2449" s="1" t="inlineStr">
        <is>
          <t>0.00%</t>
        </is>
      </c>
      <c r="N2449" s="7" t="n">
        <v>565.16</v>
      </c>
      <c r="O2449" t="n">
        <v>4.2</v>
      </c>
      <c r="P2449" t="n">
        <v>7</v>
      </c>
      <c r="R2449" t="inlineStr">
        <is>
          <t>InStock</t>
        </is>
      </c>
      <c r="S2449" t="inlineStr">
        <is>
          <t>42.98</t>
        </is>
      </c>
      <c r="T2449" t="inlineStr">
        <is>
          <t>8018515755224</t>
        </is>
      </c>
    </row>
    <row r="2450" ht="87" customHeight="1">
      <c r="A2450" s="2">
        <f>HYPERLINK("https://edmondsonsupply.com/collections/hvac/products/klein-tools-62810bpclr-backpack-cooler-insulated-30-can-capacity", "https://edmondsonsupply.com/collections/hvac/products/klein-tools-62810bpclr-backpack-cooler-insulated-30-can-capacity")</f>
        <v/>
      </c>
      <c r="B2450" s="2">
        <f>HYPERLINK("https://edmondsonsupply.com/products/klein-tools-62810bpclr-backpack-cooler-insulated-30-can-capacity", "https://edmondsonsupply.com/products/klein-tools-62810bpclr-backpack-cooler-insulated-30-can-capacity")</f>
        <v/>
      </c>
      <c r="C2450" t="inlineStr">
        <is>
          <t>Klein Tools 62810BPCLR Backpack Cooler, Insulated, 30 Can Capacity</t>
        </is>
      </c>
      <c r="D2450" t="inlineStr">
        <is>
          <t>Klein Tools 62810BPCLR Cooler Backpack, 30 Cans Insulated Backpack Cooler, Rugged Bottom, Ideal for Jobsite, Hunting, Camping or Beach</t>
        </is>
      </c>
      <c r="E2450" s="2">
        <f>HYPERLINK("https://www.amazon.com/Klein-Tools-62810BPCLR-Backpack-Insulated/dp/B0C4RNZKWD/ref=sr_1_1?keywords=Klein+Tools+62810BPCLR+Backpack+Cooler%2C+Insulated%2C+30+Can+Capacity&amp;qid=1694734887&amp;sr=8-1", "https://www.amazon.com/Klein-Tools-62810BPCLR-Backpack-Insulated/dp/B0C4RNZKWD/ref=sr_1_1?keywords=Klein+Tools+62810BPCLR+Backpack+Cooler%2C+Insulated%2C+30+Can+Capacity&amp;qid=1694734887&amp;sr=8-1")</f>
        <v/>
      </c>
      <c r="F2450" t="inlineStr">
        <is>
          <t>B0C4RNZKWD</t>
        </is>
      </c>
      <c r="G2450">
        <f>_xlfn.IMAGE("https://edmondsonsupply.com/cdn/shop/files/62810bpclr_beauty_l.jpg?v=1689788328")</f>
        <v/>
      </c>
      <c r="H2450">
        <f>_xlfn.IMAGE("https://m.media-amazon.com/images/I/61blqNrLPbL._AC_UL320_.jpg")</f>
        <v/>
      </c>
      <c r="K2450" t="inlineStr">
        <is>
          <t>199.99</t>
        </is>
      </c>
      <c r="L2450" t="n">
        <v>199.99</v>
      </c>
      <c r="M2450" s="1" t="inlineStr">
        <is>
          <t>0.00%</t>
        </is>
      </c>
      <c r="N2450" s="7" t="n">
        <v>562.9</v>
      </c>
      <c r="O2450" t="n">
        <v>4.6</v>
      </c>
      <c r="P2450" t="n">
        <v>9</v>
      </c>
      <c r="R2450" t="inlineStr">
        <is>
          <t>InStock</t>
        </is>
      </c>
      <c r="S2450" t="inlineStr">
        <is>
          <t>287.98</t>
        </is>
      </c>
      <c r="T2450" t="inlineStr">
        <is>
          <t>8018542264536</t>
        </is>
      </c>
    </row>
    <row r="2451" ht="87" customHeight="1">
      <c r="A2451" s="2">
        <f>HYPERLINK("https://edmondsonsupply.com/collections/hvac/products/icm-controls-icm288-furnace-control-board-replacement-for-rheem-62-24084-82", "https://edmondsonsupply.com/collections/hvac/products/icm-controls-icm288-furnace-control-board-replacement-for-rheem-62-24084-82")</f>
        <v/>
      </c>
      <c r="B2451" s="2">
        <f>HYPERLINK("https://edmondsonsupply.com/products/icm-controls-icm288-furnace-control-board-replacement-for-rheem-62-24084-82", "https://edmondsonsupply.com/products/icm-controls-icm288-furnace-control-board-replacement-for-rheem-62-24084-82")</f>
        <v/>
      </c>
      <c r="C2451" t="inlineStr">
        <is>
          <t>ICM Controls ICM288 Furnace Control Board - Replacement for Rheem 62-24084-82</t>
        </is>
      </c>
      <c r="D2451" t="inlineStr">
        <is>
          <t>ICM Controls ICM288 Furnace Control, Low Cost Replacement for Rheem 62-24084-82 Control Boards</t>
        </is>
      </c>
      <c r="E2451" s="2">
        <f>HYPERLINK("https://www.amazon.com/ICM-Controls-ICM288-Replacement-62-24084-82/dp/B00E3EM40S/ref=sr_1_1?keywords=ICM+Controls+ICM288+Furnace+Control+Board+-+Replacement+for+Rheem+62-24084-82&amp;qid=1694734649&amp;sr=8-1", "https://www.amazon.com/ICM-Controls-ICM288-Replacement-62-24084-82/dp/B00E3EM40S/ref=sr_1_1?keywords=ICM+Controls+ICM288+Furnace+Control+Board+-+Replacement+for+Rheem+62-24084-82&amp;qid=1694734649&amp;sr=8-1")</f>
        <v/>
      </c>
      <c r="F2451" t="inlineStr">
        <is>
          <t>B00E3EM40S</t>
        </is>
      </c>
      <c r="G2451">
        <f>_xlfn.IMAGE("https://edmondsonsupply.com/cdn/shop/products/icm288.jpg?v=1633030523")</f>
        <v/>
      </c>
      <c r="H2451">
        <f>_xlfn.IMAGE("https://m.media-amazon.com/images/I/71eQ9kPuhAL._AC_UL320_.jpg")</f>
        <v/>
      </c>
      <c r="K2451" t="inlineStr">
        <is>
          <t>142.99</t>
        </is>
      </c>
      <c r="L2451" t="n">
        <v>142.99</v>
      </c>
      <c r="M2451" s="1" t="inlineStr">
        <is>
          <t>0.00%</t>
        </is>
      </c>
      <c r="N2451" s="7" t="n">
        <v>562.8200000000001</v>
      </c>
      <c r="O2451" t="n">
        <v>4.4</v>
      </c>
      <c r="P2451" t="n">
        <v>216</v>
      </c>
      <c r="R2451" t="inlineStr">
        <is>
          <t>InStock</t>
        </is>
      </c>
      <c r="S2451" t="inlineStr">
        <is>
          <t>193.21</t>
        </is>
      </c>
      <c r="T2451" t="inlineStr">
        <is>
          <t>5401501925544</t>
        </is>
      </c>
    </row>
    <row r="2452" hidden="1" ht="15.75" customHeight="1">
      <c r="A2452" s="2">
        <f>HYPERLINK("https://edmondsonsupply.com/collections/hvac/products/yellow-jacket-40860-p51-860-titan-digital-manifold", "https://edmondsonsupply.com/collections/hvac/products/yellow-jacket-40860-p51-860-titan-digital-manifold")</f>
        <v/>
      </c>
      <c r="B2452" s="2">
        <f>HYPERLINK("https://edmondsonsupply.com/products/yellow-jacket-40860-p51-860-titan-digital-manifold", "https://edmondsonsupply.com/products/yellow-jacket-40860-p51-860-titan-digital-manifold")</f>
        <v/>
      </c>
      <c r="C2452" t="inlineStr">
        <is>
          <t>Yellow Jacket 40860 P51-860 Titan Digital Manifold</t>
        </is>
      </c>
      <c r="D2452" t="inlineStr">
        <is>
          <t>RITCHIE YELLOW JACKET 40860 P51-860 Titan Digital Manifold</t>
        </is>
      </c>
      <c r="E2452" s="2">
        <f>HYPERLINK("https://www.amazon.com/Yellow-Jacket-P51-860-Digital-Manifold/dp/B07DPSLBYQ/ref=sr_1_1?keywords=Yellow+Jacket+40860+P51-860+Titan+Digital+Manifold&amp;qid=1694734744&amp;sr=8-1", "https://www.amazon.com/Yellow-Jacket-P51-860-Digital-Manifold/dp/B07DPSLBYQ/ref=sr_1_1?keywords=Yellow+Jacket+40860+P51-860+Titan+Digital+Manifold&amp;qid=1694734744&amp;sr=8-1")</f>
        <v/>
      </c>
      <c r="F2452" t="inlineStr">
        <is>
          <t>B07DPSLBYQ</t>
        </is>
      </c>
      <c r="G2452">
        <f>_xludf.IMAGE("https://edmondsonsupply.com/cdn/shop/products/40860_1200x1200_9028ad62-78fb-466e-98e0-f5ac110d1c57.jpg?v=1587150764")</f>
        <v/>
      </c>
      <c r="H2452">
        <f>_xludf.IMAGE("https://m.media-amazon.com/images/I/61BGfweBAvL._AC_UY218_.jpg")</f>
        <v/>
      </c>
      <c r="K2452" t="inlineStr">
        <is>
          <t>508.65</t>
        </is>
      </c>
      <c r="L2452" t="n">
        <v>508.65</v>
      </c>
      <c r="M2452" s="1" t="inlineStr">
        <is>
          <t>0.00%</t>
        </is>
      </c>
      <c r="N2452" s="1" t="n">
        <v>559.9</v>
      </c>
      <c r="O2452" t="n">
        <v>4</v>
      </c>
      <c r="P2452" t="n">
        <v>24</v>
      </c>
      <c r="R2452" t="inlineStr">
        <is>
          <t>InStock</t>
        </is>
      </c>
      <c r="S2452" t="inlineStr">
        <is>
          <t>undefined</t>
        </is>
      </c>
      <c r="T2452" t="inlineStr">
        <is>
          <t>2503105740900</t>
        </is>
      </c>
    </row>
    <row r="2453" ht="87" customHeight="1">
      <c r="A2453" s="2">
        <f>HYPERLINK("https://edmondsonsupply.com/collections/hvac/products/channellock-428", "https://edmondsonsupply.com/collections/hvac/products/channellock-428")</f>
        <v/>
      </c>
      <c r="B2453" s="2">
        <f>HYPERLINK("https://edmondsonsupply.com/products/channellock-428", "https://edmondsonsupply.com/products/channellock-428")</f>
        <v/>
      </c>
      <c r="C2453" t="inlineStr">
        <is>
          <t>Channellock 428 8-Inch Straight Jaw Tongue &amp; Groove Pliers</t>
        </is>
      </c>
      <c r="D2453" t="inlineStr">
        <is>
          <t>CHANNELLOCK 428 Straight Jaw Tongue &amp; Groove Pliers, 8-inch | 1-1/2-inch Jaw Capacity | 4 Adjustments | SAFE-T-STOP feature prevents finger pinch | Forged High-Carbon U.S. Steel | Made in USA, Polished Steel</t>
        </is>
      </c>
      <c r="E2453" s="2">
        <f>HYPERLINK("https://www.amazon.com/CHANNELLOCK-428-Adjustments-SAFE-T-STOP-High-Carbon/dp/B00004SBCT/ref=sr_1_1?keywords=Channellock+428+8-Inch+Straight+Jaw+Tongue&amp;qid=1694734826&amp;sr=8-1", "https://www.amazon.com/CHANNELLOCK-428-Adjustments-SAFE-T-STOP-High-Carbon/dp/B00004SBCT/ref=sr_1_1?keywords=Channellock+428+8-Inch+Straight+Jaw+Tongue&amp;qid=1694734826&amp;sr=8-1")</f>
        <v/>
      </c>
      <c r="F2453" t="inlineStr">
        <is>
          <t>B00004SBCT</t>
        </is>
      </c>
      <c r="G2453">
        <f>_xlfn.IMAGE("https://edmondsonsupply.com/cdn/shop/products/428-683x1024.jpg?v=1587145854")</f>
        <v/>
      </c>
      <c r="H2453">
        <f>_xlfn.IMAGE("https://m.media-amazon.com/images/I/71PJMchXHJL._AC_UL320_.jpg")</f>
        <v/>
      </c>
      <c r="K2453" t="inlineStr">
        <is>
          <t>16.95</t>
        </is>
      </c>
      <c r="L2453" t="n">
        <v>16.95</v>
      </c>
      <c r="M2453" s="1" t="inlineStr">
        <is>
          <t>0.00%</t>
        </is>
      </c>
      <c r="N2453" s="7" t="n">
        <v>553.51</v>
      </c>
      <c r="O2453" t="n">
        <v>4.7</v>
      </c>
      <c r="P2453" t="n">
        <v>238</v>
      </c>
      <c r="R2453" t="inlineStr">
        <is>
          <t>InStock</t>
        </is>
      </c>
      <c r="S2453" t="inlineStr">
        <is>
          <t>25.06</t>
        </is>
      </c>
      <c r="T2453" t="inlineStr">
        <is>
          <t>3523408527460</t>
        </is>
      </c>
    </row>
    <row r="2454" ht="87" customHeight="1">
      <c r="A2454" s="2">
        <f>HYPERLINK("https://edmondsonsupply.com/collections/hvac/products/ritchie-yellow-jacket-60430-lightweight-swaging-flaring-tool", "https://edmondsonsupply.com/collections/hvac/products/ritchie-yellow-jacket-60430-lightweight-swaging-flaring-tool")</f>
        <v/>
      </c>
      <c r="B2454" s="2">
        <f>HYPERLINK("https://edmondsonsupply.com/products/ritchie-yellow-jacket-60430-lightweight-swaging-flaring-tool", "https://edmondsonsupply.com/products/ritchie-yellow-jacket-60430-lightweight-swaging-flaring-tool")</f>
        <v/>
      </c>
      <c r="C2454" t="inlineStr">
        <is>
          <t>Yellow Jacket 60430 Lightweight Swaging/Flaring Tool</t>
        </is>
      </c>
      <c r="D2454" t="inlineStr">
        <is>
          <t>YELLOW JACKET 60430 Lightweight Swaging/Flaring Tool, 6 Positions</t>
        </is>
      </c>
      <c r="E2454" s="2">
        <f>HYPERLINK("https://www.amazon.com/60430-Lightweight-Swaging-Flaring-Positions/dp/B071X9F1T1/ref=sr_1_1?keywords=Yellow+Jacket+60430+Lightweight+Swaging%2FFlaring+Tool&amp;qid=1694734642&amp;sr=8-1", "https://www.amazon.com/60430-Lightweight-Swaging-Flaring-Positions/dp/B071X9F1T1/ref=sr_1_1?keywords=Yellow+Jacket+60430+Lightweight+Swaging%2FFlaring+Tool&amp;qid=1694734642&amp;sr=8-1")</f>
        <v/>
      </c>
      <c r="F2454" t="inlineStr">
        <is>
          <t>B071X9F1T1</t>
        </is>
      </c>
      <c r="G2454">
        <f>_xlfn.IMAGE("https://edmondsonsupply.com/cdn/shop/products/s-l1600_97b6f076-8c6a-4e71-922a-495c14cf32c8.jpg?v=1638145595")</f>
        <v/>
      </c>
      <c r="H2454">
        <f>_xlfn.IMAGE("https://m.media-amazon.com/images/I/61amLeatx6L._AC_UL320_.jpg")</f>
        <v/>
      </c>
      <c r="K2454" t="inlineStr">
        <is>
          <t>220.45</t>
        </is>
      </c>
      <c r="L2454" t="n">
        <v>220.45</v>
      </c>
      <c r="M2454" s="1" t="inlineStr">
        <is>
          <t>0.00%</t>
        </is>
      </c>
      <c r="N2454" s="7" t="n">
        <v>553.22</v>
      </c>
      <c r="O2454" t="n">
        <v>4.7</v>
      </c>
      <c r="P2454" t="n">
        <v>28</v>
      </c>
      <c r="R2454" t="inlineStr">
        <is>
          <t>InStock</t>
        </is>
      </c>
      <c r="S2454" t="inlineStr">
        <is>
          <t>undefined</t>
        </is>
      </c>
      <c r="T2454" t="inlineStr">
        <is>
          <t>2634354163812</t>
        </is>
      </c>
    </row>
    <row r="2455" hidden="1" ht="15.75" customHeight="1">
      <c r="A2455" s="2">
        <f>HYPERLINK("https://edmondsonsupply.com/collections/hvac/products/klein-tools-725-jab-saw", "https://edmondsonsupply.com/collections/hvac/products/klein-tools-725-jab-saw")</f>
        <v/>
      </c>
      <c r="B2455" s="2">
        <f>HYPERLINK("https://edmondsonsupply.com/products/klein-tools-725-jab-saw", "https://edmondsonsupply.com/products/klein-tools-725-jab-saw")</f>
        <v/>
      </c>
      <c r="C2455" t="inlineStr">
        <is>
          <t>Klein Tools 725 Jab Saw</t>
        </is>
      </c>
      <c r="D2455" t="inlineStr">
        <is>
          <t>Klein Tools 725 Jab Saw, Triple Ground Teeth, Cuts Drywall, Wallboard, Plywood and Plastic, Hardened Carbon Steel Blade, Beveled Point</t>
        </is>
      </c>
      <c r="E2455" s="2">
        <f>HYPERLINK("https://www.amazon.com/Wallboard-Applications-Klein-Tools-725/dp/B0014KQGHG/ref=sr_1_1?keywords=Klein+Tools+725+Jab+Saw&amp;qid=1694734789&amp;sr=8-1", "https://www.amazon.com/Wallboard-Applications-Klein-Tools-725/dp/B0014KQGHG/ref=sr_1_1?keywords=Klein+Tools+725+Jab+Saw&amp;qid=1694734789&amp;sr=8-1")</f>
        <v/>
      </c>
      <c r="F2455" t="inlineStr">
        <is>
          <t>B0014KQGHG</t>
        </is>
      </c>
      <c r="G2455">
        <f>_xludf.IMAGE("https://edmondsonsupply.com/cdn/shop/products/725.jpg?v=1633030531")</f>
        <v/>
      </c>
      <c r="H2455">
        <f>_xludf.IMAGE("https://m.media-amazon.com/images/I/5146hv5ZO3L._AC_UL320_.jpg")</f>
        <v/>
      </c>
      <c r="K2455" t="inlineStr">
        <is>
          <t>14.97</t>
        </is>
      </c>
      <c r="L2455" t="n">
        <v>14.97</v>
      </c>
      <c r="M2455" s="1" t="inlineStr">
        <is>
          <t>0.00%</t>
        </is>
      </c>
      <c r="N2455" s="1" t="n">
        <v>548.14</v>
      </c>
      <c r="O2455" t="n">
        <v>4.8</v>
      </c>
      <c r="P2455" t="n">
        <v>464</v>
      </c>
      <c r="R2455" t="inlineStr">
        <is>
          <t>InStock</t>
        </is>
      </c>
      <c r="S2455" t="inlineStr">
        <is>
          <t>22.02</t>
        </is>
      </c>
      <c r="T2455" t="inlineStr">
        <is>
          <t>5412967940264</t>
        </is>
      </c>
    </row>
    <row r="2456" ht="87" customHeight="1">
      <c r="A2456" s="2">
        <f>HYPERLINK("https://edmondsonsupply.com/collections/hvac/products/fieldpiece-mg44-wireless-vacuum-gauge", "https://edmondsonsupply.com/collections/hvac/products/fieldpiece-mg44-wireless-vacuum-gauge")</f>
        <v/>
      </c>
      <c r="B2456" s="2">
        <f>HYPERLINK("https://edmondsonsupply.com/products/fieldpiece-mg44-wireless-vacuum-gauge", "https://edmondsonsupply.com/products/fieldpiece-mg44-wireless-vacuum-gauge")</f>
        <v/>
      </c>
      <c r="C2456" t="inlineStr">
        <is>
          <t>Fieldpiece MG44 Wireless Vacuum Gauge</t>
        </is>
      </c>
      <c r="D2456" t="inlineStr">
        <is>
          <t>Fieldpiece MG44 - Wireless Vacuum Gauge</t>
        </is>
      </c>
      <c r="E2456" s="2">
        <f>HYPERLINK("https://www.amazon.com/Fieldpiece-MG44-Wireless-Vacuum-Gauge/dp/B099F3CNQW/ref=sr_1_1?keywords=Fieldpiece+MG44+Wireless+Vacuum+Gauge&amp;qid=1694734700&amp;sr=8-1", "https://www.amazon.com/Fieldpiece-MG44-Wireless-Vacuum-Gauge/dp/B099F3CNQW/ref=sr_1_1?keywords=Fieldpiece+MG44+Wireless+Vacuum+Gauge&amp;qid=1694734700&amp;sr=8-1")</f>
        <v/>
      </c>
      <c r="F2456" t="inlineStr">
        <is>
          <t>B099F3CNQW</t>
        </is>
      </c>
      <c r="G2456">
        <f>_xlfn.IMAGE("https://edmondsonsupply.com/cdn/shop/products/MG44.png?v=1633031114")</f>
        <v/>
      </c>
      <c r="H2456">
        <f>_xlfn.IMAGE("https://m.media-amazon.com/images/I/31fW9GwriUL._AC_UL320_.jpg")</f>
        <v/>
      </c>
      <c r="K2456" t="inlineStr">
        <is>
          <t>231.2</t>
        </is>
      </c>
      <c r="L2456" t="n">
        <v>231.2</v>
      </c>
      <c r="M2456" s="1" t="inlineStr">
        <is>
          <t>0.00%</t>
        </is>
      </c>
      <c r="N2456" s="7" t="n">
        <v>546.15</v>
      </c>
      <c r="O2456" t="n">
        <v>4.6</v>
      </c>
      <c r="P2456" t="n">
        <v>245</v>
      </c>
      <c r="R2456" t="inlineStr">
        <is>
          <t>InStock</t>
        </is>
      </c>
      <c r="S2456" t="inlineStr">
        <is>
          <t>272.0</t>
        </is>
      </c>
      <c r="T2456" t="inlineStr">
        <is>
          <t>6858217980077</t>
        </is>
      </c>
    </row>
    <row r="2457" ht="87" customHeight="1">
      <c r="A2457" s="2">
        <f>HYPERLINK("https://edmondsonsupply.com/collections/hvac/products/klein-tools-2402s-offset-straight-cutting-aviation-snips", "https://edmondsonsupply.com/collections/hvac/products/klein-tools-2402s-offset-straight-cutting-aviation-snips")</f>
        <v/>
      </c>
      <c r="B2457" s="2">
        <f>HYPERLINK("https://edmondsonsupply.com/products/klein-tools-2402s-offset-straight-cutting-aviation-snips", "https://edmondsonsupply.com/products/klein-tools-2402s-offset-straight-cutting-aviation-snips")</f>
        <v/>
      </c>
      <c r="C2457" t="inlineStr">
        <is>
          <t>Klein Tools 2402S Offset Straight-Cutting Aviation Snips</t>
        </is>
      </c>
      <c r="D2457" t="inlineStr">
        <is>
          <t>Klein Tools 2402S Straight-Cutting Offset Snips, Aviation Tin Snips with Forged Blade for Precision Sheet Metal Cutting</t>
        </is>
      </c>
      <c r="E2457" s="2">
        <f>HYPERLINK("https://www.amazon.com/Klein-Tools-2402S-Straight-Cutting-Precision/dp/B0C4C4SLCZ/ref=sr_1_1?keywords=Klein+Tools+2402S+Offset+Straight-Cutting+Aviation+Snips&amp;qid=1694734884&amp;sr=8-1", "https://www.amazon.com/Klein-Tools-2402S-Straight-Cutting-Precision/dp/B0C4C4SLCZ/ref=sr_1_1?keywords=Klein+Tools+2402S+Offset+Straight-Cutting+Aviation+Snips&amp;qid=1694734884&amp;sr=8-1")</f>
        <v/>
      </c>
      <c r="F2457" t="inlineStr">
        <is>
          <t>B0C4C4SLCZ</t>
        </is>
      </c>
      <c r="G2457">
        <f>_xlfn.IMAGE("https://edmondsonsupply.com/cdn/shop/files/2402s.jpg?v=1689777219")</f>
        <v/>
      </c>
      <c r="H2457">
        <f>_xlfn.IMAGE("https://m.media-amazon.com/images/I/41qine7ziOL._AC_UL320_.jpg")</f>
        <v/>
      </c>
      <c r="K2457" t="inlineStr">
        <is>
          <t>24.99</t>
        </is>
      </c>
      <c r="L2457" t="n">
        <v>24.99</v>
      </c>
      <c r="M2457" s="1" t="inlineStr">
        <is>
          <t>0.00%</t>
        </is>
      </c>
      <c r="N2457" s="7" t="n">
        <v>540.4299999999999</v>
      </c>
      <c r="O2457" t="n">
        <v>4.3</v>
      </c>
      <c r="P2457" t="n">
        <v>9</v>
      </c>
      <c r="R2457" t="inlineStr">
        <is>
          <t>InStock</t>
        </is>
      </c>
      <c r="S2457" t="inlineStr">
        <is>
          <t>34.98</t>
        </is>
      </c>
      <c r="T2457" t="inlineStr">
        <is>
          <t>8018504188120</t>
        </is>
      </c>
    </row>
    <row r="2458" ht="87" customHeight="1">
      <c r="A2458" s="2">
        <f>HYPERLINK("https://edmondsonsupply.com/collections/hvac/products/testo-0590-7501-750-1-digital-voltage-tester", "https://edmondsonsupply.com/collections/hvac/products/testo-0590-7501-750-1-digital-voltage-tester")</f>
        <v/>
      </c>
      <c r="B2458" s="2">
        <f>HYPERLINK("https://edmondsonsupply.com/products/testo-0590-7501-750-1-digital-voltage-tester", "https://edmondsonsupply.com/products/testo-0590-7501-750-1-digital-voltage-tester")</f>
        <v/>
      </c>
      <c r="C2458" t="inlineStr">
        <is>
          <t>Testo 0590 7501 750-1 - Digital Voltage Tester</t>
        </is>
      </c>
      <c r="D2458" t="inlineStr">
        <is>
          <t>Testo 750-1 Digital Voltage and Phase Rotation Tester</t>
        </is>
      </c>
      <c r="E2458" s="2">
        <f>HYPERLINK("https://www.amazon.com/Testo-750-1-Digital-Voltage-Rotation/dp/B01F3MPHKM/ref=sr_1_2?keywords=Testo+0590+7501+750-1+-+Digital+Voltage+Tester&amp;qid=1694734887&amp;sr=8-2", "https://www.amazon.com/Testo-750-1-Digital-Voltage-Rotation/dp/B01F3MPHKM/ref=sr_1_2?keywords=Testo+0590+7501+750-1+-+Digital+Voltage+Tester&amp;qid=1694734887&amp;sr=8-2")</f>
        <v/>
      </c>
      <c r="F2458" t="inlineStr">
        <is>
          <t>B01F3MPHKM</t>
        </is>
      </c>
      <c r="G2458">
        <f>_xlfn.IMAGE("https://edmondsonsupply.com/cdn/shop/files/testo-750-1-voltage-tester-free-front_master.jpg?v=1688221652")</f>
        <v/>
      </c>
      <c r="H2458">
        <f>_xlfn.IMAGE("https://m.media-amazon.com/images/I/81QThICNtIL._AC_UY218_.jpg")</f>
        <v/>
      </c>
      <c r="K2458" t="inlineStr">
        <is>
          <t>62.05</t>
        </is>
      </c>
      <c r="L2458" t="n">
        <v>62.05</v>
      </c>
      <c r="M2458" s="1" t="inlineStr">
        <is>
          <t>0.00%</t>
        </is>
      </c>
      <c r="N2458" s="7" t="n">
        <v>532.98</v>
      </c>
      <c r="O2458" t="n">
        <v>4.8</v>
      </c>
      <c r="P2458" t="n">
        <v>50</v>
      </c>
      <c r="R2458" t="inlineStr">
        <is>
          <t>InStock</t>
        </is>
      </c>
      <c r="S2458" t="inlineStr">
        <is>
          <t>75.0</t>
        </is>
      </c>
      <c r="T2458" t="inlineStr">
        <is>
          <t>8011666522328</t>
        </is>
      </c>
    </row>
    <row r="2459" ht="87" customHeight="1">
      <c r="A2459" s="2">
        <f>HYPERLINK("https://edmondsonsupply.com/collections/hvac/products/klein-tools-33736ins", "https://edmondsonsupply.com/collections/hvac/products/klein-tools-33736ins")</f>
        <v/>
      </c>
      <c r="B2459" s="2">
        <f>HYPERLINK("https://edmondsonsupply.com/products/klein-tools-33736ins", "https://edmondsonsupply.com/products/klein-tools-33736ins")</f>
        <v/>
      </c>
      <c r="C2459" t="inlineStr">
        <is>
          <t>Klein Tools 33736INS Screwdriver Set, 1000V Slim-Tip Insulated and Magnetizer, 6-Piece</t>
        </is>
      </c>
      <c r="D2459" t="inlineStr">
        <is>
          <t>Klein Tools 33736INS Insulated Screwdriver Set, 1000V Slim-Tip Driver with Phillips, Cabinet and Square Bits and a Magnetizer, 6-Piece</t>
        </is>
      </c>
      <c r="E2459" s="2">
        <f>HYPERLINK("https://www.amazon.com/Klein-Tools-33736INS-Screwdriver-Magnetizer/dp/B09GPZPMTD/ref=sr_1_1?keywords=Klein+Tools+33736INS+Screwdriver+Set%2C+1000V+Slim-Tip+Insulated+and+Magnetizer%2C+6-Piece&amp;qid=1694734753&amp;sr=8-1", "https://www.amazon.com/Klein-Tools-33736INS-Screwdriver-Magnetizer/dp/B09GPZPMTD/ref=sr_1_1?keywords=Klein+Tools+33736INS+Screwdriver+Set%2C+1000V+Slim-Tip+Insulated+and+Magnetizer%2C+6-Piece&amp;qid=1694734753&amp;sr=8-1")</f>
        <v/>
      </c>
      <c r="F2459" t="inlineStr">
        <is>
          <t>B09GPZPMTD</t>
        </is>
      </c>
      <c r="G2459">
        <f>_xlfn.IMAGE("https://edmondsonsupply.com/cdn/shop/products/33736ins.jpg?v=1664807705")</f>
        <v/>
      </c>
      <c r="H2459">
        <f>_xlfn.IMAGE("https://m.media-amazon.com/images/I/51W2DUA3c7L._AC_UL320_.jpg")</f>
        <v/>
      </c>
      <c r="K2459" t="inlineStr">
        <is>
          <t>49.99</t>
        </is>
      </c>
      <c r="L2459" t="n">
        <v>49.99</v>
      </c>
      <c r="M2459" s="1" t="inlineStr">
        <is>
          <t>0.00%</t>
        </is>
      </c>
      <c r="N2459" s="7" t="n">
        <v>532.98</v>
      </c>
      <c r="O2459" t="n">
        <v>4.8</v>
      </c>
      <c r="P2459" t="n">
        <v>414</v>
      </c>
      <c r="R2459" t="inlineStr">
        <is>
          <t>InStock</t>
        </is>
      </c>
      <c r="S2459" t="inlineStr">
        <is>
          <t>73.98</t>
        </is>
      </c>
      <c r="T2459" t="inlineStr">
        <is>
          <t>7837641375960</t>
        </is>
      </c>
    </row>
    <row r="2460" ht="87" customHeight="1">
      <c r="A2460" s="2">
        <f>HYPERLINK("https://edmondsonsupply.com/collections/hvac/products/fieldpiece-vp67-6-cfm-vacuum-pump", "https://edmondsonsupply.com/collections/hvac/products/fieldpiece-vp67-6-cfm-vacuum-pump")</f>
        <v/>
      </c>
      <c r="B2460" s="2">
        <f>HYPERLINK("https://edmondsonsupply.com/products/fieldpiece-vp67-6-cfm-vacuum-pump", "https://edmondsonsupply.com/products/fieldpiece-vp67-6-cfm-vacuum-pump")</f>
        <v/>
      </c>
      <c r="C2460" t="inlineStr">
        <is>
          <t>Fieldpiece VP67 – 6 CFM Vacuum Pump</t>
        </is>
      </c>
      <c r="D2460" t="inlineStr">
        <is>
          <t>Fieldpiece VP67-6 CFM Vacuum Pump</t>
        </is>
      </c>
      <c r="E2460" s="2">
        <f>HYPERLINK("https://www.amazon.com/Fieldpiece-VP67-Dual-Stage-Vacuum/dp/B099JKH31V/ref=sr_1_1?keywords=Fieldpiece+VP67+%E2%80%93+6+CFM+Vacuum+Pump&amp;qid=1694734707&amp;sr=8-1", "https://www.amazon.com/Fieldpiece-VP67-Dual-Stage-Vacuum/dp/B099JKH31V/ref=sr_1_1?keywords=Fieldpiece+VP67+%E2%80%93+6+CFM+Vacuum+Pump&amp;qid=1694734707&amp;sr=8-1")</f>
        <v/>
      </c>
      <c r="F2460" t="inlineStr">
        <is>
          <t>B099JKH31V</t>
        </is>
      </c>
      <c r="G2460">
        <f>_xlfn.IMAGE("https://edmondsonsupply.com/cdn/shop/products/VP67-02-300dpi-scaled.jpg?v=1633031057")</f>
        <v/>
      </c>
      <c r="H2460">
        <f>_xlfn.IMAGE("https://m.media-amazon.com/images/I/51HCAHIjFDL._AC_UL320_.jpg")</f>
        <v/>
      </c>
      <c r="K2460" t="inlineStr">
        <is>
          <t>453.9</t>
        </is>
      </c>
      <c r="L2460" t="n">
        <v>453.9</v>
      </c>
      <c r="M2460" s="1" t="inlineStr">
        <is>
          <t>0.00%</t>
        </is>
      </c>
      <c r="N2460" s="7" t="n">
        <v>529.97</v>
      </c>
      <c r="O2460" t="n">
        <v>4.8</v>
      </c>
      <c r="P2460" t="n">
        <v>164</v>
      </c>
      <c r="R2460" t="inlineStr">
        <is>
          <t>InStock</t>
        </is>
      </c>
      <c r="S2460" t="inlineStr">
        <is>
          <t>534.0</t>
        </is>
      </c>
      <c r="T2460" t="inlineStr">
        <is>
          <t>6810115965101</t>
        </is>
      </c>
    </row>
    <row r="2461" hidden="1" ht="15.75" customHeight="1">
      <c r="A2461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2461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2461" t="inlineStr">
        <is>
          <t>Klein Tools KTSB03 Step Drill Bit Double Fluted #3, 1/4 to 3/4-Inch</t>
        </is>
      </c>
      <c r="D2461" t="inlineStr">
        <is>
          <t>Klein Tools 25961 Step Drill Bit, 7/8 to 1-1/8-Inch, Spiral Double-Fluted, Cut Thin Metal, Plastic, Aluminum, Wood, 1/4-Inch Hex Shank, VACO</t>
        </is>
      </c>
      <c r="E2461" s="2">
        <f>HYPERLINK("https://www.amazon.com/Klein-Tools-25961-Double-Fluted-Aluminum/dp/B0BLFDMW41/ref=sr_1_8?keywords=Klein+Tools+KTSB03+Step+Drill+Bit+Double+Fluted+%233%2C+1%2F4+to+3%2F4-Inch&amp;qid=1694734821&amp;sr=8-8", "https://www.amazon.com/Klein-Tools-25961-Double-Fluted-Aluminum/dp/B0BLFDMW41/ref=sr_1_8?keywords=Klein+Tools+KTSB03+Step+Drill+Bit+Double+Fluted+%233%2C+1%2F4+to+3%2F4-Inch&amp;qid=1694734821&amp;sr=8-8")</f>
        <v/>
      </c>
      <c r="F2461" t="inlineStr">
        <is>
          <t>B0BLFDMW41</t>
        </is>
      </c>
      <c r="G2461">
        <f>_xludf.IMAGE("https://edmondsonsupply.com/cdn/shop/products/ktsb03.jpg?v=1666012212")</f>
        <v/>
      </c>
      <c r="H2461">
        <f>_xludf.IMAGE("https://m.media-amazon.com/images/I/51qjThEbRVL._AC_UY218_.jpg")</f>
        <v/>
      </c>
      <c r="K2461" t="inlineStr">
        <is>
          <t>34.99</t>
        </is>
      </c>
      <c r="L2461" t="n">
        <v>34.99</v>
      </c>
      <c r="M2461" s="1" t="inlineStr">
        <is>
          <t>0.00%</t>
        </is>
      </c>
      <c r="N2461" s="1" t="n">
        <v>529.66</v>
      </c>
      <c r="O2461" t="n">
        <v>3.7</v>
      </c>
      <c r="P2461" t="n">
        <v>5</v>
      </c>
      <c r="R2461" t="inlineStr">
        <is>
          <t>InStock</t>
        </is>
      </c>
      <c r="S2461" t="inlineStr">
        <is>
          <t>47.68</t>
        </is>
      </c>
      <c r="T2461" t="inlineStr">
        <is>
          <t>4174339670116</t>
        </is>
      </c>
    </row>
    <row r="2462" ht="87" customHeight="1">
      <c r="A2462" s="2">
        <f>HYPERLINK("https://edmondsonsupply.com/collections/hvac/products/fieldpiece-st4-dual-temperature-meter", "https://edmondsonsupply.com/collections/hvac/products/fieldpiece-st4-dual-temperature-meter")</f>
        <v/>
      </c>
      <c r="B2462" s="2">
        <f>HYPERLINK("https://edmondsonsupply.com/products/fieldpiece-st4-dual-temperature-meter", "https://edmondsonsupply.com/products/fieldpiece-st4-dual-temperature-meter")</f>
        <v/>
      </c>
      <c r="C2462" t="inlineStr">
        <is>
          <t>Fieldpiece ST4 Dual Temperature Meter</t>
        </is>
      </c>
      <c r="D2462" t="inlineStr">
        <is>
          <t>Fieldpiece ST4 Dual Temperature Meter, -58 to 2000F(-50 to 1300C)</t>
        </is>
      </c>
      <c r="E2462" s="2">
        <f>HYPERLINK("https://www.amazon.com/Fieldpiece-ST4-Temperature-Meter-2000F/dp/B000OLCD9Q/ref=sr_1_1?keywords=Fieldpiece+ST4+Dual+Temperature+Meter&amp;qid=1694734630&amp;sr=8-1", "https://www.amazon.com/Fieldpiece-ST4-Temperature-Meter-2000F/dp/B000OLCD9Q/ref=sr_1_1?keywords=Fieldpiece+ST4+Dual+Temperature+Meter&amp;qid=1694734630&amp;sr=8-1")</f>
        <v/>
      </c>
      <c r="F2462" t="inlineStr">
        <is>
          <t>B000OLCD9Q</t>
        </is>
      </c>
      <c r="G2462">
        <f>_xlfn.IMAGE("https://edmondsonsupply.com/cdn/shop/products/st4.jpg?v=1587148809")</f>
        <v/>
      </c>
      <c r="H2462">
        <f>_xlfn.IMAGE("https://m.media-amazon.com/images/I/51nsov20AnL._AC_UY218_.jpg")</f>
        <v/>
      </c>
      <c r="K2462" t="inlineStr">
        <is>
          <t>105.4</t>
        </is>
      </c>
      <c r="L2462" t="n">
        <v>105.4</v>
      </c>
      <c r="M2462" s="1" t="inlineStr">
        <is>
          <t>0.00%</t>
        </is>
      </c>
      <c r="N2462" s="7" t="n">
        <v>525.66</v>
      </c>
      <c r="O2462" t="n">
        <v>4.7</v>
      </c>
      <c r="P2462" t="n">
        <v>848</v>
      </c>
      <c r="R2462" t="inlineStr">
        <is>
          <t>InStock</t>
        </is>
      </c>
      <c r="S2462" t="inlineStr">
        <is>
          <t>124.0</t>
        </is>
      </c>
      <c r="T2462" t="inlineStr">
        <is>
          <t>3711714721892</t>
        </is>
      </c>
    </row>
    <row r="2463" ht="87" customHeight="1">
      <c r="A2463" s="2">
        <f>HYPERLINK("https://edmondsonsupply.com/collections/hvac/products/hilmor-1838952-fto-orbital-flare-tool", "https://edmondsonsupply.com/collections/hvac/products/hilmor-1838952-fto-orbital-flare-tool")</f>
        <v/>
      </c>
      <c r="B2463" s="2">
        <f>HYPERLINK("https://edmondsonsupply.com/products/hilmor-1838952-fto-orbital-flare-tool", "https://edmondsonsupply.com/products/hilmor-1838952-fto-orbital-flare-tool")</f>
        <v/>
      </c>
      <c r="C2463" t="inlineStr">
        <is>
          <t>Hilmor 1838952 FTO Orbital Flare Tool</t>
        </is>
      </c>
      <c r="D2463" t="inlineStr">
        <is>
          <t>Hilmor Orbital Flare 3/16” - 3/4”, HVAC &amp; Refrigeration Flaring Tool, Gray &amp; Black, FTO 1838952</t>
        </is>
      </c>
      <c r="E2463" s="2">
        <f>HYPERLINK("https://www.amazon.com/hilmor-Orbital-Flare-16-1838952/dp/B00FPO3YWC/ref=sr_1_1?keywords=Hilmor+1838952+FTO+Orbital+Flare+Tool&amp;qid=1694734588&amp;sr=8-1", "https://www.amazon.com/hilmor-Orbital-Flare-16-1838952/dp/B00FPO3YWC/ref=sr_1_1?keywords=Hilmor+1838952+FTO+Orbital+Flare+Tool&amp;qid=1694734588&amp;sr=8-1")</f>
        <v/>
      </c>
      <c r="F2463" t="inlineStr">
        <is>
          <t>B00FPO3YWC</t>
        </is>
      </c>
      <c r="G2463">
        <f>_xlfn.IMAGE("https://edmondsonsupply.com/cdn/shop/products/HIL_1838952-3_a8d26a39-b53d-4589-9ffd-4c8fe3d86c67.jpg?v=1587143882")</f>
        <v/>
      </c>
      <c r="H2463">
        <f>_xlfn.IMAGE("https://m.media-amazon.com/images/I/71ISOSczx1L._AC_UL320_.jpg")</f>
        <v/>
      </c>
      <c r="K2463" t="inlineStr">
        <is>
          <t>136.27</t>
        </is>
      </c>
      <c r="L2463" t="n">
        <v>136.27</v>
      </c>
      <c r="M2463" s="1" t="inlineStr">
        <is>
          <t>0.00%</t>
        </is>
      </c>
      <c r="N2463" s="7" t="n">
        <v>525.4400000000001</v>
      </c>
      <c r="O2463" t="n">
        <v>4.6</v>
      </c>
      <c r="P2463" t="n">
        <v>93</v>
      </c>
      <c r="R2463" t="inlineStr">
        <is>
          <t>InStock</t>
        </is>
      </c>
      <c r="S2463" t="inlineStr">
        <is>
          <t>465.88</t>
        </is>
      </c>
      <c r="T2463" t="inlineStr">
        <is>
          <t>4419205496932</t>
        </is>
      </c>
    </row>
    <row r="2464" ht="87" customHeight="1">
      <c r="A2464" s="2">
        <f>HYPERLINK("https://edmondsonsupply.com/collections/hvac/products/klein-tools-44131-folding-utility-knife", "https://edmondsonsupply.com/collections/hvac/products/klein-tools-44131-folding-utility-knife")</f>
        <v/>
      </c>
      <c r="B2464" s="2">
        <f>HYPERLINK("https://edmondsonsupply.com/products/klein-tools-44131-folding-utility-knife", "https://edmondsonsupply.com/products/klein-tools-44131-folding-utility-knife")</f>
        <v/>
      </c>
      <c r="C2464" t="inlineStr">
        <is>
          <t>Klein Tools 44131 Folding Utility Knife</t>
        </is>
      </c>
      <c r="D2464" t="inlineStr">
        <is>
          <t>Klein Tools 44131 Utility Knife, Folding Heavy Duty Retractable Box Cutter and Crafting Knife, Includes Pocket Clip and 1 Blade</t>
        </is>
      </c>
      <c r="E2464" s="2">
        <f>HYPERLINK("https://www.amazon.com/Folding-Utility-Klein-Tools-44131/dp/B00A9GGGYY/ref=sr_1_1?keywords=Klein+Tools+44131+Folding+Utility+Knife&amp;qid=1694734729&amp;sr=8-1", "https://www.amazon.com/Folding-Utility-Klein-Tools-44131/dp/B00A9GGGYY/ref=sr_1_1?keywords=Klein+Tools+44131+Folding+Utility+Knife&amp;qid=1694734729&amp;sr=8-1")</f>
        <v/>
      </c>
      <c r="F2464" t="inlineStr">
        <is>
          <t>B00A9GGGYY</t>
        </is>
      </c>
      <c r="G2464">
        <f>_xlfn.IMAGE("https://edmondsonsupply.com/cdn/shop/files/44131.jpg?v=1685458449")</f>
        <v/>
      </c>
      <c r="H2464">
        <f>_xlfn.IMAGE("https://m.media-amazon.com/images/I/51bXPE+KhIL._AC_UL320_.jpg")</f>
        <v/>
      </c>
      <c r="K2464" t="inlineStr">
        <is>
          <t>19.97</t>
        </is>
      </c>
      <c r="L2464" t="n">
        <v>19.97</v>
      </c>
      <c r="M2464" s="1" t="inlineStr">
        <is>
          <t>0.00%</t>
        </is>
      </c>
      <c r="N2464" s="7" t="n">
        <v>525.4</v>
      </c>
      <c r="O2464" t="n">
        <v>4.6</v>
      </c>
      <c r="P2464" t="n">
        <v>3077</v>
      </c>
      <c r="R2464" t="inlineStr">
        <is>
          <t>InStock</t>
        </is>
      </c>
      <c r="S2464" t="inlineStr">
        <is>
          <t>28.62</t>
        </is>
      </c>
      <c r="T2464" t="inlineStr">
        <is>
          <t>1778892898404</t>
        </is>
      </c>
    </row>
    <row r="2465" ht="87" customHeight="1">
      <c r="A2465" s="2">
        <f>HYPERLINK("https://edmondsonsupply.com/collections/hvac/products/yellow-jacket-21985-plus-ii%E2%84%A2-60-charging-hose-ryb-3-pack-standard-1-4", "https://edmondsonsupply.com/collections/hvac/products/yellow-jacket-21985-plus-ii%E2%84%A2-60-charging-hose-ryb-3-pack-standard-1-4")</f>
        <v/>
      </c>
      <c r="B2465" s="2">
        <f>HYPERLINK("https://edmondsonsupply.com/products/yellow-jacket-21985-plus-ii%e2%84%a2-60-charging-hose-ryb-3-pack-standard-1-4", "https://edmondsonsupply.com/products/yellow-jacket-21985-plus-ii%e2%84%a2-60-charging-hose-ryb-3-pack-standard-1-4")</f>
        <v/>
      </c>
      <c r="C2465" t="inlineStr">
        <is>
          <t>Yellow Jacket 21985 PLUS II™ 60" Charging Hose (RYB) 3-Pack - Standard 1/4"</t>
        </is>
      </c>
      <c r="D2465" t="inlineStr">
        <is>
          <t>Yellow Jacket 21985 Plus II Hose Standard 1/4" Flare Fittings, 60", Red/Yellow/Blue (Pack of 3)</t>
        </is>
      </c>
      <c r="E2465" s="2">
        <f>HYPERLINK("https://www.amazon.com/Yellow-Jacket-21985-Standard-Fittings/dp/B000R8LM0M/ref=sr_1_1?keywords=Yellow+Jacket+21985+PLUS+II%E2%84%A2+60%22+Charging+Hose+%28RYB%29+3-Pack+-+Standard+1%2F4%22&amp;qid=1694734830&amp;sr=8-1", "https://www.amazon.com/Yellow-Jacket-21985-Standard-Fittings/dp/B000R8LM0M/ref=sr_1_1?keywords=Yellow+Jacket+21985+PLUS+II%E2%84%A2+60%22+Charging+Hose+%28RYB%29+3-Pack+-+Standard+1%2F4%22&amp;qid=1694734830&amp;sr=8-1")</f>
        <v/>
      </c>
      <c r="F2465" t="inlineStr">
        <is>
          <t>B000R8LM0M</t>
        </is>
      </c>
      <c r="G2465">
        <f>_xlfn.IMAGE("https://edmondsonsupply.com/cdn/shop/products/plus-ii-14-charging-hoses-with-double-barrier-protection.jpg?v=1656684986")</f>
        <v/>
      </c>
      <c r="H2465">
        <f>_xlfn.IMAGE("https://m.media-amazon.com/images/I/81IR2oiEzUL._AC_UY218_.jpg")</f>
        <v/>
      </c>
      <c r="K2465" t="inlineStr">
        <is>
          <t>86.62</t>
        </is>
      </c>
      <c r="L2465" t="n">
        <v>86.62</v>
      </c>
      <c r="M2465" s="1" t="inlineStr">
        <is>
          <t>0.00%</t>
        </is>
      </c>
      <c r="N2465" s="7" t="n">
        <v>523.85</v>
      </c>
      <c r="O2465" t="n">
        <v>4.6</v>
      </c>
      <c r="P2465" t="n">
        <v>288</v>
      </c>
      <c r="R2465" t="inlineStr">
        <is>
          <t>InStock</t>
        </is>
      </c>
      <c r="S2465" t="inlineStr">
        <is>
          <t>undefined</t>
        </is>
      </c>
      <c r="T2465" t="inlineStr">
        <is>
          <t>2442871898212</t>
        </is>
      </c>
    </row>
    <row r="2466" ht="87" customHeight="1">
      <c r="A2466" s="2">
        <f>HYPERLINK("https://edmondsonsupply.com/collections/hvac/products/channellock-432", "https://edmondsonsupply.com/collections/hvac/products/channellock-432")</f>
        <v/>
      </c>
      <c r="B2466" s="2">
        <f>HYPERLINK("https://edmondsonsupply.com/products/channellock-432", "https://edmondsonsupply.com/products/channellock-432")</f>
        <v/>
      </c>
      <c r="C2466" t="inlineStr">
        <is>
          <t>Channellock 440 12" Straight Jaw Tongue &amp; Groove Pliers</t>
        </is>
      </c>
      <c r="D2466" t="inlineStr">
        <is>
          <t>Channellock 440 Tongue and Groove Pliers | 12-Inch Straight Jaw Groove Joint Plier with Comfort Grips | 2.25-Inch Jaw Capacity | Laser Heat-Treated 90° Teeth| Forged High Carbon Steel | Made in USA, Black, Blue, Silver</t>
        </is>
      </c>
      <c r="E2466" s="2">
        <f>HYPERLINK("https://www.amazon.com/Channellock-440-12-Inch-Tongue-Groove/dp/B00004SBCU/ref=sr_1_1?keywords=Channellock+440+12%22+Straight+Jaw+Tongue+%26+Groove+Pliers&amp;qid=1694734829&amp;sr=8-1", "https://www.amazon.com/Channellock-440-12-Inch-Tongue-Groove/dp/B00004SBCU/ref=sr_1_1?keywords=Channellock+440+12%22+Straight+Jaw+Tongue+%26+Groove+Pliers&amp;qid=1694734829&amp;sr=8-1")</f>
        <v/>
      </c>
      <c r="F2466" t="inlineStr">
        <is>
          <t>B00004SBCU</t>
        </is>
      </c>
      <c r="G2466">
        <f>_xlfn.IMAGE("https://edmondsonsupply.com/cdn/shop/products/440-546x1024.jpg?v=1587148892")</f>
        <v/>
      </c>
      <c r="H2466">
        <f>_xlfn.IMAGE("https://m.media-amazon.com/images/I/71FM1bkavsL._AC_UL320_.jpg")</f>
        <v/>
      </c>
      <c r="K2466" t="inlineStr">
        <is>
          <t>21.95</t>
        </is>
      </c>
      <c r="L2466" t="n">
        <v>21.95</v>
      </c>
      <c r="M2466" s="1" t="inlineStr">
        <is>
          <t>0.00%</t>
        </is>
      </c>
      <c r="N2466" s="7" t="n">
        <v>523.54</v>
      </c>
      <c r="O2466" t="n">
        <v>4.8</v>
      </c>
      <c r="P2466" t="n">
        <v>3558</v>
      </c>
      <c r="R2466" t="inlineStr">
        <is>
          <t>InStock</t>
        </is>
      </c>
      <c r="S2466" t="inlineStr">
        <is>
          <t>29.82</t>
        </is>
      </c>
      <c r="T2466" t="inlineStr">
        <is>
          <t>3553495908452</t>
        </is>
      </c>
    </row>
    <row r="2467" ht="87" customHeight="1">
      <c r="A2467" s="2">
        <f>HYPERLINK("https://edmondsonsupply.com/collections/hvac/products/klein-tools-k12065cr-klein-kurve%C2%AE-heavy-duty-wire-stripper-crimper-8-20-awg", "https://edmondsonsupply.com/collections/hvac/products/klein-tools-k12065cr-klein-kurve%C2%AE-heavy-duty-wire-stripper-crimper-8-20-awg")</f>
        <v/>
      </c>
      <c r="B2467" s="2">
        <f>HYPERLINK("https://edmondsonsupply.com/products/klein-tools-k12065cr-klein-kurve%c2%ae-heavy-duty-wire-stripper-crimper-8-20-awg", "https://edmondsonsupply.com/products/klein-tools-k12065cr-klein-kurve%c2%ae-heavy-duty-wire-stripper-crimper-8-20-awg")</f>
        <v/>
      </c>
      <c r="C2467" t="inlineStr">
        <is>
          <t>Klein Tools K12065CR Klein-Kurve® Heavy-Duty Wire Stripper / Cutter / Crimper Multi Tool, 8-20 AWG</t>
        </is>
      </c>
      <c r="D2467" t="inlineStr">
        <is>
          <t>Klein Tools K12065CR Wire Stripper / Cutter / Crimper Tool for Cutting, Stripping, Crimping, Twisting (8-18 AWG solid, 10-20 AWG stranded)</t>
        </is>
      </c>
      <c r="E2467" s="2">
        <f>HYPERLINK("https://www.amazon.com/Heavy-Stripper-Cutter-Crimper-Multi/dp/B08BX9RTPX/ref=sr_1_1?keywords=Klein+Tools+K12065CR+Klein-Kurve%C2%AE+Heavy-Duty+Wire+Stripper+%2F+Cutter+%2F+Crimper+Multi+Tool%2C+8-20+AWG&amp;qid=1694734664&amp;sr=8-1", "https://www.amazon.com/Heavy-Stripper-Cutter-Crimper-Multi/dp/B08BX9RTPX/ref=sr_1_1?keywords=Klein+Tools+K12065CR+Klein-Kurve%C2%AE+Heavy-Duty+Wire+Stripper+%2F+Cutter+%2F+Crimper+Multi+Tool%2C+8-20+AWG&amp;qid=1694734664&amp;sr=8-1")</f>
        <v/>
      </c>
      <c r="F2467" t="inlineStr">
        <is>
          <t>B08BX9RTPX</t>
        </is>
      </c>
      <c r="G2467">
        <f>_xlfn.IMAGE("https://edmondsonsupply.com/cdn/shop/products/k12065cr_b.jpg?v=1650066835")</f>
        <v/>
      </c>
      <c r="H2467">
        <f>_xlfn.IMAGE("https://m.media-amazon.com/images/I/51Oylu1vHoL._AC_UL320_.jpg")</f>
        <v/>
      </c>
      <c r="K2467" t="inlineStr">
        <is>
          <t>39.97</t>
        </is>
      </c>
      <c r="L2467" t="n">
        <v>39.97</v>
      </c>
      <c r="M2467" s="1" t="inlineStr">
        <is>
          <t>0.00%</t>
        </is>
      </c>
      <c r="N2467" s="7" t="n">
        <v>521.26</v>
      </c>
      <c r="O2467" t="n">
        <v>4.7</v>
      </c>
      <c r="P2467" t="n">
        <v>723</v>
      </c>
      <c r="R2467" t="inlineStr">
        <is>
          <t>InStock</t>
        </is>
      </c>
      <c r="S2467" t="inlineStr">
        <is>
          <t>59.42</t>
        </is>
      </c>
      <c r="T2467" t="inlineStr">
        <is>
          <t>5795137880232</t>
        </is>
      </c>
    </row>
    <row r="2468" ht="87" customHeight="1">
      <c r="A2468" s="2">
        <f>HYPERLINK("https://edmondsonsupply.com/collections/hvac/products/channellock-431", "https://edmondsonsupply.com/collections/hvac/products/channellock-431")</f>
        <v/>
      </c>
      <c r="B2468" s="2">
        <f>HYPERLINK("https://edmondsonsupply.com/products/channellock-431", "https://edmondsonsupply.com/products/channellock-431")</f>
        <v/>
      </c>
      <c r="C2468" t="inlineStr">
        <is>
          <t>Channellock 432 10-Inch V-Jaw Tongue &amp; Groove Pliers</t>
        </is>
      </c>
      <c r="D2468" t="inlineStr">
        <is>
          <t>Bon Tool Pliers - Tongue &amp; Groove - 10-inch (84-403)</t>
        </is>
      </c>
      <c r="E2468" s="2">
        <f>HYPERLINK("https://www.amazon.com/Channellock-430-10-Inch-Tongue-Groove/dp/B008MVYOUG/ref=sr_1_33?keywords=Channellock+432+10-Inch+V-Jaw+Tongue+%26+Groove+Pliers&amp;qid=1694734826&amp;sr=8-33", "https://www.amazon.com/Channellock-430-10-Inch-Tongue-Groove/dp/B008MVYOUG/ref=sr_1_33?keywords=Channellock+432+10-Inch+V-Jaw+Tongue+%26+Groove+Pliers&amp;qid=1694734826&amp;sr=8-33")</f>
        <v/>
      </c>
      <c r="F2468" t="inlineStr">
        <is>
          <t>B008MVYOUG</t>
        </is>
      </c>
      <c r="G2468">
        <f>_xlfn.IMAGE("https://edmondsonsupply.com/cdn/shop/products/432-683x1024.jpg?v=1587147134")</f>
        <v/>
      </c>
      <c r="H2468">
        <f>_xlfn.IMAGE("https://m.media-amazon.com/images/I/31Xj2npyFML._AC_UL320_.jpg")</f>
        <v/>
      </c>
      <c r="K2468" t="inlineStr">
        <is>
          <t>19.95</t>
        </is>
      </c>
      <c r="L2468" t="n">
        <v>19.95</v>
      </c>
      <c r="M2468" s="1" t="inlineStr">
        <is>
          <t>0.00%</t>
        </is>
      </c>
      <c r="N2468" s="7" t="n">
        <v>519.85</v>
      </c>
      <c r="O2468" t="n">
        <v>4.8</v>
      </c>
      <c r="P2468" t="n">
        <v>12</v>
      </c>
      <c r="R2468" t="inlineStr">
        <is>
          <t>InStock</t>
        </is>
      </c>
      <c r="S2468" t="inlineStr">
        <is>
          <t>27.63</t>
        </is>
      </c>
      <c r="T2468" t="inlineStr">
        <is>
          <t>3553468317796</t>
        </is>
      </c>
    </row>
    <row r="2469" ht="87" customHeight="1">
      <c r="A2469" s="2">
        <f>HYPERLINK("https://edmondsonsupply.com/collections/hvac/products/klein-tools-ti270-rechargeable-thermal-imager-with-wi-fi", "https://edmondsonsupply.com/collections/hvac/products/klein-tools-ti270-rechargeable-thermal-imager-with-wi-fi")</f>
        <v/>
      </c>
      <c r="B2469" s="2">
        <f>HYPERLINK("https://edmondsonsupply.com/products/klein-tools-ti270-rechargeable-thermal-imager-with-wi-fi", "https://edmondsonsupply.com/products/klein-tools-ti270-rechargeable-thermal-imager-with-wi-fi")</f>
        <v/>
      </c>
      <c r="C2469" t="inlineStr">
        <is>
          <t>Klein Tools TI270 Rechargeable Thermal Imager with Wi-Fi</t>
        </is>
      </c>
      <c r="D2469" t="inlineStr">
        <is>
          <t>Klein Tools TI270 Rechargeable Thermal Imaging Camera, Over 10000 Pixels, Wi-Fi Data Transfer, 3 Palettes, High/Low Temperature Points</t>
        </is>
      </c>
      <c r="E2469" s="2">
        <f>HYPERLINK("https://www.amazon.com/Klein-Tools-Rechargeable-Transfer-Temperature/dp/B0C6J4B145/ref=sr_1_1?keywords=Klein+Tools+TI270+Rechargeable+Thermal+Imager+with+Wi-Fi&amp;qid=1694734892&amp;sr=8-1", "https://www.amazon.com/Klein-Tools-Rechargeable-Transfer-Temperature/dp/B0C6J4B145/ref=sr_1_1?keywords=Klein+Tools+TI270+Rechargeable+Thermal+Imager+with+Wi-Fi&amp;qid=1694734892&amp;sr=8-1")</f>
        <v/>
      </c>
      <c r="F2469" t="inlineStr">
        <is>
          <t>B0C6J4B145</t>
        </is>
      </c>
      <c r="G2469">
        <f>_xlfn.IMAGE("https://edmondsonsupply.com/cdn/shop/files/ti270.jpg?v=1689789798")</f>
        <v/>
      </c>
      <c r="H2469">
        <f>_xlfn.IMAGE("https://m.media-amazon.com/images/I/61Pcwgb0gDL._AC_UY218_.jpg")</f>
        <v/>
      </c>
      <c r="K2469" t="inlineStr">
        <is>
          <t>399.99</t>
        </is>
      </c>
      <c r="L2469" t="n">
        <v>399.99</v>
      </c>
      <c r="M2469" s="1" t="inlineStr">
        <is>
          <t>0.00%</t>
        </is>
      </c>
      <c r="N2469" s="7" t="n">
        <v>515.78</v>
      </c>
      <c r="O2469" t="n">
        <v>4.5</v>
      </c>
      <c r="P2469" t="n">
        <v>775</v>
      </c>
      <c r="R2469" t="inlineStr">
        <is>
          <t>InStock</t>
        </is>
      </c>
      <c r="S2469" t="inlineStr">
        <is>
          <t>619.98</t>
        </is>
      </c>
      <c r="T2469" t="inlineStr">
        <is>
          <t>8018546819288</t>
        </is>
      </c>
    </row>
    <row r="2470" ht="87" customHeight="1">
      <c r="A2470" s="2">
        <f>HYPERLINK("https://edmondsonsupply.com/collections/hvac/products/io-hvac-controls-io-wrp-wireless-relay-plus", "https://edmondsonsupply.com/collections/hvac/products/io-hvac-controls-io-wrp-wireless-relay-plus")</f>
        <v/>
      </c>
      <c r="B2470" s="2">
        <f>HYPERLINK("https://edmondsonsupply.com/products/io-hvac-controls-io-wrp-wireless-relay-plus", "https://edmondsonsupply.com/products/io-hvac-controls-io-wrp-wireless-relay-plus")</f>
        <v/>
      </c>
      <c r="C2470" t="inlineStr">
        <is>
          <t>iO HVAC Controls iO-WRP Wireless Relay Plus</t>
        </is>
      </c>
      <c r="D2470" t="inlineStr">
        <is>
          <t>IO-WRP | Wireless Relay Plus | iO HVAC Controls</t>
        </is>
      </c>
      <c r="E2470" s="2">
        <f>HYPERLINK("https://www.amazon.com/IO-WRP-Wireless-Relay-Plus-Controls/dp/B0BCTKBVBV/ref=sr_1_1?keywords=iO+HVAC+Controls+iO-WRP+Wireless+Relay+Plus&amp;qid=1694734608&amp;sr=8-1", "https://www.amazon.com/IO-WRP-Wireless-Relay-Plus-Controls/dp/B0BCTKBVBV/ref=sr_1_1?keywords=iO+HVAC+Controls+iO-WRP+Wireless+Relay+Plus&amp;qid=1694734608&amp;sr=8-1")</f>
        <v/>
      </c>
      <c r="F2470" t="inlineStr">
        <is>
          <t>B0BCTKBVBV</t>
        </is>
      </c>
      <c r="G2470">
        <f>_xlfn.IMAGE("https://edmondsonsupply.com/cdn/shop/products/IOWRP.png?v=1655748532")</f>
        <v/>
      </c>
      <c r="H2470">
        <f>_xlfn.IMAGE("https://m.media-amazon.com/images/I/310-nqKk2xL._AC_UL320_.jpg")</f>
        <v/>
      </c>
      <c r="K2470" t="inlineStr">
        <is>
          <t>412.71</t>
        </is>
      </c>
      <c r="L2470" t="n">
        <v>412.71</v>
      </c>
      <c r="M2470" s="1" t="inlineStr">
        <is>
          <t>0.00%</t>
        </is>
      </c>
      <c r="N2470" s="7" t="n">
        <v>515.78</v>
      </c>
      <c r="O2470" t="n">
        <v>5</v>
      </c>
      <c r="P2470" t="n">
        <v>2</v>
      </c>
      <c r="R2470" t="inlineStr">
        <is>
          <t>InStock</t>
        </is>
      </c>
      <c r="S2470" t="inlineStr">
        <is>
          <t>444.46</t>
        </is>
      </c>
      <c r="T2470" t="inlineStr">
        <is>
          <t>7724893765848</t>
        </is>
      </c>
    </row>
    <row r="2471" ht="87" customHeight="1">
      <c r="A2471" s="2">
        <f>HYPERLINK("https://edmondsonsupply.com/collections/hvac/products/fieldpiece-jl3pc", "https://edmondsonsupply.com/collections/hvac/products/fieldpiece-jl3pc")</f>
        <v/>
      </c>
      <c r="B2471" s="2">
        <f>HYPERLINK("https://edmondsonsupply.com/products/fieldpiece-jl3pc", "https://edmondsonsupply.com/products/fieldpiece-jl3pc")</f>
        <v/>
      </c>
      <c r="C2471" t="inlineStr">
        <is>
          <t>Fieldpiece JL3PC Job Link® System Premium Pipe Clamp Probe</t>
        </is>
      </c>
      <c r="D2471" t="inlineStr">
        <is>
          <t>Fieldpiece JL3PC Job Link Premium Pipe Clamp Probe for 1/4" to 1 3/8" Pipes</t>
        </is>
      </c>
      <c r="E2471" s="2">
        <f>HYPERLINK("https://www.amazon.com/Fieldpiece-JL3PC-Premium-Clamp-Probe/dp/B07DNKNFB2/ref=sr_1_1?keywords=Fieldpiece+JL3PC+Job+Link%C2%AE+System+Premium+Pipe+Clamp+Probe&amp;qid=1694734741&amp;sr=8-1", "https://www.amazon.com/Fieldpiece-JL3PC-Premium-Clamp-Probe/dp/B07DNKNFB2/ref=sr_1_1?keywords=Fieldpiece+JL3PC+Job+Link%C2%AE+System+Premium+Pipe+Clamp+Probe&amp;qid=1694734741&amp;sr=8-1")</f>
        <v/>
      </c>
      <c r="F2471" t="inlineStr">
        <is>
          <t>B07DNKNFB2</t>
        </is>
      </c>
      <c r="G2471">
        <f>_xlfn.IMAGE("https://edmondsonsupply.com/cdn/shop/products/JL3PC-SRC-Product-300dpi.jpg?v=1633030078")</f>
        <v/>
      </c>
      <c r="H2471">
        <f>_xlfn.IMAGE("https://m.media-amazon.com/images/I/31SmfIrf99L._AC_UY218_.jpg")</f>
        <v/>
      </c>
      <c r="K2471" t="inlineStr">
        <is>
          <t>121.55</t>
        </is>
      </c>
      <c r="L2471" t="n">
        <v>121.55</v>
      </c>
      <c r="M2471" s="1" t="inlineStr">
        <is>
          <t>0.00%</t>
        </is>
      </c>
      <c r="N2471" s="7" t="n">
        <v>513.15</v>
      </c>
      <c r="O2471" t="n">
        <v>4.6</v>
      </c>
      <c r="P2471" t="n">
        <v>159</v>
      </c>
      <c r="R2471" t="inlineStr">
        <is>
          <t>InStock</t>
        </is>
      </c>
      <c r="S2471" t="inlineStr">
        <is>
          <t>143.0</t>
        </is>
      </c>
      <c r="T2471" t="inlineStr">
        <is>
          <t>3548627533924</t>
        </is>
      </c>
    </row>
    <row r="2472" ht="87" customHeight="1">
      <c r="A2472" s="2">
        <f>HYPERLINK("https://edmondsonsupply.com/collections/hvac/products/klein-tools-k12065cr-klein-kurve%C2%AE-heavy-duty-wire-stripper-crimper-8-20-awg", "https://edmondsonsupply.com/collections/hvac/products/klein-tools-k12065cr-klein-kurve%C2%AE-heavy-duty-wire-stripper-crimper-8-20-awg")</f>
        <v/>
      </c>
      <c r="B2472" s="2">
        <f>HYPERLINK("https://edmondsonsupply.com/products/klein-tools-k12065cr-klein-kurve%c2%ae-heavy-duty-wire-stripper-crimper-8-20-awg", "https://edmondsonsupply.com/products/klein-tools-k12065cr-klein-kurve%c2%ae-heavy-duty-wire-stripper-crimper-8-20-awg")</f>
        <v/>
      </c>
      <c r="C2472" t="inlineStr">
        <is>
          <t>Klein Tools K12065CR Klein-Kurve® Heavy-Duty Wire Stripper / Cutter / Crimper Multi Tool, 8-20 AWG</t>
        </is>
      </c>
      <c r="D2472" t="inlineStr">
        <is>
          <t>Klein Tools 2005N Wire Cutter, Stripper, Crimper Tool, Strips 10-18 AWG Stranded, Crimps 10-22 AWG Terminals, with Shear Cutter Red</t>
        </is>
      </c>
      <c r="E2472" s="2">
        <f>HYPERLINK("https://www.amazon.com/Klein-Tools-2005N-Crimper-Stripper/dp/B07WTRVZ18/ref=sr_1_19?keywords=Klein+Tools+K12065CR+Klein-Kurve%C2%AE+Heavy-Duty+Wire+Stripper+%2F+Cutter+%2F+Crimper+Multi+Tool%2C+8-20+AWG&amp;qid=1694734664&amp;sr=8-19", "https://www.amazon.com/Klein-Tools-2005N-Crimper-Stripper/dp/B07WTRVZ18/ref=sr_1_19?keywords=Klein+Tools+K12065CR+Klein-Kurve%C2%AE+Heavy-Duty+Wire+Stripper+%2F+Cutter+%2F+Crimper+Multi+Tool%2C+8-20+AWG&amp;qid=1694734664&amp;sr=8-19")</f>
        <v/>
      </c>
      <c r="F2472" t="inlineStr">
        <is>
          <t>B07WTRVZ18</t>
        </is>
      </c>
      <c r="G2472">
        <f>_xlfn.IMAGE("https://edmondsonsupply.com/cdn/shop/products/k12065cr_b.jpg?v=1650066835")</f>
        <v/>
      </c>
      <c r="H2472">
        <f>_xlfn.IMAGE("https://m.media-amazon.com/images/I/51HDCyutY4L._AC_UL320_.jpg")</f>
        <v/>
      </c>
      <c r="K2472" t="inlineStr">
        <is>
          <t>39.97</t>
        </is>
      </c>
      <c r="L2472" t="n">
        <v>39.97</v>
      </c>
      <c r="M2472" s="1" t="inlineStr">
        <is>
          <t>0.00%</t>
        </is>
      </c>
      <c r="N2472" s="7" t="n">
        <v>512.66</v>
      </c>
      <c r="O2472" t="n">
        <v>4.8</v>
      </c>
      <c r="P2472" t="n">
        <v>1009</v>
      </c>
      <c r="R2472" t="inlineStr">
        <is>
          <t>InStock</t>
        </is>
      </c>
      <c r="S2472" t="inlineStr">
        <is>
          <t>59.42</t>
        </is>
      </c>
      <c r="T2472" t="inlineStr">
        <is>
          <t>5795137880232</t>
        </is>
      </c>
    </row>
    <row r="2473" ht="87" customHeight="1">
      <c r="A2473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2473" s="2">
        <f>HYPERLINK("https://edmondsonsupply.com/products/klein-tools-32535-10-in-1-10-fold-screwdriver-nut-driver", "https://edmondsonsupply.com/products/klein-tools-32535-10-in-1-10-fold-screwdriver-nut-driver")</f>
        <v/>
      </c>
      <c r="C2473" t="inlineStr">
        <is>
          <t>Klein Tools 32535 10-in-1 10 Fold Screwdriver / Nut Driver</t>
        </is>
      </c>
      <c r="D2473" t="inlineStr">
        <is>
          <t>Klein Tools 32535 10-in-1 10 Fold Screwdriver / Nut Driver</t>
        </is>
      </c>
      <c r="E2473" s="2">
        <f>HYPERLINK("https://www.amazon.com/Klein-Tools-32535-10-Fold-Screwdriver/dp/B0031BX54I/ref=sr_1_1?keywords=Klein+Tools+32535+10-in-1+10+Fold+Screwdriver+%2F+Nut+Driver&amp;qid=1694734776&amp;sr=8-1", "https://www.amazon.com/Klein-Tools-32535-10-Fold-Screwdriver/dp/B0031BX54I/ref=sr_1_1?keywords=Klein+Tools+32535+10-in-1+10+Fold+Screwdriver+%2F+Nut+Driver&amp;qid=1694734776&amp;sr=8-1")</f>
        <v/>
      </c>
      <c r="F2473" t="inlineStr">
        <is>
          <t>B0031BX54I</t>
        </is>
      </c>
      <c r="G2473">
        <f>_xlfn.IMAGE("https://edmondsonsupply.com/cdn/shop/products/32535.jpg?v=1633030894")</f>
        <v/>
      </c>
      <c r="H2473">
        <f>_xlfn.IMAGE("https://m.media-amazon.com/images/I/51e7QvMcFLL._AC_UL320_.jpg")</f>
        <v/>
      </c>
      <c r="K2473" t="inlineStr">
        <is>
          <t>29.99</t>
        </is>
      </c>
      <c r="L2473" t="n">
        <v>29.99</v>
      </c>
      <c r="M2473" s="1" t="inlineStr">
        <is>
          <t>0.00%</t>
        </is>
      </c>
      <c r="N2473" s="7" t="n">
        <v>511.06</v>
      </c>
      <c r="O2473" t="n">
        <v>4.6</v>
      </c>
      <c r="P2473" t="n">
        <v>871</v>
      </c>
      <c r="R2473" t="inlineStr">
        <is>
          <t>InStock</t>
        </is>
      </c>
      <c r="S2473" t="inlineStr">
        <is>
          <t>45.36</t>
        </is>
      </c>
      <c r="T2473" t="inlineStr">
        <is>
          <t>6224651485357</t>
        </is>
      </c>
    </row>
    <row r="2474" ht="87" customHeight="1">
      <c r="A2474" s="2">
        <f>HYPERLINK("https://edmondsonsupply.com/collections/hvac/products/yellow-jacket-yjii-vacuum-pump-5-cfm-93266", "https://edmondsonsupply.com/collections/hvac/products/yellow-jacket-yjii-vacuum-pump-5-cfm-93266")</f>
        <v/>
      </c>
      <c r="B2474" s="2">
        <f>HYPERLINK("https://edmondsonsupply.com/products/yellow-jacket-yjii-vacuum-pump-5-cfm-93266", "https://edmondsonsupply.com/products/yellow-jacket-yjii-vacuum-pump-5-cfm-93266")</f>
        <v/>
      </c>
      <c r="C2474" t="inlineStr">
        <is>
          <t>Yellow Jacket 93266 YJII™ 5 CFM Vacuum Pump</t>
        </is>
      </c>
      <c r="D2474" t="inlineStr">
        <is>
          <t>Yellow Jacket YJII Vacuum Pump 5 CFM - 93266</t>
        </is>
      </c>
      <c r="E2474" s="2">
        <f>HYPERLINK("https://www.amazon.com/Yellow-Jacket-YJII-Vacuum-Pump/dp/B07VNP6BFW/ref=sr_1_1?keywords=Yellow+Jacket+93266+YJII%E2%84%A2+5+CFM+Vacuum+Pump&amp;qid=1694734612&amp;sr=8-1", "https://www.amazon.com/Yellow-Jacket-YJII-Vacuum-Pump/dp/B07VNP6BFW/ref=sr_1_1?keywords=Yellow+Jacket+93266+YJII%E2%84%A2+5+CFM+Vacuum+Pump&amp;qid=1694734612&amp;sr=8-1")</f>
        <v/>
      </c>
      <c r="F2474" t="inlineStr">
        <is>
          <t>B07VNP6BFW</t>
        </is>
      </c>
      <c r="G2474">
        <f>_xlfn.IMAGE("https://edmondsonsupply.com/cdn/shop/products/93266-YJII-Vacuum-Pump-484x416.jpg?v=1605058989")</f>
        <v/>
      </c>
      <c r="H2474">
        <f>_xlfn.IMAGE("https://m.media-amazon.com/images/I/41TxzZqPqgL._AC_UL320_.jpg")</f>
        <v/>
      </c>
      <c r="K2474" t="inlineStr">
        <is>
          <t>322.56</t>
        </is>
      </c>
      <c r="L2474" t="n">
        <v>322.56</v>
      </c>
      <c r="M2474" s="1" t="inlineStr">
        <is>
          <t>0.00%</t>
        </is>
      </c>
      <c r="N2474" s="7" t="n">
        <v>509.74</v>
      </c>
      <c r="O2474" t="n">
        <v>4.6</v>
      </c>
      <c r="P2474" t="n">
        <v>87</v>
      </c>
      <c r="R2474" t="inlineStr">
        <is>
          <t>InStock</t>
        </is>
      </c>
      <c r="S2474" t="inlineStr">
        <is>
          <t>undefined</t>
        </is>
      </c>
      <c r="T2474" t="inlineStr">
        <is>
          <t>3599841165412</t>
        </is>
      </c>
    </row>
    <row r="2475" ht="87" customHeight="1">
      <c r="A2475" s="2">
        <f>HYPERLINK("https://edmondsonsupply.com/collections/hvac/products/testo-0564-2552-01-552i-app-controlled-wireless-vacuum-probe", "https://edmondsonsupply.com/collections/hvac/products/testo-0564-2552-01-552i-app-controlled-wireless-vacuum-probe")</f>
        <v/>
      </c>
      <c r="B2475" s="2">
        <f>HYPERLINK("https://edmondsonsupply.com/products/testo-0564-2552-01-552i-app-controlled-wireless-vacuum-probe", "https://edmondsonsupply.com/products/testo-0564-2552-01-552i-app-controlled-wireless-vacuum-probe")</f>
        <v/>
      </c>
      <c r="C2475" t="inlineStr">
        <is>
          <t>Testo 0564 2552 01 552i App-Controlled Wireless Vacuum Probe</t>
        </is>
      </c>
      <c r="D2475" t="inlineStr">
        <is>
          <t>Testo 552i App-Controlled Wireless Vacuum Probe I for HVAC Systems – with Bluetooth</t>
        </is>
      </c>
      <c r="E2475" s="2">
        <f>HYPERLINK("https://www.amazon.com/Testo-552i-App-Controlled-Wireless-Systems/dp/B08TZ3Z1S3/ref=sr_1_1?keywords=Testo+0564+2552+01+552i+App-Controlled+Wireless+Vacuum+Probe&amp;qid=1694734776&amp;sr=8-1", "https://www.amazon.com/Testo-552i-App-Controlled-Wireless-Systems/dp/B08TZ3Z1S3/ref=sr_1_1?keywords=Testo+0564+2552+01+552i+App-Controlled+Wireless+Vacuum+Probe&amp;qid=1694734776&amp;sr=8-1")</f>
        <v/>
      </c>
      <c r="F2475" t="inlineStr">
        <is>
          <t>B08TZ3Z1S3</t>
        </is>
      </c>
      <c r="G2475">
        <f>_xlfn.IMAGE("https://edmondsonsupply.com/cdn/shop/products/testo-552i-front_master.jpg?v=1633031193")</f>
        <v/>
      </c>
      <c r="H2475">
        <f>_xlfn.IMAGE("https://m.media-amazon.com/images/I/81ek9QwPMyL._AC_UY218_.jpg")</f>
        <v/>
      </c>
      <c r="K2475" t="inlineStr">
        <is>
          <t>177.65</t>
        </is>
      </c>
      <c r="L2475" t="n">
        <v>177.65</v>
      </c>
      <c r="M2475" s="1" t="inlineStr">
        <is>
          <t>0.00%</t>
        </is>
      </c>
      <c r="N2475" s="7" t="n">
        <v>508.8</v>
      </c>
      <c r="O2475" t="n">
        <v>4.6</v>
      </c>
      <c r="P2475" t="n">
        <v>271</v>
      </c>
      <c r="R2475" t="inlineStr">
        <is>
          <t>InStock</t>
        </is>
      </c>
      <c r="S2475" t="inlineStr">
        <is>
          <t>209.0</t>
        </is>
      </c>
      <c r="T2475" t="inlineStr">
        <is>
          <t>6939345223853</t>
        </is>
      </c>
    </row>
    <row r="2476" ht="87" customHeight="1">
      <c r="A2476" s="2">
        <f>HYPERLINK("https://edmondsonsupply.com/collections/hvac/products/navac-nhb2-high-flow-evacuation-hose-6-1-2-to-1-4", "https://edmondsonsupply.com/collections/hvac/products/navac-nhb2-high-flow-evacuation-hose-6-1-2-to-1-4")</f>
        <v/>
      </c>
      <c r="B2476" s="2">
        <f>HYPERLINK("https://edmondsonsupply.com/products/navac-nhb2-high-flow-evacuation-hose-6-1-2-to-1-4", "https://edmondsonsupply.com/products/navac-nhb2-high-flow-evacuation-hose-6-1-2-to-1-4")</f>
        <v/>
      </c>
      <c r="C2476" t="inlineStr">
        <is>
          <t>NAVAC NHB2 High-Flow Evacuation Hose, 6', 1/2" to 1/4"</t>
        </is>
      </c>
      <c r="D2476" t="inlineStr">
        <is>
          <t>Navac Big Boy High-Flow Refrigerant Hose, Black, 6', 1/2" Diameter, 3/8" to 1/4" Fitting (NHB1)</t>
        </is>
      </c>
      <c r="E2476" s="2">
        <f>HYPERLINK("https://www.amazon.com/Navac-High-Flow-Refrigerant-Diameter-Fitting/dp/B07VY9TBBJ/ref=sr_1_2?keywords=NAVAC+NHB2+High-Flow+Evacuation+Hose%2C+6%2C+1%2F2+to+1%2F4&amp;qid=1694734782&amp;sr=8-2", "https://www.amazon.com/Navac-High-Flow-Refrigerant-Diameter-Fitting/dp/B07VY9TBBJ/ref=sr_1_2?keywords=NAVAC+NHB2+High-Flow+Evacuation+Hose%2C+6%2C+1%2F2+to+1%2F4&amp;qid=1694734782&amp;sr=8-2")</f>
        <v/>
      </c>
      <c r="F2476" t="inlineStr">
        <is>
          <t>B07VY9TBBJ</t>
        </is>
      </c>
      <c r="G2476">
        <f>_xlfn.IMAGE("https://edmondsonsupply.com/cdn/shop/products/NHB2-1.png?v=1633030656")</f>
        <v/>
      </c>
      <c r="H2476">
        <f>_xlfn.IMAGE("https://m.media-amazon.com/images/I/41mRmoe+-+L._AC_UL320_.jpg")</f>
        <v/>
      </c>
      <c r="K2476" t="inlineStr">
        <is>
          <t>57.0</t>
        </is>
      </c>
      <c r="L2476" t="n">
        <v>57</v>
      </c>
      <c r="M2476" s="1" t="inlineStr">
        <is>
          <t>0.00%</t>
        </is>
      </c>
      <c r="N2476" s="7" t="n">
        <v>502.41</v>
      </c>
      <c r="O2476" t="n">
        <v>4.7</v>
      </c>
      <c r="P2476" t="n">
        <v>54</v>
      </c>
      <c r="R2476" t="inlineStr">
        <is>
          <t>InStock</t>
        </is>
      </c>
      <c r="S2476" t="inlineStr">
        <is>
          <t>79.0</t>
        </is>
      </c>
      <c r="T2476" t="inlineStr">
        <is>
          <t>5740751356072</t>
        </is>
      </c>
    </row>
    <row r="2477" ht="87" customHeight="1">
      <c r="A2477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477" s="2">
        <f>HYPERLINK("https://edmondsonsupply.com/products/klein-tools-11053-klein-kurve%c2%ae-wire-stripper-cutter", "https://edmondsonsupply.com/products/klein-tools-11053-klein-kurve%c2%ae-wire-stripper-cutter")</f>
        <v/>
      </c>
      <c r="C2477" t="inlineStr">
        <is>
          <t>Klein Tools 11053 Klein-Kurve® Wire Stripper/Cutter</t>
        </is>
      </c>
      <c r="D2477" t="inlineStr">
        <is>
          <t>Klein Tools 11053 Klein-Kurve Wire Stripper and Cutter for 6-12 AWG Stranded Wire, 7-1/8-Inch,Blue/Red</t>
        </is>
      </c>
      <c r="E2477" s="2">
        <f>HYPERLINK("https://www.amazon.com/Klein-Kurve-Stripper-Klein-Tools-11053/dp/B000MKH0YC/ref=sr_1_1?keywords=Klein+Tools+11053+Klein-Kurve%C2%AE+Wire+Stripper%2FCutter&amp;qid=1694734664&amp;sr=8-1", "https://www.amazon.com/Klein-Kurve-Stripper-Klein-Tools-11053/dp/B000MKH0YC/ref=sr_1_1?keywords=Klein+Tools+11053+Klein-Kurve%C2%AE+Wire+Stripper%2FCutter&amp;qid=1694734664&amp;sr=8-1")</f>
        <v/>
      </c>
      <c r="F2477" t="inlineStr">
        <is>
          <t>B000MKH0YC</t>
        </is>
      </c>
      <c r="G2477">
        <f>_xlfn.IMAGE("https://edmondsonsupply.com/cdn/shop/products/11053.jpg?v=1633030511")</f>
        <v/>
      </c>
      <c r="H2477">
        <f>_xlfn.IMAGE("https://m.media-amazon.com/images/I/51eHDSucYhL._AC_UL320_.jpg")</f>
        <v/>
      </c>
      <c r="K2477" t="inlineStr">
        <is>
          <t>20.97</t>
        </is>
      </c>
      <c r="L2477" t="n">
        <v>20.97</v>
      </c>
      <c r="M2477" s="1" t="inlineStr">
        <is>
          <t>0.00%</t>
        </is>
      </c>
      <c r="N2477" s="7" t="n">
        <v>501.71</v>
      </c>
      <c r="O2477" t="n">
        <v>4.8</v>
      </c>
      <c r="P2477" t="n">
        <v>2986</v>
      </c>
      <c r="R2477" t="inlineStr">
        <is>
          <t>InStock</t>
        </is>
      </c>
      <c r="S2477" t="inlineStr">
        <is>
          <t>31.76</t>
        </is>
      </c>
      <c r="T2477" t="inlineStr">
        <is>
          <t>5387171299496</t>
        </is>
      </c>
    </row>
    <row r="2478" ht="87" customHeight="1">
      <c r="A2478" s="2">
        <f>HYPERLINK("https://edmondsonsupply.com/collections/hvac/products/fieldpiece-hs33-1", "https://edmondsonsupply.com/collections/hvac/products/fieldpiece-hs33-1")</f>
        <v/>
      </c>
      <c r="B2478" s="2">
        <f>HYPERLINK("https://edmondsonsupply.com/products/fieldpiece-hs33-1", "https://edmondsonsupply.com/products/fieldpiece-hs33-1")</f>
        <v/>
      </c>
      <c r="C2478" t="inlineStr">
        <is>
          <t>Fieldpiece HS36 Expandable True RMS Stick Meter with Backlight</t>
        </is>
      </c>
      <c r="D2478" t="inlineStr">
        <is>
          <t>Fieldpiece HS36 Expandable Autoranging True RMS Stick Multimeter w/Backlight</t>
        </is>
      </c>
      <c r="E2478" s="2">
        <f>HYPERLINK("https://www.amazon.com/Fieldpiece-HS36-Expandable-Autoranging-Multimeter/dp/B000OMJJ7Y/ref=sr_1_1?keywords=Fieldpiece+HS36+Expandable+True+RMS+Stick+Meter+with+Backlight&amp;qid=1694734824&amp;sr=8-1", "https://www.amazon.com/Fieldpiece-HS36-Expandable-Autoranging-Multimeter/dp/B000OMJJ7Y/ref=sr_1_1?keywords=Fieldpiece+HS36+Expandable+True+RMS+Stick+Meter+with+Backlight&amp;qid=1694734824&amp;sr=8-1")</f>
        <v/>
      </c>
      <c r="F2478" t="inlineStr">
        <is>
          <t>B000OMJJ7Y</t>
        </is>
      </c>
      <c r="G2478">
        <f>_xlfn.IMAGE("https://edmondsonsupply.com/cdn/shop/products/HS36-470x470-04.jpg?v=1633030108")</f>
        <v/>
      </c>
      <c r="H2478">
        <f>_xlfn.IMAGE("https://m.media-amazon.com/images/I/61OPMK7yKoL._AC_UL320_.jpg")</f>
        <v/>
      </c>
      <c r="K2478" t="inlineStr">
        <is>
          <t>298.35</t>
        </is>
      </c>
      <c r="L2478" t="n">
        <v>298.35</v>
      </c>
      <c r="M2478" s="1" t="inlineStr">
        <is>
          <t>0.00%</t>
        </is>
      </c>
      <c r="N2478" s="7" t="n">
        <v>501.32</v>
      </c>
      <c r="O2478" t="n">
        <v>4.6</v>
      </c>
      <c r="P2478" t="n">
        <v>289</v>
      </c>
      <c r="R2478" t="inlineStr">
        <is>
          <t>InStock</t>
        </is>
      </c>
      <c r="S2478" t="inlineStr">
        <is>
          <t>351.0</t>
        </is>
      </c>
      <c r="T2478" t="inlineStr">
        <is>
          <t>3665834573924</t>
        </is>
      </c>
    </row>
    <row r="2479" ht="87" customHeight="1">
      <c r="A2479" s="2">
        <f>HYPERLINK("https://edmondsonsupply.com/collections/hvac/products/klein-tools-s18hb", "https://edmondsonsupply.com/collections/hvac/products/klein-tools-s18hb")</f>
        <v/>
      </c>
      <c r="B2479" s="2">
        <f>HYPERLINK("https://edmondsonsupply.com/products/klein-tools-s18hb", "https://edmondsonsupply.com/products/klein-tools-s18hb")</f>
        <v/>
      </c>
      <c r="C2479" t="inlineStr">
        <is>
          <t>Klein Tools S18HB Grip-It™ Strap Wrench, 1-1/8 to 8-Inch, 18-Inch Handle</t>
        </is>
      </c>
      <c r="D2479" t="inlineStr">
        <is>
          <t>Klein Tools S18HB Strap Wrench, Adjustable Grip-It Strap Wrench Adjusts 1-1/8 to 8-Inch, 18-Inch Handle</t>
        </is>
      </c>
      <c r="E2479" s="2">
        <f>HYPERLINK("https://www.amazon.com/Klein-Tools-S18HB-Adjustable-Adjusts/dp/B0BN4LGV19/ref=sr_1_1?keywords=Klein+Tools+S18HB+Grip-It%E2%84%A2+Strap+Wrench%2C+1-1%2F8+to+8-Inch%2C+18-Inch+Handle&amp;qid=1694734891&amp;sr=8-1", "https://www.amazon.com/Klein-Tools-S18HB-Adjustable-Adjusts/dp/B0BN4LGV19/ref=sr_1_1?keywords=Klein+Tools+S18HB+Grip-It%E2%84%A2+Strap+Wrench%2C+1-1%2F8+to+8-Inch%2C+18-Inch+Handle&amp;qid=1694734891&amp;sr=8-1")</f>
        <v/>
      </c>
      <c r="F2479" t="inlineStr">
        <is>
          <t>B0BN4LGV19</t>
        </is>
      </c>
      <c r="G2479">
        <f>_xlfn.IMAGE("https://edmondsonsupply.com/cdn/shop/files/s18hb_b.jpg?v=1689785962")</f>
        <v/>
      </c>
      <c r="H2479">
        <f>_xlfn.IMAGE("https://m.media-amazon.com/images/I/51WZHZOQNPL._AC_UL320_.jpg")</f>
        <v/>
      </c>
      <c r="K2479" t="inlineStr">
        <is>
          <t>59.99</t>
        </is>
      </c>
      <c r="L2479" t="n">
        <v>59.99</v>
      </c>
      <c r="M2479" s="1" t="inlineStr">
        <is>
          <t>0.00%</t>
        </is>
      </c>
      <c r="N2479" s="7" t="n">
        <v>501.25</v>
      </c>
      <c r="O2479" t="n">
        <v>4.2</v>
      </c>
      <c r="P2479" t="n">
        <v>7</v>
      </c>
      <c r="R2479" t="inlineStr">
        <is>
          <t>InStock</t>
        </is>
      </c>
      <c r="S2479" t="inlineStr">
        <is>
          <t>89.98</t>
        </is>
      </c>
      <c r="T2479" t="inlineStr">
        <is>
          <t>8018523750616</t>
        </is>
      </c>
    </row>
    <row r="2480" hidden="1" ht="15.75" customHeight="1">
      <c r="A2480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2480" s="2">
        <f>HYPERLINK("https://edmondsonsupply.com/products/klein-tools-jth4e17-1-2-inch-hex-key-journeyman-t-handle-4-inch", "https://edmondsonsupply.com/products/klein-tools-jth4e17-1-2-inch-hex-key-journeyman-t-handle-4-inch")</f>
        <v/>
      </c>
      <c r="C2480" t="inlineStr">
        <is>
          <t>Klein Tools JTH4E11 3/16-Inch Hex Key with Journeyman T-Handle, 4-Inch</t>
        </is>
      </c>
      <c r="D2480" t="inlineStr">
        <is>
          <t>Klein Tools JTH6M3BE 3 mm Ball End Hex Key with Journeyman T-Handle, 6-Inch</t>
        </is>
      </c>
      <c r="E2480" s="2">
        <f>HYPERLINK("https://www.amazon.com/Journeyman-T-Handle-Klein-Tools-JTH6M3BE/dp/B005G394V2/ref=sr_1_5?keywords=Klein+Tools+JTH4E11+3%2F16-Inch+Hex+Key+with+Journeyman+T-Handle%2C+4-Inch&amp;qid=1694734725&amp;sr=8-5", "https://www.amazon.com/Journeyman-T-Handle-Klein-Tools-JTH6M3BE/dp/B005G394V2/ref=sr_1_5?keywords=Klein+Tools+JTH4E11+3%2F16-Inch+Hex+Key+with+Journeyman+T-Handle%2C+4-Inch&amp;qid=1694734725&amp;sr=8-5")</f>
        <v/>
      </c>
      <c r="F2480" t="inlineStr">
        <is>
          <t>B005G394V2</t>
        </is>
      </c>
      <c r="G2480">
        <f>_xludf.IMAGE("https://edmondsonsupply.com/cdn/shop/products/jth4e17.jpg?v=1587144836")</f>
        <v/>
      </c>
      <c r="H2480">
        <f>_xludf.IMAGE("https://m.media-amazon.com/images/I/51huXA+ij8L._AC_UL320_.jpg")</f>
        <v/>
      </c>
      <c r="K2480" t="inlineStr">
        <is>
          <t>4.99</t>
        </is>
      </c>
      <c r="L2480" t="n">
        <v>4.99</v>
      </c>
      <c r="M2480" s="1" t="inlineStr">
        <is>
          <t>0.00%</t>
        </is>
      </c>
      <c r="N2480" s="1" t="n">
        <v>501.25</v>
      </c>
      <c r="O2480" t="n">
        <v>4.6</v>
      </c>
      <c r="P2480" t="n">
        <v>184</v>
      </c>
      <c r="R2480" t="inlineStr">
        <is>
          <t>InStock</t>
        </is>
      </c>
      <c r="S2480" t="inlineStr">
        <is>
          <t>7.6</t>
        </is>
      </c>
      <c r="T2480" t="inlineStr">
        <is>
          <t>4432217964644</t>
        </is>
      </c>
    </row>
    <row r="2481" ht="87" customHeight="1">
      <c r="A2481" s="2">
        <f>HYPERLINK("https://edmondsonsupply.com/collections/hvac/products/appion-ctee14-megaseal-low-loss-charging-t-fitting-1-4in-fl", "https://edmondsonsupply.com/collections/hvac/products/appion-ctee14-megaseal-low-loss-charging-t-fitting-1-4in-fl")</f>
        <v/>
      </c>
      <c r="B2481" s="2">
        <f>HYPERLINK("https://edmondsonsupply.com/products/appion-ctee14-megaseal-low-loss-charging-t-fitting-1-4in-fl", "https://edmondsonsupply.com/products/appion-ctee14-megaseal-low-loss-charging-t-fitting-1-4in-fl")</f>
        <v/>
      </c>
      <c r="C2481" t="inlineStr">
        <is>
          <t>Appion CTEE14 MegaSeal Low-Loss Charging T-Fitting 1/4in FL</t>
        </is>
      </c>
      <c r="D2481" t="inlineStr">
        <is>
          <t>Appion CTEE516 - MegaSeal Low-Loss Charging T-Fitting 5/16in FL</t>
        </is>
      </c>
      <c r="E2481" s="2">
        <f>HYPERLINK("https://www.amazon.com/Appion-MegaSeal-Low-Loss-Charging-T-Fitting/dp/B072LXGRV2/ref=sr_1_2?keywords=Appion+CTEE14+MegaSeal+Low-Loss+Charging+T-Fitting+1%2F4in+FL&amp;qid=1694734612&amp;sr=8-2", "https://www.amazon.com/Appion-MegaSeal-Low-Loss-Charging-T-Fitting/dp/B072LXGRV2/ref=sr_1_2?keywords=Appion+CTEE14+MegaSeal+Low-Loss+Charging+T-Fitting+1%2F4in+FL&amp;qid=1694734612&amp;sr=8-2")</f>
        <v/>
      </c>
      <c r="F2481" t="inlineStr">
        <is>
          <t>B072LXGRV2</t>
        </is>
      </c>
      <c r="G2481">
        <f>_xlfn.IMAGE("https://edmondsonsupply.com/cdn/shop/products/CTEE14_1080.png?v=1678496277")</f>
        <v/>
      </c>
      <c r="H2481">
        <f>_xlfn.IMAGE("https://m.media-amazon.com/images/I/41nhxga+rxL._AC_UL320_.jpg")</f>
        <v/>
      </c>
      <c r="K2481" t="inlineStr">
        <is>
          <t>49.99</t>
        </is>
      </c>
      <c r="L2481" t="n">
        <v>49.99</v>
      </c>
      <c r="M2481" s="1" t="inlineStr">
        <is>
          <t>0.00%</t>
        </is>
      </c>
      <c r="N2481" s="7" t="n">
        <v>500.55</v>
      </c>
      <c r="O2481" t="n">
        <v>4.3</v>
      </c>
      <c r="P2481" t="n">
        <v>30</v>
      </c>
      <c r="R2481" t="inlineStr">
        <is>
          <t>InStock</t>
        </is>
      </c>
      <c r="S2481" t="inlineStr">
        <is>
          <t>59.99</t>
        </is>
      </c>
      <c r="T2481" t="inlineStr">
        <is>
          <t>7959631659224</t>
        </is>
      </c>
    </row>
    <row r="2482" ht="87" customHeight="1">
      <c r="A2482" s="2">
        <f>HYPERLINK("https://edmondsonsupply.com/collections/hvac/products/navac-nhb2-high-flow-evacuation-hose-6-1-2-to-1-4", "https://edmondsonsupply.com/collections/hvac/products/navac-nhb2-high-flow-evacuation-hose-6-1-2-to-1-4")</f>
        <v/>
      </c>
      <c r="B2482" s="2">
        <f>HYPERLINK("https://edmondsonsupply.com/products/navac-nhb2-high-flow-evacuation-hose-6-1-2-to-1-4", "https://edmondsonsupply.com/products/navac-nhb2-high-flow-evacuation-hose-6-1-2-to-1-4")</f>
        <v/>
      </c>
      <c r="C2482" t="inlineStr">
        <is>
          <t>NAVAC NHB2 High-Flow Evacuation Hose, 6', 1/2" to 1/4"</t>
        </is>
      </c>
      <c r="D2482" t="inlineStr">
        <is>
          <t>Navac Big Boy High-Flow Refrigerant Hose, Black, 6', 1/2" Diameter, 1/2" to 1/4" Fitting (NHB2)</t>
        </is>
      </c>
      <c r="E2482" s="2">
        <f>HYPERLINK("https://www.amazon.com/Navac-High-Flow-Refrigerant-Diameter-Fitting/dp/B07VTQXG2W/ref=sr_1_1?keywords=NAVAC+NHB2+High-Flow+Evacuation+Hose%2C+6%2C+1%2F2+to+1%2F4&amp;qid=1694734782&amp;sr=8-1", "https://www.amazon.com/Navac-High-Flow-Refrigerant-Diameter-Fitting/dp/B07VTQXG2W/ref=sr_1_1?keywords=NAVAC+NHB2+High-Flow+Evacuation+Hose%2C+6%2C+1%2F2+to+1%2F4&amp;qid=1694734782&amp;sr=8-1")</f>
        <v/>
      </c>
      <c r="F2482" t="inlineStr">
        <is>
          <t>B07VTQXG2W</t>
        </is>
      </c>
      <c r="G2482">
        <f>_xlfn.IMAGE("https://edmondsonsupply.com/cdn/shop/products/NHB2-1.png?v=1633030656")</f>
        <v/>
      </c>
      <c r="H2482">
        <f>_xlfn.IMAGE("https://m.media-amazon.com/images/I/418uCdX1z9L._AC_UL320_.jpg")</f>
        <v/>
      </c>
      <c r="K2482" t="inlineStr">
        <is>
          <t>57.0</t>
        </is>
      </c>
      <c r="L2482" t="n">
        <v>57</v>
      </c>
      <c r="M2482" s="1" t="inlineStr">
        <is>
          <t>0.00%</t>
        </is>
      </c>
      <c r="N2482" s="7" t="n">
        <v>500.3</v>
      </c>
      <c r="O2482" t="n">
        <v>4.7</v>
      </c>
      <c r="P2482" t="n">
        <v>20</v>
      </c>
      <c r="R2482" t="inlineStr">
        <is>
          <t>InStock</t>
        </is>
      </c>
      <c r="S2482" t="inlineStr">
        <is>
          <t>79.0</t>
        </is>
      </c>
      <c r="T2482" t="inlineStr">
        <is>
          <t>5740751356072</t>
        </is>
      </c>
    </row>
    <row r="2483" ht="87" customHeight="1">
      <c r="A2483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2483" s="2">
        <f>HYPERLINK("https://edmondsonsupply.com/products/klein-tools-et120-combustible-gas-leak-detector", "https://edmondsonsupply.com/products/klein-tools-et120-combustible-gas-leak-detector")</f>
        <v/>
      </c>
      <c r="C2483" t="inlineStr">
        <is>
          <t>Klein Tools ET120 Combustible Gas Leak Detector</t>
        </is>
      </c>
      <c r="D2483" t="inlineStr">
        <is>
          <t>Klein Tools ET120 Gas Leak Detector, Combustible Gas Leak Tester with 18-Inch Gooseneck Has Range 50 - 10,000 ppm, Includes Pouch, Batteries</t>
        </is>
      </c>
      <c r="E2483" s="2">
        <f>HYPERLINK("https://www.amazon.com/Combustible-Detector-Klein-Tools-ET120/dp/B074NBJ8XP/ref=sr_1_1?keywords=Klein+Tools+ET120+Combustible+Gas+Leak+Detector&amp;qid=1694734816&amp;sr=8-1", "https://www.amazon.com/Combustible-Detector-Klein-Tools-ET120/dp/B074NBJ8XP/ref=sr_1_1?keywords=Klein+Tools+ET120+Combustible+Gas+Leak+Detector&amp;qid=1694734816&amp;sr=8-1")</f>
        <v/>
      </c>
      <c r="F2483" t="inlineStr">
        <is>
          <t>B074NBJ8XP</t>
        </is>
      </c>
      <c r="G2483">
        <f>_xlfn.IMAGE("https://edmondsonsupply.com/cdn/shop/products/et120.jpg?v=1587149243")</f>
        <v/>
      </c>
      <c r="H2483">
        <f>_xlfn.IMAGE("https://m.media-amazon.com/images/I/51204dgX5uL._AC_UL320_.jpg")</f>
        <v/>
      </c>
      <c r="K2483" t="inlineStr">
        <is>
          <t>119.99</t>
        </is>
      </c>
      <c r="L2483" t="n">
        <v>119.99</v>
      </c>
      <c r="M2483" s="1" t="inlineStr">
        <is>
          <t>0.00%</t>
        </is>
      </c>
      <c r="N2483" s="7" t="n">
        <v>494.58</v>
      </c>
      <c r="O2483" t="n">
        <v>4.6</v>
      </c>
      <c r="P2483" t="n">
        <v>1603</v>
      </c>
      <c r="R2483" t="inlineStr">
        <is>
          <t>InStock</t>
        </is>
      </c>
      <c r="S2483" t="inlineStr">
        <is>
          <t>179.32</t>
        </is>
      </c>
      <c r="T2483" t="inlineStr">
        <is>
          <t>1828453187684</t>
        </is>
      </c>
    </row>
    <row r="2484" ht="87" customHeight="1">
      <c r="A2484" s="2">
        <f>HYPERLINK("https://edmondsonsupply.com/collections/hvac/products/klein-tools-32527-11-in-1-screwdriver-nut-driver-with-schrader%C2%AE-bit", "https://edmondsonsupply.com/collections/hvac/products/klein-tools-32527-11-in-1-screwdriver-nut-driver-with-schrader%C2%AE-bit")</f>
        <v/>
      </c>
      <c r="B2484" s="2">
        <f>HYPERLINK("https://edmondsonsupply.com/products/klein-tools-32527-11-in-1-screwdriver-nut-driver-with-schrader%c2%ae-bit", "https://edmondsonsupply.com/products/klein-tools-32527-11-in-1-screwdriver-nut-driver-with-schrader%c2%ae-bit")</f>
        <v/>
      </c>
      <c r="C2484" t="inlineStr">
        <is>
          <t>Klein Tools 32527 Multi-Bit Screwdriver / Nut Driver, 11-in-1, Ph, Sl, Sq, Schrader Bits</t>
        </is>
      </c>
      <c r="D2484" t="inlineStr">
        <is>
          <t>Klein Tools 32527 Multi-Bit Screwdriver / Nut Driver, 11-in-1 with Phillips, Slotted, Square, and Schrader Bits and Nut Drivers</t>
        </is>
      </c>
      <c r="E2484" s="2">
        <f>HYPERLINK("https://www.amazon.com/Screwdriver-Phillips-Klein-Tools-32527/dp/B004RIDKHQ/ref=sr_1_1?keywords=Klein+Tools+32527+Multi-Bit+Screwdriver+%2F+Nut+Driver%2C+11-in-1%2C+Ph%2C+Sl%2C+Sq%2C+Schrader+Bits&amp;qid=1694734779&amp;sr=8-1", "https://www.amazon.com/Screwdriver-Phillips-Klein-Tools-32527/dp/B004RIDKHQ/ref=sr_1_1?keywords=Klein+Tools+32527+Multi-Bit+Screwdriver+%2F+Nut+Driver%2C+11-in-1%2C+Ph%2C+Sl%2C+Sq%2C+Schrader+Bits&amp;qid=1694734779&amp;sr=8-1")</f>
        <v/>
      </c>
      <c r="F2484" t="inlineStr">
        <is>
          <t>B004RIDKHQ</t>
        </is>
      </c>
      <c r="G2484">
        <f>_xlfn.IMAGE("https://edmondsonsupply.com/cdn/shop/products/32527.jpg?v=1587146830")</f>
        <v/>
      </c>
      <c r="H2484">
        <f>_xlfn.IMAGE("https://m.media-amazon.com/images/I/41cLxI0Af5L._AC_UL320_.jpg")</f>
        <v/>
      </c>
      <c r="K2484" t="inlineStr">
        <is>
          <t>15.97</t>
        </is>
      </c>
      <c r="L2484" t="n">
        <v>15.97</v>
      </c>
      <c r="M2484" s="1" t="inlineStr">
        <is>
          <t>0.00%</t>
        </is>
      </c>
      <c r="N2484" s="7" t="n">
        <v>493.39</v>
      </c>
      <c r="O2484" t="n">
        <v>4.8</v>
      </c>
      <c r="P2484" t="n">
        <v>4201</v>
      </c>
      <c r="R2484" t="inlineStr">
        <is>
          <t>InStock</t>
        </is>
      </c>
      <c r="S2484" t="inlineStr">
        <is>
          <t>27.52</t>
        </is>
      </c>
      <c r="T2484" t="inlineStr">
        <is>
          <t>3683661480036</t>
        </is>
      </c>
    </row>
    <row r="2485" ht="87" customHeight="1">
      <c r="A2485" s="2">
        <f>HYPERLINK("https://edmondsonsupply.com/collections/hvac/products/milwaukee-48-22-9725m-25ft-stud%E2%84%A2-magnetic-tape-measure", "https://edmondsonsupply.com/collections/hvac/products/milwaukee-48-22-9725m-25ft-stud%E2%84%A2-magnetic-tape-measure")</f>
        <v/>
      </c>
      <c r="B2485" s="2">
        <f>HYPERLINK("https://edmondsonsupply.com/products/milwaukee-48-22-9725m-25ft-stud%e2%84%a2-magnetic-tape-measure", "https://edmondsonsupply.com/products/milwaukee-48-22-9725m-25ft-stud%e2%84%a2-magnetic-tape-measure")</f>
        <v/>
      </c>
      <c r="C2485" t="inlineStr">
        <is>
          <t>Milwaukee 48-22-9725M 25ft STUD™ Magnetic Tape Measure</t>
        </is>
      </c>
      <c r="D2485" t="inlineStr">
        <is>
          <t>Milwaukee 48-22-9725M STUD 25 ft. Magnetic Tape Measure</t>
        </is>
      </c>
      <c r="E2485" s="2">
        <f>HYPERLINK("https://www.amazon.com/MILWAUKEE-25ft-Magnetic-STUD-Tape/dp/B07YKXVYJV/ref=sr_1_2?keywords=Milwaukee+48-22-9725M+25ft+STUD%E2%84%A2+Magnetic+Tape+Measure&amp;qid=1694734817&amp;sr=8-2", "https://www.amazon.com/MILWAUKEE-25ft-Magnetic-STUD-Tape/dp/B07YKXVYJV/ref=sr_1_2?keywords=Milwaukee+48-22-9725M+25ft+STUD%E2%84%A2+Magnetic+Tape+Measure&amp;qid=1694734817&amp;sr=8-2")</f>
        <v/>
      </c>
      <c r="F2485" t="inlineStr">
        <is>
          <t>B07YKXVYJV</t>
        </is>
      </c>
      <c r="G2485">
        <f>_xlfn.IMAGE("https://edmondsonsupply.com/cdn/shop/products/9725m.png?v=1587146106")</f>
        <v/>
      </c>
      <c r="H2485">
        <f>_xlfn.IMAGE("https://m.media-amazon.com/images/I/61WCXAmfPjL._AC_UL320_.jpg")</f>
        <v/>
      </c>
      <c r="K2485" t="inlineStr">
        <is>
          <t>32.97</t>
        </is>
      </c>
      <c r="L2485" t="n">
        <v>32.97</v>
      </c>
      <c r="M2485" s="1" t="inlineStr">
        <is>
          <t>0.00%</t>
        </is>
      </c>
      <c r="N2485" s="7" t="n">
        <v>489.22</v>
      </c>
      <c r="O2485" t="n">
        <v>4.2</v>
      </c>
      <c r="P2485" t="n">
        <v>24</v>
      </c>
      <c r="R2485" t="inlineStr">
        <is>
          <t>InStock</t>
        </is>
      </c>
      <c r="S2485" t="inlineStr">
        <is>
          <t>46.4</t>
        </is>
      </c>
      <c r="T2485" t="inlineStr">
        <is>
          <t>4389581717604</t>
        </is>
      </c>
    </row>
    <row r="2486" hidden="1" ht="15.75" customHeight="1">
      <c r="A2486" s="2">
        <f>HYPERLINK("https://edmondsonsupply.com/collections/hvac/products/klein-tools-mag2-magnetizer-demagnetizer", "https://edmondsonsupply.com/collections/hvac/products/klein-tools-mag2-magnetizer-demagnetizer")</f>
        <v/>
      </c>
      <c r="B2486" s="2">
        <f>HYPERLINK("https://edmondsonsupply.com/products/klein-tools-mag2-magnetizer-demagnetizer", "https://edmondsonsupply.com/products/klein-tools-mag2-magnetizer-demagnetizer")</f>
        <v/>
      </c>
      <c r="C2486" t="inlineStr">
        <is>
          <t>Klein Tools MAG2 Magnetizer / Demagnetizer</t>
        </is>
      </c>
      <c r="D2486" t="inlineStr">
        <is>
          <t>Klein Tools MAG2 Demagnetizer / Magnetizer for Screwdriver Bits and Tips, Makes Tools Magnetic with Powerful Rare-Earth Magnet</t>
        </is>
      </c>
      <c r="E2486" s="2">
        <f>HYPERLINK("https://www.amazon.com/Demagnetizer-Screwdriver-Klein-Tools-MAG2/dp/B074RMH9VL/ref=sr_1_1?keywords=Klein+Tools+MAG2+Magnetizer+%2F+Demagnetizer&amp;qid=1694734636&amp;sr=8-1", "https://www.amazon.com/Demagnetizer-Screwdriver-Klein-Tools-MAG2/dp/B074RMH9VL/ref=sr_1_1?keywords=Klein+Tools+MAG2+Magnetizer+%2F+Demagnetizer&amp;qid=1694734636&amp;sr=8-1")</f>
        <v/>
      </c>
      <c r="F2486" t="inlineStr">
        <is>
          <t>B074RMH9VL</t>
        </is>
      </c>
      <c r="G2486">
        <f>_xludf.IMAGE("https://edmondsonsupply.com/cdn/shop/products/mag2.jpg?v=1587145008")</f>
        <v/>
      </c>
      <c r="H2486">
        <f>_xludf.IMAGE("https://m.media-amazon.com/images/I/51CaSCI4PCL._AC_UL320_.jpg")</f>
        <v/>
      </c>
      <c r="K2486" t="inlineStr">
        <is>
          <t>9.97</t>
        </is>
      </c>
      <c r="L2486" t="n">
        <v>9.970000000000001</v>
      </c>
      <c r="M2486" s="1" t="inlineStr">
        <is>
          <t>0.00%</t>
        </is>
      </c>
      <c r="N2486" s="1" t="n">
        <v>484.77</v>
      </c>
      <c r="O2486" t="n">
        <v>4.7</v>
      </c>
      <c r="P2486" t="n">
        <v>7438</v>
      </c>
      <c r="R2486" t="inlineStr">
        <is>
          <t>InStock</t>
        </is>
      </c>
      <c r="S2486" t="inlineStr">
        <is>
          <t>13.96</t>
        </is>
      </c>
      <c r="T2486" t="inlineStr">
        <is>
          <t>1706086858852</t>
        </is>
      </c>
    </row>
    <row r="2487" ht="87" customHeight="1">
      <c r="A2487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487" s="2">
        <f>HYPERLINK("https://edmondsonsupply.com/products/klein-tools-11053-klein-kurve%c2%ae-wire-stripper-cutter", "https://edmondsonsupply.com/products/klein-tools-11053-klein-kurve%c2%ae-wire-stripper-cutter")</f>
        <v/>
      </c>
      <c r="C2487" t="inlineStr">
        <is>
          <t>Klein Tools 11053 Klein-Kurve® Wire Stripper/Cutter</t>
        </is>
      </c>
      <c r="D2487" t="inlineStr">
        <is>
          <t>Klein Tools 1019 Klein Kurve Wire Stripper / Crimper / Cutter for B and IDC Connectors, Terminals, More</t>
        </is>
      </c>
      <c r="E2487" s="2">
        <f>HYPERLINK("https://www.amazon.com/Klein-Tools-1019-Connectors-Terminals/dp/B07GFYBW4V/ref=sr_1_7?keywords=Klein+Tools+11053+Klein-Kurve%C2%AE+Wire+Stripper%2FCutter&amp;qid=1694734664&amp;sr=8-7", "https://www.amazon.com/Klein-Tools-1019-Connectors-Terminals/dp/B07GFYBW4V/ref=sr_1_7?keywords=Klein+Tools+11053+Klein-Kurve%C2%AE+Wire+Stripper%2FCutter&amp;qid=1694734664&amp;sr=8-7")</f>
        <v/>
      </c>
      <c r="F2487" t="inlineStr">
        <is>
          <t>B07GFYBW4V</t>
        </is>
      </c>
      <c r="G2487">
        <f>_xlfn.IMAGE("https://edmondsonsupply.com/cdn/shop/products/11053.jpg?v=1633030511")</f>
        <v/>
      </c>
      <c r="H2487">
        <f>_xlfn.IMAGE("https://m.media-amazon.com/images/I/41CdFsk2lFL._AC_UL320_.jpg")</f>
        <v/>
      </c>
      <c r="K2487" t="inlineStr">
        <is>
          <t>20.97</t>
        </is>
      </c>
      <c r="L2487" t="n">
        <v>20.97</v>
      </c>
      <c r="M2487" s="1" t="inlineStr">
        <is>
          <t>0.00%</t>
        </is>
      </c>
      <c r="N2487" s="7" t="n">
        <v>481.43</v>
      </c>
      <c r="O2487" t="n">
        <v>4.7</v>
      </c>
      <c r="P2487" t="n">
        <v>1795</v>
      </c>
      <c r="R2487" t="inlineStr">
        <is>
          <t>InStock</t>
        </is>
      </c>
      <c r="S2487" t="inlineStr">
        <is>
          <t>31.76</t>
        </is>
      </c>
      <c r="T2487" t="inlineStr">
        <is>
          <t>5387171299496</t>
        </is>
      </c>
    </row>
    <row r="2488" ht="87" customHeight="1">
      <c r="A2488" s="2">
        <f>HYPERLINK("https://edmondsonsupply.com/collections/hvac/products/klein-tools-56380-multi-groove-fiberglass-fish-tape-with-spiral-steel-leader-100-foot", "https://edmondsonsupply.com/collections/hvac/products/klein-tools-56380-multi-groove-fiberglass-fish-tape-with-spiral-steel-leader-100-foot")</f>
        <v/>
      </c>
      <c r="B2488" s="2">
        <f>HYPERLINK("https://edmondsonsupply.com/products/klein-tools-56380-multi-groove-fiberglass-fish-tape-with-spiral-steel-leader-100-foot", "https://edmondsonsupply.com/products/klein-tools-56380-multi-groove-fiberglass-fish-tape-with-spiral-steel-leader-100-foot")</f>
        <v/>
      </c>
      <c r="C2488" t="inlineStr">
        <is>
          <t>Klein Tools 56380 Multi-Groove Fiberglass Fish Tape with Spiral Steel Leader, 100-Foot</t>
        </is>
      </c>
      <c r="D2488" t="inlineStr">
        <is>
          <t>Klein Tools 56380 Non-Conductive Electrical Fish Tape, Multi-Groove Fiberglass Wire Puller with Steel Leader, 100-Foot x 3/16-Inch,Orange/Black</t>
        </is>
      </c>
      <c r="E2488" s="2">
        <f>HYPERLINK("https://www.amazon.com/Klein-Tools-56380-Multi-Groove-Fiberglass/dp/B0822229DW/ref=sr_1_1?keywords=Klein+Tools+56380+Multi-Groove+Fiberglass+Fish+Tape+with+Spiral+Steel+Leader%2C+100-Foot&amp;qid=1694734818&amp;sr=8-1", "https://www.amazon.com/Klein-Tools-56380-Multi-Groove-Fiberglass/dp/B0822229DW/ref=sr_1_1?keywords=Klein+Tools+56380+Multi-Groove+Fiberglass+Fish+Tape+with+Spiral+Steel+Leader%2C+100-Foot&amp;qid=1694734818&amp;sr=8-1")</f>
        <v/>
      </c>
      <c r="F2488" t="inlineStr">
        <is>
          <t>B0822229DW</t>
        </is>
      </c>
      <c r="G2488">
        <f>_xlfn.IMAGE("https://edmondsonsupply.com/cdn/shop/products/56380.jpg?v=1587147762")</f>
        <v/>
      </c>
      <c r="H2488">
        <f>_xlfn.IMAGE("https://m.media-amazon.com/images/I/51m05Po5U+L._AC_UL320_.jpg")</f>
        <v/>
      </c>
      <c r="K2488" t="inlineStr">
        <is>
          <t>139.99</t>
        </is>
      </c>
      <c r="L2488" t="n">
        <v>139.99</v>
      </c>
      <c r="M2488" s="1" t="inlineStr">
        <is>
          <t>0.00%</t>
        </is>
      </c>
      <c r="N2488" s="7" t="n">
        <v>481.23</v>
      </c>
      <c r="O2488" t="n">
        <v>4.7</v>
      </c>
      <c r="P2488" t="n">
        <v>86</v>
      </c>
      <c r="R2488" t="inlineStr">
        <is>
          <t>InStock</t>
        </is>
      </c>
      <c r="S2488" t="inlineStr">
        <is>
          <t>204.42</t>
        </is>
      </c>
      <c r="T2488" t="inlineStr">
        <is>
          <t>4412564602980</t>
        </is>
      </c>
    </row>
    <row r="2489" ht="87" customHeight="1">
      <c r="A2489" s="2">
        <f>HYPERLINK("https://edmondsonsupply.com/collections/hvac/products/klein-tools-80028-electricians-tool-kit-28-piece", "https://edmondsonsupply.com/collections/hvac/products/klein-tools-80028-electricians-tool-kit-28-piece")</f>
        <v/>
      </c>
      <c r="B2489" s="2">
        <f>HYPERLINK("https://edmondsonsupply.com/products/klein-tools-80028-electricians-tool-kit-28-piece", "https://edmondsonsupply.com/products/klein-tools-80028-electricians-tool-kit-28-piece")</f>
        <v/>
      </c>
      <c r="C2489" t="inlineStr">
        <is>
          <t>Klein Tools 80028 Electrician's Tool Kit, 28-Piece</t>
        </is>
      </c>
      <c r="D2489" t="inlineStr">
        <is>
          <t>Klein Tools 80028 Hand Tools Kit includes Pliers, Screwdrivers, Nut Drivers, Backpack, and More Jobsite Tools, 28-Piece</t>
        </is>
      </c>
      <c r="E2489" s="2">
        <f>HYPERLINK("https://www.amazon.com/Electrician-Hand-Tools-Set-Screwdrivers/dp/B000WMTFWU/ref=sr_1_1?keywords=Klein+Tools+80028+Electrician%27s+Tool+Kit%2C+28-Piece&amp;qid=1694734712&amp;sr=8-1", "https://www.amazon.com/Electrician-Hand-Tools-Set-Screwdrivers/dp/B000WMTFWU/ref=sr_1_1?keywords=Klein+Tools+80028+Electrician%27s+Tool+Kit%2C+28-Piece&amp;qid=1694734712&amp;sr=8-1")</f>
        <v/>
      </c>
      <c r="F2489" t="inlineStr">
        <is>
          <t>B000WMTFWU</t>
        </is>
      </c>
      <c r="G2489">
        <f>_xlfn.IMAGE("https://edmondsonsupply.com/cdn/shop/files/80028_d.jpg?v=1686062794")</f>
        <v/>
      </c>
      <c r="H2489">
        <f>_xlfn.IMAGE("https://m.media-amazon.com/images/I/61JKmwD3AjL._AC_UL320_.jpg")</f>
        <v/>
      </c>
      <c r="K2489" t="inlineStr">
        <is>
          <t>414.99</t>
        </is>
      </c>
      <c r="L2489" t="n">
        <v>414.99</v>
      </c>
      <c r="M2489" s="1" t="inlineStr">
        <is>
          <t>0.00%</t>
        </is>
      </c>
      <c r="N2489" s="7" t="n">
        <v>480.48</v>
      </c>
      <c r="O2489" t="n">
        <v>4.6</v>
      </c>
      <c r="P2489" t="n">
        <v>360</v>
      </c>
      <c r="R2489" t="inlineStr">
        <is>
          <t>InStock</t>
        </is>
      </c>
      <c r="S2489" t="inlineStr">
        <is>
          <t>628.74</t>
        </is>
      </c>
      <c r="T2489" t="inlineStr">
        <is>
          <t>5868172214440</t>
        </is>
      </c>
    </row>
    <row r="2490" ht="87" customHeight="1">
      <c r="A2490" s="2">
        <f>HYPERLINK("https://edmondsonsupply.com/collections/hvac/products/fieldpiece-dr82-infrared-refrigerant-leak-detector", "https://edmondsonsupply.com/collections/hvac/products/fieldpiece-dr82-infrared-refrigerant-leak-detector")</f>
        <v/>
      </c>
      <c r="B2490" s="2">
        <f>HYPERLINK("https://edmondsonsupply.com/products/fieldpiece-dr82-infrared-refrigerant-leak-detector", "https://edmondsonsupply.com/products/fieldpiece-dr82-infrared-refrigerant-leak-detector")</f>
        <v/>
      </c>
      <c r="C2490" t="inlineStr">
        <is>
          <t>Fieldpiece DR82 Infrared Refrigerant Leak Detector</t>
        </is>
      </c>
      <c r="D2490" t="inlineStr">
        <is>
          <t>Fieldpiece DR82 - Battery Powered Infrared Refrigerant Leak Detector</t>
        </is>
      </c>
      <c r="E2490" s="2">
        <f>HYPERLINK("https://www.amazon.com/Fieldpiece-DR82-Infrared-Refrigerant-Detector/dp/B09G963HQ6/ref=sr_1_1?keywords=Fieldpiece+DR82+Infrared+Refrigerant+Leak+Detector&amp;qid=1694734641&amp;sr=8-1", "https://www.amazon.com/Fieldpiece-DR82-Infrared-Refrigerant-Detector/dp/B09G963HQ6/ref=sr_1_1?keywords=Fieldpiece+DR82+Infrared+Refrigerant+Leak+Detector&amp;qid=1694734641&amp;sr=8-1")</f>
        <v/>
      </c>
      <c r="F2490" t="inlineStr">
        <is>
          <t>B09G963HQ6</t>
        </is>
      </c>
      <c r="G2490">
        <f>_xlfn.IMAGE("https://edmondsonsupply.com/cdn/shop/products/DR82-Product-01-300dpi-scaled.jpg?v=1633031061")</f>
        <v/>
      </c>
      <c r="H2490">
        <f>_xlfn.IMAGE("https://m.media-amazon.com/images/I/41qDPe6seAL._AC_UL320_.jpg")</f>
        <v/>
      </c>
      <c r="K2490" t="inlineStr">
        <is>
          <t>476.85</t>
        </is>
      </c>
      <c r="L2490" t="n">
        <v>476.85</v>
      </c>
      <c r="M2490" s="1" t="inlineStr">
        <is>
          <t>0.00%</t>
        </is>
      </c>
      <c r="N2490" s="7" t="n">
        <v>479.35</v>
      </c>
      <c r="O2490" t="n">
        <v>4.7</v>
      </c>
      <c r="P2490" t="n">
        <v>85</v>
      </c>
      <c r="R2490" t="inlineStr">
        <is>
          <t>InStock</t>
        </is>
      </c>
      <c r="S2490" t="inlineStr">
        <is>
          <t>561.0</t>
        </is>
      </c>
      <c r="T2490" t="inlineStr">
        <is>
          <t>6819628613805</t>
        </is>
      </c>
    </row>
    <row r="2491" ht="87" customHeight="1">
      <c r="A2491" s="2">
        <f>HYPERLINK("https://edmondsonsupply.com/collections/hvac/products/ritchie-yellow-jacket-93850-superevac%E2%84%A2-evacuation-manifold", "https://edmondsonsupply.com/collections/hvac/products/ritchie-yellow-jacket-93850-superevac%E2%84%A2-evacuation-manifold")</f>
        <v/>
      </c>
      <c r="B2491" s="2">
        <f>HYPERLINK("https://edmondsonsupply.com/products/ritchie-yellow-jacket-93850-superevac%e2%84%a2-evacuation-manifold", "https://edmondsonsupply.com/products/ritchie-yellow-jacket-93850-superevac%e2%84%a2-evacuation-manifold")</f>
        <v/>
      </c>
      <c r="C2491" t="inlineStr">
        <is>
          <t>Yellow Jacket 93850 SuperEvac™ Evacuation Manifold</t>
        </is>
      </c>
      <c r="D2491" t="inlineStr">
        <is>
          <t>Yellow Jacket 93850 Evacuation Manifold,</t>
        </is>
      </c>
      <c r="E2491" s="2">
        <f>HYPERLINK("https://www.amazon.com/Yellow-Jacket-93850-Evacuation-Manifold/dp/B009AX63JA/ref=sr_1_1?keywords=Yellow+Jacket+93850+SuperEvac%E2%84%A2+Evacuation+Manifold&amp;qid=1694734831&amp;sr=8-1", "https://www.amazon.com/Yellow-Jacket-93850-Evacuation-Manifold/dp/B009AX63JA/ref=sr_1_1?keywords=Yellow+Jacket+93850+SuperEvac%E2%84%A2+Evacuation+Manifold&amp;qid=1694734831&amp;sr=8-1")</f>
        <v/>
      </c>
      <c r="F2491" t="inlineStr">
        <is>
          <t>B009AX63JA</t>
        </is>
      </c>
      <c r="G2491">
        <f>_xlfn.IMAGE("https://edmondsonsupply.com/cdn/shop/products/YJ_93850.jpg?v=1587142452")</f>
        <v/>
      </c>
      <c r="H2491">
        <f>_xlfn.IMAGE("https://m.media-amazon.com/images/I/716qn3QqtWL._AC_UL320_.jpg")</f>
        <v/>
      </c>
      <c r="K2491" t="inlineStr">
        <is>
          <t>112.31</t>
        </is>
      </c>
      <c r="L2491" t="n">
        <v>112.31</v>
      </c>
      <c r="M2491" s="1" t="inlineStr">
        <is>
          <t>0.00%</t>
        </is>
      </c>
      <c r="N2491" s="7" t="n">
        <v>478.82</v>
      </c>
      <c r="O2491" t="n">
        <v>4.6</v>
      </c>
      <c r="P2491" t="n">
        <v>149</v>
      </c>
      <c r="R2491" t="inlineStr">
        <is>
          <t>InStock</t>
        </is>
      </c>
      <c r="S2491" t="inlineStr">
        <is>
          <t>undefined</t>
        </is>
      </c>
      <c r="T2491" t="inlineStr">
        <is>
          <t>2503530250340</t>
        </is>
      </c>
    </row>
    <row r="2492" ht="87" customHeight="1">
      <c r="A2492" s="2">
        <f>HYPERLINK("https://edmondsonsupply.com/collections/hvac/products/wiha-tools-70486-6-piece-color-coded-magnetic-nut-setter-sae-set", "https://edmondsonsupply.com/collections/hvac/products/wiha-tools-70486-6-piece-color-coded-magnetic-nut-setter-sae-set")</f>
        <v/>
      </c>
      <c r="B2492" s="2">
        <f>HYPERLINK("https://edmondsonsupply.com/products/wiha-tools-70486-6-piece-color-coded-magnetic-nut-setter-sae-set", "https://edmondsonsupply.com/products/wiha-tools-70486-6-piece-color-coded-magnetic-nut-setter-sae-set")</f>
        <v/>
      </c>
      <c r="C2492" t="inlineStr">
        <is>
          <t>Wiha Tools 70486 6 Piece Color Coded Magnetic Nut Setter SAE Set</t>
        </is>
      </c>
      <c r="D2492" t="inlineStr">
        <is>
          <t>Wiha 70486 | 6 Piece Color Coded Magnetic Nut Setter Set</t>
        </is>
      </c>
      <c r="E2492" s="2">
        <f>HYPERLINK("https://www.amazon.com/Wiha-70486-Color-Coded-Setter/dp/B07MPK4Z4X/ref=sr_1_1?keywords=Wiha+Tools+70486+6+Piece+Color+Coded+Magnetic+Nut+Setter+SAE+Set&amp;qid=1694734870&amp;sr=8-1", "https://www.amazon.com/Wiha-70486-Color-Coded-Setter/dp/B07MPK4Z4X/ref=sr_1_1?keywords=Wiha+Tools+70486+6+Piece+Color+Coded+Magnetic+Nut+Setter+SAE+Set&amp;qid=1694734870&amp;sr=8-1")</f>
        <v/>
      </c>
      <c r="F2492" t="inlineStr">
        <is>
          <t>B07MPK4Z4X</t>
        </is>
      </c>
      <c r="G2492">
        <f>_xlfn.IMAGE("https://edmondsonsupply.com/cdn/shop/files/yd5nbnqyuwli1mnwhztl_1000x_327efac2-5e06-44b8-a018-f96fc21e85ad.webp?v=1690908507")</f>
        <v/>
      </c>
      <c r="H2492">
        <f>_xlfn.IMAGE("https://m.media-amazon.com/images/I/61s54c6bMYL._AC_UL320_.jpg")</f>
        <v/>
      </c>
      <c r="K2492" t="inlineStr">
        <is>
          <t>39.98</t>
        </is>
      </c>
      <c r="L2492" t="n">
        <v>39.98</v>
      </c>
      <c r="M2492" s="1" t="inlineStr">
        <is>
          <t>0.00%</t>
        </is>
      </c>
      <c r="N2492" s="7" t="n">
        <v>477.29</v>
      </c>
      <c r="O2492" t="n">
        <v>4.7</v>
      </c>
      <c r="P2492" t="n">
        <v>2064</v>
      </c>
      <c r="R2492" t="inlineStr">
        <is>
          <t>InStock</t>
        </is>
      </c>
      <c r="S2492" t="inlineStr">
        <is>
          <t>57.18</t>
        </is>
      </c>
      <c r="T2492" t="inlineStr">
        <is>
          <t>8023447011544</t>
        </is>
      </c>
    </row>
    <row r="2493" ht="87" customHeight="1">
      <c r="A2493" s="2">
        <f>HYPERLINK("https://edmondsonsupply.com/collections/hvac/products/fieldpiece-vp87-8-cfm-vacuum-pump", "https://edmondsonsupply.com/collections/hvac/products/fieldpiece-vp87-8-cfm-vacuum-pump")</f>
        <v/>
      </c>
      <c r="B2493" s="2">
        <f>HYPERLINK("https://edmondsonsupply.com/products/fieldpiece-vp87-8-cfm-vacuum-pump", "https://edmondsonsupply.com/products/fieldpiece-vp87-8-cfm-vacuum-pump")</f>
        <v/>
      </c>
      <c r="C2493" t="inlineStr">
        <is>
          <t>Fieldpiece VP87 – 8 CFM Vacuum Pump</t>
        </is>
      </c>
      <c r="D2493" t="inlineStr">
        <is>
          <t>Fieldpiece VP87 - Dual Stage, 8 CFM Vacuum Pump</t>
        </is>
      </c>
      <c r="E2493" s="2">
        <f>HYPERLINK("https://www.amazon.com/Fieldpiece-VP87-Dual-Stage-Vacuum/dp/B096ZF285M/ref=sr_1_1?keywords=Fieldpiece+VP87+%E2%80%93+8+CFM+Vacuum+Pump&amp;qid=1694734711&amp;sr=8-1", "https://www.amazon.com/Fieldpiece-VP87-Dual-Stage-Vacuum/dp/B096ZF285M/ref=sr_1_1?keywords=Fieldpiece+VP87+%E2%80%93+8+CFM+Vacuum+Pump&amp;qid=1694734711&amp;sr=8-1")</f>
        <v/>
      </c>
      <c r="F2493" t="inlineStr">
        <is>
          <t>B096ZF285M</t>
        </is>
      </c>
      <c r="G2493">
        <f>_xlfn.IMAGE("https://edmondsonsupply.com/cdn/shop/products/VP87-02-300dpi-scaled.jpg?v=1633031057")</f>
        <v/>
      </c>
      <c r="H2493">
        <f>_xlfn.IMAGE("https://m.media-amazon.com/images/I/514A-EXpMnL._AC_UL320_.jpg")</f>
        <v/>
      </c>
      <c r="K2493" t="inlineStr">
        <is>
          <t>710.6</t>
        </is>
      </c>
      <c r="L2493" t="n">
        <v>710.6</v>
      </c>
      <c r="M2493" s="1" t="inlineStr">
        <is>
          <t>0.00%</t>
        </is>
      </c>
      <c r="N2493" s="7" t="n">
        <v>477.29</v>
      </c>
      <c r="O2493" t="n">
        <v>4.7</v>
      </c>
      <c r="P2493" t="n">
        <v>68</v>
      </c>
      <c r="R2493" t="inlineStr">
        <is>
          <t>InStock</t>
        </is>
      </c>
      <c r="S2493" t="inlineStr">
        <is>
          <t>836.0</t>
        </is>
      </c>
      <c r="T2493" t="inlineStr">
        <is>
          <t>6811423047853</t>
        </is>
      </c>
    </row>
    <row r="2494" ht="87" customHeight="1">
      <c r="A2494" s="2">
        <f>HYPERLINK("https://edmondsonsupply.com/collections/hvac/products/supco-spp6e-super-boost-e-series-electronic-potential-relay-hard-start-capacitor", "https://edmondsonsupply.com/collections/hvac/products/supco-spp6e-super-boost-e-series-electronic-potential-relay-hard-start-capacitor")</f>
        <v/>
      </c>
      <c r="B2494" s="2">
        <f>HYPERLINK("https://edmondsonsupply.com/products/supco-spp6e-super-boost-e-series-electronic-potential-relay-hard-start-capacitor", "https://edmondsonsupply.com/products/supco-spp6e-super-boost-e-series-electronic-potential-relay-hard-start-capacitor")</f>
        <v/>
      </c>
      <c r="C2494" t="inlineStr">
        <is>
          <t>Supco SPP6E Super Boost E Series Electronic Potential Relay/Hard Start Capacitor</t>
        </is>
      </c>
      <c r="D2494" t="inlineStr">
        <is>
          <t>Supco SPP6E E Series Electronic Potential Relay Style Hard Start Kit, 1/2 - 3 Horsepower Range, 88-106F Capacitor Size</t>
        </is>
      </c>
      <c r="E2494" s="2">
        <f>HYPERLINK("https://www.amazon.com/Supco-SPP6E-Electronic-Potential-Relay/dp/B002JP3MEK/ref=sr_1_1?keywords=Supco+SPP6E+Super+Boost+E+Series+Electronic+Potential+Relay%2FHard+Start+Capacitor&amp;qid=1694734641&amp;sr=8-1", "https://www.amazon.com/Supco-SPP6E-Electronic-Potential-Relay/dp/B002JP3MEK/ref=sr_1_1?keywords=Supco+SPP6E+Super+Boost+E+Series+Electronic+Potential+Relay%2FHard+Start+Capacitor&amp;qid=1694734641&amp;sr=8-1")</f>
        <v/>
      </c>
      <c r="F2494" t="inlineStr">
        <is>
          <t>B002JP3MEK</t>
        </is>
      </c>
      <c r="G2494">
        <f>_xlfn.IMAGE("https://edmondsonsupply.com/cdn/shop/products/57_2_e5a6f6c4-64ac-4a3f-a1cc-c6509993a3e9.jpg?v=1654215635")</f>
        <v/>
      </c>
      <c r="H2494">
        <f>_xlfn.IMAGE("https://m.media-amazon.com/images/I/814y4Zo9Y0L._AC_UY218_.jpg")</f>
        <v/>
      </c>
      <c r="K2494" t="inlineStr">
        <is>
          <t>22.5</t>
        </is>
      </c>
      <c r="L2494" t="n">
        <v>22.5</v>
      </c>
      <c r="M2494" s="1" t="inlineStr">
        <is>
          <t>0.00%</t>
        </is>
      </c>
      <c r="N2494" s="7" t="n">
        <v>475.38</v>
      </c>
      <c r="O2494" t="n">
        <v>4.6</v>
      </c>
      <c r="P2494" t="n">
        <v>364</v>
      </c>
      <c r="R2494" t="inlineStr">
        <is>
          <t>InStock</t>
        </is>
      </c>
      <c r="S2494" t="inlineStr">
        <is>
          <t>undefined</t>
        </is>
      </c>
      <c r="T2494" t="inlineStr">
        <is>
          <t>7705761153240</t>
        </is>
      </c>
    </row>
    <row r="2495" ht="87" customHeight="1">
      <c r="A2495" s="2">
        <f>HYPERLINK("https://edmondsonsupply.com/collections/hvac/products/klein-tools-62811-reusable-cooler-ice-packs-2-pack", "https://edmondsonsupply.com/collections/hvac/products/klein-tools-62811-reusable-cooler-ice-packs-2-pack")</f>
        <v/>
      </c>
      <c r="B2495" s="2">
        <f>HYPERLINK("https://edmondsonsupply.com/products/klein-tools-62811-reusable-cooler-ice-packs-2-pack", "https://edmondsonsupply.com/products/klein-tools-62811-reusable-cooler-ice-packs-2-pack")</f>
        <v/>
      </c>
      <c r="C2495" t="inlineStr">
        <is>
          <t>Klein Tools 62811 Reusable Cooler Ice Packs, 2-Pack</t>
        </is>
      </c>
      <c r="D2495" t="inlineStr">
        <is>
          <t>Klein Tools 62811 Reusable Ice Packs for Cooler Bags and Lunch Boxes, Interlocking Design, Heavy Duty for Daily Use, Quick Freeze, 2-Pack</t>
        </is>
      </c>
      <c r="E2495" s="2">
        <f>HYPERLINK("https://www.amazon.com/Klein-Tools-62811-Reusable-Interlocking/dp/B0C4RK78PC/ref=sr_1_1?keywords=Klein+Tools+62811+Reusable+Cooler+Ice+Packs%2C+2-Pack&amp;qid=1694734884&amp;sr=8-1", "https://www.amazon.com/Klein-Tools-62811-Reusable-Interlocking/dp/B0C4RK78PC/ref=sr_1_1?keywords=Klein+Tools+62811+Reusable+Cooler+Ice+Packs%2C+2-Pack&amp;qid=1694734884&amp;sr=8-1")</f>
        <v/>
      </c>
      <c r="F2495" t="inlineStr">
        <is>
          <t>B0C4RK78PC</t>
        </is>
      </c>
      <c r="G2495">
        <f>_xlfn.IMAGE("https://edmondsonsupply.com/cdn/shop/files/62811.jpg?v=1689856974")</f>
        <v/>
      </c>
      <c r="H2495">
        <f>_xlfn.IMAGE("https://m.media-amazon.com/images/I/618hzjOT44L._AC_UL320_.jpg")</f>
        <v/>
      </c>
      <c r="K2495" t="inlineStr">
        <is>
          <t>19.99</t>
        </is>
      </c>
      <c r="L2495" t="n">
        <v>19.99</v>
      </c>
      <c r="M2495" s="1" t="inlineStr">
        <is>
          <t>0.00%</t>
        </is>
      </c>
      <c r="N2495" s="7" t="n">
        <v>471.77</v>
      </c>
      <c r="O2495" t="n">
        <v>4.6</v>
      </c>
      <c r="P2495" t="n">
        <v>9</v>
      </c>
      <c r="R2495" t="inlineStr">
        <is>
          <t>InStock</t>
        </is>
      </c>
      <c r="S2495" t="inlineStr">
        <is>
          <t>27.98</t>
        </is>
      </c>
      <c r="T2495" t="inlineStr">
        <is>
          <t>8018780717272</t>
        </is>
      </c>
    </row>
    <row r="2496" ht="87" customHeight="1">
      <c r="A2496" s="2">
        <f>HYPERLINK("https://edmondsonsupply.com/collections/hvac/products/fieldpiece-jl3pr", "https://edmondsonsupply.com/collections/hvac/products/fieldpiece-jl3pr")</f>
        <v/>
      </c>
      <c r="B2496" s="2">
        <f>HYPERLINK("https://edmondsonsupply.com/products/fieldpiece-jl3pr", "https://edmondsonsupply.com/products/fieldpiece-jl3pr")</f>
        <v/>
      </c>
      <c r="C2496" t="inlineStr">
        <is>
          <t>Fieldpiece JL3PR Job Link® System Pressure Probe</t>
        </is>
      </c>
      <c r="D2496" t="inlineStr">
        <is>
          <t>Fieldpiece JL3PR Job Link Pressure Probe with Remote Data Logging</t>
        </is>
      </c>
      <c r="E2496" s="2">
        <f>HYPERLINK("https://www.amazon.com/Fieldpiece-JL3PR-Pressure-Remote-Logging/dp/B07DNK7Q3J/ref=sr_1_1?keywords=Fieldpiece+JL3PR+Job+Link%C2%AE+System+Pressure+Probe&amp;qid=1694734677&amp;sr=8-1", "https://www.amazon.com/Fieldpiece-JL3PR-Pressure-Remote-Logging/dp/B07DNK7Q3J/ref=sr_1_1?keywords=Fieldpiece+JL3PR+Job+Link%C2%AE+System+Pressure+Probe&amp;qid=1694734677&amp;sr=8-1")</f>
        <v/>
      </c>
      <c r="F2496" t="inlineStr">
        <is>
          <t>B07DNK7Q3J</t>
        </is>
      </c>
      <c r="G2496">
        <f>_xlfn.IMAGE("https://edmondsonsupply.com/cdn/shop/products/JL3PR-SCR-Product.jpg?v=1633030078")</f>
        <v/>
      </c>
      <c r="H2496">
        <f>_xlfn.IMAGE("https://m.media-amazon.com/images/I/319+Dh8fBFL._AC_UL320_.jpg")</f>
        <v/>
      </c>
      <c r="K2496" t="inlineStr">
        <is>
          <t>121.55</t>
        </is>
      </c>
      <c r="L2496" t="n">
        <v>121.55</v>
      </c>
      <c r="M2496" s="1" t="inlineStr">
        <is>
          <t>0.00%</t>
        </is>
      </c>
      <c r="N2496" s="7" t="n">
        <v>470.77</v>
      </c>
      <c r="O2496" t="n">
        <v>4.8</v>
      </c>
      <c r="P2496" t="n">
        <v>118</v>
      </c>
      <c r="R2496" t="inlineStr">
        <is>
          <t>InStock</t>
        </is>
      </c>
      <c r="S2496" t="inlineStr">
        <is>
          <t>143.0</t>
        </is>
      </c>
      <c r="T2496" t="inlineStr">
        <is>
          <t>3548630712420</t>
        </is>
      </c>
    </row>
    <row r="2497" hidden="1" ht="15.75" customHeight="1">
      <c r="A2497" s="2">
        <f>HYPERLINK("https://edmondsonsupply.com/collections/hvac/products/klein-tools-s6hb-grip-it%E2%84%A2-strap-wrench-1-1-2-to-4-inch-6-inch-handle", "https://edmondsonsupply.com/collections/hvac/products/klein-tools-s6hb-grip-it%E2%84%A2-strap-wrench-1-1-2-to-4-inch-6-inch-handle")</f>
        <v/>
      </c>
      <c r="B2497" s="2">
        <f>HYPERLINK("https://edmondsonsupply.com/products/klein-tools-s6hb-grip-it%e2%84%a2-strap-wrench-1-1-2-to-4-inch-6-inch-handle", "https://edmondsonsupply.com/products/klein-tools-s6hb-grip-it%e2%84%a2-strap-wrench-1-1-2-to-4-inch-6-inch-handle")</f>
        <v/>
      </c>
      <c r="C2497" t="inlineStr">
        <is>
          <t>Klein Tools S6HB Grip-It™ Strap Wrench, 1-1/2 to 4-Inch, 6-Inch Handle</t>
        </is>
      </c>
      <c r="D2497" t="inlineStr">
        <is>
          <t>Klein Tools S6HB Strap Wrench, Adjustable Grip-It Strap Wrench Adjusts 1-1/2 to 4-Inch, 6-Inch Handle</t>
        </is>
      </c>
      <c r="E2497" s="2">
        <f>HYPERLINK("https://www.amazon.com/Klein-Tools-S6HB-Adjustable-Adjusts/dp/B0BN4K6NJ3/ref=sr_1_1?keywords=Klein+Tools+S6HB+Grip-It%E2%84%A2+Strap+Wrench%2C+1-1%2F2+to+4-Inch%2C+6-Inch+Handle&amp;qid=1694734886&amp;sr=8-1", "https://www.amazon.com/Klein-Tools-S6HB-Adjustable-Adjusts/dp/B0BN4K6NJ3/ref=sr_1_1?keywords=Klein+Tools+S6HB+Grip-It%E2%84%A2+Strap+Wrench%2C+1-1%2F2+to+4-Inch%2C+6-Inch+Handle&amp;qid=1694734886&amp;sr=8-1")</f>
        <v/>
      </c>
      <c r="F2497" t="inlineStr">
        <is>
          <t>B0BN4K6NJ3</t>
        </is>
      </c>
      <c r="G2497">
        <f>_xludf.IMAGE("https://edmondsonsupply.com/cdn/shop/files/s6hb_b.jpg?v=1689787234")</f>
        <v/>
      </c>
      <c r="H2497">
        <f>_xludf.IMAGE("https://m.media-amazon.com/images/I/51B-bCYdl9L._AC_UL320_.jpg")</f>
        <v/>
      </c>
      <c r="K2497" t="inlineStr">
        <is>
          <t>14.99</t>
        </is>
      </c>
      <c r="L2497" t="n">
        <v>14.99</v>
      </c>
      <c r="M2497" s="1" t="inlineStr">
        <is>
          <t>0.00%</t>
        </is>
      </c>
      <c r="N2497" s="1" t="n">
        <v>470.01</v>
      </c>
      <c r="O2497" t="n">
        <v>4.2</v>
      </c>
      <c r="P2497" t="n">
        <v>7</v>
      </c>
      <c r="R2497" t="inlineStr">
        <is>
          <t>InStock</t>
        </is>
      </c>
      <c r="S2497" t="inlineStr">
        <is>
          <t>20.98</t>
        </is>
      </c>
      <c r="T2497" t="inlineStr">
        <is>
          <t>8018538725592</t>
        </is>
      </c>
    </row>
    <row r="2498" ht="87" customHeight="1">
      <c r="A2498" s="2">
        <f>HYPERLINK("https://edmondsonsupply.com/collections/hvac/products/fieldpiece-tc24-pipe-clamp-thermocouple-3-8-to-1-3-8-for-air-conditioning", "https://edmondsonsupply.com/collections/hvac/products/fieldpiece-tc24-pipe-clamp-thermocouple-3-8-to-1-3-8-for-air-conditioning")</f>
        <v/>
      </c>
      <c r="B2498" s="2">
        <f>HYPERLINK("https://edmondsonsupply.com/products/fieldpiece-tc24-pipe-clamp-thermocouple-3-8-to-1-3-8-for-air-conditioning", "https://edmondsonsupply.com/products/fieldpiece-tc24-pipe-clamp-thermocouple-3-8-to-1-3-8-for-air-conditioning")</f>
        <v/>
      </c>
      <c r="C2498" t="inlineStr">
        <is>
          <t>Fieldpiece TC24 Pipe Clamp Thermocouple</t>
        </is>
      </c>
      <c r="D2498" t="inlineStr">
        <is>
          <t>Fieldpiece - TC24 – Pipe Clamp Thermocouple</t>
        </is>
      </c>
      <c r="E2498" s="2">
        <f>HYPERLINK("https://www.amazon.com/Fieldpiece-TC24-Refrigerator-Replacement-Parts/dp/B06XXNTVMM/ref=sr_1_1?keywords=Fieldpiece+TC24+Pipe+Clamp+Thermocouple&amp;qid=1694734734&amp;sr=8-1", "https://www.amazon.com/Fieldpiece-TC24-Refrigerator-Replacement-Parts/dp/B06XXNTVMM/ref=sr_1_1?keywords=Fieldpiece+TC24+Pipe+Clamp+Thermocouple&amp;qid=1694734734&amp;sr=8-1")</f>
        <v/>
      </c>
      <c r="F2498" t="inlineStr">
        <is>
          <t>B06XXNTVMM</t>
        </is>
      </c>
      <c r="G2498">
        <f>_xlfn.IMAGE("https://edmondsonsupply.com/cdn/shop/products/TC24-SRC-Product-300dpi.jpg?v=1633030118")</f>
        <v/>
      </c>
      <c r="H2498">
        <f>_xlfn.IMAGE("https://m.media-amazon.com/images/I/51IJYT+2jKL._AC_UY218_.jpg")</f>
        <v/>
      </c>
      <c r="K2498" t="inlineStr">
        <is>
          <t>73.1</t>
        </is>
      </c>
      <c r="L2498" t="n">
        <v>73.09999999999999</v>
      </c>
      <c r="M2498" s="1" t="inlineStr">
        <is>
          <t>0.00%</t>
        </is>
      </c>
      <c r="N2498" s="7" t="n">
        <v>467.33</v>
      </c>
      <c r="O2498" t="n">
        <v>4.7</v>
      </c>
      <c r="P2498" t="n">
        <v>393</v>
      </c>
      <c r="R2498" t="inlineStr">
        <is>
          <t>InStock</t>
        </is>
      </c>
      <c r="S2498" t="inlineStr">
        <is>
          <t>86.0</t>
        </is>
      </c>
      <c r="T2498" t="inlineStr">
        <is>
          <t>3688556494948</t>
        </is>
      </c>
    </row>
    <row r="2499" hidden="1" ht="15.75" customHeight="1">
      <c r="A2499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2499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2499" t="inlineStr">
        <is>
          <t>Klein Tools JTH6E11 3/16-Inch Hex Key, Journeyman T-Handle, 6-Inch</t>
        </is>
      </c>
      <c r="D2499" t="inlineStr">
        <is>
          <t>Klein Tools JTH6E11 3/16-Inch Hex Key with Journeyman T-Handle, 6-Inch</t>
        </is>
      </c>
      <c r="E2499" s="2">
        <f>HYPERLINK("https://www.amazon.com/Journeyman-T-Handle-Klein-Tools-JTH6E11/dp/B004N5WF56/ref=sr_1_1?keywords=Klein+Tools+JTH6E11+3%2F16-Inch+Hex+Key%2C+Journeyman+T-Handle%2C+6-Inch&amp;qid=1694734729&amp;sr=8-1", "https://www.amazon.com/Journeyman-T-Handle-Klein-Tools-JTH6E11/dp/B004N5WF56/ref=sr_1_1?keywords=Klein+Tools+JTH6E11+3%2F16-Inch+Hex+Key%2C+Journeyman+T-Handle%2C+6-Inch&amp;qid=1694734729&amp;sr=8-1")</f>
        <v/>
      </c>
      <c r="F2499" t="inlineStr">
        <is>
          <t>B004N5WF56</t>
        </is>
      </c>
      <c r="G2499">
        <f>_xludf.IMAGE("https://edmondsonsupply.com/cdn/shop/products/jth6e15_0266106d-0a3b-44ba-997b-66db7749d83f.jpg?v=1587144829")</f>
        <v/>
      </c>
      <c r="H2499">
        <f>_xludf.IMAGE("https://m.media-amazon.com/images/I/51Yb8h41vLL._AC_UL320_.jpg")</f>
        <v/>
      </c>
      <c r="K2499" t="inlineStr">
        <is>
          <t>4.99</t>
        </is>
      </c>
      <c r="L2499" t="n">
        <v>4.99</v>
      </c>
      <c r="M2499" s="1" t="inlineStr">
        <is>
          <t>0.00%</t>
        </is>
      </c>
      <c r="N2499" s="1" t="n">
        <v>467</v>
      </c>
      <c r="O2499" t="n">
        <v>4.8</v>
      </c>
      <c r="P2499" t="n">
        <v>2477</v>
      </c>
      <c r="R2499" t="inlineStr">
        <is>
          <t>InStock</t>
        </is>
      </c>
      <c r="S2499" t="inlineStr">
        <is>
          <t>7.56</t>
        </is>
      </c>
      <c r="T2499" t="inlineStr">
        <is>
          <t>4396293947492</t>
        </is>
      </c>
    </row>
    <row r="2500" ht="87" customHeight="1">
      <c r="A2500" s="2">
        <f>HYPERLINK("https://edmondsonsupply.com/collections/hvac/products/klein-tools-2400l-offset-left-cutting-aviation-snips", "https://edmondsonsupply.com/collections/hvac/products/klein-tools-2400l-offset-left-cutting-aviation-snips")</f>
        <v/>
      </c>
      <c r="B2500" s="2">
        <f>HYPERLINK("https://edmondsonsupply.com/products/klein-tools-2400l-offset-left-cutting-aviation-snips", "https://edmondsonsupply.com/products/klein-tools-2400l-offset-left-cutting-aviation-snips")</f>
        <v/>
      </c>
      <c r="C2500" t="inlineStr">
        <is>
          <t>Klein Tools 2400L Offset Left-Cutting Aviation Snips</t>
        </is>
      </c>
      <c r="D2500" t="inlineStr">
        <is>
          <t>Klein Tools 2400L Left-Cutting Offset Snips, Aviation Tin Snips with Forged Blade for Precision Sheet Metal Cutting</t>
        </is>
      </c>
      <c r="E2500" s="2">
        <f>HYPERLINK("https://www.amazon.com/Klein-Tools-2400L-Left-Cutting-Precision/dp/B0C4C13S3C/ref=sr_1_2?keywords=Klein+Tools+2400L+Offset+Left-Cutting+Aviation+Snips&amp;qid=1694734885&amp;sr=8-2", "https://www.amazon.com/Klein-Tools-2400L-Left-Cutting-Precision/dp/B0C4C13S3C/ref=sr_1_2?keywords=Klein+Tools+2400L+Offset+Left-Cutting+Aviation+Snips&amp;qid=1694734885&amp;sr=8-2")</f>
        <v/>
      </c>
      <c r="F2500" t="inlineStr">
        <is>
          <t>B0C4C13S3C</t>
        </is>
      </c>
      <c r="G2500">
        <f>_xlfn.IMAGE("https://edmondsonsupply.com/cdn/shop/files/2400l.jpg?v=1689776251")</f>
        <v/>
      </c>
      <c r="H2500">
        <f>_xlfn.IMAGE("https://m.media-amazon.com/images/I/41Sk47EKT5L._AC_UL320_.jpg")</f>
        <v/>
      </c>
      <c r="K2500" t="inlineStr">
        <is>
          <t>24.99</t>
        </is>
      </c>
      <c r="L2500" t="n">
        <v>24.99</v>
      </c>
      <c r="M2500" s="1" t="inlineStr">
        <is>
          <t>0.00%</t>
        </is>
      </c>
      <c r="N2500" s="7" t="n">
        <v>466.68</v>
      </c>
      <c r="O2500" t="n">
        <v>4.3</v>
      </c>
      <c r="P2500" t="n">
        <v>9</v>
      </c>
      <c r="R2500" t="inlineStr">
        <is>
          <t>InStock</t>
        </is>
      </c>
      <c r="S2500" t="inlineStr">
        <is>
          <t>34.98</t>
        </is>
      </c>
      <c r="T2500" t="inlineStr">
        <is>
          <t>8018502811864</t>
        </is>
      </c>
    </row>
    <row r="2501" ht="87" customHeight="1">
      <c r="A2501" s="2">
        <f>HYPERLINK("https://edmondsonsupply.com/collections/hvac/products/wiha-tools-66981-13-piece-ball-end-color-coded-hex-l-key-set-inch", "https://edmondsonsupply.com/collections/hvac/products/wiha-tools-66981-13-piece-ball-end-color-coded-hex-l-key-set-inch")</f>
        <v/>
      </c>
      <c r="B2501" s="2">
        <f>HYPERLINK("https://edmondsonsupply.com/products/wiha-tools-66981-13-piece-ball-end-color-coded-hex-l-key-set-inch", "https://edmondsonsupply.com/products/wiha-tools-66981-13-piece-ball-end-color-coded-hex-l-key-set-inch")</f>
        <v/>
      </c>
      <c r="C2501" t="inlineStr">
        <is>
          <t>Wiha Tools 66981 13 Piece Ball End Color Coded Hex L-Key Set - Inch</t>
        </is>
      </c>
      <c r="D2501" t="inlineStr">
        <is>
          <t>Wiha 13 Piece Ball End Color Coded Hex L-Key Set - Inch</t>
        </is>
      </c>
      <c r="E2501" s="2">
        <f>HYPERLINK("https://www.amazon.com/Wiha-66981-Color-Coded-Pieces/dp/B085G4FPTW/ref=sr_1_1?keywords=Wiha+Tools+66981+13+Piece+Ball+End+Color+Coded+Hex+L-Key+Set+-+Inch&amp;qid=1694734873&amp;sr=8-1", "https://www.amazon.com/Wiha-66981-Color-Coded-Pieces/dp/B085G4FPTW/ref=sr_1_1?keywords=Wiha+Tools+66981+13+Piece+Ball+End+Color+Coded+Hex+L-Key+Set+-+Inch&amp;qid=1694734873&amp;sr=8-1")</f>
        <v/>
      </c>
      <c r="F2501" t="inlineStr">
        <is>
          <t>B085G4FPTW</t>
        </is>
      </c>
      <c r="G2501">
        <f>_xlfn.IMAGE("https://edmondsonsupply.com/cdn/shop/files/d46e6f2ecefba25ae78922fd12be8f1dc56b6ee6_1000x_1d9d5bc7-c590-4e82-817a-f70a00b88949.webp?v=1690834995")</f>
        <v/>
      </c>
      <c r="H2501">
        <f>_xlfn.IMAGE("https://m.media-amazon.com/images/I/71+g9-ZpGVL._AC_UL320_.jpg")</f>
        <v/>
      </c>
      <c r="K2501" t="inlineStr">
        <is>
          <t>53.42</t>
        </is>
      </c>
      <c r="L2501" t="n">
        <v>53.42</v>
      </c>
      <c r="M2501" s="1" t="inlineStr">
        <is>
          <t>0.00%</t>
        </is>
      </c>
      <c r="N2501" s="7" t="n">
        <v>465.35</v>
      </c>
      <c r="O2501" t="n">
        <v>4.8</v>
      </c>
      <c r="P2501" t="n">
        <v>345</v>
      </c>
      <c r="R2501" t="inlineStr">
        <is>
          <t>InStock</t>
        </is>
      </c>
      <c r="S2501" t="inlineStr">
        <is>
          <t>71.22</t>
        </is>
      </c>
      <c r="T2501" t="inlineStr">
        <is>
          <t>8023253450968</t>
        </is>
      </c>
    </row>
    <row r="2502" ht="87" customHeight="1">
      <c r="A2502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2502" s="2">
        <f>HYPERLINK("https://edmondsonsupply.com/products/klein-tools-935dag-digital-angle-gauge-and-level", "https://edmondsonsupply.com/products/klein-tools-935dag-digital-angle-gauge-and-level")</f>
        <v/>
      </c>
      <c r="C2502" t="inlineStr">
        <is>
          <t>Klein Tools 935DAG Digital Angle Gauge and Level</t>
        </is>
      </c>
      <c r="D2502" t="inlineStr">
        <is>
          <t>Klein Tools 935DAG Digital Electronic Level and Angle Gauge, Measures 0 - 90 and 0 - 180 Degree Ranges, Measures and Sets Angles</t>
        </is>
      </c>
      <c r="E2502" s="2">
        <f>HYPERLINK("https://www.amazon.com/Klein-Tools-935DAG-Electronic-Measures/dp/B07ZWW3BW5/ref=sr_1_1?keywords=Klein+Tools+935DAG+Digital+Angle+Gauge+and+Level&amp;qid=1694734733&amp;sr=8-1", "https://www.amazon.com/Klein-Tools-935DAG-Electronic-Measures/dp/B07ZWW3BW5/ref=sr_1_1?keywords=Klein+Tools+935DAG+Digital+Angle+Gauge+and+Level&amp;qid=1694734733&amp;sr=8-1")</f>
        <v/>
      </c>
      <c r="F2502" t="inlineStr">
        <is>
          <t>B07ZWW3BW5</t>
        </is>
      </c>
      <c r="G2502">
        <f>_xlfn.IMAGE("https://edmondsonsupply.com/cdn/shop/products/935dag.jpg?v=1587145032")</f>
        <v/>
      </c>
      <c r="H2502">
        <f>_xlfn.IMAGE("https://m.media-amazon.com/images/I/61Dwz1IuUgL._AC_UL320_.jpg")</f>
        <v/>
      </c>
      <c r="K2502" t="inlineStr">
        <is>
          <t>29.97</t>
        </is>
      </c>
      <c r="L2502" t="n">
        <v>29.97</v>
      </c>
      <c r="M2502" s="1" t="inlineStr">
        <is>
          <t>0.00%</t>
        </is>
      </c>
      <c r="N2502" s="7" t="n">
        <v>461.19</v>
      </c>
      <c r="O2502" t="n">
        <v>4.8</v>
      </c>
      <c r="P2502" t="n">
        <v>13029</v>
      </c>
      <c r="R2502" t="inlineStr">
        <is>
          <t>InStock</t>
        </is>
      </c>
      <c r="S2502" t="inlineStr">
        <is>
          <t>45.0</t>
        </is>
      </c>
      <c r="T2502" t="inlineStr">
        <is>
          <t>4167487094884</t>
        </is>
      </c>
    </row>
    <row r="2503" hidden="1" ht="15.75" customHeight="1">
      <c r="A2503" s="2">
        <f>HYPERLINK("https://edmondsonsupply.com/collections/hvac/products/hilmor-1839027-tb1412-tri-tube-benders-1-4-3-8-1-2", "https://edmondsonsupply.com/collections/hvac/products/hilmor-1839027-tb1412-tri-tube-benders-1-4-3-8-1-2")</f>
        <v/>
      </c>
      <c r="B2503" s="2">
        <f>HYPERLINK("https://edmondsonsupply.com/products/hilmor-1839027-tb1412-tri-tube-benders-1-4-3-8-1-2", "https://edmondsonsupply.com/products/hilmor-1839027-tb1412-tri-tube-benders-1-4-3-8-1-2")</f>
        <v/>
      </c>
      <c r="C2503" t="inlineStr">
        <is>
          <t>Hilmor 1839027 Tri-Tube Bender - 1/4", 3/8", 1/2"</t>
        </is>
      </c>
      <c r="D2503" t="inlineStr">
        <is>
          <t>Tube Bender 1/4", 3/8", 1/2", (6/10/12mm) O.D. Tubing Bender 3 in 1 Pipe Bender 180° HVAC Copper Aluminum Tubes Bending Tool for Air Conditioning Refrigeration Repair</t>
        </is>
      </c>
      <c r="E2503" s="2">
        <f>HYPERLINK("https://www.amazon.com/Bender-Aluminum-Bending-Conditioning-Refrigeration/dp/B0BYVX4SYL/ref=sr_1_11?keywords=Hilmor+1839027+Tri-Tube+Bender+-+1%2F4%22%2C+3%2F8%22%2C+1%2F2%22&amp;qid=1694734830&amp;sr=8-11", "https://www.amazon.com/Bender-Aluminum-Bending-Conditioning-Refrigeration/dp/B0BYVX4SYL/ref=sr_1_11?keywords=Hilmor+1839027+Tri-Tube+Bender+-+1%2F4%22%2C+3%2F8%22%2C+1%2F2%22&amp;qid=1694734830&amp;sr=8-11")</f>
        <v/>
      </c>
      <c r="F2503" t="inlineStr">
        <is>
          <t>B0BYVX4SYL</t>
        </is>
      </c>
      <c r="G2503">
        <f>_xludf.IMAGE("https://edmondsonsupply.com/cdn/shop/products/Tri-Tube_Bender2-green_glow-735x480.png?v=1643678213")</f>
        <v/>
      </c>
      <c r="H2503">
        <f>_xludf.IMAGE("https://m.media-amazon.com/images/I/51dTcce+X5L._AC_UL320_.jpg")</f>
        <v/>
      </c>
      <c r="K2503" t="inlineStr">
        <is>
          <t>49.99</t>
        </is>
      </c>
      <c r="L2503" t="n">
        <v>49.99</v>
      </c>
      <c r="M2503" s="1" t="inlineStr">
        <is>
          <t>0.00%</t>
        </is>
      </c>
      <c r="N2503" s="1" t="n">
        <v>460.55</v>
      </c>
      <c r="O2503" t="n">
        <v>4</v>
      </c>
      <c r="P2503" t="n">
        <v>1</v>
      </c>
      <c r="R2503" t="inlineStr">
        <is>
          <t>InStock</t>
        </is>
      </c>
      <c r="S2503" t="inlineStr">
        <is>
          <t>172.6</t>
        </is>
      </c>
      <c r="T2503" t="inlineStr">
        <is>
          <t>2109289791588</t>
        </is>
      </c>
    </row>
    <row r="2504" ht="87" customHeight="1">
      <c r="A2504" s="2">
        <f>HYPERLINK("https://edmondsonsupply.com/collections/hvac/products/appion-cct14-1-4in-core-control-tool", "https://edmondsonsupply.com/collections/hvac/products/appion-cct14-1-4in-core-control-tool")</f>
        <v/>
      </c>
      <c r="B2504" s="2">
        <f>HYPERLINK("https://edmondsonsupply.com/products/appion-cct14-1-4in-core-control-tool", "https://edmondsonsupply.com/products/appion-cct14-1-4in-core-control-tool")</f>
        <v/>
      </c>
      <c r="C2504" t="inlineStr">
        <is>
          <t>Appion CCT14 1/4in Core Control Tool</t>
        </is>
      </c>
      <c r="D2504" t="inlineStr">
        <is>
          <t>Appion CCT14-1/4-inch Core Control Tool</t>
        </is>
      </c>
      <c r="E2504" s="2">
        <f>HYPERLINK("https://www.amazon.com/Appion-CCT14-1-4-inch-Core-Control/dp/B0C4SX4RVY/ref=sr_1_1?keywords=Appion+CCT14+1%2F4in+Core+Control+Tool&amp;qid=1694734570&amp;sr=8-1", "https://www.amazon.com/Appion-CCT14-1-4-inch-Core-Control/dp/B0C4SX4RVY/ref=sr_1_1?keywords=Appion+CCT14+1%2F4in+Core+Control+Tool&amp;qid=1694734570&amp;sr=8-1")</f>
        <v/>
      </c>
      <c r="F2504" t="inlineStr">
        <is>
          <t>B0C4SX4RVY</t>
        </is>
      </c>
      <c r="G2504">
        <f>_xlfn.IMAGE("https://edmondsonsupply.com/cdn/shop/products/CCT14_1080.png?v=1678495729")</f>
        <v/>
      </c>
      <c r="H2504">
        <f>_xlfn.IMAGE("https://m.media-amazon.com/images/I/41ecoOxnBhL._AC_UL320_.jpg")</f>
        <v/>
      </c>
      <c r="K2504" t="inlineStr">
        <is>
          <t>59.99</t>
        </is>
      </c>
      <c r="L2504" t="n">
        <v>59.99</v>
      </c>
      <c r="M2504" s="1" t="inlineStr">
        <is>
          <t>0.00%</t>
        </is>
      </c>
      <c r="N2504" s="7" t="n">
        <v>456.42</v>
      </c>
      <c r="O2504" t="n">
        <v>5</v>
      </c>
      <c r="P2504" t="n">
        <v>4</v>
      </c>
      <c r="R2504" t="inlineStr">
        <is>
          <t>InStock</t>
        </is>
      </c>
      <c r="S2504" t="inlineStr">
        <is>
          <t>79.99</t>
        </is>
      </c>
      <c r="T2504" t="inlineStr">
        <is>
          <t>7959626350808</t>
        </is>
      </c>
    </row>
    <row r="2505" ht="87" customHeight="1">
      <c r="A2505" s="2">
        <f>HYPERLINK("https://edmondsonsupply.com/collections/hvac/products/klein-tools-d504-7-classic-klaw%E2%84%A2-pump-pliers-7-inch", "https://edmondsonsupply.com/collections/hvac/products/klein-tools-d504-7-classic-klaw%E2%84%A2-pump-pliers-7-inch")</f>
        <v/>
      </c>
      <c r="B2505" s="2">
        <f>HYPERLINK("https://edmondsonsupply.com/products/klein-tools-d504-7-classic-klaw%e2%84%a2-pump-pliers-7-inch", "https://edmondsonsupply.com/products/klein-tools-d504-7-classic-klaw%e2%84%a2-pump-pliers-7-inch")</f>
        <v/>
      </c>
      <c r="C2505" t="inlineStr">
        <is>
          <t>Klein Tools D504-7 Classic Klaw™ Pump Pliers, 7-Inch</t>
        </is>
      </c>
      <c r="D2505" t="inlineStr">
        <is>
          <t>Klein Tools D504-7 Classic Klaw Pump Pliers, 7-Inch</t>
        </is>
      </c>
      <c r="E2505" s="2">
        <f>HYPERLINK("https://www.amazon.com/Classic-Pliers-Klein-Tools-D504-7/dp/B00BJ4OSTA/ref=sr_1_1?keywords=Klein+Tools+D504-7+Classic+Klaw%E2%84%A2+Pump+Pliers%2C+7-Inch&amp;qid=1694734801&amp;sr=8-1", "https://www.amazon.com/Classic-Pliers-Klein-Tools-D504-7/dp/B00BJ4OSTA/ref=sr_1_1?keywords=Klein+Tools+D504-7+Classic+Klaw%E2%84%A2+Pump+Pliers%2C+7-Inch&amp;qid=1694734801&amp;sr=8-1")</f>
        <v/>
      </c>
      <c r="F2505" t="inlineStr">
        <is>
          <t>B00BJ4OSTA</t>
        </is>
      </c>
      <c r="G2505">
        <f>_xlfn.IMAGE("https://edmondsonsupply.com/cdn/shop/products/d504-7.jpg?v=1633030267")</f>
        <v/>
      </c>
      <c r="H2505">
        <f>_xlfn.IMAGE("https://m.media-amazon.com/images/I/51kiGD+1-6L._AC_UL320_.jpg")</f>
        <v/>
      </c>
      <c r="K2505" t="inlineStr">
        <is>
          <t>29.99</t>
        </is>
      </c>
      <c r="L2505" t="n">
        <v>29.99</v>
      </c>
      <c r="M2505" s="1" t="inlineStr">
        <is>
          <t>0.00%</t>
        </is>
      </c>
      <c r="N2505" s="7" t="n">
        <v>455.6</v>
      </c>
      <c r="O2505" t="n">
        <v>4.6</v>
      </c>
      <c r="P2505" t="n">
        <v>391</v>
      </c>
      <c r="R2505" t="inlineStr">
        <is>
          <t>InStock</t>
        </is>
      </c>
      <c r="S2505" t="inlineStr">
        <is>
          <t>42.06</t>
        </is>
      </c>
      <c r="T2505" t="inlineStr">
        <is>
          <t>4653036765284</t>
        </is>
      </c>
    </row>
    <row r="2506" ht="87" customHeight="1">
      <c r="A2506" s="2">
        <f>HYPERLINK("https://edmondsonsupply.com/collections/hvac/products/klein-tools-56026-inspection-penlight-with-laser-led-flashlight", "https://edmondsonsupply.com/collections/hvac/products/klein-tools-56026-inspection-penlight-with-laser-led-flashlight")</f>
        <v/>
      </c>
      <c r="B2506" s="2">
        <f>HYPERLINK("https://edmondsonsupply.com/products/klein-tools-56026-inspection-penlight-with-laser-led-flashlight", "https://edmondsonsupply.com/products/klein-tools-56026-inspection-penlight-with-laser-led-flashlight")</f>
        <v/>
      </c>
      <c r="C2506" t="inlineStr">
        <is>
          <t>Klein Tools 56026 Inspection Penlight with Class 3R Red Laser Pointer</t>
        </is>
      </c>
      <c r="D2506" t="inlineStr">
        <is>
          <t>Klein Tools 56026R Flashlight and Inspection Penlight with Class 3R Red Laser Pointer, Glow-in-Dark, LED, Great for Jobsite, Outdoor, Emergency</t>
        </is>
      </c>
      <c r="E2506" s="2">
        <f>HYPERLINK("https://www.amazon.com/Klein-Tools-56026-Inspection-Penlight/dp/B01N9RGQQP/ref=sr_1_1?keywords=Klein+Tools+56026+Inspection+Penlight+with+Class+3R+Red+Laser+Pointer&amp;qid=1694734805&amp;sr=8-1", "https://www.amazon.com/Klein-Tools-56026-Inspection-Penlight/dp/B01N9RGQQP/ref=sr_1_1?keywords=Klein+Tools+56026+Inspection+Penlight+with+Class+3R+Red+Laser+Pointer&amp;qid=1694734805&amp;sr=8-1")</f>
        <v/>
      </c>
      <c r="F2506" t="inlineStr">
        <is>
          <t>B01N9RGQQP</t>
        </is>
      </c>
      <c r="G2506">
        <f>_xlfn.IMAGE("https://edmondsonsupply.com/cdn/shop/products/56026_c.jpg?v=1664897604")</f>
        <v/>
      </c>
      <c r="H2506">
        <f>_xlfn.IMAGE("https://m.media-amazon.com/images/I/51ZiHpGyQNL._AC_UL320_.jpg")</f>
        <v/>
      </c>
      <c r="K2506" t="inlineStr">
        <is>
          <t>19.97</t>
        </is>
      </c>
      <c r="L2506" t="n">
        <v>19.97</v>
      </c>
      <c r="M2506" s="1" t="inlineStr">
        <is>
          <t>0.00%</t>
        </is>
      </c>
      <c r="N2506" s="7" t="n">
        <v>455.03</v>
      </c>
      <c r="O2506" t="n">
        <v>4.4</v>
      </c>
      <c r="P2506" t="n">
        <v>2926</v>
      </c>
      <c r="R2506" t="inlineStr">
        <is>
          <t>InStock</t>
        </is>
      </c>
      <c r="S2506" t="inlineStr">
        <is>
          <t>32.0</t>
        </is>
      </c>
      <c r="T2506" t="inlineStr">
        <is>
          <t>1724010135652</t>
        </is>
      </c>
    </row>
    <row r="2507" ht="87" customHeight="1">
      <c r="A2507" s="2">
        <f>HYPERLINK("https://edmondsonsupply.com/collections/hvac/products/klein-tools-demolition-scratch-awl", "https://edmondsonsupply.com/collections/hvac/products/klein-tools-demolition-scratch-awl")</f>
        <v/>
      </c>
      <c r="B2507" s="2">
        <f>HYPERLINK("https://edmondsonsupply.com/products/klein-tools-demolition-scratch-awl", "https://edmondsonsupply.com/products/klein-tools-demolition-scratch-awl")</f>
        <v/>
      </c>
      <c r="C2507" t="inlineStr">
        <is>
          <t>Klein Tools 650DD Demolition Scratch Awl</t>
        </is>
      </c>
      <c r="D2507" t="inlineStr">
        <is>
          <t>Klein Tools 650DD Demolition Scratch Awl</t>
        </is>
      </c>
      <c r="E2507" s="2">
        <f>HYPERLINK("https://www.amazon.com/Demolition-Scratch-Klein-Tools-650DD/dp/B00LUBVL9C/ref=sr_1_1?keywords=Klein+Tools+650DD+Demolition+Scratch+Awl&amp;qid=1694734805&amp;sr=8-1", "https://www.amazon.com/Demolition-Scratch-Klein-Tools-650DD/dp/B00LUBVL9C/ref=sr_1_1?keywords=Klein+Tools+650DD+Demolition+Scratch+Awl&amp;qid=1694734805&amp;sr=8-1")</f>
        <v/>
      </c>
      <c r="F2507" t="inlineStr">
        <is>
          <t>B00LUBVL9C</t>
        </is>
      </c>
      <c r="G2507">
        <f>_xlfn.IMAGE("https://edmondsonsupply.com/cdn/shop/products/650-dd.jpg?v=1587150658")</f>
        <v/>
      </c>
      <c r="H2507">
        <f>_xlfn.IMAGE("https://m.media-amazon.com/images/I/41Rko-I--ML._AC_UL320_.jpg")</f>
        <v/>
      </c>
      <c r="K2507" t="inlineStr">
        <is>
          <t>17.99</t>
        </is>
      </c>
      <c r="L2507" t="n">
        <v>17.99</v>
      </c>
      <c r="M2507" s="1" t="inlineStr">
        <is>
          <t>0.00%</t>
        </is>
      </c>
      <c r="N2507" s="7" t="n">
        <v>452.04</v>
      </c>
      <c r="O2507" t="n">
        <v>4.7</v>
      </c>
      <c r="P2507" t="n">
        <v>361</v>
      </c>
      <c r="R2507" t="inlineStr">
        <is>
          <t>InStock</t>
        </is>
      </c>
      <c r="S2507" t="inlineStr">
        <is>
          <t>27.26</t>
        </is>
      </c>
      <c r="T2507" t="inlineStr">
        <is>
          <t>4431815901284</t>
        </is>
      </c>
    </row>
    <row r="2508" ht="87" customHeight="1">
      <c r="A2508" s="2">
        <f>HYPERLINK("https://edmondsonsupply.com/collections/hvac/products/fieldpiece-dr58-heated-diode-refrigerant-leak-detector", "https://edmondsonsupply.com/collections/hvac/products/fieldpiece-dr58-heated-diode-refrigerant-leak-detector")</f>
        <v/>
      </c>
      <c r="B2508" s="2">
        <f>HYPERLINK("https://edmondsonsupply.com/products/fieldpiece-dr58-heated-diode-refrigerant-leak-detector", "https://edmondsonsupply.com/products/fieldpiece-dr58-heated-diode-refrigerant-leak-detector")</f>
        <v/>
      </c>
      <c r="C2508" t="inlineStr">
        <is>
          <t>Fieldpiece DR58 Heated Diode Refrigerant Leak Detector</t>
        </is>
      </c>
      <c r="D2508" t="inlineStr">
        <is>
          <t>Fieldpiece DR58 - Heated Diode Refrigerant Leak Detector</t>
        </is>
      </c>
      <c r="E2508" s="2">
        <f>HYPERLINK("https://www.amazon.com/Fieldpiece-DR58-Heated-Refrigerant-Detector/dp/B097SW9VJS/ref=sr_1_1?keywords=Fieldpiece+DR58+Heated+Diode+Refrigerant+Leak+Detector&amp;qid=1694734647&amp;sr=8-1", "https://www.amazon.com/Fieldpiece-DR58-Heated-Refrigerant-Detector/dp/B097SW9VJS/ref=sr_1_1?keywords=Fieldpiece+DR58+Heated+Diode+Refrigerant+Leak+Detector&amp;qid=1694734647&amp;sr=8-1")</f>
        <v/>
      </c>
      <c r="F2508" t="inlineStr">
        <is>
          <t>B097SW9VJS</t>
        </is>
      </c>
      <c r="G2508">
        <f>_xlfn.IMAGE("https://edmondsonsupply.com/cdn/shop/products/DR58-Product-01-300dpi-scaled.jpg?v=1633031059")</f>
        <v/>
      </c>
      <c r="H2508">
        <f>_xlfn.IMAGE("https://m.media-amazon.com/images/I/41FBmhCVDiL._AC_UL320_.jpg")</f>
        <v/>
      </c>
      <c r="K2508" t="inlineStr">
        <is>
          <t>332.35</t>
        </is>
      </c>
      <c r="L2508" t="n">
        <v>332.35</v>
      </c>
      <c r="M2508" s="1" t="inlineStr">
        <is>
          <t>0.00%</t>
        </is>
      </c>
      <c r="N2508" s="7" t="n">
        <v>451.65</v>
      </c>
      <c r="O2508" t="n">
        <v>4.7</v>
      </c>
      <c r="P2508" t="n">
        <v>109</v>
      </c>
      <c r="R2508" t="inlineStr">
        <is>
          <t>InStock</t>
        </is>
      </c>
      <c r="S2508" t="inlineStr">
        <is>
          <t>391.0</t>
        </is>
      </c>
      <c r="T2508" t="inlineStr">
        <is>
          <t>6811539275949</t>
        </is>
      </c>
    </row>
    <row r="2509" hidden="1" ht="15.75" customHeight="1">
      <c r="A2509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509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509" t="inlineStr">
        <is>
          <t>Klein Tools 646-1/4 1/4-Inch Nut Driver with 6-Inch Hollow Shaft</t>
        </is>
      </c>
      <c r="D2509" t="inlineStr">
        <is>
          <t>Klein Tools S86 1/4-Inch Nut Driver with 6-Inch Hollow Shaft and Comfordome Handle</t>
        </is>
      </c>
      <c r="E2509" s="2">
        <f>HYPERLINK("https://www.amazon.com/4-Inch-Comfordome-Klein-Tools-S86/dp/B00093GCWS/ref=sr_1_3?keywords=Klein+Tools+646-1%2F4+1%2F4-Inch+Nut+Driver+with+6-Inch+Hollow+Shaft&amp;qid=1694734727&amp;sr=8-3", "https://www.amazon.com/4-Inch-Comfordome-Klein-Tools-S86/dp/B00093GCWS/ref=sr_1_3?keywords=Klein+Tools+646-1%2F4+1%2F4-Inch+Nut+Driver+with+6-Inch+Hollow+Shaft&amp;qid=1694734727&amp;sr=8-3")</f>
        <v/>
      </c>
      <c r="F2509" t="inlineStr">
        <is>
          <t>B00093GCWS</t>
        </is>
      </c>
      <c r="G2509">
        <f>_xludf.IMAGE("https://edmondsonsupply.com/cdn/shop/products/646-1-2_08d87fa9-eac4-4869-8d3b-bb680d4b1d53.jpg?v=1587150676")</f>
        <v/>
      </c>
      <c r="H2509">
        <f>_xludf.IMAGE("https://m.media-amazon.com/images/I/41UucnuSAmL._AC_UL320_.jpg")</f>
        <v/>
      </c>
      <c r="K2509" t="inlineStr">
        <is>
          <t>7.99</t>
        </is>
      </c>
      <c r="L2509" t="n">
        <v>7.99</v>
      </c>
      <c r="M2509" s="1" t="inlineStr">
        <is>
          <t>0.00%</t>
        </is>
      </c>
      <c r="N2509" s="1" t="n">
        <v>451.31</v>
      </c>
      <c r="O2509" t="n">
        <v>4.5</v>
      </c>
      <c r="P2509" t="n">
        <v>151</v>
      </c>
      <c r="R2509" t="inlineStr">
        <is>
          <t>InStock</t>
        </is>
      </c>
      <c r="S2509" t="inlineStr">
        <is>
          <t>12.1</t>
        </is>
      </c>
      <c r="T2509" t="inlineStr">
        <is>
          <t>4439433740388</t>
        </is>
      </c>
    </row>
    <row r="2510" ht="87" customHeight="1">
      <c r="A2510" s="2">
        <f>HYPERLINK("https://edmondsonsupply.com/collections/hvac/products/copy-of-klein-tools-55918-tradesman-pro%E2%84%A2-modular-tool-belt", "https://edmondsonsupply.com/collections/hvac/products/copy-of-klein-tools-55918-tradesman-pro%E2%84%A2-modular-tool-belt")</f>
        <v/>
      </c>
      <c r="B2510" s="2">
        <f>HYPERLINK("https://edmondsonsupply.com/products/copy-of-klein-tools-55918-tradesman-pro%e2%84%a2-modular-tool-belt", "https://edmondsonsupply.com/products/copy-of-klein-tools-55918-tradesman-pro%e2%84%a2-modular-tool-belt")</f>
        <v/>
      </c>
      <c r="C2510" t="inlineStr">
        <is>
          <t>Klein Tools 55919 Tradesman Pro™ Modular Tool Belt - L</t>
        </is>
      </c>
      <c r="D2510" t="inlineStr">
        <is>
          <t>Klein Tools 55919 Tool Belt, Electrician Tool Belt for use with Modular Pouches from Klein Tools Click Lock Modular System, Size L,Black</t>
        </is>
      </c>
      <c r="E2510" s="2">
        <f>HYPERLINK("https://www.amazon.com/Klein-Tools-55919-Electrician-Modular/dp/B085LPTTKL/ref=sr_1_1?keywords=Klein+Tools+55919+Tradesman+Pro%E2%84%A2+Modular+Tool+Belt+-+L&amp;qid=1694734799&amp;sr=8-1", "https://www.amazon.com/Klein-Tools-55919-Electrician-Modular/dp/B085LPTTKL/ref=sr_1_1?keywords=Klein+Tools+55919+Tradesman+Pro%E2%84%A2+Modular+Tool+Belt+-+L&amp;qid=1694734799&amp;sr=8-1")</f>
        <v/>
      </c>
      <c r="F2510" t="inlineStr">
        <is>
          <t>B085LPTTKL</t>
        </is>
      </c>
      <c r="G2510">
        <f>_xlfn.IMAGE("https://edmondsonsupply.com/cdn/shop/products/55919_6b1c1646-91d8-4915-b7bf-b52c8c6994c7.jpg?v=1587143413")</f>
        <v/>
      </c>
      <c r="H2510">
        <f>_xlfn.IMAGE("https://m.media-amazon.com/images/I/71Bym1tjK6L._AC_UL320_.jpg")</f>
        <v/>
      </c>
      <c r="K2510" t="inlineStr">
        <is>
          <t>35.99</t>
        </is>
      </c>
      <c r="L2510" t="n">
        <v>35.99</v>
      </c>
      <c r="M2510" s="1" t="inlineStr">
        <is>
          <t>0.00%</t>
        </is>
      </c>
      <c r="N2510" s="7" t="n">
        <v>450.35</v>
      </c>
      <c r="O2510" t="n">
        <v>4.4</v>
      </c>
      <c r="P2510" t="n">
        <v>633</v>
      </c>
      <c r="R2510" t="inlineStr">
        <is>
          <t>InStock</t>
        </is>
      </c>
      <c r="S2510" t="inlineStr">
        <is>
          <t>50.58</t>
        </is>
      </c>
      <c r="T2510" t="inlineStr">
        <is>
          <t>4498961760356</t>
        </is>
      </c>
    </row>
    <row r="2511" hidden="1" ht="15.75" customHeight="1">
      <c r="A2511" s="2">
        <f>HYPERLINK("https://edmondsonsupply.com/collections/hvac/products/ritchie-yellow-jacket-68802-digital-electronic-charging-scale-110-lb", "https://edmondsonsupply.com/collections/hvac/products/ritchie-yellow-jacket-68802-digital-electronic-charging-scale-110-lb")</f>
        <v/>
      </c>
      <c r="B2511" s="2">
        <f>HYPERLINK("https://edmondsonsupply.com/products/ritchie-yellow-jacket-68802-digital-electronic-charging-scale-110-lb", "https://edmondsonsupply.com/products/ritchie-yellow-jacket-68802-digital-electronic-charging-scale-110-lb")</f>
        <v/>
      </c>
      <c r="C2511" t="inlineStr">
        <is>
          <t>Yellow Jacket 68802 Digital Electronic Charging Scales, 110 lb</t>
        </is>
      </c>
      <c r="D2511" t="inlineStr">
        <is>
          <t>YELLOW JACKET 68802 Digital Electronic Charging Scale, 110 lb.</t>
        </is>
      </c>
      <c r="E2511" s="2">
        <f>HYPERLINK("https://www.amazon.com/YELLOW-68802-Digital-Electronic-Charging/dp/B008FMBOM8/ref=sr_1_1?keywords=Yellow+Jacket+68802+Digital+Electronic+Charging+Scales%2C+110+lb&amp;qid=1694734683&amp;sr=8-1", "https://www.amazon.com/YELLOW-68802-Digital-Electronic-Charging/dp/B008FMBOM8/ref=sr_1_1?keywords=Yellow+Jacket+68802+Digital+Electronic+Charging+Scales%2C+110+lb&amp;qid=1694734683&amp;sr=8-1")</f>
        <v/>
      </c>
      <c r="F2511" t="inlineStr">
        <is>
          <t>B008FMBOM8</t>
        </is>
      </c>
      <c r="G2511">
        <f>_xludf.IMAGE("https://edmondsonsupply.com/cdn/shop/products/digital-electronic-charging-scales.jpg?v=1633030035")</f>
        <v/>
      </c>
      <c r="H2511">
        <f>_xludf.IMAGE("https://m.media-amazon.com/images/I/41AItNaQ8BL._AC_UY218_.jpg")</f>
        <v/>
      </c>
      <c r="K2511" t="inlineStr">
        <is>
          <t>388.88</t>
        </is>
      </c>
      <c r="L2511" t="n">
        <v>388.88</v>
      </c>
      <c r="M2511" s="1" t="inlineStr">
        <is>
          <t>0.00%</t>
        </is>
      </c>
      <c r="N2511" s="1" t="n">
        <v>448.68</v>
      </c>
      <c r="O2511" t="n">
        <v>1</v>
      </c>
      <c r="P2511" t="n">
        <v>1</v>
      </c>
      <c r="R2511" t="inlineStr">
        <is>
          <t>InStock</t>
        </is>
      </c>
      <c r="S2511" t="inlineStr">
        <is>
          <t>undefined</t>
        </is>
      </c>
      <c r="T2511" t="inlineStr">
        <is>
          <t>2722701148260</t>
        </is>
      </c>
    </row>
    <row r="2512" hidden="1" ht="15.75" customHeight="1">
      <c r="A2512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512" s="2">
        <f>HYPERLINK("https://edmondsonsupply.com/products/klein-tools-646-5-16-5-16-inch-nut-driver-6-inch-hollow-shaft", "https://edmondsonsupply.com/products/klein-tools-646-5-16-5-16-inch-nut-driver-6-inch-hollow-shaft")</f>
        <v/>
      </c>
      <c r="C2512" t="inlineStr">
        <is>
          <t>Klein Tools 646-5/16 5/16-Inch Nut Driver, 6-Inch Hollow Shaft</t>
        </is>
      </c>
      <c r="D2512" t="inlineStr">
        <is>
          <t>Klein Tools S106 5/16-Inch Nut Driver, 6-Inch Shaft</t>
        </is>
      </c>
      <c r="E2512" s="2">
        <f>HYPERLINK("https://www.amazon.com/Klein-Tools-S106-16-Inch-Driver/dp/B000936PDO/ref=sr_1_2?keywords=Klein+Tools+646-5%2F16+5%2F16-Inch+Nut+Driver%2C+6-Inch+Hollow+Shaft&amp;qid=1694734728&amp;sr=8-2", "https://www.amazon.com/Klein-Tools-S106-16-Inch-Driver/dp/B000936PDO/ref=sr_1_2?keywords=Klein+Tools+646-5%2F16+5%2F16-Inch+Nut+Driver%2C+6-Inch+Hollow+Shaft&amp;qid=1694734728&amp;sr=8-2")</f>
        <v/>
      </c>
      <c r="F2512" t="inlineStr">
        <is>
          <t>B000936PDO</t>
        </is>
      </c>
      <c r="G2512">
        <f>_xludf.IMAGE("https://edmondsonsupply.com/cdn/shop/products/646-1-2_e1540905-f750-4509-90c5-74ff653e4d83.jpg?v=1587145119")</f>
        <v/>
      </c>
      <c r="H2512">
        <f>_xludf.IMAGE("https://m.media-amazon.com/images/I/41MR57vMQTL._AC_UL320_.jpg")</f>
        <v/>
      </c>
      <c r="K2512" t="inlineStr">
        <is>
          <t>7.99</t>
        </is>
      </c>
      <c r="L2512" t="n">
        <v>7.99</v>
      </c>
      <c r="M2512" s="1" t="inlineStr">
        <is>
          <t>0.00%</t>
        </is>
      </c>
      <c r="N2512" s="1" t="n">
        <v>442.91</v>
      </c>
      <c r="O2512" t="n">
        <v>4.5</v>
      </c>
      <c r="P2512" t="n">
        <v>151</v>
      </c>
      <c r="R2512" t="inlineStr">
        <is>
          <t>InStock</t>
        </is>
      </c>
      <c r="S2512" t="inlineStr">
        <is>
          <t>12.1</t>
        </is>
      </c>
      <c r="T2512" t="inlineStr">
        <is>
          <t>4395303272548</t>
        </is>
      </c>
    </row>
    <row r="2513" hidden="1" ht="15.75" customHeight="1">
      <c r="A2513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513" s="2">
        <f>HYPERLINK("https://edmondsonsupply.com/products/klein-tools-646-5-16-5-16-inch-nut-driver-6-inch-hollow-shaft", "https://edmondsonsupply.com/products/klein-tools-646-5-16-5-16-inch-nut-driver-6-inch-hollow-shaft")</f>
        <v/>
      </c>
      <c r="C2513" t="inlineStr">
        <is>
          <t>Klein Tools 646-5/16 5/16-Inch Nut Driver, 6-Inch Hollow Shaft</t>
        </is>
      </c>
      <c r="D2513" t="inlineStr">
        <is>
          <t>Klein Tools 646-5/16 5/16-Inch Nut Driver with 6-Inch Hollow Shaft and Cushion Grip Handle</t>
        </is>
      </c>
      <c r="E2513" s="2">
        <f>HYPERLINK("https://www.amazon.com/16-Inch-Driver-Cushion-Klein-Tools/dp/B000LEZVWM/ref=sr_1_1?keywords=Klein+Tools+646-5%2F16+5%2F16-Inch+Nut+Driver%2C+6-Inch+Hollow+Shaft&amp;qid=1694734728&amp;sr=8-1", "https://www.amazon.com/16-Inch-Driver-Cushion-Klein-Tools/dp/B000LEZVWM/ref=sr_1_1?keywords=Klein+Tools+646-5%2F16+5%2F16-Inch+Nut+Driver%2C+6-Inch+Hollow+Shaft&amp;qid=1694734728&amp;sr=8-1")</f>
        <v/>
      </c>
      <c r="F2513" t="inlineStr">
        <is>
          <t>B000LEZVWM</t>
        </is>
      </c>
      <c r="G2513">
        <f>_xludf.IMAGE("https://edmondsonsupply.com/cdn/shop/products/646-1-2_e1540905-f750-4509-90c5-74ff653e4d83.jpg?v=1587145119")</f>
        <v/>
      </c>
      <c r="H2513">
        <f>_xludf.IMAGE("https://m.media-amazon.com/images/I/31sSFYGqdfL._AC_UL320_.jpg")</f>
        <v/>
      </c>
      <c r="K2513" t="inlineStr">
        <is>
          <t>7.99</t>
        </is>
      </c>
      <c r="L2513" t="n">
        <v>7.99</v>
      </c>
      <c r="M2513" s="1" t="inlineStr">
        <is>
          <t>0.00%</t>
        </is>
      </c>
      <c r="N2513" s="1" t="n">
        <v>442.04</v>
      </c>
      <c r="O2513" t="n">
        <v>4.8</v>
      </c>
      <c r="P2513" t="n">
        <v>2491</v>
      </c>
      <c r="R2513" t="inlineStr">
        <is>
          <t>InStock</t>
        </is>
      </c>
      <c r="S2513" t="inlineStr">
        <is>
          <t>12.1</t>
        </is>
      </c>
      <c r="T2513" t="inlineStr">
        <is>
          <t>4395303272548</t>
        </is>
      </c>
    </row>
    <row r="2514" ht="87" customHeight="1">
      <c r="A2514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2514" s="2">
        <f>HYPERLINK("https://edmondsonsupply.com/products/klein-tools-630m-magnetic-nut-driver-set-3-inch-shafts-2-piece", "https://edmondsonsupply.com/products/klein-tools-630m-magnetic-nut-driver-set-3-inch-shafts-2-piece")</f>
        <v/>
      </c>
      <c r="C2514" t="inlineStr">
        <is>
          <t>Klein Tools 630M Magnetic Nut Driver Set, 3-Inch Shafts, 2-Piece</t>
        </is>
      </c>
      <c r="D2514" t="inlineStr">
        <is>
          <t>Klein Tools 630M 3" Hollow Shank Magnetic Tip Nut Driver Set (2 Pieces)</t>
        </is>
      </c>
      <c r="E2514" s="2">
        <f>HYPERLINK("https://www.amazon.com/Klein-Tools-Hollow-Magnetic-Driver/dp/B00080FO5I/ref=sr_1_1?keywords=Klein+Tools+630M+Magnetic+Nut+Driver+Set%2C+3-Inch+Shafts%2C+2-Piece&amp;qid=1694734796&amp;sr=8-1", "https://www.amazon.com/Klein-Tools-Hollow-Magnetic-Driver/dp/B00080FO5I/ref=sr_1_1?keywords=Klein+Tools+630M+Magnetic+Nut+Driver+Set%2C+3-Inch+Shafts%2C+2-Piece&amp;qid=1694734796&amp;sr=8-1")</f>
        <v/>
      </c>
      <c r="F2514" t="inlineStr">
        <is>
          <t>B00080FO5I</t>
        </is>
      </c>
      <c r="G2514">
        <f>_xlfn.IMAGE("https://edmondsonsupply.com/cdn/shop/products/630m.jpg?v=1587143237")</f>
        <v/>
      </c>
      <c r="H2514">
        <f>_xlfn.IMAGE("https://m.media-amazon.com/images/I/41lx1kHoCZL._AC_UL320_.jpg")</f>
        <v/>
      </c>
      <c r="K2514" t="inlineStr">
        <is>
          <t>18.99</t>
        </is>
      </c>
      <c r="L2514" t="n">
        <v>18.99</v>
      </c>
      <c r="M2514" s="1" t="inlineStr">
        <is>
          <t>0.00%</t>
        </is>
      </c>
      <c r="N2514" s="7" t="n">
        <v>440.02</v>
      </c>
      <c r="O2514" t="n">
        <v>4.6</v>
      </c>
      <c r="P2514" t="n">
        <v>451</v>
      </c>
      <c r="R2514" t="inlineStr">
        <is>
          <t>InStock</t>
        </is>
      </c>
      <c r="S2514" t="inlineStr">
        <is>
          <t>28.78</t>
        </is>
      </c>
      <c r="T2514" t="inlineStr">
        <is>
          <t>4508216787044</t>
        </is>
      </c>
    </row>
    <row r="2515" ht="87" customHeight="1">
      <c r="A2515" s="2">
        <f>HYPERLINK("https://edmondsonsupply.com/collections/hvac/products/inficon-d-tek-3", "https://edmondsonsupply.com/collections/hvac/products/inficon-d-tek-3")</f>
        <v/>
      </c>
      <c r="B2515" s="2">
        <f>HYPERLINK("https://edmondsonsupply.com/products/inficon-d-tek-3", "https://edmondsonsupply.com/products/inficon-d-tek-3")</f>
        <v/>
      </c>
      <c r="C2515" t="inlineStr">
        <is>
          <t>Inficon D-TEK® 3 Refrigerant Leak Detector</t>
        </is>
      </c>
      <c r="D2515" t="inlineStr">
        <is>
          <t>Inficon D-TEK 3 Refrigerant Leak Detector</t>
        </is>
      </c>
      <c r="E2515" s="2">
        <f>HYPERLINK("https://www.amazon.com/Inficon-D-TEK-Refrigerant-Leak-Detector/dp/B08XLCV4W3/ref=sr_1_1?keywords=Inficon+D-TEK%C2%AE+3+Refrigerant+Leak+Detector&amp;qid=1694734644&amp;sr=8-1", "https://www.amazon.com/Inficon-D-TEK-Refrigerant-Leak-Detector/dp/B08XLCV4W3/ref=sr_1_1?keywords=Inficon+D-TEK%C2%AE+3+Refrigerant+Leak+Detector&amp;qid=1694734644&amp;sr=8-1")</f>
        <v/>
      </c>
      <c r="F2515" t="inlineStr">
        <is>
          <t>B08XLCV4W3</t>
        </is>
      </c>
      <c r="G2515">
        <f>_xlfn.IMAGE("https://edmondsonsupply.com/cdn/shop/products/dtek3.png?v=1633030772")</f>
        <v/>
      </c>
      <c r="H2515">
        <f>_xlfn.IMAGE("https://m.media-amazon.com/images/I/61a4oqJbxGL._AC_UL320_.jpg")</f>
        <v/>
      </c>
      <c r="K2515" t="inlineStr">
        <is>
          <t>516.99</t>
        </is>
      </c>
      <c r="L2515" t="n">
        <v>516.99</v>
      </c>
      <c r="M2515" s="1" t="inlineStr">
        <is>
          <t>0.00%</t>
        </is>
      </c>
      <c r="N2515" s="7" t="n">
        <v>439.92</v>
      </c>
      <c r="O2515" t="n">
        <v>4.4</v>
      </c>
      <c r="P2515" t="n">
        <v>10</v>
      </c>
      <c r="R2515" t="inlineStr">
        <is>
          <t>InStock</t>
        </is>
      </c>
      <c r="S2515" t="inlineStr">
        <is>
          <t>645.0</t>
        </is>
      </c>
      <c r="T2515" t="inlineStr">
        <is>
          <t>5950406623400</t>
        </is>
      </c>
    </row>
    <row r="2516" ht="87" customHeight="1">
      <c r="A2516" s="2">
        <f>HYPERLINK("https://edmondsonsupply.com/collections/hvac/products/klein-tools-s12hb-grip-it%E2%84%A2-strap-wrench-1-1-2-to-5-inch-12-inch-handle", "https://edmondsonsupply.com/collections/hvac/products/klein-tools-s12hb-grip-it%E2%84%A2-strap-wrench-1-1-2-to-5-inch-12-inch-handle")</f>
        <v/>
      </c>
      <c r="B2516" s="2">
        <f>HYPERLINK("https://edmondsonsupply.com/products/klein-tools-s12hb-grip-it%e2%84%a2-strap-wrench-1-1-2-to-5-inch-12-inch-handle", "https://edmondsonsupply.com/products/klein-tools-s12hb-grip-it%e2%84%a2-strap-wrench-1-1-2-to-5-inch-12-inch-handle")</f>
        <v/>
      </c>
      <c r="C2516" t="inlineStr">
        <is>
          <t>Klein Tools S12HB Grip-It™ Strap Wrench, 1-1/2 to 5-Inch, 12-Inch Handle</t>
        </is>
      </c>
      <c r="D2516" t="inlineStr">
        <is>
          <t>Klein Tools S12HB Strap Wrench, Adjustable Grip-It Strap Wrench Adjusts 1-1/2 to 5-Inch, 12-Inch Handle</t>
        </is>
      </c>
      <c r="E2516" s="2">
        <f>HYPERLINK("https://www.amazon.com/Klein-Tools-S12HB-Adjustable-Adjusts/dp/B0BN4LK3NS/ref=sr_1_1?keywords=Klein+Tools+S12HB+Grip-It%E2%84%A2+Strap+Wrench%2C+1-1%2F2+to+5-Inch%2C+12-Inch+Handle&amp;qid=1694734884&amp;sr=8-1", "https://www.amazon.com/Klein-Tools-S12HB-Adjustable-Adjusts/dp/B0BN4LK3NS/ref=sr_1_1?keywords=Klein+Tools+S12HB+Grip-It%E2%84%A2+Strap+Wrench%2C+1-1%2F2+to+5-Inch%2C+12-Inch+Handle&amp;qid=1694734884&amp;sr=8-1")</f>
        <v/>
      </c>
      <c r="F2516" t="inlineStr">
        <is>
          <t>B0BN4LK3NS</t>
        </is>
      </c>
      <c r="G2516">
        <f>_xlfn.IMAGE("https://edmondsonsupply.com/cdn/shop/files/s12hb_b.jpg?v=1689783564")</f>
        <v/>
      </c>
      <c r="H2516">
        <f>_xlfn.IMAGE("https://m.media-amazon.com/images/I/51-eUuVyB-L._AC_UL320_.jpg")</f>
        <v/>
      </c>
      <c r="K2516" t="inlineStr">
        <is>
          <t>19.99</t>
        </is>
      </c>
      <c r="L2516" t="n">
        <v>19.99</v>
      </c>
      <c r="M2516" s="1" t="inlineStr">
        <is>
          <t>0.00%</t>
        </is>
      </c>
      <c r="N2516" s="7" t="n">
        <v>437.59</v>
      </c>
      <c r="O2516" t="n">
        <v>4.2</v>
      </c>
      <c r="P2516" t="n">
        <v>7</v>
      </c>
      <c r="R2516" t="inlineStr">
        <is>
          <t>InStock</t>
        </is>
      </c>
      <c r="S2516" t="inlineStr">
        <is>
          <t>29.98</t>
        </is>
      </c>
      <c r="T2516" t="inlineStr">
        <is>
          <t>8018517229784</t>
        </is>
      </c>
    </row>
    <row r="2517" ht="87" customHeight="1">
      <c r="A2517" s="2">
        <f>HYPERLINK("https://edmondsonsupply.com/collections/hvac/products/fieldpiece-sc680", "https://edmondsonsupply.com/collections/hvac/products/fieldpiece-sc680")</f>
        <v/>
      </c>
      <c r="B2517" s="2">
        <f>HYPERLINK("https://edmondsonsupply.com/products/fieldpiece-sc680", "https://edmondsonsupply.com/products/fieldpiece-sc680")</f>
        <v/>
      </c>
      <c r="C2517" t="inlineStr">
        <is>
          <t>Fieldpiece SC680 Wireless Power Clamp Meter</t>
        </is>
      </c>
      <c r="D2517" t="inlineStr">
        <is>
          <t>Fieldpiece SC680 - Wireless Power Clamp Meter</t>
        </is>
      </c>
      <c r="E2517" s="2">
        <f>HYPERLINK("https://www.amazon.com/Fieldpiece-SC680-Wireless-Power-Clamp/dp/B0839M1W9X/ref=sr_1_1?keywords=Fieldpiece+SC680+Wireless+Power+Clamp+Meter&amp;qid=1694734646&amp;sr=8-1", "https://www.amazon.com/Fieldpiece-SC680-Wireless-Power-Clamp/dp/B0839M1W9X/ref=sr_1_1?keywords=Fieldpiece+SC680+Wireless+Power+Clamp+Meter&amp;qid=1694734646&amp;sr=8-1")</f>
        <v/>
      </c>
      <c r="F2517" t="inlineStr">
        <is>
          <t>B0839M1W9X</t>
        </is>
      </c>
      <c r="G2517">
        <f>_xlfn.IMAGE("https://edmondsonsupply.com/cdn/shop/products/SC680-SRC-Product.jpg?v=1633030204")</f>
        <v/>
      </c>
      <c r="H2517">
        <f>_xlfn.IMAGE("https://m.media-amazon.com/images/I/41OLjC+UioL._AC_UY218_.jpg")</f>
        <v/>
      </c>
      <c r="K2517" t="inlineStr">
        <is>
          <t>385.9</t>
        </is>
      </c>
      <c r="L2517" t="n">
        <v>385.9</v>
      </c>
      <c r="M2517" s="1" t="inlineStr">
        <is>
          <t>0.00%</t>
        </is>
      </c>
      <c r="N2517" s="7" t="n">
        <v>435.45</v>
      </c>
      <c r="O2517" t="n">
        <v>4.7</v>
      </c>
      <c r="P2517" t="n">
        <v>202</v>
      </c>
      <c r="R2517" t="inlineStr">
        <is>
          <t>InStock</t>
        </is>
      </c>
      <c r="S2517" t="inlineStr">
        <is>
          <t>454.0</t>
        </is>
      </c>
      <c r="T2517" t="inlineStr">
        <is>
          <t>4421242093668</t>
        </is>
      </c>
    </row>
    <row r="2518" ht="87" customHeight="1">
      <c r="A2518" s="2">
        <f>HYPERLINK("https://edmondsonsupply.com/collections/hvac/products/channellock-804", "https://edmondsonsupply.com/collections/hvac/products/channellock-804")</f>
        <v/>
      </c>
      <c r="B2518" s="2">
        <f>HYPERLINK("https://edmondsonsupply.com/products/channellock-804", "https://edmondsonsupply.com/products/channellock-804")</f>
        <v/>
      </c>
      <c r="C2518" t="inlineStr">
        <is>
          <t>Channellock 804 4-Inch Chrome Adjustable Wrench</t>
        </is>
      </c>
      <c r="D2518" t="inlineStr">
        <is>
          <t>Channellock 804 4.5-Inch Adjustable Wrench, Chrome</t>
        </is>
      </c>
      <c r="E2518" s="2">
        <f>HYPERLINK("https://www.amazon.com/Channellock-804-4-5-Inch-Adjustable-Wrench/dp/B00004SBDK/ref=sr_1_3?keywords=Channellock+804+4-Inch+Chrome+Adjustable+Wrench&amp;qid=1694734791&amp;sr=8-3", "https://www.amazon.com/Channellock-804-4-5-Inch-Adjustable-Wrench/dp/B00004SBDK/ref=sr_1_3?keywords=Channellock+804+4-Inch+Chrome+Adjustable+Wrench&amp;qid=1694734791&amp;sr=8-3")</f>
        <v/>
      </c>
      <c r="F2518" t="inlineStr">
        <is>
          <t>B00004SBDK</t>
        </is>
      </c>
      <c r="G2518">
        <f>_xlfn.IMAGE("https://edmondsonsupply.com/cdn/shop/products/804-683x1024.jpg?v=1587145853")</f>
        <v/>
      </c>
      <c r="H2518">
        <f>_xlfn.IMAGE("https://m.media-amazon.com/images/I/71DERbexqEL._AC_UL320_.jpg")</f>
        <v/>
      </c>
      <c r="K2518" t="inlineStr">
        <is>
          <t>16.95</t>
        </is>
      </c>
      <c r="L2518" t="n">
        <v>16.95</v>
      </c>
      <c r="M2518" s="1" t="inlineStr">
        <is>
          <t>0.00%</t>
        </is>
      </c>
      <c r="N2518" s="7" t="n">
        <v>434.3</v>
      </c>
      <c r="O2518" t="n">
        <v>4.7</v>
      </c>
      <c r="P2518" t="n">
        <v>571</v>
      </c>
      <c r="R2518" t="inlineStr">
        <is>
          <t>InStock</t>
        </is>
      </c>
      <c r="S2518" t="inlineStr">
        <is>
          <t>26.62</t>
        </is>
      </c>
      <c r="T2518" t="inlineStr">
        <is>
          <t>4094611488868</t>
        </is>
      </c>
    </row>
    <row r="2519" ht="87" customHeight="1">
      <c r="A2519" s="2">
        <f>HYPERLINK("https://edmondsonsupply.com/collections/hvac/products/klein-tools-2401r-offset-right-cutting-aviation-snips", "https://edmondsonsupply.com/collections/hvac/products/klein-tools-2401r-offset-right-cutting-aviation-snips")</f>
        <v/>
      </c>
      <c r="B2519" s="2">
        <f>HYPERLINK("https://edmondsonsupply.com/products/klein-tools-2401r-offset-right-cutting-aviation-snips", "https://edmondsonsupply.com/products/klein-tools-2401r-offset-right-cutting-aviation-snips")</f>
        <v/>
      </c>
      <c r="C2519" t="inlineStr">
        <is>
          <t>Klein Tools 2401R Offset Right-Cutting Aviation Snips</t>
        </is>
      </c>
      <c r="D2519" t="inlineStr">
        <is>
          <t>Klein Tools 2401R Right-Cutting Offset Snips, Aviation Tin Snips with Forged Blade for Precision Sheet Metal Cutting</t>
        </is>
      </c>
      <c r="E2519" s="2">
        <f>HYPERLINK("https://www.amazon.com/Klein-Tools-2401R-Right-Cutting-Precision/dp/B0C4BTTVPC/ref=sr_1_1?keywords=Klein+Tools+2401R+Offset+Right-Cutting+Aviation+Snips&amp;qid=1694734882&amp;sr=8-1", "https://www.amazon.com/Klein-Tools-2401R-Right-Cutting-Precision/dp/B0C4BTTVPC/ref=sr_1_1?keywords=Klein+Tools+2401R+Offset+Right-Cutting+Aviation+Snips&amp;qid=1694734882&amp;sr=8-1")</f>
        <v/>
      </c>
      <c r="F2519" t="inlineStr">
        <is>
          <t>B0C4BTTVPC</t>
        </is>
      </c>
      <c r="G2519">
        <f>_xlfn.IMAGE("https://edmondsonsupply.com/cdn/shop/files/2401r.jpg?v=1689776657")</f>
        <v/>
      </c>
      <c r="H2519">
        <f>_xlfn.IMAGE("https://m.media-amazon.com/images/I/41JZrgGB5HL._AC_UL320_.jpg")</f>
        <v/>
      </c>
      <c r="K2519" t="inlineStr">
        <is>
          <t>24.99</t>
        </is>
      </c>
      <c r="L2519" t="n">
        <v>24.99</v>
      </c>
      <c r="M2519" s="1" t="inlineStr">
        <is>
          <t>0.00%</t>
        </is>
      </c>
      <c r="N2519" s="7" t="n">
        <v>434.3</v>
      </c>
      <c r="O2519" t="n">
        <v>4.3</v>
      </c>
      <c r="P2519" t="n">
        <v>9</v>
      </c>
      <c r="R2519" t="inlineStr">
        <is>
          <t>InStock</t>
        </is>
      </c>
      <c r="S2519" t="inlineStr">
        <is>
          <t>34.98</t>
        </is>
      </c>
      <c r="T2519" t="inlineStr">
        <is>
          <t>8018503598296</t>
        </is>
      </c>
    </row>
    <row r="2520" ht="87" customHeight="1">
      <c r="A2520" s="2">
        <f>HYPERLINK("https://edmondsonsupply.com/collections/hvac/products/fieldpiece-cat85k2-combustion-analyzer-hc-with-printer", "https://edmondsonsupply.com/collections/hvac/products/fieldpiece-cat85k2-combustion-analyzer-hc-with-printer")</f>
        <v/>
      </c>
      <c r="B2520" s="2">
        <f>HYPERLINK("https://edmondsonsupply.com/products/fieldpiece-cat85k2-combustion-analyzer-hc-with-printer", "https://edmondsonsupply.com/products/fieldpiece-cat85k2-combustion-analyzer-hc-with-printer")</f>
        <v/>
      </c>
      <c r="C2520" t="inlineStr">
        <is>
          <t>Fieldpiece CAT85K2 Combustion Analyzer HC with Printer</t>
        </is>
      </c>
      <c r="D2520" t="inlineStr">
        <is>
          <t>Fieldpiece CAT85K2 - Combustion Analyzer with Live Draft, Built-in Manometer, and Printer</t>
        </is>
      </c>
      <c r="E2520" s="2">
        <f>HYPERLINK("https://www.amazon.com/Fieldpiece-CAT85K2-Combustion-Built-Manometer/dp/B0BL6M4WLL/ref=sr_1_1?keywords=Fieldpiece+CAT85K2+Combustion+Analyzer+HC+with+Printer&amp;qid=1694734686&amp;sr=8-1", "https://www.amazon.com/Fieldpiece-CAT85K2-Combustion-Built-Manometer/dp/B0BL6M4WLL/ref=sr_1_1?keywords=Fieldpiece+CAT85K2+Combustion+Analyzer+HC+with+Printer&amp;qid=1694734686&amp;sr=8-1")</f>
        <v/>
      </c>
      <c r="F2520" t="inlineStr">
        <is>
          <t>B0BL6M4WLL</t>
        </is>
      </c>
      <c r="G2520">
        <f>_xlfn.IMAGE("https://edmondsonsupply.com/cdn/shop/products/85_3e330996-d498-4c0e-a042-f1fa53ea7231.png?v=1669936449")</f>
        <v/>
      </c>
      <c r="H2520">
        <f>_xlfn.IMAGE("https://m.media-amazon.com/images/I/51DqJhxnVGL._AC_UY218_.jpg")</f>
        <v/>
      </c>
      <c r="K2520" t="inlineStr">
        <is>
          <t>1897.2</t>
        </is>
      </c>
      <c r="L2520" t="n">
        <v>1897.2</v>
      </c>
      <c r="M2520" s="1" t="inlineStr">
        <is>
          <t>0.00%</t>
        </is>
      </c>
      <c r="N2520" s="7" t="n">
        <v>434.08</v>
      </c>
      <c r="O2520" t="n">
        <v>5</v>
      </c>
      <c r="P2520" t="n">
        <v>2</v>
      </c>
      <c r="R2520" t="inlineStr">
        <is>
          <t>OutOfStock</t>
        </is>
      </c>
      <c r="S2520" t="inlineStr">
        <is>
          <t>2232.0</t>
        </is>
      </c>
      <c r="T2520" t="inlineStr">
        <is>
          <t>7897243156696</t>
        </is>
      </c>
    </row>
    <row r="2521" ht="87" customHeight="1">
      <c r="A2521" s="2">
        <f>HYPERLINK("https://edmondsonsupply.com/collections/hvac/products/fieldpiece-jl3kr4", "https://edmondsonsupply.com/collections/hvac/products/fieldpiece-jl3kr4")</f>
        <v/>
      </c>
      <c r="B2521" s="2">
        <f>HYPERLINK("https://edmondsonsupply.com/products/fieldpiece-jl3kr4", "https://edmondsonsupply.com/products/fieldpiece-jl3kr4")</f>
        <v/>
      </c>
      <c r="C2521" t="inlineStr">
        <is>
          <t>Fieldpiece JL3KR4 Job Link System Probes Charge Kit</t>
        </is>
      </c>
      <c r="D2521" t="inlineStr">
        <is>
          <t>Fieldpiece Instruments, JL3KR4 Job Link Probes Charge Kit</t>
        </is>
      </c>
      <c r="E2521" s="2">
        <f>HYPERLINK("https://www.amazon.com/Fieldpiece-Instruments-JL3KR4-Probes-Charge/dp/B09474P9NR/ref=sr_1_1?keywords=Fieldpiece+JL3KR4+Job+Link+System+Probes+Charge+Kit&amp;qid=1694734600&amp;sr=8-1", "https://www.amazon.com/Fieldpiece-Instruments-JL3KR4-Probes-Charge/dp/B09474P9NR/ref=sr_1_1?keywords=Fieldpiece+JL3KR4+Job+Link+System+Probes+Charge+Kit&amp;qid=1694734600&amp;sr=8-1")</f>
        <v/>
      </c>
      <c r="F2521" t="inlineStr">
        <is>
          <t>B09474P9NR</t>
        </is>
      </c>
      <c r="G2521">
        <f>_xlfn.IMAGE("https://edmondsonsupply.com/cdn/shop/products/JL3KR4-SRC-Product.jpg?v=1633030174")</f>
        <v/>
      </c>
      <c r="H2521">
        <f>_xlfn.IMAGE("https://m.media-amazon.com/images/I/41YJ7f2xfAS._AC_UY218_.jpg")</f>
        <v/>
      </c>
      <c r="K2521" t="inlineStr">
        <is>
          <t>431.8</t>
        </is>
      </c>
      <c r="L2521" t="n">
        <v>431.8</v>
      </c>
      <c r="M2521" s="1" t="inlineStr">
        <is>
          <t>0.00%</t>
        </is>
      </c>
      <c r="N2521" s="7" t="n">
        <v>433.87</v>
      </c>
      <c r="O2521" t="n">
        <v>5</v>
      </c>
      <c r="P2521" t="n">
        <v>1</v>
      </c>
      <c r="R2521" t="inlineStr">
        <is>
          <t>InStock</t>
        </is>
      </c>
      <c r="S2521" t="inlineStr">
        <is>
          <t>508.0</t>
        </is>
      </c>
      <c r="T2521" t="inlineStr">
        <is>
          <t>4367242559588</t>
        </is>
      </c>
    </row>
    <row r="2522" ht="87" customHeight="1">
      <c r="A2522" s="2">
        <f>HYPERLINK("https://edmondsonsupply.com/collections/hvac/products/klein-tools-et450-advanced-circuit-tracer-kit", "https://edmondsonsupply.com/collections/hvac/products/klein-tools-et450-advanced-circuit-tracer-kit")</f>
        <v/>
      </c>
      <c r="B2522" s="2">
        <f>HYPERLINK("https://edmondsonsupply.com/products/klein-tools-et450-advanced-circuit-tracer-kit", "https://edmondsonsupply.com/products/klein-tools-et450-advanced-circuit-tracer-kit")</f>
        <v/>
      </c>
      <c r="C2522" t="inlineStr">
        <is>
          <t>Klein Tools ET450 Advanced Circuit Tracer Kit</t>
        </is>
      </c>
      <c r="D2522" t="inlineStr">
        <is>
          <t>Klein Tools ET450 Advanced Circuit Breaker Finder and Wire Tracer Kit for Energized and Non-Energized Breakers, Fuses, and Wires</t>
        </is>
      </c>
      <c r="E2522" s="2">
        <f>HYPERLINK("https://www.amazon.com/Klein-Tools-ET450-Energized-Non-Energized/dp/B09XG38XLP/ref=sr_1_1?keywords=Klein+Tools+ET450+Advanced+Circuit+Tracer+Kit&amp;qid=1694734693&amp;sr=8-1", "https://www.amazon.com/Klein-Tools-ET450-Energized-Non-Energized/dp/B09XG38XLP/ref=sr_1_1?keywords=Klein+Tools+ET450+Advanced+Circuit+Tracer+Kit&amp;qid=1694734693&amp;sr=8-1")</f>
        <v/>
      </c>
      <c r="F2522" t="inlineStr">
        <is>
          <t>B09XG38XLP</t>
        </is>
      </c>
      <c r="G2522">
        <f>_xlfn.IMAGE("https://edmondsonsupply.com/cdn/shop/products/et450.jpg?v=1660165248")</f>
        <v/>
      </c>
      <c r="H2522">
        <f>_xlfn.IMAGE("https://m.media-amazon.com/images/I/71DaXgIbaFL._AC_UL320_.jpg")</f>
        <v/>
      </c>
      <c r="K2522" t="inlineStr">
        <is>
          <t>239.99</t>
        </is>
      </c>
      <c r="L2522" t="n">
        <v>239.99</v>
      </c>
      <c r="M2522" s="1" t="inlineStr">
        <is>
          <t>0.00%</t>
        </is>
      </c>
      <c r="N2522" s="7" t="n">
        <v>433.62</v>
      </c>
      <c r="O2522" t="n">
        <v>4.7</v>
      </c>
      <c r="P2522" t="n">
        <v>477</v>
      </c>
      <c r="R2522" t="inlineStr">
        <is>
          <t>InStock</t>
        </is>
      </c>
      <c r="S2522" t="inlineStr">
        <is>
          <t>359.98</t>
        </is>
      </c>
      <c r="T2522" t="inlineStr">
        <is>
          <t>7778011971800</t>
        </is>
      </c>
    </row>
    <row r="2523" ht="87" customHeight="1">
      <c r="A2523" s="2">
        <f>HYPERLINK("https://edmondsonsupply.com/collections/hvac/products/klein-tools-85616-precision-screwdriver-set-torx%C2%AE-4-piece", "https://edmondsonsupply.com/collections/hvac/products/klein-tools-85616-precision-screwdriver-set-torx%C2%AE-4-piece")</f>
        <v/>
      </c>
      <c r="B2523" s="2">
        <f>HYPERLINK("https://edmondsonsupply.com/products/klein-tools-85616-precision-screwdriver-set-torx%c2%ae-4-piece", "https://edmondsonsupply.com/products/klein-tools-85616-precision-screwdriver-set-torx%c2%ae-4-piece")</f>
        <v/>
      </c>
      <c r="C2523" t="inlineStr">
        <is>
          <t>Klein Tools 85616 Precision Screwdriver Set, TORX® 4-Piece</t>
        </is>
      </c>
      <c r="D2523" t="inlineStr">
        <is>
          <t>Klein Tools 85615 Mini Precision Screwdriver Set, 4-Piece Phillips and Flat Head Set Ideal for Electronics and Small Home Appliances</t>
        </is>
      </c>
      <c r="E2523" s="2">
        <f>HYPERLINK("https://www.amazon.com/Klein-Tools-85615-Screwdriver-Electronics/dp/B0C1QBJGVD/ref=sr_1_2?keywords=Klein+Tools+85616+Precision+Screwdriver+Set%2C+TORX%C2%AE+4-Piece&amp;qid=1694734879&amp;sr=8-2", "https://www.amazon.com/Klein-Tools-85615-Screwdriver-Electronics/dp/B0C1QBJGVD/ref=sr_1_2?keywords=Klein+Tools+85616+Precision+Screwdriver+Set%2C+TORX%C2%AE+4-Piece&amp;qid=1694734879&amp;sr=8-2")</f>
        <v/>
      </c>
      <c r="F2523" t="inlineStr">
        <is>
          <t>B0C1QBJGVD</t>
        </is>
      </c>
      <c r="G2523">
        <f>_xlfn.IMAGE("https://edmondsonsupply.com/cdn/shop/files/85616_kit.jpg?v=1689873488")</f>
        <v/>
      </c>
      <c r="H2523">
        <f>_xlfn.IMAGE("https://m.media-amazon.com/images/I/51YOOIPbR9L._AC_UL320_.jpg")</f>
        <v/>
      </c>
      <c r="K2523" t="inlineStr">
        <is>
          <t>19.97</t>
        </is>
      </c>
      <c r="L2523" t="n">
        <v>19.97</v>
      </c>
      <c r="M2523" s="1" t="inlineStr">
        <is>
          <t>0.00%</t>
        </is>
      </c>
      <c r="N2523" s="7" t="n">
        <v>433.62</v>
      </c>
      <c r="O2523" t="n">
        <v>4.6</v>
      </c>
      <c r="P2523" t="n">
        <v>13</v>
      </c>
      <c r="R2523" t="inlineStr">
        <is>
          <t>InStock</t>
        </is>
      </c>
      <c r="S2523" t="inlineStr">
        <is>
          <t>27.98</t>
        </is>
      </c>
      <c r="T2523" t="inlineStr">
        <is>
          <t>8018843861208</t>
        </is>
      </c>
    </row>
    <row r="2524" ht="87" customHeight="1">
      <c r="A2524" s="2">
        <f>HYPERLINK("https://edmondsonsupply.com/collections/hvac/products/fieldpiece-sdmn5", "https://edmondsonsupply.com/collections/hvac/products/fieldpiece-sdmn5")</f>
        <v/>
      </c>
      <c r="B2524" s="2">
        <f>HYPERLINK("https://edmondsonsupply.com/products/fieldpiece-sdmn5", "https://edmondsonsupply.com/products/fieldpiece-sdmn5")</f>
        <v/>
      </c>
      <c r="C2524" t="inlineStr">
        <is>
          <t>Fieldpiece SDMN5 Dual Port Manometer</t>
        </is>
      </c>
      <c r="D2524" t="inlineStr">
        <is>
          <t>Fieldpiece Dual-Port Manometer - SDMN5</t>
        </is>
      </c>
      <c r="E2524" s="2">
        <f>HYPERLINK("https://www.amazon.com/Fieldpiece-SDMN5-Dual-Port-Manometer/dp/B000UV0F9U/ref=sr_1_1?keywords=Fieldpiece+SDMN5+Dual+Port+Manometer&amp;qid=1694734728&amp;sr=8-1", "https://www.amazon.com/Fieldpiece-SDMN5-Dual-Port-Manometer/dp/B000UV0F9U/ref=sr_1_1?keywords=Fieldpiece+SDMN5+Dual+Port+Manometer&amp;qid=1694734728&amp;sr=8-1")</f>
        <v/>
      </c>
      <c r="F2524" t="inlineStr">
        <is>
          <t>B000UV0F9U</t>
        </is>
      </c>
      <c r="G2524">
        <f>_xlfn.IMAGE("https://edmondsonsupply.com/cdn/shop/products/SDMN5-SRC-product-KIT.jpg?v=1633030149")</f>
        <v/>
      </c>
      <c r="H2524">
        <f>_xlfn.IMAGE("https://m.media-amazon.com/images/I/51Z2hbLZvaL._AC_UY218_.jpg")</f>
        <v/>
      </c>
      <c r="K2524" t="inlineStr">
        <is>
          <t>164.05</t>
        </is>
      </c>
      <c r="L2524" t="n">
        <v>164.05</v>
      </c>
      <c r="M2524" s="1" t="inlineStr">
        <is>
          <t>0.00%</t>
        </is>
      </c>
      <c r="N2524" s="7" t="n">
        <v>430.26</v>
      </c>
      <c r="O2524" t="n">
        <v>4.7</v>
      </c>
      <c r="P2524" t="n">
        <v>572</v>
      </c>
      <c r="R2524" t="inlineStr">
        <is>
          <t>InStock</t>
        </is>
      </c>
      <c r="S2524" t="inlineStr">
        <is>
          <t>193.0</t>
        </is>
      </c>
      <c r="T2524" t="inlineStr">
        <is>
          <t>4112641687652</t>
        </is>
      </c>
    </row>
    <row r="2525" ht="87" customHeight="1">
      <c r="A2525" s="2">
        <f>HYPERLINK("https://edmondsonsupply.com/collections/hvac/products/wiha-tools-32636-8-0-classic-grip-bicut-compound-diagonal-cutters", "https://edmondsonsupply.com/collections/hvac/products/wiha-tools-32636-8-0-classic-grip-bicut-compound-diagonal-cutters")</f>
        <v/>
      </c>
      <c r="B2525" s="2">
        <f>HYPERLINK("https://edmondsonsupply.com/products/wiha-tools-32636-8-0-classic-grip-bicut-compound-diagonal-cutters", "https://edmondsonsupply.com/products/wiha-tools-32636-8-0-classic-grip-bicut-compound-diagonal-cutters")</f>
        <v/>
      </c>
      <c r="C2525" t="inlineStr">
        <is>
          <t>Wiha Tools 32636 8.0" Classic Grip BiCut Compound Diagonal Cutters</t>
        </is>
      </c>
      <c r="D2525" t="inlineStr">
        <is>
          <t>Wiha 32636 Classic Grip BiCut Compound Cutters 8"</t>
        </is>
      </c>
      <c r="E2525" s="2">
        <f>HYPERLINK("https://www.amazon.com/Wiha-32636-SuperCut-Compound-Cutters/dp/B00S7UR8VO/ref=sr_1_31?keywords=Wiha+Tools+32636+8.0%22+Classic+Grip+BiCut+Compound+Diagonal+Cutters&amp;qid=1694734875&amp;sr=8-31", "https://www.amazon.com/Wiha-32636-SuperCut-Compound-Cutters/dp/B00S7UR8VO/ref=sr_1_31?keywords=Wiha+Tools+32636+8.0%22+Classic+Grip+BiCut+Compound+Diagonal+Cutters&amp;qid=1694734875&amp;sr=8-31")</f>
        <v/>
      </c>
      <c r="F2525" t="inlineStr">
        <is>
          <t>B00S7UR8VO</t>
        </is>
      </c>
      <c r="G2525">
        <f>_xlfn.IMAGE("https://edmondsonsupply.com/cdn/shop/files/avqcbp2lrgioifw699cj_1000x_ca683521-ec7d-4f5e-9371-8f10d962f2c7.webp?v=1690928589")</f>
        <v/>
      </c>
      <c r="H2525">
        <f>_xlfn.IMAGE("https://m.media-amazon.com/images/I/61POjzRtLNL._AC_UL320_.jpg")</f>
        <v/>
      </c>
      <c r="K2525" t="inlineStr">
        <is>
          <t>29.98</t>
        </is>
      </c>
      <c r="L2525" t="n">
        <v>29.98</v>
      </c>
      <c r="M2525" s="1" t="inlineStr">
        <is>
          <t>0.00%</t>
        </is>
      </c>
      <c r="N2525" s="7" t="n">
        <v>428.55</v>
      </c>
      <c r="O2525" t="n">
        <v>4.3</v>
      </c>
      <c r="P2525" t="n">
        <v>88</v>
      </c>
      <c r="R2525" t="inlineStr">
        <is>
          <t>InStock</t>
        </is>
      </c>
      <c r="S2525" t="inlineStr">
        <is>
          <t>40.56</t>
        </is>
      </c>
      <c r="T2525" t="inlineStr">
        <is>
          <t>8023580672216</t>
        </is>
      </c>
    </row>
    <row r="2526" ht="87" customHeight="1">
      <c r="A2526" s="2">
        <f>HYPERLINK("https://edmondsonsupply.com/collections/hvac/products/cps-vg200", "https://edmondsonsupply.com/collections/hvac/products/cps-vg200")</f>
        <v/>
      </c>
      <c r="B2526" s="2">
        <f>HYPERLINK("https://edmondsonsupply.com/products/cps-vg200", "https://edmondsonsupply.com/products/cps-vg200")</f>
        <v/>
      </c>
      <c r="C2526" t="inlineStr">
        <is>
          <t>CPS® VG200 Vacrometer® Digital Micron Vacuum Gauge</t>
        </is>
      </c>
      <c r="D2526" t="inlineStr">
        <is>
          <t>CPS-AO-42500-08 Products VG200 Portable Digital Vacuum Gauge, LCD, Atmospheric to 0 microns</t>
        </is>
      </c>
      <c r="E2526" s="2">
        <f>HYPERLINK("https://www.amazon.com/CPS-Products-Portable-Digital-Atmospheric/dp/B00DDDA12I/ref=sr_1_2?keywords=CPS%C2%AE+VG200+Vacrometer%C2%AE+Digital+Micron+Vacuum+Gauge&amp;qid=1694734622&amp;sr=8-2", "https://www.amazon.com/CPS-Products-Portable-Digital-Atmospheric/dp/B00DDDA12I/ref=sr_1_2?keywords=CPS%C2%AE+VG200+Vacrometer%C2%AE+Digital+Micron+Vacuum+Gauge&amp;qid=1694734622&amp;sr=8-2")</f>
        <v/>
      </c>
      <c r="F2526" t="inlineStr">
        <is>
          <t>B00DDDA12I</t>
        </is>
      </c>
      <c r="G2526">
        <f>_xlfn.IMAGE("https://edmondsonsupply.com/cdn/shop/products/VG200-1.jpg?v=1633030050")</f>
        <v/>
      </c>
      <c r="H2526">
        <f>_xlfn.IMAGE("https://m.media-amazon.com/images/I/71hx1l9CBJL._AC_UY218_.jpg")</f>
        <v/>
      </c>
      <c r="K2526" t="inlineStr">
        <is>
          <t>179.84</t>
        </is>
      </c>
      <c r="L2526" t="n">
        <v>179.84</v>
      </c>
      <c r="M2526" s="1" t="inlineStr">
        <is>
          <t>0.00%</t>
        </is>
      </c>
      <c r="N2526" s="7" t="n">
        <v>426.91</v>
      </c>
      <c r="O2526" t="n">
        <v>4.4</v>
      </c>
      <c r="P2526" t="n">
        <v>36</v>
      </c>
      <c r="R2526" t="inlineStr">
        <is>
          <t>InStock</t>
        </is>
      </c>
      <c r="S2526" t="inlineStr">
        <is>
          <t>207.51</t>
        </is>
      </c>
      <c r="T2526" t="inlineStr">
        <is>
          <t>3282774982756</t>
        </is>
      </c>
    </row>
    <row r="2527" hidden="1" ht="15.75" customHeight="1">
      <c r="A2527" s="2">
        <f>HYPERLINK("https://edmondsonsupply.com/collections/hvac/products/klein-tools-llk12-l-style-hex-key-caddy-set-12-piece-inch", "https://edmondsonsupply.com/collections/hvac/products/klein-tools-llk12-l-style-hex-key-caddy-set-12-piece-inch")</f>
        <v/>
      </c>
      <c r="B2527" s="2">
        <f>HYPERLINK("https://edmondsonsupply.com/products/klein-tools-llk12-l-style-hex-key-caddy-set-12-piece-inch", "https://edmondsonsupply.com/products/klein-tools-llk12-l-style-hex-key-caddy-set-12-piece-inch")</f>
        <v/>
      </c>
      <c r="C2527" t="inlineStr">
        <is>
          <t>Klein Tools LLK12 L-Style Hex Key Caddy Set 12-Piece, Inch</t>
        </is>
      </c>
      <c r="D2527" t="inlineStr">
        <is>
          <t>Klein Tools LLK12 L-Style Hex Key Caddy Set 12-Piece</t>
        </is>
      </c>
      <c r="E2527" s="2">
        <f>HYPERLINK("https://www.amazon.com/L-Style-12-Piece-Klein-Tools-LLK12/dp/B0002RIA0I/ref=sr_1_1?keywords=Klein+Tools+LLK12+L-Style+Hex+Key+Caddy+Set+12-Piece%2C+Inch&amp;qid=1694734791&amp;sr=8-1", "https://www.amazon.com/L-Style-12-Piece-Klein-Tools-LLK12/dp/B0002RIA0I/ref=sr_1_1?keywords=Klein+Tools+LLK12+L-Style+Hex+Key+Caddy+Set+12-Piece%2C+Inch&amp;qid=1694734791&amp;sr=8-1")</f>
        <v/>
      </c>
      <c r="F2527" t="inlineStr">
        <is>
          <t>B0002RIA0I</t>
        </is>
      </c>
      <c r="G2527">
        <f>_xludf.IMAGE("https://edmondsonsupply.com/cdn/shop/products/llk12.jpg?v=1633030476")</f>
        <v/>
      </c>
      <c r="H2527">
        <f>_xludf.IMAGE("https://m.media-amazon.com/images/I/612CxDeGVTL._AC_UL320_.jpg")</f>
        <v/>
      </c>
      <c r="K2527" t="inlineStr">
        <is>
          <t>11.99</t>
        </is>
      </c>
      <c r="L2527" t="n">
        <v>11.99</v>
      </c>
      <c r="M2527" s="1" t="inlineStr">
        <is>
          <t>0.00%</t>
        </is>
      </c>
      <c r="N2527" s="1" t="n">
        <v>425.21</v>
      </c>
      <c r="O2527" t="n">
        <v>4.8</v>
      </c>
      <c r="P2527" t="n">
        <v>601</v>
      </c>
      <c r="R2527" t="inlineStr">
        <is>
          <t>InStock</t>
        </is>
      </c>
      <c r="S2527" t="inlineStr">
        <is>
          <t>16.78</t>
        </is>
      </c>
      <c r="T2527" t="inlineStr">
        <is>
          <t>5366344417448</t>
        </is>
      </c>
    </row>
    <row r="2528" ht="87" customHeight="1">
      <c r="A2528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2528" s="2">
        <f>HYPERLINK("https://edmondsonsupply.com/products/klein-tools-3005cr-ratcheting-crimper-10-22-awg", "https://edmondsonsupply.com/products/klein-tools-3005cr-ratcheting-crimper-10-22-awg")</f>
        <v/>
      </c>
      <c r="C2528" t="inlineStr">
        <is>
          <t>Klein Tools 3005CR Ratcheting Crimper, 10-22 AWG - Insulated Terminals</t>
        </is>
      </c>
      <c r="D2528" t="inlineStr">
        <is>
          <t>Klein Tools 3005CR Wire Crimper Tool, Ratcheting Insulated Terminal Crimper for 10 to 22 AWG Wire</t>
        </is>
      </c>
      <c r="E2528" s="2">
        <f>HYPERLINK("https://www.amazon.com/Klein-Tools-Ratcheting-Crimper-10-22/dp/B07WMB61J5/ref=sr_1_1?keywords=Klein+Tools+3005CR+Ratcheting+Crimper%2C+10-22+AWG+-+Insulated+Terminals&amp;qid=1694734673&amp;sr=8-1", "https://www.amazon.com/Klein-Tools-Ratcheting-Crimper-10-22/dp/B07WMB61J5/ref=sr_1_1?keywords=Klein+Tools+3005CR+Ratcheting+Crimper%2C+10-22+AWG+-+Insulated+Terminals&amp;qid=1694734673&amp;sr=8-1")</f>
        <v/>
      </c>
      <c r="F2528" t="inlineStr">
        <is>
          <t>B07WMB61J5</t>
        </is>
      </c>
      <c r="G2528">
        <f>_xlfn.IMAGE("https://edmondsonsupply.com/cdn/shop/products/3005cr.jpg?v=1587146892")</f>
        <v/>
      </c>
      <c r="H2528">
        <f>_xlfn.IMAGE("https://m.media-amazon.com/images/I/412xzN1PKSL._AC_UL320_.jpg")</f>
        <v/>
      </c>
      <c r="K2528" t="inlineStr">
        <is>
          <t>29.97</t>
        </is>
      </c>
      <c r="L2528" t="n">
        <v>29.97</v>
      </c>
      <c r="M2528" s="1" t="inlineStr">
        <is>
          <t>0.00%</t>
        </is>
      </c>
      <c r="N2528" s="7" t="n">
        <v>425.19</v>
      </c>
      <c r="O2528" t="n">
        <v>4.8</v>
      </c>
      <c r="P2528" t="n">
        <v>6991</v>
      </c>
      <c r="R2528" t="inlineStr">
        <is>
          <t>InStock</t>
        </is>
      </c>
      <c r="S2528" t="inlineStr">
        <is>
          <t>42.9</t>
        </is>
      </c>
      <c r="T2528" t="inlineStr">
        <is>
          <t>3699388907620</t>
        </is>
      </c>
    </row>
    <row r="2529" hidden="1" ht="15.75" customHeight="1">
      <c r="A2529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2529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2529" t="inlineStr">
        <is>
          <t>Klein Tools JTH6E11 3/16-Inch Hex Key, Journeyman T-Handle, 6-Inch</t>
        </is>
      </c>
      <c r="D2529" t="inlineStr">
        <is>
          <t>Klein Tools JTH6M3BE 3 mm Ball End Hex Key with Journeyman T-Handle, 6-Inch</t>
        </is>
      </c>
      <c r="E2529" s="2">
        <f>HYPERLINK("https://www.amazon.com/Journeyman-T-Handle-Klein-Tools-JTH6M3BE/dp/B005G394V2/ref=sr_1_3?keywords=Klein+Tools+JTH6E11+3%2F16-Inch+Hex+Key%2C+Journeyman+T-Handle%2C+6-Inch&amp;qid=1694734729&amp;sr=8-3", "https://www.amazon.com/Journeyman-T-Handle-Klein-Tools-JTH6M3BE/dp/B005G394V2/ref=sr_1_3?keywords=Klein+Tools+JTH6E11+3%2F16-Inch+Hex+Key%2C+Journeyman+T-Handle%2C+6-Inch&amp;qid=1694734729&amp;sr=8-3")</f>
        <v/>
      </c>
      <c r="F2529" t="inlineStr">
        <is>
          <t>B005G394V2</t>
        </is>
      </c>
      <c r="G2529">
        <f>_xludf.IMAGE("https://edmondsonsupply.com/cdn/shop/products/jth6e15_0266106d-0a3b-44ba-997b-66db7749d83f.jpg?v=1587144829")</f>
        <v/>
      </c>
      <c r="H2529">
        <f>_xludf.IMAGE("https://m.media-amazon.com/images/I/51huXA+ij8L._AC_UL320_.jpg")</f>
        <v/>
      </c>
      <c r="K2529" t="inlineStr">
        <is>
          <t>4.99</t>
        </is>
      </c>
      <c r="L2529" t="n">
        <v>4.99</v>
      </c>
      <c r="M2529" s="1" t="inlineStr">
        <is>
          <t>0.00%</t>
        </is>
      </c>
      <c r="N2529" s="1" t="n">
        <v>424.73</v>
      </c>
      <c r="O2529" t="n">
        <v>4.6</v>
      </c>
      <c r="P2529" t="n">
        <v>184</v>
      </c>
      <c r="R2529" t="inlineStr">
        <is>
          <t>InStock</t>
        </is>
      </c>
      <c r="S2529" t="inlineStr">
        <is>
          <t>7.56</t>
        </is>
      </c>
      <c r="T2529" t="inlineStr">
        <is>
          <t>4396293947492</t>
        </is>
      </c>
    </row>
    <row r="2530" ht="87" customHeight="1">
      <c r="A2530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2530" s="2">
        <f>HYPERLINK("https://edmondsonsupply.com/products/klein-tools-11046-wire-stripper-cutter-16-26-awg-stranded", "https://edmondsonsupply.com/products/klein-tools-11046-wire-stripper-cutter-16-26-awg-stranded")</f>
        <v/>
      </c>
      <c r="C2530" t="inlineStr">
        <is>
          <t>Klein Tools 11046 Wire Stripper/Cutter 16-26 AWG Stranded</t>
        </is>
      </c>
      <c r="D2530" t="inlineStr">
        <is>
          <t>Klein Tools 11046 Wire Stripper/Cutter 16-26 AWG Stranded,Red</t>
        </is>
      </c>
      <c r="E2530" s="2">
        <f>HYPERLINK("https://www.amazon.com/Stripper-Stranded-Klein-Tools-11046/dp/B0000302WS/ref=sr_1_1?keywords=Klein+Tools+11046+Wire+Stripper%2FCutter+16-26+AWG+Stranded&amp;qid=1694734810&amp;sr=8-1", "https://www.amazon.com/Stripper-Stranded-Klein-Tools-11046/dp/B0000302WS/ref=sr_1_1?keywords=Klein+Tools+11046+Wire+Stripper%2FCutter+16-26+AWG+Stranded&amp;qid=1694734810&amp;sr=8-1")</f>
        <v/>
      </c>
      <c r="F2530" t="inlineStr">
        <is>
          <t>B0000302WS</t>
        </is>
      </c>
      <c r="G2530">
        <f>_xlfn.IMAGE("https://edmondsonsupply.com/cdn/shop/products/11046.jpg?v=1587147965")</f>
        <v/>
      </c>
      <c r="H2530">
        <f>_xlfn.IMAGE("https://m.media-amazon.com/images/I/510IQiIFnZL._AC_UL320_.jpg")</f>
        <v/>
      </c>
      <c r="K2530" t="inlineStr">
        <is>
          <t>15.97</t>
        </is>
      </c>
      <c r="L2530" t="n">
        <v>15.97</v>
      </c>
      <c r="M2530" s="1" t="inlineStr">
        <is>
          <t>0.00%</t>
        </is>
      </c>
      <c r="N2530" s="7" t="n">
        <v>423.92</v>
      </c>
      <c r="O2530" t="n">
        <v>4.7</v>
      </c>
      <c r="P2530" t="n">
        <v>3106</v>
      </c>
      <c r="R2530" t="inlineStr">
        <is>
          <t>InStock</t>
        </is>
      </c>
      <c r="S2530" t="inlineStr">
        <is>
          <t>23.56</t>
        </is>
      </c>
      <c r="T2530" t="inlineStr">
        <is>
          <t>3688603910244</t>
        </is>
      </c>
    </row>
    <row r="2531" ht="87" customHeight="1">
      <c r="A2531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531" s="2">
        <f>HYPERLINK("https://edmondsonsupply.com/products/klein-tools-pnd-12-5-1-2-inch-power-nut-driver-5-inch-length", "https://edmondsonsupply.com/products/klein-tools-pnd-12-5-1-2-inch-power-nut-driver-5-inch-length")</f>
        <v/>
      </c>
      <c r="C2531" t="inlineStr">
        <is>
          <t>Klein Tools PND-12-5 1/2-Inch Power Nut Driver 5-Inch Length</t>
        </is>
      </c>
      <c r="D2531" t="inlineStr">
        <is>
          <t>Klein Tools PND125 1/2-Inch Power Nut Driver 5-Inch Length</t>
        </is>
      </c>
      <c r="E2531" s="2">
        <f>HYPERLINK("https://www.amazon.com/2-Inch-Driver-Klein-Tools-PND125/dp/B00ELGQJT0/ref=sr_1_1?keywords=Klein+Tools+PND-12-5+1%2F2-Inch+Power+Nut+Driver+5-Inch+Length&amp;qid=1694734708&amp;sr=8-1", "https://www.amazon.com/2-Inch-Driver-Klein-Tools-PND125/dp/B00ELGQJT0/ref=sr_1_1?keywords=Klein+Tools+PND-12-5+1%2F2-Inch+Power+Nut+Driver+5-Inch+Length&amp;qid=1694734708&amp;sr=8-1")</f>
        <v/>
      </c>
      <c r="F2531" t="inlineStr">
        <is>
          <t>B00ELGQJT0</t>
        </is>
      </c>
      <c r="G2531">
        <f>_xlfn.IMAGE("https://edmondsonsupply.com/cdn/shop/products/pnd125.jpg?v=1633031028")</f>
        <v/>
      </c>
      <c r="H2531">
        <f>_xlfn.IMAGE("https://m.media-amazon.com/images/I/41vRVkuMIDL._AC_UL320_.jpg")</f>
        <v/>
      </c>
      <c r="K2531" t="inlineStr">
        <is>
          <t>18.99</t>
        </is>
      </c>
      <c r="L2531" t="n">
        <v>18.99</v>
      </c>
      <c r="M2531" s="1" t="inlineStr">
        <is>
          <t>0.00%</t>
        </is>
      </c>
      <c r="N2531" s="7" t="n">
        <v>423.18</v>
      </c>
      <c r="O2531" t="n">
        <v>4.6</v>
      </c>
      <c r="P2531" t="n">
        <v>1105</v>
      </c>
      <c r="R2531" t="inlineStr">
        <is>
          <t>InStock</t>
        </is>
      </c>
      <c r="S2531" t="inlineStr">
        <is>
          <t>30.98</t>
        </is>
      </c>
      <c r="T2531" t="inlineStr">
        <is>
          <t>6729466445997</t>
        </is>
      </c>
    </row>
    <row r="2532" ht="87" customHeight="1">
      <c r="A2532" s="2">
        <f>HYPERLINK("https://edmondsonsupply.com/collections/hvac/products/klein-tools-85153k-slotted-screw-holding-driver-kit-3-16-inch-and-1-4-inch", "https://edmondsonsupply.com/collections/hvac/products/klein-tools-85153k-slotted-screw-holding-driver-kit-3-16-inch-and-1-4-inch")</f>
        <v/>
      </c>
      <c r="B2532" s="2">
        <f>HYPERLINK("https://edmondsonsupply.com/products/klein-tools-85153k-slotted-screw-holding-driver-kit-3-16-inch-and-1-4-inch", "https://edmondsonsupply.com/products/klein-tools-85153k-slotted-screw-holding-driver-kit-3-16-inch-and-1-4-inch")</f>
        <v/>
      </c>
      <c r="C2532" t="inlineStr">
        <is>
          <t>Klein Tools 85153K Slotted Screw Holding Driver Kit, 3/16-Inch and 1/4-Inch</t>
        </is>
      </c>
      <c r="D2532" t="inlineStr">
        <is>
          <t>Klein Tools 32286 Insulated Screwdriver, 2-in-1 Screwdriver Set with Flip Blade, #1 Phillips and 3/16-Inch Slotted Tips, Double-Ended Blades</t>
        </is>
      </c>
      <c r="E2532" s="2">
        <f>HYPERLINK("https://www.amazon.com/Klein-Tools-32286-Screwdriver-Double-Ended/dp/B07XQBZXL2/ref=sr_1_29?keywords=Klein+Tools+85153K+Slotted+Screw+Holding+Driver+Kit%2C+3%2F16-Inch+and+1%2F4-Inch&amp;qid=1694734835&amp;sr=8-29", "https://www.amazon.com/Klein-Tools-32286-Screwdriver-Double-Ended/dp/B07XQBZXL2/ref=sr_1_29?keywords=Klein+Tools+85153K+Slotted+Screw+Holding+Driver+Kit%2C+3%2F16-Inch+and+1%2F4-Inch&amp;qid=1694734835&amp;sr=8-29")</f>
        <v/>
      </c>
      <c r="F2532" t="inlineStr">
        <is>
          <t>B07XQBZXL2</t>
        </is>
      </c>
      <c r="G2532">
        <f>_xlfn.IMAGE("https://edmondsonsupply.com/cdn/shop/files/85153k.jpg?v=1693933663")</f>
        <v/>
      </c>
      <c r="H2532">
        <f>_xlfn.IMAGE("https://m.media-amazon.com/images/I/41ujHk4Dg2L._AC_UL320_.jpg")</f>
        <v/>
      </c>
      <c r="K2532" t="inlineStr">
        <is>
          <t>19.98</t>
        </is>
      </c>
      <c r="L2532" t="n">
        <v>19.98</v>
      </c>
      <c r="M2532" s="1" t="inlineStr">
        <is>
          <t>0.00%</t>
        </is>
      </c>
      <c r="N2532" s="7" t="n">
        <v>417.5</v>
      </c>
      <c r="O2532" t="n">
        <v>4.7</v>
      </c>
      <c r="P2532" t="n">
        <v>616</v>
      </c>
      <c r="R2532" t="inlineStr">
        <is>
          <t>InStock</t>
        </is>
      </c>
      <c r="S2532" t="inlineStr">
        <is>
          <t>29.98</t>
        </is>
      </c>
      <c r="T2532" t="inlineStr">
        <is>
          <t>8034276344024</t>
        </is>
      </c>
    </row>
    <row r="2533" ht="87" customHeight="1">
      <c r="A2533" s="2">
        <f>HYPERLINK("https://edmondsonsupply.com/collections/hvac/products/channellock-8wcb", "https://edmondsonsupply.com/collections/hvac/products/channellock-8wcb")</f>
        <v/>
      </c>
      <c r="B2533" s="2">
        <f>HYPERLINK("https://edmondsonsupply.com/products/channellock-8wcb", "https://edmondsonsupply.com/products/channellock-8wcb")</f>
        <v/>
      </c>
      <c r="C2533" t="inlineStr">
        <is>
          <t>Channellock 8WCB 8" Code Blue WIDEAZZ Adjustable Wrench</t>
        </is>
      </c>
      <c r="D2533" t="inlineStr">
        <is>
          <t>Channellock 8WCB 8-Inch WideAzz Adjustable Wrench|1.5-Inch Wide Jaw Opening|Precise Jaw Design Grips Tight-Even in Tight Spaces|Measurement Scales Engraved on the Tool|CODE BLUE Comfort Grip</t>
        </is>
      </c>
      <c r="E2533" s="2">
        <f>HYPERLINK("https://www.amazon.com/Channellock-8WCB-WideAzz-Adjustable-Opening/dp/B001I70C34/ref=sr_1_1?keywords=Channellock+8WCB+8%22+Code+Blue+WIDEAZZ+Adjustable+Wrench&amp;qid=1694734792&amp;sr=8-1", "https://www.amazon.com/Channellock-8WCB-WideAzz-Adjustable-Opening/dp/B001I70C34/ref=sr_1_1?keywords=Channellock+8WCB+8%22+Code+Blue+WIDEAZZ+Adjustable+Wrench&amp;qid=1694734792&amp;sr=8-1")</f>
        <v/>
      </c>
      <c r="F2533" t="inlineStr">
        <is>
          <t>B001I70C34</t>
        </is>
      </c>
      <c r="G2533">
        <f>_xlfn.IMAGE("https://edmondsonsupply.com/cdn/shop/products/8WCB-683x1024.jpg?v=1633030324")</f>
        <v/>
      </c>
      <c r="H2533">
        <f>_xlfn.IMAGE("https://m.media-amazon.com/images/I/71nT0F6xLwL._AC_UL320_.jpg")</f>
        <v/>
      </c>
      <c r="K2533" t="inlineStr">
        <is>
          <t>31.95</t>
        </is>
      </c>
      <c r="L2533" t="n">
        <v>31.95</v>
      </c>
      <c r="M2533" s="1" t="inlineStr">
        <is>
          <t>0.00%</t>
        </is>
      </c>
      <c r="N2533" s="7" t="n">
        <v>412.51</v>
      </c>
      <c r="O2533" t="n">
        <v>4.8</v>
      </c>
      <c r="P2533" t="n">
        <v>4409</v>
      </c>
      <c r="R2533" t="inlineStr">
        <is>
          <t>InStock</t>
        </is>
      </c>
      <c r="S2533" t="inlineStr">
        <is>
          <t>48.49</t>
        </is>
      </c>
      <c r="T2533" t="inlineStr">
        <is>
          <t>5247300436136</t>
        </is>
      </c>
    </row>
    <row r="2534" ht="87" customHeight="1">
      <c r="A2534" s="2">
        <f>HYPERLINK("https://edmondsonsupply.com/collections/hvac/products/wiha-tools-70486-6-piece-color-coded-magnetic-nut-setter-sae-set", "https://edmondsonsupply.com/collections/hvac/products/wiha-tools-70486-6-piece-color-coded-magnetic-nut-setter-sae-set")</f>
        <v/>
      </c>
      <c r="B2534" s="2">
        <f>HYPERLINK("https://edmondsonsupply.com/products/wiha-tools-70486-6-piece-color-coded-magnetic-nut-setter-sae-set", "https://edmondsonsupply.com/products/wiha-tools-70486-6-piece-color-coded-magnetic-nut-setter-sae-set")</f>
        <v/>
      </c>
      <c r="C2534" t="inlineStr">
        <is>
          <t>Wiha Tools 70486 6 Piece Color Coded Magnetic Nut Setter SAE Set</t>
        </is>
      </c>
      <c r="D2534" t="inlineStr">
        <is>
          <t>Wiha 70487 6 Piece Color Coded Magnetic Nut Setter Metric Set</t>
        </is>
      </c>
      <c r="E2534" s="2">
        <f>HYPERLINK("https://www.amazon.com/Wiha-70487-Magnetic-Setter-Metric/dp/B0BJYV5CKN/ref=sr_1_4?keywords=Wiha+Tools+70486+6+Piece+Color+Coded+Magnetic+Nut+Setter+SAE+Set&amp;qid=1694734870&amp;sr=8-4", "https://www.amazon.com/Wiha-70487-Magnetic-Setter-Metric/dp/B0BJYV5CKN/ref=sr_1_4?keywords=Wiha+Tools+70486+6+Piece+Color+Coded+Magnetic+Nut+Setter+SAE+Set&amp;qid=1694734870&amp;sr=8-4")</f>
        <v/>
      </c>
      <c r="F2534" t="inlineStr">
        <is>
          <t>B0BJYV5CKN</t>
        </is>
      </c>
      <c r="G2534">
        <f>_xlfn.IMAGE("https://edmondsonsupply.com/cdn/shop/files/yd5nbnqyuwli1mnwhztl_1000x_327efac2-5e06-44b8-a018-f96fc21e85ad.webp?v=1690908507")</f>
        <v/>
      </c>
      <c r="H2534">
        <f>_xlfn.IMAGE("https://m.media-amazon.com/images/I/71ukMY3HPtL._AC_UL320_.jpg")</f>
        <v/>
      </c>
      <c r="K2534" t="inlineStr">
        <is>
          <t>39.98</t>
        </is>
      </c>
      <c r="L2534" t="n">
        <v>39.98</v>
      </c>
      <c r="M2534" s="1" t="inlineStr">
        <is>
          <t>0.00%</t>
        </is>
      </c>
      <c r="N2534" s="7" t="n">
        <v>411.18</v>
      </c>
      <c r="O2534" t="n">
        <v>4.6</v>
      </c>
      <c r="P2534" t="n">
        <v>140</v>
      </c>
      <c r="R2534" t="inlineStr">
        <is>
          <t>InStock</t>
        </is>
      </c>
      <c r="S2534" t="inlineStr">
        <is>
          <t>57.18</t>
        </is>
      </c>
      <c r="T2534" t="inlineStr">
        <is>
          <t>8023447011544</t>
        </is>
      </c>
    </row>
    <row r="2535" ht="87" customHeight="1">
      <c r="A2535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2535" s="2">
        <f>HYPERLINK("https://edmondsonsupply.com/products/klein-tools-3005cr-ratcheting-crimper-10-22-awg", "https://edmondsonsupply.com/products/klein-tools-3005cr-ratcheting-crimper-10-22-awg")</f>
        <v/>
      </c>
      <c r="C2535" t="inlineStr">
        <is>
          <t>Klein Tools 3005CR Ratcheting Crimper, 10-22 AWG - Insulated Terminals</t>
        </is>
      </c>
      <c r="D2535" t="inlineStr">
        <is>
          <t>Klein Tools 1005 Cutting / Crimping Tool for 10-22 AWG Terminals and Connectors, Terminal Crimper for Insulated and Non-Insulated Terminals</t>
        </is>
      </c>
      <c r="E2535" s="2">
        <f>HYPERLINK("https://www.amazon.com/Klein-Tools-1005-Connectors-Non-Insulated/dp/B0006M6Y5M/ref=sr_1_7?keywords=Klein+Tools+3005CR+Ratcheting+Crimper%2C+10-22+AWG+-+Insulated+Terminals&amp;qid=1694734673&amp;sr=8-7", "https://www.amazon.com/Klein-Tools-1005-Connectors-Non-Insulated/dp/B0006M6Y5M/ref=sr_1_7?keywords=Klein+Tools+3005CR+Ratcheting+Crimper%2C+10-22+AWG+-+Insulated+Terminals&amp;qid=1694734673&amp;sr=8-7")</f>
        <v/>
      </c>
      <c r="F2535" t="inlineStr">
        <is>
          <t>B0006M6Y5M</t>
        </is>
      </c>
      <c r="G2535">
        <f>_xlfn.IMAGE("https://edmondsonsupply.com/cdn/shop/products/3005cr.jpg?v=1587146892")</f>
        <v/>
      </c>
      <c r="H2535">
        <f>_xlfn.IMAGE("https://m.media-amazon.com/images/I/41JVR3OpiRL._AC_UL320_.jpg")</f>
        <v/>
      </c>
      <c r="K2535" t="inlineStr">
        <is>
          <t>29.97</t>
        </is>
      </c>
      <c r="L2535" t="n">
        <v>29.97</v>
      </c>
      <c r="M2535" s="1" t="inlineStr">
        <is>
          <t>0.00%</t>
        </is>
      </c>
      <c r="N2535" s="7" t="n">
        <v>409.85</v>
      </c>
      <c r="O2535" t="n">
        <v>4.9</v>
      </c>
      <c r="P2535" t="n">
        <v>3897</v>
      </c>
      <c r="R2535" t="inlineStr">
        <is>
          <t>InStock</t>
        </is>
      </c>
      <c r="S2535" t="inlineStr">
        <is>
          <t>42.9</t>
        </is>
      </c>
      <c r="T2535" t="inlineStr">
        <is>
          <t>3699388907620</t>
        </is>
      </c>
    </row>
    <row r="2536" ht="87" customHeight="1">
      <c r="A2536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2536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2536" t="inlineStr">
        <is>
          <t>Klein Tools 70550 Pro Folding Hex Key Set, 11-Key, SAE Sizes</t>
        </is>
      </c>
      <c r="D2536" t="inlineStr">
        <is>
          <t>Klein Tools 70550 Hex Wrench Key Set, 11 SAE Sizes, Heavy Duty Folding Allen Wrench Tool with Extra Long Hex Keys</t>
        </is>
      </c>
      <c r="E2536" s="2">
        <f>HYPERLINK("https://www.amazon.com/Klein-Tools-70550-Folding-Wrench/dp/B07SR11TC4/ref=sr_1_1?keywords=Klein+Tools+70550+Pro+Folding+Hex+Key+Set%2C+11-Key%2C+SAE+Sizes&amp;qid=1694734808&amp;sr=8-1", "https://www.amazon.com/Klein-Tools-70550-Folding-Wrench/dp/B07SR11TC4/ref=sr_1_1?keywords=Klein+Tools+70550+Pro+Folding+Hex+Key+Set%2C+11-Key%2C+SAE+Sizes&amp;qid=1694734808&amp;sr=8-1")</f>
        <v/>
      </c>
      <c r="F2536" t="inlineStr">
        <is>
          <t>B07SR11TC4</t>
        </is>
      </c>
      <c r="G2536">
        <f>_xlfn.IMAGE("https://edmondsonsupply.com/cdn/shop/products/70550.jpg?v=1587145237")</f>
        <v/>
      </c>
      <c r="H2536">
        <f>_xlfn.IMAGE("https://m.media-amazon.com/images/I/51WajHtjW+L._AC_UL320_.jpg")</f>
        <v/>
      </c>
      <c r="K2536" t="inlineStr">
        <is>
          <t>19.97</t>
        </is>
      </c>
      <c r="L2536" t="n">
        <v>19.97</v>
      </c>
      <c r="M2536" s="1" t="inlineStr">
        <is>
          <t>0.00%</t>
        </is>
      </c>
      <c r="N2536" s="7" t="n">
        <v>409.85</v>
      </c>
      <c r="O2536" t="n">
        <v>4.8</v>
      </c>
      <c r="P2536" t="n">
        <v>5745</v>
      </c>
      <c r="R2536" t="inlineStr">
        <is>
          <t>InStock</t>
        </is>
      </c>
      <c r="S2536" t="inlineStr">
        <is>
          <t>27.18</t>
        </is>
      </c>
      <c r="T2536" t="inlineStr">
        <is>
          <t>3693538082916</t>
        </is>
      </c>
    </row>
    <row r="2537" hidden="1" ht="15.75" customHeight="1">
      <c r="A2537" s="2">
        <f>HYPERLINK("https://edmondsonsupply.com/collections/hvac/products/klein-tools-60439-neck-and-face-cooling-band", "https://edmondsonsupply.com/collections/hvac/products/klein-tools-60439-neck-and-face-cooling-band")</f>
        <v/>
      </c>
      <c r="B2537" s="2">
        <f>HYPERLINK("https://edmondsonsupply.com/products/klein-tools-60439-neck-and-face-cooling-band", "https://edmondsonsupply.com/products/klein-tools-60439-neck-and-face-cooling-band")</f>
        <v/>
      </c>
      <c r="C2537" t="inlineStr">
        <is>
          <t>Klein Tools 60439 Neck and Face Cooling Band</t>
        </is>
      </c>
      <c r="D2537" t="inlineStr">
        <is>
          <t>Klein Tools 60465 Cooling Band for Neck and Face with Evaporative Performance Knit Fabric, Cools Instantly When Wet, UPF 50 Protection, Yellow</t>
        </is>
      </c>
      <c r="E2537" s="2">
        <f>HYPERLINK("https://www.amazon.com/Klein-60465-Evaporative-Performance-Protection/dp/B08L5LWPH3/ref=sr_1_1?keywords=Klein+Tools+60439+Neck+and+Face+Cooling+Band&amp;qid=1694734716&amp;sr=8-1", "https://www.amazon.com/Klein-60465-Evaporative-Performance-Protection/dp/B08L5LWPH3/ref=sr_1_1?keywords=Klein+Tools+60439+Neck+and+Face+Cooling+Band&amp;qid=1694734716&amp;sr=8-1")</f>
        <v/>
      </c>
      <c r="F2537" t="inlineStr">
        <is>
          <t>B08L5LWPH3</t>
        </is>
      </c>
      <c r="G2537">
        <f>_xludf.IMAGE("https://edmondsonsupply.com/cdn/shop/products/60439.jpg?v=1633030400")</f>
        <v/>
      </c>
      <c r="H2537">
        <f>_xludf.IMAGE("https://m.media-amazon.com/images/I/61XfIfPNM0L._AC_UL320_.jpg")</f>
        <v/>
      </c>
      <c r="K2537" t="inlineStr">
        <is>
          <t>9.99</t>
        </is>
      </c>
      <c r="L2537" t="n">
        <v>9.99</v>
      </c>
      <c r="M2537" s="1" t="inlineStr">
        <is>
          <t>0.00%</t>
        </is>
      </c>
      <c r="N2537" s="1" t="n">
        <v>408.33</v>
      </c>
      <c r="O2537" t="n">
        <v>4.4</v>
      </c>
      <c r="P2537" t="n">
        <v>66</v>
      </c>
      <c r="R2537" t="inlineStr">
        <is>
          <t>InStock</t>
        </is>
      </c>
      <c r="S2537" t="inlineStr">
        <is>
          <t>14.0</t>
        </is>
      </c>
      <c r="T2537" t="inlineStr">
        <is>
          <t>5304644599976</t>
        </is>
      </c>
    </row>
    <row r="2538" ht="87" customHeight="1">
      <c r="A2538" s="2">
        <f>HYPERLINK("https://edmondsonsupply.com/collections/hvac/products/klein-tools-44218-cable-skinning-utility-knife-w-replaceable-blade", "https://edmondsonsupply.com/collections/hvac/products/klein-tools-44218-cable-skinning-utility-knife-w-replaceable-blade")</f>
        <v/>
      </c>
      <c r="B2538" s="2">
        <f>HYPERLINK("https://edmondsonsupply.com/products/klein-tools-44218-cable-skinning-utility-knife-w-replaceable-blade", "https://edmondsonsupply.com/products/klein-tools-44218-cable-skinning-utility-knife-w-replaceable-blade")</f>
        <v/>
      </c>
      <c r="C2538" t="inlineStr">
        <is>
          <t>Klein Tools 44218 Cable Skinning Utility Knife w/Replaceable Blade</t>
        </is>
      </c>
      <c r="D2538" t="inlineStr">
        <is>
          <t>Klein Tools 44218 Utility Knife, Lockback Electricians Knife and Folding Knife with Hawkbill Blade for Cable Skinning, Replaceable Blade</t>
        </is>
      </c>
      <c r="E2538" s="2">
        <f>HYPERLINK("https://www.amazon.com/Replaceable-Mechanism-Klein-Tools-44218/dp/B071YR1Q2L/ref=sr_1_1?keywords=Klein+Tools+44218+Cable+Skinning+Utility+Knife+w%2FReplaceable+Blade&amp;qid=1694734671&amp;sr=8-1", "https://www.amazon.com/Replaceable-Mechanism-Klein-Tools-44218/dp/B071YR1Q2L/ref=sr_1_1?keywords=Klein+Tools+44218+Cable+Skinning+Utility+Knife+w%2FReplaceable+Blade&amp;qid=1694734671&amp;sr=8-1")</f>
        <v/>
      </c>
      <c r="F2538" t="inlineStr">
        <is>
          <t>B071YR1Q2L</t>
        </is>
      </c>
      <c r="G2538">
        <f>_xlfn.IMAGE("https://edmondsonsupply.com/cdn/shop/products/44218.jpg?v=1587145352")</f>
        <v/>
      </c>
      <c r="H2538">
        <f>_xlfn.IMAGE("https://m.media-amazon.com/images/I/41ToQfPYPnL._AC_UL320_.jpg")</f>
        <v/>
      </c>
      <c r="K2538" t="inlineStr">
        <is>
          <t>21.97</t>
        </is>
      </c>
      <c r="L2538" t="n">
        <v>21.97</v>
      </c>
      <c r="M2538" s="1" t="inlineStr">
        <is>
          <t>0.00%</t>
        </is>
      </c>
      <c r="N2538" s="7" t="n">
        <v>404.11</v>
      </c>
      <c r="O2538" t="n">
        <v>4.8</v>
      </c>
      <c r="P2538" t="n">
        <v>3343</v>
      </c>
      <c r="R2538" t="inlineStr">
        <is>
          <t>InStock</t>
        </is>
      </c>
      <c r="S2538" t="inlineStr">
        <is>
          <t>31.72</t>
        </is>
      </c>
      <c r="T2538" t="inlineStr">
        <is>
          <t>4392100692068</t>
        </is>
      </c>
    </row>
    <row r="2539" ht="87" customHeight="1">
      <c r="A2539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539" s="2">
        <f>HYPERLINK("https://edmondsonsupply.com/products/klein-tools-32314-14-in-1-precision-screwdriver-nut-driver", "https://edmondsonsupply.com/products/klein-tools-32314-14-in-1-precision-screwdriver-nut-driver")</f>
        <v/>
      </c>
      <c r="C2539" t="inlineStr">
        <is>
          <t>Klein Tools 32314 14-in-1 Precision Screwdriver/ Nut Driver</t>
        </is>
      </c>
      <c r="D2539" t="inlineStr">
        <is>
          <t>Klein Tools 32527 Multi-Bit Screwdriver / Nut Driver, 11-in-1 with Phillips, Slotted, Square, and Schrader Bits and Nut Drivers</t>
        </is>
      </c>
      <c r="E2539" s="2">
        <f>HYPERLINK("https://www.amazon.com/Screwdriver-Phillips-Klein-Tools-32527/dp/B004RIDKHQ/ref=sr_1_27?keywords=Klein+Tools+32314+14-in-1+Precision+Screwdriver%2F+Nut+Driver&amp;qid=1694734697&amp;sr=8-27", "https://www.amazon.com/Screwdriver-Phillips-Klein-Tools-32527/dp/B004RIDKHQ/ref=sr_1_27?keywords=Klein+Tools+32314+14-in-1+Precision+Screwdriver%2F+Nut+Driver&amp;qid=1694734697&amp;sr=8-27")</f>
        <v/>
      </c>
      <c r="F2539" t="inlineStr">
        <is>
          <t>B004RIDKHQ</t>
        </is>
      </c>
      <c r="G2539">
        <f>_xlfn.IMAGE("https://edmondsonsupply.com/cdn/shop/products/32314.jpg?v=1646593726")</f>
        <v/>
      </c>
      <c r="H2539">
        <f>_xlfn.IMAGE("https://m.media-amazon.com/images/I/41cLxI0Af5L._AC_UL320_.jpg")</f>
        <v/>
      </c>
      <c r="K2539" t="inlineStr">
        <is>
          <t>15.97</t>
        </is>
      </c>
      <c r="L2539" t="n">
        <v>15.97</v>
      </c>
      <c r="M2539" s="1" t="inlineStr">
        <is>
          <t>0.00%</t>
        </is>
      </c>
      <c r="N2539" s="7" t="n">
        <v>404.11</v>
      </c>
      <c r="O2539" t="n">
        <v>4.8</v>
      </c>
      <c r="P2539" t="n">
        <v>4201</v>
      </c>
      <c r="R2539" t="inlineStr">
        <is>
          <t>InStock</t>
        </is>
      </c>
      <c r="S2539" t="inlineStr">
        <is>
          <t>22.38</t>
        </is>
      </c>
      <c r="T2539" t="inlineStr">
        <is>
          <t>7626984947928</t>
        </is>
      </c>
    </row>
    <row r="2540" ht="87" customHeight="1">
      <c r="A2540" s="2">
        <f>HYPERLINK("https://edmondsonsupply.com/collections/hvac/products/fieldpiece-sc640", "https://edmondsonsupply.com/collections/hvac/products/fieldpiece-sc640")</f>
        <v/>
      </c>
      <c r="B2540" s="2">
        <f>HYPERLINK("https://edmondsonsupply.com/products/fieldpiece-sc640", "https://edmondsonsupply.com/products/fieldpiece-sc640")</f>
        <v/>
      </c>
      <c r="C2540" t="inlineStr">
        <is>
          <t>Fieldpiece SC640 Loaded Clamp Meter</t>
        </is>
      </c>
      <c r="D2540" t="inlineStr">
        <is>
          <t>Fieldpiece SC640 Loaded Clamp Multimeter with Swivel Head and LED Flashlight</t>
        </is>
      </c>
      <c r="E2540" s="2">
        <f>HYPERLINK("https://www.amazon.com/Fieldpiece-SC640-Loaded-Multimeter-Flashlight/dp/B00KLYJGJQ/ref=sr_1_1?keywords=Fieldpiece+SC640+Loaded+Clamp+Meter&amp;qid=1694734671&amp;sr=8-1", "https://www.amazon.com/Fieldpiece-SC640-Loaded-Multimeter-Flashlight/dp/B00KLYJGJQ/ref=sr_1_1?keywords=Fieldpiece+SC640+Loaded+Clamp+Meter&amp;qid=1694734671&amp;sr=8-1")</f>
        <v/>
      </c>
      <c r="F2540" t="inlineStr">
        <is>
          <t>B00KLYJGJQ</t>
        </is>
      </c>
      <c r="G2540">
        <f>_xlfn.IMAGE("https://edmondsonsupply.com/cdn/shop/products/SC640-SRC-product.jpg?v=1633030198")</f>
        <v/>
      </c>
      <c r="H2540">
        <f>_xlfn.IMAGE("https://m.media-amazon.com/images/I/61RFJYVGaCL._AC_UY218_.jpg")</f>
        <v/>
      </c>
      <c r="K2540" t="inlineStr">
        <is>
          <t>249.9</t>
        </is>
      </c>
      <c r="L2540" t="n">
        <v>249.9</v>
      </c>
      <c r="M2540" s="1" t="inlineStr">
        <is>
          <t>0.00%</t>
        </is>
      </c>
      <c r="N2540" s="7" t="n">
        <v>403.84</v>
      </c>
      <c r="O2540" t="n">
        <v>4.8</v>
      </c>
      <c r="P2540" t="n">
        <v>244</v>
      </c>
      <c r="R2540" t="inlineStr">
        <is>
          <t>InStock</t>
        </is>
      </c>
      <c r="S2540" t="inlineStr">
        <is>
          <t>294.0</t>
        </is>
      </c>
      <c r="T2540" t="inlineStr">
        <is>
          <t>4409847283812</t>
        </is>
      </c>
    </row>
    <row r="2541" ht="87" customHeight="1">
      <c r="A2541" s="2">
        <f>HYPERLINK("https://edmondsonsupply.com/collections/hvac/products/klein-tools-85153k-slotted-screw-holding-driver-kit-3-16-inch-and-1-4-inch", "https://edmondsonsupply.com/collections/hvac/products/klein-tools-85153k-slotted-screw-holding-driver-kit-3-16-inch-and-1-4-inch")</f>
        <v/>
      </c>
      <c r="B2541" s="2">
        <f>HYPERLINK("https://edmondsonsupply.com/products/klein-tools-85153k-slotted-screw-holding-driver-kit-3-16-inch-and-1-4-inch", "https://edmondsonsupply.com/products/klein-tools-85153k-slotted-screw-holding-driver-kit-3-16-inch-and-1-4-inch")</f>
        <v/>
      </c>
      <c r="C2541" t="inlineStr">
        <is>
          <t>Klein Tools 85153K Slotted Screw Holding Driver Kit, 3/16-Inch and 1/4-Inch</t>
        </is>
      </c>
      <c r="D2541" t="inlineStr">
        <is>
          <t>Klein Tools 32293 Insulated Screwdriver, 2-in-1 Screwdriver Set with Flip Blade, #2 Phillips and1/4-Inch Slotted Tips, Double-Ended Blades</t>
        </is>
      </c>
      <c r="E2541" s="2">
        <f>HYPERLINK("https://www.amazon.com/Klein-Tools-32293-Screwdriver-Double-Ended/dp/B07WWZZQD2/ref=sr_1_8?keywords=Klein+Tools+85153K+Slotted+Screw+Holding+Driver+Kit%2C+3%2F16-Inch+and+1%2F4-Inch&amp;qid=1694734835&amp;sr=8-8", "https://www.amazon.com/Klein-Tools-32293-Screwdriver-Double-Ended/dp/B07WWZZQD2/ref=sr_1_8?keywords=Klein+Tools+85153K+Slotted+Screw+Holding+Driver+Kit%2C+3%2F16-Inch+and+1%2F4-Inch&amp;qid=1694734835&amp;sr=8-8")</f>
        <v/>
      </c>
      <c r="F2541" t="inlineStr">
        <is>
          <t>B07WWZZQD2</t>
        </is>
      </c>
      <c r="G2541">
        <f>_xlfn.IMAGE("https://edmondsonsupply.com/cdn/shop/files/85153k.jpg?v=1693933663")</f>
        <v/>
      </c>
      <c r="H2541">
        <f>_xlfn.IMAGE("https://m.media-amazon.com/images/I/41yk4NC2BmL._AC_UL320_.jpg")</f>
        <v/>
      </c>
      <c r="K2541" t="inlineStr">
        <is>
          <t>19.98</t>
        </is>
      </c>
      <c r="L2541" t="n">
        <v>19.98</v>
      </c>
      <c r="M2541" s="1" t="inlineStr">
        <is>
          <t>0.00%</t>
        </is>
      </c>
      <c r="N2541" s="7" t="n">
        <v>401.73</v>
      </c>
      <c r="O2541" t="n">
        <v>4.8</v>
      </c>
      <c r="P2541" t="n">
        <v>2774</v>
      </c>
      <c r="R2541" t="inlineStr">
        <is>
          <t>InStock</t>
        </is>
      </c>
      <c r="S2541" t="inlineStr">
        <is>
          <t>29.98</t>
        </is>
      </c>
      <c r="T2541" t="inlineStr">
        <is>
          <t>8034276344024</t>
        </is>
      </c>
    </row>
    <row r="2542" ht="87" customHeight="1">
      <c r="A2542" s="2">
        <f>HYPERLINK("https://edmondsonsupply.com/collections/hvac/products/wiha-tools-28345-6-piece-insulated-slimline-pocketmax-multi-driver", "https://edmondsonsupply.com/collections/hvac/products/wiha-tools-28345-6-piece-insulated-slimline-pocketmax-multi-driver")</f>
        <v/>
      </c>
      <c r="B2542" s="2">
        <f>HYPERLINK("https://edmondsonsupply.com/products/wiha-tools-28345-6-piece-insulated-slimline-pocketmax-multi-driver", "https://edmondsonsupply.com/products/wiha-tools-28345-6-piece-insulated-slimline-pocketmax-multi-driver")</f>
        <v/>
      </c>
      <c r="C2542" t="inlineStr">
        <is>
          <t>Wiha Tools 28345 6 Piece Insulated SlimLine PocketMax Multi-Driver</t>
        </is>
      </c>
      <c r="D2542" t="inlineStr">
        <is>
          <t>Wiha 28345 6 Piece Insulated SlimLine PocketMax Multi-Driver</t>
        </is>
      </c>
      <c r="E2542" s="2">
        <f>HYPERLINK("https://www.amazon.com/Wiha-28345-Insulated-PocketMax-Multi-Driver/dp/B0C41RKZDW/ref=sr_1_1?keywords=Wiha+Tools+28345+6+Piece+Insulated+SlimLine+PocketMax+Multi-Driver&amp;qid=1694734870&amp;sr=8-1", "https://www.amazon.com/Wiha-28345-Insulated-PocketMax-Multi-Driver/dp/B0C41RKZDW/ref=sr_1_1?keywords=Wiha+Tools+28345+6+Piece+Insulated+SlimLine+PocketMax+Multi-Driver&amp;qid=1694734870&amp;sr=8-1")</f>
        <v/>
      </c>
      <c r="F2542" t="inlineStr">
        <is>
          <t>B0C41RKZDW</t>
        </is>
      </c>
      <c r="G2542">
        <f>_xlfn.IMAGE("https://edmondsonsupply.com/cdn/shop/files/wjbse4q1tjopoh3gedft_1000x_df232d6d-d37e-435d-a299-d53bfa0c3016.webp?v=1690833368")</f>
        <v/>
      </c>
      <c r="H2542">
        <f>_xlfn.IMAGE("https://m.media-amazon.com/images/I/51xgjec5cDL._AC_UL320_.jpg")</f>
        <v/>
      </c>
      <c r="K2542" t="inlineStr">
        <is>
          <t>44.99</t>
        </is>
      </c>
      <c r="L2542" t="n">
        <v>44.99</v>
      </c>
      <c r="M2542" s="1" t="inlineStr">
        <is>
          <t>0.00%</t>
        </is>
      </c>
      <c r="N2542" s="7" t="n">
        <v>401.7</v>
      </c>
      <c r="O2542" t="n">
        <v>4.8</v>
      </c>
      <c r="P2542" t="n">
        <v>45</v>
      </c>
      <c r="R2542" t="inlineStr">
        <is>
          <t>InStock</t>
        </is>
      </c>
      <c r="S2542" t="inlineStr">
        <is>
          <t>59.98</t>
        </is>
      </c>
      <c r="T2542" t="inlineStr">
        <is>
          <t>8023250010328</t>
        </is>
      </c>
    </row>
    <row r="2543" ht="87" customHeight="1">
      <c r="A2543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543" s="2">
        <f>HYPERLINK("https://edmondsonsupply.com/products/klein-tools-32314-14-in-1-precision-screwdriver-nut-driver", "https://edmondsonsupply.com/products/klein-tools-32314-14-in-1-precision-screwdriver-nut-driver")</f>
        <v/>
      </c>
      <c r="C2543" t="inlineStr">
        <is>
          <t>Klein Tools 32314 14-in-1 Precision Screwdriver/ Nut Driver</t>
        </is>
      </c>
      <c r="D2543" t="inlineStr">
        <is>
          <t>Klein Tools 32559 Multi-bit Screwdriver / Nut Driver, Extended Reach 6-in-1 Tool with Nut Driver, Phillips and Slotted Bits</t>
        </is>
      </c>
      <c r="E2543" s="2">
        <f>HYPERLINK("https://www.amazon.com/Multibit-Screwdriver-Klein-Tools-32559/dp/B005FQDHDG/ref=sr_1_28?keywords=Klein+Tools+32314+14-in-1+Precision+Screwdriver%2F+Nut+Driver&amp;qid=1694734697&amp;sr=8-28", "https://www.amazon.com/Multibit-Screwdriver-Klein-Tools-32559/dp/B005FQDHDG/ref=sr_1_28?keywords=Klein+Tools+32314+14-in-1+Precision+Screwdriver%2F+Nut+Driver&amp;qid=1694734697&amp;sr=8-28")</f>
        <v/>
      </c>
      <c r="F2543" t="inlineStr">
        <is>
          <t>B005FQDHDG</t>
        </is>
      </c>
      <c r="G2543">
        <f>_xlfn.IMAGE("https://edmondsonsupply.com/cdn/shop/products/32314.jpg?v=1646593726")</f>
        <v/>
      </c>
      <c r="H2543">
        <f>_xlfn.IMAGE("https://m.media-amazon.com/images/I/514peoSo7EL._AC_UL320_.jpg")</f>
        <v/>
      </c>
      <c r="K2543" t="inlineStr">
        <is>
          <t>15.97</t>
        </is>
      </c>
      <c r="L2543" t="n">
        <v>15.97</v>
      </c>
      <c r="M2543" s="1" t="inlineStr">
        <is>
          <t>0.00%</t>
        </is>
      </c>
      <c r="N2543" s="7" t="n">
        <v>400.4</v>
      </c>
      <c r="O2543" t="n">
        <v>4.8</v>
      </c>
      <c r="P2543" t="n">
        <v>2200</v>
      </c>
      <c r="R2543" t="inlineStr">
        <is>
          <t>InStock</t>
        </is>
      </c>
      <c r="S2543" t="inlineStr">
        <is>
          <t>22.38</t>
        </is>
      </c>
      <c r="T2543" t="inlineStr">
        <is>
          <t>7626984947928</t>
        </is>
      </c>
    </row>
    <row r="2544" ht="87" customHeight="1">
      <c r="A2544" s="2">
        <f>HYPERLINK("https://edmondsonsupply.com/collections/hvac/products/fieldpiece-jl3rh", "https://edmondsonsupply.com/collections/hvac/products/fieldpiece-jl3rh")</f>
        <v/>
      </c>
      <c r="B2544" s="2">
        <f>HYPERLINK("https://edmondsonsupply.com/products/fieldpiece-jl3rh", "https://edmondsonsupply.com/products/fieldpiece-jl3rh")</f>
        <v/>
      </c>
      <c r="C2544" t="inlineStr">
        <is>
          <t>Fieldpiece JL3RH Job Link® System Flex Psychrometer Probe</t>
        </is>
      </c>
      <c r="D2544" t="inlineStr">
        <is>
          <t>Fieldpiece JL3RH Job Link Flex Psychrometer Probe w/Remote Data Logging for BLE 4.0 Devices, 2.4 GHz Radio Frequency, 0% RH to 100% RH Measurement Range</t>
        </is>
      </c>
      <c r="E2544" s="2">
        <f>HYPERLINK("https://www.amazon.com/Fieldpiece-Psychrometer-Logging-Frequency-Measurement/dp/B07DNJ1YFJ/ref=sr_1_1?keywords=Fieldpiece+JL3RH+Job+Link%C2%AE+System+Flex+Psychrometer+Probe&amp;qid=1694734622&amp;sr=8-1", "https://www.amazon.com/Fieldpiece-Psychrometer-Logging-Frequency-Measurement/dp/B07DNJ1YFJ/ref=sr_1_1?keywords=Fieldpiece+JL3RH+Job+Link%C2%AE+System+Flex+Psychrometer+Probe&amp;qid=1694734622&amp;sr=8-1")</f>
        <v/>
      </c>
      <c r="F2544" t="inlineStr">
        <is>
          <t>B07DNJ1YFJ</t>
        </is>
      </c>
      <c r="G2544">
        <f>_xlfn.IMAGE("https://edmondsonsupply.com/cdn/shop/products/JL3RH-SRC-Product.jpg?v=1633030110")</f>
        <v/>
      </c>
      <c r="H2544">
        <f>_xlfn.IMAGE("https://m.media-amazon.com/images/I/51qzFlinAmL._AC_UY218_.jpg")</f>
        <v/>
      </c>
      <c r="K2544" t="inlineStr">
        <is>
          <t>131.75</t>
        </is>
      </c>
      <c r="L2544" t="n">
        <v>131.75</v>
      </c>
      <c r="M2544" s="1" t="inlineStr">
        <is>
          <t>0.00%</t>
        </is>
      </c>
      <c r="N2544" s="7" t="n">
        <v>400.33</v>
      </c>
      <c r="O2544" t="n">
        <v>4.8</v>
      </c>
      <c r="P2544" t="n">
        <v>601</v>
      </c>
      <c r="R2544" t="inlineStr">
        <is>
          <t>InStock</t>
        </is>
      </c>
      <c r="S2544" t="inlineStr">
        <is>
          <t>155.0</t>
        </is>
      </c>
      <c r="T2544" t="inlineStr">
        <is>
          <t>3669071921252</t>
        </is>
      </c>
    </row>
    <row r="2545" hidden="1" ht="15.75" customHeight="1">
      <c r="A2545" s="2">
        <f>HYPERLINK("https://edmondsonsupply.com/collections/hvac/products/klein-tools-13231-replacement-bit-1-8-slotted-and-schrader%C2%AE", "https://edmondsonsupply.com/collections/hvac/products/klein-tools-13231-replacement-bit-1-8-slotted-and-schrader%C2%AE")</f>
        <v/>
      </c>
      <c r="B2545" s="2">
        <f>HYPERLINK("https://edmondsonsupply.com/products/klein-tools-13231-replacement-bit-1-8-slotted-and-schrader%c2%ae", "https://edmondsonsupply.com/products/klein-tools-13231-replacement-bit-1-8-slotted-and-schrader%c2%ae")</f>
        <v/>
      </c>
      <c r="C2545" t="inlineStr">
        <is>
          <t>Klein Tools 13231 Replacement Bits, 1/8-Inch Slotted and Schrader®</t>
        </is>
      </c>
      <c r="D2545" t="inlineStr">
        <is>
          <t>Klein Tools 13231 Replacement Driver Bits, 1/8-Inch Slotted and Schrader</t>
        </is>
      </c>
      <c r="E2545" s="2">
        <f>HYPERLINK("https://www.amazon.com/Replacement-Schrader-Klein-Tools-13231/dp/B0791D1VPP/ref=sr_1_1?keywords=Klein+Tools+13231+Replacement+Bits%2C+1%2F8-Inch+Slotted+and+Schrader%C2%AE&amp;qid=1694734678&amp;sr=8-1", "https://www.amazon.com/Replacement-Schrader-Klein-Tools-13231/dp/B0791D1VPP/ref=sr_1_1?keywords=Klein+Tools+13231+Replacement+Bits%2C+1%2F8-Inch+Slotted+and+Schrader%C2%AE&amp;qid=1694734678&amp;sr=8-1")</f>
        <v/>
      </c>
      <c r="F2545" t="inlineStr">
        <is>
          <t>B0791D1VPP</t>
        </is>
      </c>
      <c r="G2545">
        <f>_xludf.IMAGE("https://edmondsonsupply.com/cdn/shop/products/13231.jpg?v=1587143809")</f>
        <v/>
      </c>
      <c r="H2545">
        <f>_xludf.IMAGE("https://m.media-amazon.com/images/I/51Ap07mXRLL._AC_UL320_.jpg")</f>
        <v/>
      </c>
      <c r="K2545" t="inlineStr">
        <is>
          <t>6.49</t>
        </is>
      </c>
      <c r="L2545" t="n">
        <v>6.49</v>
      </c>
      <c r="M2545" s="1" t="inlineStr">
        <is>
          <t>0.00%</t>
        </is>
      </c>
      <c r="N2545" s="1" t="n">
        <v>400.25</v>
      </c>
      <c r="O2545" t="n">
        <v>4.7</v>
      </c>
      <c r="P2545" t="n">
        <v>444</v>
      </c>
      <c r="R2545" t="inlineStr">
        <is>
          <t>InStock</t>
        </is>
      </c>
      <c r="S2545" t="inlineStr">
        <is>
          <t>9.1</t>
        </is>
      </c>
      <c r="T2545" t="inlineStr">
        <is>
          <t>2766663221348</t>
        </is>
      </c>
    </row>
    <row r="2546" ht="87" customHeight="1">
      <c r="A2546" s="2">
        <f>HYPERLINK("https://edmondsonsupply.com/collections/hvac/products/klein-tools-32286-2-in-1-insulated-flip-blade-screwdriver-1-ph-3-16-inch-sl", "https://edmondsonsupply.com/collections/hvac/products/klein-tools-32286-2-in-1-insulated-flip-blade-screwdriver-1-ph-3-16-inch-sl")</f>
        <v/>
      </c>
      <c r="B2546" s="2">
        <f>HYPERLINK("https://edmondsonsupply.com/products/klein-tools-32286-2-in-1-insulated-flip-blade-screwdriver-1-ph-3-16-inch-sl", "https://edmondsonsupply.com/products/klein-tools-32286-2-in-1-insulated-flip-blade-screwdriver-1-ph-3-16-inch-sl")</f>
        <v/>
      </c>
      <c r="C2546" t="inlineStr">
        <is>
          <t>Klein Tools 32286 Flip-Blade Insulated Screwdriver, 2-in1, Ph Bit #1, Sl Bit 3/16-Inch</t>
        </is>
      </c>
      <c r="D2546" t="inlineStr">
        <is>
          <t>Klein Tools 32286 Insulated Screwdriver, 2-in-1 Screwdriver Set with Flip Blade, #1 Phillips and 3/16-Inch Slotted Tips, Double-Ended Blades</t>
        </is>
      </c>
      <c r="E2546" s="2">
        <f>HYPERLINK("https://www.amazon.com/Klein-Tools-32286-Screwdriver-Double-Ended/dp/B07XQBZXL2/ref=sr_1_1?keywords=Klein+Tools+32286+Flip-Blade+Insulated+Screwdriver%2C+2-in1%2C+Ph+Bit&amp;qid=1694734815&amp;sr=8-1", "https://www.amazon.com/Klein-Tools-32286-Screwdriver-Double-Ended/dp/B07XQBZXL2/ref=sr_1_1?keywords=Klein+Tools+32286+Flip-Blade+Insulated+Screwdriver%2C+2-in1%2C+Ph+Bit&amp;qid=1694734815&amp;sr=8-1")</f>
        <v/>
      </c>
      <c r="F2546" t="inlineStr">
        <is>
          <t>B07XQBZXL2</t>
        </is>
      </c>
      <c r="G2546">
        <f>_xlfn.IMAGE("https://edmondsonsupply.com/cdn/shop/products/32286.jpg?v=1587145513")</f>
        <v/>
      </c>
      <c r="H2546">
        <f>_xlfn.IMAGE("https://m.media-amazon.com/images/I/41ujHk4Dg2L._AC_UL320_.jpg")</f>
        <v/>
      </c>
      <c r="K2546" t="inlineStr">
        <is>
          <t>19.99</t>
        </is>
      </c>
      <c r="L2546" t="n">
        <v>19.98</v>
      </c>
      <c r="M2546" s="1" t="inlineStr">
        <is>
          <t>-0.05%</t>
        </is>
      </c>
      <c r="N2546" s="7" t="n">
        <v>400.12</v>
      </c>
      <c r="O2546" t="n">
        <v>4.7</v>
      </c>
      <c r="P2546" t="n">
        <v>616</v>
      </c>
      <c r="R2546" t="inlineStr">
        <is>
          <t>InStock</t>
        </is>
      </c>
      <c r="S2546" t="inlineStr">
        <is>
          <t>27.98</t>
        </is>
      </c>
      <c r="T2546" t="inlineStr">
        <is>
          <t>4163366944868</t>
        </is>
      </c>
    </row>
    <row r="2547" ht="87" customHeight="1">
      <c r="A2547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2547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2547" t="inlineStr">
        <is>
          <t>Klein Tools NCVT1XTKIT Non-Contact Voltage and GFCI Receptacle Premium Test Kit</t>
        </is>
      </c>
      <c r="D2547" t="inlineStr">
        <is>
          <t>Klein Tools NCVT1PKIT Electrical Tester Kit with Non-Contact Volt Tester, 50 to 1000V AC and GFCI Receptacle Tester, 2-Piece</t>
        </is>
      </c>
      <c r="E2547" s="2">
        <f>HYPERLINK("https://www.amazon.com/Klein-Tools-NCVT1PKIT-Electrical-Non-Contact/dp/B0BS5SCNJ1/ref=sr_1_3?keywords=Klein+Tools+NCVT1XTKIT+Non-Contact+Voltage+and+GFCI+Receptacle+Premium+Test+Kit&amp;qid=1694734686&amp;sr=8-3", "https://www.amazon.com/Klein-Tools-NCVT1PKIT-Electrical-Non-Contact/dp/B0BS5SCNJ1/ref=sr_1_3?keywords=Klein+Tools+NCVT1XTKIT+Non-Contact+Voltage+and+GFCI+Receptacle+Premium+Test+Kit&amp;qid=1694734686&amp;sr=8-3")</f>
        <v/>
      </c>
      <c r="F2547" t="inlineStr">
        <is>
          <t>B0BS5SCNJ1</t>
        </is>
      </c>
      <c r="G2547">
        <f>_xlfn.IMAGE("https://edmondsonsupply.com/cdn/shop/products/ncvt1xtkit.jpg?v=1674497102")</f>
        <v/>
      </c>
      <c r="H2547">
        <f>_xlfn.IMAGE("https://m.media-amazon.com/images/I/51CD2DGal7L._AC_UL320_.jpg")</f>
        <v/>
      </c>
      <c r="K2547" t="inlineStr">
        <is>
          <t>24.99</t>
        </is>
      </c>
      <c r="L2547" t="n">
        <v>24.97</v>
      </c>
      <c r="M2547" s="1" t="inlineStr">
        <is>
          <t>-0.08%</t>
        </is>
      </c>
      <c r="N2547" s="7" t="n">
        <v>400.07</v>
      </c>
      <c r="O2547" t="n">
        <v>4.4</v>
      </c>
      <c r="P2547" t="n">
        <v>31</v>
      </c>
      <c r="R2547" t="inlineStr">
        <is>
          <t>InStock</t>
        </is>
      </c>
      <c r="S2547" t="inlineStr">
        <is>
          <t>32.98</t>
        </is>
      </c>
      <c r="T2547" t="inlineStr">
        <is>
          <t>7931949187288</t>
        </is>
      </c>
    </row>
    <row r="2548" ht="87" customHeight="1">
      <c r="A2548" s="2">
        <f>HYPERLINK("https://edmondsonsupply.com/collections/hvac/products/western-enterprises-vn-650-hvac-nitrogen-purging-regulator-flowmeter", "https://edmondsonsupply.com/collections/hvac/products/western-enterprises-vn-650-hvac-nitrogen-purging-regulator-flowmeter")</f>
        <v/>
      </c>
      <c r="B2548" s="2">
        <f>HYPERLINK("https://edmondsonsupply.com/products/western-enterprises-vn-650-hvac-nitrogen-purging-regulator-flowmeter", "https://edmondsonsupply.com/products/western-enterprises-vn-650-hvac-nitrogen-purging-regulator-flowmeter")</f>
        <v/>
      </c>
      <c r="C2548" t="inlineStr">
        <is>
          <t>Western Enterprises VN-650 HVAC Nitrogen Purging Regulator/Flowmeter</t>
        </is>
      </c>
      <c r="D2548" t="inlineStr">
        <is>
          <t>Western Enterprises VN-650 Flowmeter Nitrogen Purging Regulator w/650 PSI Test Pressure</t>
        </is>
      </c>
      <c r="E2548" s="2">
        <f>HYPERLINK("https://www.amazon.com/Western-Enterprises-VN-650-Flowmeter-Regulator/dp/B072F7PH8J/ref=sr_1_1?keywords=Western+Enterprises+VN-650+HVAC+Nitrogen+Purging+Regulator%2FFlowmeter&amp;qid=1694734644&amp;sr=8-1", "https://www.amazon.com/Western-Enterprises-VN-650-Flowmeter-Regulator/dp/B072F7PH8J/ref=sr_1_1?keywords=Western+Enterprises+VN-650+HVAC+Nitrogen+Purging+Regulator%2FFlowmeter&amp;qid=1694734644&amp;sr=8-1")</f>
        <v/>
      </c>
      <c r="F2548" t="inlineStr">
        <is>
          <t>B072F7PH8J</t>
        </is>
      </c>
      <c r="G2548">
        <f>_xlfn.IMAGE("https://edmondsonsupply.com/cdn/shop/products/VN-650-2.jpg?v=1644171460")</f>
        <v/>
      </c>
      <c r="H2548">
        <f>_xlfn.IMAGE("https://m.media-amazon.com/images/I/716h9oUMa2L._AC_UL320_.jpg")</f>
        <v/>
      </c>
      <c r="K2548" t="inlineStr">
        <is>
          <t>177.86</t>
        </is>
      </c>
      <c r="L2548" t="n">
        <v>177.71</v>
      </c>
      <c r="M2548" s="1" t="inlineStr">
        <is>
          <t>-0.08%</t>
        </is>
      </c>
      <c r="N2548" s="7" t="n">
        <v>398.08</v>
      </c>
      <c r="O2548" t="n">
        <v>4.8</v>
      </c>
      <c r="P2548" t="n">
        <v>178</v>
      </c>
      <c r="R2548" t="inlineStr">
        <is>
          <t>InStock</t>
        </is>
      </c>
      <c r="S2548" t="inlineStr">
        <is>
          <t>undefined</t>
        </is>
      </c>
      <c r="T2548" t="inlineStr">
        <is>
          <t>7601284710616</t>
        </is>
      </c>
    </row>
    <row r="2549" ht="87" customHeight="1">
      <c r="A2549" s="2">
        <f>HYPERLINK("https://edmondsonsupply.com/collections/hvac/products/navac-np7dp-7-cfm-dual-stage-dual-voltage-vacuum-pump-pro-series", "https://edmondsonsupply.com/collections/hvac/products/navac-np7dp-7-cfm-dual-stage-dual-voltage-vacuum-pump-pro-series")</f>
        <v/>
      </c>
      <c r="B2549" s="2">
        <f>HYPERLINK("https://edmondsonsupply.com/products/navac-np7dp-7-cfm-dual-stage-dual-voltage-vacuum-pump-pro-series", "https://edmondsonsupply.com/products/navac-np7dp-7-cfm-dual-stage-dual-voltage-vacuum-pump-pro-series")</f>
        <v/>
      </c>
      <c r="C2549" t="inlineStr">
        <is>
          <t>NAVAC NP7DP 7 CFM Dual Stage/Dual-Voltage Vacuum Pump, PRO Series</t>
        </is>
      </c>
      <c r="D2549" t="inlineStr">
        <is>
          <t>NAVAC NP7DP Pro Series Vacuum Pump, 7 cfm, Dual-Stage, 15 Microns, Dual-Voltage</t>
        </is>
      </c>
      <c r="E2549" s="2">
        <f>HYPERLINK("https://www.amazon.com/Navac-NP7DP-Vacuum-Voltage-Motor/dp/B07VN6C622/ref=sr_1_1?keywords=NAVAC+NP7DP+7+CFM+Dual+Stage%2FDual-Voltage+Vacuum+Pump%2C+PRO+Series&amp;qid=1694734605&amp;sr=8-1", "https://www.amazon.com/Navac-NP7DP-Vacuum-Voltage-Motor/dp/B07VN6C622/ref=sr_1_1?keywords=NAVAC+NP7DP+7+CFM+Dual+Stage%2FDual-Voltage+Vacuum+Pump%2C+PRO+Series&amp;qid=1694734605&amp;sr=8-1")</f>
        <v/>
      </c>
      <c r="F2549" t="inlineStr">
        <is>
          <t>B07VN6C622</t>
        </is>
      </c>
      <c r="G2549">
        <f>_xlfn.IMAGE("https://edmondsonsupply.com/cdn/shop/products/NP7DP.png?v=1633030645")</f>
        <v/>
      </c>
      <c r="H2549">
        <f>_xlfn.IMAGE("https://m.media-amazon.com/images/I/71jiToQNVAL._AC_UL320_.jpg")</f>
        <v/>
      </c>
      <c r="K2549" t="inlineStr">
        <is>
          <t>359.47</t>
        </is>
      </c>
      <c r="L2549" t="n">
        <v>359</v>
      </c>
      <c r="M2549" s="1" t="inlineStr">
        <is>
          <t>-0.13%</t>
        </is>
      </c>
      <c r="N2549" s="7" t="n">
        <v>395.16</v>
      </c>
      <c r="O2549" t="n">
        <v>4.2</v>
      </c>
      <c r="P2549" t="n">
        <v>28</v>
      </c>
      <c r="R2549" t="inlineStr">
        <is>
          <t>InStock</t>
        </is>
      </c>
      <c r="S2549" t="inlineStr">
        <is>
          <t>undefined</t>
        </is>
      </c>
      <c r="T2549" t="inlineStr">
        <is>
          <t>5726142070952</t>
        </is>
      </c>
    </row>
    <row r="2550" ht="87" customHeight="1">
      <c r="A2550" s="2">
        <f>HYPERLINK("https://edmondsonsupply.com/collections/hvac/products/malco-tools-av9-vertical-upright-aviation-snip-right-cutting", "https://edmondsonsupply.com/collections/hvac/products/malco-tools-av9-vertical-upright-aviation-snip-right-cutting")</f>
        <v/>
      </c>
      <c r="B2550" s="2">
        <f>HYPERLINK("https://edmondsonsupply.com/products/malco-tools-av9-vertical-upright-aviation-snip-right-cutting", "https://edmondsonsupply.com/products/malco-tools-av9-vertical-upright-aviation-snip-right-cutting")</f>
        <v/>
      </c>
      <c r="C2550" t="inlineStr">
        <is>
          <t>Malco Tools AV9 Vertical/Upright Aviation Snip - Right Cutting</t>
        </is>
      </c>
      <c r="D2550" t="inlineStr">
        <is>
          <t>Malco AV9 Right Cutting Vertical Aviation Snip</t>
        </is>
      </c>
      <c r="E2550" s="2">
        <f>HYPERLINK("https://www.amazon.com/Malco-AV9-Cutting-Vertical-Aviation/dp/B009FAZNPI/ref=sr_1_1?keywords=Malco+Tools+AV9+Vertical%2FUpright+Aviation+Snip+-+Right+Cutting&amp;qid=1694734795&amp;sr=8-1", "https://www.amazon.com/Malco-AV9-Cutting-Vertical-Aviation/dp/B009FAZNPI/ref=sr_1_1?keywords=Malco+Tools+AV9+Vertical%2FUpright+Aviation+Snip+-+Right+Cutting&amp;qid=1694734795&amp;sr=8-1")</f>
        <v/>
      </c>
      <c r="F2550" t="inlineStr">
        <is>
          <t>B009FAZNPI</t>
        </is>
      </c>
      <c r="G2550">
        <f>_xlfn.IMAGE("https://edmondsonsupply.com/cdn/shop/products/av9-big.jpg?v=1587142663")</f>
        <v/>
      </c>
      <c r="H2550">
        <f>_xlfn.IMAGE("https://m.media-amazon.com/images/I/61Qmp0HFIqL._AC_UL320_.jpg")</f>
        <v/>
      </c>
      <c r="K2550" t="inlineStr">
        <is>
          <t>32.0</t>
        </is>
      </c>
      <c r="L2550" t="n">
        <v>31.95</v>
      </c>
      <c r="M2550" s="1" t="inlineStr">
        <is>
          <t>-0.16%</t>
        </is>
      </c>
      <c r="N2550" s="7" t="n">
        <v>392.3</v>
      </c>
      <c r="O2550" t="n">
        <v>4.7</v>
      </c>
      <c r="P2550" t="n">
        <v>262</v>
      </c>
      <c r="R2550" t="inlineStr">
        <is>
          <t>InStock</t>
        </is>
      </c>
      <c r="S2550" t="inlineStr">
        <is>
          <t>undefined</t>
        </is>
      </c>
      <c r="T2550" t="inlineStr">
        <is>
          <t>4517985124452</t>
        </is>
      </c>
    </row>
    <row r="2551" ht="87" customHeight="1">
      <c r="A2551" s="2">
        <f>HYPERLINK("https://edmondsonsupply.com/collections/hvac/products/inficon-d-tek-stratus", "https://edmondsonsupply.com/collections/hvac/products/inficon-d-tek-stratus")</f>
        <v/>
      </c>
      <c r="B2551" s="2">
        <f>HYPERLINK("https://edmondsonsupply.com/products/inficon-d-tek-stratus", "https://edmondsonsupply.com/products/inficon-d-tek-stratus")</f>
        <v/>
      </c>
      <c r="C2551" t="inlineStr">
        <is>
          <t>Inficon D-TEK Stratus® Refrigerant Leak Detector and Portable Monitor</t>
        </is>
      </c>
      <c r="D2551" t="inlineStr">
        <is>
          <t>INFICON D-TEK Stratus Refrigerant Leak Detector and Portable Monitor, Model: 724-202-G1,Off-White</t>
        </is>
      </c>
      <c r="E2551" s="2">
        <f>HYPERLINK("https://www.amazon.com/Inficon-D-TEK-Stratus-Refrigerant-Detector/dp/B07ZWGM6GR/ref=sr_1_1?keywords=Inficon+D-TEK+Stratus%C2%AE+Refrigerant+Leak+Detector+and+Portable+Monitor&amp;qid=1694734626&amp;sr=8-1", "https://www.amazon.com/Inficon-D-TEK-Stratus-Refrigerant-Detector/dp/B07ZWGM6GR/ref=sr_1_1?keywords=Inficon+D-TEK+Stratus%C2%AE+Refrigerant+Leak+Detector+and+Portable+Monitor&amp;qid=1694734626&amp;sr=8-1")</f>
        <v/>
      </c>
      <c r="F2551" t="inlineStr">
        <is>
          <t>B07ZWGM6GR</t>
        </is>
      </c>
      <c r="G2551">
        <f>_xlfn.IMAGE("https://edmondsonsupply.com/cdn/shop/products/stratus.png?v=1633030783")</f>
        <v/>
      </c>
      <c r="H2551">
        <f>_xlfn.IMAGE("https://m.media-amazon.com/images/I/61a5yae6mKL._AC_UL320_.jpg")</f>
        <v/>
      </c>
      <c r="K2551" t="inlineStr">
        <is>
          <t>1024.99</t>
        </is>
      </c>
      <c r="L2551" t="n">
        <v>1021.95</v>
      </c>
      <c r="M2551" s="1" t="inlineStr">
        <is>
          <t>-0.30%</t>
        </is>
      </c>
      <c r="N2551" s="7" t="n">
        <v>389.99</v>
      </c>
      <c r="O2551" t="n">
        <v>4.5</v>
      </c>
      <c r="P2551" t="n">
        <v>41</v>
      </c>
      <c r="R2551" t="inlineStr">
        <is>
          <t>InStock</t>
        </is>
      </c>
      <c r="S2551" t="inlineStr">
        <is>
          <t>1281.0</t>
        </is>
      </c>
      <c r="T2551" t="inlineStr">
        <is>
          <t>5973277999272</t>
        </is>
      </c>
    </row>
    <row r="2552" ht="87" customHeight="1">
      <c r="A2552" s="2">
        <f>HYPERLINK("https://edmondsonsupply.com/collections/hvac/products/navac-nhb1-big-boy-high-flow-evacuation-hose-6-3-8-to-1-4", "https://edmondsonsupply.com/collections/hvac/products/navac-nhb1-big-boy-high-flow-evacuation-hose-6-3-8-to-1-4")</f>
        <v/>
      </c>
      <c r="B2552" s="2">
        <f>HYPERLINK("https://edmondsonsupply.com/products/navac-nhb1-big-boy-high-flow-evacuation-hose-6-3-8-to-1-4", "https://edmondsonsupply.com/products/navac-nhb1-big-boy-high-flow-evacuation-hose-6-3-8-to-1-4")</f>
        <v/>
      </c>
      <c r="C2552" t="inlineStr">
        <is>
          <t>NAVAC NHB1 High-Flow Evacuation Hose, 6', 3/8" to 1/4"</t>
        </is>
      </c>
      <c r="D2552" t="inlineStr">
        <is>
          <t>Navac Big Boy High-Flow Refrigerant Hose, Black, 6', 1/2" Diameter, 3/8" to 1/4" Fitting (NHB1)</t>
        </is>
      </c>
      <c r="E2552" s="2">
        <f>HYPERLINK("https://www.amazon.com/Navac-High-Flow-Refrigerant-Diameter-Fitting/dp/B07VY9TBBJ/ref=sr_1_2?keywords=NAVAC+NHB1+High-Flow+Evacuation+Hose%2C+6%27%2C+3%2F8+to+1%2F4&amp;qid=1694734781&amp;sr=8-2", "https://www.amazon.com/Navac-High-Flow-Refrigerant-Diameter-Fitting/dp/B07VY9TBBJ/ref=sr_1_2?keywords=NAVAC+NHB1+High-Flow+Evacuation+Hose%2C+6%27%2C+3%2F8+to+1%2F4&amp;qid=1694734781&amp;sr=8-2")</f>
        <v/>
      </c>
      <c r="F2552" t="inlineStr">
        <is>
          <t>B07VY9TBBJ</t>
        </is>
      </c>
      <c r="G2552">
        <f>_xlfn.IMAGE("https://edmondsonsupply.com/cdn/shop/products/NHB1-1.png?v=1633030655")</f>
        <v/>
      </c>
      <c r="H2552">
        <f>_xlfn.IMAGE("https://m.media-amazon.com/images/I/41mRmoe+-+L._AC_UL320_.jpg")</f>
        <v/>
      </c>
      <c r="K2552" t="inlineStr">
        <is>
          <t>57.17</t>
        </is>
      </c>
      <c r="L2552" t="n">
        <v>57</v>
      </c>
      <c r="M2552" s="1" t="inlineStr">
        <is>
          <t>-0.30%</t>
        </is>
      </c>
      <c r="N2552" s="7" t="n">
        <v>389.99</v>
      </c>
      <c r="O2552" t="n">
        <v>4.7</v>
      </c>
      <c r="P2552" t="n">
        <v>54</v>
      </c>
      <c r="R2552" t="inlineStr">
        <is>
          <t>InStock</t>
        </is>
      </c>
      <c r="S2552" t="inlineStr">
        <is>
          <t>96.0</t>
        </is>
      </c>
      <c r="T2552" t="inlineStr">
        <is>
          <t>5740698730664</t>
        </is>
      </c>
    </row>
    <row r="2553" hidden="1" ht="15.75" customHeight="1">
      <c r="A2553" s="2">
        <f>HYPERLINK("https://edmondsonsupply.com/collections/hvac/products/robertshaw-rs10420t", "https://edmondsonsupply.com/collections/hvac/products/robertshaw-rs10420t")</f>
        <v/>
      </c>
      <c r="B2553" s="2">
        <f>HYPERLINK("https://edmondsonsupply.com/products/robertshaw-rs10420t", "https://edmondsonsupply.com/products/robertshaw-rs10420t")</f>
        <v/>
      </c>
      <c r="C2553" t="inlineStr">
        <is>
          <t>Robertshaw RS10420T WIFI Programmable Touchscreen Wall Thermostat, Multi-Stage - 4 Heat / 2 Cool</t>
        </is>
      </c>
      <c r="D2553" t="inlineStr">
        <is>
          <t>Robertshaw RS9320T Pro Series 7-Day Programmable Touchscreen Thermostat, Multi-Stage, 3 Heat, 2 Cool White</t>
        </is>
      </c>
      <c r="E2553" s="2">
        <f>HYPERLINK("https://www.amazon.com/Robertshaw-Programmable-Touchscreen-Multi-Stage-Conventional/dp/B00U5CB7TG/ref=sr_1_2?keywords=Robertshaw+RS10420T+WIFI+Programmable+Touchscreen+Wall+Thermostat%2C+Multi-Stage+-+4+Heat+%2F+2+Cool&amp;qid=1694734857&amp;sr=8-2", "https://www.amazon.com/Robertshaw-Programmable-Touchscreen-Multi-Stage-Conventional/dp/B00U5CB7TG/ref=sr_1_2?keywords=Robertshaw+RS10420T+WIFI+Programmable+Touchscreen+Wall+Thermostat%2C+Multi-Stage+-+4+Heat+%2F+2+Cool&amp;qid=1694734857&amp;sr=8-2")</f>
        <v/>
      </c>
      <c r="F2553" t="inlineStr">
        <is>
          <t>B00U5CB7TG</t>
        </is>
      </c>
      <c r="G2553">
        <f>_xludf.IMAGE("https://edmondsonsupply.com/cdn/shop/files/bf4cbb96-100e-4c93-9520-73ef61e2b961.jpg?v=1692304879")</f>
        <v/>
      </c>
      <c r="H2553">
        <f>_xludf.IMAGE("https://m.media-amazon.com/images/I/71J5tZZs0hL._AC_UL320_.jpg")</f>
        <v/>
      </c>
      <c r="K2553" t="inlineStr">
        <is>
          <t>72.8</t>
        </is>
      </c>
      <c r="L2553" t="n">
        <v>72.5</v>
      </c>
      <c r="M2553" s="1" t="inlineStr">
        <is>
          <t>-0.41%</t>
        </is>
      </c>
      <c r="N2553" s="1" t="n">
        <v>386.49</v>
      </c>
      <c r="O2553" t="n">
        <v>3.6</v>
      </c>
      <c r="P2553" t="n">
        <v>7</v>
      </c>
      <c r="R2553" t="inlineStr">
        <is>
          <t>InStock</t>
        </is>
      </c>
      <c r="S2553" t="inlineStr">
        <is>
          <t>undefined</t>
        </is>
      </c>
      <c r="T2553" t="inlineStr">
        <is>
          <t>8028306079960</t>
        </is>
      </c>
    </row>
    <row r="2554" hidden="1" ht="15.75" customHeight="1">
      <c r="A2554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554" s="2">
        <f>HYPERLINK("https://edmondsonsupply.com/products/klein-tools-646-5-16-5-16-inch-nut-driver-6-inch-hollow-shaft", "https://edmondsonsupply.com/products/klein-tools-646-5-16-5-16-inch-nut-driver-6-inch-hollow-shaft")</f>
        <v/>
      </c>
      <c r="C2554" t="inlineStr">
        <is>
          <t>Klein Tools 646-5/16 5/16-Inch Nut Driver, 6-Inch Hollow Shaft</t>
        </is>
      </c>
      <c r="D2554" t="inlineStr">
        <is>
          <t>Jonard Tools ND-630516, Nut Driver, 5/16" Hex Tip, 3" Hollow Shaft with Wide Ergonomic Comfort Grip,Yellow</t>
        </is>
      </c>
      <c r="E2554" s="2">
        <f>HYPERLINK("https://www.amazon.com/Jonard-ND-630516-Cushion-Gripped-Ergonomic/dp/B006C47E70/ref=sr_1_39?keywords=Klein+Tools+646-5%2F16+5%2F16-Inch+Nut+Driver%2C+6-Inch+Hollow+Shaft&amp;qid=1694734728&amp;sr=8-39", "https://www.amazon.com/Jonard-ND-630516-Cushion-Gripped-Ergonomic/dp/B006C47E70/ref=sr_1_39?keywords=Klein+Tools+646-5%2F16+5%2F16-Inch+Nut+Driver%2C+6-Inch+Hollow+Shaft&amp;qid=1694734728&amp;sr=8-39")</f>
        <v/>
      </c>
      <c r="F2554" t="inlineStr">
        <is>
          <t>B006C47E70</t>
        </is>
      </c>
      <c r="G2554">
        <f>_xludf.IMAGE("https://edmondsonsupply.com/cdn/shop/products/646-1-2_e1540905-f750-4509-90c5-74ff653e4d83.jpg?v=1587145119")</f>
        <v/>
      </c>
      <c r="H2554">
        <f>_xludf.IMAGE("https://m.media-amazon.com/images/I/61zmdU0ahTL._AC_UL320_.jpg")</f>
        <v/>
      </c>
      <c r="K2554" t="inlineStr">
        <is>
          <t>7.99</t>
        </is>
      </c>
      <c r="L2554" t="n">
        <v>7.95</v>
      </c>
      <c r="M2554" s="1" t="inlineStr">
        <is>
          <t>-0.50%</t>
        </is>
      </c>
      <c r="N2554" s="1" t="n">
        <v>386.49</v>
      </c>
      <c r="O2554" t="n">
        <v>4.5</v>
      </c>
      <c r="P2554" t="n">
        <v>127</v>
      </c>
      <c r="R2554" t="inlineStr">
        <is>
          <t>InStock</t>
        </is>
      </c>
      <c r="S2554" t="inlineStr">
        <is>
          <t>12.1</t>
        </is>
      </c>
      <c r="T2554" t="inlineStr">
        <is>
          <t>4395303272548</t>
        </is>
      </c>
    </row>
    <row r="2555" ht="87" customHeight="1">
      <c r="A2555" s="2">
        <f>HYPERLINK("https://edmondsonsupply.com/collections/hvac/products/midwest-mwt-so6-6-inch-offset-hand-seamer", "https://edmondsonsupply.com/collections/hvac/products/midwest-mwt-so6-6-inch-offset-hand-seamer")</f>
        <v/>
      </c>
      <c r="B2555" s="2">
        <f>HYPERLINK("https://edmondsonsupply.com/products/midwest-mwt-so6-6-inch-offset-hand-seamer", "https://edmondsonsupply.com/products/midwest-mwt-so6-6-inch-offset-hand-seamer")</f>
        <v/>
      </c>
      <c r="C2555" t="inlineStr">
        <is>
          <t>Midwest MWT-SO6 6-Inch Offset Hand Seamer</t>
        </is>
      </c>
      <c r="D2555" t="inlineStr">
        <is>
          <t>Midwest Tool &amp; Cutlery Seamer Tong - 3 Inch Offset Sheet Metal Bender with Forged Blades &amp; KUSH'N-POWER Comfort Grip Handle - MWT-ST2, Light Blue Handle Grip</t>
        </is>
      </c>
      <c r="E2555" s="2">
        <f>HYPERLINK("https://www.amazon.com/MIDWEST-Seamer-Tong-KUSHN-POWER-Comfort/dp/B00REG7CD6/ref=sr_1_4?keywords=Midwest+MWT-SO6+6-Inch+Offset+Hand+Seamer&amp;qid=1694734725&amp;sr=8-4", "https://www.amazon.com/MIDWEST-Seamer-Tong-KUSHN-POWER-Comfort/dp/B00REG7CD6/ref=sr_1_4?keywords=Midwest+MWT-SO6+6-Inch+Offset+Hand+Seamer&amp;qid=1694734725&amp;sr=8-4")</f>
        <v/>
      </c>
      <c r="F2555" t="inlineStr">
        <is>
          <t>B00REG7CD6</t>
        </is>
      </c>
      <c r="G2555">
        <f>_xlfn.IMAGE("https://edmondsonsupply.com/cdn/shop/products/MWT-SO61.jpg?v=1587144674")</f>
        <v/>
      </c>
      <c r="H2555">
        <f>_xlfn.IMAGE("https://m.media-amazon.com/images/I/61S3PZoCQnL._AC_UL320_.jpg")</f>
        <v/>
      </c>
      <c r="K2555" t="inlineStr">
        <is>
          <t>51.99</t>
        </is>
      </c>
      <c r="L2555" t="n">
        <v>51.69</v>
      </c>
      <c r="M2555" s="1" t="inlineStr">
        <is>
          <t>-0.58%</t>
        </is>
      </c>
      <c r="N2555" s="7" t="n">
        <v>383.65</v>
      </c>
      <c r="O2555" t="n">
        <v>4.6</v>
      </c>
      <c r="P2555" t="n">
        <v>848</v>
      </c>
      <c r="R2555" t="inlineStr">
        <is>
          <t>OutOfStock</t>
        </is>
      </c>
      <c r="S2555" t="inlineStr">
        <is>
          <t>73.36</t>
        </is>
      </c>
      <c r="T2555" t="inlineStr">
        <is>
          <t>4433840111716</t>
        </is>
      </c>
    </row>
    <row r="2556" ht="87" customHeight="1">
      <c r="A2556" s="2">
        <f>HYPERLINK("https://edmondsonsupply.com/collections/hvac/products/refrigeration-technologies-rt400p-wetrag-reusable-heat-blocking-putty", "https://edmondsonsupply.com/collections/hvac/products/refrigeration-technologies-rt400p-wetrag-reusable-heat-blocking-putty")</f>
        <v/>
      </c>
      <c r="B2556" s="2">
        <f>HYPERLINK("https://edmondsonsupply.com/products/refrigeration-technologies-rt400p-wetrag-reusable-heat-blocking-putty", "https://edmondsonsupply.com/products/refrigeration-technologies-rt400p-wetrag-reusable-heat-blocking-putty")</f>
        <v/>
      </c>
      <c r="C2556" t="inlineStr">
        <is>
          <t>Refrigeration Technologies RT400P Viper WetRag - Reusable Heat Blocking Putty</t>
        </is>
      </c>
      <c r="D2556" t="inlineStr">
        <is>
          <t>Refrigeration Technologies RT400P Viper Wetrag Heat Blocking Putty Jar (1), 12 oz.</t>
        </is>
      </c>
      <c r="E2556" s="2">
        <f>HYPERLINK("https://www.amazon.com/Refrigeration-Technologies-RT400P-Wetrag-Blocking/dp/B017T23T18/ref=sr_1_1?keywords=Refrigeration+Technologies+RT400P+Viper+WetRag+-+Reusable+Heat+Blocking+Putty&amp;qid=1694734604&amp;sr=8-1", "https://www.amazon.com/Refrigeration-Technologies-RT400P-Wetrag-Blocking/dp/B017T23T18/ref=sr_1_1?keywords=Refrigeration+Technologies+RT400P+Viper+WetRag+-+Reusable+Heat+Blocking+Putty&amp;qid=1694734604&amp;sr=8-1")</f>
        <v/>
      </c>
      <c r="F2556" t="inlineStr">
        <is>
          <t>B017T23T18</t>
        </is>
      </c>
      <c r="G2556">
        <f>_xlfn.IMAGE("https://edmondsonsupply.com/cdn/shop/products/RT400P.gif?v=1608570325")</f>
        <v/>
      </c>
      <c r="H2556">
        <f>_xlfn.IMAGE("https://m.media-amazon.com/images/I/61SVbN76qCL._AC_UL320_.jpg")</f>
        <v/>
      </c>
      <c r="K2556" t="inlineStr">
        <is>
          <t>23.64</t>
        </is>
      </c>
      <c r="L2556" t="n">
        <v>23.49</v>
      </c>
      <c r="M2556" s="1" t="inlineStr">
        <is>
          <t>-0.63%</t>
        </is>
      </c>
      <c r="N2556" s="7" t="n">
        <v>383.33</v>
      </c>
      <c r="O2556" t="n">
        <v>4.5</v>
      </c>
      <c r="P2556" t="n">
        <v>415</v>
      </c>
      <c r="R2556" t="inlineStr">
        <is>
          <t>InStock</t>
        </is>
      </c>
      <c r="S2556" t="inlineStr">
        <is>
          <t>25.97</t>
        </is>
      </c>
      <c r="T2556" t="inlineStr">
        <is>
          <t>4548912414820</t>
        </is>
      </c>
    </row>
    <row r="2557" ht="87" customHeight="1">
      <c r="A2557" s="2">
        <f>HYPERLINK("https://edmondsonsupply.com/collections/hvac/products/white-rodgers-50a55-843-integrated-furnace-control-board-universal-replacement", "https://edmondsonsupply.com/collections/hvac/products/white-rodgers-50a55-843-integrated-furnace-control-board-universal-replacement")</f>
        <v/>
      </c>
      <c r="B2557" s="2">
        <f>HYPERLINK("https://edmondsonsupply.com/products/white-rodgers-50a55-843-integrated-furnace-control-board-universal-replacement", "https://edmondsonsupply.com/products/white-rodgers-50a55-843-integrated-furnace-control-board-universal-replacement")</f>
        <v/>
      </c>
      <c r="C2557" t="inlineStr">
        <is>
          <t>White-Rodgers 50A55-843 Integrated Furnace Control Board, Universal Replacement</t>
        </is>
      </c>
      <c r="D2557" t="inlineStr">
        <is>
          <t>White-Rodgers 50A55-843 White Rodgers Universal Integrated Fan Control for Hsi Systems</t>
        </is>
      </c>
      <c r="E2557" s="2">
        <f>HYPERLINK("https://www.amazon.com/White-Rodgers-50A55-843-Rodgers-Universal-Integrated/dp/B003U4FE8G/ref=sr_1_1?keywords=White-Rodgers+50A55-843+Integrated+Furnace+Control+Board%2C+Universal+Replacement&amp;qid=1694734619&amp;sr=8-1", "https://www.amazon.com/White-Rodgers-50A55-843-Rodgers-Universal-Integrated/dp/B003U4FE8G/ref=sr_1_1?keywords=White-Rodgers+50A55-843+Integrated+Furnace+Control+Board%2C+Universal+Replacement&amp;qid=1694734619&amp;sr=8-1")</f>
        <v/>
      </c>
      <c r="F2557" t="inlineStr">
        <is>
          <t>B003U4FE8G</t>
        </is>
      </c>
      <c r="G2557">
        <f>_xlfn.IMAGE("https://edmondsonsupply.com/cdn/shop/products/b-integrated-furnace-controls-universal-replacement-img-2a.jpg?v=1633030661")</f>
        <v/>
      </c>
      <c r="H2557">
        <f>_xlfn.IMAGE("https://m.media-amazon.com/images/I/6187HO-UmiL._AC_UL320_.jpg")</f>
        <v/>
      </c>
      <c r="K2557" t="inlineStr">
        <is>
          <t>135.23</t>
        </is>
      </c>
      <c r="L2557" t="n">
        <v>134.32</v>
      </c>
      <c r="M2557" s="1" t="inlineStr">
        <is>
          <t>-0.67%</t>
        </is>
      </c>
      <c r="N2557" s="7" t="n">
        <v>382.7</v>
      </c>
      <c r="O2557" t="n">
        <v>4.5</v>
      </c>
      <c r="P2557" t="n">
        <v>173</v>
      </c>
      <c r="R2557" t="inlineStr">
        <is>
          <t>InStock</t>
        </is>
      </c>
      <c r="S2557" t="inlineStr">
        <is>
          <t>309.09</t>
        </is>
      </c>
      <c r="T2557" t="inlineStr">
        <is>
          <t>5751568466088</t>
        </is>
      </c>
    </row>
    <row r="2558" ht="87" customHeight="1">
      <c r="A2558" s="2">
        <f>HYPERLINK("https://edmondsonsupply.com/collections/hvac/products/yellow-jacket-63331-alloy-ratchet-tube-bender-kit", "https://edmondsonsupply.com/collections/hvac/products/yellow-jacket-63331-alloy-ratchet-tube-bender-kit")</f>
        <v/>
      </c>
      <c r="B2558" s="2">
        <f>HYPERLINK("https://edmondsonsupply.com/products/yellow-jacket-63331-alloy-ratchet-tube-bender-kit", "https://edmondsonsupply.com/products/yellow-jacket-63331-alloy-ratchet-tube-bender-kit")</f>
        <v/>
      </c>
      <c r="C2558" t="inlineStr">
        <is>
          <t>Yellow Jacket 63331 Alloy Ratchet Tube Bender Kit</t>
        </is>
      </c>
      <c r="D2558" t="inlineStr">
        <is>
          <t>Yellow Jacket 63331 - Alloy Ratchet Tube Bender Kit</t>
        </is>
      </c>
      <c r="E2558" s="2">
        <f>HYPERLINK("https://www.amazon.com/Yellow-Jacket-63331-Ratchet-Bender/dp/B08SG6D18Y/ref=sr_1_1?keywords=Yellow+Jacket+63331+Alloy+Ratchet+Tube+Bender+Kit&amp;qid=1694734764&amp;sr=8-1", "https://www.amazon.com/Yellow-Jacket-63331-Ratchet-Bender/dp/B08SG6D18Y/ref=sr_1_1?keywords=Yellow+Jacket+63331+Alloy+Ratchet+Tube+Bender+Kit&amp;qid=1694734764&amp;sr=8-1")</f>
        <v/>
      </c>
      <c r="F2558" t="inlineStr">
        <is>
          <t>B08SG6D18Y</t>
        </is>
      </c>
      <c r="G2558">
        <f>_xlfn.IMAGE("https://edmondsonsupply.com/cdn/shop/products/63331_3.jpg?v=1651518442")</f>
        <v/>
      </c>
      <c r="H2558">
        <f>_xlfn.IMAGE("https://m.media-amazon.com/images/I/61Z4-vhPgGL._AC_UL320_.jpg")</f>
        <v/>
      </c>
      <c r="K2558" t="inlineStr">
        <is>
          <t>241.83</t>
        </is>
      </c>
      <c r="L2558" t="n">
        <v>240</v>
      </c>
      <c r="M2558" s="1" t="inlineStr">
        <is>
          <t>-0.76%</t>
        </is>
      </c>
      <c r="N2558" s="7" t="n">
        <v>382.7</v>
      </c>
      <c r="O2558" t="n">
        <v>4.7</v>
      </c>
      <c r="P2558" t="n">
        <v>104</v>
      </c>
      <c r="R2558" t="inlineStr">
        <is>
          <t>InStock</t>
        </is>
      </c>
      <c r="S2558" t="inlineStr">
        <is>
          <t>undefined</t>
        </is>
      </c>
      <c r="T2558" t="inlineStr">
        <is>
          <t>7567505588440</t>
        </is>
      </c>
    </row>
    <row r="2559" ht="87" customHeight="1">
      <c r="A2559" s="2">
        <f>HYPERLINK("https://edmondsonsupply.com/collections/hvac/products/klein-tools-32304-14-in-1-hvac-adjustable-length-impact-screwdriver-with-flip-socket", "https://edmondsonsupply.com/collections/hvac/products/klein-tools-32304-14-in-1-hvac-adjustable-length-impact-screwdriver-with-flip-socket")</f>
        <v/>
      </c>
      <c r="B2559" s="2">
        <f>HYPERLINK("https://edmondsonsupply.com/products/klein-tools-32304-14-in-1-hvac-adjustable-length-impact-screwdriver-with-flip-socket", "https://edmondsonsupply.com/products/klein-tools-32304-14-in-1-hvac-adjustable-length-impact-screwdriver-with-flip-socket")</f>
        <v/>
      </c>
      <c r="C2559" t="inlineStr">
        <is>
          <t>Klein Tools 32304 14-in-1 HVAC Adjustable-Length Impact Screwdriver with Flip Socket</t>
        </is>
      </c>
      <c r="D2559" t="inlineStr">
        <is>
          <t>Klein Tools 32304 Screwdriver, 14-in-1 Adjustable Screwdriver with Flip Socket, HVAC Nut Drivers and Bits, Impact Rated</t>
        </is>
      </c>
      <c r="E2559" s="2">
        <f>HYPERLINK("https://www.amazon.com/Screwdriver-Adjustable-Klein-Tools-32304/dp/B09Q4H5STD/ref=sr_1_1?keywords=Klein+Tools+32304+14-in-1+HVAC+Adjustable-Length+Impact+Screwdriver+with+Flip+Socket&amp;qid=1694734657&amp;sr=8-1", "https://www.amazon.com/Screwdriver-Adjustable-Klein-Tools-32304/dp/B09Q4H5STD/ref=sr_1_1?keywords=Klein+Tools+32304+14-in-1+HVAC+Adjustable-Length+Impact+Screwdriver+with+Flip+Socket&amp;qid=1694734657&amp;sr=8-1")</f>
        <v/>
      </c>
      <c r="F2559" t="inlineStr">
        <is>
          <t>B09Q4H5STD</t>
        </is>
      </c>
      <c r="G2559">
        <f>_xlfn.IMAGE("https://edmondsonsupply.com/cdn/shop/products/32304.jpg?v=1666019479")</f>
        <v/>
      </c>
      <c r="H2559">
        <f>_xlfn.IMAGE("https://m.media-amazon.com/images/I/51OyfXQXJkL._AC_UL320_.jpg")</f>
        <v/>
      </c>
      <c r="K2559" t="inlineStr">
        <is>
          <t>24.97</t>
        </is>
      </c>
      <c r="L2559" t="n">
        <v>24.77</v>
      </c>
      <c r="M2559" s="1" t="inlineStr">
        <is>
          <t>-0.80%</t>
        </is>
      </c>
      <c r="N2559" s="7" t="n">
        <v>380.76</v>
      </c>
      <c r="O2559" t="n">
        <v>4.6</v>
      </c>
      <c r="P2559" t="n">
        <v>2618</v>
      </c>
      <c r="R2559" t="inlineStr">
        <is>
          <t>InStock</t>
        </is>
      </c>
      <c r="S2559" t="inlineStr">
        <is>
          <t>34.98</t>
        </is>
      </c>
      <c r="T2559" t="inlineStr">
        <is>
          <t>7856604578008</t>
        </is>
      </c>
    </row>
    <row r="2560" ht="87" customHeight="1">
      <c r="A2560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560" s="2">
        <f>HYPERLINK("https://edmondsonsupply.com/products/diablo-tools-dag1130-1-in-x-7-1-2-in-auger-bit", "https://edmondsonsupply.com/products/diablo-tools-dag1130-1-in-x-7-1-2-in-auger-bit")</f>
        <v/>
      </c>
      <c r="C2560" t="inlineStr">
        <is>
          <t>Diablo Tools DAG1130 1 in. x 7-1/2 in. Auger Bit</t>
        </is>
      </c>
      <c r="D2560" t="inlineStr">
        <is>
          <t>Diablo DAG3020 7/16 in. x 17-1/2 in. Auger Bit</t>
        </is>
      </c>
      <c r="E2560" s="2">
        <f>HYPERLINK("https://www.amazon.com/Diablo-DAG3020-17-1-Auger-Bit/dp/B089LGWKFF/ref=sr_1_20?keywords=Diablo+Tools+DAG1130+1+in.+x+7-1%2F2+in.+Auger+Bit&amp;qid=1694734776&amp;sr=8-20", "https://www.amazon.com/Diablo-DAG3020-17-1-Auger-Bit/dp/B089LGWKFF/ref=sr_1_20?keywords=Diablo+Tools+DAG1130+1+in.+x+7-1%2F2+in.+Auger+Bit&amp;qid=1694734776&amp;sr=8-20")</f>
        <v/>
      </c>
      <c r="F2560" t="inlineStr">
        <is>
          <t>B089LGWKFF</t>
        </is>
      </c>
      <c r="G2560">
        <f>_xlfn.IMAGE("https://edmondsonsupply.com/cdn/shop/products/DAG1130_Main-Image20200712.png?v=1633031124")</f>
        <v/>
      </c>
      <c r="H2560">
        <f>_xlfn.IMAGE("https://m.media-amazon.com/images/I/61XUUNTev0L._AC_UL320_.jpg")</f>
        <v/>
      </c>
      <c r="K2560" t="inlineStr">
        <is>
          <t>16.37</t>
        </is>
      </c>
      <c r="L2560" t="n">
        <v>16.21</v>
      </c>
      <c r="M2560" s="1" t="inlineStr">
        <is>
          <t>-0.98%</t>
        </is>
      </c>
      <c r="N2560" s="7" t="n">
        <v>380.76</v>
      </c>
      <c r="O2560" t="n">
        <v>5</v>
      </c>
      <c r="P2560" t="n">
        <v>2</v>
      </c>
      <c r="R2560" t="inlineStr">
        <is>
          <t>InStock</t>
        </is>
      </c>
      <c r="S2560" t="inlineStr">
        <is>
          <t>25.94</t>
        </is>
      </c>
      <c r="T2560" t="inlineStr">
        <is>
          <t>6866560581805</t>
        </is>
      </c>
    </row>
    <row r="2561" ht="87" customHeight="1">
      <c r="A2561" s="2">
        <f>HYPERLINK("https://edmondsonsupply.com/collections/hvac/products/nu-calgon-4050-11-easyseal-ultimate-ls-uv-ac-leak-sealant", "https://edmondsonsupply.com/collections/hvac/products/nu-calgon-4050-11-easyseal-ultimate-ls-uv-ac-leak-sealant")</f>
        <v/>
      </c>
      <c r="B2561" s="2">
        <f>HYPERLINK("https://edmondsonsupply.com/products/nu-calgon-4050-11-easyseal-ultimate-ls-uv-ac-leak-sealant", "https://edmondsonsupply.com/products/nu-calgon-4050-11-easyseal-ultimate-ls-uv-ac-leak-sealant")</f>
        <v/>
      </c>
      <c r="C2561" t="inlineStr">
        <is>
          <t>Nu-Calgon 4050-11 EasySeal Ultimate-LS/UV AC Leak Sealant</t>
        </is>
      </c>
      <c r="D2561" t="inlineStr">
        <is>
          <t>Nu-Calgon 4050-11 EasySeal Direct Inject-UV Dye Refrigerant Leak Sealant, One Size Treats Systems 2 to 7.5 Tons</t>
        </is>
      </c>
      <c r="E2561" s="2">
        <f>HYPERLINK("https://www.amazon.com/Nu-Calgon-4050-11-EasySeal-Inject-UV-Refrigerant/dp/B072Q3MX47/ref=sr_1_2?keywords=Nu-Calgon+4050-11+EasySeal+Ultimate-LS%2FUV+AC+Leak+Sealant&amp;qid=1694734664&amp;sr=8-2", "https://www.amazon.com/Nu-Calgon-4050-11-EasySeal-Inject-UV-Refrigerant/dp/B072Q3MX47/ref=sr_1_2?keywords=Nu-Calgon+4050-11+EasySeal+Ultimate-LS%2FUV+AC+Leak+Sealant&amp;qid=1694734664&amp;sr=8-2")</f>
        <v/>
      </c>
      <c r="F2561" t="inlineStr">
        <is>
          <t>B072Q3MX47</t>
        </is>
      </c>
      <c r="G2561">
        <f>_xlfn.IMAGE("https://edmondsonsupply.com/cdn/shop/products/4050-11a.jpg?v=1659027152")</f>
        <v/>
      </c>
      <c r="H2561">
        <f>_xlfn.IMAGE("https://m.media-amazon.com/images/I/51kJOZZkRVL._AC_UL320_.jpg")</f>
        <v/>
      </c>
      <c r="K2561" t="inlineStr">
        <is>
          <t>66.79</t>
        </is>
      </c>
      <c r="L2561" t="n">
        <v>66.09</v>
      </c>
      <c r="M2561" s="1" t="inlineStr">
        <is>
          <t>-1.05%</t>
        </is>
      </c>
      <c r="N2561" s="7" t="n">
        <v>380.68</v>
      </c>
      <c r="O2561" t="n">
        <v>4.4</v>
      </c>
      <c r="P2561" t="n">
        <v>209</v>
      </c>
      <c r="R2561" t="inlineStr">
        <is>
          <t>InStock</t>
        </is>
      </c>
      <c r="S2561" t="inlineStr">
        <is>
          <t>101.64</t>
        </is>
      </c>
      <c r="T2561" t="inlineStr">
        <is>
          <t>7764947927256</t>
        </is>
      </c>
    </row>
    <row r="2562" hidden="1" ht="15.75" customHeight="1">
      <c r="A2562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562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562" t="inlineStr">
        <is>
          <t>Klein Tools 605-6 1/4-Inch Cabinet Tip Screwdriver, Heavy Duty, 6-Inch</t>
        </is>
      </c>
      <c r="D2562" t="inlineStr">
        <is>
          <t>Klein Tools 605-6 1/4-Inch Cabinet Tip Screwdriver, Heavy Duty, 6-Inch</t>
        </is>
      </c>
      <c r="E2562" s="2">
        <f>HYPERLINK("https://www.amazon.com/Klein-Tools-4-Inch-Cabinet-Screwdriver/dp/B000BQT6GC/ref=sr_1_1?keywords=Klein+Tools+605-6+1%2F4-Inch+Cabinet+Tip+Screwdriver%2C+Heavy+Duty%2C+6-Inch&amp;qid=1694734725&amp;sr=8-1", "https://www.amazon.com/Klein-Tools-4-Inch-Cabinet-Screwdriver/dp/B000BQT6GC/ref=sr_1_1?keywords=Klein+Tools+605-6+1%2F4-Inch+Cabinet+Tip+Screwdriver%2C+Heavy+Duty%2C+6-Inch&amp;qid=1694734725&amp;sr=8-1")</f>
        <v/>
      </c>
      <c r="F2562" t="inlineStr">
        <is>
          <t>B000BQT6GC</t>
        </is>
      </c>
      <c r="G2562">
        <f>_xludf.IMAGE("https://edmondsonsupply.com/cdn/shop/products/605-6.jpg?v=1587149759")</f>
        <v/>
      </c>
      <c r="H2562">
        <f>_xludf.IMAGE("https://m.media-amazon.com/images/I/41WLDr2SP+L._AC_UL320_.jpg")</f>
        <v/>
      </c>
      <c r="K2562" t="inlineStr">
        <is>
          <t>9.49</t>
        </is>
      </c>
      <c r="L2562" t="n">
        <v>9.390000000000001</v>
      </c>
      <c r="M2562" s="1" t="inlineStr">
        <is>
          <t>-1.05%</t>
        </is>
      </c>
      <c r="N2562" s="1" t="n">
        <v>377.61</v>
      </c>
      <c r="O2562" t="n">
        <v>4.8</v>
      </c>
      <c r="P2562" t="n">
        <v>1225</v>
      </c>
      <c r="R2562" t="inlineStr">
        <is>
          <t>InStock</t>
        </is>
      </c>
      <c r="S2562" t="inlineStr">
        <is>
          <t>14.38</t>
        </is>
      </c>
      <c r="T2562" t="inlineStr">
        <is>
          <t>4512371310692</t>
        </is>
      </c>
    </row>
    <row r="2563" ht="87" customHeight="1">
      <c r="A2563" s="2">
        <f>HYPERLINK("https://edmondsonsupply.com/collections/hvac/products/navac-nrp8di-8-cfm-smart-vacuum-pump-1", "https://edmondsonsupply.com/collections/hvac/products/navac-nrp8di-8-cfm-smart-vacuum-pump-1")</f>
        <v/>
      </c>
      <c r="B2563" s="2">
        <f>HYPERLINK("https://edmondsonsupply.com/products/navac-nrp8di-8-cfm-smart-vacuum-pump-1", "https://edmondsonsupply.com/products/navac-nrp8di-8-cfm-smart-vacuum-pump-1")</f>
        <v/>
      </c>
      <c r="C2563" t="inlineStr">
        <is>
          <t>NAVAC NRP8Di 8 CFM Smart Vacuum Pump</t>
        </is>
      </c>
      <c r="D2563" t="inlineStr">
        <is>
          <t>NAVAC NRP8Di Master Series Vacuum Pump, 8 cfm, Dual-Stage, 15 Microns, Built-in Micron Gauge</t>
        </is>
      </c>
      <c r="E2563" s="2">
        <f>HYPERLINK("https://www.amazon.com/NAVAC-NRP8Di-Smart-Vacuum-Pump/dp/B07L76RBNK/ref=sr_1_1?keywords=NAVAC+NRP8Di+8+CFM+Smart+Vacuum+Pump&amp;qid=1694734746&amp;sr=8-1", "https://www.amazon.com/NAVAC-NRP8Di-Smart-Vacuum-Pump/dp/B07L76RBNK/ref=sr_1_1?keywords=NAVAC+NRP8Di+8+CFM+Smart+Vacuum+Pump&amp;qid=1694734746&amp;sr=8-1")</f>
        <v/>
      </c>
      <c r="F2563" t="inlineStr">
        <is>
          <t>B07L76RBNK</t>
        </is>
      </c>
      <c r="G2563">
        <f>_xlfn.IMAGE("https://edmondsonsupply.com/cdn/shop/products/nrp8di_7fd11a27-ba42-4ccd-8e80-a2fac309d7ac.png?v=1633030643")</f>
        <v/>
      </c>
      <c r="H2563">
        <f>_xlfn.IMAGE("https://m.media-amazon.com/images/I/61+BrvHCSdL._AC_UY218_.jpg")</f>
        <v/>
      </c>
      <c r="K2563" t="inlineStr">
        <is>
          <t>666.74</t>
        </is>
      </c>
      <c r="L2563" t="n">
        <v>659</v>
      </c>
      <c r="M2563" s="1" t="inlineStr">
        <is>
          <t>-1.16%</t>
        </is>
      </c>
      <c r="N2563" s="7" t="n">
        <v>373.77</v>
      </c>
      <c r="O2563" t="n">
        <v>4.4</v>
      </c>
      <c r="P2563" t="n">
        <v>29</v>
      </c>
      <c r="R2563" t="inlineStr">
        <is>
          <t>InStock</t>
        </is>
      </c>
      <c r="S2563" t="inlineStr">
        <is>
          <t>895.0</t>
        </is>
      </c>
      <c r="T2563" t="inlineStr">
        <is>
          <t>5719543578792</t>
        </is>
      </c>
    </row>
    <row r="2564" ht="87" customHeight="1">
      <c r="A2564" s="2">
        <f>HYPERLINK("https://edmondsonsupply.com/collections/hvac/products/white-rodgers-50m56u-843-integrated-furnace-control-board-universal-replacement", "https://edmondsonsupply.com/collections/hvac/products/white-rodgers-50m56u-843-integrated-furnace-control-board-universal-replacement")</f>
        <v/>
      </c>
      <c r="B2564" s="2">
        <f>HYPERLINK("https://edmondsonsupply.com/products/white-rodgers-50m56u-843-integrated-furnace-control-board-universal-replacement", "https://edmondsonsupply.com/products/white-rodgers-50m56u-843-integrated-furnace-control-board-universal-replacement")</f>
        <v/>
      </c>
      <c r="C2564" t="inlineStr">
        <is>
          <t>White-Rodgers 50M56U-843 Integrated Furnace Control Board, Universal Replacement</t>
        </is>
      </c>
      <c r="D2564" t="inlineStr">
        <is>
          <t>White-rodgers Universal Nitride Ignition Integrated Furnace Control 50a65-843</t>
        </is>
      </c>
      <c r="E2564" s="2">
        <f>HYPERLINK("https://www.amazon.com/White-rodgers-Universal-Ignition-Integrated-50a65-843/dp/B082MPW7L9/ref=sr_1_7?keywords=White-Rodgers+50M56U-843+Integrated+Furnace+Control+Board%2C+Universal+Replacement&amp;qid=1694734587&amp;sr=8-7", "https://www.amazon.com/White-rodgers-Universal-Ignition-Integrated-50a65-843/dp/B082MPW7L9/ref=sr_1_7?keywords=White-Rodgers+50M56U-843+Integrated+Furnace+Control+Board%2C+Universal+Replacement&amp;qid=1694734587&amp;sr=8-7")</f>
        <v/>
      </c>
      <c r="F2564" t="inlineStr">
        <is>
          <t>B082MPW7L9</t>
        </is>
      </c>
      <c r="G2564">
        <f>_xlfn.IMAGE("https://edmondsonsupply.com/cdn/shop/products/integrated-furnace-controls-universal-replacement-img-4a.jpg?v=1633030752")</f>
        <v/>
      </c>
      <c r="H2564">
        <f>_xlfn.IMAGE("https://m.media-amazon.com/images/I/4159AuqItaL._AC_UL320_.jpg")</f>
        <v/>
      </c>
      <c r="K2564" t="inlineStr">
        <is>
          <t>160.92</t>
        </is>
      </c>
      <c r="L2564" t="n">
        <v>158.82</v>
      </c>
      <c r="M2564" s="1" t="inlineStr">
        <is>
          <t>-1.30%</t>
        </is>
      </c>
      <c r="N2564" s="7" t="n">
        <v>369.59</v>
      </c>
      <c r="O2564" t="n">
        <v>5</v>
      </c>
      <c r="P2564" t="n">
        <v>1</v>
      </c>
      <c r="R2564" t="inlineStr">
        <is>
          <t>InStock</t>
        </is>
      </c>
      <c r="S2564" t="inlineStr">
        <is>
          <t>367.81</t>
        </is>
      </c>
      <c r="T2564" t="inlineStr">
        <is>
          <t>5896435368104</t>
        </is>
      </c>
    </row>
    <row r="2565" hidden="1" ht="15.75" customHeight="1">
      <c r="A2565" s="2">
        <f>HYPERLINK("https://edmondsonsupply.com/collections/hvac/products/diablo-tools-dsp2090-p2-3-4-in-x-6-in-spade-bit-2-pack", "https://edmondsonsupply.com/collections/hvac/products/diablo-tools-dsp2090-p2-3-4-in-x-6-in-spade-bit-2-pack")</f>
        <v/>
      </c>
      <c r="B2565" s="2">
        <f>HYPERLINK("https://edmondsonsupply.com/products/diablo-tools-dsp2090-p2-3-4-in-x-6-in-spade-bit-2-pack", "https://edmondsonsupply.com/products/diablo-tools-dsp2090-p2-3-4-in-x-6-in-spade-bit-2-pack")</f>
        <v/>
      </c>
      <c r="C2565" t="inlineStr">
        <is>
          <t>Diablo Tools DSP2090-P2 3/4 in. x 6 in. Spade Bit (2 Pack)</t>
        </is>
      </c>
      <c r="D2565" t="inlineStr">
        <is>
          <t>Diablo by Freud DSP2090-P2 3/4 in. x 6 in. SPEEDemon Spade Bit (2-Pack)</t>
        </is>
      </c>
      <c r="E2565" s="2">
        <f>HYPERLINK("https://www.amazon.com/Diablo-SPEEDemon-Spade-Bit-2-Pack/dp/B089KV8K7W/ref=sr_1_1?keywords=Diablo+Tools+DSP2090-P2+3%2F4+in.+x+6+in.+Spade+Bit+%282+Pack%29&amp;qid=1694734914&amp;sr=8-1", "https://www.amazon.com/Diablo-SPEEDemon-Spade-Bit-2-Pack/dp/B089KV8K7W/ref=sr_1_1?keywords=Diablo+Tools+DSP2090-P2+3%2F4+in.+x+6+in.+Spade+Bit+%282+Pack%29&amp;qid=1694734914&amp;sr=8-1")</f>
        <v/>
      </c>
      <c r="F2565" t="inlineStr">
        <is>
          <t>B089KV8K7W</t>
        </is>
      </c>
      <c r="G2565">
        <f>_xludf.IMAGE("https://edmondsonsupply.com/cdn/shop/files/hg4rmyretai2aybkajqp_48ccaf8c-0943-4015-b125-9dac62e31e3c.webp?v=1686587544")</f>
        <v/>
      </c>
      <c r="H2565">
        <f>_xludf.IMAGE("https://m.media-amazon.com/images/I/610FU8LQY+L._AC_UL320_.jpg")</f>
        <v/>
      </c>
      <c r="K2565" t="inlineStr">
        <is>
          <t>7.99</t>
        </is>
      </c>
      <c r="L2565" t="n">
        <v>7.88</v>
      </c>
      <c r="M2565" s="1" t="inlineStr">
        <is>
          <t>-1.38%</t>
        </is>
      </c>
      <c r="N2565" s="1" t="n">
        <v>369.24</v>
      </c>
      <c r="O2565" t="n">
        <v>4.7</v>
      </c>
      <c r="P2565" t="n">
        <v>40</v>
      </c>
      <c r="R2565" t="inlineStr">
        <is>
          <t>InStock</t>
        </is>
      </c>
      <c r="S2565" t="inlineStr">
        <is>
          <t>undefined</t>
        </is>
      </c>
      <c r="T2565" t="inlineStr">
        <is>
          <t>8004514021592</t>
        </is>
      </c>
    </row>
    <row r="2566" ht="87" customHeight="1">
      <c r="A2566" s="2">
        <f>HYPERLINK("https://edmondsonsupply.com/collections/hvac/products/klein-tools-55600-tradesman-pro%E2%84%A2-tough-box-17-quart-cooler", "https://edmondsonsupply.com/collections/hvac/products/klein-tools-55600-tradesman-pro%E2%84%A2-tough-box-17-quart-cooler")</f>
        <v/>
      </c>
      <c r="B2566" s="2">
        <f>HYPERLINK("https://edmondsonsupply.com/products/klein-tools-55600-tradesman-pro%e2%84%a2-tough-box-17-quart-cooler", "https://edmondsonsupply.com/products/klein-tools-55600-tradesman-pro%e2%84%a2-tough-box-17-quart-cooler")</f>
        <v/>
      </c>
      <c r="C2566" t="inlineStr">
        <is>
          <t>Klein Tools 55600 Tradesman Pro™ Tough Box Cooler, 17-Quart</t>
        </is>
      </c>
      <c r="D2566" t="inlineStr">
        <is>
          <t>Klein Tools 55600 Work Cooler, 17-Quart Lunch Box Holds 18 Cans, Keeps Cool 30 Hours, Seats 300 Lb, Tradesman Pro Tough Box</t>
        </is>
      </c>
      <c r="E2566" s="2">
        <f>HYPERLINK("https://www.amazon.com/17-Quart-Tradesman-Klein-Tools-55600/dp/B06XGJTTRY/ref=sr_1_1?keywords=Klein+Tools+55600+Tradesman+Pro%E2%84%A2+Tough+Box+Cooler%2C+17-Quart&amp;qid=1694734812&amp;sr=8-1", "https://www.amazon.com/17-Quart-Tradesman-Klein-Tools-55600/dp/B06XGJTTRY/ref=sr_1_1?keywords=Klein+Tools+55600+Tradesman+Pro%E2%84%A2+Tough+Box+Cooler%2C+17-Quart&amp;qid=1694734812&amp;sr=8-1")</f>
        <v/>
      </c>
      <c r="F2566" t="inlineStr">
        <is>
          <t>B06XGJTTRY</t>
        </is>
      </c>
      <c r="G2566">
        <f>_xlfn.IMAGE("https://edmondsonsupply.com/cdn/shop/products/55600.jpg?v=1587145287")</f>
        <v/>
      </c>
      <c r="H2566">
        <f>_xlfn.IMAGE("https://m.media-amazon.com/images/I/61pNFKsetIL._AC_UL320_.jpg")</f>
        <v/>
      </c>
      <c r="K2566" t="inlineStr">
        <is>
          <t>64.97</t>
        </is>
      </c>
      <c r="L2566" t="n">
        <v>64</v>
      </c>
      <c r="M2566" s="1" t="inlineStr">
        <is>
          <t>-1.49%</t>
        </is>
      </c>
      <c r="N2566" s="7" t="n">
        <v>366.76</v>
      </c>
      <c r="O2566" t="n">
        <v>4.7</v>
      </c>
      <c r="P2566" t="n">
        <v>9932</v>
      </c>
      <c r="R2566" t="inlineStr">
        <is>
          <t>InStock</t>
        </is>
      </c>
      <c r="S2566" t="inlineStr">
        <is>
          <t>91.98</t>
        </is>
      </c>
      <c r="T2566" t="inlineStr">
        <is>
          <t>1707778277476</t>
        </is>
      </c>
    </row>
    <row r="2567" ht="87" customHeight="1">
      <c r="A2567" s="2">
        <f>HYPERLINK("https://edmondsonsupply.com/collections/hvac/products/jb-industries-dv-200n-platinum-7-cfm-vacuum-pump", "https://edmondsonsupply.com/collections/hvac/products/jb-industries-dv-200n-platinum-7-cfm-vacuum-pump")</f>
        <v/>
      </c>
      <c r="B2567" s="2">
        <f>HYPERLINK("https://edmondsonsupply.com/products/jb-industries-dv-200n-platinum-7-cfm-vacuum-pump", "https://edmondsonsupply.com/products/jb-industries-dv-200n-platinum-7-cfm-vacuum-pump")</f>
        <v/>
      </c>
      <c r="C2567" t="inlineStr">
        <is>
          <t>JB Industries DV-200N Platinum 7 CFM Vacuum Pump</t>
        </is>
      </c>
      <c r="D2567" t="inlineStr">
        <is>
          <t>JB Industries DV-200N 7 CFM 2 Stage Platinum Vacuum Pump</t>
        </is>
      </c>
      <c r="E2567" s="2">
        <f>HYPERLINK("https://www.amazon.com/JB-Industries-DV-200N-Platinum-Vacuum/dp/B003M5NCKU/ref=sr_1_1?keywords=JB+Industries+DV-200N+Platinum+7+CFM+Vacuum+Pump&amp;qid=1694734737&amp;sr=8-1", "https://www.amazon.com/JB-Industries-DV-200N-Platinum-Vacuum/dp/B003M5NCKU/ref=sr_1_1?keywords=JB+Industries+DV-200N+Platinum+7+CFM+Vacuum+Pump&amp;qid=1694734737&amp;sr=8-1")</f>
        <v/>
      </c>
      <c r="F2567" t="inlineStr">
        <is>
          <t>B003M5NCKU</t>
        </is>
      </c>
      <c r="G2567">
        <f>_xlfn.IMAGE("https://edmondsonsupply.com/cdn/shop/products/dv-200n.jpg?v=1587145620")</f>
        <v/>
      </c>
      <c r="H2567">
        <f>_xlfn.IMAGE("https://m.media-amazon.com/images/I/81GyGaUTzaL._AC_UL320_.jpg")</f>
        <v/>
      </c>
      <c r="K2567" t="inlineStr">
        <is>
          <t>611.21</t>
        </is>
      </c>
      <c r="L2567" t="n">
        <v>602.02</v>
      </c>
      <c r="M2567" s="1" t="inlineStr">
        <is>
          <t>-1.50%</t>
        </is>
      </c>
      <c r="N2567" s="7" t="n">
        <v>366.57</v>
      </c>
      <c r="O2567" t="n">
        <v>4.6</v>
      </c>
      <c r="P2567" t="n">
        <v>52</v>
      </c>
      <c r="R2567" t="inlineStr">
        <is>
          <t>InStock</t>
        </is>
      </c>
      <c r="S2567" t="inlineStr">
        <is>
          <t>886.79</t>
        </is>
      </c>
      <c r="T2567" t="inlineStr">
        <is>
          <t>3699353059428</t>
        </is>
      </c>
    </row>
    <row r="2568" ht="87" customHeight="1">
      <c r="A2568" s="2">
        <f>HYPERLINK("https://edmondsonsupply.com/collections/hvac/products/wiha-tools-32948-insulated-industrial-ne-style-lineman-s-pliers-with-crimpers-9-5", "https://edmondsonsupply.com/collections/hvac/products/wiha-tools-32948-insulated-industrial-ne-style-lineman-s-pliers-with-crimpers-9-5")</f>
        <v/>
      </c>
      <c r="B2568" s="2">
        <f>HYPERLINK("https://edmondsonsupply.com/products/wiha-tools-32948-insulated-industrial-ne-style-lineman-s-pliers-with-crimpers-9-5", "https://edmondsonsupply.com/products/wiha-tools-32948-insulated-industrial-ne-style-lineman-s-pliers-with-crimpers-9-5")</f>
        <v/>
      </c>
      <c r="C2568" t="inlineStr">
        <is>
          <t>Wiha Tools 32948 Insulated Industrial NE Style Lineman’s Pliers with Crimpers 9.5"</t>
        </is>
      </c>
      <c r="D2568" t="inlineStr">
        <is>
          <t>Wiha 32948 Insulated Industrial NE Style Lineman’s Pliers with Crimpers 9.5"</t>
        </is>
      </c>
      <c r="E2568" s="2">
        <f>HYPERLINK("https://www.amazon.com/Wiha-32948-Insulated-Linemans-Crimpers/dp/B08B74W5K5/ref=sr_1_1?keywords=Wiha+Tools+32948+Insulated+Industrial+NE+Style+Lineman%E2%80%99s+Pliers+with+Crimpers+9.5%22&amp;qid=1694734871&amp;sr=8-1", "https://www.amazon.com/Wiha-32948-Insulated-Linemans-Crimpers/dp/B08B74W5K5/ref=sr_1_1?keywords=Wiha+Tools+32948+Insulated+Industrial+NE+Style+Lineman%E2%80%99s+Pliers+with+Crimpers+9.5%22&amp;qid=1694734871&amp;sr=8-1")</f>
        <v/>
      </c>
      <c r="F2568" t="inlineStr">
        <is>
          <t>B08B74W5K5</t>
        </is>
      </c>
      <c r="G2568">
        <f>_xlfn.IMAGE("https://edmondsonsupply.com/cdn/shop/files/486d033d22faf028b0652816bab7220be92ef345_1000x_3d6bc9e6-41c3-4d8c-869c-26b046293f6e.webp?v=1690925545")</f>
        <v/>
      </c>
      <c r="H2568">
        <f>_xlfn.IMAGE("https://m.media-amazon.com/images/I/61Pc8X3GGWL._AC_UL320_.jpg")</f>
        <v/>
      </c>
      <c r="K2568" t="inlineStr">
        <is>
          <t>45.76</t>
        </is>
      </c>
      <c r="L2568" t="n">
        <v>45</v>
      </c>
      <c r="M2568" s="1" t="inlineStr">
        <is>
          <t>-1.66%</t>
        </is>
      </c>
      <c r="N2568" s="7" t="n">
        <v>366.12</v>
      </c>
      <c r="O2568" t="n">
        <v>4.8</v>
      </c>
      <c r="P2568" t="n">
        <v>127</v>
      </c>
      <c r="R2568" t="inlineStr">
        <is>
          <t>InStock</t>
        </is>
      </c>
      <c r="S2568" t="inlineStr">
        <is>
          <t>61.01</t>
        </is>
      </c>
      <c r="T2568" t="inlineStr">
        <is>
          <t>8023572480216</t>
        </is>
      </c>
    </row>
    <row r="2569" ht="87" customHeight="1">
      <c r="A2569" s="2">
        <f>HYPERLINK("https://edmondsonsupply.com/collections/hvac/products/ritchie-yellow-jacket-78060-gas-pressure-test-kit-0-35-w-c", "https://edmondsonsupply.com/collections/hvac/products/ritchie-yellow-jacket-78060-gas-pressure-test-kit-0-35-w-c")</f>
        <v/>
      </c>
      <c r="B2569" s="2">
        <f>HYPERLINK("https://edmondsonsupply.com/products/ritchie-yellow-jacket-78060-gas-pressure-test-kit-0-35-w-c", "https://edmondsonsupply.com/products/ritchie-yellow-jacket-78060-gas-pressure-test-kit-0-35-w-c")</f>
        <v/>
      </c>
      <c r="C2569" t="inlineStr">
        <is>
          <t>Yellow Jacket 78060 Gas Pressure Test Kit - 0-35" W.C.</t>
        </is>
      </c>
      <c r="D2569" t="inlineStr">
        <is>
          <t>Yellow Jacket 78060 Complete Test Kit, 0-35" W.C</t>
        </is>
      </c>
      <c r="E2569" s="2">
        <f>HYPERLINK("https://www.amazon.com/Yellow-Jacket-78060-Complete-Test/dp/B0016H12KS/ref=sr_1_1?keywords=Yellow+Jacket+78060+Gas+Pressure+Test+Kit+-+0-35%22+W.C.&amp;qid=1694734611&amp;sr=8-1", "https://www.amazon.com/Yellow-Jacket-78060-Complete-Test/dp/B0016H12KS/ref=sr_1_1?keywords=Yellow+Jacket+78060+Gas+Pressure+Test+Kit+-+0-35%22+W.C.&amp;qid=1694734611&amp;sr=8-1")</f>
        <v/>
      </c>
      <c r="F2569" t="inlineStr">
        <is>
          <t>B0016H12KS</t>
        </is>
      </c>
      <c r="G2569">
        <f>_xlfn.IMAGE("https://edmondsonsupply.com/cdn/shop/products/gas-pressure-test-kit.jpg?v=1633030027")</f>
        <v/>
      </c>
      <c r="H2569">
        <f>_xlfn.IMAGE("https://m.media-amazon.com/images/I/81iCDGVbmUL._AC_UY218_.jpg")</f>
        <v/>
      </c>
      <c r="K2569" t="inlineStr">
        <is>
          <t>72.35</t>
        </is>
      </c>
      <c r="L2569" t="n">
        <v>71.14</v>
      </c>
      <c r="M2569" s="1" t="inlineStr">
        <is>
          <t>-1.67%</t>
        </is>
      </c>
      <c r="N2569" s="7" t="n">
        <v>365.71</v>
      </c>
      <c r="O2569" t="n">
        <v>4.7</v>
      </c>
      <c r="P2569" t="n">
        <v>1070</v>
      </c>
      <c r="R2569" t="inlineStr">
        <is>
          <t>InStock</t>
        </is>
      </c>
      <c r="S2569" t="inlineStr">
        <is>
          <t>undefined</t>
        </is>
      </c>
      <c r="T2569" t="inlineStr">
        <is>
          <t>2442973642852</t>
        </is>
      </c>
    </row>
    <row r="2570" ht="87" customHeight="1">
      <c r="A2570" s="2">
        <f>HYPERLINK("https://edmondsonsupply.com/collections/hvac/products/rectorseal-87011-pro-fit%E2%84%A2-precision-swaging-kit", "https://edmondsonsupply.com/collections/hvac/products/rectorseal-87011-pro-fit%E2%84%A2-precision-swaging-kit")</f>
        <v/>
      </c>
      <c r="B2570" s="2">
        <f>HYPERLINK("https://edmondsonsupply.com/products/rectorseal-87011-pro-fit%e2%84%a2-precision-swaging-kit", "https://edmondsonsupply.com/products/rectorseal-87011-pro-fit%e2%84%a2-precision-swaging-kit")</f>
        <v/>
      </c>
      <c r="C2570" t="inlineStr">
        <is>
          <t>RectorSeal 87011 PRO-Fit™ Precision Swaging Kit</t>
        </is>
      </c>
      <c r="D2570" t="inlineStr">
        <is>
          <t>Rectorseal 87011 Pro-Fit Precision Swaging Kit</t>
        </is>
      </c>
      <c r="E2570" s="2">
        <f>HYPERLINK("https://www.amazon.com/Rectorseal-87011-Pro-Fit-Precision-Swaging/dp/B079SBRYZ5/ref=sr_1_1?keywords=RectorSeal+87011+PRO-Fit%E2%84%A2+Precision+Swaging+Kit&amp;qid=1694734650&amp;sr=8-1", "https://www.amazon.com/Rectorseal-87011-Pro-Fit-Precision-Swaging/dp/B079SBRYZ5/ref=sr_1_1?keywords=RectorSeal+87011+PRO-Fit%E2%84%A2+Precision+Swaging+Kit&amp;qid=1694734650&amp;sr=8-1")</f>
        <v/>
      </c>
      <c r="F2570" t="inlineStr">
        <is>
          <t>B079SBRYZ5</t>
        </is>
      </c>
      <c r="G2570">
        <f>_xlfn.IMAGE("https://edmondsonsupply.com/cdn/shop/products/1280_pro-fit_swaging_kit.png?v=1633030047")</f>
        <v/>
      </c>
      <c r="H2570">
        <f>_xlfn.IMAGE("https://m.media-amazon.com/images/I/71rMIJWTdzL._AC_UL320_.jpg")</f>
        <v/>
      </c>
      <c r="K2570" t="inlineStr">
        <is>
          <t>147.56</t>
        </is>
      </c>
      <c r="L2570" t="n">
        <v>144.99</v>
      </c>
      <c r="M2570" s="1" t="inlineStr">
        <is>
          <t>-1.74%</t>
        </is>
      </c>
      <c r="N2570" s="7" t="n">
        <v>365.69</v>
      </c>
      <c r="O2570" t="n">
        <v>4.4</v>
      </c>
      <c r="P2570" t="n">
        <v>201</v>
      </c>
      <c r="R2570" t="inlineStr">
        <is>
          <t>InStock</t>
        </is>
      </c>
      <c r="S2570" t="inlineStr">
        <is>
          <t>193.05</t>
        </is>
      </c>
      <c r="T2570" t="inlineStr">
        <is>
          <t>3207516979300</t>
        </is>
      </c>
    </row>
    <row r="2571" hidden="1" ht="15.75" customHeight="1">
      <c r="A2571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571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571" t="inlineStr">
        <is>
          <t>Klein Tools 646-1/4 1/4-Inch Nut Driver with 6-Inch Hollow Shaft</t>
        </is>
      </c>
      <c r="D2571" t="inlineStr">
        <is>
          <t>Klein Tools 646-1/4 1/4-Inch Nut Driver with 6-Inch Hollow Shaft and Cushion Grip Handle</t>
        </is>
      </c>
      <c r="E2571" s="2">
        <f>HYPERLINK("https://www.amazon.com/4-Inch-Driver-Cushion-Klein-Tools/dp/B000LEBON2/ref=sr_1_1?keywords=Klein+Tools+646-1%2F4+1%2F4-Inch+Nut+Driver+with+6-Inch+Hollow+Shaft&amp;qid=1694734727&amp;sr=8-1", "https://www.amazon.com/4-Inch-Driver-Cushion-Klein-Tools/dp/B000LEBON2/ref=sr_1_1?keywords=Klein+Tools+646-1%2F4+1%2F4-Inch+Nut+Driver+with+6-Inch+Hollow+Shaft&amp;qid=1694734727&amp;sr=8-1")</f>
        <v/>
      </c>
      <c r="F2571" t="inlineStr">
        <is>
          <t>B000LEBON2</t>
        </is>
      </c>
      <c r="G2571">
        <f>_xludf.IMAGE("https://edmondsonsupply.com/cdn/shop/products/646-1-2_08d87fa9-eac4-4869-8d3b-bb680d4b1d53.jpg?v=1587150676")</f>
        <v/>
      </c>
      <c r="H2571">
        <f>_xludf.IMAGE("https://m.media-amazon.com/images/I/31sSFYGqdfL._AC_UL320_.jpg")</f>
        <v/>
      </c>
      <c r="K2571" t="inlineStr">
        <is>
          <t>7.99</t>
        </is>
      </c>
      <c r="L2571" t="n">
        <v>7.84</v>
      </c>
      <c r="M2571" s="1" t="inlineStr">
        <is>
          <t>-1.88%</t>
        </is>
      </c>
      <c r="N2571" s="1" t="n">
        <v>365.47</v>
      </c>
      <c r="O2571" t="n">
        <v>4.8</v>
      </c>
      <c r="P2571" t="n">
        <v>2491</v>
      </c>
      <c r="R2571" t="inlineStr">
        <is>
          <t>InStock</t>
        </is>
      </c>
      <c r="S2571" t="inlineStr">
        <is>
          <t>12.1</t>
        </is>
      </c>
      <c r="T2571" t="inlineStr">
        <is>
          <t>4439433740388</t>
        </is>
      </c>
    </row>
    <row r="2572" ht="87" customHeight="1">
      <c r="A2572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572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572" t="inlineStr">
        <is>
          <t>Klein Tools D20009NEGLW High-Visibility Side-Cutting Pliers High-Leverage</t>
        </is>
      </c>
      <c r="D2572" t="inlineStr">
        <is>
          <t>Klein Tools J2138NE Pliers, 8-Inch Side Cutters, High Leverage Lineman's Pliers Cut Copper, Aluminum and other Soft Metals</t>
        </is>
      </c>
      <c r="E2572" s="2">
        <f>HYPERLINK("https://www.amazon.com/Klein-Tools-J2138NE-Journeyman-Leverage/dp/B002LNR3KE/ref=sr_1_32?keywords=Klein+Tools+D20009NEGLW+High-Visibility+Side-Cutting+Pliers+High-Leverage&amp;qid=1694734809&amp;sr=8-32", "https://www.amazon.com/Klein-Tools-J2138NE-Journeyman-Leverage/dp/B002LNR3KE/ref=sr_1_32?keywords=Klein+Tools+D20009NEGLW+High-Visibility+Side-Cutting+Pliers+High-Leverage&amp;qid=1694734809&amp;sr=8-32")</f>
        <v/>
      </c>
      <c r="F2572" t="inlineStr">
        <is>
          <t>B002LNR3KE</t>
        </is>
      </c>
      <c r="G2572">
        <f>_xlfn.IMAGE("https://edmondsonsupply.com/cdn/shop/products/d20009neglw.jpg?v=1587144933")</f>
        <v/>
      </c>
      <c r="H2572">
        <f>_xlfn.IMAGE("https://m.media-amazon.com/images/I/51YYIBtCqjL._AC_UL320_.jpg")</f>
        <v/>
      </c>
      <c r="K2572" t="inlineStr">
        <is>
          <t>44.97</t>
        </is>
      </c>
      <c r="L2572" t="n">
        <v>44.11</v>
      </c>
      <c r="M2572" s="1" t="inlineStr">
        <is>
          <t>-1.91%</t>
        </is>
      </c>
      <c r="N2572" s="7" t="n">
        <v>364.97</v>
      </c>
      <c r="O2572" t="n">
        <v>4.6</v>
      </c>
      <c r="P2572" t="n">
        <v>46</v>
      </c>
      <c r="R2572" t="inlineStr">
        <is>
          <t>InStock</t>
        </is>
      </c>
      <c r="S2572" t="inlineStr">
        <is>
          <t>68.16</t>
        </is>
      </c>
      <c r="T2572" t="inlineStr">
        <is>
          <t>4396888490084</t>
        </is>
      </c>
    </row>
    <row r="2573" ht="87" customHeight="1">
      <c r="A2573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573" s="2">
        <f>HYPERLINK("https://edmondsonsupply.com/products/klein-tools-d2000-28glw-diagonal-cutting-pliers-hi-viz-8-inch", "https://edmondsonsupply.com/products/klein-tools-d2000-28glw-diagonal-cutting-pliers-hi-viz-8-inch")</f>
        <v/>
      </c>
      <c r="C2573" t="inlineStr">
        <is>
          <t>Klein Tools D200028GLW Diagonal Cutting Pliers, High-Visibility, 8-Inch</t>
        </is>
      </c>
      <c r="D2573" t="inlineStr">
        <is>
          <t>Klein Tools 2288RINS 1000V Insulated Diagonal Cutter Pliers, High Leverage Design, Induction Hardened Knives, 8-Inch</t>
        </is>
      </c>
      <c r="E2573" s="2">
        <f>HYPERLINK("https://www.amazon.com/Klein-Tools-2288RINS-Insulated-Induction/dp/B0BG1JPVMM/ref=sr_1_12?keywords=Klein+Tools+D200028GLW+Diagonal+Cutting+Pliers%2C+High-Visibility%2C+8-Inch&amp;qid=1694734781&amp;sr=8-12", "https://www.amazon.com/Klein-Tools-2288RINS-Insulated-Induction/dp/B0BG1JPVMM/ref=sr_1_12?keywords=Klein+Tools+D200028GLW+Diagonal+Cutting+Pliers%2C+High-Visibility%2C+8-Inch&amp;qid=1694734781&amp;sr=8-12")</f>
        <v/>
      </c>
      <c r="F2573" t="inlineStr">
        <is>
          <t>B0BG1JPVMM</t>
        </is>
      </c>
      <c r="G2573">
        <f>_xlfn.IMAGE("https://edmondsonsupply.com/cdn/shop/products/d200028glw.jpg?v=1633030701")</f>
        <v/>
      </c>
      <c r="H2573">
        <f>_xlfn.IMAGE("https://m.media-amazon.com/images/I/41AzeY3t1LL._AC_UL320_.jpg")</f>
        <v/>
      </c>
      <c r="K2573" t="inlineStr">
        <is>
          <t>37.49</t>
        </is>
      </c>
      <c r="L2573" t="n">
        <v>36.67</v>
      </c>
      <c r="M2573" s="1" t="inlineStr">
        <is>
          <t>-2.19%</t>
        </is>
      </c>
      <c r="N2573" s="7" t="n">
        <v>364.7</v>
      </c>
      <c r="O2573" t="n">
        <v>4.6</v>
      </c>
      <c r="P2573" t="n">
        <v>54</v>
      </c>
      <c r="R2573" t="inlineStr">
        <is>
          <t>InStock</t>
        </is>
      </c>
      <c r="S2573" t="inlineStr">
        <is>
          <t>56.78</t>
        </is>
      </c>
      <c r="T2573" t="inlineStr">
        <is>
          <t>5848287477928</t>
        </is>
      </c>
    </row>
    <row r="2574" ht="87" customHeight="1">
      <c r="A2574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574" s="2">
        <f>HYPERLINK("https://edmondsonsupply.com/products/diablo-tools-dag1130-1-in-x-7-1-2-in-auger-bit", "https://edmondsonsupply.com/products/diablo-tools-dag1130-1-in-x-7-1-2-in-auger-bit")</f>
        <v/>
      </c>
      <c r="C2574" t="inlineStr">
        <is>
          <t>Diablo Tools DAG1130 1 in. x 7-1/2 in. Auger Bit</t>
        </is>
      </c>
      <c r="D2574" t="inlineStr">
        <is>
          <t>Diablo 3/4 in. x 7-1/2 in. Auger Bit</t>
        </is>
      </c>
      <c r="E2574" s="2">
        <f>HYPERLINK("https://www.amazon.com/Diablo-Freud-DAG1090-7-1-Auger/dp/B089KW4S6Y/ref=sr_1_2?keywords=Diablo+Tools+DAG1130+1+in.+x+7-1%2F2+in.+Auger+Bit&amp;qid=1694734776&amp;sr=8-2", "https://www.amazon.com/Diablo-Freud-DAG1090-7-1-Auger/dp/B089KW4S6Y/ref=sr_1_2?keywords=Diablo+Tools+DAG1130+1+in.+x+7-1%2F2+in.+Auger+Bit&amp;qid=1694734776&amp;sr=8-2")</f>
        <v/>
      </c>
      <c r="F2574" t="inlineStr">
        <is>
          <t>B089KW4S6Y</t>
        </is>
      </c>
      <c r="G2574">
        <f>_xlfn.IMAGE("https://edmondsonsupply.com/cdn/shop/products/DAG1130_Main-Image20200712.png?v=1633031124")</f>
        <v/>
      </c>
      <c r="H2574">
        <f>_xlfn.IMAGE("https://m.media-amazon.com/images/I/61wiLPAG21L._AC_UL320_.jpg")</f>
        <v/>
      </c>
      <c r="K2574" t="inlineStr">
        <is>
          <t>16.37</t>
        </is>
      </c>
      <c r="L2574" t="n">
        <v>15.99</v>
      </c>
      <c r="M2574" s="1" t="inlineStr">
        <is>
          <t>-2.32%</t>
        </is>
      </c>
      <c r="N2574" s="7" t="n">
        <v>364.38</v>
      </c>
      <c r="O2574" t="n">
        <v>4.4</v>
      </c>
      <c r="P2574" t="n">
        <v>35</v>
      </c>
      <c r="R2574" t="inlineStr">
        <is>
          <t>InStock</t>
        </is>
      </c>
      <c r="S2574" t="inlineStr">
        <is>
          <t>25.94</t>
        </is>
      </c>
      <c r="T2574" t="inlineStr">
        <is>
          <t>6866560581805</t>
        </is>
      </c>
    </row>
    <row r="2575" ht="87" customHeight="1">
      <c r="A2575" s="2">
        <f>HYPERLINK("https://edmondsonsupply.com/collections/hvac/products/fluke-62-max-mini-infrared-thermometer", "https://edmondsonsupply.com/collections/hvac/products/fluke-62-max-mini-infrared-thermometer")</f>
        <v/>
      </c>
      <c r="B2575" s="2">
        <f>HYPERLINK("https://edmondsonsupply.com/products/fluke-62-max-mini-infrared-thermometer", "https://edmondsonsupply.com/products/fluke-62-max-mini-infrared-thermometer")</f>
        <v/>
      </c>
      <c r="C2575" t="inlineStr">
        <is>
          <t>Fluke 62 MAX Mini Infrared Thermometer</t>
        </is>
      </c>
      <c r="D2575" t="inlineStr">
        <is>
          <t>Fluke 62 Max Industrial Infrared Thermometer, -22 to +932 Degree F Range, Single Laser Targeting, 10:1 Distance To Spot Ratio, IP54 Rating, Includes 3 Year Warranty, (Not For Human Temp)</t>
        </is>
      </c>
      <c r="E2575" s="2">
        <f>HYPERLINK("https://www.amazon.com/Fluke-MAX-Thermometer-Contact-Degree/dp/B008EW837S/ref=sr_1_1?keywords=Fluke+62+MAX+Mini+Infrared+Thermometer&amp;qid=1694734710&amp;sr=8-1", "https://www.amazon.com/Fluke-MAX-Thermometer-Contact-Degree/dp/B008EW837S/ref=sr_1_1?keywords=Fluke+62+MAX+Mini+Infrared+Thermometer&amp;qid=1694734710&amp;sr=8-1")</f>
        <v/>
      </c>
      <c r="F2575" t="inlineStr">
        <is>
          <t>B008EW837S</t>
        </is>
      </c>
      <c r="G2575">
        <f>_xlfn.IMAGE("https://edmondsonsupply.com/cdn/shop/products/62max.jpg?v=1633030769")</f>
        <v/>
      </c>
      <c r="H2575">
        <f>_xlfn.IMAGE("https://m.media-amazon.com/images/I/51QB7aenW8L._AC_UY218_.jpg")</f>
        <v/>
      </c>
      <c r="K2575" t="inlineStr">
        <is>
          <t>122.99</t>
        </is>
      </c>
      <c r="L2575" t="n">
        <v>120.05</v>
      </c>
      <c r="M2575" s="1" t="inlineStr">
        <is>
          <t>-2.39%</t>
        </is>
      </c>
      <c r="N2575" s="7" t="n">
        <v>364.15</v>
      </c>
      <c r="O2575" t="n">
        <v>4.7</v>
      </c>
      <c r="P2575" t="n">
        <v>1708</v>
      </c>
      <c r="R2575" t="inlineStr">
        <is>
          <t>OutOfStock</t>
        </is>
      </c>
      <c r="S2575" t="inlineStr">
        <is>
          <t>134.99</t>
        </is>
      </c>
      <c r="T2575" t="inlineStr">
        <is>
          <t>5931906334888</t>
        </is>
      </c>
    </row>
    <row r="2576" ht="87" customHeight="1">
      <c r="A2576" s="2">
        <f>HYPERLINK("https://edmondsonsupply.com/collections/hvac/products/wiha-tools-32088-8-piece-insulated-picofinish-precision-screwdriver-set", "https://edmondsonsupply.com/collections/hvac/products/wiha-tools-32088-8-piece-insulated-picofinish-precision-screwdriver-set")</f>
        <v/>
      </c>
      <c r="B2576" s="2">
        <f>HYPERLINK("https://edmondsonsupply.com/products/wiha-tools-32088-8-piece-insulated-picofinish-precision-screwdriver-set", "https://edmondsonsupply.com/products/wiha-tools-32088-8-piece-insulated-picofinish-precision-screwdriver-set")</f>
        <v/>
      </c>
      <c r="C2576" t="inlineStr">
        <is>
          <t>Wiha Tools 32088 8 Piece Insulated PicoFinish Precision Screwdriver Set</t>
        </is>
      </c>
      <c r="D2576" t="inlineStr">
        <is>
          <t>Wiha 32088 8 Piece Insulated PicoFinish Precision Screwdriver Set</t>
        </is>
      </c>
      <c r="E2576" s="2">
        <f>HYPERLINK("https://www.amazon.com/Wiha-WIHAA-32088-Insulated-Picofinish/dp/B00SZ6LZMS/ref=sr_1_1?keywords=Wiha+Tools+32088+8+Piece+Insulated+PicoFinish+Precision+Screwdriver+Set&amp;qid=1694734876&amp;sr=8-1", "https://www.amazon.com/Wiha-WIHAA-32088-Insulated-Picofinish/dp/B00SZ6LZMS/ref=sr_1_1?keywords=Wiha+Tools+32088+8+Piece+Insulated+PicoFinish+Precision+Screwdriver+Set&amp;qid=1694734876&amp;sr=8-1")</f>
        <v/>
      </c>
      <c r="F2576" t="inlineStr">
        <is>
          <t>B00SZ6LZMS</t>
        </is>
      </c>
      <c r="G2576">
        <f>_xlfn.IMAGE("https://edmondsonsupply.com/cdn/shop/files/ah1u5hviqxts6itxix4k_1000x_5285634c-51ad-48c4-987e-f1113aaa9ab9.webp?v=1690905519")</f>
        <v/>
      </c>
      <c r="H2576">
        <f>_xlfn.IMAGE("https://m.media-amazon.com/images/I/71AgXWTs5SS._AC_UL320_.jpg")</f>
        <v/>
      </c>
      <c r="K2576" t="inlineStr">
        <is>
          <t>64.55</t>
        </is>
      </c>
      <c r="L2576" t="n">
        <v>62.98</v>
      </c>
      <c r="M2576" s="1" t="inlineStr">
        <is>
          <t>-2.43%</t>
        </is>
      </c>
      <c r="N2576" s="7" t="n">
        <v>364.04</v>
      </c>
      <c r="O2576" t="n">
        <v>4.8</v>
      </c>
      <c r="P2576" t="n">
        <v>174</v>
      </c>
      <c r="R2576" t="inlineStr">
        <is>
          <t>InStock</t>
        </is>
      </c>
      <c r="S2576" t="inlineStr">
        <is>
          <t>86.07</t>
        </is>
      </c>
      <c r="T2576" t="inlineStr">
        <is>
          <t>8023413326040</t>
        </is>
      </c>
    </row>
    <row r="2577" ht="87" customHeight="1">
      <c r="A2577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2577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2577" t="inlineStr">
        <is>
          <t>Klein Tools KTSB03 Step Drill Bit Double Fluted #3, 1/4 to 3/4-Inch</t>
        </is>
      </c>
      <c r="D2577" t="inlineStr">
        <is>
          <t>Klein Tools KTSB03 Step Drill Bit Double Fluted #3, 1/4 to 3/4-Inch with Easy-to-Read Markings and Targets, 3/8-Inch Hex Shank</t>
        </is>
      </c>
      <c r="E2577" s="2">
        <f>HYPERLINK("https://www.amazon.com/Double-Fluted-Klein-Tools-KTSB03/dp/B0171X0MRO/ref=sr_1_1?keywords=Klein+Tools+KTSB03+Step+Drill+Bit+Double+Fluted+%233%2C+1%2F4+to+3%2F4-Inch&amp;qid=1694734821&amp;sr=8-1", "https://www.amazon.com/Double-Fluted-Klein-Tools-KTSB03/dp/B0171X0MRO/ref=sr_1_1?keywords=Klein+Tools+KTSB03+Step+Drill+Bit+Double+Fluted+%233%2C+1%2F4+to+3%2F4-Inch&amp;qid=1694734821&amp;sr=8-1")</f>
        <v/>
      </c>
      <c r="F2577" t="inlineStr">
        <is>
          <t>B0171X0MRO</t>
        </is>
      </c>
      <c r="G2577">
        <f>_xlfn.IMAGE("https://edmondsonsupply.com/cdn/shop/products/ktsb03.jpg?v=1666012212")</f>
        <v/>
      </c>
      <c r="H2577">
        <f>_xlfn.IMAGE("https://m.media-amazon.com/images/I/51clfGV7U4L._AC_UY218_.jpg")</f>
        <v/>
      </c>
      <c r="K2577" t="inlineStr">
        <is>
          <t>34.99</t>
        </is>
      </c>
      <c r="L2577" t="n">
        <v>33.99</v>
      </c>
      <c r="M2577" s="1" t="inlineStr">
        <is>
          <t>-2.86%</t>
        </is>
      </c>
      <c r="N2577" s="7" t="n">
        <v>363.27</v>
      </c>
      <c r="O2577" t="n">
        <v>4.7</v>
      </c>
      <c r="P2577" t="n">
        <v>1768</v>
      </c>
      <c r="R2577" t="inlineStr">
        <is>
          <t>InStock</t>
        </is>
      </c>
      <c r="S2577" t="inlineStr">
        <is>
          <t>47.68</t>
        </is>
      </c>
      <c r="T2577" t="inlineStr">
        <is>
          <t>4174339670116</t>
        </is>
      </c>
    </row>
    <row r="2578" ht="87" customHeight="1">
      <c r="A2578" s="2">
        <f>HYPERLINK("https://edmondsonsupply.com/collections/hvac/products/milwaukee-48-40-4515-8-circular-saw-metal-cutting-blade-42t", "https://edmondsonsupply.com/collections/hvac/products/milwaukee-48-40-4515-8-circular-saw-metal-cutting-blade-42t")</f>
        <v/>
      </c>
      <c r="B2578" s="2">
        <f>HYPERLINK("https://edmondsonsupply.com/products/milwaukee-48-40-4515-8-circular-saw-metal-cutting-blade-42t", "https://edmondsonsupply.com/products/milwaukee-48-40-4515-8-circular-saw-metal-cutting-blade-42t")</f>
        <v/>
      </c>
      <c r="C2578" t="inlineStr">
        <is>
          <t>Milwaukee 48-40-4515 8" Circular Saw Metal Cutting Blade- 42T</t>
        </is>
      </c>
      <c r="D2578" t="inlineStr">
        <is>
          <t>Milwaukee 48-40-4215 5-7/8" 34 Carbide Teeth Metal Cutting Circular Saw Blade</t>
        </is>
      </c>
      <c r="E2578" s="2">
        <f>HYPERLINK("https://www.amazon.com/Milwaukee-48-40-4215-Carbide-Cutting-Circular/dp/B08HVQTR11/ref=sr_1_15?keywords=Milwaukee+48-40-4515+8%22+Circular+Saw+Metal+Cutting+Blade-+42T&amp;qid=1694734899&amp;sr=8-15", "https://www.amazon.com/Milwaukee-48-40-4215-Carbide-Cutting-Circular/dp/B08HVQTR11/ref=sr_1_15?keywords=Milwaukee+48-40-4515+8%22+Circular+Saw+Metal+Cutting+Blade-+42T&amp;qid=1694734899&amp;sr=8-15")</f>
        <v/>
      </c>
      <c r="F2578" t="inlineStr">
        <is>
          <t>B08HVQTR11</t>
        </is>
      </c>
      <c r="G2578">
        <f>_xlfn.IMAGE("https://edmondsonsupply.com/cdn/shop/files/48-40-4515_1.png?v=1687444386")</f>
        <v/>
      </c>
      <c r="H2578">
        <f>_xlfn.IMAGE("https://m.media-amazon.com/images/I/81kOcwhVORL._AC_UL320_.jpg")</f>
        <v/>
      </c>
      <c r="K2578" t="inlineStr">
        <is>
          <t>59.97</t>
        </is>
      </c>
      <c r="L2578" t="n">
        <v>58.25</v>
      </c>
      <c r="M2578" s="1" t="inlineStr">
        <is>
          <t>-2.87%</t>
        </is>
      </c>
      <c r="N2578" s="7" t="n">
        <v>361.54</v>
      </c>
      <c r="O2578" t="n">
        <v>5</v>
      </c>
      <c r="P2578" t="n">
        <v>6</v>
      </c>
      <c r="R2578" t="inlineStr">
        <is>
          <t>InStock</t>
        </is>
      </c>
      <c r="S2578" t="inlineStr">
        <is>
          <t>88.2</t>
        </is>
      </c>
      <c r="T2578" t="inlineStr">
        <is>
          <t>8007979434200</t>
        </is>
      </c>
    </row>
    <row r="2579" ht="87" customHeight="1">
      <c r="A2579" s="2">
        <f>HYPERLINK("https://edmondsonsupply.com/collections/hvac/products/klein-tools-69140-k-type-temperature-pipe-clamp", "https://edmondsonsupply.com/collections/hvac/products/klein-tools-69140-k-type-temperature-pipe-clamp")</f>
        <v/>
      </c>
      <c r="B2579" s="2">
        <f>HYPERLINK("https://edmondsonsupply.com/products/klein-tools-69140-k-type-temperature-pipe-clamp", "https://edmondsonsupply.com/products/klein-tools-69140-k-type-temperature-pipe-clamp")</f>
        <v/>
      </c>
      <c r="C2579" t="inlineStr">
        <is>
          <t>Klein Tools 69140 K-Type Temperature Pipe Clamp</t>
        </is>
      </c>
      <c r="D2579" t="inlineStr">
        <is>
          <t>Klein Tools 69140 K-Type Thermometer, Pipe Temperature Clamp for HVAC, Measures -4 to +212 Degrees Fahrenheit</t>
        </is>
      </c>
      <c r="E2579" s="2">
        <f>HYPERLINK("https://www.amazon.com/Thermometer-Temperature-Klein-Tools-69140/dp/B07B2PPBRB/ref=sr_1_1?keywords=Klein+Tools+69140+K-Type+Temperature+Pipe+Clamp&amp;qid=1694734825&amp;sr=8-1", "https://www.amazon.com/Thermometer-Temperature-Klein-Tools-69140/dp/B07B2PPBRB/ref=sr_1_1?keywords=Klein+Tools+69140+K-Type+Temperature+Pipe+Clamp&amp;qid=1694734825&amp;sr=8-1")</f>
        <v/>
      </c>
      <c r="F2579" t="inlineStr">
        <is>
          <t>B07B2PPBRB</t>
        </is>
      </c>
      <c r="G2579">
        <f>_xlfn.IMAGE("https://edmondsonsupply.com/cdn/shop/products/69140.jpg?v=1587146691")</f>
        <v/>
      </c>
      <c r="H2579">
        <f>_xlfn.IMAGE("https://m.media-amazon.com/images/I/51Tu19Ia2YL._AC_UL320_.jpg")</f>
        <v/>
      </c>
      <c r="K2579" t="inlineStr">
        <is>
          <t>26.99</t>
        </is>
      </c>
      <c r="L2579" t="n">
        <v>26.18</v>
      </c>
      <c r="M2579" s="1" t="inlineStr">
        <is>
          <t>-3.00%</t>
        </is>
      </c>
      <c r="N2579" s="7" t="n">
        <v>361.38</v>
      </c>
      <c r="O2579" t="n">
        <v>4.3</v>
      </c>
      <c r="P2579" t="n">
        <v>1690</v>
      </c>
      <c r="R2579" t="inlineStr">
        <is>
          <t>InStock</t>
        </is>
      </c>
      <c r="S2579" t="inlineStr">
        <is>
          <t>40.86</t>
        </is>
      </c>
      <c r="T2579" t="inlineStr">
        <is>
          <t>1902706098276</t>
        </is>
      </c>
    </row>
    <row r="2580" hidden="1" ht="15.75" customHeight="1">
      <c r="A2580" s="2">
        <f>HYPERLINK("https://edmondsonsupply.com/collections/hvac/products/klein-tools-32562-6-in-1-multi-bit-screwdriver-nut-driver-stubby", "https://edmondsonsupply.com/collections/hvac/products/klein-tools-32562-6-in-1-multi-bit-screwdriver-nut-driver-stubby")</f>
        <v/>
      </c>
      <c r="B2580" s="2">
        <f>HYPERLINK("https://edmondsonsupply.com/products/klein-tools-32562-6-in-1-multi-bit-screwdriver-nut-driver-stubby", "https://edmondsonsupply.com/products/klein-tools-32562-6-in-1-multi-bit-screwdriver-nut-driver-stubby")</f>
        <v/>
      </c>
      <c r="C2580" t="inlineStr">
        <is>
          <t>Klein Tools 32562 Multi-Bit Screwdriver / Nut Driver, 6-in-1, Stubby, Ph, Sl, Sq Bits</t>
        </is>
      </c>
      <c r="D2580" t="inlineStr">
        <is>
          <t>Klein Tools 32562 Multi-Bit Screwdriver / Nut Driver, 6-in-1 Stubby Tool with Square Recess, Slotted, Phillips Bits and Nut Drivers</t>
        </is>
      </c>
      <c r="E2580" s="2">
        <f>HYPERLINK("https://www.amazon.com/Multi-Bit-Screwdriver-Klein-Tools-32562/dp/B007SF5DNE/ref=sr_1_1?keywords=Klein+Tools+32562+Multi-Bit+Screwdriver+%2F+Nut+Driver%2C+6-in-1%2C+Stubby%2C+Ph%2C+Sl%2C+Sq+Bits&amp;qid=1694734806&amp;sr=8-1", "https://www.amazon.com/Multi-Bit-Screwdriver-Klein-Tools-32562/dp/B007SF5DNE/ref=sr_1_1?keywords=Klein+Tools+32562+Multi-Bit+Screwdriver+%2F+Nut+Driver%2C+6-in-1%2C+Stubby%2C+Ph%2C+Sl%2C+Sq+Bits&amp;qid=1694734806&amp;sr=8-1")</f>
        <v/>
      </c>
      <c r="F2580" t="inlineStr">
        <is>
          <t>B007SF5DNE</t>
        </is>
      </c>
      <c r="G2580">
        <f>_xludf.IMAGE("https://edmondsonsupply.com/cdn/shop/products/32562.jpg?v=1587145424")</f>
        <v/>
      </c>
      <c r="H2580">
        <f>_xludf.IMAGE("https://m.media-amazon.com/images/I/515fclR4vsL._AC_UL320_.jpg")</f>
        <v/>
      </c>
      <c r="K2580" t="inlineStr">
        <is>
          <t>12.99</t>
        </is>
      </c>
      <c r="L2580" t="n">
        <v>12.6</v>
      </c>
      <c r="M2580" s="1" t="inlineStr">
        <is>
          <t>-3.00%</t>
        </is>
      </c>
      <c r="N2580" s="1" t="n">
        <v>361.38</v>
      </c>
      <c r="O2580" t="n">
        <v>4.7</v>
      </c>
      <c r="P2580" t="n">
        <v>480</v>
      </c>
      <c r="R2580" t="inlineStr">
        <is>
          <t>InStock</t>
        </is>
      </c>
      <c r="S2580" t="inlineStr">
        <is>
          <t>18.9</t>
        </is>
      </c>
      <c r="T2580" t="inlineStr">
        <is>
          <t>4396350439524</t>
        </is>
      </c>
    </row>
    <row r="2581" ht="87" customHeight="1">
      <c r="A2581" s="2">
        <f>HYPERLINK("https://edmondsonsupply.com/collections/hvac/products/klein-tools-d502-6-pump-pliers-6-inch", "https://edmondsonsupply.com/collections/hvac/products/klein-tools-d502-6-pump-pliers-6-inch")</f>
        <v/>
      </c>
      <c r="B2581" s="2">
        <f>HYPERLINK("https://edmondsonsupply.com/products/klein-tools-d502-6-pump-pliers-6-inch", "https://edmondsonsupply.com/products/klein-tools-d502-6-pump-pliers-6-inch")</f>
        <v/>
      </c>
      <c r="C2581" t="inlineStr">
        <is>
          <t>Klein Tools D502-6 Pump Pliers, 6-Inch</t>
        </is>
      </c>
      <c r="D2581" t="inlineStr">
        <is>
          <t>Klein Tools D502-6 Pump Pliers, Dipped 6-Inch Tongue and Groove, Yellow</t>
        </is>
      </c>
      <c r="E2581" s="2">
        <f>HYPERLINK("https://www.amazon.com/Pliers-6-Inch-Klein-Tools-D502-6/dp/B0002RI9UY/ref=sr_1_1?keywords=Klein+Tools+D502-6+Pump+Pliers%2C+6-Inch&amp;qid=1694734768&amp;sr=8-1", "https://www.amazon.com/Pliers-6-Inch-Klein-Tools-D502-6/dp/B0002RI9UY/ref=sr_1_1?keywords=Klein+Tools+D502-6+Pump+Pliers%2C+6-Inch&amp;qid=1694734768&amp;sr=8-1")</f>
        <v/>
      </c>
      <c r="F2581" t="inlineStr">
        <is>
          <t>B0002RI9UY</t>
        </is>
      </c>
      <c r="G2581">
        <f>_xlfn.IMAGE("https://edmondsonsupply.com/cdn/shop/products/d5026.jpg?v=1587150839")</f>
        <v/>
      </c>
      <c r="H2581">
        <f>_xlfn.IMAGE("https://m.media-amazon.com/images/I/41XntVeFqRL._AC_UL320_.jpg")</f>
        <v/>
      </c>
      <c r="K2581" t="inlineStr">
        <is>
          <t>20.99</t>
        </is>
      </c>
      <c r="L2581" t="n">
        <v>20.34</v>
      </c>
      <c r="M2581" s="1" t="inlineStr">
        <is>
          <t>-3.10%</t>
        </is>
      </c>
      <c r="N2581" s="7" t="n">
        <v>358.16</v>
      </c>
      <c r="O2581" t="n">
        <v>4.7</v>
      </c>
      <c r="P2581" t="n">
        <v>170</v>
      </c>
      <c r="R2581" t="inlineStr">
        <is>
          <t>InStock</t>
        </is>
      </c>
      <c r="S2581" t="inlineStr">
        <is>
          <t>31.78</t>
        </is>
      </c>
      <c r="T2581" t="inlineStr">
        <is>
          <t>4391424458852</t>
        </is>
      </c>
    </row>
    <row r="2582" ht="87" customHeight="1">
      <c r="A2582" s="2">
        <f>HYPERLINK("https://edmondsonsupply.com/collections/hvac/products/milwaukee-2912-22-m18-fuel%E2%84%A2-1-sds-plus-rotary-hammer-kit", "https://edmondsonsupply.com/collections/hvac/products/milwaukee-2912-22-m18-fuel%E2%84%A2-1-sds-plus-rotary-hammer-kit")</f>
        <v/>
      </c>
      <c r="B2582" s="2">
        <f>HYPERLINK("https://edmondsonsupply.com/products/milwaukee-2912-22-m18-fuel%e2%84%a2-1-sds-plus-rotary-hammer-kit", "https://edmondsonsupply.com/products/milwaukee-2912-22-m18-fuel%e2%84%a2-1-sds-plus-rotary-hammer-kit")</f>
        <v/>
      </c>
      <c r="C2582" t="inlineStr">
        <is>
          <t>Milwaukee 2912-22 M18 FUEL™ 1" SDS Plus Rotary Hammer Kit</t>
        </is>
      </c>
      <c r="D2582" t="inlineStr">
        <is>
          <t>Milwaukee 2712-22 M18 FUELâ„¢ 1" SDS Plus Rotary Hammer</t>
        </is>
      </c>
      <c r="E2582" s="2">
        <f>HYPERLINK("https://www.amazon.com/Milwaukee-2712-22-FUEL%C3%A2-Rotary-Hammer/dp/B0742N8XCD/ref=sr_1_4?keywords=Milwaukee+2912-22+M18+FUEL%E2%84%A2+1%22+SDS+Plus+Rotary+Hammer+Kit&amp;qid=1694734903&amp;sr=8-4", "https://www.amazon.com/Milwaukee-2712-22-FUEL%C3%A2-Rotary-Hammer/dp/B0742N8XCD/ref=sr_1_4?keywords=Milwaukee+2912-22+M18+FUEL%E2%84%A2+1%22+SDS+Plus+Rotary+Hammer+Kit&amp;qid=1694734903&amp;sr=8-4")</f>
        <v/>
      </c>
      <c r="F2582" t="inlineStr">
        <is>
          <t>B0742N8XCD</t>
        </is>
      </c>
      <c r="G2582">
        <f>_xlfn.IMAGE("https://edmondsonsupply.com/cdn/shop/files/2912-20_1.webp?v=1686934956")</f>
        <v/>
      </c>
      <c r="H2582">
        <f>_xlfn.IMAGE("https://m.media-amazon.com/images/I/51au+ZOY1OL._AC_UL320_.jpg")</f>
        <v/>
      </c>
      <c r="K2582" t="inlineStr">
        <is>
          <t>599.0</t>
        </is>
      </c>
      <c r="L2582" t="n">
        <v>579.9</v>
      </c>
      <c r="M2582" s="1" t="inlineStr">
        <is>
          <t>-3.19%</t>
        </is>
      </c>
      <c r="N2582" s="7" t="n">
        <v>357.07</v>
      </c>
      <c r="O2582" t="n">
        <v>4.3</v>
      </c>
      <c r="P2582" t="n">
        <v>7</v>
      </c>
      <c r="R2582" t="inlineStr">
        <is>
          <t>InStock</t>
        </is>
      </c>
      <c r="S2582" t="inlineStr">
        <is>
          <t>1054.0</t>
        </is>
      </c>
      <c r="T2582" t="inlineStr">
        <is>
          <t>8006184960216</t>
        </is>
      </c>
    </row>
    <row r="2583" ht="87" customHeight="1">
      <c r="A2583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2583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2583" t="inlineStr">
        <is>
          <t>Klein Tools NCVT-2PKIT Dual Range Non-Contact Voltage Tester with Receptacle Tester</t>
        </is>
      </c>
      <c r="D2583" t="inlineStr">
        <is>
          <t>Klein Tools NCVT2PKIT Non-Contact Voltage Tester with Outlet Tester, 12-48V AC or 48 - 1000V AC Dual Range for Broad Application</t>
        </is>
      </c>
      <c r="E2583" s="2">
        <f>HYPERLINK("https://www.amazon.com/Klein-Tools-NCVT2PKIT-Non-Contact-Application/dp/B08FPHS6HL/ref=sr_1_2?keywords=Klein+Tools+NCVT-2PKIT+Dual+Range+Non-Contact+Voltage+Tester+with+Receptacle+Tester&amp;qid=1694734814&amp;sr=8-2", "https://www.amazon.com/Klein-Tools-NCVT2PKIT-Non-Contact-Application/dp/B08FPHS6HL/ref=sr_1_2?keywords=Klein+Tools+NCVT-2PKIT+Dual+Range+Non-Contact+Voltage+Tester+with+Receptacle+Tester&amp;qid=1694734814&amp;sr=8-2")</f>
        <v/>
      </c>
      <c r="F2583" t="inlineStr">
        <is>
          <t>B08FPHS6HL</t>
        </is>
      </c>
      <c r="G2583">
        <f>_xlfn.IMAGE("https://edmondsonsupply.com/cdn/shop/products/ncvt2pkit.jpg?v=1633030827")</f>
        <v/>
      </c>
      <c r="H2583">
        <f>_xlfn.IMAGE("https://m.media-amazon.com/images/I/511RscwJPxL._AC_UL320_.jpg")</f>
        <v/>
      </c>
      <c r="K2583" t="inlineStr">
        <is>
          <t>29.99</t>
        </is>
      </c>
      <c r="L2583" t="n">
        <v>28.99</v>
      </c>
      <c r="M2583" s="1" t="inlineStr">
        <is>
          <t>-3.33%</t>
        </is>
      </c>
      <c r="N2583" s="7" t="n">
        <v>356.59</v>
      </c>
      <c r="O2583" t="n">
        <v>4.8</v>
      </c>
      <c r="P2583" t="n">
        <v>3246</v>
      </c>
      <c r="R2583" t="inlineStr">
        <is>
          <t>InStock</t>
        </is>
      </c>
      <c r="S2583" t="inlineStr">
        <is>
          <t>41.28</t>
        </is>
      </c>
      <c r="T2583" t="inlineStr">
        <is>
          <t>6082146238637</t>
        </is>
      </c>
    </row>
    <row r="2584" hidden="1" ht="15.75" customHeight="1">
      <c r="A2584" s="2">
        <f>HYPERLINK("https://edmondsonsupply.com/collections/hvac/products/klein-tools-32796-pro-impact-power-bits-assorted-7-pack", "https://edmondsonsupply.com/collections/hvac/products/klein-tools-32796-pro-impact-power-bits-assorted-7-pack")</f>
        <v/>
      </c>
      <c r="B2584" s="2">
        <f>HYPERLINK("https://edmondsonsupply.com/products/klein-tools-32796-pro-impact-power-bits-assorted-7-pack", "https://edmondsonsupply.com/products/klein-tools-32796-pro-impact-power-bits-assorted-7-pack")</f>
        <v/>
      </c>
      <c r="C2584" t="inlineStr">
        <is>
          <t>Klein Tools 32796 Pro Impact Power Bits, Assorted 7-Pack</t>
        </is>
      </c>
      <c r="D2584" t="inlineStr">
        <is>
          <t>Klein Tools 32796 Pro Impact Driver Bits, Assorted Nut Drivers, Impact Bit Sizes 7-Pack</t>
        </is>
      </c>
      <c r="E2584" s="2">
        <f>HYPERLINK("https://www.amazon.com/Klein-Tools-32796-Assorted-Drivers/dp/B07RL6TJPM/ref=sr_1_1?keywords=Klein+Tools+32796+Pro+Impact+Power+Bits%2C+Assorted+7-Pack&amp;qid=1694734781&amp;sr=8-1", "https://www.amazon.com/Klein-Tools-32796-Assorted-Drivers/dp/B07RL6TJPM/ref=sr_1_1?keywords=Klein+Tools+32796+Pro+Impact+Power+Bits%2C+Assorted+7-Pack&amp;qid=1694734781&amp;sr=8-1")</f>
        <v/>
      </c>
      <c r="F2584" t="inlineStr">
        <is>
          <t>B07RL6TJPM</t>
        </is>
      </c>
      <c r="G2584">
        <f>_xludf.IMAGE("https://edmondsonsupply.com/cdn/shop/products/32796.jpg?v=1587146803")</f>
        <v/>
      </c>
      <c r="H2584">
        <f>_xludf.IMAGE("https://m.media-amazon.com/images/I/51lVLHao0uL._AC_UL320_.jpg")</f>
        <v/>
      </c>
      <c r="K2584" t="inlineStr">
        <is>
          <t>5.99</t>
        </is>
      </c>
      <c r="L2584" t="n">
        <v>5.79</v>
      </c>
      <c r="M2584" s="1" t="inlineStr">
        <is>
          <t>-3.34%</t>
        </is>
      </c>
      <c r="N2584" s="1" t="n">
        <v>356.37</v>
      </c>
      <c r="O2584" t="n">
        <v>4.4</v>
      </c>
      <c r="P2584" t="n">
        <v>47</v>
      </c>
      <c r="R2584" t="inlineStr">
        <is>
          <t>InStock</t>
        </is>
      </c>
      <c r="S2584" t="inlineStr">
        <is>
          <t>8.42</t>
        </is>
      </c>
      <c r="T2584" t="inlineStr">
        <is>
          <t>3501062258788</t>
        </is>
      </c>
    </row>
    <row r="2585" ht="87" customHeight="1">
      <c r="A2585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2585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2585" t="inlineStr">
        <is>
          <t>Klein Tools NCVT-2PKIT Dual Range Non-Contact Voltage Tester with Receptacle Tester</t>
        </is>
      </c>
      <c r="D2585" t="inlineStr">
        <is>
          <t>Klein Tools NCVT-2 Voltage Tester, Non-Contact Dual Range Voltage Tester Pen for Standard and Low Voltage, with 3 m Drop Protection</t>
        </is>
      </c>
      <c r="E2585" s="2">
        <f>HYPERLINK("https://www.amazon.com/Klein-Tools-NCVT-2-Standard-Protection/dp/B004FXJOQO/ref=sr_1_3?keywords=Klein+Tools+NCVT-2PKIT+Dual+Range+Non-Contact+Voltage+Tester+with+Receptacle+Tester&amp;qid=1694734814&amp;sr=8-3", "https://www.amazon.com/Klein-Tools-NCVT-2-Standard-Protection/dp/B004FXJOQO/ref=sr_1_3?keywords=Klein+Tools+NCVT-2PKIT+Dual+Range+Non-Contact+Voltage+Tester+with+Receptacle+Tester&amp;qid=1694734814&amp;sr=8-3")</f>
        <v/>
      </c>
      <c r="F2585" t="inlineStr">
        <is>
          <t>B004FXJOQO</t>
        </is>
      </c>
      <c r="G2585">
        <f>_xlfn.IMAGE("https://edmondsonsupply.com/cdn/shop/products/ncvt2pkit.jpg?v=1633030827")</f>
        <v/>
      </c>
      <c r="H2585">
        <f>_xlfn.IMAGE("https://m.media-amazon.com/images/I/514tywDAdHL._AC_UL320_.jpg")</f>
        <v/>
      </c>
      <c r="K2585" t="inlineStr">
        <is>
          <t>29.99</t>
        </is>
      </c>
      <c r="L2585" t="n">
        <v>28.95</v>
      </c>
      <c r="M2585" s="1" t="inlineStr">
        <is>
          <t>-3.47%</t>
        </is>
      </c>
      <c r="N2585" s="7" t="n">
        <v>356.36</v>
      </c>
      <c r="O2585" t="n">
        <v>4.6</v>
      </c>
      <c r="P2585" t="n">
        <v>5762</v>
      </c>
      <c r="R2585" t="inlineStr">
        <is>
          <t>InStock</t>
        </is>
      </c>
      <c r="S2585" t="inlineStr">
        <is>
          <t>41.28</t>
        </is>
      </c>
      <c r="T2585" t="inlineStr">
        <is>
          <t>6082146238637</t>
        </is>
      </c>
    </row>
    <row r="2586" ht="87" customHeight="1">
      <c r="A2586" s="2">
        <f>HYPERLINK("https://edmondsonsupply.com/collections/hvac/products/spin-tools-s6000-swaging-drill-bit-set-1-4-3-8-1-2-5-8-3-4-7-8", "https://edmondsonsupply.com/collections/hvac/products/spin-tools-s6000-swaging-drill-bit-set-1-4-3-8-1-2-5-8-3-4-7-8")</f>
        <v/>
      </c>
      <c r="B2586" s="2">
        <f>HYPERLINK("https://edmondsonsupply.com/products/spin-tools-s6000-swaging-drill-bit-set-1-4-3-8-1-2-5-8-3-4-7-8", "https://edmondsonsupply.com/products/spin-tools-s6000-swaging-drill-bit-set-1-4-3-8-1-2-5-8-3-4-7-8")</f>
        <v/>
      </c>
      <c r="C2586" t="inlineStr">
        <is>
          <t>SPIN Tools S6000 Swaging Drill Bit Set, 1/4", 3/8", 1/2", 5/8", 3/4" &amp; 7/8"</t>
        </is>
      </c>
      <c r="D2586" t="inlineStr">
        <is>
          <t>SPIN F6000 6-Piece Drill Bit Flaring Set, 1/4’’ 3/8’’ 1/2’’ 5/8’’ 3/4", &amp; 7/8"</t>
        </is>
      </c>
      <c r="E2586" s="2">
        <f>HYPERLINK("https://www.amazon.com/F6000-Flaring-Tool-Drill-Bits/dp/B07L7C7DPT/ref=sr_1_5?keywords=SPIN+Tools+S6000+Swaging+Drill+Bit+Set%2C+1%2F4%22%2C+3%2F8%22%2C+1%2F2%22%2C+5%2F8%22%2C+3%2F4%22+%26+7%2F8%22&amp;qid=1694734575&amp;sr=8-5", "https://www.amazon.com/F6000-Flaring-Tool-Drill-Bits/dp/B07L7C7DPT/ref=sr_1_5?keywords=SPIN+Tools+S6000+Swaging+Drill+Bit+Set%2C+1%2F4%22%2C+3%2F8%22%2C+1%2F2%22%2C+5%2F8%22%2C+3%2F4%22+%26+7%2F8%22&amp;qid=1694734575&amp;sr=8-5")</f>
        <v/>
      </c>
      <c r="F2586" t="inlineStr">
        <is>
          <t>B07L7C7DPT</t>
        </is>
      </c>
      <c r="G2586">
        <f>_xlfn.IMAGE("https://edmondsonsupply.com/cdn/shop/products/s6000-1.jpg?v=1587147463")</f>
        <v/>
      </c>
      <c r="H2586">
        <f>_xlfn.IMAGE("https://m.media-amazon.com/images/I/618+pdlmdeL._AC_UL320_.jpg")</f>
        <v/>
      </c>
      <c r="K2586" t="inlineStr">
        <is>
          <t>93.38</t>
        </is>
      </c>
      <c r="L2586" t="n">
        <v>90</v>
      </c>
      <c r="M2586" s="1" t="inlineStr">
        <is>
          <t>-3.62%</t>
        </is>
      </c>
      <c r="N2586" s="7" t="n">
        <v>355.31</v>
      </c>
      <c r="O2586" t="n">
        <v>4.5</v>
      </c>
      <c r="P2586" t="n">
        <v>220</v>
      </c>
      <c r="R2586" t="inlineStr">
        <is>
          <t>OutOfStock</t>
        </is>
      </c>
      <c r="S2586" t="inlineStr">
        <is>
          <t>undefined</t>
        </is>
      </c>
      <c r="T2586" t="inlineStr">
        <is>
          <t>3702992339044</t>
        </is>
      </c>
    </row>
    <row r="2587" ht="87" customHeight="1">
      <c r="A2587" s="2">
        <f>HYPERLINK("https://edmondsonsupply.com/collections/hvac/products/wiha-tools-66992-22-piece-magicring-ball-end-hex-l-key-set-inch-metric", "https://edmondsonsupply.com/collections/hvac/products/wiha-tools-66992-22-piece-magicring-ball-end-hex-l-key-set-inch-metric")</f>
        <v/>
      </c>
      <c r="B2587" s="2">
        <f>HYPERLINK("https://edmondsonsupply.com/products/wiha-tools-66992-22-piece-magicring-ball-end-hex-l-key-set-inch-metric", "https://edmondsonsupply.com/products/wiha-tools-66992-22-piece-magicring-ball-end-hex-l-key-set-inch-metric")</f>
        <v/>
      </c>
      <c r="C2587" t="inlineStr">
        <is>
          <t>Wiha Tools 66992 22 Piece MagicRing Ball End Hex L-Key Set - Inch - Metric</t>
        </is>
      </c>
      <c r="D2587" t="inlineStr">
        <is>
          <t>Wiha 66992 MagicRing Ball End Hex L-Key Set In Holders, 22 Piece</t>
        </is>
      </c>
      <c r="E2587" s="2">
        <f>HYPERLINK("https://www.amazon.com/Wiha-66992-MagicRing-L-Key-Holders/dp/B000LF2LJM/ref=sr_1_1?keywords=Wiha+Tools+66992+22+Piece+MagicRing+Ball+End+Hex+L-Key+Set+-+Inch+-+Metric&amp;qid=1694734873&amp;sr=8-1", "https://www.amazon.com/Wiha-66992-MagicRing-L-Key-Holders/dp/B000LF2LJM/ref=sr_1_1?keywords=Wiha+Tools+66992+22+Piece+MagicRing+Ball+End+Hex+L-Key+Set+-+Inch+-+Metric&amp;qid=1694734873&amp;sr=8-1")</f>
        <v/>
      </c>
      <c r="F2587" t="inlineStr">
        <is>
          <t>B000LF2LJM</t>
        </is>
      </c>
      <c r="G2587">
        <f>_xlfn.IMAGE("https://edmondsonsupply.com/cdn/shop/files/29417a271125353d697d01cfdfb24cc6e99901ce_1000x_6829985f-7f40-4410-b5be-ba7bc87b2a14.webp?v=1690840271")</f>
        <v/>
      </c>
      <c r="H2587">
        <f>_xlfn.IMAGE("https://m.media-amazon.com/images/I/71eB60IkANL._AC_UL320_.jpg")</f>
        <v/>
      </c>
      <c r="K2587" t="inlineStr">
        <is>
          <t>84.19</t>
        </is>
      </c>
      <c r="L2587" t="n">
        <v>81.03</v>
      </c>
      <c r="M2587" s="1" t="inlineStr">
        <is>
          <t>-3.75%</t>
        </is>
      </c>
      <c r="N2587" s="7" t="n">
        <v>355.21</v>
      </c>
      <c r="O2587" t="n">
        <v>4.7</v>
      </c>
      <c r="P2587" t="n">
        <v>531</v>
      </c>
      <c r="R2587" t="inlineStr">
        <is>
          <t>InStock</t>
        </is>
      </c>
      <c r="S2587" t="inlineStr">
        <is>
          <t>112.25</t>
        </is>
      </c>
      <c r="T2587" t="inlineStr">
        <is>
          <t>8023271145688</t>
        </is>
      </c>
    </row>
    <row r="2588" ht="87" customHeight="1">
      <c r="A2588" s="2">
        <f>HYPERLINK("https://edmondsonsupply.com/collections/hvac/products/wiha-tools-32637-10-classic-auto-grip-v-jaw-tongue-and-groove-pliers", "https://edmondsonsupply.com/collections/hvac/products/wiha-tools-32637-10-classic-auto-grip-v-jaw-tongue-and-groove-pliers")</f>
        <v/>
      </c>
      <c r="B2588" s="2">
        <f>HYPERLINK("https://edmondsonsupply.com/products/wiha-tools-32637-10-classic-auto-grip-v-jaw-tongue-and-groove-pliers", "https://edmondsonsupply.com/products/wiha-tools-32637-10-classic-auto-grip-v-jaw-tongue-and-groove-pliers")</f>
        <v/>
      </c>
      <c r="C2588" t="inlineStr">
        <is>
          <t>Wiha Tools 32637 10" Classic Auto Grip V-Jaw Tongue and Groove Pliers</t>
        </is>
      </c>
      <c r="D2588" t="inlineStr">
        <is>
          <t>Wiha 32637 Classic Auto Grip VJaw Tongue and Groove Pliers 10 inch</t>
        </is>
      </c>
      <c r="E2588" s="2">
        <f>HYPERLINK("https://www.amazon.com/Wiha-32637-Soft-Grip-Pliers/dp/B071RC1NQF/ref=sr_1_1?keywords=Wiha+Tools+32637+10%22+Classic+Auto+Grip+V-Jaw+Tongue+and+Groove+Pliers&amp;qid=1694734867&amp;sr=8-1", "https://www.amazon.com/Wiha-32637-Soft-Grip-Pliers/dp/B071RC1NQF/ref=sr_1_1?keywords=Wiha+Tools+32637+10%22+Classic+Auto+Grip+V-Jaw+Tongue+and+Groove+Pliers&amp;qid=1694734867&amp;sr=8-1")</f>
        <v/>
      </c>
      <c r="F2588" t="inlineStr">
        <is>
          <t>B071RC1NQF</t>
        </is>
      </c>
      <c r="G2588">
        <f>_xlfn.IMAGE("https://edmondsonsupply.com/cdn/shop/files/krcvtyutfbaylpzaktgv_1000x_5f7ebac0-73d8-45ce-9b51-48320764c450.webp?v=1690927748")</f>
        <v/>
      </c>
      <c r="H2588">
        <f>_xlfn.IMAGE("https://m.media-amazon.com/images/I/51JOKeL4Q+L._AC_UL320_.jpg")</f>
        <v/>
      </c>
      <c r="K2588" t="inlineStr">
        <is>
          <t>31.15</t>
        </is>
      </c>
      <c r="L2588" t="n">
        <v>29.98</v>
      </c>
      <c r="M2588" s="1" t="inlineStr">
        <is>
          <t>-3.76%</t>
        </is>
      </c>
      <c r="N2588" s="7" t="n">
        <v>354.95</v>
      </c>
      <c r="O2588" t="n">
        <v>4.4</v>
      </c>
      <c r="P2588" t="n">
        <v>35</v>
      </c>
      <c r="R2588" t="inlineStr">
        <is>
          <t>InStock</t>
        </is>
      </c>
      <c r="S2588" t="inlineStr">
        <is>
          <t>46.36</t>
        </is>
      </c>
      <c r="T2588" t="inlineStr">
        <is>
          <t>8023579066584</t>
        </is>
      </c>
    </row>
    <row r="2589" hidden="1" ht="15.75" customHeight="1">
      <c r="A2589" s="2">
        <f>HYPERLINK("https://edmondsonsupply.com/collections/hvac/products/milwaukee-2962p-22-m18-fuel%E2%84%A2-1-2-mid-torque-impact-wrench-w-pin-detent-kit", "https://edmondsonsupply.com/collections/hvac/products/milwaukee-2962p-22-m18-fuel%E2%84%A2-1-2-mid-torque-impact-wrench-w-pin-detent-kit")</f>
        <v/>
      </c>
      <c r="B2589" s="2">
        <f>HYPERLINK("https://edmondsonsupply.com/products/milwaukee-2962p-22-m18-fuel%e2%84%a2-1-2-mid-torque-impact-wrench-w-pin-detent-kit", "https://edmondsonsupply.com/products/milwaukee-2962p-22-m18-fuel%e2%84%a2-1-2-mid-torque-impact-wrench-w-pin-detent-kit")</f>
        <v/>
      </c>
      <c r="C2589" t="inlineStr">
        <is>
          <t>Milwaukee 2962P-22 M18 FUEL™ 1/2 " Mid-Torque Impact Wrench w/ Pin Detent Kit</t>
        </is>
      </c>
      <c r="D2589" t="inlineStr">
        <is>
          <t>Milwaukee Electric Tools 2861-22CX M18 Fuel 1/2" Mid-Torque Impact Wrench Auto Kit</t>
        </is>
      </c>
      <c r="E2589" s="2">
        <f>HYPERLINK("https://www.amazon.com/Milwaukee-Electric-Tools-2861-22CX-Mid-Torque/dp/B079BZKXJW/ref=sr_1_25?keywords=Milwaukee+2962P-22+M18+FUEL%E2%84%A2+1%2F2+%22+Mid-Torque+Impact+Wrench+w%2F+Pin+Detent+Kit&amp;qid=1694734877&amp;sr=8-25", "https://www.amazon.com/Milwaukee-Electric-Tools-2861-22CX-Mid-Torque/dp/B079BZKXJW/ref=sr_1_25?keywords=Milwaukee+2962P-22+M18+FUEL%E2%84%A2+1%2F2+%22+Mid-Torque+Impact+Wrench+w%2F+Pin+Detent+Kit&amp;qid=1694734877&amp;sr=8-25")</f>
        <v/>
      </c>
      <c r="F2589" t="inlineStr">
        <is>
          <t>B079BZKXJW</t>
        </is>
      </c>
      <c r="G2589">
        <f>_xludf.IMAGE("https://edmondsonsupply.com/cdn/shop/files/2962P-22_Kit_1.png?v=1690295413")</f>
        <v/>
      </c>
      <c r="H2589">
        <f>_xludf.IMAGE("https://m.media-amazon.com/images/I/815dAfXRzUL._AC_UL320_.jpg")</f>
        <v/>
      </c>
      <c r="K2589" t="inlineStr">
        <is>
          <t>459.0</t>
        </is>
      </c>
      <c r="L2589" t="n">
        <v>440.99</v>
      </c>
      <c r="M2589" s="1" t="inlineStr">
        <is>
          <t>-3.92%</t>
        </is>
      </c>
      <c r="N2589" s="1" t="n">
        <v>354.7</v>
      </c>
      <c r="O2589" t="n">
        <v>3.9</v>
      </c>
      <c r="P2589" t="n">
        <v>31</v>
      </c>
      <c r="R2589" t="inlineStr">
        <is>
          <t>InStock</t>
        </is>
      </c>
      <c r="S2589" t="inlineStr">
        <is>
          <t>896.0</t>
        </is>
      </c>
      <c r="T2589" t="inlineStr">
        <is>
          <t>8020489142488</t>
        </is>
      </c>
    </row>
    <row r="2590" ht="87" customHeight="1">
      <c r="A2590" s="2">
        <f>HYPERLINK("https://edmondsonsupply.com/collections/hvac/products/milwaukee-49-90-1900-hepa-filter", "https://edmondsonsupply.com/collections/hvac/products/milwaukee-49-90-1900-hepa-filter")</f>
        <v/>
      </c>
      <c r="B2590" s="2">
        <f>HYPERLINK("https://edmondsonsupply.com/products/milwaukee-49-90-1900-hepa-filter", "https://edmondsonsupply.com/products/milwaukee-49-90-1900-hepa-filter")</f>
        <v/>
      </c>
      <c r="C2590" t="inlineStr">
        <is>
          <t>Milwaukee 49-90-1900 HEPA Filter</t>
        </is>
      </c>
      <c r="D2590" t="inlineStr">
        <is>
          <t>2/4 Pcs Filter Kit-HEPA Wet Dry Compatible with For Milwaukee 49-90-1900 Vacuum Cleaner Accessories (2)</t>
        </is>
      </c>
      <c r="E2590" s="2">
        <f>HYPERLINK("https://www.amazon.com/Odashen-Compatible-Milwaukee-49-90-1900-Accessories/dp/B095HRLYB2/ref=sr_1_24?keywords=Milwaukee+49-90-1900+HEPA+Filter&amp;qid=1694734913&amp;sr=8-24", "https://www.amazon.com/Odashen-Compatible-Milwaukee-49-90-1900-Accessories/dp/B095HRLYB2/ref=sr_1_24?keywords=Milwaukee+49-90-1900+HEPA+Filter&amp;qid=1694734913&amp;sr=8-24")</f>
        <v/>
      </c>
      <c r="F2590" t="inlineStr">
        <is>
          <t>B095HRLYB2</t>
        </is>
      </c>
      <c r="G2590">
        <f>_xlfn.IMAGE("https://edmondsonsupply.com/cdn/shop/files/49-90-1900_1.png?v=1686234774")</f>
        <v/>
      </c>
      <c r="H2590">
        <f>_xlfn.IMAGE("https://m.media-amazon.com/images/I/61VSgz6Ti1S._AC_UL320_.jpg")</f>
        <v/>
      </c>
      <c r="K2590" t="inlineStr">
        <is>
          <t>24.98</t>
        </is>
      </c>
      <c r="L2590" t="n">
        <v>23.99</v>
      </c>
      <c r="M2590" s="1" t="inlineStr">
        <is>
          <t>-3.96%</t>
        </is>
      </c>
      <c r="N2590" s="7" t="n">
        <v>354.48</v>
      </c>
      <c r="O2590" t="n">
        <v>5</v>
      </c>
      <c r="P2590" t="n">
        <v>1</v>
      </c>
      <c r="R2590" t="inlineStr">
        <is>
          <t>InStock</t>
        </is>
      </c>
      <c r="S2590" t="inlineStr">
        <is>
          <t>40.0</t>
        </is>
      </c>
      <c r="T2590" t="inlineStr">
        <is>
          <t>8002625306840</t>
        </is>
      </c>
    </row>
    <row r="2591" ht="87" customHeight="1">
      <c r="A2591" s="2">
        <f>HYPERLINK("https://edmondsonsupply.com/collections/hvac/products/milwaukee-49-90-1900-hepa-filter", "https://edmondsonsupply.com/collections/hvac/products/milwaukee-49-90-1900-hepa-filter")</f>
        <v/>
      </c>
      <c r="B2591" s="2">
        <f>HYPERLINK("https://edmondsonsupply.com/products/milwaukee-49-90-1900-hepa-filter", "https://edmondsonsupply.com/products/milwaukee-49-90-1900-hepa-filter")</f>
        <v/>
      </c>
      <c r="C2591" t="inlineStr">
        <is>
          <t>Milwaukee 49-90-1900 HEPA Filter</t>
        </is>
      </c>
      <c r="D2591" t="inlineStr">
        <is>
          <t>Fette Filter - HEPA Dry Filter Compatible with Milwaukee 49-90-0160, Designed for 0882-20 M18 Compact Vacuum. Pack of 2</t>
        </is>
      </c>
      <c r="E2591" s="2">
        <f>HYPERLINK("https://www.amazon.com/Fette-Filter-Compatible-Milwaukee-49-90-0160/dp/B085CKKRR2/ref=sr_1_18?keywords=Milwaukee+49-90-1900+HEPA+Filter&amp;qid=1694734913&amp;sr=8-18", "https://www.amazon.com/Fette-Filter-Compatible-Milwaukee-49-90-0160/dp/B085CKKRR2/ref=sr_1_18?keywords=Milwaukee+49-90-1900+HEPA+Filter&amp;qid=1694734913&amp;sr=8-18")</f>
        <v/>
      </c>
      <c r="F2591" t="inlineStr">
        <is>
          <t>B085CKKRR2</t>
        </is>
      </c>
      <c r="G2591">
        <f>_xlfn.IMAGE("https://edmondsonsupply.com/cdn/shop/files/49-90-1900_1.png?v=1686234774")</f>
        <v/>
      </c>
      <c r="H2591">
        <f>_xlfn.IMAGE("https://m.media-amazon.com/images/I/81j1zpuDH2L._AC_UL320_.jpg")</f>
        <v/>
      </c>
      <c r="K2591" t="inlineStr">
        <is>
          <t>24.98</t>
        </is>
      </c>
      <c r="L2591" t="n">
        <v>23.99</v>
      </c>
      <c r="M2591" s="1" t="inlineStr">
        <is>
          <t>-3.96%</t>
        </is>
      </c>
      <c r="N2591" s="7" t="n">
        <v>352.14</v>
      </c>
      <c r="O2591" t="n">
        <v>4.6</v>
      </c>
      <c r="P2591" t="n">
        <v>123</v>
      </c>
      <c r="R2591" t="inlineStr">
        <is>
          <t>InStock</t>
        </is>
      </c>
      <c r="S2591" t="inlineStr">
        <is>
          <t>40.0</t>
        </is>
      </c>
      <c r="T2591" t="inlineStr">
        <is>
          <t>8002625306840</t>
        </is>
      </c>
    </row>
    <row r="2592" ht="87" customHeight="1">
      <c r="A2592" s="2">
        <f>HYPERLINK("https://edmondsonsupply.com/collections/hvac/products/hilmor-1839027-tb1412-tri-tube-benders-1-4-3-8-1-2", "https://edmondsonsupply.com/collections/hvac/products/hilmor-1839027-tb1412-tri-tube-benders-1-4-3-8-1-2")</f>
        <v/>
      </c>
      <c r="B2592" s="2">
        <f>HYPERLINK("https://edmondsonsupply.com/products/hilmor-1839027-tb1412-tri-tube-benders-1-4-3-8-1-2", "https://edmondsonsupply.com/products/hilmor-1839027-tb1412-tri-tube-benders-1-4-3-8-1-2")</f>
        <v/>
      </c>
      <c r="C2592" t="inlineStr">
        <is>
          <t>Hilmor 1839027 Tri-Tube Bender - 1/4", 3/8", 1/2"</t>
        </is>
      </c>
      <c r="D2592" t="inlineStr">
        <is>
          <t>Super Stars Tube Bender 1/4", 3/8", 1/2" 3-in-1 Tubing Bender 180° HVAC Copper Aluminum Tubes Bending Tool for AC Repair</t>
        </is>
      </c>
      <c r="E2592" s="2">
        <f>HYPERLINK("https://www.amazon.com/Super-Stars-Bender-Aluminum-Bending/dp/B0B8S9CYNX/ref=sr_1_9?keywords=Hilmor+1839027+Tri-Tube+Bender+-+1%2F4%22%2C+3%2F8%22%2C+1%2F2%22&amp;qid=1694734830&amp;sr=8-9", "https://www.amazon.com/Super-Stars-Bender-Aluminum-Bending/dp/B0B8S9CYNX/ref=sr_1_9?keywords=Hilmor+1839027+Tri-Tube+Bender+-+1%2F4%22%2C+3%2F8%22%2C+1%2F2%22&amp;qid=1694734830&amp;sr=8-9")</f>
        <v/>
      </c>
      <c r="F2592" t="inlineStr">
        <is>
          <t>B0B8S9CYNX</t>
        </is>
      </c>
      <c r="G2592">
        <f>_xlfn.IMAGE("https://edmondsonsupply.com/cdn/shop/products/Tri-Tube_Bender2-green_glow-735x480.png?v=1643678213")</f>
        <v/>
      </c>
      <c r="H2592">
        <f>_xlfn.IMAGE("https://m.media-amazon.com/images/I/81VaplGA8NL._AC_UL320_.jpg")</f>
        <v/>
      </c>
      <c r="K2592" t="inlineStr">
        <is>
          <t>49.99</t>
        </is>
      </c>
      <c r="L2592" t="n">
        <v>47.99</v>
      </c>
      <c r="M2592" s="1" t="inlineStr">
        <is>
          <t>-4.00%</t>
        </is>
      </c>
      <c r="N2592" s="7" t="n">
        <v>351.25</v>
      </c>
      <c r="O2592" t="n">
        <v>4.2</v>
      </c>
      <c r="P2592" t="n">
        <v>37</v>
      </c>
      <c r="R2592" t="inlineStr">
        <is>
          <t>InStock</t>
        </is>
      </c>
      <c r="S2592" t="inlineStr">
        <is>
          <t>172.6</t>
        </is>
      </c>
      <c r="T2592" t="inlineStr">
        <is>
          <t>2109289791588</t>
        </is>
      </c>
    </row>
    <row r="2593" hidden="1" ht="15.75" customHeight="1">
      <c r="A2593" s="2">
        <f>HYPERLINK("https://edmondsonsupply.com/collections/hvac/products/packard-prmj270-motor-start-capacitor-270-324-mfd-330-vac", "https://edmondsonsupply.com/collections/hvac/products/packard-prmj270-motor-start-capacitor-270-324-mfd-330-vac")</f>
        <v/>
      </c>
      <c r="B2593" s="2">
        <f>HYPERLINK("https://edmondsonsupply.com/products/packard-prmj270-motor-start-capacitor-270-324-mfd-330-vac", "https://edmondsonsupply.com/products/packard-prmj270-motor-start-capacitor-270-324-mfd-330-vac")</f>
        <v/>
      </c>
      <c r="C2593" t="inlineStr">
        <is>
          <t>Packard PRMJ270 Motor Start Capacitor 270-324 MFD 330 VAC</t>
        </is>
      </c>
      <c r="D2593" t="inlineStr">
        <is>
          <t>PMJ270 - Packard Upgraded Replacement Motor Start Capacitor 270-324 MFD 110-125 Volt VAC</t>
        </is>
      </c>
      <c r="E2593" s="2">
        <f>HYPERLINK("https://www.amazon.com/PMJ270-Packard-Upgraded-Replacement-Capacitor/dp/B0773VP7SQ/ref=sr_1_3?keywords=Packard+PRMJ270+Motor+Start+Capacitor+270-324+MFD+330+VAC&amp;qid=1694734674&amp;sr=8-3", "https://www.amazon.com/PMJ270-Packard-Upgraded-Replacement-Capacitor/dp/B0773VP7SQ/ref=sr_1_3?keywords=Packard+PRMJ270+Motor+Start+Capacitor+270-324+MFD+330+VAC&amp;qid=1694734674&amp;sr=8-3")</f>
        <v/>
      </c>
      <c r="F2593" t="inlineStr">
        <is>
          <t>B0773VP7SQ</t>
        </is>
      </c>
      <c r="G2593">
        <f>_xludf.IMAGE("https://edmondsonsupply.com/cdn/shop/products/PRMJ270-2.jpg?v=1633030164")</f>
        <v/>
      </c>
      <c r="H2593">
        <f>_xludf.IMAGE("https://m.media-amazon.com/images/I/41fqQrQgJaL._AC_UY218_.jpg")</f>
        <v/>
      </c>
      <c r="K2593" t="inlineStr">
        <is>
          <t>10.37</t>
        </is>
      </c>
      <c r="L2593" t="n">
        <v>9.94</v>
      </c>
      <c r="M2593" s="1" t="inlineStr">
        <is>
          <t>-4.15%</t>
        </is>
      </c>
      <c r="N2593" s="1" t="n">
        <v>350.79</v>
      </c>
      <c r="O2593" t="n">
        <v>4.3</v>
      </c>
      <c r="P2593" t="n">
        <v>29</v>
      </c>
      <c r="R2593" t="inlineStr">
        <is>
          <t>InStock</t>
        </is>
      </c>
      <c r="S2593" t="inlineStr">
        <is>
          <t>undefined</t>
        </is>
      </c>
      <c r="T2593" t="inlineStr">
        <is>
          <t>4298743185508</t>
        </is>
      </c>
    </row>
    <row r="2594" ht="87" customHeight="1">
      <c r="A2594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594" s="2">
        <f>HYPERLINK("https://edmondsonsupply.com/products/klein-tools-11053-klein-kurve%c2%ae-wire-stripper-cutter", "https://edmondsonsupply.com/products/klein-tools-11053-klein-kurve%c2%ae-wire-stripper-cutter")</f>
        <v/>
      </c>
      <c r="C2594" t="inlineStr">
        <is>
          <t>Klein Tools 11053 Klein-Kurve® Wire Stripper/Cutter</t>
        </is>
      </c>
      <c r="D2594" t="inlineStr">
        <is>
          <t>Klein Tools K11095 Klein-Kurve Wire Stripper and Cutter, for 8-18 AWG Solid and 10-20 AWG Stranded Wire,Blue/White</t>
        </is>
      </c>
      <c r="E2594" s="2">
        <f>HYPERLINK("https://www.amazon.com/Klein-Tools-K11095-Klein-Kurve-Stripper/dp/B08TQ83P2C/ref=sr_1_6?keywords=Klein+Tools+11053+Klein-Kurve%C2%AE+Wire+Stripper%2FCutter&amp;qid=1694734664&amp;sr=8-6", "https://www.amazon.com/Klein-Tools-K11095-Klein-Kurve-Stripper/dp/B08TQ83P2C/ref=sr_1_6?keywords=Klein+Tools+11053+Klein-Kurve%C2%AE+Wire+Stripper%2FCutter&amp;qid=1694734664&amp;sr=8-6")</f>
        <v/>
      </c>
      <c r="F2594" t="inlineStr">
        <is>
          <t>B08TQ83P2C</t>
        </is>
      </c>
      <c r="G2594">
        <f>_xlfn.IMAGE("https://edmondsonsupply.com/cdn/shop/products/11053.jpg?v=1633030511")</f>
        <v/>
      </c>
      <c r="H2594">
        <f>_xlfn.IMAGE("https://m.media-amazon.com/images/I/5180XMjuiIL._AC_UL320_.jpg")</f>
        <v/>
      </c>
      <c r="K2594" t="inlineStr">
        <is>
          <t>20.97</t>
        </is>
      </c>
      <c r="L2594" t="n">
        <v>20.09</v>
      </c>
      <c r="M2594" s="1" t="inlineStr">
        <is>
          <t>-4.20%</t>
        </is>
      </c>
      <c r="N2594" s="7" t="n">
        <v>349.99</v>
      </c>
      <c r="O2594" t="n">
        <v>4.8</v>
      </c>
      <c r="P2594" t="n">
        <v>438</v>
      </c>
      <c r="R2594" t="inlineStr">
        <is>
          <t>InStock</t>
        </is>
      </c>
      <c r="S2594" t="inlineStr">
        <is>
          <t>31.76</t>
        </is>
      </c>
      <c r="T2594" t="inlineStr">
        <is>
          <t>5387171299496</t>
        </is>
      </c>
    </row>
    <row r="2595" ht="87" customHeight="1">
      <c r="A2595" s="2">
        <f>HYPERLINK("https://edmondsonsupply.com/collections/hvac/products/milwaukee-2111-21-475-lumen-usb-rechargeable-hard-hat-headlamp", "https://edmondsonsupply.com/collections/hvac/products/milwaukee-2111-21-475-lumen-usb-rechargeable-hard-hat-headlamp")</f>
        <v/>
      </c>
      <c r="B2595" s="2">
        <f>HYPERLINK("https://edmondsonsupply.com/products/milwaukee-2111-21-475-lumen-usb-rechargeable-hard-hat-headlamp", "https://edmondsonsupply.com/products/milwaukee-2111-21-475-lumen-usb-rechargeable-hard-hat-headlamp")</f>
        <v/>
      </c>
      <c r="C2595" t="inlineStr">
        <is>
          <t>Milwaukee 2111-21 475-Lumen USB Rechargeable Hard Hat Headlamp</t>
        </is>
      </c>
      <c r="D2595" t="inlineStr">
        <is>
          <t>Milwaukee 600 Lumens LED USB Rechargeable Low-Profile Hard Hat Headlamp</t>
        </is>
      </c>
      <c r="E2595" s="2">
        <f>HYPERLINK("https://www.amazon.com/Milwaukee-Lumens-Rechargeable-Low-Profile-Headlamp/dp/B087QKMN4H/ref=sr_1_4?keywords=Milwaukee+2111-21+475-Lumen+USB+Rechargeable+Hard+Hat+Headlamp&amp;qid=1694734818&amp;sr=8-4", "https://www.amazon.com/Milwaukee-Lumens-Rechargeable-Low-Profile-Headlamp/dp/B087QKMN4H/ref=sr_1_4?keywords=Milwaukee+2111-21+475-Lumen+USB+Rechargeable+Hard+Hat+Headlamp&amp;qid=1694734818&amp;sr=8-4")</f>
        <v/>
      </c>
      <c r="F2595" t="inlineStr">
        <is>
          <t>B087QKMN4H</t>
        </is>
      </c>
      <c r="G2595">
        <f>_xlfn.IMAGE("https://edmondsonsupply.com/cdn/shop/products/2111-21_3_Overlay_1.png?v=1587142535")</f>
        <v/>
      </c>
      <c r="H2595">
        <f>_xlfn.IMAGE("https://m.media-amazon.com/images/I/41GUSVLEDLL._AC_UL320_.jpg")</f>
        <v/>
      </c>
      <c r="K2595" t="inlineStr">
        <is>
          <t>69.97</t>
        </is>
      </c>
      <c r="L2595" t="n">
        <v>67</v>
      </c>
      <c r="M2595" s="1" t="inlineStr">
        <is>
          <t>-4.24%</t>
        </is>
      </c>
      <c r="N2595" s="7" t="n">
        <v>349.99</v>
      </c>
      <c r="O2595" t="n">
        <v>4.5</v>
      </c>
      <c r="P2595" t="n">
        <v>227</v>
      </c>
      <c r="R2595" t="inlineStr">
        <is>
          <t>OutOfStock</t>
        </is>
      </c>
      <c r="S2595" t="inlineStr">
        <is>
          <t>106.0</t>
        </is>
      </c>
      <c r="T2595" t="inlineStr">
        <is>
          <t>4334127775844</t>
        </is>
      </c>
    </row>
    <row r="2596" ht="87" customHeight="1">
      <c r="A2596" s="2">
        <f>HYPERLINK("https://edmondsonsupply.com/collections/hvac/products/white-rodgers-24a34-6-24v-electric-heat-sequencer-2-dpst", "https://edmondsonsupply.com/collections/hvac/products/white-rodgers-24a34-6-24v-electric-heat-sequencer-2-dpst")</f>
        <v/>
      </c>
      <c r="B2596" s="2">
        <f>HYPERLINK("https://edmondsonsupply.com/products/white-rodgers-24a34-6-24v-electric-heat-sequencer-2-dpst", "https://edmondsonsupply.com/products/white-rodgers-24a34-6-24v-electric-heat-sequencer-2-dpst")</f>
        <v/>
      </c>
      <c r="C2596" t="inlineStr">
        <is>
          <t>White-Rodgers 24A34-6 24V Electric Heat Sequencer, 2 DPST</t>
        </is>
      </c>
      <c r="D2596" t="inlineStr">
        <is>
          <t>White-Rodgers 24A34-6 Electric Heat Relay, 4 Switch</t>
        </is>
      </c>
      <c r="E2596" s="2">
        <f>HYPERLINK("https://www.amazon.com/White-Rodgers-24A34-6-Electric-Relay-Switch/dp/B000CD8QC4/ref=sr_1_23?keywords=White-Rodgers+24A34-6+24V+Electric+Heat+Sequencer%2C+2+DPST&amp;qid=1694734618&amp;sr=8-23", "https://www.amazon.com/White-Rodgers-24A34-6-Electric-Relay-Switch/dp/B000CD8QC4/ref=sr_1_23?keywords=White-Rodgers+24A34-6+24V+Electric+Heat+Sequencer%2C+2+DPST&amp;qid=1694734618&amp;sr=8-23")</f>
        <v/>
      </c>
      <c r="F2596" t="inlineStr">
        <is>
          <t>B000CD8QC4</t>
        </is>
      </c>
      <c r="G2596">
        <f>_xlfn.IMAGE("https://edmondsonsupply.com/cdn/shop/products/24A34-6.jpg?v=1633030752")</f>
        <v/>
      </c>
      <c r="H2596">
        <f>_xlfn.IMAGE("https://m.media-amazon.com/images/I/31wExGU7hDL._AC_UL320_.jpg")</f>
        <v/>
      </c>
      <c r="K2596" t="inlineStr">
        <is>
          <t>23.5</t>
        </is>
      </c>
      <c r="L2596" t="n">
        <v>22.5</v>
      </c>
      <c r="M2596" s="1" t="inlineStr">
        <is>
          <t>-4.26%</t>
        </is>
      </c>
      <c r="N2596" s="7" t="n">
        <v>348.09</v>
      </c>
      <c r="O2596" t="n">
        <v>5</v>
      </c>
      <c r="P2596" t="n">
        <v>4</v>
      </c>
      <c r="R2596" t="inlineStr">
        <is>
          <t>InStock</t>
        </is>
      </c>
      <c r="S2596" t="inlineStr">
        <is>
          <t>58.43</t>
        </is>
      </c>
      <c r="T2596" t="inlineStr">
        <is>
          <t>5896305213608</t>
        </is>
      </c>
    </row>
    <row r="2597" ht="87" customHeight="1">
      <c r="A2597" s="2">
        <f>HYPERLINK("https://edmondsonsupply.com/collections/hvac/products/nu-calgon-4900-35-iwave-m-mini-flexible-air-ionization-system", "https://edmondsonsupply.com/collections/hvac/products/nu-calgon-4900-35-iwave-m-mini-flexible-air-ionization-system")</f>
        <v/>
      </c>
      <c r="B2597" s="2">
        <f>HYPERLINK("https://edmondsonsupply.com/products/nu-calgon-4900-35-iwave-m-mini-flexible-air-ionization-system", "https://edmondsonsupply.com/products/nu-calgon-4900-35-iwave-m-mini-flexible-air-ionization-system")</f>
        <v/>
      </c>
      <c r="C2597" t="inlineStr">
        <is>
          <t>Nu-Calgon 4900-35 iWave-M Mini Flexible Air Ionization System</t>
        </is>
      </c>
      <c r="D2597" t="inlineStr">
        <is>
          <t>Nu-Calgon 4900-35 - iWave-M Flexible ION Generator for Ductless &amp; Other HVAC Systems</t>
        </is>
      </c>
      <c r="E2597" s="2">
        <f>HYPERLINK("https://www.amazon.com/Nu-Calgon-4900-35-Flexible-Purifier-Ductless/dp/B07QFSDS8T/ref=sr_1_1?keywords=Nu-Calgon+4900-35+iWave-M+Mini+Flexible+Air+Ionization+System&amp;qid=1694734903&amp;sr=8-1", "https://www.amazon.com/Nu-Calgon-4900-35-Flexible-Purifier-Ductless/dp/B07QFSDS8T/ref=sr_1_1?keywords=Nu-Calgon+4900-35+iWave-M+Mini+Flexible+Air+Ionization+System&amp;qid=1694734903&amp;sr=8-1")</f>
        <v/>
      </c>
      <c r="F2597" t="inlineStr">
        <is>
          <t>B07QFSDS8T</t>
        </is>
      </c>
      <c r="G2597">
        <f>_xlfn.IMAGE("https://edmondsonsupply.com/cdn/shop/files/4900-35.jpg?v=1687445075")</f>
        <v/>
      </c>
      <c r="H2597">
        <f>_xlfn.IMAGE("https://m.media-amazon.com/images/I/41gTvurwdHL._AC_UL320_.jpg")</f>
        <v/>
      </c>
      <c r="K2597" t="inlineStr">
        <is>
          <t>239.22</t>
        </is>
      </c>
      <c r="L2597" t="n">
        <v>228.98</v>
      </c>
      <c r="M2597" s="1" t="inlineStr">
        <is>
          <t>-4.28%</t>
        </is>
      </c>
      <c r="N2597" s="7" t="n">
        <v>346.42</v>
      </c>
      <c r="O2597" t="n">
        <v>4.3</v>
      </c>
      <c r="P2597" t="n">
        <v>18</v>
      </c>
      <c r="R2597" t="inlineStr">
        <is>
          <t>InStock</t>
        </is>
      </c>
      <c r="S2597" t="inlineStr">
        <is>
          <t>367.86</t>
        </is>
      </c>
      <c r="T2597" t="inlineStr">
        <is>
          <t>8007551811800</t>
        </is>
      </c>
    </row>
    <row r="2598" hidden="1" ht="15.75" customHeight="1">
      <c r="A2598" s="2">
        <f>HYPERLINK("https://edmondsonsupply.com/collections/hvac/products/ritchie-yellow-jacket%C2%AE-69020-omni%E2%84%A2-digital-vacuum-gauge", "https://edmondsonsupply.com/collections/hvac/products/ritchie-yellow-jacket%C2%AE-69020-omni%E2%84%A2-digital-vacuum-gauge")</f>
        <v/>
      </c>
      <c r="B2598" s="2">
        <f>HYPERLINK("https://edmondsonsupply.com/products/ritchie-yellow-jacket%c2%ae-69020-omni%e2%84%a2-digital-vacuum-gauge", "https://edmondsonsupply.com/products/ritchie-yellow-jacket%c2%ae-69020-omni%e2%84%a2-digital-vacuum-gauge")</f>
        <v/>
      </c>
      <c r="C2598" t="inlineStr">
        <is>
          <t>Yellow Jacket® 69020 Omni™ Digital Vacuum Gauge</t>
        </is>
      </c>
      <c r="D2598" t="inlineStr">
        <is>
          <t>YELLOW JACKET 69020 Omni Digital Vacuum Gauge with 1/4" Coupler</t>
        </is>
      </c>
      <c r="E2598" s="2">
        <f>HYPERLINK("https://www.amazon.com/YELLOW-JACKET-69020-Digital-Coupler/dp/B071X9DG33/ref=sr_1_1?keywords=Yellow+Jacket%C2%AE+69020+Omni%E2%84%A2+Digital+Vacuum+Gauge&amp;qid=1694734838&amp;sr=8-1", "https://www.amazon.com/YELLOW-JACKET-69020-Digital-Coupler/dp/B071X9DG33/ref=sr_1_1?keywords=Yellow+Jacket%C2%AE+69020+Omni%E2%84%A2+Digital+Vacuum+Gauge&amp;qid=1694734838&amp;sr=8-1")</f>
        <v/>
      </c>
      <c r="F2598" t="inlineStr">
        <is>
          <t>B071X9DG33</t>
        </is>
      </c>
      <c r="G2598">
        <f>_xludf.IMAGE("https://edmondsonsupply.com/cdn/shop/products/s-l1600_f7bcf09b-7a9e-4347-bb97-7b5bae87ef1c.jpg?v=1605306126")</f>
        <v/>
      </c>
      <c r="H2598">
        <f>_xludf.IMAGE("https://m.media-amazon.com/images/I/61LD0nbVGuL._AC_UY218_.jpg")</f>
        <v/>
      </c>
      <c r="K2598" t="inlineStr">
        <is>
          <t>203.32</t>
        </is>
      </c>
      <c r="L2598" t="n">
        <v>194.51</v>
      </c>
      <c r="M2598" s="1" t="inlineStr">
        <is>
          <t>-4.33%</t>
        </is>
      </c>
      <c r="N2598" s="1" t="n">
        <v>346.42</v>
      </c>
      <c r="O2598" t="n">
        <v>3.8</v>
      </c>
      <c r="P2598" t="n">
        <v>263</v>
      </c>
      <c r="R2598" t="inlineStr">
        <is>
          <t>InStock</t>
        </is>
      </c>
      <c r="S2598" t="inlineStr">
        <is>
          <t>undefined</t>
        </is>
      </c>
      <c r="T2598" t="inlineStr">
        <is>
          <t>2443198922852</t>
        </is>
      </c>
    </row>
    <row r="2599" ht="87" customHeight="1">
      <c r="A2599" s="2">
        <f>HYPERLINK("https://edmondsonsupply.com/collections/hvac/products/klein-tools-et10-magnetic-digital-pocket-thermometer", "https://edmondsonsupply.com/collections/hvac/products/klein-tools-et10-magnetic-digital-pocket-thermometer")</f>
        <v/>
      </c>
      <c r="B2599" s="2">
        <f>HYPERLINK("https://edmondsonsupply.com/products/klein-tools-et10-magnetic-digital-pocket-thermometer", "https://edmondsonsupply.com/products/klein-tools-et10-magnetic-digital-pocket-thermometer")</f>
        <v/>
      </c>
      <c r="C2599" t="inlineStr">
        <is>
          <t>Klein Tools ET10 Magnetic Digital Pocket Thermometer</t>
        </is>
      </c>
      <c r="D2599" t="inlineStr">
        <is>
          <t>Klein Tools ET10 Magnetic Digital Pocket Thermometer</t>
        </is>
      </c>
      <c r="E2599" s="2">
        <f>HYPERLINK("https://www.amazon.com/Magnetic-Thermometer-Klein-Tools-ET10/dp/B077ZB71LK/ref=sr_1_1?keywords=Klein+Tools+ET10+Magnetic+Digital+Pocket+Thermometer&amp;qid=1694734726&amp;sr=8-1", "https://www.amazon.com/Magnetic-Thermometer-Klein-Tools-ET10/dp/B077ZB71LK/ref=sr_1_1?keywords=Klein+Tools+ET10+Magnetic+Digital+Pocket+Thermometer&amp;qid=1694734726&amp;sr=8-1")</f>
        <v/>
      </c>
      <c r="F2599" t="inlineStr">
        <is>
          <t>B077ZB71LK</t>
        </is>
      </c>
      <c r="G2599">
        <f>_xlfn.IMAGE("https://edmondsonsupply.com/cdn/shop/products/et10.jpg?v=1587142916")</f>
        <v/>
      </c>
      <c r="H2599">
        <f>_xlfn.IMAGE("https://m.media-amazon.com/images/I/51XlCaEuClL._AC_UY218_.jpg")</f>
        <v/>
      </c>
      <c r="K2599" t="inlineStr">
        <is>
          <t>22.99</t>
        </is>
      </c>
      <c r="L2599" t="n">
        <v>21.99</v>
      </c>
      <c r="M2599" s="1" t="inlineStr">
        <is>
          <t>-4.35%</t>
        </is>
      </c>
      <c r="N2599" s="7" t="n">
        <v>343.12</v>
      </c>
      <c r="O2599" t="n">
        <v>4.5</v>
      </c>
      <c r="P2599" t="n">
        <v>2662</v>
      </c>
      <c r="R2599" t="inlineStr">
        <is>
          <t>InStock</t>
        </is>
      </c>
      <c r="S2599" t="inlineStr">
        <is>
          <t>34.08</t>
        </is>
      </c>
      <c r="T2599" t="inlineStr">
        <is>
          <t>3690025943140</t>
        </is>
      </c>
    </row>
    <row r="2600" hidden="1" ht="15.75" customHeight="1">
      <c r="A2600" s="2">
        <f>HYPERLINK("https://edmondsonsupply.com/collections/hvac/products/packard-prmj216-motor-start-capacitor-216-259-mfd-330-vac", "https://edmondsonsupply.com/collections/hvac/products/packard-prmj216-motor-start-capacitor-216-259-mfd-330-vac")</f>
        <v/>
      </c>
      <c r="B2600" s="2">
        <f>HYPERLINK("https://edmondsonsupply.com/products/packard-prmj216-motor-start-capacitor-216-259-mfd-330-vac", "https://edmondsonsupply.com/products/packard-prmj216-motor-start-capacitor-216-259-mfd-330-vac")</f>
        <v/>
      </c>
      <c r="C2600" t="inlineStr">
        <is>
          <t>Packard PRMJ216 Motor Start Capacitor 216-259 MFD 330 VAC</t>
        </is>
      </c>
      <c r="D2600" t="inlineStr">
        <is>
          <t>Packard PMJ216 Motor Start Capacitor. 216-259 MFD UF / 110-125 VAC</t>
        </is>
      </c>
      <c r="E2600" s="2">
        <f>HYPERLINK("https://www.amazon.com/Packard-PMJ216-Capacitor-216-259-110-125v/dp/B0054JJ51C/ref=sr_1_10?keywords=Packard+PRMJ216+Motor+Start+Capacitor+216-259+MFD+330+VAC&amp;qid=1694734827&amp;sr=8-10", "https://www.amazon.com/Packard-PMJ216-Capacitor-216-259-110-125v/dp/B0054JJ51C/ref=sr_1_10?keywords=Packard+PRMJ216+Motor+Start+Capacitor+216-259+MFD+330+VAC&amp;qid=1694734827&amp;sr=8-10")</f>
        <v/>
      </c>
      <c r="F2600" t="inlineStr">
        <is>
          <t>B0054JJ51C</t>
        </is>
      </c>
      <c r="G2600">
        <f>_xludf.IMAGE("https://edmondsonsupply.com/cdn/shop/products/PRMJ216-2.jpg?v=1633030106")</f>
        <v/>
      </c>
      <c r="H2600">
        <f>_xludf.IMAGE("https://m.media-amazon.com/images/I/81AeXmtCESL._AC_UY218_.jpg")</f>
        <v/>
      </c>
      <c r="K2600" t="inlineStr">
        <is>
          <t>8.94</t>
        </is>
      </c>
      <c r="L2600" t="n">
        <v>8.550000000000001</v>
      </c>
      <c r="M2600" s="1" t="inlineStr">
        <is>
          <t>-4.36%</t>
        </is>
      </c>
      <c r="N2600" s="1" t="n">
        <v>342.76</v>
      </c>
      <c r="O2600" t="n">
        <v>4.4</v>
      </c>
      <c r="P2600" t="n">
        <v>105</v>
      </c>
      <c r="R2600" t="inlineStr">
        <is>
          <t>InStock</t>
        </is>
      </c>
      <c r="S2600" t="inlineStr">
        <is>
          <t>undefined</t>
        </is>
      </c>
      <c r="T2600" t="inlineStr">
        <is>
          <t>3595512217700</t>
        </is>
      </c>
    </row>
    <row r="2601" ht="87" customHeight="1">
      <c r="A2601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601" s="2">
        <f>HYPERLINK("https://edmondsonsupply.com/products/klein-tools-65064-2-in-1-hex-head-screwdriver-1-4-5-16", "https://edmondsonsupply.com/products/klein-tools-65064-2-in-1-hex-head-screwdriver-1-4-5-16")</f>
        <v/>
      </c>
      <c r="C2601" t="inlineStr">
        <is>
          <t>Klein Tools 65064 2-in-1 Nut Driver, Hex Head, 1/4-Inch and 5/16-Inch</t>
        </is>
      </c>
      <c r="D2601" t="inlineStr">
        <is>
          <t>Klein Tools 65064 Hex Head 2-in-1 Nut Driver, 1/4-Inch and 5/16-Inch</t>
        </is>
      </c>
      <c r="E2601" s="2">
        <f>HYPERLINK("https://www.amazon.com/Driver-16-Inch-Klein-Tools-65064/dp/B01N2S3D09/ref=sr_1_1?keywords=Klein+Tools+65064+2-in-1+Nut+Driver%2C+Hex+Head%2C+1%2F4-Inch+and+5%2F16-Inch&amp;qid=1694734734&amp;sr=8-1", "https://www.amazon.com/Driver-16-Inch-Klein-Tools-65064/dp/B01N2S3D09/ref=sr_1_1?keywords=Klein+Tools+65064+2-in-1+Nut+Driver%2C+Hex+Head%2C+1%2F4-Inch+and+5%2F16-Inch&amp;qid=1694734734&amp;sr=8-1")</f>
        <v/>
      </c>
      <c r="F2601" t="inlineStr">
        <is>
          <t>B01N2S3D09</t>
        </is>
      </c>
      <c r="G2601">
        <f>_xlfn.IMAGE("https://edmondsonsupply.com/cdn/shop/products/65064.jpg?v=1587147719")</f>
        <v/>
      </c>
      <c r="H2601">
        <f>_xlfn.IMAGE("https://m.media-amazon.com/images/I/51WqGb8KzpL._AC_UL320_.jpg")</f>
        <v/>
      </c>
      <c r="K2601" t="inlineStr">
        <is>
          <t>15.97</t>
        </is>
      </c>
      <c r="L2601" t="n">
        <v>15.27</v>
      </c>
      <c r="M2601" s="1" t="inlineStr">
        <is>
          <t>-4.38%</t>
        </is>
      </c>
      <c r="N2601" s="7" t="n">
        <v>342.02</v>
      </c>
      <c r="O2601" t="n">
        <v>4.8</v>
      </c>
      <c r="P2601" t="n">
        <v>1404</v>
      </c>
      <c r="R2601" t="inlineStr">
        <is>
          <t>InStock</t>
        </is>
      </c>
      <c r="S2601" t="inlineStr">
        <is>
          <t>23.36</t>
        </is>
      </c>
      <c r="T2601" t="inlineStr">
        <is>
          <t>1707342889060</t>
        </is>
      </c>
    </row>
    <row r="2602" ht="87" customHeight="1">
      <c r="A2602" s="2">
        <f>HYPERLINK("https://edmondsonsupply.com/collections/hvac/products/western-enterprises-vn-650-hvac-nitrogen-purging-regulator-flowmeter", "https://edmondsonsupply.com/collections/hvac/products/western-enterprises-vn-650-hvac-nitrogen-purging-regulator-flowmeter")</f>
        <v/>
      </c>
      <c r="B2602" s="2">
        <f>HYPERLINK("https://edmondsonsupply.com/products/western-enterprises-vn-650-hvac-nitrogen-purging-regulator-flowmeter", "https://edmondsonsupply.com/products/western-enterprises-vn-650-hvac-nitrogen-purging-regulator-flowmeter")</f>
        <v/>
      </c>
      <c r="C2602" t="inlineStr">
        <is>
          <t>Western Enterprises VN-650 HVAC Nitrogen Purging Regulator/Flowmeter</t>
        </is>
      </c>
      <c r="D2602" t="inlineStr">
        <is>
          <t>Western Enterprises VN-500 Flowmeter Nitrogen Purging Regulator w/500 PSI Test Pressure, Brass</t>
        </is>
      </c>
      <c r="E2602" s="2">
        <f>HYPERLINK("https://www.amazon.com/Western-Enterprises-VN-500-Flowmeter-Regulator/dp/B00D5R4H7W/ref=sr_1_3?keywords=Western+Enterprises+VN-650+HVAC+Nitrogen+Purging+Regulator%2FFlowmeter&amp;qid=1694734644&amp;sr=8-3", "https://www.amazon.com/Western-Enterprises-VN-500-Flowmeter-Regulator/dp/B00D5R4H7W/ref=sr_1_3?keywords=Western+Enterprises+VN-650+HVAC+Nitrogen+Purging+Regulator%2FFlowmeter&amp;qid=1694734644&amp;sr=8-3")</f>
        <v/>
      </c>
      <c r="F2602" t="inlineStr">
        <is>
          <t>B00D5R4H7W</t>
        </is>
      </c>
      <c r="G2602">
        <f>_xlfn.IMAGE("https://edmondsonsupply.com/cdn/shop/products/VN-650-2.jpg?v=1644171460")</f>
        <v/>
      </c>
      <c r="H2602">
        <f>_xlfn.IMAGE("https://m.media-amazon.com/images/I/41Oiqc0-bpL._AC_UL320_.jpg")</f>
        <v/>
      </c>
      <c r="K2602" t="inlineStr">
        <is>
          <t>177.86</t>
        </is>
      </c>
      <c r="L2602" t="n">
        <v>169.97</v>
      </c>
      <c r="M2602" s="1" t="inlineStr">
        <is>
          <t>-4.44%</t>
        </is>
      </c>
      <c r="N2602" s="7" t="n">
        <v>340.94</v>
      </c>
      <c r="O2602" t="n">
        <v>4.8</v>
      </c>
      <c r="P2602" t="n">
        <v>436</v>
      </c>
      <c r="R2602" t="inlineStr">
        <is>
          <t>InStock</t>
        </is>
      </c>
      <c r="S2602" t="inlineStr">
        <is>
          <t>undefined</t>
        </is>
      </c>
      <c r="T2602" t="inlineStr">
        <is>
          <t>7601284710616</t>
        </is>
      </c>
    </row>
    <row r="2603" ht="87" customHeight="1">
      <c r="A2603" s="2">
        <f>HYPERLINK("https://edmondsonsupply.com/collections/hvac/products/diablo-tools-dou125cgp-1-1-4-in-universal-fit-carbide-oscillating-blade-for-general-purpose-cuts", "https://edmondsonsupply.com/collections/hvac/products/diablo-tools-dou125cgp-1-1-4-in-universal-fit-carbide-oscillating-blade-for-general-purpose-cuts")</f>
        <v/>
      </c>
      <c r="B2603" s="2">
        <f>HYPERLINK("https://edmondsonsupply.com/products/diablo-tools-dou125cgp-1-1-4-in-universal-fit-carbide-oscillating-blade-for-general-purpose-cuts", "https://edmondsonsupply.com/products/diablo-tools-dou125cgp-1-1-4-in-universal-fit-carbide-oscillating-blade-for-general-purpose-cuts")</f>
        <v/>
      </c>
      <c r="C2603" t="inlineStr">
        <is>
          <t>Diablo Tools DOU125CGP 1-1/4 in. Universal Fit Carbide Oscillating Blade for General Purpose Cuts</t>
        </is>
      </c>
      <c r="D2603" t="inlineStr">
        <is>
          <t>Diablo 2-3/4" Universal Fit Carbide Oscillating Blade for General Purpose Cuts</t>
        </is>
      </c>
      <c r="E2603" s="2">
        <f>HYPERLINK("https://www.amazon.com/Diablo-Universal-Carbide-Oscillating-General/dp/B089LHJYGQ/ref=sr_1_3?keywords=Diablo+Tools+DOU125CGP+1-1%2F4+in.+Universal+Fit+Carbide+Oscillating+Blade+for+General+Purpose+Cuts&amp;qid=1694734915&amp;sr=8-3", "https://www.amazon.com/Diablo-Universal-Carbide-Oscillating-General/dp/B089LHJYGQ/ref=sr_1_3?keywords=Diablo+Tools+DOU125CGP+1-1%2F4+in.+Universal+Fit+Carbide+Oscillating+Blade+for+General+Purpose+Cuts&amp;qid=1694734915&amp;sr=8-3")</f>
        <v/>
      </c>
      <c r="F2603" t="inlineStr">
        <is>
          <t>B089LHJYGQ</t>
        </is>
      </c>
      <c r="G2603">
        <f>_xlfn.IMAGE("https://edmondsonsupply.com/cdn/shop/files/htobgrjt150mygkkk6to_dca17485-ff4c-4cd2-9345-f1b96a9206f3.webp?v=1686146827")</f>
        <v/>
      </c>
      <c r="H2603">
        <f>_xlfn.IMAGE("https://m.media-amazon.com/images/I/71wZoc77rAL._AC_UL320_.jpg")</f>
        <v/>
      </c>
      <c r="K2603" t="inlineStr">
        <is>
          <t>22.97</t>
        </is>
      </c>
      <c r="L2603" t="n">
        <v>21.95</v>
      </c>
      <c r="M2603" s="1" t="inlineStr">
        <is>
          <t>-4.44%</t>
        </is>
      </c>
      <c r="N2603" s="7" t="n">
        <v>340.94</v>
      </c>
      <c r="O2603" t="n">
        <v>4.5</v>
      </c>
      <c r="P2603" t="n">
        <v>30</v>
      </c>
      <c r="R2603" t="inlineStr">
        <is>
          <t>InStock</t>
        </is>
      </c>
      <c r="S2603" t="inlineStr">
        <is>
          <t>28.57</t>
        </is>
      </c>
      <c r="T2603" t="inlineStr">
        <is>
          <t>8002356576472</t>
        </is>
      </c>
    </row>
    <row r="2604" ht="87" customHeight="1">
      <c r="A2604" s="2">
        <f>HYPERLINK("https://edmondsonsupply.com/collections/hvac/products/imperial-368-fh-imp%E2%84%A2-triple-head-tube-bender-3-16-3-8-o-d", "https://edmondsonsupply.com/collections/hvac/products/imperial-368-fh-imp%E2%84%A2-triple-head-tube-bender-3-16-3-8-o-d")</f>
        <v/>
      </c>
      <c r="B2604" s="2">
        <f>HYPERLINK("https://edmondsonsupply.com/products/imperial-368-fh-imp%e2%84%a2-triple-head-tube-bender-3-16-3-8-o-d", "https://edmondsonsupply.com/products/imperial-368-fh-imp%e2%84%a2-triple-head-tube-bender-3-16-3-8-o-d")</f>
        <v/>
      </c>
      <c r="C2604" t="inlineStr">
        <is>
          <t>Imperial 368-FH IMP™ Triple Head Tube Bender 3/16" - 3/8" O.D.</t>
        </is>
      </c>
      <c r="D2604" t="inlineStr">
        <is>
          <t>Imperial Tool 368FH Triple Head 90 Degree Tube Bender, 3/16", 1/4", 5/16", and 3/8"</t>
        </is>
      </c>
      <c r="E2604" s="2">
        <f>HYPERLINK("https://www.amazon.com/Imperial-Tool-368FH-Triple-Header/dp/B001HWFI0W/ref=sr_1_1?keywords=Imperial+368-FH+IMP%E2%84%A2+Triple+Head+Tube+Bender+3%2F16%22+-+3%2F8%22+O.D.&amp;qid=1694734821&amp;sr=8-1", "https://www.amazon.com/Imperial-Tool-368FH-Triple-Header/dp/B001HWFI0W/ref=sr_1_1?keywords=Imperial+368-FH+IMP%E2%84%A2+Triple+Head+Tube+Bender+3%2F16%22+-+3%2F8%22+O.D.&amp;qid=1694734821&amp;sr=8-1")</f>
        <v/>
      </c>
      <c r="F2604" t="inlineStr">
        <is>
          <t>B001HWFI0W</t>
        </is>
      </c>
      <c r="G2604">
        <f>_xlfn.IMAGE("https://edmondsonsupply.com/cdn/shop/products/368-FH.jpg?v=1587145793")</f>
        <v/>
      </c>
      <c r="H2604">
        <f>_xlfn.IMAGE("https://m.media-amazon.com/images/I/81rtBVJ1xmL._AC_UL320_.jpg")</f>
        <v/>
      </c>
      <c r="K2604" t="inlineStr">
        <is>
          <t>36.52</t>
        </is>
      </c>
      <c r="L2604" t="n">
        <v>34.88</v>
      </c>
      <c r="M2604" s="1" t="inlineStr">
        <is>
          <t>-4.49%</t>
        </is>
      </c>
      <c r="N2604" s="7" t="n">
        <v>340.83</v>
      </c>
      <c r="O2604" t="n">
        <v>4.4</v>
      </c>
      <c r="P2604" t="n">
        <v>60</v>
      </c>
      <c r="R2604" t="inlineStr">
        <is>
          <t>InStock</t>
        </is>
      </c>
      <c r="S2604" t="inlineStr">
        <is>
          <t>undefined</t>
        </is>
      </c>
      <c r="T2604" t="inlineStr">
        <is>
          <t>3679124127844</t>
        </is>
      </c>
    </row>
    <row r="2605" ht="87" customHeight="1">
      <c r="A2605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2605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2605" t="inlineStr">
        <is>
          <t>Milwaukee 0970-20 M18 FUEL™ PACKOUT™ 2.5 Gallon Wet/Dry Vacuum</t>
        </is>
      </c>
      <c r="D2605" t="inlineStr">
        <is>
          <t>Milwaukee 0970-20 M18 Fuel 18V PACKOUT 2.5 Gallon Wet/Dry Vacuum Bare Tool</t>
        </is>
      </c>
      <c r="E2605" s="2">
        <f>HYPERLINK("https://www.amazon.com/Milwaukee-0970-20-PACKOUT-Gallon-Vacuum/dp/B09RQ6WNZ8/ref=sr_1_2?keywords=Milwaukee+0970-20+M18+FUEL%E2%84%A2+PACKOUT%E2%84%A2+2.5+Gallon+Wet%2FDry+Vacuum&amp;qid=1694734754&amp;sr=8-2", "https://www.amazon.com/Milwaukee-0970-20-PACKOUT-Gallon-Vacuum/dp/B09RQ6WNZ8/ref=sr_1_2?keywords=Milwaukee+0970-20+M18+FUEL%E2%84%A2+PACKOUT%E2%84%A2+2.5+Gallon+Wet%2FDry+Vacuum&amp;qid=1694734754&amp;sr=8-2")</f>
        <v/>
      </c>
      <c r="F2605" t="inlineStr">
        <is>
          <t>B09RQ6WNZ8</t>
        </is>
      </c>
      <c r="G2605">
        <f>_xlfn.IMAGE("https://edmondsonsupply.com/cdn/shop/products/0970-20_3webp.webp?v=1668442362")</f>
        <v/>
      </c>
      <c r="H2605">
        <f>_xlfn.IMAGE("https://m.media-amazon.com/images/I/71yMHJwu0eL._AC_UL320_.jpg")</f>
        <v/>
      </c>
      <c r="K2605" t="inlineStr">
        <is>
          <t>199.0</t>
        </is>
      </c>
      <c r="L2605" t="n">
        <v>189.95</v>
      </c>
      <c r="M2605" s="1" t="inlineStr">
        <is>
          <t>-4.55%</t>
        </is>
      </c>
      <c r="N2605" s="7" t="n">
        <v>340.82</v>
      </c>
      <c r="O2605" t="n">
        <v>4.5</v>
      </c>
      <c r="P2605" t="n">
        <v>74</v>
      </c>
      <c r="R2605" t="inlineStr">
        <is>
          <t>OutOfStock</t>
        </is>
      </c>
      <c r="S2605" t="inlineStr">
        <is>
          <t>330.0</t>
        </is>
      </c>
      <c r="T2605" t="inlineStr">
        <is>
          <t>7884392366296</t>
        </is>
      </c>
    </row>
    <row r="2606" hidden="1" ht="15.75" customHeight="1">
      <c r="A2606" s="2">
        <f>HYPERLINK("https://edmondsonsupply.com/collections/hvac/products/appion-mh380004aay-megaflow-3-8in-hose-4-ft-1-4fl-to-1-4fl-yellow", "https://edmondsonsupply.com/collections/hvac/products/appion-mh380004aay-megaflow-3-8in-hose-4-ft-1-4fl-to-1-4fl-yellow")</f>
        <v/>
      </c>
      <c r="B2606" s="2">
        <f>HYPERLINK("https://edmondsonsupply.com/products/appion-mh380004aay-megaflow-3-8in-hose-4-ft-1-4fl-to-1-4fl-yellow", "https://edmondsonsupply.com/products/appion-mh380004aay-megaflow-3-8in-hose-4-ft-1-4fl-to-1-4fl-yellow")</f>
        <v/>
      </c>
      <c r="C2606" t="inlineStr">
        <is>
          <t>Appion MH380004AAY MegaFlow 3/8in Hose - 4 ft (1/4FL to 1/4FL) Yellow</t>
        </is>
      </c>
      <c r="D2606" t="inlineStr">
        <is>
          <t>Appion MH380001BAB - MegaFlow 3/8in Hose - 1 ft (1/4FL to 1/4FL-45°) Blue</t>
        </is>
      </c>
      <c r="E2606" s="2">
        <f>HYPERLINK("https://www.amazon.com/Appion-MH380001BAB-MegaFlow-Filter-Degrees/dp/B08BR98WQB/ref=sr_1_3?keywords=Appion+MH380004AAY+MegaFlow+3%2F8in+Hose+-+4+ft+%281%2F4FL+to+1%2F4FL%29+Yellow&amp;qid=1694734685&amp;sr=8-3", "https://www.amazon.com/Appion-MH380001BAB-MegaFlow-Filter-Degrees/dp/B08BR98WQB/ref=sr_1_3?keywords=Appion+MH380004AAY+MegaFlow+3%2F8in+Hose+-+4+ft+%281%2F4FL+to+1%2F4FL%29+Yellow&amp;qid=1694734685&amp;sr=8-3")</f>
        <v/>
      </c>
      <c r="F2606" t="inlineStr">
        <is>
          <t>B08BR98WQB</t>
        </is>
      </c>
      <c r="G2606">
        <f>_xludf.IMAGE("https://edmondsonsupply.com/cdn/shop/products/MH380004AAY_MHH_1080.png?v=1678407092")</f>
        <v/>
      </c>
      <c r="H2606">
        <f>_xludf.IMAGE("https://m.media-amazon.com/images/I/31SeKRPf6nL._AC_UL320_.jpg")</f>
        <v/>
      </c>
      <c r="K2606" t="inlineStr">
        <is>
          <t>47.99</t>
        </is>
      </c>
      <c r="L2606" t="n">
        <v>45.72</v>
      </c>
      <c r="M2606" s="1" t="inlineStr">
        <is>
          <t>-4.73%</t>
        </is>
      </c>
      <c r="N2606" s="1" t="n">
        <v>340.82</v>
      </c>
      <c r="O2606" t="n">
        <v>3.9</v>
      </c>
      <c r="P2606" t="n">
        <v>8</v>
      </c>
      <c r="R2606" t="inlineStr">
        <is>
          <t>InStock</t>
        </is>
      </c>
      <c r="S2606" t="inlineStr">
        <is>
          <t>59.99</t>
        </is>
      </c>
      <c r="T2606" t="inlineStr">
        <is>
          <t>7959185260760</t>
        </is>
      </c>
    </row>
    <row r="2607" ht="87" customHeight="1">
      <c r="A2607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607" s="2">
        <f>HYPERLINK("https://edmondsonsupply.com/products/klein-tools-11053-klein-kurve%c2%ae-wire-stripper-cutter", "https://edmondsonsupply.com/products/klein-tools-11053-klein-kurve%c2%ae-wire-stripper-cutter")</f>
        <v/>
      </c>
      <c r="C2607" t="inlineStr">
        <is>
          <t>Klein Tools 11053 Klein-Kurve® Wire Stripper/Cutter</t>
        </is>
      </c>
      <c r="D2607" t="inlineStr">
        <is>
          <t>Klein Tools 1009 Multi Tool, Wire Stripper, Crimping Tool, Wire Cutter, Long-Nose Multi-Purpose Electrician Tool,Gray/Yellow</t>
        </is>
      </c>
      <c r="E2607" s="2">
        <f>HYPERLINK("https://www.amazon.com/Crimping-Stripping-Klein-Tools-1009/dp/B079T9Q9X8/ref=sr_1_13?keywords=Klein+Tools+11053+Klein-Kurve%C2%AE+Wire+Stripper%2FCutter&amp;qid=1694734664&amp;sr=8-13", "https://www.amazon.com/Crimping-Stripping-Klein-Tools-1009/dp/B079T9Q9X8/ref=sr_1_13?keywords=Klein+Tools+11053+Klein-Kurve%C2%AE+Wire+Stripper%2FCutter&amp;qid=1694734664&amp;sr=8-13")</f>
        <v/>
      </c>
      <c r="F2607" t="inlineStr">
        <is>
          <t>B079T9Q9X8</t>
        </is>
      </c>
      <c r="G2607">
        <f>_xlfn.IMAGE("https://edmondsonsupply.com/cdn/shop/products/11053.jpg?v=1633030511")</f>
        <v/>
      </c>
      <c r="H2607">
        <f>_xlfn.IMAGE("https://m.media-amazon.com/images/I/51ktpyk63OL._AC_UL320_.jpg")</f>
        <v/>
      </c>
      <c r="K2607" t="inlineStr">
        <is>
          <t>20.97</t>
        </is>
      </c>
      <c r="L2607" t="n">
        <v>19.97</v>
      </c>
      <c r="M2607" s="1" t="inlineStr">
        <is>
          <t>-4.77%</t>
        </is>
      </c>
      <c r="N2607" s="7" t="n">
        <v>339.57</v>
      </c>
      <c r="O2607" t="n">
        <v>4.7</v>
      </c>
      <c r="P2607" t="n">
        <v>626</v>
      </c>
      <c r="R2607" t="inlineStr">
        <is>
          <t>InStock</t>
        </is>
      </c>
      <c r="S2607" t="inlineStr">
        <is>
          <t>31.76</t>
        </is>
      </c>
      <c r="T2607" t="inlineStr">
        <is>
          <t>5387171299496</t>
        </is>
      </c>
    </row>
    <row r="2608" ht="87" customHeight="1">
      <c r="A2608" s="2">
        <f>HYPERLINK("https://edmondsonsupply.com/collections/hvac/products/ritchie-yellow-jacket-42001-series-41-manifold-only-r-22-404a-410a", "https://edmondsonsupply.com/collections/hvac/products/ritchie-yellow-jacket-42001-series-41-manifold-only-r-22-404a-410a")</f>
        <v/>
      </c>
      <c r="B2608" s="2">
        <f>HYPERLINK("https://edmondsonsupply.com/products/ritchie-yellow-jacket-42001-series-41-manifold-only-r-22-404a-410a", "https://edmondsonsupply.com/products/ritchie-yellow-jacket-42001-series-41-manifold-only-r-22-404a-410a")</f>
        <v/>
      </c>
      <c r="C2608" t="inlineStr">
        <is>
          <t>Yellow Jacket 42001 Series 41 Manifold Only, 3-1/8" Gauges - R-22 / 404A / 410A</t>
        </is>
      </c>
      <c r="D2608" t="inlineStr">
        <is>
          <t>Yellow Jacket 42052 Heat Pump Manifold, R-410A, Degrees F with 3-1/8" gauges</t>
        </is>
      </c>
      <c r="E2608" s="2">
        <f>HYPERLINK("https://www.amazon.com/Yellow-Jacket-42052-Manifold-Degrees/dp/B009AX4IFQ/ref=sr_1_31?keywords=Yellow+Jacket+42001+Series+41+Manifold+Only%2C+3-1%2F8%22+Gauges+-+R-22+%2F+404A+%2F+410A&amp;qid=1694734681&amp;sr=8-31", "https://www.amazon.com/Yellow-Jacket-42052-Manifold-Degrees/dp/B009AX4IFQ/ref=sr_1_31?keywords=Yellow+Jacket+42001+Series+41+Manifold+Only%2C+3-1%2F8%22+Gauges+-+R-22+%2F+404A+%2F+410A&amp;qid=1694734681&amp;sr=8-31")</f>
        <v/>
      </c>
      <c r="F2608" t="inlineStr">
        <is>
          <t>B009AX4IFQ</t>
        </is>
      </c>
      <c r="G2608">
        <f>_xlfn.IMAGE("https://edmondsonsupply.com/cdn/shop/products/series-41-manifolds-with-318-gauges.jpg?v=1633030025")</f>
        <v/>
      </c>
      <c r="H2608">
        <f>_xlfn.IMAGE("https://m.media-amazon.com/images/I/91CT7osr9vL._AC_UL320_.jpg")</f>
        <v/>
      </c>
      <c r="K2608" t="inlineStr">
        <is>
          <t>97.77</t>
        </is>
      </c>
      <c r="L2608" t="n">
        <v>93.06</v>
      </c>
      <c r="M2608" s="1" t="inlineStr">
        <is>
          <t>-4.82%</t>
        </is>
      </c>
      <c r="N2608" s="7" t="n">
        <v>338.54</v>
      </c>
      <c r="O2608" t="n">
        <v>4.6</v>
      </c>
      <c r="P2608" t="n">
        <v>2</v>
      </c>
      <c r="R2608" t="inlineStr">
        <is>
          <t>InStock</t>
        </is>
      </c>
      <c r="S2608" t="inlineStr">
        <is>
          <t>undefined</t>
        </is>
      </c>
      <c r="T2608" t="inlineStr">
        <is>
          <t>2129997922404</t>
        </is>
      </c>
    </row>
    <row r="2609" ht="87" customHeight="1">
      <c r="A2609" s="2">
        <f>HYPERLINK("https://edmondsonsupply.com/collections/hvac/products/tajima-vrb2-100b-v-rex%E2%84%A2-ii-premium-tempered-steel-utility-knife-blades-100-blade-safety-dispenser", "https://edmondsonsupply.com/collections/hvac/products/tajima-vrb2-100b-v-rex%E2%84%A2-ii-premium-tempered-steel-utility-knife-blades-100-blade-safety-dispenser")</f>
        <v/>
      </c>
      <c r="B2609" s="2">
        <f>HYPERLINK("https://edmondsonsupply.com/products/tajima-vrb2-100b-v-rex%e2%84%a2-ii-premium-tempered-steel-utility-knife-blades-100-blade-safety-dispenser", "https://edmondsonsupply.com/products/tajima-vrb2-100b-v-rex%e2%84%a2-ii-premium-tempered-steel-utility-knife-blades-100-blade-safety-dispenser")</f>
        <v/>
      </c>
      <c r="C2609" t="inlineStr">
        <is>
          <t>Tajima VRB2-100B V-REX™ II, Premium Tempered Steel Utility Knife Blades, 100-Blade Safety Dispenser</t>
        </is>
      </c>
      <c r="D2609" t="inlineStr">
        <is>
          <t>Tajima VRB2-100B V-REX II Premium Tempered Steel Utility Knife Blades, 100-Pack</t>
        </is>
      </c>
      <c r="E2609" s="2">
        <f>HYPERLINK("https://www.amazon.com/Tajima-VRB2-100B-Premium-Tempered-100-Pack/dp/B00NY8R9OU/ref=sr_1_1?keywords=Tajima+VRB2-100B+V-REX%E2%84%A2+II%2C+Premium+Tempered+Steel+Utility+Knife+Blades%2C+100-Blade+Safety+Dispenser&amp;qid=1694734707&amp;sr=8-1", "https://www.amazon.com/Tajima-VRB2-100B-Premium-Tempered-100-Pack/dp/B00NY8R9OU/ref=sr_1_1?keywords=Tajima+VRB2-100B+V-REX%E2%84%A2+II%2C+Premium+Tempered+Steel+Utility+Knife+Blades%2C+100-Blade+Safety+Dispenser&amp;qid=1694734707&amp;sr=8-1")</f>
        <v/>
      </c>
      <c r="F2609" t="inlineStr">
        <is>
          <t>B00NY8R9OU</t>
        </is>
      </c>
      <c r="G2609">
        <f>_xlfn.IMAGE("https://edmondsonsupply.com/cdn/shop/products/VRB2-100B.jpg?v=1633031166")</f>
        <v/>
      </c>
      <c r="H2609">
        <f>_xlfn.IMAGE("https://m.media-amazon.com/images/I/818qmSUapWL._AC_UL320_.jpg")</f>
        <v/>
      </c>
      <c r="K2609" t="inlineStr">
        <is>
          <t>34.59</t>
        </is>
      </c>
      <c r="L2609" t="n">
        <v>32.87</v>
      </c>
      <c r="M2609" s="1" t="inlineStr">
        <is>
          <t>-4.97%</t>
        </is>
      </c>
      <c r="N2609" s="7" t="n">
        <v>338.36</v>
      </c>
      <c r="O2609" t="n">
        <v>4.8</v>
      </c>
      <c r="P2609" t="n">
        <v>234</v>
      </c>
      <c r="R2609" t="inlineStr">
        <is>
          <t>InStock</t>
        </is>
      </c>
      <c r="S2609" t="inlineStr">
        <is>
          <t>undefined</t>
        </is>
      </c>
      <c r="T2609" t="inlineStr">
        <is>
          <t>6905347342509</t>
        </is>
      </c>
    </row>
    <row r="2610" ht="87" customHeight="1">
      <c r="A2610" s="2">
        <f>HYPERLINK("https://edmondsonsupply.com/collections/hvac/products/icm-controls-icm325a-low-ambient-head-pressure-control", "https://edmondsonsupply.com/collections/hvac/products/icm-controls-icm325a-low-ambient-head-pressure-control")</f>
        <v/>
      </c>
      <c r="B2610" s="2">
        <f>HYPERLINK("https://edmondsonsupply.com/products/icm-controls-icm325a-low-ambient-head-pressure-control", "https://edmondsonsupply.com/products/icm-controls-icm325a-low-ambient-head-pressure-control")</f>
        <v/>
      </c>
      <c r="C2610" t="inlineStr">
        <is>
          <t>ICM Controls ICM325A Low Ambient Head Pressure Control</t>
        </is>
      </c>
      <c r="D2610" t="inlineStr">
        <is>
          <t>ICM Controls ICM325H ICM325H Head Pressure Controls - Low Ambient Fan C</t>
        </is>
      </c>
      <c r="E2610" s="2">
        <f>HYPERLINK("https://www.amazon.com/ICM-Controls-ICM325H-Head-Pressure/dp/B008HOTESA/ref=sr_1_6?keywords=ICM+Controls+ICM325A+Low+Ambient+Head+Pressure+Control&amp;qid=1694734748&amp;sr=8-6", "https://www.amazon.com/ICM-Controls-ICM325H-Head-Pressure/dp/B008HOTESA/ref=sr_1_6?keywords=ICM+Controls+ICM325A+Low+Ambient+Head+Pressure+Control&amp;qid=1694734748&amp;sr=8-6")</f>
        <v/>
      </c>
      <c r="F2610" t="inlineStr">
        <is>
          <t>B008HOTESA</t>
        </is>
      </c>
      <c r="G2610">
        <f>_xlfn.IMAGE("https://edmondsonsupply.com/cdn/shop/files/icm325.png?v=1684274593")</f>
        <v/>
      </c>
      <c r="H2610">
        <f>_xlfn.IMAGE("https://m.media-amazon.com/images/I/51+SV3SY6mL._AC_UL320_.jpg")</f>
        <v/>
      </c>
      <c r="K2610" t="inlineStr">
        <is>
          <t>153.19</t>
        </is>
      </c>
      <c r="L2610" t="n">
        <v>145.55</v>
      </c>
      <c r="M2610" s="1" t="inlineStr">
        <is>
          <t>-4.99%</t>
        </is>
      </c>
      <c r="N2610" s="7" t="n">
        <v>337.92</v>
      </c>
      <c r="O2610" t="n">
        <v>5</v>
      </c>
      <c r="P2610" t="n">
        <v>1</v>
      </c>
      <c r="R2610" t="inlineStr">
        <is>
          <t>InStock</t>
        </is>
      </c>
      <c r="S2610" t="inlineStr">
        <is>
          <t>undefined</t>
        </is>
      </c>
      <c r="T2610" t="inlineStr">
        <is>
          <t>7993205948632</t>
        </is>
      </c>
    </row>
    <row r="2611" ht="87" customHeight="1">
      <c r="A2611" s="2">
        <f>HYPERLINK("https://edmondsonsupply.com/collections/hvac/products/klein-tools-56402-cap-visor-light-led", "https://edmondsonsupply.com/collections/hvac/products/klein-tools-56402-cap-visor-light-led")</f>
        <v/>
      </c>
      <c r="B2611" s="2">
        <f>HYPERLINK("https://edmondsonsupply.com/products/klein-tools-56402-cap-visor-light-led", "https://edmondsonsupply.com/products/klein-tools-56402-cap-visor-light-led")</f>
        <v/>
      </c>
      <c r="C2611" t="inlineStr">
        <is>
          <t>Klein Tools 56402 Cap Visor LED Light</t>
        </is>
      </c>
      <c r="D2611" t="inlineStr">
        <is>
          <t>Klein Tools 56402 LED Light, Cap Visor Clip Light has Pivoting Head, 2xAAA Batteries, for Work, Running, Outdoor Hiking, Camping, Fishing</t>
        </is>
      </c>
      <c r="E2611" s="2">
        <f>HYPERLINK("https://www.amazon.com/Klein-Tools-56402-Pivoting-Batteries/dp/B07PST59RV/ref=sr_1_1?keywords=Klein+Tools+56402+Cap+Visor+LED+Light&amp;qid=1694734825&amp;sr=8-1", "https://www.amazon.com/Klein-Tools-56402-Pivoting-Batteries/dp/B07PST59RV/ref=sr_1_1?keywords=Klein+Tools+56402+Cap+Visor+LED+Light&amp;qid=1694734825&amp;sr=8-1")</f>
        <v/>
      </c>
      <c r="F2611" t="inlineStr">
        <is>
          <t>B07PST59RV</t>
        </is>
      </c>
      <c r="G2611">
        <f>_xlfn.IMAGE("https://edmondsonsupply.com/cdn/shop/products/56402.jpg?v=1587143311")</f>
        <v/>
      </c>
      <c r="H2611">
        <f>_xlfn.IMAGE("https://m.media-amazon.com/images/I/51Wj09Yog+L._AC_UL320_.jpg")</f>
        <v/>
      </c>
      <c r="K2611" t="inlineStr">
        <is>
          <t>19.97</t>
        </is>
      </c>
      <c r="L2611" t="n">
        <v>18.97</v>
      </c>
      <c r="M2611" s="1" t="inlineStr">
        <is>
          <t>-5.01%</t>
        </is>
      </c>
      <c r="N2611" s="7" t="n">
        <v>337.78</v>
      </c>
      <c r="O2611" t="n">
        <v>4.4</v>
      </c>
      <c r="P2611" t="n">
        <v>1199</v>
      </c>
      <c r="R2611" t="inlineStr">
        <is>
          <t>InStock</t>
        </is>
      </c>
      <c r="S2611" t="inlineStr">
        <is>
          <t>27.22</t>
        </is>
      </c>
      <c r="T2611" t="inlineStr">
        <is>
          <t>3389909893220</t>
        </is>
      </c>
    </row>
    <row r="2612" ht="87" customHeight="1">
      <c r="A2612" s="2">
        <f>HYPERLINK("https://edmondsonsupply.com/collections/hvac/products/uniweld-rhp400-nitrogen-regulator-0-400-delivery-psig", "https://edmondsonsupply.com/collections/hvac/products/uniweld-rhp400-nitrogen-regulator-0-400-delivery-psig")</f>
        <v/>
      </c>
      <c r="B2612" s="2">
        <f>HYPERLINK("https://edmondsonsupply.com/products/uniweld-rhp400-nitrogen-regulator-0-400-delivery-psig", "https://edmondsonsupply.com/products/uniweld-rhp400-nitrogen-regulator-0-400-delivery-psig")</f>
        <v/>
      </c>
      <c r="C2612" t="inlineStr">
        <is>
          <t>Uniweld RHP400 Nitrogen Regulator, 0-400 Delivery PSIG</t>
        </is>
      </c>
      <c r="D2612" t="inlineStr">
        <is>
          <t>Uniweld RHP400 Nitrogen Regulator with 0-400 PSI Delivery Pressure, CGA580 Inlet Connection and 1/4-Inch Male Flare Outlet Connection</t>
        </is>
      </c>
      <c r="E2612" s="2">
        <f>HYPERLINK("https://www.amazon.com/Uniweld-RHP400-Nitrogen-Regulator-Connection/dp/B008HQ6GXO/ref=sr_1_1?keywords=Uniweld+RHP400+Nitrogen+Regulator%2C+0-400+Delivery+PSIG&amp;qid=1694734575&amp;sr=8-1", "https://www.amazon.com/Uniweld-RHP400-Nitrogen-Regulator-Connection/dp/B008HQ6GXO/ref=sr_1_1?keywords=Uniweld+RHP400+Nitrogen+Regulator%2C+0-400+Delivery+PSIG&amp;qid=1694734575&amp;sr=8-1")</f>
        <v/>
      </c>
      <c r="F2612" t="inlineStr">
        <is>
          <t>B008HQ6GXO</t>
        </is>
      </c>
      <c r="G2612">
        <f>_xlfn.IMAGE("https://edmondsonsupply.com/cdn/shop/products/rhp400-front.jpg?v=1633030388")</f>
        <v/>
      </c>
      <c r="H2612">
        <f>_xlfn.IMAGE("https://m.media-amazon.com/images/I/71xGQ7q6WoL._AC_UL320_.jpg")</f>
        <v/>
      </c>
      <c r="K2612" t="inlineStr">
        <is>
          <t>75.99</t>
        </is>
      </c>
      <c r="L2612" t="n">
        <v>72.08</v>
      </c>
      <c r="M2612" s="1" t="inlineStr">
        <is>
          <t>-5.15%</t>
        </is>
      </c>
      <c r="N2612" s="7" t="n">
        <v>335.39</v>
      </c>
      <c r="O2612" t="n">
        <v>4.6</v>
      </c>
      <c r="P2612" t="n">
        <v>798</v>
      </c>
      <c r="R2612" t="inlineStr">
        <is>
          <t>InStock</t>
        </is>
      </c>
      <c r="S2612" t="inlineStr">
        <is>
          <t>126.13</t>
        </is>
      </c>
      <c r="T2612" t="inlineStr">
        <is>
          <t>5300269908136</t>
        </is>
      </c>
    </row>
    <row r="2613" ht="87" customHeight="1">
      <c r="A2613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613" s="2">
        <f>HYPERLINK("https://edmondsonsupply.com/products/klein-tools-pnd-12-5-1-2-inch-power-nut-driver-5-inch-length", "https://edmondsonsupply.com/products/klein-tools-pnd-12-5-1-2-inch-power-nut-driver-5-inch-length")</f>
        <v/>
      </c>
      <c r="C2613" t="inlineStr">
        <is>
          <t>Klein Tools PND-12-5 1/2-Inch Power Nut Driver 5-Inch Length</t>
        </is>
      </c>
      <c r="D2613" t="inlineStr">
        <is>
          <t>Klein Tools 65131 2-in-1 Nut Driver, Hex Head Slide Drive, 1-1/2-Inch</t>
        </is>
      </c>
      <c r="E2613" s="2">
        <f>HYPERLINK("https://www.amazon.com/Driver-2-Inch-Klein-Tools-65131/dp/B071LCCGT1/ref=sr_1_22?keywords=Klein+Tools+PND-12-5+1%2F2-Inch+Power+Nut+Driver+5-Inch+Length&amp;qid=1694734708&amp;sr=8-22", "https://www.amazon.com/Driver-2-Inch-Klein-Tools-65131/dp/B071LCCGT1/ref=sr_1_22?keywords=Klein+Tools+PND-12-5+1%2F2-Inch+Power+Nut+Driver+5-Inch+Length&amp;qid=1694734708&amp;sr=8-22")</f>
        <v/>
      </c>
      <c r="F2613" t="inlineStr">
        <is>
          <t>B071LCCGT1</t>
        </is>
      </c>
      <c r="G2613">
        <f>_xlfn.IMAGE("https://edmondsonsupply.com/cdn/shop/products/pnd125.jpg?v=1633031028")</f>
        <v/>
      </c>
      <c r="H2613">
        <f>_xlfn.IMAGE("https://m.media-amazon.com/images/I/51SI9ktOe4L._AC_UL320_.jpg")</f>
        <v/>
      </c>
      <c r="K2613" t="inlineStr">
        <is>
          <t>18.99</t>
        </is>
      </c>
      <c r="L2613" t="n">
        <v>17.99</v>
      </c>
      <c r="M2613" s="1" t="inlineStr">
        <is>
          <t>-5.27%</t>
        </is>
      </c>
      <c r="N2613" s="7" t="n">
        <v>334.78</v>
      </c>
      <c r="O2613" t="n">
        <v>4.8</v>
      </c>
      <c r="P2613" t="n">
        <v>908</v>
      </c>
      <c r="R2613" t="inlineStr">
        <is>
          <t>InStock</t>
        </is>
      </c>
      <c r="S2613" t="inlineStr">
        <is>
          <t>30.98</t>
        </is>
      </c>
      <c r="T2613" t="inlineStr">
        <is>
          <t>6729466445997</t>
        </is>
      </c>
    </row>
    <row r="2614" ht="87" customHeight="1">
      <c r="A2614" s="2">
        <f>HYPERLINK("https://edmondsonsupply.com/collections/hvac/products/klein-tools-630m-magnetic-nut-driver-set-3-inch-shafts-2-piece", "https://edmondsonsupply.com/collections/hvac/products/klein-tools-630m-magnetic-nut-driver-set-3-inch-shafts-2-piece")</f>
        <v/>
      </c>
      <c r="B2614" s="2">
        <f>HYPERLINK("https://edmondsonsupply.com/products/klein-tools-630m-magnetic-nut-driver-set-3-inch-shafts-2-piece", "https://edmondsonsupply.com/products/klein-tools-630m-magnetic-nut-driver-set-3-inch-shafts-2-piece")</f>
        <v/>
      </c>
      <c r="C2614" t="inlineStr">
        <is>
          <t>Klein Tools 630M Magnetic Nut Driver Set, 3-Inch Shafts, 2-Piece</t>
        </is>
      </c>
      <c r="D2614" t="inlineStr">
        <is>
          <t>Klein Tools 610M Tool Set, Magnetic Nut Driver Set with Stubby Nut Driver Sizes 1/4 and 5/16-Inch, Full Hollow Shaft, 2-Piece</t>
        </is>
      </c>
      <c r="E2614" s="2">
        <f>HYPERLINK("https://www.amazon.com/Klein-Tools-610M-16-Inch-Magnetic/dp/B00093DZO6/ref=sr_1_3?keywords=Klein+Tools+630M+Magnetic+Nut+Driver+Set%2C+3-Inch+Shafts%2C+2-Piece&amp;qid=1694734796&amp;sr=8-3", "https://www.amazon.com/Klein-Tools-610M-16-Inch-Magnetic/dp/B00093DZO6/ref=sr_1_3?keywords=Klein+Tools+630M+Magnetic+Nut+Driver+Set%2C+3-Inch+Shafts%2C+2-Piece&amp;qid=1694734796&amp;sr=8-3")</f>
        <v/>
      </c>
      <c r="F2614" t="inlineStr">
        <is>
          <t>B00093DZO6</t>
        </is>
      </c>
      <c r="G2614">
        <f>_xlfn.IMAGE("https://edmondsonsupply.com/cdn/shop/products/630m.jpg?v=1587143237")</f>
        <v/>
      </c>
      <c r="H2614">
        <f>_xlfn.IMAGE("https://m.media-amazon.com/images/I/51lgiheW64L._AC_UL320_.jpg")</f>
        <v/>
      </c>
      <c r="K2614" t="inlineStr">
        <is>
          <t>18.99</t>
        </is>
      </c>
      <c r="L2614" t="n">
        <v>17.99</v>
      </c>
      <c r="M2614" s="1" t="inlineStr">
        <is>
          <t>-5.27%</t>
        </is>
      </c>
      <c r="N2614" s="7" t="n">
        <v>334.07</v>
      </c>
      <c r="O2614" t="n">
        <v>4.8</v>
      </c>
      <c r="P2614" t="n">
        <v>559</v>
      </c>
      <c r="R2614" t="inlineStr">
        <is>
          <t>InStock</t>
        </is>
      </c>
      <c r="S2614" t="inlineStr">
        <is>
          <t>28.78</t>
        </is>
      </c>
      <c r="T2614" t="inlineStr">
        <is>
          <t>4508216787044</t>
        </is>
      </c>
    </row>
    <row r="2615" ht="87" customHeight="1">
      <c r="A2615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615" s="2">
        <f>HYPERLINK("https://edmondsonsupply.com/products/klein-tools-pnd-12-5-1-2-inch-power-nut-driver-5-inch-length", "https://edmondsonsupply.com/products/klein-tools-pnd-12-5-1-2-inch-power-nut-driver-5-inch-length")</f>
        <v/>
      </c>
      <c r="C2615" t="inlineStr">
        <is>
          <t>Klein Tools PND-12-5 1/2-Inch Power Nut Driver 5-Inch Length</t>
        </is>
      </c>
      <c r="D2615" t="inlineStr">
        <is>
          <t>Klein Tools 610M Tool Set, Magnetic Nut Driver Set with Stubby Nut Driver Sizes 1/4 and 5/16-Inch, Full Hollow Shaft, 2-Piece</t>
        </is>
      </c>
      <c r="E2615" s="2">
        <f>HYPERLINK("https://www.amazon.com/Klein-Tools-610M-16-Inch-Magnetic/dp/B00093DZO6/ref=sr_1_25?keywords=Klein+Tools+PND-12-5+1%2F2-Inch+Power+Nut+Driver+5-Inch+Length&amp;qid=1694734708&amp;sr=8-25", "https://www.amazon.com/Klein-Tools-610M-16-Inch-Magnetic/dp/B00093DZO6/ref=sr_1_25?keywords=Klein+Tools+PND-12-5+1%2F2-Inch+Power+Nut+Driver+5-Inch+Length&amp;qid=1694734708&amp;sr=8-25")</f>
        <v/>
      </c>
      <c r="F2615" t="inlineStr">
        <is>
          <t>B00093DZO6</t>
        </is>
      </c>
      <c r="G2615">
        <f>_xlfn.IMAGE("https://edmondsonsupply.com/cdn/shop/products/pnd125.jpg?v=1633031028")</f>
        <v/>
      </c>
      <c r="H2615">
        <f>_xlfn.IMAGE("https://m.media-amazon.com/images/I/51lgiheW64L._AC_UL320_.jpg")</f>
        <v/>
      </c>
      <c r="K2615" t="inlineStr">
        <is>
          <t>18.99</t>
        </is>
      </c>
      <c r="L2615" t="n">
        <v>17.99</v>
      </c>
      <c r="M2615" s="1" t="inlineStr">
        <is>
          <t>-5.27%</t>
        </is>
      </c>
      <c r="N2615" s="7" t="n">
        <v>333.87</v>
      </c>
      <c r="O2615" t="n">
        <v>4.8</v>
      </c>
      <c r="P2615" t="n">
        <v>559</v>
      </c>
      <c r="R2615" t="inlineStr">
        <is>
          <t>InStock</t>
        </is>
      </c>
      <c r="S2615" t="inlineStr">
        <is>
          <t>30.98</t>
        </is>
      </c>
      <c r="T2615" t="inlineStr">
        <is>
          <t>6729466445997</t>
        </is>
      </c>
    </row>
    <row r="2616" hidden="1" ht="15.75" customHeight="1">
      <c r="A2616" s="2">
        <f>HYPERLINK("https://edmondsonsupply.com/collections/hvac/products/greenlee-gsb09-1-1-8-step-bit-9", "https://edmondsonsupply.com/collections/hvac/products/greenlee-gsb09-1-1-8-step-bit-9")</f>
        <v/>
      </c>
      <c r="B2616" s="2">
        <f>HYPERLINK("https://edmondsonsupply.com/products/greenlee-gsb09-1-1-8-step-bit-9", "https://edmondsonsupply.com/products/greenlee-gsb09-1-1-8-step-bit-9")</f>
        <v/>
      </c>
      <c r="C2616" t="inlineStr">
        <is>
          <t>Greenlee GSB09 1-1/8" Step Bit (#9)</t>
        </is>
      </c>
      <c r="D2616" t="inlineStr">
        <is>
          <t>Greenlee GSB09 1-1/8" Step Bit (#9) Metal Cutter with Patented Split-Step Design, 1-1/8" Metal Cutting Tool for 1/2" Drill Chucks</t>
        </is>
      </c>
      <c r="E2616" s="2">
        <f>HYPERLINK("https://www.amazon.com/Greenlee-Patented-Split-Step-Design-Cutting/dp/B08TVGF4MS/ref=sr_1_1?keywords=Greenlee+GSB09+1-1%2F8%22+Step+Bit+%28%239%29&amp;qid=1694734894&amp;sr=8-1", "https://www.amazon.com/Greenlee-Patented-Split-Step-Design-Cutting/dp/B08TVGF4MS/ref=sr_1_1?keywords=Greenlee+GSB09+1-1%2F8%22+Step+Bit+%28%239%29&amp;qid=1694734894&amp;sr=8-1")</f>
        <v/>
      </c>
      <c r="F2616" t="inlineStr">
        <is>
          <t>B08TVGF4MS</t>
        </is>
      </c>
      <c r="G2616">
        <f>_xludf.IMAGE("https://edmondsonsupply.com/cdn/shop/files/GSB09_CAT1_72dpi.jpg?v=1687787938")</f>
        <v/>
      </c>
      <c r="H2616">
        <f>_xludf.IMAGE("https://m.media-amazon.com/images/I/41J5YEXJLpL._AC_UY218_.jpg")</f>
        <v/>
      </c>
      <c r="K2616" t="inlineStr">
        <is>
          <t>69.26</t>
        </is>
      </c>
      <c r="L2616" t="n">
        <v>65.61</v>
      </c>
      <c r="M2616" s="1" t="inlineStr">
        <is>
          <t>-5.27%</t>
        </is>
      </c>
      <c r="N2616" s="1" t="n">
        <v>333.63</v>
      </c>
      <c r="O2616" t="n">
        <v>3.8</v>
      </c>
      <c r="P2616" t="n">
        <v>5</v>
      </c>
      <c r="R2616" t="inlineStr">
        <is>
          <t>InStock</t>
        </is>
      </c>
      <c r="S2616" t="inlineStr">
        <is>
          <t>71.95</t>
        </is>
      </c>
      <c r="T2616" t="inlineStr">
        <is>
          <t>8009317875928</t>
        </is>
      </c>
    </row>
    <row r="2617" ht="87" customHeight="1">
      <c r="A2617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617" s="2">
        <f>HYPERLINK("https://edmondsonsupply.com/products/diablo-tools-dag1130-1-in-x-7-1-2-in-auger-bit", "https://edmondsonsupply.com/products/diablo-tools-dag1130-1-in-x-7-1-2-in-auger-bit")</f>
        <v/>
      </c>
      <c r="C2617" t="inlineStr">
        <is>
          <t>Diablo Tools DAG1130 1 in. x 7-1/2 in. Auger Bit</t>
        </is>
      </c>
      <c r="D2617" t="inlineStr">
        <is>
          <t>Diablo 11/16 in. x 7-1/2 in. Auger Bit</t>
        </is>
      </c>
      <c r="E2617" s="2">
        <f>HYPERLINK("https://www.amazon.com/Diablo-Freud-DAG1080-7-1-Auger/dp/B089LG9ZYP/ref=sr_1_13?keywords=Diablo+Tools+DAG1130+1+in.+x+7-1%2F2+in.+Auger+Bit&amp;qid=1694734776&amp;sr=8-13", "https://www.amazon.com/Diablo-Freud-DAG1080-7-1-Auger/dp/B089LG9ZYP/ref=sr_1_13?keywords=Diablo+Tools+DAG1130+1+in.+x+7-1%2F2+in.+Auger+Bit&amp;qid=1694734776&amp;sr=8-13")</f>
        <v/>
      </c>
      <c r="F2617" t="inlineStr">
        <is>
          <t>B089LG9ZYP</t>
        </is>
      </c>
      <c r="G2617">
        <f>_xlfn.IMAGE("https://edmondsonsupply.com/cdn/shop/products/DAG1130_Main-Image20200712.png?v=1633031124")</f>
        <v/>
      </c>
      <c r="H2617">
        <f>_xlfn.IMAGE("https://m.media-amazon.com/images/I/61YVX04mvWL._AC_UL320_.jpg")</f>
        <v/>
      </c>
      <c r="K2617" t="inlineStr">
        <is>
          <t>16.37</t>
        </is>
      </c>
      <c r="L2617" t="n">
        <v>15.49</v>
      </c>
      <c r="M2617" s="1" t="inlineStr">
        <is>
          <t>-5.38%</t>
        </is>
      </c>
      <c r="N2617" s="7" t="n">
        <v>333.61</v>
      </c>
      <c r="O2617" t="n">
        <v>4.5</v>
      </c>
      <c r="P2617" t="n">
        <v>7</v>
      </c>
      <c r="R2617" t="inlineStr">
        <is>
          <t>InStock</t>
        </is>
      </c>
      <c r="S2617" t="inlineStr">
        <is>
          <t>25.94</t>
        </is>
      </c>
      <c r="T2617" t="inlineStr">
        <is>
          <t>6866560581805</t>
        </is>
      </c>
    </row>
    <row r="2618" hidden="1" ht="15.75" customHeight="1">
      <c r="A2618" s="2">
        <f>HYPERLINK("https://edmondsonsupply.com/collections/hvac/products/klein-tools-86571-nylon-tie-tensioning-tool-with-auto-cutoff", "https://edmondsonsupply.com/collections/hvac/products/klein-tools-86571-nylon-tie-tensioning-tool-with-auto-cutoff")</f>
        <v/>
      </c>
      <c r="B2618" s="2">
        <f>HYPERLINK("https://edmondsonsupply.com/products/klein-tools-86571-nylon-tie-tensioning-tool-with-auto-cutoff", "https://edmondsonsupply.com/products/klein-tools-86571-nylon-tie-tensioning-tool-with-auto-cutoff")</f>
        <v/>
      </c>
      <c r="C2618" t="inlineStr">
        <is>
          <t>Klein Tools 86571 Nylon Tie Tensioning Tool with Auto Cutoff</t>
        </is>
      </c>
      <c r="D2618" t="inlineStr">
        <is>
          <t>Klein Tools 86571 Tie Tensioning Tool, for Ties Rated at 120 to 250-Pound, Supplies up to 65-Pound of Tension, with Excess Tie Auto Cut-Off</t>
        </is>
      </c>
      <c r="E2618" s="2">
        <f>HYPERLINK("https://www.amazon.com/Tensioning-Cutoff-Klein-Tools-86571/dp/B004G3PR00/ref=sr_1_1?keywords=Klein+Tools+86571+Nylon+Tie+Tensioning+Tool+with+Auto+Cutoff&amp;qid=1694734698&amp;sr=8-1", "https://www.amazon.com/Tensioning-Cutoff-Klein-Tools-86571/dp/B004G3PR00/ref=sr_1_1?keywords=Klein+Tools+86571+Nylon+Tie+Tensioning+Tool+with+Auto+Cutoff&amp;qid=1694734698&amp;sr=8-1")</f>
        <v/>
      </c>
      <c r="F2618" t="inlineStr">
        <is>
          <t>B004G3PR00</t>
        </is>
      </c>
      <c r="G2618">
        <f>_xludf.IMAGE("https://edmondsonsupply.com/cdn/shop/products/86571.jpg?v=1641255617")</f>
        <v/>
      </c>
      <c r="H2618">
        <f>_xludf.IMAGE("https://m.media-amazon.com/images/I/71GOE9uPKFL._AC_UL320_.jpg")</f>
        <v/>
      </c>
      <c r="K2618" t="inlineStr">
        <is>
          <t>36.99</t>
        </is>
      </c>
      <c r="L2618" t="n">
        <v>35</v>
      </c>
      <c r="M2618" s="1" t="inlineStr">
        <is>
          <t>-5.38%</t>
        </is>
      </c>
      <c r="N2618" s="1" t="n">
        <v>329.29</v>
      </c>
      <c r="O2618" t="n">
        <v>3.8</v>
      </c>
      <c r="P2618" t="n">
        <v>62</v>
      </c>
      <c r="R2618" t="inlineStr">
        <is>
          <t>InStock</t>
        </is>
      </c>
      <c r="S2618" t="inlineStr">
        <is>
          <t>54.04</t>
        </is>
      </c>
      <c r="T2618" t="inlineStr">
        <is>
          <t>7562139042008</t>
        </is>
      </c>
    </row>
    <row r="2619" hidden="1" ht="15.75" customHeight="1">
      <c r="A2619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619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619" t="inlineStr">
        <is>
          <t>Klein Tools 605-6 1/4-Inch Cabinet Tip Screwdriver, Heavy Duty, 6-Inch</t>
        </is>
      </c>
      <c r="D2619" t="inlineStr">
        <is>
          <t>Klein Tools 612-4 Screwdriver, Flat Head Terminal Block Screwdriver, 1/8-Inch Cabinet Tip, 4-Inch Round Shank, TB-DIN</t>
        </is>
      </c>
      <c r="E2619" s="2">
        <f>HYPERLINK("https://www.amazon.com/Screwdriver-Terminal-Klein-Tools-612-4/dp/B0058I6VNE/ref=sr_1_12?keywords=Klein+Tools+605-6+1%2F4-Inch+Cabinet+Tip+Screwdriver%2C+Heavy+Duty%2C+6-Inch&amp;qid=1694734725&amp;sr=8-12", "https://www.amazon.com/Screwdriver-Terminal-Klein-Tools-612-4/dp/B0058I6VNE/ref=sr_1_12?keywords=Klein+Tools+605-6+1%2F4-Inch+Cabinet+Tip+Screwdriver%2C+Heavy+Duty%2C+6-Inch&amp;qid=1694734725&amp;sr=8-12")</f>
        <v/>
      </c>
      <c r="F2619" t="inlineStr">
        <is>
          <t>B0058I6VNE</t>
        </is>
      </c>
      <c r="G2619">
        <f>_xludf.IMAGE("https://edmondsonsupply.com/cdn/shop/products/605-6.jpg?v=1587149759")</f>
        <v/>
      </c>
      <c r="H2619">
        <f>_xludf.IMAGE("https://m.media-amazon.com/images/I/51APfPlk95L._AC_UL320_.jpg")</f>
        <v/>
      </c>
      <c r="K2619" t="inlineStr">
        <is>
          <t>9.49</t>
        </is>
      </c>
      <c r="L2619" t="n">
        <v>8.970000000000001</v>
      </c>
      <c r="M2619" s="1" t="inlineStr">
        <is>
          <t>-5.48%</t>
        </is>
      </c>
      <c r="N2619" s="1" t="n">
        <v>328.76</v>
      </c>
      <c r="O2619" t="n">
        <v>4.8</v>
      </c>
      <c r="P2619" t="n">
        <v>1953</v>
      </c>
      <c r="R2619" t="inlineStr">
        <is>
          <t>InStock</t>
        </is>
      </c>
      <c r="S2619" t="inlineStr">
        <is>
          <t>14.38</t>
        </is>
      </c>
      <c r="T2619" t="inlineStr">
        <is>
          <t>4512371310692</t>
        </is>
      </c>
    </row>
    <row r="2620" hidden="1" ht="15.75" customHeight="1">
      <c r="A2620" s="2">
        <f>HYPERLINK("https://edmondsonsupply.com/collections/hvac/products/rectorseal-66732-nokink-3-4-x-3-flex-hose", "https://edmondsonsupply.com/collections/hvac/products/rectorseal-66732-nokink-3-4-x-3-flex-hose")</f>
        <v/>
      </c>
      <c r="B2620" s="2">
        <f>HYPERLINK("https://edmondsonsupply.com/products/rectorseal-66732-nokink-3-4-x-3-flex-hose", "https://edmondsonsupply.com/products/rectorseal-66732-nokink-3-4-x-3-flex-hose")</f>
        <v/>
      </c>
      <c r="C2620" t="inlineStr">
        <is>
          <t>RectorSeal 66732 NoKink 3/4" x 3' Flexible Refrigerant Line Connector</t>
        </is>
      </c>
      <c r="D2620" t="inlineStr">
        <is>
          <t>Rectorseal 68233 NoKink Flexible Refrigerant Line Connector, 3/8" x 72"</t>
        </is>
      </c>
      <c r="E2620" s="2">
        <f>HYPERLINK("https://www.amazon.com/Rectorseal-68233-Flexible-Refrigerant-Connector/dp/B010M22SOG/ref=sr_1_3?keywords=RectorSeal+66732+NoKink+3%2F4%22+x+3%27+Flexible+Refrigerant+Line+Connector&amp;qid=1694734868&amp;sr=8-3", "https://www.amazon.com/Rectorseal-68233-Flexible-Refrigerant-Connector/dp/B010M22SOG/ref=sr_1_3?keywords=RectorSeal+66732+NoKink+3%2F4%22+x+3%27+Flexible+Refrigerant+Line+Connector&amp;qid=1694734868&amp;sr=8-3")</f>
        <v/>
      </c>
      <c r="F2620" t="inlineStr">
        <is>
          <t>B010M22SOG</t>
        </is>
      </c>
      <c r="G2620">
        <f>_xludf.IMAGE("https://edmondsonsupply.com/cdn/shop/files/66732.png?v=1691010373")</f>
        <v/>
      </c>
      <c r="H2620">
        <f>_xludf.IMAGE("https://m.media-amazon.com/images/I/4101YLR79GL._AC_UL320_.jpg")</f>
        <v/>
      </c>
      <c r="K2620" t="inlineStr">
        <is>
          <t>123.99</t>
        </is>
      </c>
      <c r="L2620" t="n">
        <v>117.17</v>
      </c>
      <c r="M2620" s="1" t="inlineStr">
        <is>
          <t>-5.50%</t>
        </is>
      </c>
      <c r="N2620" s="1" t="n">
        <v>328.76</v>
      </c>
      <c r="O2620" t="n">
        <v>4</v>
      </c>
      <c r="P2620" t="n">
        <v>1</v>
      </c>
      <c r="R2620" t="inlineStr">
        <is>
          <t>InStock</t>
        </is>
      </c>
      <c r="S2620" t="inlineStr">
        <is>
          <t>undefined</t>
        </is>
      </c>
      <c r="T2620" t="inlineStr">
        <is>
          <t>8023863918808</t>
        </is>
      </c>
    </row>
    <row r="2621" ht="87" customHeight="1">
      <c r="A2621" s="2">
        <f>HYPERLINK("https://edmondsonsupply.com/collections/hvac/products/klein-tools-85076ins-screwdriver-set-1000v-insulated-6-piece", "https://edmondsonsupply.com/collections/hvac/products/klein-tools-85076ins-screwdriver-set-1000v-insulated-6-piece")</f>
        <v/>
      </c>
      <c r="B2621" s="2">
        <f>HYPERLINK("https://edmondsonsupply.com/products/klein-tools-85076ins-screwdriver-set-1000v-insulated-6-piece", "https://edmondsonsupply.com/products/klein-tools-85076ins-screwdriver-set-1000v-insulated-6-piece")</f>
        <v/>
      </c>
      <c r="C2621" t="inlineStr">
        <is>
          <t>Klein Tools 85076INS Screwdriver Set, 1000V Insulated, 6-Piece</t>
        </is>
      </c>
      <c r="D2621" t="inlineStr">
        <is>
          <t>Klein Tools 85076INS Insulated Screwdriver Set features 1000V Screwdrivers, (3) Phillips and (2) Slotted and Square Tips, 6-Piece</t>
        </is>
      </c>
      <c r="E2621" s="2">
        <f>HYPERLINK("https://www.amazon.com/Klein-Tools-85076INS-Screwdriver-Screwdrivers/dp/B0BF76JDCC/ref=sr_1_1?keywords=Klein+Tools+85076INS+Screwdriver+Set%2C+1000V+Insulated%2C+6-Piece&amp;qid=1694734687&amp;sr=8-1", "https://www.amazon.com/Klein-Tools-85076INS-Screwdriver-Screwdrivers/dp/B0BF76JDCC/ref=sr_1_1?keywords=Klein+Tools+85076INS+Screwdriver+Set%2C+1000V+Insulated%2C+6-Piece&amp;qid=1694734687&amp;sr=8-1")</f>
        <v/>
      </c>
      <c r="F2621" t="inlineStr">
        <is>
          <t>B0BF76JDCC</t>
        </is>
      </c>
      <c r="G2621">
        <f>_xlfn.IMAGE("https://edmondsonsupply.com/cdn/shop/products/85076ins.jpg?v=1664891110")</f>
        <v/>
      </c>
      <c r="H2621">
        <f>_xlfn.IMAGE("https://m.media-amazon.com/images/I/51wtKAQ0TLL._AC_UL320_.jpg")</f>
        <v/>
      </c>
      <c r="K2621" t="inlineStr">
        <is>
          <t>39.97</t>
        </is>
      </c>
      <c r="L2621" t="n">
        <v>37.74</v>
      </c>
      <c r="M2621" s="1" t="inlineStr">
        <is>
          <t>-5.58%</t>
        </is>
      </c>
      <c r="N2621" s="7" t="n">
        <v>328.13</v>
      </c>
      <c r="O2621" t="n">
        <v>4.7</v>
      </c>
      <c r="P2621" t="n">
        <v>201</v>
      </c>
      <c r="R2621" t="inlineStr">
        <is>
          <t>InStock</t>
        </is>
      </c>
      <c r="S2621" t="inlineStr">
        <is>
          <t>59.98</t>
        </is>
      </c>
      <c r="T2621" t="inlineStr">
        <is>
          <t>7839263916248</t>
        </is>
      </c>
    </row>
    <row r="2622" ht="87" customHeight="1">
      <c r="A2622" s="2">
        <f>HYPERLINK("https://edmondsonsupply.com/collections/hvac/products/yellow-jacket-29985-plus-ii-60-charging-hose", "https://edmondsonsupply.com/collections/hvac/products/yellow-jacket-29985-plus-ii-60-charging-hose")</f>
        <v/>
      </c>
      <c r="B2622" s="2">
        <f>HYPERLINK("https://edmondsonsupply.com/products/yellow-jacket-29985-plus-ii-60-charging-hose", "https://edmondsonsupply.com/products/yellow-jacket-29985-plus-ii-60-charging-hose")</f>
        <v/>
      </c>
      <c r="C2622" t="inlineStr">
        <is>
          <t>Yellow Jacket 29985 PLUS II 60" Charging Hose (RYB) w/ Compact Ball Valve, 3-Pack</t>
        </is>
      </c>
      <c r="D2622" t="inlineStr">
        <is>
          <t>Yellow Jacket 29984 Plus II 1/4" Hose with Compact Ball Valve, 48" (Pack of 3)</t>
        </is>
      </c>
      <c r="E2622" s="2">
        <f>HYPERLINK("https://www.amazon.com/Yellow-Jacket-29984-Compact-Valve/dp/B0036UHYGO/ref=sr_1_2?keywords=Yellow+Jacket+29985+PLUS+II+60%22+Charging+Hose+%28RYB%29+w%2F+Compact+Ball+Valve%2C+3-Pack&amp;qid=1694734589&amp;sr=8-2", "https://www.amazon.com/Yellow-Jacket-29984-Compact-Valve/dp/B0036UHYGO/ref=sr_1_2?keywords=Yellow+Jacket+29985+PLUS+II+60%22+Charging+Hose+%28RYB%29+w%2F+Compact+Ball+Valve%2C+3-Pack&amp;qid=1694734589&amp;sr=8-2")</f>
        <v/>
      </c>
      <c r="F2622" t="inlineStr">
        <is>
          <t>B0036UHYGO</t>
        </is>
      </c>
      <c r="G2622">
        <f>_xlfn.IMAGE("https://edmondsonsupply.com/cdn/shop/products/plus-ii-with-compact-ball-valve-end_daf9ff49-90e3-4782-bcfe-be83f0c422fa.jpg?v=1652142880")</f>
        <v/>
      </c>
      <c r="H2622">
        <f>_xlfn.IMAGE("https://m.media-amazon.com/images/I/71C3evC8EML._AC_UY218_.jpg")</f>
        <v/>
      </c>
      <c r="K2622" t="inlineStr">
        <is>
          <t>139.83</t>
        </is>
      </c>
      <c r="L2622" t="n">
        <v>131.99</v>
      </c>
      <c r="M2622" s="1" t="inlineStr">
        <is>
          <t>-5.61%</t>
        </is>
      </c>
      <c r="N2622" s="7" t="n">
        <v>326.71</v>
      </c>
      <c r="O2622" t="n">
        <v>4.6</v>
      </c>
      <c r="P2622" t="n">
        <v>70</v>
      </c>
      <c r="R2622" t="inlineStr">
        <is>
          <t>InStock</t>
        </is>
      </c>
      <c r="S2622" t="inlineStr">
        <is>
          <t>undefined</t>
        </is>
      </c>
      <c r="T2622" t="inlineStr">
        <is>
          <t>2503608041572</t>
        </is>
      </c>
    </row>
    <row r="2623" ht="87" customHeight="1">
      <c r="A2623" s="2">
        <f>HYPERLINK("https://edmondsonsupply.com/collections/hvac/products/5-2-1-compressor-saver-csru2", "https://edmondsonsupply.com/collections/hvac/products/5-2-1-compressor-saver-csru2")</f>
        <v/>
      </c>
      <c r="B2623" s="2">
        <f>HYPERLINK("https://edmondsonsupply.com/products/5-2-1-compressor-saver-csru2", "https://edmondsonsupply.com/products/5-2-1-compressor-saver-csru2")</f>
        <v/>
      </c>
      <c r="C2623" t="inlineStr">
        <is>
          <t>5-2-1 CSRU2 Compressor Saver, 3-1/2 to 5 Tons</t>
        </is>
      </c>
      <c r="D2623" t="inlineStr">
        <is>
          <t>[Upgraded] Ultra Durable 5-2-1 CSR-U2 Compressor Saver Hard Start Capacitor by BlueStars - Compatible for 3 1/2 to 5 Ton Units</t>
        </is>
      </c>
      <c r="E2623" s="2">
        <f>HYPERLINK("https://www.amazon.com/Upgraded-Durable-CSR-U2-Compressor-Capacitor/dp/B097947PG6/ref=sr_1_7?keywords=5-2-1+CSRU2+Compressor+Saver%2C+3-1%2F2+to+5+Tons&amp;qid=1694734823&amp;sr=8-7", "https://www.amazon.com/Upgraded-Durable-CSR-U2-Compressor-Capacitor/dp/B097947PG6/ref=sr_1_7?keywords=5-2-1+CSRU2+Compressor+Saver%2C+3-1%2F2+to+5+Tons&amp;qid=1694734823&amp;sr=8-7")</f>
        <v/>
      </c>
      <c r="F2623" t="inlineStr">
        <is>
          <t>B097947PG6</t>
        </is>
      </c>
      <c r="G2623">
        <f>_xlfn.IMAGE("https://edmondsonsupply.com/cdn/shop/products/CSRU2.jpg?v=1633030087")</f>
        <v/>
      </c>
      <c r="H2623">
        <f>_xlfn.IMAGE("https://m.media-amazon.com/images/I/81D4yuVmb4S._AC_UL320_.jpg")</f>
        <v/>
      </c>
      <c r="K2623" t="inlineStr">
        <is>
          <t>42.24</t>
        </is>
      </c>
      <c r="L2623" t="n">
        <v>39.87</v>
      </c>
      <c r="M2623" s="1" t="inlineStr">
        <is>
          <t>-5.61%</t>
        </is>
      </c>
      <c r="N2623" s="7" t="n">
        <v>326.38</v>
      </c>
      <c r="O2623" t="n">
        <v>4.2</v>
      </c>
      <c r="P2623" t="n">
        <v>35</v>
      </c>
      <c r="R2623" t="inlineStr">
        <is>
          <t>InStock</t>
        </is>
      </c>
      <c r="S2623" t="inlineStr">
        <is>
          <t>48.74</t>
        </is>
      </c>
      <c r="T2623" t="inlineStr">
        <is>
          <t>3561347317860</t>
        </is>
      </c>
    </row>
    <row r="2624" ht="87" customHeight="1">
      <c r="A2624" s="2">
        <f>HYPERLINK("https://edmondsonsupply.com/collections/hvac/products/milwaukee-48-25-1372-1-3-8-self-feed-wood-bit", "https://edmondsonsupply.com/collections/hvac/products/milwaukee-48-25-1372-1-3-8-self-feed-wood-bit")</f>
        <v/>
      </c>
      <c r="B2624" s="2">
        <f>HYPERLINK("https://edmondsonsupply.com/products/milwaukee-48-25-1372-1-3-8-self-feed-wood-bit", "https://edmondsonsupply.com/products/milwaukee-48-25-1372-1-3-8-self-feed-wood-bit")</f>
        <v/>
      </c>
      <c r="C2624" t="inlineStr">
        <is>
          <t>Milwaukee 48-25-1372 1-3/8" Self Feed Wood Bit</t>
        </is>
      </c>
      <c r="D2624" t="inlineStr">
        <is>
          <t>MILWAUKEE'S Self Feed Drill Bit, Dia 2, 7/16 Hex, 48-25-5135</t>
        </is>
      </c>
      <c r="E2624" s="2">
        <f>HYPERLINK("https://www.amazon.com/Milwaukee-48-25-5135-2-Inch-Switchblade-Selfeed/dp/B001CX4PO6/ref=sr_1_8?keywords=Milwaukee+48-25-1372+1-3%2F8%22+Self+Feed+Wood+Bit&amp;qid=1694734814&amp;sr=8-8", "https://www.amazon.com/Milwaukee-48-25-5135-2-Inch-Switchblade-Selfeed/dp/B001CX4PO6/ref=sr_1_8?keywords=Milwaukee+48-25-1372+1-3%2F8%22+Self+Feed+Wood+Bit&amp;qid=1694734814&amp;sr=8-8")</f>
        <v/>
      </c>
      <c r="F2624" t="inlineStr">
        <is>
          <t>B001CX4PO6</t>
        </is>
      </c>
      <c r="G2624">
        <f>_xlfn.IMAGE("https://edmondsonsupply.com/cdn/shop/products/milwaukee-auger-bits-48-25-1372-64_1000.jpg?v=1587150001")</f>
        <v/>
      </c>
      <c r="H2624">
        <f>_xlfn.IMAGE("https://m.media-amazon.com/images/I/717cmDqnbGS._AC_UL320_.jpg")</f>
        <v/>
      </c>
      <c r="K2624" t="inlineStr">
        <is>
          <t>34.99</t>
        </is>
      </c>
      <c r="L2624" t="n">
        <v>33.01</v>
      </c>
      <c r="M2624" s="1" t="inlineStr">
        <is>
          <t>-5.66%</t>
        </is>
      </c>
      <c r="N2624" s="7" t="n">
        <v>325.97</v>
      </c>
      <c r="O2624" t="n">
        <v>4.3</v>
      </c>
      <c r="P2624" t="n">
        <v>19</v>
      </c>
      <c r="R2624" t="inlineStr">
        <is>
          <t>InStock</t>
        </is>
      </c>
      <c r="S2624" t="inlineStr">
        <is>
          <t>43.2</t>
        </is>
      </c>
      <c r="T2624" t="inlineStr">
        <is>
          <t>4364850102372</t>
        </is>
      </c>
    </row>
    <row r="2625" ht="87" customHeight="1">
      <c r="A2625" s="2">
        <f>HYPERLINK("https://edmondsonsupply.com/collections/hvac/products/western-enterprises-vn-500-hvac-nitrogen-purging-regulator-flowmeter", "https://edmondsonsupply.com/collections/hvac/products/western-enterprises-vn-500-hvac-nitrogen-purging-regulator-flowmeter")</f>
        <v/>
      </c>
      <c r="B2625" s="2">
        <f>HYPERLINK("https://edmondsonsupply.com/products/western-enterprises-vn-500-hvac-nitrogen-purging-regulator-flowmeter", "https://edmondsonsupply.com/products/western-enterprises-vn-500-hvac-nitrogen-purging-regulator-flowmeter")</f>
        <v/>
      </c>
      <c r="C2625" t="inlineStr">
        <is>
          <t>Western Enterprises VN-500 HVAC Nitrogen Purging Regulator/Flowmeter</t>
        </is>
      </c>
      <c r="D2625" t="inlineStr">
        <is>
          <t>Western Enterprises VN-250 Flowmeter Nitrogen Purging Regulator w/250 PSI Test Pressure</t>
        </is>
      </c>
      <c r="E2625" s="2">
        <f>HYPERLINK("https://www.amazon.com/Western-Enterprises-VN-250-Flowmeter-Regulator/dp/B00D5R4FCY/ref=sr_1_3?keywords=Western+Enterprises+VN-500+HVAC+Nitrogen+Purging+Regulator%2FFlowmeter&amp;qid=1694734577&amp;sr=8-3", "https://www.amazon.com/Western-Enterprises-VN-250-Flowmeter-Regulator/dp/B00D5R4FCY/ref=sr_1_3?keywords=Western+Enterprises+VN-500+HVAC+Nitrogen+Purging+Regulator%2FFlowmeter&amp;qid=1694734577&amp;sr=8-3")</f>
        <v/>
      </c>
      <c r="F2625" t="inlineStr">
        <is>
          <t>B00D5R4FCY</t>
        </is>
      </c>
      <c r="G2625">
        <f>_xlfn.IMAGE("https://edmondsonsupply.com/cdn/shop/products/VN-500-1.jpg?v=1587142253")</f>
        <v/>
      </c>
      <c r="H2625">
        <f>_xlfn.IMAGE("https://m.media-amazon.com/images/I/411t-MixPLL._AC_UL320_.jpg")</f>
        <v/>
      </c>
      <c r="K2625" t="inlineStr">
        <is>
          <t>169.71</t>
        </is>
      </c>
      <c r="L2625" t="n">
        <v>159.99</v>
      </c>
      <c r="M2625" s="1" t="inlineStr">
        <is>
          <t>-5.73%</t>
        </is>
      </c>
      <c r="N2625" s="7" t="n">
        <v>324.06</v>
      </c>
      <c r="O2625" t="n">
        <v>4.7</v>
      </c>
      <c r="P2625" t="n">
        <v>124</v>
      </c>
      <c r="R2625" t="inlineStr">
        <is>
          <t>InStock</t>
        </is>
      </c>
      <c r="S2625" t="inlineStr">
        <is>
          <t>251.42</t>
        </is>
      </c>
      <c r="T2625" t="inlineStr">
        <is>
          <t>3498894393444</t>
        </is>
      </c>
    </row>
    <row r="2626" ht="87" customHeight="1">
      <c r="A2626" s="2">
        <f>HYPERLINK("https://edmondsonsupply.com/collections/hvac/products/midwest-mwt-6716b-bulldog-aviation-snip", "https://edmondsonsupply.com/collections/hvac/products/midwest-mwt-6716b-bulldog-aviation-snip")</f>
        <v/>
      </c>
      <c r="B2626" s="2">
        <f>HYPERLINK("https://edmondsonsupply.com/products/midwest-mwt-6716b-bulldog-aviation-snip", "https://edmondsonsupply.com/products/midwest-mwt-6716b-bulldog-aviation-snip")</f>
        <v/>
      </c>
      <c r="C2626" t="inlineStr">
        <is>
          <t>Midwest MWT-6716B Bulldog Aviation Snip</t>
        </is>
      </c>
      <c r="D2626" t="inlineStr">
        <is>
          <t>Midwest Snips MIDWEST Bulldog Aviation Tin Snip - Straight Cut Regular Tin Cutting Shears with Forged Blade &amp; KUSH'N-POWER Comfort Grips - MWT-6716B</t>
        </is>
      </c>
      <c r="E2626" s="2">
        <f>HYPERLINK("https://www.amazon.com/MIDWEST-Bulldog-Aviation-Tin-Snip/dp/B00OCGQJIA/ref=sr_1_1?keywords=Midwest+MWT-6716B+Bulldog+Aviation+Snip&amp;qid=1694734669&amp;sr=8-1", "https://www.amazon.com/MIDWEST-Bulldog-Aviation-Tin-Snip/dp/B00OCGQJIA/ref=sr_1_1?keywords=Midwest+MWT-6716B+Bulldog+Aviation+Snip&amp;qid=1694734669&amp;sr=8-1")</f>
        <v/>
      </c>
      <c r="F2626" t="inlineStr">
        <is>
          <t>B00OCGQJIA</t>
        </is>
      </c>
      <c r="G2626">
        <f>_xlfn.IMAGE("https://edmondsonsupply.com/cdn/shop/products/mwt-6716b.png?v=1587151187")</f>
        <v/>
      </c>
      <c r="H2626">
        <f>_xlfn.IMAGE("https://m.media-amazon.com/images/I/619mQ19odyL._AC_UL320_.jpg")</f>
        <v/>
      </c>
      <c r="K2626" t="inlineStr">
        <is>
          <t>21.2</t>
        </is>
      </c>
      <c r="L2626" t="n">
        <v>19.98</v>
      </c>
      <c r="M2626" s="1" t="inlineStr">
        <is>
          <t>-5.75%</t>
        </is>
      </c>
      <c r="N2626" s="7" t="n">
        <v>320.66</v>
      </c>
      <c r="O2626" t="n">
        <v>4.7</v>
      </c>
      <c r="P2626" t="n">
        <v>1620</v>
      </c>
      <c r="R2626" t="inlineStr">
        <is>
          <t>InStock</t>
        </is>
      </c>
      <c r="S2626" t="inlineStr">
        <is>
          <t>31.11</t>
        </is>
      </c>
      <c r="T2626" t="inlineStr">
        <is>
          <t>3688937390180</t>
        </is>
      </c>
    </row>
    <row r="2627" hidden="1" ht="15.75" customHeight="1">
      <c r="A2627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627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627" t="inlineStr">
        <is>
          <t>ICM Controls ICM2811 Furnace Control Board - Replacement for Goodman</t>
        </is>
      </c>
      <c r="D2627" t="inlineStr">
        <is>
          <t>ICM Controls ICM-2810 Furnace Control Board For Goodman PCBBF136 and PCBBF140</t>
        </is>
      </c>
      <c r="E2627" s="2">
        <f>HYPERLINK("https://www.amazon.com/ICM-Controls-ICM-2810-PCBBF136-PCBBF140/dp/B078KMX2V9/ref=sr_1_6?keywords=ICM+Controls+ICM2811+Furnace+Control+Board+-+Replacement+for+Goodman&amp;qid=1694734652&amp;sr=8-6", "https://www.amazon.com/ICM-Controls-ICM-2810-PCBBF136-PCBBF140/dp/B078KMX2V9/ref=sr_1_6?keywords=ICM+Controls+ICM2811+Furnace+Control+Board+-+Replacement+for+Goodman&amp;qid=1694734652&amp;sr=8-6")</f>
        <v/>
      </c>
      <c r="F2627" t="inlineStr">
        <is>
          <t>B078KMX2V9</t>
        </is>
      </c>
      <c r="G2627">
        <f>_xludf.IMAGE("https://edmondsonsupply.com/cdn/shop/products/photo_3800_medium_86f45e25-a764-4839-bc84-759a6ce1c7bd.jpg?v=1659910436")</f>
        <v/>
      </c>
      <c r="H2627">
        <f>_xludf.IMAGE("https://m.media-amazon.com/images/I/51UFjRz3HyL._AC_UL320_.jpg")</f>
        <v/>
      </c>
      <c r="K2627" t="inlineStr">
        <is>
          <t>68.99</t>
        </is>
      </c>
      <c r="L2627" t="n">
        <v>64.95</v>
      </c>
      <c r="M2627" s="1" t="inlineStr">
        <is>
          <t>-5.86%</t>
        </is>
      </c>
      <c r="N2627" s="1" t="n">
        <v>317.21</v>
      </c>
      <c r="O2627" t="n">
        <v>4</v>
      </c>
      <c r="P2627" t="n">
        <v>18</v>
      </c>
      <c r="R2627" t="inlineStr">
        <is>
          <t>InStock</t>
        </is>
      </c>
      <c r="S2627" t="inlineStr">
        <is>
          <t>93.62</t>
        </is>
      </c>
      <c r="T2627" t="inlineStr">
        <is>
          <t>4345448202340</t>
        </is>
      </c>
    </row>
    <row r="2628" hidden="1" ht="15.75" customHeight="1">
      <c r="A2628" s="2">
        <f>HYPERLINK("https://edmondsonsupply.com/collections/hvac/products/packard-trcfd5075-titan-pro-run-capacitor-50-7-5-mfd-440-370-volt-round", "https://edmondsonsupply.com/collections/hvac/products/packard-trcfd5075-titan-pro-run-capacitor-50-7-5-mfd-440-370-volt-round")</f>
        <v/>
      </c>
      <c r="B2628" s="2">
        <f>HYPERLINK("https://edmondsonsupply.com/products/packard-trcfd5075-titan-pro-run-capacitor-50-7-5-mfd-440-370-volt-round", "https://edmondsonsupply.com/products/packard-trcfd5075-titan-pro-run-capacitor-50-7-5-mfd-440-370-volt-round")</f>
        <v/>
      </c>
      <c r="C2628" t="inlineStr">
        <is>
          <t>Packard TRCFD5075 TITAN PRO Run Capacitor 50+7.5 MFD 440/370 Volt Round</t>
        </is>
      </c>
      <c r="D2628" t="inlineStr">
        <is>
          <t>Packard (Ship from USA Titan PRO TOCF7.5 Run Capacitor 7.5 MFD 440/370 Volt Oval (Made in The USA) /Item#H3NG UE-EW23D210882</t>
        </is>
      </c>
      <c r="E2628" s="2">
        <f>HYPERLINK("https://www.amazon.com/Ship-TITAN-TOCF7-5-Capacitor-UE-EW23D210882/dp/B01IBV3OW0/ref=sr_1_7?keywords=Packard+TRCFD5075+TITAN+PRO+Run+Capacitor+50%2B7.5+MFD+440%2F370+Volt+Round&amp;qid=1694734698&amp;sr=8-7", "https://www.amazon.com/Ship-TITAN-TOCF7-5-Capacitor-UE-EW23D210882/dp/B01IBV3OW0/ref=sr_1_7?keywords=Packard+TRCFD5075+TITAN+PRO+Run+Capacitor+50%2B7.5+MFD+440%2F370+Volt+Round&amp;qid=1694734698&amp;sr=8-7")</f>
        <v/>
      </c>
      <c r="F2628" t="inlineStr">
        <is>
          <t>B01IBV3OW0</t>
        </is>
      </c>
      <c r="G2628">
        <f>_xludf.IMAGE("https://edmondsonsupply.com/cdn/shop/products/trcfd-2_xl_1_2d7f0af9-c927-4d85-8362-4fec6127938b.jpg?v=1644785863")</f>
        <v/>
      </c>
      <c r="H2628">
        <f>_xludf.IMAGE("https://m.media-amazon.com/images/I/31sjomcmQxL._AC_UY218_.jpg")</f>
        <v/>
      </c>
      <c r="K2628" t="inlineStr">
        <is>
          <t>10.02</t>
        </is>
      </c>
      <c r="L2628" t="n">
        <v>9.43</v>
      </c>
      <c r="M2628" s="1" t="inlineStr">
        <is>
          <t>-5.89%</t>
        </is>
      </c>
      <c r="N2628" s="1" t="n">
        <v>316.65</v>
      </c>
      <c r="O2628" t="n">
        <v>5</v>
      </c>
      <c r="P2628" t="n">
        <v>9</v>
      </c>
      <c r="R2628" t="inlineStr">
        <is>
          <t>InStock</t>
        </is>
      </c>
      <c r="S2628" t="inlineStr">
        <is>
          <t>undefined</t>
        </is>
      </c>
      <c r="T2628" t="inlineStr">
        <is>
          <t>7606661677272</t>
        </is>
      </c>
    </row>
    <row r="2629" ht="87" customHeight="1">
      <c r="A2629" s="2">
        <f>HYPERLINK("https://edmondsonsupply.com/collections/hvac/products/klein-tools-dk06-serrated-duct-knife", "https://edmondsonsupply.com/collections/hvac/products/klein-tools-dk06-serrated-duct-knife")</f>
        <v/>
      </c>
      <c r="B2629" s="2">
        <f>HYPERLINK("https://edmondsonsupply.com/products/klein-tools-dk06-serrated-duct-knife", "https://edmondsonsupply.com/products/klein-tools-dk06-serrated-duct-knife")</f>
        <v/>
      </c>
      <c r="C2629" t="inlineStr">
        <is>
          <t>Klein Tools DK06 Serrated Duct Knife</t>
        </is>
      </c>
      <c r="D2629" t="inlineStr">
        <is>
          <t>Klein Tools DK06 Knife, Serrated Stainless Steel Bladed Duct Knife for Flexible Duct and Duct Board in Sheath</t>
        </is>
      </c>
      <c r="E2629" s="2">
        <f>HYPERLINK("https://www.amazon.com/Serrated-Stainless-Klein-Tools-DK06/dp/B003OA69W6/ref=sr_1_1?keywords=Klein+Tools+DK06+Serrated+Duct+Knife&amp;qid=1694734819&amp;sr=8-1", "https://www.amazon.com/Serrated-Stainless-Klein-Tools-DK06/dp/B003OA69W6/ref=sr_1_1?keywords=Klein+Tools+DK06+Serrated+Duct+Knife&amp;qid=1694734819&amp;sr=8-1")</f>
        <v/>
      </c>
      <c r="F2629" t="inlineStr">
        <is>
          <t>B003OA69W6</t>
        </is>
      </c>
      <c r="G2629">
        <f>_xlfn.IMAGE("https://edmondsonsupply.com/cdn/shop/products/dk06.jpg?v=1587142919")</f>
        <v/>
      </c>
      <c r="H2629">
        <f>_xlfn.IMAGE("https://m.media-amazon.com/images/I/41ibpakkw-L._AC_UL320_.jpg")</f>
        <v/>
      </c>
      <c r="K2629" t="inlineStr">
        <is>
          <t>16.97</t>
        </is>
      </c>
      <c r="L2629" t="n">
        <v>15.97</v>
      </c>
      <c r="M2629" s="1" t="inlineStr">
        <is>
          <t>-5.89%</t>
        </is>
      </c>
      <c r="N2629" s="7" t="n">
        <v>313.31</v>
      </c>
      <c r="O2629" t="n">
        <v>4.7</v>
      </c>
      <c r="P2629" t="n">
        <v>1512</v>
      </c>
      <c r="R2629" t="inlineStr">
        <is>
          <t>InStock</t>
        </is>
      </c>
      <c r="S2629" t="inlineStr">
        <is>
          <t>25.74</t>
        </is>
      </c>
      <c r="T2629" t="inlineStr">
        <is>
          <t>4334100152420</t>
        </is>
      </c>
    </row>
    <row r="2630" ht="87" customHeight="1">
      <c r="A2630" s="2">
        <f>HYPERLINK("https://edmondsonsupply.com/collections/hvac/products/channellock-428", "https://edmondsonsupply.com/collections/hvac/products/channellock-428")</f>
        <v/>
      </c>
      <c r="B2630" s="2">
        <f>HYPERLINK("https://edmondsonsupply.com/products/channellock-428", "https://edmondsonsupply.com/products/channellock-428")</f>
        <v/>
      </c>
      <c r="C2630" t="inlineStr">
        <is>
          <t>Channellock 428 8-Inch Straight Jaw Tongue &amp; Groove Pliers</t>
        </is>
      </c>
      <c r="D2630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2630" s="2">
        <f>HYPERLINK("https://www.amazon.com/Channellock-426-8-Inch-Capacity-2-Inch/dp/B00004SBCS/ref=sr_1_9?keywords=Channellock+428+8-Inch+Straight+Jaw+Tongue&amp;qid=1694734826&amp;sr=8-9", "https://www.amazon.com/Channellock-426-8-Inch-Capacity-2-Inch/dp/B00004SBCS/ref=sr_1_9?keywords=Channellock+428+8-Inch+Straight+Jaw+Tongue&amp;qid=1694734826&amp;sr=8-9")</f>
        <v/>
      </c>
      <c r="F2630" t="inlineStr">
        <is>
          <t>B00004SBCS</t>
        </is>
      </c>
      <c r="G2630">
        <f>_xlfn.IMAGE("https://edmondsonsupply.com/cdn/shop/products/428-683x1024.jpg?v=1587145854")</f>
        <v/>
      </c>
      <c r="H2630">
        <f>_xlfn.IMAGE("https://m.media-amazon.com/images/I/713NYKlIyoL._AC_UL320_.jpg")</f>
        <v/>
      </c>
      <c r="K2630" t="inlineStr">
        <is>
          <t>16.95</t>
        </is>
      </c>
      <c r="L2630" t="n">
        <v>15.95</v>
      </c>
      <c r="M2630" s="1" t="inlineStr">
        <is>
          <t>-5.90%</t>
        </is>
      </c>
      <c r="N2630" s="7" t="n">
        <v>313.04</v>
      </c>
      <c r="O2630" t="n">
        <v>4.7</v>
      </c>
      <c r="P2630" t="n">
        <v>1995</v>
      </c>
      <c r="R2630" t="inlineStr">
        <is>
          <t>InStock</t>
        </is>
      </c>
      <c r="S2630" t="inlineStr">
        <is>
          <t>25.06</t>
        </is>
      </c>
      <c r="T2630" t="inlineStr">
        <is>
          <t>3523408527460</t>
        </is>
      </c>
    </row>
    <row r="2631" ht="87" customHeight="1">
      <c r="A2631" s="2">
        <f>HYPERLINK("https://edmondsonsupply.com/collections/hvac/products/channellock-428", "https://edmondsonsupply.com/collections/hvac/products/channellock-428")</f>
        <v/>
      </c>
      <c r="B2631" s="2">
        <f>HYPERLINK("https://edmondsonsupply.com/products/channellock-428", "https://edmondsonsupply.com/products/channellock-428")</f>
        <v/>
      </c>
      <c r="C2631" t="inlineStr">
        <is>
          <t>Channellock 428 8-Inch Straight Jaw Tongue &amp; Groove Pliers</t>
        </is>
      </c>
      <c r="D2631" t="inlineStr">
        <is>
          <t>CHANNELLOCK 424 Straight Jaw Tongue &amp; Groove Pliers, 4.5-inch | 1/2-inch Jaw Capacity | 3 Adjustments | Forged High-Carbon U.S. Steel | 90° Teeth Grip in Both Directions | Made in USA, Polished Steel</t>
        </is>
      </c>
      <c r="E2631" s="2">
        <f>HYPERLINK("https://www.amazon.com/CHANNELLOCK-424-Adjustments-High-Carbon-Directions/dp/B00004SBCR/ref=sr_1_13?keywords=Channellock+428+8-Inch+Straight+Jaw+Tongue&amp;qid=1694734826&amp;sr=8-13", "https://www.amazon.com/CHANNELLOCK-424-Adjustments-High-Carbon-Directions/dp/B00004SBCR/ref=sr_1_13?keywords=Channellock+428+8-Inch+Straight+Jaw+Tongue&amp;qid=1694734826&amp;sr=8-13")</f>
        <v/>
      </c>
      <c r="F2631" t="inlineStr">
        <is>
          <t>B00004SBCR</t>
        </is>
      </c>
      <c r="G2631">
        <f>_xlfn.IMAGE("https://edmondsonsupply.com/cdn/shop/products/428-683x1024.jpg?v=1587145854")</f>
        <v/>
      </c>
      <c r="H2631">
        <f>_xlfn.IMAGE("https://m.media-amazon.com/images/I/71txViLKvZL._AC_UL320_.jpg")</f>
        <v/>
      </c>
      <c r="K2631" t="inlineStr">
        <is>
          <t>16.95</t>
        </is>
      </c>
      <c r="L2631" t="n">
        <v>15.95</v>
      </c>
      <c r="M2631" s="1" t="inlineStr">
        <is>
          <t>-5.90%</t>
        </is>
      </c>
      <c r="N2631" s="7" t="n">
        <v>310.33</v>
      </c>
      <c r="O2631" t="n">
        <v>4.7</v>
      </c>
      <c r="P2631" t="n">
        <v>1648</v>
      </c>
      <c r="R2631" t="inlineStr">
        <is>
          <t>InStock</t>
        </is>
      </c>
      <c r="S2631" t="inlineStr">
        <is>
          <t>25.06</t>
        </is>
      </c>
      <c r="T2631" t="inlineStr">
        <is>
          <t>3523408527460</t>
        </is>
      </c>
    </row>
    <row r="2632" ht="87" customHeight="1">
      <c r="A2632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2632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2632" t="inlineStr">
        <is>
          <t>Diablo Tools DMAPL4250 3/4 in. x 8 in. x 10 in. Rebar Demon™ SDS-Plus 4-Cutter Full Carbide Head Hammer Drill Bit</t>
        </is>
      </c>
      <c r="D2632" t="inlineStr">
        <is>
          <t>Diablo by Freud DMAPL4200 1/2 in. x 16 in. x 18 in. Rebar Demon SDS-Plus 4-Cutter Full Carbide Head Hammer Bit</t>
        </is>
      </c>
      <c r="E2632" s="2">
        <f>HYPERLINK("https://www.amazon.com/Diablo-Freud-DMAPL4200-SDS-Plus-4-Cutter/dp/B089KW2QV1/ref=sr_1_16?keywords=Diablo+Tools+DMAPL4250+3%2F4+in.+x+8+in.+x+10+in.+Rebar+Demon%E2%84%A2+SDS-Plus+4-Cutter+Full+Carbide+Head+Hammer+Drill+Bit&amp;qid=1694734913&amp;sr=8-16", "https://www.amazon.com/Diablo-Freud-DMAPL4200-SDS-Plus-4-Cutter/dp/B089KW2QV1/ref=sr_1_16?keywords=Diablo+Tools+DMAPL4250+3%2F4+in.+x+8+in.+x+10+in.+Rebar+Demon%E2%84%A2+SDS-Plus+4-Cutter+Full+Carbide+Head+Hammer+Drill+Bit&amp;qid=1694734913&amp;sr=8-16")</f>
        <v/>
      </c>
      <c r="F2632" t="inlineStr">
        <is>
          <t>B089KW2QV1</t>
        </is>
      </c>
      <c r="G2632">
        <f>_xlfn.IMAGE("https://edmondsonsupply.com/cdn/shop/files/rltcbi253wmfv6otmtz6.webp?v=1686576913")</f>
        <v/>
      </c>
      <c r="H2632">
        <f>_xlfn.IMAGE("https://m.media-amazon.com/images/I/61rW+ROVmNL._AC_UL320_.jpg")</f>
        <v/>
      </c>
      <c r="K2632" t="inlineStr">
        <is>
          <t>24.47</t>
        </is>
      </c>
      <c r="L2632" t="n">
        <v>23</v>
      </c>
      <c r="M2632" s="1" t="inlineStr">
        <is>
          <t>-6.01%</t>
        </is>
      </c>
      <c r="N2632" s="7" t="n">
        <v>309.01</v>
      </c>
      <c r="O2632" t="n">
        <v>4.7</v>
      </c>
      <c r="P2632" t="n">
        <v>18</v>
      </c>
      <c r="R2632" t="inlineStr">
        <is>
          <t>InStock</t>
        </is>
      </c>
      <c r="S2632" t="inlineStr">
        <is>
          <t>38.21</t>
        </is>
      </c>
      <c r="T2632" t="inlineStr">
        <is>
          <t>8004486168792</t>
        </is>
      </c>
    </row>
    <row r="2633" ht="87" customHeight="1">
      <c r="A2633" s="2">
        <f>HYPERLINK("https://edmondsonsupply.com/collections/hvac/products/milwaukee-2951-20-m12%E2%84%A2-radio-charger", "https://edmondsonsupply.com/collections/hvac/products/milwaukee-2951-20-m12%E2%84%A2-radio-charger")</f>
        <v/>
      </c>
      <c r="B2633" s="2">
        <f>HYPERLINK("https://edmondsonsupply.com/products/milwaukee-2951-20-m12%e2%84%a2-radio-charger", "https://edmondsonsupply.com/products/milwaukee-2951-20-m12%e2%84%a2-radio-charger")</f>
        <v/>
      </c>
      <c r="C2633" t="inlineStr">
        <is>
          <t>Milwaukee 2951-20 M12™ Radio + Charger</t>
        </is>
      </c>
      <c r="D2633" t="inlineStr">
        <is>
          <t>Milwaukee 2951-20 M12 Lithium-Ion Cordless Radio + Charger (Tool Only)</t>
        </is>
      </c>
      <c r="E2633" s="2">
        <f>HYPERLINK("https://www.amazon.com/Milwaukee-2951-20-Lithium-Ion-Cordless-Bluetooth/dp/B08CL27W51/ref=sr_1_1?keywords=Milwaukee+2951-20+M12%E2%84%A2+Radio+%2B+Charger&amp;qid=1694734792&amp;sr=8-1", "https://www.amazon.com/Milwaukee-2951-20-Lithium-Ion-Cordless-Bluetooth/dp/B08CL27W51/ref=sr_1_1?keywords=Milwaukee+2951-20+M12%E2%84%A2+Radio+%2B+Charger&amp;qid=1694734792&amp;sr=8-1")</f>
        <v/>
      </c>
      <c r="F2633" t="inlineStr">
        <is>
          <t>B08CL27W51</t>
        </is>
      </c>
      <c r="G2633">
        <f>_xlfn.IMAGE("https://edmondsonsupply.com/cdn/shop/products/images_2.png?v=1633030610")</f>
        <v/>
      </c>
      <c r="H2633">
        <f>_xlfn.IMAGE("https://m.media-amazon.com/images/I/61OrN0BXn+L._AC_UY218_.jpg")</f>
        <v/>
      </c>
      <c r="K2633" t="inlineStr">
        <is>
          <t>149.0</t>
        </is>
      </c>
      <c r="L2633" t="n">
        <v>139.89</v>
      </c>
      <c r="M2633" s="1" t="inlineStr">
        <is>
          <t>-6.11%</t>
        </is>
      </c>
      <c r="N2633" s="7" t="n">
        <v>309.01</v>
      </c>
      <c r="O2633" t="n">
        <v>4.7</v>
      </c>
      <c r="P2633" t="n">
        <v>910</v>
      </c>
      <c r="R2633" t="inlineStr">
        <is>
          <t>InStock</t>
        </is>
      </c>
      <c r="S2633" t="inlineStr">
        <is>
          <t>219.0</t>
        </is>
      </c>
      <c r="T2633" t="inlineStr">
        <is>
          <t>5646060814504</t>
        </is>
      </c>
    </row>
    <row r="2634" hidden="1" ht="15.75" customHeight="1">
      <c r="A2634" s="2">
        <f>HYPERLINK("https://edmondsonsupply.com/collections/hvac/products/klein-tools-32527-11-in-1-screwdriver-nut-driver-with-schrader%C2%AE-bit", "https://edmondsonsupply.com/collections/hvac/products/klein-tools-32527-11-in-1-screwdriver-nut-driver-with-schrader%C2%AE-bit")</f>
        <v/>
      </c>
      <c r="B2634" s="2">
        <f>HYPERLINK("https://edmondsonsupply.com/products/klein-tools-32527-11-in-1-screwdriver-nut-driver-with-schrader%c2%ae-bit", "https://edmondsonsupply.com/products/klein-tools-32527-11-in-1-screwdriver-nut-driver-with-schrader%c2%ae-bit")</f>
        <v/>
      </c>
      <c r="C2634" t="inlineStr">
        <is>
          <t>Klein Tools 32527 Multi-Bit Screwdriver / Nut Driver, 11-in-1, Ph, Sl, Sq, Schrader Bits</t>
        </is>
      </c>
      <c r="D2634" t="inlineStr">
        <is>
          <t>Klein Tools 32557 Multi-Bit Screwdriver / Nut Driver, Heavy Duty 10-in-1 with Interchangable Shafts and Ph, Sl, Sq, Hex Bits and Nut Drivers</t>
        </is>
      </c>
      <c r="E2634" s="2">
        <f>HYPERLINK("https://www.amazon.com/Klein-Tools-32557-Multi-Bit-Screwdriver/dp/B005FQDH9A/ref=sr_1_3?keywords=Klein+Tools+32527+Multi-Bit+Screwdriver+%2F+Nut+Driver%2C+11-in-1%2C+Ph%2C+Sl%2C+Sq%2C+Schrader+Bits&amp;qid=1694734779&amp;sr=8-3", "https://www.amazon.com/Klein-Tools-32557-Multi-Bit-Screwdriver/dp/B005FQDH9A/ref=sr_1_3?keywords=Klein+Tools+32527+Multi-Bit+Screwdriver+%2F+Nut+Driver%2C+11-in-1%2C+Ph%2C+Sl%2C+Sq%2C+Schrader+Bits&amp;qid=1694734779&amp;sr=8-3")</f>
        <v/>
      </c>
      <c r="F2634" t="inlineStr">
        <is>
          <t>B005FQDH9A</t>
        </is>
      </c>
      <c r="G2634">
        <f>_xludf.IMAGE("https://edmondsonsupply.com/cdn/shop/products/32527.jpg?v=1587146830")</f>
        <v/>
      </c>
      <c r="H2634">
        <f>_xludf.IMAGE("https://m.media-amazon.com/images/I/41vMDiO0rOL._AC_UL320_.jpg")</f>
        <v/>
      </c>
      <c r="K2634" t="inlineStr">
        <is>
          <t>15.97</t>
        </is>
      </c>
      <c r="L2634" t="n">
        <v>14.98</v>
      </c>
      <c r="M2634" s="1" t="inlineStr">
        <is>
          <t>-6.20%</t>
        </is>
      </c>
      <c r="N2634" s="1" t="n">
        <v>308.33</v>
      </c>
      <c r="O2634" t="n">
        <v>4.8</v>
      </c>
      <c r="P2634" t="n">
        <v>918</v>
      </c>
      <c r="R2634" t="inlineStr">
        <is>
          <t>InStock</t>
        </is>
      </c>
      <c r="S2634" t="inlineStr">
        <is>
          <t>27.52</t>
        </is>
      </c>
      <c r="T2634" t="inlineStr">
        <is>
          <t>3683661480036</t>
        </is>
      </c>
    </row>
    <row r="2635" hidden="1" ht="15.75" customHeight="1">
      <c r="A2635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635" s="2">
        <f>HYPERLINK("https://edmondsonsupply.com/products/klein-tools-32314-14-in-1-precision-screwdriver-nut-driver", "https://edmondsonsupply.com/products/klein-tools-32314-14-in-1-precision-screwdriver-nut-driver")</f>
        <v/>
      </c>
      <c r="C2635" t="inlineStr">
        <is>
          <t>Klein Tools 32314 14-in-1 Precision Screwdriver/ Nut Driver</t>
        </is>
      </c>
      <c r="D2635" t="inlineStr">
        <is>
          <t>Klein Tools 32557 Multi-Bit Screwdriver / Nut Driver, Heavy Duty 10-in-1 with Interchangable Shafts and Ph, Sl, Sq, Hex Bits and Nut Drivers</t>
        </is>
      </c>
      <c r="E2635" s="2">
        <f>HYPERLINK("https://www.amazon.com/Klein-Tools-32557-Multi-Bit-Screwdriver/dp/B005FQDH9A/ref=sr_1_20?keywords=Klein+Tools+32314+14-in-1+Precision+Screwdriver%2F+Nut+Driver&amp;qid=1694734697&amp;sr=8-20", "https://www.amazon.com/Klein-Tools-32557-Multi-Bit-Screwdriver/dp/B005FQDH9A/ref=sr_1_20?keywords=Klein+Tools+32314+14-in-1+Precision+Screwdriver%2F+Nut+Driver&amp;qid=1694734697&amp;sr=8-20")</f>
        <v/>
      </c>
      <c r="F2635" t="inlineStr">
        <is>
          <t>B005FQDH9A</t>
        </is>
      </c>
      <c r="G2635">
        <f>_xludf.IMAGE("https://edmondsonsupply.com/cdn/shop/products/32314.jpg?v=1646593726")</f>
        <v/>
      </c>
      <c r="H2635">
        <f>_xludf.IMAGE("https://m.media-amazon.com/images/I/41vMDiO0rOL._AC_UL320_.jpg")</f>
        <v/>
      </c>
      <c r="K2635" t="inlineStr">
        <is>
          <t>15.97</t>
        </is>
      </c>
      <c r="L2635" t="n">
        <v>14.98</v>
      </c>
      <c r="M2635" s="1" t="inlineStr">
        <is>
          <t>-6.20%</t>
        </is>
      </c>
      <c r="N2635" s="1" t="n">
        <v>307.81</v>
      </c>
      <c r="O2635" t="n">
        <v>4.8</v>
      </c>
      <c r="P2635" t="n">
        <v>918</v>
      </c>
      <c r="R2635" t="inlineStr">
        <is>
          <t>InStock</t>
        </is>
      </c>
      <c r="S2635" t="inlineStr">
        <is>
          <t>22.38</t>
        </is>
      </c>
      <c r="T2635" t="inlineStr">
        <is>
          <t>7626984947928</t>
        </is>
      </c>
    </row>
    <row r="2636" ht="87" customHeight="1">
      <c r="A2636" s="2">
        <f>HYPERLINK("https://edmondsonsupply.com/collections/hvac/products/white-rodgers-50a65-5165-integrated-furnace-control-board-replacement-for-trane", "https://edmondsonsupply.com/collections/hvac/products/white-rodgers-50a65-5165-integrated-furnace-control-board-replacement-for-trane")</f>
        <v/>
      </c>
      <c r="B2636" s="2">
        <f>HYPERLINK("https://edmondsonsupply.com/products/white-rodgers-50a65-5165-integrated-furnace-control-board-replacement-for-trane", "https://edmondsonsupply.com/products/white-rodgers-50a65-5165-integrated-furnace-control-board-replacement-for-trane")</f>
        <v/>
      </c>
      <c r="C2636" t="inlineStr">
        <is>
          <t>White-Rodgers 50A65-5165 Integrated Furnace Control Board, Replacement for Trane</t>
        </is>
      </c>
      <c r="D2636" t="inlineStr">
        <is>
          <t>White-Rodgers 50A65-5165 White Rodgers Direct Replacement for Trane Single Stage Integrated Furnace Control, 80V Ignitor</t>
        </is>
      </c>
      <c r="E2636" s="2">
        <f>HYPERLINK("https://www.amazon.com/White-Rodgers-50A65-5165-Rodgers-Replacement-Integrated/dp/B00NO2QFT6/ref=sr_1_1?keywords=White-Rodgers+50A65-5165+Integrated+Furnace+Control+Board%2C+Replacement+for+Trane&amp;qid=1694734629&amp;sr=8-1", "https://www.amazon.com/White-Rodgers-50A65-5165-Rodgers-Replacement-Integrated/dp/B00NO2QFT6/ref=sr_1_1?keywords=White-Rodgers+50A65-5165+Integrated+Furnace+Control+Board%2C+Replacement+for+Trane&amp;qid=1694734629&amp;sr=8-1")</f>
        <v/>
      </c>
      <c r="F2636" t="inlineStr">
        <is>
          <t>B00NO2QFT6</t>
        </is>
      </c>
      <c r="G2636">
        <f>_xlfn.IMAGE("https://edmondsonsupply.com/cdn/shop/products/integrated-furnace-controls-direct-oem-replacement-g.jpg?v=1633030662")</f>
        <v/>
      </c>
      <c r="H2636">
        <f>_xlfn.IMAGE("https://m.media-amazon.com/images/I/81feKWECeML._AC_UL320_.jpg")</f>
        <v/>
      </c>
      <c r="K2636" t="inlineStr">
        <is>
          <t>112.58</t>
        </is>
      </c>
      <c r="L2636" t="n">
        <v>105.6</v>
      </c>
      <c r="M2636" s="1" t="inlineStr">
        <is>
          <t>-6.20%</t>
        </is>
      </c>
      <c r="N2636" s="7" t="n">
        <v>307.77</v>
      </c>
      <c r="O2636" t="n">
        <v>4.7</v>
      </c>
      <c r="P2636" t="n">
        <v>333</v>
      </c>
      <c r="R2636" t="inlineStr">
        <is>
          <t>InStock</t>
        </is>
      </c>
      <c r="S2636" t="inlineStr">
        <is>
          <t>257.31</t>
        </is>
      </c>
      <c r="T2636" t="inlineStr">
        <is>
          <t>5757333209256</t>
        </is>
      </c>
    </row>
    <row r="2637" hidden="1" ht="15.75" customHeight="1">
      <c r="A2637" s="2">
        <f>HYPERLINK("https://edmondsonsupply.com/collections/hvac/products/midwest-mwt-fdk02-flex-duct-knife-with-rubberized-taper-handle", "https://edmondsonsupply.com/collections/hvac/products/midwest-mwt-fdk02-flex-duct-knife-with-rubberized-taper-handle")</f>
        <v/>
      </c>
      <c r="B2637" s="2">
        <f>HYPERLINK("https://edmondsonsupply.com/products/midwest-mwt-fdk02-flex-duct-knife-with-rubberized-taper-handle", "https://edmondsonsupply.com/products/midwest-mwt-fdk02-flex-duct-knife-with-rubberized-taper-handle")</f>
        <v/>
      </c>
      <c r="C2637" t="inlineStr">
        <is>
          <t>Midwest MWT-FDK02 Flex Duct Knife with Rubberized Taper Handle</t>
        </is>
      </c>
      <c r="D2637" t="inlineStr">
        <is>
          <t>MIDWEST Flex Duct Knife - 5" Blade with Rubberized Handle &amp; Nylon Sheath - MWT-FDK02</t>
        </is>
      </c>
      <c r="E2637" s="2">
        <f>HYPERLINK("https://www.amazon.com/Midwest-Tool-Cutlery-Flex-Knife/dp/B079YHKK3K/ref=sr_1_1?keywords=Midwest+MWT-FDK02+Flex+Duct+Knife+with+Rubberized+Taper+Handle&amp;qid=1694734743&amp;sr=8-1", "https://www.amazon.com/Midwest-Tool-Cutlery-Flex-Knife/dp/B079YHKK3K/ref=sr_1_1?keywords=Midwest+MWT-FDK02+Flex+Duct+Knife+with+Rubberized+Taper+Handle&amp;qid=1694734743&amp;sr=8-1")</f>
        <v/>
      </c>
      <c r="F2637" t="inlineStr">
        <is>
          <t>B079YHKK3K</t>
        </is>
      </c>
      <c r="G2637">
        <f>_xludf.IMAGE("https://edmondsonsupply.com/cdn/shop/products/MWT-FDK02-2.jpg?v=1587144675")</f>
        <v/>
      </c>
      <c r="H2637">
        <f>_xludf.IMAGE("https://m.media-amazon.com/images/I/71W+CDF4P6L._AC_UL320_.jpg")</f>
        <v/>
      </c>
      <c r="K2637" t="inlineStr">
        <is>
          <t>13.29</t>
        </is>
      </c>
      <c r="L2637" t="n">
        <v>12.46</v>
      </c>
      <c r="M2637" s="1" t="inlineStr">
        <is>
          <t>-6.25%</t>
        </is>
      </c>
      <c r="N2637" s="1" t="n">
        <v>307.46</v>
      </c>
      <c r="O2637" t="n">
        <v>4.4</v>
      </c>
      <c r="P2637" t="n">
        <v>213</v>
      </c>
      <c r="R2637" t="inlineStr">
        <is>
          <t>InStock</t>
        </is>
      </c>
      <c r="S2637" t="inlineStr">
        <is>
          <t>19.39</t>
        </is>
      </c>
      <c r="T2637" t="inlineStr">
        <is>
          <t>3071754993764</t>
        </is>
      </c>
    </row>
    <row r="2638" hidden="1" ht="15.75" customHeight="1">
      <c r="A2638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2638" s="2">
        <f>HYPERLINK("https://edmondsonsupply.com/products/klein-tools-610-stubby-nut-driver-set-1-1-2-inch-shafts-2-piece", "https://edmondsonsupply.com/products/klein-tools-610-stubby-nut-driver-set-1-1-2-inch-shafts-2-piece")</f>
        <v/>
      </c>
      <c r="C2638" t="inlineStr">
        <is>
          <t>Klein Tools 610 Stubby Nut Driver Set 1-1/2-Inch Shafts 2-Piece</t>
        </is>
      </c>
      <c r="D2638" t="inlineStr">
        <is>
          <t>Klein Tools 85071 Stubby Slotted and Phillips Screwdriver Set with 5/16-Inch Cabinet-Tips and #2 Phillips-Tip, 2-Piece</t>
        </is>
      </c>
      <c r="E2638" s="2">
        <f>HYPERLINK("https://www.amazon.com/Klein-Tools-85071-Screwdriver-Cushion/dp/B000F9CP1S/ref=sr_1_11?keywords=Klein+Tools+610+Stubby+Nut+Driver+Set+1-1%2F2-Inch+Shafts+2-Piece&amp;qid=1694734809&amp;sr=8-11", "https://www.amazon.com/Klein-Tools-85071-Screwdriver-Cushion/dp/B000F9CP1S/ref=sr_1_11?keywords=Klein+Tools+610+Stubby+Nut+Driver+Set+1-1%2F2-Inch+Shafts+2-Piece&amp;qid=1694734809&amp;sr=8-11")</f>
        <v/>
      </c>
      <c r="F2638" t="inlineStr">
        <is>
          <t>B000F9CP1S</t>
        </is>
      </c>
      <c r="G2638">
        <f>_xludf.IMAGE("https://edmondsonsupply.com/cdn/shop/products/610m_169714eb-6816-4f42-aa86-ea17ea5fcbbb.jpg?v=1633030110")</f>
        <v/>
      </c>
      <c r="H2638">
        <f>_xludf.IMAGE("https://m.media-amazon.com/images/I/71CBuPImq7L._AC_UL320_.jpg")</f>
        <v/>
      </c>
      <c r="K2638" t="inlineStr">
        <is>
          <t>15.99</t>
        </is>
      </c>
      <c r="L2638" t="n">
        <v>14.99</v>
      </c>
      <c r="M2638" s="1" t="inlineStr">
        <is>
          <t>-6.25%</t>
        </is>
      </c>
      <c r="N2638" s="1" t="n">
        <v>305.1</v>
      </c>
      <c r="O2638" t="n">
        <v>4.8</v>
      </c>
      <c r="P2638" t="n">
        <v>531</v>
      </c>
      <c r="R2638" t="inlineStr">
        <is>
          <t>InStock</t>
        </is>
      </c>
      <c r="S2638" t="inlineStr">
        <is>
          <t>24.26</t>
        </is>
      </c>
      <c r="T2638" t="inlineStr">
        <is>
          <t>3671774855268</t>
        </is>
      </c>
    </row>
    <row r="2639" hidden="1" ht="15.75" customHeight="1">
      <c r="A2639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639" s="2">
        <f>HYPERLINK("https://edmondsonsupply.com/products/klein-tools-32314-14-in-1-precision-screwdriver-nut-driver", "https://edmondsonsupply.com/products/klein-tools-32314-14-in-1-precision-screwdriver-nut-driver")</f>
        <v/>
      </c>
      <c r="C2639" t="inlineStr">
        <is>
          <t>Klein Tools 32314 14-in-1 Precision Screwdriver/ Nut Driver</t>
        </is>
      </c>
      <c r="D2639" t="inlineStr">
        <is>
          <t>Klein Tools 32581INS Precision Screwdriver, 2-in-1 Insulated Screwdriver with No. 0 Phillips and 1/8-Inch Slotted Bits</t>
        </is>
      </c>
      <c r="E2639" s="2">
        <f>HYPERLINK("https://www.amazon.com/Klein-Tools-32581INS-Precision-Screwdriver/dp/B0C1QDNC55/ref=sr_1_29?keywords=Klein+Tools+32314+14-in-1+Precision+Screwdriver%2F+Nut+Driver&amp;qid=1694734697&amp;sr=8-29", "https://www.amazon.com/Klein-Tools-32581INS-Precision-Screwdriver/dp/B0C1QDNC55/ref=sr_1_29?keywords=Klein+Tools+32314+14-in-1+Precision+Screwdriver%2F+Nut+Driver&amp;qid=1694734697&amp;sr=8-29")</f>
        <v/>
      </c>
      <c r="F2639" t="inlineStr">
        <is>
          <t>B0C1QDNC55</t>
        </is>
      </c>
      <c r="G2639">
        <f>_xludf.IMAGE("https://edmondsonsupply.com/cdn/shop/products/32314.jpg?v=1646593726")</f>
        <v/>
      </c>
      <c r="H2639">
        <f>_xludf.IMAGE("https://m.media-amazon.com/images/I/41yD1dTTQ8L._AC_UL320_.jpg")</f>
        <v/>
      </c>
      <c r="K2639" t="inlineStr">
        <is>
          <t>15.97</t>
        </is>
      </c>
      <c r="L2639" t="n">
        <v>14.97</v>
      </c>
      <c r="M2639" s="1" t="inlineStr">
        <is>
          <t>-6.26%</t>
        </is>
      </c>
      <c r="N2639" s="1" t="n">
        <v>303.35</v>
      </c>
      <c r="O2639" t="n">
        <v>4.8</v>
      </c>
      <c r="P2639" t="n">
        <v>77</v>
      </c>
      <c r="R2639" t="inlineStr">
        <is>
          <t>InStock</t>
        </is>
      </c>
      <c r="S2639" t="inlineStr">
        <is>
          <t>22.38</t>
        </is>
      </c>
      <c r="T2639" t="inlineStr">
        <is>
          <t>7626984947928</t>
        </is>
      </c>
    </row>
    <row r="2640" hidden="1" ht="15.75" customHeight="1">
      <c r="A2640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2640" s="2">
        <f>HYPERLINK("https://edmondsonsupply.com/products/klein-tools-11046-wire-stripper-cutter-16-26-awg-stranded", "https://edmondsonsupply.com/products/klein-tools-11046-wire-stripper-cutter-16-26-awg-stranded")</f>
        <v/>
      </c>
      <c r="C2640" t="inlineStr">
        <is>
          <t>Klein Tools 11046 Wire Stripper/Cutter 16-26 AWG Stranded</t>
        </is>
      </c>
      <c r="D2640" t="inlineStr">
        <is>
          <t>Klein Tools 1011 Multi-Purpose Wire Stripper and Cutter for 10-20 AWG Solid Wire and 12-22 AWG Stranded Wire Blue</t>
        </is>
      </c>
      <c r="E2640" s="2">
        <f>HYPERLINK("https://www.amazon.com/Multi-Purpose-Stripper-Klein-Tools-1011/dp/B0000302WM/ref=sr_1_21?keywords=Klein+Tools+11046+Wire+Stripper%2FCutter+16-26+AWG+Stranded&amp;qid=1694734810&amp;sr=8-21", "https://www.amazon.com/Multi-Purpose-Stripper-Klein-Tools-1011/dp/B0000302WM/ref=sr_1_21?keywords=Klein+Tools+11046+Wire+Stripper%2FCutter+16-26+AWG+Stranded&amp;qid=1694734810&amp;sr=8-21")</f>
        <v/>
      </c>
      <c r="F2640" t="inlineStr">
        <is>
          <t>B0000302WM</t>
        </is>
      </c>
      <c r="G2640">
        <f>_xludf.IMAGE("https://edmondsonsupply.com/cdn/shop/products/11046.jpg?v=1587147965")</f>
        <v/>
      </c>
      <c r="H2640">
        <f>_xludf.IMAGE("https://m.media-amazon.com/images/I/71A+JfSsr6L._AC_UL320_.jpg")</f>
        <v/>
      </c>
      <c r="K2640" t="inlineStr">
        <is>
          <t>15.97</t>
        </is>
      </c>
      <c r="L2640" t="n">
        <v>14.97</v>
      </c>
      <c r="M2640" s="1" t="inlineStr">
        <is>
          <t>-6.26%</t>
        </is>
      </c>
      <c r="N2640" s="1" t="n">
        <v>302.46</v>
      </c>
      <c r="O2640" t="n">
        <v>4.8</v>
      </c>
      <c r="P2640" t="n">
        <v>668</v>
      </c>
      <c r="R2640" t="inlineStr">
        <is>
          <t>InStock</t>
        </is>
      </c>
      <c r="S2640" t="inlineStr">
        <is>
          <t>23.56</t>
        </is>
      </c>
      <c r="T2640" t="inlineStr">
        <is>
          <t>3688603910244</t>
        </is>
      </c>
    </row>
    <row r="2641" hidden="1" ht="15.75" customHeight="1">
      <c r="A2641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641" s="2">
        <f>HYPERLINK("https://edmondsonsupply.com/products/klein-tools-32314-14-in-1-precision-screwdriver-nut-driver", "https://edmondsonsupply.com/products/klein-tools-32314-14-in-1-precision-screwdriver-nut-driver")</f>
        <v/>
      </c>
      <c r="C2641" t="inlineStr">
        <is>
          <t>Klein Tools 32314 14-in-1 Precision Screwdriver/ Nut Driver</t>
        </is>
      </c>
      <c r="D2641" t="inlineStr">
        <is>
          <t>Klein Tools 32314 Electronic Screwdriver, 14-in-1 with 8 Precision Tips, Slotted, Phillips, and Tamperproof TORX Bits, 6 Precision Nut Drivers</t>
        </is>
      </c>
      <c r="E2641" s="2">
        <f>HYPERLINK("https://www.amazon.com/Klein-Tools-32314-Screwdriver-Tamperproof/dp/B08J8GGQBL/ref=sr_1_1?keywords=Klein+Tools+32314+14-in-1+Precision+Screwdriver%2F+Nut+Driver&amp;qid=1694734697&amp;sr=8-1", "https://www.amazon.com/Klein-Tools-32314-Screwdriver-Tamperproof/dp/B08J8GGQBL/ref=sr_1_1?keywords=Klein+Tools+32314+14-in-1+Precision+Screwdriver%2F+Nut+Driver&amp;qid=1694734697&amp;sr=8-1")</f>
        <v/>
      </c>
      <c r="F2641" t="inlineStr">
        <is>
          <t>B08J8GGQBL</t>
        </is>
      </c>
      <c r="G2641">
        <f>_xludf.IMAGE("https://edmondsonsupply.com/cdn/shop/products/32314.jpg?v=1646593726")</f>
        <v/>
      </c>
      <c r="H2641">
        <f>_xludf.IMAGE("https://m.media-amazon.com/images/I/51r5V2PttIL._AC_UL320_.jpg")</f>
        <v/>
      </c>
      <c r="K2641" t="inlineStr">
        <is>
          <t>15.97</t>
        </is>
      </c>
      <c r="L2641" t="n">
        <v>14.97</v>
      </c>
      <c r="M2641" s="1" t="inlineStr">
        <is>
          <t>-6.26%</t>
        </is>
      </c>
      <c r="N2641" s="1" t="n">
        <v>301.18</v>
      </c>
      <c r="O2641" t="n">
        <v>4.7</v>
      </c>
      <c r="P2641" t="n">
        <v>2879</v>
      </c>
      <c r="R2641" t="inlineStr">
        <is>
          <t>InStock</t>
        </is>
      </c>
      <c r="S2641" t="inlineStr">
        <is>
          <t>22.38</t>
        </is>
      </c>
      <c r="T2641" t="inlineStr">
        <is>
          <t>7626984947928</t>
        </is>
      </c>
    </row>
    <row r="2642" hidden="1" ht="15.75" customHeight="1">
      <c r="A2642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642" s="2">
        <f>HYPERLINK("https://edmondsonsupply.com/products/klein-tools-32314-14-in-1-precision-screwdriver-nut-driver", "https://edmondsonsupply.com/products/klein-tools-32314-14-in-1-precision-screwdriver-nut-driver")</f>
        <v/>
      </c>
      <c r="C2642" t="inlineStr">
        <is>
          <t>Klein Tools 32314 14-in-1 Precision Screwdriver/ Nut Driver</t>
        </is>
      </c>
      <c r="D2642" t="inlineStr">
        <is>
          <t>Klein Tools 32500 11-in-1 Screwdriver / Nut Driver Set, 8 Bits (Phillips, Slotted, Torx, Square), 3 Nut Driver Sizes, Cushion Grip Handle</t>
        </is>
      </c>
      <c r="E2642" s="2">
        <f>HYPERLINK("https://www.amazon.com/Screwdriver-Industrial-Strength-Klein-Tools/dp/B0015SBILG/ref=sr_1_24?keywords=Klein+Tools+32314+14-in-1+Precision+Screwdriver%2F+Nut+Driver&amp;qid=1694734697&amp;sr=8-24", "https://www.amazon.com/Screwdriver-Industrial-Strength-Klein-Tools/dp/B0015SBILG/ref=sr_1_24?keywords=Klein+Tools+32314+14-in-1+Precision+Screwdriver%2F+Nut+Driver&amp;qid=1694734697&amp;sr=8-24")</f>
        <v/>
      </c>
      <c r="F2642" t="inlineStr">
        <is>
          <t>B0015SBILG</t>
        </is>
      </c>
      <c r="G2642">
        <f>_xludf.IMAGE("https://edmondsonsupply.com/cdn/shop/products/32314.jpg?v=1646593726")</f>
        <v/>
      </c>
      <c r="H2642">
        <f>_xludf.IMAGE("https://m.media-amazon.com/images/I/51x97TPxN5L._AC_UL320_.jpg")</f>
        <v/>
      </c>
      <c r="K2642" t="inlineStr">
        <is>
          <t>15.97</t>
        </is>
      </c>
      <c r="L2642" t="n">
        <v>14.97</v>
      </c>
      <c r="M2642" s="1" t="inlineStr">
        <is>
          <t>-6.26%</t>
        </is>
      </c>
      <c r="N2642" s="1" t="n">
        <v>301.1</v>
      </c>
      <c r="O2642" t="n">
        <v>4.8</v>
      </c>
      <c r="P2642" t="n">
        <v>24277</v>
      </c>
      <c r="R2642" t="inlineStr">
        <is>
          <t>InStock</t>
        </is>
      </c>
      <c r="S2642" t="inlineStr">
        <is>
          <t>22.38</t>
        </is>
      </c>
      <c r="T2642" t="inlineStr">
        <is>
          <t>7626984947928</t>
        </is>
      </c>
    </row>
    <row r="2643" hidden="1" ht="15.75" customHeight="1">
      <c r="A2643" s="2">
        <f>HYPERLINK("https://edmondsonsupply.com/collections/hvac/products/klein-tools-et05-digital-pocket-thermometer", "https://edmondsonsupply.com/collections/hvac/products/klein-tools-et05-digital-pocket-thermometer")</f>
        <v/>
      </c>
      <c r="B2643" s="2">
        <f>HYPERLINK("https://edmondsonsupply.com/products/klein-tools-et05-digital-pocket-thermometer", "https://edmondsonsupply.com/products/klein-tools-et05-digital-pocket-thermometer")</f>
        <v/>
      </c>
      <c r="C2643" t="inlineStr">
        <is>
          <t>Klein Tools ET05 Digital Pocket Thermometer</t>
        </is>
      </c>
      <c r="D2643" t="inlineStr">
        <is>
          <t>Klein Tools ET05 Digital Pocket Thermometer</t>
        </is>
      </c>
      <c r="E2643" s="2">
        <f>HYPERLINK("https://www.amazon.com/Digital-Thermometer-Klein-Tools-ET05/dp/B071JRZB49/ref=sr_1_1?keywords=Klein+Tools+ET05+Digital+Pocket+Thermometer&amp;qid=1694734826&amp;sr=8-1", "https://www.amazon.com/Digital-Thermometer-Klein-Tools-ET05/dp/B071JRZB49/ref=sr_1_1?keywords=Klein+Tools+ET05+Digital+Pocket+Thermometer&amp;qid=1694734826&amp;sr=8-1")</f>
        <v/>
      </c>
      <c r="F2643" t="inlineStr">
        <is>
          <t>B071JRZB49</t>
        </is>
      </c>
      <c r="G2643">
        <f>_xludf.IMAGE("https://edmondsonsupply.com/cdn/shop/products/et05.jpg?v=1587144900")</f>
        <v/>
      </c>
      <c r="H2643">
        <f>_xludf.IMAGE("https://m.media-amazon.com/images/I/613qwkGW38L._AC_UY218_.jpg")</f>
        <v/>
      </c>
      <c r="K2643" t="inlineStr">
        <is>
          <t>15.97</t>
        </is>
      </c>
      <c r="L2643" t="n">
        <v>14.97</v>
      </c>
      <c r="M2643" s="1" t="inlineStr">
        <is>
          <t>-6.26%</t>
        </is>
      </c>
      <c r="N2643" s="1" t="n">
        <v>300.9</v>
      </c>
      <c r="O2643" t="n">
        <v>4.5</v>
      </c>
      <c r="P2643" t="n">
        <v>2662</v>
      </c>
      <c r="R2643" t="inlineStr">
        <is>
          <t>InStock</t>
        </is>
      </c>
      <c r="S2643" t="inlineStr">
        <is>
          <t>25.18</t>
        </is>
      </c>
      <c r="T2643" t="inlineStr">
        <is>
          <t>4300015763556</t>
        </is>
      </c>
    </row>
    <row r="2644" ht="87" customHeight="1">
      <c r="A2644" s="2">
        <f>HYPERLINK("https://edmondsonsupply.com/collections/hvac/products/klein-tools-2138neeins-insulated-pliers-slim-handle-side-cutters-8-inch", "https://edmondsonsupply.com/collections/hvac/products/klein-tools-2138neeins-insulated-pliers-slim-handle-side-cutters-8-inch")</f>
        <v/>
      </c>
      <c r="B2644" s="2">
        <f>HYPERLINK("https://edmondsonsupply.com/products/klein-tools-2138neeins-insulated-pliers-slim-handle-side-cutters-8-inch", "https://edmondsonsupply.com/products/klein-tools-2138neeins-insulated-pliers-slim-handle-side-cutters-8-inch")</f>
        <v/>
      </c>
      <c r="C2644" t="inlineStr">
        <is>
          <t>Klein Tools 2138NEEINS Insulated Pliers, Slim Handle Side Cutters, 8-Inch</t>
        </is>
      </c>
      <c r="D2644" t="inlineStr">
        <is>
          <t>Klein Tools 2139NEEINS Slim Handle Insulated Side Cutter Pliers, Streamline New England Nose with Knurled Jaws, 9-Inch</t>
        </is>
      </c>
      <c r="E2644" s="2">
        <f>HYPERLINK("https://www.amazon.com/Klein-Tools-2139NEEINS-Cutting-Pliers/dp/B00JGG5RNE/ref=sr_1_1?keywords=Klein+Tools+2138NEEINS+Insulated+Pliers%2C+Slim+Handle+Side+Cutters%2C+8-Inch&amp;qid=1694734833&amp;sr=8-1", "https://www.amazon.com/Klein-Tools-2139NEEINS-Cutting-Pliers/dp/B00JGG5RNE/ref=sr_1_1?keywords=Klein+Tools+2138NEEINS+Insulated+Pliers%2C+Slim+Handle+Side+Cutters%2C+8-Inch&amp;qid=1694734833&amp;sr=8-1")</f>
        <v/>
      </c>
      <c r="F2644" t="inlineStr">
        <is>
          <t>B00JGG5RNE</t>
        </is>
      </c>
      <c r="G2644">
        <f>_xlfn.IMAGE("https://edmondsonsupply.com/cdn/shop/files/2138neeins.jpg?v=1694611719")</f>
        <v/>
      </c>
      <c r="H2644">
        <f>_xlfn.IMAGE("https://m.media-amazon.com/images/I/51eEwVZhacL._AC_UL320_.jpg")</f>
        <v/>
      </c>
      <c r="K2644" t="inlineStr">
        <is>
          <t>69.99</t>
        </is>
      </c>
      <c r="L2644" t="n">
        <v>65.59999999999999</v>
      </c>
      <c r="M2644" s="1" t="inlineStr">
        <is>
          <t>-6.27%</t>
        </is>
      </c>
      <c r="N2644" s="7" t="n">
        <v>300.9</v>
      </c>
      <c r="O2644" t="n">
        <v>4.7</v>
      </c>
      <c r="P2644" t="n">
        <v>241</v>
      </c>
      <c r="R2644" t="inlineStr">
        <is>
          <t>InStock</t>
        </is>
      </c>
      <c r="S2644" t="inlineStr">
        <is>
          <t>106.06</t>
        </is>
      </c>
      <c r="T2644" t="inlineStr">
        <is>
          <t>8036834476248</t>
        </is>
      </c>
    </row>
    <row r="2645" ht="87" customHeight="1">
      <c r="A2645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2645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2645" t="inlineStr">
        <is>
          <t>Diablo Tools DMAMXCC5010 2 in. x 7 in. SDS-Max Carbide Tipped Core Bit</t>
        </is>
      </c>
      <c r="D2645" t="inlineStr">
        <is>
          <t>Diablo 2 in. x 7 in. SDS-Max Carbide Tipped Core Bit</t>
        </is>
      </c>
      <c r="E2645" s="2">
        <f>HYPERLINK("https://www.amazon.com/Diablo-DMAMXCC5010-SDS-Max-Carbide-Tipped/dp/B089M8SC7R/ref=sr_1_1?keywords=Diablo+Tools+DMAMXCC5010+2+in.+x+7+in.+SDS-Max+Carbide+Tipped+Core+Bit&amp;qid=1694734911&amp;sr=8-1", "https://www.amazon.com/Diablo-DMAMXCC5010-SDS-Max-Carbide-Tipped/dp/B089M8SC7R/ref=sr_1_1?keywords=Diablo+Tools+DMAMXCC5010+2+in.+x+7+in.+SDS-Max+Carbide+Tipped+Core+Bit&amp;qid=1694734911&amp;sr=8-1")</f>
        <v/>
      </c>
      <c r="F2645" t="inlineStr">
        <is>
          <t>B089M8SC7R</t>
        </is>
      </c>
      <c r="G2645">
        <f>_xlfn.IMAGE("https://edmondsonsupply.com/cdn/shop/files/kbs61qpkymnshwvx13k1.webp?v=1686583113")</f>
        <v/>
      </c>
      <c r="H2645">
        <f>_xlfn.IMAGE("https://m.media-amazon.com/images/I/61bqzHyefdL._AC_UL320_.jpg")</f>
        <v/>
      </c>
      <c r="K2645" t="inlineStr">
        <is>
          <t>101.49</t>
        </is>
      </c>
      <c r="L2645" t="n">
        <v>94.98999999999999</v>
      </c>
      <c r="M2645" s="1" t="inlineStr">
        <is>
          <t>-6.40%</t>
        </is>
      </c>
      <c r="N2645" s="7" t="n">
        <v>300.83</v>
      </c>
      <c r="O2645" t="n">
        <v>4.1</v>
      </c>
      <c r="P2645" t="n">
        <v>3</v>
      </c>
      <c r="R2645" t="inlineStr">
        <is>
          <t>InStock</t>
        </is>
      </c>
      <c r="S2645" t="inlineStr">
        <is>
          <t>161.02</t>
        </is>
      </c>
      <c r="T2645" t="inlineStr">
        <is>
          <t>8004502585560</t>
        </is>
      </c>
    </row>
    <row r="2646" ht="87" customHeight="1">
      <c r="A2646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2646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2646" t="inlineStr">
        <is>
          <t>Diablo Tools DMAMXCC5010 2 in. x 7 in. SDS-Max Carbide Tipped Core Bit</t>
        </is>
      </c>
      <c r="D2646" t="inlineStr">
        <is>
          <t>Sabre Tools Sabre Tool 2 Inch x 21 Inch SDS MAX Rotary Hammer Drill Bit, U-Flute, Carbide Tipped for Brick, Stone, and Concrete SDS MAX Drivers ONLY (2inches x 15inches x 21</t>
        </is>
      </c>
      <c r="E2646" s="2">
        <f>HYPERLINK("https://www.amazon.com/Sabre-U-Flute-Carbide-Concrete-Drivers/dp/B0BF5T89Y5/ref=sr_1_9?keywords=Diablo+Tools+DMAMXCC5010+2+in.+x+7+in.+SDS-Max+Carbide+Tipped+Core+Bit&amp;qid=1694734911&amp;sr=8-9", "https://www.amazon.com/Sabre-U-Flute-Carbide-Concrete-Drivers/dp/B0BF5T89Y5/ref=sr_1_9?keywords=Diablo+Tools+DMAMXCC5010+2+in.+x+7+in.+SDS-Max+Carbide+Tipped+Core+Bit&amp;qid=1694734911&amp;sr=8-9")</f>
        <v/>
      </c>
      <c r="F2646" t="inlineStr">
        <is>
          <t>B0BF5T89Y5</t>
        </is>
      </c>
      <c r="G2646">
        <f>_xlfn.IMAGE("https://edmondsonsupply.com/cdn/shop/files/kbs61qpkymnshwvx13k1.webp?v=1686583113")</f>
        <v/>
      </c>
      <c r="H2646">
        <f>_xlfn.IMAGE("https://m.media-amazon.com/images/I/61K848Vxn2L._AC_UL320_.jpg")</f>
        <v/>
      </c>
      <c r="K2646" t="inlineStr">
        <is>
          <t>101.49</t>
        </is>
      </c>
      <c r="L2646" t="n">
        <v>94.98999999999999</v>
      </c>
      <c r="M2646" s="1" t="inlineStr">
        <is>
          <t>-6.40%</t>
        </is>
      </c>
      <c r="N2646" s="7" t="n">
        <v>300.5</v>
      </c>
      <c r="O2646" t="n">
        <v>4.6</v>
      </c>
      <c r="P2646" t="n">
        <v>178</v>
      </c>
      <c r="R2646" t="inlineStr">
        <is>
          <t>InStock</t>
        </is>
      </c>
      <c r="S2646" t="inlineStr">
        <is>
          <t>161.02</t>
        </is>
      </c>
      <c r="T2646" t="inlineStr">
        <is>
          <t>8004502585560</t>
        </is>
      </c>
    </row>
    <row r="2647" ht="87" customHeight="1">
      <c r="A2647" s="2">
        <f>HYPERLINK("https://edmondsonsupply.com/collections/hvac/products/milwaukee-2566-22-m12-fuel%E2%84%A2-1-4-high-speed-ratchet-kit", "https://edmondsonsupply.com/collections/hvac/products/milwaukee-2566-22-m12-fuel%E2%84%A2-1-4-high-speed-ratchet-kit")</f>
        <v/>
      </c>
      <c r="B2647" s="2">
        <f>HYPERLINK("https://edmondsonsupply.com/products/milwaukee-2566-22-m12-fuel%e2%84%a2-1-4-high-speed-ratchet-kit", "https://edmondsonsupply.com/products/milwaukee-2566-22-m12-fuel%e2%84%a2-1-4-high-speed-ratchet-kit")</f>
        <v/>
      </c>
      <c r="C2647" t="inlineStr">
        <is>
          <t>Milwaukee 2566-22 M12 FUEL™ 1/4" High Speed Ratchet Kit</t>
        </is>
      </c>
      <c r="D2647" t="inlineStr">
        <is>
          <t>Milwaukee 2566-22 M12 FUEL Brushless Lithium-Ion 1/4 in. Cordless High Speed Ratchet Kit with 2 Batteries (2 Ah)</t>
        </is>
      </c>
      <c r="E2647" s="2">
        <f>HYPERLINK("https://www.amazon.com/Milwaukee-FUEL-Speed-Cordless-Ratchet/dp/B08XB2SBDY/ref=sr_1_1?keywords=Milwaukee+2566-22+M12+FUEL%E2%84%A2+1%2F4%22+High+Speed+Ratchet+Kit&amp;qid=1694734903&amp;sr=8-1", "https://www.amazon.com/Milwaukee-FUEL-Speed-Cordless-Ratchet/dp/B08XB2SBDY/ref=sr_1_1?keywords=Milwaukee+2566-22+M12+FUEL%E2%84%A2+1%2F4%22+High+Speed+Ratchet+Kit&amp;qid=1694734903&amp;sr=8-1")</f>
        <v/>
      </c>
      <c r="F2647" t="inlineStr">
        <is>
          <t>B08XB2SBDY</t>
        </is>
      </c>
      <c r="G2647">
        <f>_xlfn.IMAGE("https://edmondsonsupply.com/cdn/shop/files/2566-22_Kit.png?v=1686936758")</f>
        <v/>
      </c>
      <c r="H2647">
        <f>_xlfn.IMAGE("https://m.media-amazon.com/images/I/410-8q8NgpL._AC_UL320_.jpg")</f>
        <v/>
      </c>
      <c r="K2647" t="inlineStr">
        <is>
          <t>299.0</t>
        </is>
      </c>
      <c r="L2647" t="n">
        <v>279</v>
      </c>
      <c r="M2647" s="1" t="inlineStr">
        <is>
          <t>-6.69%</t>
        </is>
      </c>
      <c r="N2647" s="7" t="n">
        <v>300.37</v>
      </c>
      <c r="O2647" t="n">
        <v>4.7</v>
      </c>
      <c r="P2647" t="n">
        <v>80</v>
      </c>
      <c r="R2647" t="inlineStr">
        <is>
          <t>InStock</t>
        </is>
      </c>
      <c r="S2647" t="inlineStr">
        <is>
          <t>558.0</t>
        </is>
      </c>
      <c r="T2647" t="inlineStr">
        <is>
          <t>8006190465240</t>
        </is>
      </c>
    </row>
    <row r="2648" ht="87" customHeight="1">
      <c r="A2648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648" s="2">
        <f>HYPERLINK("https://edmondsonsupply.com/products/klein-tools-d2000-28glw-diagonal-cutting-pliers-hi-viz-8-inch", "https://edmondsonsupply.com/products/klein-tools-d2000-28glw-diagonal-cutting-pliers-hi-viz-8-inch")</f>
        <v/>
      </c>
      <c r="C2648" t="inlineStr">
        <is>
          <t>Klein Tools D200028GLW Diagonal Cutting Pliers, High-Visibility, 8-Inch</t>
        </is>
      </c>
      <c r="D2648" t="inlineStr">
        <is>
          <t>Klein Tools J228-8 Pliers, Diagonal Cutting Pliers with Dual-Material Journeyman Handles, Short Jaws and Beveled Cutting Edges, 8-Inch</t>
        </is>
      </c>
      <c r="E2648" s="2">
        <f>HYPERLINK("https://www.amazon.com/Journeyman-Diagonal-Cutting-Klein-Tools-J228-8/dp/B0009XCETI/ref=sr_1_19?keywords=Klein+Tools+D200028GLW+Diagonal+Cutting+Pliers%2C+High-Visibility%2C+8-Inch&amp;qid=1694734781&amp;sr=8-19", "https://www.amazon.com/Journeyman-Diagonal-Cutting-Klein-Tools-J228-8/dp/B0009XCETI/ref=sr_1_19?keywords=Klein+Tools+D200028GLW+Diagonal+Cutting+Pliers%2C+High-Visibility%2C+8-Inch&amp;qid=1694734781&amp;sr=8-19")</f>
        <v/>
      </c>
      <c r="F2648" t="inlineStr">
        <is>
          <t>B0009XCETI</t>
        </is>
      </c>
      <c r="G2648">
        <f>_xlfn.IMAGE("https://edmondsonsupply.com/cdn/shop/products/d200028glw.jpg?v=1633030701")</f>
        <v/>
      </c>
      <c r="H2648">
        <f>_xlfn.IMAGE("https://m.media-amazon.com/images/I/41uYnLH+0mL._AC_UL320_.jpg")</f>
        <v/>
      </c>
      <c r="K2648" t="inlineStr">
        <is>
          <t>37.49</t>
        </is>
      </c>
      <c r="L2648" t="n">
        <v>34.97</v>
      </c>
      <c r="M2648" s="1" t="inlineStr">
        <is>
          <t>-6.72%</t>
        </is>
      </c>
      <c r="N2648" s="7" t="n">
        <v>300.21</v>
      </c>
      <c r="O2648" t="n">
        <v>4.8</v>
      </c>
      <c r="P2648" t="n">
        <v>557</v>
      </c>
      <c r="R2648" t="inlineStr">
        <is>
          <t>InStock</t>
        </is>
      </c>
      <c r="S2648" t="inlineStr">
        <is>
          <t>56.78</t>
        </is>
      </c>
      <c r="T2648" t="inlineStr">
        <is>
          <t>5848287477928</t>
        </is>
      </c>
    </row>
    <row r="2649" ht="87" customHeight="1">
      <c r="A2649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649" s="2">
        <f>HYPERLINK("https://edmondsonsupply.com/products/klein-tools-d2000-28glw-diagonal-cutting-pliers-hi-viz-8-inch", "https://edmondsonsupply.com/products/klein-tools-d2000-28glw-diagonal-cutting-pliers-hi-viz-8-inch")</f>
        <v/>
      </c>
      <c r="C2649" t="inlineStr">
        <is>
          <t>Klein Tools D200028GLW Diagonal Cutting Pliers, High-Visibility, 8-Inch</t>
        </is>
      </c>
      <c r="D2649" t="inlineStr">
        <is>
          <t>Klein Tools D2000-48 Pliers, Linemans Diagonal Cutting Pliers with High Leverage Design, 8-Inch</t>
        </is>
      </c>
      <c r="E2649" s="2">
        <f>HYPERLINK("https://www.amazon.com/Diagonal-Linemans-Klein-Tools-D2000-48/dp/B0000302WZ/ref=sr_1_5?keywords=Klein+Tools+D200028GLW+Diagonal+Cutting+Pliers%2C+High-Visibility%2C+8-Inch&amp;qid=1694734781&amp;sr=8-5", "https://www.amazon.com/Diagonal-Linemans-Klein-Tools-D2000-48/dp/B0000302WZ/ref=sr_1_5?keywords=Klein+Tools+D200028GLW+Diagonal+Cutting+Pliers%2C+High-Visibility%2C+8-Inch&amp;qid=1694734781&amp;sr=8-5")</f>
        <v/>
      </c>
      <c r="F2649" t="inlineStr">
        <is>
          <t>B0000302WZ</t>
        </is>
      </c>
      <c r="G2649">
        <f>_xlfn.IMAGE("https://edmondsonsupply.com/cdn/shop/products/d200028glw.jpg?v=1633030701")</f>
        <v/>
      </c>
      <c r="H2649">
        <f>_xlfn.IMAGE("https://m.media-amazon.com/images/I/41Y+q+BsIsL._AC_UL320_.jpg")</f>
        <v/>
      </c>
      <c r="K2649" t="inlineStr">
        <is>
          <t>37.49</t>
        </is>
      </c>
      <c r="L2649" t="n">
        <v>34.97</v>
      </c>
      <c r="M2649" s="1" t="inlineStr">
        <is>
          <t>-6.72%</t>
        </is>
      </c>
      <c r="N2649" s="7" t="n">
        <v>300.2</v>
      </c>
      <c r="O2649" t="n">
        <v>4.7</v>
      </c>
      <c r="P2649" t="n">
        <v>528</v>
      </c>
      <c r="R2649" t="inlineStr">
        <is>
          <t>InStock</t>
        </is>
      </c>
      <c r="S2649" t="inlineStr">
        <is>
          <t>56.78</t>
        </is>
      </c>
      <c r="T2649" t="inlineStr">
        <is>
          <t>5848287477928</t>
        </is>
      </c>
    </row>
    <row r="2650" ht="87" customHeight="1">
      <c r="A2650" s="2">
        <f>HYPERLINK("https://edmondsonsupply.com/collections/hvac/products/rectorseal-97795-mighty-pump-manual-a-c-condensate-pump", "https://edmondsonsupply.com/collections/hvac/products/rectorseal-97795-mighty-pump-manual-a-c-condensate-pump")</f>
        <v/>
      </c>
      <c r="B2650" s="2">
        <f>HYPERLINK("https://edmondsonsupply.com/products/rectorseal-97795-mighty-pump-manual-a-c-condensate-pump", "https://edmondsonsupply.com/products/rectorseal-97795-mighty-pump-manual-a-c-condensate-pump")</f>
        <v/>
      </c>
      <c r="C2650" t="inlineStr">
        <is>
          <t>Rectorseal 97795 Mighty Pump Manual A/C Condensate Pump</t>
        </is>
      </c>
      <c r="D2650" t="inlineStr">
        <is>
          <t>Rectorseal 97795 Mighty A/C Condensate Drain Line Pump</t>
        </is>
      </c>
      <c r="E2650" s="2">
        <f>HYPERLINK("https://www.amazon.com/Rectorseal-97795-Mighty-Condensate-Drain/dp/B003GC8NEE/ref=sr_1_1?keywords=Rectorseal+97795+Mighty+Pump+Manual+A%2FC+Condensate+Pump&amp;qid=1694734662&amp;sr=8-1", "https://www.amazon.com/Rectorseal-97795-Mighty-Condensate-Drain/dp/B003GC8NEE/ref=sr_1_1?keywords=Rectorseal+97795+Mighty+Pump+Manual+A%2FC+Condensate+Pump&amp;qid=1694734662&amp;sr=8-1")</f>
        <v/>
      </c>
      <c r="F2650" t="inlineStr">
        <is>
          <t>B003GC8NEE</t>
        </is>
      </c>
      <c r="G2650">
        <f>_xlfn.IMAGE("https://edmondsonsupply.com/cdn/shop/products/97795.png?v=1647393974")</f>
        <v/>
      </c>
      <c r="H2650">
        <f>_xlfn.IMAGE("https://m.media-amazon.com/images/I/81iOBJpr8oS._AC_UY218_.jpg")</f>
        <v/>
      </c>
      <c r="K2650" t="inlineStr">
        <is>
          <t>96.39</t>
        </is>
      </c>
      <c r="L2650" t="n">
        <v>89.88</v>
      </c>
      <c r="M2650" s="1" t="inlineStr">
        <is>
          <t>-6.75%</t>
        </is>
      </c>
      <c r="N2650" s="7" t="n">
        <v>300.04</v>
      </c>
      <c r="O2650" t="n">
        <v>4.5</v>
      </c>
      <c r="P2650" t="n">
        <v>673</v>
      </c>
      <c r="R2650" t="inlineStr">
        <is>
          <t>InStock</t>
        </is>
      </c>
      <c r="S2650" t="inlineStr">
        <is>
          <t>undefined</t>
        </is>
      </c>
      <c r="T2650" t="inlineStr">
        <is>
          <t>7637540798680</t>
        </is>
      </c>
    </row>
    <row r="2651" hidden="1" ht="15.75" customHeight="1">
      <c r="A2651" s="2">
        <f>HYPERLINK("https://edmondsonsupply.com/collections/hvac/products/klein-tools-69417-rare-earth-magnetic-meter-hanger", "https://edmondsonsupply.com/collections/hvac/products/klein-tools-69417-rare-earth-magnetic-meter-hanger")</f>
        <v/>
      </c>
      <c r="B2651" s="2">
        <f>HYPERLINK("https://edmondsonsupply.com/products/klein-tools-69417-rare-earth-magnetic-meter-hanger", "https://edmondsonsupply.com/products/klein-tools-69417-rare-earth-magnetic-meter-hanger")</f>
        <v/>
      </c>
      <c r="C2651" t="inlineStr">
        <is>
          <t>Klein Tools 69417 Rare Earth Magnetic Meter Hanger, with Strap</t>
        </is>
      </c>
      <c r="D2651" t="inlineStr">
        <is>
          <t>Klein Tools 69417 Rare-Earth Magnetic Hanger, with Strap</t>
        </is>
      </c>
      <c r="E2651" s="2">
        <f>HYPERLINK("https://www.amazon.com/Magnetic-Hanger-Klein-Tools-69417/dp/B01B7RBXZ0/ref=sr_1_1?keywords=Klein+Tools+69417+Rare+Earth+Magnetic+Meter+Hanger%2C+with+Strap&amp;qid=1694734820&amp;sr=8-1", "https://www.amazon.com/Magnetic-Hanger-Klein-Tools-69417/dp/B01B7RBXZ0/ref=sr_1_1?keywords=Klein+Tools+69417+Rare+Earth+Magnetic+Meter+Hanger%2C+with+Strap&amp;qid=1694734820&amp;sr=8-1")</f>
        <v/>
      </c>
      <c r="F2651" t="inlineStr">
        <is>
          <t>B01B7RBXZ0</t>
        </is>
      </c>
      <c r="G2651">
        <f>_xludf.IMAGE("https://edmondsonsupply.com/cdn/shop/products/69417.jpg?v=1587150163")</f>
        <v/>
      </c>
      <c r="H2651">
        <f>_xludf.IMAGE("https://m.media-amazon.com/images/I/51yfJbP4XCL._AC_UL320_.jpg")</f>
        <v/>
      </c>
      <c r="K2651" t="inlineStr">
        <is>
          <t>13.99</t>
        </is>
      </c>
      <c r="L2651" t="n">
        <v>13</v>
      </c>
      <c r="M2651" s="1" t="inlineStr">
        <is>
          <t>-7.08%</t>
        </is>
      </c>
      <c r="N2651" s="1" t="n">
        <v>299.74</v>
      </c>
      <c r="O2651" t="n">
        <v>4.8</v>
      </c>
      <c r="P2651" t="n">
        <v>3746</v>
      </c>
      <c r="R2651" t="inlineStr">
        <is>
          <t>InStock</t>
        </is>
      </c>
      <c r="S2651" t="inlineStr">
        <is>
          <t>20.0</t>
        </is>
      </c>
      <c r="T2651" t="inlineStr">
        <is>
          <t>1778073731172</t>
        </is>
      </c>
    </row>
    <row r="2652" hidden="1" ht="15.75" customHeight="1">
      <c r="A2652" s="2">
        <f>HYPERLINK("https://edmondsonsupply.com/collections/hvac/products/klein-tools-44219-replacement-hawkbill-blade-for-44218-3-pack", "https://edmondsonsupply.com/collections/hvac/products/klein-tools-44219-replacement-hawkbill-blade-for-44218-3-pack")</f>
        <v/>
      </c>
      <c r="B2652" s="2">
        <f>HYPERLINK("https://edmondsonsupply.com/products/klein-tools-44219-replacement-hawkbill-blade-for-44218-3-pack", "https://edmondsonsupply.com/products/klein-tools-44219-replacement-hawkbill-blade-for-44218-3-pack")</f>
        <v/>
      </c>
      <c r="C2652" t="inlineStr">
        <is>
          <t>Klein Tools 44219 Replacement Hawkbill Blade for 44218 3-Pack</t>
        </is>
      </c>
      <c r="D2652" t="inlineStr">
        <is>
          <t>Klein Tools 44219 Replacement Hawkbill Blade for 44218 3-Pack</t>
        </is>
      </c>
      <c r="E2652" s="2">
        <f>HYPERLINK("https://www.amazon.com/Replacement-Hawkbill-Klein-Tools-44219/dp/B072BQ6HGJ/ref=sr_1_1?keywords=Klein+Tools+44219+Replacement+Hawkbill+Blade+for+44218+3-Pack&amp;qid=1694734620&amp;sr=8-1", "https://www.amazon.com/Replacement-Hawkbill-Klein-Tools-44219/dp/B072BQ6HGJ/ref=sr_1_1?keywords=Klein+Tools+44219+Replacement+Hawkbill+Blade+for+44218+3-Pack&amp;qid=1694734620&amp;sr=8-1")</f>
        <v/>
      </c>
      <c r="F2652" t="inlineStr">
        <is>
          <t>B072BQ6HGJ</t>
        </is>
      </c>
      <c r="G2652">
        <f>_xludf.IMAGE("https://edmondsonsupply.com/cdn/shop/products/44219.jpg?v=1587143534")</f>
        <v/>
      </c>
      <c r="H2652">
        <f>_xludf.IMAGE("https://m.media-amazon.com/images/I/51+MvUsWHnL._AC_UL320_.jpg")</f>
        <v/>
      </c>
      <c r="K2652" t="inlineStr">
        <is>
          <t>13.99</t>
        </is>
      </c>
      <c r="L2652" t="n">
        <v>12.99</v>
      </c>
      <c r="M2652" s="1" t="inlineStr">
        <is>
          <t>-7.15%</t>
        </is>
      </c>
      <c r="N2652" s="1" t="n">
        <v>296.97</v>
      </c>
      <c r="O2652" t="n">
        <v>4.8</v>
      </c>
      <c r="P2652" t="n">
        <v>3343</v>
      </c>
      <c r="R2652" t="inlineStr">
        <is>
          <t>InStock</t>
        </is>
      </c>
      <c r="S2652" t="inlineStr">
        <is>
          <t>19.76</t>
        </is>
      </c>
      <c r="T2652" t="inlineStr">
        <is>
          <t>4171462246500</t>
        </is>
      </c>
    </row>
    <row r="2653" hidden="1" ht="15.75" customHeight="1">
      <c r="A2653" s="2">
        <f>HYPERLINK("https://edmondsonsupply.com/collections/hvac/products/copy-of-midwest-mwt-pbset01-pookie-buster-bit-set", "https://edmondsonsupply.com/collections/hvac/products/copy-of-midwest-mwt-pbset01-pookie-buster-bit-set")</f>
        <v/>
      </c>
      <c r="B2653" s="2">
        <f>HYPERLINK("https://edmondsonsupply.com/products/copy-of-midwest-mwt-pbset01-pookie-buster-bit-set", "https://edmondsonsupply.com/products/copy-of-midwest-mwt-pbset01-pookie-buster-bit-set")</f>
        <v/>
      </c>
      <c r="C2653" t="inlineStr">
        <is>
          <t>Midwest MWT-CDT01 Cleat Driver</t>
        </is>
      </c>
      <c r="D2653" t="inlineStr">
        <is>
          <t>MIDWEST Cleat Driver Tool - with &amp; - MWT-CDT0</t>
        </is>
      </c>
      <c r="E2653" s="2">
        <f>HYPERLINK("https://www.amazon.com/Midwest-Cleat-Driver-Tool-MWT-CDT01/dp/B07PVCW21K/ref=sr_1_1?keywords=Midwest+MWT-CDT01+Cleat+Driver&amp;qid=1694734621&amp;sr=8-1", "https://www.amazon.com/Midwest-Cleat-Driver-Tool-MWT-CDT01/dp/B07PVCW21K/ref=sr_1_1?keywords=Midwest+MWT-CDT01+Cleat+Driver&amp;qid=1694734621&amp;sr=8-1")</f>
        <v/>
      </c>
      <c r="F2653" t="inlineStr">
        <is>
          <t>B07PVCW21K</t>
        </is>
      </c>
      <c r="G2653">
        <f>_xludf.IMAGE("https://edmondsonsupply.com/cdn/shop/products/mwt-cdt01.webp?v=1680707918")</f>
        <v/>
      </c>
      <c r="H2653">
        <f>_xludf.IMAGE("https://m.media-amazon.com/images/I/71q+j7EaF9L._AC_UL320_.jpg")</f>
        <v/>
      </c>
      <c r="K2653" t="inlineStr">
        <is>
          <t>54.99</t>
        </is>
      </c>
      <c r="L2653" t="n">
        <v>51.05</v>
      </c>
      <c r="M2653" s="1" t="inlineStr">
        <is>
          <t>-7.16%</t>
        </is>
      </c>
      <c r="N2653" s="1" t="n">
        <v>294.58</v>
      </c>
      <c r="O2653" t="n">
        <v>3.7</v>
      </c>
      <c r="P2653" t="n">
        <v>13</v>
      </c>
      <c r="R2653" t="inlineStr">
        <is>
          <t>InStock</t>
        </is>
      </c>
      <c r="S2653" t="inlineStr">
        <is>
          <t>78.41</t>
        </is>
      </c>
      <c r="T2653" t="inlineStr">
        <is>
          <t>3153670307940</t>
        </is>
      </c>
    </row>
    <row r="2654" ht="87" customHeight="1">
      <c r="A2654" s="2">
        <f>HYPERLINK("https://edmondsonsupply.com/collections/hvac/products/milwaukee-2529-21xc-m12-fuel%E2%84%A2-compact-band-saw-kit", "https://edmondsonsupply.com/collections/hvac/products/milwaukee-2529-21xc-m12-fuel%E2%84%A2-compact-band-saw-kit")</f>
        <v/>
      </c>
      <c r="B2654" s="2">
        <f>HYPERLINK("https://edmondsonsupply.com/products/milwaukee-2529-21xc-m12-fuel%e2%84%a2-compact-band-saw-kit", "https://edmondsonsupply.com/products/milwaukee-2529-21xc-m12-fuel%e2%84%a2-compact-band-saw-kit")</f>
        <v/>
      </c>
      <c r="C2654" t="inlineStr">
        <is>
          <t>Milwaukee 2529-21XC M12 FUEL™ Compact Band Saw Kit</t>
        </is>
      </c>
      <c r="D2654" t="inlineStr">
        <is>
          <t>Milwaukee 2529-21XC M12 FUEL 12-Volt Lithium-Ion Cordless Compact Band Saw XC Kit with One 4.0 Ah Battery, Charger and Tool Bag</t>
        </is>
      </c>
      <c r="E2654" s="2">
        <f>HYPERLINK("https://www.amazon.com/Milwaukee-2529-21XC-12-Volt-Lithium-Ion-Cordless/dp/B09MSRNQ3L/ref=sr_1_1?keywords=Milwaukee+2529-21XC+M12+FUEL%E2%84%A2+Compact+Band+Saw+Kit&amp;qid=1694734681&amp;sr=8-1", "https://www.amazon.com/Milwaukee-2529-21XC-12-Volt-Lithium-Ion-Cordless/dp/B09MSRNQ3L/ref=sr_1_1?keywords=Milwaukee+2529-21XC+M12+FUEL%E2%84%A2+Compact+Band+Saw+Kit&amp;qid=1694734681&amp;sr=8-1")</f>
        <v/>
      </c>
      <c r="F2654" t="inlineStr">
        <is>
          <t>B09MSRNQ3L</t>
        </is>
      </c>
      <c r="G2654">
        <f>_xlfn.IMAGE("https://edmondsonsupply.com/cdn/shop/files/2529-21XC_Kit.webp?v=1686234086")</f>
        <v/>
      </c>
      <c r="H2654">
        <f>_xlfn.IMAGE("https://m.media-amazon.com/images/I/81RfSgmbepL._AC_UL320_.jpg")</f>
        <v/>
      </c>
      <c r="K2654" t="inlineStr">
        <is>
          <t>329.0</t>
        </is>
      </c>
      <c r="L2654" t="n">
        <v>304.95</v>
      </c>
      <c r="M2654" s="1" t="inlineStr">
        <is>
          <t>-7.31%</t>
        </is>
      </c>
      <c r="N2654" s="7" t="n">
        <v>293.31</v>
      </c>
      <c r="O2654" t="n">
        <v>4.7</v>
      </c>
      <c r="P2654" t="n">
        <v>40</v>
      </c>
      <c r="R2654" t="inlineStr">
        <is>
          <t>InStock</t>
        </is>
      </c>
      <c r="S2654" t="inlineStr">
        <is>
          <t>579.0</t>
        </is>
      </c>
      <c r="T2654" t="inlineStr">
        <is>
          <t>8002619605208</t>
        </is>
      </c>
    </row>
    <row r="2655" ht="87" customHeight="1">
      <c r="A2655" s="2">
        <f>HYPERLINK("https://edmondsonsupply.com/collections/hvac/products/testo-0590-7701-770-1-hook-clamp-meter", "https://edmondsonsupply.com/collections/hvac/products/testo-0590-7701-770-1-hook-clamp-meter")</f>
        <v/>
      </c>
      <c r="B2655" s="2">
        <f>HYPERLINK("https://edmondsonsupply.com/products/testo-0590-7701-770-1-hook-clamp-meter", "https://edmondsonsupply.com/products/testo-0590-7701-770-1-hook-clamp-meter")</f>
        <v/>
      </c>
      <c r="C2655" t="inlineStr">
        <is>
          <t>Testo 0590 7701 770-1 - Hook clamp meter</t>
        </is>
      </c>
      <c r="D2655" t="inlineStr">
        <is>
          <t>Testo 770-1 (0590 7701) TRMS Hook-Clamp Digital Multimeter with Inrush, 400A</t>
        </is>
      </c>
      <c r="E2655" s="2">
        <f>HYPERLINK("https://www.amazon.com/Testo-770-1-Hook-Clamp-Digital-Multimeter/dp/B01F3MPN9M/ref=sr_1_1?keywords=Testo+0590+7701+770-1+-+Hook+clamp+meter&amp;qid=1694734895&amp;sr=8-1", "https://www.amazon.com/Testo-770-1-Hook-Clamp-Digital-Multimeter/dp/B01F3MPN9M/ref=sr_1_1?keywords=Testo+0590+7701+770-1+-+Hook+clamp+meter&amp;qid=1694734895&amp;sr=8-1")</f>
        <v/>
      </c>
      <c r="F2655" t="inlineStr">
        <is>
          <t>B01F3MPN9M</t>
        </is>
      </c>
      <c r="G2655">
        <f>_xlfn.IMAGE("https://edmondsonsupply.com/cdn/shop/files/testo-770-1-11A-p-in-oth-005899_master.jpg?v=1688162964")</f>
        <v/>
      </c>
      <c r="H2655">
        <f>_xlfn.IMAGE("https://m.media-amazon.com/images/I/819sWSnbh4L._AC_UY218_.jpg")</f>
        <v/>
      </c>
      <c r="K2655" t="inlineStr">
        <is>
          <t>199.67</t>
        </is>
      </c>
      <c r="L2655" t="n">
        <v>184.66</v>
      </c>
      <c r="M2655" s="1" t="inlineStr">
        <is>
          <t>-7.52%</t>
        </is>
      </c>
      <c r="N2655" s="7" t="n">
        <v>291.28</v>
      </c>
      <c r="O2655" t="n">
        <v>4.4</v>
      </c>
      <c r="P2655" t="n">
        <v>23</v>
      </c>
      <c r="R2655" t="inlineStr">
        <is>
          <t>InStock</t>
        </is>
      </c>
      <c r="S2655" t="inlineStr">
        <is>
          <t>205.0</t>
        </is>
      </c>
      <c r="T2655" t="inlineStr">
        <is>
          <t>8011551965400</t>
        </is>
      </c>
    </row>
    <row r="2656" ht="87" customHeight="1">
      <c r="A2656" s="2">
        <f>HYPERLINK("https://edmondsonsupply.com/collections/hvac/products/midwest-mwt-ss6716r-special-hardness-aviation-snip-right-cutting", "https://edmondsonsupply.com/collections/hvac/products/midwest-mwt-ss6716r-special-hardness-aviation-snip-right-cutting")</f>
        <v/>
      </c>
      <c r="B2656" s="2">
        <f>HYPERLINK("https://edmondsonsupply.com/products/midwest-mwt-ss6716r-special-hardness-aviation-snip-right-cutting", "https://edmondsonsupply.com/products/midwest-mwt-ss6716r-special-hardness-aviation-snip-right-cutting")</f>
        <v/>
      </c>
      <c r="C2656" t="inlineStr">
        <is>
          <t>Midwest MWT-SS6716R Special Hardness Aviation Snip - Right-Cutting</t>
        </is>
      </c>
      <c r="D2656" t="inlineStr">
        <is>
          <t>Midwest Tool &amp; Cutlery Aviation Snip - Right Cut Regular Tin Cutting Shears with Forged Blade &amp; KUSH'N-POWER Comfort Grips - MWT-6716R</t>
        </is>
      </c>
      <c r="E2656" s="2">
        <f>HYPERLINK("https://www.amazon.com/MIDWEST-Aviation-Snip-KUSHN-POWER-MWT-6716R/dp/B00OCGQJL2/ref=sr_1_3?keywords=Midwest+MWT-SS6716R+Special+Hardness+Aviation+Snip+-+Right-Cutting&amp;qid=1694734647&amp;sr=8-3", "https://www.amazon.com/MIDWEST-Aviation-Snip-KUSHN-POWER-MWT-6716R/dp/B00OCGQJL2/ref=sr_1_3?keywords=Midwest+MWT-SS6716R+Special+Hardness+Aviation+Snip+-+Right-Cutting&amp;qid=1694734647&amp;sr=8-3")</f>
        <v/>
      </c>
      <c r="F2656" t="inlineStr">
        <is>
          <t>B00OCGQJL2</t>
        </is>
      </c>
      <c r="G2656">
        <f>_xlfn.IMAGE("https://edmondsonsupply.com/cdn/shop/products/MWT-SS6716R1.jpg?v=1587146219")</f>
        <v/>
      </c>
      <c r="H2656">
        <f>_xlfn.IMAGE("https://m.media-amazon.com/images/I/71E3s-FagnL._AC_UL320_.jpg")</f>
        <v/>
      </c>
      <c r="K2656" t="inlineStr">
        <is>
          <t>24.66</t>
        </is>
      </c>
      <c r="L2656" t="n">
        <v>22.8</v>
      </c>
      <c r="M2656" s="1" t="inlineStr">
        <is>
          <t>-7.54%</t>
        </is>
      </c>
      <c r="N2656" s="7" t="n">
        <v>291.17</v>
      </c>
      <c r="O2656" t="n">
        <v>4.4</v>
      </c>
      <c r="P2656" t="n">
        <v>575</v>
      </c>
      <c r="R2656" t="inlineStr">
        <is>
          <t>InStock</t>
        </is>
      </c>
      <c r="S2656" t="inlineStr">
        <is>
          <t>36.2</t>
        </is>
      </c>
      <c r="T2656" t="inlineStr">
        <is>
          <t>4508658204772</t>
        </is>
      </c>
    </row>
    <row r="2657" hidden="1" ht="15.75" customHeight="1">
      <c r="A2657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2657" s="2">
        <f>HYPERLINK("https://edmondsonsupply.com/products/klein-tools-jth4e17-1-2-inch-hex-key-journeyman-t-handle-4-inch", "https://edmondsonsupply.com/products/klein-tools-jth4e17-1-2-inch-hex-key-journeyman-t-handle-4-inch")</f>
        <v/>
      </c>
      <c r="C2657" t="inlineStr">
        <is>
          <t>Klein Tools JTH4E11 3/16-Inch Hex Key with Journeyman T-Handle, 4-Inch</t>
        </is>
      </c>
      <c r="D2657" t="inlineStr">
        <is>
          <t>Klein Tools JTH4E11 3/16-Inch Hex Key, Journeyman T-Handle, 4-Inch</t>
        </is>
      </c>
      <c r="E2657" s="2">
        <f>HYPERLINK("https://www.amazon.com/Journeyman-T-Handle-Klein-Tools-JTH4E11/dp/B004ITQHXI/ref=sr_1_1?keywords=Klein+Tools+JTH4E11+3%2F16-Inch+Hex+Key+with+Journeyman+T-Handle%2C+4-Inch&amp;qid=1694734725&amp;sr=8-1", "https://www.amazon.com/Journeyman-T-Handle-Klein-Tools-JTH4E11/dp/B004ITQHXI/ref=sr_1_1?keywords=Klein+Tools+JTH4E11+3%2F16-Inch+Hex+Key+with+Journeyman+T-Handle%2C+4-Inch&amp;qid=1694734725&amp;sr=8-1")</f>
        <v/>
      </c>
      <c r="F2657" t="inlineStr">
        <is>
          <t>B004ITQHXI</t>
        </is>
      </c>
      <c r="G2657">
        <f>_xludf.IMAGE("https://edmondsonsupply.com/cdn/shop/products/jth4e17.jpg?v=1587144836")</f>
        <v/>
      </c>
      <c r="H2657">
        <f>_xludf.IMAGE("https://m.media-amazon.com/images/I/51Yb8h41vLL._AC_UL320_.jpg")</f>
        <v/>
      </c>
      <c r="K2657" t="inlineStr">
        <is>
          <t>4.99</t>
        </is>
      </c>
      <c r="L2657" t="n">
        <v>4.61</v>
      </c>
      <c r="M2657" s="1" t="inlineStr">
        <is>
          <t>-7.62%</t>
        </is>
      </c>
      <c r="N2657" s="1" t="n">
        <v>291.16</v>
      </c>
      <c r="O2657" t="n">
        <v>4.8</v>
      </c>
      <c r="P2657" t="n">
        <v>2477</v>
      </c>
      <c r="R2657" t="inlineStr">
        <is>
          <t>InStock</t>
        </is>
      </c>
      <c r="S2657" t="inlineStr">
        <is>
          <t>7.6</t>
        </is>
      </c>
      <c r="T2657" t="inlineStr">
        <is>
          <t>4432217964644</t>
        </is>
      </c>
    </row>
    <row r="2658" hidden="1" ht="15.75" customHeight="1">
      <c r="A2658" s="2">
        <f>HYPERLINK("https://edmondsonsupply.com/collections/hvac/products/wiha-tools-70298-7-piece-terminatorblue-impact-bit-set-2-inch-bits", "https://edmondsonsupply.com/collections/hvac/products/wiha-tools-70298-7-piece-terminatorblue-impact-bit-set-2-inch-bits")</f>
        <v/>
      </c>
      <c r="B2658" s="2">
        <f>HYPERLINK("https://edmondsonsupply.com/products/wiha-tools-70298-7-piece-terminatorblue-impact-bit-set-2-inch-bits", "https://edmondsonsupply.com/products/wiha-tools-70298-7-piece-terminatorblue-impact-bit-set-2-inch-bits")</f>
        <v/>
      </c>
      <c r="C2658" t="inlineStr">
        <is>
          <t>Wiha Tools 70298 7 Piece TerminatorBlue Impact Bit Set - 2 Inch Bits</t>
        </is>
      </c>
      <c r="D2658" t="inlineStr">
        <is>
          <t>Wiha 7 Piece TerminatorBlue Impact Bit Set - 2 Inch Bits</t>
        </is>
      </c>
      <c r="E2658" s="2">
        <f>HYPERLINK("https://www.amazon.com/Wiha-Piece-TerminatorBlue-Impact-Bit/dp/B09FY9LM36/ref=sr_1_1?keywords=Wiha+Tools+70298+7+Piece+TerminatorBlue+Impact+Bit+Set+-+2+Inch+Bits&amp;qid=1694734869&amp;sr=8-1", "https://www.amazon.com/Wiha-Piece-TerminatorBlue-Impact-Bit/dp/B09FY9LM36/ref=sr_1_1?keywords=Wiha+Tools+70298+7+Piece+TerminatorBlue+Impact+Bit+Set+-+2+Inch+Bits&amp;qid=1694734869&amp;sr=8-1")</f>
        <v/>
      </c>
      <c r="F2658" t="inlineStr">
        <is>
          <t>B09FY9LM36</t>
        </is>
      </c>
      <c r="G2658">
        <f>_xludf.IMAGE("https://edmondsonsupply.com/cdn/shop/files/w6xdetv6bgqvrnalnaur_700x_fa994d71-03a0-405a-b336-3bdc4084c0da.webp?v=1690922757")</f>
        <v/>
      </c>
      <c r="H2658">
        <f>_xludf.IMAGE("https://m.media-amazon.com/images/I/41A4BvIv4SL._AC_UL320_.jpg")</f>
        <v/>
      </c>
      <c r="K2658" t="inlineStr">
        <is>
          <t>12.99</t>
        </is>
      </c>
      <c r="L2658" t="n">
        <v>11.99</v>
      </c>
      <c r="M2658" s="1" t="inlineStr">
        <is>
          <t>-7.70%</t>
        </is>
      </c>
      <c r="N2658" s="1" t="n">
        <v>286.86</v>
      </c>
      <c r="O2658" t="n">
        <v>5</v>
      </c>
      <c r="P2658" t="n">
        <v>4</v>
      </c>
      <c r="R2658" t="inlineStr">
        <is>
          <t>InStock</t>
        </is>
      </c>
      <c r="S2658" t="inlineStr">
        <is>
          <t>16.98</t>
        </is>
      </c>
      <c r="T2658" t="inlineStr">
        <is>
          <t>8023563239640</t>
        </is>
      </c>
    </row>
    <row r="2659" ht="87" customHeight="1">
      <c r="A2659" s="2">
        <f>HYPERLINK("https://edmondsonsupply.com/collections/hvac/products/nu-calgon-4296-60-pan-treat-condensate-tablets", "https://edmondsonsupply.com/collections/hvac/products/nu-calgon-4296-60-pan-treat-condensate-tablets")</f>
        <v/>
      </c>
      <c r="B2659" s="2">
        <f>HYPERLINK("https://edmondsonsupply.com/products/nu-calgon-4296-60-pan-treat-condensate-tablets", "https://edmondsonsupply.com/products/nu-calgon-4296-60-pan-treat-condensate-tablets")</f>
        <v/>
      </c>
      <c r="C2659" t="inlineStr">
        <is>
          <t>Nu-Calgon 4296-60 Pan-Treat Condensate Tablets</t>
        </is>
      </c>
      <c r="D2659" t="inlineStr">
        <is>
          <t>Nu-Calgon 4296-60 Pan-Treat Scum 200 Tablets</t>
        </is>
      </c>
      <c r="E2659" s="2">
        <f>HYPERLINK("https://www.amazon.com/Nu-Calgon-4296-60-Pan-Treat-Scum-Tablets/dp/B003N5AS60/ref=sr_1_1?keywords=Nu-Calgon+4296-60+Pan-Treat+Condensate+Tablets&amp;qid=1694734770&amp;sr=8-1", "https://www.amazon.com/Nu-Calgon-4296-60-Pan-Treat-Scum-Tablets/dp/B003N5AS60/ref=sr_1_1?keywords=Nu-Calgon+4296-60+Pan-Treat+Condensate+Tablets&amp;qid=1694734770&amp;sr=8-1")</f>
        <v/>
      </c>
      <c r="F2659" t="inlineStr">
        <is>
          <t>B003N5AS60</t>
        </is>
      </c>
      <c r="G2659">
        <f>_xlfn.IMAGE("https://edmondsonsupply.com/cdn/shop/products/4296-60.jpg?v=1658772697")</f>
        <v/>
      </c>
      <c r="H2659">
        <f>_xlfn.IMAGE("https://m.media-amazon.com/images/I/81WeEu9iZfL._AC_UY218_.jpg")</f>
        <v/>
      </c>
      <c r="K2659" t="inlineStr">
        <is>
          <t>27.3</t>
        </is>
      </c>
      <c r="L2659" t="n">
        <v>25.19</v>
      </c>
      <c r="M2659" s="1" t="inlineStr">
        <is>
          <t>-7.73%</t>
        </is>
      </c>
      <c r="N2659" s="7" t="n">
        <v>285.26</v>
      </c>
      <c r="O2659" t="n">
        <v>4.7</v>
      </c>
      <c r="P2659" t="n">
        <v>1421</v>
      </c>
      <c r="R2659" t="inlineStr">
        <is>
          <t>InStock</t>
        </is>
      </c>
      <c r="S2659" t="inlineStr">
        <is>
          <t>36.4</t>
        </is>
      </c>
      <c r="T2659" t="inlineStr">
        <is>
          <t>7760611311832</t>
        </is>
      </c>
    </row>
    <row r="2660" ht="87" customHeight="1">
      <c r="A2660" s="2">
        <f>HYPERLINK("https://edmondsonsupply.com/collections/hvac/products/greenlee-gsb02-1-2-step-bit-2", "https://edmondsonsupply.com/collections/hvac/products/greenlee-gsb02-1-2-step-bit-2")</f>
        <v/>
      </c>
      <c r="B2660" s="2">
        <f>HYPERLINK("https://edmondsonsupply.com/products/greenlee-gsb02-1-2-step-bit-2", "https://edmondsonsupply.com/products/greenlee-gsb02-1-2-step-bit-2")</f>
        <v/>
      </c>
      <c r="C2660" t="inlineStr">
        <is>
          <t>Greenlee GSB02 1/2" Step Bit (#2)</t>
        </is>
      </c>
      <c r="D2660" t="inlineStr">
        <is>
          <t>Greenlee GSB04 7/8" Step Bit (#4) Metal Cutter with Patented Split-Step Design, 7/8" Metal Cutting Tool for 1/2" Drill Chucks</t>
        </is>
      </c>
      <c r="E2660" s="2">
        <f>HYPERLINK("https://www.amazon.com/Greenlee-GSB04-Step-Bit/dp/B08TVF22W4/ref=sr_1_3?keywords=Greenlee+GSB02+1%2F2%22+Step+Bit+%28%232%29&amp;qid=1694734901&amp;sr=8-3", "https://www.amazon.com/Greenlee-GSB04-Step-Bit/dp/B08TVF22W4/ref=sr_1_3?keywords=Greenlee+GSB02+1%2F2%22+Step+Bit+%28%232%29&amp;qid=1694734901&amp;sr=8-3")</f>
        <v/>
      </c>
      <c r="F2660" t="inlineStr">
        <is>
          <t>B08TVF22W4</t>
        </is>
      </c>
      <c r="G2660">
        <f>_xlfn.IMAGE("https://edmondsonsupply.com/cdn/shop/files/GSB02_CAT1_72dpi.jpg?v=1687783943")</f>
        <v/>
      </c>
      <c r="H2660">
        <f>_xlfn.IMAGE("https://m.media-amazon.com/images/I/41FX4czhS0L._AC_UY218_.jpg")</f>
        <v/>
      </c>
      <c r="K2660" t="inlineStr">
        <is>
          <t>39.29</t>
        </is>
      </c>
      <c r="L2660" t="n">
        <v>36.24</v>
      </c>
      <c r="M2660" s="1" t="inlineStr">
        <is>
          <t>-7.76%</t>
        </is>
      </c>
      <c r="N2660" s="7" t="n">
        <v>284.83</v>
      </c>
      <c r="O2660" t="n">
        <v>5</v>
      </c>
      <c r="P2660" t="n">
        <v>7</v>
      </c>
      <c r="R2660" t="inlineStr">
        <is>
          <t>InStock</t>
        </is>
      </c>
      <c r="S2660" t="inlineStr">
        <is>
          <t>40.55</t>
        </is>
      </c>
      <c r="T2660" t="inlineStr">
        <is>
          <t>8008010137816</t>
        </is>
      </c>
    </row>
    <row r="2661" ht="87" customHeight="1">
      <c r="A2661" s="2">
        <f>HYPERLINK("https://edmondsonsupply.com/collections/hvac/products/5-2-1-csru1", "https://edmondsonsupply.com/collections/hvac/products/5-2-1-csru1")</f>
        <v/>
      </c>
      <c r="B2661" s="2">
        <f>HYPERLINK("https://edmondsonsupply.com/products/5-2-1-csru1", "https://edmondsonsupply.com/products/5-2-1-csru1")</f>
        <v/>
      </c>
      <c r="C2661" t="inlineStr">
        <is>
          <t>5-2-1 CSRU1 Compressor Saver, 1 to 3 Tons</t>
        </is>
      </c>
      <c r="D2661" t="inlineStr">
        <is>
          <t>AC Hard Start Capacitor Compatible with 5-2-1 CSR-U2, Compressor Saver for 3.5-4- 5 Tons, Hvac Hard Start Kit</t>
        </is>
      </c>
      <c r="E2661" s="2">
        <f>HYPERLINK("https://www.amazon.com/Capacitor-Compatible-CSR-U2-Compressor-3-5-4/dp/B07MDJ67M7/ref=sr_1_22?keywords=5-2-1+CSRU1+Compressor+Saver%2C+1+to+3+Tons&amp;qid=1694734741&amp;sr=8-22", "https://www.amazon.com/Capacitor-Compatible-CSR-U2-Compressor-3-5-4/dp/B07MDJ67M7/ref=sr_1_22?keywords=5-2-1+CSRU1+Compressor+Saver%2C+1+to+3+Tons&amp;qid=1694734741&amp;sr=8-22")</f>
        <v/>
      </c>
      <c r="F2661" t="inlineStr">
        <is>
          <t>B07MDJ67M7</t>
        </is>
      </c>
      <c r="G2661">
        <f>_xlfn.IMAGE("https://edmondsonsupply.com/cdn/shop/products/CSRU1.jpg?v=1633030087")</f>
        <v/>
      </c>
      <c r="H2661">
        <f>_xlfn.IMAGE("https://m.media-amazon.com/images/I/61e5NrEyLtL._AC_UL320_.jpg")</f>
        <v/>
      </c>
      <c r="K2661" t="inlineStr">
        <is>
          <t>34.62</t>
        </is>
      </c>
      <c r="L2661" t="n">
        <v>31.89</v>
      </c>
      <c r="M2661" s="1" t="inlineStr">
        <is>
          <t>-7.89%</t>
        </is>
      </c>
      <c r="N2661" s="7" t="n">
        <v>283.31</v>
      </c>
      <c r="O2661" t="n">
        <v>4.1</v>
      </c>
      <c r="P2661" t="n">
        <v>319</v>
      </c>
      <c r="R2661" t="inlineStr">
        <is>
          <t>InStock</t>
        </is>
      </c>
      <c r="S2661" t="inlineStr">
        <is>
          <t>39.95</t>
        </is>
      </c>
      <c r="T2661" t="inlineStr">
        <is>
          <t>3558315950180</t>
        </is>
      </c>
    </row>
    <row r="2662" hidden="1" ht="15.75" customHeight="1">
      <c r="A2662" s="2">
        <f>HYPERLINK("https://edmondsonsupply.com/collections/hvac/products/diablo-tools-ds0906cws3-9-in-demo-demon-carbide-recip-blade-for-nail-embedded-wood-3-pack", "https://edmondsonsupply.com/collections/hvac/products/diablo-tools-ds0906cws3-9-in-demo-demon-carbide-recip-blade-for-nail-embedded-wood-3-pack")</f>
        <v/>
      </c>
      <c r="B2662" s="2">
        <f>HYPERLINK("https://edmondsonsupply.com/products/diablo-tools-ds0906cws3-9-in-demo-demon-carbide-recip-blade-for-nail-embedded-wood-3-pack", "https://edmondsonsupply.com/products/diablo-tools-ds0906cws3-9-in-demo-demon-carbide-recip-blade-for-nail-embedded-wood-3-pack")</f>
        <v/>
      </c>
      <c r="C2662" t="inlineStr">
        <is>
          <t>Diablo Tools DS0705CWR3 7-3/8 in. Demo-Demon Rough-In/Scrolling Carbide Reciprocating Blade (3-Pack)</t>
        </is>
      </c>
      <c r="D2662" t="inlineStr">
        <is>
          <t>Diablo DS0705CWR3 7‑3/8 in. Demo‑Demon Rough‑In/Scrolling Carbide Reciprocating Blade 3 Pack</t>
        </is>
      </c>
      <c r="E2662" s="2">
        <f>HYPERLINK("https://www.amazon.com/Diablo-DS0705CWR3-Demo%E2%80%91Demon-Scrolling-Reciprocating/dp/B083YTKSVM/ref=sr_1_1?keywords=Diablo+Tools+DS0705CWR3+7-3%2F8+in.+Demo-Demon+Rough-In%2FScrolling+Carbide+Reciprocating+Blade+%283-Pack%29&amp;qid=1694734801&amp;sr=8-1", "https://www.amazon.com/Diablo-DS0705CWR3-Demo%E2%80%91Demon-Scrolling-Reciprocating/dp/B083YTKSVM/ref=sr_1_1?keywords=Diablo+Tools+DS0705CWR3+7-3%2F8+in.+Demo-Demon+Rough-In%2FScrolling+Carbide+Reciprocating+Blade+%283-Pack%29&amp;qid=1694734801&amp;sr=8-1")</f>
        <v/>
      </c>
      <c r="F2662" t="inlineStr">
        <is>
          <t>B083YTKSVM</t>
        </is>
      </c>
      <c r="G2662">
        <f>_xludf.IMAGE("https://edmondsonsupply.com/cdn/shop/products/DS0705CWR3_Main-Image.png?v=1633030237")</f>
        <v/>
      </c>
      <c r="H2662">
        <f>_xludf.IMAGE("https://m.media-amazon.com/images/I/51aVNFoBlfL._AC_UL320_.jpg")</f>
        <v/>
      </c>
      <c r="K2662" t="inlineStr">
        <is>
          <t>24.97</t>
        </is>
      </c>
      <c r="L2662" t="n">
        <v>22.99</v>
      </c>
      <c r="M2662" s="1" t="inlineStr">
        <is>
          <t>-7.93%</t>
        </is>
      </c>
      <c r="N2662" s="1" t="n">
        <v>281.54</v>
      </c>
      <c r="O2662" t="n">
        <v>4</v>
      </c>
      <c r="P2662" t="n">
        <v>12</v>
      </c>
      <c r="R2662" t="inlineStr">
        <is>
          <t>InStock</t>
        </is>
      </c>
      <c r="S2662" t="inlineStr">
        <is>
          <t>32.0</t>
        </is>
      </c>
      <c r="T2662" t="inlineStr">
        <is>
          <t>4601250742372</t>
        </is>
      </c>
    </row>
    <row r="2663" ht="87" customHeight="1">
      <c r="A2663" s="2">
        <f>HYPERLINK("https://edmondsonsupply.com/collections/hvac/products/uniweld-uek1-hydraulic-expander-swage-kit", "https://edmondsonsupply.com/collections/hvac/products/uniweld-uek1-hydraulic-expander-swage-kit")</f>
        <v/>
      </c>
      <c r="B2663" s="2">
        <f>HYPERLINK("https://edmondsonsupply.com/products/uniweld-uek1-hydraulic-expander-swage-kit", "https://edmondsonsupply.com/products/uniweld-uek1-hydraulic-expander-swage-kit")</f>
        <v/>
      </c>
      <c r="C2663" t="inlineStr">
        <is>
          <t>Uniweld UEK1 Hydraulic Expander Swage Kit</t>
        </is>
      </c>
      <c r="D2663" t="inlineStr">
        <is>
          <t>Uniweld UEK1 Hydraulic Swage Tool Kit</t>
        </is>
      </c>
      <c r="E2663" s="2">
        <f>HYPERLINK("https://www.amazon.com/Uniweld-UEK1-Hydraulic-Swage-Tool/dp/B01N1ZW7A9/ref=sr_1_1?keywords=Uniweld+UEK1+Hydraulic+Expander+Swage+Kit&amp;qid=1694734651&amp;sr=8-1", "https://www.amazon.com/Uniweld-UEK1-Hydraulic-Swage-Tool/dp/B01N1ZW7A9/ref=sr_1_1?keywords=Uniweld+UEK1+Hydraulic+Expander+Swage+Kit&amp;qid=1694734651&amp;sr=8-1")</f>
        <v/>
      </c>
      <c r="F2663" t="inlineStr">
        <is>
          <t>B01N1ZW7A9</t>
        </is>
      </c>
      <c r="G2663">
        <f>_xlfn.IMAGE("https://edmondsonsupply.com/cdn/shop/products/UEK1-kit.jpg?v=1633030587")</f>
        <v/>
      </c>
      <c r="H2663">
        <f>_xlfn.IMAGE("https://m.media-amazon.com/images/I/81oKR+okniL._AC_UL320_.jpg")</f>
        <v/>
      </c>
      <c r="K2663" t="inlineStr">
        <is>
          <t>430.69</t>
        </is>
      </c>
      <c r="L2663" t="n">
        <v>395.77</v>
      </c>
      <c r="M2663" s="1" t="inlineStr">
        <is>
          <t>-8.11%</t>
        </is>
      </c>
      <c r="N2663" s="7" t="n">
        <v>280.48</v>
      </c>
      <c r="O2663" t="n">
        <v>4.2</v>
      </c>
      <c r="P2663" t="n">
        <v>34</v>
      </c>
      <c r="R2663" t="inlineStr">
        <is>
          <t>InStock</t>
        </is>
      </c>
      <c r="S2663" t="inlineStr">
        <is>
          <t>559.33</t>
        </is>
      </c>
      <c r="T2663" t="inlineStr">
        <is>
          <t>5597660512424</t>
        </is>
      </c>
    </row>
    <row r="2664" hidden="1" ht="15.75" customHeight="1">
      <c r="A2664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2664" s="2">
        <f>HYPERLINK("https://edmondsonsupply.com/products/midwest-mwt-6510s-straight-offset-aviation-snip", "https://edmondsonsupply.com/products/midwest-mwt-6510s-straight-offset-aviation-snip")</f>
        <v/>
      </c>
      <c r="C2664" t="inlineStr">
        <is>
          <t>Midwest MWT-6510S Straight Offset Aviation Snip</t>
        </is>
      </c>
      <c r="D2664" t="inlineStr">
        <is>
          <t>MIDWEST Blackout Series Aviation Snip - Straight Cut Regular Tin Cutting Shears with Forged Blade &amp; KUSH'N-POWER Comfort Grips - MWT-6716SO</t>
        </is>
      </c>
      <c r="E2664" s="2">
        <f>HYPERLINK("https://www.amazon.com/MIDWEST-Blackout-Aviation-Snip-KUSHN-POWER/dp/B00TJQKWCM/ref=sr_1_13?keywords=Midwest+MWT-6510S+Straight+Offset+Aviation+Snip&amp;qid=1694734608&amp;sr=8-13", "https://www.amazon.com/MIDWEST-Blackout-Aviation-Snip-KUSHN-POWER/dp/B00TJQKWCM/ref=sr_1_13?keywords=Midwest+MWT-6510S+Straight+Offset+Aviation+Snip&amp;qid=1694734608&amp;sr=8-13")</f>
        <v/>
      </c>
      <c r="F2664" t="inlineStr">
        <is>
          <t>B00TJQKWCM</t>
        </is>
      </c>
      <c r="G2664">
        <f>_xludf.IMAGE("https://edmondsonsupply.com/cdn/shop/products/MWT-6510S-1.jpg?v=1587150061")</f>
        <v/>
      </c>
      <c r="H2664">
        <f>_xludf.IMAGE("https://m.media-amazon.com/images/I/51Nu6s3RStL._AC_UL320_.jpg")</f>
        <v/>
      </c>
      <c r="K2664" t="inlineStr">
        <is>
          <t>23.49</t>
        </is>
      </c>
      <c r="L2664" t="n">
        <v>21.58</v>
      </c>
      <c r="M2664" s="1" t="inlineStr">
        <is>
          <t>-8.13%</t>
        </is>
      </c>
      <c r="N2664" s="1" t="n">
        <v>280.38</v>
      </c>
      <c r="O2664" t="n">
        <v>4</v>
      </c>
      <c r="P2664" t="n">
        <v>52</v>
      </c>
      <c r="R2664" t="inlineStr">
        <is>
          <t>OutOfStock</t>
        </is>
      </c>
      <c r="S2664" t="inlineStr">
        <is>
          <t>33.49</t>
        </is>
      </c>
      <c r="T2664" t="inlineStr">
        <is>
          <t>4436158677092</t>
        </is>
      </c>
    </row>
    <row r="2665" ht="87" customHeight="1">
      <c r="A2665" s="2">
        <f>HYPERLINK("https://edmondsonsupply.com/collections/hvac/products/solderweld-sw-as09310-alloy-sol-aluminum-repair-and-joining-rods-10-rod-pack", "https://edmondsonsupply.com/collections/hvac/products/solderweld-sw-as09310-alloy-sol-aluminum-repair-and-joining-rods-10-rod-pack")</f>
        <v/>
      </c>
      <c r="B2665" s="2">
        <f>HYPERLINK("https://edmondsonsupply.com/products/solderweld-sw-as09310-alloy-sol-aluminum-repair-and-joining-rods-10-rod-pack", "https://edmondsonsupply.com/products/solderweld-sw-as09310-alloy-sol-aluminum-repair-and-joining-rods-10-rod-pack")</f>
        <v/>
      </c>
      <c r="C2665" t="inlineStr">
        <is>
          <t>SolderWeld SW-AS09310K Alloy Sol Aluminum Repair and Joining Rods, 10 Rod Pack</t>
        </is>
      </c>
      <c r="D2665" t="inlineStr">
        <is>
          <t>Solderweld SW-AS09305K Alloy Sol Aluminum Repair and Joining 18 in. Rod 5 Pack</t>
        </is>
      </c>
      <c r="E2665" s="2">
        <f>HYPERLINK("https://www.amazon.com/Solderweld-SW-AS09305K-Aluminum-Repair-Joining/dp/B0B75HS6J3/ref=sr_1_3?keywords=SolderWeld+SW-AS09310K+Alloy+Sol+Aluminum+Repair+and+Joining+Rods%2C+10+Rod+Pack&amp;qid=1694734724&amp;sr=8-3", "https://www.amazon.com/Solderweld-SW-AS09305K-Aluminum-Repair-Joining/dp/B0B75HS6J3/ref=sr_1_3?keywords=SolderWeld+SW-AS09310K+Alloy+Sol+Aluminum+Repair+and+Joining+Rods%2C+10+Rod+Pack&amp;qid=1694734724&amp;sr=8-3")</f>
        <v/>
      </c>
      <c r="F2665" t="inlineStr">
        <is>
          <t>B0B75HS6J3</t>
        </is>
      </c>
      <c r="G2665">
        <f>_xlfn.IMAGE("https://edmondsonsupply.com/cdn/shop/products/SW-AS09310-1.jpg?v=1633030666")</f>
        <v/>
      </c>
      <c r="H2665">
        <f>_xlfn.IMAGE("https://m.media-amazon.com/images/I/61xbKqwYZkL._AC_UL320_.jpg")</f>
        <v/>
      </c>
      <c r="K2665" t="inlineStr">
        <is>
          <t>25.5</t>
        </is>
      </c>
      <c r="L2665" t="n">
        <v>23.41</v>
      </c>
      <c r="M2665" s="1" t="inlineStr">
        <is>
          <t>-8.20%</t>
        </is>
      </c>
      <c r="N2665" s="7" t="n">
        <v>279.87</v>
      </c>
      <c r="O2665" t="n">
        <v>5</v>
      </c>
      <c r="P2665" t="n">
        <v>3</v>
      </c>
      <c r="R2665" t="inlineStr">
        <is>
          <t>InStock</t>
        </is>
      </c>
      <c r="S2665" t="inlineStr">
        <is>
          <t>undefined</t>
        </is>
      </c>
      <c r="T2665" t="inlineStr">
        <is>
          <t>5781724790952</t>
        </is>
      </c>
    </row>
    <row r="2666" ht="87" customHeight="1">
      <c r="A2666" s="2">
        <f>HYPERLINK("https://edmondsonsupply.com/collections/hvac/products/midwest-mwt-6510r-right-offset-aviation-snip", "https://edmondsonsupply.com/collections/hvac/products/midwest-mwt-6510r-right-offset-aviation-snip")</f>
        <v/>
      </c>
      <c r="B2666" s="2">
        <f>HYPERLINK("https://edmondsonsupply.com/products/midwest-mwt-6510r-right-offset-aviation-snip", "https://edmondsonsupply.com/products/midwest-mwt-6510r-right-offset-aviation-snip")</f>
        <v/>
      </c>
      <c r="C2666" t="inlineStr">
        <is>
          <t>Midwest MWT-6510R Right Offset Aviation Snip</t>
        </is>
      </c>
      <c r="D2666" t="inlineStr">
        <is>
          <t>Midwest Tool &amp; Cutlery Aviation Snip - Right Cut Regular Tin Cutting Shears with Forged Blade &amp; KUSH'N-POWER Comfort Grips - MWT-6716R</t>
        </is>
      </c>
      <c r="E2666" s="2">
        <f>HYPERLINK("https://www.amazon.com/MIDWEST-Aviation-Snip-KUSHN-POWER-MWT-6716R/dp/B00OCGQJL2/ref=sr_1_9?keywords=Midwest+MWT-6510R+Right+Offset+Aviation+Snip&amp;qid=1694734735&amp;sr=8-9", "https://www.amazon.com/MIDWEST-Aviation-Snip-KUSHN-POWER-MWT-6716R/dp/B00OCGQJL2/ref=sr_1_9?keywords=Midwest+MWT-6510R+Right+Offset+Aviation+Snip&amp;qid=1694734735&amp;sr=8-9")</f>
        <v/>
      </c>
      <c r="F2666" t="inlineStr">
        <is>
          <t>B00OCGQJL2</t>
        </is>
      </c>
      <c r="G2666">
        <f>_xlfn.IMAGE("https://edmondsonsupply.com/cdn/shop/products/MWT-6510R.png?v=1587144877")</f>
        <v/>
      </c>
      <c r="H2666">
        <f>_xlfn.IMAGE("https://m.media-amazon.com/images/I/71E3s-FagnL._AC_UL320_.jpg")</f>
        <v/>
      </c>
      <c r="K2666" t="inlineStr">
        <is>
          <t>24.89</t>
        </is>
      </c>
      <c r="L2666" t="n">
        <v>22.8</v>
      </c>
      <c r="M2666" s="1" t="inlineStr">
        <is>
          <t>-8.40%</t>
        </is>
      </c>
      <c r="N2666" s="7" t="n">
        <v>279.48</v>
      </c>
      <c r="O2666" t="n">
        <v>4.4</v>
      </c>
      <c r="P2666" t="n">
        <v>575</v>
      </c>
      <c r="R2666" t="inlineStr">
        <is>
          <t>InStock</t>
        </is>
      </c>
      <c r="S2666" t="inlineStr">
        <is>
          <t>33.49</t>
        </is>
      </c>
      <c r="T2666" t="inlineStr">
        <is>
          <t>4414962597988</t>
        </is>
      </c>
    </row>
    <row r="2667" hidden="1" ht="15.75" customHeight="1">
      <c r="A2667" s="2">
        <f>HYPERLINK("https://edmondsonsupply.com/collections/hvac/products/greenlee-gsb02-1-2-step-bit-2", "https://edmondsonsupply.com/collections/hvac/products/greenlee-gsb02-1-2-step-bit-2")</f>
        <v/>
      </c>
      <c r="B2667" s="2">
        <f>HYPERLINK("https://edmondsonsupply.com/products/greenlee-gsb02-1-2-step-bit-2", "https://edmondsonsupply.com/products/greenlee-gsb02-1-2-step-bit-2")</f>
        <v/>
      </c>
      <c r="C2667" t="inlineStr">
        <is>
          <t>Greenlee GSB02 1/2" Step Bit (#2)</t>
        </is>
      </c>
      <c r="D2667" t="inlineStr">
        <is>
          <t>Greenlee GSB06 Step Bit, 1/2" (#6)</t>
        </is>
      </c>
      <c r="E2667" s="2">
        <f>HYPERLINK("https://www.amazon.com/Greenlee-GSB06-Step-Bit/dp/B08WHZZ2QJ/ref=sr_1_4?keywords=Greenlee+GSB02+1%2F2%22+Step+Bit+%28%232%29&amp;qid=1694734901&amp;sr=8-4", "https://www.amazon.com/Greenlee-GSB06-Step-Bit/dp/B08WHZZ2QJ/ref=sr_1_4?keywords=Greenlee+GSB02+1%2F2%22+Step+Bit+%28%232%29&amp;qid=1694734901&amp;sr=8-4")</f>
        <v/>
      </c>
      <c r="F2667" t="inlineStr">
        <is>
          <t>B08WHZZ2QJ</t>
        </is>
      </c>
      <c r="G2667">
        <f>_xludf.IMAGE("https://edmondsonsupply.com/cdn/shop/files/GSB02_CAT1_72dpi.jpg?v=1687783943")</f>
        <v/>
      </c>
      <c r="H2667">
        <f>_xludf.IMAGE("https://m.media-amazon.com/images/I/41zw0GDKd9L._AC_UY218_.jpg")</f>
        <v/>
      </c>
      <c r="K2667" t="inlineStr">
        <is>
          <t>39.29</t>
        </is>
      </c>
      <c r="L2667" t="n">
        <v>35.99</v>
      </c>
      <c r="M2667" s="1" t="inlineStr">
        <is>
          <t>-8.40%</t>
        </is>
      </c>
      <c r="N2667" s="1" t="n">
        <v>279.46</v>
      </c>
      <c r="O2667" t="n">
        <v>2</v>
      </c>
      <c r="P2667" t="n">
        <v>1</v>
      </c>
      <c r="R2667" t="inlineStr">
        <is>
          <t>InStock</t>
        </is>
      </c>
      <c r="S2667" t="inlineStr">
        <is>
          <t>40.55</t>
        </is>
      </c>
      <c r="T2667" t="inlineStr">
        <is>
          <t>8008010137816</t>
        </is>
      </c>
    </row>
    <row r="2668" ht="87" customHeight="1">
      <c r="A2668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668" s="2">
        <f>HYPERLINK("https://edmondsonsupply.com/products/klein-tools-d2000-28glw-diagonal-cutting-pliers-hi-viz-8-inch", "https://edmondsonsupply.com/products/klein-tools-d2000-28glw-diagonal-cutting-pliers-hi-viz-8-inch")</f>
        <v/>
      </c>
      <c r="C2668" t="inlineStr">
        <is>
          <t>Klein Tools D200028GLW Diagonal Cutting Pliers, High-Visibility, 8-Inch</t>
        </is>
      </c>
      <c r="D2668" t="inlineStr">
        <is>
          <t>Klein Tools J2000-28 Diagonal Cutting Pliers are Heavy-Duty High-Leverage Design, 8-Inch</t>
        </is>
      </c>
      <c r="E2668" s="2">
        <f>HYPERLINK("https://www.amazon.com/Journeyman-Diagonal-Klein-Tools-J2000-28/dp/B00093DY2O/ref=sr_1_8?keywords=Klein+Tools+D200028GLW+Diagonal+Cutting+Pliers%2C+High-Visibility%2C+8-Inch&amp;qid=1694734781&amp;sr=8-8", "https://www.amazon.com/Journeyman-Diagonal-Klein-Tools-J2000-28/dp/B00093DY2O/ref=sr_1_8?keywords=Klein+Tools+D200028GLW+Diagonal+Cutting+Pliers%2C+High-Visibility%2C+8-Inch&amp;qid=1694734781&amp;sr=8-8")</f>
        <v/>
      </c>
      <c r="F2668" t="inlineStr">
        <is>
          <t>B00093DY2O</t>
        </is>
      </c>
      <c r="G2668">
        <f>_xlfn.IMAGE("https://edmondsonsupply.com/cdn/shop/products/d200028glw.jpg?v=1633030701")</f>
        <v/>
      </c>
      <c r="H2668">
        <f>_xlfn.IMAGE("https://m.media-amazon.com/images/I/41gMQiPYMQL._AC_UL320_.jpg")</f>
        <v/>
      </c>
      <c r="K2668" t="inlineStr">
        <is>
          <t>37.49</t>
        </is>
      </c>
      <c r="L2668" t="n">
        <v>34.34</v>
      </c>
      <c r="M2668" s="1" t="inlineStr">
        <is>
          <t>-8.40%</t>
        </is>
      </c>
      <c r="N2668" s="7" t="n">
        <v>278.93</v>
      </c>
      <c r="O2668" t="n">
        <v>4.6</v>
      </c>
      <c r="P2668" t="n">
        <v>101</v>
      </c>
      <c r="R2668" t="inlineStr">
        <is>
          <t>InStock</t>
        </is>
      </c>
      <c r="S2668" t="inlineStr">
        <is>
          <t>56.78</t>
        </is>
      </c>
      <c r="T2668" t="inlineStr">
        <is>
          <t>5848287477928</t>
        </is>
      </c>
    </row>
    <row r="2669" hidden="1" ht="15.75" customHeight="1">
      <c r="A2669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669" s="2">
        <f>HYPERLINK("https://edmondsonsupply.com/products/diablo-tools-dag1130-1-in-x-7-1-2-in-auger-bit", "https://edmondsonsupply.com/products/diablo-tools-dag1130-1-in-x-7-1-2-in-auger-bit")</f>
        <v/>
      </c>
      <c r="C2669" t="inlineStr">
        <is>
          <t>Diablo Tools DAG1130 1 in. x 7-1/2 in. Auger Bit</t>
        </is>
      </c>
      <c r="D2669" t="inlineStr">
        <is>
          <t>Diablo 1/2 in. x 7-1/2 in. Auger Bit</t>
        </is>
      </c>
      <c r="E2669" s="2">
        <f>HYPERLINK("https://www.amazon.com/Diablo-7-1-Auger-Bit/dp/B089KX8NFB/ref=sr_1_27?keywords=Diablo+Tools+DAG1130+1+in.+x+7-1%2F2+in.+Auger+Bit&amp;qid=1694734776&amp;sr=8-27", "https://www.amazon.com/Diablo-7-1-Auger-Bit/dp/B089KX8NFB/ref=sr_1_27?keywords=Diablo+Tools+DAG1130+1+in.+x+7-1%2F2+in.+Auger+Bit&amp;qid=1694734776&amp;sr=8-27")</f>
        <v/>
      </c>
      <c r="F2669" t="inlineStr">
        <is>
          <t>B089KX8NFB</t>
        </is>
      </c>
      <c r="G2669">
        <f>_xludf.IMAGE("https://edmondsonsupply.com/cdn/shop/products/DAG1130_Main-Image20200712.png?v=1633031124")</f>
        <v/>
      </c>
      <c r="H2669">
        <f>_xludf.IMAGE("https://m.media-amazon.com/images/I/61OpxGeM87L._AC_UL320_.jpg")</f>
        <v/>
      </c>
      <c r="K2669" t="inlineStr">
        <is>
          <t>16.37</t>
        </is>
      </c>
      <c r="L2669" t="n">
        <v>14.99</v>
      </c>
      <c r="M2669" s="1" t="inlineStr">
        <is>
          <t>-8.43%</t>
        </is>
      </c>
      <c r="N2669" s="1" t="n">
        <v>278.82</v>
      </c>
      <c r="O2669" t="n">
        <v>4.8</v>
      </c>
      <c r="P2669" t="n">
        <v>8</v>
      </c>
      <c r="R2669" t="inlineStr">
        <is>
          <t>InStock</t>
        </is>
      </c>
      <c r="S2669" t="inlineStr">
        <is>
          <t>25.94</t>
        </is>
      </c>
      <c r="T2669" t="inlineStr">
        <is>
          <t>6866560581805</t>
        </is>
      </c>
    </row>
    <row r="2670" hidden="1" ht="15.75" customHeight="1">
      <c r="A2670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670" s="2">
        <f>HYPERLINK("https://edmondsonsupply.com/products/diablo-tools-dag1130-1-in-x-7-1-2-in-auger-bit", "https://edmondsonsupply.com/products/diablo-tools-dag1130-1-in-x-7-1-2-in-auger-bit")</f>
        <v/>
      </c>
      <c r="C2670" t="inlineStr">
        <is>
          <t>Diablo Tools DAG1130 1 in. x 7-1/2 in. Auger Bit</t>
        </is>
      </c>
      <c r="D2670" t="inlineStr">
        <is>
          <t>Diablo 5/8 in. x 7-1/2 in. Auger Bit</t>
        </is>
      </c>
      <c r="E2670" s="2">
        <f>HYPERLINK("https://www.amazon.com/Diablo-7-1-Auger-Bit/dp/B089LCPNWX/ref=sr_1_7?keywords=Diablo+Tools+DAG1130+1+in.+x+7-1%2F2+in.+Auger+Bit&amp;qid=1694734776&amp;sr=8-7", "https://www.amazon.com/Diablo-7-1-Auger-Bit/dp/B089LCPNWX/ref=sr_1_7?keywords=Diablo+Tools+DAG1130+1+in.+x+7-1%2F2+in.+Auger+Bit&amp;qid=1694734776&amp;sr=8-7")</f>
        <v/>
      </c>
      <c r="F2670" t="inlineStr">
        <is>
          <t>B089LCPNWX</t>
        </is>
      </c>
      <c r="G2670">
        <f>_xludf.IMAGE("https://edmondsonsupply.com/cdn/shop/products/DAG1130_Main-Image20200712.png?v=1633031124")</f>
        <v/>
      </c>
      <c r="H2670">
        <f>_xludf.IMAGE("https://m.media-amazon.com/images/I/61zUoLZQ5OL._AC_UL320_.jpg")</f>
        <v/>
      </c>
      <c r="K2670" t="inlineStr">
        <is>
          <t>16.37</t>
        </is>
      </c>
      <c r="L2670" t="n">
        <v>14.99</v>
      </c>
      <c r="M2670" s="1" t="inlineStr">
        <is>
          <t>-8.43%</t>
        </is>
      </c>
      <c r="N2670" s="1" t="n">
        <v>277.58</v>
      </c>
      <c r="O2670" t="n">
        <v>4.7</v>
      </c>
      <c r="P2670" t="n">
        <v>9</v>
      </c>
      <c r="R2670" t="inlineStr">
        <is>
          <t>InStock</t>
        </is>
      </c>
      <c r="S2670" t="inlineStr">
        <is>
          <t>25.94</t>
        </is>
      </c>
      <c r="T2670" t="inlineStr">
        <is>
          <t>6866560581805</t>
        </is>
      </c>
    </row>
    <row r="2671" ht="87" customHeight="1">
      <c r="A2671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671" s="2">
        <f>HYPERLINK("https://edmondsonsupply.com/products/klein-tools-d2000-28glw-diagonal-cutting-pliers-hi-viz-8-inch", "https://edmondsonsupply.com/products/klein-tools-d2000-28glw-diagonal-cutting-pliers-hi-viz-8-inch")</f>
        <v/>
      </c>
      <c r="C2671" t="inlineStr">
        <is>
          <t>Klein Tools D200028GLW Diagonal Cutting Pliers, High-Visibility, 8-Inch</t>
        </is>
      </c>
      <c r="D2671" t="inlineStr">
        <is>
          <t>Klein Tools D248-9STT Pliers, Ironworker's Diagonal Cutting Pliers with High-Leverage Design ad Split Ring for Tethering, 9-Inch</t>
        </is>
      </c>
      <c r="E2671" s="2">
        <f>HYPERLINK("https://www.amazon.com/Diagonal-Cutting-Klein-Tools-D248-9STT/dp/B01K76UYUW/ref=sr_1_15?keywords=Klein+Tools+D200028GLW+Diagonal+Cutting+Pliers%2C+High-Visibility%2C+8-Inch&amp;qid=1694734781&amp;sr=8-15", "https://www.amazon.com/Diagonal-Cutting-Klein-Tools-D248-9STT/dp/B01K76UYUW/ref=sr_1_15?keywords=Klein+Tools+D200028GLW+Diagonal+Cutting+Pliers%2C+High-Visibility%2C+8-Inch&amp;qid=1694734781&amp;sr=8-15")</f>
        <v/>
      </c>
      <c r="F2671" t="inlineStr">
        <is>
          <t>B01K76UYUW</t>
        </is>
      </c>
      <c r="G2671">
        <f>_xlfn.IMAGE("https://edmondsonsupply.com/cdn/shop/products/d200028glw.jpg?v=1633030701")</f>
        <v/>
      </c>
      <c r="H2671">
        <f>_xlfn.IMAGE("https://m.media-amazon.com/images/I/31gRx3nZM-L._AC_UL320_.jpg")</f>
        <v/>
      </c>
      <c r="K2671" t="inlineStr">
        <is>
          <t>37.49</t>
        </is>
      </c>
      <c r="L2671" t="n">
        <v>34.29</v>
      </c>
      <c r="M2671" s="1" t="inlineStr">
        <is>
          <t>-8.54%</t>
        </is>
      </c>
      <c r="N2671" s="7" t="n">
        <v>276.81</v>
      </c>
      <c r="O2671" t="n">
        <v>4.7</v>
      </c>
      <c r="P2671" t="n">
        <v>157</v>
      </c>
      <c r="R2671" t="inlineStr">
        <is>
          <t>InStock</t>
        </is>
      </c>
      <c r="S2671" t="inlineStr">
        <is>
          <t>56.78</t>
        </is>
      </c>
      <c r="T2671" t="inlineStr">
        <is>
          <t>5848287477928</t>
        </is>
      </c>
    </row>
    <row r="2672" ht="87" customHeight="1">
      <c r="A2672" s="2">
        <f>HYPERLINK("https://edmondsonsupply.com/collections/hvac/products/milwaukee-2962p-22-m18-fuel%E2%84%A2-1-2-mid-torque-impact-wrench-w-pin-detent-kit", "https://edmondsonsupply.com/collections/hvac/products/milwaukee-2962p-22-m18-fuel%E2%84%A2-1-2-mid-torque-impact-wrench-w-pin-detent-kit")</f>
        <v/>
      </c>
      <c r="B2672" s="2">
        <f>HYPERLINK("https://edmondsonsupply.com/products/milwaukee-2962p-22-m18-fuel%e2%84%a2-1-2-mid-torque-impact-wrench-w-pin-detent-kit", "https://edmondsonsupply.com/products/milwaukee-2962p-22-m18-fuel%e2%84%a2-1-2-mid-torque-impact-wrench-w-pin-detent-kit")</f>
        <v/>
      </c>
      <c r="C2672" t="inlineStr">
        <is>
          <t>Milwaukee 2962P-22 M18 FUEL™ 1/2 " Mid-Torque Impact Wrench w/ Pin Detent Kit</t>
        </is>
      </c>
      <c r="D2672" t="inlineStr">
        <is>
          <t>Milwaukee M18 18V Fuel 3/8" Mid-Torque Impact Wrench Kit Cordless Lithium-Ion Brushless 2960-22 with (2) 5Ah XC Batteries, Charger &amp; Carrying Tool Case</t>
        </is>
      </c>
      <c r="E2672" s="2">
        <f>HYPERLINK("https://www.amazon.com/Milwaukee-Mid-Torque-Lithium-Ion-Brushless-Batteries/dp/B09SJ6THNK/ref=sr_1_7?keywords=Milwaukee+2962P-22+M18+FUEL%E2%84%A2+1%2F2+%22+Mid-Torque+Impact+Wrench+w%2F+Pin+Detent+Kit&amp;qid=1694734877&amp;sr=8-7", "https://www.amazon.com/Milwaukee-Mid-Torque-Lithium-Ion-Brushless-Batteries/dp/B09SJ6THNK/ref=sr_1_7?keywords=Milwaukee+2962P-22+M18+FUEL%E2%84%A2+1%2F2+%22+Mid-Torque+Impact+Wrench+w%2F+Pin+Detent+Kit&amp;qid=1694734877&amp;sr=8-7")</f>
        <v/>
      </c>
      <c r="F2672" t="inlineStr">
        <is>
          <t>B09SJ6THNK</t>
        </is>
      </c>
      <c r="G2672">
        <f>_xlfn.IMAGE("https://edmondsonsupply.com/cdn/shop/files/2962P-22_Kit_1.png?v=1690295413")</f>
        <v/>
      </c>
      <c r="H2672">
        <f>_xlfn.IMAGE("https://m.media-amazon.com/images/I/71kKMvvnS+L._AC_UL320_.jpg")</f>
        <v/>
      </c>
      <c r="K2672" t="inlineStr">
        <is>
          <t>459.0</t>
        </is>
      </c>
      <c r="L2672" t="n">
        <v>419</v>
      </c>
      <c r="M2672" s="1" t="inlineStr">
        <is>
          <t>-8.71%</t>
        </is>
      </c>
      <c r="N2672" s="7" t="n">
        <v>275.81</v>
      </c>
      <c r="O2672" t="n">
        <v>4.7</v>
      </c>
      <c r="P2672" t="n">
        <v>102</v>
      </c>
      <c r="R2672" t="inlineStr">
        <is>
          <t>InStock</t>
        </is>
      </c>
      <c r="S2672" t="inlineStr">
        <is>
          <t>896.0</t>
        </is>
      </c>
      <c r="T2672" t="inlineStr">
        <is>
          <t>8020489142488</t>
        </is>
      </c>
    </row>
    <row r="2673" ht="87" customHeight="1">
      <c r="A2673" s="2">
        <f>HYPERLINK("https://edmondsonsupply.com/collections/hvac/products/white-rodgers-24a34-6-24v-electric-heat-sequencer-2-dpst", "https://edmondsonsupply.com/collections/hvac/products/white-rodgers-24a34-6-24v-electric-heat-sequencer-2-dpst")</f>
        <v/>
      </c>
      <c r="B2673" s="2">
        <f>HYPERLINK("https://edmondsonsupply.com/products/white-rodgers-24a34-6-24v-electric-heat-sequencer-2-dpst", "https://edmondsonsupply.com/products/white-rodgers-24a34-6-24v-electric-heat-sequencer-2-dpst")</f>
        <v/>
      </c>
      <c r="C2673" t="inlineStr">
        <is>
          <t>White-Rodgers 24A34-6 24V Electric Heat Sequencer, 2 DPST</t>
        </is>
      </c>
      <c r="D2673" t="inlineStr">
        <is>
          <t>White Rodgers 24A34-2 - Electric Heat Sequencer, 1 Switch, 1 Timing,</t>
        </is>
      </c>
      <c r="E2673" s="2">
        <f>HYPERLINK("https://www.amazon.com/White-Rodgers-24A34-2-Electric-Sequencer/dp/B017RQXXFS/ref=sr_1_11?keywords=White-Rodgers+24A34-6+24V+Electric+Heat+Sequencer%2C+2+DPST&amp;qid=1694734618&amp;sr=8-11", "https://www.amazon.com/White-Rodgers-24A34-2-Electric-Sequencer/dp/B017RQXXFS/ref=sr_1_11?keywords=White-Rodgers+24A34-6+24V+Electric+Heat+Sequencer%2C+2+DPST&amp;qid=1694734618&amp;sr=8-11")</f>
        <v/>
      </c>
      <c r="F2673" t="inlineStr">
        <is>
          <t>B017RQXXFS</t>
        </is>
      </c>
      <c r="G2673">
        <f>_xlfn.IMAGE("https://edmondsonsupply.com/cdn/shop/products/24A34-6.jpg?v=1633030752")</f>
        <v/>
      </c>
      <c r="H2673">
        <f>_xlfn.IMAGE("https://m.media-amazon.com/images/I/41E-ED7x6RL._AC_UL320_.jpg")</f>
        <v/>
      </c>
      <c r="K2673" t="inlineStr">
        <is>
          <t>23.5</t>
        </is>
      </c>
      <c r="L2673" t="n">
        <v>21.43</v>
      </c>
      <c r="M2673" s="1" t="inlineStr">
        <is>
          <t>-8.81%</t>
        </is>
      </c>
      <c r="N2673" s="7" t="n">
        <v>274.98</v>
      </c>
      <c r="O2673" t="n">
        <v>5</v>
      </c>
      <c r="P2673" t="n">
        <v>1</v>
      </c>
      <c r="R2673" t="inlineStr">
        <is>
          <t>InStock</t>
        </is>
      </c>
      <c r="S2673" t="inlineStr">
        <is>
          <t>58.43</t>
        </is>
      </c>
      <c r="T2673" t="inlineStr">
        <is>
          <t>5896305213608</t>
        </is>
      </c>
    </row>
    <row r="2674" ht="87" customHeight="1">
      <c r="A2674" s="2">
        <f>HYPERLINK("https://edmondsonsupply.com/collections/hvac/products/klein-tools-9230-tape-measure-30-foot-magnetic-double-hook", "https://edmondsonsupply.com/collections/hvac/products/klein-tools-9230-tape-measure-30-foot-magnetic-double-hook")</f>
        <v/>
      </c>
      <c r="B2674" s="2">
        <f>HYPERLINK("https://edmondsonsupply.com/products/klein-tools-9230-tape-measure-30-foot-magnetic-double-hook", "https://edmondsonsupply.com/products/klein-tools-9230-tape-measure-30-foot-magnetic-double-hook")</f>
        <v/>
      </c>
      <c r="C2674" t="inlineStr">
        <is>
          <t>Klein Tools 9230 Tape Measure, 30-Foot Magnetic Double-Hook</t>
        </is>
      </c>
      <c r="D2674" t="inlineStr">
        <is>
          <t>Klein Tools 9230 Tape Measure, Heavy-Duty Measuring Tape with 30-Foot Double-Hook Double-Sided Nylon Reinforced Blade, with Metal Belt Clip</t>
        </is>
      </c>
      <c r="E2674" s="2">
        <f>HYPERLINK("https://www.amazon.com/Klein-Tools-Magnetic-Double-Hook-9230KLE/dp/B07WD63HT7/ref=sr_1_1?keywords=Klein+Tools+9230+Tape+Measure%2C+30-Foot+Magnetic+Double-Hook&amp;qid=1694734809&amp;sr=8-1", "https://www.amazon.com/Klein-Tools-Magnetic-Double-Hook-9230KLE/dp/B07WD63HT7/ref=sr_1_1?keywords=Klein+Tools+9230+Tape+Measure%2C+30-Foot+Magnetic+Double-Hook&amp;qid=1694734809&amp;sr=8-1")</f>
        <v/>
      </c>
      <c r="F2674" t="inlineStr">
        <is>
          <t>B07WD63HT7</t>
        </is>
      </c>
      <c r="G2674">
        <f>_xlfn.IMAGE("https://edmondsonsupply.com/cdn/shop/products/9230_photo.jpg?v=1587150845")</f>
        <v/>
      </c>
      <c r="H2674">
        <f>_xlfn.IMAGE("https://m.media-amazon.com/images/I/51s8pyLU6TL._AC_UL320_.jpg")</f>
        <v/>
      </c>
      <c r="K2674" t="inlineStr">
        <is>
          <t>33.99</t>
        </is>
      </c>
      <c r="L2674" t="n">
        <v>30.99</v>
      </c>
      <c r="M2674" s="1" t="inlineStr">
        <is>
          <t>-8.83%</t>
        </is>
      </c>
      <c r="N2674" s="7" t="n">
        <v>273.86</v>
      </c>
      <c r="O2674" t="n">
        <v>4.6</v>
      </c>
      <c r="P2674" t="n">
        <v>464</v>
      </c>
      <c r="R2674" t="inlineStr">
        <is>
          <t>InStock</t>
        </is>
      </c>
      <c r="S2674" t="inlineStr">
        <is>
          <t>44.94</t>
        </is>
      </c>
      <c r="T2674" t="inlineStr">
        <is>
          <t>4411548041316</t>
        </is>
      </c>
    </row>
    <row r="2675" hidden="1" ht="15.75" customHeight="1">
      <c r="A2675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675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675" t="inlineStr">
        <is>
          <t>Klein Tools 646-1/4 1/4-Inch Nut Driver with 6-Inch Hollow Shaft</t>
        </is>
      </c>
      <c r="D2675" t="inlineStr">
        <is>
          <t>Klein Tools S8 1/4-Inch Hollow Shaft Nut Driver, 3-Inch Shaft</t>
        </is>
      </c>
      <c r="E2675" s="2">
        <f>HYPERLINK("https://www.amazon.com/Klein-S8-4-Inch-Hollow-Shank-Driver/dp/B0000302VS/ref=sr_1_8?keywords=Klein+Tools+646-1%2F4+1%2F4-Inch+Nut+Driver+with+6-Inch+Hollow+Shaft&amp;qid=1694734727&amp;sr=8-8", "https://www.amazon.com/Klein-S8-4-Inch-Hollow-Shank-Driver/dp/B0000302VS/ref=sr_1_8?keywords=Klein+Tools+646-1%2F4+1%2F4-Inch+Nut+Driver+with+6-Inch+Hollow+Shaft&amp;qid=1694734727&amp;sr=8-8")</f>
        <v/>
      </c>
      <c r="F2675" t="inlineStr">
        <is>
          <t>B0000302VS</t>
        </is>
      </c>
      <c r="G2675">
        <f>_xludf.IMAGE("https://edmondsonsupply.com/cdn/shop/products/646-1-2_08d87fa9-eac4-4869-8d3b-bb680d4b1d53.jpg?v=1587150676")</f>
        <v/>
      </c>
      <c r="H2675">
        <f>_xludf.IMAGE("https://m.media-amazon.com/images/I/41LI6wTa36L._AC_UL320_.jpg")</f>
        <v/>
      </c>
      <c r="K2675" t="inlineStr">
        <is>
          <t>7.99</t>
        </is>
      </c>
      <c r="L2675" t="n">
        <v>7.28</v>
      </c>
      <c r="M2675" s="1" t="inlineStr">
        <is>
          <t>-8.89%</t>
        </is>
      </c>
      <c r="N2675" s="1" t="n">
        <v>273.39</v>
      </c>
      <c r="O2675" t="n">
        <v>4.5</v>
      </c>
      <c r="P2675" t="n">
        <v>224</v>
      </c>
      <c r="R2675" t="inlineStr">
        <is>
          <t>InStock</t>
        </is>
      </c>
      <c r="S2675" t="inlineStr">
        <is>
          <t>12.1</t>
        </is>
      </c>
      <c r="T2675" t="inlineStr">
        <is>
          <t>4439433740388</t>
        </is>
      </c>
    </row>
    <row r="2676" hidden="1" ht="15.75" customHeight="1">
      <c r="A2676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676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676" t="inlineStr">
        <is>
          <t>Klein Tools 646-1/4 1/4-Inch Nut Driver with 6-Inch Hollow Shaft</t>
        </is>
      </c>
      <c r="D2676" t="inlineStr">
        <is>
          <t>Klein Tools S8M 1/4-Inch Magnetic Nut Driver with 3-Inch Solid Shaft and Comfordome Handle</t>
        </is>
      </c>
      <c r="E2676" s="2">
        <f>HYPERLINK("https://www.amazon.com/Magnetic-Comfordome-Klein-Tools-S8M/dp/B00093GCW8/ref=sr_1_27?keywords=Klein+Tools+646-1%2F4+1%2F4-Inch+Nut+Driver+with+6-Inch+Hollow+Shaft&amp;qid=1694734727&amp;sr=8-27", "https://www.amazon.com/Magnetic-Comfordome-Klein-Tools-S8M/dp/B00093GCW8/ref=sr_1_27?keywords=Klein+Tools+646-1%2F4+1%2F4-Inch+Nut+Driver+with+6-Inch+Hollow+Shaft&amp;qid=1694734727&amp;sr=8-27")</f>
        <v/>
      </c>
      <c r="F2676" t="inlineStr">
        <is>
          <t>B00093GCW8</t>
        </is>
      </c>
      <c r="G2676">
        <f>_xludf.IMAGE("https://edmondsonsupply.com/cdn/shop/products/646-1-2_08d87fa9-eac4-4869-8d3b-bb680d4b1d53.jpg?v=1587150676")</f>
        <v/>
      </c>
      <c r="H2676">
        <f>_xludf.IMAGE("https://m.media-amazon.com/images/I/31hOuSIKl7L._AC_UL320_.jpg")</f>
        <v/>
      </c>
      <c r="K2676" t="inlineStr">
        <is>
          <t>7.99</t>
        </is>
      </c>
      <c r="L2676" t="n">
        <v>7.28</v>
      </c>
      <c r="M2676" s="1" t="inlineStr">
        <is>
          <t>-8.89%</t>
        </is>
      </c>
      <c r="N2676" s="1" t="n">
        <v>273.37</v>
      </c>
      <c r="O2676" t="n">
        <v>3.8</v>
      </c>
      <c r="P2676" t="n">
        <v>8</v>
      </c>
      <c r="R2676" t="inlineStr">
        <is>
          <t>InStock</t>
        </is>
      </c>
      <c r="S2676" t="inlineStr">
        <is>
          <t>12.1</t>
        </is>
      </c>
      <c r="T2676" t="inlineStr">
        <is>
          <t>4439433740388</t>
        </is>
      </c>
    </row>
    <row r="2677" ht="87" customHeight="1">
      <c r="A2677" s="2">
        <f>HYPERLINK("https://edmondsonsupply.com/collections/hvac/products/braeburn-1230-economy-thermostat-2-heat-1-cool-non-programmable", "https://edmondsonsupply.com/collections/hvac/products/braeburn-1230-economy-thermostat-2-heat-1-cool-non-programmable")</f>
        <v/>
      </c>
      <c r="B2677" s="2">
        <f>HYPERLINK("https://edmondsonsupply.com/products/braeburn-1230-economy-thermostat-2-heat-1-cool-non-programmable", "https://edmondsonsupply.com/products/braeburn-1230-economy-thermostat-2-heat-1-cool-non-programmable")</f>
        <v/>
      </c>
      <c r="C2677" t="inlineStr">
        <is>
          <t>Braeburn 1230 Economy Thermostat, 2 Heat / 1 Cool Non-Programmable</t>
        </is>
      </c>
      <c r="D2677" t="inlineStr">
        <is>
          <t>Braeburn 1020NC Thermostat, Builder Series Non-Programmable, Single Stage Heat/Cool Conventional or Heat Pump w/Large Display by Braeburn</t>
        </is>
      </c>
      <c r="E2677" s="2">
        <f>HYPERLINK("https://www.amazon.com/Braeburn-Thermostat-Builder-Non-Programmable-Conventional/dp/B018A2RKJ8/ref=sr_1_11?keywords=Braeburn+1230+Economy+Thermostat%2C+2+Heat+%2F+1+Cool+Non-Programmable&amp;qid=1694734864&amp;sr=8-11", "https://www.amazon.com/Braeburn-Thermostat-Builder-Non-Programmable-Conventional/dp/B018A2RKJ8/ref=sr_1_11?keywords=Braeburn+1230+Economy+Thermostat%2C+2+Heat+%2F+1+Cool+Non-Programmable&amp;qid=1694734864&amp;sr=8-11")</f>
        <v/>
      </c>
      <c r="F2677" t="inlineStr">
        <is>
          <t>B018A2RKJ8</t>
        </is>
      </c>
      <c r="G2677">
        <f>_xlfn.IMAGE("https://edmondsonsupply.com/cdn/shop/files/1230.png?v=1691584960")</f>
        <v/>
      </c>
      <c r="H2677">
        <f>_xlfn.IMAGE("https://m.media-amazon.com/images/I/313-b7P2lmL._AC_UL320_.jpg")</f>
        <v/>
      </c>
      <c r="K2677" t="inlineStr">
        <is>
          <t>54.85</t>
        </is>
      </c>
      <c r="L2677" t="n">
        <v>49.97</v>
      </c>
      <c r="M2677" s="1" t="inlineStr">
        <is>
          <t>-8.90%</t>
        </is>
      </c>
      <c r="N2677" s="7" t="n">
        <v>273.05</v>
      </c>
      <c r="O2677" t="n">
        <v>4.6</v>
      </c>
      <c r="P2677" t="n">
        <v>11</v>
      </c>
      <c r="R2677" t="inlineStr">
        <is>
          <t>InStock</t>
        </is>
      </c>
      <c r="S2677" t="inlineStr">
        <is>
          <t>undefined</t>
        </is>
      </c>
      <c r="T2677" t="inlineStr">
        <is>
          <t>8025701810392</t>
        </is>
      </c>
    </row>
    <row r="2678" ht="87" customHeight="1">
      <c r="A2678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678" s="2">
        <f>HYPERLINK("https://edmondsonsupply.com/products/klein-tools-mm300kit-digital-multimeter-electrical-test-kit", "https://edmondsonsupply.com/products/klein-tools-mm300kit-digital-multimeter-electrical-test-kit")</f>
        <v/>
      </c>
      <c r="C2678" t="inlineStr">
        <is>
          <t>Klein Tools MM320KIT Digital Multimeter Electrical Test Kit</t>
        </is>
      </c>
      <c r="D2678" t="inlineStr">
        <is>
          <t>Klein Tools 69355 Digital Multimeter Premium Electrical Test Kit with Non-Contact Voltage Tester, Receptacle Tester, Test Leads</t>
        </is>
      </c>
      <c r="E2678" s="2">
        <f>HYPERLINK("https://www.amazon.com/Klein-Tools-69355-Electrical-Test/dp/B09SVQQFZX/ref=sr_1_4?keywords=Klein+Tools+MM320KIT+Digital+Multimeter+Electrical+Test+Kit&amp;qid=1694734657&amp;sr=8-4", "https://www.amazon.com/Klein-Tools-69355-Electrical-Test/dp/B09SVQQFZX/ref=sr_1_4?keywords=Klein+Tools+MM320KIT+Digital+Multimeter+Electrical+Test+Kit&amp;qid=1694734657&amp;sr=8-4")</f>
        <v/>
      </c>
      <c r="F2678" t="inlineStr">
        <is>
          <t>B09SVQQFZX</t>
        </is>
      </c>
      <c r="G2678">
        <f>_xlfn.IMAGE("https://edmondsonsupply.com/cdn/shop/products/mm320kit_photo.jpg?v=1660756496")</f>
        <v/>
      </c>
      <c r="H2678">
        <f>_xlfn.IMAGE("https://m.media-amazon.com/images/I/51heXSegywL._AC_UL320_.jpg")</f>
        <v/>
      </c>
      <c r="K2678" t="inlineStr">
        <is>
          <t>49.97</t>
        </is>
      </c>
      <c r="L2678" t="n">
        <v>45.5</v>
      </c>
      <c r="M2678" s="1" t="inlineStr">
        <is>
          <t>-8.95%</t>
        </is>
      </c>
      <c r="N2678" s="7" t="n">
        <v>270.27</v>
      </c>
      <c r="O2678" t="n">
        <v>4.7</v>
      </c>
      <c r="P2678" t="n">
        <v>403</v>
      </c>
      <c r="R2678" t="inlineStr">
        <is>
          <t>InStock</t>
        </is>
      </c>
      <c r="S2678" t="inlineStr">
        <is>
          <t>79.3</t>
        </is>
      </c>
      <c r="T2678" t="inlineStr">
        <is>
          <t>7783570309336</t>
        </is>
      </c>
    </row>
    <row r="2679" ht="87" customHeight="1">
      <c r="A2679" s="2">
        <f>HYPERLINK("https://edmondsonsupply.com/collections/hvac/products/channellock-87", "https://edmondsonsupply.com/collections/hvac/products/channellock-87")</f>
        <v/>
      </c>
      <c r="B2679" s="2">
        <f>HYPERLINK("https://edmondsonsupply.com/products/channellock-87", "https://edmondsonsupply.com/products/channellock-87")</f>
        <v/>
      </c>
      <c r="C2679" t="inlineStr">
        <is>
          <t>Channellock 87 9" Rescue Tool</t>
        </is>
      </c>
      <c r="D2679" t="inlineStr">
        <is>
          <t>Channellock 86 Spring Loaded Compact Rescue Tool with Lock, 9"</t>
        </is>
      </c>
      <c r="E2679" s="2">
        <f>HYPERLINK("https://www.amazon.com/Channellock-86-Spring-Loaded-Compact/dp/B00X3WJ50S/ref=sr_1_1?keywords=Channellock+87+9%22+Rescue+Tool&amp;qid=1694734604&amp;sr=8-1", "https://www.amazon.com/Channellock-86-Spring-Loaded-Compact/dp/B00X3WJ50S/ref=sr_1_1?keywords=Channellock+87+9%22+Rescue+Tool&amp;qid=1694734604&amp;sr=8-1")</f>
        <v/>
      </c>
      <c r="F2679" t="inlineStr">
        <is>
          <t>B00X3WJ50S</t>
        </is>
      </c>
      <c r="G2679">
        <f>_xlfn.IMAGE("https://edmondsonsupply.com/cdn/shop/products/87.png?v=1587151315")</f>
        <v/>
      </c>
      <c r="H2679">
        <f>_xlfn.IMAGE("https://m.media-amazon.com/images/I/7192vROD+kL._AC_UL320_.jpg")</f>
        <v/>
      </c>
      <c r="K2679" t="inlineStr">
        <is>
          <t>54.95</t>
        </is>
      </c>
      <c r="L2679" t="n">
        <v>49.99</v>
      </c>
      <c r="M2679" s="1" t="inlineStr">
        <is>
          <t>-9.03%</t>
        </is>
      </c>
      <c r="N2679" s="7" t="n">
        <v>270.25</v>
      </c>
      <c r="O2679" t="n">
        <v>4.7</v>
      </c>
      <c r="P2679" t="n">
        <v>1030</v>
      </c>
      <c r="R2679" t="inlineStr">
        <is>
          <t>InStock</t>
        </is>
      </c>
      <c r="S2679" t="inlineStr">
        <is>
          <t>75.52</t>
        </is>
      </c>
      <c r="T2679" t="inlineStr">
        <is>
          <t>4417465155684</t>
        </is>
      </c>
    </row>
    <row r="2680" ht="87" customHeight="1">
      <c r="A2680" s="2">
        <f>HYPERLINK("https://edmondsonsupply.com/collections/hvac/products/klein-tools-85073ins-screwdriver-set-1000v-insulated-3-piece", "https://edmondsonsupply.com/collections/hvac/products/klein-tools-85073ins-screwdriver-set-1000v-insulated-3-piece")</f>
        <v/>
      </c>
      <c r="B2680" s="2">
        <f>HYPERLINK("https://edmondsonsupply.com/products/klein-tools-85073ins-screwdriver-set-1000v-insulated-3-piece", "https://edmondsonsupply.com/products/klein-tools-85073ins-screwdriver-set-1000v-insulated-3-piece")</f>
        <v/>
      </c>
      <c r="C2680" t="inlineStr">
        <is>
          <t>Klein Tools 85073INS Screwdriver Set, 1000V Insulated, 3-Piece</t>
        </is>
      </c>
      <c r="D2680" t="inlineStr">
        <is>
          <t>Klein Tools 85073INS Insulated Screwdriver Set features 1000V Phillips, Slotted and Square Tips, Cushion Grip Handles, 3-Piece</t>
        </is>
      </c>
      <c r="E2680" s="2">
        <f>HYPERLINK("https://www.amazon.com/Klein-Tools-85073INS-Insulated-Screwdriver/dp/B0BF79WQZX/ref=sr_1_1?keywords=Klein+Tools+85073INS+Screwdriver+Set%2C+1000V+Insulated%2C+3-Piece&amp;qid=1694734656&amp;sr=8-1", "https://www.amazon.com/Klein-Tools-85073INS-Insulated-Screwdriver/dp/B0BF79WQZX/ref=sr_1_1?keywords=Klein+Tools+85073INS+Screwdriver+Set%2C+1000V+Insulated%2C+3-Piece&amp;qid=1694734656&amp;sr=8-1")</f>
        <v/>
      </c>
      <c r="F2680" t="inlineStr">
        <is>
          <t>B0BF79WQZX</t>
        </is>
      </c>
      <c r="G2680">
        <f>_xlfn.IMAGE("https://edmondsonsupply.com/cdn/shop/products/85073ins.jpg?v=1664890503")</f>
        <v/>
      </c>
      <c r="H2680">
        <f>_xlfn.IMAGE("https://m.media-amazon.com/images/I/51dL7msUIqL._AC_UL320_.jpg")</f>
        <v/>
      </c>
      <c r="K2680" t="inlineStr">
        <is>
          <t>21.97</t>
        </is>
      </c>
      <c r="L2680" t="n">
        <v>19.97</v>
      </c>
      <c r="M2680" s="1" t="inlineStr">
        <is>
          <t>-9.10%</t>
        </is>
      </c>
      <c r="N2680" s="7" t="n">
        <v>270.11</v>
      </c>
      <c r="O2680" t="n">
        <v>4.9</v>
      </c>
      <c r="P2680" t="n">
        <v>202</v>
      </c>
      <c r="R2680" t="inlineStr">
        <is>
          <t>InStock</t>
        </is>
      </c>
      <c r="S2680" t="inlineStr">
        <is>
          <t>32.98</t>
        </is>
      </c>
      <c r="T2680" t="inlineStr">
        <is>
          <t>7839219613912</t>
        </is>
      </c>
    </row>
    <row r="2681" ht="87" customHeight="1">
      <c r="A2681" s="2">
        <f>HYPERLINK("https://edmondsonsupply.com/collections/hvac/products/channellock-432", "https://edmondsonsupply.com/collections/hvac/products/channellock-432")</f>
        <v/>
      </c>
      <c r="B2681" s="2">
        <f>HYPERLINK("https://edmondsonsupply.com/products/channellock-432", "https://edmondsonsupply.com/products/channellock-432")</f>
        <v/>
      </c>
      <c r="C2681" t="inlineStr">
        <is>
          <t>Channellock 440 12" Straight Jaw Tongue &amp; Groove Pliers</t>
        </is>
      </c>
      <c r="D2681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2681" s="2">
        <f>HYPERLINK("https://www.amazon.com/Channellock-430-Straight-Heat-Treated-Reinforcing/dp/B00002N5JF/ref=sr_1_6?keywords=Channellock+440+12%22+Straight+Jaw+Tongue+%26+Groove+Pliers&amp;qid=1694734829&amp;sr=8-6", "https://www.amazon.com/Channellock-430-Straight-Heat-Treated-Reinforcing/dp/B00002N5JF/ref=sr_1_6?keywords=Channellock+440+12%22+Straight+Jaw+Tongue+%26+Groove+Pliers&amp;qid=1694734829&amp;sr=8-6")</f>
        <v/>
      </c>
      <c r="F2681" t="inlineStr">
        <is>
          <t>B00002N5JF</t>
        </is>
      </c>
      <c r="G2681">
        <f>_xlfn.IMAGE("https://edmondsonsupply.com/cdn/shop/products/440-546x1024.jpg?v=1587148892")</f>
        <v/>
      </c>
      <c r="H2681">
        <f>_xlfn.IMAGE("https://m.media-amazon.com/images/I/71JqgqffnnL._AC_UL320_.jpg")</f>
        <v/>
      </c>
      <c r="K2681" t="inlineStr">
        <is>
          <t>21.95</t>
        </is>
      </c>
      <c r="L2681" t="n">
        <v>19.95</v>
      </c>
      <c r="M2681" s="1" t="inlineStr">
        <is>
          <t>-9.11%</t>
        </is>
      </c>
      <c r="N2681" s="7" t="n">
        <v>270.11</v>
      </c>
      <c r="O2681" t="n">
        <v>4.8</v>
      </c>
      <c r="P2681" t="n">
        <v>2186</v>
      </c>
      <c r="R2681" t="inlineStr">
        <is>
          <t>InStock</t>
        </is>
      </c>
      <c r="S2681" t="inlineStr">
        <is>
          <t>29.82</t>
        </is>
      </c>
      <c r="T2681" t="inlineStr">
        <is>
          <t>3553495908452</t>
        </is>
      </c>
    </row>
    <row r="2682" ht="87" customHeight="1">
      <c r="A2682" s="2">
        <f>HYPERLINK("https://edmondsonsupply.com/collections/hvac/products/navac-nvr1-valve-core-removal-tool", "https://edmondsonsupply.com/collections/hvac/products/navac-nvr1-valve-core-removal-tool")</f>
        <v/>
      </c>
      <c r="B2682" s="2">
        <f>HYPERLINK("https://edmondsonsupply.com/products/navac-nvr1-valve-core-removal-tool", "https://edmondsonsupply.com/products/navac-nvr1-valve-core-removal-tool")</f>
        <v/>
      </c>
      <c r="C2682" t="inlineStr">
        <is>
          <t>NAVAC NVR1 Valve Core Removal Tool</t>
        </is>
      </c>
      <c r="D2682" t="inlineStr">
        <is>
          <t>Navac Fast Recovery and Evacuation Valve Core Removal Tool (NVR1)</t>
        </is>
      </c>
      <c r="E2682" s="2">
        <f>HYPERLINK("https://www.amazon.com/Navac-NVR1-Valve-Core-Removal/dp/B07VN8L5WC/ref=sr_1_1?keywords=NAVAC+NVR1+Valve+Core+Removal+Tool&amp;qid=1694734784&amp;sr=8-1", "https://www.amazon.com/Navac-NVR1-Valve-Core-Removal/dp/B07VN8L5WC/ref=sr_1_1?keywords=NAVAC+NVR1+Valve+Core+Removal+Tool&amp;qid=1694734784&amp;sr=8-1")</f>
        <v/>
      </c>
      <c r="F2682" t="inlineStr">
        <is>
          <t>B07VN8L5WC</t>
        </is>
      </c>
      <c r="G2682">
        <f>_xlfn.IMAGE("https://edmondsonsupply.com/cdn/shop/products/NVR1-2-1024x663.png?v=1633030654")</f>
        <v/>
      </c>
      <c r="H2682">
        <f>_xlfn.IMAGE("https://m.media-amazon.com/images/I/51+oeEI8prL._AC_UL320_.jpg")</f>
        <v/>
      </c>
      <c r="K2682" t="inlineStr">
        <is>
          <t>67.76</t>
        </is>
      </c>
      <c r="L2682" t="n">
        <v>61.5</v>
      </c>
      <c r="M2682" s="1" t="inlineStr">
        <is>
          <t>-9.24%</t>
        </is>
      </c>
      <c r="N2682" s="7" t="n">
        <v>269.65</v>
      </c>
      <c r="O2682" t="n">
        <v>4.3</v>
      </c>
      <c r="P2682" t="n">
        <v>63</v>
      </c>
      <c r="R2682" t="inlineStr">
        <is>
          <t>InStock</t>
        </is>
      </c>
      <c r="S2682" t="inlineStr">
        <is>
          <t>88.81</t>
        </is>
      </c>
      <c r="T2682" t="inlineStr">
        <is>
          <t>5740615073960</t>
        </is>
      </c>
    </row>
    <row r="2683" hidden="1" ht="15.75" customHeight="1">
      <c r="A2683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2683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2683" t="inlineStr">
        <is>
          <t>Klein Tools JTH4E17 1/2-Inch Hex Key, Journeyman T-Handle, 4-Inch</t>
        </is>
      </c>
      <c r="D2683" t="inlineStr">
        <is>
          <t>Klein Tools JTH6T40 T40 TORX Hex Key, Journeyman T-Handle, 6-Inch</t>
        </is>
      </c>
      <c r="E2683" s="2">
        <f>HYPERLINK("https://www.amazon.com/Journeyman-T-Handle-Klein-Tools-JTH6T40/dp/B005G3B500/ref=sr_1_12?keywords=Klein+Tools+JTH4E17+1%2F2-Inch+Hex+Key%2C+Journeyman+T-Handle%2C+4-Inch&amp;qid=1694734780&amp;sr=8-12", "https://www.amazon.com/Journeyman-T-Handle-Klein-Tools-JTH6T40/dp/B005G3B500/ref=sr_1_12?keywords=Klein+Tools+JTH4E17+1%2F2-Inch+Hex+Key%2C+Journeyman+T-Handle%2C+4-Inch&amp;qid=1694734780&amp;sr=8-12")</f>
        <v/>
      </c>
      <c r="F2683" t="inlineStr">
        <is>
          <t>B005G3B500</t>
        </is>
      </c>
      <c r="G2683">
        <f>_xludf.IMAGE("https://edmondsonsupply.com/cdn/shop/products/jth4e17_583549be-7b42-43c7-9c3d-a92f2416ede5.jpg?v=1610655610")</f>
        <v/>
      </c>
      <c r="H2683">
        <f>_xludf.IMAGE("https://m.media-amazon.com/images/I/51Xj0Vsb-EL._AC_UL320_.jpg")</f>
        <v/>
      </c>
      <c r="K2683" t="inlineStr">
        <is>
          <t>15.99</t>
        </is>
      </c>
      <c r="L2683" t="n">
        <v>14.51</v>
      </c>
      <c r="M2683" s="1" t="inlineStr">
        <is>
          <t>-9.26%</t>
        </is>
      </c>
      <c r="N2683" s="1" t="n">
        <v>266.67</v>
      </c>
      <c r="O2683" t="n">
        <v>4.8</v>
      </c>
      <c r="P2683" t="n">
        <v>1540</v>
      </c>
      <c r="R2683" t="inlineStr">
        <is>
          <t>InStock</t>
        </is>
      </c>
      <c r="S2683" t="inlineStr">
        <is>
          <t>24.24</t>
        </is>
      </c>
      <c r="T2683" t="inlineStr">
        <is>
          <t>6203851538605</t>
        </is>
      </c>
    </row>
    <row r="2684" ht="87" customHeight="1">
      <c r="A2684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684" s="2">
        <f>HYPERLINK("https://edmondsonsupply.com/products/klein-tools-d2000-28glw-diagonal-cutting-pliers-hi-viz-8-inch", "https://edmondsonsupply.com/products/klein-tools-d2000-28glw-diagonal-cutting-pliers-hi-viz-8-inch")</f>
        <v/>
      </c>
      <c r="C2684" t="inlineStr">
        <is>
          <t>Klein Tools D200028GLW Diagonal Cutting Pliers, High-Visibility, 8-Inch</t>
        </is>
      </c>
      <c r="D2684" t="inlineStr">
        <is>
          <t>Klein Tools D248-8-GLW Pliers, Hi-Viz Diagonal Cutting Pliers with Angled Head, Short Jaws, and Glow in the Dark Handles, 8-Inch</t>
        </is>
      </c>
      <c r="E2684" s="2">
        <f>HYPERLINK("https://www.amazon.com/Diagonal-Cutting-Klein-Tools-D248-8-GLW/dp/B00LMM39TY/ref=sr_1_6?keywords=Klein+Tools+D200028GLW+Diagonal+Cutting+Pliers%2C+High-Visibility%2C+8-Inch&amp;qid=1694734781&amp;sr=8-6", "https://www.amazon.com/Diagonal-Cutting-Klein-Tools-D248-8-GLW/dp/B00LMM39TY/ref=sr_1_6?keywords=Klein+Tools+D200028GLW+Diagonal+Cutting+Pliers%2C+High-Visibility%2C+8-Inch&amp;qid=1694734781&amp;sr=8-6")</f>
        <v/>
      </c>
      <c r="F2684" t="inlineStr">
        <is>
          <t>B00LMM39TY</t>
        </is>
      </c>
      <c r="G2684">
        <f>_xlfn.IMAGE("https://edmondsonsupply.com/cdn/shop/products/d200028glw.jpg?v=1633030701")</f>
        <v/>
      </c>
      <c r="H2684">
        <f>_xlfn.IMAGE("https://m.media-amazon.com/images/I/41HSLnsbFiL._AC_UL320_.jpg")</f>
        <v/>
      </c>
      <c r="K2684" t="inlineStr">
        <is>
          <t>37.49</t>
        </is>
      </c>
      <c r="L2684" t="n">
        <v>33.99</v>
      </c>
      <c r="M2684" s="1" t="inlineStr">
        <is>
          <t>-9.34%</t>
        </is>
      </c>
      <c r="N2684" s="7" t="n">
        <v>265.39</v>
      </c>
      <c r="O2684" t="n">
        <v>4.9</v>
      </c>
      <c r="P2684" t="n">
        <v>631</v>
      </c>
      <c r="R2684" t="inlineStr">
        <is>
          <t>InStock</t>
        </is>
      </c>
      <c r="S2684" t="inlineStr">
        <is>
          <t>56.78</t>
        </is>
      </c>
      <c r="T2684" t="inlineStr">
        <is>
          <t>5848287477928</t>
        </is>
      </c>
    </row>
    <row r="2685" hidden="1" ht="15.75" customHeight="1">
      <c r="A2685" s="2">
        <f>HYPERLINK("https://edmondsonsupply.com/collections/hvac/products/klein-tools-646-5-16-5-16-inch-nut-driver-6-inch-hollow-shaft", "https://edmondsonsupply.com/collections/hvac/products/klein-tools-646-5-16-5-16-inch-nut-driver-6-inch-hollow-shaft")</f>
        <v/>
      </c>
      <c r="B2685" s="2">
        <f>HYPERLINK("https://edmondsonsupply.com/products/klein-tools-646-5-16-5-16-inch-nut-driver-6-inch-hollow-shaft", "https://edmondsonsupply.com/products/klein-tools-646-5-16-5-16-inch-nut-driver-6-inch-hollow-shaft")</f>
        <v/>
      </c>
      <c r="C2685" t="inlineStr">
        <is>
          <t>Klein Tools 646-5/16 5/16-Inch Nut Driver, 6-Inch Hollow Shaft</t>
        </is>
      </c>
      <c r="D2685" t="inlineStr">
        <is>
          <t>Klein Tools S10 5/16-Inch Nut Driver with 3-Inch Hollow Shaft and Comfordome Handle</t>
        </is>
      </c>
      <c r="E2685" s="2">
        <f>HYPERLINK("https://www.amazon.com/16-Inch-Comfordome-Klein-Tools-S10/dp/B0000302VV/ref=sr_1_8?keywords=Klein+Tools+646-5%2F16+5%2F16-Inch+Nut+Driver%2C+6-Inch+Hollow+Shaft&amp;qid=1694734728&amp;sr=8-8", "https://www.amazon.com/16-Inch-Comfordome-Klein-Tools-S10/dp/B0000302VV/ref=sr_1_8?keywords=Klein+Tools+646-5%2F16+5%2F16-Inch+Nut+Driver%2C+6-Inch+Hollow+Shaft&amp;qid=1694734728&amp;sr=8-8")</f>
        <v/>
      </c>
      <c r="F2685" t="inlineStr">
        <is>
          <t>B0000302VV</t>
        </is>
      </c>
      <c r="G2685">
        <f>_xludf.IMAGE("https://edmondsonsupply.com/cdn/shop/products/646-1-2_e1540905-f750-4509-90c5-74ff653e4d83.jpg?v=1587145119")</f>
        <v/>
      </c>
      <c r="H2685">
        <f>_xludf.IMAGE("https://m.media-amazon.com/images/I/41aAb0fCVtL._AC_UL320_.jpg")</f>
        <v/>
      </c>
      <c r="K2685" t="inlineStr">
        <is>
          <t>7.99</t>
        </is>
      </c>
      <c r="L2685" t="n">
        <v>7.24</v>
      </c>
      <c r="M2685" s="1" t="inlineStr">
        <is>
          <t>-9.39%</t>
        </is>
      </c>
      <c r="N2685" s="1" t="n">
        <v>265.11</v>
      </c>
      <c r="O2685" t="n">
        <v>4.5</v>
      </c>
      <c r="P2685" t="n">
        <v>224</v>
      </c>
      <c r="R2685" t="inlineStr">
        <is>
          <t>InStock</t>
        </is>
      </c>
      <c r="S2685" t="inlineStr">
        <is>
          <t>12.1</t>
        </is>
      </c>
      <c r="T2685" t="inlineStr">
        <is>
          <t>4395303272548</t>
        </is>
      </c>
    </row>
    <row r="2686" ht="87" customHeight="1">
      <c r="A2686" s="2">
        <f>HYPERLINK("https://edmondsonsupply.com/collections/hvac/products/packard-c340a-contactor-3-pole-40-amps-24-coil-voltage", "https://edmondsonsupply.com/collections/hvac/products/packard-c340a-contactor-3-pole-40-amps-24-coil-voltage")</f>
        <v/>
      </c>
      <c r="B2686" s="2">
        <f>HYPERLINK("https://edmondsonsupply.com/products/packard-c340a-contactor-3-pole-40-amps-24-coil-voltage", "https://edmondsonsupply.com/products/packard-c340a-contactor-3-pole-40-amps-24-coil-voltage")</f>
        <v/>
      </c>
      <c r="C2686" t="inlineStr">
        <is>
          <t>Packard C340A Contactor 3 Pole 40 Amps 24 Coil Voltage</t>
        </is>
      </c>
      <c r="D2686" t="inlineStr">
        <is>
          <t>Packard C340C 3 Pole 40 Amp Contactor 208/240 Volt Coil Contactor</t>
        </is>
      </c>
      <c r="E2686" s="2">
        <f>HYPERLINK("https://www.amazon.com/Packard-C340C-Pole-Contactor-Volt/dp/B004ZRWGGA/ref=sr_1_9?keywords=Packard+C340A+Contactor+3+Pole+40+Amps+24+Coil+Voltage&amp;qid=1694734727&amp;sr=8-9", "https://www.amazon.com/Packard-C340C-Pole-Contactor-Volt/dp/B004ZRWGGA/ref=sr_1_9?keywords=Packard+C340A+Contactor+3+Pole+40+Amps+24+Coil+Voltage&amp;qid=1694734727&amp;sr=8-9")</f>
        <v/>
      </c>
      <c r="F2686" t="inlineStr">
        <is>
          <t>B004ZRWGGA</t>
        </is>
      </c>
      <c r="G2686">
        <f>_xlfn.IMAGE("https://edmondsonsupply.com/cdn/shop/products/C340A-2.jpg?v=1633030393")</f>
        <v/>
      </c>
      <c r="H2686">
        <f>_xlfn.IMAGE("https://m.media-amazon.com/images/I/71LfPG7H6RL._AC_UY218_.jpg")</f>
        <v/>
      </c>
      <c r="K2686" t="inlineStr">
        <is>
          <t>22.24</t>
        </is>
      </c>
      <c r="L2686" t="n">
        <v>20.15</v>
      </c>
      <c r="M2686" s="1" t="inlineStr">
        <is>
          <t>-9.40%</t>
        </is>
      </c>
      <c r="N2686" s="7" t="n">
        <v>263.82</v>
      </c>
      <c r="O2686" t="n">
        <v>4.4</v>
      </c>
      <c r="P2686" t="n">
        <v>131</v>
      </c>
      <c r="R2686" t="inlineStr">
        <is>
          <t>InStock</t>
        </is>
      </c>
      <c r="S2686" t="inlineStr">
        <is>
          <t>undefined</t>
        </is>
      </c>
      <c r="T2686" t="inlineStr">
        <is>
          <t>5301718810792</t>
        </is>
      </c>
    </row>
    <row r="2687" ht="87" customHeight="1">
      <c r="A2687" s="2">
        <f>HYPERLINK("https://edmondsonsupply.com/collections/hvac/products/klein-tools-ir07-dual-ir-probe-thermometer", "https://edmondsonsupply.com/collections/hvac/products/klein-tools-ir07-dual-ir-probe-thermometer")</f>
        <v/>
      </c>
      <c r="B2687" s="2">
        <f>HYPERLINK("https://edmondsonsupply.com/products/klein-tools-ir07-dual-ir-probe-thermometer", "https://edmondsonsupply.com/products/klein-tools-ir07-dual-ir-probe-thermometer")</f>
        <v/>
      </c>
      <c r="C2687" t="inlineStr">
        <is>
          <t>Klein Tools IR07 Dual IR/Probe Thermometer</t>
        </is>
      </c>
      <c r="D2687" t="inlineStr">
        <is>
          <t>Klein Tools IR07 Dual Infrared (IR) and Probe Pocket Size LCD Digital Thermometer</t>
        </is>
      </c>
      <c r="E2687" s="2">
        <f>HYPERLINK("https://www.amazon.com/Klein-Tools-IR07-Infrared-Thermometer/dp/B07P9WM69C/ref=sr_1_1?keywords=Klein+Tools+IR07+Dual+IR%2FProbe+Thermometer&amp;qid=1694734825&amp;sr=8-1", "https://www.amazon.com/Klein-Tools-IR07-Infrared-Thermometer/dp/B07P9WM69C/ref=sr_1_1?keywords=Klein+Tools+IR07+Dual+IR%2FProbe+Thermometer&amp;qid=1694734825&amp;sr=8-1")</f>
        <v/>
      </c>
      <c r="F2687" t="inlineStr">
        <is>
          <t>B07P9WM69C</t>
        </is>
      </c>
      <c r="G2687">
        <f>_xlfn.IMAGE("https://edmondsonsupply.com/cdn/shop/products/ir07.jpg?v=1599003623")</f>
        <v/>
      </c>
      <c r="H2687">
        <f>_xlfn.IMAGE("https://m.media-amazon.com/images/I/51JBUtWpWuS._AC_UY218_.jpg")</f>
        <v/>
      </c>
      <c r="K2687" t="inlineStr">
        <is>
          <t>57.49</t>
        </is>
      </c>
      <c r="L2687" t="n">
        <v>51.97</v>
      </c>
      <c r="M2687" s="1" t="inlineStr">
        <is>
          <t>-9.60%</t>
        </is>
      </c>
      <c r="N2687" s="7" t="n">
        <v>263.4</v>
      </c>
      <c r="O2687" t="n">
        <v>4.7</v>
      </c>
      <c r="P2687" t="n">
        <v>777</v>
      </c>
      <c r="R2687" t="inlineStr">
        <is>
          <t>InStock</t>
        </is>
      </c>
      <c r="S2687" t="inlineStr">
        <is>
          <t>72.06</t>
        </is>
      </c>
      <c r="T2687" t="inlineStr">
        <is>
          <t>3320746770532</t>
        </is>
      </c>
    </row>
    <row r="2688" hidden="1" ht="15.75" customHeight="1">
      <c r="A2688" s="2">
        <f>HYPERLINK("https://edmondsonsupply.com/collections/hvac/products/packard-c130a-contactor-1-pole-30-amps-24-coil-voltage", "https://edmondsonsupply.com/collections/hvac/products/packard-c130a-contactor-1-pole-30-amps-24-coil-voltage")</f>
        <v/>
      </c>
      <c r="B2688" s="2">
        <f>HYPERLINK("https://edmondsonsupply.com/products/packard-c130a-contactor-1-pole-30-amps-24-coil-voltage", "https://edmondsonsupply.com/products/packard-c130a-contactor-1-pole-30-amps-24-coil-voltage")</f>
        <v/>
      </c>
      <c r="C2688" t="inlineStr">
        <is>
          <t>Packard C130A Contactor 1 Pole 30 Amps 24 Coil Voltage</t>
        </is>
      </c>
      <c r="D2688" t="inlineStr">
        <is>
          <t>Packard Contactor C130A 1 Pole 30 Amps 24 Coil Voltage 4.5 Out of 5 Stars 44</t>
        </is>
      </c>
      <c r="E2688" s="2">
        <f>HYPERLINK("https://www.amazon.com/Packard-Contactor-C130A-Pole-Voltage/dp/B002CJFJWQ/ref=sr_1_1?keywords=Packard+C130A+Contactor+1+Pole+30+Amps+24+Coil+Voltage&amp;qid=1694734616&amp;sr=8-1", "https://www.amazon.com/Packard-Contactor-C130A-Pole-Voltage/dp/B002CJFJWQ/ref=sr_1_1?keywords=Packard+C130A+Contactor+1+Pole+30+Amps+24+Coil+Voltage&amp;qid=1694734616&amp;sr=8-1")</f>
        <v/>
      </c>
      <c r="F2688" t="inlineStr">
        <is>
          <t>B002CJFJWQ</t>
        </is>
      </c>
      <c r="G2688">
        <f>_xludf.IMAGE("https://edmondsonsupply.com/cdn/shop/products/61bb566724620904123205.jpg?v=1650335931")</f>
        <v/>
      </c>
      <c r="H2688">
        <f>_xludf.IMAGE("https://m.media-amazon.com/images/I/41n4xVc0BbL._AC_UY218_.jpg")</f>
        <v/>
      </c>
      <c r="K2688" t="inlineStr">
        <is>
          <t>9.62</t>
        </is>
      </c>
      <c r="L2688" t="n">
        <v>8.69</v>
      </c>
      <c r="M2688" s="1" t="inlineStr">
        <is>
          <t>-9.67%</t>
        </is>
      </c>
      <c r="N2688" s="1" t="n">
        <v>262.37</v>
      </c>
      <c r="O2688" t="n">
        <v>4.6</v>
      </c>
      <c r="P2688" t="n">
        <v>273</v>
      </c>
      <c r="R2688" t="inlineStr">
        <is>
          <t>InStock</t>
        </is>
      </c>
      <c r="S2688" t="inlineStr">
        <is>
          <t>undefined</t>
        </is>
      </c>
      <c r="T2688" t="inlineStr">
        <is>
          <t>5301652095144</t>
        </is>
      </c>
    </row>
    <row r="2689" hidden="1" ht="15.75" customHeight="1">
      <c r="A2689" s="2">
        <f>HYPERLINK("https://edmondsonsupply.com/collections/hvac/products/diablo-tools-dmapl4210-5-8-in-x-4-in-x-6-in-rebar-demon%E2%84%A2-sds-plus-4-cutter-full-carbide-head-hammer-bit", "https://edmondsonsupply.com/collections/hvac/products/diablo-tools-dmapl4210-5-8-in-x-4-in-x-6-in-rebar-demon%E2%84%A2-sds-plus-4-cutter-full-carbide-head-hammer-bit")</f>
        <v/>
      </c>
      <c r="B2689" s="2">
        <f>HYPERLINK("https://edmondsonsupply.com/products/diablo-tools-dmapl4210-5-8-in-x-4-in-x-6-in-rebar-demon%e2%84%a2-sds-plus-4-cutter-full-carbide-head-hammer-bit", "https://edmondsonsupply.com/products/diablo-tools-dmapl4210-5-8-in-x-4-in-x-6-in-rebar-demon%e2%84%a2-sds-plus-4-cutter-full-carbide-head-hammer-bit")</f>
        <v/>
      </c>
      <c r="C2689" t="inlineStr">
        <is>
          <t>Diablo Tools DMAPL4210 5/8 in. x 4 in. x 6 in. Rebar Demon™ SDS‑Plus 4‑Cutter Full Carbide Head Hammer Bit</t>
        </is>
      </c>
      <c r="D2689" t="inlineStr">
        <is>
          <t>Diablo by Freud DMAPL4050 3/16 in. x 6 in. x 8 in. Rebar Demon SDS-Plus 4-Cutter Full Carbide Head Hammer Bit Multi, One Size</t>
        </is>
      </c>
      <c r="E2689" s="2">
        <f>HYPERLINK("https://www.amazon.com/Diablo-SDS-Plus-4-Cutter-Carbide-Hammer/dp/B089LKWR9L/ref=sr_1_12?keywords=Diablo+Tools+DMAPL4210+5%2F8+in.+x+4+in.+x+6+in.+Rebar+Demon%E2%84%A2+SDS%E2%80%91Plus+4%E2%80%91Cutter+Full+Carbide+Head+Hammer+Bit&amp;qid=1694734723&amp;sr=8-12", "https://www.amazon.com/Diablo-SDS-Plus-4-Cutter-Carbide-Hammer/dp/B089LKWR9L/ref=sr_1_12?keywords=Diablo+Tools+DMAPL4210+5%2F8+in.+x+4+in.+x+6+in.+Rebar+Demon%E2%84%A2+SDS%E2%80%91Plus+4%E2%80%91Cutter+Full+Carbide+Head+Hammer+Bit&amp;qid=1694734723&amp;sr=8-12")</f>
        <v/>
      </c>
      <c r="F2689" t="inlineStr">
        <is>
          <t>B089LKWR9L</t>
        </is>
      </c>
      <c r="G2689">
        <f>_xludf.IMAGE("https://edmondsonsupply.com/cdn/shop/products/DMAPL4210_Main-Image20200701.png?v=1633030426")</f>
        <v/>
      </c>
      <c r="H2689">
        <f>_xludf.IMAGE("https://m.media-amazon.com/images/I/61uukuKzJeL._AC_UL320_.jpg")</f>
        <v/>
      </c>
      <c r="K2689" t="inlineStr">
        <is>
          <t>9.97</t>
        </is>
      </c>
      <c r="L2689" t="n">
        <v>8.99</v>
      </c>
      <c r="M2689" s="1" t="inlineStr">
        <is>
          <t>-9.83%</t>
        </is>
      </c>
      <c r="N2689" s="1" t="n">
        <v>262.36</v>
      </c>
      <c r="O2689" t="n">
        <v>3.7</v>
      </c>
      <c r="P2689" t="n">
        <v>10</v>
      </c>
      <c r="R2689" t="inlineStr">
        <is>
          <t>InStock</t>
        </is>
      </c>
      <c r="S2689" t="inlineStr">
        <is>
          <t>13.77</t>
        </is>
      </c>
      <c r="T2689" t="inlineStr">
        <is>
          <t>5326920482984</t>
        </is>
      </c>
    </row>
    <row r="2690" ht="87" customHeight="1">
      <c r="A2690" s="2">
        <f>HYPERLINK("https://edmondsonsupply.com/collections/hvac/products/midwest-mwt-6900r-upright-right-cutting-aviation-snip", "https://edmondsonsupply.com/collections/hvac/products/midwest-mwt-6900r-upright-right-cutting-aviation-snip")</f>
        <v/>
      </c>
      <c r="B2690" s="2">
        <f>HYPERLINK("https://edmondsonsupply.com/products/midwest-mwt-6900r-upright-right-cutting-aviation-snip", "https://edmondsonsupply.com/products/midwest-mwt-6900r-upright-right-cutting-aviation-snip")</f>
        <v/>
      </c>
      <c r="C2690" t="inlineStr">
        <is>
          <t>Midwest MWT-6900R Upright Right-Cutting Aviation Snip</t>
        </is>
      </c>
      <c r="D2690" t="inlineStr">
        <is>
          <t>Midwest Tool &amp; Cutlery Aviation Snip - Right Cut Regular Tin Cutting Shears with Forged Blade &amp; KUSH'N-POWER Comfort Grips - MWT-6716R</t>
        </is>
      </c>
      <c r="E2690" s="2">
        <f>HYPERLINK("https://www.amazon.com/MIDWEST-Aviation-Snip-KUSHN-POWER-MWT-6716R/dp/B00OCGQJL2/ref=sr_1_2?keywords=Midwest+MWT-6900R+Upright+Right-Cutting+Aviation+Snip&amp;qid=1694734651&amp;sr=8-2", "https://www.amazon.com/MIDWEST-Aviation-Snip-KUSHN-POWER-MWT-6716R/dp/B00OCGQJL2/ref=sr_1_2?keywords=Midwest+MWT-6900R+Upright+Right-Cutting+Aviation+Snip&amp;qid=1694734651&amp;sr=8-2")</f>
        <v/>
      </c>
      <c r="F2690" t="inlineStr">
        <is>
          <t>B00OCGQJL2</t>
        </is>
      </c>
      <c r="G2690">
        <f>_xlfn.IMAGE("https://edmondsonsupply.com/cdn/shop/products/MW-P6900R1.jpg?v=1587142622")</f>
        <v/>
      </c>
      <c r="H2690">
        <f>_xlfn.IMAGE("https://m.media-amazon.com/images/I/71E3s-FagnL._AC_UL320_.jpg")</f>
        <v/>
      </c>
      <c r="K2690" t="inlineStr">
        <is>
          <t>25.29</t>
        </is>
      </c>
      <c r="L2690" t="n">
        <v>22.8</v>
      </c>
      <c r="M2690" s="1" t="inlineStr">
        <is>
          <t>-9.85%</t>
        </is>
      </c>
      <c r="N2690" s="7" t="n">
        <v>262.36</v>
      </c>
      <c r="O2690" t="n">
        <v>4.4</v>
      </c>
      <c r="P2690" t="n">
        <v>575</v>
      </c>
      <c r="R2690" t="inlineStr">
        <is>
          <t>InStock</t>
        </is>
      </c>
      <c r="S2690" t="inlineStr">
        <is>
          <t>37.05</t>
        </is>
      </c>
      <c r="T2690" t="inlineStr">
        <is>
          <t>4509684596836</t>
        </is>
      </c>
    </row>
    <row r="2691" ht="87" customHeight="1">
      <c r="A2691" s="2">
        <f>HYPERLINK("https://edmondsonsupply.com/collections/hvac/products/solderweld-sw-alcu5k-al-cop-braze-aluminum-to-copper-brazing-rod-flux-core-5-rod-pack", "https://edmondsonsupply.com/collections/hvac/products/solderweld-sw-alcu5k-al-cop-braze-aluminum-to-copper-brazing-rod-flux-core-5-rod-pack")</f>
        <v/>
      </c>
      <c r="B2691" s="2">
        <f>HYPERLINK("https://edmondsonsupply.com/products/solderweld-sw-alcu5k-al-cop-braze-aluminum-to-copper-brazing-rod-flux-core-5-rod-pack", "https://edmondsonsupply.com/products/solderweld-sw-alcu5k-al-cop-braze-aluminum-to-copper-brazing-rod-flux-core-5-rod-pack")</f>
        <v/>
      </c>
      <c r="C2691" t="inlineStr">
        <is>
          <t>SolderWeld SW-AlCu5K Al-Cop Braze - Aluminum to Copper Brazing Rod - Flux Core, 5 Rod Pack</t>
        </is>
      </c>
      <c r="D2691" t="inlineStr">
        <is>
          <t>Supplying Demand SW-ALCU5.5 5 Rod Pack Aluminum to Copper or Brass 8 Inch Brazing Rods Appliance Refrigeration HVAC</t>
        </is>
      </c>
      <c r="E2691" s="2">
        <f>HYPERLINK("https://www.amazon.com/Supplying-Demand-SW-ALCU5-5-Appliance-Refrigeration/dp/B09W6YND6P/ref=sr_1_4?keywords=SolderWeld+SW-AlCu5K+Al-Cop+Braze+-+Aluminum+to+Copper+Brazing+Rod+-+Flux+Core%2C+5+Rod+Pack&amp;qid=1694734580&amp;sr=8-4", "https://www.amazon.com/Supplying-Demand-SW-ALCU5-5-Appliance-Refrigeration/dp/B09W6YND6P/ref=sr_1_4?keywords=SolderWeld+SW-AlCu5K+Al-Cop+Braze+-+Aluminum+to+Copper+Brazing+Rod+-+Flux+Core%2C+5+Rod+Pack&amp;qid=1694734580&amp;sr=8-4")</f>
        <v/>
      </c>
      <c r="F2691" t="inlineStr">
        <is>
          <t>B09W6YND6P</t>
        </is>
      </c>
      <c r="G2691">
        <f>_xlfn.IMAGE("https://edmondsonsupply.com/cdn/shop/products/AlCopBraze_1024x1024_c03bc993-98ff-4fd2-9871-1a1e24a818d0.jpg?v=1633030235")</f>
        <v/>
      </c>
      <c r="H2691">
        <f>_xlfn.IMAGE("https://m.media-amazon.com/images/I/51wDA4nyNeL._AC_UL320_.jpg")</f>
        <v/>
      </c>
      <c r="K2691" t="inlineStr">
        <is>
          <t>27.75</t>
        </is>
      </c>
      <c r="L2691" t="n">
        <v>25</v>
      </c>
      <c r="M2691" s="1" t="inlineStr">
        <is>
          <t>-9.91%</t>
        </is>
      </c>
      <c r="N2691" s="7" t="n">
        <v>262.36</v>
      </c>
      <c r="O2691" t="n">
        <v>4.1</v>
      </c>
      <c r="P2691" t="n">
        <v>11</v>
      </c>
      <c r="R2691" t="inlineStr">
        <is>
          <t>InStock</t>
        </is>
      </c>
      <c r="S2691" t="inlineStr">
        <is>
          <t>undefined</t>
        </is>
      </c>
      <c r="T2691" t="inlineStr">
        <is>
          <t>4599315497060</t>
        </is>
      </c>
    </row>
    <row r="2692" ht="87" customHeight="1">
      <c r="A2692" s="2">
        <f>HYPERLINK("https://edmondsonsupply.com/collections/hvac/products/nu-calgon-4900-20-iwave-r-residential-air-ionization-system", "https://edmondsonsupply.com/collections/hvac/products/nu-calgon-4900-20-iwave-r-residential-air-ionization-system")</f>
        <v/>
      </c>
      <c r="B2692" s="2">
        <f>HYPERLINK("https://edmondsonsupply.com/products/nu-calgon-4900-20-iwave-r-residential-air-ionization-system", "https://edmondsonsupply.com/products/nu-calgon-4900-20-iwave-r-residential-air-ionization-system")</f>
        <v/>
      </c>
      <c r="C2692" t="inlineStr">
        <is>
          <t>Nu-Calgon 4900-20 iWave-R Residential Air Ionization System</t>
        </is>
      </c>
      <c r="D2692" t="inlineStr">
        <is>
          <t>Nu-Calgon 4900-20 - iWave-R Self-Cleaning Bi-Polar Ionization ION Generator for 6 Tons, 2400 CFM, 24-260 VAC (1)</t>
        </is>
      </c>
      <c r="E2692" s="2">
        <f>HYPERLINK("https://www.amazon.com/Nu-Calgon-4900-20-Self-Cleaning-Ionization-Generator/dp/B07YYN1QRW/ref=sr_1_1?keywords=Nu-Calgon+4900-20+iWave-R+Residential+Air+Ionization+System&amp;qid=1694734905&amp;sr=8-1", "https://www.amazon.com/Nu-Calgon-4900-20-Self-Cleaning-Ionization-Generator/dp/B07YYN1QRW/ref=sr_1_1?keywords=Nu-Calgon+4900-20+iWave-R+Residential+Air+Ionization+System&amp;qid=1694734905&amp;sr=8-1")</f>
        <v/>
      </c>
      <c r="F2692" t="inlineStr">
        <is>
          <t>B07YYN1QRW</t>
        </is>
      </c>
      <c r="G2692">
        <f>_xlfn.IMAGE("https://edmondsonsupply.com/cdn/shop/files/4900-20.jpg?v=1687444929")</f>
        <v/>
      </c>
      <c r="H2692">
        <f>_xlfn.IMAGE("https://m.media-amazon.com/images/I/41bYOWAF1uL._AC_UL320_.jpg")</f>
        <v/>
      </c>
      <c r="K2692" t="inlineStr">
        <is>
          <t>410.75</t>
        </is>
      </c>
      <c r="L2692" t="n">
        <v>369.99</v>
      </c>
      <c r="M2692" s="1" t="inlineStr">
        <is>
          <t>-9.92%</t>
        </is>
      </c>
      <c r="N2692" s="7" t="n">
        <v>260.65</v>
      </c>
      <c r="O2692" t="n">
        <v>4.5</v>
      </c>
      <c r="P2692" t="n">
        <v>367</v>
      </c>
      <c r="R2692" t="inlineStr">
        <is>
          <t>InStock</t>
        </is>
      </c>
      <c r="S2692" t="inlineStr">
        <is>
          <t>647.94</t>
        </is>
      </c>
      <c r="T2692" t="inlineStr">
        <is>
          <t>8007549190360</t>
        </is>
      </c>
    </row>
    <row r="2693" ht="87" customHeight="1">
      <c r="A2693" s="2">
        <f>HYPERLINK("https://edmondsonsupply.com/collections/hvac/products/greenlee-1923a-wire-stripper", "https://edmondsonsupply.com/collections/hvac/products/greenlee-1923a-wire-stripper")</f>
        <v/>
      </c>
      <c r="B2693" s="2">
        <f>HYPERLINK("https://edmondsonsupply.com/products/greenlee-1923a-wire-stripper", "https://edmondsonsupply.com/products/greenlee-1923a-wire-stripper")</f>
        <v/>
      </c>
      <c r="C2693" t="inlineStr">
        <is>
          <t>Greenlee 1923A Wire Stripper/Cutter/Crimper</t>
        </is>
      </c>
      <c r="D2693" t="inlineStr">
        <is>
          <t>Greenlee 1955-SS Stainless Steel Wire Stripper for 10-18 AWG Solid and 12-20 AWG Stranded, Heavy-Duty Stripper, Cutter, and Crimper Tool</t>
        </is>
      </c>
      <c r="E2693" s="2">
        <f>HYPERLINK("https://www.amazon.com/Greenlee-1955-SS-Stainless-Stripper-7-5-Inches/dp/B00GFXD22E/ref=sr_1_2?keywords=Greenlee+1923A+Wire+Stripper%2FCutter%2FCrimper&amp;qid=1694734897&amp;sr=8-2", "https://www.amazon.com/Greenlee-1955-SS-Stainless-Stripper-7-5-Inches/dp/B00GFXD22E/ref=sr_1_2?keywords=Greenlee+1923A+Wire+Stripper%2FCutter%2FCrimper&amp;qid=1694734897&amp;sr=8-2")</f>
        <v/>
      </c>
      <c r="F2693" t="inlineStr">
        <is>
          <t>B00GFXD22E</t>
        </is>
      </c>
      <c r="G2693">
        <f>_xlfn.IMAGE("https://edmondsonsupply.com/cdn/shop/files/1923A_72dpi.jpg?v=1687453415")</f>
        <v/>
      </c>
      <c r="H2693">
        <f>_xlfn.IMAGE("https://m.media-amazon.com/images/I/818sDIaL7HL._AC_UL320_.jpg")</f>
        <v/>
      </c>
      <c r="K2693" t="inlineStr">
        <is>
          <t>28.29</t>
        </is>
      </c>
      <c r="L2693" t="n">
        <v>25.48</v>
      </c>
      <c r="M2693" s="1" t="inlineStr">
        <is>
          <t>-9.93%</t>
        </is>
      </c>
      <c r="N2693" s="7" t="n">
        <v>260.1</v>
      </c>
      <c r="O2693" t="n">
        <v>4.7</v>
      </c>
      <c r="P2693" t="n">
        <v>521</v>
      </c>
      <c r="R2693" t="inlineStr">
        <is>
          <t>InStock</t>
        </is>
      </c>
      <c r="S2693" t="inlineStr">
        <is>
          <t>29.85</t>
        </is>
      </c>
      <c r="T2693" t="inlineStr">
        <is>
          <t>8008001945816</t>
        </is>
      </c>
    </row>
    <row r="2694" ht="87" customHeight="1">
      <c r="A2694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694" s="2">
        <f>HYPERLINK("https://edmondsonsupply.com/products/klein-tools-d2000-28glw-diagonal-cutting-pliers-hi-viz-8-inch", "https://edmondsonsupply.com/products/klein-tools-d2000-28glw-diagonal-cutting-pliers-hi-viz-8-inch")</f>
        <v/>
      </c>
      <c r="C2694" t="inlineStr">
        <is>
          <t>Klein Tools D200028GLW Diagonal Cutting Pliers, High-Visibility, 8-Inch</t>
        </is>
      </c>
      <c r="D2694" t="inlineStr">
        <is>
          <t>Klein Tools D200028GLW Pliers, Hi-Viz Diagonal Cutting Pliers with Short Jaws and Glow in the Dark Handles, 8-Inch</t>
        </is>
      </c>
      <c r="E2694" s="2">
        <f>HYPERLINK("https://www.amazon.com/Klein-Tools-D200028GLW-Pliers-Diagonal-Cutters/dp/B00H7PIB66/ref=sr_1_4?keywords=Klein+Tools+D200028GLW+Diagonal+Cutting+Pliers%2C+High-Visibility%2C+8-Inch&amp;qid=1694734781&amp;sr=8-4", "https://www.amazon.com/Klein-Tools-D200028GLW-Pliers-Diagonal-Cutters/dp/B00H7PIB66/ref=sr_1_4?keywords=Klein+Tools+D200028GLW+Diagonal+Cutting+Pliers%2C+High-Visibility%2C+8-Inch&amp;qid=1694734781&amp;sr=8-4")</f>
        <v/>
      </c>
      <c r="F2694" t="inlineStr">
        <is>
          <t>B00H7PIB66</t>
        </is>
      </c>
      <c r="G2694">
        <f>_xlfn.IMAGE("https://edmondsonsupply.com/cdn/shop/products/d200028glw.jpg?v=1633030701")</f>
        <v/>
      </c>
      <c r="H2694">
        <f>_xlfn.IMAGE("https://m.media-amazon.com/images/I/41wGfd897cL._AC_UL320_.jpg")</f>
        <v/>
      </c>
      <c r="K2694" t="inlineStr">
        <is>
          <t>37.49</t>
        </is>
      </c>
      <c r="L2694" t="n">
        <v>33.75</v>
      </c>
      <c r="M2694" s="1" t="inlineStr">
        <is>
          <t>-9.98%</t>
        </is>
      </c>
      <c r="N2694" s="7" t="n">
        <v>259.77</v>
      </c>
      <c r="O2694" t="n">
        <v>4.7</v>
      </c>
      <c r="P2694" t="n">
        <v>497</v>
      </c>
      <c r="R2694" t="inlineStr">
        <is>
          <t>InStock</t>
        </is>
      </c>
      <c r="S2694" t="inlineStr">
        <is>
          <t>56.78</t>
        </is>
      </c>
      <c r="T2694" t="inlineStr">
        <is>
          <t>5848287477928</t>
        </is>
      </c>
    </row>
    <row r="2695" ht="87" customHeight="1">
      <c r="A2695" s="2">
        <f>HYPERLINK("https://edmondsonsupply.com/collections/hvac/products/yellow-jacket-93780-superevac%E2%84%A2-plus-ii-8-cfm-vacuum-pump", "https://edmondsonsupply.com/collections/hvac/products/yellow-jacket-93780-superevac%E2%84%A2-plus-ii-8-cfm-vacuum-pump")</f>
        <v/>
      </c>
      <c r="B2695" s="2">
        <f>HYPERLINK("https://edmondsonsupply.com/products/yellow-jacket-93780-superevac%e2%84%a2-plus-ii-8-cfm-vacuum-pump", "https://edmondsonsupply.com/products/yellow-jacket-93780-superevac%e2%84%a2-plus-ii-8-cfm-vacuum-pump")</f>
        <v/>
      </c>
      <c r="C2695" t="inlineStr">
        <is>
          <t>Yellow Jacket 93780 SuperEvac™ PLUS II 8 CFM Vacuum Pump</t>
        </is>
      </c>
      <c r="D2695" t="inlineStr">
        <is>
          <t>Yellow Jacket 93780 SuperEvac Plus II 1/2 hp 8 CFM Vacuum Pump, 115VAC</t>
        </is>
      </c>
      <c r="E2695" s="2">
        <f>HYPERLINK("https://www.amazon.com/Yellow-Jacket-SuperEvac-Vacuum-115VAC/dp/B095XK6GVG/ref=sr_1_1?keywords=Yellow+Jacket+93780+SuperEvac%E2%84%A2+PLUS+II+8+CFM+Vacuum+Pump&amp;qid=1694734647&amp;sr=8-1", "https://www.amazon.com/Yellow-Jacket-SuperEvac-Vacuum-115VAC/dp/B095XK6GVG/ref=sr_1_1?keywords=Yellow+Jacket+93780+SuperEvac%E2%84%A2+PLUS+II+8+CFM+Vacuum+Pump&amp;qid=1694734647&amp;sr=8-1")</f>
        <v/>
      </c>
      <c r="F2695" t="inlineStr">
        <is>
          <t>B095XK6GVG</t>
        </is>
      </c>
      <c r="G2695">
        <f>_xlfn.IMAGE("https://edmondsonsupply.com/cdn/shop/products/93760-SuperEvac-PLUS-II-with-strap-2048x1685.jpg?v=1633030961")</f>
        <v/>
      </c>
      <c r="H2695">
        <f>_xlfn.IMAGE("https://m.media-amazon.com/images/I/510W-CASg+L._AC_UL320_.jpg")</f>
        <v/>
      </c>
      <c r="K2695" t="inlineStr">
        <is>
          <t>922.31</t>
        </is>
      </c>
      <c r="L2695" t="n">
        <v>830</v>
      </c>
      <c r="M2695" s="1" t="inlineStr">
        <is>
          <t>-10.01%</t>
        </is>
      </c>
      <c r="N2695" s="7" t="n">
        <v>259.54</v>
      </c>
      <c r="O2695" t="n">
        <v>4.7</v>
      </c>
      <c r="P2695" t="n">
        <v>4</v>
      </c>
      <c r="R2695" t="inlineStr">
        <is>
          <t>InStock</t>
        </is>
      </c>
      <c r="S2695" t="inlineStr">
        <is>
          <t>undefined</t>
        </is>
      </c>
      <c r="T2695" t="inlineStr">
        <is>
          <t>6620419686573</t>
        </is>
      </c>
    </row>
    <row r="2696" hidden="1" ht="15.75" customHeight="1">
      <c r="A2696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2696" s="2">
        <f>HYPERLINK("https://edmondsonsupply.com/products/klein-tools-jth4e17-1-2-inch-hex-key-journeyman-t-handle-4-inch", "https://edmondsonsupply.com/products/klein-tools-jth4e17-1-2-inch-hex-key-journeyman-t-handle-4-inch")</f>
        <v/>
      </c>
      <c r="C2696" t="inlineStr">
        <is>
          <t>Klein Tools JTH4E11 3/16-Inch Hex Key with Journeyman T-Handle, 4-Inch</t>
        </is>
      </c>
      <c r="D2696" t="inlineStr">
        <is>
          <t>5/32-Inch Hex Key with Journeyman T-Handle, 9-Inch Klein Tools JTH9E10</t>
        </is>
      </c>
      <c r="E2696" s="2">
        <f>HYPERLINK("https://www.amazon.com/Journeyman-T-Handle-Klein-Tools-JTH9E10/dp/B004QV8H90/ref=sr_1_7?keywords=Klein+Tools+JTH4E11+3%2F16-Inch+Hex+Key+with+Journeyman+T-Handle%2C+4-Inch&amp;qid=1694734725&amp;sr=8-7", "https://www.amazon.com/Journeyman-T-Handle-Klein-Tools-JTH9E10/dp/B004QV8H90/ref=sr_1_7?keywords=Klein+Tools+JTH4E11+3%2F16-Inch+Hex+Key+with+Journeyman+T-Handle%2C+4-Inch&amp;qid=1694734725&amp;sr=8-7")</f>
        <v/>
      </c>
      <c r="F2696" t="inlineStr">
        <is>
          <t>B004QV8H90</t>
        </is>
      </c>
      <c r="G2696">
        <f>_xludf.IMAGE("https://edmondsonsupply.com/cdn/shop/products/jth4e17.jpg?v=1587144836")</f>
        <v/>
      </c>
      <c r="H2696">
        <f>_xludf.IMAGE("https://m.media-amazon.com/images/I/51Yb8h41vLL._AC_UL320_.jpg")</f>
        <v/>
      </c>
      <c r="K2696" t="inlineStr">
        <is>
          <t>4.99</t>
        </is>
      </c>
      <c r="L2696" t="n">
        <v>4.49</v>
      </c>
      <c r="M2696" s="1" t="inlineStr">
        <is>
          <t>-10.02%</t>
        </is>
      </c>
      <c r="N2696" s="1" t="n">
        <v>259.49</v>
      </c>
      <c r="O2696" t="n">
        <v>4.8</v>
      </c>
      <c r="P2696" t="n">
        <v>293</v>
      </c>
      <c r="R2696" t="inlineStr">
        <is>
          <t>InStock</t>
        </is>
      </c>
      <c r="S2696" t="inlineStr">
        <is>
          <t>7.6</t>
        </is>
      </c>
      <c r="T2696" t="inlineStr">
        <is>
          <t>4432217964644</t>
        </is>
      </c>
    </row>
    <row r="2697" ht="87" customHeight="1">
      <c r="A2697" s="2">
        <f>HYPERLINK("https://edmondsonsupply.com/collections/hvac/products/western-enterprises-vn-650-hvac-nitrogen-purging-regulator-flowmeter", "https://edmondsonsupply.com/collections/hvac/products/western-enterprises-vn-650-hvac-nitrogen-purging-regulator-flowmeter")</f>
        <v/>
      </c>
      <c r="B2697" s="2">
        <f>HYPERLINK("https://edmondsonsupply.com/products/western-enterprises-vn-650-hvac-nitrogen-purging-regulator-flowmeter", "https://edmondsonsupply.com/products/western-enterprises-vn-650-hvac-nitrogen-purging-regulator-flowmeter")</f>
        <v/>
      </c>
      <c r="C2697" t="inlineStr">
        <is>
          <t>Western Enterprises VN-650 HVAC Nitrogen Purging Regulator/Flowmeter</t>
        </is>
      </c>
      <c r="D2697" t="inlineStr">
        <is>
          <t>Western Enterprises VN-250 Flowmeter Nitrogen Purging Regulator w/250 PSI Test Pressure</t>
        </is>
      </c>
      <c r="E2697" s="2">
        <f>HYPERLINK("https://www.amazon.com/Western-Enterprises-VN-250-Flowmeter-Regulator/dp/B00D5R4FCY/ref=sr_1_4?keywords=Western+Enterprises+VN-650+HVAC+Nitrogen+Purging+Regulator%2FFlowmeter&amp;qid=1694734644&amp;sr=8-4", "https://www.amazon.com/Western-Enterprises-VN-250-Flowmeter-Regulator/dp/B00D5R4FCY/ref=sr_1_4?keywords=Western+Enterprises+VN-650+HVAC+Nitrogen+Purging+Regulator%2FFlowmeter&amp;qid=1694734644&amp;sr=8-4")</f>
        <v/>
      </c>
      <c r="F2697" t="inlineStr">
        <is>
          <t>B00D5R4FCY</t>
        </is>
      </c>
      <c r="G2697">
        <f>_xlfn.IMAGE("https://edmondsonsupply.com/cdn/shop/products/VN-650-2.jpg?v=1644171460")</f>
        <v/>
      </c>
      <c r="H2697">
        <f>_xlfn.IMAGE("https://m.media-amazon.com/images/I/411t-MixPLL._AC_UL320_.jpg")</f>
        <v/>
      </c>
      <c r="K2697" t="inlineStr">
        <is>
          <t>177.86</t>
        </is>
      </c>
      <c r="L2697" t="n">
        <v>159.99</v>
      </c>
      <c r="M2697" s="1" t="inlineStr">
        <is>
          <t>-10.05%</t>
        </is>
      </c>
      <c r="N2697" s="7" t="n">
        <v>258.17</v>
      </c>
      <c r="O2697" t="n">
        <v>4.7</v>
      </c>
      <c r="P2697" t="n">
        <v>124</v>
      </c>
      <c r="R2697" t="inlineStr">
        <is>
          <t>InStock</t>
        </is>
      </c>
      <c r="S2697" t="inlineStr">
        <is>
          <t>undefined</t>
        </is>
      </c>
      <c r="T2697" t="inlineStr">
        <is>
          <t>7601284710616</t>
        </is>
      </c>
    </row>
    <row r="2698" hidden="1" ht="15.75" customHeight="1">
      <c r="A2698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2698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2698" t="inlineStr">
        <is>
          <t>Diablo Tools DMAMXCC5030 3-1/4 in. x 7 in. SDS-Max Carbide Tipped Core Bit</t>
        </is>
      </c>
      <c r="D2698" t="inlineStr">
        <is>
          <t>Diablo 3-9/16 in. x 7 in. SDS-Max Carbide Tipped Core Bit</t>
        </is>
      </c>
      <c r="E2698" s="2">
        <f>HYPERLINK("https://www.amazon.com/Diablo-DMAMXCC5040-SDS-Max-Carbide-Tipped/dp/B089M9SDDV/ref=sr_1_5?keywords=Diablo+Tools+DMAMXCC5030+3-1%2F4+in.+x+7+in.+SDS-Max+Carbide+Tipped+Core+Bit&amp;qid=1694734916&amp;sr=8-5", "https://www.amazon.com/Diablo-DMAMXCC5040-SDS-Max-Carbide-Tipped/dp/B089M9SDDV/ref=sr_1_5?keywords=Diablo+Tools+DMAMXCC5030+3-1%2F4+in.+x+7+in.+SDS-Max+Carbide+Tipped+Core+Bit&amp;qid=1694734916&amp;sr=8-5")</f>
        <v/>
      </c>
      <c r="F2698" t="inlineStr">
        <is>
          <t>B089M9SDDV</t>
        </is>
      </c>
      <c r="G2698">
        <f>_xludf.IMAGE("https://edmondsonsupply.com/cdn/shop/files/gtygiwnduxetozty2qne.webp?v=1686585332")</f>
        <v/>
      </c>
      <c r="H2698">
        <f>_xludf.IMAGE("https://m.media-amazon.com/images/I/71hVl4OIfrL._AC_UL320_.jpg")</f>
        <v/>
      </c>
      <c r="K2698" t="inlineStr">
        <is>
          <t>125.99</t>
        </is>
      </c>
      <c r="L2698" t="n">
        <v>112.99</v>
      </c>
      <c r="M2698" s="1" t="inlineStr">
        <is>
          <t>-10.32%</t>
        </is>
      </c>
      <c r="N2698" s="1" t="n">
        <v>257.69</v>
      </c>
      <c r="O2698" t="n">
        <v>4</v>
      </c>
      <c r="P2698" t="n">
        <v>1</v>
      </c>
      <c r="R2698" t="inlineStr">
        <is>
          <t>InStock</t>
        </is>
      </c>
      <c r="S2698" t="inlineStr">
        <is>
          <t>201.87</t>
        </is>
      </c>
      <c r="T2698" t="inlineStr">
        <is>
          <t>8004507435224</t>
        </is>
      </c>
    </row>
    <row r="2699" hidden="1" ht="15.75" customHeight="1">
      <c r="A2699" s="2">
        <f>HYPERLINK("https://edmondsonsupply.com/collections/hvac/products/packard-c240a-contactor-2-pole-40-amps-24-coil-voltage", "https://edmondsonsupply.com/collections/hvac/products/packard-c240a-contactor-2-pole-40-amps-24-coil-voltage")</f>
        <v/>
      </c>
      <c r="B2699" s="2">
        <f>HYPERLINK("https://edmondsonsupply.com/products/packard-c240a-contactor-2-pole-40-amps-24-coil-voltage", "https://edmondsonsupply.com/products/packard-c240a-contactor-2-pole-40-amps-24-coil-voltage")</f>
        <v/>
      </c>
      <c r="C2699" t="inlineStr">
        <is>
          <t>Packard C240A Contactor 2 Pole 40 AMPS 24 Coil Voltage</t>
        </is>
      </c>
      <c r="D2699" t="inlineStr">
        <is>
          <t>PACKARD C240A 24V Coil, CONTACTOR, 2POLE, 4AMP</t>
        </is>
      </c>
      <c r="E2699" s="2">
        <f>HYPERLINK("https://www.amazon.com/Pole-Fasco-Replacement-Contactor-C240A/dp/B00S8K7J08/ref=sr_1_1?keywords=Packard+C240A+Contactor+2+Pole+40+AMPS+24+Coil+Voltage&amp;qid=1694734591&amp;sr=8-1", "https://www.amazon.com/Pole-Fasco-Replacement-Contactor-C240A/dp/B00S8K7J08/ref=sr_1_1?keywords=Packard+C240A+Contactor+2+Pole+40+AMPS+24+Coil+Voltage&amp;qid=1694734591&amp;sr=8-1")</f>
        <v/>
      </c>
      <c r="F2699" t="inlineStr">
        <is>
          <t>B00S8K7J08</t>
        </is>
      </c>
      <c r="G2699">
        <f>_xludf.IMAGE("https://edmondsonsupply.com/cdn/shop/products/C240A-1.jpg?v=1590239996")</f>
        <v/>
      </c>
      <c r="H2699">
        <f>_xludf.IMAGE("https://m.media-amazon.com/images/I/41RT9mGQCGL._AC_UY218_.jpg")</f>
        <v/>
      </c>
      <c r="K2699" t="inlineStr">
        <is>
          <t>13.96</t>
        </is>
      </c>
      <c r="L2699" t="n">
        <v>12.5</v>
      </c>
      <c r="M2699" s="1" t="inlineStr">
        <is>
          <t>-10.46%</t>
        </is>
      </c>
      <c r="N2699" s="1" t="n">
        <v>257.66</v>
      </c>
      <c r="O2699" t="n">
        <v>4.2</v>
      </c>
      <c r="P2699" t="n">
        <v>32</v>
      </c>
      <c r="R2699" t="inlineStr">
        <is>
          <t>InStock</t>
        </is>
      </c>
      <c r="S2699" t="inlineStr">
        <is>
          <t>undefined</t>
        </is>
      </c>
      <c r="T2699" t="inlineStr">
        <is>
          <t>4316288680036</t>
        </is>
      </c>
    </row>
    <row r="2700" ht="87" customHeight="1">
      <c r="A2700" s="2">
        <f>HYPERLINK("https://edmondsonsupply.com/collections/hvac/products/imperial-370-fh-triple-head-180-tube-bender-3-16-1-2-o-d", "https://edmondsonsupply.com/collections/hvac/products/imperial-370-fh-triple-head-180-tube-bender-3-16-1-2-o-d")</f>
        <v/>
      </c>
      <c r="B2700" s="2">
        <f>HYPERLINK("https://edmondsonsupply.com/products/imperial-370-fh-triple-head-180-tube-bender-3-16-1-2-o-d", "https://edmondsonsupply.com/products/imperial-370-fh-triple-head-180-tube-bender-3-16-1-2-o-d")</f>
        <v/>
      </c>
      <c r="C2700" t="inlineStr">
        <is>
          <t>Imperial 370-FH Triple Head 180° Tube Bender 3/16" - 1/2" O.D.</t>
        </is>
      </c>
      <c r="D2700" t="inlineStr">
        <is>
          <t>Imperial Tool 470FHC Triple Head 180 Degree Tube Bender with Roto-Lok Indexing Handle, 3/16", 1/4", 5/16", and 3/8"</t>
        </is>
      </c>
      <c r="E2700" s="2">
        <f>HYPERLINK("https://www.amazon.com/Imperial-470FHC-Triple-Roto-Lok-Indexing/dp/B007IBPTLO/ref=sr_1_2?keywords=Imperial+370-FH+Triple+Head+180%C2%B0+Tube+Bender+3%2F16%22+-+1%2F2%22+O.D.&amp;qid=1694734586&amp;sr=8-2", "https://www.amazon.com/Imperial-470FHC-Triple-Roto-Lok-Indexing/dp/B007IBPTLO/ref=sr_1_2?keywords=Imperial+370-FH+Triple+Head+180%C2%B0+Tube+Bender+3%2F16%22+-+1%2F2%22+O.D.&amp;qid=1694734586&amp;sr=8-2")</f>
        <v/>
      </c>
      <c r="F2700" t="inlineStr">
        <is>
          <t>B007IBPTLO</t>
        </is>
      </c>
      <c r="G2700">
        <f>_xlfn.IMAGE("https://edmondsonsupply.com/cdn/shop/products/370-FHC-1.jpg?v=1587144084")</f>
        <v/>
      </c>
      <c r="H2700">
        <f>_xlfn.IMAGE("https://m.media-amazon.com/images/I/51pWOTmqMGL._AC_UL320_.jpg")</f>
        <v/>
      </c>
      <c r="K2700" t="inlineStr">
        <is>
          <t>56.99</t>
        </is>
      </c>
      <c r="L2700" t="n">
        <v>50.99</v>
      </c>
      <c r="M2700" s="1" t="inlineStr">
        <is>
          <t>-10.53%</t>
        </is>
      </c>
      <c r="N2700" s="7" t="n">
        <v>256.03</v>
      </c>
      <c r="O2700" t="n">
        <v>4.4</v>
      </c>
      <c r="P2700" t="n">
        <v>31</v>
      </c>
      <c r="R2700" t="inlineStr">
        <is>
          <t>InStock</t>
        </is>
      </c>
      <c r="S2700" t="inlineStr">
        <is>
          <t>undefined</t>
        </is>
      </c>
      <c r="T2700" t="inlineStr">
        <is>
          <t>3679116525668</t>
        </is>
      </c>
    </row>
    <row r="2701" ht="87" customHeight="1">
      <c r="A2701" s="2">
        <f>HYPERLINK("https://edmondsonsupply.com/collections/hvac/products/imperial-370-fh-triple-head-180-tube-bender-3-16-1-2-o-d", "https://edmondsonsupply.com/collections/hvac/products/imperial-370-fh-triple-head-180-tube-bender-3-16-1-2-o-d")</f>
        <v/>
      </c>
      <c r="B2701" s="2">
        <f>HYPERLINK("https://edmondsonsupply.com/products/imperial-370-fh-triple-head-180-tube-bender-3-16-1-2-o-d", "https://edmondsonsupply.com/products/imperial-370-fh-triple-head-180-tube-bender-3-16-1-2-o-d")</f>
        <v/>
      </c>
      <c r="C2701" t="inlineStr">
        <is>
          <t>Imperial 370-FH Triple Head 180° Tube Bender 3/16" - 1/2" O.D.</t>
        </is>
      </c>
      <c r="D2701" t="inlineStr">
        <is>
          <t>Imperial Tool 470FH Triple Head 180 Degree Tube Bender with Roto-Lok Indexing Handle, 3/16", 1/4", 5/16", and 3/8"</t>
        </is>
      </c>
      <c r="E2701" s="2">
        <f>HYPERLINK("https://www.amazon.com/Imperial-Tool-470FH-Triple-Degree/dp/B007J9FWSA/ref=sr_1_3?keywords=Imperial+370-FH+Triple+Head+180%C2%B0+Tube+Bender+3%2F16%22+-+1%2F2%22+O.D.&amp;qid=1694734586&amp;sr=8-3", "https://www.amazon.com/Imperial-Tool-470FH-Triple-Degree/dp/B007J9FWSA/ref=sr_1_3?keywords=Imperial+370-FH+Triple+Head+180%C2%B0+Tube+Bender+3%2F16%22+-+1%2F2%22+O.D.&amp;qid=1694734586&amp;sr=8-3")</f>
        <v/>
      </c>
      <c r="F2701" t="inlineStr">
        <is>
          <t>B007J9FWSA</t>
        </is>
      </c>
      <c r="G2701">
        <f>_xlfn.IMAGE("https://edmondsonsupply.com/cdn/shop/products/370-FHC-1.jpg?v=1587144084")</f>
        <v/>
      </c>
      <c r="H2701">
        <f>_xlfn.IMAGE("https://m.media-amazon.com/images/I/81wyL3G40SL._AC_UL320_.jpg")</f>
        <v/>
      </c>
      <c r="K2701" t="inlineStr">
        <is>
          <t>56.99</t>
        </is>
      </c>
      <c r="L2701" t="n">
        <v>50.98</v>
      </c>
      <c r="M2701" s="1" t="inlineStr">
        <is>
          <t>-10.55%</t>
        </is>
      </c>
      <c r="N2701" s="7" t="n">
        <v>255.92</v>
      </c>
      <c r="O2701" t="n">
        <v>4.4</v>
      </c>
      <c r="P2701" t="n">
        <v>582</v>
      </c>
      <c r="R2701" t="inlineStr">
        <is>
          <t>InStock</t>
        </is>
      </c>
      <c r="S2701" t="inlineStr">
        <is>
          <t>undefined</t>
        </is>
      </c>
      <c r="T2701" t="inlineStr">
        <is>
          <t>3679116525668</t>
        </is>
      </c>
    </row>
    <row r="2702" ht="87" customHeight="1">
      <c r="A2702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2702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2702" t="inlineStr">
        <is>
          <t>Diablo Tools DMAPL4250 3/4 in. x 8 in. x 10 in. Rebar Demon™ SDS-Plus 4-Cutter Full Carbide Head Hammer Drill Bit</t>
        </is>
      </c>
      <c r="D2702" t="inlineStr">
        <is>
          <t>Diablo by Freud DMAPL4230 5/8 in. x 10 in. x 12 in. Rebar Demon SDS-Plus 4-Cutter Full Carbide Head Hammer Bit</t>
        </is>
      </c>
      <c r="E2702" s="2">
        <f>HYPERLINK("https://www.amazon.com/Diablo-Freud-DMAPL4230-SDS-Plus-4-Cutter/dp/B089LCN234/ref=sr_1_12?keywords=Diablo+Tools+DMAPL4250+3%2F4+in.+x+8+in.+x+10+in.+Rebar+Demon%E2%84%A2+SDS-Plus+4-Cutter+Full+Carbide+Head+Hammer+Drill+Bit&amp;qid=1694734913&amp;sr=8-12", "https://www.amazon.com/Diablo-Freud-DMAPL4230-SDS-Plus-4-Cutter/dp/B089LCN234/ref=sr_1_12?keywords=Diablo+Tools+DMAPL4250+3%2F4+in.+x+8+in.+x+10+in.+Rebar+Demon%E2%84%A2+SDS-Plus+4-Cutter+Full+Carbide+Head+Hammer+Drill+Bit&amp;qid=1694734913&amp;sr=8-12")</f>
        <v/>
      </c>
      <c r="F2702" t="inlineStr">
        <is>
          <t>B089LCN234</t>
        </is>
      </c>
      <c r="G2702">
        <f>_xlfn.IMAGE("https://edmondsonsupply.com/cdn/shop/files/rltcbi253wmfv6otmtz6.webp?v=1686576913")</f>
        <v/>
      </c>
      <c r="H2702">
        <f>_xlfn.IMAGE("https://m.media-amazon.com/images/I/61r649wmyhL._AC_UL320_.jpg")</f>
        <v/>
      </c>
      <c r="K2702" t="inlineStr">
        <is>
          <t>24.47</t>
        </is>
      </c>
      <c r="L2702" t="n">
        <v>21.86</v>
      </c>
      <c r="M2702" s="1" t="inlineStr">
        <is>
          <t>-10.67%</t>
        </is>
      </c>
      <c r="N2702" s="7" t="n">
        <v>255.79</v>
      </c>
      <c r="O2702" t="n">
        <v>4.7</v>
      </c>
      <c r="P2702" t="n">
        <v>47</v>
      </c>
      <c r="R2702" t="inlineStr">
        <is>
          <t>InStock</t>
        </is>
      </c>
      <c r="S2702" t="inlineStr">
        <is>
          <t>38.21</t>
        </is>
      </c>
      <c r="T2702" t="inlineStr">
        <is>
          <t>8004486168792</t>
        </is>
      </c>
    </row>
    <row r="2703" ht="87" customHeight="1">
      <c r="A2703" s="2">
        <f>HYPERLINK("https://edmondsonsupply.com/collections/hvac/products/uniweld-udft-deluxe-flaring-tool", "https://edmondsonsupply.com/collections/hvac/products/uniweld-udft-deluxe-flaring-tool")</f>
        <v/>
      </c>
      <c r="B2703" s="2">
        <f>HYPERLINK("https://edmondsonsupply.com/products/uniweld-udft-deluxe-flaring-tool", "https://edmondsonsupply.com/products/uniweld-udft-deluxe-flaring-tool")</f>
        <v/>
      </c>
      <c r="C2703" t="inlineStr">
        <is>
          <t>Uniweld UDFT Deluxe Flaring Tool</t>
        </is>
      </c>
      <c r="D2703" t="inlineStr">
        <is>
          <t>Uniweld UDFT Electric/Manual R-410A Ratchet + Clutch Flaring Tool</t>
        </is>
      </c>
      <c r="E2703" s="2">
        <f>HYPERLINK("https://www.amazon.com/Uniweld-Products-Inc-UDFT-Electric/dp/B08LHDKDFW/ref=sr_1_1?keywords=Uniweld+UDFT+Deluxe+Flaring+Tool&amp;qid=1694734619&amp;sr=8-1", "https://www.amazon.com/Uniweld-Products-Inc-UDFT-Electric/dp/B08LHDKDFW/ref=sr_1_1?keywords=Uniweld+UDFT+Deluxe+Flaring+Tool&amp;qid=1694734619&amp;sr=8-1")</f>
        <v/>
      </c>
      <c r="F2703" t="inlineStr">
        <is>
          <t>B08LHDKDFW</t>
        </is>
      </c>
      <c r="G2703">
        <f>_xlfn.IMAGE("https://edmondsonsupply.com/cdn/shop/products/udft_main.jpg?v=1648510547")</f>
        <v/>
      </c>
      <c r="H2703">
        <f>_xlfn.IMAGE("https://m.media-amazon.com/images/I/714Mn50LwBL._AC_UL320_.jpg")</f>
        <v/>
      </c>
      <c r="K2703" t="inlineStr">
        <is>
          <t>179.69</t>
        </is>
      </c>
      <c r="L2703" t="n">
        <v>160.44</v>
      </c>
      <c r="M2703" s="1" t="inlineStr">
        <is>
          <t>-10.71%</t>
        </is>
      </c>
      <c r="N2703" s="7" t="n">
        <v>255.73</v>
      </c>
      <c r="O2703" t="n">
        <v>4.2</v>
      </c>
      <c r="P2703" t="n">
        <v>36</v>
      </c>
      <c r="R2703" t="inlineStr">
        <is>
          <t>InStock</t>
        </is>
      </c>
      <c r="S2703" t="inlineStr">
        <is>
          <t>233.36</t>
        </is>
      </c>
      <c r="T2703" t="inlineStr">
        <is>
          <t>7646647124184</t>
        </is>
      </c>
    </row>
    <row r="2704" ht="87" customHeight="1">
      <c r="A2704" s="2">
        <f>HYPERLINK("https://edmondsonsupply.com/collections/hvac/products/ritchie-yellow-jacket-19165-1-2-female-acme-quick-coupler-x-1-4-male-flare", "https://edmondsonsupply.com/collections/hvac/products/ritchie-yellow-jacket-19165-1-2-female-acme-quick-coupler-x-1-4-male-flare")</f>
        <v/>
      </c>
      <c r="B2704" s="2">
        <f>HYPERLINK("https://edmondsonsupply.com/products/ritchie-yellow-jacket-19165-1-2-female-acme-quick-coupler-x-1-4-male-flare", "https://edmondsonsupply.com/products/ritchie-yellow-jacket-19165-1-2-female-acme-quick-coupler-x-1-4-male-flare")</f>
        <v/>
      </c>
      <c r="C2704" t="inlineStr">
        <is>
          <t>Yellow Jacket 19165 1/2" Female Acme Quick Coupler X 1/4" Male Flare</t>
        </is>
      </c>
      <c r="D2704" t="inlineStr">
        <is>
          <t>Yellow Jacket 19111 Quick Coupler 1/4" Female Fl x 1/8" Male NPT Straight</t>
        </is>
      </c>
      <c r="E2704" s="2">
        <f>HYPERLINK("https://www.amazon.com/Yellow-Jacket-Coupler-Female-Straight/dp/B009AXHU1A/ref=sr_1_3?keywords=Yellow+Jacket+19165+1%2F2%22+Female+Acme+Quick+Coupler+X+1%2F4%22+Male+Flare&amp;qid=1694734741&amp;sr=8-3", "https://www.amazon.com/Yellow-Jacket-Coupler-Female-Straight/dp/B009AXHU1A/ref=sr_1_3?keywords=Yellow+Jacket+19165+1%2F2%22+Female+Acme+Quick+Coupler+X+1%2F4%22+Male+Flare&amp;qid=1694734741&amp;sr=8-3")</f>
        <v/>
      </c>
      <c r="F2704" t="inlineStr">
        <is>
          <t>B009AXHU1A</t>
        </is>
      </c>
      <c r="G2704">
        <f>_xlfn.IMAGE("https://edmondsonsupply.com/cdn/shop/products/s-l500_35c9f138-c108-4fd6-aab6-baa85329b323.jpg?v=1597544718")</f>
        <v/>
      </c>
      <c r="H2704">
        <f>_xlfn.IMAGE("https://m.media-amazon.com/images/I/41ntEOHuntL._AC_UL320_.jpg")</f>
        <v/>
      </c>
      <c r="K2704" t="inlineStr">
        <is>
          <t>19.03</t>
        </is>
      </c>
      <c r="L2704" t="n">
        <v>16.99</v>
      </c>
      <c r="M2704" s="1" t="inlineStr">
        <is>
          <t>-10.72%</t>
        </is>
      </c>
      <c r="N2704" s="7" t="n">
        <v>255.49</v>
      </c>
      <c r="O2704" t="n">
        <v>5</v>
      </c>
      <c r="P2704" t="n">
        <v>1</v>
      </c>
      <c r="R2704" t="inlineStr">
        <is>
          <t>InStock</t>
        </is>
      </c>
      <c r="S2704" t="inlineStr">
        <is>
          <t>undefined</t>
        </is>
      </c>
      <c r="T2704" t="inlineStr">
        <is>
          <t>2633090400356</t>
        </is>
      </c>
    </row>
    <row r="2705" ht="87" customHeight="1">
      <c r="A2705" s="2">
        <f>HYPERLINK("https://edmondsonsupply.com/collections/hvac/products/klein-tools-203-7-eins-long-nose-side-cut-pliers-7-inch-slim-insulated", "https://edmondsonsupply.com/collections/hvac/products/klein-tools-203-7-eins-long-nose-side-cut-pliers-7-inch-slim-insulated")</f>
        <v/>
      </c>
      <c r="B2705" s="2">
        <f>HYPERLINK("https://edmondsonsupply.com/products/klein-tools-203-7-eins-long-nose-side-cut-pliers-7-inch-slim-insulated", "https://edmondsonsupply.com/products/klein-tools-203-7-eins-long-nose-side-cut-pliers-7-inch-slim-insulated")</f>
        <v/>
      </c>
      <c r="C2705" t="inlineStr">
        <is>
          <t>Klein Tools 2037EINS Long Nose Side Cut Pliers, 7-Inch Slim Insulated (203-7-EINS)</t>
        </is>
      </c>
      <c r="D2705" t="inlineStr">
        <is>
          <t>Klein Tools 2037EINS Linemans Pliers, Long Nose Side Cutters, 7-Inch Slim Insulated</t>
        </is>
      </c>
      <c r="E2705" s="2">
        <f>HYPERLINK("https://www.amazon.com/Klein-Tools-2037EINS-Linemans-Insulated/dp/B00JGG5OZA/ref=sr_1_1?keywords=Klein+Tools+2037EINS+Long+Nose+Side+Cut+Pliers%2C+7-Inch+Slim+Insulated+%28203-7-EINS%29&amp;qid=1694734802&amp;sr=8-1", "https://www.amazon.com/Klein-Tools-2037EINS-Linemans-Insulated/dp/B00JGG5OZA/ref=sr_1_1?keywords=Klein+Tools+2037EINS+Long+Nose+Side+Cut+Pliers%2C+7-Inch+Slim+Insulated+%28203-7-EINS%29&amp;qid=1694734802&amp;sr=8-1")</f>
        <v/>
      </c>
      <c r="F2705" t="inlineStr">
        <is>
          <t>B00JGG5OZA</t>
        </is>
      </c>
      <c r="G2705">
        <f>_xlfn.IMAGE("https://edmondsonsupply.com/cdn/shop/products/2037eins.jpg?v=1587146909")</f>
        <v/>
      </c>
      <c r="H2705">
        <f>_xlfn.IMAGE("https://m.media-amazon.com/images/I/51StGSqtZUL._AC_UL320_.jpg")</f>
        <v/>
      </c>
      <c r="K2705" t="inlineStr">
        <is>
          <t>49.99</t>
        </is>
      </c>
      <c r="L2705" t="n">
        <v>44.6</v>
      </c>
      <c r="M2705" s="1" t="inlineStr">
        <is>
          <t>-10.78%</t>
        </is>
      </c>
      <c r="N2705" s="7" t="n">
        <v>255.15</v>
      </c>
      <c r="O2705" t="n">
        <v>4.9</v>
      </c>
      <c r="P2705" t="n">
        <v>348</v>
      </c>
      <c r="R2705" t="inlineStr">
        <is>
          <t>InStock</t>
        </is>
      </c>
      <c r="S2705" t="inlineStr">
        <is>
          <t>75.74</t>
        </is>
      </c>
      <c r="T2705" t="inlineStr">
        <is>
          <t>4431826092132</t>
        </is>
      </c>
    </row>
    <row r="2706" ht="87" customHeight="1">
      <c r="A2706" s="2">
        <f>HYPERLINK("https://edmondsonsupply.com/collections/hvac/products/freud-99-240-2-drawer-lock-bit", "https://edmondsonsupply.com/collections/hvac/products/freud-99-240-2-drawer-lock-bit")</f>
        <v/>
      </c>
      <c r="B2706" s="2">
        <f>HYPERLINK("https://edmondsonsupply.com/products/freud-99-240-2-drawer-lock-bit", "https://edmondsonsupply.com/products/freud-99-240-2-drawer-lock-bit")</f>
        <v/>
      </c>
      <c r="C2706" t="inlineStr">
        <is>
          <t>Freud 99-240 2" Drawer Lock Bit</t>
        </is>
      </c>
      <c r="D2706" t="inlineStr">
        <is>
          <t>Freud 99-066: 2" (Dia.) Drawer Front Bit with 1/2" Shank</t>
        </is>
      </c>
      <c r="E2706" s="2">
        <f>HYPERLINK("https://www.amazon.com/Freud-Drawer-Front-Shank-99-066/dp/B0002TUDM4/ref=sr_1_5?keywords=Freud+99-240+2%22+Drawer+Lock+Bit&amp;qid=1694734902&amp;sr=8-5", "https://www.amazon.com/Freud-Drawer-Front-Shank-99-066/dp/B0002TUDM4/ref=sr_1_5?keywords=Freud+99-240+2%22+Drawer+Lock+Bit&amp;qid=1694734902&amp;sr=8-5")</f>
        <v/>
      </c>
      <c r="F2706" t="inlineStr">
        <is>
          <t>B0002TUDM4</t>
        </is>
      </c>
      <c r="G2706">
        <f>_xlfn.IMAGE("https://edmondsonsupply.com/cdn/shop/files/2-dia-drawer-lock-bit.webp?v=1687359925")</f>
        <v/>
      </c>
      <c r="H2706">
        <f>_xlfn.IMAGE("https://m.media-amazon.com/images/I/61MxuXnhi7L._AC_UL320_.jpg")</f>
        <v/>
      </c>
      <c r="K2706" t="inlineStr">
        <is>
          <t>36.98</t>
        </is>
      </c>
      <c r="L2706" t="n">
        <v>32.99</v>
      </c>
      <c r="M2706" s="1" t="inlineStr">
        <is>
          <t>-10.79%</t>
        </is>
      </c>
      <c r="N2706" s="7" t="n">
        <v>254.94</v>
      </c>
      <c r="O2706" t="n">
        <v>5</v>
      </c>
      <c r="P2706" t="n">
        <v>5</v>
      </c>
      <c r="R2706" t="inlineStr">
        <is>
          <t>InStock</t>
        </is>
      </c>
      <c r="S2706" t="inlineStr">
        <is>
          <t>63.21</t>
        </is>
      </c>
      <c r="T2706" t="inlineStr">
        <is>
          <t>8007803601112</t>
        </is>
      </c>
    </row>
    <row r="2707" ht="87" customHeight="1">
      <c r="A2707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707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707" t="inlineStr">
        <is>
          <t>Klein Tools D20009NEGLW High-Visibility Side-Cutting Pliers High-Leverage</t>
        </is>
      </c>
      <c r="D2707" t="inlineStr">
        <is>
          <t>Klein Tools J213-9NE Side Cutter Linemans Pliers, High Leverage, 9-Inch, Streamlined Design, Color Coded</t>
        </is>
      </c>
      <c r="E2707" s="2">
        <f>HYPERLINK("https://www.amazon.com/Linemans-Streamlined-Klein-Tools-J213-9NE/dp/B001TKF1BS/ref=sr_1_7?keywords=Klein+Tools+D20009NEGLW+High-Visibility+Side-Cutting+Pliers+High-Leverage&amp;qid=1694734809&amp;sr=8-7", "https://www.amazon.com/Linemans-Streamlined-Klein-Tools-J213-9NE/dp/B001TKF1BS/ref=sr_1_7?keywords=Klein+Tools+D20009NEGLW+High-Visibility+Side-Cutting+Pliers+High-Leverage&amp;qid=1694734809&amp;sr=8-7")</f>
        <v/>
      </c>
      <c r="F2707" t="inlineStr">
        <is>
          <t>B001TKF1BS</t>
        </is>
      </c>
      <c r="G2707">
        <f>_xlfn.IMAGE("https://edmondsonsupply.com/cdn/shop/products/d20009neglw.jpg?v=1587144933")</f>
        <v/>
      </c>
      <c r="H2707">
        <f>_xlfn.IMAGE("https://m.media-amazon.com/images/I/41zk0Z6-1BL._AC_UL320_.jpg")</f>
        <v/>
      </c>
      <c r="K2707" t="inlineStr">
        <is>
          <t>44.97</t>
        </is>
      </c>
      <c r="L2707" t="n">
        <v>39.99</v>
      </c>
      <c r="M2707" s="1" t="inlineStr">
        <is>
          <t>-11.07%</t>
        </is>
      </c>
      <c r="N2707" s="7" t="n">
        <v>252.68</v>
      </c>
      <c r="O2707" t="n">
        <v>4.8</v>
      </c>
      <c r="P2707" t="n">
        <v>746</v>
      </c>
      <c r="R2707" t="inlineStr">
        <is>
          <t>InStock</t>
        </is>
      </c>
      <c r="S2707" t="inlineStr">
        <is>
          <t>68.16</t>
        </is>
      </c>
      <c r="T2707" t="inlineStr">
        <is>
          <t>4396888490084</t>
        </is>
      </c>
    </row>
    <row r="2708" ht="87" customHeight="1">
      <c r="A2708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708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708" t="inlineStr">
        <is>
          <t>Klein Tools D20009NEGLW High-Visibility Side-Cutting Pliers High-Leverage</t>
        </is>
      </c>
      <c r="D2708" t="inlineStr">
        <is>
          <t>Klein Tools J248-8 Pliers, Diagonal Cutting Pliers with Angeled Head, Short Jaws, High-Leverage Design, 8-Inch</t>
        </is>
      </c>
      <c r="E2708" s="2">
        <f>HYPERLINK("https://www.amazon.com/Klein-Tools-J248-8-Diagonal-Cutters-Angled/dp/B000CRY52A/ref=sr_1_19?keywords=Klein+Tools+D20009NEGLW+High-Visibility+Side-Cutting+Pliers+High-Leverage&amp;qid=1694734809&amp;sr=8-19", "https://www.amazon.com/Klein-Tools-J248-8-Diagonal-Cutters-Angled/dp/B000CRY52A/ref=sr_1_19?keywords=Klein+Tools+D20009NEGLW+High-Visibility+Side-Cutting+Pliers+High-Leverage&amp;qid=1694734809&amp;sr=8-19")</f>
        <v/>
      </c>
      <c r="F2708" t="inlineStr">
        <is>
          <t>B000CRY52A</t>
        </is>
      </c>
      <c r="G2708">
        <f>_xlfn.IMAGE("https://edmondsonsupply.com/cdn/shop/products/d20009neglw.jpg?v=1587144933")</f>
        <v/>
      </c>
      <c r="H2708">
        <f>_xlfn.IMAGE("https://m.media-amazon.com/images/I/51AWyzskD+L._AC_UL320_.jpg")</f>
        <v/>
      </c>
      <c r="K2708" t="inlineStr">
        <is>
          <t>44.97</t>
        </is>
      </c>
      <c r="L2708" t="n">
        <v>39.97</v>
      </c>
      <c r="M2708" s="1" t="inlineStr">
        <is>
          <t>-11.12%</t>
        </is>
      </c>
      <c r="N2708" s="7" t="n">
        <v>252.06</v>
      </c>
      <c r="O2708" t="n">
        <v>4.9</v>
      </c>
      <c r="P2708" t="n">
        <v>488</v>
      </c>
      <c r="R2708" t="inlineStr">
        <is>
          <t>InStock</t>
        </is>
      </c>
      <c r="S2708" t="inlineStr">
        <is>
          <t>68.16</t>
        </is>
      </c>
      <c r="T2708" t="inlineStr">
        <is>
          <t>4396888490084</t>
        </is>
      </c>
    </row>
    <row r="2709" ht="87" customHeight="1">
      <c r="A2709" s="2">
        <f>HYPERLINK("https://edmondsonsupply.com/collections/hvac/products/robertshaw-rs9220", "https://edmondsonsupply.com/collections/hvac/products/robertshaw-rs9220")</f>
        <v/>
      </c>
      <c r="B2709" s="2">
        <f>HYPERLINK("https://edmondsonsupply.com/products/robertshaw-rs9220", "https://edmondsonsupply.com/products/robertshaw-rs9220")</f>
        <v/>
      </c>
      <c r="C2709" t="inlineStr">
        <is>
          <t>Robertshaw RS9220 Programmable Wall Thermostat, Multi-Stage - 2 Heat / 2 Cool</t>
        </is>
      </c>
      <c r="D2709" t="inlineStr">
        <is>
          <t>Robertshaw RS8210 Pro Series Non-Programmable Thermostat, Multi-Stage, 2 Heat / 1 Cool</t>
        </is>
      </c>
      <c r="E2709" s="2">
        <f>HYPERLINK("https://www.amazon.com/Robertshaw-Non-Programmable-Thermostat-Multi-Stage-Conventional/dp/B00U5CAN6O/ref=sr_1_3?keywords=Robertshaw+RS9220+Programmable+Wall+Thermostat%2C+Multi-Stage+-+2+Heat+%2F+2+Cool&amp;qid=1694734846&amp;sr=8-3", "https://www.amazon.com/Robertshaw-Non-Programmable-Thermostat-Multi-Stage-Conventional/dp/B00U5CAN6O/ref=sr_1_3?keywords=Robertshaw+RS9220+Programmable+Wall+Thermostat%2C+Multi-Stage+-+2+Heat+%2F+2+Cool&amp;qid=1694734846&amp;sr=8-3")</f>
        <v/>
      </c>
      <c r="F2709" t="inlineStr">
        <is>
          <t>B00U5CAN6O</t>
        </is>
      </c>
      <c r="G2709">
        <f>_xlfn.IMAGE("https://edmondsonsupply.com/cdn/shop/files/67652dc9-4ca4-4b9c-987a-a2c62c95b630.jpg?v=1693935585")</f>
        <v/>
      </c>
      <c r="H2709">
        <f>_xlfn.IMAGE("https://m.media-amazon.com/images/I/715RZLigtNL._AC_UL320_.jpg")</f>
        <v/>
      </c>
      <c r="K2709" t="inlineStr">
        <is>
          <t>47.04</t>
        </is>
      </c>
      <c r="L2709" t="n">
        <v>41.7</v>
      </c>
      <c r="M2709" s="1" t="inlineStr">
        <is>
          <t>-11.35%</t>
        </is>
      </c>
      <c r="N2709" s="7" t="n">
        <v>252.06</v>
      </c>
      <c r="O2709" t="n">
        <v>4.1</v>
      </c>
      <c r="P2709" t="n">
        <v>20</v>
      </c>
      <c r="R2709" t="inlineStr">
        <is>
          <t>InStock</t>
        </is>
      </c>
      <c r="S2709" t="inlineStr">
        <is>
          <t>undefined</t>
        </is>
      </c>
      <c r="T2709" t="inlineStr">
        <is>
          <t>8034296594648</t>
        </is>
      </c>
    </row>
    <row r="2710" ht="87" customHeight="1">
      <c r="A2710" s="2">
        <f>HYPERLINK("https://edmondsonsupply.com/collections/hvac/products/klein-tools-d203-8-glw-pliers-long-nose-side-cutters-hi-viz-8-inch", "https://edmondsonsupply.com/collections/hvac/products/klein-tools-d203-8-glw-pliers-long-nose-side-cutters-hi-viz-8-inch")</f>
        <v/>
      </c>
      <c r="B2710" s="2">
        <f>HYPERLINK("https://edmondsonsupply.com/products/klein-tools-d203-8-glw-pliers-long-nose-side-cutters-hi-viz-8-inch", "https://edmondsonsupply.com/products/klein-tools-d203-8-glw-pliers-long-nose-side-cutters-hi-viz-8-inch")</f>
        <v/>
      </c>
      <c r="C2710" t="inlineStr">
        <is>
          <t>Klein Tools D203-8-GLW Pliers, Needle Nose Side-Cutters, High-Visibility, 8-Inch</t>
        </is>
      </c>
      <c r="D2710" t="inlineStr">
        <is>
          <t>Klein Tools D318-51/2C Linemans Pliers, Needle Nose Side Cutters, Spring Loaded, 5-Inch with Knurled Jaw</t>
        </is>
      </c>
      <c r="E2710" s="2">
        <f>HYPERLINK("https://www.amazon.com/Linemans-Klein-Tools-D318-51-2C/dp/B000G67F5G/ref=sr_1_8?keywords=Klein+Tools+D203-8-GLW+Pliers%2C+Needle+Nose+Side-Cutters%2C+High-Visibility%2C+8-Inch&amp;qid=1694734647&amp;sr=8-8", "https://www.amazon.com/Linemans-Klein-Tools-D318-51-2C/dp/B000G67F5G/ref=sr_1_8?keywords=Klein+Tools+D203-8-GLW+Pliers%2C+Needle+Nose+Side-Cutters%2C+High-Visibility%2C+8-Inch&amp;qid=1694734647&amp;sr=8-8")</f>
        <v/>
      </c>
      <c r="F2710" t="inlineStr">
        <is>
          <t>B000G67F5G</t>
        </is>
      </c>
      <c r="G2710">
        <f>_xlfn.IMAGE("https://edmondsonsupply.com/cdn/shop/products/d2038glw.jpg?v=1587146455")</f>
        <v/>
      </c>
      <c r="H2710">
        <f>_xlfn.IMAGE("https://m.media-amazon.com/images/I/41e01uS7cGL._AC_UL320_.jpg")</f>
        <v/>
      </c>
      <c r="K2710" t="inlineStr">
        <is>
          <t>34.99</t>
        </is>
      </c>
      <c r="L2710" t="n">
        <v>30.99</v>
      </c>
      <c r="M2710" s="1" t="inlineStr">
        <is>
          <t>-11.43%</t>
        </is>
      </c>
      <c r="N2710" s="7" t="n">
        <v>251.91</v>
      </c>
      <c r="O2710" t="n">
        <v>4.2</v>
      </c>
      <c r="P2710" t="n">
        <v>44</v>
      </c>
      <c r="R2710" t="inlineStr">
        <is>
          <t>InStock</t>
        </is>
      </c>
      <c r="S2710" t="inlineStr">
        <is>
          <t>53.0</t>
        </is>
      </c>
      <c r="T2710" t="inlineStr">
        <is>
          <t>4386818883684</t>
        </is>
      </c>
    </row>
    <row r="2711" hidden="1" ht="15.75" customHeight="1">
      <c r="A2711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711" s="2">
        <f>HYPERLINK("https://edmondsonsupply.com/products/klein-tools-65064-2-in-1-hex-head-screwdriver-1-4-5-16", "https://edmondsonsupply.com/products/klein-tools-65064-2-in-1-hex-head-screwdriver-1-4-5-16")</f>
        <v/>
      </c>
      <c r="C2711" t="inlineStr">
        <is>
          <t>Klein Tools 65064 2-in-1 Nut Driver, Hex Head, 1/4-Inch and 5/16-Inch</t>
        </is>
      </c>
      <c r="D2711" t="inlineStr">
        <is>
          <t>Klein Tools 610 Tool Set, Nut Driver Set with Stubby Nut Driver Sizes 1/4 and 5/16-Inch, Full Hollow Shaft, 2-Piece</t>
        </is>
      </c>
      <c r="E2711" s="2">
        <f>HYPERLINK("https://www.amazon.com/Klein-Tools-610-16-Inch-2-Piece/dp/B000CSKRCQ/ref=sr_1_13?keywords=Klein+Tools+65064+2-in-1+Nut+Driver%2C+Hex+Head%2C+1%2F4-Inch+and+5%2F16-Inch&amp;qid=1694734734&amp;sr=8-13", "https://www.amazon.com/Klein-Tools-610-16-Inch-2-Piece/dp/B000CSKRCQ/ref=sr_1_13?keywords=Klein+Tools+65064+2-in-1+Nut+Driver%2C+Hex+Head%2C+1%2F4-Inch+and+5%2F16-Inch&amp;qid=1694734734&amp;sr=8-13")</f>
        <v/>
      </c>
      <c r="F2711" t="inlineStr">
        <is>
          <t>B000CSKRCQ</t>
        </is>
      </c>
      <c r="G2711">
        <f>_xludf.IMAGE("https://edmondsonsupply.com/cdn/shop/products/65064.jpg?v=1587147719")</f>
        <v/>
      </c>
      <c r="H2711">
        <f>_xludf.IMAGE("https://m.media-amazon.com/images/I/51+8QhofFWL._AC_UL320_.jpg")</f>
        <v/>
      </c>
      <c r="K2711" t="inlineStr">
        <is>
          <t>15.97</t>
        </is>
      </c>
      <c r="L2711" t="n">
        <v>14.14</v>
      </c>
      <c r="M2711" s="1" t="inlineStr">
        <is>
          <t>-11.46%</t>
        </is>
      </c>
      <c r="N2711" s="1" t="n">
        <v>250.45</v>
      </c>
      <c r="O2711" t="n">
        <v>4.9</v>
      </c>
      <c r="P2711" t="n">
        <v>19</v>
      </c>
      <c r="R2711" t="inlineStr">
        <is>
          <t>InStock</t>
        </is>
      </c>
      <c r="S2711" t="inlineStr">
        <is>
          <t>23.36</t>
        </is>
      </c>
      <c r="T2711" t="inlineStr">
        <is>
          <t>1707342889060</t>
        </is>
      </c>
    </row>
    <row r="2712" ht="87" customHeight="1">
      <c r="A2712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712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712" t="inlineStr">
        <is>
          <t>Klein Tools D20009NEGLW High-Visibility Side-Cutting Pliers High-Leverage</t>
        </is>
      </c>
      <c r="D2712" t="inlineStr">
        <is>
          <t>Klein Tools J2000-59 Pliers, Diagonal Cutting Journeyman Pliers with High-Leverage Design, Larger Head and Extra Long Blades, 9-Inch</t>
        </is>
      </c>
      <c r="E2712" s="2">
        <f>HYPERLINK("https://www.amazon.com/Journeyman-Diagonal-Cut-Klein-Tools-J2000-59/dp/B075XG1DFD/ref=sr_1_6?keywords=Klein+Tools+D20009NEGLW+High-Visibility+Side-Cutting+Pliers+High-Leverage&amp;qid=1694734809&amp;sr=8-6", "https://www.amazon.com/Journeyman-Diagonal-Cut-Klein-Tools-J2000-59/dp/B075XG1DFD/ref=sr_1_6?keywords=Klein+Tools+D20009NEGLW+High-Visibility+Side-Cutting+Pliers+High-Leverage&amp;qid=1694734809&amp;sr=8-6")</f>
        <v/>
      </c>
      <c r="F2712" t="inlineStr">
        <is>
          <t>B075XG1DFD</t>
        </is>
      </c>
      <c r="G2712">
        <f>_xlfn.IMAGE("https://edmondsonsupply.com/cdn/shop/products/d20009neglw.jpg?v=1587144933")</f>
        <v/>
      </c>
      <c r="H2712">
        <f>_xlfn.IMAGE("https://m.media-amazon.com/images/I/41d2z7PlSnL._AC_UL320_.jpg")</f>
        <v/>
      </c>
      <c r="K2712" t="inlineStr">
        <is>
          <t>44.97</t>
        </is>
      </c>
      <c r="L2712" t="n">
        <v>39.77</v>
      </c>
      <c r="M2712" s="1" t="inlineStr">
        <is>
          <t>-11.56%</t>
        </is>
      </c>
      <c r="N2712" s="7" t="n">
        <v>250.39</v>
      </c>
      <c r="O2712" t="n">
        <v>4.7</v>
      </c>
      <c r="P2712" t="n">
        <v>491</v>
      </c>
      <c r="R2712" t="inlineStr">
        <is>
          <t>InStock</t>
        </is>
      </c>
      <c r="S2712" t="inlineStr">
        <is>
          <t>68.16</t>
        </is>
      </c>
      <c r="T2712" t="inlineStr">
        <is>
          <t>4396888490084</t>
        </is>
      </c>
    </row>
    <row r="2713" hidden="1" ht="15.75" customHeight="1">
      <c r="A2713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2713" s="2">
        <f>HYPERLINK("https://edmondsonsupply.com/products/klein-tools-610-stubby-nut-driver-set-1-1-2-inch-shafts-2-piece", "https://edmondsonsupply.com/products/klein-tools-610-stubby-nut-driver-set-1-1-2-inch-shafts-2-piece")</f>
        <v/>
      </c>
      <c r="C2713" t="inlineStr">
        <is>
          <t>Klein Tools 610 Stubby Nut Driver Set 1-1/2-Inch Shafts 2-Piece</t>
        </is>
      </c>
      <c r="D2713" t="inlineStr">
        <is>
          <t>Klein Tools 610 Tool Set, Nut Driver Set with Stubby Nut Driver Sizes 1/4 and 5/16-Inch, Full Hollow Shaft, 2-Piece</t>
        </is>
      </c>
      <c r="E2713" s="2">
        <f>HYPERLINK("https://www.amazon.com/Klein-Tools-610-16-Inch-2-Piece/dp/B000CSKRCQ/ref=sr_1_2?keywords=Klein+Tools+610+Stubby+Nut+Driver+Set+1-1%2F2-Inch+Shafts+2-Piece&amp;qid=1694734809&amp;sr=8-2", "https://www.amazon.com/Klein-Tools-610-16-Inch-2-Piece/dp/B000CSKRCQ/ref=sr_1_2?keywords=Klein+Tools+610+Stubby+Nut+Driver+Set+1-1%2F2-Inch+Shafts+2-Piece&amp;qid=1694734809&amp;sr=8-2")</f>
        <v/>
      </c>
      <c r="F2713" t="inlineStr">
        <is>
          <t>B000CSKRCQ</t>
        </is>
      </c>
      <c r="G2713">
        <f>_xludf.IMAGE("https://edmondsonsupply.com/cdn/shop/products/610m_169714eb-6816-4f42-aa86-ea17ea5fcbbb.jpg?v=1633030110")</f>
        <v/>
      </c>
      <c r="H2713">
        <f>_xludf.IMAGE("https://m.media-amazon.com/images/I/51+8QhofFWL._AC_UL320_.jpg")</f>
        <v/>
      </c>
      <c r="K2713" t="inlineStr">
        <is>
          <t>15.99</t>
        </is>
      </c>
      <c r="L2713" t="n">
        <v>14.14</v>
      </c>
      <c r="M2713" s="1" t="inlineStr">
        <is>
          <t>-11.57%</t>
        </is>
      </c>
      <c r="N2713" s="1" t="n">
        <v>250.3</v>
      </c>
      <c r="O2713" t="n">
        <v>4.9</v>
      </c>
      <c r="P2713" t="n">
        <v>19</v>
      </c>
      <c r="R2713" t="inlineStr">
        <is>
          <t>InStock</t>
        </is>
      </c>
      <c r="S2713" t="inlineStr">
        <is>
          <t>24.26</t>
        </is>
      </c>
      <c r="T2713" t="inlineStr">
        <is>
          <t>3671774855268</t>
        </is>
      </c>
    </row>
    <row r="2714" ht="87" customHeight="1">
      <c r="A2714" s="2">
        <f>HYPERLINK("https://edmondsonsupply.com/collections/hvac/products/klein-tools-d504-10-classic-klaw%E2%84%A2-pump-pliers-10-inch", "https://edmondsonsupply.com/collections/hvac/products/klein-tools-d504-10-classic-klaw%E2%84%A2-pump-pliers-10-inch")</f>
        <v/>
      </c>
      <c r="B2714" s="2">
        <f>HYPERLINK("https://edmondsonsupply.com/products/klein-tools-d504-10-classic-klaw%e2%84%a2-pump-pliers-10-inch", "https://edmondsonsupply.com/products/klein-tools-d504-10-classic-klaw%e2%84%a2-pump-pliers-10-inch")</f>
        <v/>
      </c>
      <c r="C2714" t="inlineStr">
        <is>
          <t>Klein Tools D504-10 Classic Klaw™ Pump Pliers, 10-Inch</t>
        </is>
      </c>
      <c r="D2714" t="inlineStr">
        <is>
          <t>Klein Tools D504-10 Pump Pliers, Unique Curved Jaw, Maximum Torque, Hardened Teeth, Adjustable Wide Jaw, Ideal for Plumbing, Nail Holding</t>
        </is>
      </c>
      <c r="E2714" s="2">
        <f>HYPERLINK("https://www.amazon.com/Classic-10-Inch-Klein-Tools-D504-10/dp/B00BJ4ORCI/ref=sr_1_1?keywords=Klein+Tools+D504-10+Classic+Klaw%E2%84%A2+Pump+Pliers%2C+10-Inch&amp;qid=1694734805&amp;sr=8-1", "https://www.amazon.com/Classic-10-Inch-Klein-Tools-D504-10/dp/B00BJ4ORCI/ref=sr_1_1?keywords=Klein+Tools+D504-10+Classic+Klaw%E2%84%A2+Pump+Pliers%2C+10-Inch&amp;qid=1694734805&amp;sr=8-1")</f>
        <v/>
      </c>
      <c r="F2714" t="inlineStr">
        <is>
          <t>B00BJ4ORCI</t>
        </is>
      </c>
      <c r="G2714">
        <f>_xlfn.IMAGE("https://edmondsonsupply.com/cdn/shop/products/d504-10.jpg?v=1587142942")</f>
        <v/>
      </c>
      <c r="H2714">
        <f>_xlfn.IMAGE("https://m.media-amazon.com/images/I/41rrivMv9dL._AC_UL320_.jpg")</f>
        <v/>
      </c>
      <c r="K2714" t="inlineStr">
        <is>
          <t>33.97</t>
        </is>
      </c>
      <c r="L2714" t="n">
        <v>29.99</v>
      </c>
      <c r="M2714" s="1" t="inlineStr">
        <is>
          <t>-11.72%</t>
        </is>
      </c>
      <c r="N2714" s="7" t="n">
        <v>250.03</v>
      </c>
      <c r="O2714" t="n">
        <v>4.7</v>
      </c>
      <c r="P2714" t="n">
        <v>620</v>
      </c>
      <c r="R2714" t="inlineStr">
        <is>
          <t>InStock</t>
        </is>
      </c>
      <c r="S2714" t="inlineStr">
        <is>
          <t>47.1</t>
        </is>
      </c>
      <c r="T2714" t="inlineStr">
        <is>
          <t>3694795522148</t>
        </is>
      </c>
    </row>
    <row r="2715" ht="87" customHeight="1">
      <c r="A2715" s="2">
        <f>HYPERLINK("https://edmondsonsupply.com/collections/hvac/products/klein-tools-d504-10-classic-klaw%E2%84%A2-pump-pliers-10-inch", "https://edmondsonsupply.com/collections/hvac/products/klein-tools-d504-10-classic-klaw%E2%84%A2-pump-pliers-10-inch")</f>
        <v/>
      </c>
      <c r="B2715" s="2">
        <f>HYPERLINK("https://edmondsonsupply.com/products/klein-tools-d504-10-classic-klaw%e2%84%a2-pump-pliers-10-inch", "https://edmondsonsupply.com/products/klein-tools-d504-10-classic-klaw%e2%84%a2-pump-pliers-10-inch")</f>
        <v/>
      </c>
      <c r="C2715" t="inlineStr">
        <is>
          <t>Klein Tools D504-10 Classic Klaw™ Pump Pliers, 10-Inch</t>
        </is>
      </c>
      <c r="D2715" t="inlineStr">
        <is>
          <t>Klein Tools J502-10 Pliers, Adjustable Jaw Pump Pliers, Tongue and Groove, with Dual Material Handles, 10-Inch</t>
        </is>
      </c>
      <c r="E2715" s="2">
        <f>HYPERLINK("https://www.amazon.com/Adjustable-Material-Klein-Tools-J502-10/dp/B00093D51Y/ref=sr_1_4?keywords=Klein+Tools+D504-10+Classic+Klaw%E2%84%A2+Pump+Pliers%2C+10-Inch&amp;qid=1694734805&amp;sr=8-4", "https://www.amazon.com/Adjustable-Material-Klein-Tools-J502-10/dp/B00093D51Y/ref=sr_1_4?keywords=Klein+Tools+D504-10+Classic+Klaw%E2%84%A2+Pump+Pliers%2C+10-Inch&amp;qid=1694734805&amp;sr=8-4")</f>
        <v/>
      </c>
      <c r="F2715" t="inlineStr">
        <is>
          <t>B00093D51Y</t>
        </is>
      </c>
      <c r="G2715">
        <f>_xlfn.IMAGE("https://edmondsonsupply.com/cdn/shop/products/d504-10.jpg?v=1587142942")</f>
        <v/>
      </c>
      <c r="H2715">
        <f>_xlfn.IMAGE("https://m.media-amazon.com/images/I/51+llp-35wL._AC_UL320_.jpg")</f>
        <v/>
      </c>
      <c r="K2715" t="inlineStr">
        <is>
          <t>33.97</t>
        </is>
      </c>
      <c r="L2715" t="n">
        <v>29.97</v>
      </c>
      <c r="M2715" s="1" t="inlineStr">
        <is>
          <t>-11.78%</t>
        </is>
      </c>
      <c r="N2715" s="7" t="n">
        <v>248.97</v>
      </c>
      <c r="O2715" t="n">
        <v>4.6</v>
      </c>
      <c r="P2715" t="n">
        <v>365</v>
      </c>
      <c r="R2715" t="inlineStr">
        <is>
          <t>InStock</t>
        </is>
      </c>
      <c r="S2715" t="inlineStr">
        <is>
          <t>47.1</t>
        </is>
      </c>
      <c r="T2715" t="inlineStr">
        <is>
          <t>3694795522148</t>
        </is>
      </c>
    </row>
    <row r="2716" ht="87" customHeight="1">
      <c r="A2716" s="2">
        <f>HYPERLINK("https://edmondsonsupply.com/collections/hvac/products/milwaukee-49-90-1900-hepa-filter", "https://edmondsonsupply.com/collections/hvac/products/milwaukee-49-90-1900-hepa-filter")</f>
        <v/>
      </c>
      <c r="B2716" s="2">
        <f>HYPERLINK("https://edmondsonsupply.com/products/milwaukee-49-90-1900-hepa-filter", "https://edmondsonsupply.com/products/milwaukee-49-90-1900-hepa-filter")</f>
        <v/>
      </c>
      <c r="C2716" t="inlineStr">
        <is>
          <t>Milwaukee 49-90-1900 HEPA Filter</t>
        </is>
      </c>
      <c r="D2716" t="inlineStr">
        <is>
          <t>Aryavos 2 Pack HEPA Cartridge Filter Replacement Compatible with Milwaukee 0882-20 M18 Cordless Vacuum Dry Filter 49-90-0160</t>
        </is>
      </c>
      <c r="E2716" s="2">
        <f>HYPERLINK("https://www.amazon.com/Aryavos-Milwaukee-0882-20-M18-Vacuum/dp/B0C4NG7BZK/ref=sr_1_32?keywords=Milwaukee+49-90-1900+HEPA+Filter&amp;qid=1694734913&amp;sr=8-32", "https://www.amazon.com/Aryavos-Milwaukee-0882-20-M18-Vacuum/dp/B0C4NG7BZK/ref=sr_1_32?keywords=Milwaukee+49-90-1900+HEPA+Filter&amp;qid=1694734913&amp;sr=8-32")</f>
        <v/>
      </c>
      <c r="F2716" t="inlineStr">
        <is>
          <t>B0C4NG7BZK</t>
        </is>
      </c>
      <c r="G2716">
        <f>_xlfn.IMAGE("https://edmondsonsupply.com/cdn/shop/files/49-90-1900_1.png?v=1686234774")</f>
        <v/>
      </c>
      <c r="H2716">
        <f>_xlfn.IMAGE("https://m.media-amazon.com/images/I/61oY9UYp1xL._AC_UL320_.jpg")</f>
        <v/>
      </c>
      <c r="K2716" t="inlineStr">
        <is>
          <t>24.98</t>
        </is>
      </c>
      <c r="L2716" t="n">
        <v>21.99</v>
      </c>
      <c r="M2716" s="1" t="inlineStr">
        <is>
          <t>-11.97%</t>
        </is>
      </c>
      <c r="N2716" s="7" t="n">
        <v>247.69</v>
      </c>
      <c r="O2716" t="n">
        <v>5</v>
      </c>
      <c r="P2716" t="n">
        <v>1</v>
      </c>
      <c r="R2716" t="inlineStr">
        <is>
          <t>InStock</t>
        </is>
      </c>
      <c r="S2716" t="inlineStr">
        <is>
          <t>40.0</t>
        </is>
      </c>
      <c r="T2716" t="inlineStr">
        <is>
          <t>8002625306840</t>
        </is>
      </c>
    </row>
    <row r="2717" ht="87" customHeight="1">
      <c r="A2717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717" s="2">
        <f>HYPERLINK("https://edmondsonsupply.com/products/klein-tools-d2000-28glw-diagonal-cutting-pliers-hi-viz-8-inch", "https://edmondsonsupply.com/products/klein-tools-d2000-28glw-diagonal-cutting-pliers-hi-viz-8-inch")</f>
        <v/>
      </c>
      <c r="C2717" t="inlineStr">
        <is>
          <t>Klein Tools D200028GLW Diagonal Cutting Pliers, High-Visibility, 8-Inch</t>
        </is>
      </c>
      <c r="D2717" t="inlineStr">
        <is>
          <t>Klein Tools D228-8TT Pliers, Diagonal Cutting Pliers with High-Leverage Design and Tether Ring, 8-Inch</t>
        </is>
      </c>
      <c r="E2717" s="2">
        <f>HYPERLINK("https://www.amazon.com/Leverage-Diagonal-Klein-Tools-D228-8TT/dp/B01K76W5UE/ref=sr_1_1?keywords=Klein+Tools+D200028GLW+Diagonal+Cutting+Pliers%2C+High-Visibility%2C+8-Inch&amp;qid=1694734781&amp;sr=8-1", "https://www.amazon.com/Leverage-Diagonal-Klein-Tools-D228-8TT/dp/B01K76W5UE/ref=sr_1_1?keywords=Klein+Tools+D200028GLW+Diagonal+Cutting+Pliers%2C+High-Visibility%2C+8-Inch&amp;qid=1694734781&amp;sr=8-1")</f>
        <v/>
      </c>
      <c r="F2717" t="inlineStr">
        <is>
          <t>B01K76W5UE</t>
        </is>
      </c>
      <c r="G2717">
        <f>_xlfn.IMAGE("https://edmondsonsupply.com/cdn/shop/products/d200028glw.jpg?v=1633030701")</f>
        <v/>
      </c>
      <c r="H2717">
        <f>_xlfn.IMAGE("https://m.media-amazon.com/images/I/41Jkh6uEiRL._AC_UL320_.jpg")</f>
        <v/>
      </c>
      <c r="K2717" t="inlineStr">
        <is>
          <t>37.49</t>
        </is>
      </c>
      <c r="L2717" t="n">
        <v>32.99</v>
      </c>
      <c r="M2717" s="1" t="inlineStr">
        <is>
          <t>-12.00%</t>
        </is>
      </c>
      <c r="N2717" s="7" t="n">
        <v>247.67</v>
      </c>
      <c r="O2717" t="n">
        <v>5</v>
      </c>
      <c r="P2717" t="n">
        <v>16</v>
      </c>
      <c r="R2717" t="inlineStr">
        <is>
          <t>InStock</t>
        </is>
      </c>
      <c r="S2717" t="inlineStr">
        <is>
          <t>56.78</t>
        </is>
      </c>
      <c r="T2717" t="inlineStr">
        <is>
          <t>5848287477928</t>
        </is>
      </c>
    </row>
    <row r="2718" hidden="1" ht="15.75" customHeight="1">
      <c r="A2718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2718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2718" t="inlineStr">
        <is>
          <t>Klein Tools JTH6E14 5/16-Inch Hex Key with Journeyman T-Handle, 6-Inch</t>
        </is>
      </c>
      <c r="D2718" t="inlineStr">
        <is>
          <t>Klein Tools JTH6E12BE 7/32-Inch Ball End Hex Key with Journeyman T-Handle,6-Inch</t>
        </is>
      </c>
      <c r="E2718" s="2">
        <f>HYPERLINK("https://www.amazon.com/Journeyman-T-Handle-Klein-Tools-JTH6E12BE/dp/B004QW74L6/ref=sr_1_6?keywords=Klein+Tools+JTH6E14+5%2F16-Inch+Hex+Key+with+Journeyman+T-Handle%2C+6-Inch&amp;qid=1694734648&amp;sr=8-6", "https://www.amazon.com/Journeyman-T-Handle-Klein-Tools-JTH6E12BE/dp/B004QW74L6/ref=sr_1_6?keywords=Klein+Tools+JTH6E14+5%2F16-Inch+Hex+Key+with+Journeyman+T-Handle%2C+6-Inch&amp;qid=1694734648&amp;sr=8-6")</f>
        <v/>
      </c>
      <c r="F2718" t="inlineStr">
        <is>
          <t>B004QW74L6</t>
        </is>
      </c>
      <c r="G2718">
        <f>_xludf.IMAGE("https://edmondsonsupply.com/cdn/shop/products/jth6e15.jpg?v=1587148489")</f>
        <v/>
      </c>
      <c r="H2718">
        <f>_xludf.IMAGE("https://m.media-amazon.com/images/I/51f9vBFVXgL._AC_UL320_.jpg")</f>
        <v/>
      </c>
      <c r="K2718" t="inlineStr">
        <is>
          <t>6.99</t>
        </is>
      </c>
      <c r="L2718" t="n">
        <v>6.15</v>
      </c>
      <c r="M2718" s="1" t="inlineStr">
        <is>
          <t>-12.02%</t>
        </is>
      </c>
      <c r="N2718" s="1" t="n">
        <v>247.38</v>
      </c>
      <c r="O2718" t="n">
        <v>4.5</v>
      </c>
      <c r="P2718" t="n">
        <v>9</v>
      </c>
      <c r="R2718" t="inlineStr">
        <is>
          <t>InStock</t>
        </is>
      </c>
      <c r="S2718" t="inlineStr">
        <is>
          <t>10.5</t>
        </is>
      </c>
      <c r="T2718" t="inlineStr">
        <is>
          <t>3694843822180</t>
        </is>
      </c>
    </row>
    <row r="2719" ht="87" customHeight="1">
      <c r="A2719" s="2">
        <f>HYPERLINK("https://edmondsonsupply.com/collections/hvac/products/diablo-tools-dmamxcc5020-2-5-8-in-x-7-in-sds-max-carbide-tipped-core-bit", "https://edmondsonsupply.com/collections/hvac/products/diablo-tools-dmamxcc5020-2-5-8-in-x-7-in-sds-max-carbide-tipped-core-bit")</f>
        <v/>
      </c>
      <c r="B2719" s="2">
        <f>HYPERLINK("https://edmondsonsupply.com/products/diablo-tools-dmamxcc5020-2-5-8-in-x-7-in-sds-max-carbide-tipped-core-bit", "https://edmondsonsupply.com/products/diablo-tools-dmamxcc5020-2-5-8-in-x-7-in-sds-max-carbide-tipped-core-bit")</f>
        <v/>
      </c>
      <c r="C2719" t="inlineStr">
        <is>
          <t>Diablo Tools DMAMXCC5020 2-5/8 in. x 7 in. SDS-Max Carbide Tipped Core Bit</t>
        </is>
      </c>
      <c r="D2719" t="inlineStr">
        <is>
          <t>Diablo 2 in. x 7 in. SDS-Max Carbide Tipped Core Bit</t>
        </is>
      </c>
      <c r="E2719" s="2">
        <f>HYPERLINK("https://www.amazon.com/Diablo-DMAMXCC5010-SDS-Max-Carbide-Tipped/dp/B089M8SC7R/ref=sr_1_3?keywords=Diablo+Tools+DMAMXCC5020+2-5%2F8+in.+x+7+in.+SDS-Max+Carbide+Tipped+Core+Bit&amp;qid=1694734909&amp;sr=8-3", "https://www.amazon.com/Diablo-DMAMXCC5010-SDS-Max-Carbide-Tipped/dp/B089M8SC7R/ref=sr_1_3?keywords=Diablo+Tools+DMAMXCC5020+2-5%2F8+in.+x+7+in.+SDS-Max+Carbide+Tipped+Core+Bit&amp;qid=1694734909&amp;sr=8-3")</f>
        <v/>
      </c>
      <c r="F2719" t="inlineStr">
        <is>
          <t>B089M8SC7R</t>
        </is>
      </c>
      <c r="G2719">
        <f>_xlfn.IMAGE("https://edmondsonsupply.com/cdn/shop/files/vashcrdlazsqjug8tmyc.webp?v=1686584484")</f>
        <v/>
      </c>
      <c r="H2719">
        <f>_xlfn.IMAGE("https://m.media-amazon.com/images/I/61bqzHyefdL._AC_UL320_.jpg")</f>
        <v/>
      </c>
      <c r="K2719" t="inlineStr">
        <is>
          <t>107.99</t>
        </is>
      </c>
      <c r="L2719" t="n">
        <v>94.98999999999999</v>
      </c>
      <c r="M2719" s="1" t="inlineStr">
        <is>
          <t>-12.04%</t>
        </is>
      </c>
      <c r="N2719" s="7" t="n">
        <v>247.1</v>
      </c>
      <c r="O2719" t="n">
        <v>4.1</v>
      </c>
      <c r="P2719" t="n">
        <v>3</v>
      </c>
      <c r="R2719" t="inlineStr">
        <is>
          <t>InStock</t>
        </is>
      </c>
      <c r="S2719" t="inlineStr">
        <is>
          <t>173.04</t>
        </is>
      </c>
      <c r="T2719" t="inlineStr">
        <is>
          <t>8004505272536</t>
        </is>
      </c>
    </row>
    <row r="2720" ht="87" customHeight="1">
      <c r="A2720" s="2">
        <f>HYPERLINK("https://edmondsonsupply.com/collections/hvac/products/diablo-tools-dmarg1020-p5-5-32-in-x-3-in-x-6-in-speedemon%E2%84%A2-red-granite-carbide-tipped-hammer-drill-bit-5-pack", "https://edmondsonsupply.com/collections/hvac/products/diablo-tools-dmarg1020-p5-5-32-in-x-3-in-x-6-in-speedemon%E2%84%A2-red-granite-carbide-tipped-hammer-drill-bit-5-pack")</f>
        <v/>
      </c>
      <c r="B2720" s="2">
        <f>HYPERLINK("https://edmondsonsupply.com/products/diablo-tools-dmarg1020-p5-5-32-in-x-3-in-x-6-in-speedemon%e2%84%a2-red-granite-carbide-tipped-hammer-drill-bit-5-pack", "https://edmondsonsupply.com/products/diablo-tools-dmarg1020-p5-5-32-in-x-3-in-x-6-in-speedemon%e2%84%a2-red-granite-carbide-tipped-hammer-drill-bit-5-pack")</f>
        <v/>
      </c>
      <c r="C2720" t="inlineStr">
        <is>
          <t>Diablo Tools DMARG1020-P5 5/32 in. x 3 in. x 6 in. SPEEDemon™ Red Granite Carbide Tipped Hammer Drill Bit (5 Pack)</t>
        </is>
      </c>
      <c r="D2720" t="inlineStr">
        <is>
          <t>Diablo by Freud DMARG1020-P5 5/32 in. x 3 in. x 6 in. SPEEDemon Red Granite Carbide Tipped Hammer Drill Bit (5-Pack)</t>
        </is>
      </c>
      <c r="E2720" s="2">
        <f>HYPERLINK("https://www.amazon.com/Diablo-SPEEDemon-Granite-Carbide-Tipped/dp/B089KX38FF/ref=sr_1_1?keywords=Diablo+Tools+DMARG1020-P5+5%2F32+in.+x+3+in.+x+6+in.+SPEEDemon%E2%84%A2+Red+Granite+Carbide+Tipped+Hammer+Drill+Bit+%285+Pack%29&amp;qid=1694734791&amp;sr=8-1", "https://www.amazon.com/Diablo-SPEEDemon-Granite-Carbide-Tipped/dp/B089KX38FF/ref=sr_1_1?keywords=Diablo+Tools+DMARG1020-P5+5%2F32+in.+x+3+in.+x+6+in.+SPEEDemon%E2%84%A2+Red+Granite+Carbide+Tipped+Hammer+Drill+Bit+%285+Pack%29&amp;qid=1694734791&amp;sr=8-1")</f>
        <v/>
      </c>
      <c r="F2720" t="inlineStr">
        <is>
          <t>B089KX38FF</t>
        </is>
      </c>
      <c r="G2720">
        <f>_xlfn.IMAGE("https://edmondsonsupply.com/cdn/shop/products/DMARG1020-P5_Main-Image20200513.png?v=1633030508")</f>
        <v/>
      </c>
      <c r="H2720">
        <f>_xlfn.IMAGE("https://m.media-amazon.com/images/I/61BDYFEnTRL._AC_UL320_.jpg")</f>
        <v/>
      </c>
      <c r="K2720" t="inlineStr">
        <is>
          <t>17.47</t>
        </is>
      </c>
      <c r="L2720" t="n">
        <v>15.36</v>
      </c>
      <c r="M2720" s="1" t="inlineStr">
        <is>
          <t>-12.08%</t>
        </is>
      </c>
      <c r="N2720" s="7" t="n">
        <v>246.8</v>
      </c>
      <c r="O2720" t="n">
        <v>4.6</v>
      </c>
      <c r="P2720" t="n">
        <v>27</v>
      </c>
      <c r="R2720" t="inlineStr">
        <is>
          <t>OutOfStock</t>
        </is>
      </c>
      <c r="S2720" t="inlineStr">
        <is>
          <t>undefined</t>
        </is>
      </c>
      <c r="T2720" t="inlineStr">
        <is>
          <t>5386160373928</t>
        </is>
      </c>
    </row>
    <row r="2721" ht="87" customHeight="1">
      <c r="A2721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2721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2721" t="inlineStr">
        <is>
          <t>Klein Tools NCVT1XTKIT Non-Contact Voltage and GFCI Receptacle Premium Test Kit</t>
        </is>
      </c>
      <c r="D2721" t="inlineStr">
        <is>
          <t>Klein Tools 80041 Outlet Repair Tool Kit with GFCI Receptacle Tester, Non Contact Voltage Tester and Wire Stripper, 3-Piece,Black</t>
        </is>
      </c>
      <c r="E2721" s="2">
        <f>HYPERLINK("https://www.amazon.com/Klein-Tools-80041-Receptacle-Stripper/dp/B0977QNC3X/ref=sr_1_4?keywords=Klein+Tools+NCVT1XTKIT+Non-Contact+Voltage+and+GFCI+Receptacle+Premium+Test+Kit&amp;qid=1694734686&amp;sr=8-4", "https://www.amazon.com/Klein-Tools-80041-Receptacle-Stripper/dp/B0977QNC3X/ref=sr_1_4?keywords=Klein+Tools+NCVT1XTKIT+Non-Contact+Voltage+and+GFCI+Receptacle+Premium+Test+Kit&amp;qid=1694734686&amp;sr=8-4")</f>
        <v/>
      </c>
      <c r="F2721" t="inlineStr">
        <is>
          <t>B0977QNC3X</t>
        </is>
      </c>
      <c r="G2721">
        <f>_xlfn.IMAGE("https://edmondsonsupply.com/cdn/shop/products/ncvt1xtkit.jpg?v=1674497102")</f>
        <v/>
      </c>
      <c r="H2721">
        <f>_xlfn.IMAGE("https://m.media-amazon.com/images/I/61swpb0jNLS._AC_UL320_.jpg")</f>
        <v/>
      </c>
      <c r="K2721" t="inlineStr">
        <is>
          <t>24.99</t>
        </is>
      </c>
      <c r="L2721" t="n">
        <v>21.97</v>
      </c>
      <c r="M2721" s="1" t="inlineStr">
        <is>
          <t>-12.08%</t>
        </is>
      </c>
      <c r="N2721" s="7" t="n">
        <v>245.94</v>
      </c>
      <c r="O2721" t="n">
        <v>4.8</v>
      </c>
      <c r="P2721" t="n">
        <v>7942</v>
      </c>
      <c r="R2721" t="inlineStr">
        <is>
          <t>InStock</t>
        </is>
      </c>
      <c r="S2721" t="inlineStr">
        <is>
          <t>32.98</t>
        </is>
      </c>
      <c r="T2721" t="inlineStr">
        <is>
          <t>7931949187288</t>
        </is>
      </c>
    </row>
    <row r="2722" ht="87" customHeight="1">
      <c r="A2722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722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722" t="inlineStr">
        <is>
          <t>Klein Tools D20009NEGLW High-Visibility Side-Cutting Pliers High-Leverage</t>
        </is>
      </c>
      <c r="D2722" t="inlineStr">
        <is>
          <t>Klein Tools D213-9NETT Pliers, High Leverage Side Cutters with Tether Ring, New England Nose</t>
        </is>
      </c>
      <c r="E2722" s="2">
        <f>HYPERLINK("https://www.amazon.com/Leverage-Cutters-Klein-Tools-D213-9NETT/dp/B01K76UXR6/ref=sr_1_33?keywords=Klein+Tools+D20009NEGLW+High-Visibility+Side-Cutting+Pliers+High-Leverage&amp;qid=1694734809&amp;sr=8-33", "https://www.amazon.com/Leverage-Cutters-Klein-Tools-D213-9NETT/dp/B01K76UXR6/ref=sr_1_33?keywords=Klein+Tools+D20009NEGLW+High-Visibility+Side-Cutting+Pliers+High-Leverage&amp;qid=1694734809&amp;sr=8-33")</f>
        <v/>
      </c>
      <c r="F2722" t="inlineStr">
        <is>
          <t>B01K76UXR6</t>
        </is>
      </c>
      <c r="G2722">
        <f>_xlfn.IMAGE("https://edmondsonsupply.com/cdn/shop/products/d20009neglw.jpg?v=1587144933")</f>
        <v/>
      </c>
      <c r="H2722">
        <f>_xlfn.IMAGE("https://m.media-amazon.com/images/I/511+TPpHFoL._AC_UL320_.jpg")</f>
        <v/>
      </c>
      <c r="K2722" t="inlineStr">
        <is>
          <t>44.97</t>
        </is>
      </c>
      <c r="L2722" t="n">
        <v>39.49</v>
      </c>
      <c r="M2722" s="1" t="inlineStr">
        <is>
          <t>-12.19%</t>
        </is>
      </c>
      <c r="N2722" s="7" t="n">
        <v>245.64</v>
      </c>
      <c r="O2722" t="n">
        <v>4.6</v>
      </c>
      <c r="P2722" t="n">
        <v>13</v>
      </c>
      <c r="R2722" t="inlineStr">
        <is>
          <t>InStock</t>
        </is>
      </c>
      <c r="S2722" t="inlineStr">
        <is>
          <t>68.16</t>
        </is>
      </c>
      <c r="T2722" t="inlineStr">
        <is>
          <t>4396888490084</t>
        </is>
      </c>
    </row>
    <row r="2723" hidden="1" ht="15.75" customHeight="1">
      <c r="A2723" s="2">
        <f>HYPERLINK("https://edmondsonsupply.com/collections/hvac/products/reed-mfg-dhr12-1-1-4npt-r12-drophead-1-1-4-npt", "https://edmondsonsupply.com/collections/hvac/products/reed-mfg-dhr12-1-1-4npt-r12-drophead-1-1-4-npt")</f>
        <v/>
      </c>
      <c r="B2723" s="2">
        <f>HYPERLINK("https://edmondsonsupply.com/products/reed-mfg-dhr12-1-1-4npt-r12-drophead-1-1-4-npt", "https://edmondsonsupply.com/products/reed-mfg-dhr12-1-1-4npt-r12-drophead-1-1-4-npt")</f>
        <v/>
      </c>
      <c r="C2723" t="inlineStr">
        <is>
          <t>Reed Mfg DHR12 1 1/4NPT R12+ Drophead, 1-1/4" NPT</t>
        </is>
      </c>
      <c r="D2723" t="inlineStr">
        <is>
          <t>Reed Tool DHR12 1 1/4NPT R12+ Drophead, 1-1/4-Inch NPT</t>
        </is>
      </c>
      <c r="E2723" s="2">
        <f>HYPERLINK("https://www.amazon.com/Reed-Tool-DHR12-4NPT-Drophead/dp/B000ZH8QVI/ref=sr_1_1?keywords=Reed+Mfg+DHR12+1+1%2F4NPT+R12%2B+Drophead%2C+1-1%2F4%22+NPT&amp;qid=1694734769&amp;sr=8-1", "https://www.amazon.com/Reed-Tool-DHR12-4NPT-Drophead/dp/B000ZH8QVI/ref=sr_1_1?keywords=Reed+Mfg+DHR12+1+1%2F4NPT+R12%2B+Drophead%2C+1-1%2F4%22+NPT&amp;qid=1694734769&amp;sr=8-1")</f>
        <v/>
      </c>
      <c r="F2723" t="inlineStr">
        <is>
          <t>B000ZH8QVI</t>
        </is>
      </c>
      <c r="G2723">
        <f>_xludf.IMAGE("https://edmondsonsupply.com/cdn/shop/products/05632-DHR121-1-4NPT-RGB.jpg?v=1633031013")</f>
        <v/>
      </c>
      <c r="H2723">
        <f>_xludf.IMAGE("https://m.media-amazon.com/images/I/61ePWvUMWkL._AC_UY218_.jpg")</f>
        <v/>
      </c>
      <c r="K2723" t="inlineStr">
        <is>
          <t>154.86</t>
        </is>
      </c>
      <c r="L2723" t="n">
        <v>135.76</v>
      </c>
      <c r="M2723" s="1" t="inlineStr">
        <is>
          <t>-12.33%</t>
        </is>
      </c>
      <c r="N2723" s="1" t="n">
        <v>245</v>
      </c>
      <c r="O2723" t="n">
        <v>1</v>
      </c>
      <c r="P2723" t="n">
        <v>1</v>
      </c>
      <c r="R2723" t="inlineStr">
        <is>
          <t>InStock</t>
        </is>
      </c>
      <c r="S2723" t="inlineStr">
        <is>
          <t>179.13</t>
        </is>
      </c>
      <c r="T2723" t="inlineStr">
        <is>
          <t>6698096230573</t>
        </is>
      </c>
    </row>
    <row r="2724" ht="87" customHeight="1">
      <c r="A2724" s="2">
        <f>HYPERLINK("https://edmondsonsupply.com/collections/hvac/products/channellock-87", "https://edmondsonsupply.com/collections/hvac/products/channellock-87")</f>
        <v/>
      </c>
      <c r="B2724" s="2">
        <f>HYPERLINK("https://edmondsonsupply.com/products/channellock-87", "https://edmondsonsupply.com/products/channellock-87")</f>
        <v/>
      </c>
      <c r="C2724" t="inlineStr">
        <is>
          <t>Channellock 87 9" Rescue Tool</t>
        </is>
      </c>
      <c r="D2724" t="inlineStr">
        <is>
          <t>Channellock 87 8.88-Inch First Responder Rescue Tool ,Designed for Firefighters &amp; EMTs ,Compact Cable Cutters Forged from Alloy Steel Easily Shears Through Cables and Soft Metal</t>
        </is>
      </c>
      <c r="E2724" s="2">
        <f>HYPERLINK("https://www.amazon.com/Channellock-87-8-88-Inch-Compact-Rescue/dp/B0057UMN3A/ref=sr_1_2?keywords=Channellock+87+9%22+Rescue+Tool&amp;qid=1694734604&amp;sr=8-2", "https://www.amazon.com/Channellock-87-8-88-Inch-Compact-Rescue/dp/B0057UMN3A/ref=sr_1_2?keywords=Channellock+87+9%22+Rescue+Tool&amp;qid=1694734604&amp;sr=8-2")</f>
        <v/>
      </c>
      <c r="F2724" t="inlineStr">
        <is>
          <t>B0057UMN3A</t>
        </is>
      </c>
      <c r="G2724">
        <f>_xlfn.IMAGE("https://edmondsonsupply.com/cdn/shop/products/87.png?v=1587151315")</f>
        <v/>
      </c>
      <c r="H2724">
        <f>_xlfn.IMAGE("https://m.media-amazon.com/images/I/817vvWRPWLL._AC_UL320_.jpg")</f>
        <v/>
      </c>
      <c r="K2724" t="inlineStr">
        <is>
          <t>54.95</t>
        </is>
      </c>
      <c r="L2724" t="n">
        <v>48.15</v>
      </c>
      <c r="M2724" s="1" t="inlineStr">
        <is>
          <t>-12.37%</t>
        </is>
      </c>
      <c r="N2724" s="7" t="n">
        <v>243.64</v>
      </c>
      <c r="O2724" t="n">
        <v>4.8</v>
      </c>
      <c r="P2724" t="n">
        <v>1925</v>
      </c>
      <c r="R2724" t="inlineStr">
        <is>
          <t>InStock</t>
        </is>
      </c>
      <c r="S2724" t="inlineStr">
        <is>
          <t>75.52</t>
        </is>
      </c>
      <c r="T2724" t="inlineStr">
        <is>
          <t>4417465155684</t>
        </is>
      </c>
    </row>
    <row r="2725" ht="87" customHeight="1">
      <c r="A2725" s="2">
        <f>HYPERLINK("https://edmondsonsupply.com/collections/hvac/products/milwaukee-2997-22-m18-fuel%E2%84%A2-2-tool-combo-kit-hammer-drill-impact", "https://edmondsonsupply.com/collections/hvac/products/milwaukee-2997-22-m18-fuel%E2%84%A2-2-tool-combo-kit-hammer-drill-impact")</f>
        <v/>
      </c>
      <c r="B2725" s="2">
        <f>HYPERLINK("https://edmondsonsupply.com/products/milwaukee-2997-22-m18-fuel%e2%84%a2-2-tool-combo-kit-hammer-drill-impact", "https://edmondsonsupply.com/products/milwaukee-2997-22-m18-fuel%e2%84%a2-2-tool-combo-kit-hammer-drill-impact")</f>
        <v/>
      </c>
      <c r="C2725" t="inlineStr">
        <is>
          <t>Milwaukee 2997-22 M18 FUEL™ 2-Tool Combo Kit: Hammer Drill/Impact</t>
        </is>
      </c>
      <c r="D2725" t="inlineStr">
        <is>
          <t>Milwaukee 2697-22 M18 18-Volt Lithium-Ion Cordless Hammer Drill/Impact Driver XC Combo Kit (2-Tool)</t>
        </is>
      </c>
      <c r="E2725" s="2">
        <f>HYPERLINK("https://www.amazon.com/Milwaukee-2697-22-18-Volt-Lithium-Ion-Cordless/dp/B011BWB68A/ref=sr_1_12?keywords=Milwaukee+2997-22+M18+FUEL%E2%84%A2+2-Tool+Combo+Kit%3A+Hammer+Drill%2FImpact&amp;qid=1694734766&amp;sr=8-12", "https://www.amazon.com/Milwaukee-2697-22-18-Volt-Lithium-Ion-Cordless/dp/B011BWB68A/ref=sr_1_12?keywords=Milwaukee+2997-22+M18+FUEL%E2%84%A2+2-Tool+Combo+Kit%3A+Hammer+Drill%2FImpact&amp;qid=1694734766&amp;sr=8-12")</f>
        <v/>
      </c>
      <c r="F2725" t="inlineStr">
        <is>
          <t>B011BWB68A</t>
        </is>
      </c>
      <c r="G2725">
        <f>_xlfn.IMAGE("https://edmondsonsupply.com/cdn/shop/products/2997-22-1.png?v=1657217833")</f>
        <v/>
      </c>
      <c r="H2725">
        <f>_xlfn.IMAGE("https://m.media-amazon.com/images/I/71wlLSoY-XL._AC_UL320_.jpg")</f>
        <v/>
      </c>
      <c r="K2725" t="inlineStr">
        <is>
          <t>399.0</t>
        </is>
      </c>
      <c r="L2725" t="n">
        <v>349</v>
      </c>
      <c r="M2725" s="1" t="inlineStr">
        <is>
          <t>-12.53%</t>
        </is>
      </c>
      <c r="N2725" s="7" t="n">
        <v>241.64</v>
      </c>
      <c r="O2725" t="n">
        <v>4.4</v>
      </c>
      <c r="P2725" t="n">
        <v>63</v>
      </c>
      <c r="R2725" t="inlineStr">
        <is>
          <t>OutOfStock</t>
        </is>
      </c>
      <c r="S2725" t="inlineStr">
        <is>
          <t>726.0</t>
        </is>
      </c>
      <c r="T2725" t="inlineStr">
        <is>
          <t>7741327409368</t>
        </is>
      </c>
    </row>
    <row r="2726" hidden="1" ht="15.75" customHeight="1">
      <c r="A2726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726" s="2">
        <f>HYPERLINK("https://edmondsonsupply.com/products/diablo-tools-dag1130-1-in-x-7-1-2-in-auger-bit", "https://edmondsonsupply.com/products/diablo-tools-dag1130-1-in-x-7-1-2-in-auger-bit")</f>
        <v/>
      </c>
      <c r="C2726" t="inlineStr">
        <is>
          <t>Diablo Tools DAG1130 1 in. x 7-1/2 in. Auger Bit</t>
        </is>
      </c>
      <c r="D2726" t="inlineStr">
        <is>
          <t>Diablo by Freud DAG2050 5/8 in. x 13 in. Auger Bit Multi, One Size</t>
        </is>
      </c>
      <c r="E2726" s="2">
        <f>HYPERLINK("https://www.amazon.com/Diablo-DAG2050-13-Auger-Bit/dp/B089LK2GD1/ref=sr_1_14?keywords=Diablo+Tools+DAG1130+1+in.+x+7-1%2F2+in.+Auger+Bit&amp;qid=1694734776&amp;sr=8-14", "https://www.amazon.com/Diablo-DAG2050-13-Auger-Bit/dp/B089LK2GD1/ref=sr_1_14?keywords=Diablo+Tools+DAG1130+1+in.+x+7-1%2F2+in.+Auger+Bit&amp;qid=1694734776&amp;sr=8-14")</f>
        <v/>
      </c>
      <c r="F2726" t="inlineStr">
        <is>
          <t>B089LK2GD1</t>
        </is>
      </c>
      <c r="G2726">
        <f>_xludf.IMAGE("https://edmondsonsupply.com/cdn/shop/products/DAG1130_Main-Image20200712.png?v=1633031124")</f>
        <v/>
      </c>
      <c r="H2726">
        <f>_xludf.IMAGE("https://m.media-amazon.com/images/I/61RpXX8ygZL._AC_UL320_.jpg")</f>
        <v/>
      </c>
      <c r="K2726" t="inlineStr">
        <is>
          <t>16.37</t>
        </is>
      </c>
      <c r="L2726" t="n">
        <v>14.31</v>
      </c>
      <c r="M2726" s="1" t="inlineStr">
        <is>
          <t>-12.58%</t>
        </is>
      </c>
      <c r="N2726" s="1" t="n">
        <v>240.82</v>
      </c>
      <c r="O2726" t="n">
        <v>5</v>
      </c>
      <c r="P2726" t="n">
        <v>4</v>
      </c>
      <c r="R2726" t="inlineStr">
        <is>
          <t>InStock</t>
        </is>
      </c>
      <c r="S2726" t="inlineStr">
        <is>
          <t>25.94</t>
        </is>
      </c>
      <c r="T2726" t="inlineStr">
        <is>
          <t>6866560581805</t>
        </is>
      </c>
    </row>
    <row r="2727" ht="87" customHeight="1">
      <c r="A2727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2727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2727" t="inlineStr">
        <is>
          <t>Diablo Tools DMAMXCC5030 3-1/4 in. x 7 in. SDS-Max Carbide Tipped Core Bit</t>
        </is>
      </c>
      <c r="D2727" t="inlineStr">
        <is>
          <t>Diablo by Freud DMAMXCC5030 3-1/4 in. x 7 in. SDS-Max Carbide Tipped Core Bit Multi, One Size</t>
        </is>
      </c>
      <c r="E2727" s="2">
        <f>HYPERLINK("https://www.amazon.com/Diablo-DMAMXCC5030-SDS-Max-Carbide-Tipped/dp/B089M8K3HG/ref=sr_1_1?keywords=Diablo+Tools+DMAMXCC5030+3-1%2F4+in.+x+7+in.+SDS-Max+Carbide+Tipped+Core+Bit&amp;qid=1694734916&amp;sr=8-1", "https://www.amazon.com/Diablo-DMAMXCC5030-SDS-Max-Carbide-Tipped/dp/B089M8K3HG/ref=sr_1_1?keywords=Diablo+Tools+DMAMXCC5030+3-1%2F4+in.+x+7+in.+SDS-Max+Carbide+Tipped+Core+Bit&amp;qid=1694734916&amp;sr=8-1")</f>
        <v/>
      </c>
      <c r="F2727" t="inlineStr">
        <is>
          <t>B089M8K3HG</t>
        </is>
      </c>
      <c r="G2727">
        <f>_xlfn.IMAGE("https://edmondsonsupply.com/cdn/shop/files/gtygiwnduxetozty2qne.webp?v=1686585332")</f>
        <v/>
      </c>
      <c r="H2727">
        <f>_xlfn.IMAGE("https://m.media-amazon.com/images/I/71U1Um--OXL._AC_UL320_.jpg")</f>
        <v/>
      </c>
      <c r="K2727" t="inlineStr">
        <is>
          <t>125.99</t>
        </is>
      </c>
      <c r="L2727" t="n">
        <v>110</v>
      </c>
      <c r="M2727" s="1" t="inlineStr">
        <is>
          <t>-12.69%</t>
        </is>
      </c>
      <c r="N2727" s="7" t="n">
        <v>240.52</v>
      </c>
      <c r="O2727" t="n">
        <v>5</v>
      </c>
      <c r="P2727" t="n">
        <v>3</v>
      </c>
      <c r="R2727" t="inlineStr">
        <is>
          <t>InStock</t>
        </is>
      </c>
      <c r="S2727" t="inlineStr">
        <is>
          <t>201.87</t>
        </is>
      </c>
      <c r="T2727" t="inlineStr">
        <is>
          <t>8004507435224</t>
        </is>
      </c>
    </row>
    <row r="2728" hidden="1" ht="15.75" customHeight="1">
      <c r="A2728" s="2">
        <f>HYPERLINK("https://edmondsonsupply.com/collections/hvac/products/navac-nrp8di-8-cfm-smart-vacuum-pump-1", "https://edmondsonsupply.com/collections/hvac/products/navac-nrp8di-8-cfm-smart-vacuum-pump-1")</f>
        <v/>
      </c>
      <c r="B2728" s="2">
        <f>HYPERLINK("https://edmondsonsupply.com/products/navac-nrp8di-8-cfm-smart-vacuum-pump-1", "https://edmondsonsupply.com/products/navac-nrp8di-8-cfm-smart-vacuum-pump-1")</f>
        <v/>
      </c>
      <c r="C2728" t="inlineStr">
        <is>
          <t>NAVAC NRP8Di 8 CFM Smart Vacuum Pump</t>
        </is>
      </c>
      <c r="D2728" t="inlineStr">
        <is>
          <t>NAVAC NRP6Di Smart Vacuum Pump, 6 CFM</t>
        </is>
      </c>
      <c r="E2728" s="2">
        <f>HYPERLINK("https://www.amazon.com/NAVAC-NRP6Di-Smart-Vacuum-Pump/dp/B07L76S5LC/ref=sr_1_fkmr0_2?keywords=NAVAC+NRP8Di+8+CFM+Smart+Vacuum+Pump&amp;qid=1694734746&amp;sr=8-2-fkmr0", "https://www.amazon.com/NAVAC-NRP6Di-Smart-Vacuum-Pump/dp/B07L76S5LC/ref=sr_1_fkmr0_2?keywords=NAVAC+NRP8Di+8+CFM+Smart+Vacuum+Pump&amp;qid=1694734746&amp;sr=8-2-fkmr0")</f>
        <v/>
      </c>
      <c r="F2728" t="inlineStr">
        <is>
          <t>B07L76S5LC</t>
        </is>
      </c>
      <c r="G2728">
        <f>_xludf.IMAGE("https://edmondsonsupply.com/cdn/shop/products/nrp8di_7fd11a27-ba42-4ccd-8e80-a2fac309d7ac.png?v=1633030643")</f>
        <v/>
      </c>
      <c r="H2728">
        <f>_xludf.IMAGE("https://m.media-amazon.com/images/I/51ax7otihRL._AC_UY218_.jpg")</f>
        <v/>
      </c>
      <c r="K2728" t="inlineStr">
        <is>
          <t>666.74</t>
        </is>
      </c>
      <c r="L2728" t="n">
        <v>582</v>
      </c>
      <c r="M2728" s="1" t="inlineStr">
        <is>
          <t>-12.71%</t>
        </is>
      </c>
      <c r="N2728" s="1" t="n">
        <v>240.52</v>
      </c>
      <c r="O2728" t="n">
        <v>3.7</v>
      </c>
      <c r="P2728" t="n">
        <v>15</v>
      </c>
      <c r="R2728" t="inlineStr">
        <is>
          <t>InStock</t>
        </is>
      </c>
      <c r="S2728" t="inlineStr">
        <is>
          <t>895.0</t>
        </is>
      </c>
      <c r="T2728" t="inlineStr">
        <is>
          <t>5719543578792</t>
        </is>
      </c>
    </row>
    <row r="2729" hidden="1" ht="15.75" customHeight="1">
      <c r="A2729" s="2">
        <f>HYPERLINK("https://edmondsonsupply.com/collections/hvac/products/klein-tools-646-1-4-1-4-inch-nut-driver-with-6-inch-hollow-shaft", "https://edmondsonsupply.com/collections/hvac/products/klein-tools-646-1-4-1-4-inch-nut-driver-with-6-inch-hollow-shaft")</f>
        <v/>
      </c>
      <c r="B2729" s="2">
        <f>HYPERLINK("https://edmondsonsupply.com/products/klein-tools-646-1-4-1-4-inch-nut-driver-with-6-inch-hollow-shaft", "https://edmondsonsupply.com/products/klein-tools-646-1-4-1-4-inch-nut-driver-with-6-inch-hollow-shaft")</f>
        <v/>
      </c>
      <c r="C2729" t="inlineStr">
        <is>
          <t>Klein Tools 646-1/4 1/4-Inch Nut Driver with 6-Inch Hollow Shaft</t>
        </is>
      </c>
      <c r="D2729" t="inlineStr">
        <is>
          <t>Jonard Tools ND-63014, Nut Driver, 1/4" Hex Tip, 3" Hollow Shaft with Wide Ergonomic Comfort Grip</t>
        </is>
      </c>
      <c r="E2729" s="2">
        <f>HYPERLINK("https://www.amazon.com/Jonard-ND-63014-Cushion-Gripped-Ergonomic/dp/B006C47998/ref=sr_1_29?keywords=Klein+Tools+646-1%2F4+1%2F4-Inch+Nut+Driver+with+6-Inch+Hollow+Shaft&amp;qid=1694734727&amp;sr=8-29", "https://www.amazon.com/Jonard-ND-63014-Cushion-Gripped-Ergonomic/dp/B006C47998/ref=sr_1_29?keywords=Klein+Tools+646-1%2F4+1%2F4-Inch+Nut+Driver+with+6-Inch+Hollow+Shaft&amp;qid=1694734727&amp;sr=8-29")</f>
        <v/>
      </c>
      <c r="F2729" t="inlineStr">
        <is>
          <t>B006C47998</t>
        </is>
      </c>
      <c r="G2729">
        <f>_xludf.IMAGE("https://edmondsonsupply.com/cdn/shop/products/646-1-2_08d87fa9-eac4-4869-8d3b-bb680d4b1d53.jpg?v=1587150676")</f>
        <v/>
      </c>
      <c r="H2729">
        <f>_xludf.IMAGE("https://m.media-amazon.com/images/I/51o-+kwkIJL._AC_UL320_.jpg")</f>
        <v/>
      </c>
      <c r="K2729" t="inlineStr">
        <is>
          <t>7.99</t>
        </is>
      </c>
      <c r="L2729" t="n">
        <v>6.95</v>
      </c>
      <c r="M2729" s="1" t="inlineStr">
        <is>
          <t>-13.02%</t>
        </is>
      </c>
      <c r="N2729" s="1" t="n">
        <v>240.29</v>
      </c>
      <c r="O2729" t="n">
        <v>4.5</v>
      </c>
      <c r="P2729" t="n">
        <v>127</v>
      </c>
      <c r="R2729" t="inlineStr">
        <is>
          <t>InStock</t>
        </is>
      </c>
      <c r="S2729" t="inlineStr">
        <is>
          <t>12.1</t>
        </is>
      </c>
      <c r="T2729" t="inlineStr">
        <is>
          <t>4439433740388</t>
        </is>
      </c>
    </row>
    <row r="2730" hidden="1" ht="15.75" customHeight="1">
      <c r="A2730" s="2">
        <f>HYPERLINK("https://edmondsonsupply.com/collections/hvac/products/sensible-products-hrf-2-high-beam-rechargeable-flashlight-2-black", "https://edmondsonsupply.com/collections/hvac/products/sensible-products-hrf-2-high-beam-rechargeable-flashlight-2-black")</f>
        <v/>
      </c>
      <c r="B2730" s="2">
        <f>HYPERLINK("https://edmondsonsupply.com/products/sensible-products-hrf-2-high-beam-rechargeable-flashlight-2-black", "https://edmondsonsupply.com/products/sensible-products-hrf-2-high-beam-rechargeable-flashlight-2-black")</f>
        <v/>
      </c>
      <c r="C2730" t="inlineStr">
        <is>
          <t>Sensible Products HRF-2 High-Beam Rechargeable Flashlight-2, Black</t>
        </is>
      </c>
      <c r="D2730" t="inlineStr">
        <is>
          <t>Sold Each - High-Beam Rechargeable Flashlight #HRF-1 by Sensible Products</t>
        </is>
      </c>
      <c r="E2730" s="2">
        <f>HYPERLINK("https://www.amazon.com/Sold-Each-High-Beam-Rechargeable-Flashlight/dp/B07QV3HVKP/ref=sr_1_2?keywords=Sensible+Products+HRF-2+High-Beam+Rechargeable+Flashlight-2%2C+Black&amp;qid=1694734741&amp;sr=8-2", "https://www.amazon.com/Sold-Each-High-Beam-Rechargeable-Flashlight/dp/B07QV3HVKP/ref=sr_1_2?keywords=Sensible+Products+HRF-2+High-Beam+Rechargeable+Flashlight-2%2C+Black&amp;qid=1694734741&amp;sr=8-2")</f>
        <v/>
      </c>
      <c r="F2730" t="inlineStr">
        <is>
          <t>B07QV3HVKP</t>
        </is>
      </c>
      <c r="G2730">
        <f>_xludf.IMAGE("https://edmondsonsupply.com/cdn/shop/files/hrf2.jpg?v=1693231375")</f>
        <v/>
      </c>
      <c r="H2730">
        <f>_xludf.IMAGE("https://m.media-amazon.com/images/I/31tIPF-TUsL._AC_UL320_.jpg")</f>
        <v/>
      </c>
      <c r="K2730" t="inlineStr">
        <is>
          <t>34.49</t>
        </is>
      </c>
      <c r="L2730" t="n">
        <v>29.99</v>
      </c>
      <c r="M2730" s="1" t="inlineStr">
        <is>
          <t>-13.05%</t>
        </is>
      </c>
      <c r="N2730" s="1" t="n">
        <v>240.25</v>
      </c>
      <c r="O2730" t="n">
        <v>4</v>
      </c>
      <c r="P2730" t="n">
        <v>14</v>
      </c>
      <c r="R2730" t="inlineStr">
        <is>
          <t>InStock</t>
        </is>
      </c>
      <c r="S2730" t="inlineStr">
        <is>
          <t>undefined</t>
        </is>
      </c>
      <c r="T2730" t="inlineStr">
        <is>
          <t>8032026919128</t>
        </is>
      </c>
    </row>
    <row r="2731" hidden="1" ht="15.75" customHeight="1">
      <c r="A2731" s="2">
        <f>HYPERLINK("https://edmondsonsupply.com/collections/hvac/products/midwest-mwt-6510r-right-offset-aviation-snip", "https://edmondsonsupply.com/collections/hvac/products/midwest-mwt-6510r-right-offset-aviation-snip")</f>
        <v/>
      </c>
      <c r="B2731" s="2">
        <f>HYPERLINK("https://edmondsonsupply.com/products/midwest-mwt-6510r-right-offset-aviation-snip", "https://edmondsonsupply.com/products/midwest-mwt-6510r-right-offset-aviation-snip")</f>
        <v/>
      </c>
      <c r="C2731" t="inlineStr">
        <is>
          <t>Midwest MWT-6510R Right Offset Aviation Snip</t>
        </is>
      </c>
      <c r="D2731" t="inlineStr">
        <is>
          <t>MIDWEST Blackout Series Aviation Snip - Right Cut Regular Tin Cutting Shears with Forged Blade &amp; KUSH'N-POWER Comfort Grips - MWT-6716RO</t>
        </is>
      </c>
      <c r="E2731" s="2">
        <f>HYPERLINK("https://www.amazon.com/MIDWEST-Blackout-Aviation-Snip-KUSHN-POWER/dp/B00TJQL8FW/ref=sr_1_13?keywords=Midwest+MWT-6510R+Right+Offset+Aviation+Snip&amp;qid=1694734735&amp;sr=8-13", "https://www.amazon.com/MIDWEST-Blackout-Aviation-Snip-KUSHN-POWER/dp/B00TJQL8FW/ref=sr_1_13?keywords=Midwest+MWT-6510R+Right+Offset+Aviation+Snip&amp;qid=1694734735&amp;sr=8-13")</f>
        <v/>
      </c>
      <c r="F2731" t="inlineStr">
        <is>
          <t>B00TJQL8FW</t>
        </is>
      </c>
      <c r="G2731">
        <f>_xludf.IMAGE("https://edmondsonsupply.com/cdn/shop/products/MWT-6510R.png?v=1587144877")</f>
        <v/>
      </c>
      <c r="H2731">
        <f>_xludf.IMAGE("https://m.media-amazon.com/images/I/61B4vp7eTTL._AC_UL320_.jpg")</f>
        <v/>
      </c>
      <c r="K2731" t="inlineStr">
        <is>
          <t>24.89</t>
        </is>
      </c>
      <c r="L2731" t="n">
        <v>21.6</v>
      </c>
      <c r="M2731" s="1" t="inlineStr">
        <is>
          <t>-13.22%</t>
        </is>
      </c>
      <c r="N2731" s="1" t="n">
        <v>239.81</v>
      </c>
      <c r="O2731" t="n">
        <v>4</v>
      </c>
      <c r="P2731" t="n">
        <v>52</v>
      </c>
      <c r="R2731" t="inlineStr">
        <is>
          <t>InStock</t>
        </is>
      </c>
      <c r="S2731" t="inlineStr">
        <is>
          <t>33.49</t>
        </is>
      </c>
      <c r="T2731" t="inlineStr">
        <is>
          <t>4414962597988</t>
        </is>
      </c>
    </row>
    <row r="2732" ht="87" customHeight="1">
      <c r="A2732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732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732" t="inlineStr">
        <is>
          <t>Klein Tools D20009NEGLW High-Visibility Side-Cutting Pliers High-Leverage</t>
        </is>
      </c>
      <c r="D2732" t="inlineStr">
        <is>
          <t>Klein Tools D2000-8 Pliers, 8-Inch Side Cutters, High Leverage Lineman's Pliers Cut ACSR, Screws, Nails, Hard Wire</t>
        </is>
      </c>
      <c r="E2732" s="2">
        <f>HYPERLINK("https://www.amazon.com/Cutters-High-Leverage-Cutting-Klein-D2000-8/dp/B00093D4Q0/ref=sr_1_28?keywords=Klein+Tools+D20009NEGLW+High-Visibility+Side-Cutting+Pliers+High-Leverage&amp;qid=1694734809&amp;sr=8-28", "https://www.amazon.com/Cutters-High-Leverage-Cutting-Klein-D2000-8/dp/B00093D4Q0/ref=sr_1_28?keywords=Klein+Tools+D20009NEGLW+High-Visibility+Side-Cutting+Pliers+High-Leverage&amp;qid=1694734809&amp;sr=8-28")</f>
        <v/>
      </c>
      <c r="F2732" t="inlineStr">
        <is>
          <t>B00093D4Q0</t>
        </is>
      </c>
      <c r="G2732">
        <f>_xlfn.IMAGE("https://edmondsonsupply.com/cdn/shop/products/d20009neglw.jpg?v=1587144933")</f>
        <v/>
      </c>
      <c r="H2732">
        <f>_xlfn.IMAGE("https://m.media-amazon.com/images/I/41aQv-4-6+L._AC_UL320_.jpg")</f>
        <v/>
      </c>
      <c r="K2732" t="inlineStr">
        <is>
          <t>44.97</t>
        </is>
      </c>
      <c r="L2732" t="n">
        <v>38.99</v>
      </c>
      <c r="M2732" s="1" t="inlineStr">
        <is>
          <t>-13.30%</t>
        </is>
      </c>
      <c r="N2732" s="7" t="n">
        <v>239.6</v>
      </c>
      <c r="O2732" t="n">
        <v>4.3</v>
      </c>
      <c r="P2732" t="n">
        <v>84</v>
      </c>
      <c r="R2732" t="inlineStr">
        <is>
          <t>InStock</t>
        </is>
      </c>
      <c r="S2732" t="inlineStr">
        <is>
          <t>68.16</t>
        </is>
      </c>
      <c r="T2732" t="inlineStr">
        <is>
          <t>4396888490084</t>
        </is>
      </c>
    </row>
    <row r="2733" ht="87" customHeight="1">
      <c r="A2733" s="2">
        <f>HYPERLINK("https://edmondsonsupply.com/collections/hvac/products/white-rodgers-24a34-6-24v-electric-heat-sequencer-2-dpst", "https://edmondsonsupply.com/collections/hvac/products/white-rodgers-24a34-6-24v-electric-heat-sequencer-2-dpst")</f>
        <v/>
      </c>
      <c r="B2733" s="2">
        <f>HYPERLINK("https://edmondsonsupply.com/products/white-rodgers-24a34-6-24v-electric-heat-sequencer-2-dpst", "https://edmondsonsupply.com/products/white-rodgers-24a34-6-24v-electric-heat-sequencer-2-dpst")</f>
        <v/>
      </c>
      <c r="C2733" t="inlineStr">
        <is>
          <t>White-Rodgers 24A34-6 24V Electric Heat Sequencer, 2 DPST</t>
        </is>
      </c>
      <c r="D2733" t="inlineStr">
        <is>
          <t>White-Rodgers 24A34-3 Electric Heat Sequencer, 2 Switch</t>
        </is>
      </c>
      <c r="E2733" s="2">
        <f>HYPERLINK("https://www.amazon.com/White-Rodgers-24A34-3-Electric-Sequencer-Switch/dp/B000LDGR4Y/ref=sr_1_1?keywords=White-Rodgers+24A34-6+24V+Electric+Heat+Sequencer%2C+2+DPST&amp;qid=1694734618&amp;sr=8-1", "https://www.amazon.com/White-Rodgers-24A34-3-Electric-Sequencer-Switch/dp/B000LDGR4Y/ref=sr_1_1?keywords=White-Rodgers+24A34-6+24V+Electric+Heat+Sequencer%2C+2+DPST&amp;qid=1694734618&amp;sr=8-1")</f>
        <v/>
      </c>
      <c r="F2733" t="inlineStr">
        <is>
          <t>B000LDGR4Y</t>
        </is>
      </c>
      <c r="G2733">
        <f>_xlfn.IMAGE("https://edmondsonsupply.com/cdn/shop/products/24A34-6.jpg?v=1633030752")</f>
        <v/>
      </c>
      <c r="H2733">
        <f>_xlfn.IMAGE("https://m.media-amazon.com/images/I/81cvHpX0ILL._AC_UL320_.jpg")</f>
        <v/>
      </c>
      <c r="K2733" t="inlineStr">
        <is>
          <t>23.5</t>
        </is>
      </c>
      <c r="L2733" t="n">
        <v>20.36</v>
      </c>
      <c r="M2733" s="1" t="inlineStr">
        <is>
          <t>-13.36%</t>
        </is>
      </c>
      <c r="N2733" s="7" t="n">
        <v>239.12</v>
      </c>
      <c r="O2733" t="n">
        <v>4.8</v>
      </c>
      <c r="P2733" t="n">
        <v>9</v>
      </c>
      <c r="R2733" t="inlineStr">
        <is>
          <t>InStock</t>
        </is>
      </c>
      <c r="S2733" t="inlineStr">
        <is>
          <t>58.43</t>
        </is>
      </c>
      <c r="T2733" t="inlineStr">
        <is>
          <t>5896305213608</t>
        </is>
      </c>
    </row>
    <row r="2734" hidden="1" ht="15.75" customHeight="1">
      <c r="A2734" s="2">
        <f>HYPERLINK("https://edmondsonsupply.com/collections/hvac/products/midwest-mwt-6716s-straight-aviation-snip-blackout-series", "https://edmondsonsupply.com/collections/hvac/products/midwest-mwt-6716s-straight-aviation-snip-blackout-series")</f>
        <v/>
      </c>
      <c r="B2734" s="2">
        <f>HYPERLINK("https://edmondsonsupply.com/products/midwest-mwt-6716s-straight-aviation-snip-blackout-series", "https://edmondsonsupply.com/products/midwest-mwt-6716s-straight-aviation-snip-blackout-series")</f>
        <v/>
      </c>
      <c r="C2734" t="inlineStr">
        <is>
          <t>Midwest MWT-6716SO Straight Aviation Snip - Blackout Series</t>
        </is>
      </c>
      <c r="D2734" t="inlineStr">
        <is>
          <t>MIDWEST Blackout Series Aviation Snip - Straight Cut Regular Tin Cutting Shears with Forged Blade &amp; KUSH'N-POWER Comfort Grips - MWT-6716SO</t>
        </is>
      </c>
      <c r="E2734" s="2">
        <f>HYPERLINK("https://www.amazon.com/MIDWEST-Blackout-Aviation-Snip-KUSHN-POWER/dp/B00TJQKWCM/ref=sr_1_1?keywords=Midwest+MWT-6716SO+Straight+Aviation+Snip+-+Blackout+Series&amp;qid=1694734781&amp;sr=8-1", "https://www.amazon.com/MIDWEST-Blackout-Aviation-Snip-KUSHN-POWER/dp/B00TJQKWCM/ref=sr_1_1?keywords=Midwest+MWT-6716SO+Straight+Aviation+Snip+-+Blackout+Series&amp;qid=1694734781&amp;sr=8-1")</f>
        <v/>
      </c>
      <c r="F2734" t="inlineStr">
        <is>
          <t>B00TJQKWCM</t>
        </is>
      </c>
      <c r="G2734">
        <f>_xludf.IMAGE("https://edmondsonsupply.com/cdn/shop/products/mwt-6716so.jpg?v=1633030747")</f>
        <v/>
      </c>
      <c r="H2734">
        <f>_xludf.IMAGE("https://m.media-amazon.com/images/I/51Nu6s3RStL._AC_UL320_.jpg")</f>
        <v/>
      </c>
      <c r="K2734" t="inlineStr">
        <is>
          <t>24.98</t>
        </is>
      </c>
      <c r="L2734" t="n">
        <v>21.58</v>
      </c>
      <c r="M2734" s="1" t="inlineStr">
        <is>
          <t>-13.61%</t>
        </is>
      </c>
      <c r="N2734" s="1" t="n">
        <v>238.95</v>
      </c>
      <c r="O2734" t="n">
        <v>4</v>
      </c>
      <c r="P2734" t="n">
        <v>52</v>
      </c>
      <c r="R2734" t="inlineStr">
        <is>
          <t>InStock</t>
        </is>
      </c>
      <c r="S2734" t="inlineStr">
        <is>
          <t>36.65</t>
        </is>
      </c>
      <c r="T2734" t="inlineStr">
        <is>
          <t>5889374322856</t>
        </is>
      </c>
    </row>
    <row r="2735" hidden="1" ht="15.75" customHeight="1">
      <c r="A2735" s="2">
        <f>HYPERLINK("https://edmondsonsupply.com/collections/hvac/products/braeburn-1230-economy-thermostat-2-heat-1-cool-non-programmable", "https://edmondsonsupply.com/collections/hvac/products/braeburn-1230-economy-thermostat-2-heat-1-cool-non-programmable")</f>
        <v/>
      </c>
      <c r="B2735" s="2">
        <f>HYPERLINK("https://edmondsonsupply.com/products/braeburn-1230-economy-thermostat-2-heat-1-cool-non-programmable", "https://edmondsonsupply.com/products/braeburn-1230-economy-thermostat-2-heat-1-cool-non-programmable")</f>
        <v/>
      </c>
      <c r="C2735" t="inlineStr">
        <is>
          <t>Braeburn 1230 Economy Thermostat, 2 Heat / 1 Cool Non-Programmable</t>
        </is>
      </c>
      <c r="D2735" t="inlineStr">
        <is>
          <t>BRAEBURN 1025NC Thermostat, Non-Programmable, Heat Only</t>
        </is>
      </c>
      <c r="E2735" s="2">
        <f>HYPERLINK("https://www.amazon.com/BRAEBURN-1025NC-Thermostat-Non-Programmable-Heat/dp/B00A3LGHJO/ref=sr_1_15?keywords=Braeburn+1230+Economy+Thermostat%2C+2+Heat+%2F+1+Cool+Non-Programmable&amp;qid=1694734864&amp;sr=8-15", "https://www.amazon.com/BRAEBURN-1025NC-Thermostat-Non-Programmable-Heat/dp/B00A3LGHJO/ref=sr_1_15?keywords=Braeburn+1230+Economy+Thermostat%2C+2+Heat+%2F+1+Cool+Non-Programmable&amp;qid=1694734864&amp;sr=8-15")</f>
        <v/>
      </c>
      <c r="F2735" t="inlineStr">
        <is>
          <t>B00A3LGHJO</t>
        </is>
      </c>
      <c r="G2735">
        <f>_xludf.IMAGE("https://edmondsonsupply.com/cdn/shop/files/1230.png?v=1691584960")</f>
        <v/>
      </c>
      <c r="H2735">
        <f>_xludf.IMAGE("https://m.media-amazon.com/images/I/71fWzIv6I1L._AC_UL320_.jpg")</f>
        <v/>
      </c>
      <c r="K2735" t="inlineStr">
        <is>
          <t>54.85</t>
        </is>
      </c>
      <c r="L2735" t="n">
        <v>47.36</v>
      </c>
      <c r="M2735" s="1" t="inlineStr">
        <is>
          <t>-13.66%</t>
        </is>
      </c>
      <c r="N2735" s="1" t="n">
        <v>237.87</v>
      </c>
      <c r="O2735" t="n">
        <v>3.8</v>
      </c>
      <c r="P2735" t="n">
        <v>39</v>
      </c>
      <c r="R2735" t="inlineStr">
        <is>
          <t>InStock</t>
        </is>
      </c>
      <c r="S2735" t="inlineStr">
        <is>
          <t>undefined</t>
        </is>
      </c>
      <c r="T2735" t="inlineStr">
        <is>
          <t>8025701810392</t>
        </is>
      </c>
    </row>
    <row r="2736" ht="87" customHeight="1">
      <c r="A2736" s="2">
        <f>HYPERLINK("https://edmondsonsupply.com/collections/hvac/products/wiha-tools-32936-8-0-insulated-industrial-bicut-compound-cutter", "https://edmondsonsupply.com/collections/hvac/products/wiha-tools-32936-8-0-insulated-industrial-bicut-compound-cutter")</f>
        <v/>
      </c>
      <c r="B2736" s="2">
        <f>HYPERLINK("https://edmondsonsupply.com/products/wiha-tools-32936-8-0-insulated-industrial-bicut-compound-cutter", "https://edmondsonsupply.com/products/wiha-tools-32936-8-0-insulated-industrial-bicut-compound-cutter")</f>
        <v/>
      </c>
      <c r="C2736" t="inlineStr">
        <is>
          <t>Wiha Tools 32936 8.0" Insulated Industrial BiCut Compound Cutter</t>
        </is>
      </c>
      <c r="D2736" t="inlineStr">
        <is>
          <t>Wiha 32936 Insulated Industrial BiCut Compound Cutter 8"</t>
        </is>
      </c>
      <c r="E2736" s="2">
        <f>HYPERLINK("https://www.amazon.com/Wiha-32936-Insulated-Industrial-Compound/dp/B0032FP9LA/ref=sr_1_1?keywords=Wiha+Tools+32936+8.0%22+Insulated+Industrial+BiCut+Compound+Cutter&amp;qid=1694734871&amp;sr=8-1", "https://www.amazon.com/Wiha-32936-Insulated-Industrial-Compound/dp/B0032FP9LA/ref=sr_1_1?keywords=Wiha+Tools+32936+8.0%22+Insulated+Industrial+BiCut+Compound+Cutter&amp;qid=1694734871&amp;sr=8-1")</f>
        <v/>
      </c>
      <c r="F2736" t="inlineStr">
        <is>
          <t>B0032FP9LA</t>
        </is>
      </c>
      <c r="G2736">
        <f>_xlfn.IMAGE("https://edmondsonsupply.com/cdn/shop/files/kk.webp?v=1690926588")</f>
        <v/>
      </c>
      <c r="H2736">
        <f>_xlfn.IMAGE("https://m.media-amazon.com/images/I/51IvM1tE8hL._AC_UL320_.jpg")</f>
        <v/>
      </c>
      <c r="K2736" t="inlineStr">
        <is>
          <t>37.39</t>
        </is>
      </c>
      <c r="L2736" t="n">
        <v>32.22</v>
      </c>
      <c r="M2736" s="1" t="inlineStr">
        <is>
          <t>-13.83%</t>
        </is>
      </c>
      <c r="N2736" s="7" t="n">
        <v>237.65</v>
      </c>
      <c r="O2736" t="n">
        <v>4.6</v>
      </c>
      <c r="P2736" t="n">
        <v>120</v>
      </c>
      <c r="R2736" t="inlineStr">
        <is>
          <t>InStock</t>
        </is>
      </c>
      <c r="S2736" t="inlineStr">
        <is>
          <t>49.85</t>
        </is>
      </c>
      <c r="T2736" t="inlineStr">
        <is>
          <t>8023577264344</t>
        </is>
      </c>
    </row>
    <row r="2737" ht="87" customHeight="1">
      <c r="A2737" s="2">
        <f>HYPERLINK("https://edmondsonsupply.com/collections/hvac/products/copy-of-klein-tools-55918-tradesman-pro%E2%84%A2-modular-tool-belt", "https://edmondsonsupply.com/collections/hvac/products/copy-of-klein-tools-55918-tradesman-pro%E2%84%A2-modular-tool-belt")</f>
        <v/>
      </c>
      <c r="B2737" s="2">
        <f>HYPERLINK("https://edmondsonsupply.com/products/copy-of-klein-tools-55918-tradesman-pro%e2%84%a2-modular-tool-belt", "https://edmondsonsupply.com/products/copy-of-klein-tools-55918-tradesman-pro%e2%84%a2-modular-tool-belt")</f>
        <v/>
      </c>
      <c r="C2737" t="inlineStr">
        <is>
          <t>Klein Tools 55919 Tradesman Pro™ Modular Tool Belt - L</t>
        </is>
      </c>
      <c r="D2737" t="inlineStr">
        <is>
          <t>Klein Tools Tradesman Pro™ Maintenance Tool Pouch &amp; 5225 Tool Belt, Adjustable Electrician Belt is 2-Inch Wide, Adjusts for 48-Inch Waist</t>
        </is>
      </c>
      <c r="E2737" s="2">
        <f>HYPERLINK("https://www.amazon.com/Klein-Tools-Maintenance-Adjustable-Electrician/dp/B0BGJ61V5H/ref=sr_1_4?keywords=Klein+Tools+55919+Tradesman+Pro%E2%84%A2+Modular+Tool+Belt+-+L&amp;qid=1694734799&amp;sr=8-4", "https://www.amazon.com/Klein-Tools-Maintenance-Adjustable-Electrician/dp/B0BGJ61V5H/ref=sr_1_4?keywords=Klein+Tools+55919+Tradesman+Pro%E2%84%A2+Modular+Tool+Belt+-+L&amp;qid=1694734799&amp;sr=8-4")</f>
        <v/>
      </c>
      <c r="F2737" t="inlineStr">
        <is>
          <t>B0BGJ61V5H</t>
        </is>
      </c>
      <c r="G2737">
        <f>_xlfn.IMAGE("https://edmondsonsupply.com/cdn/shop/products/55919_6b1c1646-91d8-4915-b7bf-b52c8c6994c7.jpg?v=1587143413")</f>
        <v/>
      </c>
      <c r="H2737">
        <f>_xlfn.IMAGE("https://m.media-amazon.com/images/I/514kIoy1IWL._AC_UL320_.jpg")</f>
        <v/>
      </c>
      <c r="K2737" t="inlineStr">
        <is>
          <t>35.99</t>
        </is>
      </c>
      <c r="L2737" t="n">
        <v>30.99</v>
      </c>
      <c r="M2737" s="1" t="inlineStr">
        <is>
          <t>-13.89%</t>
        </is>
      </c>
      <c r="N2737" s="7" t="n">
        <v>237.42</v>
      </c>
      <c r="O2737" t="n">
        <v>4.6</v>
      </c>
      <c r="P2737" t="n">
        <v>3</v>
      </c>
      <c r="R2737" t="inlineStr">
        <is>
          <t>InStock</t>
        </is>
      </c>
      <c r="S2737" t="inlineStr">
        <is>
          <t>50.58</t>
        </is>
      </c>
      <c r="T2737" t="inlineStr">
        <is>
          <t>4498961760356</t>
        </is>
      </c>
    </row>
    <row r="2738" ht="87" customHeight="1">
      <c r="A2738" s="2">
        <f>HYPERLINK("https://edmondsonsupply.com/collections/hvac/products/testo-0560-1510-01-510i-differential-pressure-manometer-smart-probe-2nd-generation", "https://edmondsonsupply.com/collections/hvac/products/testo-0560-1510-01-510i-differential-pressure-manometer-smart-probe-2nd-generation")</f>
        <v/>
      </c>
      <c r="B2738" s="2">
        <f>HYPERLINK("https://edmondsonsupply.com/products/testo-0560-1510-01-510i-differential-pressure-manometer-smart-probe-2nd-generation", "https://edmondsonsupply.com/products/testo-0560-1510-01-510i-differential-pressure-manometer-smart-probe-2nd-generation")</f>
        <v/>
      </c>
      <c r="C2738" t="inlineStr">
        <is>
          <t>Testo 0560 1510 01 510i Differential Pressure Manometer Smart Probe - 2nd Generation</t>
        </is>
      </c>
      <c r="D2738" t="inlineStr">
        <is>
          <t>Testo 0560 1510 510I Differential Pressure Manometer Smart and Wireless Probe, 1" Height, 1" Width, 6" Length (Pack of 1)</t>
        </is>
      </c>
      <c r="E2738" s="2">
        <f>HYPERLINK("https://www.amazon.com/Differential-Pressure-Manometer-Wireless-Height/dp/B07VHJKMML/ref=sr_1_2?keywords=Testo+0560+1510+01+510i+Differential+Pressure+Manometer+Smart+Probe+-+2nd+Generation&amp;qid=1694734821&amp;sr=8-2", "https://www.amazon.com/Differential-Pressure-Manometer-Wireless-Height/dp/B07VHJKMML/ref=sr_1_2?keywords=Testo+0560+1510+01+510i+Differential+Pressure+Manometer+Smart+Probe+-+2nd+Generation&amp;qid=1694734821&amp;sr=8-2")</f>
        <v/>
      </c>
      <c r="F2738" t="inlineStr">
        <is>
          <t>B07VHJKMML</t>
        </is>
      </c>
      <c r="G2738">
        <f>_xlfn.IMAGE("https://edmondsonsupply.com/cdn/shop/products/testo-510i-pressure-hose-set-batteries_delivery-scope_master.jpg?v=1587147440")</f>
        <v/>
      </c>
      <c r="H2738">
        <f>_xlfn.IMAGE("https://m.media-amazon.com/images/I/61zTw05negL._AC_UY218_.jpg")</f>
        <v/>
      </c>
      <c r="K2738" t="inlineStr">
        <is>
          <t>148.75</t>
        </is>
      </c>
      <c r="L2738" t="n">
        <v>128</v>
      </c>
      <c r="M2738" s="1" t="inlineStr">
        <is>
          <t>-13.95%</t>
        </is>
      </c>
      <c r="N2738" s="7" t="n">
        <v>237.42</v>
      </c>
      <c r="O2738" t="n">
        <v>4.8</v>
      </c>
      <c r="P2738" t="n">
        <v>16</v>
      </c>
      <c r="R2738" t="inlineStr">
        <is>
          <t>InStock</t>
        </is>
      </c>
      <c r="S2738" t="inlineStr">
        <is>
          <t>175.0</t>
        </is>
      </c>
      <c r="T2738" t="inlineStr">
        <is>
          <t>3697155997796</t>
        </is>
      </c>
    </row>
    <row r="2739" ht="87" customHeight="1">
      <c r="A2739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2739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2739" t="inlineStr">
        <is>
          <t>Robertshaw 41-224 Hot Surface Furnace Ignitor</t>
        </is>
      </c>
      <c r="D2739" t="inlineStr">
        <is>
          <t>Robertshaw 41-207 Hot Surface Ignitor</t>
        </is>
      </c>
      <c r="E2739" s="2">
        <f>HYPERLINK("https://www.amazon.com/Robertshaw-41-207-Hot-Surface-Ignitor/dp/B00Y1POTR0/ref=sr_1_10?keywords=Robertshaw+41-224+Hot+Surface+Furnace+Ignitor&amp;qid=1694734847&amp;sr=8-10", "https://www.amazon.com/Robertshaw-41-207-Hot-Surface-Ignitor/dp/B00Y1POTR0/ref=sr_1_10?keywords=Robertshaw+41-224+Hot+Surface+Furnace+Ignitor&amp;qid=1694734847&amp;sr=8-10")</f>
        <v/>
      </c>
      <c r="F2739" t="inlineStr">
        <is>
          <t>B00Y1POTR0</t>
        </is>
      </c>
      <c r="G2739">
        <f>_xlfn.IMAGE("https://edmondsonsupply.com/cdn/shop/files/41-224.jpg?v=1694616534")</f>
        <v/>
      </c>
      <c r="H2739">
        <f>_xlfn.IMAGE("https://m.media-amazon.com/images/I/41ovFloTkXL._AC_UL320_.jpg")</f>
        <v/>
      </c>
      <c r="K2739" t="inlineStr">
        <is>
          <t>41.78</t>
        </is>
      </c>
      <c r="L2739" t="n">
        <v>35.95</v>
      </c>
      <c r="M2739" s="1" t="inlineStr">
        <is>
          <t>-13.95%</t>
        </is>
      </c>
      <c r="N2739" s="7" t="n">
        <v>236.68</v>
      </c>
      <c r="O2739" t="n">
        <v>5</v>
      </c>
      <c r="P2739" t="n">
        <v>1</v>
      </c>
      <c r="R2739" t="inlineStr">
        <is>
          <t>InStock</t>
        </is>
      </c>
      <c r="S2739" t="inlineStr">
        <is>
          <t>undefined</t>
        </is>
      </c>
      <c r="T2739" t="inlineStr">
        <is>
          <t>8035179692248</t>
        </is>
      </c>
    </row>
    <row r="2740" ht="87" customHeight="1">
      <c r="A2740" s="2">
        <f>HYPERLINK("https://edmondsonsupply.com/collections/hvac/products/fluke-117-electricians-multimeter-with-non-contact-voltage", "https://edmondsonsupply.com/collections/hvac/products/fluke-117-electricians-multimeter-with-non-contact-voltage")</f>
        <v/>
      </c>
      <c r="B2740" s="2">
        <f>HYPERLINK("https://edmondsonsupply.com/products/fluke-117-electricians-multimeter-with-non-contact-voltage", "https://edmondsonsupply.com/products/fluke-117-electricians-multimeter-with-non-contact-voltage")</f>
        <v/>
      </c>
      <c r="C2740" t="inlineStr">
        <is>
          <t>Fluke 117 Electrician's Multimeter with Non-Contact Voltage</t>
        </is>
      </c>
      <c r="D2740" t="inlineStr">
        <is>
          <t>Fluke 117 Digital Multimeter, Non-Contact AC Voltage Detection, Measures Resistance/Continuity/Frequency/Capacitance/Min Max Average, Automatic AC/DC Voltage Selection, Low Impedance Mode</t>
        </is>
      </c>
      <c r="E2740" s="2">
        <f>HYPERLINK("https://www.amazon.com/Fluke-117-Electricians-True-Multimeter/dp/B000O3LUEI/ref=sr_1_1?keywords=Fluke+117+Electricians+Multimeter+with+Non-Contact+Voltage&amp;qid=1694734644&amp;sr=8-1", "https://www.amazon.com/Fluke-117-Electricians-True-Multimeter/dp/B000O3LUEI/ref=sr_1_1?keywords=Fluke+117+Electricians+Multimeter+with+Non-Contact+Voltage&amp;qid=1694734644&amp;sr=8-1")</f>
        <v/>
      </c>
      <c r="F2740" t="inlineStr">
        <is>
          <t>B000O3LUEI</t>
        </is>
      </c>
      <c r="G2740">
        <f>_xlfn.IMAGE("https://edmondsonsupply.com/cdn/shop/products/117_72dpi_731x1024px_E_NR-6399.jpg?v=1633030929")</f>
        <v/>
      </c>
      <c r="H2740">
        <f>_xlfn.IMAGE("https://m.media-amazon.com/images/I/5113LeQ45iL._AC_UL320_.jpg")</f>
        <v/>
      </c>
      <c r="K2740" t="inlineStr">
        <is>
          <t>253.79</t>
        </is>
      </c>
      <c r="L2740" t="n">
        <v>217.8</v>
      </c>
      <c r="M2740" s="1" t="inlineStr">
        <is>
          <t>-14.18%</t>
        </is>
      </c>
      <c r="N2740" s="7" t="n">
        <v>236.58</v>
      </c>
      <c r="O2740" t="n">
        <v>4.8</v>
      </c>
      <c r="P2740" t="n">
        <v>4409</v>
      </c>
      <c r="R2740" t="inlineStr">
        <is>
          <t>InStock</t>
        </is>
      </c>
      <c r="S2740" t="inlineStr">
        <is>
          <t>281.99</t>
        </is>
      </c>
      <c r="T2740" t="inlineStr">
        <is>
          <t>6555465580717</t>
        </is>
      </c>
    </row>
    <row r="2741" ht="87" customHeight="1">
      <c r="A2741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2741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2741" t="inlineStr">
        <is>
          <t>Klein Tools KTSB03 Step Drill Bit Double Fluted #3, 1/4 to 3/4-Inch</t>
        </is>
      </c>
      <c r="D2741" t="inlineStr">
        <is>
          <t>Klein Tools 25962 Step Drill Bit, 3/16 to 7/8-Inch, Spiral Double-Fluted, Cuts Thin Metal, Plastic, Aluminum, Wood, 1/4-Inch Hex Shank, VACO</t>
        </is>
      </c>
      <c r="E2741" s="2">
        <f>HYPERLINK("https://www.amazon.com/Klein-Tools-25962-Double-Fluted-Aluminum/dp/B0BLFLRLM4/ref=sr_1_7?keywords=Klein+Tools+KTSB03+Step+Drill+Bit+Double+Fluted+%233%2C+1%2F4+to+3%2F4-Inch&amp;qid=1694734821&amp;sr=8-7", "https://www.amazon.com/Klein-Tools-25962-Double-Fluted-Aluminum/dp/B0BLFLRLM4/ref=sr_1_7?keywords=Klein+Tools+KTSB03+Step+Drill+Bit+Double+Fluted+%233%2C+1%2F4+to+3%2F4-Inch&amp;qid=1694734821&amp;sr=8-7")</f>
        <v/>
      </c>
      <c r="F2741" t="inlineStr">
        <is>
          <t>B0BLFLRLM4</t>
        </is>
      </c>
      <c r="G2741">
        <f>_xlfn.IMAGE("https://edmondsonsupply.com/cdn/shop/products/ktsb03.jpg?v=1666012212")</f>
        <v/>
      </c>
      <c r="H2741">
        <f>_xlfn.IMAGE("https://m.media-amazon.com/images/I/41VZQQkBjLL._AC_UY218_.jpg")</f>
        <v/>
      </c>
      <c r="K2741" t="inlineStr">
        <is>
          <t>34.99</t>
        </is>
      </c>
      <c r="L2741" t="n">
        <v>29.99</v>
      </c>
      <c r="M2741" s="1" t="inlineStr">
        <is>
          <t>-14.29%</t>
        </is>
      </c>
      <c r="N2741" s="7" t="n">
        <v>236.55</v>
      </c>
      <c r="O2741" t="n">
        <v>4.7</v>
      </c>
      <c r="P2741" t="n">
        <v>3</v>
      </c>
      <c r="R2741" t="inlineStr">
        <is>
          <t>InStock</t>
        </is>
      </c>
      <c r="S2741" t="inlineStr">
        <is>
          <t>47.68</t>
        </is>
      </c>
      <c r="T2741" t="inlineStr">
        <is>
          <t>4174339670116</t>
        </is>
      </c>
    </row>
    <row r="2742" ht="87" customHeight="1">
      <c r="A2742" s="2">
        <f>HYPERLINK("https://edmondsonsupply.com/collections/hvac/products/klein-tools-j12098-8-journeyman-high-leverage-universal-combination-pliers", "https://edmondsonsupply.com/collections/hvac/products/klein-tools-j12098-8-journeyman-high-leverage-universal-combination-pliers")</f>
        <v/>
      </c>
      <c r="B2742" s="2">
        <f>HYPERLINK("https://edmondsonsupply.com/products/klein-tools-j12098-8-journeyman-high-leverage-universal-combination-pliers", "https://edmondsonsupply.com/products/klein-tools-j12098-8-journeyman-high-leverage-universal-combination-pliers")</f>
        <v/>
      </c>
      <c r="C2742" t="inlineStr">
        <is>
          <t>Klein Tools J12098 Journeyman Universal Combination Pliers</t>
        </is>
      </c>
      <c r="D2742" t="inlineStr">
        <is>
          <t>Klein Tools 12098 High Leverage Universal Lineman Combination Pliers with Crimping Die, Toothed Pipe Grip, Induction Hardened Knives, 8-Inch</t>
        </is>
      </c>
      <c r="E2742" s="2">
        <f>HYPERLINK("https://www.amazon.com/Universal-Combination-Pliers-Klein-Tools/dp/B0002RI4UY/ref=sr_1_1?keywords=Klein+Tools+J12098+Journeyman+Universal+Combination+Pliers&amp;qid=1694734762&amp;sr=8-1", "https://www.amazon.com/Universal-Combination-Pliers-Klein-Tools/dp/B0002RI4UY/ref=sr_1_1?keywords=Klein+Tools+J12098+Journeyman+Universal+Combination+Pliers&amp;qid=1694734762&amp;sr=8-1")</f>
        <v/>
      </c>
      <c r="F2742" t="inlineStr">
        <is>
          <t>B0002RI4UY</t>
        </is>
      </c>
      <c r="G2742">
        <f>_xlfn.IMAGE("https://edmondsonsupply.com/cdn/shop/products/j12098.jpg?v=1587142847")</f>
        <v/>
      </c>
      <c r="H2742">
        <f>_xlfn.IMAGE("https://m.media-amazon.com/images/I/51OlZryAiaL._AC_UL320_.jpg")</f>
        <v/>
      </c>
      <c r="K2742" t="inlineStr">
        <is>
          <t>34.99</t>
        </is>
      </c>
      <c r="L2742" t="n">
        <v>29.99</v>
      </c>
      <c r="M2742" s="1" t="inlineStr">
        <is>
          <t>-14.29%</t>
        </is>
      </c>
      <c r="N2742" s="7" t="n">
        <v>236.03</v>
      </c>
      <c r="O2742" t="n">
        <v>4.6</v>
      </c>
      <c r="P2742" t="n">
        <v>161</v>
      </c>
      <c r="R2742" t="inlineStr">
        <is>
          <t>InStock</t>
        </is>
      </c>
      <c r="S2742" t="inlineStr">
        <is>
          <t>50.4</t>
        </is>
      </c>
      <c r="T2742" t="inlineStr">
        <is>
          <t>1989504860260</t>
        </is>
      </c>
    </row>
    <row r="2743" ht="87" customHeight="1">
      <c r="A2743" s="2">
        <f>HYPERLINK("https://edmondsonsupply.com/collections/hvac/products/klein-tools-k12035-klein-kurve%C2%AE-heavy-duty-wire-stripper-8-20-awg", "https://edmondsonsupply.com/collections/hvac/products/klein-tools-k12035-klein-kurve%C2%AE-heavy-duty-wire-stripper-8-20-awg")</f>
        <v/>
      </c>
      <c r="B2743" s="2">
        <f>HYPERLINK("https://edmondsonsupply.com/products/klein-tools-k12035-klein-kurve%c2%ae-heavy-duty-wire-stripper-8-20-awg", "https://edmondsonsupply.com/products/klein-tools-k12035-klein-kurve%c2%ae-heavy-duty-wire-stripper-8-20-awg")</f>
        <v/>
      </c>
      <c r="C2743" t="inlineStr">
        <is>
          <t>Klein Tools K12035 Klein-Kurve® Heavy-Duty Wire Stripper 8-20 AWG</t>
        </is>
      </c>
      <c r="D2743" t="inlineStr">
        <is>
          <t>Klein Tools 11063W Wire Cutter / Wire Stripper, Heavy Duty Automatic Wire Stripper Tool for 8-20 AWG Solid and 10-22 AWG Stranded Electrical Wire,Blue/Black</t>
        </is>
      </c>
      <c r="E2743" s="2">
        <f>HYPERLINK("https://www.amazon.com/Stripper-Electrical-Klein-Tools-11063W/dp/B00BC39YFQ/ref=sr_1_5?keywords=Klein+Tools+K12035+Klein-Kurve%C2%AE+Heavy-Duty+Wire+Stripper+8-20+AWG&amp;qid=1694734814&amp;sr=8-5", "https://www.amazon.com/Stripper-Electrical-Klein-Tools-11063W/dp/B00BC39YFQ/ref=sr_1_5?keywords=Klein+Tools+K12035+Klein-Kurve%C2%AE+Heavy-Duty+Wire+Stripper+8-20+AWG&amp;qid=1694734814&amp;sr=8-5")</f>
        <v/>
      </c>
      <c r="F2743" t="inlineStr">
        <is>
          <t>B00BC39YFQ</t>
        </is>
      </c>
      <c r="G2743">
        <f>_xlfn.IMAGE("https://edmondsonsupply.com/cdn/shop/products/k12035_c.jpg?v=1678970768")</f>
        <v/>
      </c>
      <c r="H2743">
        <f>_xlfn.IMAGE("https://m.media-amazon.com/images/I/51cWJR-r31L._AC_UL320_.jpg")</f>
        <v/>
      </c>
      <c r="K2743" t="inlineStr">
        <is>
          <t>34.97</t>
        </is>
      </c>
      <c r="L2743" t="n">
        <v>29.97</v>
      </c>
      <c r="M2743" s="1" t="inlineStr">
        <is>
          <t>-14.30%</t>
        </is>
      </c>
      <c r="N2743" s="7" t="n">
        <v>235.9</v>
      </c>
      <c r="O2743" t="n">
        <v>4.8</v>
      </c>
      <c r="P2743" t="n">
        <v>9108</v>
      </c>
      <c r="R2743" t="inlineStr">
        <is>
          <t>InStock</t>
        </is>
      </c>
      <c r="S2743" t="inlineStr">
        <is>
          <t>48.86</t>
        </is>
      </c>
      <c r="T2743" t="inlineStr">
        <is>
          <t>3699495665764</t>
        </is>
      </c>
    </row>
    <row r="2744" hidden="1" ht="15.75" customHeight="1">
      <c r="A2744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2744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2744" t="inlineStr">
        <is>
          <t>Diablo Tools DMAPL2290 7/16 in. x 10 in. x 12 in. SDS-Plus 2-Cutter</t>
        </is>
      </c>
      <c r="D2744" t="inlineStr">
        <is>
          <t>Sabre Tools 7/16 Inch x 12 Inch SDS Plus Rotary Hammer Drill Bit, Carbide Tipped for Brick, Stone, and Concrete Version 2 (7/16" x 10" x 12")</t>
        </is>
      </c>
      <c r="E2744" s="2">
        <f>HYPERLINK("https://www.amazon.com/Sabre-Tools-Carbide-Concrete-Version/dp/B0BL1JRTCP/ref=sr_1_6?keywords=Diablo+Tools+DMAPL2290+7%2F16+in.+x+10+in.+x+12+in.+SDS-Plus+2-Cutter&amp;qid=1694734916&amp;sr=8-6", "https://www.amazon.com/Sabre-Tools-Carbide-Concrete-Version/dp/B0BL1JRTCP/ref=sr_1_6?keywords=Diablo+Tools+DMAPL2290+7%2F16+in.+x+10+in.+x+12+in.+SDS-Plus+2-Cutter&amp;qid=1694734916&amp;sr=8-6")</f>
        <v/>
      </c>
      <c r="F2744" t="inlineStr">
        <is>
          <t>B0BL1JRTCP</t>
        </is>
      </c>
      <c r="G2744">
        <f>_xludf.IMAGE("https://edmondsonsupply.com/cdn/shop/files/lgvfccwvf9ikjakt8qfb.webp?v=1686146379")</f>
        <v/>
      </c>
      <c r="H2744">
        <f>_xludf.IMAGE("https://m.media-amazon.com/images/I/61EC+ASb3oL._AC_UL320_.jpg")</f>
        <v/>
      </c>
      <c r="K2744" t="inlineStr">
        <is>
          <t>10.5</t>
        </is>
      </c>
      <c r="L2744" t="n">
        <v>8.99</v>
      </c>
      <c r="M2744" s="1" t="inlineStr">
        <is>
          <t>-14.38%</t>
        </is>
      </c>
      <c r="N2744" s="1" t="n">
        <v>233.76</v>
      </c>
      <c r="O2744" t="n">
        <v>4.6</v>
      </c>
      <c r="P2744" t="n">
        <v>796</v>
      </c>
      <c r="R2744" t="inlineStr">
        <is>
          <t>InStock</t>
        </is>
      </c>
      <c r="S2744" t="inlineStr">
        <is>
          <t>16.67</t>
        </is>
      </c>
      <c r="T2744" t="inlineStr">
        <is>
          <t>8002354872536</t>
        </is>
      </c>
    </row>
    <row r="2745" ht="87" customHeight="1">
      <c r="A2745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2745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2745" t="inlineStr">
        <is>
          <t>Klein Tools KTSB03 Step Drill Bit Double Fluted #3, 1/4 to 3/4-Inch</t>
        </is>
      </c>
      <c r="D2745" t="inlineStr">
        <is>
          <t>Jerax tools 1/4 to 1-3/8 Inch Step Drill Bit Spiral Grooved Double Fluted, M2 High Speed Steel Drill bits for Hole Drilling in Stainless Steel, Copper, Aluminum, Wood, Plastic</t>
        </is>
      </c>
      <c r="E2745" s="2">
        <f>HYPERLINK("https://www.amazon.com/Jerax-tools-Drilling-Stainless-Aluminum/dp/B094VCMB17/ref=sr_1_9?keywords=Klein+Tools+KTSB03+Step+Drill+Bit+Double+Fluted+%233%2C+1%2F4+to+3%2F4-Inch&amp;qid=1694734821&amp;sr=8-9", "https://www.amazon.com/Jerax-tools-Drilling-Stainless-Aluminum/dp/B094VCMB17/ref=sr_1_9?keywords=Klein+Tools+KTSB03+Step+Drill+Bit+Double+Fluted+%233%2C+1%2F4+to+3%2F4-Inch&amp;qid=1694734821&amp;sr=8-9")</f>
        <v/>
      </c>
      <c r="F2745" t="inlineStr">
        <is>
          <t>B094VCMB17</t>
        </is>
      </c>
      <c r="G2745">
        <f>_xlfn.IMAGE("https://edmondsonsupply.com/cdn/shop/products/ktsb03.jpg?v=1666012212")</f>
        <v/>
      </c>
      <c r="H2745">
        <f>_xlfn.IMAGE("https://m.media-amazon.com/images/I/51fvUl5tapL._AC_UY218_.jpg")</f>
        <v/>
      </c>
      <c r="K2745" t="inlineStr">
        <is>
          <t>34.99</t>
        </is>
      </c>
      <c r="L2745" t="n">
        <v>29.95</v>
      </c>
      <c r="M2745" s="1" t="inlineStr">
        <is>
          <t>-14.40%</t>
        </is>
      </c>
      <c r="N2745" s="7" t="n">
        <v>233.63</v>
      </c>
      <c r="O2745" t="n">
        <v>4.5</v>
      </c>
      <c r="P2745" t="n">
        <v>708</v>
      </c>
      <c r="R2745" t="inlineStr">
        <is>
          <t>InStock</t>
        </is>
      </c>
      <c r="S2745" t="inlineStr">
        <is>
          <t>47.68</t>
        </is>
      </c>
      <c r="T2745" t="inlineStr">
        <is>
          <t>4174339670116</t>
        </is>
      </c>
    </row>
    <row r="2746" hidden="1" ht="15.75" customHeight="1">
      <c r="A2746" s="2">
        <f>HYPERLINK("https://edmondsonsupply.com/collections/hvac/products/midwest-mwt-6900r-upright-right-cutting-aviation-snip", "https://edmondsonsupply.com/collections/hvac/products/midwest-mwt-6900r-upright-right-cutting-aviation-snip")</f>
        <v/>
      </c>
      <c r="B2746" s="2">
        <f>HYPERLINK("https://edmondsonsupply.com/products/midwest-mwt-6900r-upright-right-cutting-aviation-snip", "https://edmondsonsupply.com/products/midwest-mwt-6900r-upright-right-cutting-aviation-snip")</f>
        <v/>
      </c>
      <c r="C2746" t="inlineStr">
        <is>
          <t>Midwest MWT-6900R Upright Right-Cutting Aviation Snip</t>
        </is>
      </c>
      <c r="D2746" t="inlineStr">
        <is>
          <t>MIDWEST Blackout Series Aviation Snip - Right Cut Regular Tin Cutting Shears with Forged Blade &amp; KUSH'N-POWER Comfort Grips - MWT-6716RO</t>
        </is>
      </c>
      <c r="E2746" s="2">
        <f>HYPERLINK("https://www.amazon.com/MIDWEST-Blackout-Aviation-Snip-KUSHN-POWER/dp/B00TJQL8FW/ref=sr_1_7?keywords=Midwest+MWT-6900R+Upright+Right-Cutting+Aviation+Snip&amp;qid=1694734651&amp;sr=8-7", "https://www.amazon.com/MIDWEST-Blackout-Aviation-Snip-KUSHN-POWER/dp/B00TJQL8FW/ref=sr_1_7?keywords=Midwest+MWT-6900R+Upright+Right-Cutting+Aviation+Snip&amp;qid=1694734651&amp;sr=8-7")</f>
        <v/>
      </c>
      <c r="F2746" t="inlineStr">
        <is>
          <t>B00TJQL8FW</t>
        </is>
      </c>
      <c r="G2746">
        <f>_xludf.IMAGE("https://edmondsonsupply.com/cdn/shop/products/MW-P6900R1.jpg?v=1587142622")</f>
        <v/>
      </c>
      <c r="H2746">
        <f>_xludf.IMAGE("https://m.media-amazon.com/images/I/61B4vp7eTTL._AC_UL320_.jpg")</f>
        <v/>
      </c>
      <c r="K2746" t="inlineStr">
        <is>
          <t>25.29</t>
        </is>
      </c>
      <c r="L2746" t="n">
        <v>21.6</v>
      </c>
      <c r="M2746" s="1" t="inlineStr">
        <is>
          <t>-14.59%</t>
        </is>
      </c>
      <c r="N2746" s="1" t="n">
        <v>233.59</v>
      </c>
      <c r="O2746" t="n">
        <v>4</v>
      </c>
      <c r="P2746" t="n">
        <v>52</v>
      </c>
      <c r="R2746" t="inlineStr">
        <is>
          <t>InStock</t>
        </is>
      </c>
      <c r="S2746" t="inlineStr">
        <is>
          <t>37.05</t>
        </is>
      </c>
      <c r="T2746" t="inlineStr">
        <is>
          <t>4509684596836</t>
        </is>
      </c>
    </row>
    <row r="2747" hidden="1" ht="15.75" customHeight="1">
      <c r="A2747" s="2">
        <f>HYPERLINK("https://edmondsonsupply.com/collections/hvac/products/rectorseal-97089-safe-t-switch-ss3", "https://edmondsonsupply.com/collections/hvac/products/rectorseal-97089-safe-t-switch-ss3")</f>
        <v/>
      </c>
      <c r="B2747" s="2">
        <f>HYPERLINK("https://edmondsonsupply.com/products/rectorseal-97089-safe-t-switch-ss3", "https://edmondsonsupply.com/products/rectorseal-97089-safe-t-switch-ss3")</f>
        <v/>
      </c>
      <c r="C2747" t="inlineStr">
        <is>
          <t>RectorSeal 97089 Safe-T-Switch SS3</t>
        </is>
      </c>
      <c r="D2747" t="inlineStr">
        <is>
          <t>Rectorseal 97647 Safe-T-Switch Ss3</t>
        </is>
      </c>
      <c r="E2747" s="2">
        <f>HYPERLINK("https://www.amazon.com/Rectorseal-97647-Safe-T-Switch-Ss3/dp/B007CZ6PD2/ref=sr_1_2?keywords=RectorSeal+97089+Safe-T-Switch+SS3&amp;qid=1694734869&amp;sr=8-2", "https://www.amazon.com/Rectorseal-97647-Safe-T-Switch-Ss3/dp/B007CZ6PD2/ref=sr_1_2?keywords=RectorSeal+97089+Safe-T-Switch+SS3&amp;qid=1694734869&amp;sr=8-2")</f>
        <v/>
      </c>
      <c r="F2747" t="inlineStr">
        <is>
          <t>B007CZ6PD2</t>
        </is>
      </c>
      <c r="G2747">
        <f>_xludf.IMAGE("https://edmondsonsupply.com/cdn/shop/files/97089-ss3-safe-t-switch-image-img.webp?v=1690986443")</f>
        <v/>
      </c>
      <c r="H2747">
        <f>_xludf.IMAGE("https://m.media-amazon.com/images/I/51rEJ4my1pL._AC_UY218_.jpg")</f>
        <v/>
      </c>
      <c r="K2747" t="inlineStr">
        <is>
          <t>14.09</t>
        </is>
      </c>
      <c r="L2747" t="n">
        <v>12.03</v>
      </c>
      <c r="M2747" s="1" t="inlineStr">
        <is>
          <t>-14.62%</t>
        </is>
      </c>
      <c r="N2747" s="1" t="n">
        <v>233.53</v>
      </c>
      <c r="O2747" t="n">
        <v>4.7</v>
      </c>
      <c r="P2747" t="n">
        <v>318</v>
      </c>
      <c r="R2747" t="inlineStr">
        <is>
          <t>InStock</t>
        </is>
      </c>
      <c r="S2747" t="inlineStr">
        <is>
          <t>17.85</t>
        </is>
      </c>
      <c r="T2747" t="inlineStr">
        <is>
          <t>8023711973592</t>
        </is>
      </c>
    </row>
    <row r="2748" ht="87" customHeight="1">
      <c r="A2748" s="2">
        <f>HYPERLINK("https://edmondsonsupply.com/collections/hvac/products/white-rodgers-50m56x-843-integrated-furnace-control-board-universal-replacement", "https://edmondsonsupply.com/collections/hvac/products/white-rodgers-50m56x-843-integrated-furnace-control-board-universal-replacement")</f>
        <v/>
      </c>
      <c r="B2748" s="2">
        <f>HYPERLINK("https://edmondsonsupply.com/products/white-rodgers-50m56x-843-integrated-furnace-control-board-universal-replacement", "https://edmondsonsupply.com/products/white-rodgers-50m56x-843-integrated-furnace-control-board-universal-replacement")</f>
        <v/>
      </c>
      <c r="C2748" t="inlineStr">
        <is>
          <t>White-Rodgers 50M56X-843 Integrated Furnace Control Board, Universal Replacement</t>
        </is>
      </c>
      <c r="D2748" t="inlineStr">
        <is>
          <t>White-rodgers Universal Nitride Ignition Integrated Furnace Control 50a65-843</t>
        </is>
      </c>
      <c r="E2748" s="2">
        <f>HYPERLINK("https://www.amazon.com/White-rodgers-Universal-Ignition-Integrated-50a65-843/dp/B082MPW7L9/ref=sr_1_7?keywords=White-Rodgers+50M56X-843+Integrated+Furnace+Control+Board%2C+Universal+Replacement&amp;qid=1694734749&amp;sr=8-7", "https://www.amazon.com/White-rodgers-Universal-Ignition-Integrated-50a65-843/dp/B082MPW7L9/ref=sr_1_7?keywords=White-Rodgers+50M56X-843+Integrated+Furnace+Control+Board%2C+Universal+Replacement&amp;qid=1694734749&amp;sr=8-7")</f>
        <v/>
      </c>
      <c r="F2748" t="inlineStr">
        <is>
          <t>B082MPW7L9</t>
        </is>
      </c>
      <c r="G2748">
        <f>_xlfn.IMAGE("https://edmondsonsupply.com/cdn/shop/products/50m56x-843.png?v=1674841489")</f>
        <v/>
      </c>
      <c r="H2748">
        <f>_xlfn.IMAGE("https://m.media-amazon.com/images/I/4159AuqItaL._AC_UL320_.jpg")</f>
        <v/>
      </c>
      <c r="K2748" t="inlineStr">
        <is>
          <t>186.13</t>
        </is>
      </c>
      <c r="L2748" t="n">
        <v>158.82</v>
      </c>
      <c r="M2748" s="1" t="inlineStr">
        <is>
          <t>-14.67%</t>
        </is>
      </c>
      <c r="N2748" s="7" t="n">
        <v>233.48</v>
      </c>
      <c r="O2748" t="n">
        <v>5</v>
      </c>
      <c r="P2748" t="n">
        <v>1</v>
      </c>
      <c r="R2748" t="inlineStr">
        <is>
          <t>InStock</t>
        </is>
      </c>
      <c r="S2748" t="inlineStr">
        <is>
          <t>425.44</t>
        </is>
      </c>
      <c r="T2748" t="inlineStr">
        <is>
          <t>7934945034456</t>
        </is>
      </c>
    </row>
    <row r="2749" ht="87" customHeight="1">
      <c r="A2749" s="2">
        <f>HYPERLINK("https://edmondsonsupply.com/collections/hvac/products/klein-tools-mm400-digital-multimeter-auto-ranging-600v", "https://edmondsonsupply.com/collections/hvac/products/klein-tools-mm400-digital-multimeter-auto-ranging-600v")</f>
        <v/>
      </c>
      <c r="B2749" s="2">
        <f>HYPERLINK("https://edmondsonsupply.com/products/klein-tools-mm400-digital-multimeter-auto-ranging-600v", "https://edmondsonsupply.com/products/klein-tools-mm400-digital-multimeter-auto-ranging-600v")</f>
        <v/>
      </c>
      <c r="C2749" t="inlineStr">
        <is>
          <t>Klein Tools MM400 Digital Multimeter, Auto-Ranging, 600V</t>
        </is>
      </c>
      <c r="D2749" t="inlineStr">
        <is>
          <t>Klein Tools MM400 Multimeter, Digital Auto Ranging, AC/DC Voltage, Current, Capacitance, Frequency, Duty-Cycle, Diode, Continuity, Temp 600V,Orange</t>
        </is>
      </c>
      <c r="E2749" s="2">
        <f>HYPERLINK("https://www.amazon.com/Multimeter-Auto-Ranging-Klein-Tools-MM400/dp/B018EXZO8M/ref=sr_1_1?keywords=Klein+Tools+MM400+Digital+Multimeter%2C+Auto-Ranging%2C+600V&amp;qid=1694734709&amp;sr=8-1", "https://www.amazon.com/Multimeter-Auto-Ranging-Klein-Tools-MM400/dp/B018EXZO8M/ref=sr_1_1?keywords=Klein+Tools+MM400+Digital+Multimeter%2C+Auto-Ranging%2C+600V&amp;qid=1694734709&amp;sr=8-1")</f>
        <v/>
      </c>
      <c r="F2749" t="inlineStr">
        <is>
          <t>B018EXZO8M</t>
        </is>
      </c>
      <c r="G2749">
        <f>_xlfn.IMAGE("https://edmondsonsupply.com/cdn/shop/products/mm400_alt1.jpg?v=1633030778")</f>
        <v/>
      </c>
      <c r="H2749">
        <f>_xlfn.IMAGE("https://m.media-amazon.com/images/I/61I4o1GeoZL._AC_UL320_.jpg")</f>
        <v/>
      </c>
      <c r="K2749" t="inlineStr">
        <is>
          <t>54.97</t>
        </is>
      </c>
      <c r="L2749" t="n">
        <v>46.9</v>
      </c>
      <c r="M2749" s="1" t="inlineStr">
        <is>
          <t>-14.68%</t>
        </is>
      </c>
      <c r="N2749" s="7" t="n">
        <v>233.37</v>
      </c>
      <c r="O2749" t="n">
        <v>4.7</v>
      </c>
      <c r="P2749" t="n">
        <v>3806</v>
      </c>
      <c r="R2749" t="inlineStr">
        <is>
          <t>InStock</t>
        </is>
      </c>
      <c r="S2749" t="inlineStr">
        <is>
          <t>79.76</t>
        </is>
      </c>
      <c r="T2749" t="inlineStr">
        <is>
          <t>5963177492648</t>
        </is>
      </c>
    </row>
    <row r="2750" ht="87" customHeight="1">
      <c r="A2750" s="2">
        <f>HYPERLINK("https://edmondsonsupply.com/collections/hvac/products/midwest-mwt-6510s-straight-offset-aviation-snip", "https://edmondsonsupply.com/collections/hvac/products/midwest-mwt-6510s-straight-offset-aviation-snip")</f>
        <v/>
      </c>
      <c r="B2750" s="2">
        <f>HYPERLINK("https://edmondsonsupply.com/products/midwest-mwt-6510s-straight-offset-aviation-snip", "https://edmondsonsupply.com/products/midwest-mwt-6510s-straight-offset-aviation-snip")</f>
        <v/>
      </c>
      <c r="C2750" t="inlineStr">
        <is>
          <t>Midwest MWT-6510S Straight Offset Aviation Snip</t>
        </is>
      </c>
      <c r="D2750" t="inlineStr">
        <is>
          <t>Midwest Snips MIDWEST Bulldog Aviation Tin Snip - Straight Cut Regular Tin Cutting Shears with Forged Blade &amp; KUSH'N-POWER Comfort Grips - MWT-6716B</t>
        </is>
      </c>
      <c r="E2750" s="2">
        <f>HYPERLINK("https://www.amazon.com/MIDWEST-Bulldog-Aviation-Tin-Snip/dp/B00OCGQJIA/ref=sr_1_14?keywords=Midwest+MWT-6510S+Straight+Offset+Aviation+Snip&amp;qid=1694734608&amp;sr=8-14", "https://www.amazon.com/MIDWEST-Bulldog-Aviation-Tin-Snip/dp/B00OCGQJIA/ref=sr_1_14?keywords=Midwest+MWT-6510S+Straight+Offset+Aviation+Snip&amp;qid=1694734608&amp;sr=8-14")</f>
        <v/>
      </c>
      <c r="F2750" t="inlineStr">
        <is>
          <t>B00OCGQJIA</t>
        </is>
      </c>
      <c r="G2750">
        <f>_xlfn.IMAGE("https://edmondsonsupply.com/cdn/shop/products/MWT-6510S-1.jpg?v=1587150061")</f>
        <v/>
      </c>
      <c r="H2750">
        <f>_xlfn.IMAGE("https://m.media-amazon.com/images/I/619mQ19odyL._AC_UL320_.jpg")</f>
        <v/>
      </c>
      <c r="K2750" t="inlineStr">
        <is>
          <t>23.49</t>
        </is>
      </c>
      <c r="L2750" t="n">
        <v>19.98</v>
      </c>
      <c r="M2750" s="1" t="inlineStr">
        <is>
          <t>-14.94%</t>
        </is>
      </c>
      <c r="N2750" s="7" t="n">
        <v>233.37</v>
      </c>
      <c r="O2750" t="n">
        <v>4.7</v>
      </c>
      <c r="P2750" t="n">
        <v>1620</v>
      </c>
      <c r="R2750" t="inlineStr">
        <is>
          <t>OutOfStock</t>
        </is>
      </c>
      <c r="S2750" t="inlineStr">
        <is>
          <t>33.49</t>
        </is>
      </c>
      <c r="T2750" t="inlineStr">
        <is>
          <t>4436158677092</t>
        </is>
      </c>
    </row>
    <row r="2751" ht="87" customHeight="1">
      <c r="A2751" s="2">
        <f>HYPERLINK("https://edmondsonsupply.com/collections/hvac/products/fluke-378-fc-non-contact-voltage-true-rms-ac-dc-clamp-meter-with-iflex", "https://edmondsonsupply.com/collections/hvac/products/fluke-378-fc-non-contact-voltage-true-rms-ac-dc-clamp-meter-with-iflex")</f>
        <v/>
      </c>
      <c r="B2751" s="2">
        <f>HYPERLINK("https://edmondsonsupply.com/products/fluke-378-fc-non-contact-voltage-true-rms-ac-dc-clamp-meter-with-iflex", "https://edmondsonsupply.com/products/fluke-378-fc-non-contact-voltage-true-rms-ac-dc-clamp-meter-with-iflex")</f>
        <v/>
      </c>
      <c r="C2751" t="inlineStr">
        <is>
          <t>Fluke 378 FC Non-Contact Voltage True-RMS AC/DC Clamp Meter with iFlex</t>
        </is>
      </c>
      <c r="D2751" t="inlineStr">
        <is>
          <t>Fluke 376-FC True RMS AC/DC Clamp Meter with iFlex with a NIST-Traceable Calibration Certificate with Data</t>
        </is>
      </c>
      <c r="E2751" s="2">
        <f>HYPERLINK("https://www.amazon.com/Fluke-376-FC-NIST-Traceable-Calibration-Certificate/dp/B01CFXIMOU/ref=sr_1_4?keywords=Fluke+378+FC+Non-Contact+Voltage+True-RMS+AC%2FDC+Clamp+Meter+with+iFlex&amp;qid=1694734624&amp;sr=8-4", "https://www.amazon.com/Fluke-376-FC-NIST-Traceable-Calibration-Certificate/dp/B01CFXIMOU/ref=sr_1_4?keywords=Fluke+378+FC+Non-Contact+Voltage+True-RMS+AC%2FDC+Clamp+Meter+with+iFlex&amp;qid=1694734624&amp;sr=8-4")</f>
        <v/>
      </c>
      <c r="F2751" t="inlineStr">
        <is>
          <t>B01CFXIMOU</t>
        </is>
      </c>
      <c r="G2751">
        <f>_xlfn.IMAGE("https://edmondsonsupply.com/cdn/shop/products/378_FC_72dpi_499x1024px_E_NR-27689.jpg?v=1633031120")</f>
        <v/>
      </c>
      <c r="H2751">
        <f>_xlfn.IMAGE("https://m.media-amazon.com/images/I/81SZ2OCx2VL._AC_UY218_.jpg")</f>
        <v/>
      </c>
      <c r="K2751" t="inlineStr">
        <is>
          <t>776.69</t>
        </is>
      </c>
      <c r="L2751" t="n">
        <v>659.99</v>
      </c>
      <c r="M2751" s="1" t="inlineStr">
        <is>
          <t>-15.03%</t>
        </is>
      </c>
      <c r="N2751" s="7" t="n">
        <v>233.36</v>
      </c>
      <c r="O2751" t="n">
        <v>4.6</v>
      </c>
      <c r="P2751" t="n">
        <v>21</v>
      </c>
      <c r="R2751" t="inlineStr">
        <is>
          <t>OutOfStock</t>
        </is>
      </c>
      <c r="S2751" t="inlineStr">
        <is>
          <t>862.99</t>
        </is>
      </c>
      <c r="T2751" t="inlineStr">
        <is>
          <t>6864217309357</t>
        </is>
      </c>
    </row>
    <row r="2752" ht="87" customHeight="1">
      <c r="A2752" s="2">
        <f>HYPERLINK("https://edmondsonsupply.com/collections/hvac/products/channellock-431", "https://edmondsonsupply.com/collections/hvac/products/channellock-431")</f>
        <v/>
      </c>
      <c r="B2752" s="2">
        <f>HYPERLINK("https://edmondsonsupply.com/products/channellock-431", "https://edmondsonsupply.com/products/channellock-431")</f>
        <v/>
      </c>
      <c r="C2752" t="inlineStr">
        <is>
          <t>Channellock 432 10-Inch V-Jaw Tongue &amp; Groove Pliers</t>
        </is>
      </c>
      <c r="D2752" t="inlineStr">
        <is>
          <t>CHANNELLOCK 428 Straight Jaw Tongue &amp; Groove Pliers, 8-inch | 1-1/2-inch Jaw Capacity | 4 Adjustments | SAFE-T-STOP feature prevents finger pinch | Forged High-Carbon U.S. Steel | Made in USA, Polished Steel</t>
        </is>
      </c>
      <c r="E2752" s="2">
        <f>HYPERLINK("https://www.amazon.com/CHANNELLOCK-428-Adjustments-SAFE-T-STOP-High-Carbon/dp/B00004SBCT/ref=sr_1_15?keywords=Channellock+432+10-Inch+V-Jaw+Tongue+%26+Groove+Pliers&amp;qid=1694734826&amp;sr=8-15", "https://www.amazon.com/CHANNELLOCK-428-Adjustments-SAFE-T-STOP-High-Carbon/dp/B00004SBCT/ref=sr_1_15?keywords=Channellock+432+10-Inch+V-Jaw+Tongue+%26+Groove+Pliers&amp;qid=1694734826&amp;sr=8-15")</f>
        <v/>
      </c>
      <c r="F2752" t="inlineStr">
        <is>
          <t>B00004SBCT</t>
        </is>
      </c>
      <c r="G2752">
        <f>_xlfn.IMAGE("https://edmondsonsupply.com/cdn/shop/products/432-683x1024.jpg?v=1587147134")</f>
        <v/>
      </c>
      <c r="H2752">
        <f>_xlfn.IMAGE("https://m.media-amazon.com/images/I/71PJMchXHJL._AC_UL320_.jpg")</f>
        <v/>
      </c>
      <c r="K2752" t="inlineStr">
        <is>
          <t>19.95</t>
        </is>
      </c>
      <c r="L2752" t="n">
        <v>16.95</v>
      </c>
      <c r="M2752" s="1" t="inlineStr">
        <is>
          <t>-15.04%</t>
        </is>
      </c>
      <c r="N2752" s="7" t="n">
        <v>233.31</v>
      </c>
      <c r="O2752" t="n">
        <v>4.7</v>
      </c>
      <c r="P2752" t="n">
        <v>238</v>
      </c>
      <c r="R2752" t="inlineStr">
        <is>
          <t>InStock</t>
        </is>
      </c>
      <c r="S2752" t="inlineStr">
        <is>
          <t>27.63</t>
        </is>
      </c>
      <c r="T2752" t="inlineStr">
        <is>
          <t>3553468317796</t>
        </is>
      </c>
    </row>
    <row r="2753" ht="87" customHeight="1">
      <c r="A2753" s="2">
        <f>HYPERLINK("https://edmondsonsupply.com/collections/hvac/products/robertshaw-rs8110-digital-non-programmable-thermostat-single-stage-1-heat-1-cool", "https://edmondsonsupply.com/collections/hvac/products/robertshaw-rs8110-digital-non-programmable-thermostat-single-stage-1-heat-1-cool")</f>
        <v/>
      </c>
      <c r="B2753" s="2">
        <f>HYPERLINK("https://edmondsonsupply.com/products/robertshaw-rs8110-digital-non-programmable-thermostat-single-stage-1-heat-1-cool", "https://edmondsonsupply.com/products/robertshaw-rs8110-digital-non-programmable-thermostat-single-stage-1-heat-1-cool")</f>
        <v/>
      </c>
      <c r="C2753" t="inlineStr">
        <is>
          <t>Robertshaw RS8110 Digital Non-Programmable Thermostat, Single Stage - 1 Heat/1 Cool</t>
        </is>
      </c>
      <c r="D2753" t="inlineStr">
        <is>
          <t>ELECTECK Non-Programmable Digital Thermostat for Home, up to 1 Heat/1 Cool with Large LCD Display, Compatible with Single Stage Electrical and Gas/Oil System, Black</t>
        </is>
      </c>
      <c r="E2753" s="2">
        <f>HYPERLINK("https://www.amazon.com/ELECTECK-Thermostat-Non-Programmable-Compatible-Electrical/dp/B08ZCK31P9/ref=sr_1_5?keywords=Robertshaw+RS8110+Digital+Non-Programmable+Thermostat%2C+Single+Stage+-+1+Heat%2F1+Cool&amp;qid=1694734638&amp;sr=8-5", "https://www.amazon.com/ELECTECK-Thermostat-Non-Programmable-Compatible-Electrical/dp/B08ZCK31P9/ref=sr_1_5?keywords=Robertshaw+RS8110+Digital+Non-Programmable+Thermostat%2C+Single+Stage+-+1+Heat%2F1+Cool&amp;qid=1694734638&amp;sr=8-5")</f>
        <v/>
      </c>
      <c r="F2753" t="inlineStr">
        <is>
          <t>B08ZCK31P9</t>
        </is>
      </c>
      <c r="G2753">
        <f>_xlfn.IMAGE("https://edmondsonsupply.com/cdn/shop/products/RS8110.jpg?v=1633031027")</f>
        <v/>
      </c>
      <c r="H2753">
        <f>_xlfn.IMAGE("https://m.media-amazon.com/images/I/614EXJXKqTL._AC_UL320_.jpg")</f>
        <v/>
      </c>
      <c r="K2753" t="inlineStr">
        <is>
          <t>32.96</t>
        </is>
      </c>
      <c r="L2753" t="n">
        <v>27.99</v>
      </c>
      <c r="M2753" s="1" t="inlineStr">
        <is>
          <t>-15.08%</t>
        </is>
      </c>
      <c r="N2753" s="7" t="n">
        <v>233.31</v>
      </c>
      <c r="O2753" t="n">
        <v>4.5</v>
      </c>
      <c r="P2753" t="n">
        <v>336</v>
      </c>
      <c r="R2753" t="inlineStr">
        <is>
          <t>InStock</t>
        </is>
      </c>
      <c r="S2753" t="inlineStr">
        <is>
          <t>61.37</t>
        </is>
      </c>
      <c r="T2753" t="inlineStr">
        <is>
          <t>6728860827821</t>
        </is>
      </c>
    </row>
    <row r="2754" ht="87" customHeight="1">
      <c r="A2754" s="2">
        <f>HYPERLINK("https://edmondsonsupply.com/collections/hvac/products/malco-tools-lp7r-eagle-grip-7-straight-jaw-locking-pliers", "https://edmondsonsupply.com/collections/hvac/products/malco-tools-lp7r-eagle-grip-7-straight-jaw-locking-pliers")</f>
        <v/>
      </c>
      <c r="B2754" s="2">
        <f>HYPERLINK("https://edmondsonsupply.com/products/malco-tools-lp7r-eagle-grip-7-straight-jaw-locking-pliers", "https://edmondsonsupply.com/products/malco-tools-lp7r-eagle-grip-7-straight-jaw-locking-pliers")</f>
        <v/>
      </c>
      <c r="C2754" t="inlineStr">
        <is>
          <t>Malco Tools LP7R Eagle Grip 7″ Straight Jaw Locking Pliers</t>
        </is>
      </c>
      <c r="D2754" t="inlineStr">
        <is>
          <t>Malco Eagle Grip LP7R 7 in. Straight Jaw Locking Pliers</t>
        </is>
      </c>
      <c r="E2754" s="2">
        <f>HYPERLINK("https://www.amazon.com/Malco-LP7R-Straight-Locking-Pliers/dp/B0924RJNPQ/ref=sr_1_1?keywords=Malco+Tools+LP7R+Eagle+Grip+7%E2%80%B3+Straight+Jaw+Locking+Pliers&amp;qid=1694734637&amp;sr=8-1", "https://www.amazon.com/Malco-LP7R-Straight-Locking-Pliers/dp/B0924RJNPQ/ref=sr_1_1?keywords=Malco+Tools+LP7R+Eagle+Grip+7%E2%80%B3+Straight+Jaw+Locking+Pliers&amp;qid=1694734637&amp;sr=8-1")</f>
        <v/>
      </c>
      <c r="F2754" t="inlineStr">
        <is>
          <t>B0924RJNPQ</t>
        </is>
      </c>
      <c r="G2754">
        <f>_xlfn.IMAGE("https://edmondsonsupply.com/cdn/shop/products/LP7R-eagle-grip-locking-pliers-in-hand.jpg?v=1657291391")</f>
        <v/>
      </c>
      <c r="H2754">
        <f>_xlfn.IMAGE("https://m.media-amazon.com/images/I/61HMR5Cj8yS._AC_UL320_.jpg")</f>
        <v/>
      </c>
      <c r="K2754" t="inlineStr">
        <is>
          <t>49.99</t>
        </is>
      </c>
      <c r="L2754" t="n">
        <v>42.4</v>
      </c>
      <c r="M2754" s="1" t="inlineStr">
        <is>
          <t>-15.18%</t>
        </is>
      </c>
      <c r="N2754" s="7" t="n">
        <v>233</v>
      </c>
      <c r="O2754" t="n">
        <v>4.9</v>
      </c>
      <c r="P2754" t="n">
        <v>174</v>
      </c>
      <c r="R2754" t="inlineStr">
        <is>
          <t>InStock</t>
        </is>
      </c>
      <c r="S2754" t="inlineStr">
        <is>
          <t>54.67</t>
        </is>
      </c>
      <c r="T2754" t="inlineStr">
        <is>
          <t>7742222270680</t>
        </is>
      </c>
    </row>
    <row r="2755" hidden="1" ht="15.75" customHeight="1">
      <c r="A2755" s="2">
        <f>HYPERLINK("https://edmondsonsupply.com/collections/hvac/products/nu-calgon-4300-89-rx11-flush-injection-valve", "https://edmondsonsupply.com/collections/hvac/products/nu-calgon-4300-89-rx11-flush-injection-valve")</f>
        <v/>
      </c>
      <c r="B2755" s="2">
        <f>HYPERLINK("https://edmondsonsupply.com/products/nu-calgon-4300-89-rx11-flush-injection-valve", "https://edmondsonsupply.com/products/nu-calgon-4300-89-rx11-flush-injection-valve")</f>
        <v/>
      </c>
      <c r="C2755" t="inlineStr">
        <is>
          <t>Nu-Calgon 4300-89 Rx11-Flush Injection Valve</t>
        </is>
      </c>
      <c r="D2755" t="inlineStr">
        <is>
          <t>Nu-Calgon 4300-89 Injection Valve</t>
        </is>
      </c>
      <c r="E2755" s="2">
        <f>HYPERLINK("https://www.amazon.com/Nu-Calgon-Wholesaler-Inc-430089-INJECTION/dp/B008FM9OCK/ref=sr_1_1?keywords=Nu-Calgon+4300-89+Rx11-Flush+Injection+Valve&amp;qid=1694734762&amp;sr=8-1", "https://www.amazon.com/Nu-Calgon-Wholesaler-Inc-430089-INJECTION/dp/B008FM9OCK/ref=sr_1_1?keywords=Nu-Calgon+4300-89+Rx11-Flush+Injection+Valve&amp;qid=1694734762&amp;sr=8-1")</f>
        <v/>
      </c>
      <c r="F2755" t="inlineStr">
        <is>
          <t>B008FM9OCK</t>
        </is>
      </c>
      <c r="G2755">
        <f>_xludf.IMAGE("https://edmondsonsupply.com/cdn/shop/products/4300-89.jpg?v=1658853039")</f>
        <v/>
      </c>
      <c r="H2755">
        <f>_xludf.IMAGE("https://m.media-amazon.com/images/I/81CaKObTr4L._AC_UY218_.jpg")</f>
        <v/>
      </c>
      <c r="K2755" t="inlineStr">
        <is>
          <t>38.27</t>
        </is>
      </c>
      <c r="L2755" t="n">
        <v>32.45</v>
      </c>
      <c r="M2755" s="1" t="inlineStr">
        <is>
          <t>-15.21%</t>
        </is>
      </c>
      <c r="N2755" s="1" t="n">
        <v>232.83</v>
      </c>
      <c r="O2755" t="n">
        <v>3.7</v>
      </c>
      <c r="P2755" t="n">
        <v>8</v>
      </c>
      <c r="R2755" t="inlineStr">
        <is>
          <t>InStock</t>
        </is>
      </c>
      <c r="S2755" t="inlineStr">
        <is>
          <t>51.02</t>
        </is>
      </c>
      <c r="T2755" t="inlineStr">
        <is>
          <t>7761647108312</t>
        </is>
      </c>
    </row>
    <row r="2756" ht="87" customHeight="1">
      <c r="A2756" s="2">
        <f>HYPERLINK("https://edmondsonsupply.com/collections/hvac/products/milwaukee-2771-20", "https://edmondsonsupply.com/collections/hvac/products/milwaukee-2771-20")</f>
        <v/>
      </c>
      <c r="B2756" s="2">
        <f>HYPERLINK("https://edmondsonsupply.com/products/milwaukee-2771-20", "https://edmondsonsupply.com/products/milwaukee-2771-20")</f>
        <v/>
      </c>
      <c r="C2756" t="inlineStr">
        <is>
          <t>Milwaukee 2771-20 M18 Transfer Pump (bare tool)</t>
        </is>
      </c>
      <c r="D2756" t="inlineStr">
        <is>
          <t>Milwaukee 2771-20 M18 Transfer Pump</t>
        </is>
      </c>
      <c r="E2756" s="2">
        <f>HYPERLINK("https://www.amazon.com/Milwaukee-2771-20-M18-Transfer-Pump/dp/B01M09J2YX/ref=sr_1_1?keywords=Milwaukee+2771-20+M18+Transfer+Pump+%28bare+tool%29&amp;qid=1694734790&amp;sr=8-1", "https://www.amazon.com/Milwaukee-2771-20-M18-Transfer-Pump/dp/B01M09J2YX/ref=sr_1_1?keywords=Milwaukee+2771-20+M18+Transfer+Pump+%28bare+tool%29&amp;qid=1694734790&amp;sr=8-1")</f>
        <v/>
      </c>
      <c r="F2756" t="inlineStr">
        <is>
          <t>B01M09J2YX</t>
        </is>
      </c>
      <c r="G2756">
        <f>_xlfn.IMAGE("https://edmondsonsupply.com/cdn/shop/products/2771-20_2.png?v=1591474601")</f>
        <v/>
      </c>
      <c r="H2756">
        <f>_xlfn.IMAGE("https://m.media-amazon.com/images/I/71B3RjMe3pL._AC_UL320_.jpg")</f>
        <v/>
      </c>
      <c r="K2756" t="inlineStr">
        <is>
          <t>229.0</t>
        </is>
      </c>
      <c r="L2756" t="n">
        <v>194</v>
      </c>
      <c r="M2756" s="1" t="inlineStr">
        <is>
          <t>-15.28%</t>
        </is>
      </c>
      <c r="N2756" s="7" t="n">
        <v>232.83</v>
      </c>
      <c r="O2756" t="n">
        <v>4.7</v>
      </c>
      <c r="P2756" t="n">
        <v>582</v>
      </c>
      <c r="R2756" t="inlineStr">
        <is>
          <t>InStock</t>
        </is>
      </c>
      <c r="S2756" t="inlineStr">
        <is>
          <t>389.0</t>
        </is>
      </c>
      <c r="T2756" t="inlineStr">
        <is>
          <t>5279085887656</t>
        </is>
      </c>
    </row>
    <row r="2757" ht="87" customHeight="1">
      <c r="A2757" s="2">
        <f>HYPERLINK("https://edmondsonsupply.com/collections/hvac/products/greenlee-gsb02-1-2-step-bit-2", "https://edmondsonsupply.com/collections/hvac/products/greenlee-gsb02-1-2-step-bit-2")</f>
        <v/>
      </c>
      <c r="B2757" s="2">
        <f>HYPERLINK("https://edmondsonsupply.com/products/greenlee-gsb02-1-2-step-bit-2", "https://edmondsonsupply.com/products/greenlee-gsb02-1-2-step-bit-2")</f>
        <v/>
      </c>
      <c r="C2757" t="inlineStr">
        <is>
          <t>Greenlee GSB02 1/2" Step Bit (#2)</t>
        </is>
      </c>
      <c r="D2757" t="inlineStr">
        <is>
          <t>Greenlee GSB01 Step Bit, 1/2" (#1)</t>
        </is>
      </c>
      <c r="E2757" s="2">
        <f>HYPERLINK("https://www.amazon.com/Greenlee-GSB01-Step-Bit/dp/B08WHGSG2S/ref=sr_1_2?keywords=Greenlee+GSB02+1%2F2%22+Step+Bit+%28%232%29&amp;qid=1694734901&amp;sr=8-2", "https://www.amazon.com/Greenlee-GSB01-Step-Bit/dp/B08WHGSG2S/ref=sr_1_2?keywords=Greenlee+GSB02+1%2F2%22+Step+Bit+%28%232%29&amp;qid=1694734901&amp;sr=8-2")</f>
        <v/>
      </c>
      <c r="F2757" t="inlineStr">
        <is>
          <t>B08WHGSG2S</t>
        </is>
      </c>
      <c r="G2757">
        <f>_xlfn.IMAGE("https://edmondsonsupply.com/cdn/shop/files/GSB02_CAT1_72dpi.jpg?v=1687783943")</f>
        <v/>
      </c>
      <c r="H2757">
        <f>_xlfn.IMAGE("https://m.media-amazon.com/images/I/41Kt4mdQqpL._AC_UY218_.jpg")</f>
        <v/>
      </c>
      <c r="K2757" t="inlineStr">
        <is>
          <t>39.29</t>
        </is>
      </c>
      <c r="L2757" t="n">
        <v>33.28</v>
      </c>
      <c r="M2757" s="1" t="inlineStr">
        <is>
          <t>-15.30%</t>
        </is>
      </c>
      <c r="N2757" s="7" t="n">
        <v>232.65</v>
      </c>
      <c r="O2757" t="n">
        <v>5</v>
      </c>
      <c r="P2757" t="n">
        <v>2</v>
      </c>
      <c r="R2757" t="inlineStr">
        <is>
          <t>InStock</t>
        </is>
      </c>
      <c r="S2757" t="inlineStr">
        <is>
          <t>40.55</t>
        </is>
      </c>
      <c r="T2757" t="inlineStr">
        <is>
          <t>8008010137816</t>
        </is>
      </c>
    </row>
    <row r="2758" ht="87" customHeight="1">
      <c r="A2758" s="2">
        <f>HYPERLINK("https://edmondsonsupply.com/collections/hvac/products/milwaukee-48-40-4515-8-circular-saw-metal-cutting-blade-42t", "https://edmondsonsupply.com/collections/hvac/products/milwaukee-48-40-4515-8-circular-saw-metal-cutting-blade-42t")</f>
        <v/>
      </c>
      <c r="B2758" s="2">
        <f>HYPERLINK("https://edmondsonsupply.com/products/milwaukee-48-40-4515-8-circular-saw-metal-cutting-blade-42t", "https://edmondsonsupply.com/products/milwaukee-48-40-4515-8-circular-saw-metal-cutting-blade-42t")</f>
        <v/>
      </c>
      <c r="C2758" t="inlineStr">
        <is>
          <t>Milwaukee 48-40-4515 8" Circular Saw Metal Cutting Blade- 42T</t>
        </is>
      </c>
      <c r="D2758" t="inlineStr">
        <is>
          <t>Milwaukee 48-40-4205 5-3/8 in. x 30 Carbide Teeth Metal and Stainless Cutting Circular Saw Blade</t>
        </is>
      </c>
      <c r="E2758" s="2">
        <f>HYPERLINK("https://www.amazon.com/Milwaukee-48-40-4205-Carbide-Stainless-Circular/dp/B0B4PBQ93R/ref=sr_1_7?keywords=Milwaukee+48-40-4515+8%22+Circular+Saw+Metal+Cutting+Blade-+42T&amp;qid=1694734899&amp;sr=8-7", "https://www.amazon.com/Milwaukee-48-40-4205-Carbide-Stainless-Circular/dp/B0B4PBQ93R/ref=sr_1_7?keywords=Milwaukee+48-40-4515+8%22+Circular+Saw+Metal+Cutting+Blade-+42T&amp;qid=1694734899&amp;sr=8-7")</f>
        <v/>
      </c>
      <c r="F2758" t="inlineStr">
        <is>
          <t>B0B4PBQ93R</t>
        </is>
      </c>
      <c r="G2758">
        <f>_xlfn.IMAGE("https://edmondsonsupply.com/cdn/shop/files/48-40-4515_1.png?v=1687444386")</f>
        <v/>
      </c>
      <c r="H2758">
        <f>_xlfn.IMAGE("https://m.media-amazon.com/images/I/71iJWk1JV7L._AC_UL320_.jpg")</f>
        <v/>
      </c>
      <c r="K2758" t="inlineStr">
        <is>
          <t>59.97</t>
        </is>
      </c>
      <c r="L2758" t="n">
        <v>50.79</v>
      </c>
      <c r="M2758" s="1" t="inlineStr">
        <is>
          <t>-15.31%</t>
        </is>
      </c>
      <c r="N2758" s="7" t="n">
        <v>230.57</v>
      </c>
      <c r="O2758" t="n">
        <v>5</v>
      </c>
      <c r="P2758" t="n">
        <v>11</v>
      </c>
      <c r="R2758" t="inlineStr">
        <is>
          <t>InStock</t>
        </is>
      </c>
      <c r="S2758" t="inlineStr">
        <is>
          <t>88.2</t>
        </is>
      </c>
      <c r="T2758" t="inlineStr">
        <is>
          <t>8007979434200</t>
        </is>
      </c>
    </row>
    <row r="2759" ht="87" customHeight="1">
      <c r="A2759" s="2">
        <f>HYPERLINK("https://edmondsonsupply.com/collections/hvac/products/klein-tools-55580-tradesman-tumbler", "https://edmondsonsupply.com/collections/hvac/products/klein-tools-55580-tradesman-tumbler")</f>
        <v/>
      </c>
      <c r="B2759" s="2">
        <f>HYPERLINK("https://edmondsonsupply.com/products/klein-tools-55580-tradesman-tumbler", "https://edmondsonsupply.com/products/klein-tools-55580-tradesman-tumbler")</f>
        <v/>
      </c>
      <c r="C2759" t="inlineStr">
        <is>
          <t>Klein Tools 55580 Tradesman Tumbler</t>
        </is>
      </c>
      <c r="D2759" t="inlineStr">
        <is>
          <t>Klein Tools 55580 Stainless Steel Tumbler with Flip-top Lid, Insulated 20 oz. Tradesman's Double Wall Vacuum Mug, Slip-resistant Sleeve</t>
        </is>
      </c>
      <c r="E2759" s="2">
        <f>HYPERLINK("https://www.amazon.com/Klein-Tools-KLEBE-55580-Slip-resistant/dp/B08DDWFFPW/ref=sr_1_1?keywords=Klein+Tools+55580+Tradesman+Tumbler&amp;qid=1694734719&amp;sr=8-1", "https://www.amazon.com/Klein-Tools-KLEBE-55580-Slip-resistant/dp/B08DDWFFPW/ref=sr_1_1?keywords=Klein+Tools+55580+Tradesman+Tumbler&amp;qid=1694734719&amp;sr=8-1")</f>
        <v/>
      </c>
      <c r="F2759" t="inlineStr">
        <is>
          <t>B08DDWFFPW</t>
        </is>
      </c>
      <c r="G2759">
        <f>_xlfn.IMAGE("https://edmondsonsupply.com/cdn/shop/products/55580.jpg?v=1633030612")</f>
        <v/>
      </c>
      <c r="H2759">
        <f>_xlfn.IMAGE("https://m.media-amazon.com/images/I/51N6slkt0eL._AC_UL320_.jpg")</f>
        <v/>
      </c>
      <c r="K2759" t="inlineStr">
        <is>
          <t>29.97</t>
        </is>
      </c>
      <c r="L2759" t="n">
        <v>25.33</v>
      </c>
      <c r="M2759" s="1" t="inlineStr">
        <is>
          <t>-15.48%</t>
        </is>
      </c>
      <c r="N2759" s="7" t="n">
        <v>229.99</v>
      </c>
      <c r="O2759" t="n">
        <v>4.8</v>
      </c>
      <c r="P2759" t="n">
        <v>2149</v>
      </c>
      <c r="R2759" t="inlineStr">
        <is>
          <t>InStock</t>
        </is>
      </c>
      <c r="S2759" t="inlineStr">
        <is>
          <t>41.98</t>
        </is>
      </c>
      <c r="T2759" t="inlineStr">
        <is>
          <t>5647227846824</t>
        </is>
      </c>
    </row>
    <row r="2760" hidden="1" ht="15.75" customHeight="1">
      <c r="A2760" s="2">
        <f>HYPERLINK("https://edmondsonsupply.com/collections/hvac/products/diablo-tools-dmamxcc5040-3-9-16-in-x-7-in-sds-max-carbide-tipped-core-bit", "https://edmondsonsupply.com/collections/hvac/products/diablo-tools-dmamxcc5040-3-9-16-in-x-7-in-sds-max-carbide-tipped-core-bit")</f>
        <v/>
      </c>
      <c r="B2760" s="2">
        <f>HYPERLINK("https://edmondsonsupply.com/products/diablo-tools-dmamxcc5040-3-9-16-in-x-7-in-sds-max-carbide-tipped-core-bit", "https://edmondsonsupply.com/products/diablo-tools-dmamxcc5040-3-9-16-in-x-7-in-sds-max-carbide-tipped-core-bit")</f>
        <v/>
      </c>
      <c r="C2760" t="inlineStr">
        <is>
          <t>Diablo Tools DMAMXCC5040 3-9/16 in. x 7 in. SDS-Max Carbide Tipped Core Bit</t>
        </is>
      </c>
      <c r="D2760" t="inlineStr">
        <is>
          <t>Diablo 3-9/16 in. x 7 in. SDS-Max Carbide Tipped Core Bit</t>
        </is>
      </c>
      <c r="E2760" s="2">
        <f>HYPERLINK("https://www.amazon.com/Diablo-DMAMXCC5040-SDS-Max-Carbide-Tipped/dp/B089M9SDDV/ref=sr_1_1?keywords=Diablo+Tools+DMAMXCC5040+3-9%2F16+in.+x+7+in.+SDS-Max+Carbide+Tipped+Core+Bit&amp;qid=1694734909&amp;sr=8-1", "https://www.amazon.com/Diablo-DMAMXCC5040-SDS-Max-Carbide-Tipped/dp/B089M9SDDV/ref=sr_1_1?keywords=Diablo+Tools+DMAMXCC5040+3-9%2F16+in.+x+7+in.+SDS-Max+Carbide+Tipped+Core+Bit&amp;qid=1694734909&amp;sr=8-1")</f>
        <v/>
      </c>
      <c r="F2760" t="inlineStr">
        <is>
          <t>B089M9SDDV</t>
        </is>
      </c>
      <c r="G2760">
        <f>_xludf.IMAGE("https://edmondsonsupply.com/cdn/shop/files/a3uovbbd2u7b0jmabzl1.webp?v=1686586245")</f>
        <v/>
      </c>
      <c r="H2760">
        <f>_xludf.IMAGE("https://m.media-amazon.com/images/I/71hVl4OIfrL._AC_UL320_.jpg")</f>
        <v/>
      </c>
      <c r="K2760" t="inlineStr">
        <is>
          <t>133.99</t>
        </is>
      </c>
      <c r="L2760" t="n">
        <v>112.99</v>
      </c>
      <c r="M2760" s="1" t="inlineStr">
        <is>
          <t>-15.67%</t>
        </is>
      </c>
      <c r="N2760" s="1" t="n">
        <v>227.94</v>
      </c>
      <c r="O2760" t="n">
        <v>4</v>
      </c>
      <c r="P2760" t="n">
        <v>1</v>
      </c>
      <c r="R2760" t="inlineStr">
        <is>
          <t>InStock</t>
        </is>
      </c>
      <c r="S2760" t="inlineStr">
        <is>
          <t>213.9</t>
        </is>
      </c>
      <c r="T2760" t="inlineStr">
        <is>
          <t>8004509630680</t>
        </is>
      </c>
    </row>
    <row r="2761" hidden="1" ht="15.75" customHeight="1">
      <c r="A2761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2761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2761" t="inlineStr">
        <is>
          <t>ICM Controls ICM282B Furnace Control Board - Replacement for Carrier</t>
        </is>
      </c>
      <c r="D2761" t="inlineStr">
        <is>
          <t>ICM282A Replacement ICM Controls, Carrier HK42FZ004, HK42FZ007, HK42FZ008, HK42FZ009, HK42FZ011, HK42FZ013, HK42FZ016 and HK42FZ0 Series Furnace Control Board Module</t>
        </is>
      </c>
      <c r="E2761" s="2">
        <f>HYPERLINK("https://www.amazon.com/ICM282A-Replacement-HK42FZ004-HK42FZ007-HK42FZ008/dp/B0C5LZFXDK/ref=sr_1_2?keywords=ICM+Controls+ICM282B+Furnace+Control+Board+-+Replacement+for+Carrier&amp;qid=1694734691&amp;sr=8-2", "https://www.amazon.com/ICM282A-Replacement-HK42FZ004-HK42FZ007-HK42FZ008/dp/B0C5LZFXDK/ref=sr_1_2?keywords=ICM+Controls+ICM282B+Furnace+Control+Board+-+Replacement+for+Carrier&amp;qid=1694734691&amp;sr=8-2")</f>
        <v/>
      </c>
      <c r="F2761" t="inlineStr">
        <is>
          <t>B0C5LZFXDK</t>
        </is>
      </c>
      <c r="G2761">
        <f>_xludf.IMAGE("https://edmondsonsupply.com/cdn/shop/products/57_5_96e476f9-dc43-4075-94fb-2c5efeccce22.jpg?v=1659481947")</f>
        <v/>
      </c>
      <c r="H2761">
        <f>_xludf.IMAGE("https://m.media-amazon.com/images/I/711ATMo0g6L._AC_UL320_.jpg")</f>
        <v/>
      </c>
      <c r="K2761" t="inlineStr">
        <is>
          <t>195.99</t>
        </is>
      </c>
      <c r="L2761" t="n">
        <v>165</v>
      </c>
      <c r="M2761" s="1" t="inlineStr">
        <is>
          <t>-15.81%</t>
        </is>
      </c>
      <c r="N2761" s="1" t="n">
        <v>227.45</v>
      </c>
      <c r="O2761" t="n">
        <v>1</v>
      </c>
      <c r="P2761" t="n">
        <v>2</v>
      </c>
      <c r="R2761" t="inlineStr">
        <is>
          <t>InStock</t>
        </is>
      </c>
      <c r="S2761" t="inlineStr">
        <is>
          <t>256.41</t>
        </is>
      </c>
      <c r="T2761" t="inlineStr">
        <is>
          <t>7770046464216</t>
        </is>
      </c>
    </row>
    <row r="2762" ht="87" customHeight="1">
      <c r="A2762" s="2">
        <f>HYPERLINK("https://edmondsonsupply.com/collections/hvac/products/klein-tools-et20-wifi-borescope-inspection-camera", "https://edmondsonsupply.com/collections/hvac/products/klein-tools-et20-wifi-borescope-inspection-camera")</f>
        <v/>
      </c>
      <c r="B2762" s="2">
        <f>HYPERLINK("https://edmondsonsupply.com/products/klein-tools-et20-wifi-borescope-inspection-camera", "https://edmondsonsupply.com/products/klein-tools-et20-wifi-borescope-inspection-camera")</f>
        <v/>
      </c>
      <c r="C2762" t="inlineStr">
        <is>
          <t>Klein Tools ET20 WiFi Borescope Inspection Camera</t>
        </is>
      </c>
      <c r="D2762" t="inlineStr">
        <is>
          <t>Klein Tools ET20 WIfi Borescope Inspection Camera with Rechargeable Lithium-Ion Battery and On-Board LED Lights</t>
        </is>
      </c>
      <c r="E2762" s="2">
        <f>HYPERLINK("https://www.amazon.com/Klein-Tools-ET20-Rechargeable-Lithium-Ion/dp/B07Q78WXFP/ref=sr_1_1?keywords=Klein+Tools+ET20+WiFi+Borescope+Inspection+Camera&amp;qid=1694734831&amp;sr=8-1", "https://www.amazon.com/Klein-Tools-ET20-Rechargeable-Lithium-Ion/dp/B07Q78WXFP/ref=sr_1_1?keywords=Klein+Tools+ET20+WiFi+Borescope+Inspection+Camera&amp;qid=1694734831&amp;sr=8-1")</f>
        <v/>
      </c>
      <c r="F2762" t="inlineStr">
        <is>
          <t>B07Q78WXFP</t>
        </is>
      </c>
      <c r="G2762">
        <f>_xlfn.IMAGE("https://edmondsonsupply.com/cdn/shop/products/et20.jpg?v=1587143169")</f>
        <v/>
      </c>
      <c r="H2762">
        <f>_xlfn.IMAGE("https://m.media-amazon.com/images/I/61o+L41lX0L._AC_UY218_.jpg")</f>
        <v/>
      </c>
      <c r="K2762" t="inlineStr">
        <is>
          <t>99.99</t>
        </is>
      </c>
      <c r="L2762" t="n">
        <v>84</v>
      </c>
      <c r="M2762" s="1" t="inlineStr">
        <is>
          <t>-15.99%</t>
        </is>
      </c>
      <c r="N2762" s="7" t="n">
        <v>227.17</v>
      </c>
      <c r="O2762" t="n">
        <v>4.3</v>
      </c>
      <c r="P2762" t="n">
        <v>364</v>
      </c>
      <c r="R2762" t="inlineStr">
        <is>
          <t>InStock</t>
        </is>
      </c>
      <c r="S2762" t="inlineStr">
        <is>
          <t>152.66</t>
        </is>
      </c>
      <c r="T2762" t="inlineStr">
        <is>
          <t>3302429196388</t>
        </is>
      </c>
    </row>
    <row r="2763" ht="87" customHeight="1">
      <c r="A2763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2763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2763" t="inlineStr">
        <is>
          <t>ICM Controls ICM282B Furnace Control Board - Replacement for Carrier</t>
        </is>
      </c>
      <c r="D2763" t="inlineStr">
        <is>
          <t>ICM Controls ICM2807 Furnace Control Board OEM Replacement Carrier for 325879-751 and HK42FZ017</t>
        </is>
      </c>
      <c r="E2763" s="2">
        <f>HYPERLINK("https://www.amazon.com/ICM-Controls-ICM2807-Replacement-325879-751/dp/B00QW2MQ5C/ref=sr_1_5?keywords=ICM+Controls+ICM282B+Furnace+Control+Board+-+Replacement+for+Carrier&amp;qid=1694734691&amp;sr=8-5", "https://www.amazon.com/ICM-Controls-ICM2807-Replacement-325879-751/dp/B00QW2MQ5C/ref=sr_1_5?keywords=ICM+Controls+ICM282B+Furnace+Control+Board+-+Replacement+for+Carrier&amp;qid=1694734691&amp;sr=8-5")</f>
        <v/>
      </c>
      <c r="F2763" t="inlineStr">
        <is>
          <t>B00QW2MQ5C</t>
        </is>
      </c>
      <c r="G2763">
        <f>_xlfn.IMAGE("https://edmondsonsupply.com/cdn/shop/products/57_5_96e476f9-dc43-4075-94fb-2c5efeccce22.jpg?v=1659481947")</f>
        <v/>
      </c>
      <c r="H2763">
        <f>_xlfn.IMAGE("https://m.media-amazon.com/images/I/91LElyDgdnL._AC_UL320_.jpg")</f>
        <v/>
      </c>
      <c r="K2763" t="inlineStr">
        <is>
          <t>195.99</t>
        </is>
      </c>
      <c r="L2763" t="n">
        <v>164.5</v>
      </c>
      <c r="M2763" s="1" t="inlineStr">
        <is>
          <t>-16.07%</t>
        </is>
      </c>
      <c r="N2763" s="7" t="n">
        <v>226.05</v>
      </c>
      <c r="O2763" t="n">
        <v>4.4</v>
      </c>
      <c r="P2763" t="n">
        <v>32</v>
      </c>
      <c r="R2763" t="inlineStr">
        <is>
          <t>InStock</t>
        </is>
      </c>
      <c r="S2763" t="inlineStr">
        <is>
          <t>256.41</t>
        </is>
      </c>
      <c r="T2763" t="inlineStr">
        <is>
          <t>7770046464216</t>
        </is>
      </c>
    </row>
    <row r="2764" ht="87" customHeight="1">
      <c r="A2764" s="2">
        <f>HYPERLINK("https://edmondsonsupply.com/collections/hvac/products/milwaukee-49-90-1900-hepa-filter", "https://edmondsonsupply.com/collections/hvac/products/milwaukee-49-90-1900-hepa-filter")</f>
        <v/>
      </c>
      <c r="B2764" s="2">
        <f>HYPERLINK("https://edmondsonsupply.com/products/milwaukee-49-90-1900-hepa-filter", "https://edmondsonsupply.com/products/milwaukee-49-90-1900-hepa-filter")</f>
        <v/>
      </c>
      <c r="C2764" t="inlineStr">
        <is>
          <t>Milwaukee 49-90-1900 HEPA Filter</t>
        </is>
      </c>
      <c r="D2764" t="inlineStr">
        <is>
          <t>2 Pack Wet Dry Vacuum HEPA Filter Replacement 49-90-1900 Compatible with Milwaukee Cordless Vacuum - for Milwaukee Cordless M18 Vacuum 0780-20 0880-20</t>
        </is>
      </c>
      <c r="E2764" s="2">
        <f>HYPERLINK("https://www.amazon.com/Cabiclean-Replacement-Compatible-Milwaukee-49-90-1900/dp/B081V5362Z/ref=sr_1_1?keywords=Milwaukee+49-90-1900+HEPA+Filter&amp;qid=1694734913&amp;sr=8-1", "https://www.amazon.com/Cabiclean-Replacement-Compatible-Milwaukee-49-90-1900/dp/B081V5362Z/ref=sr_1_1?keywords=Milwaukee+49-90-1900+HEPA+Filter&amp;qid=1694734913&amp;sr=8-1")</f>
        <v/>
      </c>
      <c r="F2764" t="inlineStr">
        <is>
          <t>B081V5362Z</t>
        </is>
      </c>
      <c r="G2764">
        <f>_xlfn.IMAGE("https://edmondsonsupply.com/cdn/shop/files/49-90-1900_1.png?v=1686234774")</f>
        <v/>
      </c>
      <c r="H2764">
        <f>_xlfn.IMAGE("https://m.media-amazon.com/images/I/617tGPzavaL._AC_UL320_.jpg")</f>
        <v/>
      </c>
      <c r="K2764" t="inlineStr">
        <is>
          <t>24.98</t>
        </is>
      </c>
      <c r="L2764" t="n">
        <v>20.96</v>
      </c>
      <c r="M2764" s="1" t="inlineStr">
        <is>
          <t>-16.09%</t>
        </is>
      </c>
      <c r="N2764" s="7" t="n">
        <v>225.59</v>
      </c>
      <c r="O2764" t="n">
        <v>4.7</v>
      </c>
      <c r="P2764" t="n">
        <v>722</v>
      </c>
      <c r="R2764" t="inlineStr">
        <is>
          <t>InStock</t>
        </is>
      </c>
      <c r="S2764" t="inlineStr">
        <is>
          <t>40.0</t>
        </is>
      </c>
      <c r="T2764" t="inlineStr">
        <is>
          <t>8002625306840</t>
        </is>
      </c>
    </row>
    <row r="2765" hidden="1" ht="15.75" customHeight="1">
      <c r="A2765" s="2">
        <f>HYPERLINK("https://edmondsonsupply.com/collections/hvac/products/5-2-1-csru1", "https://edmondsonsupply.com/collections/hvac/products/5-2-1-csru1")</f>
        <v/>
      </c>
      <c r="B2765" s="2">
        <f>HYPERLINK("https://edmondsonsupply.com/products/5-2-1-csru1", "https://edmondsonsupply.com/products/5-2-1-csru1")</f>
        <v/>
      </c>
      <c r="C2765" t="inlineStr">
        <is>
          <t>5-2-1 CSRU1 Compressor Saver, 1 to 3 Tons</t>
        </is>
      </c>
      <c r="D2765" t="inlineStr">
        <is>
          <t>Upgraded 5-2-1 CSRU2 Compressor Saver for Air Conditioner，Compatible With 3-1/2 to 5 Ton Units，Csr-u2 Compressor Energy Saver，HVAC Hard Start Kit，AC Hard Start Capacitor Kit，1 Year Warranty</t>
        </is>
      </c>
      <c r="E2765" s="2">
        <f>HYPERLINK("https://www.amazon.com/5-2-1-CSRU2-Compressor-Conditioner%EF%BC%8CCompatible-Units%EF%BC%8CCsr-u2/dp/B0BVVV9Y4Q/ref=sr_1_12?keywords=5-2-1+CSRU1+Compressor+Saver%2C+1+to+3+Tons&amp;qid=1694734741&amp;sr=8-12", "https://www.amazon.com/5-2-1-CSRU2-Compressor-Conditioner%EF%BC%8CCompatible-Units%EF%BC%8CCsr-u2/dp/B0BVVV9Y4Q/ref=sr_1_12?keywords=5-2-1+CSRU1+Compressor+Saver%2C+1+to+3+Tons&amp;qid=1694734741&amp;sr=8-12")</f>
        <v/>
      </c>
      <c r="F2765" t="inlineStr">
        <is>
          <t>B0BVVV9Y4Q</t>
        </is>
      </c>
      <c r="G2765">
        <f>_xludf.IMAGE("https://edmondsonsupply.com/cdn/shop/products/CSRU1.jpg?v=1633030087")</f>
        <v/>
      </c>
      <c r="H2765">
        <f>_xludf.IMAGE("https://m.media-amazon.com/images/I/71gGiCsBfCL._AC_UL320_.jpg")</f>
        <v/>
      </c>
      <c r="K2765" t="inlineStr">
        <is>
          <t>34.62</t>
        </is>
      </c>
      <c r="L2765" t="n">
        <v>28.99</v>
      </c>
      <c r="M2765" s="1" t="inlineStr">
        <is>
          <t>-16.26%</t>
        </is>
      </c>
      <c r="N2765" s="1" t="n">
        <v>225.28</v>
      </c>
      <c r="O2765" t="n">
        <v>3.9</v>
      </c>
      <c r="P2765" t="n">
        <v>27</v>
      </c>
      <c r="R2765" t="inlineStr">
        <is>
          <t>InStock</t>
        </is>
      </c>
      <c r="S2765" t="inlineStr">
        <is>
          <t>39.95</t>
        </is>
      </c>
      <c r="T2765" t="inlineStr">
        <is>
          <t>3558315950180</t>
        </is>
      </c>
    </row>
    <row r="2766" ht="87" customHeight="1">
      <c r="A2766" s="2">
        <f>HYPERLINK("https://edmondsonsupply.com/collections/hvac/products/nu-calgon-4773-0-clean-connect-sprayer", "https://edmondsonsupply.com/collections/hvac/products/nu-calgon-4773-0-clean-connect-sprayer")</f>
        <v/>
      </c>
      <c r="B2766" s="2">
        <f>HYPERLINK("https://edmondsonsupply.com/products/nu-calgon-4773-0-clean-connect-sprayer", "https://edmondsonsupply.com/products/nu-calgon-4773-0-clean-connect-sprayer")</f>
        <v/>
      </c>
      <c r="C2766" t="inlineStr">
        <is>
          <t>Nu-Calgon 4773-0 Clean Connect Sprayer</t>
        </is>
      </c>
      <c r="D2766" t="inlineStr">
        <is>
          <t>NU CALGON 4774-0 Coil Gun Sprayer With Quick Connect Hose Nozzle</t>
        </is>
      </c>
      <c r="E2766" s="2">
        <f>HYPERLINK("https://www.amazon.com/Nu-Calgon-4774-0-Sprayer-Nozzle-SX-0470877/dp/B000R81VMG/ref=sr_1_1?keywords=Nu-Calgon+4773-0+Clean+Connect+Sprayer&amp;qid=1694734757&amp;sr=8-1", "https://www.amazon.com/Nu-Calgon-4774-0-Sprayer-Nozzle-SX-0470877/dp/B000R81VMG/ref=sr_1_1?keywords=Nu-Calgon+4773-0+Clean+Connect+Sprayer&amp;qid=1694734757&amp;sr=8-1")</f>
        <v/>
      </c>
      <c r="F2766" t="inlineStr">
        <is>
          <t>B000R81VMG</t>
        </is>
      </c>
      <c r="G2766">
        <f>_xlfn.IMAGE("https://edmondsonsupply.com/cdn/shop/products/4773-0_20200416.png?v=1667507119")</f>
        <v/>
      </c>
      <c r="H2766">
        <f>_xlfn.IMAGE("https://m.media-amazon.com/images/I/81ywNYt43kL._AC_UL320_.jpg")</f>
        <v/>
      </c>
      <c r="K2766" t="inlineStr">
        <is>
          <t>119.91</t>
        </is>
      </c>
      <c r="L2766" t="n">
        <v>100.37</v>
      </c>
      <c r="M2766" s="1" t="inlineStr">
        <is>
          <t>-16.30%</t>
        </is>
      </c>
      <c r="N2766" s="7" t="n">
        <v>225.19</v>
      </c>
      <c r="O2766" t="n">
        <v>4.7</v>
      </c>
      <c r="P2766" t="n">
        <v>267</v>
      </c>
      <c r="R2766" t="inlineStr">
        <is>
          <t>InStock</t>
        </is>
      </c>
      <c r="S2766" t="inlineStr">
        <is>
          <t>159.88</t>
        </is>
      </c>
      <c r="T2766" t="inlineStr">
        <is>
          <t>7874094694616</t>
        </is>
      </c>
    </row>
    <row r="2767" ht="87" customHeight="1">
      <c r="A2767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2767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2767" t="inlineStr">
        <is>
          <t>Diablo Tools DMAMXCC5030 3-1/4 in. x 7 in. SDS-Max Carbide Tipped Core Bit</t>
        </is>
      </c>
      <c r="D2767" t="inlineStr">
        <is>
          <t>Sabre Tools 3-1/8 in x 20 in x 24 in SDS MAX Breakthrough Bit, Thru Hole Bit Carbide Tipped, Multi-Cutting Head for Concrete, Brick, Stone</t>
        </is>
      </c>
      <c r="E2767" s="2">
        <f>HYPERLINK("https://www.amazon.com/Sabre-Tools-Breakthrough-Multi-Cutting-Concrete/dp/B0BDXHVV6V/ref=sr_1_44?keywords=Diablo+Tools+DMAMXCC5030+3-1%2F4+in.+x+7+in.+SDS-Max+Carbide+Tipped+Core+Bit&amp;qid=1694734916&amp;sr=8-44", "https://www.amazon.com/Sabre-Tools-Breakthrough-Multi-Cutting-Concrete/dp/B0BDXHVV6V/ref=sr_1_44?keywords=Diablo+Tools+DMAMXCC5030+3-1%2F4+in.+x+7+in.+SDS-Max+Carbide+Tipped+Core+Bit&amp;qid=1694734916&amp;sr=8-44")</f>
        <v/>
      </c>
      <c r="F2767" t="inlineStr">
        <is>
          <t>B0BDXHVV6V</t>
        </is>
      </c>
      <c r="G2767">
        <f>_xlfn.IMAGE("https://edmondsonsupply.com/cdn/shop/files/gtygiwnduxetozty2qne.webp?v=1686585332")</f>
        <v/>
      </c>
      <c r="H2767">
        <f>_xlfn.IMAGE("https://m.media-amazon.com/images/I/617bHHoNEhL._AC_UL320_.jpg")</f>
        <v/>
      </c>
      <c r="K2767" t="inlineStr">
        <is>
          <t>125.99</t>
        </is>
      </c>
      <c r="L2767" t="n">
        <v>104.99</v>
      </c>
      <c r="M2767" s="1" t="inlineStr">
        <is>
          <t>-16.67%</t>
        </is>
      </c>
      <c r="N2767" s="7" t="n">
        <v>223.52</v>
      </c>
      <c r="O2767" t="n">
        <v>4.8</v>
      </c>
      <c r="P2767" t="n">
        <v>26</v>
      </c>
      <c r="R2767" t="inlineStr">
        <is>
          <t>InStock</t>
        </is>
      </c>
      <c r="S2767" t="inlineStr">
        <is>
          <t>201.87</t>
        </is>
      </c>
      <c r="T2767" t="inlineStr">
        <is>
          <t>8004507435224</t>
        </is>
      </c>
    </row>
    <row r="2768" hidden="1" ht="15.75" customHeight="1">
      <c r="A2768" s="2">
        <f>HYPERLINK("https://edmondsonsupply.com/collections/hvac/products/white-rodgers-24a34-2-24v-electric-heat-sequencer-spst", "https://edmondsonsupply.com/collections/hvac/products/white-rodgers-24a34-2-24v-electric-heat-sequencer-spst")</f>
        <v/>
      </c>
      <c r="B2768" s="2">
        <f>HYPERLINK("https://edmondsonsupply.com/products/white-rodgers-24a34-2-24v-electric-heat-sequencer-spst", "https://edmondsonsupply.com/products/white-rodgers-24a34-2-24v-electric-heat-sequencer-spst")</f>
        <v/>
      </c>
      <c r="C2768" t="inlineStr">
        <is>
          <t>White-Rodgers 24A34-2 24V Electric Heat Sequencer, SPST</t>
        </is>
      </c>
      <c r="D2768" t="inlineStr">
        <is>
          <t>White-Rodgers 24A34-5 Electric Heat Sequencer, 3 Switch</t>
        </is>
      </c>
      <c r="E2768" s="2">
        <f>HYPERLINK("https://www.amazon.com/White-Rodgers-24A34-5-Electric-Sequencer-Switch/dp/B000LDN76A/ref=sr_1_4?keywords=White-Rodgers+24A34-2+24V+Electric+Heat+Sequencer%2C+SPST&amp;qid=1694734713&amp;sr=8-4", "https://www.amazon.com/White-Rodgers-24A34-5-Electric-Sequencer-Switch/dp/B000LDN76A/ref=sr_1_4?keywords=White-Rodgers+24A34-2+24V+Electric+Heat+Sequencer%2C+SPST&amp;qid=1694734713&amp;sr=8-4")</f>
        <v/>
      </c>
      <c r="F2768" t="inlineStr">
        <is>
          <t>B000LDN76A</t>
        </is>
      </c>
      <c r="G2768">
        <f>_xludf.IMAGE("https://edmondsonsupply.com/cdn/shop/products/24A34-2.jpg?v=1633030752")</f>
        <v/>
      </c>
      <c r="H2768">
        <f>_xludf.IMAGE("https://m.media-amazon.com/images/I/61UoZ2DTghL._AC_UL320_.jpg")</f>
        <v/>
      </c>
      <c r="K2768" t="inlineStr">
        <is>
          <t>11.99</t>
        </is>
      </c>
      <c r="L2768" t="n">
        <v>9.99</v>
      </c>
      <c r="M2768" s="1" t="inlineStr">
        <is>
          <t>-16.68%</t>
        </is>
      </c>
      <c r="N2768" s="1" t="n">
        <v>222.13</v>
      </c>
      <c r="O2768" t="n">
        <v>4.8</v>
      </c>
      <c r="P2768" t="n">
        <v>8</v>
      </c>
      <c r="R2768" t="inlineStr">
        <is>
          <t>InStock</t>
        </is>
      </c>
      <c r="S2768" t="inlineStr">
        <is>
          <t>26.43</t>
        </is>
      </c>
      <c r="T2768" t="inlineStr">
        <is>
          <t>5896366424232</t>
        </is>
      </c>
    </row>
    <row r="2769" hidden="1" ht="15.75" customHeight="1">
      <c r="A2769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769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769" t="inlineStr">
        <is>
          <t>Diablo Tools DMAMX1300 1-1/4 in. x 16 in. x 21 in. Rebar Demon™ SDS-Max 4-Cutter Full Carbide Head Hammer Drill Bit</t>
        </is>
      </c>
      <c r="D2769" t="inlineStr">
        <is>
          <t>Diablo 1" x 16" x 21" Rebar Demon™ SDS-Max 4-Cutter Full Carbide Head Hammer Bit</t>
        </is>
      </c>
      <c r="E2769" s="2">
        <f>HYPERLINK("https://www.amazon.com/Diablo-SDS-Max-4-Cutter-Carbide-Hammer/dp/B089LN5QN7/ref=sr_1_2?keywords=Diablo+Tools+DMAMX1300+1-1%2F4+in.+x+16+in.+x+21+in.+Rebar+Demon%E2%84%A2+SDS-Max+4-Cutter+Full+Carbide+Head+Hammer+Drill+Bit&amp;qid=1694734676&amp;sr=8-2", "https://www.amazon.com/Diablo-SDS-Max-4-Cutter-Carbide-Hammer/dp/B089LN5QN7/ref=sr_1_2?keywords=Diablo+Tools+DMAMX1300+1-1%2F4+in.+x+16+in.+x+21+in.+Rebar+Demon%E2%84%A2+SDS-Max+4-Cutter+Full+Carbide+Head+Hammer+Drill+Bit&amp;qid=1694734676&amp;sr=8-2")</f>
        <v/>
      </c>
      <c r="F2769" t="inlineStr">
        <is>
          <t>B089LN5QN7</t>
        </is>
      </c>
      <c r="G2769">
        <f>_xludf.IMAGE("https://edmondsonsupply.com/cdn/shop/files/immoyh7jjmbau4fzhuq6_7dd7fd73-2865-4c12-9443-da45b48dbd51.webp?v=1685465465")</f>
        <v/>
      </c>
      <c r="H2769">
        <f>_xludf.IMAGE("https://m.media-amazon.com/images/I/6182PTqKZGL._AC_UL320_.jpg")</f>
        <v/>
      </c>
      <c r="K2769" t="inlineStr">
        <is>
          <t>66.4</t>
        </is>
      </c>
      <c r="L2769" t="n">
        <v>55.24</v>
      </c>
      <c r="M2769" s="1" t="inlineStr">
        <is>
          <t>-16.81%</t>
        </is>
      </c>
      <c r="N2769" s="1" t="n">
        <v>222.13</v>
      </c>
      <c r="O2769" t="n">
        <v>3.6</v>
      </c>
      <c r="P2769" t="n">
        <v>4</v>
      </c>
      <c r="R2769" t="inlineStr">
        <is>
          <t>OutOfStock</t>
        </is>
      </c>
      <c r="S2769" t="inlineStr">
        <is>
          <t>105.4</t>
        </is>
      </c>
      <c r="T2769" t="inlineStr">
        <is>
          <t>7997856874712</t>
        </is>
      </c>
    </row>
    <row r="2770" ht="87" customHeight="1">
      <c r="A2770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2770" s="2">
        <f>HYPERLINK("https://edmondsonsupply.com/products/klein-tools-sk234-screwdriver-set-slotted-screw-holding-3-piece", "https://edmondsonsupply.com/products/klein-tools-sk234-screwdriver-set-slotted-screw-holding-3-piece")</f>
        <v/>
      </c>
      <c r="C2770" t="inlineStr">
        <is>
          <t>Klein Tools SK234 Screwdriver Set, Slotted Screw Holding, 3-Piece</t>
        </is>
      </c>
      <c r="D2770" t="inlineStr">
        <is>
          <t>Klein Tools 85484 Screwdriver Set, Mini Slotted and Phillips Screwdrivers with Tip-Ident and Premium Chrome Plasted Shafts, 4-Piece</t>
        </is>
      </c>
      <c r="E2770" s="2">
        <f>HYPERLINK("https://www.amazon.com/Cushion-Grip-Screwdriver-Klein-Tools-85484/dp/B000MKMIH6/ref=sr_1_12?keywords=Klein+Tools+SK234+Screwdriver+Set%2C+Slotted+Screw+Holding%2C+3-Piece&amp;qid=1694734646&amp;sr=8-12", "https://www.amazon.com/Cushion-Grip-Screwdriver-Klein-Tools-85484/dp/B000MKMIH6/ref=sr_1_12?keywords=Klein+Tools+SK234+Screwdriver+Set%2C+Slotted+Screw+Holding%2C+3-Piece&amp;qid=1694734646&amp;sr=8-12")</f>
        <v/>
      </c>
      <c r="F2770" t="inlineStr">
        <is>
          <t>B000MKMIH6</t>
        </is>
      </c>
      <c r="G2770">
        <f>_xlfn.IMAGE("https://edmondsonsupply.com/cdn/shop/products/sk234.jpg?v=1587144984")</f>
        <v/>
      </c>
      <c r="H2770">
        <f>_xlfn.IMAGE("https://m.media-amazon.com/images/I/51OU6J-qcHL._AC_UL320_.jpg")</f>
        <v/>
      </c>
      <c r="K2770" t="inlineStr">
        <is>
          <t>29.97</t>
        </is>
      </c>
      <c r="L2770" t="n">
        <v>24.9</v>
      </c>
      <c r="M2770" s="1" t="inlineStr">
        <is>
          <t>-16.92%</t>
        </is>
      </c>
      <c r="N2770" s="7" t="n">
        <v>220.55</v>
      </c>
      <c r="O2770" t="n">
        <v>4.5</v>
      </c>
      <c r="P2770" t="n">
        <v>487</v>
      </c>
      <c r="R2770" t="inlineStr">
        <is>
          <t>OutOfStock</t>
        </is>
      </c>
      <c r="S2770" t="inlineStr">
        <is>
          <t>45.42</t>
        </is>
      </c>
      <c r="T2770" t="inlineStr">
        <is>
          <t>4405483143268</t>
        </is>
      </c>
    </row>
    <row r="2771" ht="87" customHeight="1">
      <c r="A2771" s="2">
        <f>HYPERLINK("https://edmondsonsupply.com/collections/hvac/products/fluke-1587-fc-insulation-multimeter", "https://edmondsonsupply.com/collections/hvac/products/fluke-1587-fc-insulation-multimeter")</f>
        <v/>
      </c>
      <c r="B2771" s="2">
        <f>HYPERLINK("https://edmondsonsupply.com/products/fluke-1587-fc-insulation-multimeter", "https://edmondsonsupply.com/products/fluke-1587-fc-insulation-multimeter")</f>
        <v/>
      </c>
      <c r="C2771" t="inlineStr">
        <is>
          <t>Fluke 1587 FC Insulation Multimeter</t>
        </is>
      </c>
      <c r="D2771" t="inlineStr">
        <is>
          <t>Fluke - Fluke-1587 FC Fluke 1587 FC 2-in-1 Insulation Multimeter &amp; 376FC True-RMS Clamp Meter with iFlex</t>
        </is>
      </c>
      <c r="E2771" s="2">
        <f>HYPERLINK("https://www.amazon.com/Fluke-Fluke-1587-2-Insulation-Multimeter/dp/B097RJ5RFC/ref=sr_1_3?keywords=Fluke+1587+FC+Insulation+Multimeter&amp;qid=1694734664&amp;sr=8-3", "https://www.amazon.com/Fluke-Fluke-1587-2-Insulation-Multimeter/dp/B097RJ5RFC/ref=sr_1_3?keywords=Fluke+1587+FC+Insulation+Multimeter&amp;qid=1694734664&amp;sr=8-3")</f>
        <v/>
      </c>
      <c r="F2771" t="inlineStr">
        <is>
          <t>B097RJ5RFC</t>
        </is>
      </c>
      <c r="G2771">
        <f>_xlfn.IMAGE("https://edmondsonsupply.com/cdn/shop/products/Fluke_1587_FC_True-rms_Insulation_Multimeter__1280x1006px_E_NR-20298.jpg?v=1633031188")</f>
        <v/>
      </c>
      <c r="H2771">
        <f>_xlfn.IMAGE("https://m.media-amazon.com/images/I/61imMzzqBHS._AC_UL320_.jpg")</f>
        <v/>
      </c>
      <c r="K2771" t="inlineStr">
        <is>
          <t>929.99</t>
        </is>
      </c>
      <c r="L2771" t="n">
        <v>770.95</v>
      </c>
      <c r="M2771" s="1" t="inlineStr">
        <is>
          <t>-17.10%</t>
        </is>
      </c>
      <c r="N2771" s="7" t="n">
        <v>220.09</v>
      </c>
      <c r="O2771" t="n">
        <v>4.7</v>
      </c>
      <c r="P2771" t="n">
        <v>45</v>
      </c>
      <c r="R2771" t="inlineStr">
        <is>
          <t>InStock</t>
        </is>
      </c>
      <c r="S2771" t="inlineStr">
        <is>
          <t>1038.99</t>
        </is>
      </c>
      <c r="T2771" t="inlineStr">
        <is>
          <t>6925453754541</t>
        </is>
      </c>
    </row>
    <row r="2772" ht="87" customHeight="1">
      <c r="A2772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772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772" t="inlineStr">
        <is>
          <t>Diablo Tools DMAMX1300 1-1/4 in. x 16 in. x 21 in. Rebar Demon™ SDS-Max 4-Cutter Full Carbide Head Hammer Drill Bit</t>
        </is>
      </c>
      <c r="D2772" t="inlineStr">
        <is>
          <t>Diablo by Freud DMAMX1040 1/2 in. x 24 in. x 29 in. Rebar Demon™ SDS-Max 4-Cutter Full Carbide Head</t>
        </is>
      </c>
      <c r="E2772" s="2">
        <f>HYPERLINK("https://www.amazon.com/Diablo-SDS-Max-4-Cutter-Carbide-Hammer/dp/B089LG76YL/ref=sr_1_13?keywords=Diablo+Tools+DMAMX1300+1-1%2F4+in.+x+16+in.+x+21+in.+Rebar+Demon%E2%84%A2+SDS-Max+4-Cutter+Full+Carbide+Head+Hammer+Drill+Bit&amp;qid=1694734676&amp;sr=8-13", "https://www.amazon.com/Diablo-SDS-Max-4-Cutter-Carbide-Hammer/dp/B089LG76YL/ref=sr_1_13?keywords=Diablo+Tools+DMAMX1300+1-1%2F4+in.+x+16+in.+x+21+in.+Rebar+Demon%E2%84%A2+SDS-Max+4-Cutter+Full+Carbide+Head+Hammer+Drill+Bit&amp;qid=1694734676&amp;sr=8-13")</f>
        <v/>
      </c>
      <c r="F2772" t="inlineStr">
        <is>
          <t>B089LG76YL</t>
        </is>
      </c>
      <c r="G2772">
        <f>_xlfn.IMAGE("https://edmondsonsupply.com/cdn/shop/files/immoyh7jjmbau4fzhuq6_7dd7fd73-2865-4c12-9443-da45b48dbd51.webp?v=1685465465")</f>
        <v/>
      </c>
      <c r="H2772">
        <f>_xlfn.IMAGE("https://m.media-amazon.com/images/I/61Q8G2EXOxL._AC_UL320_.jpg")</f>
        <v/>
      </c>
      <c r="K2772" t="inlineStr">
        <is>
          <t>66.4</t>
        </is>
      </c>
      <c r="L2772" t="n">
        <v>55</v>
      </c>
      <c r="M2772" s="1" t="inlineStr">
        <is>
          <t>-17.17%</t>
        </is>
      </c>
      <c r="N2772" s="7" t="n">
        <v>220.09</v>
      </c>
      <c r="O2772" t="n">
        <v>5</v>
      </c>
      <c r="P2772" t="n">
        <v>9</v>
      </c>
      <c r="R2772" t="inlineStr">
        <is>
          <t>OutOfStock</t>
        </is>
      </c>
      <c r="S2772" t="inlineStr">
        <is>
          <t>105.4</t>
        </is>
      </c>
      <c r="T2772" t="inlineStr">
        <is>
          <t>7997856874712</t>
        </is>
      </c>
    </row>
    <row r="2773" ht="87" customHeight="1">
      <c r="A2773" s="2">
        <f>HYPERLINK("https://edmondsonsupply.com/collections/hvac/products/milwaukee-49-90-1900-hepa-filter", "https://edmondsonsupply.com/collections/hvac/products/milwaukee-49-90-1900-hepa-filter")</f>
        <v/>
      </c>
      <c r="B2773" s="2">
        <f>HYPERLINK("https://edmondsonsupply.com/products/milwaukee-49-90-1900-hepa-filter", "https://edmondsonsupply.com/products/milwaukee-49-90-1900-hepa-filter")</f>
        <v/>
      </c>
      <c r="C2773" t="inlineStr">
        <is>
          <t>Milwaukee 49-90-1900 HEPA Filter</t>
        </is>
      </c>
      <c r="D2773" t="inlineStr">
        <is>
          <t>49-90-1900 Wet/Dry Filter Kit Replacement Compatible with Milwaukee Cordless Vacuum (Pack of 2)</t>
        </is>
      </c>
      <c r="E2773" s="2">
        <f>HYPERLINK("https://www.amazon.com/49-90-1900-Replacement-Compatible-Milwaukee-Cordless/dp/B07Y16WCJR/ref=sr_1_11?keywords=Milwaukee+49-90-1900+HEPA+Filter&amp;qid=1694734913&amp;sr=8-11", "https://www.amazon.com/49-90-1900-Replacement-Compatible-Milwaukee-Cordless/dp/B07Y16WCJR/ref=sr_1_11?keywords=Milwaukee+49-90-1900+HEPA+Filter&amp;qid=1694734913&amp;sr=8-11")</f>
        <v/>
      </c>
      <c r="F2773" t="inlineStr">
        <is>
          <t>B07Y16WCJR</t>
        </is>
      </c>
      <c r="G2773">
        <f>_xlfn.IMAGE("https://edmondsonsupply.com/cdn/shop/files/49-90-1900_1.png?v=1686234774")</f>
        <v/>
      </c>
      <c r="H2773">
        <f>_xlfn.IMAGE("https://m.media-amazon.com/images/I/71yMxLPr6tL._AC_UL320_.jpg")</f>
        <v/>
      </c>
      <c r="K2773" t="inlineStr">
        <is>
          <t>24.98</t>
        </is>
      </c>
      <c r="L2773" t="n">
        <v>20.69</v>
      </c>
      <c r="M2773" s="1" t="inlineStr">
        <is>
          <t>-17.17%</t>
        </is>
      </c>
      <c r="N2773" s="7" t="n">
        <v>219.96</v>
      </c>
      <c r="O2773" t="n">
        <v>4.6</v>
      </c>
      <c r="P2773" t="n">
        <v>704</v>
      </c>
      <c r="R2773" t="inlineStr">
        <is>
          <t>InStock</t>
        </is>
      </c>
      <c r="S2773" t="inlineStr">
        <is>
          <t>40.0</t>
        </is>
      </c>
      <c r="T2773" t="inlineStr">
        <is>
          <t>8002625306840</t>
        </is>
      </c>
    </row>
    <row r="2774" hidden="1" ht="15.75" customHeight="1">
      <c r="A2774" s="2">
        <f>HYPERLINK("https://edmondsonsupply.com/collections/hvac/products/ma-line-ma-12816-a-analog-multimeter", "https://edmondsonsupply.com/collections/hvac/products/ma-line-ma-12816-a-analog-multimeter")</f>
        <v/>
      </c>
      <c r="B2774" s="2">
        <f>HYPERLINK("https://edmondsonsupply.com/products/ma-line-ma-12816-a-analog-multimeter", "https://edmondsonsupply.com/products/ma-line-ma-12816-a-analog-multimeter")</f>
        <v/>
      </c>
      <c r="C2774" t="inlineStr">
        <is>
          <t>MA-Line MA-12816-A Analog Multimeter</t>
        </is>
      </c>
      <c r="D2774" t="inlineStr">
        <is>
          <t>Sunwa YX360-TRD 7-Function 16-Range Analog Multimeter With One Touch Capacitance Estimation</t>
        </is>
      </c>
      <c r="E2774" s="2">
        <f>HYPERLINK("https://www.amazon.com/YX360-TRD-7-Function-Multimeter-Capacitance-Estimation/dp/B00UN4CMPY/ref=sr_1_2?keywords=MA-Line+MA-12816-A+Analog+Multimeter&amp;qid=1694734819&amp;sr=8-2", "https://www.amazon.com/YX360-TRD-7-Function-Multimeter-Capacitance-Estimation/dp/B00UN4CMPY/ref=sr_1_2?keywords=MA-Line+MA-12816-A+Analog+Multimeter&amp;qid=1694734819&amp;sr=8-2")</f>
        <v/>
      </c>
      <c r="F2774" t="inlineStr">
        <is>
          <t>B00UN4CMPY</t>
        </is>
      </c>
      <c r="G2774">
        <f>_xludf.IMAGE("https://edmondsonsupply.com/cdn/shop/products/MA-12816-A.jpg?v=1587142675")</f>
        <v/>
      </c>
      <c r="H2774">
        <f>_xludf.IMAGE("https://m.media-amazon.com/images/I/71D6cWc0xqL._AC_UL320_.jpg")</f>
        <v/>
      </c>
      <c r="K2774" t="inlineStr">
        <is>
          <t>19.94</t>
        </is>
      </c>
      <c r="L2774" t="n">
        <v>16.5</v>
      </c>
      <c r="M2774" s="1" t="inlineStr">
        <is>
          <t>-17.25%</t>
        </is>
      </c>
      <c r="N2774" s="1" t="n">
        <v>219.51</v>
      </c>
      <c r="O2774" t="n">
        <v>4</v>
      </c>
      <c r="P2774" t="n">
        <v>153</v>
      </c>
      <c r="R2774" t="inlineStr">
        <is>
          <t>InStock</t>
        </is>
      </c>
      <c r="S2774" t="inlineStr">
        <is>
          <t>undefined</t>
        </is>
      </c>
      <c r="T2774" t="inlineStr">
        <is>
          <t>4328880275556</t>
        </is>
      </c>
    </row>
    <row r="2775" ht="87" customHeight="1">
      <c r="A2775" s="2">
        <f>HYPERLINK("https://edmondsonsupply.com/collections/hvac/products/yellow-jacket-29985-plus-ii-60-charging-hose", "https://edmondsonsupply.com/collections/hvac/products/yellow-jacket-29985-plus-ii-60-charging-hose")</f>
        <v/>
      </c>
      <c r="B2775" s="2">
        <f>HYPERLINK("https://edmondsonsupply.com/products/yellow-jacket-29985-plus-ii-60-charging-hose", "https://edmondsonsupply.com/products/yellow-jacket-29985-plus-ii-60-charging-hose")</f>
        <v/>
      </c>
      <c r="C2775" t="inlineStr">
        <is>
          <t>Yellow Jacket 29985 PLUS II 60" Charging Hose (RYB) w/ Compact Ball Valve, 3-Pack</t>
        </is>
      </c>
      <c r="D2775" t="inlineStr">
        <is>
          <t>Yellow Jacket 29993 Plus II 1/4" Hose with Compact Ball Valve, 36" (Pack of 3)</t>
        </is>
      </c>
      <c r="E2775" s="2">
        <f>HYPERLINK("https://www.amazon.com/Yellow-Jacket-29993-Compact-Valve/dp/B009AXDOEM/ref=sr_1_14?keywords=Yellow+Jacket+29985+PLUS+II+60%22+Charging+Hose+%28RYB%29+w%2F+Compact+Ball+Valve%2C+3-Pack&amp;qid=1694734589&amp;sr=8-14", "https://www.amazon.com/Yellow-Jacket-29993-Compact-Valve/dp/B009AXDOEM/ref=sr_1_14?keywords=Yellow+Jacket+29985+PLUS+II+60%22+Charging+Hose+%28RYB%29+w%2F+Compact+Ball+Valve%2C+3-Pack&amp;qid=1694734589&amp;sr=8-14")</f>
        <v/>
      </c>
      <c r="F2775" t="inlineStr">
        <is>
          <t>B009AXDOEM</t>
        </is>
      </c>
      <c r="G2775">
        <f>_xlfn.IMAGE("https://edmondsonsupply.com/cdn/shop/products/plus-ii-with-compact-ball-valve-end_daf9ff49-90e3-4782-bcfe-be83f0c422fa.jpg?v=1652142880")</f>
        <v/>
      </c>
      <c r="H2775">
        <f>_xlfn.IMAGE("https://m.media-amazon.com/images/I/81y+CVHF5eL._AC_UY218_.jpg")</f>
        <v/>
      </c>
      <c r="K2775" t="inlineStr">
        <is>
          <t>139.83</t>
        </is>
      </c>
      <c r="L2775" t="n">
        <v>115.23</v>
      </c>
      <c r="M2775" s="1" t="inlineStr">
        <is>
          <t>-17.59%</t>
        </is>
      </c>
      <c r="N2775" s="7" t="n">
        <v>219.32</v>
      </c>
      <c r="O2775" t="n">
        <v>4.3</v>
      </c>
      <c r="P2775" t="n">
        <v>3</v>
      </c>
      <c r="R2775" t="inlineStr">
        <is>
          <t>InStock</t>
        </is>
      </c>
      <c r="S2775" t="inlineStr">
        <is>
          <t>undefined</t>
        </is>
      </c>
      <c r="T2775" t="inlineStr">
        <is>
          <t>2503608041572</t>
        </is>
      </c>
    </row>
    <row r="2776" hidden="1" ht="15.75" customHeight="1">
      <c r="A2776" s="2">
        <f>HYPERLINK("https://edmondsonsupply.com/collections/hvac/products/channellock-428", "https://edmondsonsupply.com/collections/hvac/products/channellock-428")</f>
        <v/>
      </c>
      <c r="B2776" s="2">
        <f>HYPERLINK("https://edmondsonsupply.com/products/channellock-428", "https://edmondsonsupply.com/products/channellock-428")</f>
        <v/>
      </c>
      <c r="C2776" t="inlineStr">
        <is>
          <t>Channellock 428 8-Inch Straight Jaw Tongue &amp; Groove Pliers</t>
        </is>
      </c>
      <c r="D2776" t="inlineStr">
        <is>
          <t>CHANNELLOCK 412 6.5-inch V-Jaw Tongue &amp; Groove Pliers | Made in USA | 0.94-inch Jaw Capacity | Forged High Carbon Steel | More Points of Contact on Round Stock , Polished</t>
        </is>
      </c>
      <c r="E2776" s="2">
        <f>HYPERLINK("https://www.amazon.com/CHANNELLOCK-412-6-5-inch-0-94-inch-Capacity/dp/B003GDIDMU/ref=sr_1_10?keywords=Channellock+428+8-Inch+Straight+Jaw+Tongue&amp;qid=1694734826&amp;sr=8-10", "https://www.amazon.com/CHANNELLOCK-412-6-5-inch-0-94-inch-Capacity/dp/B003GDIDMU/ref=sr_1_10?keywords=Channellock+428+8-Inch+Straight+Jaw+Tongue&amp;qid=1694734826&amp;sr=8-10")</f>
        <v/>
      </c>
      <c r="F2776" t="inlineStr">
        <is>
          <t>B003GDIDMU</t>
        </is>
      </c>
      <c r="G2776">
        <f>_xludf.IMAGE("https://edmondsonsupply.com/cdn/shop/products/428-683x1024.jpg?v=1587145854")</f>
        <v/>
      </c>
      <c r="H2776">
        <f>_xludf.IMAGE("https://m.media-amazon.com/images/I/717wadbx-sL._AC_UL320_.jpg")</f>
        <v/>
      </c>
      <c r="K2776" t="inlineStr">
        <is>
          <t>16.95</t>
        </is>
      </c>
      <c r="L2776" t="n">
        <v>13.95</v>
      </c>
      <c r="M2776" s="1" t="inlineStr">
        <is>
          <t>-17.70%</t>
        </is>
      </c>
      <c r="N2776" s="1" t="n">
        <v>216.64</v>
      </c>
      <c r="O2776" t="n">
        <v>4.7</v>
      </c>
      <c r="P2776" t="n">
        <v>2311</v>
      </c>
      <c r="R2776" t="inlineStr">
        <is>
          <t>InStock</t>
        </is>
      </c>
      <c r="S2776" t="inlineStr">
        <is>
          <t>25.06</t>
        </is>
      </c>
      <c r="T2776" t="inlineStr">
        <is>
          <t>3523408527460</t>
        </is>
      </c>
    </row>
    <row r="2777" ht="87" customHeight="1">
      <c r="A2777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777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777" t="inlineStr">
        <is>
          <t>Klein Tools D20009NEGLW High-Visibility Side-Cutting Pliers High-Leverage</t>
        </is>
      </c>
      <c r="D2777" t="inlineStr">
        <is>
          <t>Klein Tools Journeyman 8 in. High-Leverage Diagonal-Cutting Pliers</t>
        </is>
      </c>
      <c r="E2777" s="2">
        <f>HYPERLINK("https://www.amazon.com/Klein-Tools-Journeyman-High-Leverage-Diagonal-Cutting/dp/B00KVZCFFW/ref=sr_1_37?keywords=Klein+Tools+D20009NEGLW+High-Visibility+Side-Cutting+Pliers+High-Leverage&amp;qid=1694734809&amp;sr=8-37", "https://www.amazon.com/Klein-Tools-Journeyman-High-Leverage-Diagonal-Cutting/dp/B00KVZCFFW/ref=sr_1_37?keywords=Klein+Tools+D20009NEGLW+High-Visibility+Side-Cutting+Pliers+High-Leverage&amp;qid=1694734809&amp;sr=8-37")</f>
        <v/>
      </c>
      <c r="F2777" t="inlineStr">
        <is>
          <t>B00KVZCFFW</t>
        </is>
      </c>
      <c r="G2777">
        <f>_xlfn.IMAGE("https://edmondsonsupply.com/cdn/shop/products/d20009neglw.jpg?v=1587144933")</f>
        <v/>
      </c>
      <c r="H2777">
        <f>_xlfn.IMAGE("https://m.media-amazon.com/images/I/41DcHpwdIJL._AC_UL320_.jpg")</f>
        <v/>
      </c>
      <c r="K2777" t="inlineStr">
        <is>
          <t>44.97</t>
        </is>
      </c>
      <c r="L2777" t="n">
        <v>36.99</v>
      </c>
      <c r="M2777" s="1" t="inlineStr">
        <is>
          <t>-17.75%</t>
        </is>
      </c>
      <c r="N2777" s="7" t="n">
        <v>216.57</v>
      </c>
      <c r="O2777" t="n">
        <v>4.7</v>
      </c>
      <c r="P2777" t="n">
        <v>3</v>
      </c>
      <c r="R2777" t="inlineStr">
        <is>
          <t>InStock</t>
        </is>
      </c>
      <c r="S2777" t="inlineStr">
        <is>
          <t>68.16</t>
        </is>
      </c>
      <c r="T2777" t="inlineStr">
        <is>
          <t>4396888490084</t>
        </is>
      </c>
    </row>
    <row r="2778" ht="87" customHeight="1">
      <c r="A2778" s="2">
        <f>HYPERLINK("https://edmondsonsupply.com/collections/hvac/products/klein-tools-d203-8-glw-pliers-long-nose-side-cutters-hi-viz-8-inch", "https://edmondsonsupply.com/collections/hvac/products/klein-tools-d203-8-glw-pliers-long-nose-side-cutters-hi-viz-8-inch")</f>
        <v/>
      </c>
      <c r="B2778" s="2">
        <f>HYPERLINK("https://edmondsonsupply.com/products/klein-tools-d203-8-glw-pliers-long-nose-side-cutters-hi-viz-8-inch", "https://edmondsonsupply.com/products/klein-tools-d203-8-glw-pliers-long-nose-side-cutters-hi-viz-8-inch")</f>
        <v/>
      </c>
      <c r="C2778" t="inlineStr">
        <is>
          <t>Klein Tools D203-8-GLW Pliers, Needle Nose Side-Cutters, High-Visibility, 8-Inch</t>
        </is>
      </c>
      <c r="D2778" t="inlineStr">
        <is>
          <t>Klein Tools D203-8 Needle Nose Pliers, Long Nose Side Cutters, Alligator Pliers with Extended Handles, 8-Inch</t>
        </is>
      </c>
      <c r="E2778" s="2">
        <f>HYPERLINK("https://www.amazon.com/Linemans-Alligator-Klein-Tools-D203-8/dp/B0000302WQ/ref=sr_1_2?keywords=Klein+Tools+D203-8-GLW+Pliers%2C+Needle+Nose+Side-Cutters%2C+High-Visibility%2C+8-Inch&amp;qid=1694734647&amp;sr=8-2", "https://www.amazon.com/Linemans-Alligator-Klein-Tools-D203-8/dp/B0000302WQ/ref=sr_1_2?keywords=Klein+Tools+D203-8-GLW+Pliers%2C+Needle+Nose+Side-Cutters%2C+High-Visibility%2C+8-Inch&amp;qid=1694734647&amp;sr=8-2")</f>
        <v/>
      </c>
      <c r="F2778" t="inlineStr">
        <is>
          <t>B0000302WQ</t>
        </is>
      </c>
      <c r="G2778">
        <f>_xlfn.IMAGE("https://edmondsonsupply.com/cdn/shop/products/d2038glw.jpg?v=1587146455")</f>
        <v/>
      </c>
      <c r="H2778">
        <f>_xlfn.IMAGE("https://m.media-amazon.com/images/I/51Ifjz4aftL._AC_UL320_.jpg")</f>
        <v/>
      </c>
      <c r="K2778" t="inlineStr">
        <is>
          <t>34.99</t>
        </is>
      </c>
      <c r="L2778" t="n">
        <v>28.74</v>
      </c>
      <c r="M2778" s="1" t="inlineStr">
        <is>
          <t>-17.86%</t>
        </is>
      </c>
      <c r="N2778" s="7" t="n">
        <v>216.34</v>
      </c>
      <c r="O2778" t="n">
        <v>4.8</v>
      </c>
      <c r="P2778" t="n">
        <v>930</v>
      </c>
      <c r="R2778" t="inlineStr">
        <is>
          <t>InStock</t>
        </is>
      </c>
      <c r="S2778" t="inlineStr">
        <is>
          <t>53.0</t>
        </is>
      </c>
      <c r="T2778" t="inlineStr">
        <is>
          <t>4386818883684</t>
        </is>
      </c>
    </row>
    <row r="2779" ht="87" customHeight="1">
      <c r="A2779" s="2">
        <f>HYPERLINK("https://edmondsonsupply.com/collections/hvac/products/diablo-tools-dmamxcc5040-3-9-16-in-x-7-in-sds-max-carbide-tipped-core-bit", "https://edmondsonsupply.com/collections/hvac/products/diablo-tools-dmamxcc5040-3-9-16-in-x-7-in-sds-max-carbide-tipped-core-bit")</f>
        <v/>
      </c>
      <c r="B2779" s="2">
        <f>HYPERLINK("https://edmondsonsupply.com/products/diablo-tools-dmamxcc5040-3-9-16-in-x-7-in-sds-max-carbide-tipped-core-bit", "https://edmondsonsupply.com/products/diablo-tools-dmamxcc5040-3-9-16-in-x-7-in-sds-max-carbide-tipped-core-bit")</f>
        <v/>
      </c>
      <c r="C2779" t="inlineStr">
        <is>
          <t>Diablo Tools DMAMXCC5040 3-9/16 in. x 7 in. SDS-Max Carbide Tipped Core Bit</t>
        </is>
      </c>
      <c r="D2779" t="inlineStr">
        <is>
          <t>Diablo by Freud DMAMXCC5030 3-1/4 in. x 7 in. SDS-Max Carbide Tipped Core Bit Multi, One Size</t>
        </is>
      </c>
      <c r="E2779" s="2">
        <f>HYPERLINK("https://www.amazon.com/Diablo-DMAMXCC5030-SDS-Max-Carbide-Tipped/dp/B089M8K3HG/ref=sr_1_4?keywords=Diablo+Tools+DMAMXCC5040+3-9%2F16+in.+x+7+in.+SDS-Max+Carbide+Tipped+Core+Bit&amp;qid=1694734909&amp;sr=8-4", "https://www.amazon.com/Diablo-DMAMXCC5030-SDS-Max-Carbide-Tipped/dp/B089M8K3HG/ref=sr_1_4?keywords=Diablo+Tools+DMAMXCC5040+3-9%2F16+in.+x+7+in.+SDS-Max+Carbide+Tipped+Core+Bit&amp;qid=1694734909&amp;sr=8-4")</f>
        <v/>
      </c>
      <c r="F2779" t="inlineStr">
        <is>
          <t>B089M8K3HG</t>
        </is>
      </c>
      <c r="G2779">
        <f>_xlfn.IMAGE("https://edmondsonsupply.com/cdn/shop/files/a3uovbbd2u7b0jmabzl1.webp?v=1686586245")</f>
        <v/>
      </c>
      <c r="H2779">
        <f>_xlfn.IMAGE("https://m.media-amazon.com/images/I/71U1Um--OXL._AC_UL320_.jpg")</f>
        <v/>
      </c>
      <c r="K2779" t="inlineStr">
        <is>
          <t>133.99</t>
        </is>
      </c>
      <c r="L2779" t="n">
        <v>110</v>
      </c>
      <c r="M2779" s="1" t="inlineStr">
        <is>
          <t>-17.90%</t>
        </is>
      </c>
      <c r="N2779" s="7" t="n">
        <v>216.12</v>
      </c>
      <c r="O2779" t="n">
        <v>5</v>
      </c>
      <c r="P2779" t="n">
        <v>3</v>
      </c>
      <c r="R2779" t="inlineStr">
        <is>
          <t>InStock</t>
        </is>
      </c>
      <c r="S2779" t="inlineStr">
        <is>
          <t>213.9</t>
        </is>
      </c>
      <c r="T2779" t="inlineStr">
        <is>
          <t>8004509630680</t>
        </is>
      </c>
    </row>
    <row r="2780" ht="87" customHeight="1">
      <c r="A2780" s="2">
        <f>HYPERLINK("https://edmondsonsupply.com/collections/hvac/products/klein-tools-cl445-hvac-clamp-meter", "https://edmondsonsupply.com/collections/hvac/products/klein-tools-cl445-hvac-clamp-meter")</f>
        <v/>
      </c>
      <c r="B2780" s="2">
        <f>HYPERLINK("https://edmondsonsupply.com/products/klein-tools-cl445-hvac-clamp-meter", "https://edmondsonsupply.com/products/klein-tools-cl445-hvac-clamp-meter")</f>
        <v/>
      </c>
      <c r="C2780" t="inlineStr">
        <is>
          <t>Klein Tools CL445 HVAC Clamp Meter</t>
        </is>
      </c>
      <c r="D2780" t="inlineStr">
        <is>
          <t>Klein Tools CL320 Digital Clamp Meter, HVAC AC Auto-ranging 400A, AC/DC Voltage, TRMS, DC Microamps, Resistance, Frequency, NCVT, Temp, More</t>
        </is>
      </c>
      <c r="E2780" s="2">
        <f>HYPERLINK("https://www.amazon.com/Klein-Tools-CL320-Digital-Electrical/dp/B08DDTV5KG/ref=sr_1_7?keywords=Klein+Tools+CL445+HVAC+Clamp+Meter&amp;qid=1694734744&amp;sr=8-7", "https://www.amazon.com/Klein-Tools-CL320-Digital-Electrical/dp/B08DDTV5KG/ref=sr_1_7?keywords=Klein+Tools+CL445+HVAC+Clamp+Meter&amp;qid=1694734744&amp;sr=8-7")</f>
        <v/>
      </c>
      <c r="F2780" t="inlineStr">
        <is>
          <t>B08DDTV5KG</t>
        </is>
      </c>
      <c r="G2780">
        <f>_xlfn.IMAGE("https://edmondsonsupply.com/cdn/shop/files/cl445.jpg?v=1689781250")</f>
        <v/>
      </c>
      <c r="H2780">
        <f>_xlfn.IMAGE("https://m.media-amazon.com/images/I/61qVZZBNj2L._AC_UY218_.jpg")</f>
        <v/>
      </c>
      <c r="K2780" t="inlineStr">
        <is>
          <t>99.99</t>
        </is>
      </c>
      <c r="L2780" t="n">
        <v>81.98999999999999</v>
      </c>
      <c r="M2780" s="1" t="inlineStr">
        <is>
          <t>-18.00%</t>
        </is>
      </c>
      <c r="N2780" s="7" t="n">
        <v>215.81</v>
      </c>
      <c r="O2780" t="n">
        <v>4.8</v>
      </c>
      <c r="P2780" t="n">
        <v>986</v>
      </c>
      <c r="R2780" t="inlineStr">
        <is>
          <t>InStock</t>
        </is>
      </c>
      <c r="S2780" t="inlineStr">
        <is>
          <t>140.0</t>
        </is>
      </c>
      <c r="T2780" t="inlineStr">
        <is>
          <t>8018511134936</t>
        </is>
      </c>
    </row>
    <row r="2781" hidden="1" ht="15.75" customHeight="1">
      <c r="A2781" s="2">
        <f>HYPERLINK("https://edmondsonsupply.com/collections/hvac/products/greenlee-dtap1-4-20-drill-tap-1-4-20", "https://edmondsonsupply.com/collections/hvac/products/greenlee-dtap1-4-20-drill-tap-1-4-20")</f>
        <v/>
      </c>
      <c r="B2781" s="2">
        <f>HYPERLINK("https://edmondsonsupply.com/products/greenlee-dtap1-4-20-drill-tap-1-4-20", "https://edmondsonsupply.com/products/greenlee-dtap1-4-20-drill-tap-1-4-20")</f>
        <v/>
      </c>
      <c r="C2781" t="inlineStr">
        <is>
          <t>Greenlee DTAP1/4-20 Drill/Tap, 1/4-20</t>
        </is>
      </c>
      <c r="D2781" t="inlineStr">
        <is>
          <t>DEWALT Drill Tap, UNC, 1/4-Inch (DWADT1420)</t>
        </is>
      </c>
      <c r="E2781" s="2">
        <f>HYPERLINK("https://www.amazon.com/DEWALT-DWADT1420-UNC-Drill-Tap/dp/B014R19O7C/ref=sr_1_11?keywords=Greenlee+DTAP1%2F4-20+Drill%2FTap%2C+1%2F4-20&amp;qid=1694734812&amp;sr=8-11", "https://www.amazon.com/DEWALT-DWADT1420-UNC-Drill-Tap/dp/B014R19O7C/ref=sr_1_11?keywords=Greenlee+DTAP1%2F4-20+Drill%2FTap%2C+1%2F4-20&amp;qid=1694734812&amp;sr=8-11")</f>
        <v/>
      </c>
      <c r="F2781" t="inlineStr">
        <is>
          <t>B014R19O7C</t>
        </is>
      </c>
      <c r="G2781">
        <f>_xludf.IMAGE("https://edmondsonsupply.com/cdn/shop/products/DTAP1-4-20.jpg?v=1587151009")</f>
        <v/>
      </c>
      <c r="H2781">
        <f>_xludf.IMAGE("https://m.media-amazon.com/images/I/41AF1rdbzdL._AC_UL320_.jpg")</f>
        <v/>
      </c>
      <c r="K2781" t="inlineStr">
        <is>
          <t>8.99</t>
        </is>
      </c>
      <c r="L2781" t="n">
        <v>7.37</v>
      </c>
      <c r="M2781" s="1" t="inlineStr">
        <is>
          <t>-18.02%</t>
        </is>
      </c>
      <c r="N2781" s="1" t="n">
        <v>215.66</v>
      </c>
      <c r="O2781" t="n">
        <v>4.5</v>
      </c>
      <c r="P2781" t="n">
        <v>400</v>
      </c>
      <c r="R2781" t="inlineStr">
        <is>
          <t>InStock</t>
        </is>
      </c>
      <c r="S2781" t="inlineStr">
        <is>
          <t>9.7</t>
        </is>
      </c>
      <c r="T2781" t="inlineStr">
        <is>
          <t>4395885199460</t>
        </is>
      </c>
    </row>
    <row r="2782" ht="87" customHeight="1">
      <c r="A2782" s="2">
        <f>HYPERLINK("https://edmondsonsupply.com/collections/hvac/products/milwaukee-49-90-1900-hepa-filter", "https://edmondsonsupply.com/collections/hvac/products/milwaukee-49-90-1900-hepa-filter")</f>
        <v/>
      </c>
      <c r="B2782" s="2">
        <f>HYPERLINK("https://edmondsonsupply.com/products/milwaukee-49-90-1900-hepa-filter", "https://edmondsonsupply.com/products/milwaukee-49-90-1900-hepa-filter")</f>
        <v/>
      </c>
      <c r="C2782" t="inlineStr">
        <is>
          <t>Milwaukee 49-90-1900 HEPA Filter</t>
        </is>
      </c>
      <c r="D2782" t="inlineStr">
        <is>
          <t>Funmit 49-90-1900 HEPA Wet Dry Vacuum Filter Replacement for Milwaukee Cordless M18 Vacuum 0780-20 0880-20 (2 Pack)</t>
        </is>
      </c>
      <c r="E2782" s="2">
        <f>HYPERLINK("https://www.amazon.com/Funmit-49-90-1900-Replacement-Milwaukee-Cordless/dp/B08QMJWVP1/ref=sr_1_9?keywords=Milwaukee+49-90-1900+HEPA+Filter&amp;qid=1694734913&amp;sr=8-9", "https://www.amazon.com/Funmit-49-90-1900-Replacement-Milwaukee-Cordless/dp/B08QMJWVP1/ref=sr_1_9?keywords=Milwaukee+49-90-1900+HEPA+Filter&amp;qid=1694734913&amp;sr=8-9")</f>
        <v/>
      </c>
      <c r="F2782" t="inlineStr">
        <is>
          <t>B08QMJWVP1</t>
        </is>
      </c>
      <c r="G2782">
        <f>_xlfn.IMAGE("https://edmondsonsupply.com/cdn/shop/files/49-90-1900_1.png?v=1686234774")</f>
        <v/>
      </c>
      <c r="H2782">
        <f>_xlfn.IMAGE("https://m.media-amazon.com/images/I/718M0N1GX-L._AC_UL320_.jpg")</f>
        <v/>
      </c>
      <c r="K2782" t="inlineStr">
        <is>
          <t>24.98</t>
        </is>
      </c>
      <c r="L2782" t="n">
        <v>20.47</v>
      </c>
      <c r="M2782" s="1" t="inlineStr">
        <is>
          <t>-18.05%</t>
        </is>
      </c>
      <c r="N2782" s="7" t="n">
        <v>215.54</v>
      </c>
      <c r="O2782" t="n">
        <v>4.5</v>
      </c>
      <c r="P2782" t="n">
        <v>172</v>
      </c>
      <c r="R2782" t="inlineStr">
        <is>
          <t>InStock</t>
        </is>
      </c>
      <c r="S2782" t="inlineStr">
        <is>
          <t>40.0</t>
        </is>
      </c>
      <c r="T2782" t="inlineStr">
        <is>
          <t>8002625306840</t>
        </is>
      </c>
    </row>
    <row r="2783" ht="87" customHeight="1">
      <c r="A2783" s="2">
        <f>HYPERLINK("https://edmondsonsupply.com/collections/hvac/products/lucas-milhaupt-95177-sil-fos-15-7-rods-15-silver", "https://edmondsonsupply.com/collections/hvac/products/lucas-milhaupt-95177-sil-fos-15-7-rods-15-silver")</f>
        <v/>
      </c>
      <c r="B2783" s="2">
        <f>HYPERLINK("https://edmondsonsupply.com/products/lucas-milhaupt-95177-sil-fos-15-7-rods-15-silver", "https://edmondsonsupply.com/products/lucas-milhaupt-95177-sil-fos-15-7-rods-15-silver")</f>
        <v/>
      </c>
      <c r="C2783" t="inlineStr">
        <is>
          <t>Lucas Milhaupt 95060 Sil-Fos 5 28 Rods, 5% Silver</t>
        </is>
      </c>
      <c r="D2783" t="inlineStr">
        <is>
          <t>LUCAS MILHAUPT SIL-FOS 15% Part #95177 Silver Solder 7 Sticks</t>
        </is>
      </c>
      <c r="E2783" s="2">
        <f>HYPERLINK("https://www.amazon.com/MILHAUPT-SIL-FOS-Silver-Solder-Sticks/dp/B016C2ONKC/ref=sr_1_4?keywords=Lucas+Milhaupt+95060+Sil-Fos+5+28+Rods%2C+5%25+Silver&amp;qid=1694734823&amp;sr=8-4", "https://www.amazon.com/MILHAUPT-SIL-FOS-Silver-Solder-Sticks/dp/B016C2ONKC/ref=sr_1_4?keywords=Lucas+Milhaupt+95060+Sil-Fos+5+28+Rods%2C+5%25+Silver&amp;qid=1694734823&amp;sr=8-4")</f>
        <v/>
      </c>
      <c r="F2783" t="inlineStr">
        <is>
          <t>B016C2ONKC</t>
        </is>
      </c>
      <c r="G2783">
        <f>_xlfn.IMAGE("https://edmondsonsupply.com/cdn/shop/products/95060-2.jpg?v=1587142682")</f>
        <v/>
      </c>
      <c r="H2783">
        <f>_xlfn.IMAGE("https://m.media-amazon.com/images/I/31YWhWdfoOL._AC_UL320_.jpg")</f>
        <v/>
      </c>
      <c r="K2783" t="inlineStr">
        <is>
          <t>47.89</t>
        </is>
      </c>
      <c r="L2783" t="n">
        <v>39.09</v>
      </c>
      <c r="M2783" s="1" t="inlineStr">
        <is>
          <t>-18.38%</t>
        </is>
      </c>
      <c r="N2783" s="7" t="n">
        <v>215.5</v>
      </c>
      <c r="O2783" t="n">
        <v>4.7</v>
      </c>
      <c r="P2783" t="n">
        <v>338</v>
      </c>
      <c r="R2783" t="inlineStr">
        <is>
          <t>InStock</t>
        </is>
      </c>
      <c r="S2783" t="inlineStr">
        <is>
          <t>undefined</t>
        </is>
      </c>
      <c r="T2783" t="inlineStr">
        <is>
          <t>3566474657892</t>
        </is>
      </c>
    </row>
    <row r="2784" hidden="1" ht="15.75" customHeight="1">
      <c r="A2784" s="2">
        <f>HYPERLINK("https://edmondsonsupply.com/collections/hvac/products/refrigeration-technologies-rt375a-viper-aerosol-foaming-coil-cleaner", "https://edmondsonsupply.com/collections/hvac/products/refrigeration-technologies-rt375a-viper-aerosol-foaming-coil-cleaner")</f>
        <v/>
      </c>
      <c r="B2784" s="2">
        <f>HYPERLINK("https://edmondsonsupply.com/products/refrigeration-technologies-rt375a-viper-aerosol-foaming-coil-cleaner", "https://edmondsonsupply.com/products/refrigeration-technologies-rt375a-viper-aerosol-foaming-coil-cleaner")</f>
        <v/>
      </c>
      <c r="C2784" t="inlineStr">
        <is>
          <t>Refrigeration Technologies RT375A Viper Aerosol Foaming Coil Cleaner</t>
        </is>
      </c>
      <c r="D2784" t="inlineStr">
        <is>
          <t>Refrigeration Technologies RT375A Viper Food Grade AEROSOL Coil</t>
        </is>
      </c>
      <c r="E2784" s="2">
        <f>HYPERLINK("https://www.amazon.com/Refrigeration-Technologies-RT375A-VIPER-AEROSOL/dp/B008HOSR9W/ref=sr_1_3?keywords=Refrigeration+Technologies+RT375A+Viper+Aerosol+Foaming+Coil+Cleaner&amp;qid=1694734567&amp;sr=8-3", "https://www.amazon.com/Refrigeration-Technologies-RT375A-VIPER-AEROSOL/dp/B008HOSR9W/ref=sr_1_3?keywords=Refrigeration+Technologies+RT375A+Viper+Aerosol+Foaming+Coil+Cleaner&amp;qid=1694734567&amp;sr=8-3")</f>
        <v/>
      </c>
      <c r="F2784" t="inlineStr">
        <is>
          <t>B008HOSR9W</t>
        </is>
      </c>
      <c r="G2784">
        <f>_xludf.IMAGE("https://edmondsonsupply.com/cdn/shop/products/Viper_Aerosol_Reflection-o17r8mukbuad3cksp9inhu09n67txxt340x6dk69z4.jpg?v=1633030253")</f>
        <v/>
      </c>
      <c r="H2784">
        <f>_xludf.IMAGE("https://m.media-amazon.com/images/I/712DMzfJnWL._AC_UL320_.jpg")</f>
        <v/>
      </c>
      <c r="K2784" t="inlineStr">
        <is>
          <t>9.79</t>
        </is>
      </c>
      <c r="L2784" t="n">
        <v>7.99</v>
      </c>
      <c r="M2784" s="1" t="inlineStr">
        <is>
          <t>-18.39%</t>
        </is>
      </c>
      <c r="N2784" s="1" t="n">
        <v>214.63</v>
      </c>
      <c r="O2784" t="n">
        <v>4.5</v>
      </c>
      <c r="P2784" t="n">
        <v>116</v>
      </c>
      <c r="R2784" t="inlineStr">
        <is>
          <t>InStock</t>
        </is>
      </c>
      <c r="S2784" t="inlineStr">
        <is>
          <t>10.81</t>
        </is>
      </c>
      <c r="T2784" t="inlineStr">
        <is>
          <t>4628294926436</t>
        </is>
      </c>
    </row>
    <row r="2785" ht="87" customHeight="1">
      <c r="A2785" s="2">
        <f>HYPERLINK("https://edmondsonsupply.com/collections/hvac/products/milwaukee-49-90-1900-hepa-filter", "https://edmondsonsupply.com/collections/hvac/products/milwaukee-49-90-1900-hepa-filter")</f>
        <v/>
      </c>
      <c r="B2785" s="2">
        <f>HYPERLINK("https://edmondsonsupply.com/products/milwaukee-49-90-1900-hepa-filter", "https://edmondsonsupply.com/products/milwaukee-49-90-1900-hepa-filter")</f>
        <v/>
      </c>
      <c r="C2785" t="inlineStr">
        <is>
          <t>Milwaukee 49-90-1900 HEPA Filter</t>
        </is>
      </c>
      <c r="D2785" t="inlineStr">
        <is>
          <t>Milwaukee 49-90-1950 HEPA Filter Replacement for M12 0850-20 Compact VAC 2 Pack</t>
        </is>
      </c>
      <c r="E2785" s="2">
        <f>HYPERLINK("https://www.amazon.com/Milwaukee-49-90-1950-Replacement-0850-20-Compact/dp/B01GKKL8XQ/ref=sr_1_28?keywords=Milwaukee+49-90-1900+HEPA+Filter&amp;qid=1694734913&amp;sr=8-28", "https://www.amazon.com/Milwaukee-49-90-1950-Replacement-0850-20-Compact/dp/B01GKKL8XQ/ref=sr_1_28?keywords=Milwaukee+49-90-1900+HEPA+Filter&amp;qid=1694734913&amp;sr=8-28")</f>
        <v/>
      </c>
      <c r="F2785" t="inlineStr">
        <is>
          <t>B01GKKL8XQ</t>
        </is>
      </c>
      <c r="G2785">
        <f>_xlfn.IMAGE("https://edmondsonsupply.com/cdn/shop/files/49-90-1900_1.png?v=1686234774")</f>
        <v/>
      </c>
      <c r="H2785">
        <f>_xlfn.IMAGE("https://m.media-amazon.com/images/I/51hNu4b3E7L._AC_UL320_.jpg")</f>
        <v/>
      </c>
      <c r="K2785" t="inlineStr">
        <is>
          <t>24.98</t>
        </is>
      </c>
      <c r="L2785" t="n">
        <v>20.37</v>
      </c>
      <c r="M2785" s="1" t="inlineStr">
        <is>
          <t>-18.45%</t>
        </is>
      </c>
      <c r="N2785" s="7" t="n">
        <v>212.76</v>
      </c>
      <c r="O2785" t="n">
        <v>4.8</v>
      </c>
      <c r="P2785" t="n">
        <v>336</v>
      </c>
      <c r="R2785" t="inlineStr">
        <is>
          <t>InStock</t>
        </is>
      </c>
      <c r="S2785" t="inlineStr">
        <is>
          <t>40.0</t>
        </is>
      </c>
      <c r="T2785" t="inlineStr">
        <is>
          <t>8002625306840</t>
        </is>
      </c>
    </row>
    <row r="2786" ht="87" customHeight="1">
      <c r="A2786" s="2">
        <f>HYPERLINK("https://edmondsonsupply.com/collections/hvac/products/supco-m500-insulation-tester-led-megohmmeter", "https://edmondsonsupply.com/collections/hvac/products/supco-m500-insulation-tester-led-megohmmeter")</f>
        <v/>
      </c>
      <c r="B2786" s="2">
        <f>HYPERLINK("https://edmondsonsupply.com/products/supco-m500-insulation-tester-led-megohmmeter", "https://edmondsonsupply.com/products/supco-m500-insulation-tester-led-megohmmeter")</f>
        <v/>
      </c>
      <c r="C2786" t="inlineStr">
        <is>
          <t>Supco M500 Insulation Tester / LED Megohmmeter</t>
        </is>
      </c>
      <c r="D2786" t="inlineStr">
        <is>
          <t>Supco M500 Insulation Tester/Electronic Megohmmeter with Soft Carrying Case, 0 to 1000 megohms Black</t>
        </is>
      </c>
      <c r="E2786" s="2">
        <f>HYPERLINK("https://www.amazon.com/Supco-M500-Insulation-Electronic-Megohmmeter/dp/B004OMAWIA/ref=sr_1_1?keywords=Supco+M500+Insulation+Tester+%2F+LED+Megohmmeter&amp;qid=1694734630&amp;sr=8-1", "https://www.amazon.com/Supco-M500-Insulation-Electronic-Megohmmeter/dp/B004OMAWIA/ref=sr_1_1?keywords=Supco+M500+Insulation+Tester+%2F+LED+Megohmmeter&amp;qid=1694734630&amp;sr=8-1")</f>
        <v/>
      </c>
      <c r="F2786" t="inlineStr">
        <is>
          <t>B004OMAWIA</t>
        </is>
      </c>
      <c r="G2786">
        <f>_xlfn.IMAGE("https://edmondsonsupply.com/cdn/shop/products/M500.jpg?v=1633030328")</f>
        <v/>
      </c>
      <c r="H2786">
        <f>_xlfn.IMAGE("https://m.media-amazon.com/images/I/91l8NQ5Jp5L._AC_UY218_.jpg")</f>
        <v/>
      </c>
      <c r="K2786" t="inlineStr">
        <is>
          <t>116.94</t>
        </is>
      </c>
      <c r="L2786" t="n">
        <v>95.34999999999999</v>
      </c>
      <c r="M2786" s="1" t="inlineStr">
        <is>
          <t>-18.46%</t>
        </is>
      </c>
      <c r="N2786" s="7" t="n">
        <v>212.63</v>
      </c>
      <c r="O2786" t="n">
        <v>4.7</v>
      </c>
      <c r="P2786" t="n">
        <v>1262</v>
      </c>
      <c r="R2786" t="inlineStr">
        <is>
          <t>InStock</t>
        </is>
      </c>
      <c r="S2786" t="inlineStr">
        <is>
          <t>undefined</t>
        </is>
      </c>
      <c r="T2786" t="inlineStr">
        <is>
          <t>5259958976680</t>
        </is>
      </c>
    </row>
    <row r="2787" ht="87" customHeight="1">
      <c r="A2787" s="2">
        <f>HYPERLINK("https://edmondsonsupply.com/collections/hvac/products/fluke-373-true-rms-ac-clamp-meter", "https://edmondsonsupply.com/collections/hvac/products/fluke-373-true-rms-ac-clamp-meter")</f>
        <v/>
      </c>
      <c r="B2787" s="2">
        <f>HYPERLINK("https://edmondsonsupply.com/products/fluke-373-true-rms-ac-clamp-meter", "https://edmondsonsupply.com/products/fluke-373-true-rms-ac-clamp-meter")</f>
        <v/>
      </c>
      <c r="C2787" t="inlineStr">
        <is>
          <t>Fluke 373 True-RMS AC Clamp Meter</t>
        </is>
      </c>
      <c r="D2787" t="inlineStr">
        <is>
          <t>Fluke 373 True-RMS AC Clamp Meter</t>
        </is>
      </c>
      <c r="E2787" s="2">
        <f>HYPERLINK("https://www.amazon.com/Fluke-373-True-RMS-Clamp-Meter/dp/B004DZCWIQ/ref=sr_1_1?keywords=Fluke+373+True-RMS+AC+Clamp+Meter&amp;qid=1694734920&amp;sr=8-1", "https://www.amazon.com/Fluke-373-True-RMS-Clamp-Meter/dp/B004DZCWIQ/ref=sr_1_1?keywords=Fluke+373+True-RMS+AC+Clamp+Meter&amp;qid=1694734920&amp;sr=8-1")</f>
        <v/>
      </c>
      <c r="F2787" t="inlineStr">
        <is>
          <t>B004DZCWIQ</t>
        </is>
      </c>
      <c r="G2787">
        <f>_xlfn.IMAGE("https://edmondsonsupply.com/cdn/shop/files/f-373-01d-1500x1000.webp?v=1689369435")</f>
        <v/>
      </c>
      <c r="H2787">
        <f>_xlfn.IMAGE("https://m.media-amazon.com/images/I/617BjfkzIaL._AC_UY218_.jpg")</f>
        <v/>
      </c>
      <c r="K2787" t="inlineStr">
        <is>
          <t>290.05</t>
        </is>
      </c>
      <c r="L2787" t="n">
        <v>236.46</v>
      </c>
      <c r="M2787" s="1" t="inlineStr">
        <is>
          <t>-18.48%</t>
        </is>
      </c>
      <c r="N2787" s="7" t="n">
        <v>212.51</v>
      </c>
      <c r="O2787" t="n">
        <v>4.7</v>
      </c>
      <c r="P2787" t="n">
        <v>84</v>
      </c>
      <c r="R2787" t="inlineStr">
        <is>
          <t>InStock</t>
        </is>
      </c>
      <c r="S2787" t="inlineStr">
        <is>
          <t>undefined</t>
        </is>
      </c>
      <c r="T2787" t="inlineStr">
        <is>
          <t>8016406773976</t>
        </is>
      </c>
    </row>
    <row r="2788" ht="87" customHeight="1">
      <c r="A2788" s="2">
        <f>HYPERLINK("https://edmondsonsupply.com/collections/hvac/products/spin-tools-f6000-flaring-drill-bit-set-1-4-3-8-1-2-5-8-3-4-7-8", "https://edmondsonsupply.com/collections/hvac/products/spin-tools-f6000-flaring-drill-bit-set-1-4-3-8-1-2-5-8-3-4-7-8")</f>
        <v/>
      </c>
      <c r="B2788" s="2">
        <f>HYPERLINK("https://edmondsonsupply.com/products/spin-tools-f6000-flaring-drill-bit-set-1-4-3-8-1-2-5-8-3-4-7-8", "https://edmondsonsupply.com/products/spin-tools-f6000-flaring-drill-bit-set-1-4-3-8-1-2-5-8-3-4-7-8")</f>
        <v/>
      </c>
      <c r="C2788" t="inlineStr">
        <is>
          <t>SPIN Tools F6000 Flaring Drill Bit Set, 1/4", 3/8", 1/2", 5/8", 3/4" &amp; 7/8"</t>
        </is>
      </c>
      <c r="D2788" t="inlineStr">
        <is>
          <t>SPIN F6000 6-Piece Drill Bit Flaring Set, 1/4’’ 3/8’’ 1/2’’ 5/8’’ 3/4", &amp; 7/8"</t>
        </is>
      </c>
      <c r="E2788" s="2">
        <f>HYPERLINK("https://www.amazon.com/F6000-Flaring-Tool-Drill-Bits/dp/B07L7C7DPT/ref=sr_1_1?keywords=SPIN+Tools+F6000+Flaring+Drill+Bit+Set%2C+1%2F4%2C+3%2F8%2C+1%2F2%2C+5%2F8%2C+3%2F4&amp;qid=1694734576&amp;sr=8-1", "https://www.amazon.com/F6000-Flaring-Tool-Drill-Bits/dp/B07L7C7DPT/ref=sr_1_1?keywords=SPIN+Tools+F6000+Flaring+Drill+Bit+Set%2C+1%2F4%2C+3%2F8%2C+1%2F2%2C+5%2F8%2C+3%2F4&amp;qid=1694734576&amp;sr=8-1")</f>
        <v/>
      </c>
      <c r="F2788" t="inlineStr">
        <is>
          <t>B07L7C7DPT</t>
        </is>
      </c>
      <c r="G2788">
        <f>_xlfn.IMAGE("https://edmondsonsupply.com/cdn/shop/products/f6000-1.jpg?v=1587144671")</f>
        <v/>
      </c>
      <c r="H2788">
        <f>_xlfn.IMAGE("https://m.media-amazon.com/images/I/618+pdlmdeL._AC_UL320_.jpg")</f>
        <v/>
      </c>
      <c r="K2788" t="inlineStr">
        <is>
          <t>93.38</t>
        </is>
      </c>
      <c r="L2788" t="n">
        <v>76.01000000000001</v>
      </c>
      <c r="M2788" s="1" t="inlineStr">
        <is>
          <t>-18.60%</t>
        </is>
      </c>
      <c r="N2788" s="7" t="n">
        <v>212.5</v>
      </c>
      <c r="O2788" t="n">
        <v>4.5</v>
      </c>
      <c r="P2788" t="n">
        <v>220</v>
      </c>
      <c r="R2788" t="inlineStr">
        <is>
          <t>InStock</t>
        </is>
      </c>
      <c r="S2788" t="inlineStr">
        <is>
          <t>undefined</t>
        </is>
      </c>
      <c r="T2788" t="inlineStr">
        <is>
          <t>3702718791780</t>
        </is>
      </c>
    </row>
    <row r="2789" hidden="1" ht="15.75" customHeight="1">
      <c r="A2789" s="2">
        <f>HYPERLINK("https://edmondsonsupply.com/collections/hvac/products/klein-tools-69445-rare-earth-magnetic-hanger-no-strap", "https://edmondsonsupply.com/collections/hvac/products/klein-tools-69445-rare-earth-magnetic-hanger-no-strap")</f>
        <v/>
      </c>
      <c r="B2789" s="2">
        <f>HYPERLINK("https://edmondsonsupply.com/products/klein-tools-69445-rare-earth-magnetic-hanger-no-strap", "https://edmondsonsupply.com/products/klein-tools-69445-rare-earth-magnetic-hanger-no-strap")</f>
        <v/>
      </c>
      <c r="C2789" t="inlineStr">
        <is>
          <t>Klein Tools 69445 Rare Earth Magnetic Hanger, no Strap</t>
        </is>
      </c>
      <c r="D2789" t="inlineStr">
        <is>
          <t>Klein Tools 69417 Rare-Earth Magnetic Hanger, with Strap</t>
        </is>
      </c>
      <c r="E2789" s="2">
        <f>HYPERLINK("https://www.amazon.com/Magnetic-Hanger-Klein-Tools-69417/dp/B01B7RBXZ0/ref=sr_1_2?keywords=Klein+Tools+69445+Rare+Earth+Magnetic+Hanger%2C+no+Strap&amp;qid=1694734706&amp;sr=8-2", "https://www.amazon.com/Magnetic-Hanger-Klein-Tools-69417/dp/B01B7RBXZ0/ref=sr_1_2?keywords=Klein+Tools+69445+Rare+Earth+Magnetic+Hanger%2C+no+Strap&amp;qid=1694734706&amp;sr=8-2")</f>
        <v/>
      </c>
      <c r="F2789" t="inlineStr">
        <is>
          <t>B01B7RBXZ0</t>
        </is>
      </c>
      <c r="G2789">
        <f>_xludf.IMAGE("https://edmondsonsupply.com/cdn/shop/products/69445.jpg?v=1633030859")</f>
        <v/>
      </c>
      <c r="H2789">
        <f>_xludf.IMAGE("https://m.media-amazon.com/images/I/51yfJbP4XCL._AC_UL320_.jpg")</f>
        <v/>
      </c>
      <c r="K2789" t="inlineStr">
        <is>
          <t>15.99</t>
        </is>
      </c>
      <c r="L2789" t="n">
        <v>13</v>
      </c>
      <c r="M2789" s="1" t="inlineStr">
        <is>
          <t>-18.70%</t>
        </is>
      </c>
      <c r="N2789" s="1" t="n">
        <v>209.75</v>
      </c>
      <c r="O2789" t="n">
        <v>4.8</v>
      </c>
      <c r="P2789" t="n">
        <v>3746</v>
      </c>
      <c r="R2789" t="inlineStr">
        <is>
          <t>InStock</t>
        </is>
      </c>
      <c r="S2789" t="inlineStr">
        <is>
          <t>22.84</t>
        </is>
      </c>
      <c r="T2789" t="inlineStr">
        <is>
          <t>6112025280685</t>
        </is>
      </c>
    </row>
    <row r="2790" ht="87" customHeight="1">
      <c r="A2790" s="2">
        <f>HYPERLINK("https://edmondsonsupply.com/collections/hvac/products/us-motors-5464-rescue-5-6-condenser-fan-motor-208-230v-1-3-1-6-hp-825-rpm", "https://edmondsonsupply.com/collections/hvac/products/us-motors-5464-rescue-5-6-condenser-fan-motor-208-230v-1-3-1-6-hp-825-rpm")</f>
        <v/>
      </c>
      <c r="B2790" s="2">
        <f>HYPERLINK("https://edmondsonsupply.com/products/us-motors-5464-rescue-5-6-condenser-fan-motor-208-230v-1-3-1-6-hp-825-rpm", "https://edmondsonsupply.com/products/us-motors-5464-rescue-5-6-condenser-fan-motor-208-230v-1-3-1-6-hp-825-rpm")</f>
        <v/>
      </c>
      <c r="C2790" t="inlineStr">
        <is>
          <t>US Motors 5464 Rescue 5.6" Condenser Fan Motor, 208-230V, 1/3-1/6 HP, 825 RPM</t>
        </is>
      </c>
      <c r="D2790" t="inlineStr">
        <is>
          <t>Nidec US Motors 2246 Condenser Fan Motor, 1/5 HP, PSC, 1075 RPM, 208-230V</t>
        </is>
      </c>
      <c r="E2790" s="2">
        <f>HYPERLINK("https://www.amazon.com/Nidec-Motors-Condenser-Motor-208-230V/dp/B08VN53ZKP/ref=sr_1_33?keywords=US+Motors+5464+Rescue+5.6%22+Condenser+Fan+Motor%2C+208-230V%2C+1%2F3-1%2F6+HP%2C+825+RPM&amp;qid=1694734623&amp;sr=8-33", "https://www.amazon.com/Nidec-Motors-Condenser-Motor-208-230V/dp/B08VN53ZKP/ref=sr_1_33?keywords=US+Motors+5464+Rescue+5.6%22+Condenser+Fan+Motor%2C+208-230V%2C+1%2F3-1%2F6+HP%2C+825+RPM&amp;qid=1694734623&amp;sr=8-33")</f>
        <v/>
      </c>
      <c r="F2790" t="inlineStr">
        <is>
          <t>B08VN53ZKP</t>
        </is>
      </c>
      <c r="G2790">
        <f>_xlfn.IMAGE("https://edmondsonsupply.com/cdn/shop/products/5464-2.jpg?v=1587142075")</f>
        <v/>
      </c>
      <c r="H2790">
        <f>_xlfn.IMAGE("https://m.media-amazon.com/images/I/41p4vhJP1+L._AC_UL320_.jpg")</f>
        <v/>
      </c>
      <c r="K2790" t="inlineStr">
        <is>
          <t>177.36</t>
        </is>
      </c>
      <c r="L2790" t="n">
        <v>143.8</v>
      </c>
      <c r="M2790" s="1" t="inlineStr">
        <is>
          <t>-18.92%</t>
        </is>
      </c>
      <c r="N2790" s="7" t="n">
        <v>209.48</v>
      </c>
      <c r="O2790" t="n">
        <v>5</v>
      </c>
      <c r="P2790" t="n">
        <v>1</v>
      </c>
      <c r="R2790" t="inlineStr">
        <is>
          <t>InStock</t>
        </is>
      </c>
      <c r="S2790" t="inlineStr">
        <is>
          <t>182.0</t>
        </is>
      </c>
      <c r="T2790" t="inlineStr">
        <is>
          <t>4472494850148</t>
        </is>
      </c>
    </row>
    <row r="2791" ht="87" customHeight="1">
      <c r="A2791" s="2">
        <f>HYPERLINK("https://edmondsonsupply.com/collections/hvac/products/klein-tools-mm720-digital-multimeter-trms-auto-ranging-1000v-temp-low-impedance", "https://edmondsonsupply.com/collections/hvac/products/klein-tools-mm720-digital-multimeter-trms-auto-ranging-1000v-temp-low-impedance")</f>
        <v/>
      </c>
      <c r="B2791" s="2">
        <f>HYPERLINK("https://edmondsonsupply.com/products/klein-tools-mm720-digital-multimeter-trms-auto-ranging-1000v-temp-low-impedance", "https://edmondsonsupply.com/products/klein-tools-mm720-digital-multimeter-trms-auto-ranging-1000v-temp-low-impedance")</f>
        <v/>
      </c>
      <c r="C2791" t="inlineStr">
        <is>
          <t>Klein Tools MM720 Digital Multimeter, TRMS Auto-Ranging, 1000V, Temp, Low Impedance</t>
        </is>
      </c>
      <c r="D2791" t="inlineStr">
        <is>
          <t>Klein Tools MM720 Digital Multimeter, Auto-Ranging TRMS, Low Impedance (LoZ), 1000V AC/DC Voltage, 10A AC/DC Current, 60 MOhms Resistance,Orange/Black</t>
        </is>
      </c>
      <c r="E2791" s="2">
        <f>HYPERLINK("https://www.amazon.com/Multimeter-Auto-Ranging-Resistance-Klein-Tools/dp/B0B57PDQJC/ref=sr_1_2?keywords=Klein+Tools+MM720+Digital+Multimeter%2C+TRMS+Auto-Ranging%2C+1000V%2C+Temp%2C+Low+Impedance&amp;qid=1694734687&amp;sr=8-2", "https://www.amazon.com/Multimeter-Auto-Ranging-Resistance-Klein-Tools/dp/B0B57PDQJC/ref=sr_1_2?keywords=Klein+Tools+MM720+Digital+Multimeter%2C+TRMS+Auto-Ranging%2C+1000V%2C+Temp%2C+Low+Impedance&amp;qid=1694734687&amp;sr=8-2")</f>
        <v/>
      </c>
      <c r="F2791" t="inlineStr">
        <is>
          <t>B0B57PDQJC</t>
        </is>
      </c>
      <c r="G2791">
        <f>_xlfn.IMAGE("https://edmondsonsupply.com/cdn/shop/products/mm720.jpg?v=1663609402")</f>
        <v/>
      </c>
      <c r="H2791">
        <f>_xlfn.IMAGE("https://m.media-amazon.com/images/I/61-a2-b+n7L._AC_UL320_.jpg")</f>
        <v/>
      </c>
      <c r="K2791" t="inlineStr">
        <is>
          <t>99.97</t>
        </is>
      </c>
      <c r="L2791" t="n">
        <v>80.98999999999999</v>
      </c>
      <c r="M2791" s="1" t="inlineStr">
        <is>
          <t>-18.99%</t>
        </is>
      </c>
      <c r="N2791" s="7" t="n">
        <v>209.15</v>
      </c>
      <c r="O2791" t="n">
        <v>4.6</v>
      </c>
      <c r="P2791" t="n">
        <v>875</v>
      </c>
      <c r="R2791" t="inlineStr">
        <is>
          <t>InStock</t>
        </is>
      </c>
      <c r="S2791" t="inlineStr">
        <is>
          <t>145.98</t>
        </is>
      </c>
      <c r="T2791" t="inlineStr">
        <is>
          <t>7822904754392</t>
        </is>
      </c>
    </row>
    <row r="2792" ht="87" customHeight="1">
      <c r="A2792" s="2">
        <f>HYPERLINK("https://edmondsonsupply.com/collections/hvac/products/wiha-tools-32097-7-piece-insulated-softfinish-screwdriver-set", "https://edmondsonsupply.com/collections/hvac/products/wiha-tools-32097-7-piece-insulated-softfinish-screwdriver-set")</f>
        <v/>
      </c>
      <c r="B2792" s="2">
        <f>HYPERLINK("https://edmondsonsupply.com/products/wiha-tools-32097-7-piece-insulated-softfinish-screwdriver-set", "https://edmondsonsupply.com/products/wiha-tools-32097-7-piece-insulated-softfinish-screwdriver-set")</f>
        <v/>
      </c>
      <c r="C2792" t="inlineStr">
        <is>
          <t>Wiha Tools 32097 7 Piece Insulated SoftFinish Screwdriver Set</t>
        </is>
      </c>
      <c r="D2792" t="inlineStr">
        <is>
          <t>Wiha 32097 | 7 Piece Insulated SoftFinish Screwdriver Set</t>
        </is>
      </c>
      <c r="E2792" s="2">
        <f>HYPERLINK("https://www.amazon.com/32097-1000-Volt-Insulated-Screwdriver-7-Piece/dp/B07MWLL23S/ref=sr_1_1?keywords=Wiha+Tools+32097+7+Piece+Insulated+SoftFinish+Screwdriver+Set&amp;qid=1694734869&amp;sr=8-1", "https://www.amazon.com/32097-1000-Volt-Insulated-Screwdriver-7-Piece/dp/B07MWLL23S/ref=sr_1_1?keywords=Wiha+Tools+32097+7+Piece+Insulated+SoftFinish+Screwdriver+Set&amp;qid=1694734869&amp;sr=8-1")</f>
        <v/>
      </c>
      <c r="F2792" t="inlineStr">
        <is>
          <t>B07MWLL23S</t>
        </is>
      </c>
      <c r="G2792">
        <f>_xlfn.IMAGE("https://edmondsonsupply.com/cdn/shop/files/xndhswuqt0f79n2sffke_1000x_1.webp?v=1690906671")</f>
        <v/>
      </c>
      <c r="H2792">
        <f>_xlfn.IMAGE("https://m.media-amazon.com/images/I/61Bm5SoX2pL._AC_UL320_.jpg")</f>
        <v/>
      </c>
      <c r="K2792" t="inlineStr">
        <is>
          <t>53.49</t>
        </is>
      </c>
      <c r="L2792" t="n">
        <v>43.33</v>
      </c>
      <c r="M2792" s="1" t="inlineStr">
        <is>
          <t>-18.99%</t>
        </is>
      </c>
      <c r="N2792" s="7" t="n">
        <v>208.78</v>
      </c>
      <c r="O2792" t="n">
        <v>4.8</v>
      </c>
      <c r="P2792" t="n">
        <v>870</v>
      </c>
      <c r="R2792" t="inlineStr">
        <is>
          <t>InStock</t>
        </is>
      </c>
      <c r="S2792" t="inlineStr">
        <is>
          <t>71.32</t>
        </is>
      </c>
      <c r="T2792" t="inlineStr">
        <is>
          <t>8023431020760</t>
        </is>
      </c>
    </row>
    <row r="2793" hidden="1" ht="15.75" customHeight="1">
      <c r="A2793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793" s="2">
        <f>HYPERLINK("https://edmondsonsupply.com/products/klein-tools-s8m-1-4-inch-magnetic-nut-driver-3-inch-shank", "https://edmondsonsupply.com/products/klein-tools-s8m-1-4-inch-magnetic-nut-driver-3-inch-shank")</f>
        <v/>
      </c>
      <c r="C2793" t="inlineStr">
        <is>
          <t>Klein Tools S8M 1/4-Inch Magnetic Nut Driver 3-Inch Shank</t>
        </is>
      </c>
      <c r="D2793" t="inlineStr">
        <is>
          <t>Klein Tools S8 1/4-Inch Hollow Shaft Nut Driver, 3-Inch Shaft</t>
        </is>
      </c>
      <c r="E2793" s="2">
        <f>HYPERLINK("https://www.amazon.com/Klein-S8-4-Inch-Hollow-Shank-Driver/dp/B0000302VS/ref=sr_1_5?keywords=Klein+Tools+S8M+1%2F4-Inch+Magnetic+Nut+Driver+3-Inch+Shank&amp;qid=1694734781&amp;sr=8-5", "https://www.amazon.com/Klein-S8-4-Inch-Hollow-Shank-Driver/dp/B0000302VS/ref=sr_1_5?keywords=Klein+Tools+S8M+1%2F4-Inch+Magnetic+Nut+Driver+3-Inch+Shank&amp;qid=1694734781&amp;sr=8-5")</f>
        <v/>
      </c>
      <c r="F2793" t="inlineStr">
        <is>
          <t>B0000302VS</t>
        </is>
      </c>
      <c r="G2793">
        <f>_xludf.IMAGE("https://edmondsonsupply.com/cdn/shop/products/s8m.jpg?v=1633030818")</f>
        <v/>
      </c>
      <c r="H2793">
        <f>_xludf.IMAGE("https://m.media-amazon.com/images/I/41LI6wTa36L._AC_UL320_.jpg")</f>
        <v/>
      </c>
      <c r="K2793" t="inlineStr">
        <is>
          <t>8.99</t>
        </is>
      </c>
      <c r="L2793" t="n">
        <v>7.28</v>
      </c>
      <c r="M2793" s="1" t="inlineStr">
        <is>
          <t>-19.02%</t>
        </is>
      </c>
      <c r="N2793" s="1" t="n">
        <v>207.9</v>
      </c>
      <c r="O2793" t="n">
        <v>4.5</v>
      </c>
      <c r="P2793" t="n">
        <v>224</v>
      </c>
      <c r="R2793" t="inlineStr">
        <is>
          <t>InStock</t>
        </is>
      </c>
      <c r="S2793" t="inlineStr">
        <is>
          <t>13.62</t>
        </is>
      </c>
      <c r="T2793" t="inlineStr">
        <is>
          <t>6072223957165</t>
        </is>
      </c>
    </row>
    <row r="2794" hidden="1" ht="15.75" customHeight="1">
      <c r="A2794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794" s="2">
        <f>HYPERLINK("https://edmondsonsupply.com/products/klein-tools-s8m-1-4-inch-magnetic-nut-driver-3-inch-shank", "https://edmondsonsupply.com/products/klein-tools-s8m-1-4-inch-magnetic-nut-driver-3-inch-shank")</f>
        <v/>
      </c>
      <c r="C2794" t="inlineStr">
        <is>
          <t>Klein Tools S8M 1/4-Inch Magnetic Nut Driver 3-Inch Shank</t>
        </is>
      </c>
      <c r="D2794" t="inlineStr">
        <is>
          <t>Klein Tools S8M 1/4-Inch Magnetic Nut Driver with 3-Inch Solid Shaft and Comfordome Handle</t>
        </is>
      </c>
      <c r="E2794" s="2">
        <f>HYPERLINK("https://www.amazon.com/Magnetic-Comfordome-Klein-Tools-S8M/dp/B00093GCW8/ref=sr_1_1?keywords=Klein+Tools+S8M+1%2F4-Inch+Magnetic+Nut+Driver+3-Inch+Shank&amp;qid=1694734781&amp;sr=8-1", "https://www.amazon.com/Magnetic-Comfordome-Klein-Tools-S8M/dp/B00093GCW8/ref=sr_1_1?keywords=Klein+Tools+S8M+1%2F4-Inch+Magnetic+Nut+Driver+3-Inch+Shank&amp;qid=1694734781&amp;sr=8-1")</f>
        <v/>
      </c>
      <c r="F2794" t="inlineStr">
        <is>
          <t>B00093GCW8</t>
        </is>
      </c>
      <c r="G2794">
        <f>_xludf.IMAGE("https://edmondsonsupply.com/cdn/shop/products/s8m.jpg?v=1633030818")</f>
        <v/>
      </c>
      <c r="H2794">
        <f>_xludf.IMAGE("https://m.media-amazon.com/images/I/31hOuSIKl7L._AC_UL320_.jpg")</f>
        <v/>
      </c>
      <c r="K2794" t="inlineStr">
        <is>
          <t>8.99</t>
        </is>
      </c>
      <c r="L2794" t="n">
        <v>7.28</v>
      </c>
      <c r="M2794" s="1" t="inlineStr">
        <is>
          <t>-19.02%</t>
        </is>
      </c>
      <c r="N2794" s="1" t="n">
        <v>203.75</v>
      </c>
      <c r="O2794" t="n">
        <v>3.8</v>
      </c>
      <c r="P2794" t="n">
        <v>8</v>
      </c>
      <c r="R2794" t="inlineStr">
        <is>
          <t>InStock</t>
        </is>
      </c>
      <c r="S2794" t="inlineStr">
        <is>
          <t>13.62</t>
        </is>
      </c>
      <c r="T2794" t="inlineStr">
        <is>
          <t>6072223957165</t>
        </is>
      </c>
    </row>
    <row r="2795" hidden="1" ht="15.75" customHeight="1">
      <c r="A2795" s="2">
        <f>HYPERLINK("https://edmondsonsupply.com/collections/hvac/products/reed-mfg-dhr12-1-1-4npt-r12-drophead-1-1-4-npt", "https://edmondsonsupply.com/collections/hvac/products/reed-mfg-dhr12-1-1-4npt-r12-drophead-1-1-4-npt")</f>
        <v/>
      </c>
      <c r="B2795" s="2">
        <f>HYPERLINK("https://edmondsonsupply.com/products/reed-mfg-dhr12-1-1-4npt-r12-drophead-1-1-4-npt", "https://edmondsonsupply.com/products/reed-mfg-dhr12-1-1-4npt-r12-drophead-1-1-4-npt")</f>
        <v/>
      </c>
      <c r="C2795" t="inlineStr">
        <is>
          <t>Reed Mfg DHR12 1 1/4NPT R12+ Drophead, 1-1/4" NPT</t>
        </is>
      </c>
      <c r="D2795" t="inlineStr">
        <is>
          <t>Reed Tool DHR12 3/4NPT R12+ Drophead, 3/4-Inch NPT</t>
        </is>
      </c>
      <c r="E2795" s="2">
        <f>HYPERLINK("https://www.amazon.com/Reed-Tool-DHR12-4NPT-Drophead/dp/B000ZH6R3M/ref=sr_1_fkmr1_2?keywords=Reed+Mfg+DHR12+1+1%2F4NPT+R12%2B+Drophead%2C+1-1%2F4%22+NPT&amp;qid=1694734769&amp;sr=8-2-fkmr1", "https://www.amazon.com/Reed-Tool-DHR12-4NPT-Drophead/dp/B000ZH6R3M/ref=sr_1_fkmr1_2?keywords=Reed+Mfg+DHR12+1+1%2F4NPT+R12%2B+Drophead%2C+1-1%2F4%22+NPT&amp;qid=1694734769&amp;sr=8-2-fkmr1")</f>
        <v/>
      </c>
      <c r="F2795" t="inlineStr">
        <is>
          <t>B000ZH6R3M</t>
        </is>
      </c>
      <c r="G2795">
        <f>_xludf.IMAGE("https://edmondsonsupply.com/cdn/shop/products/05632-DHR121-1-4NPT-RGB.jpg?v=1633031013")</f>
        <v/>
      </c>
      <c r="H2795">
        <f>_xludf.IMAGE("https://m.media-amazon.com/images/I/51I4FIWUu7L._AC_UY218_.jpg")</f>
        <v/>
      </c>
      <c r="K2795" t="inlineStr">
        <is>
          <t>154.86</t>
        </is>
      </c>
      <c r="L2795" t="n">
        <v>125.3</v>
      </c>
      <c r="M2795" s="1" t="inlineStr">
        <is>
          <t>-19.09%</t>
        </is>
      </c>
      <c r="N2795" s="1" t="n">
        <v>203.61</v>
      </c>
      <c r="O2795" t="n">
        <v>1</v>
      </c>
      <c r="P2795" t="n">
        <v>1</v>
      </c>
      <c r="R2795" t="inlineStr">
        <is>
          <t>InStock</t>
        </is>
      </c>
      <c r="S2795" t="inlineStr">
        <is>
          <t>179.13</t>
        </is>
      </c>
      <c r="T2795" t="inlineStr">
        <is>
          <t>6698096230573</t>
        </is>
      </c>
    </row>
    <row r="2796" ht="87" customHeight="1">
      <c r="A2796" s="2">
        <f>HYPERLINK("https://edmondsonsupply.com/collections/hvac/products/malco-tools-lp10wc-eagle-grip-10-curved-jaw-locking-pliers-w-wire-cutters", "https://edmondsonsupply.com/collections/hvac/products/malco-tools-lp10wc-eagle-grip-10-curved-jaw-locking-pliers-w-wire-cutters")</f>
        <v/>
      </c>
      <c r="B2796" s="2">
        <f>HYPERLINK("https://edmondsonsupply.com/products/malco-tools-lp10wc-eagle-grip-10-curved-jaw-locking-pliers-w-wire-cutters", "https://edmondsonsupply.com/products/malco-tools-lp10wc-eagle-grip-10-curved-jaw-locking-pliers-w-wire-cutters")</f>
        <v/>
      </c>
      <c r="C2796" t="inlineStr">
        <is>
          <t>Malco Tools LP10WC Eagle Grip 10″ Curved Jaw Locking Pliers W/Wire Cutters</t>
        </is>
      </c>
      <c r="D2796" t="inlineStr">
        <is>
          <t>Malco Eagle Grip LP10WC 10 in. Curved Jaw Locking Pliers with Wire Cutter</t>
        </is>
      </c>
      <c r="E2796" s="2">
        <f>HYPERLINK("https://www.amazon.com/Malco-LP10WC-Curved-Locking-Pliers/dp/B0924QDF47/ref=sr_1_1?keywords=Malco+Tools+LP10WC+Eagle+Grip+10%E2%80%B3+Curved+Jaw+Locking+Pliers+W%2FWire+Cutters&amp;qid=1694734617&amp;sr=8-1", "https://www.amazon.com/Malco-LP10WC-Curved-Locking-Pliers/dp/B0924QDF47/ref=sr_1_1?keywords=Malco+Tools+LP10WC+Eagle+Grip+10%E2%80%B3+Curved+Jaw+Locking+Pliers+W%2FWire+Cutters&amp;qid=1694734617&amp;sr=8-1")</f>
        <v/>
      </c>
      <c r="F2796" t="inlineStr">
        <is>
          <t>B0924QDF47</t>
        </is>
      </c>
      <c r="G2796">
        <f>_xlfn.IMAGE("https://edmondsonsupply.com/cdn/shop/products/LP10WC-eagle-grip-locking-pliers_in-hand.jpg?v=1657308655")</f>
        <v/>
      </c>
      <c r="H2796">
        <f>_xlfn.IMAGE("https://m.media-amazon.com/images/I/61maqrJ6OPS._AC_UL320_.jpg")</f>
        <v/>
      </c>
      <c r="K2796" t="inlineStr">
        <is>
          <t>54.39</t>
        </is>
      </c>
      <c r="L2796" t="n">
        <v>43.95</v>
      </c>
      <c r="M2796" s="1" t="inlineStr">
        <is>
          <t>-19.19%</t>
        </is>
      </c>
      <c r="N2796" s="7" t="n">
        <v>202.87</v>
      </c>
      <c r="O2796" t="n">
        <v>4.9</v>
      </c>
      <c r="P2796" t="n">
        <v>704</v>
      </c>
      <c r="R2796" t="inlineStr">
        <is>
          <t>InStock</t>
        </is>
      </c>
      <c r="S2796" t="inlineStr">
        <is>
          <t>57.14</t>
        </is>
      </c>
      <c r="T2796" t="inlineStr">
        <is>
          <t>7742426743000</t>
        </is>
      </c>
    </row>
    <row r="2797" ht="87" customHeight="1">
      <c r="A2797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797" s="2">
        <f>HYPERLINK("https://edmondsonsupply.com/products/klein-tools-d2000-28glw-diagonal-cutting-pliers-hi-viz-8-inch", "https://edmondsonsupply.com/products/klein-tools-d2000-28glw-diagonal-cutting-pliers-hi-viz-8-inch")</f>
        <v/>
      </c>
      <c r="C2797" t="inlineStr">
        <is>
          <t>Klein Tools D200028GLW Diagonal Cutting Pliers, High-Visibility, 8-Inch</t>
        </is>
      </c>
      <c r="D2797" t="inlineStr">
        <is>
          <t>Klein Tools D243-8 Pliers, Diagonal Cutting Pliers with Wire Stripping Holes, High-Leverage Design, 8-Inch</t>
        </is>
      </c>
      <c r="E2797" s="2">
        <f>HYPERLINK("https://www.amazon.com/Leverage-Stripping-Klein-Tools-D243-8/dp/B0002RI9OU/ref=sr_1_11?keywords=Klein+Tools+D200028GLW+Diagonal+Cutting+Pliers%2C+High-Visibility%2C+8-Inch&amp;qid=1694734781&amp;sr=8-11", "https://www.amazon.com/Leverage-Stripping-Klein-Tools-D243-8/dp/B0002RI9OU/ref=sr_1_11?keywords=Klein+Tools+D200028GLW+Diagonal+Cutting+Pliers%2C+High-Visibility%2C+8-Inch&amp;qid=1694734781&amp;sr=8-11")</f>
        <v/>
      </c>
      <c r="F2797" t="inlineStr">
        <is>
          <t>B0002RI9OU</t>
        </is>
      </c>
      <c r="G2797">
        <f>_xlfn.IMAGE("https://edmondsonsupply.com/cdn/shop/products/d200028glw.jpg?v=1633030701")</f>
        <v/>
      </c>
      <c r="H2797">
        <f>_xlfn.IMAGE("https://m.media-amazon.com/images/I/417XVXKHG6L._AC_UL320_.jpg")</f>
        <v/>
      </c>
      <c r="K2797" t="inlineStr">
        <is>
          <t>37.49</t>
        </is>
      </c>
      <c r="L2797" t="n">
        <v>30.27</v>
      </c>
      <c r="M2797" s="1" t="inlineStr">
        <is>
          <t>-19.26%</t>
        </is>
      </c>
      <c r="N2797" s="7" t="n">
        <v>202.21</v>
      </c>
      <c r="O2797" t="n">
        <v>4.4</v>
      </c>
      <c r="P2797" t="n">
        <v>38</v>
      </c>
      <c r="R2797" t="inlineStr">
        <is>
          <t>InStock</t>
        </is>
      </c>
      <c r="S2797" t="inlineStr">
        <is>
          <t>56.78</t>
        </is>
      </c>
      <c r="T2797" t="inlineStr">
        <is>
          <t>5848287477928</t>
        </is>
      </c>
    </row>
    <row r="2798" ht="87" customHeight="1">
      <c r="A2798" s="2">
        <f>HYPERLINK("https://edmondsonsupply.com/collections/hvac/products/testo-0560-1510-01-510i-differential-pressure-manometer-smart-probe-2nd-generation", "https://edmondsonsupply.com/collections/hvac/products/testo-0560-1510-01-510i-differential-pressure-manometer-smart-probe-2nd-generation")</f>
        <v/>
      </c>
      <c r="B2798" s="2">
        <f>HYPERLINK("https://edmondsonsupply.com/products/testo-0560-1510-01-510i-differential-pressure-manometer-smart-probe-2nd-generation", "https://edmondsonsupply.com/products/testo-0560-1510-01-510i-differential-pressure-manometer-smart-probe-2nd-generation")</f>
        <v/>
      </c>
      <c r="C2798" t="inlineStr">
        <is>
          <t>Testo 0560 1510 01 510i Differential Pressure Manometer Smart Probe - 2nd Generation</t>
        </is>
      </c>
      <c r="D2798" t="inlineStr">
        <is>
          <t>Testo 0560 1510 510I Differential Pressure Manometer Smart and Wireless Probe, 1" Height, 1" Width, 6" Length</t>
        </is>
      </c>
      <c r="E2798" s="2">
        <f>HYPERLINK("https://www.amazon.com/Testo-0560-1510-Differential-Manometer/dp/B018VO5GLO/ref=sr_1_1?keywords=Testo+0560+1510+01+510i+Differential+Pressure+Manometer+Smart+Probe+-+2nd+Generation&amp;qid=1694734821&amp;sr=8-1", "https://www.amazon.com/Testo-0560-1510-Differential-Manometer/dp/B018VO5GLO/ref=sr_1_1?keywords=Testo+0560+1510+01+510i+Differential+Pressure+Manometer+Smart+Probe+-+2nd+Generation&amp;qid=1694734821&amp;sr=8-1")</f>
        <v/>
      </c>
      <c r="F2798" t="inlineStr">
        <is>
          <t>B018VO5GLO</t>
        </is>
      </c>
      <c r="G2798">
        <f>_xlfn.IMAGE("https://edmondsonsupply.com/cdn/shop/products/testo-510i-pressure-hose-set-batteries_delivery-scope_master.jpg?v=1587147440")</f>
        <v/>
      </c>
      <c r="H2798">
        <f>_xlfn.IMAGE("https://m.media-amazon.com/images/I/51GVOB5nbrL._AC_UY218_.jpg")</f>
        <v/>
      </c>
      <c r="K2798" t="inlineStr">
        <is>
          <t>148.75</t>
        </is>
      </c>
      <c r="L2798" t="n">
        <v>120</v>
      </c>
      <c r="M2798" s="1" t="inlineStr">
        <is>
          <t>-19.33%</t>
        </is>
      </c>
      <c r="N2798" s="7" t="n">
        <v>202.21</v>
      </c>
      <c r="O2798" t="n">
        <v>4.5</v>
      </c>
      <c r="P2798" t="n">
        <v>288</v>
      </c>
      <c r="R2798" t="inlineStr">
        <is>
          <t>InStock</t>
        </is>
      </c>
      <c r="S2798" t="inlineStr">
        <is>
          <t>175.0</t>
        </is>
      </c>
      <c r="T2798" t="inlineStr">
        <is>
          <t>3697155997796</t>
        </is>
      </c>
    </row>
    <row r="2799" ht="87" customHeight="1">
      <c r="A2799" s="2">
        <f>HYPERLINK("https://edmondsonsupply.com/collections/hvac/products/milwaukee-2912-22-m18-fuel%E2%84%A2-1-sds-plus-rotary-hammer-kit", "https://edmondsonsupply.com/collections/hvac/products/milwaukee-2912-22-m18-fuel%E2%84%A2-1-sds-plus-rotary-hammer-kit")</f>
        <v/>
      </c>
      <c r="B2799" s="2">
        <f>HYPERLINK("https://edmondsonsupply.com/products/milwaukee-2912-22-m18-fuel%e2%84%a2-1-sds-plus-rotary-hammer-kit", "https://edmondsonsupply.com/products/milwaukee-2912-22-m18-fuel%e2%84%a2-1-sds-plus-rotary-hammer-kit")</f>
        <v/>
      </c>
      <c r="C2799" t="inlineStr">
        <is>
          <t>Milwaukee 2912-22 M18 FUEL™ 1" SDS Plus Rotary Hammer Kit</t>
        </is>
      </c>
      <c r="D2799" t="inlineStr">
        <is>
          <t>Milwaukee 2912-22 M18 FUEL Brushless Lithium-Ion 1 in. Cordless SDS Plus Rotary Hammer Kit (6 Ah)</t>
        </is>
      </c>
      <c r="E2799" s="2">
        <f>HYPERLINK("https://www.amazon.com/Milwaukee-2912-22-Rotary-Battery-Charger/dp/B09PPQ5Q37/ref=sr_1_1?keywords=Milwaukee+2912-22+M18+FUEL%E2%84%A2+1%22+SDS+Plus+Rotary+Hammer+Kit&amp;qid=1694734903&amp;sr=8-1", "https://www.amazon.com/Milwaukee-2912-22-Rotary-Battery-Charger/dp/B09PPQ5Q37/ref=sr_1_1?keywords=Milwaukee+2912-22+M18+FUEL%E2%84%A2+1%22+SDS+Plus+Rotary+Hammer+Kit&amp;qid=1694734903&amp;sr=8-1")</f>
        <v/>
      </c>
      <c r="F2799" t="inlineStr">
        <is>
          <t>B09PPQ5Q37</t>
        </is>
      </c>
      <c r="G2799">
        <f>_xlfn.IMAGE("https://edmondsonsupply.com/cdn/shop/files/2912-20_1.webp?v=1686934956")</f>
        <v/>
      </c>
      <c r="H2799">
        <f>_xlfn.IMAGE("https://m.media-amazon.com/images/I/717KNJps25L._AC_UL320_.jpg")</f>
        <v/>
      </c>
      <c r="K2799" t="inlineStr">
        <is>
          <t>599.0</t>
        </is>
      </c>
      <c r="L2799" t="n">
        <v>482.99</v>
      </c>
      <c r="M2799" s="1" t="inlineStr">
        <is>
          <t>-19.37%</t>
        </is>
      </c>
      <c r="N2799" s="7" t="n">
        <v>200.98</v>
      </c>
      <c r="O2799" t="n">
        <v>4.8</v>
      </c>
      <c r="P2799" t="n">
        <v>39</v>
      </c>
      <c r="R2799" t="inlineStr">
        <is>
          <t>InStock</t>
        </is>
      </c>
      <c r="S2799" t="inlineStr">
        <is>
          <t>1054.0</t>
        </is>
      </c>
      <c r="T2799" t="inlineStr">
        <is>
          <t>8006184960216</t>
        </is>
      </c>
    </row>
    <row r="2800" hidden="1" ht="15.75" customHeight="1">
      <c r="A2800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2800" s="2">
        <f>HYPERLINK("https://edmondsonsupply.com/products/klein-tools-32535-10-in-1-10-fold-screwdriver-nut-driver", "https://edmondsonsupply.com/products/klein-tools-32535-10-in-1-10-fold-screwdriver-nut-driver")</f>
        <v/>
      </c>
      <c r="C2800" t="inlineStr">
        <is>
          <t>Klein Tools 32535 10-in-1 10 Fold Screwdriver / Nut Driver</t>
        </is>
      </c>
      <c r="D2800" t="inlineStr">
        <is>
          <t>Klein Tools 32477-12 10-in-1 Multi-Bit Screwdriver / Nut Driver (12-Pack)</t>
        </is>
      </c>
      <c r="E2800" s="2">
        <f>HYPERLINK("https://www.amazon.com/Klein-Tools-32477-12-Screwdriver-Driver/dp/B002DKV0UE/ref=sr_1_17?keywords=Klein+Tools+32535+10-in-1+10+Fold+Screwdriver+%2F+Nut+Driver&amp;qid=1694734776&amp;sr=8-17", "https://www.amazon.com/Klein-Tools-32477-12-Screwdriver-Driver/dp/B002DKV0UE/ref=sr_1_17?keywords=Klein+Tools+32535+10-in-1+10+Fold+Screwdriver+%2F+Nut+Driver&amp;qid=1694734776&amp;sr=8-17")</f>
        <v/>
      </c>
      <c r="F2800" t="inlineStr">
        <is>
          <t>B002DKV0UE</t>
        </is>
      </c>
      <c r="G2800">
        <f>_xludf.IMAGE("https://edmondsonsupply.com/cdn/shop/products/32535.jpg?v=1633030894")</f>
        <v/>
      </c>
      <c r="H2800">
        <f>_xludf.IMAGE("https://m.media-amazon.com/images/I/41WMc+RiC0L._AC_UL320_.jpg")</f>
        <v/>
      </c>
      <c r="K2800" t="inlineStr">
        <is>
          <t>29.99</t>
        </is>
      </c>
      <c r="L2800" t="n">
        <v>24.18</v>
      </c>
      <c r="M2800" s="1" t="inlineStr">
        <is>
          <t>-19.37%</t>
        </is>
      </c>
      <c r="N2800" s="1" t="n">
        <v>200.55</v>
      </c>
      <c r="O2800" t="n">
        <v>4</v>
      </c>
      <c r="P2800" t="n">
        <v>8</v>
      </c>
      <c r="R2800" t="inlineStr">
        <is>
          <t>InStock</t>
        </is>
      </c>
      <c r="S2800" t="inlineStr">
        <is>
          <t>45.36</t>
        </is>
      </c>
      <c r="T2800" t="inlineStr">
        <is>
          <t>6224651485357</t>
        </is>
      </c>
    </row>
    <row r="2801" ht="87" customHeight="1">
      <c r="A2801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2801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2801" t="inlineStr">
        <is>
          <t>Diablo Tools DMAMXCC5050 4 in. x 7 in. SDS-Max Carbide Tipped Core Bit</t>
        </is>
      </c>
      <c r="D2801" t="inlineStr">
        <is>
          <t>Diablo 2-5/8 in. x 7 in. SDS-Max Carbide Tipped Core Bit</t>
        </is>
      </c>
      <c r="E2801" s="2">
        <f>HYPERLINK("https://www.amazon.com/Diablo-DMAMXCC5020-SDS-Max-Carbide-Tipped/dp/B089M7TYBC/ref=sr_1_5?keywords=Diablo+Tools+DMAMXCC5050+4+in.+x+7+in.+SDS-Max+Carbide+Tipped+Core+Bit&amp;qid=1694734908&amp;sr=8-5", "https://www.amazon.com/Diablo-DMAMXCC5020-SDS-Max-Carbide-Tipped/dp/B089M7TYBC/ref=sr_1_5?keywords=Diablo+Tools+DMAMXCC5050+4+in.+x+7+in.+SDS-Max+Carbide+Tipped+Core+Bit&amp;qid=1694734908&amp;sr=8-5")</f>
        <v/>
      </c>
      <c r="F2801" t="inlineStr">
        <is>
          <t>B089M7TYBC</t>
        </is>
      </c>
      <c r="G2801">
        <f>_xlfn.IMAGE("https://edmondsonsupply.com/cdn/shop/files/yghx7uqdjxchri5fikny.webp?v=1686586834")</f>
        <v/>
      </c>
      <c r="H2801">
        <f>_xlfn.IMAGE("https://m.media-amazon.com/images/I/61fu3xDsk5L._AC_UL320_.jpg")</f>
        <v/>
      </c>
      <c r="K2801" t="inlineStr">
        <is>
          <t>151.4</t>
        </is>
      </c>
      <c r="L2801" t="n">
        <v>121.99</v>
      </c>
      <c r="M2801" s="1" t="inlineStr">
        <is>
          <t>-19.43%</t>
        </is>
      </c>
      <c r="N2801" s="7" t="n">
        <v>200.3</v>
      </c>
      <c r="O2801" t="n">
        <v>4.8</v>
      </c>
      <c r="P2801" t="n">
        <v>5</v>
      </c>
      <c r="R2801" t="inlineStr">
        <is>
          <t>InStock</t>
        </is>
      </c>
      <c r="S2801" t="inlineStr">
        <is>
          <t>240.33</t>
        </is>
      </c>
      <c r="T2801" t="inlineStr">
        <is>
          <t>8004510908632</t>
        </is>
      </c>
    </row>
    <row r="2802" ht="87" customHeight="1">
      <c r="A2802" s="2">
        <f>HYPERLINK("https://edmondsonsupply.com/collections/hvac/products/fluke-376", "https://edmondsonsupply.com/collections/hvac/products/fluke-376")</f>
        <v/>
      </c>
      <c r="B2802" s="2">
        <f>HYPERLINK("https://edmondsonsupply.com/products/fluke-376", "https://edmondsonsupply.com/products/fluke-376")</f>
        <v/>
      </c>
      <c r="C2802" t="inlineStr">
        <is>
          <t>Fluke 376 FC Wireless True-RMS AC/DC Clamp Meter with iFlex</t>
        </is>
      </c>
      <c r="D2802" t="inlineStr">
        <is>
          <t>Fluke 381 Remote Display True-RMS AC/DC Clamp Meter with iFlex</t>
        </is>
      </c>
      <c r="E2802" s="2">
        <f>HYPERLINK("https://www.amazon.com/Fluke-381-Remote-Display-True-RMS/dp/B004BF5ZEQ/ref=sr_1_8?keywords=Fluke+376+FC+Wireless+True-RMS+AC%2FDC+Clamp+Meter+with+iFlex&amp;qid=1694734720&amp;sr=8-8", "https://www.amazon.com/Fluke-381-Remote-Display-True-RMS/dp/B004BF5ZEQ/ref=sr_1_8?keywords=Fluke+376+FC+Wireless+True-RMS+AC%2FDC+Clamp+Meter+with+iFlex&amp;qid=1694734720&amp;sr=8-8")</f>
        <v/>
      </c>
      <c r="F2802" t="inlineStr">
        <is>
          <t>B004BF5ZEQ</t>
        </is>
      </c>
      <c r="G2802">
        <f>_xlfn.IMAGE("https://edmondsonsupply.com/cdn/shop/products/f-376fc-16a-1500x1000.jpg?v=1633030274")</f>
        <v/>
      </c>
      <c r="H2802">
        <f>_xlfn.IMAGE("https://m.media-amazon.com/images/I/617Nx0NswWL._AC_UY218_.jpg")</f>
        <v/>
      </c>
      <c r="K2802" t="inlineStr">
        <is>
          <t>533.69</t>
        </is>
      </c>
      <c r="L2802" t="n">
        <v>430</v>
      </c>
      <c r="M2802" s="1" t="inlineStr">
        <is>
          <t>-19.43%</t>
        </is>
      </c>
      <c r="N2802" s="7" t="n">
        <v>200.2</v>
      </c>
      <c r="O2802" t="n">
        <v>4.5</v>
      </c>
      <c r="P2802" t="n">
        <v>160</v>
      </c>
      <c r="R2802" t="inlineStr">
        <is>
          <t>InStock</t>
        </is>
      </c>
      <c r="S2802" t="inlineStr">
        <is>
          <t>592.99</t>
        </is>
      </c>
      <c r="T2802" t="inlineStr">
        <is>
          <t>5238364668072</t>
        </is>
      </c>
    </row>
    <row r="2803" hidden="1" ht="15.75" customHeight="1">
      <c r="A2803" s="2">
        <f>HYPERLINK("https://edmondsonsupply.com/collections/hvac/products/inficon-d-tek-3", "https://edmondsonsupply.com/collections/hvac/products/inficon-d-tek-3")</f>
        <v/>
      </c>
      <c r="B2803" s="2">
        <f>HYPERLINK("https://edmondsonsupply.com/products/inficon-d-tek-3", "https://edmondsonsupply.com/products/inficon-d-tek-3")</f>
        <v/>
      </c>
      <c r="C2803" t="inlineStr">
        <is>
          <t>Inficon D-TEK® 3 Refrigerant Leak Detector</t>
        </is>
      </c>
      <c r="D2803" t="inlineStr">
        <is>
          <t>INFICON Whisper with Accessory Kit, Enhanced Ultrasonic Leak Detector, 711-203-G1,Off-White</t>
        </is>
      </c>
      <c r="E2803" s="2">
        <f>HYPERLINK("https://www.amazon.com/711-203-G1-Enhanced-Ultrasonic-Detector-Accessory/dp/B00DAOI5EQ/ref=sr_1_19?keywords=Inficon+D-TEK%C2%AE+3+Refrigerant+Leak+Detector&amp;qid=1694734644&amp;sr=8-19", "https://www.amazon.com/711-203-G1-Enhanced-Ultrasonic-Detector-Accessory/dp/B00DAOI5EQ/ref=sr_1_19?keywords=Inficon+D-TEK%C2%AE+3+Refrigerant+Leak+Detector&amp;qid=1694734644&amp;sr=8-19")</f>
        <v/>
      </c>
      <c r="F2803" t="inlineStr">
        <is>
          <t>B00DAOI5EQ</t>
        </is>
      </c>
      <c r="G2803">
        <f>_xludf.IMAGE("https://edmondsonsupply.com/cdn/shop/products/dtek3.png?v=1633030772")</f>
        <v/>
      </c>
      <c r="H2803">
        <f>_xludf.IMAGE("https://m.media-amazon.com/images/I/41v0d5VMaxL._AC_UL320_.jpg")</f>
        <v/>
      </c>
      <c r="K2803" t="inlineStr">
        <is>
          <t>516.99</t>
        </is>
      </c>
      <c r="L2803" t="n">
        <v>416.29</v>
      </c>
      <c r="M2803" s="1" t="inlineStr">
        <is>
          <t>-19.48%</t>
        </is>
      </c>
      <c r="N2803" s="1" t="n">
        <v>200.08</v>
      </c>
      <c r="O2803" t="n">
        <v>4</v>
      </c>
      <c r="P2803" t="n">
        <v>40</v>
      </c>
      <c r="R2803" t="inlineStr">
        <is>
          <t>InStock</t>
        </is>
      </c>
      <c r="S2803" t="inlineStr">
        <is>
          <t>645.0</t>
        </is>
      </c>
      <c r="T2803" t="inlineStr">
        <is>
          <t>5950406623400</t>
        </is>
      </c>
    </row>
    <row r="2804" ht="87" customHeight="1">
      <c r="A2804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804" s="2">
        <f>HYPERLINK("https://edmondsonsupply.com/products/klein-tools-pnd-12-5-1-2-inch-power-nut-driver-5-inch-length", "https://edmondsonsupply.com/products/klein-tools-pnd-12-5-1-2-inch-power-nut-driver-5-inch-length")</f>
        <v/>
      </c>
      <c r="C2804" t="inlineStr">
        <is>
          <t>Klein Tools PND-12-5 1/2-Inch Power Nut Driver 5-Inch Length</t>
        </is>
      </c>
      <c r="D2804" t="inlineStr">
        <is>
          <t>Klein Tools 65064 Hex Head 2-in-1 Nut Driver, 1/4-Inch and 5/16-Inch</t>
        </is>
      </c>
      <c r="E2804" s="2">
        <f>HYPERLINK("https://www.amazon.com/Driver-16-Inch-Klein-Tools-65064/dp/B01N2S3D09/ref=sr_1_12?keywords=Klein+Tools+PND-12-5+1%2F2-Inch+Power+Nut+Driver+5-Inch+Length&amp;qid=1694734708&amp;sr=8-12", "https://www.amazon.com/Driver-16-Inch-Klein-Tools-65064/dp/B01N2S3D09/ref=sr_1_12?keywords=Klein+Tools+PND-12-5+1%2F2-Inch+Power+Nut+Driver+5-Inch+Length&amp;qid=1694734708&amp;sr=8-12")</f>
        <v/>
      </c>
      <c r="F2804" t="inlineStr">
        <is>
          <t>B01N2S3D09</t>
        </is>
      </c>
      <c r="G2804">
        <f>_xlfn.IMAGE("https://edmondsonsupply.com/cdn/shop/products/pnd125.jpg?v=1633031028")</f>
        <v/>
      </c>
      <c r="H2804">
        <f>_xlfn.IMAGE("https://m.media-amazon.com/images/I/51WqGb8KzpL._AC_UL320_.jpg")</f>
        <v/>
      </c>
      <c r="K2804" t="inlineStr">
        <is>
          <t>18.99</t>
        </is>
      </c>
      <c r="L2804" t="n">
        <v>15.27</v>
      </c>
      <c r="M2804" s="1" t="inlineStr">
        <is>
          <t>-19.59%</t>
        </is>
      </c>
      <c r="N2804" s="7" t="n">
        <v>200.02</v>
      </c>
      <c r="O2804" t="n">
        <v>4.8</v>
      </c>
      <c r="P2804" t="n">
        <v>1404</v>
      </c>
      <c r="R2804" t="inlineStr">
        <is>
          <t>InStock</t>
        </is>
      </c>
      <c r="S2804" t="inlineStr">
        <is>
          <t>30.98</t>
        </is>
      </c>
      <c r="T2804" t="inlineStr">
        <is>
          <t>6729466445997</t>
        </is>
      </c>
    </row>
    <row r="2805" hidden="1" ht="15.75" customHeight="1">
      <c r="A2805" s="2">
        <f>HYPERLINK("https://edmondsonsupply.com/collections/hvac/products/packard-prmj189-motor-start-capacitor-189-227-mfd-330-vac", "https://edmondsonsupply.com/collections/hvac/products/packard-prmj189-motor-start-capacitor-189-227-mfd-330-vac")</f>
        <v/>
      </c>
      <c r="B2805" s="2">
        <f>HYPERLINK("https://edmondsonsupply.com/products/packard-prmj189-motor-start-capacitor-189-227-mfd-330-vac", "https://edmondsonsupply.com/products/packard-prmj189-motor-start-capacitor-189-227-mfd-330-vac")</f>
        <v/>
      </c>
      <c r="C2805" t="inlineStr">
        <is>
          <t>Packard PRMJ189 Motor Start Capacitor 189-227 MFD 330 VAC</t>
        </is>
      </c>
      <c r="D2805" t="inlineStr">
        <is>
          <t>Motor Start Capacitor, 189-227 uf/MFD 220-250VAC Voltage CD60 Round Start Capacitors for Pool Pump, Water Pumps, Table Saws and General Electric Motors</t>
        </is>
      </c>
      <c r="E2805" s="2">
        <f>HYPERLINK("https://www.amazon.com/Capacitor-189-227-220-250VAC-Capacitors-Electric/dp/B0B7XLYD47/ref=sr_1_15?keywords=Packard+PRMJ189+Motor+Start+Capacitor+189-227+MFD+330+VAC&amp;qid=1694734820&amp;sr=8-15", "https://www.amazon.com/Capacitor-189-227-220-250VAC-Capacitors-Electric/dp/B0B7XLYD47/ref=sr_1_15?keywords=Packard+PRMJ189+Motor+Start+Capacitor+189-227+MFD+330+VAC&amp;qid=1694734820&amp;sr=8-15")</f>
        <v/>
      </c>
      <c r="F2805" t="inlineStr">
        <is>
          <t>B0B7XLYD47</t>
        </is>
      </c>
      <c r="G2805">
        <f>_xludf.IMAGE("https://edmondsonsupply.com/cdn/shop/products/PRMJ189-2.jpg?v=1663378512")</f>
        <v/>
      </c>
      <c r="H2805">
        <f>_xludf.IMAGE("https://m.media-amazon.com/images/I/71oyJICpBoL._AC_UY218_.jpg")</f>
        <v/>
      </c>
      <c r="K2805" t="inlineStr">
        <is>
          <t>8.59</t>
        </is>
      </c>
      <c r="L2805" t="n">
        <v>6.9</v>
      </c>
      <c r="M2805" s="1" t="inlineStr">
        <is>
          <t>-19.67%</t>
        </is>
      </c>
      <c r="N2805" s="1" t="n">
        <v>200</v>
      </c>
      <c r="O2805" t="n">
        <v>4.6</v>
      </c>
      <c r="P2805" t="n">
        <v>32</v>
      </c>
      <c r="R2805" t="inlineStr">
        <is>
          <t>InStock</t>
        </is>
      </c>
      <c r="S2805" t="inlineStr">
        <is>
          <t>undefined</t>
        </is>
      </c>
      <c r="T2805" t="inlineStr">
        <is>
          <t>4298778378340</t>
        </is>
      </c>
    </row>
    <row r="2806" hidden="1" ht="15.75" customHeight="1">
      <c r="A2806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806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806" t="inlineStr">
        <is>
          <t>Klein Tools 605-6 1/4-Inch Cabinet Tip Screwdriver, Heavy Duty, 6-Inch</t>
        </is>
      </c>
      <c r="D2806" t="inlineStr">
        <is>
          <t>Klein Tools 608-6 1/8-Inch Cabinet Tip Mini Screwdriver, 6-Inch</t>
        </is>
      </c>
      <c r="E2806" s="2">
        <f>HYPERLINK("https://www.amazon.com/Cabinet-Screwdriver-Klein-Tools-608-6/dp/B001BQ20NC/ref=sr_1_3?keywords=Klein+Tools+605-6+1%2F4-Inch+Cabinet+Tip+Screwdriver%2C+Heavy+Duty%2C+6-Inch&amp;qid=1694734725&amp;sr=8-3", "https://www.amazon.com/Cabinet-Screwdriver-Klein-Tools-608-6/dp/B001BQ20NC/ref=sr_1_3?keywords=Klein+Tools+605-6+1%2F4-Inch+Cabinet+Tip+Screwdriver%2C+Heavy+Duty%2C+6-Inch&amp;qid=1694734725&amp;sr=8-3")</f>
        <v/>
      </c>
      <c r="F2806" t="inlineStr">
        <is>
          <t>B001BQ20NC</t>
        </is>
      </c>
      <c r="G2806">
        <f>_xludf.IMAGE("https://edmondsonsupply.com/cdn/shop/products/605-6.jpg?v=1587149759")</f>
        <v/>
      </c>
      <c r="H2806">
        <f>_xludf.IMAGE("https://m.media-amazon.com/images/I/31PYmazYuTL._AC_UL320_.jpg")</f>
        <v/>
      </c>
      <c r="K2806" t="inlineStr">
        <is>
          <t>9.49</t>
        </is>
      </c>
      <c r="L2806" t="n">
        <v>7.6</v>
      </c>
      <c r="M2806" s="1" t="inlineStr">
        <is>
          <t>-19.92%</t>
        </is>
      </c>
      <c r="N2806" s="1" t="n">
        <v>200</v>
      </c>
      <c r="O2806" t="n">
        <v>4.7</v>
      </c>
      <c r="P2806" t="n">
        <v>1356</v>
      </c>
      <c r="R2806" t="inlineStr">
        <is>
          <t>InStock</t>
        </is>
      </c>
      <c r="S2806" t="inlineStr">
        <is>
          <t>14.38</t>
        </is>
      </c>
      <c r="T2806" t="inlineStr">
        <is>
          <t>4512371310692</t>
        </is>
      </c>
    </row>
    <row r="2807" ht="87" customHeight="1">
      <c r="A2807" s="2">
        <f>HYPERLINK("https://edmondsonsupply.com/collections/hvac/products/milwaukee-48-22-0305-folding-jab-saw", "https://edmondsonsupply.com/collections/hvac/products/milwaukee-48-22-0305-folding-jab-saw")</f>
        <v/>
      </c>
      <c r="B2807" s="2">
        <f>HYPERLINK("https://edmondsonsupply.com/products/milwaukee-48-22-0305-folding-jab-saw", "https://edmondsonsupply.com/products/milwaukee-48-22-0305-folding-jab-saw")</f>
        <v/>
      </c>
      <c r="C2807" t="inlineStr">
        <is>
          <t>Milwaukee 48-22-0305 Folding Jab Saw</t>
        </is>
      </c>
      <c r="D2807" t="inlineStr">
        <is>
          <t>Milwaukee 48-22-0304 6 Inch Drywall and Plaster Rasping Jab Saw w/ Rubber Handle</t>
        </is>
      </c>
      <c r="E2807" s="2">
        <f>HYPERLINK("https://www.amazon.com/Milwaukee-48-22-0304-Drywall-Plaster-Rasping/dp/B003I85GTQ/ref=sr_1_6?keywords=Milwaukee+48-22-0305+Folding+Jab+Saw&amp;qid=1694734816&amp;sr=8-6", "https://www.amazon.com/Milwaukee-48-22-0304-Drywall-Plaster-Rasping/dp/B003I85GTQ/ref=sr_1_6?keywords=Milwaukee+48-22-0305+Folding+Jab+Saw&amp;qid=1694734816&amp;sr=8-6")</f>
        <v/>
      </c>
      <c r="F2807" t="inlineStr">
        <is>
          <t>B003I85GTQ</t>
        </is>
      </c>
      <c r="G2807">
        <f>_xlfn.IMAGE("https://edmondsonsupply.com/cdn/shop/products/49678_48-22-0305-lg.jpg?v=1587148349")</f>
        <v/>
      </c>
      <c r="H2807">
        <f>_xlfn.IMAGE("https://m.media-amazon.com/images/I/41AjNlagTPL._AC_UL320_.jpg")</f>
        <v/>
      </c>
      <c r="K2807" t="inlineStr">
        <is>
          <t>19.97</t>
        </is>
      </c>
      <c r="L2807" t="n">
        <v>15.99</v>
      </c>
      <c r="M2807" s="1" t="inlineStr">
        <is>
          <t>-19.93%</t>
        </is>
      </c>
      <c r="N2807" s="7" t="n">
        <v>199.98</v>
      </c>
      <c r="O2807" t="n">
        <v>4.7</v>
      </c>
      <c r="P2807" t="n">
        <v>538</v>
      </c>
      <c r="R2807" t="inlineStr">
        <is>
          <t>InStock</t>
        </is>
      </c>
      <c r="S2807" t="inlineStr">
        <is>
          <t>31.1</t>
        </is>
      </c>
      <c r="T2807" t="inlineStr">
        <is>
          <t>4349655449700</t>
        </is>
      </c>
    </row>
    <row r="2808" ht="87" customHeight="1">
      <c r="A2808" s="2">
        <f>HYPERLINK("https://edmondsonsupply.com/collections/hvac/products/milwaukee-49-90-1900-hepa-filter", "https://edmondsonsupply.com/collections/hvac/products/milwaukee-49-90-1900-hepa-filter")</f>
        <v/>
      </c>
      <c r="B2808" s="2">
        <f>HYPERLINK("https://edmondsonsupply.com/products/milwaukee-49-90-1900-hepa-filter", "https://edmondsonsupply.com/products/milwaukee-49-90-1900-hepa-filter")</f>
        <v/>
      </c>
      <c r="C2808" t="inlineStr">
        <is>
          <t>Milwaukee 49-90-1900 HEPA Filter</t>
        </is>
      </c>
      <c r="D2808" t="inlineStr">
        <is>
          <t>49-90-1900 Wet/Dry Filter Kit Replacement Compatible with Milwaukee Cordless Vacuum (Pack of 2)</t>
        </is>
      </c>
      <c r="E2808" s="2">
        <f>HYPERLINK("https://www.amazon.com/49-90-1900-Replacement-Compatible-Milwaukee-Cordless/dp/B082Y7JPM4/ref=sr_1_4?keywords=Milwaukee+49-90-1900+HEPA+Filter&amp;qid=1694734913&amp;sr=8-4", "https://www.amazon.com/49-90-1900-Replacement-Compatible-Milwaukee-Cordless/dp/B082Y7JPM4/ref=sr_1_4?keywords=Milwaukee+49-90-1900+HEPA+Filter&amp;qid=1694734913&amp;sr=8-4")</f>
        <v/>
      </c>
      <c r="F2808" t="inlineStr">
        <is>
          <t>B082Y7JPM4</t>
        </is>
      </c>
      <c r="G2808">
        <f>_xlfn.IMAGE("https://edmondsonsupply.com/cdn/shop/files/49-90-1900_1.png?v=1686234774")</f>
        <v/>
      </c>
      <c r="H2808">
        <f>_xlfn.IMAGE("https://m.media-amazon.com/images/I/61AU5p8goyL._AC_UL320_.jpg")</f>
        <v/>
      </c>
      <c r="K2808" t="inlineStr">
        <is>
          <t>24.98</t>
        </is>
      </c>
      <c r="L2808" t="n">
        <v>19.99</v>
      </c>
      <c r="M2808" s="1" t="inlineStr">
        <is>
          <t>-19.98%</t>
        </is>
      </c>
      <c r="N2808" s="7" t="n">
        <v>199.97</v>
      </c>
      <c r="O2808" t="n">
        <v>4.5</v>
      </c>
      <c r="P2808" t="n">
        <v>106</v>
      </c>
      <c r="R2808" t="inlineStr">
        <is>
          <t>InStock</t>
        </is>
      </c>
      <c r="S2808" t="inlineStr">
        <is>
          <t>40.0</t>
        </is>
      </c>
      <c r="T2808" t="inlineStr">
        <is>
          <t>8002625306840</t>
        </is>
      </c>
    </row>
    <row r="2809" ht="87" customHeight="1">
      <c r="A2809" s="2">
        <f>HYPERLINK("https://edmondsonsupply.com/collections/hvac/products/klein-tools-56403-rechargeable-personal-worklight", "https://edmondsonsupply.com/collections/hvac/products/klein-tools-56403-rechargeable-personal-worklight")</f>
        <v/>
      </c>
      <c r="B2809" s="2">
        <f>HYPERLINK("https://edmondsonsupply.com/products/klein-tools-56403-rechargeable-personal-worklight", "https://edmondsonsupply.com/products/klein-tools-56403-rechargeable-personal-worklight")</f>
        <v/>
      </c>
      <c r="C2809" t="inlineStr">
        <is>
          <t>Klein Tools 56403 Rechargeable Personal Worklight</t>
        </is>
      </c>
      <c r="D2809" t="inlineStr">
        <is>
          <t>Klein Tools 56403 LED Light, Rechargeable Flashlight / Worklight with Kickstand and Carabiner, Charges Small Electronics, for Work, Camping</t>
        </is>
      </c>
      <c r="E2809" s="2">
        <f>HYPERLINK("https://www.amazon.com/Klein-Tools-56403-Rechargeable-Illumination/dp/B07V4FTX6C/ref=sr_1_1?keywords=Klein+Tools+56403+Rechargeable+Personal+Worklight&amp;qid=1694734817&amp;sr=8-1", "https://www.amazon.com/Klein-Tools-56403-Rechargeable-Illumination/dp/B07V4FTX6C/ref=sr_1_1?keywords=Klein+Tools+56403+Rechargeable+Personal+Worklight&amp;qid=1694734817&amp;sr=8-1")</f>
        <v/>
      </c>
      <c r="F2809" t="inlineStr">
        <is>
          <t>B07V4FTX6C</t>
        </is>
      </c>
      <c r="G2809">
        <f>_xlfn.IMAGE("https://edmondsonsupply.com/cdn/shop/products/56403.jpg?v=1587143308")</f>
        <v/>
      </c>
      <c r="H2809">
        <f>_xlfn.IMAGE("https://m.media-amazon.com/images/I/61Gs90A8wDL._AC_UL320_.jpg")</f>
        <v/>
      </c>
      <c r="K2809" t="inlineStr">
        <is>
          <t>49.97</t>
        </is>
      </c>
      <c r="L2809" t="n">
        <v>39.97</v>
      </c>
      <c r="M2809" s="1" t="inlineStr">
        <is>
          <t>-20.01%</t>
        </is>
      </c>
      <c r="N2809" s="7" t="n">
        <v>199.7</v>
      </c>
      <c r="O2809" t="n">
        <v>4.8</v>
      </c>
      <c r="P2809" t="n">
        <v>2746</v>
      </c>
      <c r="R2809" t="inlineStr">
        <is>
          <t>InStock</t>
        </is>
      </c>
      <c r="S2809" t="inlineStr">
        <is>
          <t>71.02</t>
        </is>
      </c>
      <c r="T2809" t="inlineStr">
        <is>
          <t>3618963947620</t>
        </is>
      </c>
    </row>
    <row r="2810" ht="87" customHeight="1">
      <c r="A2810" s="2">
        <f>HYPERLINK("https://edmondsonsupply.com/collections/hvac/products/klein-tools-mm300kit-digital-multimeter-electrical-test-kit", "https://edmondsonsupply.com/collections/hvac/products/klein-tools-mm300kit-digital-multimeter-electrical-test-kit")</f>
        <v/>
      </c>
      <c r="B2810" s="2">
        <f>HYPERLINK("https://edmondsonsupply.com/products/klein-tools-mm300kit-digital-multimeter-electrical-test-kit", "https://edmondsonsupply.com/products/klein-tools-mm300kit-digital-multimeter-electrical-test-kit")</f>
        <v/>
      </c>
      <c r="C2810" t="inlineStr">
        <is>
          <t>Klein Tools MM320KIT Digital Multimeter Electrical Test Kit</t>
        </is>
      </c>
      <c r="D2810" t="inlineStr">
        <is>
          <t>Klein Tools 69149P Electrical Test Kit with Digital Multimeter, Noncontact Voltage Tester and Electrical Outlet Tester, Leads and Batteries, Green,Red</t>
        </is>
      </c>
      <c r="E2810" s="2">
        <f>HYPERLINK("https://www.amazon.com/Klein-Tools-69149P-Multimeter-Noncontact/dp/B09C6MGD7J/ref=sr_1_6?keywords=Klein+Tools+MM320KIT+Digital+Multimeter+Electrical+Test+Kit&amp;qid=1694734657&amp;sr=8-6", "https://www.amazon.com/Klein-Tools-69149P-Multimeter-Noncontact/dp/B09C6MGD7J/ref=sr_1_6?keywords=Klein+Tools+MM320KIT+Digital+Multimeter+Electrical+Test+Kit&amp;qid=1694734657&amp;sr=8-6")</f>
        <v/>
      </c>
      <c r="F2810" t="inlineStr">
        <is>
          <t>B09C6MGD7J</t>
        </is>
      </c>
      <c r="G2810">
        <f>_xlfn.IMAGE("https://edmondsonsupply.com/cdn/shop/products/mm320kit_photo.jpg?v=1660756496")</f>
        <v/>
      </c>
      <c r="H2810">
        <f>_xlfn.IMAGE("https://m.media-amazon.com/images/I/61+WhEXhVkL._AC_UL320_.jpg")</f>
        <v/>
      </c>
      <c r="K2810" t="inlineStr">
        <is>
          <t>49.97</t>
        </is>
      </c>
      <c r="L2810" t="n">
        <v>39.97</v>
      </c>
      <c r="M2810" s="1" t="inlineStr">
        <is>
          <t>-20.01%</t>
        </is>
      </c>
      <c r="N2810" s="7" t="n">
        <v>199.11</v>
      </c>
      <c r="O2810" t="n">
        <v>4.7</v>
      </c>
      <c r="P2810" t="n">
        <v>1341</v>
      </c>
      <c r="R2810" t="inlineStr">
        <is>
          <t>InStock</t>
        </is>
      </c>
      <c r="S2810" t="inlineStr">
        <is>
          <t>79.3</t>
        </is>
      </c>
      <c r="T2810" t="inlineStr">
        <is>
          <t>7783570309336</t>
        </is>
      </c>
    </row>
    <row r="2811" ht="87" customHeight="1">
      <c r="A2811" s="2">
        <f>HYPERLINK("https://edmondsonsupply.com/collections/hvac/products/milwaukee-49-90-1900-hepa-filter", "https://edmondsonsupply.com/collections/hvac/products/milwaukee-49-90-1900-hepa-filter")</f>
        <v/>
      </c>
      <c r="B2811" s="2">
        <f>HYPERLINK("https://edmondsonsupply.com/products/milwaukee-49-90-1900-hepa-filter", "https://edmondsonsupply.com/products/milwaukee-49-90-1900-hepa-filter")</f>
        <v/>
      </c>
      <c r="C2811" t="inlineStr">
        <is>
          <t>Milwaukee 49-90-1900 HEPA Filter</t>
        </is>
      </c>
      <c r="D2811" t="inlineStr">
        <is>
          <t>EZ SPARES 2pcs Replacements for Milwaukee,49-90-1900 Filter,Wet/Dry 0780-20 or 0880-20 Hepa Kit Attachment</t>
        </is>
      </c>
      <c r="E2811" s="2">
        <f>HYPERLINK("https://www.amazon.com/EZ-SPARES-Replacements-49-90-1900-Attachment/dp/B07SGPWPBF/ref=sr_1_14?keywords=Milwaukee+49-90-1900+HEPA+Filter&amp;qid=1694734913&amp;sr=8-14", "https://www.amazon.com/EZ-SPARES-Replacements-49-90-1900-Attachment/dp/B07SGPWPBF/ref=sr_1_14?keywords=Milwaukee+49-90-1900+HEPA+Filter&amp;qid=1694734913&amp;sr=8-14")</f>
        <v/>
      </c>
      <c r="F2811" t="inlineStr">
        <is>
          <t>B07SGPWPBF</t>
        </is>
      </c>
      <c r="G2811">
        <f>_xlfn.IMAGE("https://edmondsonsupply.com/cdn/shop/files/49-90-1900_1.png?v=1686234774")</f>
        <v/>
      </c>
      <c r="H2811">
        <f>_xlfn.IMAGE("https://m.media-amazon.com/images/I/619i3MWyyYL._AC_UL320_.jpg")</f>
        <v/>
      </c>
      <c r="K2811" t="inlineStr">
        <is>
          <t>24.98</t>
        </is>
      </c>
      <c r="L2811" t="n">
        <v>19.98</v>
      </c>
      <c r="M2811" s="1" t="inlineStr">
        <is>
          <t>-20.02%</t>
        </is>
      </c>
      <c r="N2811" s="7" t="n">
        <v>196.17</v>
      </c>
      <c r="O2811" t="n">
        <v>4.5</v>
      </c>
      <c r="P2811" t="n">
        <v>53</v>
      </c>
      <c r="R2811" t="inlineStr">
        <is>
          <t>InStock</t>
        </is>
      </c>
      <c r="S2811" t="inlineStr">
        <is>
          <t>40.0</t>
        </is>
      </c>
      <c r="T2811" t="inlineStr">
        <is>
          <t>8002625306840</t>
        </is>
      </c>
    </row>
    <row r="2812" hidden="1" ht="15.75" customHeight="1">
      <c r="A2812" s="2">
        <f>HYPERLINK("https://edmondsonsupply.com/collections/hvac/products/5-2-1-csru1", "https://edmondsonsupply.com/collections/hvac/products/5-2-1-csru1")</f>
        <v/>
      </c>
      <c r="B2812" s="2">
        <f>HYPERLINK("https://edmondsonsupply.com/products/5-2-1-csru1", "https://edmondsonsupply.com/products/5-2-1-csru1")</f>
        <v/>
      </c>
      <c r="C2812" t="inlineStr">
        <is>
          <t>5-2-1 CSRU1 Compressor Saver, 1 to 3 Tons</t>
        </is>
      </c>
      <c r="D2812" t="inlineStr">
        <is>
          <t>Upgraded CSR-U1 Compressor Saver Compatible with 5-2-1 HVAC Hard Start Kit 1 to 3 Ton Units Hard Start Kit for Air Conditioner, AC Hard Start Capacitor</t>
        </is>
      </c>
      <c r="E2812" s="2">
        <f>HYPERLINK("https://www.amazon.com/Start-Capacitor-5-2-1-Compressor-Saver/dp/B07GKXGKRB/ref=sr_1_5?keywords=5-2-1+CSRU1+Compressor+Saver%2C+1+to+3+Tons&amp;qid=1694734741&amp;sr=8-5", "https://www.amazon.com/Start-Capacitor-5-2-1-Compressor-Saver/dp/B07GKXGKRB/ref=sr_1_5?keywords=5-2-1+CSRU1+Compressor+Saver%2C+1+to+3+Tons&amp;qid=1694734741&amp;sr=8-5")</f>
        <v/>
      </c>
      <c r="F2812" t="inlineStr">
        <is>
          <t>B07GKXGKRB</t>
        </is>
      </c>
      <c r="G2812">
        <f>_xludf.IMAGE("https://edmondsonsupply.com/cdn/shop/products/CSRU1.jpg?v=1633030087")</f>
        <v/>
      </c>
      <c r="H2812">
        <f>_xludf.IMAGE("https://m.media-amazon.com/images/I/81zfFglyF6L._AC_UL320_.jpg")</f>
        <v/>
      </c>
      <c r="K2812" t="inlineStr">
        <is>
          <t>34.62</t>
        </is>
      </c>
      <c r="L2812" t="n">
        <v>27.69</v>
      </c>
      <c r="M2812" s="1" t="inlineStr">
        <is>
          <t>-20.02%</t>
        </is>
      </c>
      <c r="N2812" s="1" t="n">
        <v>195.93</v>
      </c>
      <c r="O2812" t="n">
        <v>3.9</v>
      </c>
      <c r="P2812" t="n">
        <v>217</v>
      </c>
      <c r="R2812" t="inlineStr">
        <is>
          <t>InStock</t>
        </is>
      </c>
      <c r="S2812" t="inlineStr">
        <is>
          <t>39.95</t>
        </is>
      </c>
      <c r="T2812" t="inlineStr">
        <is>
          <t>3558315950180</t>
        </is>
      </c>
    </row>
    <row r="2813" ht="87" customHeight="1">
      <c r="A2813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2813" s="2">
        <f>HYPERLINK("https://edmondsonsupply.com/products/klein-tools-sk234-screwdriver-set-slotted-screw-holding-3-piece", "https://edmondsonsupply.com/products/klein-tools-sk234-screwdriver-set-slotted-screw-holding-3-piece")</f>
        <v/>
      </c>
      <c r="C2813" t="inlineStr">
        <is>
          <t>Klein Tools SK234 Screwdriver Set, Slotted Screw Holding, 3-Piece</t>
        </is>
      </c>
      <c r="D2813" t="inlineStr">
        <is>
          <t>Klein Tools 85153K Slotted Screw-Holding Screwdriver Set, 3/16-Inch, 1/4-Inch Split-Blade Flat Head Driver, Positive Gripping Action, 2-Piece</t>
        </is>
      </c>
      <c r="E2813" s="2">
        <f>HYPERLINK("https://www.amazon.com/Klein-Tools-85153K-Screw-Holding-Screwdriver/dp/B0CFRP1K3L/ref=sr_1_1?keywords=Klein+Tools+SK234+Screwdriver+Set%2C+Slotted+Screw+Holding%2C+3-Piece&amp;qid=1694734646&amp;sr=8-1", "https://www.amazon.com/Klein-Tools-85153K-Screw-Holding-Screwdriver/dp/B0CFRP1K3L/ref=sr_1_1?keywords=Klein+Tools+SK234+Screwdriver+Set%2C+Slotted+Screw+Holding%2C+3-Piece&amp;qid=1694734646&amp;sr=8-1")</f>
        <v/>
      </c>
      <c r="F2813" t="inlineStr">
        <is>
          <t>B0CFRP1K3L</t>
        </is>
      </c>
      <c r="G2813">
        <f>_xlfn.IMAGE("https://edmondsonsupply.com/cdn/shop/products/sk234.jpg?v=1587144984")</f>
        <v/>
      </c>
      <c r="H2813">
        <f>_xlfn.IMAGE("https://m.media-amazon.com/images/I/41KoRmOkBpL._AC_UL320_.jpg")</f>
        <v/>
      </c>
      <c r="K2813" t="inlineStr">
        <is>
          <t>29.97</t>
        </is>
      </c>
      <c r="L2813" t="n">
        <v>23.97</v>
      </c>
      <c r="M2813" s="1" t="inlineStr">
        <is>
          <t>-20.02%</t>
        </is>
      </c>
      <c r="N2813" s="7" t="n">
        <v>195.41</v>
      </c>
      <c r="O2813" t="n">
        <v>5</v>
      </c>
      <c r="P2813" t="n">
        <v>1</v>
      </c>
      <c r="R2813" t="inlineStr">
        <is>
          <t>OutOfStock</t>
        </is>
      </c>
      <c r="S2813" t="inlineStr">
        <is>
          <t>45.42</t>
        </is>
      </c>
      <c r="T2813" t="inlineStr">
        <is>
          <t>4405483143268</t>
        </is>
      </c>
    </row>
    <row r="2814" hidden="1" ht="15.75" customHeight="1">
      <c r="A2814" s="2">
        <f>HYPERLINK("https://edmondsonsupply.com/collections/hvac/products/klein-tools-jth4e17-1-2-inch-hex-key-journeyman-t-handle-4-inch", "https://edmondsonsupply.com/collections/hvac/products/klein-tools-jth4e17-1-2-inch-hex-key-journeyman-t-handle-4-inch")</f>
        <v/>
      </c>
      <c r="B2814" s="2">
        <f>HYPERLINK("https://edmondsonsupply.com/products/klein-tools-jth4e17-1-2-inch-hex-key-journeyman-t-handle-4-inch", "https://edmondsonsupply.com/products/klein-tools-jth4e17-1-2-inch-hex-key-journeyman-t-handle-4-inch")</f>
        <v/>
      </c>
      <c r="C2814" t="inlineStr">
        <is>
          <t>Klein Tools JTH4E11 3/16-Inch Hex Key with Journeyman T-Handle, 4-Inch</t>
        </is>
      </c>
      <c r="D2814" t="inlineStr">
        <is>
          <t>Klein Tools JTH6M3 3 mm Hex Key with Journeyman T-Handle, 6-Inch</t>
        </is>
      </c>
      <c r="E2814" s="2">
        <f>HYPERLINK("https://www.amazon.com/Journeyman-T-Handle-Klein-Tools-JTH6M3/dp/B005G394RG/ref=sr_1_3?keywords=Klein+Tools+JTH4E11+3%2F16-Inch+Hex+Key+with+Journeyman+T-Handle%2C+4-Inch&amp;qid=1694734725&amp;sr=8-3", "https://www.amazon.com/Journeyman-T-Handle-Klein-Tools-JTH6M3/dp/B005G394RG/ref=sr_1_3?keywords=Klein+Tools+JTH4E11+3%2F16-Inch+Hex+Key+with+Journeyman+T-Handle%2C+4-Inch&amp;qid=1694734725&amp;sr=8-3")</f>
        <v/>
      </c>
      <c r="F2814" t="inlineStr">
        <is>
          <t>B005G394RG</t>
        </is>
      </c>
      <c r="G2814">
        <f>_xludf.IMAGE("https://edmondsonsupply.com/cdn/shop/products/jth4e17.jpg?v=1587144836")</f>
        <v/>
      </c>
      <c r="H2814">
        <f>_xludf.IMAGE("https://m.media-amazon.com/images/I/51+1x0vz9XL._AC_UL320_.jpg")</f>
        <v/>
      </c>
      <c r="K2814" t="inlineStr">
        <is>
          <t>4.99</t>
        </is>
      </c>
      <c r="L2814" t="n">
        <v>3.99</v>
      </c>
      <c r="M2814" s="1" t="inlineStr">
        <is>
          <t>-20.04%</t>
        </is>
      </c>
      <c r="N2814" s="1" t="n">
        <v>193.67</v>
      </c>
      <c r="O2814" t="n">
        <v>4.7</v>
      </c>
      <c r="P2814" t="n">
        <v>358</v>
      </c>
      <c r="R2814" t="inlineStr">
        <is>
          <t>InStock</t>
        </is>
      </c>
      <c r="S2814" t="inlineStr">
        <is>
          <t>7.6</t>
        </is>
      </c>
      <c r="T2814" t="inlineStr">
        <is>
          <t>4432217964644</t>
        </is>
      </c>
    </row>
    <row r="2815" hidden="1" ht="15.75" customHeight="1">
      <c r="A2815" s="2">
        <f>HYPERLINK("https://edmondsonsupply.com/collections/hvac/products/klein-tools-jth6e11-3-16-inch-hex-key-journeyman-t-handle-6-inch", "https://edmondsonsupply.com/collections/hvac/products/klein-tools-jth6e11-3-16-inch-hex-key-journeyman-t-handle-6-inch")</f>
        <v/>
      </c>
      <c r="B2815" s="2">
        <f>HYPERLINK("https://edmondsonsupply.com/products/klein-tools-jth6e11-3-16-inch-hex-key-journeyman-t-handle-6-inch", "https://edmondsonsupply.com/products/klein-tools-jth6e11-3-16-inch-hex-key-journeyman-t-handle-6-inch")</f>
        <v/>
      </c>
      <c r="C2815" t="inlineStr">
        <is>
          <t>Klein Tools JTH6E11 3/16-Inch Hex Key, Journeyman T-Handle, 6-Inch</t>
        </is>
      </c>
      <c r="D2815" t="inlineStr">
        <is>
          <t>Klein Tools JTH6M3 3 mm Hex Key with Journeyman T-Handle, 6-Inch</t>
        </is>
      </c>
      <c r="E2815" s="2">
        <f>HYPERLINK("https://www.amazon.com/Journeyman-T-Handle-Klein-Tools-JTH6M3/dp/B005G394RG/ref=sr_1_5?keywords=Klein+Tools+JTH6E11+3%2F16-Inch+Hex+Key%2C+Journeyman+T-Handle%2C+6-Inch&amp;qid=1694734729&amp;sr=8-5", "https://www.amazon.com/Journeyman-T-Handle-Klein-Tools-JTH6M3/dp/B005G394RG/ref=sr_1_5?keywords=Klein+Tools+JTH6E11+3%2F16-Inch+Hex+Key%2C+Journeyman+T-Handle%2C+6-Inch&amp;qid=1694734729&amp;sr=8-5")</f>
        <v/>
      </c>
      <c r="F2815" t="inlineStr">
        <is>
          <t>B005G394RG</t>
        </is>
      </c>
      <c r="G2815">
        <f>_xludf.IMAGE("https://edmondsonsupply.com/cdn/shop/products/jth6e15_0266106d-0a3b-44ba-997b-66db7749d83f.jpg?v=1587144829")</f>
        <v/>
      </c>
      <c r="H2815">
        <f>_xludf.IMAGE("https://m.media-amazon.com/images/I/51+1x0vz9XL._AC_UL320_.jpg")</f>
        <v/>
      </c>
      <c r="K2815" t="inlineStr">
        <is>
          <t>4.99</t>
        </is>
      </c>
      <c r="L2815" t="n">
        <v>3.99</v>
      </c>
      <c r="M2815" s="1" t="inlineStr">
        <is>
          <t>-20.04%</t>
        </is>
      </c>
      <c r="N2815" s="1" t="n">
        <v>193.67</v>
      </c>
      <c r="O2815" t="n">
        <v>4.7</v>
      </c>
      <c r="P2815" t="n">
        <v>358</v>
      </c>
      <c r="R2815" t="inlineStr">
        <is>
          <t>InStock</t>
        </is>
      </c>
      <c r="S2815" t="inlineStr">
        <is>
          <t>7.56</t>
        </is>
      </c>
      <c r="T2815" t="inlineStr">
        <is>
          <t>4396293947492</t>
        </is>
      </c>
    </row>
    <row r="2816" ht="87" customHeight="1">
      <c r="A2816" s="2">
        <f>HYPERLINK("https://edmondsonsupply.com/collections/hvac/products/channellock-431", "https://edmondsonsupply.com/collections/hvac/products/channellock-431")</f>
        <v/>
      </c>
      <c r="B2816" s="2">
        <f>HYPERLINK("https://edmondsonsupply.com/products/channellock-431", "https://edmondsonsupply.com/products/channellock-431")</f>
        <v/>
      </c>
      <c r="C2816" t="inlineStr">
        <is>
          <t>Channellock 432 10-Inch V-Jaw Tongue &amp; Groove Pliers</t>
        </is>
      </c>
      <c r="D2816" t="inlineStr">
        <is>
          <t>CHANNELLOCK 424 Straight Jaw Tongue &amp; Groove Pliers, 4.5-inch | 1/2-inch Jaw Capacity | 3 Adjustments | Forged High-Carbon U.S. Steel | 90° Teeth Grip in Both Directions | Made in USA, Polished Steel</t>
        </is>
      </c>
      <c r="E2816" s="2">
        <f>HYPERLINK("https://www.amazon.com/CHANNELLOCK-424-Adjustments-High-Carbon-Directions/dp/B00004SBCR/ref=sr_1_22?keywords=Channellock+432+10-Inch+V-Jaw+Tongue+%26+Groove+Pliers&amp;qid=1694734826&amp;sr=8-22", "https://www.amazon.com/CHANNELLOCK-424-Adjustments-High-Carbon-Directions/dp/B00004SBCR/ref=sr_1_22?keywords=Channellock+432+10-Inch+V-Jaw+Tongue+%26+Groove+Pliers&amp;qid=1694734826&amp;sr=8-22")</f>
        <v/>
      </c>
      <c r="F2816" t="inlineStr">
        <is>
          <t>B00004SBCR</t>
        </is>
      </c>
      <c r="G2816">
        <f>_xlfn.IMAGE("https://edmondsonsupply.com/cdn/shop/products/432-683x1024.jpg?v=1587147134")</f>
        <v/>
      </c>
      <c r="H2816">
        <f>_xlfn.IMAGE("https://m.media-amazon.com/images/I/71txViLKvZL._AC_UL320_.jpg")</f>
        <v/>
      </c>
      <c r="K2816" t="inlineStr">
        <is>
          <t>19.95</t>
        </is>
      </c>
      <c r="L2816" t="n">
        <v>15.95</v>
      </c>
      <c r="M2816" s="1" t="inlineStr">
        <is>
          <t>-20.05%</t>
        </is>
      </c>
      <c r="N2816" s="7" t="n">
        <v>193.59</v>
      </c>
      <c r="O2816" t="n">
        <v>4.7</v>
      </c>
      <c r="P2816" t="n">
        <v>1648</v>
      </c>
      <c r="R2816" t="inlineStr">
        <is>
          <t>InStock</t>
        </is>
      </c>
      <c r="S2816" t="inlineStr">
        <is>
          <t>27.63</t>
        </is>
      </c>
      <c r="T2816" t="inlineStr">
        <is>
          <t>3553468317796</t>
        </is>
      </c>
    </row>
    <row r="2817" ht="87" customHeight="1">
      <c r="A2817" s="2">
        <f>HYPERLINK("https://edmondsonsupply.com/collections/hvac/products/channellock-431", "https://edmondsonsupply.com/collections/hvac/products/channellock-431")</f>
        <v/>
      </c>
      <c r="B2817" s="2">
        <f>HYPERLINK("https://edmondsonsupply.com/products/channellock-431", "https://edmondsonsupply.com/products/channellock-431")</f>
        <v/>
      </c>
      <c r="C2817" t="inlineStr">
        <is>
          <t>Channellock 432 10-Inch V-Jaw Tongue &amp; Groove Pliers</t>
        </is>
      </c>
      <c r="D2817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2817" s="2">
        <f>HYPERLINK("https://www.amazon.com/Channellock-426-8-Inch-Capacity-2-Inch/dp/B00004SBCS/ref=sr_1_10?keywords=Channellock+432+10-Inch+V-Jaw+Tongue+%26+Groove+Pliers&amp;qid=1694734826&amp;sr=8-10", "https://www.amazon.com/Channellock-426-8-Inch-Capacity-2-Inch/dp/B00004SBCS/ref=sr_1_10?keywords=Channellock+432+10-Inch+V-Jaw+Tongue+%26+Groove+Pliers&amp;qid=1694734826&amp;sr=8-10")</f>
        <v/>
      </c>
      <c r="F2817" t="inlineStr">
        <is>
          <t>B00004SBCS</t>
        </is>
      </c>
      <c r="G2817">
        <f>_xlfn.IMAGE("https://edmondsonsupply.com/cdn/shop/products/432-683x1024.jpg?v=1587147134")</f>
        <v/>
      </c>
      <c r="H2817">
        <f>_xlfn.IMAGE("https://m.media-amazon.com/images/I/713NYKlIyoL._AC_UL320_.jpg")</f>
        <v/>
      </c>
      <c r="K2817" t="inlineStr">
        <is>
          <t>19.95</t>
        </is>
      </c>
      <c r="L2817" t="n">
        <v>15.95</v>
      </c>
      <c r="M2817" s="1" t="inlineStr">
        <is>
          <t>-20.05%</t>
        </is>
      </c>
      <c r="N2817" s="7" t="n">
        <v>193.59</v>
      </c>
      <c r="O2817" t="n">
        <v>4.7</v>
      </c>
      <c r="P2817" t="n">
        <v>1995</v>
      </c>
      <c r="R2817" t="inlineStr">
        <is>
          <t>InStock</t>
        </is>
      </c>
      <c r="S2817" t="inlineStr">
        <is>
          <t>27.63</t>
        </is>
      </c>
      <c r="T2817" t="inlineStr">
        <is>
          <t>3553468317796</t>
        </is>
      </c>
    </row>
    <row r="2818" ht="87" customHeight="1">
      <c r="A2818" s="2">
        <f>HYPERLINK("https://edmondsonsupply.com/collections/hvac/products/milwaukee-49-90-1900-hepa-filter", "https://edmondsonsupply.com/collections/hvac/products/milwaukee-49-90-1900-hepa-filter")</f>
        <v/>
      </c>
      <c r="B2818" s="2">
        <f>HYPERLINK("https://edmondsonsupply.com/products/milwaukee-49-90-1900-hepa-filter", "https://edmondsonsupply.com/products/milwaukee-49-90-1900-hepa-filter")</f>
        <v/>
      </c>
      <c r="C2818" t="inlineStr">
        <is>
          <t>Milwaukee 49-90-1900 HEPA Filter</t>
        </is>
      </c>
      <c r="D2818" t="inlineStr">
        <is>
          <t>49-90-1951 HEPA Cartridge Filter Kit by Wadoy Compatible with Milwaukee 49-90-0160 0882-20 M18 Vacuum Cleaner (2 Pack)</t>
        </is>
      </c>
      <c r="E2818" s="2">
        <f>HYPERLINK("https://www.amazon.com/49-90-1951-Cartridge-Replacement-Milwaukee-49-90-0160/dp/B087N5NS2D/ref=sr_1_30?keywords=Milwaukee+49-90-1900+HEPA+Filter&amp;qid=1694734913&amp;sr=8-30", "https://www.amazon.com/49-90-1951-Cartridge-Replacement-Milwaukee-49-90-0160/dp/B087N5NS2D/ref=sr_1_30?keywords=Milwaukee+49-90-1900+HEPA+Filter&amp;qid=1694734913&amp;sr=8-30")</f>
        <v/>
      </c>
      <c r="F2818" t="inlineStr">
        <is>
          <t>B087N5NS2D</t>
        </is>
      </c>
      <c r="G2818">
        <f>_xlfn.IMAGE("https://edmondsonsupply.com/cdn/shop/files/49-90-1900_1.png?v=1686234774")</f>
        <v/>
      </c>
      <c r="H2818">
        <f>_xlfn.IMAGE("https://m.media-amazon.com/images/I/611svXuWKJL._AC_UL320_.jpg")</f>
        <v/>
      </c>
      <c r="K2818" t="inlineStr">
        <is>
          <t>24.98</t>
        </is>
      </c>
      <c r="L2818" t="n">
        <v>19.97</v>
      </c>
      <c r="M2818" s="1" t="inlineStr">
        <is>
          <t>-20.06%</t>
        </is>
      </c>
      <c r="N2818" s="7" t="n">
        <v>193.1</v>
      </c>
      <c r="O2818" t="n">
        <v>4.8</v>
      </c>
      <c r="P2818" t="n">
        <v>167</v>
      </c>
      <c r="R2818" t="inlineStr">
        <is>
          <t>InStock</t>
        </is>
      </c>
      <c r="S2818" t="inlineStr">
        <is>
          <t>40.0</t>
        </is>
      </c>
      <c r="T2818" t="inlineStr">
        <is>
          <t>8002625306840</t>
        </is>
      </c>
    </row>
    <row r="2819" ht="87" customHeight="1">
      <c r="A2819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819" s="2">
        <f>HYPERLINK("https://edmondsonsupply.com/products/klein-tools-d2000-28glw-diagonal-cutting-pliers-hi-viz-8-inch", "https://edmondsonsupply.com/products/klein-tools-d2000-28glw-diagonal-cutting-pliers-hi-viz-8-inch")</f>
        <v/>
      </c>
      <c r="C2819" t="inlineStr">
        <is>
          <t>Klein Tools D200028GLW Diagonal Cutting Pliers, High-Visibility, 8-Inch</t>
        </is>
      </c>
      <c r="D2819" t="inlineStr">
        <is>
          <t>Klein Tools D228-8 Pliers, Diagonal Cutting Pliers with Short Jaw and Beveled Knives, High-Leverage Color-Coded Wire Cutters, 8-Inch</t>
        </is>
      </c>
      <c r="E2819" s="2">
        <f>HYPERLINK("https://www.amazon.com/Diagonal-Leverage-Klein-Tools-D228-8/dp/B0000302VW/ref=sr_1_16?keywords=Klein+Tools+D200028GLW+Diagonal+Cutting+Pliers%2C+High-Visibility%2C+8-Inch&amp;qid=1694734781&amp;sr=8-16", "https://www.amazon.com/Diagonal-Leverage-Klein-Tools-D228-8/dp/B0000302VW/ref=sr_1_16?keywords=Klein+Tools+D200028GLW+Diagonal+Cutting+Pliers%2C+High-Visibility%2C+8-Inch&amp;qid=1694734781&amp;sr=8-16")</f>
        <v/>
      </c>
      <c r="F2819" t="inlineStr">
        <is>
          <t>B0000302VW</t>
        </is>
      </c>
      <c r="G2819">
        <f>_xlfn.IMAGE("https://edmondsonsupply.com/cdn/shop/products/d200028glw.jpg?v=1633030701")</f>
        <v/>
      </c>
      <c r="H2819">
        <f>_xlfn.IMAGE("https://m.media-amazon.com/images/I/51-72gFSPtL._AC_UL320_.jpg")</f>
        <v/>
      </c>
      <c r="K2819" t="inlineStr">
        <is>
          <t>37.49</t>
        </is>
      </c>
      <c r="L2819" t="n">
        <v>29.97</v>
      </c>
      <c r="M2819" s="1" t="inlineStr">
        <is>
          <t>-20.06%</t>
        </is>
      </c>
      <c r="N2819" s="7" t="n">
        <v>192.64</v>
      </c>
      <c r="O2819" t="n">
        <v>4.8</v>
      </c>
      <c r="P2819" t="n">
        <v>2872</v>
      </c>
      <c r="R2819" t="inlineStr">
        <is>
          <t>InStock</t>
        </is>
      </c>
      <c r="S2819" t="inlineStr">
        <is>
          <t>56.78</t>
        </is>
      </c>
      <c r="T2819" t="inlineStr">
        <is>
          <t>5848287477928</t>
        </is>
      </c>
    </row>
    <row r="2820" ht="87" customHeight="1">
      <c r="A2820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820" s="2">
        <f>HYPERLINK("https://edmondsonsupply.com/products/klein-tools-d2000-28glw-diagonal-cutting-pliers-hi-viz-8-inch", "https://edmondsonsupply.com/products/klein-tools-d2000-28glw-diagonal-cutting-pliers-hi-viz-8-inch")</f>
        <v/>
      </c>
      <c r="C2820" t="inlineStr">
        <is>
          <t>Klein Tools D200028GLW Diagonal Cutting Pliers, High-Visibility, 8-Inch</t>
        </is>
      </c>
      <c r="D2820" t="inlineStr">
        <is>
          <t>Klein Tools D248-9ST Pliers, Ironworker's Diagonal Cutting Pliers with High Leverage Design Works as Rebar Cutter and Rebar Bender, 9-Inch</t>
        </is>
      </c>
      <c r="E2820" s="2">
        <f>HYPERLINK("https://www.amazon.com/Diagonal-Ironworker-Klein-Tools-D248-9ST/dp/B0009ZAT1G/ref=sr_1_13?keywords=Klein+Tools+D200028GLW+Diagonal+Cutting+Pliers%2C+High-Visibility%2C+8-Inch&amp;qid=1694734781&amp;sr=8-13", "https://www.amazon.com/Diagonal-Ironworker-Klein-Tools-D248-9ST/dp/B0009ZAT1G/ref=sr_1_13?keywords=Klein+Tools+D200028GLW+Diagonal+Cutting+Pliers%2C+High-Visibility%2C+8-Inch&amp;qid=1694734781&amp;sr=8-13")</f>
        <v/>
      </c>
      <c r="F2820" t="inlineStr">
        <is>
          <t>B0009ZAT1G</t>
        </is>
      </c>
      <c r="G2820">
        <f>_xlfn.IMAGE("https://edmondsonsupply.com/cdn/shop/products/d200028glw.jpg?v=1633030701")</f>
        <v/>
      </c>
      <c r="H2820">
        <f>_xlfn.IMAGE("https://m.media-amazon.com/images/I/41QcUzpmIlL._AC_UL320_.jpg")</f>
        <v/>
      </c>
      <c r="K2820" t="inlineStr">
        <is>
          <t>37.49</t>
        </is>
      </c>
      <c r="L2820" t="n">
        <v>29.97</v>
      </c>
      <c r="M2820" s="1" t="inlineStr">
        <is>
          <t>-20.06%</t>
        </is>
      </c>
      <c r="N2820" s="7" t="n">
        <v>191.09</v>
      </c>
      <c r="O2820" t="n">
        <v>4.8</v>
      </c>
      <c r="P2820" t="n">
        <v>5521</v>
      </c>
      <c r="R2820" t="inlineStr">
        <is>
          <t>InStock</t>
        </is>
      </c>
      <c r="S2820" t="inlineStr">
        <is>
          <t>56.78</t>
        </is>
      </c>
      <c r="T2820" t="inlineStr">
        <is>
          <t>5848287477928</t>
        </is>
      </c>
    </row>
    <row r="2821" ht="87" customHeight="1">
      <c r="A2821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2821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2821" t="inlineStr">
        <is>
          <t>Robertshaw 41-224 Hot Surface Furnace Ignitor</t>
        </is>
      </c>
      <c r="D2821" t="inlineStr">
        <is>
          <t>OEM Upgraded Replacement for Robertshaw Furnace Hot Surface Ignitor / Igniter 41-409</t>
        </is>
      </c>
      <c r="E2821" s="2">
        <f>HYPERLINK("https://www.amazon.com/Upgraded-Replacement-Robertshaw-Furnace-Surface/dp/B00EE86RC4/ref=sr_1_4?keywords=Robertshaw+41-224+Hot+Surface+Furnace+Ignitor&amp;qid=1694734847&amp;sr=8-4", "https://www.amazon.com/Upgraded-Replacement-Robertshaw-Furnace-Surface/dp/B00EE86RC4/ref=sr_1_4?keywords=Robertshaw+41-224+Hot+Surface+Furnace+Ignitor&amp;qid=1694734847&amp;sr=8-4")</f>
        <v/>
      </c>
      <c r="F2821" t="inlineStr">
        <is>
          <t>B00EE86RC4</t>
        </is>
      </c>
      <c r="G2821">
        <f>_xlfn.IMAGE("https://edmondsonsupply.com/cdn/shop/files/41-224.jpg?v=1694616534")</f>
        <v/>
      </c>
      <c r="H2821">
        <f>_xlfn.IMAGE("https://m.media-amazon.com/images/I/51zXvmm6rzL._AC_UL320_.jpg")</f>
        <v/>
      </c>
      <c r="K2821" t="inlineStr">
        <is>
          <t>41.78</t>
        </is>
      </c>
      <c r="L2821" t="n">
        <v>33.38</v>
      </c>
      <c r="M2821" s="1" t="inlineStr">
        <is>
          <t>-20.11%</t>
        </is>
      </c>
      <c r="N2821" s="7" t="n">
        <v>191.03</v>
      </c>
      <c r="O2821" t="n">
        <v>5</v>
      </c>
      <c r="P2821" t="n">
        <v>2</v>
      </c>
      <c r="R2821" t="inlineStr">
        <is>
          <t>InStock</t>
        </is>
      </c>
      <c r="S2821" t="inlineStr">
        <is>
          <t>undefined</t>
        </is>
      </c>
      <c r="T2821" t="inlineStr">
        <is>
          <t>8035179692248</t>
        </is>
      </c>
    </row>
    <row r="2822" ht="87" customHeight="1">
      <c r="A2822" s="2">
        <f>HYPERLINK("https://edmondsonsupply.com/collections/hvac/products/klein-tools-85153k-slotted-screw-holding-driver-kit-3-16-inch-and-1-4-inch", "https://edmondsonsupply.com/collections/hvac/products/klein-tools-85153k-slotted-screw-holding-driver-kit-3-16-inch-and-1-4-inch")</f>
        <v/>
      </c>
      <c r="B2822" s="2">
        <f>HYPERLINK("https://edmondsonsupply.com/products/klein-tools-85153k-slotted-screw-holding-driver-kit-3-16-inch-and-1-4-inch", "https://edmondsonsupply.com/products/klein-tools-85153k-slotted-screw-holding-driver-kit-3-16-inch-and-1-4-inch")</f>
        <v/>
      </c>
      <c r="C2822" t="inlineStr">
        <is>
          <t>Klein Tools 85153K Slotted Screw Holding Driver Kit, 3/16-Inch and 1/4-Inch</t>
        </is>
      </c>
      <c r="D2822" t="inlineStr">
        <is>
          <t>Klein Tools K48 5/16-Inch Slotted Screw-Holding Flat Head Screwdriver with 8-Inch Round Shank and Comfordome Handle</t>
        </is>
      </c>
      <c r="E2822" s="2">
        <f>HYPERLINK("https://www.amazon.com/Screw-Holding-Screwdriver-Klein-Tools-K48/dp/B00093GCWI/ref=sr_1_3?keywords=Klein+Tools+85153K+Slotted+Screw+Holding+Driver+Kit%2C+3%2F16-Inch+and+1%2F4-Inch&amp;qid=1694734835&amp;sr=8-3", "https://www.amazon.com/Screw-Holding-Screwdriver-Klein-Tools-K48/dp/B00093GCWI/ref=sr_1_3?keywords=Klein+Tools+85153K+Slotted+Screw+Holding+Driver+Kit%2C+3%2F16-Inch+and+1%2F4-Inch&amp;qid=1694734835&amp;sr=8-3")</f>
        <v/>
      </c>
      <c r="F2822" t="inlineStr">
        <is>
          <t>B00093GCWI</t>
        </is>
      </c>
      <c r="G2822">
        <f>_xlfn.IMAGE("https://edmondsonsupply.com/cdn/shop/files/85153k.jpg?v=1693933663")</f>
        <v/>
      </c>
      <c r="H2822">
        <f>_xlfn.IMAGE("https://m.media-amazon.com/images/I/61A3V+ZpcRL._AC_UL320_.jpg")</f>
        <v/>
      </c>
      <c r="K2822" t="inlineStr">
        <is>
          <t>19.98</t>
        </is>
      </c>
      <c r="L2822" t="n">
        <v>15.94</v>
      </c>
      <c r="M2822" s="1" t="inlineStr">
        <is>
          <t>-20.22%</t>
        </is>
      </c>
      <c r="N2822" s="7" t="n">
        <v>190.91</v>
      </c>
      <c r="O2822" t="n">
        <v>4.7</v>
      </c>
      <c r="P2822" t="n">
        <v>69</v>
      </c>
      <c r="R2822" t="inlineStr">
        <is>
          <t>InStock</t>
        </is>
      </c>
      <c r="S2822" t="inlineStr">
        <is>
          <t>29.98</t>
        </is>
      </c>
      <c r="T2822" t="inlineStr">
        <is>
          <t>8034276344024</t>
        </is>
      </c>
    </row>
    <row r="2823" ht="87" customHeight="1">
      <c r="A2823" s="2">
        <f>HYPERLINK("https://edmondsonsupply.com/collections/hvac/products/fluke-376", "https://edmondsonsupply.com/collections/hvac/products/fluke-376")</f>
        <v/>
      </c>
      <c r="B2823" s="2">
        <f>HYPERLINK("https://edmondsonsupply.com/products/fluke-376", "https://edmondsonsupply.com/products/fluke-376")</f>
        <v/>
      </c>
      <c r="C2823" t="inlineStr">
        <is>
          <t>Fluke 376 FC Wireless True-RMS AC/DC Clamp Meter with iFlex</t>
        </is>
      </c>
      <c r="D2823" t="inlineStr">
        <is>
          <t>Fluke 376FC AC/DC Clamp Meter with iFlex For Industrial/Commercial Electricians, VFD Low Pass Filter For Accurate Measurements, Inrush Measurements, Bluetooth Connectivity For Remote Measurements</t>
        </is>
      </c>
      <c r="E2823" s="2">
        <f>HYPERLINK("https://www.amazon.com/Fluke-1000A-Wireless-Clamp-Iflex/dp/B017OVC2QM/ref=sr_1_3?keywords=Fluke+376+FC+Wireless+True-RMS+AC%2FDC+Clamp+Meter+with+iFlex&amp;qid=1694734720&amp;sr=8-3", "https://www.amazon.com/Fluke-1000A-Wireless-Clamp-Iflex/dp/B017OVC2QM/ref=sr_1_3?keywords=Fluke+376+FC+Wireless+True-RMS+AC%2FDC+Clamp+Meter+with+iFlex&amp;qid=1694734720&amp;sr=8-3")</f>
        <v/>
      </c>
      <c r="F2823" t="inlineStr">
        <is>
          <t>B017OVC2QM</t>
        </is>
      </c>
      <c r="G2823">
        <f>_xlfn.IMAGE("https://edmondsonsupply.com/cdn/shop/products/f-376fc-16a-1500x1000.jpg?v=1633030274")</f>
        <v/>
      </c>
      <c r="H2823">
        <f>_xlfn.IMAGE("https://m.media-amazon.com/images/I/6115AX2aVFL._AC_UY218_.jpg")</f>
        <v/>
      </c>
      <c r="K2823" t="inlineStr">
        <is>
          <t>533.69</t>
        </is>
      </c>
      <c r="L2823" t="n">
        <v>424.99</v>
      </c>
      <c r="M2823" s="1" t="inlineStr">
        <is>
          <t>-20.37%</t>
        </is>
      </c>
      <c r="N2823" s="7" t="n">
        <v>190.68</v>
      </c>
      <c r="O2823" t="n">
        <v>4.7</v>
      </c>
      <c r="P2823" t="n">
        <v>708</v>
      </c>
      <c r="R2823" t="inlineStr">
        <is>
          <t>InStock</t>
        </is>
      </c>
      <c r="S2823" t="inlineStr">
        <is>
          <t>592.99</t>
        </is>
      </c>
      <c r="T2823" t="inlineStr">
        <is>
          <t>5238364668072</t>
        </is>
      </c>
    </row>
    <row r="2824" ht="87" customHeight="1">
      <c r="A2824" s="2">
        <f>HYPERLINK("https://edmondsonsupply.com/collections/hvac/products/klein-tools-ncvt1xtkit-non-contact-voltage-and-gfci-receptacle-premium-test-kit", "https://edmondsonsupply.com/collections/hvac/products/klein-tools-ncvt1xtkit-non-contact-voltage-and-gfci-receptacle-premium-test-kit")</f>
        <v/>
      </c>
      <c r="B2824" s="2">
        <f>HYPERLINK("https://edmondsonsupply.com/products/klein-tools-ncvt1xtkit-non-contact-voltage-and-gfci-receptacle-premium-test-kit", "https://edmondsonsupply.com/products/klein-tools-ncvt1xtkit-non-contact-voltage-and-gfci-receptacle-premium-test-kit")</f>
        <v/>
      </c>
      <c r="C2824" t="inlineStr">
        <is>
          <t>Klein Tools NCVT1XTKIT Non-Contact Voltage and GFCI Receptacle Premium Test Kit</t>
        </is>
      </c>
      <c r="D2824" t="inlineStr">
        <is>
          <t>Klein Tools NCVT1XTKIT Non-Contact Voltage Detector Pen and GFCI Outlet Premium Test Kit, 70V to 1000V AC, Detects Common Wiring Problems,Red</t>
        </is>
      </c>
      <c r="E2824" s="2">
        <f>HYPERLINK("https://www.amazon.com/Klein-Tools-NCVT1XTKIT-Non-Contact-Detector/dp/B0BNLRMNF2/ref=sr_1_1?keywords=Klein+Tools+NCVT1XTKIT+Non-Contact+Voltage+and+GFCI+Receptacle+Premium+Test+Kit&amp;qid=1694734686&amp;sr=8-1", "https://www.amazon.com/Klein-Tools-NCVT1XTKIT-Non-Contact-Detector/dp/B0BNLRMNF2/ref=sr_1_1?keywords=Klein+Tools+NCVT1XTKIT+Non-Contact+Voltage+and+GFCI+Receptacle+Premium+Test+Kit&amp;qid=1694734686&amp;sr=8-1")</f>
        <v/>
      </c>
      <c r="F2824" t="inlineStr">
        <is>
          <t>B0BNLRMNF2</t>
        </is>
      </c>
      <c r="G2824">
        <f>_xlfn.IMAGE("https://edmondsonsupply.com/cdn/shop/products/ncvt1xtkit.jpg?v=1674497102")</f>
        <v/>
      </c>
      <c r="H2824">
        <f>_xlfn.IMAGE("https://m.media-amazon.com/images/I/51enmFcuhEL._AC_UL320_.jpg")</f>
        <v/>
      </c>
      <c r="K2824" t="inlineStr">
        <is>
          <t>24.99</t>
        </is>
      </c>
      <c r="L2824" t="n">
        <v>19.86</v>
      </c>
      <c r="M2824" s="1" t="inlineStr">
        <is>
          <t>-20.53%</t>
        </is>
      </c>
      <c r="N2824" s="7" t="n">
        <v>190.66</v>
      </c>
      <c r="O2824" t="n">
        <v>4.7</v>
      </c>
      <c r="P2824" t="n">
        <v>4222</v>
      </c>
      <c r="R2824" t="inlineStr">
        <is>
          <t>InStock</t>
        </is>
      </c>
      <c r="S2824" t="inlineStr">
        <is>
          <t>32.98</t>
        </is>
      </c>
      <c r="T2824" t="inlineStr">
        <is>
          <t>7931949187288</t>
        </is>
      </c>
    </row>
    <row r="2825" ht="87" customHeight="1">
      <c r="A2825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2825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2825" t="inlineStr">
        <is>
          <t>Klein Tools NCVT-2PKIT Dual Range Non-Contact Voltage Tester with Receptacle Tester</t>
        </is>
      </c>
      <c r="D2825" t="inlineStr">
        <is>
          <t>Klein Tools NCVT2P Dual Range, Non-Contact Voltage Tester, 12-1000V AC, Visual and Audible Indicators, Auto Power Off, Green</t>
        </is>
      </c>
      <c r="E2825" s="2">
        <f>HYPERLINK("https://www.amazon.com/Klein-Tools-NCVT2P-12-1000V-Flashing/dp/B07L5N8ZWS/ref=sr_1_1?keywords=Klein+Tools+NCVT-2PKIT+Dual+Range+Non-Contact+Voltage+Tester+with+Receptacle+Tester&amp;qid=1694734814&amp;sr=8-1", "https://www.amazon.com/Klein-Tools-NCVT2P-12-1000V-Flashing/dp/B07L5N8ZWS/ref=sr_1_1?keywords=Klein+Tools+NCVT-2PKIT+Dual+Range+Non-Contact+Voltage+Tester+with+Receptacle+Tester&amp;qid=1694734814&amp;sr=8-1")</f>
        <v/>
      </c>
      <c r="F2825" t="inlineStr">
        <is>
          <t>B07L5N8ZWS</t>
        </is>
      </c>
      <c r="G2825">
        <f>_xlfn.IMAGE("https://edmondsonsupply.com/cdn/shop/products/ncvt2pkit.jpg?v=1633030827")</f>
        <v/>
      </c>
      <c r="H2825">
        <f>_xlfn.IMAGE("https://m.media-amazon.com/images/I/51GASnKpZ1L._AC_UL320_.jpg")</f>
        <v/>
      </c>
      <c r="K2825" t="inlineStr">
        <is>
          <t>29.99</t>
        </is>
      </c>
      <c r="L2825" t="n">
        <v>23.79</v>
      </c>
      <c r="M2825" s="1" t="inlineStr">
        <is>
          <t>-20.67%</t>
        </is>
      </c>
      <c r="N2825" s="7" t="n">
        <v>188.6</v>
      </c>
      <c r="O2825" t="n">
        <v>4.7</v>
      </c>
      <c r="P2825" t="n">
        <v>638</v>
      </c>
      <c r="R2825" t="inlineStr">
        <is>
          <t>InStock</t>
        </is>
      </c>
      <c r="S2825" t="inlineStr">
        <is>
          <t>41.28</t>
        </is>
      </c>
      <c r="T2825" t="inlineStr">
        <is>
          <t>6082146238637</t>
        </is>
      </c>
    </row>
    <row r="2826" ht="87" customHeight="1">
      <c r="A2826" s="2">
        <f>HYPERLINK("https://edmondsonsupply.com/collections/hvac/products/wiha-tools-66992-22-piece-magicring-ball-end-hex-l-key-set-inch-metric", "https://edmondsonsupply.com/collections/hvac/products/wiha-tools-66992-22-piece-magicring-ball-end-hex-l-key-set-inch-metric")</f>
        <v/>
      </c>
      <c r="B2826" s="2">
        <f>HYPERLINK("https://edmondsonsupply.com/products/wiha-tools-66992-22-piece-magicring-ball-end-hex-l-key-set-inch-metric", "https://edmondsonsupply.com/products/wiha-tools-66992-22-piece-magicring-ball-end-hex-l-key-set-inch-metric")</f>
        <v/>
      </c>
      <c r="C2826" t="inlineStr">
        <is>
          <t>Wiha Tools 66992 22 Piece MagicRing Ball End Hex L-Key Set - Inch - Metric</t>
        </is>
      </c>
      <c r="D2826" t="inlineStr">
        <is>
          <t>WIHA 66982 ErgoStar Ball End Hex L-Key, Inch and Metric, 22-Piece</t>
        </is>
      </c>
      <c r="E2826" s="2">
        <f>HYPERLINK("https://www.amazon.com/66982-ErgoStar-L-Key-Metric-22-Piece/dp/B009461IMA/ref=sr_1_3?keywords=Wiha+Tools+66992+22+Piece+MagicRing+Ball+End+Hex+L-Key+Set+-+Inch+-+Metric&amp;qid=1694734873&amp;sr=8-3", "https://www.amazon.com/66982-ErgoStar-L-Key-Metric-22-Piece/dp/B009461IMA/ref=sr_1_3?keywords=Wiha+Tools+66992+22+Piece+MagicRing+Ball+End+Hex+L-Key+Set+-+Inch+-+Metric&amp;qid=1694734873&amp;sr=8-3")</f>
        <v/>
      </c>
      <c r="F2826" t="inlineStr">
        <is>
          <t>B009461IMA</t>
        </is>
      </c>
      <c r="G2826">
        <f>_xlfn.IMAGE("https://edmondsonsupply.com/cdn/shop/files/29417a271125353d697d01cfdfb24cc6e99901ce_1000x_6829985f-7f40-4410-b5be-ba7bc87b2a14.webp?v=1690840271")</f>
        <v/>
      </c>
      <c r="H2826">
        <f>_xlfn.IMAGE("https://m.media-amazon.com/images/I/71nWPeuV9HL._AC_UL320_.jpg")</f>
        <v/>
      </c>
      <c r="K2826" t="inlineStr">
        <is>
          <t>84.19</t>
        </is>
      </c>
      <c r="L2826" t="n">
        <v>66.73999999999999</v>
      </c>
      <c r="M2826" s="1" t="inlineStr">
        <is>
          <t>-20.73%</t>
        </is>
      </c>
      <c r="N2826" s="7" t="n">
        <v>188.38</v>
      </c>
      <c r="O2826" t="n">
        <v>4.8</v>
      </c>
      <c r="P2826" t="n">
        <v>943</v>
      </c>
      <c r="R2826" t="inlineStr">
        <is>
          <t>InStock</t>
        </is>
      </c>
      <c r="S2826" t="inlineStr">
        <is>
          <t>112.25</t>
        </is>
      </c>
      <c r="T2826" t="inlineStr">
        <is>
          <t>8023271145688</t>
        </is>
      </c>
    </row>
    <row r="2827" ht="87" customHeight="1">
      <c r="A2827" s="2">
        <f>HYPERLINK("https://edmondsonsupply.com/collections/hvac/products/diablo-tools-dou125cgp-1-1-4-in-universal-fit-carbide-oscillating-blade-for-general-purpose-cuts", "https://edmondsonsupply.com/collections/hvac/products/diablo-tools-dou125cgp-1-1-4-in-universal-fit-carbide-oscillating-blade-for-general-purpose-cuts")</f>
        <v/>
      </c>
      <c r="B2827" s="2">
        <f>HYPERLINK("https://edmondsonsupply.com/products/diablo-tools-dou125cgp-1-1-4-in-universal-fit-carbide-oscillating-blade-for-general-purpose-cuts", "https://edmondsonsupply.com/products/diablo-tools-dou125cgp-1-1-4-in-universal-fit-carbide-oscillating-blade-for-general-purpose-cuts")</f>
        <v/>
      </c>
      <c r="C2827" t="inlineStr">
        <is>
          <t>Diablo Tools DOU125CGP 1-1/4 in. Universal Fit Carbide Oscillating Blade for General Purpose Cuts</t>
        </is>
      </c>
      <c r="D2827" t="inlineStr">
        <is>
          <t>Diablo 3-1/2" Universal Fit Bi-Metal Oscillating Blade for General Purpose Cuts</t>
        </is>
      </c>
      <c r="E2827" s="2">
        <f>HYPERLINK("https://www.amazon.com/Diablo-DOU350RBGP-Universal-Bi-Metal-Oscillating/dp/B089LLG8ZQ/ref=sr_1_7?keywords=Diablo+Tools+DOU125CGP+1-1%2F4+in.+Universal+Fit+Carbide+Oscillating+Blade+for+General+Purpose+Cuts&amp;qid=1694734915&amp;sr=8-7", "https://www.amazon.com/Diablo-DOU350RBGP-Universal-Bi-Metal-Oscillating/dp/B089LLG8ZQ/ref=sr_1_7?keywords=Diablo+Tools+DOU125CGP+1-1%2F4+in.+Universal+Fit+Carbide+Oscillating+Blade+for+General+Purpose+Cuts&amp;qid=1694734915&amp;sr=8-7")</f>
        <v/>
      </c>
      <c r="F2827" t="inlineStr">
        <is>
          <t>B089LLG8ZQ</t>
        </is>
      </c>
      <c r="G2827">
        <f>_xlfn.IMAGE("https://edmondsonsupply.com/cdn/shop/files/htobgrjt150mygkkk6to_dca17485-ff4c-4cd2-9345-f1b96a9206f3.webp?v=1686146827")</f>
        <v/>
      </c>
      <c r="H2827">
        <f>_xlfn.IMAGE("https://m.media-amazon.com/images/I/71xBW7MA1oL._AC_UL320_.jpg")</f>
        <v/>
      </c>
      <c r="K2827" t="inlineStr">
        <is>
          <t>22.97</t>
        </is>
      </c>
      <c r="L2827" t="n">
        <v>18.2</v>
      </c>
      <c r="M2827" s="1" t="inlineStr">
        <is>
          <t>-20.77%</t>
        </is>
      </c>
      <c r="N2827" s="7" t="n">
        <v>188.19</v>
      </c>
      <c r="O2827" t="n">
        <v>4.4</v>
      </c>
      <c r="P2827" t="n">
        <v>8</v>
      </c>
      <c r="R2827" t="inlineStr">
        <is>
          <t>InStock</t>
        </is>
      </c>
      <c r="S2827" t="inlineStr">
        <is>
          <t>28.57</t>
        </is>
      </c>
      <c r="T2827" t="inlineStr">
        <is>
          <t>8002356576472</t>
        </is>
      </c>
    </row>
    <row r="2828" ht="87" customHeight="1">
      <c r="A2828" s="2">
        <f>HYPERLINK("https://edmondsonsupply.com/collections/hvac/products/packard-hs24a346-2-dpdt-heat-sequencer-2-timings-4-switches", "https://edmondsonsupply.com/collections/hvac/products/packard-hs24a346-2-dpdt-heat-sequencer-2-timings-4-switches")</f>
        <v/>
      </c>
      <c r="B2828" s="2">
        <f>HYPERLINK("https://edmondsonsupply.com/products/packard-hs24a346-2-dpdt-heat-sequencer-2-timings-4-switches", "https://edmondsonsupply.com/products/packard-hs24a346-2-dpdt-heat-sequencer-2-timings-4-switches")</f>
        <v/>
      </c>
      <c r="C2828" t="inlineStr">
        <is>
          <t>Packard HS24A346 2-DPDT Heat Sequencer - 2 Timings, 4 Switches</t>
        </is>
      </c>
      <c r="D2828" t="inlineStr">
        <is>
          <t>HS24A346 - Packard Aftermarket Replacement 20 KW Heat Sequencer Relay</t>
        </is>
      </c>
      <c r="E2828" s="2">
        <f>HYPERLINK("https://www.amazon.com/HS24A346-Packard-Aftermarket-Replacement-Sequencer/dp/B00FX6Q7V2/ref=sr_1_3?keywords=Packard+HS24A346+2-DPDT+Heat+Sequencer+-+2+Timings%2C+4+Switches&amp;qid=1694734798&amp;sr=8-3", "https://www.amazon.com/HS24A346-Packard-Aftermarket-Replacement-Sequencer/dp/B00FX6Q7V2/ref=sr_1_3?keywords=Packard+HS24A346+2-DPDT+Heat+Sequencer+-+2+Timings%2C+4+Switches&amp;qid=1694734798&amp;sr=8-3")</f>
        <v/>
      </c>
      <c r="F2828" t="inlineStr">
        <is>
          <t>B00FX6Q7V2</t>
        </is>
      </c>
      <c r="G2828">
        <f>_xlfn.IMAGE("https://edmondsonsupply.com/cdn/shop/products/packard_hs24a346_xl_1.jpg?v=1587150777")</f>
        <v/>
      </c>
      <c r="H2828">
        <f>_xlfn.IMAGE("https://m.media-amazon.com/images/I/41CnIubT4dL._AC_UY218_.jpg")</f>
        <v/>
      </c>
      <c r="K2828" t="inlineStr">
        <is>
          <t>22.04</t>
        </is>
      </c>
      <c r="L2828" t="n">
        <v>17.45</v>
      </c>
      <c r="M2828" s="1" t="inlineStr">
        <is>
          <t>-20.83%</t>
        </is>
      </c>
      <c r="N2828" s="7" t="n">
        <v>187.52</v>
      </c>
      <c r="O2828" t="n">
        <v>4.5</v>
      </c>
      <c r="P2828" t="n">
        <v>15</v>
      </c>
      <c r="R2828" t="inlineStr">
        <is>
          <t>InStock</t>
        </is>
      </c>
      <c r="S2828" t="inlineStr">
        <is>
          <t>undefined</t>
        </is>
      </c>
      <c r="T2828" t="inlineStr">
        <is>
          <t>4464143564900</t>
        </is>
      </c>
    </row>
    <row r="2829" ht="87" customHeight="1">
      <c r="A2829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2829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2829" t="inlineStr">
        <is>
          <t>ICM Controls ICM282B Furnace Control Board - Replacement for Carrier</t>
        </is>
      </c>
      <c r="D2829" t="inlineStr">
        <is>
          <t>ICM Controls ICM289 Furnace Control Replacement for Lennox Control Boards, Replaces All BCC1, BCC2 and BCC3 Circuit Boards</t>
        </is>
      </c>
      <c r="E2829" s="2">
        <f>HYPERLINK("https://www.amazon.com/ICM-Controls-ICM289-Replacement-Replaces/dp/B004I55HHY/ref=sr_1_16?keywords=ICM+Controls+ICM282B+Furnace+Control+Board+-+Replacement+for+Carrier&amp;qid=1694734691&amp;sr=8-16", "https://www.amazon.com/ICM-Controls-ICM289-Replacement-Replaces/dp/B004I55HHY/ref=sr_1_16?keywords=ICM+Controls+ICM282B+Furnace+Control+Board+-+Replacement+for+Carrier&amp;qid=1694734691&amp;sr=8-16")</f>
        <v/>
      </c>
      <c r="F2829" t="inlineStr">
        <is>
          <t>B004I55HHY</t>
        </is>
      </c>
      <c r="G2829">
        <f>_xlfn.IMAGE("https://edmondsonsupply.com/cdn/shop/products/57_5_96e476f9-dc43-4075-94fb-2c5efeccce22.jpg?v=1659481947")</f>
        <v/>
      </c>
      <c r="H2829">
        <f>_xlfn.IMAGE("https://m.media-amazon.com/images/I/617eMhg9d2L._AC_UL320_.jpg")</f>
        <v/>
      </c>
      <c r="K2829" t="inlineStr">
        <is>
          <t>195.99</t>
        </is>
      </c>
      <c r="L2829" t="n">
        <v>155.15</v>
      </c>
      <c r="M2829" s="1" t="inlineStr">
        <is>
          <t>-20.84%</t>
        </is>
      </c>
      <c r="N2829" s="7" t="n">
        <v>187.2</v>
      </c>
      <c r="O2829" t="n">
        <v>4.8</v>
      </c>
      <c r="P2829" t="n">
        <v>156</v>
      </c>
      <c r="R2829" t="inlineStr">
        <is>
          <t>InStock</t>
        </is>
      </c>
      <c r="S2829" t="inlineStr">
        <is>
          <t>256.41</t>
        </is>
      </c>
      <c r="T2829" t="inlineStr">
        <is>
          <t>7770046464216</t>
        </is>
      </c>
    </row>
    <row r="2830" ht="87" customHeight="1">
      <c r="A2830" s="2">
        <f>HYPERLINK("https://edmondsonsupply.com/collections/hvac/products/fluke-1587-fc-insulation-multimeter", "https://edmondsonsupply.com/collections/hvac/products/fluke-1587-fc-insulation-multimeter")</f>
        <v/>
      </c>
      <c r="B2830" s="2">
        <f>HYPERLINK("https://edmondsonsupply.com/products/fluke-1587-fc-insulation-multimeter", "https://edmondsonsupply.com/products/fluke-1587-fc-insulation-multimeter")</f>
        <v/>
      </c>
      <c r="C2830" t="inlineStr">
        <is>
          <t>Fluke 1587 FC Insulation Multimeter</t>
        </is>
      </c>
      <c r="D2830" t="inlineStr">
        <is>
          <t>Fluke 1587 FC 2-in-1 Insulation Multimeter, True-RMS, Selectable Insulation Test Voltages Up To 1000 V, Pi/DAR Timed Ratio Tests, Measures Frequency, Includes Low-Pass Filter For Motor Drive VFD</t>
        </is>
      </c>
      <c r="E2830" s="2">
        <f>HYPERLINK("https://www.amazon.com/FLUKE-1587-FC-Insulation-Multimeter/dp/B017OVC2UI/ref=sr_1_1?keywords=Fluke+1587+FC+Insulation+Multimeter&amp;qid=1694734664&amp;sr=8-1", "https://www.amazon.com/FLUKE-1587-FC-Insulation-Multimeter/dp/B017OVC2UI/ref=sr_1_1?keywords=Fluke+1587+FC+Insulation+Multimeter&amp;qid=1694734664&amp;sr=8-1")</f>
        <v/>
      </c>
      <c r="F2830" t="inlineStr">
        <is>
          <t>B017OVC2UI</t>
        </is>
      </c>
      <c r="G2830">
        <f>_xlfn.IMAGE("https://edmondsonsupply.com/cdn/shop/products/Fluke_1587_FC_True-rms_Insulation_Multimeter__1280x1006px_E_NR-20298.jpg?v=1633031188")</f>
        <v/>
      </c>
      <c r="H2830">
        <f>_xlfn.IMAGE("https://m.media-amazon.com/images/I/61MrkJbYVOL._AC_UL320_.jpg")</f>
        <v/>
      </c>
      <c r="K2830" t="inlineStr">
        <is>
          <t>929.99</t>
        </is>
      </c>
      <c r="L2830" t="n">
        <v>736.13</v>
      </c>
      <c r="M2830" s="1" t="inlineStr">
        <is>
          <t>-20.85%</t>
        </is>
      </c>
      <c r="N2830" s="7" t="n">
        <v>186.51</v>
      </c>
      <c r="O2830" t="n">
        <v>4.7</v>
      </c>
      <c r="P2830" t="n">
        <v>171</v>
      </c>
      <c r="R2830" t="inlineStr">
        <is>
          <t>InStock</t>
        </is>
      </c>
      <c r="S2830" t="inlineStr">
        <is>
          <t>1038.99</t>
        </is>
      </c>
      <c r="T2830" t="inlineStr">
        <is>
          <t>6925453754541</t>
        </is>
      </c>
    </row>
    <row r="2831" hidden="1" ht="15.75" customHeight="1">
      <c r="A2831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831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831" t="inlineStr">
        <is>
          <t>Diablo Tools DMAMX1300 1-1/4 in. x 16 in. x 21 in. Rebar Demon™ SDS-Max 4-Cutter Full Carbide Head Hammer Drill Bit</t>
        </is>
      </c>
      <c r="D2831" t="inlineStr">
        <is>
          <t>Diablo DMAMX1180 7/8 in. x 16 in. x 21 in. Rebar Demon™ SDS-Max 4-Cutter Full Carbide Head Hammer Bit</t>
        </is>
      </c>
      <c r="E2831" s="2">
        <f>HYPERLINK("https://www.amazon.com/Diablo-SDS-Max-4-Cutter-Carbide-Hammer/dp/B089KWFF8B/ref=sr_1_3?keywords=Diablo+Tools+DMAMX1300+1-1%2F4+in.+x+16+in.+x+21+in.+Rebar+Demon%E2%84%A2+SDS-Max+4-Cutter+Full+Carbide+Head+Hammer+Drill+Bit&amp;qid=1694734676&amp;sr=8-3", "https://www.amazon.com/Diablo-SDS-Max-4-Cutter-Carbide-Hammer/dp/B089KWFF8B/ref=sr_1_3?keywords=Diablo+Tools+DMAMX1300+1-1%2F4+in.+x+16+in.+x+21+in.+Rebar+Demon%E2%84%A2+SDS-Max+4-Cutter+Full+Carbide+Head+Hammer+Drill+Bit&amp;qid=1694734676&amp;sr=8-3")</f>
        <v/>
      </c>
      <c r="F2831" t="inlineStr">
        <is>
          <t>B089KWFF8B</t>
        </is>
      </c>
      <c r="G2831">
        <f>_xludf.IMAGE("https://edmondsonsupply.com/cdn/shop/files/immoyh7jjmbau4fzhuq6_7dd7fd73-2865-4c12-9443-da45b48dbd51.webp?v=1685465465")</f>
        <v/>
      </c>
      <c r="H2831">
        <f>_xludf.IMAGE("https://m.media-amazon.com/images/I/611fTcYRNFL._AC_UL320_.jpg")</f>
        <v/>
      </c>
      <c r="K2831" t="inlineStr">
        <is>
          <t>66.4</t>
        </is>
      </c>
      <c r="L2831" t="n">
        <v>52.51</v>
      </c>
      <c r="M2831" s="1" t="inlineStr">
        <is>
          <t>-20.92%</t>
        </is>
      </c>
      <c r="N2831" s="1" t="n">
        <v>185.86</v>
      </c>
      <c r="O2831" t="n">
        <v>3.5</v>
      </c>
      <c r="P2831" t="n">
        <v>3</v>
      </c>
      <c r="R2831" t="inlineStr">
        <is>
          <t>OutOfStock</t>
        </is>
      </c>
      <c r="S2831" t="inlineStr">
        <is>
          <t>105.4</t>
        </is>
      </c>
      <c r="T2831" t="inlineStr">
        <is>
          <t>7997856874712</t>
        </is>
      </c>
    </row>
    <row r="2832" ht="87" customHeight="1">
      <c r="A2832" s="2">
        <f>HYPERLINK("https://edmondsonsupply.com/collections/hvac/products/malco-tools-ufwm-universal-oil-filter-wrench", "https://edmondsonsupply.com/collections/hvac/products/malco-tools-ufwm-universal-oil-filter-wrench")</f>
        <v/>
      </c>
      <c r="B2832" s="2">
        <f>HYPERLINK("https://edmondsonsupply.com/products/malco-tools-ufwm-universal-oil-filter-wrench", "https://edmondsonsupply.com/products/malco-tools-ufwm-universal-oil-filter-wrench")</f>
        <v/>
      </c>
      <c r="C2832" t="inlineStr">
        <is>
          <t>Malco Tools UFWM Universal Oil Filter Wrench</t>
        </is>
      </c>
      <c r="D2832" t="inlineStr">
        <is>
          <t>BILITOOLS Oil Filter Removal Tool, Universal Oil Filter Wrench Set Adjustable 2-1/2 to 4 inch &amp; 3 to 5-1/2 inch, 1/2" Drive</t>
        </is>
      </c>
      <c r="E2832" s="2">
        <f>HYPERLINK("https://www.amazon.com/BILITOOLS-Universal-Filter-Removal-Adjustable/dp/B0BPGD5ND2/ref=sr_1_2?keywords=Malco+Tools+UFWM+Universal+Oil+Filter+Wrench&amp;qid=1694734688&amp;sr=8-2", "https://www.amazon.com/BILITOOLS-Universal-Filter-Removal-Adjustable/dp/B0BPGD5ND2/ref=sr_1_2?keywords=Malco+Tools+UFWM+Universal+Oil+Filter+Wrench&amp;qid=1694734688&amp;sr=8-2")</f>
        <v/>
      </c>
      <c r="F2832" t="inlineStr">
        <is>
          <t>B0BPGD5ND2</t>
        </is>
      </c>
      <c r="G2832">
        <f>_xlfn.IMAGE("https://edmondsonsupply.com/cdn/shop/products/Malco-UFWM-Oil-Filter-Wrench-440x440.jpg?v=1668259549")</f>
        <v/>
      </c>
      <c r="H2832">
        <f>_xlfn.IMAGE("https://m.media-amazon.com/images/I/61emhZ2yLVL._AC_UL320_.jpg")</f>
        <v/>
      </c>
      <c r="K2832" t="inlineStr">
        <is>
          <t>25.29</t>
        </is>
      </c>
      <c r="L2832" t="n">
        <v>19.99</v>
      </c>
      <c r="M2832" s="1" t="inlineStr">
        <is>
          <t>-20.96%</t>
        </is>
      </c>
      <c r="N2832" s="7" t="n">
        <v>185.84</v>
      </c>
      <c r="O2832" t="n">
        <v>4.6</v>
      </c>
      <c r="P2832" t="n">
        <v>106</v>
      </c>
      <c r="R2832" t="inlineStr">
        <is>
          <t>InStock</t>
        </is>
      </c>
      <c r="S2832" t="inlineStr">
        <is>
          <t>undefined</t>
        </is>
      </c>
      <c r="T2832" t="inlineStr">
        <is>
          <t>7882422812888</t>
        </is>
      </c>
    </row>
    <row r="2833" ht="87" customHeight="1">
      <c r="A2833" s="2">
        <f>HYPERLINK("https://edmondsonsupply.com/collections/hvac/products/malco-tools-ufwm-universal-oil-filter-wrench", "https://edmondsonsupply.com/collections/hvac/products/malco-tools-ufwm-universal-oil-filter-wrench")</f>
        <v/>
      </c>
      <c r="B2833" s="2">
        <f>HYPERLINK("https://edmondsonsupply.com/products/malco-tools-ufwm-universal-oil-filter-wrench", "https://edmondsonsupply.com/products/malco-tools-ufwm-universal-oil-filter-wrench")</f>
        <v/>
      </c>
      <c r="C2833" t="inlineStr">
        <is>
          <t>Malco Tools UFWM Universal Oil Filter Wrench</t>
        </is>
      </c>
      <c r="D2833" t="inlineStr">
        <is>
          <t>BILITOOLS Universal Oil Filter Wrench Removal Tool Adjustable, 60-80mm (2.36-3.15 inch), 1/2" Drive</t>
        </is>
      </c>
      <c r="E2833" s="2">
        <f>HYPERLINK("https://www.amazon.com/BILITOOLS-Universal-Removal-Adjustable-2-36-3-15/dp/B0B616T1BJ/ref=sr_1_8?keywords=Malco+Tools+UFWM+Universal+Oil+Filter+Wrench&amp;qid=1694734688&amp;sr=8-8", "https://www.amazon.com/BILITOOLS-Universal-Removal-Adjustable-2-36-3-15/dp/B0B616T1BJ/ref=sr_1_8?keywords=Malco+Tools+UFWM+Universal+Oil+Filter+Wrench&amp;qid=1694734688&amp;sr=8-8")</f>
        <v/>
      </c>
      <c r="F2833" t="inlineStr">
        <is>
          <t>B0B616T1BJ</t>
        </is>
      </c>
      <c r="G2833">
        <f>_xlfn.IMAGE("https://edmondsonsupply.com/cdn/shop/products/Malco-UFWM-Oil-Filter-Wrench-440x440.jpg?v=1668259549")</f>
        <v/>
      </c>
      <c r="H2833">
        <f>_xlfn.IMAGE("https://m.media-amazon.com/images/I/61wxQaH2CzL._AC_UL320_.jpg")</f>
        <v/>
      </c>
      <c r="K2833" t="inlineStr">
        <is>
          <t>25.29</t>
        </is>
      </c>
      <c r="L2833" t="n">
        <v>19.99</v>
      </c>
      <c r="M2833" s="1" t="inlineStr">
        <is>
          <t>-20.96%</t>
        </is>
      </c>
      <c r="N2833" s="7" t="n">
        <v>185.74</v>
      </c>
      <c r="O2833" t="n">
        <v>4.1</v>
      </c>
      <c r="P2833" t="n">
        <v>242</v>
      </c>
      <c r="R2833" t="inlineStr">
        <is>
          <t>InStock</t>
        </is>
      </c>
      <c r="S2833" t="inlineStr">
        <is>
          <t>undefined</t>
        </is>
      </c>
      <c r="T2833" t="inlineStr">
        <is>
          <t>7882422812888</t>
        </is>
      </c>
    </row>
    <row r="2834" ht="87" customHeight="1">
      <c r="A2834" s="2">
        <f>HYPERLINK("https://edmondsonsupply.com/collections/hvac/products/malco-tools-ufwm-universal-oil-filter-wrench", "https://edmondsonsupply.com/collections/hvac/products/malco-tools-ufwm-universal-oil-filter-wrench")</f>
        <v/>
      </c>
      <c r="B2834" s="2">
        <f>HYPERLINK("https://edmondsonsupply.com/products/malco-tools-ufwm-universal-oil-filter-wrench", "https://edmondsonsupply.com/products/malco-tools-ufwm-universal-oil-filter-wrench")</f>
        <v/>
      </c>
      <c r="C2834" t="inlineStr">
        <is>
          <t>Malco Tools UFWM Universal Oil Filter Wrench</t>
        </is>
      </c>
      <c r="D2834" t="inlineStr">
        <is>
          <t>Moker Universal Oil Filter Wrench - Adjustable 3 Jaw Oil Filter Remover Tools From 2-1/8 To 4-1/2 inch(54-115mm)，With 72 Tooth Quick Release Ratchet - Storage Case Included</t>
        </is>
      </c>
      <c r="E2834" s="2">
        <f>HYPERLINK("https://www.amazon.com/Moker-Universal-Oil-Filter-Wrench/dp/B08MQDBGYT/ref=sr_1_29?keywords=Malco+Tools+UFWM+Universal+Oil+Filter+Wrench&amp;qid=1694734688&amp;sr=8-29", "https://www.amazon.com/Moker-Universal-Oil-Filter-Wrench/dp/B08MQDBGYT/ref=sr_1_29?keywords=Malco+Tools+UFWM+Universal+Oil+Filter+Wrench&amp;qid=1694734688&amp;sr=8-29")</f>
        <v/>
      </c>
      <c r="F2834" t="inlineStr">
        <is>
          <t>B08MQDBGYT</t>
        </is>
      </c>
      <c r="G2834">
        <f>_xlfn.IMAGE("https://edmondsonsupply.com/cdn/shop/products/Malco-UFWM-Oil-Filter-Wrench-440x440.jpg?v=1668259549")</f>
        <v/>
      </c>
      <c r="H2834">
        <f>_xlfn.IMAGE("https://m.media-amazon.com/images/I/71xLnqxxZZL._AC_UL320_.jpg")</f>
        <v/>
      </c>
      <c r="K2834" t="inlineStr">
        <is>
          <t>25.29</t>
        </is>
      </c>
      <c r="L2834" t="n">
        <v>19.99</v>
      </c>
      <c r="M2834" s="1" t="inlineStr">
        <is>
          <t>-20.96%</t>
        </is>
      </c>
      <c r="N2834" s="7" t="n">
        <v>184.24</v>
      </c>
      <c r="O2834" t="n">
        <v>4.4</v>
      </c>
      <c r="P2834" t="n">
        <v>464</v>
      </c>
      <c r="R2834" t="inlineStr">
        <is>
          <t>InStock</t>
        </is>
      </c>
      <c r="S2834" t="inlineStr">
        <is>
          <t>undefined</t>
        </is>
      </c>
      <c r="T2834" t="inlineStr">
        <is>
          <t>7882422812888</t>
        </is>
      </c>
    </row>
    <row r="2835" hidden="1" ht="15.75" customHeight="1">
      <c r="A2835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835" s="2">
        <f>HYPERLINK("https://edmondsonsupply.com/products/klein-tools-pnd-12-5-1-2-inch-power-nut-driver-5-inch-length", "https://edmondsonsupply.com/products/klein-tools-pnd-12-5-1-2-inch-power-nut-driver-5-inch-length")</f>
        <v/>
      </c>
      <c r="C2835" t="inlineStr">
        <is>
          <t>Klein Tools PND-12-5 1/2-Inch Power Nut Driver 5-Inch Length</t>
        </is>
      </c>
      <c r="D2835" t="inlineStr">
        <is>
          <t>Klein Tools 635-1/2 1/2-Inch Heavy-Duty Nut Driver</t>
        </is>
      </c>
      <c r="E2835" s="2">
        <f>HYPERLINK("https://www.amazon.com/2-Inch-Heavy-Duty-Driver-Klein-Tools/dp/B01D6CWLG4/ref=sr_1_2?keywords=Klein+Tools+PND-12-5+1%2F2-Inch+Power+Nut+Driver+5-Inch+Length&amp;qid=1694734708&amp;sr=8-2", "https://www.amazon.com/2-Inch-Heavy-Duty-Driver-Klein-Tools/dp/B01D6CWLG4/ref=sr_1_2?keywords=Klein+Tools+PND-12-5+1%2F2-Inch+Power+Nut+Driver+5-Inch+Length&amp;qid=1694734708&amp;sr=8-2")</f>
        <v/>
      </c>
      <c r="F2835" t="inlineStr">
        <is>
          <t>B01D6CWLG4</t>
        </is>
      </c>
      <c r="G2835">
        <f>_xludf.IMAGE("https://edmondsonsupply.com/cdn/shop/products/pnd125.jpg?v=1633031028")</f>
        <v/>
      </c>
      <c r="H2835">
        <f>_xludf.IMAGE("https://m.media-amazon.com/images/I/41C1xU9OvML._AC_UL320_.jpg")</f>
        <v/>
      </c>
      <c r="K2835" t="inlineStr">
        <is>
          <t>18.99</t>
        </is>
      </c>
      <c r="L2835" t="n">
        <v>14.99</v>
      </c>
      <c r="M2835" s="1" t="inlineStr">
        <is>
          <t>-21.06%</t>
        </is>
      </c>
      <c r="N2835" s="1" t="n">
        <v>183.96</v>
      </c>
      <c r="O2835" t="n">
        <v>4.7</v>
      </c>
      <c r="P2835" t="n">
        <v>999</v>
      </c>
      <c r="R2835" t="inlineStr">
        <is>
          <t>InStock</t>
        </is>
      </c>
      <c r="S2835" t="inlineStr">
        <is>
          <t>30.98</t>
        </is>
      </c>
      <c r="T2835" t="inlineStr">
        <is>
          <t>6729466445997</t>
        </is>
      </c>
    </row>
    <row r="2836" hidden="1" ht="15.75" customHeight="1">
      <c r="A2836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836" s="2">
        <f>HYPERLINK("https://edmondsonsupply.com/products/klein-tools-32314-14-in-1-precision-screwdriver-nut-driver", "https://edmondsonsupply.com/products/klein-tools-32314-14-in-1-precision-screwdriver-nut-driver")</f>
        <v/>
      </c>
      <c r="C2836" t="inlineStr">
        <is>
          <t>Klein Tools 32314 14-in-1 Precision Screwdriver/ Nut Driver</t>
        </is>
      </c>
      <c r="D2836" t="inlineStr">
        <is>
          <t>Klein Tools 32562 Multi-Bit Screwdriver / Nut Driver, 6-in-1 Stubby Tool with Square Recess, Slotted, Phillips Bits and Nut Drivers</t>
        </is>
      </c>
      <c r="E2836" s="2">
        <f>HYPERLINK("https://www.amazon.com/Multi-Bit-Screwdriver-Klein-Tools-32562/dp/B007SF5DNE/ref=sr_1_48?keywords=Klein+Tools+32314+14-in-1+Precision+Screwdriver%2F+Nut+Driver&amp;qid=1694734697&amp;sr=8-48", "https://www.amazon.com/Multi-Bit-Screwdriver-Klein-Tools-32562/dp/B007SF5DNE/ref=sr_1_48?keywords=Klein+Tools+32314+14-in-1+Precision+Screwdriver%2F+Nut+Driver&amp;qid=1694734697&amp;sr=8-48")</f>
        <v/>
      </c>
      <c r="F2836" t="inlineStr">
        <is>
          <t>B007SF5DNE</t>
        </is>
      </c>
      <c r="G2836">
        <f>_xludf.IMAGE("https://edmondsonsupply.com/cdn/shop/products/32314.jpg?v=1646593726")</f>
        <v/>
      </c>
      <c r="H2836">
        <f>_xludf.IMAGE("https://m.media-amazon.com/images/I/515fclR4vsL._AC_UL320_.jpg")</f>
        <v/>
      </c>
      <c r="K2836" t="inlineStr">
        <is>
          <t>15.97</t>
        </is>
      </c>
      <c r="L2836" t="n">
        <v>12.6</v>
      </c>
      <c r="M2836" s="1" t="inlineStr">
        <is>
          <t>-21.10%</t>
        </is>
      </c>
      <c r="N2836" s="1" t="n">
        <v>183.9</v>
      </c>
      <c r="O2836" t="n">
        <v>4.7</v>
      </c>
      <c r="P2836" t="n">
        <v>480</v>
      </c>
      <c r="R2836" t="inlineStr">
        <is>
          <t>InStock</t>
        </is>
      </c>
      <c r="S2836" t="inlineStr">
        <is>
          <t>22.38</t>
        </is>
      </c>
      <c r="T2836" t="inlineStr">
        <is>
          <t>7626984947928</t>
        </is>
      </c>
    </row>
    <row r="2837" hidden="1" ht="15.75" customHeight="1">
      <c r="A2837" s="2">
        <f>HYPERLINK("https://edmondsonsupply.com/collections/hvac/products/diablo-tools-dsp3050-7-8-in-x-16-in-spade-bit", "https://edmondsonsupply.com/collections/hvac/products/diablo-tools-dsp3050-7-8-in-x-16-in-spade-bit")</f>
        <v/>
      </c>
      <c r="B2837" s="2">
        <f>HYPERLINK("https://edmondsonsupply.com/products/diablo-tools-dsp3050-7-8-in-x-16-in-spade-bit", "https://edmondsonsupply.com/products/diablo-tools-dsp3050-7-8-in-x-16-in-spade-bit")</f>
        <v/>
      </c>
      <c r="C2837" t="inlineStr">
        <is>
          <t>Diablo Tools DSP3050 7/8 in. x 16 in. Spade Bit</t>
        </is>
      </c>
      <c r="D2837" t="inlineStr">
        <is>
          <t>Irwin Tools 88814 Speedbor Spade Wood Drill Bit 7/8" X 6", Pack of 1</t>
        </is>
      </c>
      <c r="E2837" s="2">
        <f>HYPERLINK("https://www.amazon.com/Irwin-Tools-HAN88814-Spade-Bit/dp/B00N07YR0Y/ref=sr_1_14?keywords=Diablo+Tools+DSP3050+7%2F8+in.+x+16+in.+Spade+Bit&amp;qid=1694734919&amp;sr=8-14", "https://www.amazon.com/Irwin-Tools-HAN88814-Spade-Bit/dp/B00N07YR0Y/ref=sr_1_14?keywords=Diablo+Tools+DSP3050+7%2F8+in.+x+16+in.+Spade+Bit&amp;qid=1694734919&amp;sr=8-14")</f>
        <v/>
      </c>
      <c r="F2837" t="inlineStr">
        <is>
          <t>B00N07YR0Y</t>
        </is>
      </c>
      <c r="G2837">
        <f>_xludf.IMAGE("https://edmondsonsupply.com/cdn/shop/files/y2jtkhe6p1ztkurhqyvu.webp?v=1685722260")</f>
        <v/>
      </c>
      <c r="H2837">
        <f>_xludf.IMAGE("https://m.media-amazon.com/images/I/51RMMedCvjS._AC_UL320_.jpg")</f>
        <v/>
      </c>
      <c r="K2837" t="inlineStr">
        <is>
          <t>6.99</t>
        </is>
      </c>
      <c r="L2837" t="n">
        <v>5.5</v>
      </c>
      <c r="M2837" s="1" t="inlineStr">
        <is>
          <t>-21.32%</t>
        </is>
      </c>
      <c r="N2837" s="1" t="n">
        <v>183.48</v>
      </c>
      <c r="O2837" t="n">
        <v>4.7</v>
      </c>
      <c r="P2837" t="n">
        <v>1051</v>
      </c>
      <c r="R2837" t="inlineStr">
        <is>
          <t>InStock</t>
        </is>
      </c>
      <c r="S2837" t="inlineStr">
        <is>
          <t>11.19</t>
        </is>
      </c>
      <c r="T2837" t="inlineStr">
        <is>
          <t>7999598330072</t>
        </is>
      </c>
    </row>
    <row r="2838" ht="87" customHeight="1">
      <c r="A2838" s="2">
        <f>HYPERLINK("https://edmondsonsupply.com/collections/hvac/products/malco-tools-lp10r-eagle-grip-10-straight-jaw-locking-pliers", "https://edmondsonsupply.com/collections/hvac/products/malco-tools-lp10r-eagle-grip-10-straight-jaw-locking-pliers")</f>
        <v/>
      </c>
      <c r="B2838" s="2">
        <f>HYPERLINK("https://edmondsonsupply.com/products/malco-tools-lp10r-eagle-grip-10-straight-jaw-locking-pliers", "https://edmondsonsupply.com/products/malco-tools-lp10r-eagle-grip-10-straight-jaw-locking-pliers")</f>
        <v/>
      </c>
      <c r="C2838" t="inlineStr">
        <is>
          <t>Malco Tools LP10R Eagle Grip 10″ Straight Jaw Locking Pliers</t>
        </is>
      </c>
      <c r="D2838" t="inlineStr">
        <is>
          <t>Malco Eagle Grip LP10R Locking Tool, 10" Straight Jaw</t>
        </is>
      </c>
      <c r="E2838" s="2">
        <f>HYPERLINK("https://www.amazon.com/Malco-LP10R-Straight-Locking-Pliers/dp/B0924S76Q1/ref=sr_1_1?keywords=Malco+Tools+LP10R+Eagle+Grip+10%E2%80%B3+Straight+Jaw+Locking+Pliers&amp;qid=1694734695&amp;sr=8-1", "https://www.amazon.com/Malco-LP10R-Straight-Locking-Pliers/dp/B0924S76Q1/ref=sr_1_1?keywords=Malco+Tools+LP10R+Eagle+Grip+10%E2%80%B3+Straight+Jaw+Locking+Pliers&amp;qid=1694734695&amp;sr=8-1")</f>
        <v/>
      </c>
      <c r="F2838" t="inlineStr">
        <is>
          <t>B0924S76Q1</t>
        </is>
      </c>
      <c r="G2838">
        <f>_xlfn.IMAGE("https://edmondsonsupply.com/cdn/shop/products/LP10R-eagle-grip-locking-pliers-in-hand.jpg?v=1657292451")</f>
        <v/>
      </c>
      <c r="H2838">
        <f>_xlfn.IMAGE("https://m.media-amazon.com/images/I/61SIQpDauuS._AC_UL320_.jpg")</f>
        <v/>
      </c>
      <c r="K2838" t="inlineStr">
        <is>
          <t>55.99</t>
        </is>
      </c>
      <c r="L2838" t="n">
        <v>43.95</v>
      </c>
      <c r="M2838" s="1" t="inlineStr">
        <is>
          <t>-21.50%</t>
        </is>
      </c>
      <c r="N2838" s="7" t="n">
        <v>182.41</v>
      </c>
      <c r="O2838" t="n">
        <v>5</v>
      </c>
      <c r="P2838" t="n">
        <v>189</v>
      </c>
      <c r="R2838" t="inlineStr">
        <is>
          <t>InStock</t>
        </is>
      </c>
      <c r="S2838" t="inlineStr">
        <is>
          <t>60.04</t>
        </is>
      </c>
      <c r="T2838" t="inlineStr">
        <is>
          <t>7742236262616</t>
        </is>
      </c>
    </row>
    <row r="2839" ht="87" customHeight="1">
      <c r="A2839" s="2">
        <f>HYPERLINK("https://edmondsonsupply.com/collections/hvac/products/white-rodgers-50m56u-843-integrated-furnace-control-board-universal-replacement", "https://edmondsonsupply.com/collections/hvac/products/white-rodgers-50m56u-843-integrated-furnace-control-board-universal-replacement")</f>
        <v/>
      </c>
      <c r="B2839" s="2">
        <f>HYPERLINK("https://edmondsonsupply.com/products/white-rodgers-50m56u-843-integrated-furnace-control-board-universal-replacement", "https://edmondsonsupply.com/products/white-rodgers-50m56u-843-integrated-furnace-control-board-universal-replacement")</f>
        <v/>
      </c>
      <c r="C2839" t="inlineStr">
        <is>
          <t>White-Rodgers 50M56U-843 Integrated Furnace Control Board, Universal Replacement</t>
        </is>
      </c>
      <c r="D2839" t="inlineStr">
        <is>
          <t>White-Rodgers 50M56U-751 White Rodgers Replacement Kit for Carrier Single Stage Integrated Furnace Control</t>
        </is>
      </c>
      <c r="E2839" s="2">
        <f>HYPERLINK("https://www.amazon.com/White-Rodgers-50M56U-751-Rodgers-Replacement-Integrated/dp/B00QW2QPUY/ref=sr_1_6?keywords=White-Rodgers+50M56U-843+Integrated+Furnace+Control+Board%2C+Universal+Replacement&amp;qid=1694734587&amp;sr=8-6", "https://www.amazon.com/White-Rodgers-50M56U-751-Rodgers-Replacement-Integrated/dp/B00QW2QPUY/ref=sr_1_6?keywords=White-Rodgers+50M56U-843+Integrated+Furnace+Control+Board%2C+Universal+Replacement&amp;qid=1694734587&amp;sr=8-6")</f>
        <v/>
      </c>
      <c r="F2839" t="inlineStr">
        <is>
          <t>B00QW2QPUY</t>
        </is>
      </c>
      <c r="G2839">
        <f>_xlfn.IMAGE("https://edmondsonsupply.com/cdn/shop/products/integrated-furnace-controls-universal-replacement-img-4a.jpg?v=1633030752")</f>
        <v/>
      </c>
      <c r="H2839">
        <f>_xlfn.IMAGE("https://m.media-amazon.com/images/I/71JnNmMzPNL._AC_UL320_.jpg")</f>
        <v/>
      </c>
      <c r="K2839" t="inlineStr">
        <is>
          <t>160.92</t>
        </is>
      </c>
      <c r="L2839" t="n">
        <v>125.93</v>
      </c>
      <c r="M2839" s="1" t="inlineStr">
        <is>
          <t>-21.74%</t>
        </is>
      </c>
      <c r="N2839" s="7" t="n">
        <v>182.33</v>
      </c>
      <c r="O2839" t="n">
        <v>4.2</v>
      </c>
      <c r="P2839" t="n">
        <v>55</v>
      </c>
      <c r="R2839" t="inlineStr">
        <is>
          <t>InStock</t>
        </is>
      </c>
      <c r="S2839" t="inlineStr">
        <is>
          <t>367.81</t>
        </is>
      </c>
      <c r="T2839" t="inlineStr">
        <is>
          <t>5896435368104</t>
        </is>
      </c>
    </row>
    <row r="2840" ht="87" customHeight="1">
      <c r="A2840" s="2">
        <f>HYPERLINK("https://edmondsonsupply.com/collections/hvac/products/5-2-1-csru1", "https://edmondsonsupply.com/collections/hvac/products/5-2-1-csru1")</f>
        <v/>
      </c>
      <c r="B2840" s="2">
        <f>HYPERLINK("https://edmondsonsupply.com/products/5-2-1-csru1", "https://edmondsonsupply.com/products/5-2-1-csru1")</f>
        <v/>
      </c>
      <c r="C2840" t="inlineStr">
        <is>
          <t>5-2-1 CSRU1 Compressor Saver, 1 to 3 Tons</t>
        </is>
      </c>
      <c r="D2840" t="inlineStr">
        <is>
          <t>Upgraded 5-2-1 CSR-U1 Compressor Saver Starter Kit for 1- to 3-ton AC units,Durable 5-2-1 HVAC Compressor Saver Hard Start Capacitor,Easy to Install -1 Years Warranty</t>
        </is>
      </c>
      <c r="E2840" s="2">
        <f>HYPERLINK("https://www.amazon.com/Upgraded-Compressor-Starter-Capacitor-Warranty/dp/B0B5WQJT62/ref=sr_1_2?keywords=5-2-1+CSRU1+Compressor+Saver%2C+1+to+3+Tons&amp;qid=1694734741&amp;sr=8-2", "https://www.amazon.com/Upgraded-Compressor-Starter-Capacitor-Warranty/dp/B0B5WQJT62/ref=sr_1_2?keywords=5-2-1+CSRU1+Compressor+Saver%2C+1+to+3+Tons&amp;qid=1694734741&amp;sr=8-2")</f>
        <v/>
      </c>
      <c r="F2840" t="inlineStr">
        <is>
          <t>B0B5WQJT62</t>
        </is>
      </c>
      <c r="G2840">
        <f>_xlfn.IMAGE("https://edmondsonsupply.com/cdn/shop/products/CSRU1.jpg?v=1633030087")</f>
        <v/>
      </c>
      <c r="H2840">
        <f>_xlfn.IMAGE("https://m.media-amazon.com/images/I/61F-rQtiiDL._AC_UL320_.jpg")</f>
        <v/>
      </c>
      <c r="K2840" t="inlineStr">
        <is>
          <t>34.62</t>
        </is>
      </c>
      <c r="L2840" t="n">
        <v>26.99</v>
      </c>
      <c r="M2840" s="1" t="inlineStr">
        <is>
          <t>-22.04%</t>
        </is>
      </c>
      <c r="N2840" s="7" t="n">
        <v>182.3</v>
      </c>
      <c r="O2840" t="n">
        <v>4.4</v>
      </c>
      <c r="P2840" t="n">
        <v>40</v>
      </c>
      <c r="R2840" t="inlineStr">
        <is>
          <t>InStock</t>
        </is>
      </c>
      <c r="S2840" t="inlineStr">
        <is>
          <t>39.95</t>
        </is>
      </c>
      <c r="T2840" t="inlineStr">
        <is>
          <t>3558315950180</t>
        </is>
      </c>
    </row>
    <row r="2841" ht="87" customHeight="1">
      <c r="A2841" s="2">
        <f>HYPERLINK("https://edmondsonsupply.com/collections/hvac/products/klein-tools-2138neeins-insulated-pliers-slim-handle-side-cutters-8-inch", "https://edmondsonsupply.com/collections/hvac/products/klein-tools-2138neeins-insulated-pliers-slim-handle-side-cutters-8-inch")</f>
        <v/>
      </c>
      <c r="B2841" s="2">
        <f>HYPERLINK("https://edmondsonsupply.com/products/klein-tools-2138neeins-insulated-pliers-slim-handle-side-cutters-8-inch", "https://edmondsonsupply.com/products/klein-tools-2138neeins-insulated-pliers-slim-handle-side-cutters-8-inch")</f>
        <v/>
      </c>
      <c r="C2841" t="inlineStr">
        <is>
          <t>Klein Tools 2138NEEINS Insulated Pliers, Slim Handle Side Cutters, 8-Inch</t>
        </is>
      </c>
      <c r="D2841" t="inlineStr">
        <is>
          <t>Klein Tools 200028EINS Pliers, Electrician's Insulated Diagonal Cutting Pliers with Slim Handle 1000V Rated Grips, 8-Inch</t>
        </is>
      </c>
      <c r="E2841" s="2">
        <f>HYPERLINK("https://www.amazon.com/Klein-Tools-200028EINS-Electricians-Insulated/dp/B00JGG5P86/ref=sr_1_2?keywords=Klein+Tools+2138NEEINS+Insulated+Pliers%2C+Slim+Handle+Side+Cutters%2C+8-Inch&amp;qid=1694734833&amp;sr=8-2", "https://www.amazon.com/Klein-Tools-200028EINS-Electricians-Insulated/dp/B00JGG5P86/ref=sr_1_2?keywords=Klein+Tools+2138NEEINS+Insulated+Pliers%2C+Slim+Handle+Side+Cutters%2C+8-Inch&amp;qid=1694734833&amp;sr=8-2")</f>
        <v/>
      </c>
      <c r="F2841" t="inlineStr">
        <is>
          <t>B00JGG5P86</t>
        </is>
      </c>
      <c r="G2841">
        <f>_xlfn.IMAGE("https://edmondsonsupply.com/cdn/shop/files/2138neeins.jpg?v=1694611719")</f>
        <v/>
      </c>
      <c r="H2841">
        <f>_xlfn.IMAGE("https://m.media-amazon.com/images/I/51cA-etI6LL._AC_UL320_.jpg")</f>
        <v/>
      </c>
      <c r="K2841" t="inlineStr">
        <is>
          <t>69.99</t>
        </is>
      </c>
      <c r="L2841" t="n">
        <v>54.55</v>
      </c>
      <c r="M2841" s="1" t="inlineStr">
        <is>
          <t>-22.06%</t>
        </is>
      </c>
      <c r="N2841" s="7" t="n">
        <v>181.93</v>
      </c>
      <c r="O2841" t="n">
        <v>4.4</v>
      </c>
      <c r="P2841" t="n">
        <v>68</v>
      </c>
      <c r="R2841" t="inlineStr">
        <is>
          <t>InStock</t>
        </is>
      </c>
      <c r="S2841" t="inlineStr">
        <is>
          <t>106.06</t>
        </is>
      </c>
      <c r="T2841" t="inlineStr">
        <is>
          <t>8036834476248</t>
        </is>
      </c>
    </row>
    <row r="2842" ht="87" customHeight="1">
      <c r="A2842" s="2">
        <f>HYPERLINK("https://edmondsonsupply.com/collections/hvac/products/klein-tools-1010-long-nose-multi-purpose-tool", "https://edmondsonsupply.com/collections/hvac/products/klein-tools-1010-long-nose-multi-purpose-tool")</f>
        <v/>
      </c>
      <c r="B2842" s="2">
        <f>HYPERLINK("https://edmondsonsupply.com/products/klein-tools-1010-long-nose-multi-purpose-tool", "https://edmondsonsupply.com/products/klein-tools-1010-long-nose-multi-purpose-tool")</f>
        <v/>
      </c>
      <c r="C2842" t="inlineStr">
        <is>
          <t>Klein Tools 1010 Long Nose Multi Tool Wire Stripper, Wire Cutters, Crimping Tool</t>
        </is>
      </c>
      <c r="D2842" t="inlineStr">
        <is>
          <t>Klein Tools 1001 Multi Tool, Wire Stripper, Wire Cutters, Crimper Tool for 8-22 AWG, Multi-Purpose Electrician Tool is 8.5-Inch Long</t>
        </is>
      </c>
      <c r="E2842" s="2">
        <f>HYPERLINK("https://www.amazon.com/Klein-Tools-1001-Multi-Purpose-Electricians/dp/B000EVLUR2/ref=sr_1_3?keywords=Klein+Tools+1010+Long+Nose+Multi+Tool+Wire+Stripper%2C+Wire+Cutters%2C+Crimping+Tool&amp;qid=1694734802&amp;sr=8-3", "https://www.amazon.com/Klein-Tools-1001-Multi-Purpose-Electricians/dp/B000EVLUR2/ref=sr_1_3?keywords=Klein+Tools+1010+Long+Nose+Multi+Tool+Wire+Stripper%2C+Wire+Cutters%2C+Crimping+Tool&amp;qid=1694734802&amp;sr=8-3")</f>
        <v/>
      </c>
      <c r="F2842" t="inlineStr">
        <is>
          <t>B000EVLUR2</t>
        </is>
      </c>
      <c r="G2842">
        <f>_xlfn.IMAGE("https://edmondsonsupply.com/cdn/shop/products/1010.jpg?v=1587145604")</f>
        <v/>
      </c>
      <c r="H2842">
        <f>_xlfn.IMAGE("https://m.media-amazon.com/images/I/51Df2gzkHqL._AC_UL320_.jpg")</f>
        <v/>
      </c>
      <c r="K2842" t="inlineStr">
        <is>
          <t>33.36</t>
        </is>
      </c>
      <c r="L2842" t="n">
        <v>25.99</v>
      </c>
      <c r="M2842" s="1" t="inlineStr">
        <is>
          <t>-22.09%</t>
        </is>
      </c>
      <c r="N2842" s="7" t="n">
        <v>181.31</v>
      </c>
      <c r="O2842" t="n">
        <v>4.5</v>
      </c>
      <c r="P2842" t="n">
        <v>475</v>
      </c>
      <c r="R2842" t="inlineStr">
        <is>
          <t>InStock</t>
        </is>
      </c>
      <c r="S2842" t="inlineStr">
        <is>
          <t>undefined</t>
        </is>
      </c>
      <c r="T2842" t="inlineStr">
        <is>
          <t>4431821242468</t>
        </is>
      </c>
    </row>
    <row r="2843" ht="87" customHeight="1">
      <c r="A2843" s="2">
        <f>HYPERLINK("https://edmondsonsupply.com/collections/hvac/products/rectorseal-83919-aspen-maxi-orange-univ-pump-100-250v", "https://edmondsonsupply.com/collections/hvac/products/rectorseal-83919-aspen-maxi-orange-univ-pump-100-250v")</f>
        <v/>
      </c>
      <c r="B2843" s="2">
        <f>HYPERLINK("https://edmondsonsupply.com/products/rectorseal-83919-aspen-maxi-orange-univ-pump-100-250v", "https://edmondsonsupply.com/products/rectorseal-83919-aspen-maxi-orange-univ-pump-100-250v")</f>
        <v/>
      </c>
      <c r="C2843" t="inlineStr">
        <is>
          <t>Rectorseal 83919 Aspen Maxi Orange Univ Pump 100-250V</t>
        </is>
      </c>
      <c r="D2843" t="inlineStr">
        <is>
          <t>Rectorseal 83919 Aspen Maxi Orange Univ Condensate Pump 11x7x2</t>
        </is>
      </c>
      <c r="E2843" s="2">
        <f>HYPERLINK("https://www.amazon.com/Rectorseal-83919-Aspen-Orange-Condensate/dp/B00KBP6UQ2/ref=sr_1_1?keywords=Rectorseal+83919+Aspen+Maxi+Orange+Univ+Pump+100-250V&amp;qid=1694734892&amp;sr=8-1", "https://www.amazon.com/Rectorseal-83919-Aspen-Orange-Condensate/dp/B00KBP6UQ2/ref=sr_1_1?keywords=Rectorseal+83919+Aspen+Maxi+Orange+Univ+Pump+100-250V&amp;qid=1694734892&amp;sr=8-1")</f>
        <v/>
      </c>
      <c r="F2843" t="inlineStr">
        <is>
          <t>B00KBP6UQ2</t>
        </is>
      </c>
      <c r="G2843">
        <f>_xlfn.IMAGE("https://edmondsonsupply.com/cdn/shop/files/83919.png?v=1690562761")</f>
        <v/>
      </c>
      <c r="H2843">
        <f>_xlfn.IMAGE("https://m.media-amazon.com/images/I/614diwuxJWL._AC_UL320_.jpg")</f>
        <v/>
      </c>
      <c r="K2843" t="inlineStr">
        <is>
          <t>233.52</t>
        </is>
      </c>
      <c r="L2843" t="n">
        <v>181.91</v>
      </c>
      <c r="M2843" s="1" t="inlineStr">
        <is>
          <t>-22.10%</t>
        </is>
      </c>
      <c r="N2843" s="7" t="n">
        <v>181.1</v>
      </c>
      <c r="O2843" t="n">
        <v>4.2</v>
      </c>
      <c r="P2843" t="n">
        <v>49</v>
      </c>
      <c r="R2843" t="inlineStr">
        <is>
          <t>InStock</t>
        </is>
      </c>
      <c r="S2843" t="inlineStr">
        <is>
          <t>undefined</t>
        </is>
      </c>
      <c r="T2843" t="inlineStr">
        <is>
          <t>8021220262104</t>
        </is>
      </c>
    </row>
    <row r="2844" ht="87" customHeight="1">
      <c r="A2844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844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844" t="inlineStr">
        <is>
          <t>Klein Tools D20009NEGLW High-Visibility Side-Cutting Pliers High-Leverage</t>
        </is>
      </c>
      <c r="D2844" t="inlineStr">
        <is>
          <t>Klein Tools 9 in. High-Leverage Side-Cutting Pliers with Tape Puller</t>
        </is>
      </c>
      <c r="E2844" s="2">
        <f>HYPERLINK("https://www.amazon.com/Klein-Tools-High-Leverage-Side-Cutting-Pliers/dp/B00L1XND7M/ref=sr_1_14?keywords=Klein+Tools+D20009NEGLW+High-Visibility+Side-Cutting+Pliers+High-Leverage&amp;qid=1694734809&amp;sr=8-14", "https://www.amazon.com/Klein-Tools-High-Leverage-Side-Cutting-Pliers/dp/B00L1XND7M/ref=sr_1_14?keywords=Klein+Tools+D20009NEGLW+High-Visibility+Side-Cutting+Pliers+High-Leverage&amp;qid=1694734809&amp;sr=8-14")</f>
        <v/>
      </c>
      <c r="F2844" t="inlineStr">
        <is>
          <t>B00L1XND7M</t>
        </is>
      </c>
      <c r="G2844">
        <f>_xlfn.IMAGE("https://edmondsonsupply.com/cdn/shop/products/d20009neglw.jpg?v=1587144933")</f>
        <v/>
      </c>
      <c r="H2844">
        <f>_xlfn.IMAGE("https://m.media-amazon.com/images/I/31JUfZRK2NL._AC_UL320_.jpg")</f>
        <v/>
      </c>
      <c r="K2844" t="inlineStr">
        <is>
          <t>44.97</t>
        </is>
      </c>
      <c r="L2844" t="n">
        <v>34.99</v>
      </c>
      <c r="M2844" s="1" t="inlineStr">
        <is>
          <t>-22.19%</t>
        </is>
      </c>
      <c r="N2844" s="7" t="n">
        <v>180.72</v>
      </c>
      <c r="O2844" t="n">
        <v>5</v>
      </c>
      <c r="P2844" t="n">
        <v>9</v>
      </c>
      <c r="R2844" t="inlineStr">
        <is>
          <t>InStock</t>
        </is>
      </c>
      <c r="S2844" t="inlineStr">
        <is>
          <t>68.16</t>
        </is>
      </c>
      <c r="T2844" t="inlineStr">
        <is>
          <t>4396888490084</t>
        </is>
      </c>
    </row>
    <row r="2845" ht="87" customHeight="1">
      <c r="A2845" s="2">
        <f>HYPERLINK("https://edmondsonsupply.com/collections/hvac/products/icm-controls-icm1501-intermittent-ignition-oil-burner-primary-control-15-second-safety-timing", "https://edmondsonsupply.com/collections/hvac/products/icm-controls-icm1501-intermittent-ignition-oil-burner-primary-control-15-second-safety-timing")</f>
        <v/>
      </c>
      <c r="B2845" s="2">
        <f>HYPERLINK("https://edmondsonsupply.com/products/icm-controls-icm1501-intermittent-ignition-oil-burner-primary-control-15-second-safety-timing", "https://edmondsonsupply.com/products/icm-controls-icm1501-intermittent-ignition-oil-burner-primary-control-15-second-safety-timing")</f>
        <v/>
      </c>
      <c r="C2845" t="inlineStr">
        <is>
          <t>ICM Controls ICM1501 Intermittent Ignition Oil Burner Primary Control, 15-Second Safety Timing</t>
        </is>
      </c>
      <c r="D2845" t="inlineStr">
        <is>
          <t>ICM Controls ICM1501 Intermittent Ignition Oil Primary Control with 15 Seconds Safety Timing, Replacement for R8184G Series Honeywell</t>
        </is>
      </c>
      <c r="E2845" s="2">
        <f>HYPERLINK("https://www.amazon.com/ICM-Controls-ICM1501-Intermittent-Replacement/dp/B000U7SQ36/ref=sr_1_1?keywords=ICM+Controls+ICM1501+Intermittent+Ignition+Oil+Burner+Primary+Control%2C+15-Second+Safety+Timing&amp;qid=1694734715&amp;sr=8-1", "https://www.amazon.com/ICM-Controls-ICM1501-Intermittent-Replacement/dp/B000U7SQ36/ref=sr_1_1?keywords=ICM+Controls+ICM1501+Intermittent+Ignition+Oil+Burner+Primary+Control%2C+15-Second+Safety+Timing&amp;qid=1694734715&amp;sr=8-1")</f>
        <v/>
      </c>
      <c r="F2845" t="inlineStr">
        <is>
          <t>B000U7SQ36</t>
        </is>
      </c>
      <c r="G2845">
        <f>_xlfn.IMAGE("https://edmondsonsupply.com/cdn/shop/products/icm1501.jpg?v=1633030564")</f>
        <v/>
      </c>
      <c r="H2845">
        <f>_xlfn.IMAGE("https://m.media-amazon.com/images/I/71fTDWeYzZL._AC_UL320_.jpg")</f>
        <v/>
      </c>
      <c r="K2845" t="inlineStr">
        <is>
          <t>76.99</t>
        </is>
      </c>
      <c r="L2845" t="n">
        <v>59.88</v>
      </c>
      <c r="M2845" s="1" t="inlineStr">
        <is>
          <t>-22.22%</t>
        </is>
      </c>
      <c r="N2845" s="7" t="n">
        <v>179.99</v>
      </c>
      <c r="O2845" t="n">
        <v>4.4</v>
      </c>
      <c r="P2845" t="n">
        <v>86</v>
      </c>
      <c r="R2845" t="inlineStr">
        <is>
          <t>InStock</t>
        </is>
      </c>
      <c r="S2845" t="inlineStr">
        <is>
          <t>105.78</t>
        </is>
      </c>
      <c r="T2845" t="inlineStr">
        <is>
          <t>5441634107560</t>
        </is>
      </c>
    </row>
    <row r="2846" ht="87" customHeight="1">
      <c r="A2846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846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846" t="inlineStr">
        <is>
          <t>Klein Tools D20009NEGLW High-Visibility Side-Cutting Pliers High-Leverage</t>
        </is>
      </c>
      <c r="D2846" t="inlineStr">
        <is>
          <t>Klein Tools D2000-48 Pliers, Linemans Diagonal Cutting Pliers with High Leverage Design, 8-Inch</t>
        </is>
      </c>
      <c r="E2846" s="2">
        <f>HYPERLINK("https://www.amazon.com/Diagonal-Linemans-Klein-Tools-D2000-48/dp/B0000302WZ/ref=sr_1_5?keywords=Klein+Tools+D20009NEGLW+High-Visibility+Side-Cutting+Pliers+High-Leverage&amp;qid=1694734809&amp;sr=8-5", "https://www.amazon.com/Diagonal-Linemans-Klein-Tools-D2000-48/dp/B0000302WZ/ref=sr_1_5?keywords=Klein+Tools+D20009NEGLW+High-Visibility+Side-Cutting+Pliers+High-Leverage&amp;qid=1694734809&amp;sr=8-5")</f>
        <v/>
      </c>
      <c r="F2846" t="inlineStr">
        <is>
          <t>B0000302WZ</t>
        </is>
      </c>
      <c r="G2846">
        <f>_xlfn.IMAGE("https://edmondsonsupply.com/cdn/shop/products/d20009neglw.jpg?v=1587144933")</f>
        <v/>
      </c>
      <c r="H2846">
        <f>_xlfn.IMAGE("https://m.media-amazon.com/images/I/41Y+q+BsIsL._AC_UL320_.jpg")</f>
        <v/>
      </c>
      <c r="K2846" t="inlineStr">
        <is>
          <t>44.97</t>
        </is>
      </c>
      <c r="L2846" t="n">
        <v>34.97</v>
      </c>
      <c r="M2846" s="1" t="inlineStr">
        <is>
          <t>-22.24%</t>
        </is>
      </c>
      <c r="N2846" s="7" t="n">
        <v>179.87</v>
      </c>
      <c r="O2846" t="n">
        <v>4.7</v>
      </c>
      <c r="P2846" t="n">
        <v>528</v>
      </c>
      <c r="R2846" t="inlineStr">
        <is>
          <t>InStock</t>
        </is>
      </c>
      <c r="S2846" t="inlineStr">
        <is>
          <t>68.16</t>
        </is>
      </c>
      <c r="T2846" t="inlineStr">
        <is>
          <t>4396888490084</t>
        </is>
      </c>
    </row>
    <row r="2847" ht="87" customHeight="1">
      <c r="A2847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847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847" t="inlineStr">
        <is>
          <t>Klein Tools D20009NEGLW High-Visibility Side-Cutting Pliers High-Leverage</t>
        </is>
      </c>
      <c r="D2847" t="inlineStr">
        <is>
          <t>Klein Tools D213-9NE Pliers, 9-Inch Side Cutters, High Leverage Linesman Pliers Cut Copper, Aluminum and other Soft Metals</t>
        </is>
      </c>
      <c r="E2847" s="2">
        <f>HYPERLINK("https://www.amazon.com/Leverage-46-Percent-Gripping-Klein-Tools/dp/B0000302W6/ref=sr_1_2?keywords=Klein+Tools+D20009NEGLW+High-Visibility+Side-Cutting+Pliers+High-Leverage&amp;qid=1694734809&amp;sr=8-2", "https://www.amazon.com/Leverage-46-Percent-Gripping-Klein-Tools/dp/B0000302W6/ref=sr_1_2?keywords=Klein+Tools+D20009NEGLW+High-Visibility+Side-Cutting+Pliers+High-Leverage&amp;qid=1694734809&amp;sr=8-2")</f>
        <v/>
      </c>
      <c r="F2847" t="inlineStr">
        <is>
          <t>B0000302W6</t>
        </is>
      </c>
      <c r="G2847">
        <f>_xlfn.IMAGE("https://edmondsonsupply.com/cdn/shop/products/d20009neglw.jpg?v=1587144933")</f>
        <v/>
      </c>
      <c r="H2847">
        <f>_xlfn.IMAGE("https://m.media-amazon.com/images/I/51D7tdNTj7L._AC_UL320_.jpg")</f>
        <v/>
      </c>
      <c r="K2847" t="inlineStr">
        <is>
          <t>44.97</t>
        </is>
      </c>
      <c r="L2847" t="n">
        <v>34.97</v>
      </c>
      <c r="M2847" s="1" t="inlineStr">
        <is>
          <t>-22.24%</t>
        </is>
      </c>
      <c r="N2847" s="7" t="n">
        <v>179.83</v>
      </c>
      <c r="O2847" t="n">
        <v>4.8</v>
      </c>
      <c r="P2847" t="n">
        <v>4116</v>
      </c>
      <c r="R2847" t="inlineStr">
        <is>
          <t>InStock</t>
        </is>
      </c>
      <c r="S2847" t="inlineStr">
        <is>
          <t>68.16</t>
        </is>
      </c>
      <c r="T2847" t="inlineStr">
        <is>
          <t>4396888490084</t>
        </is>
      </c>
    </row>
    <row r="2848" ht="87" customHeight="1">
      <c r="A2848" s="2">
        <f>HYPERLINK("https://edmondsonsupply.com/collections/hvac/products/fluke-376", "https://edmondsonsupply.com/collections/hvac/products/fluke-376")</f>
        <v/>
      </c>
      <c r="B2848" s="2">
        <f>HYPERLINK("https://edmondsonsupply.com/products/fluke-376", "https://edmondsonsupply.com/products/fluke-376")</f>
        <v/>
      </c>
      <c r="C2848" t="inlineStr">
        <is>
          <t>Fluke 376 FC Wireless True-RMS AC/DC Clamp Meter with iFlex</t>
        </is>
      </c>
      <c r="D2848" t="inlineStr">
        <is>
          <t>Fluke 376 True RMS AC/DC Clamp Meter with iFlex</t>
        </is>
      </c>
      <c r="E2848" s="2">
        <f>HYPERLINK("https://www.amazon.com/Fluke-True-Clamp-Meter-iFlex/dp/B0086963VC/ref=sr_1_4?keywords=Fluke+376+FC+Wireless+True-RMS+AC%2FDC+Clamp+Meter+with+iFlex&amp;qid=1694734720&amp;sr=8-4", "https://www.amazon.com/Fluke-True-Clamp-Meter-iFlex/dp/B0086963VC/ref=sr_1_4?keywords=Fluke+376+FC+Wireless+True-RMS+AC%2FDC+Clamp+Meter+with+iFlex&amp;qid=1694734720&amp;sr=8-4")</f>
        <v/>
      </c>
      <c r="F2848" t="inlineStr">
        <is>
          <t>B0086963VC</t>
        </is>
      </c>
      <c r="G2848">
        <f>_xlfn.IMAGE("https://edmondsonsupply.com/cdn/shop/products/f-376fc-16a-1500x1000.jpg?v=1633030274")</f>
        <v/>
      </c>
      <c r="H2848">
        <f>_xlfn.IMAGE("https://m.media-amazon.com/images/I/51g0DI2hCPL._AC_UY218_.jpg")</f>
        <v/>
      </c>
      <c r="K2848" t="inlineStr">
        <is>
          <t>533.69</t>
        </is>
      </c>
      <c r="L2848" t="n">
        <v>415</v>
      </c>
      <c r="M2848" s="1" t="inlineStr">
        <is>
          <t>-22.24%</t>
        </is>
      </c>
      <c r="N2848" s="7" t="n">
        <v>179.6</v>
      </c>
      <c r="O2848" t="n">
        <v>4.5</v>
      </c>
      <c r="P2848" t="n">
        <v>101</v>
      </c>
      <c r="R2848" t="inlineStr">
        <is>
          <t>InStock</t>
        </is>
      </c>
      <c r="S2848" t="inlineStr">
        <is>
          <t>592.99</t>
        </is>
      </c>
      <c r="T2848" t="inlineStr">
        <is>
          <t>5238364668072</t>
        </is>
      </c>
    </row>
    <row r="2849" hidden="1" ht="15.75" customHeight="1">
      <c r="A2849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849" s="2">
        <f>HYPERLINK("https://edmondsonsupply.com/products/klein-tools-s8m-1-4-inch-magnetic-nut-driver-3-inch-shank", "https://edmondsonsupply.com/products/klein-tools-s8m-1-4-inch-magnetic-nut-driver-3-inch-shank")</f>
        <v/>
      </c>
      <c r="C2849" t="inlineStr">
        <is>
          <t>Klein Tools S8M 1/4-Inch Magnetic Nut Driver 3-Inch Shank</t>
        </is>
      </c>
      <c r="D2849" t="inlineStr">
        <is>
          <t>Klein Tools 86600 1/4-Inch Magnetic Hex Drivers, 3-Pack</t>
        </is>
      </c>
      <c r="E2849" s="2">
        <f>HYPERLINK("https://www.amazon.com/Magnetic-Drivers-Klein-Tools-86600/dp/B0043GVDX0/ref=sr_1_6?keywords=Klein+Tools+S8M+1%2F4-Inch+Magnetic+Nut+Driver+3-Inch+Shank&amp;qid=1694734781&amp;sr=8-6", "https://www.amazon.com/Magnetic-Drivers-Klein-Tools-86600/dp/B0043GVDX0/ref=sr_1_6?keywords=Klein+Tools+S8M+1%2F4-Inch+Magnetic+Nut+Driver+3-Inch+Shank&amp;qid=1694734781&amp;sr=8-6")</f>
        <v/>
      </c>
      <c r="F2849" t="inlineStr">
        <is>
          <t>B0043GVDX0</t>
        </is>
      </c>
      <c r="G2849">
        <f>_xludf.IMAGE("https://edmondsonsupply.com/cdn/shop/products/s8m.jpg?v=1633030818")</f>
        <v/>
      </c>
      <c r="H2849">
        <f>_xludf.IMAGE("https://m.media-amazon.com/images/I/6147J4xgyLL._AC_UL320_.jpg")</f>
        <v/>
      </c>
      <c r="K2849" t="inlineStr">
        <is>
          <t>8.99</t>
        </is>
      </c>
      <c r="L2849" t="n">
        <v>6.99</v>
      </c>
      <c r="M2849" s="1" t="inlineStr">
        <is>
          <t>-22.25%</t>
        </is>
      </c>
      <c r="N2849" s="1" t="n">
        <v>179.51</v>
      </c>
      <c r="O2849" t="n">
        <v>4.7</v>
      </c>
      <c r="P2849" t="n">
        <v>1163</v>
      </c>
      <c r="R2849" t="inlineStr">
        <is>
          <t>InStock</t>
        </is>
      </c>
      <c r="S2849" t="inlineStr">
        <is>
          <t>13.62</t>
        </is>
      </c>
      <c r="T2849" t="inlineStr">
        <is>
          <t>6072223957165</t>
        </is>
      </c>
    </row>
    <row r="2850" hidden="1" ht="15.75" customHeight="1">
      <c r="A2850" s="2">
        <f>HYPERLINK("https://edmondsonsupply.com/collections/hvac/products/greenlee-dtap1-4-20-drill-tap-1-4-20", "https://edmondsonsupply.com/collections/hvac/products/greenlee-dtap1-4-20-drill-tap-1-4-20")</f>
        <v/>
      </c>
      <c r="B2850" s="2">
        <f>HYPERLINK("https://edmondsonsupply.com/products/greenlee-dtap1-4-20-drill-tap-1-4-20", "https://edmondsonsupply.com/products/greenlee-dtap1-4-20-drill-tap-1-4-20")</f>
        <v/>
      </c>
      <c r="C2850" t="inlineStr">
        <is>
          <t>Greenlee DTAP1/4-20 Drill/Tap, 1/4-20</t>
        </is>
      </c>
      <c r="D2850" t="inlineStr">
        <is>
          <t>Klein Tools 32242 Drill Tap, 1/4-20</t>
        </is>
      </c>
      <c r="E2850" s="2">
        <f>HYPERLINK("https://www.amazon.com/4-20-Drill-Klein-Tools-32242/dp/B019874QJQ/ref=sr_1_7?keywords=Greenlee+DTAP1%2F4-20+Drill%2FTap%2C+1%2F4-20&amp;qid=1694734812&amp;sr=8-7", "https://www.amazon.com/4-20-Drill-Klein-Tools-32242/dp/B019874QJQ/ref=sr_1_7?keywords=Greenlee+DTAP1%2F4-20+Drill%2FTap%2C+1%2F4-20&amp;qid=1694734812&amp;sr=8-7")</f>
        <v/>
      </c>
      <c r="F2850" t="inlineStr">
        <is>
          <t>B019874QJQ</t>
        </is>
      </c>
      <c r="G2850">
        <f>_xludf.IMAGE("https://edmondsonsupply.com/cdn/shop/products/DTAP1-4-20.jpg?v=1587151009")</f>
        <v/>
      </c>
      <c r="H2850">
        <f>_xludf.IMAGE("https://m.media-amazon.com/images/I/419OEbztcTL._AC_UL320_.jpg")</f>
        <v/>
      </c>
      <c r="K2850" t="inlineStr">
        <is>
          <t>8.99</t>
        </is>
      </c>
      <c r="L2850" t="n">
        <v>6.99</v>
      </c>
      <c r="M2850" s="1" t="inlineStr">
        <is>
          <t>-22.25%</t>
        </is>
      </c>
      <c r="N2850" s="1" t="n">
        <v>179.22</v>
      </c>
      <c r="O2850" t="n">
        <v>4.6</v>
      </c>
      <c r="P2850" t="n">
        <v>826</v>
      </c>
      <c r="R2850" t="inlineStr">
        <is>
          <t>InStock</t>
        </is>
      </c>
      <c r="S2850" t="inlineStr">
        <is>
          <t>9.7</t>
        </is>
      </c>
      <c r="T2850" t="inlineStr">
        <is>
          <t>4395885199460</t>
        </is>
      </c>
    </row>
    <row r="2851" ht="87" customHeight="1">
      <c r="A2851" s="2">
        <f>HYPERLINK("https://edmondsonsupply.com/collections/hvac/products/hilmor-1839027-tb1412-tri-tube-benders-1-4-3-8-1-2", "https://edmondsonsupply.com/collections/hvac/products/hilmor-1839027-tb1412-tri-tube-benders-1-4-3-8-1-2")</f>
        <v/>
      </c>
      <c r="B2851" s="2">
        <f>HYPERLINK("https://edmondsonsupply.com/products/hilmor-1839027-tb1412-tri-tube-benders-1-4-3-8-1-2", "https://edmondsonsupply.com/products/hilmor-1839027-tb1412-tri-tube-benders-1-4-3-8-1-2")</f>
        <v/>
      </c>
      <c r="C2851" t="inlineStr">
        <is>
          <t>Hilmor 1839027 Tri-Tube Bender - 1/4", 3/8", 1/2"</t>
        </is>
      </c>
      <c r="D2851" t="inlineStr">
        <is>
          <t>VEVOR Pipe Tube Bender, 1/4", 3/8", 1/2" OD, 3 in 1 Manual Level Tube Bender, 180° Copper Aluminum Pipes Bending Tools for HVAC Air Conditioning Refrigerator Repair</t>
        </is>
      </c>
      <c r="E2851" s="2">
        <f>HYPERLINK("https://www.amazon.com/VEVOR-Pipe-Tube-Bender-Manual/dp/B0C4F6BWDX/ref=sr_1_3?keywords=Hilmor+1839027+Tri-Tube+Bender+-+1%2F4%22%2C+3%2F8%22%2C+1%2F2%22&amp;qid=1694734830&amp;sr=8-3", "https://www.amazon.com/VEVOR-Pipe-Tube-Bender-Manual/dp/B0C4F6BWDX/ref=sr_1_3?keywords=Hilmor+1839027+Tri-Tube+Bender+-+1%2F4%22%2C+3%2F8%22%2C+1%2F2%22&amp;qid=1694734830&amp;sr=8-3")</f>
        <v/>
      </c>
      <c r="F2851" t="inlineStr">
        <is>
          <t>B0C4F6BWDX</t>
        </is>
      </c>
      <c r="G2851">
        <f>_xlfn.IMAGE("https://edmondsonsupply.com/cdn/shop/products/Tri-Tube_Bender2-green_glow-735x480.png?v=1643678213")</f>
        <v/>
      </c>
      <c r="H2851">
        <f>_xlfn.IMAGE("https://m.media-amazon.com/images/I/616Z+2xoCXL._AC_UL320_.jpg")</f>
        <v/>
      </c>
      <c r="K2851" t="inlineStr">
        <is>
          <t>49.99</t>
        </is>
      </c>
      <c r="L2851" t="n">
        <v>38.86</v>
      </c>
      <c r="M2851" s="1" t="inlineStr">
        <is>
          <t>-22.26%</t>
        </is>
      </c>
      <c r="N2851" s="7" t="n">
        <v>179.09</v>
      </c>
      <c r="O2851" t="n">
        <v>4.2</v>
      </c>
      <c r="P2851" t="n">
        <v>35</v>
      </c>
      <c r="R2851" t="inlineStr">
        <is>
          <t>InStock</t>
        </is>
      </c>
      <c r="S2851" t="inlineStr">
        <is>
          <t>172.6</t>
        </is>
      </c>
      <c r="T2851" t="inlineStr">
        <is>
          <t>2109289791588</t>
        </is>
      </c>
    </row>
    <row r="2852" ht="87" customHeight="1">
      <c r="A2852" s="2">
        <f>HYPERLINK("https://edmondsonsupply.com/collections/hvac/products/fluke-373-true-rms-ac-clamp-meter", "https://edmondsonsupply.com/collections/hvac/products/fluke-373-true-rms-ac-clamp-meter")</f>
        <v/>
      </c>
      <c r="B2852" s="2">
        <f>HYPERLINK("https://edmondsonsupply.com/products/fluke-373-true-rms-ac-clamp-meter", "https://edmondsonsupply.com/products/fluke-373-true-rms-ac-clamp-meter")</f>
        <v/>
      </c>
      <c r="C2852" t="inlineStr">
        <is>
          <t>Fluke 373 True-RMS AC Clamp Meter</t>
        </is>
      </c>
      <c r="D2852" t="inlineStr">
        <is>
          <t>Fluke 365 Detachable Jaw True-RMS AC/DC Clamp Meter</t>
        </is>
      </c>
      <c r="E2852" s="2">
        <f>HYPERLINK("https://www.amazon.com/Fluke-365-Detachable-True-RMS-Clamp/dp/B004I2ZSLC/ref=sr_1_5?keywords=Fluke+373+True-RMS+AC+Clamp+Meter&amp;qid=1694734920&amp;sr=8-5", "https://www.amazon.com/Fluke-365-Detachable-True-RMS-Clamp/dp/B004I2ZSLC/ref=sr_1_5?keywords=Fluke+373+True-RMS+AC+Clamp+Meter&amp;qid=1694734920&amp;sr=8-5")</f>
        <v/>
      </c>
      <c r="F2852" t="inlineStr">
        <is>
          <t>B004I2ZSLC</t>
        </is>
      </c>
      <c r="G2852">
        <f>_xlfn.IMAGE("https://edmondsonsupply.com/cdn/shop/files/f-373-01d-1500x1000.webp?v=1689369435")</f>
        <v/>
      </c>
      <c r="H2852">
        <f>_xlfn.IMAGE("https://m.media-amazon.com/images/I/61gtdMPNAyL._AC_UY218_.jpg")</f>
        <v/>
      </c>
      <c r="K2852" t="inlineStr">
        <is>
          <t>290.05</t>
        </is>
      </c>
      <c r="L2852" t="n">
        <v>225</v>
      </c>
      <c r="M2852" s="1" t="inlineStr">
        <is>
          <t>-22.43%</t>
        </is>
      </c>
      <c r="N2852" s="7" t="n">
        <v>177.2</v>
      </c>
      <c r="O2852" t="n">
        <v>4.6</v>
      </c>
      <c r="P2852" t="n">
        <v>121</v>
      </c>
      <c r="R2852" t="inlineStr">
        <is>
          <t>InStock</t>
        </is>
      </c>
      <c r="S2852" t="inlineStr">
        <is>
          <t>undefined</t>
        </is>
      </c>
      <c r="T2852" t="inlineStr">
        <is>
          <t>8016406773976</t>
        </is>
      </c>
    </row>
    <row r="2853" hidden="1" ht="15.75" customHeight="1">
      <c r="A2853" s="2">
        <f>HYPERLINK("https://edmondsonsupply.com/collections/hvac/products/packard-48332-draft-inducer-goodman-b4833001-replacement-115-volt-1-8-1-1-amps", "https://edmondsonsupply.com/collections/hvac/products/packard-48332-draft-inducer-goodman-b4833001-replacement-115-volt-1-8-1-1-amps")</f>
        <v/>
      </c>
      <c r="B2853" s="2">
        <f>HYPERLINK("https://edmondsonsupply.com/products/packard-48332-draft-inducer-goodman-b4833001-replacement-115-volt-1-8-1-1-amps", "https://edmondsonsupply.com/products/packard-48332-draft-inducer-goodman-b4833001-replacement-115-volt-1-8-1-1-amps")</f>
        <v/>
      </c>
      <c r="C2853" t="inlineStr">
        <is>
          <t>Packard 48332 Draft Inducer, Goodman B4833001 Replacement, 115 Volt, 1.8-1.1 Amps</t>
        </is>
      </c>
      <c r="D2853" t="inlineStr">
        <is>
          <t>Packard 48332 Draft Inducer, Goodman Replacement, 115V, 1.8-1.1 Amp</t>
        </is>
      </c>
      <c r="E2853" s="2">
        <f>HYPERLINK("https://www.amazon.com/Packard-48332-Inducer-Goodman-Replacement/dp/B00JN0OT0U/ref=sr_1_1?keywords=Packard+48332+Draft+Inducer%2C+Goodman+B4833001+Replacement%2C+115+Volt%2C+1.8-1.1+Amps&amp;qid=1694734668&amp;sr=8-1", "https://www.amazon.com/Packard-48332-Inducer-Goodman-Replacement/dp/B00JN0OT0U/ref=sr_1_1?keywords=Packard+48332+Draft+Inducer%2C+Goodman+B4833001+Replacement%2C+115+Volt%2C+1.8-1.1+Amps&amp;qid=1694734668&amp;sr=8-1")</f>
        <v/>
      </c>
      <c r="F2853" t="inlineStr">
        <is>
          <t>B00JN0OT0U</t>
        </is>
      </c>
      <c r="G2853">
        <f>_xludf.IMAGE("https://edmondsonsupply.com/cdn/shop/products/48332_xl_1.jpg?v=1633031185")</f>
        <v/>
      </c>
      <c r="H2853">
        <f>_xludf.IMAGE("https://m.media-amazon.com/images/I/51+rZfx66xL._AC_UL320_.jpg")</f>
        <v/>
      </c>
      <c r="K2853" t="inlineStr">
        <is>
          <t>198.18</t>
        </is>
      </c>
      <c r="L2853" t="n">
        <v>153.7</v>
      </c>
      <c r="M2853" s="1" t="inlineStr">
        <is>
          <t>-22.44%</t>
        </is>
      </c>
      <c r="N2853" s="1" t="n">
        <v>176.61</v>
      </c>
      <c r="O2853" t="n">
        <v>1</v>
      </c>
      <c r="P2853" t="n">
        <v>1</v>
      </c>
      <c r="R2853" t="inlineStr">
        <is>
          <t>InStock</t>
        </is>
      </c>
      <c r="S2853" t="inlineStr">
        <is>
          <t>undefined</t>
        </is>
      </c>
      <c r="T2853" t="inlineStr">
        <is>
          <t>6924621971629</t>
        </is>
      </c>
    </row>
    <row r="2854" hidden="1" ht="15.75" customHeight="1">
      <c r="A2854" s="2">
        <f>HYPERLINK("https://edmondsonsupply.com/collections/hvac/products/malco-mshxlc-6", "https://edmondsonsupply.com/collections/hvac/products/malco-mshxlc-6")</f>
        <v/>
      </c>
      <c r="B2854" s="2">
        <f>HYPERLINK("https://edmondsonsupply.com/products/malco-mshxlc-6", "https://edmondsonsupply.com/products/malco-mshxlc-6")</f>
        <v/>
      </c>
      <c r="C2854" t="inlineStr">
        <is>
          <t>Malco Tools MSHXLC 6-Inch C-Rhex Cleanable, Reversible Magnetic Hex Driver, 1/4" &amp; 5/16"</t>
        </is>
      </c>
      <c r="D2854" t="inlineStr">
        <is>
          <t>Malco MSHMLC2 C-RHEX® Building Construction Series Cleanable, Reversible Magnetic Hex Driver (1/4" &amp; 5/16")</t>
        </is>
      </c>
      <c r="E2854" s="2">
        <f>HYPERLINK("https://www.amazon.com/Malco-MSHMLC2-Construction-Cleanable-Reversible/dp/B0BX77PFCY/ref=sr_1_4?keywords=Malco+Tools+MSHXLC+6-Inch+C-Rhex+Cleanable%2C+Reversible+Magnetic+Hex+Driver%2C+1%2F4&amp;qid=1694734630&amp;sr=8-4", "https://www.amazon.com/Malco-MSHMLC2-Construction-Cleanable-Reversible/dp/B0BX77PFCY/ref=sr_1_4?keywords=Malco+Tools+MSHXLC+6-Inch+C-Rhex+Cleanable%2C+Reversible+Magnetic+Hex+Driver%2C+1%2F4&amp;qid=1694734630&amp;sr=8-4")</f>
        <v/>
      </c>
      <c r="F2854" t="inlineStr">
        <is>
          <t>B0BX77PFCY</t>
        </is>
      </c>
      <c r="G2854">
        <f>_xludf.IMAGE("https://edmondsonsupply.com/cdn/shop/products/Malco-MSHXLC-CRHEX-Slim-Design.jpg?v=1668084662")</f>
        <v/>
      </c>
      <c r="H2854">
        <f>_xludf.IMAGE("https://m.media-amazon.com/images/I/61SpFpw6GjL._AC_UL320_.jpg")</f>
        <v/>
      </c>
      <c r="K2854" t="inlineStr">
        <is>
          <t>17.99</t>
        </is>
      </c>
      <c r="L2854" t="n">
        <v>13.91</v>
      </c>
      <c r="M2854" s="1" t="inlineStr">
        <is>
          <t>-22.68%</t>
        </is>
      </c>
      <c r="N2854" s="1" t="n">
        <v>176.61</v>
      </c>
      <c r="O2854" t="n">
        <v>2.5</v>
      </c>
      <c r="P2854" t="n">
        <v>3</v>
      </c>
      <c r="R2854" t="inlineStr">
        <is>
          <t>InStock</t>
        </is>
      </c>
      <c r="S2854" t="inlineStr">
        <is>
          <t>19.11</t>
        </is>
      </c>
      <c r="T2854" t="inlineStr">
        <is>
          <t>4102710394980</t>
        </is>
      </c>
    </row>
    <row r="2855" ht="87" customHeight="1">
      <c r="A2855" s="2">
        <f>HYPERLINK("https://edmondsonsupply.com/collections/hvac/products/fluke-378-fc-non-contact-voltage-true-rms-ac-dc-clamp-meter-with-iflex", "https://edmondsonsupply.com/collections/hvac/products/fluke-378-fc-non-contact-voltage-true-rms-ac-dc-clamp-meter-with-iflex")</f>
        <v/>
      </c>
      <c r="B2855" s="2">
        <f>HYPERLINK("https://edmondsonsupply.com/products/fluke-378-fc-non-contact-voltage-true-rms-ac-dc-clamp-meter-with-iflex", "https://edmondsonsupply.com/products/fluke-378-fc-non-contact-voltage-true-rms-ac-dc-clamp-meter-with-iflex")</f>
        <v/>
      </c>
      <c r="C2855" t="inlineStr">
        <is>
          <t>Fluke 378 FC Non-Contact Voltage True-RMS AC/DC Clamp Meter with iFlex</t>
        </is>
      </c>
      <c r="D2855" t="inlineStr">
        <is>
          <t>Fluke 377FC AC/DC TRMS Non-Contact Voltage Wireless Clamp w/iFlex</t>
        </is>
      </c>
      <c r="E2855" s="2">
        <f>HYPERLINK("https://www.amazon.com/Fluke-377FC-Non-Contact-Voltage-Wireless/dp/B0916LXCWW/ref=sr_1_2?keywords=Fluke+378+FC+Non-Contact+Voltage+True-RMS+AC%2FDC+Clamp+Meter+with+iFlex&amp;qid=1694734624&amp;sr=8-2", "https://www.amazon.com/Fluke-377FC-Non-Contact-Voltage-Wireless/dp/B0916LXCWW/ref=sr_1_2?keywords=Fluke+378+FC+Non-Contact+Voltage+True-RMS+AC%2FDC+Clamp+Meter+with+iFlex&amp;qid=1694734624&amp;sr=8-2")</f>
        <v/>
      </c>
      <c r="F2855" t="inlineStr">
        <is>
          <t>B0916LXCWW</t>
        </is>
      </c>
      <c r="G2855">
        <f>_xlfn.IMAGE("https://edmondsonsupply.com/cdn/shop/products/378_FC_72dpi_499x1024px_E_NR-27689.jpg?v=1633031120")</f>
        <v/>
      </c>
      <c r="H2855">
        <f>_xlfn.IMAGE("https://m.media-amazon.com/images/I/7112bqFKTjL._AC_UY218_.jpg")</f>
        <v/>
      </c>
      <c r="K2855" t="inlineStr">
        <is>
          <t>776.69</t>
        </is>
      </c>
      <c r="L2855" t="n">
        <v>600</v>
      </c>
      <c r="M2855" s="1" t="inlineStr">
        <is>
          <t>-22.75%</t>
        </is>
      </c>
      <c r="N2855" s="7" t="n">
        <v>176.31</v>
      </c>
      <c r="O2855" t="n">
        <v>4.4</v>
      </c>
      <c r="P2855" t="n">
        <v>39</v>
      </c>
      <c r="R2855" t="inlineStr">
        <is>
          <t>OutOfStock</t>
        </is>
      </c>
      <c r="S2855" t="inlineStr">
        <is>
          <t>862.99</t>
        </is>
      </c>
      <c r="T2855" t="inlineStr">
        <is>
          <t>6864217309357</t>
        </is>
      </c>
    </row>
    <row r="2856" ht="87" customHeight="1">
      <c r="A2856" s="2">
        <f>HYPERLINK("https://edmondsonsupply.com/collections/hvac/products/channellock-432", "https://edmondsonsupply.com/collections/hvac/products/channellock-432")</f>
        <v/>
      </c>
      <c r="B2856" s="2">
        <f>HYPERLINK("https://edmondsonsupply.com/products/channellock-432", "https://edmondsonsupply.com/products/channellock-432")</f>
        <v/>
      </c>
      <c r="C2856" t="inlineStr">
        <is>
          <t>Channellock 440 12" Straight Jaw Tongue &amp; Groove Pliers</t>
        </is>
      </c>
      <c r="D2856" t="inlineStr">
        <is>
          <t>CHANNELLOCK 428 Straight Jaw Tongue &amp; Groove Pliers, 8-inch | 1-1/2-inch Jaw Capacity | 4 Adjustments | SAFE-T-STOP feature prevents finger pinch | Forged High-Carbon U.S. Steel | Made in USA, Polished Steel</t>
        </is>
      </c>
      <c r="E2856" s="2">
        <f>HYPERLINK("https://www.amazon.com/CHANNELLOCK-428-Adjustments-SAFE-T-STOP-High-Carbon/dp/B00004SBCT/ref=sr_1_19?keywords=Channellock+440+12%22+Straight+Jaw+Tongue+%26+Groove+Pliers&amp;qid=1694734829&amp;sr=8-19", "https://www.amazon.com/CHANNELLOCK-428-Adjustments-SAFE-T-STOP-High-Carbon/dp/B00004SBCT/ref=sr_1_19?keywords=Channellock+440+12%22+Straight+Jaw+Tongue+%26+Groove+Pliers&amp;qid=1694734829&amp;sr=8-19")</f>
        <v/>
      </c>
      <c r="F2856" t="inlineStr">
        <is>
          <t>B00004SBCT</t>
        </is>
      </c>
      <c r="G2856">
        <f>_xlfn.IMAGE("https://edmondsonsupply.com/cdn/shop/products/440-546x1024.jpg?v=1587148892")</f>
        <v/>
      </c>
      <c r="H2856">
        <f>_xlfn.IMAGE("https://m.media-amazon.com/images/I/71PJMchXHJL._AC_UL320_.jpg")</f>
        <v/>
      </c>
      <c r="K2856" t="inlineStr">
        <is>
          <t>21.95</t>
        </is>
      </c>
      <c r="L2856" t="n">
        <v>16.95</v>
      </c>
      <c r="M2856" s="1" t="inlineStr">
        <is>
          <t>-22.78%</t>
        </is>
      </c>
      <c r="N2856" s="7" t="n">
        <v>176.31</v>
      </c>
      <c r="O2856" t="n">
        <v>4.7</v>
      </c>
      <c r="P2856" t="n">
        <v>238</v>
      </c>
      <c r="R2856" t="inlineStr">
        <is>
          <t>InStock</t>
        </is>
      </c>
      <c r="S2856" t="inlineStr">
        <is>
          <t>29.82</t>
        </is>
      </c>
      <c r="T2856" t="inlineStr">
        <is>
          <t>3553495908452</t>
        </is>
      </c>
    </row>
    <row r="2857" ht="87" customHeight="1">
      <c r="A2857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2857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2857" t="inlineStr">
        <is>
          <t>ICM Controls ICM2805A Furnace Control Board - Replacement for Nordyne</t>
        </is>
      </c>
      <c r="D2857" t="inlineStr">
        <is>
          <t>ICM2805A Furnace Control Board Replacement for Nordyne 624631Circuit Board, Used with G3, G4, G5, G6, M2 and M3 Furnace Modules, 624631 903106</t>
        </is>
      </c>
      <c r="E2857" s="2">
        <f>HYPERLINK("https://www.amazon.com/ICM2805A-Furnace-Control-Replacement-624631Circuit/dp/B0C5GW9NST/ref=sr_1_5?keywords=ICM+Controls+ICM2805A+Furnace+Control+Board+-+Replacement+for+Nordyne&amp;qid=1694734623&amp;sr=8-5", "https://www.amazon.com/ICM2805A-Furnace-Control-Replacement-624631Circuit/dp/B0C5GW9NST/ref=sr_1_5?keywords=ICM+Controls+ICM2805A+Furnace+Control+Board+-+Replacement+for+Nordyne&amp;qid=1694734623&amp;sr=8-5")</f>
        <v/>
      </c>
      <c r="F2857" t="inlineStr">
        <is>
          <t>B0C5GW9NST</t>
        </is>
      </c>
      <c r="G2857">
        <f>_xlfn.IMAGE("https://edmondsonsupply.com/cdn/shop/products/57_3_42a53dd2-02e8-4469-bc0c-0265897201e7.jpg?v=1633031145")</f>
        <v/>
      </c>
      <c r="H2857">
        <f>_xlfn.IMAGE("https://m.media-amazon.com/images/I/71E4OL1xhbL._AC_UL320_.jpg")</f>
        <v/>
      </c>
      <c r="K2857" t="inlineStr">
        <is>
          <t>116.59</t>
        </is>
      </c>
      <c r="L2857" t="n">
        <v>89.98999999999999</v>
      </c>
      <c r="M2857" s="1" t="inlineStr">
        <is>
          <t>-22.81%</t>
        </is>
      </c>
      <c r="N2857" s="7" t="n">
        <v>175.48</v>
      </c>
      <c r="O2857" t="n">
        <v>4.5</v>
      </c>
      <c r="P2857" t="n">
        <v>2</v>
      </c>
      <c r="R2857" t="inlineStr">
        <is>
          <t>InStock</t>
        </is>
      </c>
      <c r="S2857" t="inlineStr">
        <is>
          <t>161.12</t>
        </is>
      </c>
      <c r="T2857" t="inlineStr">
        <is>
          <t>6892060639405</t>
        </is>
      </c>
    </row>
    <row r="2858" hidden="1" ht="15.75" customHeight="1">
      <c r="A2858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858" s="2">
        <f>HYPERLINK("https://edmondsonsupply.com/products/klein-tools-65064-2-in-1-hex-head-screwdriver-1-4-5-16", "https://edmondsonsupply.com/products/klein-tools-65064-2-in-1-hex-head-screwdriver-1-4-5-16")</f>
        <v/>
      </c>
      <c r="C2858" t="inlineStr">
        <is>
          <t>Klein Tools 65064 2-in-1 Nut Driver, Hex Head, 1/4-Inch and 5/16-Inch</t>
        </is>
      </c>
      <c r="D2858" t="inlineStr">
        <is>
          <t>Klein Tools 32793 Pro Impact Driver Bit, 5/16-Inch Hex Nut Driver, 3 Pack</t>
        </is>
      </c>
      <c r="E2858" s="2">
        <f>HYPERLINK("https://www.amazon.com/Klein-Tools-32793-Impact-16-Inch/dp/B07RM8WVXK/ref=sr_1_14?keywords=Klein+Tools+65064+2-in-1+Nut+Driver%2C+Hex+Head%2C+1%2F4-Inch+and+5%2F16-Inch&amp;qid=1694734734&amp;sr=8-14", "https://www.amazon.com/Klein-Tools-32793-Impact-16-Inch/dp/B07RM8WVXK/ref=sr_1_14?keywords=Klein+Tools+65064+2-in-1+Nut+Driver%2C+Hex+Head%2C+1%2F4-Inch+and+5%2F16-Inch&amp;qid=1694734734&amp;sr=8-14")</f>
        <v/>
      </c>
      <c r="F2858" t="inlineStr">
        <is>
          <t>B07RM8WVXK</t>
        </is>
      </c>
      <c r="G2858">
        <f>_xludf.IMAGE("https://edmondsonsupply.com/cdn/shop/products/65064.jpg?v=1587147719")</f>
        <v/>
      </c>
      <c r="H2858">
        <f>_xludf.IMAGE("https://m.media-amazon.com/images/I/41dAZSiz0zL._AC_UL320_.jpg")</f>
        <v/>
      </c>
      <c r="K2858" t="inlineStr">
        <is>
          <t>15.97</t>
        </is>
      </c>
      <c r="L2858" t="n">
        <v>12.32</v>
      </c>
      <c r="M2858" s="1" t="inlineStr">
        <is>
          <t>-22.86%</t>
        </is>
      </c>
      <c r="N2858" s="1" t="n">
        <v>175.18</v>
      </c>
      <c r="O2858" t="n">
        <v>4.7</v>
      </c>
      <c r="P2858" t="n">
        <v>447</v>
      </c>
      <c r="R2858" t="inlineStr">
        <is>
          <t>InStock</t>
        </is>
      </c>
      <c r="S2858" t="inlineStr">
        <is>
          <t>23.36</t>
        </is>
      </c>
      <c r="T2858" t="inlineStr">
        <is>
          <t>1707342889060</t>
        </is>
      </c>
    </row>
    <row r="2859" ht="87" customHeight="1">
      <c r="A2859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2859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2859" t="inlineStr">
        <is>
          <t>ICM Controls ICM282B Furnace Control Board - Replacement for Carrier</t>
        </is>
      </c>
      <c r="D2859" t="inlineStr">
        <is>
          <t>Upgraded Replacement for ICM Furnace Control Circuit Board ICM281</t>
        </is>
      </c>
      <c r="E2859" s="2">
        <f>HYPERLINK("https://www.amazon.com/Upgraded-Replacement-ICM-Furnace-Control/dp/B00EED6AN0/ref=sr_1_27?keywords=ICM+Controls+ICM282B+Furnace+Control+Board+-+Replacement+for+Carrier&amp;qid=1694734691&amp;sr=8-27", "https://www.amazon.com/Upgraded-Replacement-ICM-Furnace-Control/dp/B00EED6AN0/ref=sr_1_27?keywords=ICM+Controls+ICM282B+Furnace+Control+Board+-+Replacement+for+Carrier&amp;qid=1694734691&amp;sr=8-27")</f>
        <v/>
      </c>
      <c r="F2859" t="inlineStr">
        <is>
          <t>B00EED6AN0</t>
        </is>
      </c>
      <c r="G2859">
        <f>_xlfn.IMAGE("https://edmondsonsupply.com/cdn/shop/products/57_5_96e476f9-dc43-4075-94fb-2c5efeccce22.jpg?v=1659481947")</f>
        <v/>
      </c>
      <c r="H2859">
        <f>_xlfn.IMAGE("https://m.media-amazon.com/images/I/51NaBgQfLcL._AC_UL320_.jpg")</f>
        <v/>
      </c>
      <c r="K2859" t="inlineStr">
        <is>
          <t>195.99</t>
        </is>
      </c>
      <c r="L2859" t="n">
        <v>151.1</v>
      </c>
      <c r="M2859" s="1" t="inlineStr">
        <is>
          <t>-22.90%</t>
        </is>
      </c>
      <c r="N2859" s="7" t="n">
        <v>175.15</v>
      </c>
      <c r="O2859" t="n">
        <v>4.6</v>
      </c>
      <c r="P2859" t="n">
        <v>4</v>
      </c>
      <c r="R2859" t="inlineStr">
        <is>
          <t>InStock</t>
        </is>
      </c>
      <c r="S2859" t="inlineStr">
        <is>
          <t>256.41</t>
        </is>
      </c>
      <c r="T2859" t="inlineStr">
        <is>
          <t>7770046464216</t>
        </is>
      </c>
    </row>
    <row r="2860" ht="87" customHeight="1">
      <c r="A2860" s="2">
        <f>HYPERLINK("https://edmondsonsupply.com/collections/hvac/products/5-2-1-csru1", "https://edmondsonsupply.com/collections/hvac/products/5-2-1-csru1")</f>
        <v/>
      </c>
      <c r="B2860" s="2">
        <f>HYPERLINK("https://edmondsonsupply.com/products/5-2-1-csru1", "https://edmondsonsupply.com/products/5-2-1-csru1")</f>
        <v/>
      </c>
      <c r="C2860" t="inlineStr">
        <is>
          <t>5-2-1 CSRU1 Compressor Saver, 1 to 3 Tons</t>
        </is>
      </c>
      <c r="D2860" t="inlineStr">
        <is>
          <t>CSRU1 CSR-U1 AC Hard Start Kit - DIY eTips Included - Compatible with 1 to 3 Ton AC Units - Upgraded 5-2-1 Compressor Saver Starter Kit - Easy to Install - Durable Materials</t>
        </is>
      </c>
      <c r="E2860" s="2">
        <f>HYPERLINK("https://www.amazon.com/CSR-U1-Hard-Start-Device-3-Ton-PartsBroz/dp/B07V3TLLV7/ref=sr_1_4?keywords=5-2-1+CSRU1+Compressor+Saver%2C+1+to+3+Tons&amp;qid=1694734741&amp;sr=8-4", "https://www.amazon.com/CSR-U1-Hard-Start-Device-3-Ton-PartsBroz/dp/B07V3TLLV7/ref=sr_1_4?keywords=5-2-1+CSRU1+Compressor+Saver%2C+1+to+3+Tons&amp;qid=1694734741&amp;sr=8-4")</f>
        <v/>
      </c>
      <c r="F2860" t="inlineStr">
        <is>
          <t>B07V3TLLV7</t>
        </is>
      </c>
      <c r="G2860">
        <f>_xlfn.IMAGE("https://edmondsonsupply.com/cdn/shop/products/CSRU1.jpg?v=1633030087")</f>
        <v/>
      </c>
      <c r="H2860">
        <f>_xlfn.IMAGE("https://m.media-amazon.com/images/I/71WEqmsrVeS._AC_UL320_.jpg")</f>
        <v/>
      </c>
      <c r="K2860" t="inlineStr">
        <is>
          <t>34.62</t>
        </is>
      </c>
      <c r="L2860" t="n">
        <v>26.64</v>
      </c>
      <c r="M2860" s="1" t="inlineStr">
        <is>
          <t>-23.05%</t>
        </is>
      </c>
      <c r="N2860" s="7" t="n">
        <v>175.01</v>
      </c>
      <c r="O2860" t="n">
        <v>4.3</v>
      </c>
      <c r="P2860" t="n">
        <v>142</v>
      </c>
      <c r="R2860" t="inlineStr">
        <is>
          <t>InStock</t>
        </is>
      </c>
      <c r="S2860" t="inlineStr">
        <is>
          <t>39.95</t>
        </is>
      </c>
      <c r="T2860" t="inlineStr">
        <is>
          <t>3558315950180</t>
        </is>
      </c>
    </row>
    <row r="2861" ht="87" customHeight="1">
      <c r="A2861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2861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2861" t="inlineStr">
        <is>
          <t>ICM Controls ICM289 Furnace Control Board - Replacement for Lennox</t>
        </is>
      </c>
      <c r="D2861" t="inlineStr">
        <is>
          <t>ICM Controls ICM286 Furnace Control Board Replacement for Goodman PCBBF112S, B1809926S, 0130F00005S Control Boards</t>
        </is>
      </c>
      <c r="E2861" s="2">
        <f>HYPERLINK("https://www.amazon.com/ICM-Controls-ICM286-Replacement-0130F00005S/dp/B00QW2U7KS/ref=sr_1_12?keywords=ICM+Controls+ICM289+Furnace+Control+Board+-+Replacement+for+Lennox&amp;qid=1694734661&amp;sr=8-12", "https://www.amazon.com/ICM-Controls-ICM286-Replacement-0130F00005S/dp/B00QW2U7KS/ref=sr_1_12?keywords=ICM+Controls+ICM289+Furnace+Control+Board+-+Replacement+for+Lennox&amp;qid=1694734661&amp;sr=8-12")</f>
        <v/>
      </c>
      <c r="F2861" t="inlineStr">
        <is>
          <t>B00QW2U7KS</t>
        </is>
      </c>
      <c r="G2861">
        <f>_xlfn.IMAGE("https://edmondsonsupply.com/cdn/shop/products/photo_3601_medium_abc82be0-5d13-465a-9be5-04a6748e2d27.png?v=1656728911")</f>
        <v/>
      </c>
      <c r="H2861">
        <f>_xlfn.IMAGE("https://m.media-amazon.com/images/I/71CBn8jMCiL._AC_UL320_.jpg")</f>
        <v/>
      </c>
      <c r="K2861" t="inlineStr">
        <is>
          <t>134.99</t>
        </is>
      </c>
      <c r="L2861" t="n">
        <v>103.85</v>
      </c>
      <c r="M2861" s="1" t="inlineStr">
        <is>
          <t>-23.07%</t>
        </is>
      </c>
      <c r="N2861" s="7" t="n">
        <v>175.01</v>
      </c>
      <c r="O2861" t="n">
        <v>4.3</v>
      </c>
      <c r="P2861" t="n">
        <v>157</v>
      </c>
      <c r="R2861" t="inlineStr">
        <is>
          <t>OutOfStock</t>
        </is>
      </c>
      <c r="S2861" t="inlineStr">
        <is>
          <t>198.98</t>
        </is>
      </c>
      <c r="T2861" t="inlineStr">
        <is>
          <t>7735114432728</t>
        </is>
      </c>
    </row>
    <row r="2862" hidden="1" ht="15.75" customHeight="1">
      <c r="A2862" s="2">
        <f>HYPERLINK("https://edmondsonsupply.com/collections/hvac/products/white-rodgers-24a34-4-24v-electric-heat-sequencer-dpst", "https://edmondsonsupply.com/collections/hvac/products/white-rodgers-24a34-4-24v-electric-heat-sequencer-dpst")</f>
        <v/>
      </c>
      <c r="B2862" s="2">
        <f>HYPERLINK("https://edmondsonsupply.com/products/white-rodgers-24a34-4-24v-electric-heat-sequencer-dpst", "https://edmondsonsupply.com/products/white-rodgers-24a34-4-24v-electric-heat-sequencer-dpst")</f>
        <v/>
      </c>
      <c r="C2862" t="inlineStr">
        <is>
          <t>White-Rodgers 24A34-4 24V Electric Heat Sequencer, DPST</t>
        </is>
      </c>
      <c r="D2862" t="inlineStr">
        <is>
          <t>White-Rodgers 24A34-5 Electric Heat Sequencer, 3 Switch</t>
        </is>
      </c>
      <c r="E2862" s="2">
        <f>HYPERLINK("https://www.amazon.com/White-Rodgers-24A34-5-Electric-Sequencer-Switch/dp/B000LDN76A/ref=sr_1_5?keywords=White-Rodgers+24A34-4+24V+Electric+Heat+Sequencer%2C+DPST&amp;qid=1694734663&amp;sr=8-5", "https://www.amazon.com/White-Rodgers-24A34-5-Electric-Sequencer-Switch/dp/B000LDN76A/ref=sr_1_5?keywords=White-Rodgers+24A34-4+24V+Electric+Heat+Sequencer%2C+DPST&amp;qid=1694734663&amp;sr=8-5")</f>
        <v/>
      </c>
      <c r="F2862" t="inlineStr">
        <is>
          <t>B000LDN76A</t>
        </is>
      </c>
      <c r="G2862">
        <f>_xludf.IMAGE("https://edmondsonsupply.com/cdn/shop/products/24A34-4.jpg?v=1633030706")</f>
        <v/>
      </c>
      <c r="H2862">
        <f>_xludf.IMAGE("https://m.media-amazon.com/images/I/61UoZ2DTghL._AC_UL320_.jpg")</f>
        <v/>
      </c>
      <c r="K2862" t="inlineStr">
        <is>
          <t>12.99</t>
        </is>
      </c>
      <c r="L2862" t="n">
        <v>9.99</v>
      </c>
      <c r="M2862" s="1" t="inlineStr">
        <is>
          <t>-23.09%</t>
        </is>
      </c>
      <c r="N2862" s="1" t="n">
        <v>174.97</v>
      </c>
      <c r="O2862" t="n">
        <v>4.8</v>
      </c>
      <c r="P2862" t="n">
        <v>8</v>
      </c>
      <c r="R2862" t="inlineStr">
        <is>
          <t>InStock</t>
        </is>
      </c>
      <c r="S2862" t="inlineStr">
        <is>
          <t>30.34</t>
        </is>
      </c>
      <c r="T2862" t="inlineStr">
        <is>
          <t>5861153145000</t>
        </is>
      </c>
    </row>
    <row r="2863" hidden="1" ht="15.75" customHeight="1">
      <c r="A2863" s="2">
        <f>HYPERLINK("https://edmondsonsupply.com/collections/hvac/products/white-rodgers-24a34-3-24v-electric-heat-sequencer-dpst", "https://edmondsonsupply.com/collections/hvac/products/white-rodgers-24a34-3-24v-electric-heat-sequencer-dpst")</f>
        <v/>
      </c>
      <c r="B2863" s="2">
        <f>HYPERLINK("https://edmondsonsupply.com/products/white-rodgers-24a34-3-24v-electric-heat-sequencer-dpst", "https://edmondsonsupply.com/products/white-rodgers-24a34-3-24v-electric-heat-sequencer-dpst")</f>
        <v/>
      </c>
      <c r="C2863" t="inlineStr">
        <is>
          <t>White-Rodgers 24A34-3 24V Electric Heat Sequencer, DPST</t>
        </is>
      </c>
      <c r="D2863" t="inlineStr">
        <is>
          <t>White-Rodgers 24A34-5 Electric Heat Sequencer, 3 Switch</t>
        </is>
      </c>
      <c r="E2863" s="2">
        <f>HYPERLINK("https://www.amazon.com/White-Rodgers-24A34-5-Electric-Sequencer-Switch/dp/B000LDN76A/ref=sr_1_3?keywords=White-Rodgers+24A34-3+24V+Electric+Heat+Sequencer%2C+DPST&amp;qid=1694734608&amp;sr=8-3", "https://www.amazon.com/White-Rodgers-24A34-5-Electric-Sequencer-Switch/dp/B000LDN76A/ref=sr_1_3?keywords=White-Rodgers+24A34-3+24V+Electric+Heat+Sequencer%2C+DPST&amp;qid=1694734608&amp;sr=8-3")</f>
        <v/>
      </c>
      <c r="F2863" t="inlineStr">
        <is>
          <t>B000LDN76A</t>
        </is>
      </c>
      <c r="G2863">
        <f>_xludf.IMAGE("https://edmondsonsupply.com/cdn/shop/products/24A34-3.jpg?v=1633030705")</f>
        <v/>
      </c>
      <c r="H2863">
        <f>_xludf.IMAGE("https://m.media-amazon.com/images/I/61UoZ2DTghL._AC_UL320_.jpg")</f>
        <v/>
      </c>
      <c r="K2863" t="inlineStr">
        <is>
          <t>12.99</t>
        </is>
      </c>
      <c r="L2863" t="n">
        <v>9.99</v>
      </c>
      <c r="M2863" s="1" t="inlineStr">
        <is>
          <t>-23.09%</t>
        </is>
      </c>
      <c r="N2863" s="1" t="n">
        <v>174.66</v>
      </c>
      <c r="O2863" t="n">
        <v>4.8</v>
      </c>
      <c r="P2863" t="n">
        <v>8</v>
      </c>
      <c r="R2863" t="inlineStr">
        <is>
          <t>InStock</t>
        </is>
      </c>
      <c r="S2863" t="inlineStr">
        <is>
          <t>30.34</t>
        </is>
      </c>
      <c r="T2863" t="inlineStr">
        <is>
          <t>5861046452392</t>
        </is>
      </c>
    </row>
    <row r="2864" ht="87" customHeight="1">
      <c r="A2864" s="2">
        <f>HYPERLINK("https://edmondsonsupply.com/collections/hvac/products/diablo-tools-dou250bw3-2-1-2-in-universal-fit-bi-metal-oscillating-blades-for-nail-embedded-wood-3-pack", "https://edmondsonsupply.com/collections/hvac/products/diablo-tools-dou250bw3-2-1-2-in-universal-fit-bi-metal-oscillating-blades-for-nail-embedded-wood-3-pack")</f>
        <v/>
      </c>
      <c r="B2864" s="2">
        <f>HYPERLINK("https://edmondsonsupply.com/products/diablo-tools-dou250bw3-2-1-2-in-universal-fit-bi-metal-oscillating-blades-for-nail-embedded-wood-3-pack", "https://edmondsonsupply.com/products/diablo-tools-dou250bw3-2-1-2-in-universal-fit-bi-metal-oscillating-blades-for-nail-embedded-wood-3-pack")</f>
        <v/>
      </c>
      <c r="C2864" t="inlineStr">
        <is>
          <t>Diablo Tools DOU250BW3 2-1/2 in. Universal Fit Bi-Metal Oscillating Blades for Nail-Embedded Wood (3 pack)</t>
        </is>
      </c>
      <c r="D2864" t="inlineStr">
        <is>
          <t>Diablo DOU125BW3 1-1/4 in. Universal Fit Bi-Metal Oscillating Blades for Nail-Embedded Wood (3-Pack)</t>
        </is>
      </c>
      <c r="E2864" s="2">
        <f>HYPERLINK("https://www.amazon.com/Diablo-Universal-Bi-Metal-Blades-Nail-Embedded/dp/B089KW2WVD/ref=sr_1_3?keywords=Diablo+Tools+DOU250BW3+2-1%2F2+in.+Universal+Fit+Bi-Metal+Oscillating+Blades+for+Nail-Embedded+Wood+%283+pack%29&amp;qid=1694734915&amp;sr=8-3", "https://www.amazon.com/Diablo-Universal-Bi-Metal-Blades-Nail-Embedded/dp/B089KW2WVD/ref=sr_1_3?keywords=Diablo+Tools+DOU250BW3+2-1%2F2+in.+Universal+Fit+Bi-Metal+Oscillating+Blades+for+Nail-Embedded+Wood+%283+pack%29&amp;qid=1694734915&amp;sr=8-3")</f>
        <v/>
      </c>
      <c r="F2864" t="inlineStr">
        <is>
          <t>B089KW2WVD</t>
        </is>
      </c>
      <c r="G2864">
        <f>_xlfn.IMAGE("https://edmondsonsupply.com/cdn/shop/files/xcched1uye7bv2s0ryod_fbd674d3-3cd9-4e2a-a920-451af57abfde.webp?v=1686149226")</f>
        <v/>
      </c>
      <c r="H2864">
        <f>_xlfn.IMAGE("https://m.media-amazon.com/images/I/613ig7mNjfL._AC_UL320_.jpg")</f>
        <v/>
      </c>
      <c r="K2864" t="inlineStr">
        <is>
          <t>31.32</t>
        </is>
      </c>
      <c r="L2864" t="n">
        <v>23.99</v>
      </c>
      <c r="M2864" s="1" t="inlineStr">
        <is>
          <t>-23.40%</t>
        </is>
      </c>
      <c r="N2864" s="7" t="n">
        <v>174.66</v>
      </c>
      <c r="O2864" t="n">
        <v>4.6</v>
      </c>
      <c r="P2864" t="n">
        <v>147</v>
      </c>
      <c r="R2864" t="inlineStr">
        <is>
          <t>InStock</t>
        </is>
      </c>
      <c r="S2864" t="inlineStr">
        <is>
          <t>49.73</t>
        </is>
      </c>
      <c r="T2864" t="inlineStr">
        <is>
          <t>8002370601176</t>
        </is>
      </c>
    </row>
    <row r="2865" hidden="1" ht="15.75" customHeight="1">
      <c r="A2865" s="2">
        <f>HYPERLINK("https://edmondsonsupply.com/collections/hvac/products/channellock-804", "https://edmondsonsupply.com/collections/hvac/products/channellock-804")</f>
        <v/>
      </c>
      <c r="B2865" s="2">
        <f>HYPERLINK("https://edmondsonsupply.com/products/channellock-804", "https://edmondsonsupply.com/products/channellock-804")</f>
        <v/>
      </c>
      <c r="C2865" t="inlineStr">
        <is>
          <t>Channellock 804 4-Inch Chrome Adjustable Wrench</t>
        </is>
      </c>
      <c r="D2865" t="inlineStr">
        <is>
          <t>Stubby Adjustable Wrench with Wide Opening,Mini Adjustable Wrench Spanner with Short Handle, Chrome Vanadium Steel Forged - 4 inch</t>
        </is>
      </c>
      <c r="E2865" s="2">
        <f>HYPERLINK("https://www.amazon.com/HQC-Piece-Adjustable-Wrenches4/dp/B07PBX48NX/ref=sr_1_12?keywords=Channellock+804+4-Inch+Chrome+Adjustable+Wrench&amp;qid=1694734791&amp;sr=8-12", "https://www.amazon.com/HQC-Piece-Adjustable-Wrenches4/dp/B07PBX48NX/ref=sr_1_12?keywords=Channellock+804+4-Inch+Chrome+Adjustable+Wrench&amp;qid=1694734791&amp;sr=8-12")</f>
        <v/>
      </c>
      <c r="F2865" t="inlineStr">
        <is>
          <t>B07PBX48NX</t>
        </is>
      </c>
      <c r="G2865">
        <f>_xludf.IMAGE("https://edmondsonsupply.com/cdn/shop/products/804-683x1024.jpg?v=1587145853")</f>
        <v/>
      </c>
      <c r="H2865">
        <f>_xludf.IMAGE("https://m.media-amazon.com/images/I/71UPK5-bF-L._AC_UL320_.jpg")</f>
        <v/>
      </c>
      <c r="K2865" t="inlineStr">
        <is>
          <t>16.95</t>
        </is>
      </c>
      <c r="L2865" t="n">
        <v>12.98</v>
      </c>
      <c r="M2865" s="1" t="inlineStr">
        <is>
          <t>-23.42%</t>
        </is>
      </c>
      <c r="N2865" s="1" t="n">
        <v>173.51</v>
      </c>
      <c r="O2865" t="n">
        <v>4.5</v>
      </c>
      <c r="P2865" t="n">
        <v>169</v>
      </c>
      <c r="R2865" t="inlineStr">
        <is>
          <t>InStock</t>
        </is>
      </c>
      <c r="S2865" t="inlineStr">
        <is>
          <t>26.62</t>
        </is>
      </c>
      <c r="T2865" t="inlineStr">
        <is>
          <t>4094611488868</t>
        </is>
      </c>
    </row>
    <row r="2866" hidden="1" ht="15.75" customHeight="1">
      <c r="A2866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866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866" t="inlineStr">
        <is>
          <t>Klein Tools 605-6 1/4-Inch Cabinet Tip Screwdriver, Heavy Duty, 6-Inch</t>
        </is>
      </c>
      <c r="D2866" t="inlineStr">
        <is>
          <t>Klein Tools 600-1 5/16-Inch Flat Head Screwdriver with Cabinet Tip, 1-1/2-Inch Heavy Duty Round Shank and Cushion Grip Handle</t>
        </is>
      </c>
      <c r="E2866" s="2">
        <f>HYPERLINK("https://www.amazon.com/Klein-Tools-600-1-16-Inch-Screwdriver/dp/B0002G2OOC/ref=sr_1_15?keywords=Klein+Tools+605-6+1%2F4-Inch+Cabinet+Tip+Screwdriver%2C+Heavy+Duty%2C+6-Inch&amp;qid=1694734725&amp;sr=8-15", "https://www.amazon.com/Klein-Tools-600-1-16-Inch-Screwdriver/dp/B0002G2OOC/ref=sr_1_15?keywords=Klein+Tools+605-6+1%2F4-Inch+Cabinet+Tip+Screwdriver%2C+Heavy+Duty%2C+6-Inch&amp;qid=1694734725&amp;sr=8-15")</f>
        <v/>
      </c>
      <c r="F2866" t="inlineStr">
        <is>
          <t>B0002G2OOC</t>
        </is>
      </c>
      <c r="G2866">
        <f>_xludf.IMAGE("https://edmondsonsupply.com/cdn/shop/products/605-6.jpg?v=1587149759")</f>
        <v/>
      </c>
      <c r="H2866">
        <f>_xludf.IMAGE("https://m.media-amazon.com/images/I/414W04RiVwL._AC_UL320_.jpg")</f>
        <v/>
      </c>
      <c r="K2866" t="inlineStr">
        <is>
          <t>9.49</t>
        </is>
      </c>
      <c r="L2866" t="n">
        <v>7.26</v>
      </c>
      <c r="M2866" s="1" t="inlineStr">
        <is>
          <t>-23.50%</t>
        </is>
      </c>
      <c r="N2866" s="1" t="n">
        <v>173.1</v>
      </c>
      <c r="O2866" t="n">
        <v>4.7</v>
      </c>
      <c r="P2866" t="n">
        <v>95</v>
      </c>
      <c r="R2866" t="inlineStr">
        <is>
          <t>InStock</t>
        </is>
      </c>
      <c r="S2866" t="inlineStr">
        <is>
          <t>14.38</t>
        </is>
      </c>
      <c r="T2866" t="inlineStr">
        <is>
          <t>4512371310692</t>
        </is>
      </c>
    </row>
    <row r="2867" ht="87" customHeight="1">
      <c r="A2867" s="2">
        <f>HYPERLINK("https://edmondsonsupply.com/collections/hvac/products/midwest-mwt-ss6716l-special-hardness-aviation-snip-left-cutting", "https://edmondsonsupply.com/collections/hvac/products/midwest-mwt-ss6716l-special-hardness-aviation-snip-left-cutting")</f>
        <v/>
      </c>
      <c r="B2867" s="2">
        <f>HYPERLINK("https://edmondsonsupply.com/products/midwest-mwt-ss6716l-special-hardness-aviation-snip-left-cutting", "https://edmondsonsupply.com/products/midwest-mwt-ss6716l-special-hardness-aviation-snip-left-cutting")</f>
        <v/>
      </c>
      <c r="C2867" t="inlineStr">
        <is>
          <t>Midwest MWT-SS6716L Special Hardness Aviation Snip - Left-Cutting</t>
        </is>
      </c>
      <c r="D2867" t="inlineStr">
        <is>
          <t>MIDWEST Aviation Snip - Left Cut Regular Tin Cutting Shears with Forged Blade &amp; KUSH'N-POWER Comfort Grips - MWT-6716L</t>
        </is>
      </c>
      <c r="E2867" s="2">
        <f>HYPERLINK("https://www.amazon.com/MIDWEST-Aviation-Snip-KUSHN-POWER-MWT-6716L/dp/B00OCGQFT8/ref=sr_1_2?keywords=Midwest+MWT-SS6716L+Special+Hardness+Aviation+Snip+-+Left-Cutting&amp;qid=1694734623&amp;sr=8-2", "https://www.amazon.com/MIDWEST-Aviation-Snip-KUSHN-POWER-MWT-6716L/dp/B00OCGQFT8/ref=sr_1_2?keywords=Midwest+MWT-SS6716L+Special+Hardness+Aviation+Snip+-+Left-Cutting&amp;qid=1694734623&amp;sr=8-2")</f>
        <v/>
      </c>
      <c r="F2867" t="inlineStr">
        <is>
          <t>B00OCGQFT8</t>
        </is>
      </c>
      <c r="G2867">
        <f>_xlfn.IMAGE("https://edmondsonsupply.com/cdn/shop/products/MWT-SS6716L1.jpg?v=1587151241")</f>
        <v/>
      </c>
      <c r="H2867">
        <f>_xlfn.IMAGE("https://m.media-amazon.com/images/I/61DrWSZKjcL._AC_UL320_.jpg")</f>
        <v/>
      </c>
      <c r="K2867" t="inlineStr">
        <is>
          <t>25.49</t>
        </is>
      </c>
      <c r="L2867" t="n">
        <v>19.49</v>
      </c>
      <c r="M2867" s="1" t="inlineStr">
        <is>
          <t>-23.54%</t>
        </is>
      </c>
      <c r="N2867" s="7" t="n">
        <v>173.1</v>
      </c>
      <c r="O2867" t="n">
        <v>4.4</v>
      </c>
      <c r="P2867" t="n">
        <v>575</v>
      </c>
      <c r="R2867" t="inlineStr">
        <is>
          <t>InStock</t>
        </is>
      </c>
      <c r="S2867" t="inlineStr">
        <is>
          <t>36.2</t>
        </is>
      </c>
      <c r="T2867" t="inlineStr">
        <is>
          <t>4508646277220</t>
        </is>
      </c>
    </row>
    <row r="2868" ht="87" customHeight="1">
      <c r="A2868" s="2">
        <f>HYPERLINK("https://edmondsonsupply.com/collections/hvac/products/klein-tools-56380-multi-groove-fiberglass-fish-tape-with-spiral-steel-leader-100-foot", "https://edmondsonsupply.com/collections/hvac/products/klein-tools-56380-multi-groove-fiberglass-fish-tape-with-spiral-steel-leader-100-foot")</f>
        <v/>
      </c>
      <c r="B2868" s="2">
        <f>HYPERLINK("https://edmondsonsupply.com/products/klein-tools-56380-multi-groove-fiberglass-fish-tape-with-spiral-steel-leader-100-foot", "https://edmondsonsupply.com/products/klein-tools-56380-multi-groove-fiberglass-fish-tape-with-spiral-steel-leader-100-foot")</f>
        <v/>
      </c>
      <c r="C2868" t="inlineStr">
        <is>
          <t>Klein Tools 56380 Multi-Groove Fiberglass Fish Tape with Spiral Steel Leader, 100-Foot</t>
        </is>
      </c>
      <c r="D2868" t="inlineStr">
        <is>
          <t>Klein Tools 56383 Non-Conductive 100-Foot Electrical Fish Tape, Multi-Groove Fiberglass Wire Puller with Nylon Tip, Optimized Housing and Handle</t>
        </is>
      </c>
      <c r="E2868" s="2">
        <f>HYPERLINK("https://www.amazon.com/Klein-Tools-56383-Multi-Groove-Fiberglass/dp/B08222VGN8/ref=sr_1_3?keywords=Klein+Tools+56380+Multi-Groove+Fiberglass+Fish+Tape+with+Spiral+Steel+Leader%2C+100-Foot&amp;qid=1694734818&amp;sr=8-3", "https://www.amazon.com/Klein-Tools-56383-Multi-Groove-Fiberglass/dp/B08222VGN8/ref=sr_1_3?keywords=Klein+Tools+56380+Multi-Groove+Fiberglass+Fish+Tape+with+Spiral+Steel+Leader%2C+100-Foot&amp;qid=1694734818&amp;sr=8-3")</f>
        <v/>
      </c>
      <c r="F2868" t="inlineStr">
        <is>
          <t>B08222VGN8</t>
        </is>
      </c>
      <c r="G2868">
        <f>_xlfn.IMAGE("https://edmondsonsupply.com/cdn/shop/products/56380.jpg?v=1587147762")</f>
        <v/>
      </c>
      <c r="H2868">
        <f>_xlfn.IMAGE("https://m.media-amazon.com/images/I/51Fs1Kjrk8L._AC_UL320_.jpg")</f>
        <v/>
      </c>
      <c r="K2868" t="inlineStr">
        <is>
          <t>139.99</t>
        </is>
      </c>
      <c r="L2868" t="n">
        <v>106.99</v>
      </c>
      <c r="M2868" s="1" t="inlineStr">
        <is>
          <t>-23.57%</t>
        </is>
      </c>
      <c r="N2868" s="7" t="n">
        <v>172.7</v>
      </c>
      <c r="O2868" t="n">
        <v>4.7</v>
      </c>
      <c r="P2868" t="n">
        <v>135</v>
      </c>
      <c r="R2868" t="inlineStr">
        <is>
          <t>InStock</t>
        </is>
      </c>
      <c r="S2868" t="inlineStr">
        <is>
          <t>204.42</t>
        </is>
      </c>
      <c r="T2868" t="inlineStr">
        <is>
          <t>4412564602980</t>
        </is>
      </c>
    </row>
    <row r="2869" ht="87" customHeight="1">
      <c r="A2869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869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869" t="inlineStr">
        <is>
          <t>Klein Tools D20009NEGLW High-Visibility Side-Cutting Pliers High-Leverage</t>
        </is>
      </c>
      <c r="D2869" t="inlineStr">
        <is>
          <t>Klein Tools J2000-28 Diagonal Cutting Pliers are Heavy-Duty High-Leverage Design, 8-Inch</t>
        </is>
      </c>
      <c r="E2869" s="2">
        <f>HYPERLINK("https://www.amazon.com/Journeyman-Diagonal-Klein-Tools-J2000-28/dp/B00093DY2O/ref=sr_1_18?keywords=Klein+Tools+D20009NEGLW+High-Visibility+Side-Cutting+Pliers+High-Leverage&amp;qid=1694734809&amp;sr=8-18", "https://www.amazon.com/Journeyman-Diagonal-Klein-Tools-J2000-28/dp/B00093DY2O/ref=sr_1_18?keywords=Klein+Tools+D20009NEGLW+High-Visibility+Side-Cutting+Pliers+High-Leverage&amp;qid=1694734809&amp;sr=8-18")</f>
        <v/>
      </c>
      <c r="F2869" t="inlineStr">
        <is>
          <t>B00093DY2O</t>
        </is>
      </c>
      <c r="G2869">
        <f>_xlfn.IMAGE("https://edmondsonsupply.com/cdn/shop/products/d20009neglw.jpg?v=1587144933")</f>
        <v/>
      </c>
      <c r="H2869">
        <f>_xlfn.IMAGE("https://m.media-amazon.com/images/I/41gMQiPYMQL._AC_UL320_.jpg")</f>
        <v/>
      </c>
      <c r="K2869" t="inlineStr">
        <is>
          <t>44.97</t>
        </is>
      </c>
      <c r="L2869" t="n">
        <v>34.34</v>
      </c>
      <c r="M2869" s="1" t="inlineStr">
        <is>
          <t>-23.64%</t>
        </is>
      </c>
      <c r="N2869" s="7" t="n">
        <v>171.62</v>
      </c>
      <c r="O2869" t="n">
        <v>4.6</v>
      </c>
      <c r="P2869" t="n">
        <v>101</v>
      </c>
      <c r="R2869" t="inlineStr">
        <is>
          <t>InStock</t>
        </is>
      </c>
      <c r="S2869" t="inlineStr">
        <is>
          <t>68.16</t>
        </is>
      </c>
      <c r="T2869" t="inlineStr">
        <is>
          <t>4396888490084</t>
        </is>
      </c>
    </row>
    <row r="2870" ht="87" customHeight="1">
      <c r="A2870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870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870" t="inlineStr">
        <is>
          <t>Klein Tools D20009NEGLW High-Visibility Side-Cutting Pliers High-Leverage</t>
        </is>
      </c>
      <c r="D2870" t="inlineStr">
        <is>
          <t>Klein Tools D248-9STT Pliers, Ironworker's Diagonal Cutting Pliers with High-Leverage Design ad Split Ring for Tethering, 9-Inch</t>
        </is>
      </c>
      <c r="E2870" s="2">
        <f>HYPERLINK("https://www.amazon.com/Diagonal-Cutting-Klein-Tools-D248-9STT/dp/B01K76UYUW/ref=sr_1_9?keywords=Klein+Tools+D20009NEGLW+High-Visibility+Side-Cutting+Pliers+High-Leverage&amp;qid=1694734809&amp;sr=8-9", "https://www.amazon.com/Diagonal-Cutting-Klein-Tools-D248-9STT/dp/B01K76UYUW/ref=sr_1_9?keywords=Klein+Tools+D20009NEGLW+High-Visibility+Side-Cutting+Pliers+High-Leverage&amp;qid=1694734809&amp;sr=8-9")</f>
        <v/>
      </c>
      <c r="F2870" t="inlineStr">
        <is>
          <t>B01K76UYUW</t>
        </is>
      </c>
      <c r="G2870">
        <f>_xlfn.IMAGE("https://edmondsonsupply.com/cdn/shop/products/d20009neglw.jpg?v=1587144933")</f>
        <v/>
      </c>
      <c r="H2870">
        <f>_xlfn.IMAGE("https://m.media-amazon.com/images/I/31gRx3nZM-L._AC_UL320_.jpg")</f>
        <v/>
      </c>
      <c r="K2870" t="inlineStr">
        <is>
          <t>44.97</t>
        </is>
      </c>
      <c r="L2870" t="n">
        <v>34.29</v>
      </c>
      <c r="M2870" s="1" t="inlineStr">
        <is>
          <t>-23.75%</t>
        </is>
      </c>
      <c r="N2870" s="7" t="n">
        <v>171.55</v>
      </c>
      <c r="O2870" t="n">
        <v>4.7</v>
      </c>
      <c r="P2870" t="n">
        <v>157</v>
      </c>
      <c r="R2870" t="inlineStr">
        <is>
          <t>InStock</t>
        </is>
      </c>
      <c r="S2870" t="inlineStr">
        <is>
          <t>68.16</t>
        </is>
      </c>
      <c r="T2870" t="inlineStr">
        <is>
          <t>4396888490084</t>
        </is>
      </c>
    </row>
    <row r="2871" ht="87" customHeight="1">
      <c r="A2871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871" s="2">
        <f>HYPERLINK("https://edmondsonsupply.com/products/klein-tools-11053-klein-kurve%c2%ae-wire-stripper-cutter", "https://edmondsonsupply.com/products/klein-tools-11053-klein-kurve%c2%ae-wire-stripper-cutter")</f>
        <v/>
      </c>
      <c r="C2871" t="inlineStr">
        <is>
          <t>Klein Tools 11053 Klein-Kurve® Wire Stripper/Cutter</t>
        </is>
      </c>
      <c r="D2871" t="inlineStr">
        <is>
          <t>Klein Tools 11049 Wire Stripper / Cutter, Compact, Lightweight, Hardened Steel, Precision Ground, for Stranded Wires,Red</t>
        </is>
      </c>
      <c r="E2871" s="2">
        <f>HYPERLINK("https://www.amazon.com/Klein-Tools-11049-Stripper-Stranded/dp/B0002RI4U4/ref=sr_1_11?keywords=Klein+Tools+11053+Klein-Kurve%C2%AE+Wire+Stripper%2FCutter&amp;qid=1694734664&amp;sr=8-11", "https://www.amazon.com/Klein-Tools-11049-Stripper-Stranded/dp/B0002RI4U4/ref=sr_1_11?keywords=Klein+Tools+11053+Klein-Kurve%C2%AE+Wire+Stripper%2FCutter&amp;qid=1694734664&amp;sr=8-11")</f>
        <v/>
      </c>
      <c r="F2871" t="inlineStr">
        <is>
          <t>B0002RI4U4</t>
        </is>
      </c>
      <c r="G2871">
        <f>_xlfn.IMAGE("https://edmondsonsupply.com/cdn/shop/products/11053.jpg?v=1633030511")</f>
        <v/>
      </c>
      <c r="H2871">
        <f>_xlfn.IMAGE("https://m.media-amazon.com/images/I/616jtKHIDrL._AC_UL320_.jpg")</f>
        <v/>
      </c>
      <c r="K2871" t="inlineStr">
        <is>
          <t>20.97</t>
        </is>
      </c>
      <c r="L2871" t="n">
        <v>15.97</v>
      </c>
      <c r="M2871" s="1" t="inlineStr">
        <is>
          <t>-23.84%</t>
        </is>
      </c>
      <c r="N2871" s="7" t="n">
        <v>170.61</v>
      </c>
      <c r="O2871" t="n">
        <v>4.7</v>
      </c>
      <c r="P2871" t="n">
        <v>3106</v>
      </c>
      <c r="R2871" t="inlineStr">
        <is>
          <t>InStock</t>
        </is>
      </c>
      <c r="S2871" t="inlineStr">
        <is>
          <t>31.76</t>
        </is>
      </c>
      <c r="T2871" t="inlineStr">
        <is>
          <t>5387171299496</t>
        </is>
      </c>
    </row>
    <row r="2872" ht="87" customHeight="1">
      <c r="A2872" s="2">
        <f>HYPERLINK("https://edmondsonsupply.com/collections/hvac/products/klein-tools-203-7-eins-long-nose-side-cut-pliers-7-inch-slim-insulated", "https://edmondsonsupply.com/collections/hvac/products/klein-tools-203-7-eins-long-nose-side-cut-pliers-7-inch-slim-insulated")</f>
        <v/>
      </c>
      <c r="B2872" s="2">
        <f>HYPERLINK("https://edmondsonsupply.com/products/klein-tools-203-7-eins-long-nose-side-cut-pliers-7-inch-slim-insulated", "https://edmondsonsupply.com/products/klein-tools-203-7-eins-long-nose-side-cut-pliers-7-inch-slim-insulated")</f>
        <v/>
      </c>
      <c r="C2872" t="inlineStr">
        <is>
          <t>Klein Tools 2037EINS Long Nose Side Cut Pliers, 7-Inch Slim Insulated (203-7-EINS)</t>
        </is>
      </c>
      <c r="D2872" t="inlineStr">
        <is>
          <t>Klein Tools J203-7 Long Nose Side-Cutter Pliers, Induction-Hardened Cutting Knives with Hot-Riveted Joints and Slim Heads, 7-Inch</t>
        </is>
      </c>
      <c r="E2872" s="2">
        <f>HYPERLINK("https://www.amazon.com/Klein-Tools-J203-7-Pliers-Side-Cutters/dp/B000G6CACO/ref=sr_1_2?keywords=Klein+Tools+2037EINS+Long+Nose+Side+Cut+Pliers%2C+7-Inch+Slim+Insulated+%28203-7-EINS%29&amp;qid=1694734802&amp;sr=8-2", "https://www.amazon.com/Klein-Tools-J203-7-Pliers-Side-Cutters/dp/B000G6CACO/ref=sr_1_2?keywords=Klein+Tools+2037EINS+Long+Nose+Side+Cut+Pliers%2C+7-Inch+Slim+Insulated+%28203-7-EINS%29&amp;qid=1694734802&amp;sr=8-2")</f>
        <v/>
      </c>
      <c r="F2872" t="inlineStr">
        <is>
          <t>B000G6CACO</t>
        </is>
      </c>
      <c r="G2872">
        <f>_xlfn.IMAGE("https://edmondsonsupply.com/cdn/shop/products/2037eins.jpg?v=1587146909")</f>
        <v/>
      </c>
      <c r="H2872">
        <f>_xlfn.IMAGE("https://m.media-amazon.com/images/I/511-SOSXaTL._AC_UL320_.jpg")</f>
        <v/>
      </c>
      <c r="K2872" t="inlineStr">
        <is>
          <t>49.99</t>
        </is>
      </c>
      <c r="L2872" t="n">
        <v>37.99</v>
      </c>
      <c r="M2872" s="1" t="inlineStr">
        <is>
          <t>-24.00%</t>
        </is>
      </c>
      <c r="N2872" s="7" t="n">
        <v>170.61</v>
      </c>
      <c r="O2872" t="n">
        <v>4.8</v>
      </c>
      <c r="P2872" t="n">
        <v>139</v>
      </c>
      <c r="R2872" t="inlineStr">
        <is>
          <t>InStock</t>
        </is>
      </c>
      <c r="S2872" t="inlineStr">
        <is>
          <t>75.74</t>
        </is>
      </c>
      <c r="T2872" t="inlineStr">
        <is>
          <t>4431826092132</t>
        </is>
      </c>
    </row>
    <row r="2873" ht="87" customHeight="1">
      <c r="A2873" s="2">
        <f>HYPERLINK("https://edmondsonsupply.com/collections/hvac/products/robertshaw-rs8110-digital-non-programmable-thermostat-single-stage-1-heat-1-cool", "https://edmondsonsupply.com/collections/hvac/products/robertshaw-rs8110-digital-non-programmable-thermostat-single-stage-1-heat-1-cool")</f>
        <v/>
      </c>
      <c r="B2873" s="2">
        <f>HYPERLINK("https://edmondsonsupply.com/products/robertshaw-rs8110-digital-non-programmable-thermostat-single-stage-1-heat-1-cool", "https://edmondsonsupply.com/products/robertshaw-rs8110-digital-non-programmable-thermostat-single-stage-1-heat-1-cool")</f>
        <v/>
      </c>
      <c r="C2873" t="inlineStr">
        <is>
          <t>Robertshaw RS8110 Digital Non-Programmable Thermostat, Single Stage - 1 Heat/1 Cool</t>
        </is>
      </c>
      <c r="D2873" t="inlineStr">
        <is>
          <t>ELECTECK Non-Programmable Digital Thermostat for Home, up to 1 Heat/1 Cool with Large LCD Display, Compatible with Single Stage Electrical and Gas/Oil System, White</t>
        </is>
      </c>
      <c r="E2873" s="2">
        <f>HYPERLINK("https://www.amazon.com/ELECTECK-Thermostat-Non-Programmable-Compatible-Electrical/dp/B07ZVVB1QT/ref=sr_1_6?keywords=Robertshaw+RS8110+Digital+Non-Programmable+Thermostat%2C+Single+Stage+-+1+Heat%2F1+Cool&amp;qid=1694734638&amp;sr=8-6", "https://www.amazon.com/ELECTECK-Thermostat-Non-Programmable-Compatible-Electrical/dp/B07ZVVB1QT/ref=sr_1_6?keywords=Robertshaw+RS8110+Digital+Non-Programmable+Thermostat%2C+Single+Stage+-+1+Heat%2F1+Cool&amp;qid=1694734638&amp;sr=8-6")</f>
        <v/>
      </c>
      <c r="F2873" t="inlineStr">
        <is>
          <t>B07ZVVB1QT</t>
        </is>
      </c>
      <c r="G2873">
        <f>_xlfn.IMAGE("https://edmondsonsupply.com/cdn/shop/products/RS8110.jpg?v=1633031027")</f>
        <v/>
      </c>
      <c r="H2873">
        <f>_xlfn.IMAGE("https://m.media-amazon.com/images/I/61QerMpfxFL._AC_UL320_.jpg")</f>
        <v/>
      </c>
      <c r="K2873" t="inlineStr">
        <is>
          <t>32.96</t>
        </is>
      </c>
      <c r="L2873" t="n">
        <v>24.99</v>
      </c>
      <c r="M2873" s="1" t="inlineStr">
        <is>
          <t>-24.18%</t>
        </is>
      </c>
      <c r="N2873" s="7" t="n">
        <v>169.86</v>
      </c>
      <c r="O2873" t="n">
        <v>4.5</v>
      </c>
      <c r="P2873" t="n">
        <v>2295</v>
      </c>
      <c r="R2873" t="inlineStr">
        <is>
          <t>InStock</t>
        </is>
      </c>
      <c r="S2873" t="inlineStr">
        <is>
          <t>61.37</t>
        </is>
      </c>
      <c r="T2873" t="inlineStr">
        <is>
          <t>6728860827821</t>
        </is>
      </c>
    </row>
    <row r="2874" ht="87" customHeight="1">
      <c r="A2874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874" s="2">
        <f>HYPERLINK("https://edmondsonsupply.com/products/klein-tools-d2000-28glw-diagonal-cutting-pliers-hi-viz-8-inch", "https://edmondsonsupply.com/products/klein-tools-d2000-28glw-diagonal-cutting-pliers-hi-viz-8-inch")</f>
        <v/>
      </c>
      <c r="C2874" t="inlineStr">
        <is>
          <t>Klein Tools D200028GLW Diagonal Cutting Pliers, High-Visibility, 8-Inch</t>
        </is>
      </c>
      <c r="D2874" t="inlineStr">
        <is>
          <t>Klein Tools D248-8 Pliers, Diagonal Cutting Multi-Purpose Pliers with Angled Head, High-Leverage Design, and Short Jaw, 8-Inch</t>
        </is>
      </c>
      <c r="E2874" s="2">
        <f>HYPERLINK("https://www.amazon.com/Klein-Tools-D248-8-Leverage-Diagonal/dp/B0000302W8/ref=sr_1_9?keywords=Klein+Tools+D200028GLW+Diagonal+Cutting+Pliers%2C+High-Visibility%2C+8-Inch&amp;qid=1694734781&amp;sr=8-9", "https://www.amazon.com/Klein-Tools-D248-8-Leverage-Diagonal/dp/B0000302W8/ref=sr_1_9?keywords=Klein+Tools+D200028GLW+Diagonal+Cutting+Pliers%2C+High-Visibility%2C+8-Inch&amp;qid=1694734781&amp;sr=8-9")</f>
        <v/>
      </c>
      <c r="F2874" t="inlineStr">
        <is>
          <t>B0000302W8</t>
        </is>
      </c>
      <c r="G2874">
        <f>_xlfn.IMAGE("https://edmondsonsupply.com/cdn/shop/products/d200028glw.jpg?v=1633030701")</f>
        <v/>
      </c>
      <c r="H2874">
        <f>_xlfn.IMAGE("https://m.media-amazon.com/images/I/41KAmcIzVBL._AC_UL320_.jpg")</f>
        <v/>
      </c>
      <c r="K2874" t="inlineStr">
        <is>
          <t>37.49</t>
        </is>
      </c>
      <c r="L2874" t="n">
        <v>28.42</v>
      </c>
      <c r="M2874" s="1" t="inlineStr">
        <is>
          <t>-24.19%</t>
        </is>
      </c>
      <c r="N2874" s="7" t="n">
        <v>169.84</v>
      </c>
      <c r="O2874" t="n">
        <v>4.8</v>
      </c>
      <c r="P2874" t="n">
        <v>2413</v>
      </c>
      <c r="R2874" t="inlineStr">
        <is>
          <t>InStock</t>
        </is>
      </c>
      <c r="S2874" t="inlineStr">
        <is>
          <t>56.78</t>
        </is>
      </c>
      <c r="T2874" t="inlineStr">
        <is>
          <t>5848287477928</t>
        </is>
      </c>
    </row>
    <row r="2875" ht="87" customHeight="1">
      <c r="A2875" s="2">
        <f>HYPERLINK("https://edmondsonsupply.com/collections/hvac/products/wiha-tools-66981-13-piece-ball-end-color-coded-hex-l-key-set-inch", "https://edmondsonsupply.com/collections/hvac/products/wiha-tools-66981-13-piece-ball-end-color-coded-hex-l-key-set-inch")</f>
        <v/>
      </c>
      <c r="B2875" s="2">
        <f>HYPERLINK("https://edmondsonsupply.com/products/wiha-tools-66981-13-piece-ball-end-color-coded-hex-l-key-set-inch", "https://edmondsonsupply.com/products/wiha-tools-66981-13-piece-ball-end-color-coded-hex-l-key-set-inch")</f>
        <v/>
      </c>
      <c r="C2875" t="inlineStr">
        <is>
          <t>Wiha Tools 66981 13 Piece Ball End Color Coded Hex L-Key Set - Inch</t>
        </is>
      </c>
      <c r="D2875" t="inlineStr">
        <is>
          <t>Wiha 66988 13 Piece ErgoStar Ball End Hex L-Key Set Inch</t>
        </is>
      </c>
      <c r="E2875" s="2">
        <f>HYPERLINK("https://www.amazon.com/Wiha-66988-ErgoStar-L-Key-13-Piece/dp/B00CJC51MO/ref=sr_1_2?keywords=Wiha+Tools+66981+13+Piece+Ball+End+Color+Coded+Hex+L-Key+Set+-+Inch&amp;qid=1694734873&amp;sr=8-2", "https://www.amazon.com/Wiha-66988-ErgoStar-L-Key-13-Piece/dp/B00CJC51MO/ref=sr_1_2?keywords=Wiha+Tools+66981+13+Piece+Ball+End+Color+Coded+Hex+L-Key+Set+-+Inch&amp;qid=1694734873&amp;sr=8-2")</f>
        <v/>
      </c>
      <c r="F2875" t="inlineStr">
        <is>
          <t>B00CJC51MO</t>
        </is>
      </c>
      <c r="G2875">
        <f>_xlfn.IMAGE("https://edmondsonsupply.com/cdn/shop/files/d46e6f2ecefba25ae78922fd12be8f1dc56b6ee6_1000x_1d9d5bc7-c590-4e82-817a-f70a00b88949.webp?v=1690834995")</f>
        <v/>
      </c>
      <c r="H2875">
        <f>_xlfn.IMAGE("https://m.media-amazon.com/images/I/61pC3xkuvsL._AC_UL320_.jpg")</f>
        <v/>
      </c>
      <c r="K2875" t="inlineStr">
        <is>
          <t>53.42</t>
        </is>
      </c>
      <c r="L2875" t="n">
        <v>40.47</v>
      </c>
      <c r="M2875" s="1" t="inlineStr">
        <is>
          <t>-24.24%</t>
        </is>
      </c>
      <c r="N2875" s="7" t="n">
        <v>169.55</v>
      </c>
      <c r="O2875" t="n">
        <v>4.7</v>
      </c>
      <c r="P2875" t="n">
        <v>152</v>
      </c>
      <c r="R2875" t="inlineStr">
        <is>
          <t>InStock</t>
        </is>
      </c>
      <c r="S2875" t="inlineStr">
        <is>
          <t>71.22</t>
        </is>
      </c>
      <c r="T2875" t="inlineStr">
        <is>
          <t>8023253450968</t>
        </is>
      </c>
    </row>
    <row r="2876" ht="87" customHeight="1">
      <c r="A2876" s="2">
        <f>HYPERLINK("https://edmondsonsupply.com/collections/hvac/products/milwaukee-48-22-0335-35ft-compact-wide-blade-magnetic-tape-measure", "https://edmondsonsupply.com/collections/hvac/products/milwaukee-48-22-0335-35ft-compact-wide-blade-magnetic-tape-measure")</f>
        <v/>
      </c>
      <c r="B2876" s="2">
        <f>HYPERLINK("https://edmondsonsupply.com/products/milwaukee-48-22-0335-35ft-compact-wide-blade-magnetic-tape-measure", "https://edmondsonsupply.com/products/milwaukee-48-22-0335-35ft-compact-wide-blade-magnetic-tape-measure")</f>
        <v/>
      </c>
      <c r="C2876" t="inlineStr">
        <is>
          <t>Milwaukee 48-22-0335 35ft Compact Wide Blade Magnetic Tape Measure</t>
        </is>
      </c>
      <c r="D2876" t="inlineStr">
        <is>
          <t>Milwaukee 48-22-0216M 16 ft. x 1.3 in. Wide Blade Magnetic Tape Measure</t>
        </is>
      </c>
      <c r="E2876" s="2">
        <f>HYPERLINK("https://www.amazon.com/Milwaukee-48-22-0216M-Blade-Magnetic-Measure/dp/B08HTR7W3W/ref=sr_1_16?keywords=Milwaukee+48-22-0335+35ft+Compact+Wide+Blade+Magnetic+Tape+Measure&amp;qid=1694734878&amp;sr=8-16", "https://www.amazon.com/Milwaukee-48-22-0216M-Blade-Magnetic-Measure/dp/B08HTR7W3W/ref=sr_1_16?keywords=Milwaukee+48-22-0335+35ft+Compact+Wide+Blade+Magnetic+Tape+Measure&amp;qid=1694734878&amp;sr=8-16")</f>
        <v/>
      </c>
      <c r="F2876" t="inlineStr">
        <is>
          <t>B08HTR7W3W</t>
        </is>
      </c>
      <c r="G2876">
        <f>_xlfn.IMAGE("https://edmondsonsupply.com/cdn/shop/files/48-22-0335_1.png?v=1690302822")</f>
        <v/>
      </c>
      <c r="H2876">
        <f>_xlfn.IMAGE("https://m.media-amazon.com/images/I/81dmpPAn8zL._AC_UL320_.jpg")</f>
        <v/>
      </c>
      <c r="K2876" t="inlineStr">
        <is>
          <t>32.97</t>
        </is>
      </c>
      <c r="L2876" t="n">
        <v>24.97</v>
      </c>
      <c r="M2876" s="1" t="inlineStr">
        <is>
          <t>-24.26%</t>
        </is>
      </c>
      <c r="N2876" s="7" t="n">
        <v>169.09</v>
      </c>
      <c r="O2876" t="n">
        <v>4.4</v>
      </c>
      <c r="P2876" t="n">
        <v>106</v>
      </c>
      <c r="R2876" t="inlineStr">
        <is>
          <t>InStock</t>
        </is>
      </c>
      <c r="S2876" t="inlineStr">
        <is>
          <t>46.7</t>
        </is>
      </c>
      <c r="T2876" t="inlineStr">
        <is>
          <t>8020501528792</t>
        </is>
      </c>
    </row>
    <row r="2877" ht="87" customHeight="1">
      <c r="A2877" s="2">
        <f>HYPERLINK("https://edmondsonsupply.com/collections/hvac/products/malco-tools-lp10r-eagle-grip-10-straight-jaw-locking-pliers", "https://edmondsonsupply.com/collections/hvac/products/malco-tools-lp10r-eagle-grip-10-straight-jaw-locking-pliers")</f>
        <v/>
      </c>
      <c r="B2877" s="2">
        <f>HYPERLINK("https://edmondsonsupply.com/products/malco-tools-lp10r-eagle-grip-10-straight-jaw-locking-pliers", "https://edmondsonsupply.com/products/malco-tools-lp10r-eagle-grip-10-straight-jaw-locking-pliers")</f>
        <v/>
      </c>
      <c r="C2877" t="inlineStr">
        <is>
          <t>Malco Tools LP10R Eagle Grip 10″ Straight Jaw Locking Pliers</t>
        </is>
      </c>
      <c r="D2877" t="inlineStr">
        <is>
          <t>Malco Eagle Grip LP7R 7 in. Straight Jaw Locking Pliers</t>
        </is>
      </c>
      <c r="E2877" s="2">
        <f>HYPERLINK("https://www.amazon.com/Malco-LP7R-Straight-Locking-Pliers/dp/B0924RJNPQ/ref=sr_1_2?keywords=Malco+Tools+LP10R+Eagle+Grip+10%E2%80%B3+Straight+Jaw+Locking+Pliers&amp;qid=1694734695&amp;sr=8-2", "https://www.amazon.com/Malco-LP7R-Straight-Locking-Pliers/dp/B0924RJNPQ/ref=sr_1_2?keywords=Malco+Tools+LP10R+Eagle+Grip+10%E2%80%B3+Straight+Jaw+Locking+Pliers&amp;qid=1694734695&amp;sr=8-2")</f>
        <v/>
      </c>
      <c r="F2877" t="inlineStr">
        <is>
          <t>B0924RJNPQ</t>
        </is>
      </c>
      <c r="G2877">
        <f>_xlfn.IMAGE("https://edmondsonsupply.com/cdn/shop/products/LP10R-eagle-grip-locking-pliers-in-hand.jpg?v=1657292451")</f>
        <v/>
      </c>
      <c r="H2877">
        <f>_xlfn.IMAGE("https://m.media-amazon.com/images/I/61HMR5Cj8yS._AC_UL320_.jpg")</f>
        <v/>
      </c>
      <c r="K2877" t="inlineStr">
        <is>
          <t>55.99</t>
        </is>
      </c>
      <c r="L2877" t="n">
        <v>42.4</v>
      </c>
      <c r="M2877" s="1" t="inlineStr">
        <is>
          <t>-24.27%</t>
        </is>
      </c>
      <c r="N2877" s="7" t="n">
        <v>168.67</v>
      </c>
      <c r="O2877" t="n">
        <v>4.9</v>
      </c>
      <c r="P2877" t="n">
        <v>174</v>
      </c>
      <c r="R2877" t="inlineStr">
        <is>
          <t>InStock</t>
        </is>
      </c>
      <c r="S2877" t="inlineStr">
        <is>
          <t>60.04</t>
        </is>
      </c>
      <c r="T2877" t="inlineStr">
        <is>
          <t>7742236262616</t>
        </is>
      </c>
    </row>
    <row r="2878" ht="87" customHeight="1">
      <c r="A2878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878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878" t="inlineStr">
        <is>
          <t>Diablo Tools DMAMX1300 1-1/4 in. x 16 in. x 21 in. Rebar Demon™ SDS-Max 4-Cutter Full Carbide Head Hammer Drill Bit</t>
        </is>
      </c>
      <c r="D2878" t="inlineStr">
        <is>
          <t>Diablo DMAMX1140 3/4 in. x 16 in. x 21 in. Rebar Demon™ SDS-Max 4-Cutter Full Carbide Head Hammer Bit</t>
        </is>
      </c>
      <c r="E2878" s="2">
        <f>HYPERLINK("https://www.amazon.com/Diablo-SDS-Max-4-Cutter-Carbide-Hammer/dp/B089KWP4WK/ref=sr_1_5?keywords=Diablo+Tools+DMAMX1300+1-1%2F4+in.+x+16+in.+x+21+in.+Rebar+Demon%E2%84%A2+SDS-Max+4-Cutter+Full+Carbide+Head+Hammer+Drill+Bit&amp;qid=1694734676&amp;sr=8-5", "https://www.amazon.com/Diablo-SDS-Max-4-Cutter-Carbide-Hammer/dp/B089KWP4WK/ref=sr_1_5?keywords=Diablo+Tools+DMAMX1300+1-1%2F4+in.+x+16+in.+x+21+in.+Rebar+Demon%E2%84%A2+SDS-Max+4-Cutter+Full+Carbide+Head+Hammer+Drill+Bit&amp;qid=1694734676&amp;sr=8-5")</f>
        <v/>
      </c>
      <c r="F2878" t="inlineStr">
        <is>
          <t>B089KWP4WK</t>
        </is>
      </c>
      <c r="G2878">
        <f>_xlfn.IMAGE("https://edmondsonsupply.com/cdn/shop/files/immoyh7jjmbau4fzhuq6_7dd7fd73-2865-4c12-9443-da45b48dbd51.webp?v=1685465465")</f>
        <v/>
      </c>
      <c r="H2878">
        <f>_xlfn.IMAGE("https://m.media-amazon.com/images/I/61yWWNP1xrL._AC_UL320_.jpg")</f>
        <v/>
      </c>
      <c r="K2878" t="inlineStr">
        <is>
          <t>66.4</t>
        </is>
      </c>
      <c r="L2878" t="n">
        <v>50.26</v>
      </c>
      <c r="M2878" s="1" t="inlineStr">
        <is>
          <t>-24.31%</t>
        </is>
      </c>
      <c r="N2878" s="7" t="n">
        <v>168.47</v>
      </c>
      <c r="O2878" t="n">
        <v>5</v>
      </c>
      <c r="P2878" t="n">
        <v>9</v>
      </c>
      <c r="R2878" t="inlineStr">
        <is>
          <t>OutOfStock</t>
        </is>
      </c>
      <c r="S2878" t="inlineStr">
        <is>
          <t>105.4</t>
        </is>
      </c>
      <c r="T2878" t="inlineStr">
        <is>
          <t>7997856874712</t>
        </is>
      </c>
    </row>
    <row r="2879" ht="87" customHeight="1">
      <c r="A2879" s="2">
        <f>HYPERLINK("https://edmondsonsupply.com/collections/hvac/products/milwaukee-49-90-1900-hepa-filter", "https://edmondsonsupply.com/collections/hvac/products/milwaukee-49-90-1900-hepa-filter")</f>
        <v/>
      </c>
      <c r="B2879" s="2">
        <f>HYPERLINK("https://edmondsonsupply.com/products/milwaukee-49-90-1900-hepa-filter", "https://edmondsonsupply.com/products/milwaukee-49-90-1900-hepa-filter")</f>
        <v/>
      </c>
      <c r="C2879" t="inlineStr">
        <is>
          <t>Milwaukee 49-90-1900 HEPA Filter</t>
        </is>
      </c>
      <c r="D2879" t="inlineStr">
        <is>
          <t>Surrgound 49-90-1900 HEPA Filter,Compatible with Milwaukee Wet/Dry Vacuum 0780-20/0880-20,2pk</t>
        </is>
      </c>
      <c r="E2879" s="2">
        <f>HYPERLINK("https://www.amazon.com/49-90-1900-Surrgound-Compatible-Milwaukee-0780-20/dp/B09TPKKRVC/ref=sr_1_12?keywords=Milwaukee+49-90-1900+HEPA+Filter&amp;qid=1694734913&amp;sr=8-12", "https://www.amazon.com/49-90-1900-Surrgound-Compatible-Milwaukee-0780-20/dp/B09TPKKRVC/ref=sr_1_12?keywords=Milwaukee+49-90-1900+HEPA+Filter&amp;qid=1694734913&amp;sr=8-12")</f>
        <v/>
      </c>
      <c r="F2879" t="inlineStr">
        <is>
          <t>B09TPKKRVC</t>
        </is>
      </c>
      <c r="G2879">
        <f>_xlfn.IMAGE("https://edmondsonsupply.com/cdn/shop/files/49-90-1900_1.png?v=1686234774")</f>
        <v/>
      </c>
      <c r="H2879">
        <f>_xlfn.IMAGE("https://m.media-amazon.com/images/I/61zetAQQXEL._AC_UL320_.jpg")</f>
        <v/>
      </c>
      <c r="K2879" t="inlineStr">
        <is>
          <t>24.98</t>
        </is>
      </c>
      <c r="L2879" t="n">
        <v>18.89</v>
      </c>
      <c r="M2879" s="1" t="inlineStr">
        <is>
          <t>-24.38%</t>
        </is>
      </c>
      <c r="N2879" s="7" t="n">
        <v>167.75</v>
      </c>
      <c r="O2879" t="n">
        <v>4.5</v>
      </c>
      <c r="P2879" t="n">
        <v>11</v>
      </c>
      <c r="R2879" t="inlineStr">
        <is>
          <t>InStock</t>
        </is>
      </c>
      <c r="S2879" t="inlineStr">
        <is>
          <t>40.0</t>
        </is>
      </c>
      <c r="T2879" t="inlineStr">
        <is>
          <t>8002625306840</t>
        </is>
      </c>
    </row>
    <row r="2880" hidden="1" ht="15.75" customHeight="1">
      <c r="A2880" s="2">
        <f>HYPERLINK("https://edmondsonsupply.com/collections/hvac/products/supco-spp6e-super-boost-e-series-electronic-potential-relay-hard-start-capacitor", "https://edmondsonsupply.com/collections/hvac/products/supco-spp6e-super-boost-e-series-electronic-potential-relay-hard-start-capacitor")</f>
        <v/>
      </c>
      <c r="B2880" s="2">
        <f>HYPERLINK("https://edmondsonsupply.com/products/supco-spp6e-super-boost-e-series-electronic-potential-relay-hard-start-capacitor", "https://edmondsonsupply.com/products/supco-spp6e-super-boost-e-series-electronic-potential-relay-hard-start-capacitor")</f>
        <v/>
      </c>
      <c r="C2880" t="inlineStr">
        <is>
          <t>Supco SPP6E Super Boost E Series Electronic Potential Relay/Hard Start Capacitor</t>
        </is>
      </c>
      <c r="D2880" t="inlineStr">
        <is>
          <t>SPP6E Hard Start Capacitor,E Series Electronic Potential Relay Style Hard Start Kit-1/2-3 Horsepower Range, 88-106F</t>
        </is>
      </c>
      <c r="E2880" s="2">
        <f>HYPERLINK("https://www.amazon.com/Capacitor-Electronic-Potential-Horsepower-88-106F/dp/B08TWDDDDG/ref=sr_1_2?keywords=Supco+SPP6E+Super+Boost+E+Series+Electronic+Potential+Relay%2FHard+Start+Capacitor&amp;qid=1694734641&amp;sr=8-2", "https://www.amazon.com/Capacitor-Electronic-Potential-Horsepower-88-106F/dp/B08TWDDDDG/ref=sr_1_2?keywords=Supco+SPP6E+Super+Boost+E+Series+Electronic+Potential+Relay%2FHard+Start+Capacitor&amp;qid=1694734641&amp;sr=8-2")</f>
        <v/>
      </c>
      <c r="F2880" t="inlineStr">
        <is>
          <t>B08TWDDDDG</t>
        </is>
      </c>
      <c r="G2880">
        <f>_xludf.IMAGE("https://edmondsonsupply.com/cdn/shop/products/57_2_e5a6f6c4-64ac-4a3f-a1cc-c6509993a3e9.jpg?v=1654215635")</f>
        <v/>
      </c>
      <c r="H2880">
        <f>_xludf.IMAGE("https://m.media-amazon.com/images/I/61wnSy0KdFS._AC_UY218_.jpg")</f>
        <v/>
      </c>
      <c r="K2880" t="inlineStr">
        <is>
          <t>22.5</t>
        </is>
      </c>
      <c r="L2880" t="n">
        <v>16.99</v>
      </c>
      <c r="M2880" s="1" t="inlineStr">
        <is>
          <t>-24.49%</t>
        </is>
      </c>
      <c r="N2880" s="1" t="n">
        <v>167.46</v>
      </c>
      <c r="O2880" t="n">
        <v>4</v>
      </c>
      <c r="P2880" t="n">
        <v>4</v>
      </c>
      <c r="R2880" t="inlineStr">
        <is>
          <t>InStock</t>
        </is>
      </c>
      <c r="S2880" t="inlineStr">
        <is>
          <t>undefined</t>
        </is>
      </c>
      <c r="T2880" t="inlineStr">
        <is>
          <t>7705761153240</t>
        </is>
      </c>
    </row>
    <row r="2881" ht="87" customHeight="1">
      <c r="A2881" s="2">
        <f>HYPERLINK("https://edmondsonsupply.com/collections/hvac/products/5-2-1-compressor-saver-csru2", "https://edmondsonsupply.com/collections/hvac/products/5-2-1-compressor-saver-csru2")</f>
        <v/>
      </c>
      <c r="B2881" s="2">
        <f>HYPERLINK("https://edmondsonsupply.com/products/5-2-1-compressor-saver-csru2", "https://edmondsonsupply.com/products/5-2-1-compressor-saver-csru2")</f>
        <v/>
      </c>
      <c r="C2881" t="inlineStr">
        <is>
          <t>5-2-1 CSRU2 Compressor Saver, 3-1/2 to 5 Tons</t>
        </is>
      </c>
      <c r="D2881" t="inlineStr">
        <is>
          <t>AC Hard Start Capacitor Compatible with 5-2-1 CSR-U2, Compressor Saver for 3.5-4- 5 Tons, Hvac Hard Start Kit</t>
        </is>
      </c>
      <c r="E2881" s="2">
        <f>HYPERLINK("https://www.amazon.com/Capacitor-Compatible-CSR-U2-Compressor-3-5-4/dp/B07MDJ67M7/ref=sr_1_5?keywords=5-2-1+CSRU2+Compressor+Saver%2C+3-1%2F2+to+5+Tons&amp;qid=1694734823&amp;sr=8-5", "https://www.amazon.com/Capacitor-Compatible-CSR-U2-Compressor-3-5-4/dp/B07MDJ67M7/ref=sr_1_5?keywords=5-2-1+CSRU2+Compressor+Saver%2C+3-1%2F2+to+5+Tons&amp;qid=1694734823&amp;sr=8-5")</f>
        <v/>
      </c>
      <c r="F2881" t="inlineStr">
        <is>
          <t>B07MDJ67M7</t>
        </is>
      </c>
      <c r="G2881">
        <f>_xlfn.IMAGE("https://edmondsonsupply.com/cdn/shop/products/CSRU2.jpg?v=1633030087")</f>
        <v/>
      </c>
      <c r="H2881">
        <f>_xlfn.IMAGE("https://m.media-amazon.com/images/I/61e5NrEyLtL._AC_UL320_.jpg")</f>
        <v/>
      </c>
      <c r="K2881" t="inlineStr">
        <is>
          <t>42.24</t>
        </is>
      </c>
      <c r="L2881" t="n">
        <v>31.89</v>
      </c>
      <c r="M2881" s="1" t="inlineStr">
        <is>
          <t>-24.50%</t>
        </is>
      </c>
      <c r="N2881" s="7" t="n">
        <v>167</v>
      </c>
      <c r="O2881" t="n">
        <v>4.1</v>
      </c>
      <c r="P2881" t="n">
        <v>319</v>
      </c>
      <c r="R2881" t="inlineStr">
        <is>
          <t>InStock</t>
        </is>
      </c>
      <c r="S2881" t="inlineStr">
        <is>
          <t>48.74</t>
        </is>
      </c>
      <c r="T2881" t="inlineStr">
        <is>
          <t>3561347317860</t>
        </is>
      </c>
    </row>
    <row r="2882" ht="87" customHeight="1">
      <c r="A2882" s="2">
        <f>HYPERLINK("https://edmondsonsupply.com/collections/hvac/products/klein-tools-d2000-28glw-diagonal-cutting-pliers-hi-viz-8-inch", "https://edmondsonsupply.com/collections/hvac/products/klein-tools-d2000-28glw-diagonal-cutting-pliers-hi-viz-8-inch")</f>
        <v/>
      </c>
      <c r="B2882" s="2">
        <f>HYPERLINK("https://edmondsonsupply.com/products/klein-tools-d2000-28glw-diagonal-cutting-pliers-hi-viz-8-inch", "https://edmondsonsupply.com/products/klein-tools-d2000-28glw-diagonal-cutting-pliers-hi-viz-8-inch")</f>
        <v/>
      </c>
      <c r="C2882" t="inlineStr">
        <is>
          <t>Klein Tools D200028GLW Diagonal Cutting Pliers, High-Visibility, 8-Inch</t>
        </is>
      </c>
      <c r="D2882" t="inlineStr">
        <is>
          <t>Klein Tools D2000-28 Pliers, Diagonal Cutting Pliers with Angled Head are Heavy-Duty to Cut ACSR, Screws, Nails, Most Hardened Wire, 8-Inch</t>
        </is>
      </c>
      <c r="E2882" s="2">
        <f>HYPERLINK("https://www.amazon.com/High-Leverage-Diagonal-Cutting-Klein-Tools-D2000-28/dp/B0000302WR/ref=sr_1_17?keywords=Klein+Tools+D200028GLW+Diagonal+Cutting+Pliers%2C+High-Visibility%2C+8-Inch&amp;qid=1694734781&amp;sr=8-17", "https://www.amazon.com/High-Leverage-Diagonal-Cutting-Klein-Tools-D2000-28/dp/B0000302WR/ref=sr_1_17?keywords=Klein+Tools+D200028GLW+Diagonal+Cutting+Pliers%2C+High-Visibility%2C+8-Inch&amp;qid=1694734781&amp;sr=8-17")</f>
        <v/>
      </c>
      <c r="F2882" t="inlineStr">
        <is>
          <t>B0000302WR</t>
        </is>
      </c>
      <c r="G2882">
        <f>_xlfn.IMAGE("https://edmondsonsupply.com/cdn/shop/products/d200028glw.jpg?v=1633030701")</f>
        <v/>
      </c>
      <c r="H2882">
        <f>_xlfn.IMAGE("https://m.media-amazon.com/images/I/41VuWJ3z3QL._AC_UL320_.jpg")</f>
        <v/>
      </c>
      <c r="K2882" t="inlineStr">
        <is>
          <t>37.49</t>
        </is>
      </c>
      <c r="L2882" t="n">
        <v>28.3</v>
      </c>
      <c r="M2882" s="1" t="inlineStr">
        <is>
          <t>-24.51%</t>
        </is>
      </c>
      <c r="N2882" s="7" t="n">
        <v>167</v>
      </c>
      <c r="O2882" t="n">
        <v>4.8</v>
      </c>
      <c r="P2882" t="n">
        <v>1451</v>
      </c>
      <c r="R2882" t="inlineStr">
        <is>
          <t>InStock</t>
        </is>
      </c>
      <c r="S2882" t="inlineStr">
        <is>
          <t>56.78</t>
        </is>
      </c>
      <c r="T2882" t="inlineStr">
        <is>
          <t>5848287477928</t>
        </is>
      </c>
    </row>
    <row r="2883" ht="87" customHeight="1">
      <c r="A2883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883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883" t="inlineStr">
        <is>
          <t>ICM Controls ICM2811 Furnace Control Board - Replacement for Goodman</t>
        </is>
      </c>
      <c r="D2883" t="inlineStr">
        <is>
          <t>OEM Upgraded Replacement for Goodman Furnace Control Circuit Board PCBFM131S</t>
        </is>
      </c>
      <c r="E2883" s="2">
        <f>HYPERLINK("https://www.amazon.com/Upgraded-Replacement-Goodman-Furnace-PCBFM131S/dp/B00EF5PRUY/ref=sr_1_12?keywords=ICM+Controls+ICM2811+Furnace+Control+Board+-+Replacement+for+Goodman&amp;qid=1694734652&amp;sr=8-12", "https://www.amazon.com/Upgraded-Replacement-Goodman-Furnace-PCBFM131S/dp/B00EF5PRUY/ref=sr_1_12?keywords=ICM+Controls+ICM2811+Furnace+Control+Board+-+Replacement+for+Goodman&amp;qid=1694734652&amp;sr=8-12")</f>
        <v/>
      </c>
      <c r="F2883" t="inlineStr">
        <is>
          <t>B00EF5PRUY</t>
        </is>
      </c>
      <c r="G2883">
        <f>_xlfn.IMAGE("https://edmondsonsupply.com/cdn/shop/products/photo_3800_medium_86f45e25-a764-4839-bc84-759a6ce1c7bd.jpg?v=1659910436")</f>
        <v/>
      </c>
      <c r="H2883">
        <f>_xlfn.IMAGE("https://m.media-amazon.com/images/I/41HEfw3S1vL._AC_UL320_.jpg")</f>
        <v/>
      </c>
      <c r="K2883" t="inlineStr">
        <is>
          <t>68.99</t>
        </is>
      </c>
      <c r="L2883" t="n">
        <v>51.99</v>
      </c>
      <c r="M2883" s="1" t="inlineStr">
        <is>
          <t>-24.64%</t>
        </is>
      </c>
      <c r="N2883" s="7" t="n">
        <v>166.8</v>
      </c>
      <c r="O2883" t="n">
        <v>5</v>
      </c>
      <c r="P2883" t="n">
        <v>2</v>
      </c>
      <c r="R2883" t="inlineStr">
        <is>
          <t>InStock</t>
        </is>
      </c>
      <c r="S2883" t="inlineStr">
        <is>
          <t>93.62</t>
        </is>
      </c>
      <c r="T2883" t="inlineStr">
        <is>
          <t>4345448202340</t>
        </is>
      </c>
    </row>
    <row r="2884" ht="87" customHeight="1">
      <c r="A2884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884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884" t="inlineStr">
        <is>
          <t>ICM Controls ICM2811 Furnace Control Board - Replacement for Goodman</t>
        </is>
      </c>
      <c r="D2884" t="inlineStr">
        <is>
          <t>OEM Upgraded Replacement for Goodman Furnace Control Circuit Board B13707-35S</t>
        </is>
      </c>
      <c r="E2884" s="2">
        <f>HYPERLINK("https://www.amazon.com/Upgraded-Replacement-Goodman-Furnace-B13707-35S/dp/B00EF5PV9G/ref=sr_1_46?keywords=ICM+Controls+ICM2811+Furnace+Control+Board+-+Replacement+for+Goodman&amp;qid=1694734652&amp;sr=8-46", "https://www.amazon.com/Upgraded-Replacement-Goodman-Furnace-B13707-35S/dp/B00EF5PV9G/ref=sr_1_46?keywords=ICM+Controls+ICM2811+Furnace+Control+Board+-+Replacement+for+Goodman&amp;qid=1694734652&amp;sr=8-46")</f>
        <v/>
      </c>
      <c r="F2884" t="inlineStr">
        <is>
          <t>B00EF5PV9G</t>
        </is>
      </c>
      <c r="G2884">
        <f>_xlfn.IMAGE("https://edmondsonsupply.com/cdn/shop/products/photo_3800_medium_86f45e25-a764-4839-bc84-759a6ce1c7bd.jpg?v=1659910436")</f>
        <v/>
      </c>
      <c r="H2884">
        <f>_xlfn.IMAGE("https://m.media-amazon.com/images/I/41KCBEhjv2L._AC_UL320_.jpg")</f>
        <v/>
      </c>
      <c r="K2884" t="inlineStr">
        <is>
          <t>68.99</t>
        </is>
      </c>
      <c r="L2884" t="n">
        <v>51.99</v>
      </c>
      <c r="M2884" s="1" t="inlineStr">
        <is>
          <t>-24.64%</t>
        </is>
      </c>
      <c r="N2884" s="7" t="n">
        <v>166.8</v>
      </c>
      <c r="O2884" t="n">
        <v>5</v>
      </c>
      <c r="P2884" t="n">
        <v>1</v>
      </c>
      <c r="R2884" t="inlineStr">
        <is>
          <t>InStock</t>
        </is>
      </c>
      <c r="S2884" t="inlineStr">
        <is>
          <t>93.62</t>
        </is>
      </c>
      <c r="T2884" t="inlineStr">
        <is>
          <t>4345448202340</t>
        </is>
      </c>
    </row>
    <row r="2885" ht="87" customHeight="1">
      <c r="A2885" s="2">
        <f>HYPERLINK("https://edmondsonsupply.com/collections/hvac/products/fieldpiece-dr58-heated-diode-refrigerant-leak-detector", "https://edmondsonsupply.com/collections/hvac/products/fieldpiece-dr58-heated-diode-refrigerant-leak-detector")</f>
        <v/>
      </c>
      <c r="B2885" s="2">
        <f>HYPERLINK("https://edmondsonsupply.com/products/fieldpiece-dr58-heated-diode-refrigerant-leak-detector", "https://edmondsonsupply.com/products/fieldpiece-dr58-heated-diode-refrigerant-leak-detector")</f>
        <v/>
      </c>
      <c r="C2885" t="inlineStr">
        <is>
          <t>Fieldpiece DR58 Heated Diode Refrigerant Leak Detector</t>
        </is>
      </c>
      <c r="D2885" t="inlineStr">
        <is>
          <t>Elitech Refrigerant Leak Detector, Infrared &amp; Heated Diode Sensors in 1 Unit, HVAC Halogen Gas Sniffer, Anti-Interference, Reach SAE Standards, IR-200</t>
        </is>
      </c>
      <c r="E2885" s="2">
        <f>HYPERLINK("https://www.amazon.com/Elitech-IR-200-Infrared-Refrigerant-Sensitivity/dp/B083J25Z4X/ref=sr_1_3?keywords=Fieldpiece+DR58+Heated+Diode+Refrigerant+Leak+Detector&amp;qid=1694734647&amp;sr=8-3", "https://www.amazon.com/Elitech-IR-200-Infrared-Refrigerant-Sensitivity/dp/B083J25Z4X/ref=sr_1_3?keywords=Fieldpiece+DR58+Heated+Diode+Refrigerant+Leak+Detector&amp;qid=1694734647&amp;sr=8-3")</f>
        <v/>
      </c>
      <c r="F2885" t="inlineStr">
        <is>
          <t>B083J25Z4X</t>
        </is>
      </c>
      <c r="G2885">
        <f>_xlfn.IMAGE("https://edmondsonsupply.com/cdn/shop/products/DR58-Product-01-300dpi-scaled.jpg?v=1633031059")</f>
        <v/>
      </c>
      <c r="H2885">
        <f>_xlfn.IMAGE("https://m.media-amazon.com/images/I/51yhOrm1x-L._AC_UL320_.jpg")</f>
        <v/>
      </c>
      <c r="K2885" t="inlineStr">
        <is>
          <t>332.35</t>
        </is>
      </c>
      <c r="L2885" t="n">
        <v>249.99</v>
      </c>
      <c r="M2885" s="1" t="inlineStr">
        <is>
          <t>-24.78%</t>
        </is>
      </c>
      <c r="N2885" s="7" t="n">
        <v>166.8</v>
      </c>
      <c r="O2885" t="n">
        <v>4.6</v>
      </c>
      <c r="P2885" t="n">
        <v>740</v>
      </c>
      <c r="R2885" t="inlineStr">
        <is>
          <t>InStock</t>
        </is>
      </c>
      <c r="S2885" t="inlineStr">
        <is>
          <t>391.0</t>
        </is>
      </c>
      <c r="T2885" t="inlineStr">
        <is>
          <t>6811539275949</t>
        </is>
      </c>
    </row>
    <row r="2886" ht="87" customHeight="1">
      <c r="A2886" s="2">
        <f>HYPERLINK("https://edmondsonsupply.com/collections/hvac/products/milwaukee-49-90-1900-hepa-filter", "https://edmondsonsupply.com/collections/hvac/products/milwaukee-49-90-1900-hepa-filter")</f>
        <v/>
      </c>
      <c r="B2886" s="2">
        <f>HYPERLINK("https://edmondsonsupply.com/products/milwaukee-49-90-1900-hepa-filter", "https://edmondsonsupply.com/products/milwaukee-49-90-1900-hepa-filter")</f>
        <v/>
      </c>
      <c r="C2886" t="inlineStr">
        <is>
          <t>Milwaukee 49-90-1900 HEPA Filter</t>
        </is>
      </c>
      <c r="D2886" t="inlineStr">
        <is>
          <t>49-90-1900 HEPA Filter for Wet/Dry VAC</t>
        </is>
      </c>
      <c r="E2886" s="2">
        <f>HYPERLINK("https://www.amazon.com/Milwaukee-49-90-1900-HEPA-Filter-Wet/dp/B017P4HZM4/ref=sr_1_19?keywords=Milwaukee+49-90-1900+HEPA+Filter&amp;qid=1694734913&amp;sr=8-19", "https://www.amazon.com/Milwaukee-49-90-1900-HEPA-Filter-Wet/dp/B017P4HZM4/ref=sr_1_19?keywords=Milwaukee+49-90-1900+HEPA+Filter&amp;qid=1694734913&amp;sr=8-19")</f>
        <v/>
      </c>
      <c r="F2886" t="inlineStr">
        <is>
          <t>B017P4HZM4</t>
        </is>
      </c>
      <c r="G2886">
        <f>_xlfn.IMAGE("https://edmondsonsupply.com/cdn/shop/files/49-90-1900_1.png?v=1686234774")</f>
        <v/>
      </c>
      <c r="H2886">
        <f>_xlfn.IMAGE("https://m.media-amazon.com/images/I/31BVaVBI9LL._AC_UL320_.jpg")</f>
        <v/>
      </c>
      <c r="K2886" t="inlineStr">
        <is>
          <t>24.98</t>
        </is>
      </c>
      <c r="L2886" t="n">
        <v>18.77</v>
      </c>
      <c r="M2886" s="1" t="inlineStr">
        <is>
          <t>-24.86%</t>
        </is>
      </c>
      <c r="N2886" s="7" t="n">
        <v>166.64</v>
      </c>
      <c r="O2886" t="n">
        <v>4.9</v>
      </c>
      <c r="P2886" t="n">
        <v>17</v>
      </c>
      <c r="R2886" t="inlineStr">
        <is>
          <t>InStock</t>
        </is>
      </c>
      <c r="S2886" t="inlineStr">
        <is>
          <t>40.0</t>
        </is>
      </c>
      <c r="T2886" t="inlineStr">
        <is>
          <t>8002625306840</t>
        </is>
      </c>
    </row>
    <row r="2887" hidden="1" ht="15.75" customHeight="1">
      <c r="A2887" s="2">
        <f>HYPERLINK("https://edmondsonsupply.com/collections/hvac/products/5-2-1-csru1", "https://edmondsonsupply.com/collections/hvac/products/5-2-1-csru1")</f>
        <v/>
      </c>
      <c r="B2887" s="2">
        <f>HYPERLINK("https://edmondsonsupply.com/products/5-2-1-csru1", "https://edmondsonsupply.com/products/5-2-1-csru1")</f>
        <v/>
      </c>
      <c r="C2887" t="inlineStr">
        <is>
          <t>5-2-1 CSRU1 Compressor Saver, 1 to 3 Tons</t>
        </is>
      </c>
      <c r="D2887" t="inlineStr">
        <is>
          <t>ANTOBLE CSRU2 Hard Start Capacitor Compatible with 5-2-1 CSR-U2 Compressor Saver HVAC Hard Start Kit for 3-1/2-4-5 Tons</t>
        </is>
      </c>
      <c r="E2887" s="2">
        <f>HYPERLINK("https://www.amazon.com/ANTOBLE-Capacitor-Compatible-CSR-U2-Compressor/dp/B0B7JKPQFL/ref=sr_1_29?keywords=5-2-1+CSRU1+Compressor+Saver%2C+1+to+3+Tons&amp;qid=1694734741&amp;sr=8-29", "https://www.amazon.com/ANTOBLE-Capacitor-Compatible-CSR-U2-Compressor/dp/B0B7JKPQFL/ref=sr_1_29?keywords=5-2-1+CSRU1+Compressor+Saver%2C+1+to+3+Tons&amp;qid=1694734741&amp;sr=8-29")</f>
        <v/>
      </c>
      <c r="F2887" t="inlineStr">
        <is>
          <t>B0B7JKPQFL</t>
        </is>
      </c>
      <c r="G2887">
        <f>_xludf.IMAGE("https://edmondsonsupply.com/cdn/shop/products/CSRU1.jpg?v=1633030087")</f>
        <v/>
      </c>
      <c r="H2887">
        <f>_xludf.IMAGE("https://m.media-amazon.com/images/I/71xf3IYFz0L._AC_UL320_.jpg")</f>
        <v/>
      </c>
      <c r="K2887" t="inlineStr">
        <is>
          <t>34.62</t>
        </is>
      </c>
      <c r="L2887" t="n">
        <v>25.99</v>
      </c>
      <c r="M2887" s="1" t="inlineStr">
        <is>
          <t>-24.93%</t>
        </is>
      </c>
      <c r="N2887" s="1" t="n">
        <v>166.64</v>
      </c>
      <c r="O2887" t="n">
        <v>3.7</v>
      </c>
      <c r="P2887" t="n">
        <v>18</v>
      </c>
      <c r="R2887" t="inlineStr">
        <is>
          <t>InStock</t>
        </is>
      </c>
      <c r="S2887" t="inlineStr">
        <is>
          <t>39.95</t>
        </is>
      </c>
      <c r="T2887" t="inlineStr">
        <is>
          <t>3558315950180</t>
        </is>
      </c>
    </row>
    <row r="2888" ht="87" customHeight="1">
      <c r="A2888" s="2">
        <f>HYPERLINK("https://edmondsonsupply.com/collections/hvac/products/midwest-mwt-6900l-upright-left-cutting-offset-aviation-snip", "https://edmondsonsupply.com/collections/hvac/products/midwest-mwt-6900l-upright-left-cutting-offset-aviation-snip")</f>
        <v/>
      </c>
      <c r="B2888" s="2">
        <f>HYPERLINK("https://edmondsonsupply.com/products/midwest-mwt-6900l-upright-left-cutting-offset-aviation-snip", "https://edmondsonsupply.com/products/midwest-mwt-6900l-upright-left-cutting-offset-aviation-snip")</f>
        <v/>
      </c>
      <c r="C2888" t="inlineStr">
        <is>
          <t>Midwest MWT-6900L Upright Left-Cutting Aviation Snip</t>
        </is>
      </c>
      <c r="D2888" t="inlineStr">
        <is>
          <t>MIDWEST Aviation Snip - Left Cut Regular Tin Cutting Shears with Forged Blade &amp; KUSH'N-POWER Comfort Grips - MWT-6716L</t>
        </is>
      </c>
      <c r="E2888" s="2">
        <f>HYPERLINK("https://www.amazon.com/MIDWEST-Aviation-Snip-KUSHN-POWER-MWT-6716L/dp/B00OCGQFT8/ref=sr_1_2?keywords=Midwest+MWT-6900L+Upright+Left-Cutting+Aviation+Snip&amp;qid=1694734627&amp;sr=8-2", "https://www.amazon.com/MIDWEST-Aviation-Snip-KUSHN-POWER-MWT-6716L/dp/B00OCGQFT8/ref=sr_1_2?keywords=Midwest+MWT-6900L+Upright+Left-Cutting+Aviation+Snip&amp;qid=1694734627&amp;sr=8-2")</f>
        <v/>
      </c>
      <c r="F2888" t="inlineStr">
        <is>
          <t>B00OCGQFT8</t>
        </is>
      </c>
      <c r="G2888">
        <f>_xlfn.IMAGE("https://edmondsonsupply.com/cdn/shop/products/MWT-6900L1.jpg?v=1587146265")</f>
        <v/>
      </c>
      <c r="H2888">
        <f>_xlfn.IMAGE("https://m.media-amazon.com/images/I/61DrWSZKjcL._AC_UL320_.jpg")</f>
        <v/>
      </c>
      <c r="K2888" t="inlineStr">
        <is>
          <t>25.99</t>
        </is>
      </c>
      <c r="L2888" t="n">
        <v>19.49</v>
      </c>
      <c r="M2888" s="1" t="inlineStr">
        <is>
          <t>-25.01%</t>
        </is>
      </c>
      <c r="N2888" s="7" t="n">
        <v>166.63</v>
      </c>
      <c r="O2888" t="n">
        <v>4.4</v>
      </c>
      <c r="P2888" t="n">
        <v>575</v>
      </c>
      <c r="R2888" t="inlineStr">
        <is>
          <t>InStock</t>
        </is>
      </c>
      <c r="S2888" t="inlineStr">
        <is>
          <t>37.05</t>
        </is>
      </c>
      <c r="T2888" t="inlineStr">
        <is>
          <t>4470064250980</t>
        </is>
      </c>
    </row>
    <row r="2889" ht="87" customHeight="1">
      <c r="A2889" s="2">
        <f>HYPERLINK("https://edmondsonsupply.com/collections/hvac/products/midwest-mwt-6510l-left-offset-aviation-snip", "https://edmondsonsupply.com/collections/hvac/products/midwest-mwt-6510l-left-offset-aviation-snip")</f>
        <v/>
      </c>
      <c r="B2889" s="2">
        <f>HYPERLINK("https://edmondsonsupply.com/products/midwest-mwt-6510l-left-offset-aviation-snip", "https://edmondsonsupply.com/products/midwest-mwt-6510l-left-offset-aviation-snip")</f>
        <v/>
      </c>
      <c r="C2889" t="inlineStr">
        <is>
          <t>Midwest MWT-6510L Left Offset Aviation Snip</t>
        </is>
      </c>
      <c r="D2889" t="inlineStr">
        <is>
          <t>MIDWEST Aviation Snip - Left Cut Regular Tin Cutting Shears with Forged Blade &amp; KUSH'N-POWER Comfort Grips - MWT-6716L</t>
        </is>
      </c>
      <c r="E2889" s="2">
        <f>HYPERLINK("https://www.amazon.com/MIDWEST-Aviation-Snip-KUSHN-POWER-MWT-6716L/dp/B00OCGQFT8/ref=sr_1_7?keywords=Midwest+MWT-6510L+Left+Offset+Aviation+Snip&amp;qid=1694734618&amp;sr=8-7", "https://www.amazon.com/MIDWEST-Aviation-Snip-KUSHN-POWER-MWT-6716L/dp/B00OCGQFT8/ref=sr_1_7?keywords=Midwest+MWT-6510L+Left+Offset+Aviation+Snip&amp;qid=1694734618&amp;sr=8-7")</f>
        <v/>
      </c>
      <c r="F2889" t="inlineStr">
        <is>
          <t>B00OCGQFT8</t>
        </is>
      </c>
      <c r="G2889">
        <f>_xlfn.IMAGE("https://edmondsonsupply.com/cdn/shop/products/mwt-6510l.png?v=1587142880")</f>
        <v/>
      </c>
      <c r="H2889">
        <f>_xlfn.IMAGE("https://m.media-amazon.com/images/I/61DrWSZKjcL._AC_UL320_.jpg")</f>
        <v/>
      </c>
      <c r="K2889" t="inlineStr">
        <is>
          <t>25.99</t>
        </is>
      </c>
      <c r="L2889" t="n">
        <v>19.49</v>
      </c>
      <c r="M2889" s="1" t="inlineStr">
        <is>
          <t>-25.01%</t>
        </is>
      </c>
      <c r="N2889" s="7" t="n">
        <v>166.62</v>
      </c>
      <c r="O2889" t="n">
        <v>4.4</v>
      </c>
      <c r="P2889" t="n">
        <v>575</v>
      </c>
      <c r="R2889" t="inlineStr">
        <is>
          <t>InStock</t>
        </is>
      </c>
      <c r="S2889" t="inlineStr">
        <is>
          <t>33.49</t>
        </is>
      </c>
      <c r="T2889" t="inlineStr">
        <is>
          <t>3688846917732</t>
        </is>
      </c>
    </row>
    <row r="2890" ht="87" customHeight="1">
      <c r="A2890" s="2">
        <f>HYPERLINK("https://edmondsonsupply.com/collections/hvac/products/klein-tools-k12065cr-klein-kurve%C2%AE-heavy-duty-wire-stripper-crimper-8-20-awg", "https://edmondsonsupply.com/collections/hvac/products/klein-tools-k12065cr-klein-kurve%C2%AE-heavy-duty-wire-stripper-crimper-8-20-awg")</f>
        <v/>
      </c>
      <c r="B2890" s="2">
        <f>HYPERLINK("https://edmondsonsupply.com/products/klein-tools-k12065cr-klein-kurve%c2%ae-heavy-duty-wire-stripper-crimper-8-20-awg", "https://edmondsonsupply.com/products/klein-tools-k12065cr-klein-kurve%c2%ae-heavy-duty-wire-stripper-crimper-8-20-awg")</f>
        <v/>
      </c>
      <c r="C2890" t="inlineStr">
        <is>
          <t>Klein Tools K12065CR Klein-Kurve® Heavy-Duty Wire Stripper / Cutter / Crimper Multi Tool, 8-20 AWG</t>
        </is>
      </c>
      <c r="D2890" t="inlineStr">
        <is>
          <t>Klein Tools 11063W Wire Cutter / Wire Stripper, Heavy Duty Automatic Wire Stripper Tool for 8-20 AWG Solid and 10-22 AWG Stranded Electrical Wire,Blue/Black</t>
        </is>
      </c>
      <c r="E2890" s="2">
        <f>HYPERLINK("https://www.amazon.com/Stripper-Electrical-Klein-Tools-11063W/dp/B00BC39YFQ/ref=sr_1_5?keywords=Klein+Tools+K12065CR+Klein-Kurve%C2%AE+Heavy-Duty+Wire+Stripper+%2F+Cutter+%2F+Crimper+Multi+Tool%2C+8-20+AWG&amp;qid=1694734664&amp;sr=8-5", "https://www.amazon.com/Stripper-Electrical-Klein-Tools-11063W/dp/B00BC39YFQ/ref=sr_1_5?keywords=Klein+Tools+K12065CR+Klein-Kurve%C2%AE+Heavy-Duty+Wire+Stripper+%2F+Cutter+%2F+Crimper+Multi+Tool%2C+8-20+AWG&amp;qid=1694734664&amp;sr=8-5")</f>
        <v/>
      </c>
      <c r="F2890" t="inlineStr">
        <is>
          <t>B00BC39YFQ</t>
        </is>
      </c>
      <c r="G2890">
        <f>_xlfn.IMAGE("https://edmondsonsupply.com/cdn/shop/products/k12065cr_b.jpg?v=1650066835")</f>
        <v/>
      </c>
      <c r="H2890">
        <f>_xlfn.IMAGE("https://m.media-amazon.com/images/I/51cWJR-r31L._AC_UL320_.jpg")</f>
        <v/>
      </c>
      <c r="K2890" t="inlineStr">
        <is>
          <t>39.97</t>
        </is>
      </c>
      <c r="L2890" t="n">
        <v>29.97</v>
      </c>
      <c r="M2890" s="1" t="inlineStr">
        <is>
          <t>-25.02%</t>
        </is>
      </c>
      <c r="N2890" s="7" t="n">
        <v>165.7</v>
      </c>
      <c r="O2890" t="n">
        <v>4.8</v>
      </c>
      <c r="P2890" t="n">
        <v>9108</v>
      </c>
      <c r="R2890" t="inlineStr">
        <is>
          <t>InStock</t>
        </is>
      </c>
      <c r="S2890" t="inlineStr">
        <is>
          <t>59.42</t>
        </is>
      </c>
      <c r="T2890" t="inlineStr">
        <is>
          <t>5795137880232</t>
        </is>
      </c>
    </row>
    <row r="2891" hidden="1" ht="15.75" customHeight="1">
      <c r="A2891" s="2">
        <f>HYPERLINK("https://edmondsonsupply.com/collections/hvac/products/klein-tools-86939-hex-key-adapter-for-refrigeration-wrench", "https://edmondsonsupply.com/collections/hvac/products/klein-tools-86939-hex-key-adapter-for-refrigeration-wrench")</f>
        <v/>
      </c>
      <c r="B2891" s="2">
        <f>HYPERLINK("https://edmondsonsupply.com/products/klein-tools-86939-hex-key-adapter-for-refrigeration-wrench", "https://edmondsonsupply.com/products/klein-tools-86939-hex-key-adapter-for-refrigeration-wrench")</f>
        <v/>
      </c>
      <c r="C2891" t="inlineStr">
        <is>
          <t>Klein Tools 86939 Hex Key Adapter for Refrigeration Wrench</t>
        </is>
      </c>
      <c r="D2891" t="inlineStr">
        <is>
          <t>2 Pieces HVAC Service Wrench Set 3/16 to 5/16 Hex Key Tools Hex Key Adapter for Straight Metric for Fixing Air Conditioning Refrigeration Device</t>
        </is>
      </c>
      <c r="E2891" s="2">
        <f>HYPERLINK("https://www.amazon.com/Service-Adapter-Straight-Conditioning-Refrigeration/dp/B098B2QD5X/ref=sr_1_16?keywords=Klein+Tools+86939+Hex+Key+Adapter+for+Refrigeration+Wrench&amp;qid=1694734776&amp;sr=8-16", "https://www.amazon.com/Service-Adapter-Straight-Conditioning-Refrigeration/dp/B098B2QD5X/ref=sr_1_16?keywords=Klein+Tools+86939+Hex+Key+Adapter+for+Refrigeration+Wrench&amp;qid=1694734776&amp;sr=8-16")</f>
        <v/>
      </c>
      <c r="F2891" t="inlineStr">
        <is>
          <t>B098B2QD5X</t>
        </is>
      </c>
      <c r="G2891">
        <f>_xludf.IMAGE("https://edmondsonsupply.com/cdn/shop/products/86939.jpg?v=1587145061")</f>
        <v/>
      </c>
      <c r="H2891">
        <f>_xludf.IMAGE("https://m.media-amazon.com/images/I/61EFKZaECxL._AC_UL320_.jpg")</f>
        <v/>
      </c>
      <c r="K2891" t="inlineStr">
        <is>
          <t>11.99</t>
        </is>
      </c>
      <c r="L2891" t="n">
        <v>8.99</v>
      </c>
      <c r="M2891" s="1" t="inlineStr">
        <is>
          <t>-25.02%</t>
        </is>
      </c>
      <c r="N2891" s="1" t="n">
        <v>165.6</v>
      </c>
      <c r="O2891" t="n">
        <v>4.2</v>
      </c>
      <c r="P2891" t="n">
        <v>32</v>
      </c>
      <c r="R2891" t="inlineStr">
        <is>
          <t>InStock</t>
        </is>
      </c>
      <c r="S2891" t="inlineStr">
        <is>
          <t>16.94</t>
        </is>
      </c>
      <c r="T2891" t="inlineStr">
        <is>
          <t>3692924338276</t>
        </is>
      </c>
    </row>
    <row r="2892" hidden="1" ht="15.75" customHeight="1">
      <c r="A2892" s="2">
        <f>HYPERLINK("https://edmondsonsupply.com/collections/hvac/products/5-2-1-csru1", "https://edmondsonsupply.com/collections/hvac/products/5-2-1-csru1")</f>
        <v/>
      </c>
      <c r="B2892" s="2">
        <f>HYPERLINK("https://edmondsonsupply.com/products/5-2-1-csru1", "https://edmondsonsupply.com/products/5-2-1-csru1")</f>
        <v/>
      </c>
      <c r="C2892" t="inlineStr">
        <is>
          <t>5-2-1 CSRU1 Compressor Saver, 1 to 3 Tons</t>
        </is>
      </c>
      <c r="D2892" t="inlineStr">
        <is>
          <t>CSRU2 CSR-U2 AC Hard Start Kit - DIY eTips Included - Compatible with 3.5- to 5-ton AC units - Upgraded 5-2-1 Compressor Saver Starter Kit - Easy to Install - Durable Materials</t>
        </is>
      </c>
      <c r="E2892" s="2">
        <f>HYPERLINK("https://www.amazon.com/CSR-U2-Hard-Start-Device-5-Ton-PartsBroz/dp/B07V3TL63Q/ref=sr_1_20?keywords=5-2-1+CSRU1+Compressor+Saver%2C+1+to+3+Tons&amp;qid=1694734741&amp;sr=8-20", "https://www.amazon.com/CSR-U2-Hard-Start-Device-5-Ton-PartsBroz/dp/B07V3TL63Q/ref=sr_1_20?keywords=5-2-1+CSRU1+Compressor+Saver%2C+1+to+3+Tons&amp;qid=1694734741&amp;sr=8-20")</f>
        <v/>
      </c>
      <c r="F2892" t="inlineStr">
        <is>
          <t>B07V3TL63Q</t>
        </is>
      </c>
      <c r="G2892">
        <f>_xludf.IMAGE("https://edmondsonsupply.com/cdn/shop/products/CSRU1.jpg?v=1633030087")</f>
        <v/>
      </c>
      <c r="H2892">
        <f>_xludf.IMAGE("https://m.media-amazon.com/images/I/71rrb8gap1S._AC_UL320_.jpg")</f>
        <v/>
      </c>
      <c r="K2892" t="inlineStr">
        <is>
          <t>34.62</t>
        </is>
      </c>
      <c r="L2892" t="n">
        <v>25.95</v>
      </c>
      <c r="M2892" s="1" t="inlineStr">
        <is>
          <t>-25.04%</t>
        </is>
      </c>
      <c r="N2892" s="1" t="n">
        <v>165.03</v>
      </c>
      <c r="O2892" t="n">
        <v>3.9</v>
      </c>
      <c r="P2892" t="n">
        <v>112</v>
      </c>
      <c r="R2892" t="inlineStr">
        <is>
          <t>InStock</t>
        </is>
      </c>
      <c r="S2892" t="inlineStr">
        <is>
          <t>39.95</t>
        </is>
      </c>
      <c r="T2892" t="inlineStr">
        <is>
          <t>3558315950180</t>
        </is>
      </c>
    </row>
    <row r="2893" hidden="1" ht="15.75" customHeight="1">
      <c r="A2893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893" s="2">
        <f>HYPERLINK("https://edmondsonsupply.com/products/klein-tools-32314-14-in-1-precision-screwdriver-nut-driver", "https://edmondsonsupply.com/products/klein-tools-32314-14-in-1-precision-screwdriver-nut-driver")</f>
        <v/>
      </c>
      <c r="C2893" t="inlineStr">
        <is>
          <t>Klein Tools 32314 14-in-1 Precision Screwdriver/ Nut Driver</t>
        </is>
      </c>
      <c r="D2893" t="inlineStr">
        <is>
          <t>Klein Tools 32581 4-in-1 Electronics Screwdriver Set with Precision Machines Bits: 2 Slotted, 2 Phillips, and Cushion Grip Handles, 4-Piece</t>
        </is>
      </c>
      <c r="E2893" s="2">
        <f>HYPERLINK("https://www.amazon.com/Screwdriver-Electronics-Klein-Tools-32581/dp/B01EOY7LTA/ref=sr_1_38?keywords=Klein+Tools+32314+14-in-1+Precision+Screwdriver%2F+Nut+Driver&amp;qid=1694734697&amp;sr=8-38", "https://www.amazon.com/Screwdriver-Electronics-Klein-Tools-32581/dp/B01EOY7LTA/ref=sr_1_38?keywords=Klein+Tools+32314+14-in-1+Precision+Screwdriver%2F+Nut+Driver&amp;qid=1694734697&amp;sr=8-38")</f>
        <v/>
      </c>
      <c r="F2893" t="inlineStr">
        <is>
          <t>B01EOY7LTA</t>
        </is>
      </c>
      <c r="G2893">
        <f>_xludf.IMAGE("https://edmondsonsupply.com/cdn/shop/products/32314.jpg?v=1646593726")</f>
        <v/>
      </c>
      <c r="H2893">
        <f>_xludf.IMAGE("https://m.media-amazon.com/images/I/31v0ZtokP0L._AC_UL320_.jpg")</f>
        <v/>
      </c>
      <c r="K2893" t="inlineStr">
        <is>
          <t>15.97</t>
        </is>
      </c>
      <c r="L2893" t="n">
        <v>11.97</v>
      </c>
      <c r="M2893" s="1" t="inlineStr">
        <is>
          <t>-25.05%</t>
        </is>
      </c>
      <c r="N2893" s="1" t="n">
        <v>164.6</v>
      </c>
      <c r="O2893" t="n">
        <v>4.8</v>
      </c>
      <c r="P2893" t="n">
        <v>17683</v>
      </c>
      <c r="R2893" t="inlineStr">
        <is>
          <t>InStock</t>
        </is>
      </c>
      <c r="S2893" t="inlineStr">
        <is>
          <t>22.38</t>
        </is>
      </c>
      <c r="T2893" t="inlineStr">
        <is>
          <t>7626984947928</t>
        </is>
      </c>
    </row>
    <row r="2894" ht="87" customHeight="1">
      <c r="A2894" s="2">
        <f>HYPERLINK("https://edmondsonsupply.com/collections/hvac/products/wiha-tools-66981-13-piece-ball-end-color-coded-hex-l-key-set-inch", "https://edmondsonsupply.com/collections/hvac/products/wiha-tools-66981-13-piece-ball-end-color-coded-hex-l-key-set-inch")</f>
        <v/>
      </c>
      <c r="B2894" s="2">
        <f>HYPERLINK("https://edmondsonsupply.com/products/wiha-tools-66981-13-piece-ball-end-color-coded-hex-l-key-set-inch", "https://edmondsonsupply.com/products/wiha-tools-66981-13-piece-ball-end-color-coded-hex-l-key-set-inch")</f>
        <v/>
      </c>
      <c r="C2894" t="inlineStr">
        <is>
          <t>Wiha Tools 66981 13 Piece Ball End Color Coded Hex L-Key Set - Inch</t>
        </is>
      </c>
      <c r="D2894" t="inlineStr">
        <is>
          <t>Wiha 66991 MagicRing Ball End Hex Key Set, Long Inch, In Holder, 13 Piece</t>
        </is>
      </c>
      <c r="E2894" s="2">
        <f>HYPERLINK("https://www.amazon.com/Wiha-66991-MagicRing-Holder-Piece/dp/B000WTAK2C/ref=sr_1_8?keywords=Wiha+Tools+66981+13+Piece+Ball+End+Color+Coded+Hex+L-Key+Set+-+Inch&amp;qid=1694734873&amp;sr=8-8", "https://www.amazon.com/Wiha-66991-MagicRing-Holder-Piece/dp/B000WTAK2C/ref=sr_1_8?keywords=Wiha+Tools+66981+13+Piece+Ball+End+Color+Coded+Hex+L-Key+Set+-+Inch&amp;qid=1694734873&amp;sr=8-8")</f>
        <v/>
      </c>
      <c r="F2894" t="inlineStr">
        <is>
          <t>B000WTAK2C</t>
        </is>
      </c>
      <c r="G2894">
        <f>_xlfn.IMAGE("https://edmondsonsupply.com/cdn/shop/files/d46e6f2ecefba25ae78922fd12be8f1dc56b6ee6_1000x_1d9d5bc7-c590-4e82-817a-f70a00b88949.webp?v=1690834995")</f>
        <v/>
      </c>
      <c r="H2894">
        <f>_xlfn.IMAGE("https://m.media-amazon.com/images/I/61jqxmDwZLL._AC_UL320_.jpg")</f>
        <v/>
      </c>
      <c r="K2894" t="inlineStr">
        <is>
          <t>53.42</t>
        </is>
      </c>
      <c r="L2894" t="n">
        <v>39.99</v>
      </c>
      <c r="M2894" s="1" t="inlineStr">
        <is>
          <t>-25.14%</t>
        </is>
      </c>
      <c r="N2894" s="7" t="n">
        <v>164.28</v>
      </c>
      <c r="O2894" t="n">
        <v>4.8</v>
      </c>
      <c r="P2894" t="n">
        <v>17</v>
      </c>
      <c r="R2894" t="inlineStr">
        <is>
          <t>InStock</t>
        </is>
      </c>
      <c r="S2894" t="inlineStr">
        <is>
          <t>71.22</t>
        </is>
      </c>
      <c r="T2894" t="inlineStr">
        <is>
          <t>8023253450968</t>
        </is>
      </c>
    </row>
    <row r="2895" hidden="1" ht="15.75" customHeight="1">
      <c r="A2895" s="2">
        <f>HYPERLINK("https://edmondsonsupply.com/collections/hvac/products/refrigeration-technologies-rt201bp-viper-nylog-blue-gasket-thread-sealant-2-pack", "https://edmondsonsupply.com/collections/hvac/products/refrigeration-technologies-rt201bp-viper-nylog-blue-gasket-thread-sealant-2-pack")</f>
        <v/>
      </c>
      <c r="B2895" s="2">
        <f>HYPERLINK("https://edmondsonsupply.com/products/refrigeration-technologies-rt201bp-viper-nylog-blue-gasket-thread-sealant-2-pack", "https://edmondsonsupply.com/products/refrigeration-technologies-rt201bp-viper-nylog-blue-gasket-thread-sealant-2-pack")</f>
        <v/>
      </c>
      <c r="C2895" t="inlineStr">
        <is>
          <t>Refrigeration Technologies RT201BP Viper Nylog Blue - Gasket &amp; Thread Sealant, 2-Pack</t>
        </is>
      </c>
      <c r="D2895" t="inlineStr">
        <is>
          <t>Refrigeration Technologies Nylog Gasket Thread Sealant RT201B Nylog Blue + RT200R Nylog Red 2 Pack (RT201BP + RT200RP) 1 x Blu + 1 x Red</t>
        </is>
      </c>
      <c r="E2895" s="2">
        <f>HYPERLINK("https://www.amazon.com/Refrigeration-Technologies-Sealant-RT201BP-RT200RP/dp/B0BYX4DYVL/ref=sr_1_1?keywords=Refrigeration+Technologies+RT201BP+Viper+Nylog+Blue+-+Gasket&amp;qid=1694734611&amp;sr=8-1", "https://www.amazon.com/Refrigeration-Technologies-Sealant-RT201BP-RT200RP/dp/B0BYX4DYVL/ref=sr_1_1?keywords=Refrigeration+Technologies+RT201BP+Viper+Nylog+Blue+-+Gasket&amp;qid=1694734611&amp;sr=8-1")</f>
        <v/>
      </c>
      <c r="F2895" t="inlineStr">
        <is>
          <t>B0BYX4DYVL</t>
        </is>
      </c>
      <c r="G2895">
        <f>_xludf.IMAGE("https://edmondsonsupply.com/cdn/shop/products/Nylog-BLUE-Dual-Pack-3D-Rendering_A-scaled.jpg?v=1633030975")</f>
        <v/>
      </c>
      <c r="H2895">
        <f>_xludf.IMAGE("https://m.media-amazon.com/images/I/61U3Xd3-VnL._AC_UY218_.jpg")</f>
        <v/>
      </c>
      <c r="K2895" t="inlineStr">
        <is>
          <t>16.02</t>
        </is>
      </c>
      <c r="L2895" t="n">
        <v>11.99</v>
      </c>
      <c r="M2895" s="1" t="inlineStr">
        <is>
          <t>-25.16%</t>
        </is>
      </c>
      <c r="N2895" s="1" t="n">
        <v>163.51</v>
      </c>
      <c r="O2895" t="n">
        <v>4.6</v>
      </c>
      <c r="P2895" t="n">
        <v>3</v>
      </c>
      <c r="R2895" t="inlineStr">
        <is>
          <t>InStock</t>
        </is>
      </c>
      <c r="S2895" t="inlineStr">
        <is>
          <t>17.6</t>
        </is>
      </c>
      <c r="T2895" t="inlineStr">
        <is>
          <t>6649012256941</t>
        </is>
      </c>
    </row>
    <row r="2896" hidden="1" ht="15.75" customHeight="1">
      <c r="A2896" s="2">
        <f>HYPERLINK("https://edmondsonsupply.com/collections/hvac/products/klein-tools-11046-wire-stripper-cutter-16-26-awg-stranded", "https://edmondsonsupply.com/collections/hvac/products/klein-tools-11046-wire-stripper-cutter-16-26-awg-stranded")</f>
        <v/>
      </c>
      <c r="B2896" s="2">
        <f>HYPERLINK("https://edmondsonsupply.com/products/klein-tools-11046-wire-stripper-cutter-16-26-awg-stranded", "https://edmondsonsupply.com/products/klein-tools-11046-wire-stripper-cutter-16-26-awg-stranded")</f>
        <v/>
      </c>
      <c r="C2896" t="inlineStr">
        <is>
          <t>Klein Tools 11046 Wire Stripper/Cutter 16-26 AWG Stranded</t>
        </is>
      </c>
      <c r="D2896" t="inlineStr">
        <is>
          <t>Jonard Tools JIC-1626 16-26 AWG Wire Stripper and Cutter, 6-3/4" Length</t>
        </is>
      </c>
      <c r="E2896" s="2">
        <f>HYPERLINK("https://www.amazon.com/Jonard-JIC-1626-Stripper-Cutter-finish/dp/B005S3I9SE/ref=sr_1_32?keywords=Klein+Tools+11046+Wire+Stripper%2FCutter+16-26+AWG+Stranded&amp;qid=1694734810&amp;sr=8-32", "https://www.amazon.com/Jonard-JIC-1626-Stripper-Cutter-finish/dp/B005S3I9SE/ref=sr_1_32?keywords=Klein+Tools+11046+Wire+Stripper%2FCutter+16-26+AWG+Stranded&amp;qid=1694734810&amp;sr=8-32")</f>
        <v/>
      </c>
      <c r="F2896" t="inlineStr">
        <is>
          <t>B005S3I9SE</t>
        </is>
      </c>
      <c r="G2896">
        <f>_xludf.IMAGE("https://edmondsonsupply.com/cdn/shop/products/11046.jpg?v=1587147965")</f>
        <v/>
      </c>
      <c r="H2896">
        <f>_xludf.IMAGE("https://m.media-amazon.com/images/I/71EBsSD-gUL._AC_UL320_.jpg")</f>
        <v/>
      </c>
      <c r="K2896" t="inlineStr">
        <is>
          <t>15.97</t>
        </is>
      </c>
      <c r="L2896" t="n">
        <v>11.95</v>
      </c>
      <c r="M2896" s="1" t="inlineStr">
        <is>
          <t>-25.17%</t>
        </is>
      </c>
      <c r="N2896" s="1" t="n">
        <v>162.27</v>
      </c>
      <c r="O2896" t="n">
        <v>4.6</v>
      </c>
      <c r="P2896" t="n">
        <v>252</v>
      </c>
      <c r="R2896" t="inlineStr">
        <is>
          <t>InStock</t>
        </is>
      </c>
      <c r="S2896" t="inlineStr">
        <is>
          <t>23.56</t>
        </is>
      </c>
      <c r="T2896" t="inlineStr">
        <is>
          <t>3688603910244</t>
        </is>
      </c>
    </row>
    <row r="2897" hidden="1" ht="15.75" customHeight="1">
      <c r="A2897" s="2">
        <f>HYPERLINK("https://edmondsonsupply.com/collections/hvac/products/5-2-1-csru1", "https://edmondsonsupply.com/collections/hvac/products/5-2-1-csru1")</f>
        <v/>
      </c>
      <c r="B2897" s="2">
        <f>HYPERLINK("https://edmondsonsupply.com/products/5-2-1-csru1", "https://edmondsonsupply.com/products/5-2-1-csru1")</f>
        <v/>
      </c>
      <c r="C2897" t="inlineStr">
        <is>
          <t>5-2-1 CSRU1 Compressor Saver, 1 to 3 Tons</t>
        </is>
      </c>
      <c r="D2897" t="inlineStr">
        <is>
          <t>CSRU2 5-2-1 Compressor Saver Replacement HVAC Hard Start Capacitor 3.5-4- 5 Tons Hard Start Kit FOR Air Conditioner</t>
        </is>
      </c>
      <c r="E2897" s="2">
        <f>HYPERLINK("https://www.amazon.com/Compressor-Replacement-Capacitor-3-5-4-Conditioner/dp/B0B7842HBF/ref=sr_1_15?keywords=5-2-1+CSRU1+Compressor+Saver%2C+1+to+3+Tons&amp;qid=1694734741&amp;sr=8-15", "https://www.amazon.com/Compressor-Replacement-Capacitor-3-5-4-Conditioner/dp/B0B7842HBF/ref=sr_1_15?keywords=5-2-1+CSRU1+Compressor+Saver%2C+1+to+3+Tons&amp;qid=1694734741&amp;sr=8-15")</f>
        <v/>
      </c>
      <c r="F2897" t="inlineStr">
        <is>
          <t>B0B7842HBF</t>
        </is>
      </c>
      <c r="G2897">
        <f>_xludf.IMAGE("https://edmondsonsupply.com/cdn/shop/products/CSRU1.jpg?v=1633030087")</f>
        <v/>
      </c>
      <c r="H2897">
        <f>_xludf.IMAGE("https://m.media-amazon.com/images/I/61fIfUtHjnL._AC_UL320_.jpg")</f>
        <v/>
      </c>
      <c r="K2897" t="inlineStr">
        <is>
          <t>34.62</t>
        </is>
      </c>
      <c r="L2897" t="n">
        <v>25.89</v>
      </c>
      <c r="M2897" s="1" t="inlineStr">
        <is>
          <t>-25.22%</t>
        </is>
      </c>
      <c r="N2897" s="1" t="n">
        <v>161.75</v>
      </c>
      <c r="O2897" t="n">
        <v>3.9</v>
      </c>
      <c r="P2897" t="n">
        <v>35</v>
      </c>
      <c r="R2897" t="inlineStr">
        <is>
          <t>InStock</t>
        </is>
      </c>
      <c r="S2897" t="inlineStr">
        <is>
          <t>39.95</t>
        </is>
      </c>
      <c r="T2897" t="inlineStr">
        <is>
          <t>3558315950180</t>
        </is>
      </c>
    </row>
    <row r="2898" ht="87" customHeight="1">
      <c r="A2898" s="2">
        <f>HYPERLINK("https://edmondsonsupply.com/collections/hvac/products/5-2-1-csru1", "https://edmondsonsupply.com/collections/hvac/products/5-2-1-csru1")</f>
        <v/>
      </c>
      <c r="B2898" s="2">
        <f>HYPERLINK("https://edmondsonsupply.com/products/5-2-1-csru1", "https://edmondsonsupply.com/products/5-2-1-csru1")</f>
        <v/>
      </c>
      <c r="C2898" t="inlineStr">
        <is>
          <t>5-2-1 CSRU1 Compressor Saver, 1 to 3 Tons</t>
        </is>
      </c>
      <c r="D2898" t="inlineStr">
        <is>
          <t>BlueStars Premium 5-2-1 CSR-U1 CSRU1 Compressor Saver Hard Start Capacitor Kit for 1- to 3-ton AC units - Durable 5-2-1 HVAC Compressor Saver Hard Start Capacitor - Easy to Install - PACK OF 1</t>
        </is>
      </c>
      <c r="E2898" s="2">
        <f>HYPERLINK("https://www.amazon.com/Ultra-Durable-CSR-U1-Compressor-Capacitor/dp/B07X463KD1/ref=sr_1_3?keywords=5-2-1+CSRU1+Compressor+Saver%2C+1+to+3+Tons&amp;qid=1694734741&amp;sr=8-3", "https://www.amazon.com/Ultra-Durable-CSR-U1-Compressor-Capacitor/dp/B07X463KD1/ref=sr_1_3?keywords=5-2-1+CSRU1+Compressor+Saver%2C+1+to+3+Tons&amp;qid=1694734741&amp;sr=8-3")</f>
        <v/>
      </c>
      <c r="F2898" t="inlineStr">
        <is>
          <t>B07X463KD1</t>
        </is>
      </c>
      <c r="G2898">
        <f>_xlfn.IMAGE("https://edmondsonsupply.com/cdn/shop/products/CSRU1.jpg?v=1633030087")</f>
        <v/>
      </c>
      <c r="H2898">
        <f>_xlfn.IMAGE("https://m.media-amazon.com/images/I/81Ceo3rAywL._AC_UL320_.jpg")</f>
        <v/>
      </c>
      <c r="K2898" t="inlineStr">
        <is>
          <t>34.62</t>
        </is>
      </c>
      <c r="L2898" t="n">
        <v>25.89</v>
      </c>
      <c r="M2898" s="1" t="inlineStr">
        <is>
          <t>-25.22%</t>
        </is>
      </c>
      <c r="N2898" s="7" t="n">
        <v>160.68</v>
      </c>
      <c r="O2898" t="n">
        <v>4.1</v>
      </c>
      <c r="P2898" t="n">
        <v>157</v>
      </c>
      <c r="R2898" t="inlineStr">
        <is>
          <t>InStock</t>
        </is>
      </c>
      <c r="S2898" t="inlineStr">
        <is>
          <t>39.95</t>
        </is>
      </c>
      <c r="T2898" t="inlineStr">
        <is>
          <t>3558315950180</t>
        </is>
      </c>
    </row>
    <row r="2899" ht="87" customHeight="1">
      <c r="A2899" s="2">
        <f>HYPERLINK("https://edmondsonsupply.com/collections/hvac/products/klein-tools-33736ins", "https://edmondsonsupply.com/collections/hvac/products/klein-tools-33736ins")</f>
        <v/>
      </c>
      <c r="B2899" s="2">
        <f>HYPERLINK("https://edmondsonsupply.com/products/klein-tools-33736ins", "https://edmondsonsupply.com/products/klein-tools-33736ins")</f>
        <v/>
      </c>
      <c r="C2899" t="inlineStr">
        <is>
          <t>Klein Tools 33736INS Screwdriver Set, 1000V Slim-Tip Insulated and Magnetizer, 6-Piece</t>
        </is>
      </c>
      <c r="D2899" t="inlineStr">
        <is>
          <t>Klein Tools 33734INS 1000V Slim Tip Insulated Screwdriver Set, Phillips, Cabinet, Square Slim-Tip, Cushion Grip Handle, 4-Piece</t>
        </is>
      </c>
      <c r="E2899" s="2">
        <f>HYPERLINK("https://www.amazon.com/Klein-Tools-33734INS-Insulated-Screwdriver/dp/B088NQ1D2B/ref=sr_1_5?keywords=Klein+Tools+33736INS+Screwdriver+Set%2C+1000V+Slim-Tip+Insulated+and+Magnetizer%2C+6-Piece&amp;qid=1694734753&amp;sr=8-5", "https://www.amazon.com/Klein-Tools-33734INS-Insulated-Screwdriver/dp/B088NQ1D2B/ref=sr_1_5?keywords=Klein+Tools+33736INS+Screwdriver+Set%2C+1000V+Slim-Tip+Insulated+and+Magnetizer%2C+6-Piece&amp;qid=1694734753&amp;sr=8-5")</f>
        <v/>
      </c>
      <c r="F2899" t="inlineStr">
        <is>
          <t>B088NQ1D2B</t>
        </is>
      </c>
      <c r="G2899">
        <f>_xlfn.IMAGE("https://edmondsonsupply.com/cdn/shop/products/33736ins.jpg?v=1664807705")</f>
        <v/>
      </c>
      <c r="H2899">
        <f>_xlfn.IMAGE("https://m.media-amazon.com/images/I/41+LCtq0IpL._AC_UL320_.jpg")</f>
        <v/>
      </c>
      <c r="K2899" t="inlineStr">
        <is>
          <t>49.99</t>
        </is>
      </c>
      <c r="L2899" t="n">
        <v>37.36</v>
      </c>
      <c r="M2899" s="1" t="inlineStr">
        <is>
          <t>-25.27%</t>
        </is>
      </c>
      <c r="N2899" s="7" t="n">
        <v>160.68</v>
      </c>
      <c r="O2899" t="n">
        <v>4.8</v>
      </c>
      <c r="P2899" t="n">
        <v>1358</v>
      </c>
      <c r="R2899" t="inlineStr">
        <is>
          <t>InStock</t>
        </is>
      </c>
      <c r="S2899" t="inlineStr">
        <is>
          <t>73.98</t>
        </is>
      </c>
      <c r="T2899" t="inlineStr">
        <is>
          <t>7837641375960</t>
        </is>
      </c>
    </row>
    <row r="2900" ht="87" customHeight="1">
      <c r="A2900" s="2">
        <f>HYPERLINK("https://edmondsonsupply.com/collections/hvac/products/viega-25311-1-x-1-x-1-megapressg-tee", "https://edmondsonsupply.com/collections/hvac/products/viega-25311-1-x-1-x-1-megapressg-tee")</f>
        <v/>
      </c>
      <c r="B2900" s="2">
        <f>HYPERLINK("https://edmondsonsupply.com/products/viega-25311-1-x-1-x-1-megapressg-tee", "https://edmondsonsupply.com/products/viega-25311-1-x-1-x-1-megapressg-tee")</f>
        <v/>
      </c>
      <c r="C2900" t="inlineStr">
        <is>
          <t>Viega 25311 1" x 1" x 1" MegaPressG Tee</t>
        </is>
      </c>
      <c r="D2900" t="inlineStr">
        <is>
          <t>Viega MegaPressG 90 Elbow, 1" x 1", Steel</t>
        </is>
      </c>
      <c r="E2900" s="2">
        <f>HYPERLINK("https://www.amazon.com/Viega-MegaPressG-Carbon-Steel-Elbow/dp/B00COVX3K2/ref=sr_1_5?keywords=Viega+25311+1%22+x+1%22+x+1%22+MegaPressG+Tee&amp;qid=1694734852&amp;sr=8-5", "https://www.amazon.com/Viega-MegaPressG-Carbon-Steel-Elbow/dp/B00COVX3K2/ref=sr_1_5?keywords=Viega+25311+1%22+x+1%22+x+1%22+MegaPressG+Tee&amp;qid=1694734852&amp;sr=8-5")</f>
        <v/>
      </c>
      <c r="F2900" t="inlineStr">
        <is>
          <t>B00COVX3K2</t>
        </is>
      </c>
      <c r="G2900">
        <f>_xlfn.IMAGE("https://edmondsonsupply.com/cdn/shop/files/PPm6618_350a7cf0-3fd7-4b6c-a944-fda55769eb3b.jpg?v=1692570010")</f>
        <v/>
      </c>
      <c r="H2900">
        <f>_xlfn.IMAGE("https://m.media-amazon.com/images/I/51cc8PBnNUL._AC_UL320_.jpg")</f>
        <v/>
      </c>
      <c r="K2900" t="inlineStr">
        <is>
          <t>26.05</t>
        </is>
      </c>
      <c r="L2900" t="n">
        <v>19.45</v>
      </c>
      <c r="M2900" s="1" t="inlineStr">
        <is>
          <t>-25.34%</t>
        </is>
      </c>
      <c r="N2900" s="7" t="n">
        <v>160.68</v>
      </c>
      <c r="O2900" t="n">
        <v>5</v>
      </c>
      <c r="P2900" t="n">
        <v>1</v>
      </c>
      <c r="R2900" t="inlineStr">
        <is>
          <t>InStock</t>
        </is>
      </c>
      <c r="S2900" t="inlineStr">
        <is>
          <t>46.52</t>
        </is>
      </c>
      <c r="T2900" t="inlineStr">
        <is>
          <t>8029277552856</t>
        </is>
      </c>
    </row>
    <row r="2901" hidden="1" ht="15.75" customHeight="1">
      <c r="A2901" s="2">
        <f>HYPERLINK("https://edmondsonsupply.com/collections/hvac/products/icm-controls-icm492-single-phase-line-voltage-monitor", "https://edmondsonsupply.com/collections/hvac/products/icm-controls-icm492-single-phase-line-voltage-monitor")</f>
        <v/>
      </c>
      <c r="B2901" s="2">
        <f>HYPERLINK("https://edmondsonsupply.com/products/icm-controls-icm492-single-phase-line-voltage-monitor", "https://edmondsonsupply.com/products/icm-controls-icm492-single-phase-line-voltage-monitor")</f>
        <v/>
      </c>
      <c r="C2901" t="inlineStr">
        <is>
          <t>ICM Controls ICM492 Single Phase Line Voltage Monitor</t>
        </is>
      </c>
      <c r="D2901" t="inlineStr">
        <is>
          <t>ICM Controls ICM402 Three-Phase Line Voltage Monitor Offering Protection Against Phase Loss/Reversal and Unbalance, 50/60 Hz, 190-600 VAC (115 or 208/240 Control VAC)</t>
        </is>
      </c>
      <c r="E2901" s="2">
        <f>HYPERLINK("https://www.amazon.com/ICM-Controls-ICM402-Three-Phase-Protection/dp/B0018MLVUM/ref=sr_1_6?keywords=ICM+Controls+ICM492+Single+Phase+Line+Voltage+Monitor&amp;qid=1694734589&amp;sr=8-6", "https://www.amazon.com/ICM-Controls-ICM402-Three-Phase-Protection/dp/B0018MLVUM/ref=sr_1_6?keywords=ICM+Controls+ICM492+Single+Phase+Line+Voltage+Monitor&amp;qid=1694734589&amp;sr=8-6")</f>
        <v/>
      </c>
      <c r="F2901" t="inlineStr">
        <is>
          <t>B0018MLVUM</t>
        </is>
      </c>
      <c r="G2901">
        <f>_xludf.IMAGE("https://edmondsonsupply.com/cdn/shop/products/photo_3666_medium_19efda5b-a59a-4ff4-8872-2cd0c4aa35aa.png?v=1665085673")</f>
        <v/>
      </c>
      <c r="H2901">
        <f>_xludf.IMAGE("https://m.media-amazon.com/images/I/61uSt801lEL._AC_UL320_.jpg")</f>
        <v/>
      </c>
      <c r="K2901" t="inlineStr">
        <is>
          <t>89.99</t>
        </is>
      </c>
      <c r="L2901" t="n">
        <v>67.16</v>
      </c>
      <c r="M2901" s="1" t="inlineStr">
        <is>
          <t>-25.37%</t>
        </is>
      </c>
      <c r="N2901" s="1" t="n">
        <v>160</v>
      </c>
      <c r="O2901" t="n">
        <v>3.9</v>
      </c>
      <c r="P2901" t="n">
        <v>7</v>
      </c>
      <c r="R2901" t="inlineStr">
        <is>
          <t>InStock</t>
        </is>
      </c>
      <c r="S2901" t="inlineStr">
        <is>
          <t>94.5</t>
        </is>
      </c>
      <c r="T2901" t="inlineStr">
        <is>
          <t>7842397257944</t>
        </is>
      </c>
    </row>
    <row r="2902" hidden="1" ht="15.75" customHeight="1">
      <c r="A2902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2902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2902" t="inlineStr">
        <is>
          <t>Diablo Tools DMAMXCC5050 4 in. x 7 in. SDS-Max Carbide Tipped Core Bit</t>
        </is>
      </c>
      <c r="D2902" t="inlineStr">
        <is>
          <t>Diablo 3-9/16 in. x 7 in. SDS-Max Carbide Tipped Core Bit</t>
        </is>
      </c>
      <c r="E2902" s="2">
        <f>HYPERLINK("https://www.amazon.com/Diablo-DMAMXCC5040-SDS-Max-Carbide-Tipped/dp/B089M9SDDV/ref=sr_1_4?keywords=Diablo+Tools+DMAMXCC5050+4+in.+x+7+in.+SDS-Max+Carbide+Tipped+Core+Bit&amp;qid=1694734908&amp;sr=8-4", "https://www.amazon.com/Diablo-DMAMXCC5040-SDS-Max-Carbide-Tipped/dp/B089M9SDDV/ref=sr_1_4?keywords=Diablo+Tools+DMAMXCC5050+4+in.+x+7+in.+SDS-Max+Carbide+Tipped+Core+Bit&amp;qid=1694734908&amp;sr=8-4")</f>
        <v/>
      </c>
      <c r="F2902" t="inlineStr">
        <is>
          <t>B089M9SDDV</t>
        </is>
      </c>
      <c r="G2902">
        <f>_xludf.IMAGE("https://edmondsonsupply.com/cdn/shop/files/yghx7uqdjxchri5fikny.webp?v=1686586834")</f>
        <v/>
      </c>
      <c r="H2902">
        <f>_xludf.IMAGE("https://m.media-amazon.com/images/I/71hVl4OIfrL._AC_UL320_.jpg")</f>
        <v/>
      </c>
      <c r="K2902" t="inlineStr">
        <is>
          <t>151.4</t>
        </is>
      </c>
      <c r="L2902" t="n">
        <v>112.99</v>
      </c>
      <c r="M2902" s="1" t="inlineStr">
        <is>
          <t>-25.37%</t>
        </is>
      </c>
      <c r="N2902" s="1" t="n">
        <v>159.29</v>
      </c>
      <c r="O2902" t="n">
        <v>4</v>
      </c>
      <c r="P2902" t="n">
        <v>1</v>
      </c>
      <c r="R2902" t="inlineStr">
        <is>
          <t>InStock</t>
        </is>
      </c>
      <c r="S2902" t="inlineStr">
        <is>
          <t>240.33</t>
        </is>
      </c>
      <c r="T2902" t="inlineStr">
        <is>
          <t>8004510908632</t>
        </is>
      </c>
    </row>
    <row r="2903" ht="87" customHeight="1">
      <c r="A2903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903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903" t="inlineStr">
        <is>
          <t>Klein Tools D20009NEGLW High-Visibility Side-Cutting Pliers High-Leverage</t>
        </is>
      </c>
      <c r="D2903" t="inlineStr">
        <is>
          <t>Klein Tools D213-8NE Pliers, 8-Inch Side Cutters, High Leverage Lineman's Pliers Cut Copper, Aluminum and other Soft Metals</t>
        </is>
      </c>
      <c r="E2903" s="2">
        <f>HYPERLINK("https://www.amazon.com/Klein-Tools-D213-8NE-Linemans-Pliers/dp/B000UQ5QW6/ref=sr_1_34?keywords=Klein+Tools+D20009NEGLW+High-Visibility+Side-Cutting+Pliers+High-Leverage&amp;qid=1694734809&amp;sr=8-34", "https://www.amazon.com/Klein-Tools-D213-8NE-Linemans-Pliers/dp/B000UQ5QW6/ref=sr_1_34?keywords=Klein+Tools+D20009NEGLW+High-Visibility+Side-Cutting+Pliers+High-Leverage&amp;qid=1694734809&amp;sr=8-34")</f>
        <v/>
      </c>
      <c r="F2903" t="inlineStr">
        <is>
          <t>B000UQ5QW6</t>
        </is>
      </c>
      <c r="G2903">
        <f>_xlfn.IMAGE("https://edmondsonsupply.com/cdn/shop/products/d20009neglw.jpg?v=1587144933")</f>
        <v/>
      </c>
      <c r="H2903">
        <f>_xlfn.IMAGE("https://m.media-amazon.com/images/I/51QNEEU4fsL._AC_UL320_.jpg")</f>
        <v/>
      </c>
      <c r="K2903" t="inlineStr">
        <is>
          <t>44.97</t>
        </is>
      </c>
      <c r="L2903" t="n">
        <v>33.49</v>
      </c>
      <c r="M2903" s="1" t="inlineStr">
        <is>
          <t>-25.53%</t>
        </is>
      </c>
      <c r="N2903" s="7" t="n">
        <v>158.84</v>
      </c>
      <c r="O2903" t="n">
        <v>4.6</v>
      </c>
      <c r="P2903" t="n">
        <v>416</v>
      </c>
      <c r="R2903" t="inlineStr">
        <is>
          <t>InStock</t>
        </is>
      </c>
      <c r="S2903" t="inlineStr">
        <is>
          <t>68.16</t>
        </is>
      </c>
      <c r="T2903" t="inlineStr">
        <is>
          <t>4396888490084</t>
        </is>
      </c>
    </row>
    <row r="2904" hidden="1" ht="15.75" customHeight="1">
      <c r="A2904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904" s="2">
        <f>HYPERLINK("https://edmondsonsupply.com/products/klein-tools-pnd-12-5-1-2-inch-power-nut-driver-5-inch-length", "https://edmondsonsupply.com/products/klein-tools-pnd-12-5-1-2-inch-power-nut-driver-5-inch-length")</f>
        <v/>
      </c>
      <c r="C2904" t="inlineStr">
        <is>
          <t>Klein Tools PND-12-5 1/2-Inch Power Nut Driver 5-Inch Length</t>
        </is>
      </c>
      <c r="D2904" t="inlineStr">
        <is>
          <t>Klein Tools 610 Tool Set, Nut Driver Set with Stubby Nut Driver Sizes 1/4 and 5/16-Inch, Full Hollow Shaft, 2-Piece</t>
        </is>
      </c>
      <c r="E2904" s="2">
        <f>HYPERLINK("https://www.amazon.com/Klein-Tools-610-16-Inch-2-Piece/dp/B000CSKRCQ/ref=sr_1_17?keywords=Klein+Tools+PND-12-5+1%2F2-Inch+Power+Nut+Driver+5-Inch+Length&amp;qid=1694734708&amp;sr=8-17", "https://www.amazon.com/Klein-Tools-610-16-Inch-2-Piece/dp/B000CSKRCQ/ref=sr_1_17?keywords=Klein+Tools+PND-12-5+1%2F2-Inch+Power+Nut+Driver+5-Inch+Length&amp;qid=1694734708&amp;sr=8-17")</f>
        <v/>
      </c>
      <c r="F2904" t="inlineStr">
        <is>
          <t>B000CSKRCQ</t>
        </is>
      </c>
      <c r="G2904">
        <f>_xludf.IMAGE("https://edmondsonsupply.com/cdn/shop/products/pnd125.jpg?v=1633031028")</f>
        <v/>
      </c>
      <c r="H2904">
        <f>_xludf.IMAGE("https://m.media-amazon.com/images/I/51+8QhofFWL._AC_UL320_.jpg")</f>
        <v/>
      </c>
      <c r="K2904" t="inlineStr">
        <is>
          <t>18.99</t>
        </is>
      </c>
      <c r="L2904" t="n">
        <v>14.14</v>
      </c>
      <c r="M2904" s="1" t="inlineStr">
        <is>
          <t>-25.54%</t>
        </is>
      </c>
      <c r="N2904" s="1" t="n">
        <v>158.11</v>
      </c>
      <c r="O2904" t="n">
        <v>4.9</v>
      </c>
      <c r="P2904" t="n">
        <v>19</v>
      </c>
      <c r="R2904" t="inlineStr">
        <is>
          <t>InStock</t>
        </is>
      </c>
      <c r="S2904" t="inlineStr">
        <is>
          <t>30.98</t>
        </is>
      </c>
      <c r="T2904" t="inlineStr">
        <is>
          <t>6729466445997</t>
        </is>
      </c>
    </row>
    <row r="2905" hidden="1" ht="15.75" customHeight="1">
      <c r="A2905" s="2">
        <f>HYPERLINK("https://edmondsonsupply.com/collections/hvac/products/packard-prmj145a-motor-start-capacitor-145-174-mfd", "https://edmondsonsupply.com/collections/hvac/products/packard-prmj145a-motor-start-capacitor-145-174-mfd")</f>
        <v/>
      </c>
      <c r="B2905" s="2">
        <f>HYPERLINK("https://edmondsonsupply.com/products/packard-prmj145a-motor-start-capacitor-145-174-mfd", "https://edmondsonsupply.com/products/packard-prmj145a-motor-start-capacitor-145-174-mfd")</f>
        <v/>
      </c>
      <c r="C2905" t="inlineStr">
        <is>
          <t>Packard PRMJ145A Motor Start Capacitor 145-174 MFD</t>
        </is>
      </c>
      <c r="D2905" t="inlineStr">
        <is>
          <t>Packard PRMJ145 Packard 330V Start Capacitor 145-174 MFD</t>
        </is>
      </c>
      <c r="E2905" s="2">
        <f>HYPERLINK("https://www.amazon.com/Packard-PRMJ145-Start-Capacitor-145-174/dp/B005YN6RNW/ref=sr_1_2?keywords=Packard+PRMJ145A+Motor+Start+Capacitor+145-174+MFD&amp;qid=1694734791&amp;sr=8-2", "https://www.amazon.com/Packard-PRMJ145-Start-Capacitor-145-174/dp/B005YN6RNW/ref=sr_1_2?keywords=Packard+PRMJ145A+Motor+Start+Capacitor+145-174+MFD&amp;qid=1694734791&amp;sr=8-2")</f>
        <v/>
      </c>
      <c r="F2905" t="inlineStr">
        <is>
          <t>B005YN6RNW</t>
        </is>
      </c>
      <c r="G2905">
        <f>_xludf.IMAGE("https://edmondsonsupply.com/cdn/shop/products/PRMJ145A-2.jpg?v=1633030335")</f>
        <v/>
      </c>
      <c r="H2905">
        <f>_xludf.IMAGE("https://m.media-amazon.com/images/I/31xnz7ICOzL._AC_UY218_.jpg")</f>
        <v/>
      </c>
      <c r="K2905" t="inlineStr">
        <is>
          <t>7.51</t>
        </is>
      </c>
      <c r="L2905" t="n">
        <v>5.59</v>
      </c>
      <c r="M2905" s="1" t="inlineStr">
        <is>
          <t>-25.57%</t>
        </is>
      </c>
      <c r="N2905" s="1" t="n">
        <v>158.09</v>
      </c>
      <c r="O2905" t="n">
        <v>4.9</v>
      </c>
      <c r="P2905" t="n">
        <v>15</v>
      </c>
      <c r="R2905" t="inlineStr">
        <is>
          <t>InStock</t>
        </is>
      </c>
      <c r="S2905" t="inlineStr">
        <is>
          <t>undefined</t>
        </is>
      </c>
      <c r="T2905" t="inlineStr">
        <is>
          <t>5272211062952</t>
        </is>
      </c>
    </row>
    <row r="2906" ht="87" customHeight="1">
      <c r="A2906" s="2">
        <f>HYPERLINK("https://edmondsonsupply.com/collections/hvac/products/channellock-430cb", "https://edmondsonsupply.com/collections/hvac/products/channellock-430cb")</f>
        <v/>
      </c>
      <c r="B2906" s="2">
        <f>HYPERLINK("https://edmondsonsupply.com/products/channellock-430cb", "https://edmondsonsupply.com/products/channellock-430cb")</f>
        <v/>
      </c>
      <c r="C2906" t="inlineStr">
        <is>
          <t>Channellock 430CB 10" Code Blue Straight Jaw Tongue &amp; Groove Pliers</t>
        </is>
      </c>
      <c r="D2906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2906" s="2">
        <f>HYPERLINK("https://www.amazon.com/Channellock-430-Straight-Heat-Treated-Reinforcing/dp/B00002N5JF/ref=sr_1_4?keywords=Channellock+430CB+10%22+Code+Blue+Straight+Jaw+Tongue+%26+Groove+Pliers&amp;qid=1694734733&amp;sr=8-4", "https://www.amazon.com/Channellock-430-Straight-Heat-Treated-Reinforcing/dp/B00002N5JF/ref=sr_1_4?keywords=Channellock+430CB+10%22+Code+Blue+Straight+Jaw+Tongue+%26+Groove+Pliers&amp;qid=1694734733&amp;sr=8-4")</f>
        <v/>
      </c>
      <c r="F2906" t="inlineStr">
        <is>
          <t>B00002N5JF</t>
        </is>
      </c>
      <c r="G2906">
        <f>_xlfn.IMAGE("https://edmondsonsupply.com/cdn/shop/products/430CB-683x1024.jpg?v=1587147133")</f>
        <v/>
      </c>
      <c r="H2906">
        <f>_xlfn.IMAGE("https://m.media-amazon.com/images/I/71JqgqffnnL._AC_UL320_.jpg")</f>
        <v/>
      </c>
      <c r="K2906" t="inlineStr">
        <is>
          <t>26.95</t>
        </is>
      </c>
      <c r="L2906" t="n">
        <v>19.95</v>
      </c>
      <c r="M2906" s="1" t="inlineStr">
        <is>
          <t>-25.97%</t>
        </is>
      </c>
      <c r="N2906" s="7" t="n">
        <v>156.72</v>
      </c>
      <c r="O2906" t="n">
        <v>4.8</v>
      </c>
      <c r="P2906" t="n">
        <v>2186</v>
      </c>
      <c r="R2906" t="inlineStr">
        <is>
          <t>InStock</t>
        </is>
      </c>
      <c r="S2906" t="inlineStr">
        <is>
          <t>37.91</t>
        </is>
      </c>
      <c r="T2906" t="inlineStr">
        <is>
          <t>3725968736356</t>
        </is>
      </c>
    </row>
    <row r="2907" ht="87" customHeight="1">
      <c r="A2907" s="2">
        <f>HYPERLINK("https://edmondsonsupply.com/collections/hvac/products/klein-tools-9230-tape-measure-30-foot-magnetic-double-hook", "https://edmondsonsupply.com/collections/hvac/products/klein-tools-9230-tape-measure-30-foot-magnetic-double-hook")</f>
        <v/>
      </c>
      <c r="B2907" s="2">
        <f>HYPERLINK("https://edmondsonsupply.com/products/klein-tools-9230-tape-measure-30-foot-magnetic-double-hook", "https://edmondsonsupply.com/products/klein-tools-9230-tape-measure-30-foot-magnetic-double-hook")</f>
        <v/>
      </c>
      <c r="C2907" t="inlineStr">
        <is>
          <t>Klein Tools 9230 Tape Measure, 30-Foot Magnetic Double-Hook</t>
        </is>
      </c>
      <c r="D2907" t="inlineStr">
        <is>
          <t>Klein Tools 9225 Tape Measure, Heavy-Duty Measuring Tape with 25-Foot Double-Hook Double-Sided Nylon Reinforced Blade, with Metal Belt Clip</t>
        </is>
      </c>
      <c r="E2907" s="2">
        <f>HYPERLINK("https://www.amazon.com/Klein-Tools-Measure-Magnetic-Double-Hook/dp/B07WF9TKNN/ref=sr_1_2?keywords=Klein+Tools+9230+Tape+Measure%2C+30-Foot+Magnetic+Double-Hook&amp;qid=1694734809&amp;sr=8-2", "https://www.amazon.com/Klein-Tools-Measure-Magnetic-Double-Hook/dp/B07WF9TKNN/ref=sr_1_2?keywords=Klein+Tools+9230+Tape+Measure%2C+30-Foot+Magnetic+Double-Hook&amp;qid=1694734809&amp;sr=8-2")</f>
        <v/>
      </c>
      <c r="F2907" t="inlineStr">
        <is>
          <t>B07WF9TKNN</t>
        </is>
      </c>
      <c r="G2907">
        <f>_xlfn.IMAGE("https://edmondsonsupply.com/cdn/shop/products/9230_photo.jpg?v=1587150845")</f>
        <v/>
      </c>
      <c r="H2907">
        <f>_xlfn.IMAGE("https://m.media-amazon.com/images/I/51-QFLUv4EL._AC_UL320_.jpg")</f>
        <v/>
      </c>
      <c r="K2907" t="inlineStr">
        <is>
          <t>33.99</t>
        </is>
      </c>
      <c r="L2907" t="n">
        <v>24.97</v>
      </c>
      <c r="M2907" s="1" t="inlineStr">
        <is>
          <t>-26.54%</t>
        </is>
      </c>
      <c r="N2907" s="7" t="n">
        <v>156.41</v>
      </c>
      <c r="O2907" t="n">
        <v>4.6</v>
      </c>
      <c r="P2907" t="n">
        <v>1943</v>
      </c>
      <c r="R2907" t="inlineStr">
        <is>
          <t>InStock</t>
        </is>
      </c>
      <c r="S2907" t="inlineStr">
        <is>
          <t>44.94</t>
        </is>
      </c>
      <c r="T2907" t="inlineStr">
        <is>
          <t>4411548041316</t>
        </is>
      </c>
    </row>
    <row r="2908" ht="87" customHeight="1">
      <c r="A2908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908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908" t="inlineStr">
        <is>
          <t>Klein Tools D20009NEGLW High-Visibility Side-Cutting Pliers High-Leverage</t>
        </is>
      </c>
      <c r="D2908" t="inlineStr">
        <is>
          <t>Klein Tools D228-8TT Pliers, Diagonal Cutting Pliers with High-Leverage Design and Tether Ring, 8-Inch</t>
        </is>
      </c>
      <c r="E2908" s="2">
        <f>HYPERLINK("https://www.amazon.com/Leverage-Diagonal-Klein-Tools-D228-8TT/dp/B01K76W5UE/ref=sr_1_30?keywords=Klein+Tools+D20009NEGLW+High-Visibility+Side-Cutting+Pliers+High-Leverage&amp;qid=1694734809&amp;sr=8-30", "https://www.amazon.com/Leverage-Diagonal-Klein-Tools-D228-8TT/dp/B01K76W5UE/ref=sr_1_30?keywords=Klein+Tools+D20009NEGLW+High-Visibility+Side-Cutting+Pliers+High-Leverage&amp;qid=1694734809&amp;sr=8-30")</f>
        <v/>
      </c>
      <c r="F2908" t="inlineStr">
        <is>
          <t>B01K76W5UE</t>
        </is>
      </c>
      <c r="G2908">
        <f>_xlfn.IMAGE("https://edmondsonsupply.com/cdn/shop/products/d20009neglw.jpg?v=1587144933")</f>
        <v/>
      </c>
      <c r="H2908">
        <f>_xlfn.IMAGE("https://m.media-amazon.com/images/I/41Jkh6uEiRL._AC_UL320_.jpg")</f>
        <v/>
      </c>
      <c r="K2908" t="inlineStr">
        <is>
          <t>44.97</t>
        </is>
      </c>
      <c r="L2908" t="n">
        <v>32.99</v>
      </c>
      <c r="M2908" s="1" t="inlineStr">
        <is>
          <t>-26.64%</t>
        </is>
      </c>
      <c r="N2908" s="7" t="n">
        <v>156.31</v>
      </c>
      <c r="O2908" t="n">
        <v>5</v>
      </c>
      <c r="P2908" t="n">
        <v>16</v>
      </c>
      <c r="R2908" t="inlineStr">
        <is>
          <t>InStock</t>
        </is>
      </c>
      <c r="S2908" t="inlineStr">
        <is>
          <t>68.16</t>
        </is>
      </c>
      <c r="T2908" t="inlineStr">
        <is>
          <t>4396888490084</t>
        </is>
      </c>
    </row>
    <row r="2909" ht="87" customHeight="1">
      <c r="A2909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2909" s="2">
        <f>HYPERLINK("https://edmondsonsupply.com/products/klein-tools-935dag-digital-angle-gauge-and-level", "https://edmondsonsupply.com/products/klein-tools-935dag-digital-angle-gauge-and-level")</f>
        <v/>
      </c>
      <c r="C2909" t="inlineStr">
        <is>
          <t>Klein Tools 935DAG Digital Angle Gauge and Level</t>
        </is>
      </c>
      <c r="D2909" t="inlineStr">
        <is>
          <t>Digital Angle Finder by TickTockTools - Magnetic Mini Level and Bevel Gauge - Woodworking with Table or Miter Saw - Inclinometer - Precise Measurement Tool with LCD and Backlight - 180 Degree Rotation</t>
        </is>
      </c>
      <c r="E2909" s="2">
        <f>HYPERLINK("https://www.amazon.com/Digital-Angle-Finder-TickTockTools-Inclinometer/dp/B07GH7Y5ZM/ref=sr_1_24?keywords=Klein+Tools+935DAG+Digital+Angle+Gauge+and+Level&amp;qid=1694734733&amp;sr=8-24", "https://www.amazon.com/Digital-Angle-Finder-TickTockTools-Inclinometer/dp/B07GH7Y5ZM/ref=sr_1_24?keywords=Klein+Tools+935DAG+Digital+Angle+Gauge+and+Level&amp;qid=1694734733&amp;sr=8-24")</f>
        <v/>
      </c>
      <c r="F2909" t="inlineStr">
        <is>
          <t>B07GH7Y5ZM</t>
        </is>
      </c>
      <c r="G2909">
        <f>_xlfn.IMAGE("https://edmondsonsupply.com/cdn/shop/products/935dag.jpg?v=1587145032")</f>
        <v/>
      </c>
      <c r="H2909">
        <f>_xlfn.IMAGE("https://m.media-amazon.com/images/I/81r3Ntk0jFL._AC_UL320_.jpg")</f>
        <v/>
      </c>
      <c r="K2909" t="inlineStr">
        <is>
          <t>29.97</t>
        </is>
      </c>
      <c r="L2909" t="n">
        <v>21.97</v>
      </c>
      <c r="M2909" s="1" t="inlineStr">
        <is>
          <t>-26.69%</t>
        </is>
      </c>
      <c r="N2909" s="7" t="n">
        <v>154.93</v>
      </c>
      <c r="O2909" t="n">
        <v>4.6</v>
      </c>
      <c r="P2909" t="n">
        <v>2222</v>
      </c>
      <c r="R2909" t="inlineStr">
        <is>
          <t>InStock</t>
        </is>
      </c>
      <c r="S2909" t="inlineStr">
        <is>
          <t>45.0</t>
        </is>
      </c>
      <c r="T2909" t="inlineStr">
        <is>
          <t>4167487094884</t>
        </is>
      </c>
    </row>
    <row r="2910" hidden="1" ht="15.75" customHeight="1">
      <c r="A2910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910" s="2">
        <f>HYPERLINK("https://edmondsonsupply.com/products/diablo-tools-dag1130-1-in-x-7-1-2-in-auger-bit", "https://edmondsonsupply.com/products/diablo-tools-dag1130-1-in-x-7-1-2-in-auger-bit")</f>
        <v/>
      </c>
      <c r="C2910" t="inlineStr">
        <is>
          <t>Diablo Tools DAG1130 1 in. x 7-1/2 in. Auger Bit</t>
        </is>
      </c>
      <c r="D2910" t="inlineStr">
        <is>
          <t>Diablo 3/8 in. x 7-1/2 in. Auger Bit</t>
        </is>
      </c>
      <c r="E2910" s="2">
        <f>HYPERLINK("https://www.amazon.com/Diablo-Freud-DAG1030-7-1-Auger/dp/B089KWZ4C4/ref=sr_1_12?keywords=Diablo+Tools+DAG1130+1+in.+x+7-1%2F2+in.+Auger+Bit&amp;qid=1694734776&amp;sr=8-12", "https://www.amazon.com/Diablo-Freud-DAG1030-7-1-Auger/dp/B089KWZ4C4/ref=sr_1_12?keywords=Diablo+Tools+DAG1130+1+in.+x+7-1%2F2+in.+Auger+Bit&amp;qid=1694734776&amp;sr=8-12")</f>
        <v/>
      </c>
      <c r="F2910" t="inlineStr">
        <is>
          <t>B089KWZ4C4</t>
        </is>
      </c>
      <c r="G2910">
        <f>_xludf.IMAGE("https://edmondsonsupply.com/cdn/shop/products/DAG1130_Main-Image20200712.png?v=1633031124")</f>
        <v/>
      </c>
      <c r="H2910">
        <f>_xludf.IMAGE("https://m.media-amazon.com/images/I/615E8KqWW3L._AC_UL320_.jpg")</f>
        <v/>
      </c>
      <c r="K2910" t="inlineStr">
        <is>
          <t>16.37</t>
        </is>
      </c>
      <c r="L2910" t="n">
        <v>12</v>
      </c>
      <c r="M2910" s="1" t="inlineStr">
        <is>
          <t>-26.70%</t>
        </is>
      </c>
      <c r="N2910" s="1" t="n">
        <v>154.02</v>
      </c>
      <c r="O2910" t="n">
        <v>4.1</v>
      </c>
      <c r="P2910" t="n">
        <v>15</v>
      </c>
      <c r="R2910" t="inlineStr">
        <is>
          <t>InStock</t>
        </is>
      </c>
      <c r="S2910" t="inlineStr">
        <is>
          <t>25.94</t>
        </is>
      </c>
      <c r="T2910" t="inlineStr">
        <is>
          <t>6866560581805</t>
        </is>
      </c>
    </row>
    <row r="2911" hidden="1" ht="15.75" customHeight="1">
      <c r="A2911" s="2">
        <f>HYPERLINK("https://edmondsonsupply.com/collections/hvac/products/milwaukee-48-22-1502-fastback%E2%84%A2-folding-utility-knife-w-blade-storage", "https://edmondsonsupply.com/collections/hvac/products/milwaukee-48-22-1502-fastback%E2%84%A2-folding-utility-knife-w-blade-storage")</f>
        <v/>
      </c>
      <c r="B2911" s="2">
        <f>HYPERLINK("https://edmondsonsupply.com/products/milwaukee-48-22-1502-fastback%e2%84%a2-folding-utility-knife-w-blade-storage", "https://edmondsonsupply.com/products/milwaukee-48-22-1502-fastback%e2%84%a2-folding-utility-knife-w-blade-storage")</f>
        <v/>
      </c>
      <c r="C2911" t="inlineStr">
        <is>
          <t>Milwaukee 48-22-1502 FASTBACK™ Folding Utility Knife w/ Blade Storage</t>
        </is>
      </c>
      <c r="D2911" t="inlineStr">
        <is>
          <t>Milwaukee 48-22-1501 Fastback Folding Utility Knife with Wire Stripper, Gut Hook, and Quick Blade Change</t>
        </is>
      </c>
      <c r="E2911" s="2">
        <f>HYPERLINK("https://www.amazon.com/Milwaukee-48-22-1501-Fastback-Folding-Stripper/dp/B083G6J5T3/ref=sr_1_1?keywords=Milwaukee+48-22-1502+FASTBACK%E2%84%A2+Folding+Utility+Knife+w%2F+Blade+Storage&amp;qid=1694734633&amp;sr=8-1", "https://www.amazon.com/Milwaukee-48-22-1501-Fastback-Folding-Stripper/dp/B083G6J5T3/ref=sr_1_1?keywords=Milwaukee+48-22-1502+FASTBACK%E2%84%A2+Folding+Utility+Knife+w%2F+Blade+Storage&amp;qid=1694734633&amp;sr=8-1")</f>
        <v/>
      </c>
      <c r="F2911" t="inlineStr">
        <is>
          <t>B083G6J5T3</t>
        </is>
      </c>
      <c r="G2911">
        <f>_xludf.IMAGE("https://edmondsonsupply.com/cdn/shop/products/48-22-1502_3.png?v=1587148345")</f>
        <v/>
      </c>
      <c r="H2911">
        <f>_xludf.IMAGE("https://m.media-amazon.com/images/I/41WVxcFxEZL._AC_UL320_.jpg")</f>
        <v/>
      </c>
      <c r="K2911" t="inlineStr">
        <is>
          <t>14.97</t>
        </is>
      </c>
      <c r="L2911" t="n">
        <v>10.97</v>
      </c>
      <c r="M2911" s="1" t="inlineStr">
        <is>
          <t>-26.72%</t>
        </is>
      </c>
      <c r="N2911" s="1" t="n">
        <v>153.2</v>
      </c>
      <c r="O2911" t="n">
        <v>4.8</v>
      </c>
      <c r="P2911" t="n">
        <v>483</v>
      </c>
      <c r="R2911" t="inlineStr">
        <is>
          <t>InStock</t>
        </is>
      </c>
      <c r="S2911" t="inlineStr">
        <is>
          <t>23.0</t>
        </is>
      </c>
      <c r="T2911" t="inlineStr">
        <is>
          <t>4399154069604</t>
        </is>
      </c>
    </row>
    <row r="2912" ht="87" customHeight="1">
      <c r="A2912" s="2">
        <f>HYPERLINK("https://edmondsonsupply.com/collections/hvac/products/milwaukee-2366-20-m18%E2%84%A2-rover%E2%84%A2-dual-power-flood-light", "https://edmondsonsupply.com/collections/hvac/products/milwaukee-2366-20-m18%E2%84%A2-rover%E2%84%A2-dual-power-flood-light")</f>
        <v/>
      </c>
      <c r="B2912" s="2">
        <f>HYPERLINK("https://edmondsonsupply.com/products/milwaukee-2366-20-m18%e2%84%a2-rover%e2%84%a2-dual-power-flood-light", "https://edmondsonsupply.com/products/milwaukee-2366-20-m18%e2%84%a2-rover%e2%84%a2-dual-power-flood-light")</f>
        <v/>
      </c>
      <c r="C2912" t="inlineStr">
        <is>
          <t>Milwaukee 2366-20 M18™ ROVER™ Dual Power Flood Light</t>
        </is>
      </c>
      <c r="D2912" t="inlineStr">
        <is>
          <t>Milwaukee 2366-20 M18 ROVER Compact Lithium-Ion Dual Power 4000 Lumens Corded/ Cordless LED Flood Light (Tool Only)</t>
        </is>
      </c>
      <c r="E2912" s="2">
        <f>HYPERLINK("https://www.amazon.com/Milwaukee-2366-20-Compact-Lithium-Ion-Cordless/dp/B08YS6CXG6/ref=sr_1_2?keywords=Milwaukee+2366-20+M18%E2%84%A2+ROVER%E2%84%A2+Dual+Power+Flood+Light&amp;qid=1694734706&amp;sr=8-2", "https://www.amazon.com/Milwaukee-2366-20-Compact-Lithium-Ion-Cordless/dp/B08YS6CXG6/ref=sr_1_2?keywords=Milwaukee+2366-20+M18%E2%84%A2+ROVER%E2%84%A2+Dual+Power+Flood+Light&amp;qid=1694734706&amp;sr=8-2")</f>
        <v/>
      </c>
      <c r="F2912" t="inlineStr">
        <is>
          <t>B08YS6CXG6</t>
        </is>
      </c>
      <c r="G2912">
        <f>_xlfn.IMAGE("https://edmondsonsupply.com/cdn/shop/products/2366-20_1.png?v=1657210550")</f>
        <v/>
      </c>
      <c r="H2912">
        <f>_xlfn.IMAGE("https://m.media-amazon.com/images/I/51po+g4rqNL._AC_UL320_.jpg")</f>
        <v/>
      </c>
      <c r="K2912" t="inlineStr">
        <is>
          <t>149.0</t>
        </is>
      </c>
      <c r="L2912" t="n">
        <v>108.98</v>
      </c>
      <c r="M2912" s="1" t="inlineStr">
        <is>
          <t>-26.86%</t>
        </is>
      </c>
      <c r="N2912" s="7" t="n">
        <v>152.79</v>
      </c>
      <c r="O2912" t="n">
        <v>4.9</v>
      </c>
      <c r="P2912" t="n">
        <v>153</v>
      </c>
      <c r="R2912" t="inlineStr">
        <is>
          <t>InStock</t>
        </is>
      </c>
      <c r="S2912" t="inlineStr">
        <is>
          <t>256.0</t>
        </is>
      </c>
      <c r="T2912" t="inlineStr">
        <is>
          <t>7741220815064</t>
        </is>
      </c>
    </row>
    <row r="2913" hidden="1" ht="15.75" customHeight="1">
      <c r="A2913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913" s="2">
        <f>HYPERLINK("https://edmondsonsupply.com/products/diablo-tools-dag1130-1-in-x-7-1-2-in-auger-bit", "https://edmondsonsupply.com/products/diablo-tools-dag1130-1-in-x-7-1-2-in-auger-bit")</f>
        <v/>
      </c>
      <c r="C2913" t="inlineStr">
        <is>
          <t>Diablo Tools DAG1130 1 in. x 7-1/2 in. Auger Bit</t>
        </is>
      </c>
      <c r="D2913" t="inlineStr">
        <is>
          <t>Diablo 1/4 in. x 7-1/2 in. Auger Bit</t>
        </is>
      </c>
      <c r="E2913" s="2">
        <f>HYPERLINK("https://www.amazon.com/Diablo-DAG1010-7-1-Auger-Bit/dp/B089LG7B4D/ref=sr_1_4?keywords=Diablo+Tools+DAG1130+1+in.+x+7-1%2F2+in.+Auger+Bit&amp;qid=1694734776&amp;sr=8-4", "https://www.amazon.com/Diablo-DAG1010-7-1-Auger-Bit/dp/B089LG7B4D/ref=sr_1_4?keywords=Diablo+Tools+DAG1130+1+in.+x+7-1%2F2+in.+Auger+Bit&amp;qid=1694734776&amp;sr=8-4")</f>
        <v/>
      </c>
      <c r="F2913" t="inlineStr">
        <is>
          <t>B089LG7B4D</t>
        </is>
      </c>
      <c r="G2913">
        <f>_xludf.IMAGE("https://edmondsonsupply.com/cdn/shop/products/DAG1130_Main-Image20200712.png?v=1633031124")</f>
        <v/>
      </c>
      <c r="H2913">
        <f>_xludf.IMAGE("https://m.media-amazon.com/images/I/618M4WXOShL._AC_UL320_.jpg")</f>
        <v/>
      </c>
      <c r="K2913" t="inlineStr">
        <is>
          <t>16.37</t>
        </is>
      </c>
      <c r="L2913" t="n">
        <v>11.97</v>
      </c>
      <c r="M2913" s="1" t="inlineStr">
        <is>
          <t>-26.88%</t>
        </is>
      </c>
      <c r="N2913" s="1" t="n">
        <v>152.35</v>
      </c>
      <c r="O2913" t="n">
        <v>3.2</v>
      </c>
      <c r="P2913" t="n">
        <v>5</v>
      </c>
      <c r="R2913" t="inlineStr">
        <is>
          <t>InStock</t>
        </is>
      </c>
      <c r="S2913" t="inlineStr">
        <is>
          <t>25.94</t>
        </is>
      </c>
      <c r="T2913" t="inlineStr">
        <is>
          <t>6866560581805</t>
        </is>
      </c>
    </row>
    <row r="2914" ht="87" customHeight="1">
      <c r="A2914" s="2">
        <f>HYPERLINK("https://edmondsonsupply.com/collections/hvac/products/channellock-tool-roll-6lc-6pc-little-champ%C2%AEtool-roll", "https://edmondsonsupply.com/collections/hvac/products/channellock-tool-roll-6lc-6pc-little-champ%C2%AEtool-roll")</f>
        <v/>
      </c>
      <c r="B2914" s="2">
        <f>HYPERLINK("https://edmondsonsupply.com/products/channellock-tool-roll-6lc-6pc-little-champ%c2%aetool-roll", "https://edmondsonsupply.com/products/channellock-tool-roll-6lc-6pc-little-champ%c2%aetool-roll")</f>
        <v/>
      </c>
      <c r="C2914" t="inlineStr">
        <is>
          <t>Channellock Tool Roll-6LC 6pc LITTLE CHAMP®Tool Set with Tool Roll</t>
        </is>
      </c>
      <c r="D2914" t="inlineStr">
        <is>
          <t>CHANNELLOCK GP-7 6pc Professional Tool Set with Tool Roll | Includes 4 Pliers, Wrench, Driver, Roll</t>
        </is>
      </c>
      <c r="E2914" s="2">
        <f>HYPERLINK("https://www.amazon.com/Channellock-GP-7-Blue-Tool-Roll/dp/B0029PENOI/ref=sr_1_1?keywords=Channellock+Tool+Roll-6LC+6pc+LITTLE+CHAMP%C2%AETool+Set+with+Tool+Roll&amp;qid=1694734662&amp;sr=8-1", "https://www.amazon.com/Channellock-GP-7-Blue-Tool-Roll/dp/B0029PENOI/ref=sr_1_1?keywords=Channellock+Tool+Roll-6LC+6pc+LITTLE+CHAMP%C2%AETool+Set+with+Tool+Roll&amp;qid=1694734662&amp;sr=8-1")</f>
        <v/>
      </c>
      <c r="F2914" t="inlineStr">
        <is>
          <t>B0029PENOI</t>
        </is>
      </c>
      <c r="G2914">
        <f>_xlfn.IMAGE("https://edmondsonsupply.com/cdn/shop/products/TOOL-ROLL-6LC-6PC.jpg?v=1633030531")</f>
        <v/>
      </c>
      <c r="H2914">
        <f>_xlfn.IMAGE("https://m.media-amazon.com/images/I/81Fq+rjCiOL._AC_UL320_.jpg")</f>
        <v/>
      </c>
      <c r="K2914" t="inlineStr">
        <is>
          <t>129.95</t>
        </is>
      </c>
      <c r="L2914" t="n">
        <v>94.95</v>
      </c>
      <c r="M2914" s="1" t="inlineStr">
        <is>
          <t>-26.93%</t>
        </is>
      </c>
      <c r="N2914" s="7" t="n">
        <v>151.71</v>
      </c>
      <c r="O2914" t="n">
        <v>4.5</v>
      </c>
      <c r="P2914" t="n">
        <v>38</v>
      </c>
      <c r="R2914" t="inlineStr">
        <is>
          <t>OutOfStock</t>
        </is>
      </c>
      <c r="S2914" t="inlineStr">
        <is>
          <t>216.7</t>
        </is>
      </c>
      <c r="T2914" t="inlineStr">
        <is>
          <t>5410962178216</t>
        </is>
      </c>
    </row>
    <row r="2915" ht="87" customHeight="1">
      <c r="A2915" s="2">
        <f>HYPERLINK("https://edmondsonsupply.com/collections/hvac/products/cps-products-trs600-sparkless-ignition-proof-recovery-machine", "https://edmondsonsupply.com/collections/hvac/products/cps-products-trs600-sparkless-ignition-proof-recovery-machine")</f>
        <v/>
      </c>
      <c r="B2915" s="2">
        <f>HYPERLINK("https://edmondsonsupply.com/products/cps-products-trs600-sparkless-ignition-proof-recovery-machine", "https://edmondsonsupply.com/products/cps-products-trs600-sparkless-ignition-proof-recovery-machine")</f>
        <v/>
      </c>
      <c r="C2915" t="inlineStr">
        <is>
          <t>CPS Products TRS600 Sparkless Ignition Proof Recovery Machine</t>
        </is>
      </c>
      <c r="D2915" t="inlineStr">
        <is>
          <t>CPS TRS21 Pro-Set Sparkless Ignition Proof Refrigerant Recovery Machine</t>
        </is>
      </c>
      <c r="E2915" s="2">
        <f>HYPERLINK("https://www.amazon.com/CPS-Sparkless-Ignition-Refrigerant-Recovery/dp/B08B7W6NVV/ref=sr_1_1?keywords=CPS+Products+TRS600+Sparkless+Ignition+Proof+Recovery+Machine&amp;qid=1694734900&amp;sr=8-1", "https://www.amazon.com/CPS-Sparkless-Ignition-Refrigerant-Recovery/dp/B08B7W6NVV/ref=sr_1_1?keywords=CPS+Products+TRS600+Sparkless+Ignition+Proof+Recovery+Machine&amp;qid=1694734900&amp;sr=8-1")</f>
        <v/>
      </c>
      <c r="F2915" t="inlineStr">
        <is>
          <t>B08B7W6NVV</t>
        </is>
      </c>
      <c r="G2915">
        <f>_xlfn.IMAGE("https://edmondsonsupply.com/cdn/shop/files/TRS600.jpg?v=1687353772")</f>
        <v/>
      </c>
      <c r="H2915">
        <f>_xlfn.IMAGE("https://m.media-amazon.com/images/I/61V-5xj-dfL._AC_UL320_.jpg")</f>
        <v/>
      </c>
      <c r="K2915" t="inlineStr">
        <is>
          <t>1069.28</t>
        </is>
      </c>
      <c r="L2915" t="n">
        <v>781.16</v>
      </c>
      <c r="M2915" s="1" t="inlineStr">
        <is>
          <t>-26.95%</t>
        </is>
      </c>
      <c r="N2915" s="7" t="n">
        <v>151.16</v>
      </c>
      <c r="O2915" t="n">
        <v>5</v>
      </c>
      <c r="P2915" t="n">
        <v>2</v>
      </c>
      <c r="R2915" t="inlineStr">
        <is>
          <t>InStock</t>
        </is>
      </c>
      <c r="S2915" t="inlineStr">
        <is>
          <t>1233.78</t>
        </is>
      </c>
      <c r="T2915" t="inlineStr">
        <is>
          <t>8007779746008</t>
        </is>
      </c>
    </row>
    <row r="2916" ht="87" customHeight="1">
      <c r="A2916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916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916" t="inlineStr">
        <is>
          <t>Diablo Tools DMAMX1300 1-1/4 in. x 16 in. x 21 in. Rebar Demon™ SDS-Max 4-Cutter Full Carbide Head Hammer Drill Bit</t>
        </is>
      </c>
      <c r="D2916" t="inlineStr">
        <is>
          <t>Diablo DMAPL4310 1 in. x 16 in. x 18 in. Rebar Demon™ SDS-Plus 4-Cutter Full Carbide Head Hammer Bit</t>
        </is>
      </c>
      <c r="E2916" s="2">
        <f>HYPERLINK("https://www.amazon.com/Diablo-DMAPL4310-SDS-Plus-4-Cutter-Carbide/dp/B089KX2VKR/ref=sr_1_9?keywords=Diablo+Tools+DMAMX1300+1-1%2F4+in.+x+16+in.+x+21+in.+Rebar+Demon%E2%84%A2+SDS-Max+4-Cutter+Full+Carbide+Head+Hammer+Drill+Bit&amp;qid=1694734676&amp;sr=8-9", "https://www.amazon.com/Diablo-DMAPL4310-SDS-Plus-4-Cutter-Carbide/dp/B089KX2VKR/ref=sr_1_9?keywords=Diablo+Tools+DMAMX1300+1-1%2F4+in.+x+16+in.+x+21+in.+Rebar+Demon%E2%84%A2+SDS-Max+4-Cutter+Full+Carbide+Head+Hammer+Drill+Bit&amp;qid=1694734676&amp;sr=8-9")</f>
        <v/>
      </c>
      <c r="F2916" t="inlineStr">
        <is>
          <t>B089KX2VKR</t>
        </is>
      </c>
      <c r="G2916">
        <f>_xlfn.IMAGE("https://edmondsonsupply.com/cdn/shop/files/immoyh7jjmbau4fzhuq6_7dd7fd73-2865-4c12-9443-da45b48dbd51.webp?v=1685465465")</f>
        <v/>
      </c>
      <c r="H2916">
        <f>_xlfn.IMAGE("https://m.media-amazon.com/images/I/61iwxfqG2VL._AC_UL320_.jpg")</f>
        <v/>
      </c>
      <c r="K2916" t="inlineStr">
        <is>
          <t>66.4</t>
        </is>
      </c>
      <c r="L2916" t="n">
        <v>48.49</v>
      </c>
      <c r="M2916" s="1" t="inlineStr">
        <is>
          <t>-26.97%</t>
        </is>
      </c>
      <c r="N2916" s="7" t="n">
        <v>150.95</v>
      </c>
      <c r="O2916" t="n">
        <v>4.5</v>
      </c>
      <c r="P2916" t="n">
        <v>32</v>
      </c>
      <c r="R2916" t="inlineStr">
        <is>
          <t>OutOfStock</t>
        </is>
      </c>
      <c r="S2916" t="inlineStr">
        <is>
          <t>105.4</t>
        </is>
      </c>
      <c r="T2916" t="inlineStr">
        <is>
          <t>7997856874712</t>
        </is>
      </c>
    </row>
    <row r="2917" ht="87" customHeight="1">
      <c r="A2917" s="2">
        <f>HYPERLINK("https://edmondsonsupply.com/collections/hvac/products/fluke-373-true-rms-ac-clamp-meter", "https://edmondsonsupply.com/collections/hvac/products/fluke-373-true-rms-ac-clamp-meter")</f>
        <v/>
      </c>
      <c r="B2917" s="2">
        <f>HYPERLINK("https://edmondsonsupply.com/products/fluke-373-true-rms-ac-clamp-meter", "https://edmondsonsupply.com/products/fluke-373-true-rms-ac-clamp-meter")</f>
        <v/>
      </c>
      <c r="C2917" t="inlineStr">
        <is>
          <t>Fluke 373 True-RMS AC Clamp Meter</t>
        </is>
      </c>
      <c r="D2917" t="inlineStr">
        <is>
          <t>Fluke 324 True-RMS Clamp Meter with Temperature &amp; Capacitance, Measure AC Current Up To 400 A and AC/DC Voltage Up to 600 V, Includes Backlit Display, Measure Resistance Up To 4000 Ohms</t>
        </is>
      </c>
      <c r="E2917" s="2">
        <f>HYPERLINK("https://www.amazon.com/Fluke-324-Temperature-Capacitance-Measurements/dp/B009AZ0TXE/ref=sr_1_2?keywords=Fluke+373+True-RMS+AC+Clamp+Meter&amp;qid=1694734920&amp;sr=8-2", "https://www.amazon.com/Fluke-324-Temperature-Capacitance-Measurements/dp/B009AZ0TXE/ref=sr_1_2?keywords=Fluke+373+True-RMS+AC+Clamp+Meter&amp;qid=1694734920&amp;sr=8-2")</f>
        <v/>
      </c>
      <c r="F2917" t="inlineStr">
        <is>
          <t>B009AZ0TXE</t>
        </is>
      </c>
      <c r="G2917">
        <f>_xlfn.IMAGE("https://edmondsonsupply.com/cdn/shop/files/f-373-01d-1500x1000.webp?v=1689369435")</f>
        <v/>
      </c>
      <c r="H2917">
        <f>_xlfn.IMAGE("https://m.media-amazon.com/images/I/51R3UJ4M4OL._AC_UY218_.jpg")</f>
        <v/>
      </c>
      <c r="K2917" t="inlineStr">
        <is>
          <t>290.05</t>
        </is>
      </c>
      <c r="L2917" t="n">
        <v>211.68</v>
      </c>
      <c r="M2917" s="1" t="inlineStr">
        <is>
          <t>-27.02%</t>
        </is>
      </c>
      <c r="N2917" s="7" t="n">
        <v>150.69</v>
      </c>
      <c r="O2917" t="n">
        <v>4.7</v>
      </c>
      <c r="P2917" t="n">
        <v>1253</v>
      </c>
      <c r="R2917" t="inlineStr">
        <is>
          <t>InStock</t>
        </is>
      </c>
      <c r="S2917" t="inlineStr">
        <is>
          <t>undefined</t>
        </is>
      </c>
      <c r="T2917" t="inlineStr">
        <is>
          <t>8016406773976</t>
        </is>
      </c>
    </row>
    <row r="2918" ht="87" customHeight="1">
      <c r="A2918" s="2">
        <f>HYPERLINK("https://edmondsonsupply.com/collections/hvac/products/malco-tools-lp11sp-eagle-grip-11-locking-c-clamps-with-swivel-pads", "https://edmondsonsupply.com/collections/hvac/products/malco-tools-lp11sp-eagle-grip-11-locking-c-clamps-with-swivel-pads")</f>
        <v/>
      </c>
      <c r="B2918" s="2">
        <f>HYPERLINK("https://edmondsonsupply.com/products/malco-tools-lp11sp-eagle-grip-11-locking-c-clamps-with-swivel-pads", "https://edmondsonsupply.com/products/malco-tools-lp11sp-eagle-grip-11-locking-c-clamps-with-swivel-pads")</f>
        <v/>
      </c>
      <c r="C2918" t="inlineStr">
        <is>
          <t>Malco Tools LP11SP Eagle Grip 11″ Locking C-Clamps with Swivel Pads</t>
        </is>
      </c>
      <c r="D2918" t="inlineStr">
        <is>
          <t>Malco Eagle Grip LP11SP 11 in. Locking C-Clamp with Swivel Pads</t>
        </is>
      </c>
      <c r="E2918" s="2">
        <f>HYPERLINK("https://www.amazon.com/Malco-LP11SP-Locking-C-Clamp-Swivel/dp/B0924SVWCF/ref=sr_1_1?keywords=Malco+Tools+LP11SP+Eagle+Grip+11%E2%80%B3+Locking+C-Clamps+with+Swivel+Pads&amp;qid=1694734693&amp;sr=8-1", "https://www.amazon.com/Malco-LP11SP-Locking-C-Clamp-Swivel/dp/B0924SVWCF/ref=sr_1_1?keywords=Malco+Tools+LP11SP+Eagle+Grip+11%E2%80%B3+Locking+C-Clamps+with+Swivel+Pads&amp;qid=1694734693&amp;sr=8-1")</f>
        <v/>
      </c>
      <c r="F2918" t="inlineStr">
        <is>
          <t>B0924SVWCF</t>
        </is>
      </c>
      <c r="G2918">
        <f>_xlfn.IMAGE("https://edmondsonsupply.com/cdn/shop/products/LP11SP-eagle-grip-locking-clamps-swivel-pads_in-hand.jpg?v=1657318971")</f>
        <v/>
      </c>
      <c r="H2918">
        <f>_xlfn.IMAGE("https://m.media-amazon.com/images/I/61UQTe1nZ5S._AC_UL320_.jpg")</f>
        <v/>
      </c>
      <c r="K2918" t="inlineStr">
        <is>
          <t>73.99</t>
        </is>
      </c>
      <c r="L2918" t="n">
        <v>53.95</v>
      </c>
      <c r="M2918" s="1" t="inlineStr">
        <is>
          <t>-27.08%</t>
        </is>
      </c>
      <c r="N2918" s="7" t="n">
        <v>150.45</v>
      </c>
      <c r="O2918" t="n">
        <v>5</v>
      </c>
      <c r="P2918" t="n">
        <v>75</v>
      </c>
      <c r="R2918" t="inlineStr">
        <is>
          <t>InStock</t>
        </is>
      </c>
      <c r="S2918" t="inlineStr">
        <is>
          <t>80.93</t>
        </is>
      </c>
      <c r="T2918" t="inlineStr">
        <is>
          <t>7742478450904</t>
        </is>
      </c>
    </row>
    <row r="2919" hidden="1" ht="15.75" customHeight="1">
      <c r="A2919" s="2">
        <f>HYPERLINK("https://edmondsonsupply.com/collections/hvac/products/yellow-jacket-93760-superevac%E2%84%A2-plus-ii-6-cfm-vacuum-pump", "https://edmondsonsupply.com/collections/hvac/products/yellow-jacket-93760-superevac%E2%84%A2-plus-ii-6-cfm-vacuum-pump")</f>
        <v/>
      </c>
      <c r="B2919" s="2">
        <f>HYPERLINK("https://edmondsonsupply.com/products/yellow-jacket-93760-superevac%e2%84%a2-plus-ii-6-cfm-vacuum-pump", "https://edmondsonsupply.com/products/yellow-jacket-93760-superevac%e2%84%a2-plus-ii-6-cfm-vacuum-pump")</f>
        <v/>
      </c>
      <c r="C2919" t="inlineStr">
        <is>
          <t>Yellow Jacket 93760 SuperEvac™ PLUS II 6 CFM Vacuum Pump</t>
        </is>
      </c>
      <c r="D2919" t="inlineStr">
        <is>
          <t>Yellow Jacket 93760 SuperEvac Plus II - 6 CFM</t>
        </is>
      </c>
      <c r="E2919" s="2">
        <f>HYPERLINK("https://www.amazon.com/Yellow-Jacket-93760-SuperEvac-Plus/dp/B097L5P25H/ref=sr_1_1?keywords=Yellow+Jacket+93760+SuperEvac%E2%84%A2+PLUS+II+6+CFM+Vacuum+Pump&amp;qid=1694734661&amp;sr=8-1", "https://www.amazon.com/Yellow-Jacket-93760-SuperEvac-Plus/dp/B097L5P25H/ref=sr_1_1?keywords=Yellow+Jacket+93760+SuperEvac%E2%84%A2+PLUS+II+6+CFM+Vacuum+Pump&amp;qid=1694734661&amp;sr=8-1")</f>
        <v/>
      </c>
      <c r="F2919" t="inlineStr">
        <is>
          <t>B097L5P25H</t>
        </is>
      </c>
      <c r="G2919">
        <f>_xludf.IMAGE("https://edmondsonsupply.com/cdn/shop/products/93760-SuperEvac-PLUS-II-with-strap-2048x1685_ad2bd33c-53fe-45af-a769-d7dbb3d3d744.jpg?v=1633030966")</f>
        <v/>
      </c>
      <c r="H2919">
        <f>_xludf.IMAGE("https://m.media-amazon.com/images/I/6112x8pWGqL._AC_UL320_.jpg")</f>
        <v/>
      </c>
      <c r="K2919" t="inlineStr">
        <is>
          <t>850.68</t>
        </is>
      </c>
      <c r="L2919" t="n">
        <v>620</v>
      </c>
      <c r="M2919" s="1" t="inlineStr">
        <is>
          <t>-27.12%</t>
        </is>
      </c>
      <c r="N2919" s="1" t="n">
        <v>150.3</v>
      </c>
      <c r="O2919" t="n">
        <v>3</v>
      </c>
      <c r="P2919" t="n">
        <v>1</v>
      </c>
      <c r="R2919" t="inlineStr">
        <is>
          <t>InStock</t>
        </is>
      </c>
      <c r="S2919" t="inlineStr">
        <is>
          <t>undefined</t>
        </is>
      </c>
      <c r="T2919" t="inlineStr">
        <is>
          <t>6626605007021</t>
        </is>
      </c>
    </row>
    <row r="2920" ht="87" customHeight="1">
      <c r="A2920" s="2">
        <f>HYPERLINK("https://edmondsonsupply.com/collections/hvac/products/channellock-432", "https://edmondsonsupply.com/collections/hvac/products/channellock-432")</f>
        <v/>
      </c>
      <c r="B2920" s="2">
        <f>HYPERLINK("https://edmondsonsupply.com/products/channellock-432", "https://edmondsonsupply.com/products/channellock-432")</f>
        <v/>
      </c>
      <c r="C2920" t="inlineStr">
        <is>
          <t>Channellock 440 12" Straight Jaw Tongue &amp; Groove Pliers</t>
        </is>
      </c>
      <c r="D2920" t="inlineStr">
        <is>
          <t>CHANNELLOCK 424 Straight Jaw Tongue &amp; Groove Pliers, 4.5-inch | 1/2-inch Jaw Capacity | 3 Adjustments | Forged High-Carbon U.S. Steel | 90° Teeth Grip in Both Directions | Made in USA, Polished Steel</t>
        </is>
      </c>
      <c r="E2920" s="2">
        <f>HYPERLINK("https://www.amazon.com/CHANNELLOCK-424-Adjustments-High-Carbon-Directions/dp/B00004SBCR/ref=sr_1_21?keywords=Channellock+440+12%22+Straight+Jaw+Tongue+%26+Groove+Pliers&amp;qid=1694734829&amp;sr=8-21", "https://www.amazon.com/CHANNELLOCK-424-Adjustments-High-Carbon-Directions/dp/B00004SBCR/ref=sr_1_21?keywords=Channellock+440+12%22+Straight+Jaw+Tongue+%26+Groove+Pliers&amp;qid=1694734829&amp;sr=8-21")</f>
        <v/>
      </c>
      <c r="F2920" t="inlineStr">
        <is>
          <t>B00004SBCR</t>
        </is>
      </c>
      <c r="G2920">
        <f>_xlfn.IMAGE("https://edmondsonsupply.com/cdn/shop/products/440-546x1024.jpg?v=1587148892")</f>
        <v/>
      </c>
      <c r="H2920">
        <f>_xlfn.IMAGE("https://m.media-amazon.com/images/I/71txViLKvZL._AC_UL320_.jpg")</f>
        <v/>
      </c>
      <c r="K2920" t="inlineStr">
        <is>
          <t>21.95</t>
        </is>
      </c>
      <c r="L2920" t="n">
        <v>15.95</v>
      </c>
      <c r="M2920" s="1" t="inlineStr">
        <is>
          <t>-27.33%</t>
        </is>
      </c>
      <c r="N2920" s="7" t="n">
        <v>150.28</v>
      </c>
      <c r="O2920" t="n">
        <v>4.7</v>
      </c>
      <c r="P2920" t="n">
        <v>1648</v>
      </c>
      <c r="R2920" t="inlineStr">
        <is>
          <t>InStock</t>
        </is>
      </c>
      <c r="S2920" t="inlineStr">
        <is>
          <t>29.82</t>
        </is>
      </c>
      <c r="T2920" t="inlineStr">
        <is>
          <t>3553495908452</t>
        </is>
      </c>
    </row>
    <row r="2921" ht="87" customHeight="1">
      <c r="A2921" s="2">
        <f>HYPERLINK("https://edmondsonsupply.com/collections/hvac/products/channellock-432", "https://edmondsonsupply.com/collections/hvac/products/channellock-432")</f>
        <v/>
      </c>
      <c r="B2921" s="2">
        <f>HYPERLINK("https://edmondsonsupply.com/products/channellock-432", "https://edmondsonsupply.com/products/channellock-432")</f>
        <v/>
      </c>
      <c r="C2921" t="inlineStr">
        <is>
          <t>Channellock 440 12" Straight Jaw Tongue &amp; Groove Pliers</t>
        </is>
      </c>
      <c r="D2921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2921" s="2">
        <f>HYPERLINK("https://www.amazon.com/Channellock-426-8-Inch-Capacity-2-Inch/dp/B00004SBCS/ref=sr_1_18?keywords=Channellock+440+12%22+Straight+Jaw+Tongue+%26+Groove+Pliers&amp;qid=1694734829&amp;sr=8-18", "https://www.amazon.com/Channellock-426-8-Inch-Capacity-2-Inch/dp/B00004SBCS/ref=sr_1_18?keywords=Channellock+440+12%22+Straight+Jaw+Tongue+%26+Groove+Pliers&amp;qid=1694734829&amp;sr=8-18")</f>
        <v/>
      </c>
      <c r="F2921" t="inlineStr">
        <is>
          <t>B00004SBCS</t>
        </is>
      </c>
      <c r="G2921">
        <f>_xlfn.IMAGE("https://edmondsonsupply.com/cdn/shop/products/440-546x1024.jpg?v=1587148892")</f>
        <v/>
      </c>
      <c r="H2921">
        <f>_xlfn.IMAGE("https://m.media-amazon.com/images/I/713NYKlIyoL._AC_UL320_.jpg")</f>
        <v/>
      </c>
      <c r="K2921" t="inlineStr">
        <is>
          <t>21.95</t>
        </is>
      </c>
      <c r="L2921" t="n">
        <v>15.95</v>
      </c>
      <c r="M2921" s="1" t="inlineStr">
        <is>
          <t>-27.33%</t>
        </is>
      </c>
      <c r="N2921" s="7" t="n">
        <v>150.28</v>
      </c>
      <c r="O2921" t="n">
        <v>4.7</v>
      </c>
      <c r="P2921" t="n">
        <v>1995</v>
      </c>
      <c r="R2921" t="inlineStr">
        <is>
          <t>InStock</t>
        </is>
      </c>
      <c r="S2921" t="inlineStr">
        <is>
          <t>29.82</t>
        </is>
      </c>
      <c r="T2921" t="inlineStr">
        <is>
          <t>3553495908452</t>
        </is>
      </c>
    </row>
    <row r="2922" ht="87" customHeight="1">
      <c r="A2922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2922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2922" t="inlineStr">
        <is>
          <t>Diablo Tools DMAMXCC5050 4 in. x 7 in. SDS-Max Carbide Tipped Core Bit</t>
        </is>
      </c>
      <c r="D2922" t="inlineStr">
        <is>
          <t>Diablo by Freud DMAMXCC5030 3-1/4 in. x 7 in. SDS-Max Carbide Tipped Core Bit Multi, One Size</t>
        </is>
      </c>
      <c r="E2922" s="2">
        <f>HYPERLINK("https://www.amazon.com/Diablo-DMAMXCC5030-SDS-Max-Carbide-Tipped/dp/B089M8K3HG/ref=sr_1_2?keywords=Diablo+Tools+DMAMXCC5050+4+in.+x+7+in.+SDS-Max+Carbide+Tipped+Core+Bit&amp;qid=1694734908&amp;sr=8-2", "https://www.amazon.com/Diablo-DMAMXCC5030-SDS-Max-Carbide-Tipped/dp/B089M8K3HG/ref=sr_1_2?keywords=Diablo+Tools+DMAMXCC5050+4+in.+x+7+in.+SDS-Max+Carbide+Tipped+Core+Bit&amp;qid=1694734908&amp;sr=8-2")</f>
        <v/>
      </c>
      <c r="F2922" t="inlineStr">
        <is>
          <t>B089M8K3HG</t>
        </is>
      </c>
      <c r="G2922">
        <f>_xlfn.IMAGE("https://edmondsonsupply.com/cdn/shop/files/yghx7uqdjxchri5fikny.webp?v=1686586834")</f>
        <v/>
      </c>
      <c r="H2922">
        <f>_xlfn.IMAGE("https://m.media-amazon.com/images/I/71U1Um--OXL._AC_UL320_.jpg")</f>
        <v/>
      </c>
      <c r="K2922" t="inlineStr">
        <is>
          <t>151.4</t>
        </is>
      </c>
      <c r="L2922" t="n">
        <v>110</v>
      </c>
      <c r="M2922" s="1" t="inlineStr">
        <is>
          <t>-27.34%</t>
        </is>
      </c>
      <c r="N2922" s="7" t="n">
        <v>150.2</v>
      </c>
      <c r="O2922" t="n">
        <v>5</v>
      </c>
      <c r="P2922" t="n">
        <v>3</v>
      </c>
      <c r="R2922" t="inlineStr">
        <is>
          <t>InStock</t>
        </is>
      </c>
      <c r="S2922" t="inlineStr">
        <is>
          <t>240.33</t>
        </is>
      </c>
      <c r="T2922" t="inlineStr">
        <is>
          <t>8004510908632</t>
        </is>
      </c>
    </row>
    <row r="2923" ht="87" customHeight="1">
      <c r="A2923" s="2">
        <f>HYPERLINK("https://edmondsonsupply.com/collections/hvac/products/rectorseal-66732-nokink-3-4-x-3-flex-hose", "https://edmondsonsupply.com/collections/hvac/products/rectorseal-66732-nokink-3-4-x-3-flex-hose")</f>
        <v/>
      </c>
      <c r="B2923" s="2">
        <f>HYPERLINK("https://edmondsonsupply.com/products/rectorseal-66732-nokink-3-4-x-3-flex-hose", "https://edmondsonsupply.com/products/rectorseal-66732-nokink-3-4-x-3-flex-hose")</f>
        <v/>
      </c>
      <c r="C2923" t="inlineStr">
        <is>
          <t>RectorSeal 66732 NoKink 3/4" x 3' Flexible Refrigerant Line Connector</t>
        </is>
      </c>
      <c r="D2923" t="inlineStr">
        <is>
          <t>Rectorseal 66737 NoKink Flexible Refrigerant Line Connector, 1/2"</t>
        </is>
      </c>
      <c r="E2923" s="2">
        <f>HYPERLINK("https://www.amazon.com/Rectorseal-66737-Flexible-Refrigerant-Connector/dp/B010M22SNM/ref=sr_1_4?keywords=RectorSeal+66732+NoKink+3%2F4%22+x+3%27+Flexible+Refrigerant+Line+Connector&amp;qid=1694734868&amp;sr=8-4", "https://www.amazon.com/Rectorseal-66737-Flexible-Refrigerant-Connector/dp/B010M22SNM/ref=sr_1_4?keywords=RectorSeal+66732+NoKink+3%2F4%22+x+3%27+Flexible+Refrigerant+Line+Connector&amp;qid=1694734868&amp;sr=8-4")</f>
        <v/>
      </c>
      <c r="F2923" t="inlineStr">
        <is>
          <t>B010M22SNM</t>
        </is>
      </c>
      <c r="G2923">
        <f>_xlfn.IMAGE("https://edmondsonsupply.com/cdn/shop/files/66732.png?v=1691010373")</f>
        <v/>
      </c>
      <c r="H2923">
        <f>_xlfn.IMAGE("https://m.media-amazon.com/images/I/4101YLR79GL._AC_UL320_.jpg")</f>
        <v/>
      </c>
      <c r="K2923" t="inlineStr">
        <is>
          <t>123.99</t>
        </is>
      </c>
      <c r="L2923" t="n">
        <v>89.97</v>
      </c>
      <c r="M2923" s="1" t="inlineStr">
        <is>
          <t>-27.44%</t>
        </is>
      </c>
      <c r="N2923" s="7" t="n">
        <v>150.19</v>
      </c>
      <c r="O2923" t="n">
        <v>4.5</v>
      </c>
      <c r="P2923" t="n">
        <v>6</v>
      </c>
      <c r="R2923" t="inlineStr">
        <is>
          <t>InStock</t>
        </is>
      </c>
      <c r="S2923" t="inlineStr">
        <is>
          <t>undefined</t>
        </is>
      </c>
      <c r="T2923" t="inlineStr">
        <is>
          <t>8023863918808</t>
        </is>
      </c>
    </row>
    <row r="2924" ht="87" customHeight="1">
      <c r="A2924" s="2">
        <f>HYPERLINK("https://edmondsonsupply.com/collections/hvac/products/white-rodgers-24a34-6-24v-electric-heat-sequencer-2-dpst", "https://edmondsonsupply.com/collections/hvac/products/white-rodgers-24a34-6-24v-electric-heat-sequencer-2-dpst")</f>
        <v/>
      </c>
      <c r="B2924" s="2">
        <f>HYPERLINK("https://edmondsonsupply.com/products/white-rodgers-24a34-6-24v-electric-heat-sequencer-2-dpst", "https://edmondsonsupply.com/products/white-rodgers-24a34-6-24v-electric-heat-sequencer-2-dpst")</f>
        <v/>
      </c>
      <c r="C2924" t="inlineStr">
        <is>
          <t>White-Rodgers 24A34-6 24V Electric Heat Sequencer, 2 DPST</t>
        </is>
      </c>
      <c r="D2924" t="inlineStr">
        <is>
          <t>White-Rodgers 24A34-1 Electric Heat Sequencer, 1 Switch</t>
        </is>
      </c>
      <c r="E2924" s="2">
        <f>HYPERLINK("https://www.amazon.com/White-Rodgers-24A34-1-Electric-Sequencer-Switch/dp/B000LD7VQW/ref=sr_1_7?keywords=White-Rodgers+24A34-6+24V+Electric+Heat+Sequencer%2C+2+DPST&amp;qid=1694734618&amp;sr=8-7", "https://www.amazon.com/White-Rodgers-24A34-1-Electric-Sequencer-Switch/dp/B000LD7VQW/ref=sr_1_7?keywords=White-Rodgers+24A34-6+24V+Electric+Heat+Sequencer%2C+2+DPST&amp;qid=1694734618&amp;sr=8-7")</f>
        <v/>
      </c>
      <c r="F2924" t="inlineStr">
        <is>
          <t>B000LD7VQW</t>
        </is>
      </c>
      <c r="G2924">
        <f>_xlfn.IMAGE("https://edmondsonsupply.com/cdn/shop/products/24A34-6.jpg?v=1633030752")</f>
        <v/>
      </c>
      <c r="H2924">
        <f>_xlfn.IMAGE("https://m.media-amazon.com/images/I/41k+LuyGsVL._AC_UL320_.jpg")</f>
        <v/>
      </c>
      <c r="K2924" t="inlineStr">
        <is>
          <t>23.5</t>
        </is>
      </c>
      <c r="L2924" t="n">
        <v>16.99</v>
      </c>
      <c r="M2924" s="1" t="inlineStr">
        <is>
          <t>-27.70%</t>
        </is>
      </c>
      <c r="N2924" s="7" t="n">
        <v>150.16</v>
      </c>
      <c r="O2924" t="n">
        <v>5</v>
      </c>
      <c r="P2924" t="n">
        <v>6</v>
      </c>
      <c r="R2924" t="inlineStr">
        <is>
          <t>InStock</t>
        </is>
      </c>
      <c r="S2924" t="inlineStr">
        <is>
          <t>58.43</t>
        </is>
      </c>
      <c r="T2924" t="inlineStr">
        <is>
          <t>5896305213608</t>
        </is>
      </c>
    </row>
    <row r="2925" ht="87" customHeight="1">
      <c r="A2925" s="2">
        <f>HYPERLINK("https://edmondsonsupply.com/collections/hvac/products/hilmor-1839027-tb1412-tri-tube-benders-1-4-3-8-1-2", "https://edmondsonsupply.com/collections/hvac/products/hilmor-1839027-tb1412-tri-tube-benders-1-4-3-8-1-2")</f>
        <v/>
      </c>
      <c r="B2925" s="2">
        <f>HYPERLINK("https://edmondsonsupply.com/products/hilmor-1839027-tb1412-tri-tube-benders-1-4-3-8-1-2", "https://edmondsonsupply.com/products/hilmor-1839027-tb1412-tri-tube-benders-1-4-3-8-1-2")</f>
        <v/>
      </c>
      <c r="C2925" t="inlineStr">
        <is>
          <t>Hilmor 1839027 Tri-Tube Bender - 1/4", 3/8", 1/2"</t>
        </is>
      </c>
      <c r="D2925" t="inlineStr">
        <is>
          <t>hilmor 1839026 TB1438 Tri-Tube Bender 1/4", 5/16", 3/8"</t>
        </is>
      </c>
      <c r="E2925" s="2">
        <f>HYPERLINK("https://www.amazon.com/hilmor-1839026-TB1438-Tri-Tube-Bender/dp/B00HVAS5LI/ref=sr_1_2?keywords=Hilmor+1839027+Tri-Tube+Bender+-+1%2F4%22%2C+3%2F8%22%2C+1%2F2%22&amp;qid=1694734830&amp;sr=8-2", "https://www.amazon.com/hilmor-1839026-TB1438-Tri-Tube-Bender/dp/B00HVAS5LI/ref=sr_1_2?keywords=Hilmor+1839027+Tri-Tube+Bender+-+1%2F4%22%2C+3%2F8%22%2C+1%2F2%22&amp;qid=1694734830&amp;sr=8-2")</f>
        <v/>
      </c>
      <c r="F2925" t="inlineStr">
        <is>
          <t>B00HVAS5LI</t>
        </is>
      </c>
      <c r="G2925">
        <f>_xlfn.IMAGE("https://edmondsonsupply.com/cdn/shop/products/Tri-Tube_Bender2-green_glow-735x480.png?v=1643678213")</f>
        <v/>
      </c>
      <c r="H2925">
        <f>_xlfn.IMAGE("https://m.media-amazon.com/images/I/518PZhMk2zS._AC_UL320_.jpg")</f>
        <v/>
      </c>
      <c r="K2925" t="inlineStr">
        <is>
          <t>49.99</t>
        </is>
      </c>
      <c r="L2925" t="n">
        <v>35.99</v>
      </c>
      <c r="M2925" s="1" t="inlineStr">
        <is>
          <t>-28.01%</t>
        </is>
      </c>
      <c r="N2925" s="7" t="n">
        <v>150.16</v>
      </c>
      <c r="O2925" t="n">
        <v>4.5</v>
      </c>
      <c r="P2925" t="n">
        <v>58</v>
      </c>
      <c r="R2925" t="inlineStr">
        <is>
          <t>InStock</t>
        </is>
      </c>
      <c r="S2925" t="inlineStr">
        <is>
          <t>172.6</t>
        </is>
      </c>
      <c r="T2925" t="inlineStr">
        <is>
          <t>2109289791588</t>
        </is>
      </c>
    </row>
    <row r="2926" ht="87" customHeight="1">
      <c r="A2926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2926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2926" t="inlineStr">
        <is>
          <t>Diablo Tools DMAMX1300 1-1/4 in. x 16 in. x 21 in. Rebar Demon™ SDS-Max 4-Cutter Full Carbide Head Hammer Drill Bit</t>
        </is>
      </c>
      <c r="D2926" t="inlineStr">
        <is>
          <t>Diablo 5/8" x 16"x21" Rebar Demon SDS-Max 4-Cutter Full Carbide Head Hammer Bit</t>
        </is>
      </c>
      <c r="E2926" s="2">
        <f>HYPERLINK("https://www.amazon.com/Diablo-DMAMX1100-SDS-Max-4-Cutter-Carbide/dp/B089LCPW7V/ref=sr_1_4?keywords=Diablo+Tools+DMAMX1300+1-1%2F4+in.+x+16+in.+x+21+in.+Rebar+Demon%E2%84%A2+SDS-Max+4-Cutter+Full+Carbide+Head+Hammer+Drill+Bit&amp;qid=1694734676&amp;sr=8-4", "https://www.amazon.com/Diablo-DMAMX1100-SDS-Max-4-Cutter-Carbide/dp/B089LCPW7V/ref=sr_1_4?keywords=Diablo+Tools+DMAMX1300+1-1%2F4+in.+x+16+in.+x+21+in.+Rebar+Demon%E2%84%A2+SDS-Max+4-Cutter+Full+Carbide+Head+Hammer+Drill+Bit&amp;qid=1694734676&amp;sr=8-4")</f>
        <v/>
      </c>
      <c r="F2926" t="inlineStr">
        <is>
          <t>B089LCPW7V</t>
        </is>
      </c>
      <c r="G2926">
        <f>_xlfn.IMAGE("https://edmondsonsupply.com/cdn/shop/files/immoyh7jjmbau4fzhuq6_7dd7fd73-2865-4c12-9443-da45b48dbd51.webp?v=1685465465")</f>
        <v/>
      </c>
      <c r="H2926">
        <f>_xlfn.IMAGE("https://m.media-amazon.com/images/I/618JNJF7eyL._AC_UL320_.jpg")</f>
        <v/>
      </c>
      <c r="K2926" t="inlineStr">
        <is>
          <t>66.4</t>
        </is>
      </c>
      <c r="L2926" t="n">
        <v>47.76</v>
      </c>
      <c r="M2926" s="1" t="inlineStr">
        <is>
          <t>-28.07%</t>
        </is>
      </c>
      <c r="N2926" s="7" t="n">
        <v>150.13</v>
      </c>
      <c r="O2926" t="n">
        <v>4.2</v>
      </c>
      <c r="P2926" t="n">
        <v>4</v>
      </c>
      <c r="R2926" t="inlineStr">
        <is>
          <t>OutOfStock</t>
        </is>
      </c>
      <c r="S2926" t="inlineStr">
        <is>
          <t>105.4</t>
        </is>
      </c>
      <c r="T2926" t="inlineStr">
        <is>
          <t>7997856874712</t>
        </is>
      </c>
    </row>
    <row r="2927" hidden="1" ht="15.75" customHeight="1">
      <c r="A2927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2927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2927" t="inlineStr">
        <is>
          <t>Klein Tools KTSB03 Step Drill Bit Double Fluted #3, 1/4 to 3/4-Inch</t>
        </is>
      </c>
      <c r="D2927" t="inlineStr">
        <is>
          <t>Klein Tools 25963 Step Drill Bit, 1/4 to 3/4-Inch, Spiral Double-Fluted, Cuts Thin Metal, Plastic, Aluminum, Wood, 1/4-Inch Hex Shank, VACO</t>
        </is>
      </c>
      <c r="E2927" s="2">
        <f>HYPERLINK("https://www.amazon.com/Klein-Tools-25963-Double-Fluted-Aluminum/dp/B0BLDS78KC/ref=sr_1_2?keywords=Klein+Tools+KTSB03+Step+Drill+Bit+Double+Fluted+%233%2C+1%2F4+to+3%2F4-Inch&amp;qid=1694734821&amp;sr=8-2", "https://www.amazon.com/Klein-Tools-25963-Double-Fluted-Aluminum/dp/B0BLDS78KC/ref=sr_1_2?keywords=Klein+Tools+KTSB03+Step+Drill+Bit+Double+Fluted+%233%2C+1%2F4+to+3%2F4-Inch&amp;qid=1694734821&amp;sr=8-2")</f>
        <v/>
      </c>
      <c r="F2927" t="inlineStr">
        <is>
          <t>B0BLDS78KC</t>
        </is>
      </c>
      <c r="G2927">
        <f>_xludf.IMAGE("https://edmondsonsupply.com/cdn/shop/products/ktsb03.jpg?v=1666012212")</f>
        <v/>
      </c>
      <c r="H2927">
        <f>_xludf.IMAGE("https://m.media-amazon.com/images/I/41PkqNWcEUL._AC_UY218_.jpg")</f>
        <v/>
      </c>
      <c r="K2927" t="inlineStr">
        <is>
          <t>34.99</t>
        </is>
      </c>
      <c r="L2927" t="n">
        <v>24.99</v>
      </c>
      <c r="M2927" s="1" t="inlineStr">
        <is>
          <t>-28.58%</t>
        </is>
      </c>
      <c r="N2927" s="1" t="n">
        <v>150.09</v>
      </c>
      <c r="O2927" t="n">
        <v>3.4</v>
      </c>
      <c r="P2927" t="n">
        <v>2</v>
      </c>
      <c r="R2927" t="inlineStr">
        <is>
          <t>InStock</t>
        </is>
      </c>
      <c r="S2927" t="inlineStr">
        <is>
          <t>47.68</t>
        </is>
      </c>
      <c r="T2927" t="inlineStr">
        <is>
          <t>4174339670116</t>
        </is>
      </c>
    </row>
    <row r="2928" hidden="1" ht="15.75" customHeight="1">
      <c r="A2928" s="2">
        <f>HYPERLINK("https://edmondsonsupply.com/collections/hvac/products/milwaukee-48-25-1372-1-3-8-self-feed-wood-bit", "https://edmondsonsupply.com/collections/hvac/products/milwaukee-48-25-1372-1-3-8-self-feed-wood-bit")</f>
        <v/>
      </c>
      <c r="B2928" s="2">
        <f>HYPERLINK("https://edmondsonsupply.com/products/milwaukee-48-25-1372-1-3-8-self-feed-wood-bit", "https://edmondsonsupply.com/products/milwaukee-48-25-1372-1-3-8-self-feed-wood-bit")</f>
        <v/>
      </c>
      <c r="C2928" t="inlineStr">
        <is>
          <t>Milwaukee 48-25-1372 1-3/8" Self Feed Wood Bit</t>
        </is>
      </c>
      <c r="D2928" t="inlineStr">
        <is>
          <t>Milwaukee GIDDS2-288392 48-25-1372 Standard Selfeed Drill Bit</t>
        </is>
      </c>
      <c r="E2928" s="2">
        <f>HYPERLINK("https://www.amazon.com/MILWAUKEE-GIDDS2-288392-48-25-1372-Standard-Selfeed/dp/B000F6V0O4/ref=sr_1_4?keywords=Milwaukee+48-25-1372+1-3%2F8%22+Self+Feed+Wood+Bit&amp;qid=1694734814&amp;sr=8-4", "https://www.amazon.com/MILWAUKEE-GIDDS2-288392-48-25-1372-Standard-Selfeed/dp/B000F6V0O4/ref=sr_1_4?keywords=Milwaukee+48-25-1372+1-3%2F8%22+Self+Feed+Wood+Bit&amp;qid=1694734814&amp;sr=8-4")</f>
        <v/>
      </c>
      <c r="F2928" t="inlineStr">
        <is>
          <t>B000F6V0O4</t>
        </is>
      </c>
      <c r="G2928">
        <f>_xludf.IMAGE("https://edmondsonsupply.com/cdn/shop/products/milwaukee-auger-bits-48-25-1372-64_1000.jpg?v=1587150001")</f>
        <v/>
      </c>
      <c r="H2928">
        <f>_xludf.IMAGE("https://m.media-amazon.com/images/I/41pjsh1VxIL._AC_UL320_.jpg")</f>
        <v/>
      </c>
      <c r="K2928" t="inlineStr">
        <is>
          <t>34.99</t>
        </is>
      </c>
      <c r="L2928" t="n">
        <v>24.99</v>
      </c>
      <c r="M2928" s="1" t="inlineStr">
        <is>
          <t>-28.58%</t>
        </is>
      </c>
      <c r="N2928" s="1" t="n">
        <v>150.07</v>
      </c>
      <c r="O2928" t="n">
        <v>4</v>
      </c>
      <c r="P2928" t="n">
        <v>5</v>
      </c>
      <c r="R2928" t="inlineStr">
        <is>
          <t>InStock</t>
        </is>
      </c>
      <c r="S2928" t="inlineStr">
        <is>
          <t>43.2</t>
        </is>
      </c>
      <c r="T2928" t="inlineStr">
        <is>
          <t>4364850102372</t>
        </is>
      </c>
    </row>
    <row r="2929" hidden="1" ht="15.75" customHeight="1">
      <c r="A2929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929" s="2">
        <f>HYPERLINK("https://edmondsonsupply.com/products/klein-tools-11053-klein-kurve%c2%ae-wire-stripper-cutter", "https://edmondsonsupply.com/products/klein-tools-11053-klein-kurve%c2%ae-wire-stripper-cutter")</f>
        <v/>
      </c>
      <c r="C2929" t="inlineStr">
        <is>
          <t>Klein Tools 11053 Klein-Kurve® Wire Stripper/Cutter</t>
        </is>
      </c>
      <c r="D2929" t="inlineStr">
        <is>
          <t>Klein Tools 1011 Multi-Purpose Wire Stripper and Cutter for 10-20 AWG Solid Wire and 12-22 AWG Stranded Wire Blue</t>
        </is>
      </c>
      <c r="E2929" s="2">
        <f>HYPERLINK("https://www.amazon.com/Multi-Purpose-Stripper-Klein-Tools-1011/dp/B0000302WM/ref=sr_1_22?keywords=Klein+Tools+11053+Klein-Kurve%C2%AE+Wire+Stripper%2FCutter&amp;qid=1694734664&amp;sr=8-22", "https://www.amazon.com/Multi-Purpose-Stripper-Klein-Tools-1011/dp/B0000302WM/ref=sr_1_22?keywords=Klein+Tools+11053+Klein-Kurve%C2%AE+Wire+Stripper%2FCutter&amp;qid=1694734664&amp;sr=8-22")</f>
        <v/>
      </c>
      <c r="F2929" t="inlineStr">
        <is>
          <t>B0000302WM</t>
        </is>
      </c>
      <c r="G2929">
        <f>_xludf.IMAGE("https://edmondsonsupply.com/cdn/shop/products/11053.jpg?v=1633030511")</f>
        <v/>
      </c>
      <c r="H2929">
        <f>_xludf.IMAGE("https://m.media-amazon.com/images/I/71A+JfSsr6L._AC_UL320_.jpg")</f>
        <v/>
      </c>
      <c r="K2929" t="inlineStr">
        <is>
          <t>20.97</t>
        </is>
      </c>
      <c r="L2929" t="n">
        <v>14.97</v>
      </c>
      <c r="M2929" s="1" t="inlineStr">
        <is>
          <t>-28.61%</t>
        </is>
      </c>
      <c r="N2929" s="1" t="n">
        <v>150.04</v>
      </c>
      <c r="O2929" t="n">
        <v>4.8</v>
      </c>
      <c r="P2929" t="n">
        <v>668</v>
      </c>
      <c r="R2929" t="inlineStr">
        <is>
          <t>InStock</t>
        </is>
      </c>
      <c r="S2929" t="inlineStr">
        <is>
          <t>31.76</t>
        </is>
      </c>
      <c r="T2929" t="inlineStr">
        <is>
          <t>5387171299496</t>
        </is>
      </c>
    </row>
    <row r="2930" hidden="1" ht="15.75" customHeight="1">
      <c r="A2930" s="2">
        <f>HYPERLINK("https://edmondsonsupply.com/collections/hvac/products/white-rodgers-790-843a1-universal-flame-sensor", "https://edmondsonsupply.com/collections/hvac/products/white-rodgers-790-843a1-universal-flame-sensor")</f>
        <v/>
      </c>
      <c r="B2930" s="2">
        <f>HYPERLINK("https://edmondsonsupply.com/products/white-rodgers-790-843a1-universal-flame-sensor", "https://edmondsonsupply.com/products/white-rodgers-790-843a1-universal-flame-sensor")</f>
        <v/>
      </c>
      <c r="C2930" t="inlineStr">
        <is>
          <t>White Rodgers 790-843A1 Universal Flame Sensor</t>
        </is>
      </c>
      <c r="D2930" t="inlineStr">
        <is>
          <t>PFS401 Universal Furnace Electrode Flame Sensor for Carrier replaces White Rodgers 760-401, 31380679</t>
        </is>
      </c>
      <c r="E2930" s="2">
        <f>HYPERLINK("https://www.amazon.com/Universal-Electrode-replaces-760-401-31380679/dp/B00HE0BLDO/ref=sr_1_4?keywords=White+Rodgers+790-843A1+Universal+Flame+Sensor&amp;qid=1694734667&amp;sr=8-4", "https://www.amazon.com/Universal-Electrode-replaces-760-401-31380679/dp/B00HE0BLDO/ref=sr_1_4?keywords=White+Rodgers+790-843A1+Universal+Flame+Sensor&amp;qid=1694734667&amp;sr=8-4")</f>
        <v/>
      </c>
      <c r="F2930" t="inlineStr">
        <is>
          <t>B00HE0BLDO</t>
        </is>
      </c>
      <c r="G2930">
        <f>_xludf.IMAGE("https://edmondsonsupply.com/cdn/shop/products/790-flame-sensors-universal.png?v=1633030916")</f>
        <v/>
      </c>
      <c r="H2930">
        <f>_xludf.IMAGE("https://m.media-amazon.com/images/I/51-WwnDphsL._AC_UL320_.jpg")</f>
        <v/>
      </c>
      <c r="K2930" t="inlineStr">
        <is>
          <t>16.8</t>
        </is>
      </c>
      <c r="L2930" t="n">
        <v>11.99</v>
      </c>
      <c r="M2930" s="1" t="inlineStr">
        <is>
          <t>-28.63%</t>
        </is>
      </c>
      <c r="N2930" s="1" t="n">
        <v>149.99</v>
      </c>
      <c r="O2930" t="n">
        <v>4.2</v>
      </c>
      <c r="P2930" t="n">
        <v>70</v>
      </c>
      <c r="R2930" t="inlineStr">
        <is>
          <t>InStock</t>
        </is>
      </c>
      <c r="S2930" t="inlineStr">
        <is>
          <t>39.71</t>
        </is>
      </c>
      <c r="T2930" t="inlineStr">
        <is>
          <t>6257215340717</t>
        </is>
      </c>
    </row>
    <row r="2931" ht="87" customHeight="1">
      <c r="A2931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2931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2931" t="inlineStr">
        <is>
          <t>Diablo Tools DMAPL4250 3/4 in. x 8 in. x 10 in. Rebar Demon™ SDS-Plus 4-Cutter Full Carbide Head Hammer Drill Bit</t>
        </is>
      </c>
      <c r="D2931" t="inlineStr">
        <is>
          <t>Diablo by Freud Diablo DMAPL4190 1/2 in. x 10 in. x 12 in. Rebar Demon SDS-Plus 4-Cutter Full Carbide Head Hammer Bit</t>
        </is>
      </c>
      <c r="E2931" s="2">
        <f>HYPERLINK("https://www.amazon.com/Diablo-Freud-DMAPL4190-SDS-Plus-4-Cutter/dp/B089LJZ25M/ref=sr_1_10?keywords=Diablo+Tools+DMAPL4250+3%2F4+in.+x+8+in.+x+10+in.+Rebar+Demon%E2%84%A2+SDS-Plus+4-Cutter+Full+Carbide+Head+Hammer+Drill+Bit&amp;qid=1694734913&amp;sr=8-10", "https://www.amazon.com/Diablo-Freud-DMAPL4190-SDS-Plus-4-Cutter/dp/B089LJZ25M/ref=sr_1_10?keywords=Diablo+Tools+DMAPL4250+3%2F4+in.+x+8+in.+x+10+in.+Rebar+Demon%E2%84%A2+SDS-Plus+4-Cutter+Full+Carbide+Head+Hammer+Drill+Bit&amp;qid=1694734913&amp;sr=8-10")</f>
        <v/>
      </c>
      <c r="F2931" t="inlineStr">
        <is>
          <t>B089LJZ25M</t>
        </is>
      </c>
      <c r="G2931">
        <f>_xlfn.IMAGE("https://edmondsonsupply.com/cdn/shop/files/rltcbi253wmfv6otmtz6.webp?v=1686576913")</f>
        <v/>
      </c>
      <c r="H2931">
        <f>_xlfn.IMAGE("https://m.media-amazon.com/images/I/61dzudnwI8L._AC_UL320_.jpg")</f>
        <v/>
      </c>
      <c r="K2931" t="inlineStr">
        <is>
          <t>24.47</t>
        </is>
      </c>
      <c r="L2931" t="n">
        <v>17.41</v>
      </c>
      <c r="M2931" s="1" t="inlineStr">
        <is>
          <t>-28.85%</t>
        </is>
      </c>
      <c r="N2931" s="7" t="n">
        <v>149.96</v>
      </c>
      <c r="O2931" t="n">
        <v>4.6</v>
      </c>
      <c r="P2931" t="n">
        <v>43</v>
      </c>
      <c r="R2931" t="inlineStr">
        <is>
          <t>InStock</t>
        </is>
      </c>
      <c r="S2931" t="inlineStr">
        <is>
          <t>38.21</t>
        </is>
      </c>
      <c r="T2931" t="inlineStr">
        <is>
          <t>8004486168792</t>
        </is>
      </c>
    </row>
    <row r="2932" ht="87" customHeight="1">
      <c r="A2932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932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932" t="inlineStr">
        <is>
          <t>Klein Tools D20009NEGLW High-Visibility Side-Cutting Pliers High-Leverage</t>
        </is>
      </c>
      <c r="D2932" t="inlineStr">
        <is>
          <t>Klein Tools 213-9NE High Leverage Side-Cutting Pliers with Knurled Jaws, Handle Tempering and Induction Hardened Knives</t>
        </is>
      </c>
      <c r="E2932" s="2">
        <f>HYPERLINK("https://www.amazon.com/Leverage-Side-Cutters-Klein-Tools-213-9NE/dp/B000KM95C2/ref=sr_1_3?keywords=Klein+Tools+D20009NEGLW+High-Visibility+Side-Cutting+Pliers+High-Leverage&amp;qid=1694734809&amp;sr=8-3", "https://www.amazon.com/Leverage-Side-Cutters-Klein-Tools-213-9NE/dp/B000KM95C2/ref=sr_1_3?keywords=Klein+Tools+D20009NEGLW+High-Visibility+Side-Cutting+Pliers+High-Leverage&amp;qid=1694734809&amp;sr=8-3")</f>
        <v/>
      </c>
      <c r="F2932" t="inlineStr">
        <is>
          <t>B000KM95C2</t>
        </is>
      </c>
      <c r="G2932">
        <f>_xlfn.IMAGE("https://edmondsonsupply.com/cdn/shop/products/d20009neglw.jpg?v=1587144933")</f>
        <v/>
      </c>
      <c r="H2932">
        <f>_xlfn.IMAGE("https://m.media-amazon.com/images/I/51NAqyWqRmL._AC_UL320_.jpg")</f>
        <v/>
      </c>
      <c r="K2932" t="inlineStr">
        <is>
          <t>44.97</t>
        </is>
      </c>
      <c r="L2932" t="n">
        <v>31.97</v>
      </c>
      <c r="M2932" s="1" t="inlineStr">
        <is>
          <t>-28.91%</t>
        </is>
      </c>
      <c r="N2932" s="7" t="n">
        <v>149.19</v>
      </c>
      <c r="O2932" t="n">
        <v>4.6</v>
      </c>
      <c r="P2932" t="n">
        <v>26</v>
      </c>
      <c r="R2932" t="inlineStr">
        <is>
          <t>InStock</t>
        </is>
      </c>
      <c r="S2932" t="inlineStr">
        <is>
          <t>68.16</t>
        </is>
      </c>
      <c r="T2932" t="inlineStr">
        <is>
          <t>4396888490084</t>
        </is>
      </c>
    </row>
    <row r="2933" ht="87" customHeight="1">
      <c r="A2933" s="2">
        <f>HYPERLINK("https://edmondsonsupply.com/collections/hvac/products/klein-tools-1010-long-nose-multi-purpose-tool", "https://edmondsonsupply.com/collections/hvac/products/klein-tools-1010-long-nose-multi-purpose-tool")</f>
        <v/>
      </c>
      <c r="B2933" s="2">
        <f>HYPERLINK("https://edmondsonsupply.com/products/klein-tools-1010-long-nose-multi-purpose-tool", "https://edmondsonsupply.com/products/klein-tools-1010-long-nose-multi-purpose-tool")</f>
        <v/>
      </c>
      <c r="C2933" t="inlineStr">
        <is>
          <t>Klein Tools 1010 Long Nose Multi Tool Wire Stripper, Wire Cutters, Crimping Tool</t>
        </is>
      </c>
      <c r="D2933" t="inlineStr">
        <is>
          <t>Klein Tools 1010 Multi Tool Long Nose Wire Cutter, Wire Crimper, Stripper and Bolt Cutter Multi-Purpose Electrician Tool, 8-Inch Long</t>
        </is>
      </c>
      <c r="E2933" s="2">
        <f>HYPERLINK("https://www.amazon.com/Klein-Tools-1010-Crimper-Stripper/dp/B0000302WX/ref=sr_1_1?keywords=Klein+Tools+1010+Long+Nose+Multi+Tool+Wire+Stripper%2C+Wire+Cutters%2C+Crimping+Tool&amp;qid=1694734802&amp;sr=8-1", "https://www.amazon.com/Klein-Tools-1010-Crimper-Stripper/dp/B0000302WX/ref=sr_1_1?keywords=Klein+Tools+1010+Long+Nose+Multi+Tool+Wire+Stripper%2C+Wire+Cutters%2C+Crimping+Tool&amp;qid=1694734802&amp;sr=8-1")</f>
        <v/>
      </c>
      <c r="F2933" t="inlineStr">
        <is>
          <t>B0000302WX</t>
        </is>
      </c>
      <c r="G2933">
        <f>_xlfn.IMAGE("https://edmondsonsupply.com/cdn/shop/products/1010.jpg?v=1587145604")</f>
        <v/>
      </c>
      <c r="H2933">
        <f>_xlfn.IMAGE("https://m.media-amazon.com/images/I/51hS7c2qzvL._AC_UL320_.jpg")</f>
        <v/>
      </c>
      <c r="K2933" t="inlineStr">
        <is>
          <t>33.36</t>
        </is>
      </c>
      <c r="L2933" t="n">
        <v>23.69</v>
      </c>
      <c r="M2933" s="1" t="inlineStr">
        <is>
          <t>-28.99%</t>
        </is>
      </c>
      <c r="N2933" s="7" t="n">
        <v>148.5</v>
      </c>
      <c r="O2933" t="n">
        <v>4.8</v>
      </c>
      <c r="P2933" t="n">
        <v>1503</v>
      </c>
      <c r="R2933" t="inlineStr">
        <is>
          <t>InStock</t>
        </is>
      </c>
      <c r="S2933" t="inlineStr">
        <is>
          <t>undefined</t>
        </is>
      </c>
      <c r="T2933" t="inlineStr">
        <is>
          <t>4431821242468</t>
        </is>
      </c>
    </row>
    <row r="2934" ht="87" customHeight="1">
      <c r="A2934" s="2">
        <f>HYPERLINK("https://edmondsonsupply.com/collections/hvac/products/uniweld-utc702-premium-tubing-cutter", "https://edmondsonsupply.com/collections/hvac/products/uniweld-utc702-premium-tubing-cutter")</f>
        <v/>
      </c>
      <c r="B2934" s="2">
        <f>HYPERLINK("https://edmondsonsupply.com/products/uniweld-utc702-premium-tubing-cutter", "https://edmondsonsupply.com/products/uniweld-utc702-premium-tubing-cutter")</f>
        <v/>
      </c>
      <c r="C2934" t="inlineStr">
        <is>
          <t>Uniweld UTC702 1/8″ to 1-1/8″ Premium Tubing Cutter</t>
        </is>
      </c>
      <c r="D2934" t="inlineStr">
        <is>
          <t>Uniweld UTC701 Premium Tubing Cutter Cuts 1/8 Inch to 1 Inch O.D. Copper, Brass, and Aluminum Tubing</t>
        </is>
      </c>
      <c r="E2934" s="2">
        <f>HYPERLINK("https://www.amazon.com/Uniweld-UTC701-Premium-Tubing-Aluminum/dp/B00HNQRKFC/ref=sr_1_2?keywords=Uniweld+UTC702+1%2F8%E2%80%B3+to+1-1%2F8%E2%80%B3+Premium+Tubing+Cutter&amp;qid=1694734759&amp;sr=8-2", "https://www.amazon.com/Uniweld-UTC701-Premium-Tubing-Aluminum/dp/B00HNQRKFC/ref=sr_1_2?keywords=Uniweld+UTC702+1%2F8%E2%80%B3+to+1-1%2F8%E2%80%B3+Premium+Tubing+Cutter&amp;qid=1694734759&amp;sr=8-2")</f>
        <v/>
      </c>
      <c r="F2934" t="inlineStr">
        <is>
          <t>B00HNQRKFC</t>
        </is>
      </c>
      <c r="G2934">
        <f>_xlfn.IMAGE("https://edmondsonsupply.com/cdn/shop/products/utc702-front.jpg?v=1656354409")</f>
        <v/>
      </c>
      <c r="H2934">
        <f>_xlfn.IMAGE("https://m.media-amazon.com/images/I/61NjoOKhOsL._AC_UL320_.jpg")</f>
        <v/>
      </c>
      <c r="K2934" t="inlineStr">
        <is>
          <t>24.59</t>
        </is>
      </c>
      <c r="L2934" t="n">
        <v>17.46</v>
      </c>
      <c r="M2934" s="1" t="inlineStr">
        <is>
          <t>-29.00%</t>
        </is>
      </c>
      <c r="N2934" s="7" t="n">
        <v>148.21</v>
      </c>
      <c r="O2934" t="n">
        <v>4.1</v>
      </c>
      <c r="P2934" t="n">
        <v>34</v>
      </c>
      <c r="R2934" t="inlineStr">
        <is>
          <t>InStock</t>
        </is>
      </c>
      <c r="S2934" t="inlineStr">
        <is>
          <t>31.81</t>
        </is>
      </c>
      <c r="T2934" t="inlineStr">
        <is>
          <t>7731714883800</t>
        </is>
      </c>
    </row>
    <row r="2935" ht="87" customHeight="1">
      <c r="A2935" s="2">
        <f>HYPERLINK("https://edmondsonsupply.com/collections/hvac/products/klein-tools-d504-10-classic-klaw%E2%84%A2-pump-pliers-10-inch", "https://edmondsonsupply.com/collections/hvac/products/klein-tools-d504-10-classic-klaw%E2%84%A2-pump-pliers-10-inch")</f>
        <v/>
      </c>
      <c r="B2935" s="2">
        <f>HYPERLINK("https://edmondsonsupply.com/products/klein-tools-d504-10-classic-klaw%e2%84%a2-pump-pliers-10-inch", "https://edmondsonsupply.com/products/klein-tools-d504-10-classic-klaw%e2%84%a2-pump-pliers-10-inch")</f>
        <v/>
      </c>
      <c r="C2935" t="inlineStr">
        <is>
          <t>Klein Tools D504-10 Classic Klaw™ Pump Pliers, 10-Inch</t>
        </is>
      </c>
      <c r="D2935" t="inlineStr">
        <is>
          <t>Klein Tools D502-10 Pump Pliers, 10-Inch Tongue and Groove, Quick-Adjust Rivet, 1-3/4 Inch Max Parallel Jaw Range, Tension Loaded Joint</t>
        </is>
      </c>
      <c r="E2935" s="2">
        <f>HYPERLINK("https://www.amazon.com/Pliers-10-Inch-Klein-Tools-D502-10/dp/B0000302WC/ref=sr_1_3?keywords=Klein+Tools+D504-10+Classic+Klaw%E2%84%A2+Pump+Pliers%2C+10-Inch&amp;qid=1694734805&amp;sr=8-3", "https://www.amazon.com/Pliers-10-Inch-Klein-Tools-D502-10/dp/B0000302WC/ref=sr_1_3?keywords=Klein+Tools+D504-10+Classic+Klaw%E2%84%A2+Pump+Pliers%2C+10-Inch&amp;qid=1694734805&amp;sr=8-3")</f>
        <v/>
      </c>
      <c r="F2935" t="inlineStr">
        <is>
          <t>B0000302WC</t>
        </is>
      </c>
      <c r="G2935">
        <f>_xlfn.IMAGE("https://edmondsonsupply.com/cdn/shop/products/d504-10.jpg?v=1587142942")</f>
        <v/>
      </c>
      <c r="H2935">
        <f>_xlfn.IMAGE("https://m.media-amazon.com/images/I/418n0XM7PlL._AC_UL320_.jpg")</f>
        <v/>
      </c>
      <c r="K2935" t="inlineStr">
        <is>
          <t>33.97</t>
        </is>
      </c>
      <c r="L2935" t="n">
        <v>23.99</v>
      </c>
      <c r="M2935" s="1" t="inlineStr">
        <is>
          <t>-29.38%</t>
        </is>
      </c>
      <c r="N2935" s="7" t="n">
        <v>148.19</v>
      </c>
      <c r="O2935" t="n">
        <v>4.7</v>
      </c>
      <c r="P2935" t="n">
        <v>226</v>
      </c>
      <c r="R2935" t="inlineStr">
        <is>
          <t>InStock</t>
        </is>
      </c>
      <c r="S2935" t="inlineStr">
        <is>
          <t>47.1</t>
        </is>
      </c>
      <c r="T2935" t="inlineStr">
        <is>
          <t>3694795522148</t>
        </is>
      </c>
    </row>
    <row r="2936" hidden="1" ht="15.75" customHeight="1">
      <c r="A2936" s="2">
        <f>HYPERLINK("https://edmondsonsupply.com/collections/hvac/products/nu-calgon-4185-15-condensate-pan-gel-tabs-15-ton", "https://edmondsonsupply.com/collections/hvac/products/nu-calgon-4185-15-condensate-pan-gel-tabs-15-ton")</f>
        <v/>
      </c>
      <c r="B2936" s="2">
        <f>HYPERLINK("https://edmondsonsupply.com/products/nu-calgon-4185-15-condensate-pan-gel-tabs-15-ton", "https://edmondsonsupply.com/products/nu-calgon-4185-15-condensate-pan-gel-tabs-15-ton")</f>
        <v/>
      </c>
      <c r="C2936" t="inlineStr">
        <is>
          <t>Nu-Calgon 4185-15 Condensate Pan Gel Tab, 15 ton</t>
        </is>
      </c>
      <c r="D2936" t="inlineStr">
        <is>
          <t>(1) Pack/Nu-Calgon Gel-Tab Mini # 4185-95, Condensate Pan Treatment up to 1-1/2 Tons</t>
        </is>
      </c>
      <c r="E2936" s="2">
        <f>HYPERLINK("https://www.amazon.com/Nu-Calgon-Gel-Tab-4185-95-Condensate-Treatment/dp/B08SFLZBKH/ref=sr_1_4?keywords=Nu-Calgon+4185-15+Condensate+Pan+Gel+Tab%2C+15+ton&amp;qid=1694734758&amp;sr=8-4", "https://www.amazon.com/Nu-Calgon-Gel-Tab-4185-95-Condensate-Treatment/dp/B08SFLZBKH/ref=sr_1_4?keywords=Nu-Calgon+4185-15+Condensate+Pan+Gel+Tab%2C+15+ton&amp;qid=1694734758&amp;sr=8-4")</f>
        <v/>
      </c>
      <c r="F2936" t="inlineStr">
        <is>
          <t>B08SFLZBKH</t>
        </is>
      </c>
      <c r="G2936">
        <f>_xludf.IMAGE("https://edmondsonsupply.com/cdn/shop/products/4185-15.jpg?v=1659378611")</f>
        <v/>
      </c>
      <c r="H2936">
        <f>_xludf.IMAGE("https://m.media-amazon.com/images/I/41Rc0fpyudL._AC_UY218_.jpg")</f>
        <v/>
      </c>
      <c r="K2936" t="inlineStr">
        <is>
          <t>18.49</t>
        </is>
      </c>
      <c r="L2936" t="n">
        <v>12.99</v>
      </c>
      <c r="M2936" s="1" t="inlineStr">
        <is>
          <t>-29.75%</t>
        </is>
      </c>
      <c r="N2936" s="1" t="n">
        <v>147.69</v>
      </c>
      <c r="O2936" t="n">
        <v>5</v>
      </c>
      <c r="P2936" t="n">
        <v>2</v>
      </c>
      <c r="R2936" t="inlineStr">
        <is>
          <t>InStock</t>
        </is>
      </c>
      <c r="S2936" t="inlineStr">
        <is>
          <t>27.68</t>
        </is>
      </c>
      <c r="T2936" t="inlineStr">
        <is>
          <t>7769420529880</t>
        </is>
      </c>
    </row>
    <row r="2937" hidden="1" ht="15.75" customHeight="1">
      <c r="A2937" s="2">
        <f>HYPERLINK("https://edmondsonsupply.com/collections/hvac/products/klein-tools-89552-hole-cutter-for-duct-and-sheet-metal-2-to-12-inch", "https://edmondsonsupply.com/collections/hvac/products/klein-tools-89552-hole-cutter-for-duct-and-sheet-metal-2-to-12-inch")</f>
        <v/>
      </c>
      <c r="B2937" s="2">
        <f>HYPERLINK("https://edmondsonsupply.com/products/klein-tools-89552-hole-cutter-for-duct-and-sheet-metal-2-to-12-inch", "https://edmondsonsupply.com/products/klein-tools-89552-hole-cutter-for-duct-and-sheet-metal-2-to-12-inch")</f>
        <v/>
      </c>
      <c r="C2937" t="inlineStr">
        <is>
          <t>Klein Tools 89552 Hole Cutter for Duct and Sheet Metal, 2 to 12-Inch</t>
        </is>
      </c>
      <c r="D2937" t="inlineStr">
        <is>
          <t>AMERICAN MUTT TOOLS Adjustable Sheet Metal Hole Cutter – Cut 2 – 12" Circle Holes in 24ga Steel and 26ga Stainless Steel | Adjustable Hole Cutter for Metal, Duct Hole Cutter, HVAC Ductwork Hole Cutter</t>
        </is>
      </c>
      <c r="E2937" s="2">
        <f>HYPERLINK("https://www.amazon.com/AMERICAN-MUTT-TOOLS-Adjustable-Cutter/dp/B0BNNXKQC9/ref=sr_1_3?keywords=Klein+Tools+89552+Hole+Cutter+for+Duct+and+Sheet+Metal%2C+2+to+12-Inch&amp;qid=1694734820&amp;sr=8-3", "https://www.amazon.com/AMERICAN-MUTT-TOOLS-Adjustable-Cutter/dp/B0BNNXKQC9/ref=sr_1_3?keywords=Klein+Tools+89552+Hole+Cutter+for+Duct+and+Sheet+Metal%2C+2+to+12-Inch&amp;qid=1694734820&amp;sr=8-3")</f>
        <v/>
      </c>
      <c r="F2937" t="inlineStr">
        <is>
          <t>B0BNNXKQC9</t>
        </is>
      </c>
      <c r="G2937">
        <f>_xludf.IMAGE("https://edmondsonsupply.com/cdn/shop/products/89552.jpg?v=1587143132")</f>
        <v/>
      </c>
      <c r="H2937">
        <f>_xludf.IMAGE("https://m.media-amazon.com/images/I/81YKfb6EtrL._AC_UL320_.jpg")</f>
        <v/>
      </c>
      <c r="K2937" t="inlineStr">
        <is>
          <t>56.99</t>
        </is>
      </c>
      <c r="L2937" t="n">
        <v>39.99</v>
      </c>
      <c r="M2937" s="1" t="inlineStr">
        <is>
          <t>-29.83%</t>
        </is>
      </c>
      <c r="N2937" s="1" t="n">
        <v>146.78</v>
      </c>
      <c r="O2937" t="n">
        <v>4</v>
      </c>
      <c r="P2937" t="n">
        <v>62</v>
      </c>
      <c r="R2937" t="inlineStr">
        <is>
          <t>InStock</t>
        </is>
      </c>
      <c r="S2937" t="inlineStr">
        <is>
          <t>83.98</t>
        </is>
      </c>
      <c r="T2937" t="inlineStr">
        <is>
          <t>4169413165156</t>
        </is>
      </c>
    </row>
    <row r="2938" hidden="1" ht="15.75" customHeight="1">
      <c r="A2938" s="2">
        <f>HYPERLINK("https://edmondsonsupply.com/collections/hvac/products/fresh-aire-uv-tuvp-er-pco-fresh-aire-uv-power-supply", "https://edmondsonsupply.com/collections/hvac/products/fresh-aire-uv-tuvp-er-pco-fresh-aire-uv-power-supply")</f>
        <v/>
      </c>
      <c r="B2938" s="2">
        <f>HYPERLINK("https://edmondsonsupply.com/products/fresh-aire-uv-tuvp-er-pco-fresh-aire-uv-power-supply", "https://edmondsonsupply.com/products/fresh-aire-uv-tuvp-er-pco-fresh-aire-uv-power-supply")</f>
        <v/>
      </c>
      <c r="C2938" t="inlineStr">
        <is>
          <t>Fresh-Aire UV TUVP-ER-PCO Fresh Aire UV Power Supply</t>
        </is>
      </c>
      <c r="D2938" t="inlineStr">
        <is>
          <t>LSE Lighting TUVL-215P TUVL-200-E 15" UV Lamp for AHU Series 1 APCO MAG 15 (no Black Wire Attached) | Used for Fresh-Aire UVC Systems | 2 Year 15" Replacement lamp | Made from Hard Quartz</t>
        </is>
      </c>
      <c r="E2938" s="2">
        <f>HYPERLINK("https://www.amazon.com/LSE-Lighting-TUVL-215P-Fresh-Aire-Replacement/dp/B0BCH7Z2T3/ref=sr_1_9?keywords=Fresh-Aire+UV+TUVP-ER-PCO+Fresh+Aire+UV+Power+Supply&amp;qid=1694734752&amp;sr=8-9", "https://www.amazon.com/LSE-Lighting-TUVL-215P-Fresh-Aire-Replacement/dp/B0BCH7Z2T3/ref=sr_1_9?keywords=Fresh-Aire+UV+TUVP-ER-PCO+Fresh+Aire+UV+Power+Supply&amp;qid=1694734752&amp;sr=8-9")</f>
        <v/>
      </c>
      <c r="F2938" t="inlineStr">
        <is>
          <t>B0BCH7Z2T3</t>
        </is>
      </c>
      <c r="G2938">
        <f>_xludf.IMAGE("https://edmondsonsupply.com/cdn/shop/files/TUVP-ER-PCO.png?v=1692223340")</f>
        <v/>
      </c>
      <c r="H2938">
        <f>_xludf.IMAGE("https://m.media-amazon.com/images/I/31MNaScLYrS._AC_UL320_.jpg")</f>
        <v/>
      </c>
      <c r="K2938" t="inlineStr">
        <is>
          <t>77.22</t>
        </is>
      </c>
      <c r="L2938" t="n">
        <v>54</v>
      </c>
      <c r="M2938" s="1" t="inlineStr">
        <is>
          <t>-30.07%</t>
        </is>
      </c>
      <c r="N2938" s="1" t="n">
        <v>146.49</v>
      </c>
      <c r="O2938" t="n">
        <v>3.8</v>
      </c>
      <c r="P2938" t="n">
        <v>13</v>
      </c>
      <c r="R2938" t="inlineStr">
        <is>
          <t>InStock</t>
        </is>
      </c>
      <c r="S2938" t="inlineStr">
        <is>
          <t>undefined</t>
        </is>
      </c>
      <c r="T2938" t="inlineStr">
        <is>
          <t>8028105605336</t>
        </is>
      </c>
    </row>
    <row r="2939" hidden="1" ht="15.75" customHeight="1">
      <c r="A2939" s="2">
        <f>HYPERLINK("https://edmondsonsupply.com/collections/hvac/products/diablo-tools-dag1130-1-in-x-7-1-2-in-auger-bit", "https://edmondsonsupply.com/collections/hvac/products/diablo-tools-dag1130-1-in-x-7-1-2-in-auger-bit")</f>
        <v/>
      </c>
      <c r="B2939" s="2">
        <f>HYPERLINK("https://edmondsonsupply.com/products/diablo-tools-dag1130-1-in-x-7-1-2-in-auger-bit", "https://edmondsonsupply.com/products/diablo-tools-dag1130-1-in-x-7-1-2-in-auger-bit")</f>
        <v/>
      </c>
      <c r="C2939" t="inlineStr">
        <is>
          <t>Diablo Tools DAG1130 1 in. x 7-1/2 in. Auger Bit</t>
        </is>
      </c>
      <c r="D2939" t="inlineStr">
        <is>
          <t>Diablo by Freud DAG2010 3/8 in. x 13 in. Auger Bit Multi, One Size</t>
        </is>
      </c>
      <c r="E2939" s="2">
        <f>HYPERLINK("https://www.amazon.com/Diablo-DAG2010-13-Auger-Bit/dp/B089KW8RBS/ref=sr_1_38?keywords=Diablo+Tools+DAG1130+1+in.+x+7-1%2F2+in.+Auger+Bit&amp;qid=1694734776&amp;sr=8-38", "https://www.amazon.com/Diablo-DAG2010-13-Auger-Bit/dp/B089KW8RBS/ref=sr_1_38?keywords=Diablo+Tools+DAG1130+1+in.+x+7-1%2F2+in.+Auger+Bit&amp;qid=1694734776&amp;sr=8-38")</f>
        <v/>
      </c>
      <c r="F2939" t="inlineStr">
        <is>
          <t>B089KW8RBS</t>
        </is>
      </c>
      <c r="G2939">
        <f>_xludf.IMAGE("https://edmondsonsupply.com/cdn/shop/products/DAG1130_Main-Image20200712.png?v=1633031124")</f>
        <v/>
      </c>
      <c r="H2939">
        <f>_xludf.IMAGE("https://m.media-amazon.com/images/I/61XYK47f4zL._AC_UL320_.jpg")</f>
        <v/>
      </c>
      <c r="K2939" t="inlineStr">
        <is>
          <t>16.37</t>
        </is>
      </c>
      <c r="L2939" t="n">
        <v>11.44</v>
      </c>
      <c r="M2939" s="1" t="inlineStr">
        <is>
          <t>-30.12%</t>
        </is>
      </c>
      <c r="N2939" s="1" t="n">
        <v>145.96</v>
      </c>
      <c r="O2939" t="n">
        <v>3.7</v>
      </c>
      <c r="P2939" t="n">
        <v>4</v>
      </c>
      <c r="R2939" t="inlineStr">
        <is>
          <t>InStock</t>
        </is>
      </c>
      <c r="S2939" t="inlineStr">
        <is>
          <t>25.94</t>
        </is>
      </c>
      <c r="T2939" t="inlineStr">
        <is>
          <t>6866560581805</t>
        </is>
      </c>
    </row>
    <row r="2940" ht="87" customHeight="1">
      <c r="A2940" s="2">
        <f>HYPERLINK("https://edmondsonsupply.com/collections/hvac/products/milwaukee-48-22-0335-35ft-compact-wide-blade-magnetic-tape-measure", "https://edmondsonsupply.com/collections/hvac/products/milwaukee-48-22-0335-35ft-compact-wide-blade-magnetic-tape-measure")</f>
        <v/>
      </c>
      <c r="B2940" s="2">
        <f>HYPERLINK("https://edmondsonsupply.com/products/milwaukee-48-22-0335-35ft-compact-wide-blade-magnetic-tape-measure", "https://edmondsonsupply.com/products/milwaukee-48-22-0335-35ft-compact-wide-blade-magnetic-tape-measure")</f>
        <v/>
      </c>
      <c r="C2940" t="inlineStr">
        <is>
          <t>Milwaukee 48-22-0335 35ft Compact Wide Blade Magnetic Tape Measure</t>
        </is>
      </c>
      <c r="D2940" t="inlineStr">
        <is>
          <t>Milwaukee 48-22-0325 Compact Wide Blade Magnetic Tape Measures</t>
        </is>
      </c>
      <c r="E2940" s="2">
        <f>HYPERLINK("https://www.amazon.com/Milwaukee-48-22-0325-Compact-Magnetic-Measures/dp/B082L6Q7WV/ref=sr_1_1?keywords=Milwaukee+48-22-0335+35ft+Compact+Wide+Blade+Magnetic+Tape+Measure&amp;qid=1694734878&amp;sr=8-1", "https://www.amazon.com/Milwaukee-48-22-0325-Compact-Magnetic-Measures/dp/B082L6Q7WV/ref=sr_1_1?keywords=Milwaukee+48-22-0335+35ft+Compact+Wide+Blade+Magnetic+Tape+Measure&amp;qid=1694734878&amp;sr=8-1")</f>
        <v/>
      </c>
      <c r="F2940" t="inlineStr">
        <is>
          <t>B082L6Q7WV</t>
        </is>
      </c>
      <c r="G2940">
        <f>_xlfn.IMAGE("https://edmondsonsupply.com/cdn/shop/files/48-22-0335_1.png?v=1690302822")</f>
        <v/>
      </c>
      <c r="H2940">
        <f>_xlfn.IMAGE("https://m.media-amazon.com/images/I/41gSokc+0RL._AC_UL320_.jpg")</f>
        <v/>
      </c>
      <c r="K2940" t="inlineStr">
        <is>
          <t>32.97</t>
        </is>
      </c>
      <c r="L2940" t="n">
        <v>22.97</v>
      </c>
      <c r="M2940" s="1" t="inlineStr">
        <is>
          <t>-30.33%</t>
        </is>
      </c>
      <c r="N2940" s="7" t="n">
        <v>145.5</v>
      </c>
      <c r="O2940" t="n">
        <v>4.5</v>
      </c>
      <c r="P2940" t="n">
        <v>205</v>
      </c>
      <c r="R2940" t="inlineStr">
        <is>
          <t>InStock</t>
        </is>
      </c>
      <c r="S2940" t="inlineStr">
        <is>
          <t>46.7</t>
        </is>
      </c>
      <c r="T2940" t="inlineStr">
        <is>
          <t>8020501528792</t>
        </is>
      </c>
    </row>
    <row r="2941" hidden="1" ht="15.75" customHeight="1">
      <c r="A2941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941" s="2">
        <f>HYPERLINK("https://edmondsonsupply.com/products/klein-tools-32314-14-in-1-precision-screwdriver-nut-driver", "https://edmondsonsupply.com/products/klein-tools-32314-14-in-1-precision-screwdriver-nut-driver")</f>
        <v/>
      </c>
      <c r="C2941" t="inlineStr">
        <is>
          <t>Klein Tools 32314 14-in-1 Precision Screwdriver/ Nut Driver</t>
        </is>
      </c>
      <c r="D2941" t="inlineStr">
        <is>
          <t>Klein Tools 32585 Multi-bit Precision Screwdriver Set, 4-in-1 Electronics Screwdriver with Industrial Strength Torx Bits, Spin Top</t>
        </is>
      </c>
      <c r="E2941" s="2">
        <f>HYPERLINK("https://www.amazon.com/Electronics-Screwdriver-Klein-Tools-32585/dp/B0775ZJ15F/ref=sr_1_30?keywords=Klein+Tools+32314+14-in-1+Precision+Screwdriver%2F+Nut+Driver&amp;qid=1694734697&amp;sr=8-30", "https://www.amazon.com/Electronics-Screwdriver-Klein-Tools-32585/dp/B0775ZJ15F/ref=sr_1_30?keywords=Klein+Tools+32314+14-in-1+Precision+Screwdriver%2F+Nut+Driver&amp;qid=1694734697&amp;sr=8-30")</f>
        <v/>
      </c>
      <c r="F2941" t="inlineStr">
        <is>
          <t>B0775ZJ15F</t>
        </is>
      </c>
      <c r="G2941">
        <f>_xludf.IMAGE("https://edmondsonsupply.com/cdn/shop/products/32314.jpg?v=1646593726")</f>
        <v/>
      </c>
      <c r="H2941">
        <f>_xludf.IMAGE("https://m.media-amazon.com/images/I/31zFb-nVifL._AC_UL320_.jpg")</f>
        <v/>
      </c>
      <c r="K2941" t="inlineStr">
        <is>
          <t>15.97</t>
        </is>
      </c>
      <c r="L2941" t="n">
        <v>10.97</v>
      </c>
      <c r="M2941" s="1" t="inlineStr">
        <is>
          <t>-31.31%</t>
        </is>
      </c>
      <c r="N2941" s="1" t="n">
        <v>145.49</v>
      </c>
      <c r="O2941" t="n">
        <v>4.7</v>
      </c>
      <c r="P2941" t="n">
        <v>568</v>
      </c>
      <c r="R2941" t="inlineStr">
        <is>
          <t>InStock</t>
        </is>
      </c>
      <c r="S2941" t="inlineStr">
        <is>
          <t>22.38</t>
        </is>
      </c>
      <c r="T2941" t="inlineStr">
        <is>
          <t>7626984947928</t>
        </is>
      </c>
    </row>
    <row r="2942" hidden="1" ht="15.75" customHeight="1">
      <c r="A2942" s="2">
        <f>HYPERLINK("https://edmondsonsupply.com/collections/hvac/products/5-2-1-compressor-saver-csru2", "https://edmondsonsupply.com/collections/hvac/products/5-2-1-compressor-saver-csru2")</f>
        <v/>
      </c>
      <c r="B2942" s="2">
        <f>HYPERLINK("https://edmondsonsupply.com/products/5-2-1-compressor-saver-csru2", "https://edmondsonsupply.com/products/5-2-1-compressor-saver-csru2")</f>
        <v/>
      </c>
      <c r="C2942" t="inlineStr">
        <is>
          <t>5-2-1 CSRU2 Compressor Saver, 3-1/2 to 5 Tons</t>
        </is>
      </c>
      <c r="D2942" t="inlineStr">
        <is>
          <t>Upgraded 5-2-1 CSRU2 Compressor Saver for Air Conditioner，Compatible With 3-1/2 to 5 Ton Units，Csr-u2 Compressor Energy Saver，HVAC Hard Start Kit，AC Hard Start Capacitor Kit，1 Year Warranty</t>
        </is>
      </c>
      <c r="E2942" s="2">
        <f>HYPERLINK("https://www.amazon.com/5-2-1-CSRU2-Compressor-Conditioner%EF%BC%8CCompatible-Units%EF%BC%8CCsr-u2/dp/B0BVVV9Y4Q/ref=sr_1_2?keywords=5-2-1+CSRU2+Compressor+Saver%2C+3-1%2F2+to+5+Tons&amp;qid=1694734823&amp;sr=8-2", "https://www.amazon.com/5-2-1-CSRU2-Compressor-Conditioner%EF%BC%8CCompatible-Units%EF%BC%8CCsr-u2/dp/B0BVVV9Y4Q/ref=sr_1_2?keywords=5-2-1+CSRU2+Compressor+Saver%2C+3-1%2F2+to+5+Tons&amp;qid=1694734823&amp;sr=8-2")</f>
        <v/>
      </c>
      <c r="F2942" t="inlineStr">
        <is>
          <t>B0BVVV9Y4Q</t>
        </is>
      </c>
      <c r="G2942">
        <f>_xludf.IMAGE("https://edmondsonsupply.com/cdn/shop/products/CSRU2.jpg?v=1633030087")</f>
        <v/>
      </c>
      <c r="H2942">
        <f>_xludf.IMAGE("https://m.media-amazon.com/images/I/71gGiCsBfCL._AC_UL320_.jpg")</f>
        <v/>
      </c>
      <c r="K2942" t="inlineStr">
        <is>
          <t>42.24</t>
        </is>
      </c>
      <c r="L2942" t="n">
        <v>28.99</v>
      </c>
      <c r="M2942" s="1" t="inlineStr">
        <is>
          <t>-31.37%</t>
        </is>
      </c>
      <c r="N2942" s="1" t="n">
        <v>145.46</v>
      </c>
      <c r="O2942" t="n">
        <v>3.9</v>
      </c>
      <c r="P2942" t="n">
        <v>27</v>
      </c>
      <c r="R2942" t="inlineStr">
        <is>
          <t>InStock</t>
        </is>
      </c>
      <c r="S2942" t="inlineStr">
        <is>
          <t>48.74</t>
        </is>
      </c>
      <c r="T2942" t="inlineStr">
        <is>
          <t>3561347317860</t>
        </is>
      </c>
    </row>
    <row r="2943" ht="87" customHeight="1">
      <c r="A2943" s="2">
        <f>HYPERLINK("https://edmondsonsupply.com/collections/hvac/products/wiha-tools-66990-9-piece-magicring-ball-end-long-arm-hex-l-key-set-metric", "https://edmondsonsupply.com/collections/hvac/products/wiha-tools-66990-9-piece-magicring-ball-end-long-arm-hex-l-key-set-metric")</f>
        <v/>
      </c>
      <c r="B2943" s="2">
        <f>HYPERLINK("https://edmondsonsupply.com/products/wiha-tools-66990-9-piece-magicring-ball-end-long-arm-hex-l-key-set-metric", "https://edmondsonsupply.com/products/wiha-tools-66990-9-piece-magicring-ball-end-long-arm-hex-l-key-set-metric")</f>
        <v/>
      </c>
      <c r="C2943" t="inlineStr">
        <is>
          <t>Wiha Tools 66990 9 Piece MagicRing Ball End Long Arm Hex L-Key Set - Metric</t>
        </is>
      </c>
      <c r="D2943" t="inlineStr">
        <is>
          <t>Wiha 66994 9-Piece Metric Ball End Long Hex L-Key Set</t>
        </is>
      </c>
      <c r="E2943" s="2">
        <f>HYPERLINK("https://www.amazon.com/Wiha-66994-9-Piece-Metric-L-Key/dp/B002S0O7TK/ref=sr_1_3?keywords=Wiha+Tools+66990+9+Piece+MagicRing+Ball+End+Long+Arm+Hex+L-Key+Set+-+Metric&amp;qid=1694734869&amp;sr=8-3", "https://www.amazon.com/Wiha-66994-9-Piece-Metric-L-Key/dp/B002S0O7TK/ref=sr_1_3?keywords=Wiha+Tools+66990+9+Piece+MagicRing+Ball+End+Long+Arm+Hex+L-Key+Set+-+Metric&amp;qid=1694734869&amp;sr=8-3")</f>
        <v/>
      </c>
      <c r="F2943" t="inlineStr">
        <is>
          <t>B002S0O7TK</t>
        </is>
      </c>
      <c r="G2943">
        <f>_xlfn.IMAGE("https://edmondsonsupply.com/cdn/shop/files/13e958aad91c16597a10bc35346fe94965ff7cc5_1000x_585c36ae-bd90-4c7e-95df-eb1519527f63.webp?v=1690841217")</f>
        <v/>
      </c>
      <c r="H2943">
        <f>_xlfn.IMAGE("https://m.media-amazon.com/images/I/61tUR1OSo0L._AC_UL320_.jpg")</f>
        <v/>
      </c>
      <c r="K2943" t="inlineStr">
        <is>
          <t>39.26</t>
        </is>
      </c>
      <c r="L2943" t="n">
        <v>26.78</v>
      </c>
      <c r="M2943" s="1" t="inlineStr">
        <is>
          <t>-31.79%</t>
        </is>
      </c>
      <c r="N2943" s="7" t="n">
        <v>145.01</v>
      </c>
      <c r="O2943" t="n">
        <v>4.8</v>
      </c>
      <c r="P2943" t="n">
        <v>144</v>
      </c>
      <c r="R2943" t="inlineStr">
        <is>
          <t>InStock</t>
        </is>
      </c>
      <c r="S2943" t="inlineStr">
        <is>
          <t>52.34</t>
        </is>
      </c>
      <c r="T2943" t="inlineStr">
        <is>
          <t>8023273111768</t>
        </is>
      </c>
    </row>
    <row r="2944" hidden="1" ht="15.75" customHeight="1">
      <c r="A2944" s="2">
        <f>HYPERLINK("https://edmondsonsupply.com/collections/hvac/products/klein-tools-55437-tradesman-pro%E2%84%A2-work-light", "https://edmondsonsupply.com/collections/hvac/products/klein-tools-55437-tradesman-pro%E2%84%A2-work-light")</f>
        <v/>
      </c>
      <c r="B2944" s="2">
        <f>HYPERLINK("https://edmondsonsupply.com/products/klein-tools-55437-tradesman-pro%e2%84%a2-work-light", "https://edmondsonsupply.com/products/klein-tools-55437-tradesman-pro%e2%84%a2-work-light")</f>
        <v/>
      </c>
      <c r="C2944" t="inlineStr">
        <is>
          <t>Klein Tools 55437 Tradesman Pro™ Work Light / Tool Bag Light / Cooler Light</t>
        </is>
      </c>
      <c r="D2944" t="inlineStr">
        <is>
          <t>Klein Tools 55437 Tradesman Pro Work Light / Tool Bag Light / Cooler Light, for Work, and Outdoor Hiking, Camping</t>
        </is>
      </c>
      <c r="E2944" s="2">
        <f>HYPERLINK("https://www.amazon.com/Tradesman-Light-Klein-Tools-55437/dp/B00MJO7KYO/ref=sr_1_1?keywords=Klein+Tools+55437+Tradesman+Pro%E2%84%A2+Work+Light+%2F+Tool+Bag+Light+%2F+Cooler+Light&amp;qid=1694734780&amp;sr=8-1", "https://www.amazon.com/Tradesman-Light-Klein-Tools-55437/dp/B00MJO7KYO/ref=sr_1_1?keywords=Klein+Tools+55437+Tradesman+Pro%E2%84%A2+Work+Light+%2F+Tool+Bag+Light+%2F+Cooler+Light&amp;qid=1694734780&amp;sr=8-1")</f>
        <v/>
      </c>
      <c r="F2944" t="inlineStr">
        <is>
          <t>B00MJO7KYO</t>
        </is>
      </c>
      <c r="G2944">
        <f>_xludf.IMAGE("https://edmondsonsupply.com/cdn/shop/products/55437.jpg?v=1587143511")</f>
        <v/>
      </c>
      <c r="H2944">
        <f>_xludf.IMAGE("https://m.media-amazon.com/images/I/71D2GxvE3+L._AC_UL320_.jpg")</f>
        <v/>
      </c>
      <c r="K2944" t="inlineStr">
        <is>
          <t>19.14</t>
        </is>
      </c>
      <c r="L2944" t="n">
        <v>12.99</v>
      </c>
      <c r="M2944" s="1" t="inlineStr">
        <is>
          <t>-32.13%</t>
        </is>
      </c>
      <c r="N2944" s="1" t="n">
        <v>144.92</v>
      </c>
      <c r="O2944" t="n">
        <v>4.5</v>
      </c>
      <c r="P2944" t="n">
        <v>406</v>
      </c>
      <c r="R2944" t="inlineStr">
        <is>
          <t>InStock</t>
        </is>
      </c>
      <c r="S2944" t="inlineStr">
        <is>
          <t>undefined</t>
        </is>
      </c>
      <c r="T2944" t="inlineStr">
        <is>
          <t>3722218897508</t>
        </is>
      </c>
    </row>
    <row r="2945" ht="87" customHeight="1">
      <c r="A2945" s="2">
        <f>HYPERLINK("https://edmondsonsupply.com/collections/hvac/products/greenlee-gsb09-1-1-8-step-bit-9", "https://edmondsonsupply.com/collections/hvac/products/greenlee-gsb09-1-1-8-step-bit-9")</f>
        <v/>
      </c>
      <c r="B2945" s="2">
        <f>HYPERLINK("https://edmondsonsupply.com/products/greenlee-gsb09-1-1-8-step-bit-9", "https://edmondsonsupply.com/products/greenlee-gsb09-1-1-8-step-bit-9")</f>
        <v/>
      </c>
      <c r="C2945" t="inlineStr">
        <is>
          <t>Greenlee GSB09 1-1/8" Step Bit (#9)</t>
        </is>
      </c>
      <c r="D2945" t="inlineStr">
        <is>
          <t>Greenlee GSB12 1-3/8" Step Bit (#12) Metal Cutter with Patented Split-Step Design, 1-3/8" Metal Cutting Tool for 1/2" Drill Chucks</t>
        </is>
      </c>
      <c r="E2945" s="2">
        <f>HYPERLINK("https://www.amazon.com/Greenlee-GSB12-Step-Bit-1-3/dp/B08TVF7KMP/ref=sr_1_3?keywords=Greenlee+GSB09+1-1%2F8%22+Step+Bit+%28%239%29&amp;qid=1694734894&amp;sr=8-3", "https://www.amazon.com/Greenlee-GSB12-Step-Bit-1-3/dp/B08TVF7KMP/ref=sr_1_3?keywords=Greenlee+GSB09+1-1%2F8%22+Step+Bit+%28%239%29&amp;qid=1694734894&amp;sr=8-3")</f>
        <v/>
      </c>
      <c r="F2945" t="inlineStr">
        <is>
          <t>B08TVF7KMP</t>
        </is>
      </c>
      <c r="G2945">
        <f>_xlfn.IMAGE("https://edmondsonsupply.com/cdn/shop/files/GSB09_CAT1_72dpi.jpg?v=1687787938")</f>
        <v/>
      </c>
      <c r="H2945">
        <f>_xlfn.IMAGE("https://m.media-amazon.com/images/I/41Z8kxeeZfL._AC_UY218_.jpg")</f>
        <v/>
      </c>
      <c r="K2945" t="inlineStr">
        <is>
          <t>69.26</t>
        </is>
      </c>
      <c r="L2945" t="n">
        <v>47</v>
      </c>
      <c r="M2945" s="1" t="inlineStr">
        <is>
          <t>-32.14%</t>
        </is>
      </c>
      <c r="N2945" s="7" t="n">
        <v>144.85</v>
      </c>
      <c r="O2945" t="n">
        <v>4.8</v>
      </c>
      <c r="P2945" t="n">
        <v>27</v>
      </c>
      <c r="R2945" t="inlineStr">
        <is>
          <t>InStock</t>
        </is>
      </c>
      <c r="S2945" t="inlineStr">
        <is>
          <t>71.95</t>
        </is>
      </c>
      <c r="T2945" t="inlineStr">
        <is>
          <t>8009317875928</t>
        </is>
      </c>
    </row>
    <row r="2946" ht="87" customHeight="1">
      <c r="A2946" s="2">
        <f>HYPERLINK("https://edmondsonsupply.com/collections/hvac/products/klein-tools-9230-tape-measure-30-foot-magnetic-double-hook", "https://edmondsonsupply.com/collections/hvac/products/klein-tools-9230-tape-measure-30-foot-magnetic-double-hook")</f>
        <v/>
      </c>
      <c r="B2946" s="2">
        <f>HYPERLINK("https://edmondsonsupply.com/products/klein-tools-9230-tape-measure-30-foot-magnetic-double-hook", "https://edmondsonsupply.com/products/klein-tools-9230-tape-measure-30-foot-magnetic-double-hook")</f>
        <v/>
      </c>
      <c r="C2946" t="inlineStr">
        <is>
          <t>Klein Tools 9230 Tape Measure, 30-Foot Magnetic Double-Hook</t>
        </is>
      </c>
      <c r="D2946" t="inlineStr">
        <is>
          <t>Klein Tools 9216 Tape Measure, Heavy-Duty Measuring Tape with 16-Foot Double-Hook Double-Sided Nylon Reinforced Blade, with Metal Belt Clip</t>
        </is>
      </c>
      <c r="E2946" s="2">
        <f>HYPERLINK("https://www.amazon.com/Klein-Tools-Measure-Magnetic-Double-Hook/dp/B07WHF9LWP/ref=sr_1_3?keywords=Klein+Tools+9230+Tape+Measure%2C+30-Foot+Magnetic+Double-Hook&amp;qid=1694734809&amp;sr=8-3", "https://www.amazon.com/Klein-Tools-Measure-Magnetic-Double-Hook/dp/B07WHF9LWP/ref=sr_1_3?keywords=Klein+Tools+9230+Tape+Measure%2C+30-Foot+Magnetic+Double-Hook&amp;qid=1694734809&amp;sr=8-3")</f>
        <v/>
      </c>
      <c r="F2946" t="inlineStr">
        <is>
          <t>B07WHF9LWP</t>
        </is>
      </c>
      <c r="G2946">
        <f>_xlfn.IMAGE("https://edmondsonsupply.com/cdn/shop/products/9230_photo.jpg?v=1587150845")</f>
        <v/>
      </c>
      <c r="H2946">
        <f>_xlfn.IMAGE("https://m.media-amazon.com/images/I/511ZtYuRbfL._AC_UL320_.jpg")</f>
        <v/>
      </c>
      <c r="K2946" t="inlineStr">
        <is>
          <t>33.99</t>
        </is>
      </c>
      <c r="L2946" t="n">
        <v>22.97</v>
      </c>
      <c r="M2946" s="1" t="inlineStr">
        <is>
          <t>-32.42%</t>
        </is>
      </c>
      <c r="N2946" s="7" t="n">
        <v>144.73</v>
      </c>
      <c r="O2946" t="n">
        <v>4.6</v>
      </c>
      <c r="P2946" t="n">
        <v>1083</v>
      </c>
      <c r="R2946" t="inlineStr">
        <is>
          <t>InStock</t>
        </is>
      </c>
      <c r="S2946" t="inlineStr">
        <is>
          <t>44.94</t>
        </is>
      </c>
      <c r="T2946" t="inlineStr">
        <is>
          <t>4411548041316</t>
        </is>
      </c>
    </row>
    <row r="2947" hidden="1" ht="15.75" customHeight="1">
      <c r="A2947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2947" s="2">
        <f>HYPERLINK("https://edmondsonsupply.com/products/klein-tools-pnd-12-5-1-2-inch-power-nut-driver-5-inch-length", "https://edmondsonsupply.com/products/klein-tools-pnd-12-5-1-2-inch-power-nut-driver-5-inch-length")</f>
        <v/>
      </c>
      <c r="C2947" t="inlineStr">
        <is>
          <t>Klein Tools PND-12-5 1/2-Inch Power Nut Driver 5-Inch Length</t>
        </is>
      </c>
      <c r="D2947" t="inlineStr">
        <is>
          <t>Klein Tools SL14355 1/4-Inch Slotted Power Drivers, 3-1/2-Inch, 5-Pack</t>
        </is>
      </c>
      <c r="E2947" s="2">
        <f>HYPERLINK("https://www.amazon.com/Slotted-Drivers-Klein-Tools-SL14355/dp/B00MU68TWS/ref=sr_1_33?keywords=Klein+Tools+PND-12-5+1%2F2-Inch+Power+Nut+Driver+5-Inch+Length&amp;qid=1694734708&amp;sr=8-33", "https://www.amazon.com/Slotted-Drivers-Klein-Tools-SL14355/dp/B00MU68TWS/ref=sr_1_33?keywords=Klein+Tools+PND-12-5+1%2F2-Inch+Power+Nut+Driver+5-Inch+Length&amp;qid=1694734708&amp;sr=8-33")</f>
        <v/>
      </c>
      <c r="F2947" t="inlineStr">
        <is>
          <t>B00MU68TWS</t>
        </is>
      </c>
      <c r="G2947">
        <f>_xludf.IMAGE("https://edmondsonsupply.com/cdn/shop/products/pnd125.jpg?v=1633031028")</f>
        <v/>
      </c>
      <c r="H2947">
        <f>_xludf.IMAGE("https://m.media-amazon.com/images/I/51YB9fb8nVL._AC_UL320_.jpg")</f>
        <v/>
      </c>
      <c r="K2947" t="inlineStr">
        <is>
          <t>18.99</t>
        </is>
      </c>
      <c r="L2947" t="n">
        <v>12.8</v>
      </c>
      <c r="M2947" s="1" t="inlineStr">
        <is>
          <t>-32.60%</t>
        </is>
      </c>
      <c r="N2947" s="1" t="n">
        <v>144.59</v>
      </c>
      <c r="O2947" t="n">
        <v>4.6</v>
      </c>
      <c r="P2947" t="n">
        <v>10</v>
      </c>
      <c r="R2947" t="inlineStr">
        <is>
          <t>InStock</t>
        </is>
      </c>
      <c r="S2947" t="inlineStr">
        <is>
          <t>30.98</t>
        </is>
      </c>
      <c r="T2947" t="inlineStr">
        <is>
          <t>6729466445997</t>
        </is>
      </c>
    </row>
    <row r="2948" ht="87" customHeight="1">
      <c r="A2948" s="2">
        <f>HYPERLINK("https://edmondsonsupply.com/collections/hvac/products/milwaukee-48-11-2430-m12%E2%84%A2-redlithium%E2%84%A2-3-0-compact-battery-pack", "https://edmondsonsupply.com/collections/hvac/products/milwaukee-48-11-2430-m12%E2%84%A2-redlithium%E2%84%A2-3-0-compact-battery-pack")</f>
        <v/>
      </c>
      <c r="B2948" s="2">
        <f>HYPERLINK("https://edmondsonsupply.com/products/milwaukee-48-11-2430-m12%e2%84%a2-redlithium%e2%84%a2-3-0-compact-battery-pack", "https://edmondsonsupply.com/products/milwaukee-48-11-2430-m12%e2%84%a2-redlithium%e2%84%a2-3-0-compact-battery-pack")</f>
        <v/>
      </c>
      <c r="C2948" t="inlineStr">
        <is>
          <t>Milwaukee 48-11-2430 M12™ REDLITHIUM™ 3.0 Compact Battery Pack</t>
        </is>
      </c>
      <c r="D2948" t="inlineStr">
        <is>
          <t>Milwaukee Electric Tool 48-11-2430 M12 Red Lithium 3.0 Compact Battery Pack, 3.375" x 1.875" x 1.75"</t>
        </is>
      </c>
      <c r="E2948" s="2">
        <f>HYPERLINK("https://www.amazon.com/Milwaukee-Electric-Tool-48-11-2430-Lithium/dp/B078W9W425/ref=sr_1_2?keywords=Milwaukee+48-11-2430+M12%E2%84%A2+REDLITHIUM%E2%84%A2+3.0+Compact+Battery+Pack&amp;qid=1694734812&amp;sr=8-2", "https://www.amazon.com/Milwaukee-Electric-Tool-48-11-2430-Lithium/dp/B078W9W425/ref=sr_1_2?keywords=Milwaukee+48-11-2430+M12%E2%84%A2+REDLITHIUM%E2%84%A2+3.0+Compact+Battery+Pack&amp;qid=1694734812&amp;sr=8-2")</f>
        <v/>
      </c>
      <c r="F2948" t="inlineStr">
        <is>
          <t>B078W9W425</t>
        </is>
      </c>
      <c r="G2948">
        <f>_xlfn.IMAGE("https://edmondsonsupply.com/cdn/shop/products/48-11-2430.png?v=1587142488")</f>
        <v/>
      </c>
      <c r="H2948">
        <f>_xlfn.IMAGE("https://m.media-amazon.com/images/I/61PrFqnmvKL._AC_UL320_.jpg")</f>
        <v/>
      </c>
      <c r="K2948" t="inlineStr">
        <is>
          <t>69.0</t>
        </is>
      </c>
      <c r="L2948" t="n">
        <v>46.49</v>
      </c>
      <c r="M2948" s="1" t="inlineStr">
        <is>
          <t>-32.62%</t>
        </is>
      </c>
      <c r="N2948" s="7" t="n">
        <v>144.35</v>
      </c>
      <c r="O2948" t="n">
        <v>4.6</v>
      </c>
      <c r="P2948" t="n">
        <v>171</v>
      </c>
      <c r="R2948" t="inlineStr">
        <is>
          <t>InStock</t>
        </is>
      </c>
      <c r="S2948" t="inlineStr">
        <is>
          <t>117.0</t>
        </is>
      </c>
      <c r="T2948" t="inlineStr">
        <is>
          <t>4385431912548</t>
        </is>
      </c>
    </row>
    <row r="2949" ht="87" customHeight="1">
      <c r="A2949" s="2">
        <f>HYPERLINK("https://edmondsonsupply.com/collections/hvac/products/greenlee-gsb04-7-8-step-bit-4", "https://edmondsonsupply.com/collections/hvac/products/greenlee-gsb04-7-8-step-bit-4")</f>
        <v/>
      </c>
      <c r="B2949" s="2">
        <f>HYPERLINK("https://edmondsonsupply.com/products/greenlee-gsb04-7-8-step-bit-4", "https://edmondsonsupply.com/products/greenlee-gsb04-7-8-step-bit-4")</f>
        <v/>
      </c>
      <c r="C2949" t="inlineStr">
        <is>
          <t>Greenlee GSB04 7/8" Step Bit (#4)</t>
        </is>
      </c>
      <c r="D2949" t="inlineStr">
        <is>
          <t>Greenlee GSB04 7/8" Step Bit (#4) Metal Cutter with Patented Split-Step Design, 7/8" Metal Cutting Tool for 1/2" Drill Chucks</t>
        </is>
      </c>
      <c r="E2949" s="2">
        <f>HYPERLINK("https://www.amazon.com/Greenlee-GSB04-Step-Bit/dp/B08TVF22W4/ref=sr_1_1?keywords=Greenlee+GSB04+7%2F8%22+Step+Bit+%28%234%29&amp;qid=1694734894&amp;sr=8-1", "https://www.amazon.com/Greenlee-GSB04-Step-Bit/dp/B08TVF22W4/ref=sr_1_1?keywords=Greenlee+GSB04+7%2F8%22+Step+Bit+%28%234%29&amp;qid=1694734894&amp;sr=8-1")</f>
        <v/>
      </c>
      <c r="F2949" t="inlineStr">
        <is>
          <t>B08TVF22W4</t>
        </is>
      </c>
      <c r="G2949">
        <f>_xlfn.IMAGE("https://edmondsonsupply.com/cdn/shop/files/GSB04_CAT1_72dpi_1.jpg?v=1687789356")</f>
        <v/>
      </c>
      <c r="H2949">
        <f>_xlfn.IMAGE("https://m.media-amazon.com/images/I/41FX4czhS0L._AC_UY218_.jpg")</f>
        <v/>
      </c>
      <c r="K2949" t="inlineStr">
        <is>
          <t>53.96</t>
        </is>
      </c>
      <c r="L2949" t="n">
        <v>36.24</v>
      </c>
      <c r="M2949" s="1" t="inlineStr">
        <is>
          <t>-32.84%</t>
        </is>
      </c>
      <c r="N2949" s="7" t="n">
        <v>144.35</v>
      </c>
      <c r="O2949" t="n">
        <v>5</v>
      </c>
      <c r="P2949" t="n">
        <v>7</v>
      </c>
      <c r="R2949" t="inlineStr">
        <is>
          <t>InStock</t>
        </is>
      </c>
      <c r="S2949" t="inlineStr">
        <is>
          <t>55.05</t>
        </is>
      </c>
      <c r="T2949" t="inlineStr">
        <is>
          <t>8009319186648</t>
        </is>
      </c>
    </row>
    <row r="2950" ht="87" customHeight="1">
      <c r="A2950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2950" s="2">
        <f>HYPERLINK("https://edmondsonsupply.com/products/klein-tools-32535-10-in-1-10-fold-screwdriver-nut-driver", "https://edmondsonsupply.com/products/klein-tools-32535-10-in-1-10-fold-screwdriver-nut-driver")</f>
        <v/>
      </c>
      <c r="C2950" t="inlineStr">
        <is>
          <t>Klein Tools 32535 10-in-1 10 Fold Screwdriver / Nut Driver</t>
        </is>
      </c>
      <c r="D2950" t="inlineStr">
        <is>
          <t>Klein Tools 32477 Multi-Bit Screwdriver / Nut Driver 10-in-1 Multi Tool, Industrial Strength Bits, Phillips, Slotted, Square and Torx Bits</t>
        </is>
      </c>
      <c r="E2950" s="2">
        <f>HYPERLINK("https://www.amazon.com/Screwdriver-Industrial-Strength-Klein-Tools/dp/B0002RI5EY/ref=sr_1_7?keywords=Klein+Tools+32535+10-in-1+10+Fold+Screwdriver+%2F+Nut+Driver&amp;qid=1694734776&amp;sr=8-7", "https://www.amazon.com/Screwdriver-Industrial-Strength-Klein-Tools/dp/B0002RI5EY/ref=sr_1_7?keywords=Klein+Tools+32535+10-in-1+10+Fold+Screwdriver+%2F+Nut+Driver&amp;qid=1694734776&amp;sr=8-7")</f>
        <v/>
      </c>
      <c r="F2950" t="inlineStr">
        <is>
          <t>B0002RI5EY</t>
        </is>
      </c>
      <c r="G2950">
        <f>_xlfn.IMAGE("https://edmondsonsupply.com/cdn/shop/products/32535.jpg?v=1633030894")</f>
        <v/>
      </c>
      <c r="H2950">
        <f>_xlfn.IMAGE("https://m.media-amazon.com/images/I/71LrIhqEXuL._AC_UL320_.jpg")</f>
        <v/>
      </c>
      <c r="K2950" t="inlineStr">
        <is>
          <t>29.99</t>
        </is>
      </c>
      <c r="L2950" t="n">
        <v>19.99</v>
      </c>
      <c r="M2950" s="1" t="inlineStr">
        <is>
          <t>-33.34%</t>
        </is>
      </c>
      <c r="N2950" s="7" t="n">
        <v>144.12</v>
      </c>
      <c r="O2950" t="n">
        <v>4.7</v>
      </c>
      <c r="P2950" t="n">
        <v>555</v>
      </c>
      <c r="R2950" t="inlineStr">
        <is>
          <t>InStock</t>
        </is>
      </c>
      <c r="S2950" t="inlineStr">
        <is>
          <t>45.36</t>
        </is>
      </c>
      <c r="T2950" t="inlineStr">
        <is>
          <t>6224651485357</t>
        </is>
      </c>
    </row>
    <row r="2951" ht="87" customHeight="1">
      <c r="A2951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951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951" t="inlineStr">
        <is>
          <t>Klein Tools D20009NEGLW High-Visibility Side-Cutting Pliers High-Leverage</t>
        </is>
      </c>
      <c r="D2951" t="inlineStr">
        <is>
          <t>Klein Tools D248-9ST Pliers, Ironworker's Diagonal Cutting Pliers with High Leverage Design Works as Rebar Cutter and Rebar Bender, 9-Inch</t>
        </is>
      </c>
      <c r="E2951" s="2">
        <f>HYPERLINK("https://www.amazon.com/Diagonal-Ironworker-Klein-Tools-D248-9ST/dp/B0009ZAT1G/ref=sr_1_4?keywords=Klein+Tools+D20009NEGLW+High-Visibility+Side-Cutting+Pliers+High-Leverage&amp;qid=1694734809&amp;sr=8-4", "https://www.amazon.com/Diagonal-Ironworker-Klein-Tools-D248-9ST/dp/B0009ZAT1G/ref=sr_1_4?keywords=Klein+Tools+D20009NEGLW+High-Visibility+Side-Cutting+Pliers+High-Leverage&amp;qid=1694734809&amp;sr=8-4")</f>
        <v/>
      </c>
      <c r="F2951" t="inlineStr">
        <is>
          <t>B0009ZAT1G</t>
        </is>
      </c>
      <c r="G2951">
        <f>_xlfn.IMAGE("https://edmondsonsupply.com/cdn/shop/products/d20009neglw.jpg?v=1587144933")</f>
        <v/>
      </c>
      <c r="H2951">
        <f>_xlfn.IMAGE("https://m.media-amazon.com/images/I/41QcUzpmIlL._AC_UL320_.jpg")</f>
        <v/>
      </c>
      <c r="K2951" t="inlineStr">
        <is>
          <t>44.97</t>
        </is>
      </c>
      <c r="L2951" t="n">
        <v>29.97</v>
      </c>
      <c r="M2951" s="1" t="inlineStr">
        <is>
          <t>-33.36%</t>
        </is>
      </c>
      <c r="N2951" s="7" t="n">
        <v>143.72</v>
      </c>
      <c r="O2951" t="n">
        <v>4.8</v>
      </c>
      <c r="P2951" t="n">
        <v>5521</v>
      </c>
      <c r="R2951" t="inlineStr">
        <is>
          <t>InStock</t>
        </is>
      </c>
      <c r="S2951" t="inlineStr">
        <is>
          <t>68.16</t>
        </is>
      </c>
      <c r="T2951" t="inlineStr">
        <is>
          <t>4396888490084</t>
        </is>
      </c>
    </row>
    <row r="2952" ht="87" customHeight="1">
      <c r="A2952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2952" s="2">
        <f>HYPERLINK("https://edmondsonsupply.com/products/klein-tools-sk234-screwdriver-set-slotted-screw-holding-3-piece", "https://edmondsonsupply.com/products/klein-tools-sk234-screwdriver-set-slotted-screw-holding-3-piece")</f>
        <v/>
      </c>
      <c r="C2952" t="inlineStr">
        <is>
          <t>Klein Tools SK234 Screwdriver Set, Slotted Screw Holding, 3-Piece</t>
        </is>
      </c>
      <c r="D2952" t="inlineStr">
        <is>
          <t>Klein Tools 85073INS Insulated Screwdriver Set features 1000V Phillips, Slotted and Square Tips, Cushion Grip Handles, 3-Piece</t>
        </is>
      </c>
      <c r="E2952" s="2">
        <f>HYPERLINK("https://www.amazon.com/Klein-Tools-85073INS-Insulated-Screwdriver/dp/B0BF79WQZX/ref=sr_1_10?keywords=Klein+Tools+SK234+Screwdriver+Set%2C+Slotted+Screw+Holding%2C+3-Piece&amp;qid=1694734646&amp;sr=8-10", "https://www.amazon.com/Klein-Tools-85073INS-Insulated-Screwdriver/dp/B0BF79WQZX/ref=sr_1_10?keywords=Klein+Tools+SK234+Screwdriver+Set%2C+Slotted+Screw+Holding%2C+3-Piece&amp;qid=1694734646&amp;sr=8-10")</f>
        <v/>
      </c>
      <c r="F2952" t="inlineStr">
        <is>
          <t>B0BF79WQZX</t>
        </is>
      </c>
      <c r="G2952">
        <f>_xlfn.IMAGE("https://edmondsonsupply.com/cdn/shop/products/sk234.jpg?v=1587144984")</f>
        <v/>
      </c>
      <c r="H2952">
        <f>_xlfn.IMAGE("https://m.media-amazon.com/images/I/51dL7msUIqL._AC_UL320_.jpg")</f>
        <v/>
      </c>
      <c r="K2952" t="inlineStr">
        <is>
          <t>29.97</t>
        </is>
      </c>
      <c r="L2952" t="n">
        <v>19.97</v>
      </c>
      <c r="M2952" s="1" t="inlineStr">
        <is>
          <t>-33.37%</t>
        </is>
      </c>
      <c r="N2952" s="7" t="n">
        <v>143.02</v>
      </c>
      <c r="O2952" t="n">
        <v>4.9</v>
      </c>
      <c r="P2952" t="n">
        <v>202</v>
      </c>
      <c r="R2952" t="inlineStr">
        <is>
          <t>OutOfStock</t>
        </is>
      </c>
      <c r="S2952" t="inlineStr">
        <is>
          <t>45.42</t>
        </is>
      </c>
      <c r="T2952" t="inlineStr">
        <is>
          <t>4405483143268</t>
        </is>
      </c>
    </row>
    <row r="2953" hidden="1" ht="15.75" customHeight="1">
      <c r="A2953" s="2">
        <f>HYPERLINK("https://edmondsonsupply.com/collections/hvac/products/klein-tools-s8m-1-4-inch-magnetic-nut-driver-3-inch-shank", "https://edmondsonsupply.com/collections/hvac/products/klein-tools-s8m-1-4-inch-magnetic-nut-driver-3-inch-shank")</f>
        <v/>
      </c>
      <c r="B2953" s="2">
        <f>HYPERLINK("https://edmondsonsupply.com/products/klein-tools-s8m-1-4-inch-magnetic-nut-driver-3-inch-shank", "https://edmondsonsupply.com/products/klein-tools-s8m-1-4-inch-magnetic-nut-driver-3-inch-shank")</f>
        <v/>
      </c>
      <c r="C2953" t="inlineStr">
        <is>
          <t>Klein Tools S8M 1/4-Inch Magnetic Nut Driver 3-Inch Shank</t>
        </is>
      </c>
      <c r="D2953" t="inlineStr">
        <is>
          <t>BOEN 1/4 inch Magnetic Nut Driver Set, 3 Piece Impact Drill Driver Bit Set, Size 1/4", 5/16", 3/8", Quick-Change Hex Shank SAE Nut Driver, Cr-V Steel, Black Manganese Phosphate Coating</t>
        </is>
      </c>
      <c r="E2953" s="2">
        <f>HYPERLINK("https://www.amazon.com/Magnetic-Quick-Change-Manganese-Phosphate-Coating/dp/B09Y8M83QJ/ref=sr_1_17?keywords=Klein+Tools+S8M+1%2F4-Inch+Magnetic+Nut+Driver+3-Inch+Shank&amp;qid=1694734781&amp;sr=8-17", "https://www.amazon.com/Magnetic-Quick-Change-Manganese-Phosphate-Coating/dp/B09Y8M83QJ/ref=sr_1_17?keywords=Klein+Tools+S8M+1%2F4-Inch+Magnetic+Nut+Driver+3-Inch+Shank&amp;qid=1694734781&amp;sr=8-17")</f>
        <v/>
      </c>
      <c r="F2953" t="inlineStr">
        <is>
          <t>B09Y8M83QJ</t>
        </is>
      </c>
      <c r="G2953">
        <f>_xludf.IMAGE("https://edmondsonsupply.com/cdn/shop/products/s8m.jpg?v=1633030818")</f>
        <v/>
      </c>
      <c r="H2953">
        <f>_xludf.IMAGE("https://m.media-amazon.com/images/I/71spv8+VEDL._AC_UL320_.jpg")</f>
        <v/>
      </c>
      <c r="K2953" t="inlineStr">
        <is>
          <t>8.99</t>
        </is>
      </c>
      <c r="L2953" t="n">
        <v>5.99</v>
      </c>
      <c r="M2953" s="1" t="inlineStr">
        <is>
          <t>-33.37%</t>
        </is>
      </c>
      <c r="N2953" s="1" t="n">
        <v>142.99</v>
      </c>
      <c r="O2953" t="n">
        <v>4.1</v>
      </c>
      <c r="P2953" t="n">
        <v>184</v>
      </c>
      <c r="R2953" t="inlineStr">
        <is>
          <t>InStock</t>
        </is>
      </c>
      <c r="S2953" t="inlineStr">
        <is>
          <t>13.62</t>
        </is>
      </c>
      <c r="T2953" t="inlineStr">
        <is>
          <t>6072223957165</t>
        </is>
      </c>
    </row>
    <row r="2954" hidden="1" ht="15.75" customHeight="1">
      <c r="A2954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2954" s="2">
        <f>HYPERLINK("https://edmondsonsupply.com/products/klein-tools-11053-klein-kurve%c2%ae-wire-stripper-cutter", "https://edmondsonsupply.com/products/klein-tools-11053-klein-kurve%c2%ae-wire-stripper-cutter")</f>
        <v/>
      </c>
      <c r="C2954" t="inlineStr">
        <is>
          <t>Klein Tools 11053 Klein-Kurve® Wire Stripper/Cutter</t>
        </is>
      </c>
      <c r="D2954" t="inlineStr">
        <is>
          <t>Klein Tools 1011M Wire Stripper/Cutter Stranded Wire,Blue</t>
        </is>
      </c>
      <c r="E2954" s="2">
        <f>HYPERLINK("https://www.amazon.com/KLEIN-TOOLS-Wire-Stripper-Cutter/dp/B00AM1Z0UC/ref=sr_1_33?keywords=Klein+Tools+11053+Klein-Kurve%C2%AE+Wire+Stripper%2FCutter&amp;qid=1694734664&amp;sr=8-33", "https://www.amazon.com/KLEIN-TOOLS-Wire-Stripper-Cutter/dp/B00AM1Z0UC/ref=sr_1_33?keywords=Klein+Tools+11053+Klein-Kurve%C2%AE+Wire+Stripper%2FCutter&amp;qid=1694734664&amp;sr=8-33")</f>
        <v/>
      </c>
      <c r="F2954" t="inlineStr">
        <is>
          <t>B00AM1Z0UC</t>
        </is>
      </c>
      <c r="G2954">
        <f>_xludf.IMAGE("https://edmondsonsupply.com/cdn/shop/products/11053.jpg?v=1633030511")</f>
        <v/>
      </c>
      <c r="H2954">
        <f>_xludf.IMAGE("https://m.media-amazon.com/images/I/61x1rjoC-NL._AC_UL320_.jpg")</f>
        <v/>
      </c>
      <c r="K2954" t="inlineStr">
        <is>
          <t>20.97</t>
        </is>
      </c>
      <c r="L2954" t="n">
        <v>13.94</v>
      </c>
      <c r="M2954" s="1" t="inlineStr">
        <is>
          <t>-33.52%</t>
        </is>
      </c>
      <c r="N2954" s="1" t="n">
        <v>142.92</v>
      </c>
      <c r="O2954" t="n">
        <v>4.7</v>
      </c>
      <c r="P2954" t="n">
        <v>16</v>
      </c>
      <c r="R2954" t="inlineStr">
        <is>
          <t>InStock</t>
        </is>
      </c>
      <c r="S2954" t="inlineStr">
        <is>
          <t>31.76</t>
        </is>
      </c>
      <c r="T2954" t="inlineStr">
        <is>
          <t>5387171299496</t>
        </is>
      </c>
    </row>
    <row r="2955" ht="87" customHeight="1">
      <c r="A2955" s="2">
        <f>HYPERLINK("https://edmondsonsupply.com/collections/hvac/products/greenlee-gsb07-7-8-step-bit-7", "https://edmondsonsupply.com/collections/hvac/products/greenlee-gsb07-7-8-step-bit-7")</f>
        <v/>
      </c>
      <c r="B2955" s="2">
        <f>HYPERLINK("https://edmondsonsupply.com/products/greenlee-gsb07-7-8-step-bit-7", "https://edmondsonsupply.com/products/greenlee-gsb07-7-8-step-bit-7")</f>
        <v/>
      </c>
      <c r="C2955" t="inlineStr">
        <is>
          <t>Greenlee GSB07 7/8" Step Bit (#7)</t>
        </is>
      </c>
      <c r="D2955" t="inlineStr">
        <is>
          <t>Greenlee GSB04 7/8" Step Bit (#4) Metal Cutter with Patented Split-Step Design, 7/8" Metal Cutting Tool for 1/2" Drill Chucks</t>
        </is>
      </c>
      <c r="E2955" s="2">
        <f>HYPERLINK("https://www.amazon.com/Greenlee-GSB04-Step-Bit/dp/B08TVF22W4/ref=sr_1_1?keywords=Greenlee+GSB07+7%2F8%22+Step+Bit+%28%237%29&amp;qid=1694734894&amp;sr=8-1", "https://www.amazon.com/Greenlee-GSB04-Step-Bit/dp/B08TVF22W4/ref=sr_1_1?keywords=Greenlee+GSB07+7%2F8%22+Step+Bit+%28%237%29&amp;qid=1694734894&amp;sr=8-1")</f>
        <v/>
      </c>
      <c r="F2955" t="inlineStr">
        <is>
          <t>B08TVF22W4</t>
        </is>
      </c>
      <c r="G2955">
        <f>_xlfn.IMAGE("https://edmondsonsupply.com/cdn/shop/files/GSB07_CAT1_72dpi.jpg?v=1687791534")</f>
        <v/>
      </c>
      <c r="H2955">
        <f>_xlfn.IMAGE("https://m.media-amazon.com/images/I/41FX4czhS0L._AC_UY218_.jpg")</f>
        <v/>
      </c>
      <c r="K2955" t="inlineStr">
        <is>
          <t>54.59</t>
        </is>
      </c>
      <c r="L2955" t="n">
        <v>36.24</v>
      </c>
      <c r="M2955" s="1" t="inlineStr">
        <is>
          <t>-33.61%</t>
        </is>
      </c>
      <c r="N2955" s="7" t="n">
        <v>142.81</v>
      </c>
      <c r="O2955" t="n">
        <v>5</v>
      </c>
      <c r="P2955" t="n">
        <v>7</v>
      </c>
      <c r="R2955" t="inlineStr">
        <is>
          <t>InStock</t>
        </is>
      </c>
      <c r="S2955" t="inlineStr">
        <is>
          <t>59.9</t>
        </is>
      </c>
      <c r="T2955" t="inlineStr">
        <is>
          <t>8009322561752</t>
        </is>
      </c>
    </row>
    <row r="2956" hidden="1" ht="15.75" customHeight="1">
      <c r="A2956" s="2">
        <f>HYPERLINK("https://edmondsonsupply.com/collections/hvac/products/klein-tools-605-6-1-4-inch-cabinet-tip-screwdriver-heavy-duty-6-inch", "https://edmondsonsupply.com/collections/hvac/products/klein-tools-605-6-1-4-inch-cabinet-tip-screwdriver-heavy-duty-6-inch")</f>
        <v/>
      </c>
      <c r="B2956" s="2">
        <f>HYPERLINK("https://edmondsonsupply.com/products/klein-tools-605-6-1-4-inch-cabinet-tip-screwdriver-heavy-duty-6-inch", "https://edmondsonsupply.com/products/klein-tools-605-6-1-4-inch-cabinet-tip-screwdriver-heavy-duty-6-inch")</f>
        <v/>
      </c>
      <c r="C2956" t="inlineStr">
        <is>
          <t>Klein Tools 605-6 1/4-Inch Cabinet Tip Screwdriver, Heavy Duty, 6-Inch</t>
        </is>
      </c>
      <c r="D2956" t="inlineStr">
        <is>
          <t>Klein Tools A216-4 1/8-Inch Cabinet-Tip Flat Head Screwdriver with 4-Inch Round Shank and Comfordome Handle</t>
        </is>
      </c>
      <c r="E2956" s="2">
        <f>HYPERLINK("https://www.amazon.com/Cabinet-Tip-Screwdriver-Klein-Tools-A216-4/dp/B00093GC28/ref=sr_1_14?keywords=Klein+Tools+605-6+1%2F4-Inch+Cabinet+Tip+Screwdriver%2C+Heavy+Duty%2C+6-Inch&amp;qid=1694734725&amp;sr=8-14", "https://www.amazon.com/Cabinet-Tip-Screwdriver-Klein-Tools-A216-4/dp/B00093GC28/ref=sr_1_14?keywords=Klein+Tools+605-6+1%2F4-Inch+Cabinet+Tip+Screwdriver%2C+Heavy+Duty%2C+6-Inch&amp;qid=1694734725&amp;sr=8-14")</f>
        <v/>
      </c>
      <c r="F2956" t="inlineStr">
        <is>
          <t>B00093GC28</t>
        </is>
      </c>
      <c r="G2956">
        <f>_xludf.IMAGE("https://edmondsonsupply.com/cdn/shop/products/605-6.jpg?v=1587149759")</f>
        <v/>
      </c>
      <c r="H2956">
        <f>_xludf.IMAGE("https://m.media-amazon.com/images/I/414kKbGezfL._AC_UL320_.jpg")</f>
        <v/>
      </c>
      <c r="K2956" t="inlineStr">
        <is>
          <t>9.49</t>
        </is>
      </c>
      <c r="L2956" t="n">
        <v>6.29</v>
      </c>
      <c r="M2956" s="1" t="inlineStr">
        <is>
          <t>-33.72%</t>
        </is>
      </c>
      <c r="N2956" s="1" t="n">
        <v>142.78</v>
      </c>
      <c r="O2956" t="n">
        <v>4.7</v>
      </c>
      <c r="P2956" t="n">
        <v>172</v>
      </c>
      <c r="R2956" t="inlineStr">
        <is>
          <t>InStock</t>
        </is>
      </c>
      <c r="S2956" t="inlineStr">
        <is>
          <t>14.38</t>
        </is>
      </c>
      <c r="T2956" t="inlineStr">
        <is>
          <t>4512371310692</t>
        </is>
      </c>
    </row>
    <row r="2957" ht="87" customHeight="1">
      <c r="A2957" s="2">
        <f>HYPERLINK("https://edmondsonsupply.com/collections/hvac/products/klein-tools-ncvt-2pkit-dual-range-non-contact-voltage-tester-with-receptacle-tester", "https://edmondsonsupply.com/collections/hvac/products/klein-tools-ncvt-2pkit-dual-range-non-contact-voltage-tester-with-receptacle-tester")</f>
        <v/>
      </c>
      <c r="B2957" s="2">
        <f>HYPERLINK("https://edmondsonsupply.com/products/klein-tools-ncvt-2pkit-dual-range-non-contact-voltage-tester-with-receptacle-tester", "https://edmondsonsupply.com/products/klein-tools-ncvt-2pkit-dual-range-non-contact-voltage-tester-with-receptacle-tester")</f>
        <v/>
      </c>
      <c r="C2957" t="inlineStr">
        <is>
          <t>Klein Tools NCVT-2PKIT Dual Range Non-Contact Voltage Tester with Receptacle Tester</t>
        </is>
      </c>
      <c r="D2957" t="inlineStr">
        <is>
          <t>Klein Tools NCVT3PKIT Electrical Test Kit, Dual-Range Non-Contact Voltage Tester with Flashlight, AC/DC Voltage Tester</t>
        </is>
      </c>
      <c r="E2957" s="2">
        <f>HYPERLINK("https://www.amazon.com/Klein-Tools-NCVT3PKIT-Electrical-Non-Contact/dp/B08SY9XFJK/ref=sr_1_4?keywords=Klein+Tools+NCVT-2PKIT+Dual+Range+Non-Contact+Voltage+Tester+with+Receptacle+Tester&amp;qid=1694734814&amp;sr=8-4", "https://www.amazon.com/Klein-Tools-NCVT3PKIT-Electrical-Non-Contact/dp/B08SY9XFJK/ref=sr_1_4?keywords=Klein+Tools+NCVT-2PKIT+Dual+Range+Non-Contact+Voltage+Tester+with+Receptacle+Tester&amp;qid=1694734814&amp;sr=8-4")</f>
        <v/>
      </c>
      <c r="F2957" t="inlineStr">
        <is>
          <t>B08SY9XFJK</t>
        </is>
      </c>
      <c r="G2957">
        <f>_xlfn.IMAGE("https://edmondsonsupply.com/cdn/shop/products/ncvt2pkit.jpg?v=1633030827")</f>
        <v/>
      </c>
      <c r="H2957">
        <f>_xlfn.IMAGE("https://m.media-amazon.com/images/I/519yG6StX0L._AC_UL320_.jpg")</f>
        <v/>
      </c>
      <c r="K2957" t="inlineStr">
        <is>
          <t>29.99</t>
        </is>
      </c>
      <c r="L2957" t="n">
        <v>19.86</v>
      </c>
      <c r="M2957" s="1" t="inlineStr">
        <is>
          <t>-33.78%</t>
        </is>
      </c>
      <c r="N2957" s="7" t="n">
        <v>142.78</v>
      </c>
      <c r="O2957" t="n">
        <v>4.7</v>
      </c>
      <c r="P2957" t="n">
        <v>4222</v>
      </c>
      <c r="R2957" t="inlineStr">
        <is>
          <t>InStock</t>
        </is>
      </c>
      <c r="S2957" t="inlineStr">
        <is>
          <t>41.28</t>
        </is>
      </c>
      <c r="T2957" t="inlineStr">
        <is>
          <t>6082146238637</t>
        </is>
      </c>
    </row>
    <row r="2958" hidden="1" ht="15.75" customHeight="1">
      <c r="A2958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2958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2958" t="inlineStr">
        <is>
          <t>Klein Tools JTH4E17 1/2-Inch Hex Key, Journeyman T-Handle, 4-Inch</t>
        </is>
      </c>
      <c r="D2958" t="inlineStr">
        <is>
          <t>Klein Tools JTH6E13BE 1/4-Inch Ball End Hex Key with Journeyman T-Handle, 6-Inch</t>
        </is>
      </c>
      <c r="E2958" s="2">
        <f>HYPERLINK("https://www.amazon.com/Journeyman-T-Handle-Klein-Tools-JTH6E13BE/dp/B004QW52YW/ref=sr_1_9?keywords=Klein+Tools+JTH4E17+1%2F2-Inch+Hex+Key%2C+Journeyman+T-Handle%2C+4-Inch&amp;qid=1694734780&amp;sr=8-9", "https://www.amazon.com/Journeyman-T-Handle-Klein-Tools-JTH6E13BE/dp/B004QW52YW/ref=sr_1_9?keywords=Klein+Tools+JTH4E17+1%2F2-Inch+Hex+Key%2C+Journeyman+T-Handle%2C+4-Inch&amp;qid=1694734780&amp;sr=8-9")</f>
        <v/>
      </c>
      <c r="F2958" t="inlineStr">
        <is>
          <t>B004QW52YW</t>
        </is>
      </c>
      <c r="G2958">
        <f>_xludf.IMAGE("https://edmondsonsupply.com/cdn/shop/products/jth4e17_583549be-7b42-43c7-9c3d-a92f2416ede5.jpg?v=1610655610")</f>
        <v/>
      </c>
      <c r="H2958">
        <f>_xludf.IMAGE("https://m.media-amazon.com/images/I/51f9vBFVXgL._AC_UL320_.jpg")</f>
        <v/>
      </c>
      <c r="K2958" t="inlineStr">
        <is>
          <t>15.99</t>
        </is>
      </c>
      <c r="L2958" t="n">
        <v>10.55</v>
      </c>
      <c r="M2958" s="1" t="inlineStr">
        <is>
          <t>-34.02%</t>
        </is>
      </c>
      <c r="N2958" s="1" t="n">
        <v>142.69</v>
      </c>
      <c r="O2958" t="n">
        <v>4.7</v>
      </c>
      <c r="P2958" t="n">
        <v>32</v>
      </c>
      <c r="R2958" t="inlineStr">
        <is>
          <t>InStock</t>
        </is>
      </c>
      <c r="S2958" t="inlineStr">
        <is>
          <t>24.24</t>
        </is>
      </c>
      <c r="T2958" t="inlineStr">
        <is>
          <t>6203851538605</t>
        </is>
      </c>
    </row>
    <row r="2959" hidden="1" ht="15.75" customHeight="1">
      <c r="A2959" s="2">
        <f>HYPERLINK("https://edmondsonsupply.com/collections/hvac/products/viega-25306-3-4-x-3-4-x-3-4-megapressg-tee", "https://edmondsonsupply.com/collections/hvac/products/viega-25306-3-4-x-3-4-x-3-4-megapressg-tee")</f>
        <v/>
      </c>
      <c r="B2959" s="2">
        <f>HYPERLINK("https://edmondsonsupply.com/products/viega-25306-3-4-x-3-4-x-3-4-megapressg-tee", "https://edmondsonsupply.com/products/viega-25306-3-4-x-3-4-x-3-4-megapressg-tee")</f>
        <v/>
      </c>
      <c r="C2959" t="inlineStr">
        <is>
          <t>Viega 25306 3/4" x 3/4" x 3/4" MegaPressG Tee</t>
        </is>
      </c>
      <c r="D2959" t="inlineStr">
        <is>
          <t>HQMPC Pex fitting 3/4" Push Fit Plumbing Tee, Pex Fititng Push-to-Connect Plumbing Fittings, PEX, CPVC, No Pb (2PCS, 3/4 Inch)</t>
        </is>
      </c>
      <c r="E2959" s="2">
        <f>HYPERLINK("https://www.amazon.com/HQMPC-Plumbing-Connect-Fittings-Connector/dp/B08635323V/ref=sr_1_17?keywords=Viega+25306+3%2F4%22+x+3%2F4%22+x+3%2F4%22+MegaPressG+Tee&amp;qid=1694734857&amp;sr=8-17", "https://www.amazon.com/HQMPC-Plumbing-Connect-Fittings-Connector/dp/B08635323V/ref=sr_1_17?keywords=Viega+25306+3%2F4%22+x+3%2F4%22+x+3%2F4%22+MegaPressG+Tee&amp;qid=1694734857&amp;sr=8-17")</f>
        <v/>
      </c>
      <c r="F2959" t="inlineStr">
        <is>
          <t>B08635323V</t>
        </is>
      </c>
      <c r="G2959">
        <f>_xludf.IMAGE("https://edmondsonsupply.com/cdn/shop/files/PPm6618_c19b93a9-ada2-4a2c-b4ba-ad5d5af9c9b6.jpg?v=1692569569")</f>
        <v/>
      </c>
      <c r="H2959">
        <f>_xludf.IMAGE("https://m.media-amazon.com/images/I/61B9Zf6Nv-L._AC_UL320_.jpg")</f>
        <v/>
      </c>
      <c r="K2959" t="inlineStr">
        <is>
          <t>22.74</t>
        </is>
      </c>
      <c r="L2959" t="n">
        <v>14.99</v>
      </c>
      <c r="M2959" s="1" t="inlineStr">
        <is>
          <t>-34.08%</t>
        </is>
      </c>
      <c r="N2959" s="1" t="n">
        <v>142.49</v>
      </c>
      <c r="O2959" t="n">
        <v>4.8</v>
      </c>
      <c r="P2959" t="n">
        <v>718</v>
      </c>
      <c r="R2959" t="inlineStr">
        <is>
          <t>InStock</t>
        </is>
      </c>
      <c r="S2959" t="inlineStr">
        <is>
          <t>39.2</t>
        </is>
      </c>
      <c r="T2959" t="inlineStr">
        <is>
          <t>8029272408280</t>
        </is>
      </c>
    </row>
    <row r="2960" ht="87" customHeight="1">
      <c r="A2960" s="2">
        <f>HYPERLINK("https://edmondsonsupply.com/collections/hvac/products/klein-tools-jth67t-7-piece-6-torx%C2%AE-journeyman-t-handle-set-with-stand", "https://edmondsonsupply.com/collections/hvac/products/klein-tools-jth67t-7-piece-6-torx%C2%AE-journeyman-t-handle-set-with-stand")</f>
        <v/>
      </c>
      <c r="B2960" s="2">
        <f>HYPERLINK("https://edmondsonsupply.com/products/klein-tools-jth67t-7-piece-6-torx%c2%ae-journeyman-t-handle-set-with-stand", "https://edmondsonsupply.com/products/klein-tools-jth67t-7-piece-6-torx%c2%ae-journeyman-t-handle-set-with-stand")</f>
        <v/>
      </c>
      <c r="C2960" t="inlineStr">
        <is>
          <t>Klein Tools JTH67T Hex Key Set, TORX T-Handle, 6-Inch with Stand, 7-Piece</t>
        </is>
      </c>
      <c r="D2960" t="inlineStr">
        <is>
          <t>Klein Tools JTH67T Hex Key Set, TORX T-Handle Hex Key Allen Wrench Set with 6-Inch Blades, Stand Included, 7-Piece</t>
        </is>
      </c>
      <c r="E2960" s="2">
        <f>HYPERLINK("https://www.amazon.com/T-Handle-7-Piece-Klein-Tools-JTH67T/dp/B004DAE9G4/ref=sr_1_1?keywords=Klein+Tools+JTH67T+Hex+Key+Set%2C+TORX+T-Handle%2C+6-Inch+with+Stand%2C+7-Piece&amp;qid=1694734733&amp;sr=8-1", "https://www.amazon.com/T-Handle-7-Piece-Klein-Tools-JTH67T/dp/B004DAE9G4/ref=sr_1_1?keywords=Klein+Tools+JTH67T+Hex+Key+Set%2C+TORX+T-Handle%2C+6-Inch+with+Stand%2C+7-Piece&amp;qid=1694734733&amp;sr=8-1")</f>
        <v/>
      </c>
      <c r="F2960" t="inlineStr">
        <is>
          <t>B004DAE9G4</t>
        </is>
      </c>
      <c r="G2960">
        <f>_xlfn.IMAGE("https://edmondsonsupply.com/cdn/shop/products/jth67t.jpg?v=1587144835")</f>
        <v/>
      </c>
      <c r="H2960">
        <f>_xlfn.IMAGE("https://m.media-amazon.com/images/I/51Z1eDaRYTL._AC_UL320_.jpg")</f>
        <v/>
      </c>
      <c r="K2960" t="inlineStr">
        <is>
          <t>76.3</t>
        </is>
      </c>
      <c r="L2960" t="n">
        <v>49.99</v>
      </c>
      <c r="M2960" s="1" t="inlineStr">
        <is>
          <t>-34.48%</t>
        </is>
      </c>
      <c r="N2960" s="7" t="n">
        <v>141.78</v>
      </c>
      <c r="O2960" t="n">
        <v>4.8</v>
      </c>
      <c r="P2960" t="n">
        <v>356</v>
      </c>
      <c r="R2960" t="inlineStr">
        <is>
          <t>OutOfStock</t>
        </is>
      </c>
      <c r="S2960" t="inlineStr">
        <is>
          <t>undefined</t>
        </is>
      </c>
      <c r="T2960" t="inlineStr">
        <is>
          <t>1900793823332</t>
        </is>
      </c>
    </row>
    <row r="2961" hidden="1" ht="15.75" customHeight="1">
      <c r="A2961" s="2">
        <f>HYPERLINK("https://edmondsonsupply.com/collections/hvac/products/white-rodgers-790-843a1-universal-flame-sensor", "https://edmondsonsupply.com/collections/hvac/products/white-rodgers-790-843a1-universal-flame-sensor")</f>
        <v/>
      </c>
      <c r="B2961" s="2">
        <f>HYPERLINK("https://edmondsonsupply.com/products/white-rodgers-790-843a1-universal-flame-sensor", "https://edmondsonsupply.com/products/white-rodgers-790-843a1-universal-flame-sensor")</f>
        <v/>
      </c>
      <c r="C2961" t="inlineStr">
        <is>
          <t>White Rodgers 790-843A1 Universal Flame Sensor</t>
        </is>
      </c>
      <c r="D2961" t="inlineStr">
        <is>
          <t>PFS401 Universal Furnace Electode Flame Sensor replaces White Rodgers 760-401 HVAC Part</t>
        </is>
      </c>
      <c r="E2961" s="2">
        <f>HYPERLINK("https://www.amazon.com/Universal-Furnace-Electode-replaces-HVAC/dp/B07KJQP4QY/ref=sr_1_5?keywords=White+Rodgers+790-843A1+Universal+Flame+Sensor&amp;qid=1694734667&amp;sr=8-5", "https://www.amazon.com/Universal-Furnace-Electode-replaces-HVAC/dp/B07KJQP4QY/ref=sr_1_5?keywords=White+Rodgers+790-843A1+Universal+Flame+Sensor&amp;qid=1694734667&amp;sr=8-5")</f>
        <v/>
      </c>
      <c r="F2961" t="inlineStr">
        <is>
          <t>B07KJQP4QY</t>
        </is>
      </c>
      <c r="G2961">
        <f>_xludf.IMAGE("https://edmondsonsupply.com/cdn/shop/products/790-flame-sensors-universal.png?v=1633030916")</f>
        <v/>
      </c>
      <c r="H2961">
        <f>_xludf.IMAGE("https://m.media-amazon.com/images/I/31spVvuyS8L._AC_UL320_.jpg")</f>
        <v/>
      </c>
      <c r="K2961" t="inlineStr">
        <is>
          <t>16.8</t>
        </is>
      </c>
      <c r="L2961" t="n">
        <v>10.99</v>
      </c>
      <c r="M2961" s="1" t="inlineStr">
        <is>
          <t>-34.58%</t>
        </is>
      </c>
      <c r="N2961" s="1" t="n">
        <v>141.62</v>
      </c>
      <c r="O2961" t="n">
        <v>4.4</v>
      </c>
      <c r="P2961" t="n">
        <v>29</v>
      </c>
      <c r="R2961" t="inlineStr">
        <is>
          <t>InStock</t>
        </is>
      </c>
      <c r="S2961" t="inlineStr">
        <is>
          <t>39.71</t>
        </is>
      </c>
      <c r="T2961" t="inlineStr">
        <is>
          <t>6257215340717</t>
        </is>
      </c>
    </row>
    <row r="2962" ht="87" customHeight="1">
      <c r="A2962" s="2">
        <f>HYPERLINK("https://edmondsonsupply.com/collections/hvac/products/nu-calgon-4900-10-iwave-c-commercial-air-ionization-system", "https://edmondsonsupply.com/collections/hvac/products/nu-calgon-4900-10-iwave-c-commercial-air-ionization-system")</f>
        <v/>
      </c>
      <c r="B2962" s="2">
        <f>HYPERLINK("https://edmondsonsupply.com/products/nu-calgon-4900-10-iwave-c-commercial-air-ionization-system", "https://edmondsonsupply.com/products/nu-calgon-4900-10-iwave-c-commercial-air-ionization-system")</f>
        <v/>
      </c>
      <c r="C2962" t="inlineStr">
        <is>
          <t>Nu-Calgon 4900-10 iWave-C Commercial Air Ionization System</t>
        </is>
      </c>
      <c r="D2962" t="inlineStr">
        <is>
          <t>Nu-Calgon 4900-10 iWave-C Commercial Air Cleaner</t>
        </is>
      </c>
      <c r="E2962" s="2">
        <f>HYPERLINK("https://www.amazon.com/Nu-Calgon-4900-10-iWave-C-Commercial-Cleaner/dp/B072N1M4JS/ref=sr_1_1?keywords=Nu-Calgon+4900-10+iWave-C+Commercial+Air+Ionization+System&amp;qid=1694734902&amp;sr=8-1", "https://www.amazon.com/Nu-Calgon-4900-10-iWave-C-Commercial-Cleaner/dp/B072N1M4JS/ref=sr_1_1?keywords=Nu-Calgon+4900-10+iWave-C+Commercial+Air+Ionization+System&amp;qid=1694734902&amp;sr=8-1")</f>
        <v/>
      </c>
      <c r="F2962" t="inlineStr">
        <is>
          <t>B072N1M4JS</t>
        </is>
      </c>
      <c r="G2962">
        <f>_xlfn.IMAGE("https://edmondsonsupply.com/cdn/shop/files/4900-10_20200510.png?v=1687444803")</f>
        <v/>
      </c>
      <c r="H2962">
        <f>_xlfn.IMAGE("https://m.media-amazon.com/images/I/61fmNJEZOfS._AC_UY218_.jpg")</f>
        <v/>
      </c>
      <c r="K2962" t="inlineStr">
        <is>
          <t>649.93</t>
        </is>
      </c>
      <c r="L2962" t="n">
        <v>425</v>
      </c>
      <c r="M2962" s="1" t="inlineStr">
        <is>
          <t>-34.61%</t>
        </is>
      </c>
      <c r="N2962" s="7" t="n">
        <v>141.61</v>
      </c>
      <c r="O2962" t="n">
        <v>4.3</v>
      </c>
      <c r="P2962" t="n">
        <v>18</v>
      </c>
      <c r="R2962" t="inlineStr">
        <is>
          <t>InStock</t>
        </is>
      </c>
      <c r="S2962" t="inlineStr">
        <is>
          <t>1008.66</t>
        </is>
      </c>
      <c r="T2962" t="inlineStr">
        <is>
          <t>8007544176856</t>
        </is>
      </c>
    </row>
    <row r="2963" hidden="1" ht="15.75" customHeight="1">
      <c r="A2963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2963" s="2">
        <f>HYPERLINK("https://edmondsonsupply.com/products/klein-tools-65064-2-in-1-hex-head-screwdriver-1-4-5-16", "https://edmondsonsupply.com/products/klein-tools-65064-2-in-1-hex-head-screwdriver-1-4-5-16")</f>
        <v/>
      </c>
      <c r="C2963" t="inlineStr">
        <is>
          <t>Klein Tools 65064 2-in-1 Nut Driver, Hex Head, 1/4-Inch and 5/16-Inch</t>
        </is>
      </c>
      <c r="D2963" t="inlineStr">
        <is>
          <t>Klein Tools 646-5/16M 5/16-Inch Hex Magnetic Tip Nut Driver with 6-Inch Hollow Shank</t>
        </is>
      </c>
      <c r="E2963" s="2">
        <f>HYPERLINK("https://www.amazon.com/Klein-Tools-646-5-16M-Magnetic/dp/B00093GECG/ref=sr_1_18?keywords=Klein+Tools+65064+2-in-1+Nut+Driver%2C+Hex+Head%2C+1%2F4-Inch+and+5%2F16-Inch&amp;qid=1694734734&amp;sr=8-18", "https://www.amazon.com/Klein-Tools-646-5-16M-Magnetic/dp/B00093GECG/ref=sr_1_18?keywords=Klein+Tools+65064+2-in-1+Nut+Driver%2C+Hex+Head%2C+1%2F4-Inch+and+5%2F16-Inch&amp;qid=1694734734&amp;sr=8-18")</f>
        <v/>
      </c>
      <c r="F2963" t="inlineStr">
        <is>
          <t>B00093GECG</t>
        </is>
      </c>
      <c r="G2963">
        <f>_xludf.IMAGE("https://edmondsonsupply.com/cdn/shop/products/65064.jpg?v=1587147719")</f>
        <v/>
      </c>
      <c r="H2963">
        <f>_xludf.IMAGE("https://m.media-amazon.com/images/I/41j5NAMWLQL._AC_UL320_.jpg")</f>
        <v/>
      </c>
      <c r="K2963" t="inlineStr">
        <is>
          <t>15.97</t>
        </is>
      </c>
      <c r="L2963" t="n">
        <v>10.44</v>
      </c>
      <c r="M2963" s="1" t="inlineStr">
        <is>
          <t>-34.63%</t>
        </is>
      </c>
      <c r="N2963" s="1" t="n">
        <v>141.47</v>
      </c>
      <c r="O2963" t="n">
        <v>4.8</v>
      </c>
      <c r="P2963" t="n">
        <v>2491</v>
      </c>
      <c r="R2963" t="inlineStr">
        <is>
          <t>InStock</t>
        </is>
      </c>
      <c r="S2963" t="inlineStr">
        <is>
          <t>23.36</t>
        </is>
      </c>
      <c r="T2963" t="inlineStr">
        <is>
          <t>1707342889060</t>
        </is>
      </c>
    </row>
    <row r="2964" ht="87" customHeight="1">
      <c r="A2964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2964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2964" t="inlineStr">
        <is>
          <t>ICM Controls ICM2811 Furnace Control Board - Replacement for Goodman</t>
        </is>
      </c>
      <c r="D2964" t="inlineStr">
        <is>
          <t>ICM Controls ICM277 Fan Blower Control Replacement for Goodman B1370735S, PCBFM131S Control Boards</t>
        </is>
      </c>
      <c r="E2964" s="2">
        <f>HYPERLINK("https://www.amazon.com/ICM-Controls-ICM277-Replacement-B1370735S/dp/B008HOSQVQ/ref=sr_1_16?keywords=ICM+Controls+ICM2811+Furnace+Control+Board+-+Replacement+for+Goodman&amp;qid=1694734652&amp;sr=8-16", "https://www.amazon.com/ICM-Controls-ICM277-Replacement-B1370735S/dp/B008HOSQVQ/ref=sr_1_16?keywords=ICM+Controls+ICM2811+Furnace+Control+Board+-+Replacement+for+Goodman&amp;qid=1694734652&amp;sr=8-16")</f>
        <v/>
      </c>
      <c r="F2964" t="inlineStr">
        <is>
          <t>B008HOSQVQ</t>
        </is>
      </c>
      <c r="G2964">
        <f>_xlfn.IMAGE("https://edmondsonsupply.com/cdn/shop/products/photo_3800_medium_86f45e25-a764-4839-bc84-759a6ce1c7bd.jpg?v=1659910436")</f>
        <v/>
      </c>
      <c r="H2964">
        <f>_xlfn.IMAGE("https://m.media-amazon.com/images/I/61SMAHqAaEL._AC_UL320_.jpg")</f>
        <v/>
      </c>
      <c r="K2964" t="inlineStr">
        <is>
          <t>68.99</t>
        </is>
      </c>
      <c r="L2964" t="n">
        <v>45</v>
      </c>
      <c r="M2964" s="1" t="inlineStr">
        <is>
          <t>-34.77%</t>
        </is>
      </c>
      <c r="N2964" s="7" t="n">
        <v>141.45</v>
      </c>
      <c r="O2964" t="n">
        <v>4.9</v>
      </c>
      <c r="P2964" t="n">
        <v>29</v>
      </c>
      <c r="R2964" t="inlineStr">
        <is>
          <t>InStock</t>
        </is>
      </c>
      <c r="S2964" t="inlineStr">
        <is>
          <t>93.62</t>
        </is>
      </c>
      <c r="T2964" t="inlineStr">
        <is>
          <t>4345448202340</t>
        </is>
      </c>
    </row>
    <row r="2965" ht="87" customHeight="1">
      <c r="A2965" s="2">
        <f>HYPERLINK("https://edmondsonsupply.com/collections/hvac/products/klein-tools-k12065cr-klein-kurve%C2%AE-heavy-duty-wire-stripper-crimper-8-20-awg", "https://edmondsonsupply.com/collections/hvac/products/klein-tools-k12065cr-klein-kurve%C2%AE-heavy-duty-wire-stripper-crimper-8-20-awg")</f>
        <v/>
      </c>
      <c r="B2965" s="2">
        <f>HYPERLINK("https://edmondsonsupply.com/products/klein-tools-k12065cr-klein-kurve%c2%ae-heavy-duty-wire-stripper-crimper-8-20-awg", "https://edmondsonsupply.com/products/klein-tools-k12065cr-klein-kurve%c2%ae-heavy-duty-wire-stripper-crimper-8-20-awg")</f>
        <v/>
      </c>
      <c r="C2965" t="inlineStr">
        <is>
          <t>Klein Tools K12065CR Klein-Kurve® Heavy-Duty Wire Stripper / Cutter / Crimper Multi Tool, 8-20 AWG</t>
        </is>
      </c>
      <c r="D2965" t="inlineStr">
        <is>
          <t>Klein Tools 1001 Multi Tool, Wire Stripper, Wire Cutters, Crimper Tool for 8-22 AWG, Multi-Purpose Electrician Tool is 8.5-Inch Long</t>
        </is>
      </c>
      <c r="E2965" s="2">
        <f>HYPERLINK("https://www.amazon.com/Klein-Tools-1001-Multi-Purpose-Electricians/dp/B000EVLUR2/ref=sr_1_6?keywords=Klein+Tools+K12065CR+Klein-Kurve%C2%AE+Heavy-Duty+Wire+Stripper+%2F+Cutter+%2F+Crimper+Multi+Tool%2C+8-20+AWG&amp;qid=1694734664&amp;sr=8-6", "https://www.amazon.com/Klein-Tools-1001-Multi-Purpose-Electricians/dp/B000EVLUR2/ref=sr_1_6?keywords=Klein+Tools+K12065CR+Klein-Kurve%C2%AE+Heavy-Duty+Wire+Stripper+%2F+Cutter+%2F+Crimper+Multi+Tool%2C+8-20+AWG&amp;qid=1694734664&amp;sr=8-6")</f>
        <v/>
      </c>
      <c r="F2965" t="inlineStr">
        <is>
          <t>B000EVLUR2</t>
        </is>
      </c>
      <c r="G2965">
        <f>_xlfn.IMAGE("https://edmondsonsupply.com/cdn/shop/products/k12065cr_b.jpg?v=1650066835")</f>
        <v/>
      </c>
      <c r="H2965">
        <f>_xlfn.IMAGE("https://m.media-amazon.com/images/I/51Df2gzkHqL._AC_UL320_.jpg")</f>
        <v/>
      </c>
      <c r="K2965" t="inlineStr">
        <is>
          <t>39.97</t>
        </is>
      </c>
      <c r="L2965" t="n">
        <v>25.99</v>
      </c>
      <c r="M2965" s="1" t="inlineStr">
        <is>
          <t>-34.98%</t>
        </is>
      </c>
      <c r="N2965" s="7" t="n">
        <v>141.36</v>
      </c>
      <c r="O2965" t="n">
        <v>4.5</v>
      </c>
      <c r="P2965" t="n">
        <v>475</v>
      </c>
      <c r="R2965" t="inlineStr">
        <is>
          <t>InStock</t>
        </is>
      </c>
      <c r="S2965" t="inlineStr">
        <is>
          <t>59.42</t>
        </is>
      </c>
      <c r="T2965" t="inlineStr">
        <is>
          <t>5795137880232</t>
        </is>
      </c>
    </row>
    <row r="2966" hidden="1" ht="15.75" customHeight="1">
      <c r="A2966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2966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2966" t="inlineStr">
        <is>
          <t>ICM Controls ICM2813 Furnace Control Board - Replacement for Lennox</t>
        </is>
      </c>
      <c r="D2966" t="inlineStr">
        <is>
          <t>ICM Controls ICM-2810 Furnace Control Board For Goodman PCBBF136 and PCBBF140</t>
        </is>
      </c>
      <c r="E2966" s="2">
        <f>HYPERLINK("https://www.amazon.com/ICM-Controls-ICM-2810-PCBBF136-PCBBF140/dp/B078KMX2V9/ref=sr_1_7?keywords=ICM+Controls+ICM2813+Furnace+Control+Board+-+Replacement+for+Lennox&amp;qid=1694734575&amp;sr=8-7", "https://www.amazon.com/ICM-Controls-ICM-2810-PCBBF136-PCBBF140/dp/B078KMX2V9/ref=sr_1_7?keywords=ICM+Controls+ICM2813+Furnace+Control+Board+-+Replacement+for+Lennox&amp;qid=1694734575&amp;sr=8-7")</f>
        <v/>
      </c>
      <c r="F2966" t="inlineStr">
        <is>
          <t>B078KMX2V9</t>
        </is>
      </c>
      <c r="G2966">
        <f>_xludf.IMAGE("https://edmondsonsupply.com/cdn/shop/products/ICM2813.jpg?v=1666552363")</f>
        <v/>
      </c>
      <c r="H2966">
        <f>_xludf.IMAGE("https://m.media-amazon.com/images/I/51UFjRz3HyL._AC_UL320_.jpg")</f>
        <v/>
      </c>
      <c r="K2966" t="inlineStr">
        <is>
          <t>99.99</t>
        </is>
      </c>
      <c r="L2966" t="n">
        <v>64.95</v>
      </c>
      <c r="M2966" s="1" t="inlineStr">
        <is>
          <t>-35.04%</t>
        </is>
      </c>
      <c r="N2966" s="1" t="n">
        <v>140.73</v>
      </c>
      <c r="O2966" t="n">
        <v>4</v>
      </c>
      <c r="P2966" t="n">
        <v>18</v>
      </c>
      <c r="R2966" t="inlineStr">
        <is>
          <t>InStock</t>
        </is>
      </c>
      <c r="S2966" t="inlineStr">
        <is>
          <t>111.21</t>
        </is>
      </c>
      <c r="T2966" t="inlineStr">
        <is>
          <t>7864012341464</t>
        </is>
      </c>
    </row>
    <row r="2967" hidden="1" ht="15.75" customHeight="1">
      <c r="A2967" s="2">
        <f>HYPERLINK("https://edmondsonsupply.com/collections/hvac/products/diablo-tools-dou125cgp-1-1-4-in-universal-fit-carbide-oscillating-blade-for-general-purpose-cuts", "https://edmondsonsupply.com/collections/hvac/products/diablo-tools-dou125cgp-1-1-4-in-universal-fit-carbide-oscillating-blade-for-general-purpose-cuts")</f>
        <v/>
      </c>
      <c r="B2967" s="2">
        <f>HYPERLINK("https://edmondsonsupply.com/products/diablo-tools-dou125cgp-1-1-4-in-universal-fit-carbide-oscillating-blade-for-general-purpose-cuts", "https://edmondsonsupply.com/products/diablo-tools-dou125cgp-1-1-4-in-universal-fit-carbide-oscillating-blade-for-general-purpose-cuts")</f>
        <v/>
      </c>
      <c r="C2967" t="inlineStr">
        <is>
          <t>Diablo Tools DOU125CGP 1-1/4 in. Universal Fit Carbide Oscillating Blade for General Purpose Cuts</t>
        </is>
      </c>
      <c r="D2967" t="inlineStr">
        <is>
          <t>Diablo by Freud DOU125CGP 1-1/4 in. Universal Fit Carbide Oscillating Blade for General Purpose Cuts</t>
        </is>
      </c>
      <c r="E2967" s="2">
        <f>HYPERLINK("https://www.amazon.com/Diablo-Freud-DOU125CGP-Universal-Oscillating/dp/B089LGJV4X/ref=sr_1_1?keywords=Diablo+Tools+DOU125CGP+1-1%2F4+in.+Universal+Fit+Carbide+Oscillating+Blade+for+General+Purpose+Cuts&amp;qid=1694734915&amp;sr=8-1", "https://www.amazon.com/Diablo-Freud-DOU125CGP-Universal-Oscillating/dp/B089LGJV4X/ref=sr_1_1?keywords=Diablo+Tools+DOU125CGP+1-1%2F4+in.+Universal+Fit+Carbide+Oscillating+Blade+for+General+Purpose+Cuts&amp;qid=1694734915&amp;sr=8-1")</f>
        <v/>
      </c>
      <c r="F2967" t="inlineStr">
        <is>
          <t>B089LGJV4X</t>
        </is>
      </c>
      <c r="G2967">
        <f>_xludf.IMAGE("https://edmondsonsupply.com/cdn/shop/files/htobgrjt150mygkkk6to_dca17485-ff4c-4cd2-9345-f1b96a9206f3.webp?v=1686146827")</f>
        <v/>
      </c>
      <c r="H2967">
        <f>_xludf.IMAGE("https://m.media-amazon.com/images/I/71lNEMXVnHL._AC_UL320_.jpg")</f>
        <v/>
      </c>
      <c r="K2967" t="inlineStr">
        <is>
          <t>22.97</t>
        </is>
      </c>
      <c r="L2967" t="n">
        <v>14.9</v>
      </c>
      <c r="M2967" s="1" t="inlineStr">
        <is>
          <t>-35.13%</t>
        </is>
      </c>
      <c r="N2967" s="1" t="n">
        <v>140.58</v>
      </c>
      <c r="O2967" t="n">
        <v>4.6</v>
      </c>
      <c r="P2967" t="n">
        <v>38</v>
      </c>
      <c r="R2967" t="inlineStr">
        <is>
          <t>InStock</t>
        </is>
      </c>
      <c r="S2967" t="inlineStr">
        <is>
          <t>28.57</t>
        </is>
      </c>
      <c r="T2967" t="inlineStr">
        <is>
          <t>8002356576472</t>
        </is>
      </c>
    </row>
    <row r="2968" ht="87" customHeight="1">
      <c r="A2968" s="2">
        <f>HYPERLINK("https://edmondsonsupply.com/collections/hvac/products/diablo-tools-dmamxcc5020-2-5-8-in-x-7-in-sds-max-carbide-tipped-core-bit", "https://edmondsonsupply.com/collections/hvac/products/diablo-tools-dmamxcc5020-2-5-8-in-x-7-in-sds-max-carbide-tipped-core-bit")</f>
        <v/>
      </c>
      <c r="B2968" s="2">
        <f>HYPERLINK("https://edmondsonsupply.com/products/diablo-tools-dmamxcc5020-2-5-8-in-x-7-in-sds-max-carbide-tipped-core-bit", "https://edmondsonsupply.com/products/diablo-tools-dmamxcc5020-2-5-8-in-x-7-in-sds-max-carbide-tipped-core-bit")</f>
        <v/>
      </c>
      <c r="C2968" t="inlineStr">
        <is>
          <t>Diablo Tools DMAMXCC5020 2-5/8 in. x 7 in. SDS-Max Carbide Tipped Core Bit</t>
        </is>
      </c>
      <c r="D2968" t="inlineStr">
        <is>
          <t>Owl Tools SDS Max Masonry Drill Bit Set (Carbide Tipped - 5 Piece Set) 13" Length in The Following Sizes: 1/2", 5/8", 3/4", 7/8", and 1"</t>
        </is>
      </c>
      <c r="E2968" s="2">
        <f>HYPERLINK("https://www.amazon.com/SDS-Masonry-Drill-Carbide-Tipped/dp/B09WPCPFPR/ref=sr_1_44?keywords=Diablo+Tools+DMAMXCC5020+2-5%2F8+in.+x+7+in.+SDS-Max+Carbide+Tipped+Core+Bit&amp;qid=1694734909&amp;sr=8-44", "https://www.amazon.com/SDS-Masonry-Drill-Carbide-Tipped/dp/B09WPCPFPR/ref=sr_1_44?keywords=Diablo+Tools+DMAMXCC5020+2-5%2F8+in.+x+7+in.+SDS-Max+Carbide+Tipped+Core+Bit&amp;qid=1694734909&amp;sr=8-44")</f>
        <v/>
      </c>
      <c r="F2968" t="inlineStr">
        <is>
          <t>B09WPCPFPR</t>
        </is>
      </c>
      <c r="G2968">
        <f>_xlfn.IMAGE("https://edmondsonsupply.com/cdn/shop/files/vashcrdlazsqjug8tmyc.webp?v=1686584484")</f>
        <v/>
      </c>
      <c r="H2968">
        <f>_xlfn.IMAGE("https://m.media-amazon.com/images/I/51PRSTmEcgL._AC_UL320_.jpg")</f>
        <v/>
      </c>
      <c r="K2968" t="inlineStr">
        <is>
          <t>107.99</t>
        </is>
      </c>
      <c r="L2968" t="n">
        <v>69.98999999999999</v>
      </c>
      <c r="M2968" s="1" t="inlineStr">
        <is>
          <t>-35.19%</t>
        </is>
      </c>
      <c r="N2968" s="7" t="n">
        <v>140.25</v>
      </c>
      <c r="O2968" t="n">
        <v>4.3</v>
      </c>
      <c r="P2968" t="n">
        <v>19</v>
      </c>
      <c r="R2968" t="inlineStr">
        <is>
          <t>InStock</t>
        </is>
      </c>
      <c r="S2968" t="inlineStr">
        <is>
          <t>173.04</t>
        </is>
      </c>
      <c r="T2968" t="inlineStr">
        <is>
          <t>8004505272536</t>
        </is>
      </c>
    </row>
    <row r="2969" ht="87" customHeight="1">
      <c r="A2969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2969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2969" t="inlineStr">
        <is>
          <t>Robertshaw 41-224 Hot Surface Furnace Ignitor</t>
        </is>
      </c>
      <c r="D2969" t="inlineStr">
        <is>
          <t>Robertshaw Hot Surface Ignitor, Series 41-406</t>
        </is>
      </c>
      <c r="E2969" s="2">
        <f>HYPERLINK("https://www.amazon.com/Robertshaw%C2%AE-Hot-Surface-Ignitor-41-406/dp/B0120U7N5C/ref=sr_1_13?keywords=Robertshaw+41-224+Hot+Surface+Furnace+Ignitor&amp;qid=1694734847&amp;sr=8-13", "https://www.amazon.com/Robertshaw%C2%AE-Hot-Surface-Ignitor-41-406/dp/B0120U7N5C/ref=sr_1_13?keywords=Robertshaw+41-224+Hot+Surface+Furnace+Ignitor&amp;qid=1694734847&amp;sr=8-13")</f>
        <v/>
      </c>
      <c r="F2969" t="inlineStr">
        <is>
          <t>B0120U7N5C</t>
        </is>
      </c>
      <c r="G2969">
        <f>_xlfn.IMAGE("https://edmondsonsupply.com/cdn/shop/files/41-224.jpg?v=1694616534")</f>
        <v/>
      </c>
      <c r="H2969">
        <f>_xlfn.IMAGE("https://m.media-amazon.com/images/I/11dxZxQ+nxL._AC_UL320_.jpg")</f>
        <v/>
      </c>
      <c r="K2969" t="inlineStr">
        <is>
          <t>41.78</t>
        </is>
      </c>
      <c r="L2969" t="n">
        <v>27</v>
      </c>
      <c r="M2969" s="1" t="inlineStr">
        <is>
          <t>-35.38%</t>
        </is>
      </c>
      <c r="N2969" s="7" t="n">
        <v>139.79</v>
      </c>
      <c r="O2969" t="n">
        <v>5</v>
      </c>
      <c r="P2969" t="n">
        <v>1</v>
      </c>
      <c r="R2969" t="inlineStr">
        <is>
          <t>InStock</t>
        </is>
      </c>
      <c r="S2969" t="inlineStr">
        <is>
          <t>undefined</t>
        </is>
      </c>
      <c r="T2969" t="inlineStr">
        <is>
          <t>8035179692248</t>
        </is>
      </c>
    </row>
    <row r="2970" hidden="1" ht="15.75" customHeight="1">
      <c r="A2970" s="2">
        <f>HYPERLINK("https://edmondsonsupply.com/collections/hvac/products/channellock-431", "https://edmondsonsupply.com/collections/hvac/products/channellock-431")</f>
        <v/>
      </c>
      <c r="B2970" s="2">
        <f>HYPERLINK("https://edmondsonsupply.com/products/channellock-431", "https://edmondsonsupply.com/products/channellock-431")</f>
        <v/>
      </c>
      <c r="C2970" t="inlineStr">
        <is>
          <t>Channellock 432 10-Inch V-Jaw Tongue &amp; Groove Pliers</t>
        </is>
      </c>
      <c r="D2970" t="inlineStr">
        <is>
          <t>10" Tongue &amp; Groove Joint Pliers, Curved Jaw</t>
        </is>
      </c>
      <c r="E2970" s="2">
        <f>HYPERLINK("https://www.amazon.com/Tongue-Groove-Joint-Pliers-Curved/dp/B07NQXXFT8/ref=sr_1_25?keywords=Channellock+432+10-Inch+V-Jaw+Tongue+%26+Groove+Pliers&amp;qid=1694734826&amp;sr=8-25", "https://www.amazon.com/Tongue-Groove-Joint-Pliers-Curved/dp/B07NQXXFT8/ref=sr_1_25?keywords=Channellock+432+10-Inch+V-Jaw+Tongue+%26+Groove+Pliers&amp;qid=1694734826&amp;sr=8-25")</f>
        <v/>
      </c>
      <c r="F2970" t="inlineStr">
        <is>
          <t>B07NQXXFT8</t>
        </is>
      </c>
      <c r="G2970">
        <f>_xludf.IMAGE("https://edmondsonsupply.com/cdn/shop/products/432-683x1024.jpg?v=1587147134")</f>
        <v/>
      </c>
      <c r="H2970">
        <f>_xludf.IMAGE("https://m.media-amazon.com/images/I/71NYIeXSo1L._AC_UL320_.jpg")</f>
        <v/>
      </c>
      <c r="K2970" t="inlineStr">
        <is>
          <t>19.95</t>
        </is>
      </c>
      <c r="L2970" t="n">
        <v>12.86</v>
      </c>
      <c r="M2970" s="1" t="inlineStr">
        <is>
          <t>-35.54%</t>
        </is>
      </c>
      <c r="N2970" s="1" t="n">
        <v>139.47</v>
      </c>
      <c r="O2970" t="n">
        <v>5</v>
      </c>
      <c r="P2970" t="n">
        <v>1</v>
      </c>
      <c r="R2970" t="inlineStr">
        <is>
          <t>InStock</t>
        </is>
      </c>
      <c r="S2970" t="inlineStr">
        <is>
          <t>27.63</t>
        </is>
      </c>
      <c r="T2970" t="inlineStr">
        <is>
          <t>3553468317796</t>
        </is>
      </c>
    </row>
    <row r="2971" ht="87" customHeight="1">
      <c r="A2971" s="2">
        <f>HYPERLINK("https://edmondsonsupply.com/collections/hvac/products/inficon-d-tek-3", "https://edmondsonsupply.com/collections/hvac/products/inficon-d-tek-3")</f>
        <v/>
      </c>
      <c r="B2971" s="2">
        <f>HYPERLINK("https://edmondsonsupply.com/products/inficon-d-tek-3", "https://edmondsonsupply.com/products/inficon-d-tek-3")</f>
        <v/>
      </c>
      <c r="C2971" t="inlineStr">
        <is>
          <t>Inficon D-TEK® 3 Refrigerant Leak Detector</t>
        </is>
      </c>
      <c r="D2971" t="inlineStr">
        <is>
          <t>Inficon Compass, Refrigerant Leak Detector, 717-202-G1</t>
        </is>
      </c>
      <c r="E2971" s="2">
        <f>HYPERLINK("https://www.amazon.com/INFICON-717-202-G1-Compass-Refrigerant-Detector/dp/B000X288WM/ref=sr_1_8?keywords=Inficon+D-TEK%C2%AE+3+Refrigerant+Leak+Detector&amp;qid=1694734644&amp;sr=8-8", "https://www.amazon.com/INFICON-717-202-G1-Compass-Refrigerant-Detector/dp/B000X288WM/ref=sr_1_8?keywords=Inficon+D-TEK%C2%AE+3+Refrigerant+Leak+Detector&amp;qid=1694734644&amp;sr=8-8")</f>
        <v/>
      </c>
      <c r="F2971" t="inlineStr">
        <is>
          <t>B000X288WM</t>
        </is>
      </c>
      <c r="G2971">
        <f>_xlfn.IMAGE("https://edmondsonsupply.com/cdn/shop/products/dtek3.png?v=1633030772")</f>
        <v/>
      </c>
      <c r="H2971">
        <f>_xlfn.IMAGE("https://m.media-amazon.com/images/I/51mzHinFJ8L._AC_UL320_.jpg")</f>
        <v/>
      </c>
      <c r="K2971" t="inlineStr">
        <is>
          <t>516.99</t>
        </is>
      </c>
      <c r="L2971" t="n">
        <v>333.25</v>
      </c>
      <c r="M2971" s="1" t="inlineStr">
        <is>
          <t>-35.54%</t>
        </is>
      </c>
      <c r="N2971" s="7" t="n">
        <v>138.87</v>
      </c>
      <c r="O2971" t="n">
        <v>4.2</v>
      </c>
      <c r="P2971" t="n">
        <v>28</v>
      </c>
      <c r="R2971" t="inlineStr">
        <is>
          <t>InStock</t>
        </is>
      </c>
      <c r="S2971" t="inlineStr">
        <is>
          <t>645.0</t>
        </is>
      </c>
      <c r="T2971" t="inlineStr">
        <is>
          <t>5950406623400</t>
        </is>
      </c>
    </row>
    <row r="2972" hidden="1" ht="15.75" customHeight="1">
      <c r="A2972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2972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2972" t="inlineStr">
        <is>
          <t>Diablo Tools DMAPL4250 3/4 in. x 8 in. x 10 in. Rebar Demon™ SDS-Plus 4-Cutter Full Carbide Head Hammer Drill Bit</t>
        </is>
      </c>
      <c r="D2972" t="inlineStr">
        <is>
          <t>Diablo DMAPL4055 3/16 in. x 10 in. x 12 in. Rebar Demon™ SDS-Plus 4-Cutter Full Carbide Head Hammer Bit</t>
        </is>
      </c>
      <c r="E2972" s="2">
        <f>HYPERLINK("https://www.amazon.com/Diablo-DMAPL4055-SDS-Plus-4-Cutter-Carbide/dp/B089LJCD42/ref=sr_1_3?keywords=Diablo+Tools+DMAPL4250+3%2F4+in.+x+8+in.+x+10+in.+Rebar+Demon%E2%84%A2+SDS-Plus+4-Cutter+Full+Carbide+Head+Hammer+Drill+Bit&amp;qid=1694734913&amp;sr=8-3", "https://www.amazon.com/Diablo-DMAPL4055-SDS-Plus-4-Cutter-Carbide/dp/B089LJCD42/ref=sr_1_3?keywords=Diablo+Tools+DMAPL4250+3%2F4+in.+x+8+in.+x+10+in.+Rebar+Demon%E2%84%A2+SDS-Plus+4-Cutter+Full+Carbide+Head+Hammer+Drill+Bit&amp;qid=1694734913&amp;sr=8-3")</f>
        <v/>
      </c>
      <c r="F2972" t="inlineStr">
        <is>
          <t>B089LJCD42</t>
        </is>
      </c>
      <c r="G2972">
        <f>_xludf.IMAGE("https://edmondsonsupply.com/cdn/shop/files/rltcbi253wmfv6otmtz6.webp?v=1686576913")</f>
        <v/>
      </c>
      <c r="H2972">
        <f>_xludf.IMAGE("https://m.media-amazon.com/images/I/61cDOAhkb4L._AC_UL320_.jpg")</f>
        <v/>
      </c>
      <c r="K2972" t="inlineStr">
        <is>
          <t>24.47</t>
        </is>
      </c>
      <c r="L2972" t="n">
        <v>15.76</v>
      </c>
      <c r="M2972" s="1" t="inlineStr">
        <is>
          <t>-35.59%</t>
        </is>
      </c>
      <c r="N2972" s="1" t="n">
        <v>138.82</v>
      </c>
      <c r="O2972" t="n">
        <v>2</v>
      </c>
      <c r="P2972" t="n">
        <v>1</v>
      </c>
      <c r="R2972" t="inlineStr">
        <is>
          <t>InStock</t>
        </is>
      </c>
      <c r="S2972" t="inlineStr">
        <is>
          <t>38.21</t>
        </is>
      </c>
      <c r="T2972" t="inlineStr">
        <is>
          <t>8004486168792</t>
        </is>
      </c>
    </row>
    <row r="2973" hidden="1" ht="15.75" customHeight="1">
      <c r="A2973" s="2">
        <f>HYPERLINK("https://edmondsonsupply.com/collections/hvac/products/klein-tools-jth6e14-5-16-inch-hex-key-with-journeyman-t-handle-6-inch", "https://edmondsonsupply.com/collections/hvac/products/klein-tools-jth6e14-5-16-inch-hex-key-with-journeyman-t-handle-6-inch")</f>
        <v/>
      </c>
      <c r="B2973" s="2">
        <f>HYPERLINK("https://edmondsonsupply.com/products/klein-tools-jth6e14-5-16-inch-hex-key-with-journeyman-t-handle-6-inch", "https://edmondsonsupply.com/products/klein-tools-jth6e14-5-16-inch-hex-key-with-journeyman-t-handle-6-inch")</f>
        <v/>
      </c>
      <c r="C2973" t="inlineStr">
        <is>
          <t>Klein Tools JTH6E14 5/16-Inch Hex Key with Journeyman T-Handle, 6-Inch</t>
        </is>
      </c>
      <c r="D2973" t="inlineStr">
        <is>
          <t>5/32-Inch Hex Key with Journeyman T-Handle, 9-Inch Klein Tools JTH9E10</t>
        </is>
      </c>
      <c r="E2973" s="2">
        <f>HYPERLINK("https://www.amazon.com/Journeyman-T-Handle-Klein-Tools-JTH9E10/dp/B004QV8H90/ref=sr_1_10?keywords=Klein+Tools+JTH6E14+5%2F16-Inch+Hex+Key+with+Journeyman+T-Handle%2C+6-Inch&amp;qid=1694734648&amp;sr=8-10", "https://www.amazon.com/Journeyman-T-Handle-Klein-Tools-JTH9E10/dp/B004QV8H90/ref=sr_1_10?keywords=Klein+Tools+JTH6E14+5%2F16-Inch+Hex+Key+with+Journeyman+T-Handle%2C+6-Inch&amp;qid=1694734648&amp;sr=8-10")</f>
        <v/>
      </c>
      <c r="F2973" t="inlineStr">
        <is>
          <t>B004QV8H90</t>
        </is>
      </c>
      <c r="G2973">
        <f>_xludf.IMAGE("https://edmondsonsupply.com/cdn/shop/products/jth6e15.jpg?v=1587148489")</f>
        <v/>
      </c>
      <c r="H2973">
        <f>_xludf.IMAGE("https://m.media-amazon.com/images/I/51Yb8h41vLL._AC_UL320_.jpg")</f>
        <v/>
      </c>
      <c r="K2973" t="inlineStr">
        <is>
          <t>6.99</t>
        </is>
      </c>
      <c r="L2973" t="n">
        <v>4.49</v>
      </c>
      <c r="M2973" s="1" t="inlineStr">
        <is>
          <t>-35.77%</t>
        </is>
      </c>
      <c r="N2973" s="1" t="n">
        <v>138.54</v>
      </c>
      <c r="O2973" t="n">
        <v>4.8</v>
      </c>
      <c r="P2973" t="n">
        <v>293</v>
      </c>
      <c r="R2973" t="inlineStr">
        <is>
          <t>InStock</t>
        </is>
      </c>
      <c r="S2973" t="inlineStr">
        <is>
          <t>10.5</t>
        </is>
      </c>
      <c r="T2973" t="inlineStr">
        <is>
          <t>3694843822180</t>
        </is>
      </c>
    </row>
    <row r="2974" hidden="1" ht="15.75" customHeight="1">
      <c r="A2974" s="2">
        <f>HYPERLINK("https://edmondsonsupply.com/collections/hvac/products/greenlee-dtap1-4-20-drill-tap-1-4-20", "https://edmondsonsupply.com/collections/hvac/products/greenlee-dtap1-4-20-drill-tap-1-4-20")</f>
        <v/>
      </c>
      <c r="B2974" s="2">
        <f>HYPERLINK("https://edmondsonsupply.com/products/greenlee-dtap1-4-20-drill-tap-1-4-20", "https://edmondsonsupply.com/products/greenlee-dtap1-4-20-drill-tap-1-4-20")</f>
        <v/>
      </c>
      <c r="C2974" t="inlineStr">
        <is>
          <t>Greenlee DTAP1/4-20 Drill/Tap, 1/4-20</t>
        </is>
      </c>
      <c r="D2974" t="inlineStr">
        <is>
          <t>Century Drill &amp; Tool 95103 Carbon Steel Tap, 1/4-20NC</t>
        </is>
      </c>
      <c r="E2974" s="2">
        <f>HYPERLINK("https://www.amazon.com/Century-Drill-Tool-95103-Fractional/dp/B004UUALSW/ref=sr_1_25?keywords=Greenlee+DTAP1%2F4-20+Drill%2FTap%2C+1%2F4-20&amp;qid=1694734812&amp;sr=8-25", "https://www.amazon.com/Century-Drill-Tool-95103-Fractional/dp/B004UUALSW/ref=sr_1_25?keywords=Greenlee+DTAP1%2F4-20+Drill%2FTap%2C+1%2F4-20&amp;qid=1694734812&amp;sr=8-25")</f>
        <v/>
      </c>
      <c r="F2974" t="inlineStr">
        <is>
          <t>B004UUALSW</t>
        </is>
      </c>
      <c r="G2974">
        <f>_xludf.IMAGE("https://edmondsonsupply.com/cdn/shop/products/DTAP1-4-20.jpg?v=1587151009")</f>
        <v/>
      </c>
      <c r="H2974">
        <f>_xludf.IMAGE("https://m.media-amazon.com/images/I/414-hubchHL._AC_UL320_.jpg")</f>
        <v/>
      </c>
      <c r="K2974" t="inlineStr">
        <is>
          <t>8.99</t>
        </is>
      </c>
      <c r="L2974" t="n">
        <v>5.77</v>
      </c>
      <c r="M2974" s="1" t="inlineStr">
        <is>
          <t>-35.82%</t>
        </is>
      </c>
      <c r="N2974" s="1" t="n">
        <v>138.39</v>
      </c>
      <c r="O2974" t="n">
        <v>4.5</v>
      </c>
      <c r="P2974" t="n">
        <v>16</v>
      </c>
      <c r="R2974" t="inlineStr">
        <is>
          <t>InStock</t>
        </is>
      </c>
      <c r="S2974" t="inlineStr">
        <is>
          <t>9.7</t>
        </is>
      </c>
      <c r="T2974" t="inlineStr">
        <is>
          <t>4395885199460</t>
        </is>
      </c>
    </row>
    <row r="2975" hidden="1" ht="15.75" customHeight="1">
      <c r="A2975" s="2">
        <f>HYPERLINK("https://edmondsonsupply.com/collections/hvac/products/yellow-jacket-60616-60616-off-set-service-wrench-1-4-3-16-3-8-5-16", "https://edmondsonsupply.com/collections/hvac/products/yellow-jacket-60616-60616-off-set-service-wrench-1-4-3-16-3-8-5-16")</f>
        <v/>
      </c>
      <c r="B2975" s="2">
        <f>HYPERLINK("https://edmondsonsupply.com/products/yellow-jacket-60616-60616-off-set-service-wrench-1-4-3-16-3-8-5-16", "https://edmondsonsupply.com/products/yellow-jacket-60616-60616-off-set-service-wrench-1-4-3-16-3-8-5-16")</f>
        <v/>
      </c>
      <c r="C2975" t="inlineStr">
        <is>
          <t>Yellow Jacket 60616 Off-Set Service Wrench - 1/4", 3/16", 3/8" &amp; 5/16"</t>
        </is>
      </c>
      <c r="D2975" t="inlineStr">
        <is>
          <t>LDCRE HVAC Service Wrench Set, Air Conditioner Valve Curved Ratchet Wrench (1/4", 3/8", 3/16", 5/16"), with Hexagon Bit Adapter Tool Kit for Refrigeration Equipment and Repair</t>
        </is>
      </c>
      <c r="E2975" s="2">
        <f>HYPERLINK("https://www.amazon.com/Service-Conditioner-Ratchet-Refrigeration-Equipment/dp/B09YHHW476/ref=sr_1_9?keywords=Yellow+Jacket+60616+Off-Set+Service+Wrench+-+1%2F4%2C+3%2F16%2C+3%2F8&amp;qid=1694734701&amp;sr=8-9", "https://www.amazon.com/Service-Conditioner-Ratchet-Refrigeration-Equipment/dp/B09YHHW476/ref=sr_1_9?keywords=Yellow+Jacket+60616+Off-Set+Service+Wrench+-+1%2F4%2C+3%2F16%2C+3%2F8&amp;qid=1694734701&amp;sr=8-9")</f>
        <v/>
      </c>
      <c r="F2975" t="inlineStr">
        <is>
          <t>B09YHHW476</t>
        </is>
      </c>
      <c r="G2975">
        <f>_xludf.IMAGE("https://edmondsonsupply.com/cdn/shop/products/3eba08f6-ee51-4a50-bca6-17c2af7ba2d2.d7c1d4b82c2703ce32c17a9603f22502.jpg?v=1633031107")</f>
        <v/>
      </c>
      <c r="H2975">
        <f>_xludf.IMAGE("https://m.media-amazon.com/images/I/618VLv3MHIL._AC_UL320_.jpg")</f>
        <v/>
      </c>
      <c r="K2975" t="inlineStr">
        <is>
          <t>17.16</t>
        </is>
      </c>
      <c r="L2975" t="n">
        <v>10.98</v>
      </c>
      <c r="M2975" s="1" t="inlineStr">
        <is>
          <t>-36.01%</t>
        </is>
      </c>
      <c r="N2975" s="1" t="n">
        <v>137.89</v>
      </c>
      <c r="O2975" t="n">
        <v>3.8</v>
      </c>
      <c r="P2975" t="n">
        <v>60</v>
      </c>
      <c r="R2975" t="inlineStr">
        <is>
          <t>InStock</t>
        </is>
      </c>
      <c r="S2975" t="inlineStr">
        <is>
          <t>undefined</t>
        </is>
      </c>
      <c r="T2975" t="inlineStr">
        <is>
          <t>6851779526829</t>
        </is>
      </c>
    </row>
    <row r="2976" ht="87" customHeight="1">
      <c r="A2976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2976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2976" t="inlineStr">
        <is>
          <t>Klein Tools D20009NEGLW High-Visibility Side-Cutting Pliers High-Leverage</t>
        </is>
      </c>
      <c r="D2976" t="inlineStr">
        <is>
          <t>Klein Tools D238-8 Pliers, Diagonal Cutting Pliers with Angled Head, Short Jaws and High-Leverage Design, 8-Inch</t>
        </is>
      </c>
      <c r="E2976" s="2">
        <f>HYPERLINK("https://www.amazon.com/Diagonal-Cutting-Klein-Tools-D238-8/dp/B0002RI9OA/ref=sr_1_35?keywords=Klein+Tools+D20009NEGLW+High-Visibility+Side-Cutting+Pliers+High-Leverage&amp;qid=1694734809&amp;sr=8-35", "https://www.amazon.com/Diagonal-Cutting-Klein-Tools-D238-8/dp/B0002RI9OA/ref=sr_1_35?keywords=Klein+Tools+D20009NEGLW+High-Visibility+Side-Cutting+Pliers+High-Leverage&amp;qid=1694734809&amp;sr=8-35")</f>
        <v/>
      </c>
      <c r="F2976" t="inlineStr">
        <is>
          <t>B0002RI9OA</t>
        </is>
      </c>
      <c r="G2976">
        <f>_xlfn.IMAGE("https://edmondsonsupply.com/cdn/shop/products/d20009neglw.jpg?v=1587144933")</f>
        <v/>
      </c>
      <c r="H2976">
        <f>_xlfn.IMAGE("https://m.media-amazon.com/images/I/41lZuBa-TSL._AC_UL320_.jpg")</f>
        <v/>
      </c>
      <c r="K2976" t="inlineStr">
        <is>
          <t>44.97</t>
        </is>
      </c>
      <c r="L2976" t="n">
        <v>28.77</v>
      </c>
      <c r="M2976" s="1" t="inlineStr">
        <is>
          <t>-36.02%</t>
        </is>
      </c>
      <c r="N2976" s="7" t="n">
        <v>137.76</v>
      </c>
      <c r="O2976" t="n">
        <v>4.8</v>
      </c>
      <c r="P2976" t="n">
        <v>2413</v>
      </c>
      <c r="R2976" t="inlineStr">
        <is>
          <t>InStock</t>
        </is>
      </c>
      <c r="S2976" t="inlineStr">
        <is>
          <t>68.16</t>
        </is>
      </c>
      <c r="T2976" t="inlineStr">
        <is>
          <t>4396888490084</t>
        </is>
      </c>
    </row>
    <row r="2977" ht="87" customHeight="1">
      <c r="A2977" s="2">
        <f>HYPERLINK("https://edmondsonsupply.com/collections/hvac/products/5-2-1-compressor-saver-csru2", "https://edmondsonsupply.com/collections/hvac/products/5-2-1-compressor-saver-csru2")</f>
        <v/>
      </c>
      <c r="B2977" s="2">
        <f>HYPERLINK("https://edmondsonsupply.com/products/5-2-1-compressor-saver-csru2", "https://edmondsonsupply.com/products/5-2-1-compressor-saver-csru2")</f>
        <v/>
      </c>
      <c r="C2977" t="inlineStr">
        <is>
          <t>5-2-1 CSRU2 Compressor Saver, 3-1/2 to 5 Tons</t>
        </is>
      </c>
      <c r="D2977" t="inlineStr">
        <is>
          <t>Upgraded 5-2-1 CSR-U1 Compressor Saver Starter Kit for 1- to 3-ton AC units,Durable 5-2-1 HVAC Compressor Saver Hard Start Capacitor,Easy to Install -1 Years Warranty</t>
        </is>
      </c>
      <c r="E2977" s="2">
        <f>HYPERLINK("https://www.amazon.com/Upgraded-Compressor-Starter-Capacitor-Warranty/dp/B0B5WQJT62/ref=sr_1_14?keywords=5-2-1+CSRU2+Compressor+Saver%2C+3-1%2F2+to+5+Tons&amp;qid=1694734823&amp;sr=8-14", "https://www.amazon.com/Upgraded-Compressor-Starter-Capacitor-Warranty/dp/B0B5WQJT62/ref=sr_1_14?keywords=5-2-1+CSRU2+Compressor+Saver%2C+3-1%2F2+to+5+Tons&amp;qid=1694734823&amp;sr=8-14")</f>
        <v/>
      </c>
      <c r="F2977" t="inlineStr">
        <is>
          <t>B0B5WQJT62</t>
        </is>
      </c>
      <c r="G2977">
        <f>_xlfn.IMAGE("https://edmondsonsupply.com/cdn/shop/products/CSRU2.jpg?v=1633030087")</f>
        <v/>
      </c>
      <c r="H2977">
        <f>_xlfn.IMAGE("https://m.media-amazon.com/images/I/61F-rQtiiDL._AC_UL320_.jpg")</f>
        <v/>
      </c>
      <c r="K2977" t="inlineStr">
        <is>
          <t>42.24</t>
        </is>
      </c>
      <c r="L2977" t="n">
        <v>26.99</v>
      </c>
      <c r="M2977" s="1" t="inlineStr">
        <is>
          <t>-36.10%</t>
        </is>
      </c>
      <c r="N2977" s="7" t="n">
        <v>137.63</v>
      </c>
      <c r="O2977" t="n">
        <v>4.4</v>
      </c>
      <c r="P2977" t="n">
        <v>40</v>
      </c>
      <c r="R2977" t="inlineStr">
        <is>
          <t>InStock</t>
        </is>
      </c>
      <c r="S2977" t="inlineStr">
        <is>
          <t>48.74</t>
        </is>
      </c>
      <c r="T2977" t="inlineStr">
        <is>
          <t>3561347317860</t>
        </is>
      </c>
    </row>
    <row r="2978" hidden="1" ht="15.75" customHeight="1">
      <c r="A2978" s="2">
        <f>HYPERLINK("https://edmondsonsupply.com/collections/hvac/products/klein-tools-85616-precision-screwdriver-set-torx%C2%AE-4-piece", "https://edmondsonsupply.com/collections/hvac/products/klein-tools-85616-precision-screwdriver-set-torx%C2%AE-4-piece")</f>
        <v/>
      </c>
      <c r="B2978" s="2">
        <f>HYPERLINK("https://edmondsonsupply.com/products/klein-tools-85616-precision-screwdriver-set-torx%c2%ae-4-piece", "https://edmondsonsupply.com/products/klein-tools-85616-precision-screwdriver-set-torx%c2%ae-4-piece")</f>
        <v/>
      </c>
      <c r="C2978" t="inlineStr">
        <is>
          <t>Klein Tools 85616 Precision Screwdriver Set, TORX® 4-Piece</t>
        </is>
      </c>
      <c r="D2978" t="inlineStr">
        <is>
          <t>Klein Tools 85742 Screwdriver Set, 3/16 Cabinet and 2 Phillips Precision Machined Tips, Cushion-Grip Handles, Round Shank, 2-Piece</t>
        </is>
      </c>
      <c r="E2978" s="2">
        <f>HYPERLINK("https://www.amazon.com/Screwdriver-Cushion-Grip-Klein-Tools-85742/dp/B0917X34P6/ref=sr_1_13?keywords=Klein+Tools+85616+Precision+Screwdriver+Set%2C+TORX%C2%AE+4-Piece&amp;qid=1694734879&amp;sr=8-13", "https://www.amazon.com/Screwdriver-Cushion-Grip-Klein-Tools-85742/dp/B0917X34P6/ref=sr_1_13?keywords=Klein+Tools+85616+Precision+Screwdriver+Set%2C+TORX%C2%AE+4-Piece&amp;qid=1694734879&amp;sr=8-13")</f>
        <v/>
      </c>
      <c r="F2978" t="inlineStr">
        <is>
          <t>B0917X34P6</t>
        </is>
      </c>
      <c r="G2978">
        <f>_xludf.IMAGE("https://edmondsonsupply.com/cdn/shop/files/85616_kit.jpg?v=1689873488")</f>
        <v/>
      </c>
      <c r="H2978">
        <f>_xludf.IMAGE("https://m.media-amazon.com/images/I/51oASlfAJbS._AC_UL320_.jpg")</f>
        <v/>
      </c>
      <c r="K2978" t="inlineStr">
        <is>
          <t>19.97</t>
        </is>
      </c>
      <c r="L2978" t="n">
        <v>12.76</v>
      </c>
      <c r="M2978" s="1" t="inlineStr">
        <is>
          <t>-36.10%</t>
        </is>
      </c>
      <c r="N2978" s="1" t="n">
        <v>137.58</v>
      </c>
      <c r="O2978" t="n">
        <v>4.7</v>
      </c>
      <c r="P2978" t="n">
        <v>89</v>
      </c>
      <c r="R2978" t="inlineStr">
        <is>
          <t>InStock</t>
        </is>
      </c>
      <c r="S2978" t="inlineStr">
        <is>
          <t>27.98</t>
        </is>
      </c>
      <c r="T2978" t="inlineStr">
        <is>
          <t>8018843861208</t>
        </is>
      </c>
    </row>
    <row r="2979" ht="87" customHeight="1">
      <c r="A2979" s="2">
        <f>HYPERLINK("https://edmondsonsupply.com/collections/hvac/products/milwaukee-48-11-2430-m12%E2%84%A2-redlithium%E2%84%A2-3-0-compact-battery-pack", "https://edmondsonsupply.com/collections/hvac/products/milwaukee-48-11-2430-m12%E2%84%A2-redlithium%E2%84%A2-3-0-compact-battery-pack")</f>
        <v/>
      </c>
      <c r="B2979" s="2">
        <f>HYPERLINK("https://edmondsonsupply.com/products/milwaukee-48-11-2430-m12%e2%84%a2-redlithium%e2%84%a2-3-0-compact-battery-pack", "https://edmondsonsupply.com/products/milwaukee-48-11-2430-m12%e2%84%a2-redlithium%e2%84%a2-3-0-compact-battery-pack")</f>
        <v/>
      </c>
      <c r="C2979" t="inlineStr">
        <is>
          <t>Milwaukee 48-11-2430 M12™ REDLITHIUM™ 3.0 Compact Battery Pack</t>
        </is>
      </c>
      <c r="D2979" t="inlineStr">
        <is>
          <t>Milwaukee Electric Tool 48-11-2430 M12 Redlithium 3.0 Compact Battery Pack</t>
        </is>
      </c>
      <c r="E2979" s="2">
        <f>HYPERLINK("https://www.amazon.com/Milwaukee-Electric-48-11-2430-Redlithium-Compact/dp/B01M4LEIPF/ref=sr_1_1?keywords=Milwaukee+48-11-2430+M12%E2%84%A2+REDLITHIUM%E2%84%A2+3.0+Compact+Battery+Pack&amp;qid=1694734812&amp;sr=8-1", "https://www.amazon.com/Milwaukee-Electric-48-11-2430-Redlithium-Compact/dp/B01M4LEIPF/ref=sr_1_1?keywords=Milwaukee+48-11-2430+M12%E2%84%A2+REDLITHIUM%E2%84%A2+3.0+Compact+Battery+Pack&amp;qid=1694734812&amp;sr=8-1")</f>
        <v/>
      </c>
      <c r="F2979" t="inlineStr">
        <is>
          <t>B01M4LEIPF</t>
        </is>
      </c>
      <c r="G2979">
        <f>_xlfn.IMAGE("https://edmondsonsupply.com/cdn/shop/products/48-11-2430.png?v=1587142488")</f>
        <v/>
      </c>
      <c r="H2979">
        <f>_xlfn.IMAGE("https://m.media-amazon.com/images/I/61f9ucOtdML._AC_UL320_.jpg")</f>
        <v/>
      </c>
      <c r="K2979" t="inlineStr">
        <is>
          <t>69.0</t>
        </is>
      </c>
      <c r="L2979" t="n">
        <v>43.99</v>
      </c>
      <c r="M2979" s="1" t="inlineStr">
        <is>
          <t>-36.25%</t>
        </is>
      </c>
      <c r="N2979" s="7" t="n">
        <v>137.48</v>
      </c>
      <c r="O2979" t="n">
        <v>4.8</v>
      </c>
      <c r="P2979" t="n">
        <v>456</v>
      </c>
      <c r="R2979" t="inlineStr">
        <is>
          <t>InStock</t>
        </is>
      </c>
      <c r="S2979" t="inlineStr">
        <is>
          <t>117.0</t>
        </is>
      </c>
      <c r="T2979" t="inlineStr">
        <is>
          <t>4385431912548</t>
        </is>
      </c>
    </row>
    <row r="2980" hidden="1" ht="15.75" customHeight="1">
      <c r="A2980" s="2">
        <f>HYPERLINK("https://edmondsonsupply.com/collections/hvac/products/nu-calgon-4185-15-condensate-pan-gel-tabs-15-ton", "https://edmondsonsupply.com/collections/hvac/products/nu-calgon-4185-15-condensate-pan-gel-tabs-15-ton")</f>
        <v/>
      </c>
      <c r="B2980" s="2">
        <f>HYPERLINK("https://edmondsonsupply.com/products/nu-calgon-4185-15-condensate-pan-gel-tabs-15-ton", "https://edmondsonsupply.com/products/nu-calgon-4185-15-condensate-pan-gel-tabs-15-ton")</f>
        <v/>
      </c>
      <c r="C2980" t="inlineStr">
        <is>
          <t>Nu-Calgon 4185-15 Condensate Pan Gel Tab, 15 ton</t>
        </is>
      </c>
      <c r="D2980" t="inlineStr">
        <is>
          <t>(4) Pack/Nu-Calgon Gel-Tab # 4185-03, Condensate Pan Treatment up to 3 Tons</t>
        </is>
      </c>
      <c r="E2980" s="2">
        <f>HYPERLINK("https://www.amazon.com/Nu-Calgon-Gel-Tab-4185-03-Condensate-Treatment/dp/B07W43TC9Y/ref=sr_1_3?keywords=Nu-Calgon+4185-15+Condensate+Pan+Gel+Tab%2C+15+ton&amp;qid=1694734758&amp;sr=8-3", "https://www.amazon.com/Nu-Calgon-Gel-Tab-4185-03-Condensate-Treatment/dp/B07W43TC9Y/ref=sr_1_3?keywords=Nu-Calgon+4185-15+Condensate+Pan+Gel+Tab%2C+15+ton&amp;qid=1694734758&amp;sr=8-3")</f>
        <v/>
      </c>
      <c r="F2980" t="inlineStr">
        <is>
          <t>B07W43TC9Y</t>
        </is>
      </c>
      <c r="G2980">
        <f>_xludf.IMAGE("https://edmondsonsupply.com/cdn/shop/products/4185-15.jpg?v=1659378611")</f>
        <v/>
      </c>
      <c r="H2980">
        <f>_xludf.IMAGE("https://m.media-amazon.com/images/I/517t52u7LXL._AC_UY218_.jpg")</f>
        <v/>
      </c>
      <c r="K2980" t="inlineStr">
        <is>
          <t>18.49</t>
        </is>
      </c>
      <c r="L2980" t="n">
        <v>11.7</v>
      </c>
      <c r="M2980" s="1" t="inlineStr">
        <is>
          <t>-36.72%</t>
        </is>
      </c>
      <c r="N2980" s="1" t="n">
        <v>136.88</v>
      </c>
      <c r="O2980" t="n">
        <v>5</v>
      </c>
      <c r="P2980" t="n">
        <v>3</v>
      </c>
      <c r="R2980" t="inlineStr">
        <is>
          <t>InStock</t>
        </is>
      </c>
      <c r="S2980" t="inlineStr">
        <is>
          <t>27.68</t>
        </is>
      </c>
      <c r="T2980" t="inlineStr">
        <is>
          <t>7769420529880</t>
        </is>
      </c>
    </row>
    <row r="2981" ht="87" customHeight="1">
      <c r="A2981" s="2">
        <f>HYPERLINK("https://edmondsonsupply.com/collections/hvac/products/5-2-1-compressor-saver-csru2", "https://edmondsonsupply.com/collections/hvac/products/5-2-1-compressor-saver-csru2")</f>
        <v/>
      </c>
      <c r="B2981" s="2">
        <f>HYPERLINK("https://edmondsonsupply.com/products/5-2-1-compressor-saver-csru2", "https://edmondsonsupply.com/products/5-2-1-compressor-saver-csru2")</f>
        <v/>
      </c>
      <c r="C2981" t="inlineStr">
        <is>
          <t>5-2-1 CSRU2 Compressor Saver, 3-1/2 to 5 Tons</t>
        </is>
      </c>
      <c r="D2981" t="inlineStr">
        <is>
          <t>CSRU1 CSR-U1 AC Hard Start Kit - DIY eTips Included - Compatible with 1 to 3 Ton AC Units - Upgraded 5-2-1 Compressor Saver Starter Kit - Easy to Install - Durable Materials</t>
        </is>
      </c>
      <c r="E2981" s="2">
        <f>HYPERLINK("https://www.amazon.com/CSR-U1-Hard-Start-Device-3-Ton-PartsBroz/dp/B07V3TLLV7/ref=sr_1_17?keywords=5-2-1+CSRU2+Compressor+Saver%2C+3-1%2F2+to+5+Tons&amp;qid=1694734823&amp;sr=8-17", "https://www.amazon.com/CSR-U1-Hard-Start-Device-3-Ton-PartsBroz/dp/B07V3TLLV7/ref=sr_1_17?keywords=5-2-1+CSRU2+Compressor+Saver%2C+3-1%2F2+to+5+Tons&amp;qid=1694734823&amp;sr=8-17")</f>
        <v/>
      </c>
      <c r="F2981" t="inlineStr">
        <is>
          <t>B07V3TLLV7</t>
        </is>
      </c>
      <c r="G2981">
        <f>_xlfn.IMAGE("https://edmondsonsupply.com/cdn/shop/products/CSRU2.jpg?v=1633030087")</f>
        <v/>
      </c>
      <c r="H2981">
        <f>_xlfn.IMAGE("https://m.media-amazon.com/images/I/71WEqmsrVeS._AC_UL320_.jpg")</f>
        <v/>
      </c>
      <c r="K2981" t="inlineStr">
        <is>
          <t>42.24</t>
        </is>
      </c>
      <c r="L2981" t="n">
        <v>26.64</v>
      </c>
      <c r="M2981" s="1" t="inlineStr">
        <is>
          <t>-36.93%</t>
        </is>
      </c>
      <c r="N2981" s="7" t="n">
        <v>136.41</v>
      </c>
      <c r="O2981" t="n">
        <v>4.3</v>
      </c>
      <c r="P2981" t="n">
        <v>142</v>
      </c>
      <c r="R2981" t="inlineStr">
        <is>
          <t>InStock</t>
        </is>
      </c>
      <c r="S2981" t="inlineStr">
        <is>
          <t>48.74</t>
        </is>
      </c>
      <c r="T2981" t="inlineStr">
        <is>
          <t>3561347317860</t>
        </is>
      </c>
    </row>
    <row r="2982" ht="87" customHeight="1">
      <c r="A2982" s="2">
        <f>HYPERLINK("https://edmondsonsupply.com/collections/hvac/products/wiha-tools-66981-13-piece-ball-end-color-coded-hex-l-key-set-inch", "https://edmondsonsupply.com/collections/hvac/products/wiha-tools-66981-13-piece-ball-end-color-coded-hex-l-key-set-inch")</f>
        <v/>
      </c>
      <c r="B2982" s="2">
        <f>HYPERLINK("https://edmondsonsupply.com/products/wiha-tools-66981-13-piece-ball-end-color-coded-hex-l-key-set-inch", "https://edmondsonsupply.com/products/wiha-tools-66981-13-piece-ball-end-color-coded-hex-l-key-set-inch")</f>
        <v/>
      </c>
      <c r="C2982" t="inlineStr">
        <is>
          <t>Wiha Tools 66981 13 Piece Ball End Color Coded Hex L-Key Set - Inch</t>
        </is>
      </c>
      <c r="D2982" t="inlineStr">
        <is>
          <t>Wiha 9 Piece Ball End Color Coded Hex L-Key Set - Metric</t>
        </is>
      </c>
      <c r="E2982" s="2">
        <f>HYPERLINK("https://www.amazon.com/Piece-Ball-Color-Coded-L-Key/dp/B085FVGH36/ref=sr_1_31?keywords=Wiha+Tools+66981+13+Piece+Ball+End+Color+Coded+Hex+L-Key+Set+-+Inch&amp;qid=1694734873&amp;sr=8-31", "https://www.amazon.com/Piece-Ball-Color-Coded-L-Key/dp/B085FVGH36/ref=sr_1_31?keywords=Wiha+Tools+66981+13+Piece+Ball+End+Color+Coded+Hex+L-Key+Set+-+Inch&amp;qid=1694734873&amp;sr=8-31")</f>
        <v/>
      </c>
      <c r="F2982" t="inlineStr">
        <is>
          <t>B085FVGH36</t>
        </is>
      </c>
      <c r="G2982">
        <f>_xlfn.IMAGE("https://edmondsonsupply.com/cdn/shop/files/d46e6f2ecefba25ae78922fd12be8f1dc56b6ee6_1000x_1d9d5bc7-c590-4e82-817a-f70a00b88949.webp?v=1690834995")</f>
        <v/>
      </c>
      <c r="H2982">
        <f>_xlfn.IMAGE("https://m.media-amazon.com/images/I/61tB6cBMhEL._AC_UL320_.jpg")</f>
        <v/>
      </c>
      <c r="K2982" t="inlineStr">
        <is>
          <t>53.42</t>
        </is>
      </c>
      <c r="L2982" t="n">
        <v>33.64</v>
      </c>
      <c r="M2982" s="1" t="inlineStr">
        <is>
          <t>-37.03%</t>
        </is>
      </c>
      <c r="N2982" s="7" t="n">
        <v>136.41</v>
      </c>
      <c r="O2982" t="n">
        <v>4.8</v>
      </c>
      <c r="P2982" t="n">
        <v>403</v>
      </c>
      <c r="R2982" t="inlineStr">
        <is>
          <t>InStock</t>
        </is>
      </c>
      <c r="S2982" t="inlineStr">
        <is>
          <t>71.22</t>
        </is>
      </c>
      <c r="T2982" t="inlineStr">
        <is>
          <t>8023253450968</t>
        </is>
      </c>
    </row>
    <row r="2983" ht="87" customHeight="1">
      <c r="A2983" s="2">
        <f>HYPERLINK("https://edmondsonsupply.com/collections/hvac/products/pro1-iaq-t705-digital-7-day-or-5-1-1-programmable-thermostat-1-heat-1-cool", "https://edmondsonsupply.com/collections/hvac/products/pro1-iaq-t705-digital-7-day-or-5-1-1-programmable-thermostat-1-heat-1-cool")</f>
        <v/>
      </c>
      <c r="B2983" s="2">
        <f>HYPERLINK("https://edmondsonsupply.com/products/pro1-iaq-t705-digital-7-day-or-5-1-1-programmable-thermostat-1-heat-1-cool", "https://edmondsonsupply.com/products/pro1-iaq-t705-digital-7-day-or-5-1-1-programmable-thermostat-1-heat-1-cool")</f>
        <v/>
      </c>
      <c r="C2983" t="inlineStr">
        <is>
          <t>PRO1 IAQ T705 Digital 7-Day or 5/1/1 Programmable Thermostat, 1 Heat - 1 Cool</t>
        </is>
      </c>
      <c r="D2983" t="inlineStr">
        <is>
          <t>ELECTECK 5-1-1 Day Programmable Digital Thermostat for Home, up to 1 Heat/1 Cool with Large LCD Display, Compatible with Single Stage Electrical and Gas System, White</t>
        </is>
      </c>
      <c r="E2983" s="2">
        <f>HYPERLINK("https://www.amazon.com/ELECTECK-Thermostat-Programmable-Compatible-Electrical/dp/B07ZVW1M9X/ref=sr_1_26?keywords=PRO1+IAQ+T705+Digital+7-Day+or+5%2F1%2F1+Programmable+Thermostat%2C+1+Heat+-+1+Cool&amp;qid=1694734878&amp;sr=8-26", "https://www.amazon.com/ELECTECK-Thermostat-Programmable-Compatible-Electrical/dp/B07ZVW1M9X/ref=sr_1_26?keywords=PRO1+IAQ+T705+Digital+7-Day+or+5%2F1%2F1+Programmable+Thermostat%2C+1+Heat+-+1+Cool&amp;qid=1694734878&amp;sr=8-26")</f>
        <v/>
      </c>
      <c r="F2983" t="inlineStr">
        <is>
          <t>B07ZVW1M9X</t>
        </is>
      </c>
      <c r="G2983">
        <f>_xlfn.IMAGE("https://edmondsonsupply.com/cdn/shop/files/pro1-t705-hero.png?v=1690139090")</f>
        <v/>
      </c>
      <c r="H2983">
        <f>_xlfn.IMAGE("https://m.media-amazon.com/images/I/81KbXEV7WhL._AC_UL320_.jpg")</f>
        <v/>
      </c>
      <c r="K2983" t="inlineStr">
        <is>
          <t>42.97</t>
        </is>
      </c>
      <c r="L2983" t="n">
        <v>26.99</v>
      </c>
      <c r="M2983" s="1" t="inlineStr">
        <is>
          <t>-37.19%</t>
        </is>
      </c>
      <c r="N2983" s="7" t="n">
        <v>135.6</v>
      </c>
      <c r="O2983" t="n">
        <v>4.5</v>
      </c>
      <c r="P2983" t="n">
        <v>2295</v>
      </c>
      <c r="R2983" t="inlineStr">
        <is>
          <t>InStock</t>
        </is>
      </c>
      <c r="S2983" t="inlineStr">
        <is>
          <t>100.27</t>
        </is>
      </c>
      <c r="T2983" t="inlineStr">
        <is>
          <t>8019962003672</t>
        </is>
      </c>
    </row>
    <row r="2984" ht="87" customHeight="1">
      <c r="A2984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2984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2984" t="inlineStr">
        <is>
          <t>Diablo Tools DMAMXCC5050 4 in. x 7 in. SDS-Max Carbide Tipped Core Bit</t>
        </is>
      </c>
      <c r="D2984" t="inlineStr">
        <is>
          <t>Diablo 2 in. x 7 in. SDS-Max Carbide Tipped Core Bit</t>
        </is>
      </c>
      <c r="E2984" s="2">
        <f>HYPERLINK("https://www.amazon.com/Diablo-DMAMXCC5010-SDS-Max-Carbide-Tipped/dp/B089M8SC7R/ref=sr_1_3?keywords=Diablo+Tools+DMAMXCC5050+4+in.+x+7+in.+SDS-Max+Carbide+Tipped+Core+Bit&amp;qid=1694734908&amp;sr=8-3", "https://www.amazon.com/Diablo-DMAMXCC5010-SDS-Max-Carbide-Tipped/dp/B089M8SC7R/ref=sr_1_3?keywords=Diablo+Tools+DMAMXCC5050+4+in.+x+7+in.+SDS-Max+Carbide+Tipped+Core+Bit&amp;qid=1694734908&amp;sr=8-3")</f>
        <v/>
      </c>
      <c r="F2984" t="inlineStr">
        <is>
          <t>B089M8SC7R</t>
        </is>
      </c>
      <c r="G2984">
        <f>_xlfn.IMAGE("https://edmondsonsupply.com/cdn/shop/files/yghx7uqdjxchri5fikny.webp?v=1686586834")</f>
        <v/>
      </c>
      <c r="H2984">
        <f>_xlfn.IMAGE("https://m.media-amazon.com/images/I/61bqzHyefdL._AC_UL320_.jpg")</f>
        <v/>
      </c>
      <c r="K2984" t="inlineStr">
        <is>
          <t>151.4</t>
        </is>
      </c>
      <c r="L2984" t="n">
        <v>94.98999999999999</v>
      </c>
      <c r="M2984" s="1" t="inlineStr">
        <is>
          <t>-37.26%</t>
        </is>
      </c>
      <c r="N2984" s="7" t="n">
        <v>135.53</v>
      </c>
      <c r="O2984" t="n">
        <v>4.1</v>
      </c>
      <c r="P2984" t="n">
        <v>3</v>
      </c>
      <c r="R2984" t="inlineStr">
        <is>
          <t>InStock</t>
        </is>
      </c>
      <c r="S2984" t="inlineStr">
        <is>
          <t>240.33</t>
        </is>
      </c>
      <c r="T2984" t="inlineStr">
        <is>
          <t>8004510908632</t>
        </is>
      </c>
    </row>
    <row r="2985" hidden="1" ht="15.75" customHeight="1">
      <c r="A2985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2985" s="2">
        <f>HYPERLINK("https://edmondsonsupply.com/products/klein-tools-32314-14-in-1-precision-screwdriver-nut-driver", "https://edmondsonsupply.com/products/klein-tools-32314-14-in-1-precision-screwdriver-nut-driver")</f>
        <v/>
      </c>
      <c r="C2985" t="inlineStr">
        <is>
          <t>Klein Tools 32314 14-in-1 Precision Screwdriver/ Nut Driver</t>
        </is>
      </c>
      <c r="D2985" t="inlineStr">
        <is>
          <t>Klein Tools 32476 5-In-1 Multi-Bit Screwdriver / Nut Driver with 2 Slotted, 2 Philips, and 1 Nut Driver Tip</t>
        </is>
      </c>
      <c r="E2985" s="2">
        <f>HYPERLINK("https://www.amazon.com/Screwdriver-Driver-Yellow-Klein-32476/dp/B000RFPDXC/ref=sr_1_39?keywords=Klein+Tools+32314+14-in-1+Precision+Screwdriver%2F+Nut+Driver&amp;qid=1694734697&amp;sr=8-39", "https://www.amazon.com/Screwdriver-Driver-Yellow-Klein-32476/dp/B000RFPDXC/ref=sr_1_39?keywords=Klein+Tools+32314+14-in-1+Precision+Screwdriver%2F+Nut+Driver&amp;qid=1694734697&amp;sr=8-39")</f>
        <v/>
      </c>
      <c r="F2985" t="inlineStr">
        <is>
          <t>B000RFPDXC</t>
        </is>
      </c>
      <c r="G2985">
        <f>_xludf.IMAGE("https://edmondsonsupply.com/cdn/shop/products/32314.jpg?v=1646593726")</f>
        <v/>
      </c>
      <c r="H2985">
        <f>_xludf.IMAGE("https://m.media-amazon.com/images/I/51ZkueHIEQL._AC_UL320_.jpg")</f>
        <v/>
      </c>
      <c r="K2985" t="inlineStr">
        <is>
          <t>15.97</t>
        </is>
      </c>
      <c r="L2985" t="n">
        <v>9.98</v>
      </c>
      <c r="M2985" s="1" t="inlineStr">
        <is>
          <t>-37.51%</t>
        </is>
      </c>
      <c r="N2985" s="1" t="n">
        <v>135.41</v>
      </c>
      <c r="O2985" t="n">
        <v>4.8</v>
      </c>
      <c r="P2985" t="n">
        <v>1240</v>
      </c>
      <c r="R2985" t="inlineStr">
        <is>
          <t>InStock</t>
        </is>
      </c>
      <c r="S2985" t="inlineStr">
        <is>
          <t>22.38</t>
        </is>
      </c>
      <c r="T2985" t="inlineStr">
        <is>
          <t>7626984947928</t>
        </is>
      </c>
    </row>
    <row r="2986" ht="87" customHeight="1">
      <c r="A2986" s="2">
        <f>HYPERLINK("https://edmondsonsupply.com/collections/hvac/products/wiha-tools-32088-8-piece-insulated-picofinish-precision-screwdriver-set", "https://edmondsonsupply.com/collections/hvac/products/wiha-tools-32088-8-piece-insulated-picofinish-precision-screwdriver-set")</f>
        <v/>
      </c>
      <c r="B2986" s="2">
        <f>HYPERLINK("https://edmondsonsupply.com/products/wiha-tools-32088-8-piece-insulated-picofinish-precision-screwdriver-set", "https://edmondsonsupply.com/products/wiha-tools-32088-8-piece-insulated-picofinish-precision-screwdriver-set")</f>
        <v/>
      </c>
      <c r="C2986" t="inlineStr">
        <is>
          <t>Wiha Tools 32088 8 Piece Insulated PicoFinish Precision Screwdriver Set</t>
        </is>
      </c>
      <c r="D2986" t="inlineStr">
        <is>
          <t>Wiha 32085 5 Piece Insulated PicoFinish Precision Screwdriver Set</t>
        </is>
      </c>
      <c r="E2986" s="2">
        <f>HYPERLINK("https://www.amazon.com/Wiha-32085-Insulated-Slotted-Phillips/dp/B00SZ66CSA/ref=sr_1_4?keywords=Wiha+Tools+32088+8+Piece+Insulated+PicoFinish+Precision+Screwdriver+Set&amp;qid=1694734876&amp;sr=8-4", "https://www.amazon.com/Wiha-32085-Insulated-Slotted-Phillips/dp/B00SZ66CSA/ref=sr_1_4?keywords=Wiha+Tools+32088+8+Piece+Insulated+PicoFinish+Precision+Screwdriver+Set&amp;qid=1694734876&amp;sr=8-4")</f>
        <v/>
      </c>
      <c r="F2986" t="inlineStr">
        <is>
          <t>B00SZ66CSA</t>
        </is>
      </c>
      <c r="G2986">
        <f>_xlfn.IMAGE("https://edmondsonsupply.com/cdn/shop/files/ah1u5hviqxts6itxix4k_1000x_5285634c-51ad-48c4-987e-f1113aaa9ab9.webp?v=1690905519")</f>
        <v/>
      </c>
      <c r="H2986">
        <f>_xlfn.IMAGE("https://m.media-amazon.com/images/I/61DcHWJt+2L._AC_UL320_.jpg")</f>
        <v/>
      </c>
      <c r="K2986" t="inlineStr">
        <is>
          <t>64.55</t>
        </is>
      </c>
      <c r="L2986" t="n">
        <v>40.29</v>
      </c>
      <c r="M2986" s="1" t="inlineStr">
        <is>
          <t>-37.58%</t>
        </is>
      </c>
      <c r="N2986" s="7" t="n">
        <v>135.37</v>
      </c>
      <c r="O2986" t="n">
        <v>4.7</v>
      </c>
      <c r="P2986" t="n">
        <v>863</v>
      </c>
      <c r="R2986" t="inlineStr">
        <is>
          <t>InStock</t>
        </is>
      </c>
      <c r="S2986" t="inlineStr">
        <is>
          <t>86.07</t>
        </is>
      </c>
      <c r="T2986" t="inlineStr">
        <is>
          <t>8023413326040</t>
        </is>
      </c>
    </row>
    <row r="2987" ht="87" customHeight="1">
      <c r="A2987" s="2">
        <f>HYPERLINK("https://edmondsonsupply.com/collections/hvac/products/diablo-tools-dou125cgp3-1-1-4-in-universal-fit-carbide-oscillating-blades-for-general-purpose-cuts-3-pack", "https://edmondsonsupply.com/collections/hvac/products/diablo-tools-dou125cgp3-1-1-4-in-universal-fit-carbide-oscillating-blades-for-general-purpose-cuts-3-pack")</f>
        <v/>
      </c>
      <c r="B2987" s="2">
        <f>HYPERLINK("https://edmondsonsupply.com/products/diablo-tools-dou125cgp3-1-1-4-in-universal-fit-carbide-oscillating-blades-for-general-purpose-cuts-3-pack", "https://edmondsonsupply.com/products/diablo-tools-dou125cgp3-1-1-4-in-universal-fit-carbide-oscillating-blades-for-general-purpose-cuts-3-pack")</f>
        <v/>
      </c>
      <c r="C2987" t="inlineStr">
        <is>
          <t>Diablo Tools DOU125CGP3 1-1/4 in. Universal Fit Carbide Oscillating Blades for General Purpose Cuts (3 Pack)</t>
        </is>
      </c>
      <c r="D2987" t="inlineStr">
        <is>
          <t>Diablo 1-1/4" Universal Carbide Oscillating Blades for General Purpose Cuts 3pk</t>
        </is>
      </c>
      <c r="E2987" s="2">
        <f>HYPERLINK("https://www.amazon.com/Diablo-Freud-DOU125CGP3-Universal-Oscillating/dp/B089KW6C8Q/ref=sr_1_4?keywords=Diablo+Tools+DOU125CGP3+1-1%2F4+in.+Universal+Fit+Carbide+Oscillating+Blades+for+General+Purpose+Cuts+%283+Pack%29&amp;qid=1694734917&amp;sr=8-4", "https://www.amazon.com/Diablo-Freud-DOU125CGP3-Universal-Oscillating/dp/B089KW6C8Q/ref=sr_1_4?keywords=Diablo+Tools+DOU125CGP3+1-1%2F4+in.+Universal+Fit+Carbide+Oscillating+Blades+for+General+Purpose+Cuts+%283+Pack%29&amp;qid=1694734917&amp;sr=8-4")</f>
        <v/>
      </c>
      <c r="F2987" t="inlineStr">
        <is>
          <t>B089KW6C8Q</t>
        </is>
      </c>
      <c r="G2987">
        <f>_xlfn.IMAGE("https://edmondsonsupply.com/cdn/shop/files/htobgrjt150mygkkk6to_1.webp?v=1686147205")</f>
        <v/>
      </c>
      <c r="H2987">
        <f>_xlfn.IMAGE("https://m.media-amazon.com/images/I/71lNEMXVnHL._AC_UL320_.jpg")</f>
        <v/>
      </c>
      <c r="K2987" t="inlineStr">
        <is>
          <t>44.97</t>
        </is>
      </c>
      <c r="L2987" t="n">
        <v>27.99</v>
      </c>
      <c r="M2987" s="1" t="inlineStr">
        <is>
          <t>-37.76%</t>
        </is>
      </c>
      <c r="N2987" s="7" t="n">
        <v>135.34</v>
      </c>
      <c r="O2987" t="n">
        <v>4.5</v>
      </c>
      <c r="P2987" t="n">
        <v>139</v>
      </c>
      <c r="R2987" t="inlineStr">
        <is>
          <t>InStock</t>
        </is>
      </c>
      <c r="S2987" t="inlineStr">
        <is>
          <t>55.96</t>
        </is>
      </c>
      <c r="T2987" t="inlineStr">
        <is>
          <t>8002357264600</t>
        </is>
      </c>
    </row>
    <row r="2988" ht="87" customHeight="1">
      <c r="A2988" s="2">
        <f>HYPERLINK("https://edmondsonsupply.com/collections/hvac/products/wiha-tools-32088-8-piece-insulated-picofinish-precision-screwdriver-set", "https://edmondsonsupply.com/collections/hvac/products/wiha-tools-32088-8-piece-insulated-picofinish-precision-screwdriver-set")</f>
        <v/>
      </c>
      <c r="B2988" s="2">
        <f>HYPERLINK("https://edmondsonsupply.com/products/wiha-tools-32088-8-piece-insulated-picofinish-precision-screwdriver-set", "https://edmondsonsupply.com/products/wiha-tools-32088-8-piece-insulated-picofinish-precision-screwdriver-set")</f>
        <v/>
      </c>
      <c r="C2988" t="inlineStr">
        <is>
          <t>Wiha Tools 32088 8 Piece Insulated PicoFinish Precision Screwdriver Set</t>
        </is>
      </c>
      <c r="D2988" t="inlineStr">
        <is>
          <t>Wiha 26187 8 Piece PicoFinish Precision Screwdriver Set, Slotted and Phillips</t>
        </is>
      </c>
      <c r="E2988" s="2">
        <f>HYPERLINK("https://www.amazon.com/Wiha-26187-PicoFinish-Precision-Screwdriver/dp/B084DZ71RX/ref=sr_1_5?keywords=Wiha+Tools+32088+8+Piece+Insulated+PicoFinish+Precision+Screwdriver+Set&amp;qid=1694734876&amp;sr=8-5", "https://www.amazon.com/Wiha-26187-PicoFinish-Precision-Screwdriver/dp/B084DZ71RX/ref=sr_1_5?keywords=Wiha+Tools+32088+8+Piece+Insulated+PicoFinish+Precision+Screwdriver+Set&amp;qid=1694734876&amp;sr=8-5")</f>
        <v/>
      </c>
      <c r="F2988" t="inlineStr">
        <is>
          <t>B084DZ71RX</t>
        </is>
      </c>
      <c r="G2988">
        <f>_xlfn.IMAGE("https://edmondsonsupply.com/cdn/shop/files/ah1u5hviqxts6itxix4k_1000x_5285634c-51ad-48c4-987e-f1113aaa9ab9.webp?v=1690905519")</f>
        <v/>
      </c>
      <c r="H2988">
        <f>_xlfn.IMAGE("https://m.media-amazon.com/images/I/71RtGHOFZ3L._AC_UL320_.jpg")</f>
        <v/>
      </c>
      <c r="K2988" t="inlineStr">
        <is>
          <t>64.55</t>
        </is>
      </c>
      <c r="L2988" t="n">
        <v>40.13</v>
      </c>
      <c r="M2988" s="1" t="inlineStr">
        <is>
          <t>-37.83%</t>
        </is>
      </c>
      <c r="N2988" s="7" t="n">
        <v>134.51</v>
      </c>
      <c r="O2988" t="n">
        <v>4.6</v>
      </c>
      <c r="P2988" t="n">
        <v>40</v>
      </c>
      <c r="R2988" t="inlineStr">
        <is>
          <t>InStock</t>
        </is>
      </c>
      <c r="S2988" t="inlineStr">
        <is>
          <t>86.07</t>
        </is>
      </c>
      <c r="T2988" t="inlineStr">
        <is>
          <t>8023413326040</t>
        </is>
      </c>
    </row>
    <row r="2989" ht="87" customHeight="1">
      <c r="A2989" s="2">
        <f>HYPERLINK("https://edmondsonsupply.com/collections/hvac/products/fresh-aire-uv-tuvp-er-pco-fresh-aire-uv-power-supply", "https://edmondsonsupply.com/collections/hvac/products/fresh-aire-uv-tuvp-er-pco-fresh-aire-uv-power-supply")</f>
        <v/>
      </c>
      <c r="B2989" s="2">
        <f>HYPERLINK("https://edmondsonsupply.com/products/fresh-aire-uv-tuvp-er-pco-fresh-aire-uv-power-supply", "https://edmondsonsupply.com/products/fresh-aire-uv-tuvp-er-pco-fresh-aire-uv-power-supply")</f>
        <v/>
      </c>
      <c r="C2989" t="inlineStr">
        <is>
          <t>Fresh-Aire UV TUVP-ER-PCO Fresh Aire UV Power Supply</t>
        </is>
      </c>
      <c r="D2989" t="inlineStr">
        <is>
          <t>LSE Lighting TUVL-215 TUVL-200-E 17W Fresh-Aire Equivalent Replacement UVC Lamp 15" 2 Year Life Span | TUV-APCO-DER2 | TUV-APCO-ER2 | TUV-APCO-SI2P | TUV-APCO-DI2P</t>
        </is>
      </c>
      <c r="E2989" s="2">
        <f>HYPERLINK("https://www.amazon.com/LSE-Lighting-TUV-APCO-DER2-TUV-APCO-SI2P-TUV-APCO-DI2P/dp/B0BFSSHTT5/ref=sr_1_4?keywords=Fresh-Aire+UV+TUVP-ER-PCO+Fresh+Aire+UV+Power+Supply&amp;qid=1694734752&amp;sr=8-4", "https://www.amazon.com/LSE-Lighting-TUV-APCO-DER2-TUV-APCO-SI2P-TUV-APCO-DI2P/dp/B0BFSSHTT5/ref=sr_1_4?keywords=Fresh-Aire+UV+TUVP-ER-PCO+Fresh+Aire+UV+Power+Supply&amp;qid=1694734752&amp;sr=8-4")</f>
        <v/>
      </c>
      <c r="F2989" t="inlineStr">
        <is>
          <t>B0BFSSHTT5</t>
        </is>
      </c>
      <c r="G2989">
        <f>_xlfn.IMAGE("https://edmondsonsupply.com/cdn/shop/files/TUVP-ER-PCO.png?v=1692223340")</f>
        <v/>
      </c>
      <c r="H2989">
        <f>_xlfn.IMAGE("https://m.media-amazon.com/images/I/31MNaScLYrS._AC_UL320_.jpg")</f>
        <v/>
      </c>
      <c r="K2989" t="inlineStr">
        <is>
          <t>77.22</t>
        </is>
      </c>
      <c r="L2989" t="n">
        <v>48</v>
      </c>
      <c r="M2989" s="1" t="inlineStr">
        <is>
          <t>-37.84%</t>
        </is>
      </c>
      <c r="N2989" s="7" t="n">
        <v>134.14</v>
      </c>
      <c r="O2989" t="n">
        <v>4.4</v>
      </c>
      <c r="P2989" t="n">
        <v>26</v>
      </c>
      <c r="R2989" t="inlineStr">
        <is>
          <t>InStock</t>
        </is>
      </c>
      <c r="S2989" t="inlineStr">
        <is>
          <t>undefined</t>
        </is>
      </c>
      <c r="T2989" t="inlineStr">
        <is>
          <t>8028105605336</t>
        </is>
      </c>
    </row>
    <row r="2990" ht="87" customHeight="1">
      <c r="A2990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2990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2990" t="inlineStr">
        <is>
          <t>Robertshaw 41-224 Hot Surface Furnace Ignitor</t>
        </is>
      </c>
      <c r="D2990" t="inlineStr">
        <is>
          <t>Robertshaw 41-411 Hot Surface Ignitor, Series</t>
        </is>
      </c>
      <c r="E2990" s="2">
        <f>HYPERLINK("https://www.amazon.com/Robertshaw-41-411-Hot-Surface-Ignitor/dp/B000VYOWWM/ref=sr_1_17?keywords=Robertshaw+41-224+Hot+Surface+Furnace+Ignitor&amp;qid=1694734847&amp;sr=8-17", "https://www.amazon.com/Robertshaw-41-411-Hot-Surface-Ignitor/dp/B000VYOWWM/ref=sr_1_17?keywords=Robertshaw+41-224+Hot+Surface+Furnace+Ignitor&amp;qid=1694734847&amp;sr=8-17")</f>
        <v/>
      </c>
      <c r="F2990" t="inlineStr">
        <is>
          <t>B000VYOWWM</t>
        </is>
      </c>
      <c r="G2990">
        <f>_xlfn.IMAGE("https://edmondsonsupply.com/cdn/shop/files/41-224.jpg?v=1694616534")</f>
        <v/>
      </c>
      <c r="H2990">
        <f>_xlfn.IMAGE("https://m.media-amazon.com/images/I/71qkMB3I4RL._AC_UL320_.jpg")</f>
        <v/>
      </c>
      <c r="K2990" t="inlineStr">
        <is>
          <t>41.78</t>
        </is>
      </c>
      <c r="L2990" t="n">
        <v>25.94</v>
      </c>
      <c r="M2990" s="1" t="inlineStr">
        <is>
          <t>-37.91%</t>
        </is>
      </c>
      <c r="N2990" s="7" t="n">
        <v>133.53</v>
      </c>
      <c r="O2990" t="n">
        <v>4.5</v>
      </c>
      <c r="P2990" t="n">
        <v>8</v>
      </c>
      <c r="R2990" t="inlineStr">
        <is>
          <t>InStock</t>
        </is>
      </c>
      <c r="S2990" t="inlineStr">
        <is>
          <t>undefined</t>
        </is>
      </c>
      <c r="T2990" t="inlineStr">
        <is>
          <t>8035179692248</t>
        </is>
      </c>
    </row>
    <row r="2991" hidden="1" ht="15.75" customHeight="1">
      <c r="A2991" s="2">
        <f>HYPERLINK("https://edmondsonsupply.com/collections/hvac/products/5-2-1-compressor-saver-csru2", "https://edmondsonsupply.com/collections/hvac/products/5-2-1-compressor-saver-csru2")</f>
        <v/>
      </c>
      <c r="B2991" s="2">
        <f>HYPERLINK("https://edmondsonsupply.com/products/5-2-1-compressor-saver-csru2", "https://edmondsonsupply.com/products/5-2-1-compressor-saver-csru2")</f>
        <v/>
      </c>
      <c r="C2991" t="inlineStr">
        <is>
          <t>5-2-1 CSRU2 Compressor Saver, 3-1/2 to 5 Tons</t>
        </is>
      </c>
      <c r="D2991" t="inlineStr">
        <is>
          <t>ANTOBLE CSRU2 Hard Start Capacitor Compatible with 5-2-1 CSR-U2 Compressor Saver HVAC Hard Start Kit for 3-1/2-4-5 Tons</t>
        </is>
      </c>
      <c r="E2991" s="2">
        <f>HYPERLINK("https://www.amazon.com/ANTOBLE-Capacitor-Compatible-CSR-U2-Compressor/dp/B0B7JKPQFL/ref=sr_1_18?keywords=5-2-1+CSRU2+Compressor+Saver%2C+3-1%2F2+to+5+Tons&amp;qid=1694734823&amp;sr=8-18", "https://www.amazon.com/ANTOBLE-Capacitor-Compatible-CSR-U2-Compressor/dp/B0B7JKPQFL/ref=sr_1_18?keywords=5-2-1+CSRU2+Compressor+Saver%2C+3-1%2F2+to+5+Tons&amp;qid=1694734823&amp;sr=8-18")</f>
        <v/>
      </c>
      <c r="F2991" t="inlineStr">
        <is>
          <t>B0B7JKPQFL</t>
        </is>
      </c>
      <c r="G2991">
        <f>_xludf.IMAGE("https://edmondsonsupply.com/cdn/shop/products/CSRU2.jpg?v=1633030087")</f>
        <v/>
      </c>
      <c r="H2991">
        <f>_xludf.IMAGE("https://m.media-amazon.com/images/I/71xf3IYFz0L._AC_UL320_.jpg")</f>
        <v/>
      </c>
      <c r="K2991" t="inlineStr">
        <is>
          <t>42.24</t>
        </is>
      </c>
      <c r="L2991" t="n">
        <v>25.99</v>
      </c>
      <c r="M2991" s="1" t="inlineStr">
        <is>
          <t>-38.47%</t>
        </is>
      </c>
      <c r="N2991" s="1" t="n">
        <v>133.48</v>
      </c>
      <c r="O2991" t="n">
        <v>3.7</v>
      </c>
      <c r="P2991" t="n">
        <v>18</v>
      </c>
      <c r="R2991" t="inlineStr">
        <is>
          <t>InStock</t>
        </is>
      </c>
      <c r="S2991" t="inlineStr">
        <is>
          <t>48.74</t>
        </is>
      </c>
      <c r="T2991" t="inlineStr">
        <is>
          <t>3561347317860</t>
        </is>
      </c>
    </row>
    <row r="2992" hidden="1" ht="15.75" customHeight="1">
      <c r="A2992" s="2">
        <f>HYPERLINK("https://edmondsonsupply.com/collections/hvac/products/5-2-1-compressor-saver-csru2", "https://edmondsonsupply.com/collections/hvac/products/5-2-1-compressor-saver-csru2")</f>
        <v/>
      </c>
      <c r="B2992" s="2">
        <f>HYPERLINK("https://edmondsonsupply.com/products/5-2-1-compressor-saver-csru2", "https://edmondsonsupply.com/products/5-2-1-compressor-saver-csru2")</f>
        <v/>
      </c>
      <c r="C2992" t="inlineStr">
        <is>
          <t>5-2-1 CSRU2 Compressor Saver, 3-1/2 to 5 Tons</t>
        </is>
      </c>
      <c r="D2992" t="inlineStr">
        <is>
          <t>CSRU2 CSR-U2 AC Hard Start Kit - DIY eTips Included - Compatible with 3.5- to 5-ton AC units - Upgraded 5-2-1 Compressor Saver Starter Kit - Easy to Install - Durable Materials</t>
        </is>
      </c>
      <c r="E2992" s="2">
        <f>HYPERLINK("https://www.amazon.com/CSR-U2-Hard-Start-Device-5-Ton-PartsBroz/dp/B07V3TL63Q/ref=sr_1_4?keywords=5-2-1+CSRU2+Compressor+Saver%2C+3-1%2F2+to+5+Tons&amp;qid=1694734823&amp;sr=8-4", "https://www.amazon.com/CSR-U2-Hard-Start-Device-5-Ton-PartsBroz/dp/B07V3TL63Q/ref=sr_1_4?keywords=5-2-1+CSRU2+Compressor+Saver%2C+3-1%2F2+to+5+Tons&amp;qid=1694734823&amp;sr=8-4")</f>
        <v/>
      </c>
      <c r="F2992" t="inlineStr">
        <is>
          <t>B07V3TL63Q</t>
        </is>
      </c>
      <c r="G2992">
        <f>_xludf.IMAGE("https://edmondsonsupply.com/cdn/shop/products/CSRU2.jpg?v=1633030087")</f>
        <v/>
      </c>
      <c r="H2992">
        <f>_xludf.IMAGE("https://m.media-amazon.com/images/I/71rrb8gap1S._AC_UL320_.jpg")</f>
        <v/>
      </c>
      <c r="K2992" t="inlineStr">
        <is>
          <t>42.24</t>
        </is>
      </c>
      <c r="L2992" t="n">
        <v>25.95</v>
      </c>
      <c r="M2992" s="1" t="inlineStr">
        <is>
          <t>-38.57%</t>
        </is>
      </c>
      <c r="N2992" s="1" t="n">
        <v>133.44</v>
      </c>
      <c r="O2992" t="n">
        <v>3.9</v>
      </c>
      <c r="P2992" t="n">
        <v>112</v>
      </c>
      <c r="R2992" t="inlineStr">
        <is>
          <t>InStock</t>
        </is>
      </c>
      <c r="S2992" t="inlineStr">
        <is>
          <t>48.74</t>
        </is>
      </c>
      <c r="T2992" t="inlineStr">
        <is>
          <t>3561347317860</t>
        </is>
      </c>
    </row>
    <row r="2993" hidden="1" ht="15.75" customHeight="1">
      <c r="A2993" s="2">
        <f>HYPERLINK("https://edmondsonsupply.com/collections/hvac/products/5-2-1-compressor-saver-csru2", "https://edmondsonsupply.com/collections/hvac/products/5-2-1-compressor-saver-csru2")</f>
        <v/>
      </c>
      <c r="B2993" s="2">
        <f>HYPERLINK("https://edmondsonsupply.com/products/5-2-1-compressor-saver-csru2", "https://edmondsonsupply.com/products/5-2-1-compressor-saver-csru2")</f>
        <v/>
      </c>
      <c r="C2993" t="inlineStr">
        <is>
          <t>5-2-1 CSRU2 Compressor Saver, 3-1/2 to 5 Tons</t>
        </is>
      </c>
      <c r="D2993" t="inlineStr">
        <is>
          <t>CSRU2 5-2-1 Compressor Saver Replacement HVAC Hard Start Capacitor 3.5-4- 5 Tons Hard Start Kit FOR Air Conditioner</t>
        </is>
      </c>
      <c r="E2993" s="2">
        <f>HYPERLINK("https://www.amazon.com/Compressor-Replacement-Capacitor-3-5-4-Conditioner/dp/B0B7842HBF/ref=sr_1_10?keywords=5-2-1+CSRU2+Compressor+Saver%2C+3-1%2F2+to+5+Tons&amp;qid=1694734823&amp;sr=8-10", "https://www.amazon.com/Compressor-Replacement-Capacitor-3-5-4-Conditioner/dp/B0B7842HBF/ref=sr_1_10?keywords=5-2-1+CSRU2+Compressor+Saver%2C+3-1%2F2+to+5+Tons&amp;qid=1694734823&amp;sr=8-10")</f>
        <v/>
      </c>
      <c r="F2993" t="inlineStr">
        <is>
          <t>B0B7842HBF</t>
        </is>
      </c>
      <c r="G2993">
        <f>_xludf.IMAGE("https://edmondsonsupply.com/cdn/shop/products/CSRU2.jpg?v=1633030087")</f>
        <v/>
      </c>
      <c r="H2993">
        <f>_xludf.IMAGE("https://m.media-amazon.com/images/I/61fIfUtHjnL._AC_UL320_.jpg")</f>
        <v/>
      </c>
      <c r="K2993" t="inlineStr">
        <is>
          <t>42.24</t>
        </is>
      </c>
      <c r="L2993" t="n">
        <v>25.89</v>
      </c>
      <c r="M2993" s="1" t="inlineStr">
        <is>
          <t>-38.71%</t>
        </is>
      </c>
      <c r="N2993" s="1" t="n">
        <v>133.39</v>
      </c>
      <c r="O2993" t="n">
        <v>3.9</v>
      </c>
      <c r="P2993" t="n">
        <v>35</v>
      </c>
      <c r="R2993" t="inlineStr">
        <is>
          <t>InStock</t>
        </is>
      </c>
      <c r="S2993" t="inlineStr">
        <is>
          <t>48.74</t>
        </is>
      </c>
      <c r="T2993" t="inlineStr">
        <is>
          <t>3561347317860</t>
        </is>
      </c>
    </row>
    <row r="2994" ht="87" customHeight="1">
      <c r="A2994" s="2">
        <f>HYPERLINK("https://edmondsonsupply.com/collections/hvac/products/5-2-1-compressor-saver-csru2", "https://edmondsonsupply.com/collections/hvac/products/5-2-1-compressor-saver-csru2")</f>
        <v/>
      </c>
      <c r="B2994" s="2">
        <f>HYPERLINK("https://edmondsonsupply.com/products/5-2-1-compressor-saver-csru2", "https://edmondsonsupply.com/products/5-2-1-compressor-saver-csru2")</f>
        <v/>
      </c>
      <c r="C2994" t="inlineStr">
        <is>
          <t>5-2-1 CSRU2 Compressor Saver, 3-1/2 to 5 Tons</t>
        </is>
      </c>
      <c r="D2994" t="inlineStr">
        <is>
          <t>BlueStars Premium 5-2-1 CSR-U1 CSRU1 Compressor Saver Hard Start Capacitor Kit for 1- to 3-ton AC units - Durable 5-2-1 HVAC Compressor Saver Hard Start Capacitor - Easy to Install - PACK OF 1</t>
        </is>
      </c>
      <c r="E2994" s="2">
        <f>HYPERLINK("https://www.amazon.com/Ultra-Durable-CSR-U1-Compressor-Capacitor/dp/B07X463KD1/ref=sr_1_16?keywords=5-2-1+CSRU2+Compressor+Saver%2C+3-1%2F2+to+5+Tons&amp;qid=1694734823&amp;sr=8-16", "https://www.amazon.com/Ultra-Durable-CSR-U1-Compressor-Capacitor/dp/B07X463KD1/ref=sr_1_16?keywords=5-2-1+CSRU2+Compressor+Saver%2C+3-1%2F2+to+5+Tons&amp;qid=1694734823&amp;sr=8-16")</f>
        <v/>
      </c>
      <c r="F2994" t="inlineStr">
        <is>
          <t>B07X463KD1</t>
        </is>
      </c>
      <c r="G2994">
        <f>_xlfn.IMAGE("https://edmondsonsupply.com/cdn/shop/products/CSRU2.jpg?v=1633030087")</f>
        <v/>
      </c>
      <c r="H2994">
        <f>_xlfn.IMAGE("https://m.media-amazon.com/images/I/81Ceo3rAywL._AC_UL320_.jpg")</f>
        <v/>
      </c>
      <c r="K2994" t="inlineStr">
        <is>
          <t>42.24</t>
        </is>
      </c>
      <c r="L2994" t="n">
        <v>25.89</v>
      </c>
      <c r="M2994" s="1" t="inlineStr">
        <is>
          <t>-38.71%</t>
        </is>
      </c>
      <c r="N2994" s="7" t="n">
        <v>133.37</v>
      </c>
      <c r="O2994" t="n">
        <v>4.1</v>
      </c>
      <c r="P2994" t="n">
        <v>157</v>
      </c>
      <c r="R2994" t="inlineStr">
        <is>
          <t>InStock</t>
        </is>
      </c>
      <c r="S2994" t="inlineStr">
        <is>
          <t>48.74</t>
        </is>
      </c>
      <c r="T2994" t="inlineStr">
        <is>
          <t>3561347317860</t>
        </is>
      </c>
    </row>
    <row r="2995" ht="87" customHeight="1">
      <c r="A2995" s="2">
        <f>HYPERLINK("https://edmondsonsupply.com/collections/hvac/products/fresh-aire-uv-tuvp-er-pco-fresh-aire-uv-power-supply", "https://edmondsonsupply.com/collections/hvac/products/fresh-aire-uv-tuvp-er-pco-fresh-aire-uv-power-supply")</f>
        <v/>
      </c>
      <c r="B2995" s="2">
        <f>HYPERLINK("https://edmondsonsupply.com/products/fresh-aire-uv-tuvp-er-pco-fresh-aire-uv-power-supply", "https://edmondsonsupply.com/products/fresh-aire-uv-tuvp-er-pco-fresh-aire-uv-power-supply")</f>
        <v/>
      </c>
      <c r="C2995" t="inlineStr">
        <is>
          <t>Fresh-Aire UV TUVP-ER-PCO Fresh Aire UV Power Supply</t>
        </is>
      </c>
      <c r="D2995" t="inlineStr">
        <is>
          <t>LSE Lighting TUVL-115 TUVL-115, TUVL-115Р, TUVL-100-E 17W Fresh-Aire Equivalent Replacement UVC Lamp 15" | High Performance UV Lamp | Used in Fresh Air APCO-SI, APCO-DI, APCO-ER or APCO-MAG 15 Models</t>
        </is>
      </c>
      <c r="E2995" s="2">
        <f>HYPERLINK("https://www.amazon.com/LSE-Lighting-Fresh-Aire-Replacement-Performance/dp/B0BFRWSH4Q/ref=sr_1_2?keywords=Fresh-Aire+UV+TUVP-ER-PCO+Fresh+Aire+UV+Power+Supply&amp;qid=1694734752&amp;sr=8-2", "https://www.amazon.com/LSE-Lighting-Fresh-Aire-Replacement-Performance/dp/B0BFRWSH4Q/ref=sr_1_2?keywords=Fresh-Aire+UV+TUVP-ER-PCO+Fresh+Aire+UV+Power+Supply&amp;qid=1694734752&amp;sr=8-2")</f>
        <v/>
      </c>
      <c r="F2995" t="inlineStr">
        <is>
          <t>B0BFRWSH4Q</t>
        </is>
      </c>
      <c r="G2995">
        <f>_xlfn.IMAGE("https://edmondsonsupply.com/cdn/shop/files/TUVP-ER-PCO.png?v=1692223340")</f>
        <v/>
      </c>
      <c r="H2995">
        <f>_xlfn.IMAGE("https://m.media-amazon.com/images/I/31tNUXb52LL._AC_UL320_.jpg")</f>
        <v/>
      </c>
      <c r="K2995" t="inlineStr">
        <is>
          <t>77.22</t>
        </is>
      </c>
      <c r="L2995" t="n">
        <v>47</v>
      </c>
      <c r="M2995" s="1" t="inlineStr">
        <is>
          <t>-39.13%</t>
        </is>
      </c>
      <c r="N2995" s="7" t="n">
        <v>133.07</v>
      </c>
      <c r="O2995" t="n">
        <v>4.8</v>
      </c>
      <c r="P2995" t="n">
        <v>8</v>
      </c>
      <c r="R2995" t="inlineStr">
        <is>
          <t>InStock</t>
        </is>
      </c>
      <c r="S2995" t="inlineStr">
        <is>
          <t>undefined</t>
        </is>
      </c>
      <c r="T2995" t="inlineStr">
        <is>
          <t>8028105605336</t>
        </is>
      </c>
    </row>
    <row r="2996" ht="87" customHeight="1">
      <c r="A2996" s="2">
        <f>HYPERLINK("https://edmondsonsupply.com/collections/hvac/products/supco-ccb100-coil-x-coil-cleaning-brush", "https://edmondsonsupply.com/collections/hvac/products/supco-ccb100-coil-x-coil-cleaning-brush")</f>
        <v/>
      </c>
      <c r="B2996" s="2">
        <f>HYPERLINK("https://edmondsonsupply.com/products/supco-ccb100-coil-x-coil-cleaning-brush", "https://edmondsonsupply.com/products/supco-ccb100-coil-x-coil-cleaning-brush")</f>
        <v/>
      </c>
      <c r="C2996" t="inlineStr">
        <is>
          <t>Supco CCB100 Coil-X Coil Cleaning Brush</t>
        </is>
      </c>
      <c r="D2996" t="inlineStr">
        <is>
          <t>GE PM14X51 Coil Cleaning Brush, Black</t>
        </is>
      </c>
      <c r="E2996" s="2">
        <f>HYPERLINK("https://www.amazon.com/GE-PM14X51-Coil-Brush/dp/B00DZU954E/ref=sr_1_3?keywords=Supco+CCB100+Coil-X+Coil+Cleaning+Brush&amp;qid=1694734581&amp;sr=8-3", "https://www.amazon.com/GE-PM14X51-Coil-Brush/dp/B00DZU954E/ref=sr_1_3?keywords=Supco+CCB100+Coil-X+Coil+Cleaning+Brush&amp;qid=1694734581&amp;sr=8-3")</f>
        <v/>
      </c>
      <c r="F2996" t="inlineStr">
        <is>
          <t>B00DZU954E</t>
        </is>
      </c>
      <c r="G2996">
        <f>_xlfn.IMAGE("https://edmondsonsupply.com/cdn/shop/products/CCB100.png?v=1633030369")</f>
        <v/>
      </c>
      <c r="H2996">
        <f>_xlfn.IMAGE("https://m.media-amazon.com/images/I/71VNTkNZtjL._AC_UL320_.jpg")</f>
        <v/>
      </c>
      <c r="K2996" t="inlineStr">
        <is>
          <t>26.39</t>
        </is>
      </c>
      <c r="L2996" t="n">
        <v>15.95</v>
      </c>
      <c r="M2996" s="1" t="inlineStr">
        <is>
          <t>-39.56%</t>
        </is>
      </c>
      <c r="N2996" s="7" t="n">
        <v>132.48</v>
      </c>
      <c r="O2996" t="n">
        <v>4.5</v>
      </c>
      <c r="P2996" t="n">
        <v>279</v>
      </c>
      <c r="R2996" t="inlineStr">
        <is>
          <t>InStock</t>
        </is>
      </c>
      <c r="S2996" t="inlineStr">
        <is>
          <t>undefined</t>
        </is>
      </c>
      <c r="T2996" t="inlineStr">
        <is>
          <t>5290623828136</t>
        </is>
      </c>
    </row>
    <row r="2997" hidden="1" ht="15.75" customHeight="1">
      <c r="A2997" s="2">
        <f>HYPERLINK("https://edmondsonsupply.com/collections/hvac/products/supco-ccb100-coil-x-coil-cleaning-brush", "https://edmondsonsupply.com/collections/hvac/products/supco-ccb100-coil-x-coil-cleaning-brush")</f>
        <v/>
      </c>
      <c r="B2997" s="2">
        <f>HYPERLINK("https://edmondsonsupply.com/products/supco-ccb100-coil-x-coil-cleaning-brush", "https://edmondsonsupply.com/products/supco-ccb100-coil-x-coil-cleaning-brush")</f>
        <v/>
      </c>
      <c r="C2997" t="inlineStr">
        <is>
          <t>Supco CCB100 Coil-X Coil Cleaning Brush</t>
        </is>
      </c>
      <c r="D2997" t="inlineStr">
        <is>
          <t>Next Generation Air Conditioner Evaporator Coil Condenser Fin Cleaning Brush - Double Sided - Wide - by XCEL</t>
        </is>
      </c>
      <c r="E2997" s="2">
        <f>HYPERLINK("https://www.amazon.com/Generation-Conditioner-Evaporator-Coil-Brush/dp/B0C22YXH1B/ref=sr_1_5?keywords=Supco+CCB100+Coil-X+Coil+Cleaning+Brush&amp;qid=1694734581&amp;sr=8-5", "https://www.amazon.com/Generation-Conditioner-Evaporator-Coil-Brush/dp/B0C22YXH1B/ref=sr_1_5?keywords=Supco+CCB100+Coil-X+Coil+Cleaning+Brush&amp;qid=1694734581&amp;sr=8-5")</f>
        <v/>
      </c>
      <c r="F2997" t="inlineStr">
        <is>
          <t>B0C22YXH1B</t>
        </is>
      </c>
      <c r="G2997">
        <f>_xludf.IMAGE("https://edmondsonsupply.com/cdn/shop/products/CCB100.png?v=1633030369")</f>
        <v/>
      </c>
      <c r="H2997">
        <f>_xludf.IMAGE("https://m.media-amazon.com/images/I/512z7+ACnbL._AC_UL320_.jpg")</f>
        <v/>
      </c>
      <c r="K2997" t="inlineStr">
        <is>
          <t>26.39</t>
        </is>
      </c>
      <c r="L2997" t="n">
        <v>15.87</v>
      </c>
      <c r="M2997" s="1" t="inlineStr">
        <is>
          <t>-39.86%</t>
        </is>
      </c>
      <c r="N2997" s="1" t="n">
        <v>132.05</v>
      </c>
      <c r="O2997" t="n">
        <v>3.9</v>
      </c>
      <c r="P2997" t="n">
        <v>13</v>
      </c>
      <c r="R2997" t="inlineStr">
        <is>
          <t>InStock</t>
        </is>
      </c>
      <c r="S2997" t="inlineStr">
        <is>
          <t>undefined</t>
        </is>
      </c>
      <c r="T2997" t="inlineStr">
        <is>
          <t>5290623828136</t>
        </is>
      </c>
    </row>
    <row r="2998" hidden="1" ht="15.75" customHeight="1">
      <c r="A2998" s="2">
        <f>HYPERLINK("https://edmondsonsupply.com/collections/hvac/products/white-rodgers-50a55-843-integrated-furnace-control-board-universal-replacement", "https://edmondsonsupply.com/collections/hvac/products/white-rodgers-50a55-843-integrated-furnace-control-board-universal-replacement")</f>
        <v/>
      </c>
      <c r="B2998" s="2">
        <f>HYPERLINK("https://edmondsonsupply.com/products/white-rodgers-50a55-843-integrated-furnace-control-board-universal-replacement", "https://edmondsonsupply.com/products/white-rodgers-50a55-843-integrated-furnace-control-board-universal-replacement")</f>
        <v/>
      </c>
      <c r="C2998" t="inlineStr">
        <is>
          <t>White-Rodgers 50A55-843 Integrated Furnace Control Board, Universal Replacement</t>
        </is>
      </c>
      <c r="D2998" t="inlineStr">
        <is>
          <t>Home &amp; Tools 50A55-743 Emerson Single-Stage HSI Integrated Furnace Control Board Kit (OEM Replacement for White-Rodgers and Goodman Controls) Model: 50A55-743</t>
        </is>
      </c>
      <c r="E2998" s="2">
        <f>HYPERLINK("https://www.amazon.com/Home-Tools-Single-Stage-Replacement-White-Rodgers/dp/B00TW2G416/ref=sr_1_5?keywords=White-Rodgers+50A55-843+Integrated+Furnace+Control+Board%2C+Universal+Replacement&amp;qid=1694734619&amp;sr=8-5", "https://www.amazon.com/Home-Tools-Single-Stage-Replacement-White-Rodgers/dp/B00TW2G416/ref=sr_1_5?keywords=White-Rodgers+50A55-843+Integrated+Furnace+Control+Board%2C+Universal+Replacement&amp;qid=1694734619&amp;sr=8-5")</f>
        <v/>
      </c>
      <c r="F2998" t="inlineStr">
        <is>
          <t>B00TW2G416</t>
        </is>
      </c>
      <c r="G2998">
        <f>_xludf.IMAGE("https://edmondsonsupply.com/cdn/shop/products/b-integrated-furnace-controls-universal-replacement-img-2a.jpg?v=1633030661")</f>
        <v/>
      </c>
      <c r="H2998">
        <f>_xludf.IMAGE("https://m.media-amazon.com/images/I/51HGvJrwnvL._AC_UL320_.jpg")</f>
        <v/>
      </c>
      <c r="K2998" t="inlineStr">
        <is>
          <t>135.23</t>
        </is>
      </c>
      <c r="L2998" t="n">
        <v>81.29000000000001</v>
      </c>
      <c r="M2998" s="1" t="inlineStr">
        <is>
          <t>-39.89%</t>
        </is>
      </c>
      <c r="N2998" s="1" t="n">
        <v>131.97</v>
      </c>
      <c r="O2998" t="n">
        <v>3.9</v>
      </c>
      <c r="P2998" t="n">
        <v>21</v>
      </c>
      <c r="R2998" t="inlineStr">
        <is>
          <t>InStock</t>
        </is>
      </c>
      <c r="S2998" t="inlineStr">
        <is>
          <t>309.09</t>
        </is>
      </c>
      <c r="T2998" t="inlineStr">
        <is>
          <t>5751568466088</t>
        </is>
      </c>
    </row>
    <row r="2999" hidden="1" ht="15.75" customHeight="1">
      <c r="A2999" s="2">
        <f>HYPERLINK("https://edmondsonsupply.com/collections/hvac/products/klein-tools-70550-pro-folding-hex-key-set-11-fractional-inch-sized-keys", "https://edmondsonsupply.com/collections/hvac/products/klein-tools-70550-pro-folding-hex-key-set-11-fractional-inch-sized-keys")</f>
        <v/>
      </c>
      <c r="B2999" s="2">
        <f>HYPERLINK("https://edmondsonsupply.com/products/klein-tools-70550-pro-folding-hex-key-set-11-fractional-inch-sized-keys", "https://edmondsonsupply.com/products/klein-tools-70550-pro-folding-hex-key-set-11-fractional-inch-sized-keys")</f>
        <v/>
      </c>
      <c r="C2999" t="inlineStr">
        <is>
          <t>Klein Tools 70550 Pro Folding Hex Key Set, 11-Key, SAE Sizes</t>
        </is>
      </c>
      <c r="D2999" t="inlineStr">
        <is>
          <t>Klein Tools 70591 Folding Hex Key Set, 9-Key, SAE Sizes</t>
        </is>
      </c>
      <c r="E2999" s="2">
        <f>HYPERLINK("https://www.amazon.com/Folding-Nine-Key-Klein-Tools-70591/dp/B0002RI8RS/ref=sr_1_13?keywords=Klein+Tools+70550+Pro+Folding+Hex+Key+Set%2C+11-Key%2C+SAE+Sizes&amp;qid=1694734808&amp;sr=8-13", "https://www.amazon.com/Folding-Nine-Key-Klein-Tools-70591/dp/B0002RI8RS/ref=sr_1_13?keywords=Klein+Tools+70550+Pro+Folding+Hex+Key+Set%2C+11-Key%2C+SAE+Sizes&amp;qid=1694734808&amp;sr=8-13")</f>
        <v/>
      </c>
      <c r="F2999" t="inlineStr">
        <is>
          <t>B0002RI8RS</t>
        </is>
      </c>
      <c r="G2999">
        <f>_xludf.IMAGE("https://edmondsonsupply.com/cdn/shop/products/70550.jpg?v=1587145237")</f>
        <v/>
      </c>
      <c r="H2999">
        <f>_xludf.IMAGE("https://m.media-amazon.com/images/I/61QIa+2yMTL._AC_UL320_.jpg")</f>
        <v/>
      </c>
      <c r="K2999" t="inlineStr">
        <is>
          <t>19.97</t>
        </is>
      </c>
      <c r="L2999" t="n">
        <v>11.99</v>
      </c>
      <c r="M2999" s="1" t="inlineStr">
        <is>
          <t>-39.96%</t>
        </is>
      </c>
      <c r="N2999" s="1" t="n">
        <v>131.68</v>
      </c>
      <c r="O2999" t="n">
        <v>4.7</v>
      </c>
      <c r="P2999" t="n">
        <v>3166</v>
      </c>
      <c r="R2999" t="inlineStr">
        <is>
          <t>InStock</t>
        </is>
      </c>
      <c r="S2999" t="inlineStr">
        <is>
          <t>27.18</t>
        </is>
      </c>
      <c r="T2999" t="inlineStr">
        <is>
          <t>3693538082916</t>
        </is>
      </c>
    </row>
    <row r="3000" hidden="1" ht="15.75" customHeight="1">
      <c r="A3000" s="2">
        <f>HYPERLINK("https://edmondsonsupply.com/collections/hvac/products/klein-tools-85153k-slotted-screw-holding-driver-kit-3-16-inch-and-1-4-inch", "https://edmondsonsupply.com/collections/hvac/products/klein-tools-85153k-slotted-screw-holding-driver-kit-3-16-inch-and-1-4-inch")</f>
        <v/>
      </c>
      <c r="B3000" s="2">
        <f>HYPERLINK("https://edmondsonsupply.com/products/klein-tools-85153k-slotted-screw-holding-driver-kit-3-16-inch-and-1-4-inch", "https://edmondsonsupply.com/products/klein-tools-85153k-slotted-screw-holding-driver-kit-3-16-inch-and-1-4-inch")</f>
        <v/>
      </c>
      <c r="C3000" t="inlineStr">
        <is>
          <t>Klein Tools 85153K Slotted Screw Holding Driver Kit, 3/16-Inch and 1/4-Inch</t>
        </is>
      </c>
      <c r="D3000" t="inlineStr">
        <is>
          <t>Klein Tools K46 5/16-Inch Slotted Screw-Holding Flat Head Screwdriver with 6-Inch Round Shank and Comfordome Handle</t>
        </is>
      </c>
      <c r="E3000" s="2">
        <f>HYPERLINK("https://www.amazon.com/Klein-Tools-K46-Screw-Holding-Screwdriver/dp/B000936P4S/ref=sr_1_2?keywords=Klein+Tools+85153K+Slotted+Screw+Holding+Driver+Kit%2C+3%2F16-Inch+and+1%2F4-Inch&amp;qid=1694734835&amp;sr=8-2", "https://www.amazon.com/Klein-Tools-K46-Screw-Holding-Screwdriver/dp/B000936P4S/ref=sr_1_2?keywords=Klein+Tools+85153K+Slotted+Screw+Holding+Driver+Kit%2C+3%2F16-Inch+and+1%2F4-Inch&amp;qid=1694734835&amp;sr=8-2")</f>
        <v/>
      </c>
      <c r="F3000" t="inlineStr">
        <is>
          <t>B000936P4S</t>
        </is>
      </c>
      <c r="G3000">
        <f>_xludf.IMAGE("https://edmondsonsupply.com/cdn/shop/files/85153k.jpg?v=1693933663")</f>
        <v/>
      </c>
      <c r="H3000">
        <f>_xludf.IMAGE("https://m.media-amazon.com/images/I/61Q6wSN1OyL._AC_UL320_.jpg")</f>
        <v/>
      </c>
      <c r="K3000" t="inlineStr">
        <is>
          <t>19.98</t>
        </is>
      </c>
      <c r="L3000" t="n">
        <v>11.99</v>
      </c>
      <c r="M3000" s="1" t="inlineStr">
        <is>
          <t>-39.99%</t>
        </is>
      </c>
      <c r="N3000" s="1" t="n">
        <v>131.6</v>
      </c>
      <c r="O3000" t="n">
        <v>4.6</v>
      </c>
      <c r="P3000" t="n">
        <v>168</v>
      </c>
      <c r="R3000" t="inlineStr">
        <is>
          <t>InStock</t>
        </is>
      </c>
      <c r="S3000" t="inlineStr">
        <is>
          <t>29.98</t>
        </is>
      </c>
      <c r="T3000" t="inlineStr">
        <is>
          <t>8034276344024</t>
        </is>
      </c>
    </row>
    <row r="3001" ht="87" customHeight="1">
      <c r="A3001" s="2">
        <f>HYPERLINK("https://edmondsonsupply.com/collections/hvac/products/icm-controls-icm2813-furnace-control-board-replacement-for-lennox", "https://edmondsonsupply.com/collections/hvac/products/icm-controls-icm2813-furnace-control-board-replacement-for-lennox")</f>
        <v/>
      </c>
      <c r="B3001" s="2">
        <f>HYPERLINK("https://edmondsonsupply.com/products/icm-controls-icm2813-furnace-control-board-replacement-for-lennox", "https://edmondsonsupply.com/products/icm-controls-icm2813-furnace-control-board-replacement-for-lennox")</f>
        <v/>
      </c>
      <c r="C3001" t="inlineStr">
        <is>
          <t>ICM Controls ICM2813 Furnace Control Board - Replacement for Lennox</t>
        </is>
      </c>
      <c r="D3001" t="inlineStr">
        <is>
          <t>ICM284 - Aftermarket Upgraded Replacement for ICM Controls Furnace Control Circuit Board</t>
        </is>
      </c>
      <c r="E3001" s="2">
        <f>HYPERLINK("https://www.amazon.com/ICM284-Aftermarket-Upgraded-Replacement-Controls/dp/B07KPKHNZ9/ref=sr_1_4?keywords=ICM+Controls+ICM2813+Furnace+Control+Board+-+Replacement+for+Lennox&amp;qid=1694734575&amp;sr=8-4", "https://www.amazon.com/ICM284-Aftermarket-Upgraded-Replacement-Controls/dp/B07KPKHNZ9/ref=sr_1_4?keywords=ICM+Controls+ICM2813+Furnace+Control+Board+-+Replacement+for+Lennox&amp;qid=1694734575&amp;sr=8-4")</f>
        <v/>
      </c>
      <c r="F3001" t="inlineStr">
        <is>
          <t>B07KPKHNZ9</t>
        </is>
      </c>
      <c r="G3001">
        <f>_xlfn.IMAGE("https://edmondsonsupply.com/cdn/shop/products/ICM2813.jpg?v=1666552363")</f>
        <v/>
      </c>
      <c r="H3001">
        <f>_xlfn.IMAGE("https://m.media-amazon.com/images/I/41SnX6Y7LHL._AC_UL320_.jpg")</f>
        <v/>
      </c>
      <c r="K3001" t="inlineStr">
        <is>
          <t>99.99</t>
        </is>
      </c>
      <c r="L3001" t="n">
        <v>59.99</v>
      </c>
      <c r="M3001" s="1" t="inlineStr">
        <is>
          <t>-40.00%</t>
        </is>
      </c>
      <c r="N3001" s="7" t="n">
        <v>131.48</v>
      </c>
      <c r="O3001" t="n">
        <v>5</v>
      </c>
      <c r="P3001" t="n">
        <v>1</v>
      </c>
      <c r="R3001" t="inlineStr">
        <is>
          <t>InStock</t>
        </is>
      </c>
      <c r="S3001" t="inlineStr">
        <is>
          <t>111.21</t>
        </is>
      </c>
      <c r="T3001" t="inlineStr">
        <is>
          <t>7864012341464</t>
        </is>
      </c>
    </row>
    <row r="3002" ht="87" customHeight="1">
      <c r="A3002" s="2">
        <f>HYPERLINK("https://edmondsonsupply.com/collections/hvac/products/klein-tools-1010-long-nose-multi-purpose-tool", "https://edmondsonsupply.com/collections/hvac/products/klein-tools-1010-long-nose-multi-purpose-tool")</f>
        <v/>
      </c>
      <c r="B3002" s="2">
        <f>HYPERLINK("https://edmondsonsupply.com/products/klein-tools-1010-long-nose-multi-purpose-tool", "https://edmondsonsupply.com/products/klein-tools-1010-long-nose-multi-purpose-tool")</f>
        <v/>
      </c>
      <c r="C3002" t="inlineStr">
        <is>
          <t>Klein Tools 1010 Long Nose Multi Tool Wire Stripper, Wire Cutters, Crimping Tool</t>
        </is>
      </c>
      <c r="D3002" t="inlineStr">
        <is>
          <t>Klein Tools 1009 Multi Tool, Wire Stripper, Crimping Tool, Wire Cutter, Long-Nose Multi-Purpose Electrician Tool,Gray/Yellow</t>
        </is>
      </c>
      <c r="E3002" s="2">
        <f>HYPERLINK("https://www.amazon.com/Crimping-Stripping-Klein-Tools-1009/dp/B079T9Q9X8/ref=sr_1_2?keywords=Klein+Tools+1010+Long+Nose+Multi+Tool+Wire+Stripper%2C+Wire+Cutters%2C+Crimping+Tool&amp;qid=1694734802&amp;sr=8-2", "https://www.amazon.com/Crimping-Stripping-Klein-Tools-1009/dp/B079T9Q9X8/ref=sr_1_2?keywords=Klein+Tools+1010+Long+Nose+Multi+Tool+Wire+Stripper%2C+Wire+Cutters%2C+Crimping+Tool&amp;qid=1694734802&amp;sr=8-2")</f>
        <v/>
      </c>
      <c r="F3002" t="inlineStr">
        <is>
          <t>B079T9Q9X8</t>
        </is>
      </c>
      <c r="G3002">
        <f>_xlfn.IMAGE("https://edmondsonsupply.com/cdn/shop/products/1010.jpg?v=1587145604")</f>
        <v/>
      </c>
      <c r="H3002">
        <f>_xlfn.IMAGE("https://m.media-amazon.com/images/I/51ktpyk63OL._AC_UL320_.jpg")</f>
        <v/>
      </c>
      <c r="K3002" t="inlineStr">
        <is>
          <t>33.36</t>
        </is>
      </c>
      <c r="L3002" t="n">
        <v>19.97</v>
      </c>
      <c r="M3002" s="1" t="inlineStr">
        <is>
          <t>-40.14%</t>
        </is>
      </c>
      <c r="N3002" s="7" t="n">
        <v>131.39</v>
      </c>
      <c r="O3002" t="n">
        <v>4.7</v>
      </c>
      <c r="P3002" t="n">
        <v>626</v>
      </c>
      <c r="R3002" t="inlineStr">
        <is>
          <t>InStock</t>
        </is>
      </c>
      <c r="S3002" t="inlineStr">
        <is>
          <t>undefined</t>
        </is>
      </c>
      <c r="T3002" t="inlineStr">
        <is>
          <t>4431821242468</t>
        </is>
      </c>
    </row>
    <row r="3003" hidden="1" ht="15.75" customHeight="1">
      <c r="A3003" s="2">
        <f>HYPERLINK("https://edmondsonsupply.com/collections/hvac/products/viega-25301-1-2-x-1-2-x-1-2-megapressg-tee", "https://edmondsonsupply.com/collections/hvac/products/viega-25301-1-2-x-1-2-x-1-2-megapressg-tee")</f>
        <v/>
      </c>
      <c r="B3003" s="2">
        <f>HYPERLINK("https://edmondsonsupply.com/products/viega-25301-1-2-x-1-2-x-1-2-megapressg-tee", "https://edmondsonsupply.com/products/viega-25301-1-2-x-1-2-x-1-2-megapressg-tee")</f>
        <v/>
      </c>
      <c r="C3003" t="inlineStr">
        <is>
          <t>Viega 25301 1/2" x 1/2" x 1/2" MegaPressG Tee</t>
        </is>
      </c>
      <c r="D3003" t="inlineStr">
        <is>
          <t>ProPress Tee, 1/2" x 1/2" x 1/2"</t>
        </is>
      </c>
      <c r="E3003" s="2">
        <f>HYPERLINK("https://www.amazon.com/VIEGA-PROPRESS-77377-ProPress-Tee/dp/B000R899KW/ref=sr_1_5?keywords=Viega+25301+1%2F2%22+x+1%2F2%22+x+1%2F2%22+MegaPressG+Tee&amp;qid=1694734857&amp;sr=8-5", "https://www.amazon.com/VIEGA-PROPRESS-77377-ProPress-Tee/dp/B000R899KW/ref=sr_1_5?keywords=Viega+25301+1%2F2%22+x+1%2F2%22+x+1%2F2%22+MegaPressG+Tee&amp;qid=1694734857&amp;sr=8-5")</f>
        <v/>
      </c>
      <c r="F3003" t="inlineStr">
        <is>
          <t>B000R899KW</t>
        </is>
      </c>
      <c r="G3003">
        <f>_xludf.IMAGE("https://edmondsonsupply.com/cdn/shop/files/PPm6618.jpg?v=1692393807")</f>
        <v/>
      </c>
      <c r="H3003">
        <f>_xludf.IMAGE("https://m.media-amazon.com/images/I/51i7wUM2+wL._AC_UL320_.jpg")</f>
        <v/>
      </c>
      <c r="K3003" t="inlineStr">
        <is>
          <t>19.9</t>
        </is>
      </c>
      <c r="L3003" t="n">
        <v>11.83</v>
      </c>
      <c r="M3003" s="1" t="inlineStr">
        <is>
          <t>-40.55%</t>
        </is>
      </c>
      <c r="N3003" s="1" t="n">
        <v>131.14</v>
      </c>
      <c r="O3003" t="n">
        <v>4.7</v>
      </c>
      <c r="P3003" t="n">
        <v>2</v>
      </c>
      <c r="R3003" t="inlineStr">
        <is>
          <t>InStock</t>
        </is>
      </c>
      <c r="S3003" t="inlineStr">
        <is>
          <t>35.53</t>
        </is>
      </c>
      <c r="T3003" t="inlineStr">
        <is>
          <t>8028491055320</t>
        </is>
      </c>
    </row>
    <row r="3004" ht="87" customHeight="1">
      <c r="A3004" s="2">
        <f>HYPERLINK("https://edmondsonsupply.com/collections/hvac/products/5-2-1-csru1", "https://edmondsonsupply.com/collections/hvac/products/5-2-1-csru1")</f>
        <v/>
      </c>
      <c r="B3004" s="2">
        <f>HYPERLINK("https://edmondsonsupply.com/products/5-2-1-csru1", "https://edmondsonsupply.com/products/5-2-1-csru1")</f>
        <v/>
      </c>
      <c r="C3004" t="inlineStr">
        <is>
          <t>5-2-1 CSRU1 Compressor Saver, 1 to 3 Tons</t>
        </is>
      </c>
      <c r="D3004" t="inlineStr">
        <is>
          <t>Walmine CSR-U2 Compressor Energy Saver Capacitor for 3(1/2)-4-5 Tons,189-227 Mfd Components</t>
        </is>
      </c>
      <c r="E3004" s="2">
        <f>HYPERLINK("https://www.amazon.com/Walmine-Compressor-Capacitor-189-227-Components/dp/B091B38BDH/ref=sr_1_23?keywords=5-2-1+CSRU1+Compressor+Saver%2C+1+to+3+Tons&amp;qid=1694734741&amp;sr=8-23", "https://www.amazon.com/Walmine-Compressor-Capacitor-189-227-Components/dp/B091B38BDH/ref=sr_1_23?keywords=5-2-1+CSRU1+Compressor+Saver%2C+1+to+3+Tons&amp;qid=1694734741&amp;sr=8-23")</f>
        <v/>
      </c>
      <c r="F3004" t="inlineStr">
        <is>
          <t>B091B38BDH</t>
        </is>
      </c>
      <c r="G3004">
        <f>_xlfn.IMAGE("https://edmondsonsupply.com/cdn/shop/products/CSRU1.jpg?v=1633030087")</f>
        <v/>
      </c>
      <c r="H3004">
        <f>_xlfn.IMAGE("https://m.media-amazon.com/images/I/71adjinGk9L._AC_UL320_.jpg")</f>
        <v/>
      </c>
      <c r="K3004" t="inlineStr">
        <is>
          <t>34.62</t>
        </is>
      </c>
      <c r="L3004" t="n">
        <v>20.58</v>
      </c>
      <c r="M3004" s="1" t="inlineStr">
        <is>
          <t>-40.55%</t>
        </is>
      </c>
      <c r="N3004" s="7" t="n">
        <v>130.98</v>
      </c>
      <c r="O3004" t="n">
        <v>5</v>
      </c>
      <c r="P3004" t="n">
        <v>6</v>
      </c>
      <c r="R3004" t="inlineStr">
        <is>
          <t>InStock</t>
        </is>
      </c>
      <c r="S3004" t="inlineStr">
        <is>
          <t>39.95</t>
        </is>
      </c>
      <c r="T3004" t="inlineStr">
        <is>
          <t>3558315950180</t>
        </is>
      </c>
    </row>
    <row r="3005" hidden="1" ht="15.75" customHeight="1">
      <c r="A3005" s="2">
        <f>HYPERLINK("https://edmondsonsupply.com/collections/hvac/products/klein-tools-602-4dd-4-demolition-driver-1-4-keystone", "https://edmondsonsupply.com/collections/hvac/products/klein-tools-602-4dd-4-demolition-driver-1-4-keystone")</f>
        <v/>
      </c>
      <c r="B3005" s="2">
        <f>HYPERLINK("https://edmondsonsupply.com/products/klein-tools-602-4dd-4-demolition-driver-1-4-keystone", "https://edmondsonsupply.com/products/klein-tools-602-4dd-4-demolition-driver-1-4-keystone")</f>
        <v/>
      </c>
      <c r="C3005" t="inlineStr">
        <is>
          <t>Klein Tools 602-4DD 1/4-Inch Keystone Demolition Driver, 4-Inch Shank</t>
        </is>
      </c>
      <c r="D3005" t="inlineStr">
        <is>
          <t>Klein Tools 602-4 1/4-Inch Keystone-Tip Screwdriver with 4-Inch Heavy-Duty Round-Shank</t>
        </is>
      </c>
      <c r="E3005" s="2">
        <f>HYPERLINK("https://www.amazon.com/Keystone-Tip-Screwdriver-Round-Shank-Klein-602-4/dp/B0000302WD/ref=sr_1_3?keywords=Klein+Tools+602-4DD+1%2F4-Inch+Keystone+Demolition+Driver%2C+4-Inch+Shank&amp;qid=1694734822&amp;sr=8-3", "https://www.amazon.com/Keystone-Tip-Screwdriver-Round-Shank-Klein-602-4/dp/B0000302WD/ref=sr_1_3?keywords=Klein+Tools+602-4DD+1%2F4-Inch+Keystone+Demolition+Driver%2C+4-Inch+Shank&amp;qid=1694734822&amp;sr=8-3")</f>
        <v/>
      </c>
      <c r="F3005" t="inlineStr">
        <is>
          <t>B0000302WD</t>
        </is>
      </c>
      <c r="G3005">
        <f>_xludf.IMAGE("https://edmondsonsupply.com/cdn/shop/products/602-4dd.jpg?v=1587143287")</f>
        <v/>
      </c>
      <c r="H3005">
        <f>_xludf.IMAGE("https://m.media-amazon.com/images/I/51BHg1CmntL._AC_UL320_.jpg")</f>
        <v/>
      </c>
      <c r="K3005" t="inlineStr">
        <is>
          <t>15.99</t>
        </is>
      </c>
      <c r="L3005" t="n">
        <v>9.49</v>
      </c>
      <c r="M3005" s="1" t="inlineStr">
        <is>
          <t>-40.65%</t>
        </is>
      </c>
      <c r="N3005" s="1" t="n">
        <v>130.87</v>
      </c>
      <c r="O3005" t="n">
        <v>4.8</v>
      </c>
      <c r="P3005" t="n">
        <v>879</v>
      </c>
      <c r="R3005" t="inlineStr">
        <is>
          <t>InStock</t>
        </is>
      </c>
      <c r="S3005" t="inlineStr">
        <is>
          <t>22.4</t>
        </is>
      </c>
      <c r="T3005" t="inlineStr">
        <is>
          <t>1989595988068</t>
        </is>
      </c>
    </row>
    <row r="3006" ht="87" customHeight="1">
      <c r="A3006" s="2">
        <f>HYPERLINK("https://edmondsonsupply.com/collections/hvac/products/channellock-430cb", "https://edmondsonsupply.com/collections/hvac/products/channellock-430cb")</f>
        <v/>
      </c>
      <c r="B3006" s="2">
        <f>HYPERLINK("https://edmondsonsupply.com/products/channellock-430cb", "https://edmondsonsupply.com/products/channellock-430cb")</f>
        <v/>
      </c>
      <c r="C3006" t="inlineStr">
        <is>
          <t>Channellock 430CB 10" Code Blue Straight Jaw Tongue &amp; Groove Pliers</t>
        </is>
      </c>
      <c r="D3006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3006" s="2">
        <f>HYPERLINK("https://www.amazon.com/Channellock-426-8-Inch-Capacity-2-Inch/dp/B00004SBCS/ref=sr_1_8?keywords=Channellock+430CB+10%22+Code+Blue+Straight+Jaw+Tongue+%26+Groove+Pliers&amp;qid=1694734733&amp;sr=8-8", "https://www.amazon.com/Channellock-426-8-Inch-Capacity-2-Inch/dp/B00004SBCS/ref=sr_1_8?keywords=Channellock+430CB+10%22+Code+Blue+Straight+Jaw+Tongue+%26+Groove+Pliers&amp;qid=1694734733&amp;sr=8-8")</f>
        <v/>
      </c>
      <c r="F3006" t="inlineStr">
        <is>
          <t>B00004SBCS</t>
        </is>
      </c>
      <c r="G3006">
        <f>_xlfn.IMAGE("https://edmondsonsupply.com/cdn/shop/products/430CB-683x1024.jpg?v=1587147133")</f>
        <v/>
      </c>
      <c r="H3006">
        <f>_xlfn.IMAGE("https://m.media-amazon.com/images/I/713NYKlIyoL._AC_UL320_.jpg")</f>
        <v/>
      </c>
      <c r="K3006" t="inlineStr">
        <is>
          <t>26.95</t>
        </is>
      </c>
      <c r="L3006" t="n">
        <v>15.95</v>
      </c>
      <c r="M3006" s="1" t="inlineStr">
        <is>
          <t>-40.82%</t>
        </is>
      </c>
      <c r="N3006" s="7" t="n">
        <v>130.72</v>
      </c>
      <c r="O3006" t="n">
        <v>4.7</v>
      </c>
      <c r="P3006" t="n">
        <v>1995</v>
      </c>
      <c r="R3006" t="inlineStr">
        <is>
          <t>InStock</t>
        </is>
      </c>
      <c r="S3006" t="inlineStr">
        <is>
          <t>37.91</t>
        </is>
      </c>
      <c r="T3006" t="inlineStr">
        <is>
          <t>3725968736356</t>
        </is>
      </c>
    </row>
    <row r="3007" ht="87" customHeight="1">
      <c r="A3007" s="2">
        <f>HYPERLINK("https://edmondsonsupply.com/collections/hvac/products/5-2-1-compressor-saver-csru2", "https://edmondsonsupply.com/collections/hvac/products/5-2-1-compressor-saver-csru2")</f>
        <v/>
      </c>
      <c r="B3007" s="2">
        <f>HYPERLINK("https://edmondsonsupply.com/products/5-2-1-compressor-saver-csru2", "https://edmondsonsupply.com/products/5-2-1-compressor-saver-csru2")</f>
        <v/>
      </c>
      <c r="C3007" t="inlineStr">
        <is>
          <t>5-2-1 CSRU2 Compressor Saver, 3-1/2 to 5 Tons</t>
        </is>
      </c>
      <c r="D3007" t="inlineStr">
        <is>
          <t>EvertechPRO 5-2-1 208/240VAC 270-324uF Compressor Saver Hard Start Capacitor Relay kit for 4 to 5 Ton Units Replacement for AC Air Conditioner</t>
        </is>
      </c>
      <c r="E3007" s="2">
        <f>HYPERLINK("https://www.amazon.com/EvertechPRO-270-324uF-Compressor-Replacement-Conditioner/dp/B0BN2KGTG1/ref=sr_1_19?keywords=5-2-1+CSRU2+Compressor+Saver%2C+3-1%2F2+to+5+Tons&amp;qid=1694734823&amp;sr=8-19", "https://www.amazon.com/EvertechPRO-270-324uF-Compressor-Replacement-Conditioner/dp/B0BN2KGTG1/ref=sr_1_19?keywords=5-2-1+CSRU2+Compressor+Saver%2C+3-1%2F2+to+5+Tons&amp;qid=1694734823&amp;sr=8-19")</f>
        <v/>
      </c>
      <c r="F3007" t="inlineStr">
        <is>
          <t>B0BN2KGTG1</t>
        </is>
      </c>
      <c r="G3007">
        <f>_xlfn.IMAGE("https://edmondsonsupply.com/cdn/shop/products/CSRU2.jpg?v=1633030087")</f>
        <v/>
      </c>
      <c r="H3007">
        <f>_xlfn.IMAGE("https://m.media-amazon.com/images/I/615G1sLSndL._AC_UL320_.jpg")</f>
        <v/>
      </c>
      <c r="K3007" t="inlineStr">
        <is>
          <t>42.24</t>
        </is>
      </c>
      <c r="L3007" t="n">
        <v>24.99</v>
      </c>
      <c r="M3007" s="1" t="inlineStr">
        <is>
          <t>-40.84%</t>
        </is>
      </c>
      <c r="N3007" s="7" t="n">
        <v>130.69</v>
      </c>
      <c r="O3007" t="n">
        <v>4.1</v>
      </c>
      <c r="P3007" t="n">
        <v>11</v>
      </c>
      <c r="R3007" t="inlineStr">
        <is>
          <t>InStock</t>
        </is>
      </c>
      <c r="S3007" t="inlineStr">
        <is>
          <t>48.74</t>
        </is>
      </c>
      <c r="T3007" t="inlineStr">
        <is>
          <t>3561347317860</t>
        </is>
      </c>
    </row>
    <row r="3008" ht="87" customHeight="1">
      <c r="A3008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008" s="2">
        <f>HYPERLINK("https://edmondsonsupply.com/products/klein-tools-935dag-digital-angle-gauge-and-level", "https://edmondsonsupply.com/products/klein-tools-935dag-digital-angle-gauge-and-level")</f>
        <v/>
      </c>
      <c r="C3008" t="inlineStr">
        <is>
          <t>Klein Tools 935DAG Digital Angle Gauge and Level</t>
        </is>
      </c>
      <c r="D3008" t="inlineStr">
        <is>
          <t>WEN 10423 3 x 2 x 1-Inch Steel-Hardened Precision 123 Blocks, Two Pack &amp; Klein Tools 935DAG Digital Electronic Level and Angle Gauge</t>
        </is>
      </c>
      <c r="E3008" s="2">
        <f>HYPERLINK("https://www.amazon.com/WEN-Steel-Hardened-Precision-Digital-Electronic/dp/B0BK4N8DHF/ref=sr_1_10?keywords=Klein+Tools+935DAG+Digital+Angle+Gauge+and+Level&amp;qid=1694734733&amp;sr=8-10", "https://www.amazon.com/WEN-Steel-Hardened-Precision-Digital-Electronic/dp/B0BK4N8DHF/ref=sr_1_10?keywords=Klein+Tools+935DAG+Digital+Angle+Gauge+and+Level&amp;qid=1694734733&amp;sr=8-10")</f>
        <v/>
      </c>
      <c r="F3008" t="inlineStr">
        <is>
          <t>B0BK4N8DHF</t>
        </is>
      </c>
      <c r="G3008">
        <f>_xlfn.IMAGE("https://edmondsonsupply.com/cdn/shop/products/935dag.jpg?v=1587145032")</f>
        <v/>
      </c>
      <c r="H3008">
        <f>_xlfn.IMAGE("https://m.media-amazon.com/images/I/51Rkt2vlCKL._AC_UL320_.jpg")</f>
        <v/>
      </c>
      <c r="K3008" t="inlineStr">
        <is>
          <t>29.97</t>
        </is>
      </c>
      <c r="L3008" t="n">
        <v>17.73</v>
      </c>
      <c r="M3008" s="1" t="inlineStr">
        <is>
          <t>-40.84%</t>
        </is>
      </c>
      <c r="N3008" s="7" t="n">
        <v>130.69</v>
      </c>
      <c r="O3008" t="n">
        <v>4.8</v>
      </c>
      <c r="P3008" t="n">
        <v>3122</v>
      </c>
      <c r="R3008" t="inlineStr">
        <is>
          <t>InStock</t>
        </is>
      </c>
      <c r="S3008" t="inlineStr">
        <is>
          <t>45.0</t>
        </is>
      </c>
      <c r="T3008" t="inlineStr">
        <is>
          <t>4167487094884</t>
        </is>
      </c>
    </row>
    <row r="3009" ht="87" customHeight="1">
      <c r="A3009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3009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3009" t="inlineStr">
        <is>
          <t>ICM Controls ICM2811 Furnace Control Board - Replacement for Goodman</t>
        </is>
      </c>
      <c r="D3009" t="inlineStr">
        <is>
          <t>OEM Upgraded Replacement for Goodman Furnace Control Circuit Board PCBFM103S</t>
        </is>
      </c>
      <c r="E3009" s="2">
        <f>HYPERLINK("https://www.amazon.com/Upgraded-Replacement-Goodman-Furnace-PCBFM103S/dp/B078NDJ1XV/ref=sr_1_14?keywords=ICM+Controls+ICM2811+Furnace+Control+Board+-+Replacement+for+Goodman&amp;qid=1694734652&amp;sr=8-14", "https://www.amazon.com/Upgraded-Replacement-Goodman-Furnace-PCBFM103S/dp/B078NDJ1XV/ref=sr_1_14?keywords=ICM+Controls+ICM2811+Furnace+Control+Board+-+Replacement+for+Goodman&amp;qid=1694734652&amp;sr=8-14")</f>
        <v/>
      </c>
      <c r="F3009" t="inlineStr">
        <is>
          <t>B078NDJ1XV</t>
        </is>
      </c>
      <c r="G3009">
        <f>_xlfn.IMAGE("https://edmondsonsupply.com/cdn/shop/products/photo_3800_medium_86f45e25-a764-4839-bc84-759a6ce1c7bd.jpg?v=1659910436")</f>
        <v/>
      </c>
      <c r="H3009">
        <f>_xlfn.IMAGE("https://m.media-amazon.com/images/I/51hwLreXUkL._AC_UL320_.jpg")</f>
        <v/>
      </c>
      <c r="K3009" t="inlineStr">
        <is>
          <t>68.99</t>
        </is>
      </c>
      <c r="L3009" t="n">
        <v>40.69</v>
      </c>
      <c r="M3009" s="1" t="inlineStr">
        <is>
          <t>-41.02%</t>
        </is>
      </c>
      <c r="N3009" s="7" t="n">
        <v>129.39</v>
      </c>
      <c r="O3009" t="n">
        <v>4.4</v>
      </c>
      <c r="P3009" t="n">
        <v>26</v>
      </c>
      <c r="R3009" t="inlineStr">
        <is>
          <t>InStock</t>
        </is>
      </c>
      <c r="S3009" t="inlineStr">
        <is>
          <t>93.62</t>
        </is>
      </c>
      <c r="T3009" t="inlineStr">
        <is>
          <t>4345448202340</t>
        </is>
      </c>
    </row>
    <row r="3010" ht="87" customHeight="1">
      <c r="A3010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010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010" t="inlineStr">
        <is>
          <t>Robertshaw 41-224 Hot Surface Furnace Ignitor</t>
        </is>
      </c>
      <c r="D3010" t="inlineStr">
        <is>
          <t>Robertshaw 41-412 Norton Hot Surface Furnace Ignitor, 5.25-Inch Lead Wire-951364</t>
        </is>
      </c>
      <c r="E3010" s="2">
        <f>HYPERLINK("https://www.amazon.com/Robertshaw-41-412-Surface-5-25-Inch-Wire-951364/dp/B004XL3E9Q/ref=sr_1_1?keywords=Robertshaw+41-224+Hot+Surface+Furnace+Ignitor&amp;qid=1694734847&amp;sr=8-1", "https://www.amazon.com/Robertshaw-41-412-Surface-5-25-Inch-Wire-951364/dp/B004XL3E9Q/ref=sr_1_1?keywords=Robertshaw+41-224+Hot+Surface+Furnace+Ignitor&amp;qid=1694734847&amp;sr=8-1")</f>
        <v/>
      </c>
      <c r="F3010" t="inlineStr">
        <is>
          <t>B004XL3E9Q</t>
        </is>
      </c>
      <c r="G3010">
        <f>_xlfn.IMAGE("https://edmondsonsupply.com/cdn/shop/files/41-224.jpg?v=1694616534")</f>
        <v/>
      </c>
      <c r="H3010">
        <f>_xlfn.IMAGE("https://m.media-amazon.com/images/I/31xuPdl-sZL._AC_UL320_.jpg")</f>
        <v/>
      </c>
      <c r="K3010" t="inlineStr">
        <is>
          <t>41.78</t>
        </is>
      </c>
      <c r="L3010" t="n">
        <v>24.44</v>
      </c>
      <c r="M3010" s="1" t="inlineStr">
        <is>
          <t>-41.50%</t>
        </is>
      </c>
      <c r="N3010" s="7" t="n">
        <v>129.32</v>
      </c>
      <c r="O3010" t="n">
        <v>5</v>
      </c>
      <c r="P3010" t="n">
        <v>2</v>
      </c>
      <c r="R3010" t="inlineStr">
        <is>
          <t>InStock</t>
        </is>
      </c>
      <c r="S3010" t="inlineStr">
        <is>
          <t>undefined</t>
        </is>
      </c>
      <c r="T3010" t="inlineStr">
        <is>
          <t>8035179692248</t>
        </is>
      </c>
    </row>
    <row r="3011" ht="87" customHeight="1">
      <c r="A3011" s="2">
        <f>HYPERLINK("https://edmondsonsupply.com/collections/hvac/products/malco-tools-m2007-max2000%C2%AE-offset-aviation-snip-right-cutting", "https://edmondsonsupply.com/collections/hvac/products/malco-tools-m2007-max2000%C2%AE-offset-aviation-snip-right-cutting")</f>
        <v/>
      </c>
      <c r="B3011" s="2">
        <f>HYPERLINK("https://edmondsonsupply.com/products/malco-tools-m2007-max2000%c2%ae-offset-aviation-snip-right-cutting", "https://edmondsonsupply.com/products/malco-tools-m2007-max2000%c2%ae-offset-aviation-snip-right-cutting")</f>
        <v/>
      </c>
      <c r="C3011" t="inlineStr">
        <is>
          <t>Malco Tools M2007 Max2000® Offset Aviation Snip - Right Cutting</t>
        </is>
      </c>
      <c r="D3011" t="inlineStr">
        <is>
          <t>Klein Tools 2401R Right-Cutting Offset Snips, Aviation Tin Snips with Forged Blade for Precision Sheet Metal Cutting</t>
        </is>
      </c>
      <c r="E3011" s="2">
        <f>HYPERLINK("https://www.amazon.com/Klein-Tools-2401R-Right-Cutting-Precision/dp/B0C4BTTVPC/ref=sr_1_5?keywords=Malco+Tools+M2007+Max2000%C2%AE+Offset+Aviation+Snip+-+Right+Cutting&amp;qid=1694734717&amp;sr=8-5", "https://www.amazon.com/Klein-Tools-2401R-Right-Cutting-Precision/dp/B0C4BTTVPC/ref=sr_1_5?keywords=Malco+Tools+M2007+Max2000%C2%AE+Offset+Aviation+Snip+-+Right+Cutting&amp;qid=1694734717&amp;sr=8-5")</f>
        <v/>
      </c>
      <c r="F3011" t="inlineStr">
        <is>
          <t>B0C4BTTVPC</t>
        </is>
      </c>
      <c r="G3011">
        <f>_xlfn.IMAGE("https://edmondsonsupply.com/cdn/shop/products/m2007.jpg?v=1633030573")</f>
        <v/>
      </c>
      <c r="H3011">
        <f>_xlfn.IMAGE("https://m.media-amazon.com/images/I/41JZrgGB5HL._AC_UL320_.jpg")</f>
        <v/>
      </c>
      <c r="K3011" t="inlineStr">
        <is>
          <t>42.99</t>
        </is>
      </c>
      <c r="L3011" t="n">
        <v>24.99</v>
      </c>
      <c r="M3011" s="1" t="inlineStr">
        <is>
          <t>-41.87%</t>
        </is>
      </c>
      <c r="N3011" s="7" t="n">
        <v>129.29</v>
      </c>
      <c r="O3011" t="n">
        <v>4.3</v>
      </c>
      <c r="P3011" t="n">
        <v>9</v>
      </c>
      <c r="R3011" t="inlineStr">
        <is>
          <t>InStock</t>
        </is>
      </c>
      <c r="S3011" t="inlineStr">
        <is>
          <t>45.82</t>
        </is>
      </c>
      <c r="T3011" t="inlineStr">
        <is>
          <t>5517863682216</t>
        </is>
      </c>
    </row>
    <row r="3012" hidden="1" ht="15.75" customHeight="1">
      <c r="A3012" s="2">
        <f>HYPERLINK("https://edmondsonsupply.com/collections/hvac/products/milwaukee-49-90-1900-hepa-filter", "https://edmondsonsupply.com/collections/hvac/products/milwaukee-49-90-1900-hepa-filter")</f>
        <v/>
      </c>
      <c r="B3012" s="2">
        <f>HYPERLINK("https://edmondsonsupply.com/products/milwaukee-49-90-1900-hepa-filter", "https://edmondsonsupply.com/products/milwaukee-49-90-1900-hepa-filter")</f>
        <v/>
      </c>
      <c r="C3012" t="inlineStr">
        <is>
          <t>Milwaukee 49-90-1900 HEPA Filter</t>
        </is>
      </c>
      <c r="D3012" t="inlineStr">
        <is>
          <t>Carkio 2 Pack 49-90-1951 HEPA Dry Filter Replacement Compatible with Milwaukee 49-90-0160 0882-20 M18 Vacuum Cleaner</t>
        </is>
      </c>
      <c r="E3012" s="2">
        <f>HYPERLINK("https://www.amazon.com/Carkio-49-90-1951-Replacement-Compatible-49-90-0160/dp/B0BS3RP9C7/ref=sr_1_22?keywords=Milwaukee+49-90-1900+HEPA+Filter&amp;qid=1694734913&amp;sr=8-22", "https://www.amazon.com/Carkio-49-90-1951-Replacement-Compatible-49-90-0160/dp/B0BS3RP9C7/ref=sr_1_22?keywords=Milwaukee+49-90-1900+HEPA+Filter&amp;qid=1694734913&amp;sr=8-22")</f>
        <v/>
      </c>
      <c r="F3012" t="inlineStr">
        <is>
          <t>B0BS3RP9C7</t>
        </is>
      </c>
      <c r="G3012">
        <f>_xludf.IMAGE("https://edmondsonsupply.com/cdn/shop/files/49-90-1900_1.png?v=1686234774")</f>
        <v/>
      </c>
      <c r="H3012">
        <f>_xludf.IMAGE("https://m.media-amazon.com/images/I/612oiGlSxVL._AC_UL320_.jpg")</f>
        <v/>
      </c>
      <c r="K3012" t="inlineStr">
        <is>
          <t>24.98</t>
        </is>
      </c>
      <c r="L3012" t="n">
        <v>14.49</v>
      </c>
      <c r="M3012" s="1" t="inlineStr">
        <is>
          <t>-41.99%</t>
        </is>
      </c>
      <c r="N3012" s="1" t="n">
        <v>128.64</v>
      </c>
      <c r="O3012" t="n">
        <v>5</v>
      </c>
      <c r="P3012" t="n">
        <v>2</v>
      </c>
      <c r="R3012" t="inlineStr">
        <is>
          <t>InStock</t>
        </is>
      </c>
      <c r="S3012" t="inlineStr">
        <is>
          <t>40.0</t>
        </is>
      </c>
      <c r="T3012" t="inlineStr">
        <is>
          <t>8002625306840</t>
        </is>
      </c>
    </row>
    <row r="3013" ht="87" customHeight="1">
      <c r="A3013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013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013" t="inlineStr">
        <is>
          <t>Diablo Tools DMAMX1300 1-1/4 in. x 16 in. x 21 in. Rebar Demon™ SDS-Max 4-Cutter Full Carbide Head Hammer Drill Bit</t>
        </is>
      </c>
      <c r="D3013" t="inlineStr">
        <is>
          <t>Diablo - DMAMX1030 1/2" x 16"x21" Rebar Demon SDS-Max 4-Cutter Full Carbide Head Hammer Bit</t>
        </is>
      </c>
      <c r="E3013" s="2">
        <f>HYPERLINK("https://www.amazon.com/Diablo-Freud-DMAMX1030-SDS-Max-4-Cutter/dp/B089LJGLNL/ref=sr_1_12?keywords=Diablo+Tools+DMAMX1300+1-1%2F4+in.+x+16+in.+x+21+in.+Rebar+Demon%E2%84%A2+SDS-Max+4-Cutter+Full+Carbide+Head+Hammer+Drill+Bit&amp;qid=1694734676&amp;sr=8-12", "https://www.amazon.com/Diablo-Freud-DMAMX1030-SDS-Max-4-Cutter/dp/B089LJGLNL/ref=sr_1_12?keywords=Diablo+Tools+DMAMX1300+1-1%2F4+in.+x+16+in.+x+21+in.+Rebar+Demon%E2%84%A2+SDS-Max+4-Cutter+Full+Carbide+Head+Hammer+Drill+Bit&amp;qid=1694734676&amp;sr=8-12")</f>
        <v/>
      </c>
      <c r="F3013" t="inlineStr">
        <is>
          <t>B089LJGLNL</t>
        </is>
      </c>
      <c r="G3013">
        <f>_xlfn.IMAGE("https://edmondsonsupply.com/cdn/shop/files/immoyh7jjmbau4fzhuq6_7dd7fd73-2865-4c12-9443-da45b48dbd51.webp?v=1685465465")</f>
        <v/>
      </c>
      <c r="H3013">
        <f>_xlfn.IMAGE("https://m.media-amazon.com/images/I/61S3VEHzBbL._AC_UL320_.jpg")</f>
        <v/>
      </c>
      <c r="K3013" t="inlineStr">
        <is>
          <t>66.4</t>
        </is>
      </c>
      <c r="L3013" t="n">
        <v>38.36</v>
      </c>
      <c r="M3013" s="1" t="inlineStr">
        <is>
          <t>-42.23%</t>
        </is>
      </c>
      <c r="N3013" s="7" t="n">
        <v>128.63</v>
      </c>
      <c r="O3013" t="n">
        <v>5</v>
      </c>
      <c r="P3013" t="n">
        <v>8</v>
      </c>
      <c r="R3013" t="inlineStr">
        <is>
          <t>OutOfStock</t>
        </is>
      </c>
      <c r="S3013" t="inlineStr">
        <is>
          <t>105.4</t>
        </is>
      </c>
      <c r="T3013" t="inlineStr">
        <is>
          <t>7997856874712</t>
        </is>
      </c>
    </row>
    <row r="3014" hidden="1" ht="15.75" customHeight="1">
      <c r="A3014" s="2">
        <f>HYPERLINK("https://edmondsonsupply.com/collections/hvac/products/5-2-1-csru1", "https://edmondsonsupply.com/collections/hvac/products/5-2-1-csru1")</f>
        <v/>
      </c>
      <c r="B3014" s="2">
        <f>HYPERLINK("https://edmondsonsupply.com/products/5-2-1-csru1", "https://edmondsonsupply.com/products/5-2-1-csru1")</f>
        <v/>
      </c>
      <c r="C3014" t="inlineStr">
        <is>
          <t>5-2-1 CSRU1 Compressor Saver, 1 to 3 Tons</t>
        </is>
      </c>
      <c r="D3014" t="inlineStr">
        <is>
          <t>AC Compressor Saver, Generic Hard Start Capacitor Kit Model CSR-U2 for 3 1/2-4-5 Tons Units</t>
        </is>
      </c>
      <c r="E3014" s="2">
        <f>HYPERLINK("https://www.amazon.com/Compressor-Saver-Generic-Capacitor-CSR-U2/dp/B09HZ42ZK1/ref=sr_1_28?keywords=5-2-1+CSRU1+Compressor+Saver%2C+1+to+3+Tons&amp;qid=1694734741&amp;sr=8-28", "https://www.amazon.com/Compressor-Saver-Generic-Capacitor-CSR-U2/dp/B09HZ42ZK1/ref=sr_1_28?keywords=5-2-1+CSRU1+Compressor+Saver%2C+1+to+3+Tons&amp;qid=1694734741&amp;sr=8-28")</f>
        <v/>
      </c>
      <c r="F3014" t="inlineStr">
        <is>
          <t>B09HZ42ZK1</t>
        </is>
      </c>
      <c r="G3014">
        <f>_xludf.IMAGE("https://edmondsonsupply.com/cdn/shop/products/CSRU1.jpg?v=1633030087")</f>
        <v/>
      </c>
      <c r="H3014">
        <f>_xludf.IMAGE("https://m.media-amazon.com/images/I/61snj7xRJkL._AC_UL320_.jpg")</f>
        <v/>
      </c>
      <c r="K3014" t="inlineStr">
        <is>
          <t>34.62</t>
        </is>
      </c>
      <c r="L3014" t="n">
        <v>19.99</v>
      </c>
      <c r="M3014" s="1" t="inlineStr">
        <is>
          <t>-42.26%</t>
        </is>
      </c>
      <c r="N3014" s="1" t="n">
        <v>128.63</v>
      </c>
      <c r="O3014" t="n">
        <v>3.7</v>
      </c>
      <c r="P3014" t="n">
        <v>34</v>
      </c>
      <c r="R3014" t="inlineStr">
        <is>
          <t>InStock</t>
        </is>
      </c>
      <c r="S3014" t="inlineStr">
        <is>
          <t>39.95</t>
        </is>
      </c>
      <c r="T3014" t="inlineStr">
        <is>
          <t>3558315950180</t>
        </is>
      </c>
    </row>
    <row r="3015" ht="87" customHeight="1">
      <c r="A3015" s="2">
        <f>HYPERLINK("https://edmondsonsupply.com/collections/hvac/products/klein-tools-ktsb03-step-drill-bit-double-fluted-3-1-4-to-3-4-inch", "https://edmondsonsupply.com/collections/hvac/products/klein-tools-ktsb03-step-drill-bit-double-fluted-3-1-4-to-3-4-inch")</f>
        <v/>
      </c>
      <c r="B3015" s="2">
        <f>HYPERLINK("https://edmondsonsupply.com/products/klein-tools-ktsb03-step-drill-bit-double-fluted-3-1-4-to-3-4-inch", "https://edmondsonsupply.com/products/klein-tools-ktsb03-step-drill-bit-double-fluted-3-1-4-to-3-4-inch")</f>
        <v/>
      </c>
      <c r="C3015" t="inlineStr">
        <is>
          <t>Klein Tools KTSB03 Step Drill Bit Double Fluted #3, 1/4 to 3/4-Inch</t>
        </is>
      </c>
      <c r="D3015" t="inlineStr">
        <is>
          <t>Klein Tools 25964 Step Drill Bit, 1/8 to 1/2-Inch, Spiral Double-Fluted, Cuts Thin Metal, Plastic, Aluminum, Wood, 1/4-Inch Hex Shank, VACO</t>
        </is>
      </c>
      <c r="E3015" s="2">
        <f>HYPERLINK("https://www.amazon.com/Klein-Tools-25964-Double-Fluted-Aluminum/dp/B0BLF88BQN/ref=sr_1_6?keywords=Klein+Tools+KTSB03+Step+Drill+Bit+Double+Fluted+%233%2C+1%2F4+to+3%2F4-Inch&amp;qid=1694734821&amp;sr=8-6", "https://www.amazon.com/Klein-Tools-25964-Double-Fluted-Aluminum/dp/B0BLF88BQN/ref=sr_1_6?keywords=Klein+Tools+KTSB03+Step+Drill+Bit+Double+Fluted+%233%2C+1%2F4+to+3%2F4-Inch&amp;qid=1694734821&amp;sr=8-6")</f>
        <v/>
      </c>
      <c r="F3015" t="inlineStr">
        <is>
          <t>B0BLF88BQN</t>
        </is>
      </c>
      <c r="G3015">
        <f>_xlfn.IMAGE("https://edmondsonsupply.com/cdn/shop/products/ktsb03.jpg?v=1666012212")</f>
        <v/>
      </c>
      <c r="H3015">
        <f>_xlfn.IMAGE("https://m.media-amazon.com/images/I/41MiVuoi14L._AC_UY218_.jpg")</f>
        <v/>
      </c>
      <c r="K3015" t="inlineStr">
        <is>
          <t>34.99</t>
        </is>
      </c>
      <c r="L3015" t="n">
        <v>19.99</v>
      </c>
      <c r="M3015" s="1" t="inlineStr">
        <is>
          <t>-42.87%</t>
        </is>
      </c>
      <c r="N3015" s="7" t="n">
        <v>128.19</v>
      </c>
      <c r="O3015" t="n">
        <v>4.7</v>
      </c>
      <c r="P3015" t="n">
        <v>4</v>
      </c>
      <c r="R3015" t="inlineStr">
        <is>
          <t>InStock</t>
        </is>
      </c>
      <c r="S3015" t="inlineStr">
        <is>
          <t>47.68</t>
        </is>
      </c>
      <c r="T3015" t="inlineStr">
        <is>
          <t>4174339670116</t>
        </is>
      </c>
    </row>
    <row r="3016" hidden="1" ht="15.75" customHeight="1">
      <c r="A3016" s="2">
        <f>HYPERLINK("https://edmondsonsupply.com/collections/hvac/products/icm-controls-icm206-delay-on-break-timer-with-3-10-minute-time-delay-18-30-vac", "https://edmondsonsupply.com/collections/hvac/products/icm-controls-icm206-delay-on-break-timer-with-3-10-minute-time-delay-18-30-vac")</f>
        <v/>
      </c>
      <c r="B3016" s="2">
        <f>HYPERLINK("https://edmondsonsupply.com/products/icm-controls-icm206-delay-on-break-timer-with-3-10-minute-time-delay-18-30-vac", "https://edmondsonsupply.com/products/icm-controls-icm206-delay-on-break-timer-with-3-10-minute-time-delay-18-30-vac")</f>
        <v/>
      </c>
      <c r="C3016" t="inlineStr">
        <is>
          <t>ICM Controls ICM206 Delay on Break Timer with 3-10 Minute Time Delay, 18-30 VAC</t>
        </is>
      </c>
      <c r="D3016" t="inlineStr">
        <is>
          <t>ICM Controls ICM101F Delay-On-Make Timer with 5 Minutes Fixed Delay and 6 Wire Leads, 18 VAC-30 VAC</t>
        </is>
      </c>
      <c r="E3016" s="2">
        <f>HYPERLINK("https://www.amazon.com/ICM-Controls-ICM101F-Delay-minutes/dp/B00GIOYUJY/ref=sr_1_11?keywords=ICM+Controls+ICM206+Delay+on+Break+Timer+with+3-10+Minute+Time+Delay%2C+18-30+VAC&amp;qid=1694734573&amp;sr=8-11", "https://www.amazon.com/ICM-Controls-ICM101F-Delay-minutes/dp/B00GIOYUJY/ref=sr_1_11?keywords=ICM+Controls+ICM206+Delay+on+Break+Timer+with+3-10+Minute+Time+Delay%2C+18-30+VAC&amp;qid=1694734573&amp;sr=8-11")</f>
        <v/>
      </c>
      <c r="F3016" t="inlineStr">
        <is>
          <t>B00GIOYUJY</t>
        </is>
      </c>
      <c r="G3016">
        <f>_xludf.IMAGE("https://edmondsonsupply.com/cdn/shop/products/61Oa3Tbl-VL._SL1000.jpg?v=1633030862")</f>
        <v/>
      </c>
      <c r="H3016">
        <f>_xludf.IMAGE("https://m.media-amazon.com/images/I/61QTvuquOVL._AC_UL320_.jpg")</f>
        <v/>
      </c>
      <c r="K3016" t="inlineStr">
        <is>
          <t>31.79</t>
        </is>
      </c>
      <c r="L3016" t="n">
        <v>18.07</v>
      </c>
      <c r="M3016" s="1" t="inlineStr">
        <is>
          <t>-43.16%</t>
        </is>
      </c>
      <c r="N3016" s="1" t="n">
        <v>127.81</v>
      </c>
      <c r="O3016" t="n">
        <v>3</v>
      </c>
      <c r="P3016" t="n">
        <v>1</v>
      </c>
      <c r="R3016" t="inlineStr">
        <is>
          <t>InStock</t>
        </is>
      </c>
      <c r="S3016" t="inlineStr">
        <is>
          <t>35.74</t>
        </is>
      </c>
      <c r="T3016" t="inlineStr">
        <is>
          <t>6120854651053</t>
        </is>
      </c>
    </row>
    <row r="3017" ht="87" customHeight="1">
      <c r="A3017" s="2">
        <f>HYPERLINK("https://edmondsonsupply.com/collections/hvac/products/packard-c440c-contactor-4-pole-40-amps-208-240-coil-voltage-1", "https://edmondsonsupply.com/collections/hvac/products/packard-c440c-contactor-4-pole-40-amps-208-240-coil-voltage-1")</f>
        <v/>
      </c>
      <c r="B3017" s="2">
        <f>HYPERLINK("https://edmondsonsupply.com/products/packard-c440c-contactor-4-pole-40-amps-208-240-coil-voltage-1", "https://edmondsonsupply.com/products/packard-c440c-contactor-4-pole-40-amps-208-240-coil-voltage-1")</f>
        <v/>
      </c>
      <c r="C3017" t="inlineStr">
        <is>
          <t>Packard C440C Contactor 4 Pole 40 AMPS 208/240 Coil Voltage</t>
        </is>
      </c>
      <c r="D3017" t="inlineStr">
        <is>
          <t>Packard C340C 3 Pole 40 Amp Contactor 208/240 Volt Coil Contactor</t>
        </is>
      </c>
      <c r="E3017" s="2">
        <f>HYPERLINK("https://www.amazon.com/Packard-C340C-Pole-Contactor-Volt/dp/B004ZRWGGA/ref=sr_1_1?keywords=Packard+C440C+Contactor+4+Pole+40+AMPS+208%2F240+Coil+Voltage&amp;qid=1694734674&amp;sr=8-1", "https://www.amazon.com/Packard-C340C-Pole-Contactor-Volt/dp/B004ZRWGGA/ref=sr_1_1?keywords=Packard+C440C+Contactor+4+Pole+40+AMPS+208%2F240+Coil+Voltage&amp;qid=1694734674&amp;sr=8-1")</f>
        <v/>
      </c>
      <c r="F3017" t="inlineStr">
        <is>
          <t>B004ZRWGGA</t>
        </is>
      </c>
      <c r="G3017">
        <f>_xlfn.IMAGE("https://edmondsonsupply.com/cdn/shop/products/packard_c440c_xl_1_536437f5-bc6f-4278-8bf8-da7e8512e77e.jpg?v=1587144444")</f>
        <v/>
      </c>
      <c r="H3017">
        <f>_xlfn.IMAGE("https://m.media-amazon.com/images/I/71LfPG7H6RL._AC_UY218_.jpg")</f>
        <v/>
      </c>
      <c r="K3017" t="inlineStr">
        <is>
          <t>46.61</t>
        </is>
      </c>
      <c r="L3017" t="n">
        <v>26.45</v>
      </c>
      <c r="M3017" s="1" t="inlineStr">
        <is>
          <t>-43.25%</t>
        </is>
      </c>
      <c r="N3017" s="7" t="n">
        <v>127.78</v>
      </c>
      <c r="O3017" t="n">
        <v>4.4</v>
      </c>
      <c r="P3017" t="n">
        <v>131</v>
      </c>
      <c r="R3017" t="inlineStr">
        <is>
          <t>InStock</t>
        </is>
      </c>
      <c r="S3017" t="inlineStr">
        <is>
          <t>undefined</t>
        </is>
      </c>
      <c r="T3017" t="inlineStr">
        <is>
          <t>4175222997092</t>
        </is>
      </c>
    </row>
    <row r="3018" ht="87" customHeight="1">
      <c r="A3018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018" s="2">
        <f>HYPERLINK("https://edmondsonsupply.com/products/klein-tools-935dag-digital-angle-gauge-and-level", "https://edmondsonsupply.com/products/klein-tools-935dag-digital-angle-gauge-and-level")</f>
        <v/>
      </c>
      <c r="C3018" t="inlineStr">
        <is>
          <t>Klein Tools 935DAG Digital Angle Gauge and Level</t>
        </is>
      </c>
      <c r="D3018" t="inlineStr">
        <is>
          <t>Sanliang Digital Level Angle Gauge Meter Magnetic Electronic Level Angle Finder Tool Protractor Inclinometer Woodworking Tools with Magnet for Construction, Woodworking and Machinery.</t>
        </is>
      </c>
      <c r="E3018" s="2">
        <f>HYPERLINK("https://www.amazon.com/Electronic-Protractor-Inclinometer-Woodworking-Construction/dp/B0C1NGVBMS/ref=sr_1_26?keywords=Klein+Tools+935DAG+Digital+Angle+Gauge+and+Level&amp;qid=1694734733&amp;sr=8-26", "https://www.amazon.com/Electronic-Protractor-Inclinometer-Woodworking-Construction/dp/B0C1NGVBMS/ref=sr_1_26?keywords=Klein+Tools+935DAG+Digital+Angle+Gauge+and+Level&amp;qid=1694734733&amp;sr=8-26")</f>
        <v/>
      </c>
      <c r="F3018" t="inlineStr">
        <is>
          <t>B0C1NGVBMS</t>
        </is>
      </c>
      <c r="G3018">
        <f>_xlfn.IMAGE("https://edmondsonsupply.com/cdn/shop/products/935dag.jpg?v=1587145032")</f>
        <v/>
      </c>
      <c r="H3018">
        <f>_xlfn.IMAGE("https://m.media-amazon.com/images/I/712O5tPGtAL._AC_UL320_.jpg")</f>
        <v/>
      </c>
      <c r="K3018" t="inlineStr">
        <is>
          <t>29.97</t>
        </is>
      </c>
      <c r="L3018" t="n">
        <v>16.99</v>
      </c>
      <c r="M3018" s="1" t="inlineStr">
        <is>
          <t>-43.31%</t>
        </is>
      </c>
      <c r="N3018" s="7" t="n">
        <v>127.72</v>
      </c>
      <c r="O3018" t="n">
        <v>4.4</v>
      </c>
      <c r="P3018" t="n">
        <v>48</v>
      </c>
      <c r="R3018" t="inlineStr">
        <is>
          <t>InStock</t>
        </is>
      </c>
      <c r="S3018" t="inlineStr">
        <is>
          <t>45.0</t>
        </is>
      </c>
      <c r="T3018" t="inlineStr">
        <is>
          <t>4167487094884</t>
        </is>
      </c>
    </row>
    <row r="3019" hidden="1" ht="15.75" customHeight="1">
      <c r="A3019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3019" s="2">
        <f>HYPERLINK("https://edmondsonsupply.com/products/klein-tools-3005cr-ratcheting-crimper-10-22-awg", "https://edmondsonsupply.com/products/klein-tools-3005cr-ratcheting-crimper-10-22-awg")</f>
        <v/>
      </c>
      <c r="C3019" t="inlineStr">
        <is>
          <t>Klein Tools 3005CR Ratcheting Crimper, 10-22 AWG - Insulated Terminals</t>
        </is>
      </c>
      <c r="D3019" t="inlineStr">
        <is>
          <t>Insulated Wire Crimper,LX-30J Ratchet Crimping Tool Pliers Crimps Insulated Terminals, Wire Terminals Connectors Ratcheting Crimper Plier Tool for 22-10AWG</t>
        </is>
      </c>
      <c r="E3019" s="2">
        <f>HYPERLINK("https://www.amazon.com/Insulated-Crimping-Terminals-Connectors-Ratcheting/dp/B07HB4V2HB/ref=sr_1_31?keywords=Klein+Tools+3005CR+Ratcheting+Crimper%2C+10-22+AWG+-+Insulated+Terminals&amp;qid=1694734673&amp;sr=8-31", "https://www.amazon.com/Insulated-Crimping-Terminals-Connectors-Ratcheting/dp/B07HB4V2HB/ref=sr_1_31?keywords=Klein+Tools+3005CR+Ratcheting+Crimper%2C+10-22+AWG+-+Insulated+Terminals&amp;qid=1694734673&amp;sr=8-31")</f>
        <v/>
      </c>
      <c r="F3019" t="inlineStr">
        <is>
          <t>B07HB4V2HB</t>
        </is>
      </c>
      <c r="G3019">
        <f>_xludf.IMAGE("https://edmondsonsupply.com/cdn/shop/products/3005cr.jpg?v=1587146892")</f>
        <v/>
      </c>
      <c r="H3019">
        <f>_xludf.IMAGE("https://m.media-amazon.com/images/I/61j495wfjLL._AC_UL320_.jpg")</f>
        <v/>
      </c>
      <c r="K3019" t="inlineStr">
        <is>
          <t>29.97</t>
        </is>
      </c>
      <c r="L3019" t="n">
        <v>16.99</v>
      </c>
      <c r="M3019" s="1" t="inlineStr">
        <is>
          <t>-43.31%</t>
        </is>
      </c>
      <c r="N3019" s="1" t="n">
        <v>127.45</v>
      </c>
      <c r="O3019" t="n">
        <v>4</v>
      </c>
      <c r="P3019" t="n">
        <v>41</v>
      </c>
      <c r="R3019" t="inlineStr">
        <is>
          <t>InStock</t>
        </is>
      </c>
      <c r="S3019" t="inlineStr">
        <is>
          <t>42.9</t>
        </is>
      </c>
      <c r="T3019" t="inlineStr">
        <is>
          <t>3699388907620</t>
        </is>
      </c>
    </row>
    <row r="3020" hidden="1" ht="15.75" customHeight="1">
      <c r="A3020" s="2">
        <f>HYPERLINK("https://edmondsonsupply.com/collections/hvac/products/reed-mfg-tck75slr-3-4-c-cutter-copper-tubing-cutter", "https://edmondsonsupply.com/collections/hvac/products/reed-mfg-tck75slr-3-4-c-cutter-copper-tubing-cutter")</f>
        <v/>
      </c>
      <c r="B3020" s="2">
        <f>HYPERLINK("https://edmondsonsupply.com/products/reed-mfg-tck75slr-3-4-c-cutter-copper-tubing-cutter", "https://edmondsonsupply.com/products/reed-mfg-tck75slr-3-4-c-cutter-copper-tubing-cutter")</f>
        <v/>
      </c>
      <c r="C3020" t="inlineStr">
        <is>
          <t>Reed Mfg TCK75SLR 3/4" C-Cutter, Copper Tubing Cutter</t>
        </is>
      </c>
      <c r="D3020" t="inlineStr">
        <is>
          <t>DURATECH Mini Tubing Cutter 1/8"-3/4"(3-19MM), Copper, Aluminum, Brass And Plastic Tubing Compact Cutter, With Replacement Wheel</t>
        </is>
      </c>
      <c r="E3020" s="2">
        <f>HYPERLINK("https://www.amazon.com/DURATECH-Aluminum-Plastic-Compact-Replacement/dp/B0B8SBJDZ3/ref=sr_1_20?keywords=Reed+Mfg+TCK75SLR+3%2F4%22+C-Cutter%2C+Copper+Tubing+Cutter&amp;qid=1694734774&amp;sr=8-20", "https://www.amazon.com/DURATECH-Aluminum-Plastic-Compact-Replacement/dp/B0B8SBJDZ3/ref=sr_1_20?keywords=Reed+Mfg+TCK75SLR+3%2F4%22+C-Cutter%2C+Copper+Tubing+Cutter&amp;qid=1694734774&amp;sr=8-20")</f>
        <v/>
      </c>
      <c r="F3020" t="inlineStr">
        <is>
          <t>B0B8SBJDZ3</t>
        </is>
      </c>
      <c r="G3020">
        <f>_xludf.IMAGE("https://edmondsonsupply.com/cdn/shop/products/03413-TCK75SLR-RGB.jpg?v=1633030942")</f>
        <v/>
      </c>
      <c r="H3020">
        <f>_xludf.IMAGE("https://m.media-amazon.com/images/I/71lmwVHQMmL._AC_UL320_.jpg")</f>
        <v/>
      </c>
      <c r="K3020" t="inlineStr">
        <is>
          <t>17.63</t>
        </is>
      </c>
      <c r="L3020" t="n">
        <v>9.99</v>
      </c>
      <c r="M3020" s="1" t="inlineStr">
        <is>
          <t>-43.34%</t>
        </is>
      </c>
      <c r="N3020" s="1" t="n">
        <v>127.11</v>
      </c>
      <c r="O3020" t="n">
        <v>4.2</v>
      </c>
      <c r="P3020" t="n">
        <v>101</v>
      </c>
      <c r="R3020" t="inlineStr">
        <is>
          <t>InStock</t>
        </is>
      </c>
      <c r="S3020" t="inlineStr">
        <is>
          <t>19.99</t>
        </is>
      </c>
      <c r="T3020" t="inlineStr">
        <is>
          <t>6581568340141</t>
        </is>
      </c>
    </row>
    <row r="3021" hidden="1" ht="15.75" customHeight="1">
      <c r="A3021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3021" s="2">
        <f>HYPERLINK("https://edmondsonsupply.com/products/klein-tools-65064-2-in-1-hex-head-screwdriver-1-4-5-16", "https://edmondsonsupply.com/products/klein-tools-65064-2-in-1-hex-head-screwdriver-1-4-5-16")</f>
        <v/>
      </c>
      <c r="C3021" t="inlineStr">
        <is>
          <t>Klein Tools 65064 2-in-1 Nut Driver, Hex Head, 1/4-Inch and 5/16-Inch</t>
        </is>
      </c>
      <c r="D3021" t="inlineStr">
        <is>
          <t>Klein Tools 630-5/16 Nut Driver, 5/16-Inch Tip Nut Driver with 3-Inch Hollow Shaft, Cushion Grip Handle</t>
        </is>
      </c>
      <c r="E3021" s="2">
        <f>HYPERLINK("https://www.amazon.com/16-Inch-Klein-Tools-630-5-16/dp/B001BY0ESW/ref=sr_1_16?keywords=Klein+Tools+65064+2-in-1+Nut+Driver%2C+Hex+Head%2C+1%2F4-Inch+and+5%2F16-Inch&amp;qid=1694734734&amp;sr=8-16", "https://www.amazon.com/16-Inch-Klein-Tools-630-5-16/dp/B001BY0ESW/ref=sr_1_16?keywords=Klein+Tools+65064+2-in-1+Nut+Driver%2C+Hex+Head%2C+1%2F4-Inch+and+5%2F16-Inch&amp;qid=1694734734&amp;sr=8-16")</f>
        <v/>
      </c>
      <c r="F3021" t="inlineStr">
        <is>
          <t>B001BY0ESW</t>
        </is>
      </c>
      <c r="G3021">
        <f>_xludf.IMAGE("https://edmondsonsupply.com/cdn/shop/products/65064.jpg?v=1587147719")</f>
        <v/>
      </c>
      <c r="H3021">
        <f>_xludf.IMAGE("https://m.media-amazon.com/images/I/41Cj8-Y8KnL._AC_UL320_.jpg")</f>
        <v/>
      </c>
      <c r="K3021" t="inlineStr">
        <is>
          <t>15.97</t>
        </is>
      </c>
      <c r="L3021" t="n">
        <v>8.99</v>
      </c>
      <c r="M3021" s="1" t="inlineStr">
        <is>
          <t>-43.71%</t>
        </is>
      </c>
      <c r="N3021" s="1" t="n">
        <v>126.76</v>
      </c>
      <c r="O3021" t="n">
        <v>4.8</v>
      </c>
      <c r="P3021" t="n">
        <v>2069</v>
      </c>
      <c r="R3021" t="inlineStr">
        <is>
          <t>InStock</t>
        </is>
      </c>
      <c r="S3021" t="inlineStr">
        <is>
          <t>23.36</t>
        </is>
      </c>
      <c r="T3021" t="inlineStr">
        <is>
          <t>1707342889060</t>
        </is>
      </c>
    </row>
    <row r="3022" ht="87" customHeight="1">
      <c r="A3022" s="2">
        <f>HYPERLINK("https://edmondsonsupply.com/collections/hvac/products/klein-tools-et450-advanced-circuit-tracer-kit", "https://edmondsonsupply.com/collections/hvac/products/klein-tools-et450-advanced-circuit-tracer-kit")</f>
        <v/>
      </c>
      <c r="B3022" s="2">
        <f>HYPERLINK("https://edmondsonsupply.com/products/klein-tools-et450-advanced-circuit-tracer-kit", "https://edmondsonsupply.com/products/klein-tools-et450-advanced-circuit-tracer-kit")</f>
        <v/>
      </c>
      <c r="C3022" t="inlineStr">
        <is>
          <t>Klein Tools ET450 Advanced Circuit Tracer Kit</t>
        </is>
      </c>
      <c r="D3022" t="inlineStr">
        <is>
          <t>Klein Tools VDV500-820 Cable Tracer with Probe Tone Pro Kit &amp; 80016 Circuit Breaker Finder Tool Kit with Accessories, 2-Piece Set, Includes Cat. No. ET310 and Cat. No. 69411</t>
        </is>
      </c>
      <c r="E3022" s="2">
        <f>HYPERLINK("https://www.amazon.com/Klein-Tools-VDV500-820-Circuit-Accessories/dp/B0BXK8N2GP/ref=sr_1_15?keywords=Klein+Tools+ET450+Advanced+Circuit+Tracer+Kit&amp;qid=1694734693&amp;sr=8-15", "https://www.amazon.com/Klein-Tools-VDV500-820-Circuit-Accessories/dp/B0BXK8N2GP/ref=sr_1_15?keywords=Klein+Tools+ET450+Advanced+Circuit+Tracer+Kit&amp;qid=1694734693&amp;sr=8-15")</f>
        <v/>
      </c>
      <c r="F3022" t="inlineStr">
        <is>
          <t>B0BXK8N2GP</t>
        </is>
      </c>
      <c r="G3022">
        <f>_xlfn.IMAGE("https://edmondsonsupply.com/cdn/shop/products/et450.jpg?v=1660165248")</f>
        <v/>
      </c>
      <c r="H3022">
        <f>_xlfn.IMAGE("https://m.media-amazon.com/images/I/51ARmG8WaXL._AC_UL320_.jpg")</f>
        <v/>
      </c>
      <c r="K3022" t="inlineStr">
        <is>
          <t>239.99</t>
        </is>
      </c>
      <c r="L3022" t="n">
        <v>134.96</v>
      </c>
      <c r="M3022" s="1" t="inlineStr">
        <is>
          <t>-43.76%</t>
        </is>
      </c>
      <c r="N3022" s="7" t="n">
        <v>126.03</v>
      </c>
      <c r="O3022" t="n">
        <v>4.6</v>
      </c>
      <c r="P3022" t="n">
        <v>3</v>
      </c>
      <c r="R3022" t="inlineStr">
        <is>
          <t>InStock</t>
        </is>
      </c>
      <c r="S3022" t="inlineStr">
        <is>
          <t>359.98</t>
        </is>
      </c>
      <c r="T3022" t="inlineStr">
        <is>
          <t>7778011971800</t>
        </is>
      </c>
    </row>
    <row r="3023" ht="87" customHeight="1">
      <c r="A3023" s="2">
        <f>HYPERLINK("https://edmondsonsupply.com/collections/hvac/products/malco-tools-m2007-max2000%C2%AE-offset-aviation-snip-right-cutting", "https://edmondsonsupply.com/collections/hvac/products/malco-tools-m2007-max2000%C2%AE-offset-aviation-snip-right-cutting")</f>
        <v/>
      </c>
      <c r="B3023" s="2">
        <f>HYPERLINK("https://edmondsonsupply.com/products/malco-tools-m2007-max2000%c2%ae-offset-aviation-snip-right-cutting", "https://edmondsonsupply.com/products/malco-tools-m2007-max2000%c2%ae-offset-aviation-snip-right-cutting")</f>
        <v/>
      </c>
      <c r="C3023" t="inlineStr">
        <is>
          <t>Malco Tools M2007 Max2000® Offset Aviation Snip - Right Cutting</t>
        </is>
      </c>
      <c r="D3023" t="inlineStr">
        <is>
          <t>Malco AVM7 Mini Offset Aviation Snip, Right Cutting</t>
        </is>
      </c>
      <c r="E3023" s="2">
        <f>HYPERLINK("https://www.amazon.com/Malco-AVM7-Offset-Aviation-Cutting/dp/B00QV2NOS6/ref=sr_1_6?keywords=Malco+Tools+M2007+Max2000%C2%AE+Offset+Aviation+Snip+-+Right+Cutting&amp;qid=1694734717&amp;sr=8-6", "https://www.amazon.com/Malco-AVM7-Offset-Aviation-Cutting/dp/B00QV2NOS6/ref=sr_1_6?keywords=Malco+Tools+M2007+Max2000%C2%AE+Offset+Aviation+Snip+-+Right+Cutting&amp;qid=1694734717&amp;sr=8-6")</f>
        <v/>
      </c>
      <c r="F3023" t="inlineStr">
        <is>
          <t>B00QV2NOS6</t>
        </is>
      </c>
      <c r="G3023">
        <f>_xlfn.IMAGE("https://edmondsonsupply.com/cdn/shop/products/m2007.jpg?v=1633030573")</f>
        <v/>
      </c>
      <c r="H3023">
        <f>_xlfn.IMAGE("https://m.media-amazon.com/images/I/51PQxD-X5RL._AC_UL320_.jpg")</f>
        <v/>
      </c>
      <c r="K3023" t="inlineStr">
        <is>
          <t>42.99</t>
        </is>
      </c>
      <c r="L3023" t="n">
        <v>24.09</v>
      </c>
      <c r="M3023" s="1" t="inlineStr">
        <is>
          <t>-43.96%</t>
        </is>
      </c>
      <c r="N3023" s="7" t="n">
        <v>126.02</v>
      </c>
      <c r="O3023" t="n">
        <v>4.5</v>
      </c>
      <c r="P3023" t="n">
        <v>145</v>
      </c>
      <c r="R3023" t="inlineStr">
        <is>
          <t>InStock</t>
        </is>
      </c>
      <c r="S3023" t="inlineStr">
        <is>
          <t>45.82</t>
        </is>
      </c>
      <c r="T3023" t="inlineStr">
        <is>
          <t>5517863682216</t>
        </is>
      </c>
    </row>
    <row r="3024" hidden="1" ht="15.75" customHeight="1">
      <c r="A3024" s="2">
        <f>HYPERLINK("https://edmondsonsupply.com/collections/hvac/products/milwaukee-49-90-1900-hepa-filter", "https://edmondsonsupply.com/collections/hvac/products/milwaukee-49-90-1900-hepa-filter")</f>
        <v/>
      </c>
      <c r="B3024" s="2">
        <f>HYPERLINK("https://edmondsonsupply.com/products/milwaukee-49-90-1900-hepa-filter", "https://edmondsonsupply.com/products/milwaukee-49-90-1900-hepa-filter")</f>
        <v/>
      </c>
      <c r="C3024" t="inlineStr">
        <is>
          <t>Milwaukee 49-90-1900 HEPA Filter</t>
        </is>
      </c>
      <c r="D3024" t="inlineStr">
        <is>
          <t>LICHIFIT Replacement Vacuum HEPA Filter for Milwaukee 49-90-1900 VAC 0780-20/0880-20</t>
        </is>
      </c>
      <c r="E3024" s="2">
        <f>HYPERLINK("https://www.amazon.com/LICHIFIT-Replacement-Washable-Milwaukee-49-90-1900/dp/B07QVC52GF/ref=sr_1_20?keywords=Milwaukee+49-90-1900+HEPA+Filter&amp;qid=1694734913&amp;sr=8-20", "https://www.amazon.com/LICHIFIT-Replacement-Washable-Milwaukee-49-90-1900/dp/B07QVC52GF/ref=sr_1_20?keywords=Milwaukee+49-90-1900+HEPA+Filter&amp;qid=1694734913&amp;sr=8-20")</f>
        <v/>
      </c>
      <c r="F3024" t="inlineStr">
        <is>
          <t>B07QVC52GF</t>
        </is>
      </c>
      <c r="G3024">
        <f>_xludf.IMAGE("https://edmondsonsupply.com/cdn/shop/files/49-90-1900_1.png?v=1686234774")</f>
        <v/>
      </c>
      <c r="H3024">
        <f>_xludf.IMAGE("https://m.media-amazon.com/images/I/61Wt41veYQL._AC_UL320_.jpg")</f>
        <v/>
      </c>
      <c r="K3024" t="inlineStr">
        <is>
          <t>24.98</t>
        </is>
      </c>
      <c r="L3024" t="n">
        <v>13.99</v>
      </c>
      <c r="M3024" s="1" t="inlineStr">
        <is>
          <t>-44.00%</t>
        </is>
      </c>
      <c r="N3024" s="1" t="n">
        <v>125.93</v>
      </c>
      <c r="O3024" t="n">
        <v>4.5</v>
      </c>
      <c r="P3024" t="n">
        <v>46</v>
      </c>
      <c r="R3024" t="inlineStr">
        <is>
          <t>InStock</t>
        </is>
      </c>
      <c r="S3024" t="inlineStr">
        <is>
          <t>40.0</t>
        </is>
      </c>
      <c r="T3024" t="inlineStr">
        <is>
          <t>8002625306840</t>
        </is>
      </c>
    </row>
    <row r="3025" hidden="1" ht="15.75" customHeight="1">
      <c r="A3025" s="2">
        <f>HYPERLINK("https://edmondsonsupply.com/collections/hvac/products/icm-controls-icm2805a-furnace-control-board-replacement-for-nordyne", "https://edmondsonsupply.com/collections/hvac/products/icm-controls-icm2805a-furnace-control-board-replacement-for-nordyne")</f>
        <v/>
      </c>
      <c r="B3025" s="2">
        <f>HYPERLINK("https://edmondsonsupply.com/products/icm-controls-icm2805a-furnace-control-board-replacement-for-nordyne", "https://edmondsonsupply.com/products/icm-controls-icm2805a-furnace-control-board-replacement-for-nordyne")</f>
        <v/>
      </c>
      <c r="C3025" t="inlineStr">
        <is>
          <t>ICM Controls ICM2805A Furnace Control Board - Replacement for Nordyne</t>
        </is>
      </c>
      <c r="D3025" t="inlineStr">
        <is>
          <t>ICM Controls ICM-2810 Furnace Control Board For Goodman PCBBF136 and PCBBF140</t>
        </is>
      </c>
      <c r="E3025" s="2">
        <f>HYPERLINK("https://www.amazon.com/ICM-Controls-ICM-2810-PCBBF136-PCBBF140/dp/B078KMX2V9/ref=sr_1_17?keywords=ICM+Controls+ICM2805A+Furnace+Control+Board+-+Replacement+for+Nordyne&amp;qid=1694734623&amp;sr=8-17", "https://www.amazon.com/ICM-Controls-ICM-2810-PCBBF136-PCBBF140/dp/B078KMX2V9/ref=sr_1_17?keywords=ICM+Controls+ICM2805A+Furnace+Control+Board+-+Replacement+for+Nordyne&amp;qid=1694734623&amp;sr=8-17")</f>
        <v/>
      </c>
      <c r="F3025" t="inlineStr">
        <is>
          <t>B078KMX2V9</t>
        </is>
      </c>
      <c r="G3025">
        <f>_xludf.IMAGE("https://edmondsonsupply.com/cdn/shop/products/57_3_42a53dd2-02e8-4469-bc0c-0265897201e7.jpg?v=1633031145")</f>
        <v/>
      </c>
      <c r="H3025">
        <f>_xludf.IMAGE("https://m.media-amazon.com/images/I/51UFjRz3HyL._AC_UL320_.jpg")</f>
        <v/>
      </c>
      <c r="K3025" t="inlineStr">
        <is>
          <t>116.59</t>
        </is>
      </c>
      <c r="L3025" t="n">
        <v>64.95</v>
      </c>
      <c r="M3025" s="1" t="inlineStr">
        <is>
          <t>-44.29%</t>
        </is>
      </c>
      <c r="N3025" s="1" t="n">
        <v>125.89</v>
      </c>
      <c r="O3025" t="n">
        <v>4</v>
      </c>
      <c r="P3025" t="n">
        <v>18</v>
      </c>
      <c r="R3025" t="inlineStr">
        <is>
          <t>InStock</t>
        </is>
      </c>
      <c r="S3025" t="inlineStr">
        <is>
          <t>161.12</t>
        </is>
      </c>
      <c r="T3025" t="inlineStr">
        <is>
          <t>6892060639405</t>
        </is>
      </c>
    </row>
    <row r="3026" ht="87" customHeight="1">
      <c r="A3026" s="2">
        <f>HYPERLINK("https://edmondsonsupply.com/collections/hvac/products/wiha-tools-66981-13-piece-ball-end-color-coded-hex-l-key-set-inch", "https://edmondsonsupply.com/collections/hvac/products/wiha-tools-66981-13-piece-ball-end-color-coded-hex-l-key-set-inch")</f>
        <v/>
      </c>
      <c r="B3026" s="2">
        <f>HYPERLINK("https://edmondsonsupply.com/products/wiha-tools-66981-13-piece-ball-end-color-coded-hex-l-key-set-inch", "https://edmondsonsupply.com/products/wiha-tools-66981-13-piece-ball-end-color-coded-hex-l-key-set-inch")</f>
        <v/>
      </c>
      <c r="C3026" t="inlineStr">
        <is>
          <t>Wiha Tools 66981 13 Piece Ball End Color Coded Hex L-Key Set - Inch</t>
        </is>
      </c>
      <c r="D3026" t="inlineStr">
        <is>
          <t>Wiha 36991 13-Piece Ball End Long Hex-Inch L-Key Set in ProStar Holder</t>
        </is>
      </c>
      <c r="E3026" s="2">
        <f>HYPERLINK("https://www.amazon.com/Wiha-36991-13-Piece-Hex-Inch-ProStar/dp/B000LSJGQU/ref=sr_1_32?keywords=Wiha+Tools+66981+13+Piece+Ball+End+Color+Coded+Hex+L-Key+Set+-+Inch&amp;qid=1694734873&amp;sr=8-32", "https://www.amazon.com/Wiha-36991-13-Piece-Hex-Inch-ProStar/dp/B000LSJGQU/ref=sr_1_32?keywords=Wiha+Tools+66981+13+Piece+Ball+End+Color+Coded+Hex+L-Key+Set+-+Inch&amp;qid=1694734873&amp;sr=8-32")</f>
        <v/>
      </c>
      <c r="F3026" t="inlineStr">
        <is>
          <t>B000LSJGQU</t>
        </is>
      </c>
      <c r="G3026">
        <f>_xlfn.IMAGE("https://edmondsonsupply.com/cdn/shop/files/d46e6f2ecefba25ae78922fd12be8f1dc56b6ee6_1000x_1d9d5bc7-c590-4e82-817a-f70a00b88949.webp?v=1690834995")</f>
        <v/>
      </c>
      <c r="H3026">
        <f>_xlfn.IMAGE("https://m.media-amazon.com/images/I/611Dt3dWdBL._AC_UL320_.jpg")</f>
        <v/>
      </c>
      <c r="K3026" t="inlineStr">
        <is>
          <t>53.42</t>
        </is>
      </c>
      <c r="L3026" t="n">
        <v>29.71</v>
      </c>
      <c r="M3026" s="1" t="inlineStr">
        <is>
          <t>-44.38%</t>
        </is>
      </c>
      <c r="N3026" s="7" t="n">
        <v>125.89</v>
      </c>
      <c r="O3026" t="n">
        <v>4.2</v>
      </c>
      <c r="P3026" t="n">
        <v>20</v>
      </c>
      <c r="R3026" t="inlineStr">
        <is>
          <t>InStock</t>
        </is>
      </c>
      <c r="S3026" t="inlineStr">
        <is>
          <t>71.22</t>
        </is>
      </c>
      <c r="T3026" t="inlineStr">
        <is>
          <t>8023253450968</t>
        </is>
      </c>
    </row>
    <row r="3027" ht="87" customHeight="1">
      <c r="A3027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3027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3027" t="inlineStr">
        <is>
          <t>Diablo Tools DMAMXCC5030 3-1/4 in. x 7 in. SDS-Max Carbide Tipped Core Bit</t>
        </is>
      </c>
      <c r="D3027" t="inlineStr">
        <is>
          <t>Owl Tools SDS Max Masonry Drill Bit Set (Carbide Tipped - 5 Piece Set) 13" Length in The Following Sizes: 1/2", 5/8", 3/4", 7/8", and 1"</t>
        </is>
      </c>
      <c r="E3027" s="2">
        <f>HYPERLINK("https://www.amazon.com/SDS-Masonry-Drill-Carbide-Tipped/dp/B09WPCPFPR/ref=sr_1_21?keywords=Diablo+Tools+DMAMXCC5030+3-1%2F4+in.+x+7+in.+SDS-Max+Carbide+Tipped+Core+Bit&amp;qid=1694734916&amp;sr=8-21", "https://www.amazon.com/SDS-Masonry-Drill-Carbide-Tipped/dp/B09WPCPFPR/ref=sr_1_21?keywords=Diablo+Tools+DMAMXCC5030+3-1%2F4+in.+x+7+in.+SDS-Max+Carbide+Tipped+Core+Bit&amp;qid=1694734916&amp;sr=8-21")</f>
        <v/>
      </c>
      <c r="F3027" t="inlineStr">
        <is>
          <t>B09WPCPFPR</t>
        </is>
      </c>
      <c r="G3027">
        <f>_xlfn.IMAGE("https://edmondsonsupply.com/cdn/shop/files/gtygiwnduxetozty2qne.webp?v=1686585332")</f>
        <v/>
      </c>
      <c r="H3027">
        <f>_xlfn.IMAGE("https://m.media-amazon.com/images/I/51PRSTmEcgL._AC_UL320_.jpg")</f>
        <v/>
      </c>
      <c r="K3027" t="inlineStr">
        <is>
          <t>125.99</t>
        </is>
      </c>
      <c r="L3027" t="n">
        <v>69.98999999999999</v>
      </c>
      <c r="M3027" s="1" t="inlineStr">
        <is>
          <t>-44.45%</t>
        </is>
      </c>
      <c r="N3027" s="7" t="n">
        <v>125.88</v>
      </c>
      <c r="O3027" t="n">
        <v>4.3</v>
      </c>
      <c r="P3027" t="n">
        <v>19</v>
      </c>
      <c r="R3027" t="inlineStr">
        <is>
          <t>InStock</t>
        </is>
      </c>
      <c r="S3027" t="inlineStr">
        <is>
          <t>201.87</t>
        </is>
      </c>
      <c r="T3027" t="inlineStr">
        <is>
          <t>8004507435224</t>
        </is>
      </c>
    </row>
    <row r="3028" ht="87" customHeight="1">
      <c r="A3028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3028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3028" t="inlineStr">
        <is>
          <t>Diablo Tools DMAMXCC5030 3-1/4 in. x 7 in. SDS-Max Carbide Tipped Core Bit</t>
        </is>
      </c>
      <c r="D3028" t="inlineStr">
        <is>
          <t>Diablo by Freud DMAMX1300 1-1/4 in. x 16 in. x 21 in. Rebar Demon SDS-Max 4-Cutter Carbide-Tipped Hammer Bit</t>
        </is>
      </c>
      <c r="E3028" s="2">
        <f>HYPERLINK("https://www.amazon.com/Diablo-Freud-DMAMX1300-4-Cutter-Carbide-Tipped/dp/B089KX2QSQ/ref=sr_1_19?keywords=Diablo+Tools+DMAMXCC5030+3-1%2F4+in.+x+7+in.+SDS-Max+Carbide+Tipped+Core+Bit&amp;qid=1694734916&amp;sr=8-19", "https://www.amazon.com/Diablo-Freud-DMAMX1300-4-Cutter-Carbide-Tipped/dp/B089KX2QSQ/ref=sr_1_19?keywords=Diablo+Tools+DMAMXCC5030+3-1%2F4+in.+x+7+in.+SDS-Max+Carbide+Tipped+Core+Bit&amp;qid=1694734916&amp;sr=8-19")</f>
        <v/>
      </c>
      <c r="F3028" t="inlineStr">
        <is>
          <t>B089KX2QSQ</t>
        </is>
      </c>
      <c r="G3028">
        <f>_xlfn.IMAGE("https://edmondsonsupply.com/cdn/shop/files/gtygiwnduxetozty2qne.webp?v=1686585332")</f>
        <v/>
      </c>
      <c r="H3028">
        <f>_xlfn.IMAGE("https://m.media-amazon.com/images/I/61pgqdG9SfL._AC_UL320_.jpg")</f>
        <v/>
      </c>
      <c r="K3028" t="inlineStr">
        <is>
          <t>125.99</t>
        </is>
      </c>
      <c r="L3028" t="n">
        <v>69.89</v>
      </c>
      <c r="M3028" s="1" t="inlineStr">
        <is>
          <t>-44.53%</t>
        </is>
      </c>
      <c r="N3028" s="7" t="n">
        <v>125.78</v>
      </c>
      <c r="O3028" t="n">
        <v>5</v>
      </c>
      <c r="P3028" t="n">
        <v>2</v>
      </c>
      <c r="R3028" t="inlineStr">
        <is>
          <t>InStock</t>
        </is>
      </c>
      <c r="S3028" t="inlineStr">
        <is>
          <t>201.87</t>
        </is>
      </c>
      <c r="T3028" t="inlineStr">
        <is>
          <t>8004507435224</t>
        </is>
      </c>
    </row>
    <row r="3029" hidden="1" ht="15.75" customHeight="1">
      <c r="A3029" s="2">
        <f>HYPERLINK("https://edmondsonsupply.com/collections/hvac/products/yellow-jacket-78080-2-gas-test-gauge-3-4-npt-0-30-lb", "https://edmondsonsupply.com/collections/hvac/products/yellow-jacket-78080-2-gas-test-gauge-3-4-npt-0-30-lb")</f>
        <v/>
      </c>
      <c r="B3029" s="2">
        <f>HYPERLINK("https://edmondsonsupply.com/products/yellow-jacket-78080-2-gas-test-gauge-3-4-npt-0-30-lb", "https://edmondsonsupply.com/products/yellow-jacket-78080-2-gas-test-gauge-3-4-npt-0-30-lb")</f>
        <v/>
      </c>
      <c r="C3029" t="inlineStr">
        <is>
          <t>Yellow Jacket 78080 2" Gas Test Gauge - 3/4" NPT - 0-30 lb</t>
        </is>
      </c>
      <c r="D3029" t="inlineStr">
        <is>
          <t>Winters PET Series Steel Dual Scale Gas Test Pressure Gauge with Polycarbonate Lens, 0-30 psi/kpa, 2" Dial Display, +/-3-2-3% Accuracy, 3/4" FNPT Connection</t>
        </is>
      </c>
      <c r="E3029" s="2">
        <f>HYPERLINK("https://www.amazon.com/Winters-Pressure-Polycarbonate-Accuracy-Connection/dp/B0087UDNW2/ref=sr_1_4?keywords=Yellow+Jacket+78080+2%22+Gas+Test+Gauge+-+3%2F4%22+NPT+-+0-30+lb&amp;qid=1694734707&amp;sr=8-4", "https://www.amazon.com/Winters-Pressure-Polycarbonate-Accuracy-Connection/dp/B0087UDNW2/ref=sr_1_4?keywords=Yellow+Jacket+78080+2%22+Gas+Test+Gauge+-+3%2F4%22+NPT+-+0-30+lb&amp;qid=1694734707&amp;sr=8-4")</f>
        <v/>
      </c>
      <c r="F3029" t="inlineStr">
        <is>
          <t>B0087UDNW2</t>
        </is>
      </c>
      <c r="G3029">
        <f>_xludf.IMAGE("https://edmondsonsupply.com/cdn/shop/products/57_2.jpg?v=1633030928")</f>
        <v/>
      </c>
      <c r="H3029">
        <f>_xludf.IMAGE("https://m.media-amazon.com/images/I/716CPrKq9mL._AC_UY218_.jpg")</f>
        <v/>
      </c>
      <c r="K3029" t="inlineStr">
        <is>
          <t>30.8</t>
        </is>
      </c>
      <c r="L3029" t="n">
        <v>17</v>
      </c>
      <c r="M3029" s="1" t="inlineStr">
        <is>
          <t>-44.81%</t>
        </is>
      </c>
      <c r="N3029" s="1" t="n">
        <v>125.78</v>
      </c>
      <c r="O3029" t="n">
        <v>3.8</v>
      </c>
      <c r="P3029" t="n">
        <v>27</v>
      </c>
      <c r="R3029" t="inlineStr">
        <is>
          <t>InStock</t>
        </is>
      </c>
      <c r="S3029" t="inlineStr">
        <is>
          <t>undefined</t>
        </is>
      </c>
      <c r="T3029" t="inlineStr">
        <is>
          <t>6550757965997</t>
        </is>
      </c>
    </row>
    <row r="3030" hidden="1" ht="15.75" customHeight="1">
      <c r="A3030" s="2">
        <f>HYPERLINK("https://edmondsonsupply.com/collections/hvac/products/channellock-431", "https://edmondsonsupply.com/collections/hvac/products/channellock-431")</f>
        <v/>
      </c>
      <c r="B3030" s="2">
        <f>HYPERLINK("https://edmondsonsupply.com/products/channellock-431", "https://edmondsonsupply.com/products/channellock-431")</f>
        <v/>
      </c>
      <c r="C3030" t="inlineStr">
        <is>
          <t>Channellock 432 10-Inch V-Jaw Tongue &amp; Groove Pliers</t>
        </is>
      </c>
      <c r="D3030" t="inlineStr">
        <is>
          <t>Olympia Tools 10-Inch Tongue and Groove Pliers, Straight Jaw Pliers with Cushion grip, 6 Jaw positions, 2.1" Jaw Capacity</t>
        </is>
      </c>
      <c r="E3030" s="2">
        <f>HYPERLINK("https://www.amazon.com/Olympia-Tools-10-Inch-Groove-87-427/dp/B08BCS8BF8/ref=sr_1_6?keywords=Channellock+432+10-Inch+V-Jaw+Tongue+%26+Groove+Pliers&amp;qid=1694734826&amp;sr=8-6", "https://www.amazon.com/Olympia-Tools-10-Inch-Groove-87-427/dp/B08BCS8BF8/ref=sr_1_6?keywords=Channellock+432+10-Inch+V-Jaw+Tongue+%26+Groove+Pliers&amp;qid=1694734826&amp;sr=8-6")</f>
        <v/>
      </c>
      <c r="F3030" t="inlineStr">
        <is>
          <t>B08BCS8BF8</t>
        </is>
      </c>
      <c r="G3030">
        <f>_xludf.IMAGE("https://edmondsonsupply.com/cdn/shop/products/432-683x1024.jpg?v=1587147134")</f>
        <v/>
      </c>
      <c r="H3030">
        <f>_xludf.IMAGE("https://m.media-amazon.com/images/I/71Af9DYxfPL._AC_UL320_.jpg")</f>
        <v/>
      </c>
      <c r="K3030" t="inlineStr">
        <is>
          <t>19.95</t>
        </is>
      </c>
      <c r="L3030" t="n">
        <v>10.99</v>
      </c>
      <c r="M3030" s="1" t="inlineStr">
        <is>
          <t>-44.91%</t>
        </is>
      </c>
      <c r="N3030" s="1" t="n">
        <v>125.6</v>
      </c>
      <c r="O3030" t="n">
        <v>4.6</v>
      </c>
      <c r="P3030" t="n">
        <v>408</v>
      </c>
      <c r="R3030" t="inlineStr">
        <is>
          <t>InStock</t>
        </is>
      </c>
      <c r="S3030" t="inlineStr">
        <is>
          <t>27.63</t>
        </is>
      </c>
      <c r="T3030" t="inlineStr">
        <is>
          <t>3553468317796</t>
        </is>
      </c>
    </row>
    <row r="3031" ht="87" customHeight="1">
      <c r="A3031" s="2">
        <f>HYPERLINK("https://edmondsonsupply.com/collections/hvac/products/greenlee-gsb12-1-3-8-step-bit-12", "https://edmondsonsupply.com/collections/hvac/products/greenlee-gsb12-1-3-8-step-bit-12")</f>
        <v/>
      </c>
      <c r="B3031" s="2">
        <f>HYPERLINK("https://edmondsonsupply.com/products/greenlee-gsb12-1-3-8-step-bit-12", "https://edmondsonsupply.com/products/greenlee-gsb12-1-3-8-step-bit-12")</f>
        <v/>
      </c>
      <c r="C3031" t="inlineStr">
        <is>
          <t>Greenlee GSB12 1-3/8" Step Bit (#12)</t>
        </is>
      </c>
      <c r="D3031" t="inlineStr">
        <is>
          <t>Greenlee GSB12 1-3/8" Step Bit (#12) Metal Cutter with Patented Split-Step Design, 1-3/8" Metal Cutting Tool for 1/2" Drill Chucks</t>
        </is>
      </c>
      <c r="E3031" s="2">
        <f>HYPERLINK("https://www.amazon.com/Greenlee-GSB12-Step-Bit-1-3/dp/B08TVF7KMP/ref=sr_1_1?keywords=Greenlee+GSB12+1-3%2F8%22+Step+Bit+%28%2312%29&amp;qid=1694734895&amp;sr=8-1", "https://www.amazon.com/Greenlee-GSB12-Step-Bit-1-3/dp/B08TVF7KMP/ref=sr_1_1?keywords=Greenlee+GSB12+1-3%2F8%22+Step+Bit+%28%2312%29&amp;qid=1694734895&amp;sr=8-1")</f>
        <v/>
      </c>
      <c r="F3031" t="inlineStr">
        <is>
          <t>B08TVF7KMP</t>
        </is>
      </c>
      <c r="G3031">
        <f>_xlfn.IMAGE("https://edmondsonsupply.com/cdn/shop/files/GSB12_CAT1_72dpi.jpg?v=1687789899")</f>
        <v/>
      </c>
      <c r="H3031">
        <f>_xlfn.IMAGE("https://m.media-amazon.com/images/I/41Z8kxeeZfL._AC_UY218_.jpg")</f>
        <v/>
      </c>
      <c r="K3031" t="inlineStr">
        <is>
          <t>85.79</t>
        </is>
      </c>
      <c r="L3031" t="n">
        <v>47</v>
      </c>
      <c r="M3031" s="1" t="inlineStr">
        <is>
          <t>-45.22%</t>
        </is>
      </c>
      <c r="N3031" s="7" t="n">
        <v>125.57</v>
      </c>
      <c r="O3031" t="n">
        <v>4.8</v>
      </c>
      <c r="P3031" t="n">
        <v>27</v>
      </c>
      <c r="R3031" t="inlineStr">
        <is>
          <t>InStock</t>
        </is>
      </c>
      <c r="S3031" t="inlineStr">
        <is>
          <t>89.25</t>
        </is>
      </c>
      <c r="T3031" t="inlineStr">
        <is>
          <t>8009319743704</t>
        </is>
      </c>
    </row>
    <row r="3032" ht="87" customHeight="1">
      <c r="A3032" s="2">
        <f>HYPERLINK("https://edmondsonsupply.com/collections/hvac/products/klein-tools-86522-straight-hand-seamer-3-inch", "https://edmondsonsupply.com/collections/hvac/products/klein-tools-86522-straight-hand-seamer-3-inch")</f>
        <v/>
      </c>
      <c r="B3032" s="2">
        <f>HYPERLINK("https://edmondsonsupply.com/products/klein-tools-86522-straight-hand-seamer-3-inch", "https://edmondsonsupply.com/products/klein-tools-86522-straight-hand-seamer-3-inch")</f>
        <v/>
      </c>
      <c r="C3032" t="inlineStr">
        <is>
          <t>Klein Tools 86522 Straight Hand Seamer, 3-Inch</t>
        </is>
      </c>
      <c r="D3032" t="inlineStr">
        <is>
          <t>AMERICAN MUTT TOOLS Sheet Metal Hand Seamer - 3 Inch Sheet Metal Bender with 1/4" Depth Markings | Metal Bending Tool, Aluminum Siding Seamer, Straight Seamer, Tong HVAC Hand Seamers Sheet Metal Tools</t>
        </is>
      </c>
      <c r="E3032" s="2">
        <f>HYPERLINK("https://www.amazon.com/AMERICAN-MUTT-TOOLS-Sheet-Seamer/dp/B099CJJBCD/ref=sr_1_5?keywords=Klein+Tools+86522+Straight+Hand+Seamer%2C+3-Inch&amp;qid=1694734803&amp;sr=8-5", "https://www.amazon.com/AMERICAN-MUTT-TOOLS-Sheet-Seamer/dp/B099CJJBCD/ref=sr_1_5?keywords=Klein+Tools+86522+Straight+Hand+Seamer%2C+3-Inch&amp;qid=1694734803&amp;sr=8-5")</f>
        <v/>
      </c>
      <c r="F3032" t="inlineStr">
        <is>
          <t>B099CJJBCD</t>
        </is>
      </c>
      <c r="G3032">
        <f>_xlfn.IMAGE("https://edmondsonsupply.com/cdn/shop/products/86522.jpg?v=1587151096")</f>
        <v/>
      </c>
      <c r="H3032">
        <f>_xlfn.IMAGE("https://m.media-amazon.com/images/I/714oYI06JWL._AC_UL320_.jpg")</f>
        <v/>
      </c>
      <c r="K3032" t="inlineStr">
        <is>
          <t>41.99</t>
        </is>
      </c>
      <c r="L3032" t="n">
        <v>22.99</v>
      </c>
      <c r="M3032" s="1" t="inlineStr">
        <is>
          <t>-45.25%</t>
        </is>
      </c>
      <c r="N3032" s="7" t="n">
        <v>125.36</v>
      </c>
      <c r="O3032" t="n">
        <v>4.2</v>
      </c>
      <c r="P3032" t="n">
        <v>128</v>
      </c>
      <c r="R3032" t="inlineStr">
        <is>
          <t>InStock</t>
        </is>
      </c>
      <c r="S3032" t="inlineStr">
        <is>
          <t>60.3</t>
        </is>
      </c>
      <c r="T3032" t="inlineStr">
        <is>
          <t>4410466992228</t>
        </is>
      </c>
    </row>
    <row r="3033" ht="87" customHeight="1">
      <c r="A3033" s="2">
        <f>HYPERLINK("https://edmondsonsupply.com/collections/hvac/products/klein-tools-86522-straight-hand-seamer-3-inch", "https://edmondsonsupply.com/collections/hvac/products/klein-tools-86522-straight-hand-seamer-3-inch")</f>
        <v/>
      </c>
      <c r="B3033" s="2">
        <f>HYPERLINK("https://edmondsonsupply.com/products/klein-tools-86522-straight-hand-seamer-3-inch", "https://edmondsonsupply.com/products/klein-tools-86522-straight-hand-seamer-3-inch")</f>
        <v/>
      </c>
      <c r="C3033" t="inlineStr">
        <is>
          <t>Klein Tools 86522 Straight Hand Seamer, 3-Inch</t>
        </is>
      </c>
      <c r="D3033" t="inlineStr">
        <is>
          <t>Hurricane Sheet Metal Hand Seamer, 3 Inch Straight Jaw Sheet Metal Bender Tools for Flattening Metal, Ergonomic TyreGrip Handle</t>
        </is>
      </c>
      <c r="E3033" s="2">
        <f>HYPERLINK("https://www.amazon.com/Hurricane-Straight-Flattening-Ergonomic-TyreGrip/dp/B0B5SPNDCM/ref=sr_1_4?keywords=Klein+Tools+86522+Straight+Hand+Seamer%2C+3-Inch&amp;qid=1694734803&amp;sr=8-4", "https://www.amazon.com/Hurricane-Straight-Flattening-Ergonomic-TyreGrip/dp/B0B5SPNDCM/ref=sr_1_4?keywords=Klein+Tools+86522+Straight+Hand+Seamer%2C+3-Inch&amp;qid=1694734803&amp;sr=8-4")</f>
        <v/>
      </c>
      <c r="F3033" t="inlineStr">
        <is>
          <t>B0B5SPNDCM</t>
        </is>
      </c>
      <c r="G3033">
        <f>_xlfn.IMAGE("https://edmondsonsupply.com/cdn/shop/products/86522.jpg?v=1587151096")</f>
        <v/>
      </c>
      <c r="H3033">
        <f>_xlfn.IMAGE("https://m.media-amazon.com/images/I/71MEosrwigL._AC_UL320_.jpg")</f>
        <v/>
      </c>
      <c r="K3033" t="inlineStr">
        <is>
          <t>41.99</t>
        </is>
      </c>
      <c r="L3033" t="n">
        <v>22.99</v>
      </c>
      <c r="M3033" s="1" t="inlineStr">
        <is>
          <t>-45.25%</t>
        </is>
      </c>
      <c r="N3033" s="7" t="n">
        <v>125.16</v>
      </c>
      <c r="O3033" t="n">
        <v>4.5</v>
      </c>
      <c r="P3033" t="n">
        <v>2248</v>
      </c>
      <c r="R3033" t="inlineStr">
        <is>
          <t>InStock</t>
        </is>
      </c>
      <c r="S3033" t="inlineStr">
        <is>
          <t>60.3</t>
        </is>
      </c>
      <c r="T3033" t="inlineStr">
        <is>
          <t>4410466992228</t>
        </is>
      </c>
    </row>
    <row r="3034" hidden="1" ht="15.75" customHeight="1">
      <c r="A3034" s="2">
        <f>HYPERLINK("https://edmondsonsupply.com/collections/hvac/products/white-rodgers-24a34-5-24v-electric-heat-sequencer-dpst-spst", "https://edmondsonsupply.com/collections/hvac/products/white-rodgers-24a34-5-24v-electric-heat-sequencer-dpst-spst")</f>
        <v/>
      </c>
      <c r="B3034" s="2">
        <f>HYPERLINK("https://edmondsonsupply.com/products/white-rodgers-24a34-5-24v-electric-heat-sequencer-dpst-spst", "https://edmondsonsupply.com/products/white-rodgers-24a34-5-24v-electric-heat-sequencer-dpst-spst")</f>
        <v/>
      </c>
      <c r="C3034" t="inlineStr">
        <is>
          <t>White-Rodgers 24A34-5 24V Electric Heat Sequencer, DPST-SPST</t>
        </is>
      </c>
      <c r="D3034" t="inlineStr">
        <is>
          <t>White-Rodgers 24A34-5 Electric Heat Sequencer, 3 Switch</t>
        </is>
      </c>
      <c r="E3034" s="2">
        <f>HYPERLINK("https://www.amazon.com/White-Rodgers-24A34-5-Electric-Sequencer-Switch/dp/B000LDN76A/ref=sr_1_2?keywords=White-Rodgers+24A34-5+24V+Electric+Heat+Sequencer%2C+DPST-SPST&amp;qid=1694734650&amp;sr=8-2", "https://www.amazon.com/White-Rodgers-24A34-5-Electric-Sequencer-Switch/dp/B000LDN76A/ref=sr_1_2?keywords=White-Rodgers+24A34-5+24V+Electric+Heat+Sequencer%2C+DPST-SPST&amp;qid=1694734650&amp;sr=8-2")</f>
        <v/>
      </c>
      <c r="F3034" t="inlineStr">
        <is>
          <t>B000LDN76A</t>
        </is>
      </c>
      <c r="G3034">
        <f>_xludf.IMAGE("https://edmondsonsupply.com/cdn/shop/products/24A34-5.jpg?v=1633030752")</f>
        <v/>
      </c>
      <c r="H3034">
        <f>_xludf.IMAGE("https://m.media-amazon.com/images/I/61UoZ2DTghL._AC_UL320_.jpg")</f>
        <v/>
      </c>
      <c r="K3034" t="inlineStr">
        <is>
          <t>18.31</t>
        </is>
      </c>
      <c r="L3034" t="n">
        <v>9.99</v>
      </c>
      <c r="M3034" s="1" t="inlineStr">
        <is>
          <t>-45.44%</t>
        </is>
      </c>
      <c r="N3034" s="1" t="n">
        <v>125.1</v>
      </c>
      <c r="O3034" t="n">
        <v>4.8</v>
      </c>
      <c r="P3034" t="n">
        <v>8</v>
      </c>
      <c r="R3034" t="inlineStr">
        <is>
          <t>InStock</t>
        </is>
      </c>
      <c r="S3034" t="inlineStr">
        <is>
          <t>46.56</t>
        </is>
      </c>
      <c r="T3034" t="inlineStr">
        <is>
          <t>5891615162536</t>
        </is>
      </c>
    </row>
    <row r="3035" ht="87" customHeight="1">
      <c r="A3035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035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035" t="inlineStr">
        <is>
          <t>Robertshaw 41-224 Hot Surface Furnace Ignitor</t>
        </is>
      </c>
      <c r="D3035" t="inlineStr">
        <is>
          <t>Robertshaw 41-401 Hot Surface Ignitor 271A</t>
        </is>
      </c>
      <c r="E3035" s="2">
        <f>HYPERLINK("https://www.amazon.com/Robertshaw-41-401-Surface-Ignitor-271A/dp/B00Y1PP4HY/ref=sr_1_9?keywords=Robertshaw+41-224+Hot+Surface+Furnace+Ignitor&amp;qid=1694734847&amp;sr=8-9", "https://www.amazon.com/Robertshaw-41-401-Surface-Ignitor-271A/dp/B00Y1PP4HY/ref=sr_1_9?keywords=Robertshaw+41-224+Hot+Surface+Furnace+Ignitor&amp;qid=1694734847&amp;sr=8-9")</f>
        <v/>
      </c>
      <c r="F3035" t="inlineStr">
        <is>
          <t>B00Y1PP4HY</t>
        </is>
      </c>
      <c r="G3035">
        <f>_xlfn.IMAGE("https://edmondsonsupply.com/cdn/shop/files/41-224.jpg?v=1694616534")</f>
        <v/>
      </c>
      <c r="H3035">
        <f>_xlfn.IMAGE("https://m.media-amazon.com/images/I/A1bMFHS0b8L._AC_UL320_.jpg")</f>
        <v/>
      </c>
      <c r="K3035" t="inlineStr">
        <is>
          <t>41.78</t>
        </is>
      </c>
      <c r="L3035" t="n">
        <v>22.76</v>
      </c>
      <c r="M3035" s="1" t="inlineStr">
        <is>
          <t>-45.52%</t>
        </is>
      </c>
      <c r="N3035" s="7" t="n">
        <v>124.72</v>
      </c>
      <c r="O3035" t="n">
        <v>4.8</v>
      </c>
      <c r="P3035" t="n">
        <v>20</v>
      </c>
      <c r="R3035" t="inlineStr">
        <is>
          <t>InStock</t>
        </is>
      </c>
      <c r="S3035" t="inlineStr">
        <is>
          <t>undefined</t>
        </is>
      </c>
      <c r="T3035" t="inlineStr">
        <is>
          <t>8035179692248</t>
        </is>
      </c>
    </row>
    <row r="3036" ht="87" customHeight="1">
      <c r="A3036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036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036" t="inlineStr">
        <is>
          <t>Robertshaw 41-224 Hot Surface Furnace Ignitor</t>
        </is>
      </c>
      <c r="D3036" t="inlineStr">
        <is>
          <t>Robertshaw 41-409 120V Silicon Carbide Hot Surface Gas Furnace Ignitor</t>
        </is>
      </c>
      <c r="E3036" s="2">
        <f>HYPERLINK("https://www.amazon.com/Robertshaw-41-409-Hot-Surface-Ignitor/dp/B000VYOWVI/ref=sr_1_11?keywords=Robertshaw+41-224+Hot+Surface+Furnace+Ignitor&amp;qid=1694734847&amp;sr=8-11", "https://www.amazon.com/Robertshaw-41-409-Hot-Surface-Ignitor/dp/B000VYOWVI/ref=sr_1_11?keywords=Robertshaw+41-224+Hot+Surface+Furnace+Ignitor&amp;qid=1694734847&amp;sr=8-11")</f>
        <v/>
      </c>
      <c r="F3036" t="inlineStr">
        <is>
          <t>B000VYOWVI</t>
        </is>
      </c>
      <c r="G3036">
        <f>_xlfn.IMAGE("https://edmondsonsupply.com/cdn/shop/files/41-224.jpg?v=1694616534")</f>
        <v/>
      </c>
      <c r="H3036">
        <f>_xlfn.IMAGE("https://m.media-amazon.com/images/I/31EeWrdtmvL._AC_UL320_.jpg")</f>
        <v/>
      </c>
      <c r="K3036" t="inlineStr">
        <is>
          <t>41.78</t>
        </is>
      </c>
      <c r="L3036" t="n">
        <v>22.76</v>
      </c>
      <c r="M3036" s="1" t="inlineStr">
        <is>
          <t>-45.52%</t>
        </is>
      </c>
      <c r="N3036" s="7" t="n">
        <v>124.39</v>
      </c>
      <c r="O3036" t="n">
        <v>4.4</v>
      </c>
      <c r="P3036" t="n">
        <v>36</v>
      </c>
      <c r="R3036" t="inlineStr">
        <is>
          <t>InStock</t>
        </is>
      </c>
      <c r="S3036" t="inlineStr">
        <is>
          <t>undefined</t>
        </is>
      </c>
      <c r="T3036" t="inlineStr">
        <is>
          <t>8035179692248</t>
        </is>
      </c>
    </row>
    <row r="3037" hidden="1" ht="15.75" customHeight="1">
      <c r="A3037" s="2">
        <f>HYPERLINK("https://edmondsonsupply.com/collections/hvac/products/malco-mshmlc-4-inch-c-rhex%C2%AE-dual-sided-magnetic-hex-driver", "https://edmondsonsupply.com/collections/hvac/products/malco-mshmlc-4-inch-c-rhex%C2%AE-dual-sided-magnetic-hex-driver")</f>
        <v/>
      </c>
      <c r="B3037" s="2">
        <f>HYPERLINK("https://edmondsonsupply.com/products/malco-mshmlc-4-inch-c-rhex%c2%ae-dual-sided-magnetic-hex-driver", "https://edmondsonsupply.com/products/malco-mshmlc-4-inch-c-rhex%c2%ae-dual-sided-magnetic-hex-driver")</f>
        <v/>
      </c>
      <c r="C3037" t="inlineStr">
        <is>
          <t>Malco Tools MSHMLC 4-Inch C-Rhex Cleanable, Reversible Magnetic Hex Driver, 1/4" &amp; 5/16"</t>
        </is>
      </c>
      <c r="D3037" t="inlineStr">
        <is>
          <t>Malco MSHC2 C-RHEX® Building Construction Series Cleanable, Reversible Magnetic Hex Driver (1/4" &amp; 5/16")</t>
        </is>
      </c>
      <c r="E3037" s="2">
        <f>HYPERLINK("https://www.amazon.com/Malco-MSHC2-Construction-Cleanable-Reversible/dp/B0BX779Y8S/ref=sr_1_4?keywords=Malco+Tools+MSHMLC+4-Inch+C-Rhex+Cleanable%2C+Reversible+Magnetic+Hex+Driver%2C+1%2F4%22+%26+5%2F16%22&amp;qid=1694734740&amp;sr=8-4", "https://www.amazon.com/Malco-MSHC2-Construction-Cleanable-Reversible/dp/B0BX779Y8S/ref=sr_1_4?keywords=Malco+Tools+MSHMLC+4-Inch+C-Rhex+Cleanable%2C+Reversible+Magnetic+Hex+Driver%2C+1%2F4%22+%26+5%2F16%22&amp;qid=1694734740&amp;sr=8-4")</f>
        <v/>
      </c>
      <c r="F3037" t="inlineStr">
        <is>
          <t>B0BX779Y8S</t>
        </is>
      </c>
      <c r="G3037">
        <f>_xludf.IMAGE("https://edmondsonsupply.com/cdn/shop/products/Malco-MSHMLC-CRHEX-Slim-Design.jpg?v=1653096554")</f>
        <v/>
      </c>
      <c r="H3037">
        <f>_xludf.IMAGE("https://m.media-amazon.com/images/I/61Iwy5K7S5L._AC_UL320_.jpg")</f>
        <v/>
      </c>
      <c r="K3037" t="inlineStr">
        <is>
          <t>12.99</t>
        </is>
      </c>
      <c r="L3037" t="n">
        <v>7.05</v>
      </c>
      <c r="M3037" s="1" t="inlineStr">
        <is>
          <t>-45.73%</t>
        </is>
      </c>
      <c r="N3037" s="1" t="n">
        <v>124.33</v>
      </c>
      <c r="O3037" t="n">
        <v>4.7</v>
      </c>
      <c r="P3037" t="n">
        <v>39</v>
      </c>
      <c r="R3037" t="inlineStr">
        <is>
          <t>InStock</t>
        </is>
      </c>
      <c r="S3037" t="inlineStr">
        <is>
          <t>13.23</t>
        </is>
      </c>
      <c r="T3037" t="inlineStr">
        <is>
          <t>3680855097444</t>
        </is>
      </c>
    </row>
    <row r="3038" ht="87" customHeight="1">
      <c r="A3038" s="2">
        <f>HYPERLINK("https://edmondsonsupply.com/collections/hvac/products/diablo-tools-dou250bw3-2-1-2-in-universal-fit-bi-metal-oscillating-blades-for-nail-embedded-wood-3-pack", "https://edmondsonsupply.com/collections/hvac/products/diablo-tools-dou250bw3-2-1-2-in-universal-fit-bi-metal-oscillating-blades-for-nail-embedded-wood-3-pack")</f>
        <v/>
      </c>
      <c r="B3038" s="2">
        <f>HYPERLINK("https://edmondsonsupply.com/products/diablo-tools-dou250bw3-2-1-2-in-universal-fit-bi-metal-oscillating-blades-for-nail-embedded-wood-3-pack", "https://edmondsonsupply.com/products/diablo-tools-dou250bw3-2-1-2-in-universal-fit-bi-metal-oscillating-blades-for-nail-embedded-wood-3-pack")</f>
        <v/>
      </c>
      <c r="C3038" t="inlineStr">
        <is>
          <t>Diablo Tools DOU250BW3 2-1/2 in. Universal Fit Bi-Metal Oscillating Blades for Nail-Embedded Wood (3 pack)</t>
        </is>
      </c>
      <c r="D3038" t="inlineStr">
        <is>
          <t>Diablo 2-1/2 in. Universal Fit Bi-Metal Oscillating Blade for Nail-Embedded Wood</t>
        </is>
      </c>
      <c r="E3038" s="2">
        <f>HYPERLINK("https://www.amazon.com/Diablo-Freud-DOU250BW-Oscillating-Nail-Embedded/dp/B089KWP5Z2/ref=sr_1_2?keywords=Diablo+Tools+DOU250BW3+2-1%2F2+in.+Universal+Fit+Bi-Metal+Oscillating+Blades+for+Nail-Embedded+Wood+%283+pack%29&amp;qid=1694734915&amp;sr=8-2", "https://www.amazon.com/Diablo-Freud-DOU250BW-Oscillating-Nail-Embedded/dp/B089KWP5Z2/ref=sr_1_2?keywords=Diablo+Tools+DOU250BW3+2-1%2F2+in.+Universal+Fit+Bi-Metal+Oscillating+Blades+for+Nail-Embedded+Wood+%283+pack%29&amp;qid=1694734915&amp;sr=8-2")</f>
        <v/>
      </c>
      <c r="F3038" t="inlineStr">
        <is>
          <t>B089KWP5Z2</t>
        </is>
      </c>
      <c r="G3038">
        <f>_xlfn.IMAGE("https://edmondsonsupply.com/cdn/shop/files/xcched1uye7bv2s0ryod_fbd674d3-3cd9-4e2a-a920-451af57abfde.webp?v=1686149226")</f>
        <v/>
      </c>
      <c r="H3038">
        <f>_xlfn.IMAGE("https://m.media-amazon.com/images/I/71fhfiK3NaL._AC_UL320_.jpg")</f>
        <v/>
      </c>
      <c r="K3038" t="inlineStr">
        <is>
          <t>31.32</t>
        </is>
      </c>
      <c r="L3038" t="n">
        <v>16.98</v>
      </c>
      <c r="M3038" s="1" t="inlineStr">
        <is>
          <t>-45.79%</t>
        </is>
      </c>
      <c r="N3038" s="7" t="n">
        <v>124.31</v>
      </c>
      <c r="O3038" t="n">
        <v>4.6</v>
      </c>
      <c r="P3038" t="n">
        <v>31</v>
      </c>
      <c r="R3038" t="inlineStr">
        <is>
          <t>InStock</t>
        </is>
      </c>
      <c r="S3038" t="inlineStr">
        <is>
          <t>49.73</t>
        </is>
      </c>
      <c r="T3038" t="inlineStr">
        <is>
          <t>8002370601176</t>
        </is>
      </c>
    </row>
    <row r="3039" ht="87" customHeight="1">
      <c r="A3039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3039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3039" t="inlineStr">
        <is>
          <t>Diablo Tools DMAMXCC5010 2 in. x 7 in. SDS-Max Carbide Tipped Core Bit</t>
        </is>
      </c>
      <c r="D3039" t="inlineStr">
        <is>
          <t>Diablo DMAPLCC1070 2-11/16 in. SDS-Plus Thin Wall Carbide Tipped Core Bit</t>
        </is>
      </c>
      <c r="E3039" s="2">
        <f>HYPERLINK("https://www.amazon.com/Diablo-DMAPLCC1070-SDS-Plus-Carbide-Tipped/dp/B089M7ZYR7/ref=sr_1_33?keywords=Diablo+Tools+DMAMXCC5010+2+in.+x+7+in.+SDS-Max+Carbide+Tipped+Core+Bit&amp;qid=1694734911&amp;sr=8-33", "https://www.amazon.com/Diablo-DMAPLCC1070-SDS-Plus-Carbide-Tipped/dp/B089M7ZYR7/ref=sr_1_33?keywords=Diablo+Tools+DMAMXCC5010+2+in.+x+7+in.+SDS-Max+Carbide+Tipped+Core+Bit&amp;qid=1694734911&amp;sr=8-33")</f>
        <v/>
      </c>
      <c r="F3039" t="inlineStr">
        <is>
          <t>B089M7ZYR7</t>
        </is>
      </c>
      <c r="G3039">
        <f>_xlfn.IMAGE("https://edmondsonsupply.com/cdn/shop/files/kbs61qpkymnshwvx13k1.webp?v=1686583113")</f>
        <v/>
      </c>
      <c r="H3039">
        <f>_xlfn.IMAGE("https://m.media-amazon.com/images/I/912bV+0A1rL._AC_UL320_.jpg")</f>
        <v/>
      </c>
      <c r="K3039" t="inlineStr">
        <is>
          <t>101.49</t>
        </is>
      </c>
      <c r="L3039" t="n">
        <v>55</v>
      </c>
      <c r="M3039" s="1" t="inlineStr">
        <is>
          <t>-45.81%</t>
        </is>
      </c>
      <c r="N3039" s="7" t="n">
        <v>124.26</v>
      </c>
      <c r="O3039" t="n">
        <v>5</v>
      </c>
      <c r="P3039" t="n">
        <v>2</v>
      </c>
      <c r="R3039" t="inlineStr">
        <is>
          <t>InStock</t>
        </is>
      </c>
      <c r="S3039" t="inlineStr">
        <is>
          <t>161.02</t>
        </is>
      </c>
      <c r="T3039" t="inlineStr">
        <is>
          <t>8004502585560</t>
        </is>
      </c>
    </row>
    <row r="3040" ht="87" customHeight="1">
      <c r="A3040" s="2">
        <f>HYPERLINK("https://edmondsonsupply.com/collections/hvac/products/icm-controls-icm492-single-phase-line-voltage-monitor", "https://edmondsonsupply.com/collections/hvac/products/icm-controls-icm492-single-phase-line-voltage-monitor")</f>
        <v/>
      </c>
      <c r="B3040" s="2">
        <f>HYPERLINK("https://edmondsonsupply.com/products/icm-controls-icm492-single-phase-line-voltage-monitor", "https://edmondsonsupply.com/products/icm-controls-icm492-single-phase-line-voltage-monitor")</f>
        <v/>
      </c>
      <c r="C3040" t="inlineStr">
        <is>
          <t>ICM Controls ICM492 Single Phase Line Voltage Monitor</t>
        </is>
      </c>
      <c r="D3040" t="inlineStr">
        <is>
          <t>ICM Controls ICM401 Three-Phase Line Voltage Monitor Offering Protection Against Phase Loss/Reversal and Unbalance; 50/60 Hz, 190-600 VAC (18-30 Control VAC)</t>
        </is>
      </c>
      <c r="E3040" s="2">
        <f>HYPERLINK("https://www.amazon.com/ICM-Controls-ICM401-Three-Phase-Protection/dp/B004I5817C/ref=sr_1_4?keywords=ICM+Controls+ICM492+Single+Phase+Line+Voltage+Monitor&amp;qid=1694734589&amp;sr=8-4", "https://www.amazon.com/ICM-Controls-ICM401-Three-Phase-Protection/dp/B004I5817C/ref=sr_1_4?keywords=ICM+Controls+ICM492+Single+Phase+Line+Voltage+Monitor&amp;qid=1694734589&amp;sr=8-4")</f>
        <v/>
      </c>
      <c r="F3040" t="inlineStr">
        <is>
          <t>B004I5817C</t>
        </is>
      </c>
      <c r="G3040">
        <f>_xlfn.IMAGE("https://edmondsonsupply.com/cdn/shop/products/photo_3666_medium_19efda5b-a59a-4ff4-8872-2cd0c4aa35aa.png?v=1665085673")</f>
        <v/>
      </c>
      <c r="H3040">
        <f>_xlfn.IMAGE("https://m.media-amazon.com/images/I/61T2FryJHhL._AC_UL320_.jpg")</f>
        <v/>
      </c>
      <c r="K3040" t="inlineStr">
        <is>
          <t>89.99</t>
        </is>
      </c>
      <c r="L3040" t="n">
        <v>48.5</v>
      </c>
      <c r="M3040" s="1" t="inlineStr">
        <is>
          <t>-46.11%</t>
        </is>
      </c>
      <c r="N3040" s="7" t="n">
        <v>124.17</v>
      </c>
      <c r="O3040" t="n">
        <v>4.1</v>
      </c>
      <c r="P3040" t="n">
        <v>11</v>
      </c>
      <c r="R3040" t="inlineStr">
        <is>
          <t>InStock</t>
        </is>
      </c>
      <c r="S3040" t="inlineStr">
        <is>
          <t>94.5</t>
        </is>
      </c>
      <c r="T3040" t="inlineStr">
        <is>
          <t>7842397257944</t>
        </is>
      </c>
    </row>
    <row r="3041" ht="87" customHeight="1">
      <c r="A3041" s="2">
        <f>HYPERLINK("https://edmondsonsupply.com/collections/hvac/products/milwaukee-2997-22-m18-fuel%E2%84%A2-2-tool-combo-kit-hammer-drill-impact", "https://edmondsonsupply.com/collections/hvac/products/milwaukee-2997-22-m18-fuel%E2%84%A2-2-tool-combo-kit-hammer-drill-impact")</f>
        <v/>
      </c>
      <c r="B3041" s="2">
        <f>HYPERLINK("https://edmondsonsupply.com/products/milwaukee-2997-22-m18-fuel%e2%84%a2-2-tool-combo-kit-hammer-drill-impact", "https://edmondsonsupply.com/products/milwaukee-2997-22-m18-fuel%e2%84%a2-2-tool-combo-kit-hammer-drill-impact")</f>
        <v/>
      </c>
      <c r="C3041" t="inlineStr">
        <is>
          <t>Milwaukee 2997-22 M18 FUEL™ 2-Tool Combo Kit: Hammer Drill/Impact</t>
        </is>
      </c>
      <c r="D3041" t="inlineStr">
        <is>
          <t>Milwaukee 2598-22 M12 FUEL 2-Tool Combo Kit: 1/2 in. Hammer Drill and 1/4 in. Hex Impact Driver</t>
        </is>
      </c>
      <c r="E3041" s="2">
        <f>HYPERLINK("https://www.amazon.com/Milwaukee-2598-22-FUEL-2-Tool-Combo/dp/B07F9Q4H5S/ref=sr_1_10?keywords=Milwaukee+2997-22+M18+FUEL%E2%84%A2+2-Tool+Combo+Kit%3A+Hammer+Drill%2FImpact&amp;qid=1694734766&amp;sr=8-10", "https://www.amazon.com/Milwaukee-2598-22-FUEL-2-Tool-Combo/dp/B07F9Q4H5S/ref=sr_1_10?keywords=Milwaukee+2997-22+M18+FUEL%E2%84%A2+2-Tool+Combo+Kit%3A+Hammer+Drill%2FImpact&amp;qid=1694734766&amp;sr=8-10")</f>
        <v/>
      </c>
      <c r="F3041" t="inlineStr">
        <is>
          <t>B07F9Q4H5S</t>
        </is>
      </c>
      <c r="G3041">
        <f>_xlfn.IMAGE("https://edmondsonsupply.com/cdn/shop/products/2997-22-1.png?v=1657217833")</f>
        <v/>
      </c>
      <c r="H3041">
        <f>_xlfn.IMAGE("https://m.media-amazon.com/images/I/617O-7-wU2L._AC_UL320_.jpg")</f>
        <v/>
      </c>
      <c r="K3041" t="inlineStr">
        <is>
          <t>399.0</t>
        </is>
      </c>
      <c r="L3041" t="n">
        <v>215</v>
      </c>
      <c r="M3041" s="1" t="inlineStr">
        <is>
          <t>-46.12%</t>
        </is>
      </c>
      <c r="N3041" s="7" t="n">
        <v>123.86</v>
      </c>
      <c r="O3041" t="n">
        <v>4.8</v>
      </c>
      <c r="P3041" t="n">
        <v>68</v>
      </c>
      <c r="R3041" t="inlineStr">
        <is>
          <t>OutOfStock</t>
        </is>
      </c>
      <c r="S3041" t="inlineStr">
        <is>
          <t>726.0</t>
        </is>
      </c>
      <c r="T3041" t="inlineStr">
        <is>
          <t>7741327409368</t>
        </is>
      </c>
    </row>
    <row r="3042" ht="87" customHeight="1">
      <c r="A3042" s="2">
        <f>HYPERLINK("https://edmondsonsupply.com/collections/hvac/products/5-2-1-csru1", "https://edmondsonsupply.com/collections/hvac/products/5-2-1-csru1")</f>
        <v/>
      </c>
      <c r="B3042" s="2">
        <f>HYPERLINK("https://edmondsonsupply.com/products/5-2-1-csru1", "https://edmondsonsupply.com/products/5-2-1-csru1")</f>
        <v/>
      </c>
      <c r="C3042" t="inlineStr">
        <is>
          <t>5-2-1 CSRU1 Compressor Saver, 1 to 3 Tons</t>
        </is>
      </c>
      <c r="D3042" t="inlineStr">
        <is>
          <t>RCO410 3 in 1 Compressor Hard Start Capacitor Kit for Refrigerators &amp; Freezers 1/4-1/3 H.P. 115VAC(2 pcs)</t>
        </is>
      </c>
      <c r="E3042" s="2">
        <f>HYPERLINK("https://www.amazon.com/RCO410-Compressor-Capacitor-Refrigerators-Freezers/dp/B09NNLQ4CM/ref=sr_1_33?keywords=5-2-1+CSRU1+Compressor+Saver%2C+1+to+3+Tons&amp;qid=1694734741&amp;sr=8-33", "https://www.amazon.com/RCO410-Compressor-Capacitor-Refrigerators-Freezers/dp/B09NNLQ4CM/ref=sr_1_33?keywords=5-2-1+CSRU1+Compressor+Saver%2C+1+to+3+Tons&amp;qid=1694734741&amp;sr=8-33")</f>
        <v/>
      </c>
      <c r="F3042" t="inlineStr">
        <is>
          <t>B09NNLQ4CM</t>
        </is>
      </c>
      <c r="G3042">
        <f>_xlfn.IMAGE("https://edmondsonsupply.com/cdn/shop/products/CSRU1.jpg?v=1633030087")</f>
        <v/>
      </c>
      <c r="H3042">
        <f>_xlfn.IMAGE("https://m.media-amazon.com/images/I/718gn3Q9BKL._AC_UL320_.jpg")</f>
        <v/>
      </c>
      <c r="K3042" t="inlineStr">
        <is>
          <t>34.62</t>
        </is>
      </c>
      <c r="L3042" t="n">
        <v>18.59</v>
      </c>
      <c r="M3042" s="1" t="inlineStr">
        <is>
          <t>-46.30%</t>
        </is>
      </c>
      <c r="N3042" s="7" t="n">
        <v>123.62</v>
      </c>
      <c r="O3042" t="n">
        <v>4.7</v>
      </c>
      <c r="P3042" t="n">
        <v>50</v>
      </c>
      <c r="R3042" t="inlineStr">
        <is>
          <t>InStock</t>
        </is>
      </c>
      <c r="S3042" t="inlineStr">
        <is>
          <t>39.95</t>
        </is>
      </c>
      <c r="T3042" t="inlineStr">
        <is>
          <t>3558315950180</t>
        </is>
      </c>
    </row>
    <row r="3043" ht="87" customHeight="1">
      <c r="A3043" s="2">
        <f>HYPERLINK("https://edmondsonsupply.com/collections/hvac/products/milwaukee-48-40-4515-8-circular-saw-metal-cutting-blade-42t", "https://edmondsonsupply.com/collections/hvac/products/milwaukee-48-40-4515-8-circular-saw-metal-cutting-blade-42t")</f>
        <v/>
      </c>
      <c r="B3043" s="2">
        <f>HYPERLINK("https://edmondsonsupply.com/products/milwaukee-48-40-4515-8-circular-saw-metal-cutting-blade-42t", "https://edmondsonsupply.com/products/milwaukee-48-40-4515-8-circular-saw-metal-cutting-blade-42t")</f>
        <v/>
      </c>
      <c r="C3043" t="inlineStr">
        <is>
          <t>Milwaukee 48-40-4515 8" Circular Saw Metal Cutting Blade- 42T</t>
        </is>
      </c>
      <c r="D3043" t="inlineStr">
        <is>
          <t>Milwaukee 48-40-4225 6-7/8” 36T Circular Saw Metal Cutting Blade</t>
        </is>
      </c>
      <c r="E3043" s="2">
        <f>HYPERLINK("https://www.amazon.com/Milwaukee-48-40-4225-Circular-Metal-Cutting/dp/B09F72V5K9/ref=sr_1_8?keywords=Milwaukee+48-40-4515+8%22+Circular+Saw+Metal+Cutting+Blade-+42T&amp;qid=1694734899&amp;sr=8-8", "https://www.amazon.com/Milwaukee-48-40-4225-Circular-Metal-Cutting/dp/B09F72V5K9/ref=sr_1_8?keywords=Milwaukee+48-40-4515+8%22+Circular+Saw+Metal+Cutting+Blade-+42T&amp;qid=1694734899&amp;sr=8-8")</f>
        <v/>
      </c>
      <c r="F3043" t="inlineStr">
        <is>
          <t>B09F72V5K9</t>
        </is>
      </c>
      <c r="G3043">
        <f>_xlfn.IMAGE("https://edmondsonsupply.com/cdn/shop/files/48-40-4515_1.png?v=1687444386")</f>
        <v/>
      </c>
      <c r="H3043">
        <f>_xlfn.IMAGE("https://m.media-amazon.com/images/I/61-wUpbNXxL._AC_UL320_.jpg")</f>
        <v/>
      </c>
      <c r="K3043" t="inlineStr">
        <is>
          <t>59.97</t>
        </is>
      </c>
      <c r="L3043" t="n">
        <v>32</v>
      </c>
      <c r="M3043" s="1" t="inlineStr">
        <is>
          <t>-46.64%</t>
        </is>
      </c>
      <c r="N3043" s="7" t="n">
        <v>123.62</v>
      </c>
      <c r="O3043" t="n">
        <v>4.6</v>
      </c>
      <c r="P3043" t="n">
        <v>3</v>
      </c>
      <c r="R3043" t="inlineStr">
        <is>
          <t>InStock</t>
        </is>
      </c>
      <c r="S3043" t="inlineStr">
        <is>
          <t>88.2</t>
        </is>
      </c>
      <c r="T3043" t="inlineStr">
        <is>
          <t>8007979434200</t>
        </is>
      </c>
    </row>
    <row r="3044" ht="87" customHeight="1">
      <c r="A3044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044" s="2">
        <f>HYPERLINK("https://edmondsonsupply.com/products/klein-tools-935dag-digital-angle-gauge-and-level", "https://edmondsonsupply.com/products/klein-tools-935dag-digital-angle-gauge-and-level")</f>
        <v/>
      </c>
      <c r="C3044" t="inlineStr">
        <is>
          <t>Klein Tools 935DAG Digital Angle Gauge and Level</t>
        </is>
      </c>
      <c r="D3044" t="inlineStr">
        <is>
          <t>JINMEI Hard EVA Dedicated Case for Klein Tools 935DAGL Digital Level with Programmable Angles Case. (Pink)</t>
        </is>
      </c>
      <c r="E3044" s="2">
        <f>HYPERLINK("https://www.amazon.com/JINMEI-Dedicated-935DAGL-Digital-Programmable/dp/B0966X8V1X/ref=sr_1_42?keywords=Klein+Tools+935DAG+Digital+Angle+Gauge+and+Level&amp;qid=1694734733&amp;sr=8-42", "https://www.amazon.com/JINMEI-Dedicated-935DAGL-Digital-Programmable/dp/B0966X8V1X/ref=sr_1_42?keywords=Klein+Tools+935DAG+Digital+Angle+Gauge+and+Level&amp;qid=1694734733&amp;sr=8-42")</f>
        <v/>
      </c>
      <c r="F3044" t="inlineStr">
        <is>
          <t>B0966X8V1X</t>
        </is>
      </c>
      <c r="G3044">
        <f>_xlfn.IMAGE("https://edmondsonsupply.com/cdn/shop/products/935dag.jpg?v=1587145032")</f>
        <v/>
      </c>
      <c r="H3044">
        <f>_xlfn.IMAGE("https://m.media-amazon.com/images/I/81qfd77AapS._AC_UL320_.jpg")</f>
        <v/>
      </c>
      <c r="K3044" t="inlineStr">
        <is>
          <t>29.97</t>
        </is>
      </c>
      <c r="L3044" t="n">
        <v>15.99</v>
      </c>
      <c r="M3044" s="1" t="inlineStr">
        <is>
          <t>-46.65%</t>
        </is>
      </c>
      <c r="N3044" s="7" t="n">
        <v>123.57</v>
      </c>
      <c r="O3044" t="n">
        <v>4.4</v>
      </c>
      <c r="P3044" t="n">
        <v>24</v>
      </c>
      <c r="R3044" t="inlineStr">
        <is>
          <t>InStock</t>
        </is>
      </c>
      <c r="S3044" t="inlineStr">
        <is>
          <t>45.0</t>
        </is>
      </c>
      <c r="T3044" t="inlineStr">
        <is>
          <t>4167487094884</t>
        </is>
      </c>
    </row>
    <row r="3045" ht="87" customHeight="1">
      <c r="A3045" s="2">
        <f>HYPERLINK("https://edmondsonsupply.com/collections/hvac/products/io-hvac-controls-io-wrp-wireless-relay-plus", "https://edmondsonsupply.com/collections/hvac/products/io-hvac-controls-io-wrp-wireless-relay-plus")</f>
        <v/>
      </c>
      <c r="B3045" s="2">
        <f>HYPERLINK("https://edmondsonsupply.com/products/io-hvac-controls-io-wrp-wireless-relay-plus", "https://edmondsonsupply.com/products/io-hvac-controls-io-wrp-wireless-relay-plus")</f>
        <v/>
      </c>
      <c r="C3045" t="inlineStr">
        <is>
          <t>iO HVAC Controls iO-WRP Wireless Relay Plus</t>
        </is>
      </c>
      <c r="D3045" t="inlineStr">
        <is>
          <t>iO HVAC Controls iO-WR Wireless Relay</t>
        </is>
      </c>
      <c r="E3045" s="2">
        <f>HYPERLINK("https://www.amazon.com/iO-HVAC-Controls-iO-WR-Wireless/dp/B09FKSCCPJ/ref=sr_1_2?keywords=iO+HVAC+Controls+iO-WRP+Wireless+Relay+Plus&amp;qid=1694734608&amp;sr=8-2", "https://www.amazon.com/iO-HVAC-Controls-iO-WR-Wireless/dp/B09FKSCCPJ/ref=sr_1_2?keywords=iO+HVAC+Controls+iO-WRP+Wireless+Relay+Plus&amp;qid=1694734608&amp;sr=8-2")</f>
        <v/>
      </c>
      <c r="F3045" t="inlineStr">
        <is>
          <t>B09FKSCCPJ</t>
        </is>
      </c>
      <c r="G3045">
        <f>_xlfn.IMAGE("https://edmondsonsupply.com/cdn/shop/products/IOWRP.png?v=1655748532")</f>
        <v/>
      </c>
      <c r="H3045">
        <f>_xlfn.IMAGE("https://m.media-amazon.com/images/I/51StG4yIDVL._AC_UL320_.jpg")</f>
        <v/>
      </c>
      <c r="K3045" t="inlineStr">
        <is>
          <t>412.71</t>
        </is>
      </c>
      <c r="L3045" t="n">
        <v>219.7</v>
      </c>
      <c r="M3045" s="1" t="inlineStr">
        <is>
          <t>-46.77%</t>
        </is>
      </c>
      <c r="N3045" s="7" t="n">
        <v>123.54</v>
      </c>
      <c r="O3045" t="n">
        <v>5</v>
      </c>
      <c r="P3045" t="n">
        <v>1</v>
      </c>
      <c r="R3045" t="inlineStr">
        <is>
          <t>InStock</t>
        </is>
      </c>
      <c r="S3045" t="inlineStr">
        <is>
          <t>444.46</t>
        </is>
      </c>
      <c r="T3045" t="inlineStr">
        <is>
          <t>7724893765848</t>
        </is>
      </c>
    </row>
    <row r="3046" hidden="1" ht="15.75" customHeight="1">
      <c r="A3046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3046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3046" t="inlineStr">
        <is>
          <t>Diablo Tools DMAPL4250 3/4 in. x 8 in. x 10 in. Rebar Demon™ SDS-Plus 4-Cutter Full Carbide Head Hammer Drill Bit</t>
        </is>
      </c>
      <c r="D3046" t="inlineStr">
        <is>
          <t>Diablo by Freud DMAPL4160 3/8 in. x 10 in. x 12 in. Rebar Demon SDS-Plus 4-Cutter Full Carbide Head Hammer Bit</t>
        </is>
      </c>
      <c r="E3046" s="2">
        <f>HYPERLINK("https://www.amazon.com/Diablo-Freud-DMAPL4160-SDS-Plus-4-Cutter/dp/B089KX25B7/ref=sr_1_14?keywords=Diablo+Tools+DMAPL4250+3%2F4+in.+x+8+in.+x+10+in.+Rebar+Demon%E2%84%A2+SDS-Plus+4-Cutter+Full+Carbide+Head+Hammer+Drill+Bit&amp;qid=1694734913&amp;sr=8-14", "https://www.amazon.com/Diablo-Freud-DMAPL4160-SDS-Plus-4-Cutter/dp/B089KX25B7/ref=sr_1_14?keywords=Diablo+Tools+DMAPL4250+3%2F4+in.+x+8+in.+x+10+in.+Rebar+Demon%E2%84%A2+SDS-Plus+4-Cutter+Full+Carbide+Head+Hammer+Drill+Bit&amp;qid=1694734913&amp;sr=8-14")</f>
        <v/>
      </c>
      <c r="F3046" t="inlineStr">
        <is>
          <t>B089KX25B7</t>
        </is>
      </c>
      <c r="G3046">
        <f>_xludf.IMAGE("https://edmondsonsupply.com/cdn/shop/files/rltcbi253wmfv6otmtz6.webp?v=1686576913")</f>
        <v/>
      </c>
      <c r="H3046">
        <f>_xludf.IMAGE("https://m.media-amazon.com/images/I/61MHnm3+2bL._AC_UL320_.jpg")</f>
        <v/>
      </c>
      <c r="K3046" t="inlineStr">
        <is>
          <t>24.47</t>
        </is>
      </c>
      <c r="L3046" t="n">
        <v>13.01</v>
      </c>
      <c r="M3046" s="1" t="inlineStr">
        <is>
          <t>-46.83%</t>
        </is>
      </c>
      <c r="N3046" s="1" t="n">
        <v>123.36</v>
      </c>
      <c r="O3046" t="n">
        <v>4.5</v>
      </c>
      <c r="P3046" t="n">
        <v>39</v>
      </c>
      <c r="R3046" t="inlineStr">
        <is>
          <t>InStock</t>
        </is>
      </c>
      <c r="S3046" t="inlineStr">
        <is>
          <t>38.21</t>
        </is>
      </c>
      <c r="T3046" t="inlineStr">
        <is>
          <t>8004486168792</t>
        </is>
      </c>
    </row>
    <row r="3047" ht="87" customHeight="1">
      <c r="A3047" s="2">
        <f>HYPERLINK("https://edmondsonsupply.com/collections/hvac/products/icm-controls-icm271-fan-blower-control-board-replacement-for-carrier", "https://edmondsonsupply.com/collections/hvac/products/icm-controls-icm271-fan-blower-control-board-replacement-for-carrier")</f>
        <v/>
      </c>
      <c r="B3047" s="2">
        <f>HYPERLINK("https://edmondsonsupply.com/products/icm-controls-icm271-fan-blower-control-board-replacement-for-carrier", "https://edmondsonsupply.com/products/icm-controls-icm271-fan-blower-control-board-replacement-for-carrier")</f>
        <v/>
      </c>
      <c r="C3047" t="inlineStr">
        <is>
          <t>ICM Controls ICM271 Fan Blower Control Board, Replacement for Carrier</t>
        </is>
      </c>
      <c r="D3047" t="inlineStr">
        <is>
          <t>ICM Controls ICM273 Fan Blower Control Replacement for EMI 240000-969 Control Boards</t>
        </is>
      </c>
      <c r="E3047" s="2">
        <f>HYPERLINK("https://www.amazon.com/ICM-Controls-ICM273-Replacement-240000-969/dp/B004I55GTI/ref=sr_1_11?keywords=ICM+Controls+ICM271+Fan+Blower+Control+Board%2C+Replacement+for+Carrier&amp;qid=1694734662&amp;sr=8-11", "https://www.amazon.com/ICM-Controls-ICM273-Replacement-240000-969/dp/B004I55GTI/ref=sr_1_11?keywords=ICM+Controls+ICM271+Fan+Blower+Control+Board%2C+Replacement+for+Carrier&amp;qid=1694734662&amp;sr=8-11")</f>
        <v/>
      </c>
      <c r="F3047" t="inlineStr">
        <is>
          <t>B004I55GTI</t>
        </is>
      </c>
      <c r="G3047">
        <f>_xlfn.IMAGE("https://edmondsonsupply.com/cdn/shop/products/icm271.jpg?v=1633285273")</f>
        <v/>
      </c>
      <c r="H3047">
        <f>_xlfn.IMAGE("https://m.media-amazon.com/images/I/61nv2wT3F+L._AC_UL320_.jpg")</f>
        <v/>
      </c>
      <c r="K3047" t="inlineStr">
        <is>
          <t>67.99</t>
        </is>
      </c>
      <c r="L3047" t="n">
        <v>36.13</v>
      </c>
      <c r="M3047" s="1" t="inlineStr">
        <is>
          <t>-46.86%</t>
        </is>
      </c>
      <c r="N3047" s="7" t="n">
        <v>123.35</v>
      </c>
      <c r="O3047" t="n">
        <v>5</v>
      </c>
      <c r="P3047" t="n">
        <v>2</v>
      </c>
      <c r="R3047" t="inlineStr">
        <is>
          <t>InStock</t>
        </is>
      </c>
      <c r="S3047" t="inlineStr">
        <is>
          <t>97.17</t>
        </is>
      </c>
      <c r="T3047" t="inlineStr">
        <is>
          <t>6991454306477</t>
        </is>
      </c>
    </row>
    <row r="3048" ht="87" customHeight="1">
      <c r="A3048" s="2">
        <f>HYPERLINK("https://edmondsonsupply.com/collections/hvac/products/inficon-d-tek-3", "https://edmondsonsupply.com/collections/hvac/products/inficon-d-tek-3")</f>
        <v/>
      </c>
      <c r="B3048" s="2">
        <f>HYPERLINK("https://edmondsonsupply.com/products/inficon-d-tek-3", "https://edmondsonsupply.com/products/inficon-d-tek-3")</f>
        <v/>
      </c>
      <c r="C3048" t="inlineStr">
        <is>
          <t>Inficon D-TEK® 3 Refrigerant Leak Detector</t>
        </is>
      </c>
      <c r="D3048" t="inlineStr">
        <is>
          <t>Inficon 705-202-G1 TEK-Mate Refrigerant Leak Detector</t>
        </is>
      </c>
      <c r="E3048" s="2">
        <f>HYPERLINK("https://www.amazon.com/Inficon-705-202-G1-TEK-Mate-Refrigerant-Detector/dp/B074ZNCLM3/ref=sr_1_11?keywords=Inficon+D-TEK%C2%AE+3+Refrigerant+Leak+Detector&amp;qid=1694734644&amp;sr=8-11", "https://www.amazon.com/Inficon-705-202-G1-TEK-Mate-Refrigerant-Detector/dp/B074ZNCLM3/ref=sr_1_11?keywords=Inficon+D-TEK%C2%AE+3+Refrigerant+Leak+Detector&amp;qid=1694734644&amp;sr=8-11")</f>
        <v/>
      </c>
      <c r="F3048" t="inlineStr">
        <is>
          <t>B074ZNCLM3</t>
        </is>
      </c>
      <c r="G3048">
        <f>_xlfn.IMAGE("https://edmondsonsupply.com/cdn/shop/products/dtek3.png?v=1633030772")</f>
        <v/>
      </c>
      <c r="H3048">
        <f>_xlfn.IMAGE("https://m.media-amazon.com/images/I/41pvtvGkMEL._AC_UL320_.jpg")</f>
        <v/>
      </c>
      <c r="K3048" t="inlineStr">
        <is>
          <t>516.99</t>
        </is>
      </c>
      <c r="L3048" t="n">
        <v>274.65</v>
      </c>
      <c r="M3048" s="1" t="inlineStr">
        <is>
          <t>-46.88%</t>
        </is>
      </c>
      <c r="N3048" s="7" t="n">
        <v>122.54</v>
      </c>
      <c r="O3048" t="n">
        <v>5</v>
      </c>
      <c r="P3048" t="n">
        <v>1</v>
      </c>
      <c r="R3048" t="inlineStr">
        <is>
          <t>InStock</t>
        </is>
      </c>
      <c r="S3048" t="inlineStr">
        <is>
          <t>645.0</t>
        </is>
      </c>
      <c r="T3048" t="inlineStr">
        <is>
          <t>5950406623400</t>
        </is>
      </c>
    </row>
    <row r="3049" ht="87" customHeight="1">
      <c r="A3049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3049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3049" t="inlineStr">
        <is>
          <t>ICM Controls ICM282B Furnace Control Board - Replacement for Carrier</t>
        </is>
      </c>
      <c r="D3049" t="inlineStr">
        <is>
          <t>ICM Controls ICM286 Furnace Control Board Replacement for Goodman PCBBF112S, B1809926S, 0130F00005S Control Boards</t>
        </is>
      </c>
      <c r="E3049" s="2">
        <f>HYPERLINK("https://www.amazon.com/ICM-Controls-ICM286-Replacement-0130F00005S/dp/B00QW2U7KS/ref=sr_1_6?keywords=ICM+Controls+ICM282B+Furnace+Control+Board+-+Replacement+for+Carrier&amp;qid=1694734691&amp;sr=8-6", "https://www.amazon.com/ICM-Controls-ICM286-Replacement-0130F00005S/dp/B00QW2U7KS/ref=sr_1_6?keywords=ICM+Controls+ICM282B+Furnace+Control+Board+-+Replacement+for+Carrier&amp;qid=1694734691&amp;sr=8-6")</f>
        <v/>
      </c>
      <c r="F3049" t="inlineStr">
        <is>
          <t>B00QW2U7KS</t>
        </is>
      </c>
      <c r="G3049">
        <f>_xlfn.IMAGE("https://edmondsonsupply.com/cdn/shop/products/57_5_96e476f9-dc43-4075-94fb-2c5efeccce22.jpg?v=1659481947")</f>
        <v/>
      </c>
      <c r="H3049">
        <f>_xlfn.IMAGE("https://m.media-amazon.com/images/I/71CBn8jMCiL._AC_UL320_.jpg")</f>
        <v/>
      </c>
      <c r="K3049" t="inlineStr">
        <is>
          <t>195.99</t>
        </is>
      </c>
      <c r="L3049" t="n">
        <v>103.85</v>
      </c>
      <c r="M3049" s="1" t="inlineStr">
        <is>
          <t>-47.01%</t>
        </is>
      </c>
      <c r="N3049" s="7" t="n">
        <v>122.26</v>
      </c>
      <c r="O3049" t="n">
        <v>4.3</v>
      </c>
      <c r="P3049" t="n">
        <v>157</v>
      </c>
      <c r="R3049" t="inlineStr">
        <is>
          <t>InStock</t>
        </is>
      </c>
      <c r="S3049" t="inlineStr">
        <is>
          <t>256.41</t>
        </is>
      </c>
      <c r="T3049" t="inlineStr">
        <is>
          <t>7770046464216</t>
        </is>
      </c>
    </row>
    <row r="3050" hidden="1" ht="15.75" customHeight="1">
      <c r="A3050" s="2">
        <f>HYPERLINK("https://edmondsonsupply.com/collections/hvac/products/malco-tools-hc1-sheet-metal-hole-cutter-2-12", "https://edmondsonsupply.com/collections/hvac/products/malco-tools-hc1-sheet-metal-hole-cutter-2-12")</f>
        <v/>
      </c>
      <c r="B3050" s="2">
        <f>HYPERLINK("https://edmondsonsupply.com/products/malco-tools-hc1-sheet-metal-hole-cutter-2-12", "https://edmondsonsupply.com/products/malco-tools-hc1-sheet-metal-hole-cutter-2-12")</f>
        <v/>
      </c>
      <c r="C3050" t="inlineStr">
        <is>
          <t>Malco Tools HC1 Adjustable Sheet Metal Hole Cutter, 2" - 12"</t>
        </is>
      </c>
      <c r="D3050" t="inlineStr">
        <is>
          <t>AMERICAN MUTT TOOLS Adjustable Sheet Metal Hole Cutter – Cut 2 – 12" Circle Holes in 24ga Steel and 26ga Stainless Steel | Adjustable Hole Cutter for Metal, Duct Hole Cutter, HVAC Ductwork Hole Cutter</t>
        </is>
      </c>
      <c r="E3050" s="2">
        <f>HYPERLINK("https://www.amazon.com/AMERICAN-MUTT-TOOLS-Adjustable-Cutter/dp/B0BNNXKQC9/ref=sr_1_2?keywords=Malco+Tools+HC1+Adjustable+Sheet+Metal+Hole+Cutter%2C+2%22+-+12%22&amp;qid=1694734753&amp;sr=8-2", "https://www.amazon.com/AMERICAN-MUTT-TOOLS-Adjustable-Cutter/dp/B0BNNXKQC9/ref=sr_1_2?keywords=Malco+Tools+HC1+Adjustable+Sheet+Metal+Hole+Cutter%2C+2%22+-+12%22&amp;qid=1694734753&amp;sr=8-2")</f>
        <v/>
      </c>
      <c r="F3050" t="inlineStr">
        <is>
          <t>B0BNNXKQC9</t>
        </is>
      </c>
      <c r="G3050">
        <f>_xludf.IMAGE("https://edmondsonsupply.com/cdn/shop/products/Malco-HC1-Sheet-Metal-Hole-Cutter-e1540321389458-440x440_1.jpg?v=1668101337")</f>
        <v/>
      </c>
      <c r="H3050">
        <f>_xludf.IMAGE("https://m.media-amazon.com/images/I/81YKfb6EtrL._AC_UL320_.jpg")</f>
        <v/>
      </c>
      <c r="K3050" t="inlineStr">
        <is>
          <t>75.99</t>
        </is>
      </c>
      <c r="L3050" t="n">
        <v>39.99</v>
      </c>
      <c r="M3050" s="1" t="inlineStr">
        <is>
          <t>-47.37%</t>
        </is>
      </c>
      <c r="N3050" s="1" t="n">
        <v>122.2</v>
      </c>
      <c r="O3050" t="n">
        <v>4</v>
      </c>
      <c r="P3050" t="n">
        <v>62</v>
      </c>
      <c r="R3050" t="inlineStr">
        <is>
          <t>InStock</t>
        </is>
      </c>
      <c r="S3050" t="inlineStr">
        <is>
          <t>81.93</t>
        </is>
      </c>
      <c r="T3050" t="inlineStr">
        <is>
          <t>7880760328408</t>
        </is>
      </c>
    </row>
    <row r="3051" ht="87" customHeight="1">
      <c r="A3051" s="2">
        <f>HYPERLINK("https://edmondsonsupply.com/collections/hvac/products/greenlee-gsb12-1-3-8-step-bit-12", "https://edmondsonsupply.com/collections/hvac/products/greenlee-gsb12-1-3-8-step-bit-12")</f>
        <v/>
      </c>
      <c r="B3051" s="2">
        <f>HYPERLINK("https://edmondsonsupply.com/products/greenlee-gsb12-1-3-8-step-bit-12", "https://edmondsonsupply.com/products/greenlee-gsb12-1-3-8-step-bit-12")</f>
        <v/>
      </c>
      <c r="C3051" t="inlineStr">
        <is>
          <t>Greenlee GSB12 1-3/8" Step Bit (#12)</t>
        </is>
      </c>
      <c r="D3051" t="inlineStr">
        <is>
          <t>Milwaukee 48-89-9212 Step Bit #12 7/8" - 1-3/8"</t>
        </is>
      </c>
      <c r="E3051" s="2">
        <f>HYPERLINK("https://www.amazon.com/Milwaukee-48-89-9212-Step-Bit-12/dp/B00LP43CPU/ref=sr_1_2?keywords=Greenlee+GSB12+1-3%2F8%22+Step+Bit+%28%2312%29&amp;qid=1694734895&amp;sr=8-2", "https://www.amazon.com/Milwaukee-48-89-9212-Step-Bit-12/dp/B00LP43CPU/ref=sr_1_2?keywords=Greenlee+GSB12+1-3%2F8%22+Step+Bit+%28%2312%29&amp;qid=1694734895&amp;sr=8-2")</f>
        <v/>
      </c>
      <c r="F3051" t="inlineStr">
        <is>
          <t>B00LP43CPU</t>
        </is>
      </c>
      <c r="G3051">
        <f>_xlfn.IMAGE("https://edmondsonsupply.com/cdn/shop/files/GSB12_CAT1_72dpi.jpg?v=1687789899")</f>
        <v/>
      </c>
      <c r="H3051">
        <f>_xlfn.IMAGE("https://m.media-amazon.com/images/I/51M5oiL9tAL._AC_UY218_.jpg")</f>
        <v/>
      </c>
      <c r="K3051" t="inlineStr">
        <is>
          <t>85.79</t>
        </is>
      </c>
      <c r="L3051" t="n">
        <v>45.1</v>
      </c>
      <c r="M3051" s="1" t="inlineStr">
        <is>
          <t>-47.43%</t>
        </is>
      </c>
      <c r="N3051" s="7" t="n">
        <v>121.54</v>
      </c>
      <c r="O3051" t="n">
        <v>4.5</v>
      </c>
      <c r="P3051" t="n">
        <v>102</v>
      </c>
      <c r="R3051" t="inlineStr">
        <is>
          <t>InStock</t>
        </is>
      </c>
      <c r="S3051" t="inlineStr">
        <is>
          <t>89.25</t>
        </is>
      </c>
      <c r="T3051" t="inlineStr">
        <is>
          <t>8009319743704</t>
        </is>
      </c>
    </row>
    <row r="3052" ht="87" customHeight="1">
      <c r="A3052" s="2">
        <f>HYPERLINK("https://edmondsonsupply.com/collections/hvac/products/greenlee-gsb09-1-1-8-step-bit-9", "https://edmondsonsupply.com/collections/hvac/products/greenlee-gsb09-1-1-8-step-bit-9")</f>
        <v/>
      </c>
      <c r="B3052" s="2">
        <f>HYPERLINK("https://edmondsonsupply.com/products/greenlee-gsb09-1-1-8-step-bit-9", "https://edmondsonsupply.com/products/greenlee-gsb09-1-1-8-step-bit-9")</f>
        <v/>
      </c>
      <c r="C3052" t="inlineStr">
        <is>
          <t>Greenlee GSB09 1-1/8" Step Bit (#9)</t>
        </is>
      </c>
      <c r="D3052" t="inlineStr">
        <is>
          <t>Greenlee GSB04 7/8" Step Bit (#4) Metal Cutter with Patented Split-Step Design, 7/8" Metal Cutting Tool for 1/2" Drill Chucks</t>
        </is>
      </c>
      <c r="E3052" s="2">
        <f>HYPERLINK("https://www.amazon.com/Greenlee-GSB04-Step-Bit/dp/B08TVF22W4/ref=sr_1_5?keywords=Greenlee+GSB09+1-1%2F8%22+Step+Bit+%28%239%29&amp;qid=1694734894&amp;sr=8-5", "https://www.amazon.com/Greenlee-GSB04-Step-Bit/dp/B08TVF22W4/ref=sr_1_5?keywords=Greenlee+GSB09+1-1%2F8%22+Step+Bit+%28%239%29&amp;qid=1694734894&amp;sr=8-5")</f>
        <v/>
      </c>
      <c r="F3052" t="inlineStr">
        <is>
          <t>B08TVF22W4</t>
        </is>
      </c>
      <c r="G3052">
        <f>_xlfn.IMAGE("https://edmondsonsupply.com/cdn/shop/files/GSB09_CAT1_72dpi.jpg?v=1687787938")</f>
        <v/>
      </c>
      <c r="H3052">
        <f>_xlfn.IMAGE("https://m.media-amazon.com/images/I/41FX4czhS0L._AC_UY218_.jpg")</f>
        <v/>
      </c>
      <c r="K3052" t="inlineStr">
        <is>
          <t>69.26</t>
        </is>
      </c>
      <c r="L3052" t="n">
        <v>36.24</v>
      </c>
      <c r="M3052" s="1" t="inlineStr">
        <is>
          <t>-47.68%</t>
        </is>
      </c>
      <c r="N3052" s="7" t="n">
        <v>121.32</v>
      </c>
      <c r="O3052" t="n">
        <v>5</v>
      </c>
      <c r="P3052" t="n">
        <v>7</v>
      </c>
      <c r="R3052" t="inlineStr">
        <is>
          <t>InStock</t>
        </is>
      </c>
      <c r="S3052" t="inlineStr">
        <is>
          <t>71.95</t>
        </is>
      </c>
      <c r="T3052" t="inlineStr">
        <is>
          <t>8009317875928</t>
        </is>
      </c>
    </row>
    <row r="3053" ht="87" customHeight="1">
      <c r="A3053" s="2">
        <f>HYPERLINK("https://edmondsonsupply.com/collections/hvac/products/packard-c440b-contactor-4-pole-40-amps-120-coil-voltage", "https://edmondsonsupply.com/collections/hvac/products/packard-c440b-contactor-4-pole-40-amps-120-coil-voltage")</f>
        <v/>
      </c>
      <c r="B3053" s="2">
        <f>HYPERLINK("https://edmondsonsupply.com/products/packard-c440b-contactor-4-pole-40-amps-120-coil-voltage", "https://edmondsonsupply.com/products/packard-c440b-contactor-4-pole-40-amps-120-coil-voltage")</f>
        <v/>
      </c>
      <c r="C3053" t="inlineStr">
        <is>
          <t>Packard C440B Contactor 4 Pole 40 AMPS 120 Coil Voltage</t>
        </is>
      </c>
      <c r="D3053" t="inlineStr">
        <is>
          <t>Packard C340B 3 Pole 40 Amp Contactor 120 Volt Coil Contactor</t>
        </is>
      </c>
      <c r="E3053" s="2">
        <f>HYPERLINK("https://www.amazon.com/Packard-C340B-Pole-Contactor-Volt/dp/B004ZRWG9C/ref=sr_1_7?keywords=Packard+C440B+Contactor+4+Pole+40+AMPS+120+Coil+Voltage&amp;qid=1694734777&amp;sr=8-7", "https://www.amazon.com/Packard-C340B-Pole-Contactor-Volt/dp/B004ZRWG9C/ref=sr_1_7?keywords=Packard+C440B+Contactor+4+Pole+40+AMPS+120+Coil+Voltage&amp;qid=1694734777&amp;sr=8-7")</f>
        <v/>
      </c>
      <c r="F3053" t="inlineStr">
        <is>
          <t>B004ZRWG9C</t>
        </is>
      </c>
      <c r="G3053">
        <f>_xlfn.IMAGE("https://edmondsonsupply.com/cdn/shop/products/C440B-1.jpg?v=1633030967")</f>
        <v/>
      </c>
      <c r="H3053">
        <f>_xlfn.IMAGE("https://m.media-amazon.com/images/I/51gHoreDQdS._AC_UY218_.jpg")</f>
        <v/>
      </c>
      <c r="K3053" t="inlineStr">
        <is>
          <t>46.61</t>
        </is>
      </c>
      <c r="L3053" t="n">
        <v>24.34</v>
      </c>
      <c r="M3053" s="1" t="inlineStr">
        <is>
          <t>-47.78%</t>
        </is>
      </c>
      <c r="N3053" s="7" t="n">
        <v>121.3</v>
      </c>
      <c r="O3053" t="n">
        <v>4.2</v>
      </c>
      <c r="P3053" t="n">
        <v>53</v>
      </c>
      <c r="R3053" t="inlineStr">
        <is>
          <t>InStock</t>
        </is>
      </c>
      <c r="S3053" t="inlineStr">
        <is>
          <t>undefined</t>
        </is>
      </c>
      <c r="T3053" t="inlineStr">
        <is>
          <t>6631570735277</t>
        </is>
      </c>
    </row>
    <row r="3054" ht="87" customHeight="1">
      <c r="A3054" s="2">
        <f>HYPERLINK("https://edmondsonsupply.com/collections/hvac/products/milwaukee-48-25-2122", "https://edmondsonsupply.com/collections/hvac/products/milwaukee-48-25-2122")</f>
        <v/>
      </c>
      <c r="B3054" s="2">
        <f>HYPERLINK("https://edmondsonsupply.com/products/milwaukee-48-25-2122", "https://edmondsonsupply.com/products/milwaukee-48-25-2122")</f>
        <v/>
      </c>
      <c r="C3054" t="inlineStr">
        <is>
          <t>Milwaukee 48-25-2122 Standard Selfeed Bit, 2-1/8"</t>
        </is>
      </c>
      <c r="D3054" t="inlineStr">
        <is>
          <t>MILWAUKEE'S Builders World Wholesale Distribution 48-25-2122 Bit Selfeed, 2-1/8"</t>
        </is>
      </c>
      <c r="E3054" s="2">
        <f>HYPERLINK("https://www.amazon.com/Builders-Wholesale-Distribution-48-25-2122-Milwaukee/dp/B009HEHTMM/ref=sr_1_1?keywords=Milwaukee+48-25-2122+Standard+Selfeed+Bit%2C+2-1%2F8%22&amp;qid=1694734898&amp;sr=8-1", "https://www.amazon.com/Builders-Wholesale-Distribution-48-25-2122-Milwaukee/dp/B009HEHTMM/ref=sr_1_1?keywords=Milwaukee+48-25-2122+Standard+Selfeed+Bit%2C+2-1%2F8%22&amp;qid=1694734898&amp;sr=8-1")</f>
        <v/>
      </c>
      <c r="F3054" t="inlineStr">
        <is>
          <t>B009HEHTMM</t>
        </is>
      </c>
      <c r="G3054">
        <f>_xlfn.IMAGE("https://edmondsonsupply.com/cdn/shop/files/64170_48-25-1372_1-lg.gif?v=1687367768")</f>
        <v/>
      </c>
      <c r="H3054">
        <f>_xlfn.IMAGE("https://m.media-amazon.com/images/I/71adYVeRVNL._AC_UL320_.jpg")</f>
        <v/>
      </c>
      <c r="K3054" t="inlineStr">
        <is>
          <t>49.97</t>
        </is>
      </c>
      <c r="L3054" t="n">
        <v>25.97</v>
      </c>
      <c r="M3054" s="1" t="inlineStr">
        <is>
          <t>-48.03%</t>
        </is>
      </c>
      <c r="N3054" s="7" t="n">
        <v>121.27</v>
      </c>
      <c r="O3054" t="n">
        <v>4.4</v>
      </c>
      <c r="P3054" t="n">
        <v>78</v>
      </c>
      <c r="R3054" t="inlineStr">
        <is>
          <t>InStock</t>
        </is>
      </c>
      <c r="S3054" t="inlineStr">
        <is>
          <t>undefined</t>
        </is>
      </c>
      <c r="T3054" t="inlineStr">
        <is>
          <t>8007821590744</t>
        </is>
      </c>
    </row>
    <row r="3055" hidden="1" ht="15.75" customHeight="1">
      <c r="A3055" s="2">
        <f>HYPERLINK("https://edmondsonsupply.com/collections/hvac/products/diablo-tools-dmamxcc5010-2-in-x-7-in-sds-max-carbide-tipped-core-bit", "https://edmondsonsupply.com/collections/hvac/products/diablo-tools-dmamxcc5010-2-in-x-7-in-sds-max-carbide-tipped-core-bit")</f>
        <v/>
      </c>
      <c r="B3055" s="2">
        <f>HYPERLINK("https://edmondsonsupply.com/products/diablo-tools-dmamxcc5010-2-in-x-7-in-sds-max-carbide-tipped-core-bit", "https://edmondsonsupply.com/products/diablo-tools-dmamxcc5010-2-in-x-7-in-sds-max-carbide-tipped-core-bit")</f>
        <v/>
      </c>
      <c r="C3055" t="inlineStr">
        <is>
          <t>Diablo Tools DMAMXCC5010 2 in. x 7 in. SDS-Max Carbide Tipped Core Bit</t>
        </is>
      </c>
      <c r="D3055" t="inlineStr">
        <is>
          <t>Diablo DMAMX1180 7/8 in. x 16 in. x 21 in. Rebar Demon™ SDS-Max 4-Cutter Full Carbide Head Hammer Bit</t>
        </is>
      </c>
      <c r="E3055" s="2">
        <f>HYPERLINK("https://www.amazon.com/Diablo-SDS-Max-4-Cutter-Carbide-Hammer/dp/B089KWFF8B/ref=sr_1_8?keywords=Diablo+Tools+DMAMXCC5010+2+in.+x+7+in.+SDS-Max+Carbide+Tipped+Core+Bit&amp;qid=1694734911&amp;sr=8-8", "https://www.amazon.com/Diablo-SDS-Max-4-Cutter-Carbide-Hammer/dp/B089KWFF8B/ref=sr_1_8?keywords=Diablo+Tools+DMAMXCC5010+2+in.+x+7+in.+SDS-Max+Carbide+Tipped+Core+Bit&amp;qid=1694734911&amp;sr=8-8")</f>
        <v/>
      </c>
      <c r="F3055" t="inlineStr">
        <is>
          <t>B089KWFF8B</t>
        </is>
      </c>
      <c r="G3055">
        <f>_xludf.IMAGE("https://edmondsonsupply.com/cdn/shop/files/kbs61qpkymnshwvx13k1.webp?v=1686583113")</f>
        <v/>
      </c>
      <c r="H3055">
        <f>_xludf.IMAGE("https://m.media-amazon.com/images/I/611fTcYRNFL._AC_UL320_.jpg")</f>
        <v/>
      </c>
      <c r="K3055" t="inlineStr">
        <is>
          <t>101.49</t>
        </is>
      </c>
      <c r="L3055" t="n">
        <v>52.51</v>
      </c>
      <c r="M3055" s="1" t="inlineStr">
        <is>
          <t>-48.26%</t>
        </is>
      </c>
      <c r="N3055" s="1" t="n">
        <v>120.81</v>
      </c>
      <c r="O3055" t="n">
        <v>3.5</v>
      </c>
      <c r="P3055" t="n">
        <v>3</v>
      </c>
      <c r="R3055" t="inlineStr">
        <is>
          <t>InStock</t>
        </is>
      </c>
      <c r="S3055" t="inlineStr">
        <is>
          <t>161.02</t>
        </is>
      </c>
      <c r="T3055" t="inlineStr">
        <is>
          <t>8004502585560</t>
        </is>
      </c>
    </row>
    <row r="3056" ht="87" customHeight="1">
      <c r="A3056" s="2">
        <f>HYPERLINK("https://edmondsonsupply.com/collections/hvac/products/rectorseal-83909-aspen-mini-orange-univ-pump-100-250v", "https://edmondsonsupply.com/collections/hvac/products/rectorseal-83909-aspen-mini-orange-univ-pump-100-250v")</f>
        <v/>
      </c>
      <c r="B3056" s="2">
        <f>HYPERLINK("https://edmondsonsupply.com/products/rectorseal-83909-aspen-mini-orange-univ-pump-100-250v", "https://edmondsonsupply.com/products/rectorseal-83909-aspen-mini-orange-univ-pump-100-250v")</f>
        <v/>
      </c>
      <c r="C3056" t="inlineStr">
        <is>
          <t>Rectorseal 83909 Aspen Mini Orange Univ Pump 100-250V</t>
        </is>
      </c>
      <c r="D3056" t="inlineStr">
        <is>
          <t>Rectorseal Aspen Universal volt Mini Orange Kit, 100-250V, Orange</t>
        </is>
      </c>
      <c r="E3056" s="2">
        <f>HYPERLINK("https://www.amazon.com/Rectorseal-83909-Mini-Orange-Condensate/dp/B00JXA0U44/ref=sr_1_1?keywords=Rectorseal+83909+Aspen+Mini+Orange+Univ+Pump+100-250V&amp;qid=1694734866&amp;sr=8-1", "https://www.amazon.com/Rectorseal-83909-Mini-Orange-Condensate/dp/B00JXA0U44/ref=sr_1_1?keywords=Rectorseal+83909+Aspen+Mini+Orange+Univ+Pump+100-250V&amp;qid=1694734866&amp;sr=8-1")</f>
        <v/>
      </c>
      <c r="F3056" t="inlineStr">
        <is>
          <t>B00JXA0U44</t>
        </is>
      </c>
      <c r="G3056">
        <f>_xlfn.IMAGE("https://edmondsonsupply.com/cdn/shop/files/83909.png?v=1690983173")</f>
        <v/>
      </c>
      <c r="H3056">
        <f>_xlfn.IMAGE("https://m.media-amazon.com/images/I/614diwuxJWL._AC_UL320_.jpg")</f>
        <v/>
      </c>
      <c r="K3056" t="inlineStr">
        <is>
          <t>260.28</t>
        </is>
      </c>
      <c r="L3056" t="n">
        <v>133.84</v>
      </c>
      <c r="M3056" s="1" t="inlineStr">
        <is>
          <t>-48.58%</t>
        </is>
      </c>
      <c r="N3056" s="7" t="n">
        <v>120.78</v>
      </c>
      <c r="O3056" t="n">
        <v>4.2</v>
      </c>
      <c r="P3056" t="n">
        <v>60</v>
      </c>
      <c r="R3056" t="inlineStr">
        <is>
          <t>InStock</t>
        </is>
      </c>
      <c r="S3056" t="inlineStr">
        <is>
          <t>undefined</t>
        </is>
      </c>
      <c r="T3056" t="inlineStr">
        <is>
          <t>8023694082264</t>
        </is>
      </c>
    </row>
    <row r="3057" ht="87" customHeight="1">
      <c r="A3057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057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057" t="inlineStr">
        <is>
          <t>Diablo Tools DMAMX1300 1-1/4 in. x 16 in. x 21 in. Rebar Demon™ SDS-Max 4-Cutter Full Carbide Head Hammer Drill Bit</t>
        </is>
      </c>
      <c r="D3057" t="inlineStr">
        <is>
          <t>Diablo by Freud DMAPL4300 1 in. x 8 in. x 10 in. Rebar Demon™ SDS-Plus 4-Cutter Full Carbide Head Hammer Bit</t>
        </is>
      </c>
      <c r="E3057" s="2">
        <f>HYPERLINK("https://www.amazon.com/Diablo-Freud-DMAPL4300-SDS-Plus-4-Cutter/dp/B089LL8JD8/ref=sr_1_7?keywords=Diablo+Tools+DMAMX1300+1-1%2F4+in.+x+16+in.+x+21+in.+Rebar+Demon%E2%84%A2+SDS-Max+4-Cutter+Full+Carbide+Head+Hammer+Drill+Bit&amp;qid=1694734676&amp;sr=8-7", "https://www.amazon.com/Diablo-Freud-DMAPL4300-SDS-Plus-4-Cutter/dp/B089LL8JD8/ref=sr_1_7?keywords=Diablo+Tools+DMAMX1300+1-1%2F4+in.+x+16+in.+x+21+in.+Rebar+Demon%E2%84%A2+SDS-Max+4-Cutter+Full+Carbide+Head+Hammer+Drill+Bit&amp;qid=1694734676&amp;sr=8-7")</f>
        <v/>
      </c>
      <c r="F3057" t="inlineStr">
        <is>
          <t>B089LL8JD8</t>
        </is>
      </c>
      <c r="G3057">
        <f>_xlfn.IMAGE("https://edmondsonsupply.com/cdn/shop/files/immoyh7jjmbau4fzhuq6_7dd7fd73-2865-4c12-9443-da45b48dbd51.webp?v=1685465465")</f>
        <v/>
      </c>
      <c r="H3057">
        <f>_xlfn.IMAGE("https://m.media-amazon.com/images/I/616UiJGsK1L._AC_UL320_.jpg")</f>
        <v/>
      </c>
      <c r="K3057" t="inlineStr">
        <is>
          <t>66.4</t>
        </is>
      </c>
      <c r="L3057" t="n">
        <v>33.95</v>
      </c>
      <c r="M3057" s="1" t="inlineStr">
        <is>
          <t>-48.87%</t>
        </is>
      </c>
      <c r="N3057" s="7" t="n">
        <v>120.46</v>
      </c>
      <c r="O3057" t="n">
        <v>4.5</v>
      </c>
      <c r="P3057" t="n">
        <v>16</v>
      </c>
      <c r="R3057" t="inlineStr">
        <is>
          <t>OutOfStock</t>
        </is>
      </c>
      <c r="S3057" t="inlineStr">
        <is>
          <t>105.4</t>
        </is>
      </c>
      <c r="T3057" t="inlineStr">
        <is>
          <t>7997856874712</t>
        </is>
      </c>
    </row>
    <row r="3058" ht="87" customHeight="1">
      <c r="A3058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3058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3058" t="inlineStr">
        <is>
          <t>ICM Controls ICM282B Furnace Control Board - Replacement for Carrier</t>
        </is>
      </c>
      <c r="D3058" t="inlineStr">
        <is>
          <t>ICM Controls ICM280 Furnace Control Replacement for OEM Models Including Goodman B18099-xx Series Control Boards, Multicolor</t>
        </is>
      </c>
      <c r="E3058" s="2">
        <f>HYPERLINK("https://www.amazon.com/ICM-Controls-ICM280-Replacement-Including/dp/B000TVHUFI/ref=sr_1_10?keywords=ICM+Controls+ICM282B+Furnace+Control+Board+-+Replacement+for+Carrier&amp;qid=1694734691&amp;sr=8-10", "https://www.amazon.com/ICM-Controls-ICM280-Replacement-Including/dp/B000TVHUFI/ref=sr_1_10?keywords=ICM+Controls+ICM282B+Furnace+Control+Board+-+Replacement+for+Carrier&amp;qid=1694734691&amp;sr=8-10")</f>
        <v/>
      </c>
      <c r="F3058" t="inlineStr">
        <is>
          <t>B000TVHUFI</t>
        </is>
      </c>
      <c r="G3058">
        <f>_xlfn.IMAGE("https://edmondsonsupply.com/cdn/shop/products/57_5_96e476f9-dc43-4075-94fb-2c5efeccce22.jpg?v=1659481947")</f>
        <v/>
      </c>
      <c r="H3058">
        <f>_xlfn.IMAGE("https://m.media-amazon.com/images/I/71FSDA5PBjL._AC_UL320_.jpg")</f>
        <v/>
      </c>
      <c r="K3058" t="inlineStr">
        <is>
          <t>195.99</t>
        </is>
      </c>
      <c r="L3058" t="n">
        <v>99.75</v>
      </c>
      <c r="M3058" s="1" t="inlineStr">
        <is>
          <t>-49.10%</t>
        </is>
      </c>
      <c r="N3058" s="7" t="n">
        <v>120.46</v>
      </c>
      <c r="O3058" t="n">
        <v>4.5</v>
      </c>
      <c r="P3058" t="n">
        <v>457</v>
      </c>
      <c r="R3058" t="inlineStr">
        <is>
          <t>InStock</t>
        </is>
      </c>
      <c r="S3058" t="inlineStr">
        <is>
          <t>256.41</t>
        </is>
      </c>
      <c r="T3058" t="inlineStr">
        <is>
          <t>7770046464216</t>
        </is>
      </c>
    </row>
    <row r="3059" hidden="1" ht="15.75" customHeight="1">
      <c r="A3059" s="2">
        <f>HYPERLINK("https://edmondsonsupply.com/collections/hvac/products/milwaukee-49-90-1900-hepa-filter", "https://edmondsonsupply.com/collections/hvac/products/milwaukee-49-90-1900-hepa-filter")</f>
        <v/>
      </c>
      <c r="B3059" s="2">
        <f>HYPERLINK("https://edmondsonsupply.com/products/milwaukee-49-90-1900-hepa-filter", "https://edmondsonsupply.com/products/milwaukee-49-90-1900-hepa-filter")</f>
        <v/>
      </c>
      <c r="C3059" t="inlineStr">
        <is>
          <t>Milwaukee 49-90-1900 HEPA Filter</t>
        </is>
      </c>
      <c r="D3059" t="inlineStr">
        <is>
          <t>49-90-1900 HEPA Filter Replacement Compatible with Milwaukee M18 Cordless 2 Gal.Wet Dry Vacuum 0880-20</t>
        </is>
      </c>
      <c r="E3059" s="2">
        <f>HYPERLINK("https://www.amazon.com/49-90-1900-Replacement-Compatible-Milwaukee-Cordless/dp/B07VTP5MF3/ref=sr_1_5?keywords=Milwaukee+49-90-1900+HEPA+Filter&amp;qid=1694734913&amp;sr=8-5", "https://www.amazon.com/49-90-1900-Replacement-Compatible-Milwaukee-Cordless/dp/B07VTP5MF3/ref=sr_1_5?keywords=Milwaukee+49-90-1900+HEPA+Filter&amp;qid=1694734913&amp;sr=8-5")</f>
        <v/>
      </c>
      <c r="F3059" t="inlineStr">
        <is>
          <t>B07VTP5MF3</t>
        </is>
      </c>
      <c r="G3059">
        <f>_xludf.IMAGE("https://edmondsonsupply.com/cdn/shop/files/49-90-1900_1.png?v=1686234774")</f>
        <v/>
      </c>
      <c r="H3059">
        <f>_xludf.IMAGE("https://m.media-amazon.com/images/I/61dXZ7mr8BL._AC_UL320_.jpg")</f>
        <v/>
      </c>
      <c r="K3059" t="inlineStr">
        <is>
          <t>24.98</t>
        </is>
      </c>
      <c r="L3059" t="n">
        <v>12.68</v>
      </c>
      <c r="M3059" s="1" t="inlineStr">
        <is>
          <t>-49.24%</t>
        </is>
      </c>
      <c r="N3059" s="1" t="n">
        <v>120.36</v>
      </c>
      <c r="O3059" t="n">
        <v>4.6</v>
      </c>
      <c r="P3059" t="n">
        <v>287</v>
      </c>
      <c r="R3059" t="inlineStr">
        <is>
          <t>InStock</t>
        </is>
      </c>
      <c r="S3059" t="inlineStr">
        <is>
          <t>40.0</t>
        </is>
      </c>
      <c r="T3059" t="inlineStr">
        <is>
          <t>8002625306840</t>
        </is>
      </c>
    </row>
    <row r="3060" ht="87" customHeight="1">
      <c r="A3060" s="2">
        <f>HYPERLINK("https://edmondsonsupply.com/collections/hvac/products/fresh-aire-uv-apco-tuv-apco-er2", "https://edmondsonsupply.com/collections/hvac/products/fresh-aire-uv-apco-tuv-apco-er2")</f>
        <v/>
      </c>
      <c r="B3060" s="2">
        <f>HYPERLINK("https://edmondsonsupply.com/products/fresh-aire-uv-apco-tuv-apco-er2", "https://edmondsonsupply.com/products/fresh-aire-uv-apco-tuv-apco-er2")</f>
        <v/>
      </c>
      <c r="C3060" t="inlineStr">
        <is>
          <t>Fresh-Aire UV APCO TUV-APCO-ER2 18-32 VAC, 2-Year UV Lamp</t>
        </is>
      </c>
      <c r="D3060" t="inlineStr">
        <is>
          <t>Fresh-Aire Blue Tube Light/Lamp TUV-BTER, 18-32 VAC, 1 Year Bulb</t>
        </is>
      </c>
      <c r="E3060" s="2">
        <f>HYPERLINK("https://www.amazon.com/Fresh-Aire-Blue-Light-TUV-BTER-18-32/dp/B08QDQHKP3/ref=sr_1_7?keywords=Fresh-Aire+UV+APCO+TUV-APCO-ER2+18-32+VAC%2C+2-Year+UV+Lamp&amp;qid=1694734608&amp;sr=8-7", "https://www.amazon.com/Fresh-Aire-Blue-Light-TUV-BTER-18-32/dp/B08QDQHKP3/ref=sr_1_7?keywords=Fresh-Aire+UV+APCO+TUV-APCO-ER2+18-32+VAC%2C+2-Year+UV+Lamp&amp;qid=1694734608&amp;sr=8-7")</f>
        <v/>
      </c>
      <c r="F3060" t="inlineStr">
        <is>
          <t>B08QDQHKP3</t>
        </is>
      </c>
      <c r="G3060">
        <f>_xlfn.IMAGE("https://edmondsonsupply.com/cdn/shop/products/fresh-aire-uv_tuv-apco-er2_article_1367841289911_en_normal.jpg?v=1587143929")</f>
        <v/>
      </c>
      <c r="H3060">
        <f>_xlfn.IMAGE("https://m.media-amazon.com/images/I/41m35CrFGsL._AC_UL320_.jpg")</f>
        <v/>
      </c>
      <c r="K3060" t="inlineStr">
        <is>
          <t>385.99</t>
        </is>
      </c>
      <c r="L3060" t="n">
        <v>195</v>
      </c>
      <c r="M3060" s="1" t="inlineStr">
        <is>
          <t>-49.48%</t>
        </is>
      </c>
      <c r="N3060" s="7" t="n">
        <v>120.11</v>
      </c>
      <c r="O3060" t="n">
        <v>5</v>
      </c>
      <c r="P3060" t="n">
        <v>1</v>
      </c>
      <c r="R3060" t="inlineStr">
        <is>
          <t>InStock</t>
        </is>
      </c>
      <c r="S3060" t="inlineStr">
        <is>
          <t>undefined</t>
        </is>
      </c>
      <c r="T3060" t="inlineStr">
        <is>
          <t>4429144260708</t>
        </is>
      </c>
    </row>
    <row r="3061" ht="87" customHeight="1">
      <c r="A3061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3061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3061" t="inlineStr">
        <is>
          <t>ICM Controls ICM282B Furnace Control Board - Replacement for Carrier</t>
        </is>
      </c>
      <c r="D3061" t="inlineStr">
        <is>
          <t>ICM Controls ICM281 Furnace Control Replacement for OEM Models Including Carrier CES0110057-xx Series Control Boards</t>
        </is>
      </c>
      <c r="E3061" s="2">
        <f>HYPERLINK("https://www.amazon.com/ICM-Controls-ICM281-Replacement-CES0110057-xx/dp/B004I5FD4G/ref=sr_1_4?keywords=ICM+Controls+ICM282B+Furnace+Control+Board+-+Replacement+for+Carrier&amp;qid=1694734691&amp;sr=8-4", "https://www.amazon.com/ICM-Controls-ICM281-Replacement-CES0110057-xx/dp/B004I5FD4G/ref=sr_1_4?keywords=ICM+Controls+ICM282B+Furnace+Control+Board+-+Replacement+for+Carrier&amp;qid=1694734691&amp;sr=8-4")</f>
        <v/>
      </c>
      <c r="F3061" t="inlineStr">
        <is>
          <t>B004I5FD4G</t>
        </is>
      </c>
      <c r="G3061">
        <f>_xlfn.IMAGE("https://edmondsonsupply.com/cdn/shop/products/57_5_96e476f9-dc43-4075-94fb-2c5efeccce22.jpg?v=1659481947")</f>
        <v/>
      </c>
      <c r="H3061">
        <f>_xlfn.IMAGE("https://m.media-amazon.com/images/I/71C0alQJulL._AC_UL320_.jpg")</f>
        <v/>
      </c>
      <c r="K3061" t="inlineStr">
        <is>
          <t>195.99</t>
        </is>
      </c>
      <c r="L3061" t="n">
        <v>98.91</v>
      </c>
      <c r="M3061" s="1" t="inlineStr">
        <is>
          <t>-49.53%</t>
        </is>
      </c>
      <c r="N3061" s="7" t="n">
        <v>120.02</v>
      </c>
      <c r="O3061" t="n">
        <v>4.7</v>
      </c>
      <c r="P3061" t="n">
        <v>382</v>
      </c>
      <c r="R3061" t="inlineStr">
        <is>
          <t>InStock</t>
        </is>
      </c>
      <c r="S3061" t="inlineStr">
        <is>
          <t>256.41</t>
        </is>
      </c>
      <c r="T3061" t="inlineStr">
        <is>
          <t>7770046464216</t>
        </is>
      </c>
    </row>
    <row r="3062" ht="87" customHeight="1">
      <c r="A3062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3062" s="2">
        <f>HYPERLINK("https://edmondsonsupply.com/products/klein-tools-sk234-screwdriver-set-slotted-screw-holding-3-piece", "https://edmondsonsupply.com/products/klein-tools-sk234-screwdriver-set-slotted-screw-holding-3-piece")</f>
        <v/>
      </c>
      <c r="C3062" t="inlineStr">
        <is>
          <t>Klein Tools SK234 Screwdriver Set, Slotted Screw Holding, 3-Piece</t>
        </is>
      </c>
      <c r="D3062" t="inlineStr">
        <is>
          <t>Klein Tools 32614 Multi-bit Precision Screwdriver Set, 4-in-1 Electronics Pocket Screwdriver, Professional Phillips and Slotted Bits</t>
        </is>
      </c>
      <c r="E3062" s="2">
        <f>HYPERLINK("https://www.amazon.com/Klein-Tools-32614-Screwdriver-Electronics/dp/B07PNC5MPB/ref=sr_1_40?keywords=Klein+Tools+SK234+Screwdriver+Set%2C+Slotted+Screw+Holding%2C+3-Piece&amp;qid=1694734646&amp;sr=8-40", "https://www.amazon.com/Klein-Tools-32614-Screwdriver-Electronics/dp/B07PNC5MPB/ref=sr_1_40?keywords=Klein+Tools+SK234+Screwdriver+Set%2C+Slotted+Screw+Holding%2C+3-Piece&amp;qid=1694734646&amp;sr=8-40")</f>
        <v/>
      </c>
      <c r="F3062" t="inlineStr">
        <is>
          <t>B07PNC5MPB</t>
        </is>
      </c>
      <c r="G3062">
        <f>_xlfn.IMAGE("https://edmondsonsupply.com/cdn/shop/products/sk234.jpg?v=1587144984")</f>
        <v/>
      </c>
      <c r="H3062">
        <f>_xlfn.IMAGE("https://m.media-amazon.com/images/I/412OaAua5aL._AC_UL320_.jpg")</f>
        <v/>
      </c>
      <c r="K3062" t="inlineStr">
        <is>
          <t>29.97</t>
        </is>
      </c>
      <c r="L3062" t="n">
        <v>15.03</v>
      </c>
      <c r="M3062" s="1" t="inlineStr">
        <is>
          <t>-49.85%</t>
        </is>
      </c>
      <c r="N3062" s="7" t="n">
        <v>119.97</v>
      </c>
      <c r="O3062" t="n">
        <v>4.7</v>
      </c>
      <c r="P3062" t="n">
        <v>9173</v>
      </c>
      <c r="R3062" t="inlineStr">
        <is>
          <t>OutOfStock</t>
        </is>
      </c>
      <c r="S3062" t="inlineStr">
        <is>
          <t>45.42</t>
        </is>
      </c>
      <c r="T3062" t="inlineStr">
        <is>
          <t>4405483143268</t>
        </is>
      </c>
    </row>
    <row r="3063" hidden="1" ht="15.75" customHeight="1">
      <c r="A3063" s="2">
        <f>HYPERLINK("https://edmondsonsupply.com/collections/hvac/products/channellock-431", "https://edmondsonsupply.com/collections/hvac/products/channellock-431")</f>
        <v/>
      </c>
      <c r="B3063" s="2">
        <f>HYPERLINK("https://edmondsonsupply.com/products/channellock-431", "https://edmondsonsupply.com/products/channellock-431")</f>
        <v/>
      </c>
      <c r="C3063" t="inlineStr">
        <is>
          <t>Channellock 432 10-Inch V-Jaw Tongue &amp; Groove Pliers</t>
        </is>
      </c>
      <c r="D3063" t="inlineStr">
        <is>
          <t>SATA 10-Inch Tongue-and-Groove Pliers, Straight Jaw Design, with Chrome Vanadium Steel Construction and Green Dipped Handles - ST70412ST</t>
        </is>
      </c>
      <c r="E3063" s="2">
        <f>HYPERLINK("https://www.amazon.com/SATA-10-Groove-Joint-Pliers/dp/B076ZR7VW6/ref=sr_1_18?keywords=Channellock+432+10-Inch+V-Jaw+Tongue+%26+Groove+Pliers&amp;qid=1694734826&amp;sr=8-18", "https://www.amazon.com/SATA-10-Groove-Joint-Pliers/dp/B076ZR7VW6/ref=sr_1_18?keywords=Channellock+432+10-Inch+V-Jaw+Tongue+%26+Groove+Pliers&amp;qid=1694734826&amp;sr=8-18")</f>
        <v/>
      </c>
      <c r="F3063" t="inlineStr">
        <is>
          <t>B076ZR7VW6</t>
        </is>
      </c>
      <c r="G3063">
        <f>_xludf.IMAGE("https://edmondsonsupply.com/cdn/shop/products/432-683x1024.jpg?v=1587147134")</f>
        <v/>
      </c>
      <c r="H3063">
        <f>_xludf.IMAGE("https://m.media-amazon.com/images/I/51CmbOBrSHL._AC_UL320_.jpg")</f>
        <v/>
      </c>
      <c r="K3063" t="inlineStr">
        <is>
          <t>19.95</t>
        </is>
      </c>
      <c r="L3063" t="n">
        <v>9.99</v>
      </c>
      <c r="M3063" s="1" t="inlineStr">
        <is>
          <t>-49.92%</t>
        </is>
      </c>
      <c r="N3063" s="1" t="n">
        <v>119.93</v>
      </c>
      <c r="O3063" t="n">
        <v>4.6</v>
      </c>
      <c r="P3063" t="n">
        <v>668</v>
      </c>
      <c r="R3063" t="inlineStr">
        <is>
          <t>InStock</t>
        </is>
      </c>
      <c r="S3063" t="inlineStr">
        <is>
          <t>27.63</t>
        </is>
      </c>
      <c r="T3063" t="inlineStr">
        <is>
          <t>3553468317796</t>
        </is>
      </c>
    </row>
    <row r="3064" ht="87" customHeight="1">
      <c r="A3064" s="2">
        <f>HYPERLINK("https://edmondsonsupply.com/collections/hvac/products/inficon-d-tek-3", "https://edmondsonsupply.com/collections/hvac/products/inficon-d-tek-3")</f>
        <v/>
      </c>
      <c r="B3064" s="2">
        <f>HYPERLINK("https://edmondsonsupply.com/products/inficon-d-tek-3", "https://edmondsonsupply.com/products/inficon-d-tek-3")</f>
        <v/>
      </c>
      <c r="C3064" t="inlineStr">
        <is>
          <t>Inficon D-TEK® 3 Refrigerant Leak Detector</t>
        </is>
      </c>
      <c r="D3064" t="inlineStr">
        <is>
          <t>Inficon AST100 Refrigerant Leak Detector</t>
        </is>
      </c>
      <c r="E3064" s="2">
        <f>HYPERLINK("https://www.amazon.com/Inficon-AST100-Refrigerant-Leak-Detector/dp/B08YLCXNJR/ref=sr_1_15?keywords=Inficon+D-TEK%C2%AE+3+Refrigerant+Leak+Detector&amp;qid=1694734644&amp;sr=8-15", "https://www.amazon.com/Inficon-AST100-Refrigerant-Leak-Detector/dp/B08YLCXNJR/ref=sr_1_15?keywords=Inficon+D-TEK%C2%AE+3+Refrigerant+Leak+Detector&amp;qid=1694734644&amp;sr=8-15")</f>
        <v/>
      </c>
      <c r="F3064" t="inlineStr">
        <is>
          <t>B08YLCXNJR</t>
        </is>
      </c>
      <c r="G3064">
        <f>_xlfn.IMAGE("https://edmondsonsupply.com/cdn/shop/products/dtek3.png?v=1633030772")</f>
        <v/>
      </c>
      <c r="H3064">
        <f>_xlfn.IMAGE("https://m.media-amazon.com/images/I/61F+fuc91lL._AC_UL320_.jpg")</f>
        <v/>
      </c>
      <c r="K3064" t="inlineStr">
        <is>
          <t>516.99</t>
        </is>
      </c>
      <c r="L3064" t="n">
        <v>258.68</v>
      </c>
      <c r="M3064" s="1" t="inlineStr">
        <is>
          <t>-49.96%</t>
        </is>
      </c>
      <c r="N3064" s="7" t="n">
        <v>118.87</v>
      </c>
      <c r="O3064" t="n">
        <v>5</v>
      </c>
      <c r="P3064" t="n">
        <v>1</v>
      </c>
      <c r="R3064" t="inlineStr">
        <is>
          <t>InStock</t>
        </is>
      </c>
      <c r="S3064" t="inlineStr">
        <is>
          <t>645.0</t>
        </is>
      </c>
      <c r="T3064" t="inlineStr">
        <is>
          <t>5950406623400</t>
        </is>
      </c>
    </row>
    <row r="3065" hidden="1" ht="15.75" customHeight="1">
      <c r="A3065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065" s="2">
        <f>HYPERLINK("https://edmondsonsupply.com/products/klein-tools-935dag-digital-angle-gauge-and-level", "https://edmondsonsupply.com/products/klein-tools-935dag-digital-angle-gauge-and-level")</f>
        <v/>
      </c>
      <c r="C3065" t="inlineStr">
        <is>
          <t>Klein Tools 935DAG Digital Angle Gauge and Level</t>
        </is>
      </c>
      <c r="D3065" t="inlineStr">
        <is>
          <t>Aproca Hard Travel Storage Case, for Klein Tools 935DAGL Digital Level Angle Finder</t>
        </is>
      </c>
      <c r="E3065" s="2">
        <f>HYPERLINK("https://www.amazon.com/Aproca-Travel-Storage-935DAGL-Digital/dp/B0BX3TKYNV/ref=sr_1_25?keywords=Klein+Tools+935DAG+Digital+Angle+Gauge+and+Level&amp;qid=1694734733&amp;sr=8-25", "https://www.amazon.com/Aproca-Travel-Storage-935DAGL-Digital/dp/B0BX3TKYNV/ref=sr_1_25?keywords=Klein+Tools+935DAG+Digital+Angle+Gauge+and+Level&amp;qid=1694734733&amp;sr=8-25")</f>
        <v/>
      </c>
      <c r="F3065" t="inlineStr">
        <is>
          <t>B0BX3TKYNV</t>
        </is>
      </c>
      <c r="G3065">
        <f>_xludf.IMAGE("https://edmondsonsupply.com/cdn/shop/products/935dag.jpg?v=1587145032")</f>
        <v/>
      </c>
      <c r="H3065">
        <f>_xludf.IMAGE("https://m.media-amazon.com/images/I/81f1ZnVyScL._AC_UL320_.jpg")</f>
        <v/>
      </c>
      <c r="K3065" t="inlineStr">
        <is>
          <t>29.97</t>
        </is>
      </c>
      <c r="L3065" t="n">
        <v>14.99</v>
      </c>
      <c r="M3065" s="1" t="inlineStr">
        <is>
          <t>-49.98%</t>
        </is>
      </c>
      <c r="N3065" s="1" t="n">
        <v>118.81</v>
      </c>
      <c r="O3065" t="n">
        <v>5</v>
      </c>
      <c r="P3065" t="n">
        <v>4</v>
      </c>
      <c r="R3065" t="inlineStr">
        <is>
          <t>InStock</t>
        </is>
      </c>
      <c r="S3065" t="inlineStr">
        <is>
          <t>45.0</t>
        </is>
      </c>
      <c r="T3065" t="inlineStr">
        <is>
          <t>4167487094884</t>
        </is>
      </c>
    </row>
    <row r="3066" hidden="1" ht="15.75" customHeight="1">
      <c r="A3066" s="2">
        <f>HYPERLINK("https://edmondsonsupply.com/collections/hvac/products/milwaukee-48-25-2122", "https://edmondsonsupply.com/collections/hvac/products/milwaukee-48-25-2122")</f>
        <v/>
      </c>
      <c r="B3066" s="2">
        <f>HYPERLINK("https://edmondsonsupply.com/products/milwaukee-48-25-2122", "https://edmondsonsupply.com/products/milwaukee-48-25-2122")</f>
        <v/>
      </c>
      <c r="C3066" t="inlineStr">
        <is>
          <t>Milwaukee 48-25-2122 Standard Selfeed Bit, 2-1/8"</t>
        </is>
      </c>
      <c r="D3066" t="inlineStr">
        <is>
          <t>Milwaukee GIDDS2-288392 48-25-1372 Standard Selfeed Drill Bit</t>
        </is>
      </c>
      <c r="E3066" s="2">
        <f>HYPERLINK("https://www.amazon.com/MILWAUKEE-GIDDS2-288392-48-25-1372-Standard-Selfeed/dp/B000F6V0O4/ref=sr_1_3?keywords=Milwaukee+48-25-2122+Standard+Selfeed+Bit%2C+2-1%2F8%22&amp;qid=1694734898&amp;sr=8-3", "https://www.amazon.com/MILWAUKEE-GIDDS2-288392-48-25-1372-Standard-Selfeed/dp/B000F6V0O4/ref=sr_1_3?keywords=Milwaukee+48-25-2122+Standard+Selfeed+Bit%2C+2-1%2F8%22&amp;qid=1694734898&amp;sr=8-3")</f>
        <v/>
      </c>
      <c r="F3066" t="inlineStr">
        <is>
          <t>B000F6V0O4</t>
        </is>
      </c>
      <c r="G3066">
        <f>_xludf.IMAGE("https://edmondsonsupply.com/cdn/shop/files/64170_48-25-1372_1-lg.gif?v=1687367768")</f>
        <v/>
      </c>
      <c r="H3066">
        <f>_xludf.IMAGE("https://m.media-amazon.com/images/I/41pjsh1VxIL._AC_UL320_.jpg")</f>
        <v/>
      </c>
      <c r="K3066" t="inlineStr">
        <is>
          <t>49.97</t>
        </is>
      </c>
      <c r="L3066" t="n">
        <v>24.99</v>
      </c>
      <c r="M3066" s="1" t="inlineStr">
        <is>
          <t>-49.99%</t>
        </is>
      </c>
      <c r="N3066" s="1" t="n">
        <v>118.61</v>
      </c>
      <c r="O3066" t="n">
        <v>4</v>
      </c>
      <c r="P3066" t="n">
        <v>5</v>
      </c>
      <c r="R3066" t="inlineStr">
        <is>
          <t>InStock</t>
        </is>
      </c>
      <c r="S3066" t="inlineStr">
        <is>
          <t>undefined</t>
        </is>
      </c>
      <c r="T3066" t="inlineStr">
        <is>
          <t>8007821590744</t>
        </is>
      </c>
    </row>
    <row r="3067" hidden="1" ht="15.75" customHeight="1">
      <c r="A3067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3067" s="2">
        <f>HYPERLINK("https://edmondsonsupply.com/products/fresh-aire-uv-tuvl-215p-2-year-blue-tube-replacement-uv-lamp", "https://edmondsonsupply.com/products/fresh-aire-uv-tuvl-215p-2-year-blue-tube-replacement-uv-lamp")</f>
        <v/>
      </c>
      <c r="C3067" t="inlineStr">
        <is>
          <t>Fresh-Aire UV TUVL-215P, 2-Year Blue-Tube Replacement UV Lamp</t>
        </is>
      </c>
      <c r="D3067" t="inlineStr">
        <is>
          <t>LSE Lighting TUVL-215P TUVL-200-E 15" UV Lamp for AHU Series 1 APCO MAG 15 (no Black Wire Attached) | Used for Fresh-Aire UVC Systems | 2 Year 15" Replacement lamp | Made from Hard Quartz</t>
        </is>
      </c>
      <c r="E3067" s="2">
        <f>HYPERLINK("https://www.amazon.com/LSE-Lighting-TUVL-215P-Fresh-Aire-Replacement/dp/B0BCH7Z2T3/ref=sr_1_6?keywords=Fresh-Aire+UV+TUVL-215P%2C+2-Year+Blue-Tube+Replacement+UV+Lamp&amp;qid=1694734568&amp;sr=8-6", "https://www.amazon.com/LSE-Lighting-TUVL-215P-Fresh-Aire-Replacement/dp/B0BCH7Z2T3/ref=sr_1_6?keywords=Fresh-Aire+UV+TUVL-215P%2C+2-Year+Blue-Tube+Replacement+UV+Lamp&amp;qid=1694734568&amp;sr=8-6")</f>
        <v/>
      </c>
      <c r="F3067" t="inlineStr">
        <is>
          <t>B0BCH7Z2T3</t>
        </is>
      </c>
      <c r="G3067">
        <f>_xludf.IMAGE("https://edmondsonsupply.com/cdn/shop/products/TUVL-215P.jpg?v=1633030216")</f>
        <v/>
      </c>
      <c r="H3067">
        <f>_xludf.IMAGE("https://m.media-amazon.com/images/I/31MNaScLYrS._AC_UL320_.jpg")</f>
        <v/>
      </c>
      <c r="K3067" t="inlineStr">
        <is>
          <t>108.03</t>
        </is>
      </c>
      <c r="L3067" t="n">
        <v>54</v>
      </c>
      <c r="M3067" s="1" t="inlineStr">
        <is>
          <t>-50.01%</t>
        </is>
      </c>
      <c r="N3067" s="1" t="n">
        <v>118.57</v>
      </c>
      <c r="O3067" t="n">
        <v>3.8</v>
      </c>
      <c r="P3067" t="n">
        <v>13</v>
      </c>
      <c r="R3067" t="inlineStr">
        <is>
          <t>InStock</t>
        </is>
      </c>
      <c r="S3067" t="inlineStr">
        <is>
          <t>undefined</t>
        </is>
      </c>
      <c r="T3067" t="inlineStr">
        <is>
          <t>4452670537828</t>
        </is>
      </c>
    </row>
    <row r="3068" hidden="1" ht="15.75" customHeight="1">
      <c r="A3068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3068" s="2">
        <f>HYPERLINK("https://edmondsonsupply.com/products/klein-tools-32535-10-in-1-10-fold-screwdriver-nut-driver", "https://edmondsonsupply.com/products/klein-tools-32535-10-in-1-10-fold-screwdriver-nut-driver")</f>
        <v/>
      </c>
      <c r="C3068" t="inlineStr">
        <is>
          <t>Klein Tools 32535 10-in-1 10 Fold Screwdriver / Nut Driver</t>
        </is>
      </c>
      <c r="D3068" t="inlineStr">
        <is>
          <t>Klein Tools 32557 Multi-Bit Screwdriver / Nut Driver, Heavy Duty 10-in-1 with Interchangable Shafts and Ph, Sl, Sq, Hex Bits and Nut Drivers</t>
        </is>
      </c>
      <c r="E3068" s="2">
        <f>HYPERLINK("https://www.amazon.com/Klein-Tools-32557-Multi-Bit-Screwdriver/dp/B005FQDH9A/ref=sr_1_4?keywords=Klein+Tools+32535+10-in-1+10+Fold+Screwdriver+%2F+Nut+Driver&amp;qid=1694734776&amp;sr=8-4", "https://www.amazon.com/Klein-Tools-32557-Multi-Bit-Screwdriver/dp/B005FQDH9A/ref=sr_1_4?keywords=Klein+Tools+32535+10-in-1+10+Fold+Screwdriver+%2F+Nut+Driver&amp;qid=1694734776&amp;sr=8-4")</f>
        <v/>
      </c>
      <c r="F3068" t="inlineStr">
        <is>
          <t>B005FQDH9A</t>
        </is>
      </c>
      <c r="G3068">
        <f>_xludf.IMAGE("https://edmondsonsupply.com/cdn/shop/products/32535.jpg?v=1633030894")</f>
        <v/>
      </c>
      <c r="H3068">
        <f>_xludf.IMAGE("https://m.media-amazon.com/images/I/41vMDiO0rOL._AC_UL320_.jpg")</f>
        <v/>
      </c>
      <c r="K3068" t="inlineStr">
        <is>
          <t>29.99</t>
        </is>
      </c>
      <c r="L3068" t="n">
        <v>14.98</v>
      </c>
      <c r="M3068" s="1" t="inlineStr">
        <is>
          <t>-50.05%</t>
        </is>
      </c>
      <c r="N3068" s="1" t="n">
        <v>117.8</v>
      </c>
      <c r="O3068" t="n">
        <v>4.8</v>
      </c>
      <c r="P3068" t="n">
        <v>918</v>
      </c>
      <c r="R3068" t="inlineStr">
        <is>
          <t>InStock</t>
        </is>
      </c>
      <c r="S3068" t="inlineStr">
        <is>
          <t>45.36</t>
        </is>
      </c>
      <c r="T3068" t="inlineStr">
        <is>
          <t>6224651485357</t>
        </is>
      </c>
    </row>
    <row r="3069" hidden="1" ht="15.75" customHeight="1">
      <c r="A3069" s="2">
        <f>HYPERLINK("https://edmondsonsupply.com/collections/hvac/products/icm-controls-icm450-3-phase-line-voltage-monitor", "https://edmondsonsupply.com/collections/hvac/products/icm-controls-icm450-3-phase-line-voltage-monitor")</f>
        <v/>
      </c>
      <c r="B3069" s="2">
        <f>HYPERLINK("https://edmondsonsupply.com/products/icm-controls-icm450-3-phase-line-voltage-monitor", "https://edmondsonsupply.com/products/icm-controls-icm450-3-phase-line-voltage-monitor")</f>
        <v/>
      </c>
      <c r="C3069" t="inlineStr">
        <is>
          <t>ICM Controls ICM450A 3 Phase Line Voltage Monitor</t>
        </is>
      </c>
      <c r="D3069" t="inlineStr">
        <is>
          <t>ICM Controls ICM402 Three-Phase Line Voltage Monitor Offering Protection Against Phase Loss/Reversal and Unbalance, 50/60 Hz, 190-600 VAC (115 or 208/240 Control VAC)</t>
        </is>
      </c>
      <c r="E3069" s="2">
        <f>HYPERLINK("https://www.amazon.com/ICM-Controls-ICM402-Three-Phase-Protection/dp/B0018MLVUM/ref=sr_1_1?keywords=ICM+Controls+ICM450A+3+Phase+Line+Voltage+Monitor&amp;qid=1694734635&amp;sr=8-1", "https://www.amazon.com/ICM-Controls-ICM402-Three-Phase-Protection/dp/B0018MLVUM/ref=sr_1_1?keywords=ICM+Controls+ICM450A+3+Phase+Line+Voltage+Monitor&amp;qid=1694734635&amp;sr=8-1")</f>
        <v/>
      </c>
      <c r="F3069" t="inlineStr">
        <is>
          <t>B0018MLVUM</t>
        </is>
      </c>
      <c r="G3069">
        <f>_xludf.IMAGE("https://edmondsonsupply.com/cdn/shop/products/450A.png?v=1666732398")</f>
        <v/>
      </c>
      <c r="H3069">
        <f>_xludf.IMAGE("https://m.media-amazon.com/images/I/61uSt801lEL._AC_UL320_.jpg")</f>
        <v/>
      </c>
      <c r="K3069" t="inlineStr">
        <is>
          <t>149.99</t>
        </is>
      </c>
      <c r="L3069" t="n">
        <v>74.69</v>
      </c>
      <c r="M3069" s="1" t="inlineStr">
        <is>
          <t>-50.20%</t>
        </is>
      </c>
      <c r="N3069" s="1" t="n">
        <v>117.74</v>
      </c>
      <c r="O3069" t="n">
        <v>3.9</v>
      </c>
      <c r="P3069" t="n">
        <v>7</v>
      </c>
      <c r="R3069" t="inlineStr">
        <is>
          <t>InStock</t>
        </is>
      </c>
      <c r="S3069" t="inlineStr">
        <is>
          <t>202.72</t>
        </is>
      </c>
      <c r="T3069" t="inlineStr">
        <is>
          <t>7861482062040</t>
        </is>
      </c>
    </row>
    <row r="3070" hidden="1" ht="15.75" customHeight="1">
      <c r="A3070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070" s="2">
        <f>HYPERLINK("https://edmondsonsupply.com/products/klein-tools-935dag-digital-angle-gauge-and-level", "https://edmondsonsupply.com/products/klein-tools-935dag-digital-angle-gauge-and-level")</f>
        <v/>
      </c>
      <c r="C3070" t="inlineStr">
        <is>
          <t>Klein Tools 935DAG Digital Angle Gauge and Level</t>
        </is>
      </c>
      <c r="D3070" t="inlineStr">
        <is>
          <t>CaseSack Consolidation case for Klein Tools 935DAG Digital Electronic Level and Angle Gauge and 935AB1V ACCU-Bend Level</t>
        </is>
      </c>
      <c r="E3070" s="2">
        <f>HYPERLINK("https://www.amazon.com/CaseSack-Consolidation-Digital-Electronic-ACCU-Bend/dp/B08Y67WSYP/ref=sr_1_7?keywords=Klein+Tools+935DAG+Digital+Angle+Gauge+and+Level&amp;qid=1694734733&amp;sr=8-7", "https://www.amazon.com/CaseSack-Consolidation-Digital-Electronic-ACCU-Bend/dp/B08Y67WSYP/ref=sr_1_7?keywords=Klein+Tools+935DAG+Digital+Angle+Gauge+and+Level&amp;qid=1694734733&amp;sr=8-7")</f>
        <v/>
      </c>
      <c r="F3070" t="inlineStr">
        <is>
          <t>B08Y67WSYP</t>
        </is>
      </c>
      <c r="G3070">
        <f>_xludf.IMAGE("https://edmondsonsupply.com/cdn/shop/products/935dag.jpg?v=1587145032")</f>
        <v/>
      </c>
      <c r="H3070">
        <f>_xludf.IMAGE("https://m.media-amazon.com/images/I/A1Pqjwl+TsL._AC_UL320_.jpg")</f>
        <v/>
      </c>
      <c r="K3070" t="inlineStr">
        <is>
          <t>29.97</t>
        </is>
      </c>
      <c r="L3070" t="n">
        <v>14.86</v>
      </c>
      <c r="M3070" s="1" t="inlineStr">
        <is>
          <t>-50.42%</t>
        </is>
      </c>
      <c r="N3070" s="1" t="n">
        <v>117.68</v>
      </c>
      <c r="O3070" t="n">
        <v>4.5</v>
      </c>
      <c r="P3070" t="n">
        <v>46</v>
      </c>
      <c r="R3070" t="inlineStr">
        <is>
          <t>InStock</t>
        </is>
      </c>
      <c r="S3070" t="inlineStr">
        <is>
          <t>45.0</t>
        </is>
      </c>
      <c r="T3070" t="inlineStr">
        <is>
          <t>4167487094884</t>
        </is>
      </c>
    </row>
    <row r="3071" ht="87" customHeight="1">
      <c r="A3071" s="2">
        <f>HYPERLINK("https://edmondsonsupply.com/collections/hvac/products/milwaukee-2829-22-m18-fuel%E2%84%A2-compact-band-saw-kit", "https://edmondsonsupply.com/collections/hvac/products/milwaukee-2829-22-m18-fuel%E2%84%A2-compact-band-saw-kit")</f>
        <v/>
      </c>
      <c r="B3071" s="2">
        <f>HYPERLINK("https://edmondsonsupply.com/products/milwaukee-2829-22-m18-fuel%e2%84%a2-compact-band-saw-kit", "https://edmondsonsupply.com/products/milwaukee-2829-22-m18-fuel%e2%84%a2-compact-band-saw-kit")</f>
        <v/>
      </c>
      <c r="C3071" t="inlineStr">
        <is>
          <t>Milwaukee 2829-22 M18 FUEL™ Compact Band Saw Kit</t>
        </is>
      </c>
      <c r="D3071" t="inlineStr">
        <is>
          <t>Milwaukee 2829-22 M18 FUEL Compact Band Saw Kit</t>
        </is>
      </c>
      <c r="E3071" s="2">
        <f>HYPERLINK("https://www.amazon.com/Milwaukee-2829-22-FUEL-Compact-Band/dp/B09PQBHPNH/ref=sr_1_1?keywords=Milwaukee+2829-22+M18+FUEL%E2%84%A2+Compact+Band+Saw+Kit&amp;qid=1694734916&amp;sr=8-1", "https://www.amazon.com/Milwaukee-2829-22-FUEL-Compact-Band/dp/B09PQBHPNH/ref=sr_1_1?keywords=Milwaukee+2829-22+M18+FUEL%E2%84%A2+Compact+Band+Saw+Kit&amp;qid=1694734916&amp;sr=8-1")</f>
        <v/>
      </c>
      <c r="F3071" t="inlineStr">
        <is>
          <t>B09PQBHPNH</t>
        </is>
      </c>
      <c r="G3071">
        <f>_xlfn.IMAGE("https://edmondsonsupply.com/cdn/shop/files/2829-22_1.png?v=1686231471")</f>
        <v/>
      </c>
      <c r="H3071">
        <f>_xlfn.IMAGE("https://m.media-amazon.com/images/I/51miXQepRJL._AC_UL320_.jpg")</f>
        <v/>
      </c>
      <c r="K3071" t="inlineStr">
        <is>
          <t>519.0</t>
        </is>
      </c>
      <c r="L3071" t="n">
        <v>253.99</v>
      </c>
      <c r="M3071" s="1" t="inlineStr">
        <is>
          <t>-51.06%</t>
        </is>
      </c>
      <c r="N3071" s="7" t="n">
        <v>117.68</v>
      </c>
      <c r="O3071" t="n">
        <v>5</v>
      </c>
      <c r="P3071" t="n">
        <v>1</v>
      </c>
      <c r="R3071" t="inlineStr">
        <is>
          <t>InStock</t>
        </is>
      </c>
      <c r="S3071" t="inlineStr">
        <is>
          <t>913.0</t>
        </is>
      </c>
      <c r="T3071" t="inlineStr">
        <is>
          <t>8002612625624</t>
        </is>
      </c>
    </row>
    <row r="3072" hidden="1" ht="15.75" customHeight="1">
      <c r="A3072" s="2">
        <f>HYPERLINK("https://edmondsonsupply.com/collections/hvac/products/diablo-tools-dag1130-1-in-x-7-1-2-in-auger-bit", "https://edmondsonsupply.com/collections/hvac/products/diablo-tools-dag1130-1-in-x-7-1-2-in-auger-bit")</f>
        <v/>
      </c>
      <c r="B3072" s="2">
        <f>HYPERLINK("https://edmondsonsupply.com/products/diablo-tools-dag1130-1-in-x-7-1-2-in-auger-bit", "https://edmondsonsupply.com/products/diablo-tools-dag1130-1-in-x-7-1-2-in-auger-bit")</f>
        <v/>
      </c>
      <c r="C3072" t="inlineStr">
        <is>
          <t>Diablo Tools DAG1130 1 in. x 7-1/2 in. Auger Bit</t>
        </is>
      </c>
      <c r="D3072" t="inlineStr">
        <is>
          <t>CORTOOL 1 x 12 Inch Auger Drill Bit for Wood, Soft and Hard Wood Plastic with 7/16 Inch Hex Shank</t>
        </is>
      </c>
      <c r="E3072" s="2">
        <f>HYPERLINK("https://www.amazon.com/CORTOOL-Auger-Drill-Plastic-Shank/dp/B09MYYCQY4/ref=sr_1_35?keywords=Diablo+Tools+DAG1130+1+in.+x+7-1%2F2+in.+Auger+Bit&amp;qid=1694734776&amp;sr=8-35", "https://www.amazon.com/CORTOOL-Auger-Drill-Plastic-Shank/dp/B09MYYCQY4/ref=sr_1_35?keywords=Diablo+Tools+DAG1130+1+in.+x+7-1%2F2+in.+Auger+Bit&amp;qid=1694734776&amp;sr=8-35")</f>
        <v/>
      </c>
      <c r="F3072" t="inlineStr">
        <is>
          <t>B09MYYCQY4</t>
        </is>
      </c>
      <c r="G3072">
        <f>_xludf.IMAGE("https://edmondsonsupply.com/cdn/shop/products/DAG1130_Main-Image20200712.png?v=1633031124")</f>
        <v/>
      </c>
      <c r="H3072">
        <f>_xludf.IMAGE("https://m.media-amazon.com/images/I/51Y17pgvTGL._AC_UL320_.jpg")</f>
        <v/>
      </c>
      <c r="K3072" t="inlineStr">
        <is>
          <t>16.37</t>
        </is>
      </c>
      <c r="L3072" t="n">
        <v>7.99</v>
      </c>
      <c r="M3072" s="1" t="inlineStr">
        <is>
          <t>-51.19%</t>
        </is>
      </c>
      <c r="N3072" s="1" t="n">
        <v>117.68</v>
      </c>
      <c r="O3072" t="n">
        <v>4.1</v>
      </c>
      <c r="P3072" t="n">
        <v>106</v>
      </c>
      <c r="R3072" t="inlineStr">
        <is>
          <t>InStock</t>
        </is>
      </c>
      <c r="S3072" t="inlineStr">
        <is>
          <t>25.94</t>
        </is>
      </c>
      <c r="T3072" t="inlineStr">
        <is>
          <t>6866560581805</t>
        </is>
      </c>
    </row>
    <row r="3073" ht="87" customHeight="1">
      <c r="A3073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073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073" t="inlineStr">
        <is>
          <t>Robertshaw 41-224 Hot Surface Furnace Ignitor</t>
        </is>
      </c>
      <c r="D3073" t="inlineStr">
        <is>
          <t>Surface Ignitor Furnace Igniter Replacement for Robertshaw 41-406 Weil McLain 511-330-188 Norton 201Y 271Y</t>
        </is>
      </c>
      <c r="E3073" s="2">
        <f>HYPERLINK("https://www.amazon.com/Furnace-Igniter-Replacement-Robertshaw-511-330-188/dp/B08P3XCX18/ref=sr_1_6?keywords=Robertshaw+41-224+Hot+Surface+Furnace+Ignitor&amp;qid=1694734847&amp;sr=8-6", "https://www.amazon.com/Furnace-Igniter-Replacement-Robertshaw-511-330-188/dp/B08P3XCX18/ref=sr_1_6?keywords=Robertshaw+41-224+Hot+Surface+Furnace+Ignitor&amp;qid=1694734847&amp;sr=8-6")</f>
        <v/>
      </c>
      <c r="F3073" t="inlineStr">
        <is>
          <t>B08P3XCX18</t>
        </is>
      </c>
      <c r="G3073">
        <f>_xlfn.IMAGE("https://edmondsonsupply.com/cdn/shop/files/41-224.jpg?v=1694616534")</f>
        <v/>
      </c>
      <c r="H3073">
        <f>_xlfn.IMAGE("https://m.media-amazon.com/images/I/61U8fPUfBoL._AC_UL320_.jpg")</f>
        <v/>
      </c>
      <c r="K3073" t="inlineStr">
        <is>
          <t>41.78</t>
        </is>
      </c>
      <c r="L3073" t="n">
        <v>20.3</v>
      </c>
      <c r="M3073" s="1" t="inlineStr">
        <is>
          <t>-51.41%</t>
        </is>
      </c>
      <c r="N3073" s="7" t="n">
        <v>117.39</v>
      </c>
      <c r="O3073" t="n">
        <v>5</v>
      </c>
      <c r="P3073" t="n">
        <v>2</v>
      </c>
      <c r="R3073" t="inlineStr">
        <is>
          <t>InStock</t>
        </is>
      </c>
      <c r="S3073" t="inlineStr">
        <is>
          <t>undefined</t>
        </is>
      </c>
      <c r="T3073" t="inlineStr">
        <is>
          <t>8035179692248</t>
        </is>
      </c>
    </row>
    <row r="3074" hidden="1" ht="15.75" customHeight="1">
      <c r="A3074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3074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3074" t="inlineStr">
        <is>
          <t>ICM Controls ICM289 Furnace Control Board - Replacement for Lennox</t>
        </is>
      </c>
      <c r="D3074" t="inlineStr">
        <is>
          <t>ICM Controls ICM-2810 Furnace Control Board For Goodman PCBBF136 and PCBBF140</t>
        </is>
      </c>
      <c r="E3074" s="2">
        <f>HYPERLINK("https://www.amazon.com/ICM-Controls-ICM-2810-PCBBF136-PCBBF140/dp/B078KMX2V9/ref=sr_1_10?keywords=ICM+Controls+ICM289+Furnace+Control+Board+-+Replacement+for+Lennox&amp;qid=1694734661&amp;sr=8-10", "https://www.amazon.com/ICM-Controls-ICM-2810-PCBBF136-PCBBF140/dp/B078KMX2V9/ref=sr_1_10?keywords=ICM+Controls+ICM289+Furnace+Control+Board+-+Replacement+for+Lennox&amp;qid=1694734661&amp;sr=8-10")</f>
        <v/>
      </c>
      <c r="F3074" t="inlineStr">
        <is>
          <t>B078KMX2V9</t>
        </is>
      </c>
      <c r="G3074">
        <f>_xludf.IMAGE("https://edmondsonsupply.com/cdn/shop/products/photo_3601_medium_abc82be0-5d13-465a-9be5-04a6748e2d27.png?v=1656728911")</f>
        <v/>
      </c>
      <c r="H3074">
        <f>_xludf.IMAGE("https://m.media-amazon.com/images/I/51UFjRz3HyL._AC_UL320_.jpg")</f>
        <v/>
      </c>
      <c r="K3074" t="inlineStr">
        <is>
          <t>134.99</t>
        </is>
      </c>
      <c r="L3074" t="n">
        <v>64.95</v>
      </c>
      <c r="M3074" s="1" t="inlineStr">
        <is>
          <t>-51.89%</t>
        </is>
      </c>
      <c r="N3074" s="1" t="n">
        <v>117.13</v>
      </c>
      <c r="O3074" t="n">
        <v>4</v>
      </c>
      <c r="P3074" t="n">
        <v>18</v>
      </c>
      <c r="R3074" t="inlineStr">
        <is>
          <t>OutOfStock</t>
        </is>
      </c>
      <c r="S3074" t="inlineStr">
        <is>
          <t>198.98</t>
        </is>
      </c>
      <c r="T3074" t="inlineStr">
        <is>
          <t>7735114432728</t>
        </is>
      </c>
    </row>
    <row r="3075" ht="87" customHeight="1">
      <c r="A3075" s="2">
        <f>HYPERLINK("https://edmondsonsupply.com/collections/hvac/products/milwaukee-48-25-1372-1-3-8-self-feed-wood-bit", "https://edmondsonsupply.com/collections/hvac/products/milwaukee-48-25-1372-1-3-8-self-feed-wood-bit")</f>
        <v/>
      </c>
      <c r="B3075" s="2">
        <f>HYPERLINK("https://edmondsonsupply.com/products/milwaukee-48-25-1372-1-3-8-self-feed-wood-bit", "https://edmondsonsupply.com/products/milwaukee-48-25-1372-1-3-8-self-feed-wood-bit")</f>
        <v/>
      </c>
      <c r="C3075" t="inlineStr">
        <is>
          <t>Milwaukee 48-25-1372 1-3/8" Self Feed Wood Bit</t>
        </is>
      </c>
      <c r="D3075" t="inlineStr">
        <is>
          <t>Milwaukee Electric Tool 48-13-0108 Speed Feed Self-Feed Wood Bit, 1-1/4" Diameter x 6" OAL, Steel</t>
        </is>
      </c>
      <c r="E3075" s="2">
        <f>HYPERLINK("https://www.amazon.com/Milwaukee-48-13-0108-Wood-Speed-Feed/dp/B0060BS7XA/ref=sr_1_11?keywords=Milwaukee+48-25-1372+1-3%2F8%22+Self+Feed+Wood+Bit&amp;qid=1694734814&amp;sr=8-11", "https://www.amazon.com/Milwaukee-48-13-0108-Wood-Speed-Feed/dp/B0060BS7XA/ref=sr_1_11?keywords=Milwaukee+48-25-1372+1-3%2F8%22+Self+Feed+Wood+Bit&amp;qid=1694734814&amp;sr=8-11")</f>
        <v/>
      </c>
      <c r="F3075" t="inlineStr">
        <is>
          <t>B0060BS7XA</t>
        </is>
      </c>
      <c r="G3075">
        <f>_xlfn.IMAGE("https://edmondsonsupply.com/cdn/shop/products/milwaukee-auger-bits-48-25-1372-64_1000.jpg?v=1587150001")</f>
        <v/>
      </c>
      <c r="H3075">
        <f>_xlfn.IMAGE("https://m.media-amazon.com/images/I/51q7NAGhURL._AC_UL320_.jpg")</f>
        <v/>
      </c>
      <c r="K3075" t="inlineStr">
        <is>
          <t>34.99</t>
        </is>
      </c>
      <c r="L3075" t="n">
        <v>16.77</v>
      </c>
      <c r="M3075" s="1" t="inlineStr">
        <is>
          <t>-52.07%</t>
        </is>
      </c>
      <c r="N3075" s="7" t="n">
        <v>116.85</v>
      </c>
      <c r="O3075" t="n">
        <v>4.5</v>
      </c>
      <c r="P3075" t="n">
        <v>16</v>
      </c>
      <c r="R3075" t="inlineStr">
        <is>
          <t>InStock</t>
        </is>
      </c>
      <c r="S3075" t="inlineStr">
        <is>
          <t>43.2</t>
        </is>
      </c>
      <c r="T3075" t="inlineStr">
        <is>
          <t>4364850102372</t>
        </is>
      </c>
    </row>
    <row r="3076" ht="87" customHeight="1">
      <c r="A3076" s="2">
        <f>HYPERLINK("https://edmondsonsupply.com/collections/hvac/products/fresh-aire-uv-apco-tuv-apco-rt-er2-18-32-vac-2-year-uv-lamp", "https://edmondsonsupply.com/collections/hvac/products/fresh-aire-uv-apco-tuv-apco-rt-er2-18-32-vac-2-year-uv-lamp")</f>
        <v/>
      </c>
      <c r="B3076" s="2">
        <f>HYPERLINK("https://edmondsonsupply.com/products/fresh-aire-uv-apco-tuv-apco-rt-er2-18-32-vac-2-year-uv-lamp", "https://edmondsonsupply.com/products/fresh-aire-uv-apco-tuv-apco-rt-er2-18-32-vac-2-year-uv-lamp")</f>
        <v/>
      </c>
      <c r="C3076" t="inlineStr">
        <is>
          <t>Fresh-Aire UV APCO TUV-APCO-RT-ER2 18-32 VAC, 2-Year UV Lamp</t>
        </is>
      </c>
      <c r="D3076" t="inlineStr">
        <is>
          <t>Fresh-Aire Blue Tube Light/Lamp TUV-BTER, 18-32 VAC, 1 Year Bulb</t>
        </is>
      </c>
      <c r="E3076" s="2">
        <f>HYPERLINK("https://www.amazon.com/Fresh-Aire-Blue-Light-TUV-BTER-18-32/dp/B08QDQHKP3/ref=sr_1_4?keywords=Fresh-Aire+UV+APCO+TUV-APCO-RT-ER2+18-32+VAC%2C+2-Year+UV+Lamp&amp;qid=1694734662&amp;sr=8-4", "https://www.amazon.com/Fresh-Aire-Blue-Light-TUV-BTER-18-32/dp/B08QDQHKP3/ref=sr_1_4?keywords=Fresh-Aire+UV+APCO+TUV-APCO-RT-ER2+18-32+VAC%2C+2-Year+UV+Lamp&amp;qid=1694734662&amp;sr=8-4")</f>
        <v/>
      </c>
      <c r="F3076" t="inlineStr">
        <is>
          <t>B08QDQHKP3</t>
        </is>
      </c>
      <c r="G3076">
        <f>_xlfn.IMAGE("https://edmondsonsupply.com/cdn/shop/products/APCO-RT-front.jpg?v=1664831717")</f>
        <v/>
      </c>
      <c r="H3076">
        <f>_xlfn.IMAGE("https://m.media-amazon.com/images/I/41m35CrFGsL._AC_UL320_.jpg")</f>
        <v/>
      </c>
      <c r="K3076" t="inlineStr">
        <is>
          <t>409.92</t>
        </is>
      </c>
      <c r="L3076" t="n">
        <v>195</v>
      </c>
      <c r="M3076" s="1" t="inlineStr">
        <is>
          <t>-52.43%</t>
        </is>
      </c>
      <c r="N3076" s="7" t="n">
        <v>116.76</v>
      </c>
      <c r="O3076" t="n">
        <v>5</v>
      </c>
      <c r="P3076" t="n">
        <v>1</v>
      </c>
      <c r="R3076" t="inlineStr">
        <is>
          <t>InStock</t>
        </is>
      </c>
      <c r="S3076" t="inlineStr">
        <is>
          <t>522.5</t>
        </is>
      </c>
      <c r="T3076" t="inlineStr">
        <is>
          <t>6694665781421</t>
        </is>
      </c>
    </row>
    <row r="3077" ht="87" customHeight="1">
      <c r="A3077" s="2">
        <f>HYPERLINK("https://edmondsonsupply.com/collections/hvac/products/wiha-tools-66992-22-piece-magicring-ball-end-hex-l-key-set-inch-metric", "https://edmondsonsupply.com/collections/hvac/products/wiha-tools-66992-22-piece-magicring-ball-end-hex-l-key-set-inch-metric")</f>
        <v/>
      </c>
      <c r="B3077" s="2">
        <f>HYPERLINK("https://edmondsonsupply.com/products/wiha-tools-66992-22-piece-magicring-ball-end-hex-l-key-set-inch-metric", "https://edmondsonsupply.com/products/wiha-tools-66992-22-piece-magicring-ball-end-hex-l-key-set-inch-metric")</f>
        <v/>
      </c>
      <c r="C3077" t="inlineStr">
        <is>
          <t>Wiha Tools 66992 22 Piece MagicRing Ball End Hex L-Key Set - Inch - Metric</t>
        </is>
      </c>
      <c r="D3077" t="inlineStr">
        <is>
          <t>Wiha 66991 MagicRing Ball End Hex Key Set, Long Inch, In Holder, 13 Piece</t>
        </is>
      </c>
      <c r="E3077" s="2">
        <f>HYPERLINK("https://www.amazon.com/Wiha-66991-MagicRing-Holder-Piece/dp/B000WTAK2C/ref=sr_1_2?keywords=Wiha+Tools+66992+22+Piece+MagicRing+Ball+End+Hex+L-Key+Set+-+Inch+-+Metric&amp;qid=1694734873&amp;sr=8-2", "https://www.amazon.com/Wiha-66991-MagicRing-Holder-Piece/dp/B000WTAK2C/ref=sr_1_2?keywords=Wiha+Tools+66992+22+Piece+MagicRing+Ball+End+Hex+L-Key+Set+-+Inch+-+Metric&amp;qid=1694734873&amp;sr=8-2")</f>
        <v/>
      </c>
      <c r="F3077" t="inlineStr">
        <is>
          <t>B000WTAK2C</t>
        </is>
      </c>
      <c r="G3077">
        <f>_xlfn.IMAGE("https://edmondsonsupply.com/cdn/shop/files/29417a271125353d697d01cfdfb24cc6e99901ce_1000x_6829985f-7f40-4410-b5be-ba7bc87b2a14.webp?v=1690840271")</f>
        <v/>
      </c>
      <c r="H3077">
        <f>_xlfn.IMAGE("https://m.media-amazon.com/images/I/61jqxmDwZLL._AC_UL320_.jpg")</f>
        <v/>
      </c>
      <c r="K3077" t="inlineStr">
        <is>
          <t>84.19</t>
        </is>
      </c>
      <c r="L3077" t="n">
        <v>39.99</v>
      </c>
      <c r="M3077" s="1" t="inlineStr">
        <is>
          <t>-52.50%</t>
        </is>
      </c>
      <c r="N3077" s="7" t="n">
        <v>116.66</v>
      </c>
      <c r="O3077" t="n">
        <v>4.8</v>
      </c>
      <c r="P3077" t="n">
        <v>17</v>
      </c>
      <c r="R3077" t="inlineStr">
        <is>
          <t>InStock</t>
        </is>
      </c>
      <c r="S3077" t="inlineStr">
        <is>
          <t>112.25</t>
        </is>
      </c>
      <c r="T3077" t="inlineStr">
        <is>
          <t>8023271145688</t>
        </is>
      </c>
    </row>
    <row r="3078" hidden="1" ht="15.75" customHeight="1">
      <c r="A3078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3078" s="2">
        <f>HYPERLINK("https://edmondsonsupply.com/products/klein-tools-pnd-12-5-1-2-inch-power-nut-driver-5-inch-length", "https://edmondsonsupply.com/products/klein-tools-pnd-12-5-1-2-inch-power-nut-driver-5-inch-length")</f>
        <v/>
      </c>
      <c r="C3078" t="inlineStr">
        <is>
          <t>Klein Tools PND-12-5 1/2-Inch Power Nut Driver 5-Inch Length</t>
        </is>
      </c>
      <c r="D3078" t="inlineStr">
        <is>
          <t>Klein Tools 32767 Impact Driver, 3-in-1 Impact Flip Socket and Bit Holder, 1/4-Inch and 5/16-Inch Hex Drivers, 5-Inch Length</t>
        </is>
      </c>
      <c r="E3078" s="2">
        <f>HYPERLINK("https://www.amazon.com/16-Inch-Drivers-Klein-Tools-32767/dp/B09R3CWH91/ref=sr_1_9?keywords=Klein+Tools+PND-12-5+1%2F2-Inch+Power+Nut+Driver+5-Inch+Length&amp;qid=1694734708&amp;sr=8-9", "https://www.amazon.com/16-Inch-Drivers-Klein-Tools-32767/dp/B09R3CWH91/ref=sr_1_9?keywords=Klein+Tools+PND-12-5+1%2F2-Inch+Power+Nut+Driver+5-Inch+Length&amp;qid=1694734708&amp;sr=8-9")</f>
        <v/>
      </c>
      <c r="F3078" t="inlineStr">
        <is>
          <t>B09R3CWH91</t>
        </is>
      </c>
      <c r="G3078">
        <f>_xludf.IMAGE("https://edmondsonsupply.com/cdn/shop/products/pnd125.jpg?v=1633031028")</f>
        <v/>
      </c>
      <c r="H3078">
        <f>_xludf.IMAGE("https://m.media-amazon.com/images/I/51a0o6PdKNL._AC_UL320_.jpg")</f>
        <v/>
      </c>
      <c r="K3078" t="inlineStr">
        <is>
          <t>18.99</t>
        </is>
      </c>
      <c r="L3078" t="n">
        <v>8.99</v>
      </c>
      <c r="M3078" s="1" t="inlineStr">
        <is>
          <t>-52.66%</t>
        </is>
      </c>
      <c r="N3078" s="1" t="n">
        <v>116.09</v>
      </c>
      <c r="O3078" t="n">
        <v>4.3</v>
      </c>
      <c r="P3078" t="n">
        <v>799</v>
      </c>
      <c r="R3078" t="inlineStr">
        <is>
          <t>InStock</t>
        </is>
      </c>
      <c r="S3078" t="inlineStr">
        <is>
          <t>30.98</t>
        </is>
      </c>
      <c r="T3078" t="inlineStr">
        <is>
          <t>6729466445997</t>
        </is>
      </c>
    </row>
    <row r="3079" hidden="1" ht="15.75" customHeight="1">
      <c r="A3079" s="2">
        <f>HYPERLINK("https://edmondsonsupply.com/collections/hvac/products/5-2-1-compressor-saver-csru2", "https://edmondsonsupply.com/collections/hvac/products/5-2-1-compressor-saver-csru2")</f>
        <v/>
      </c>
      <c r="B3079" s="2">
        <f>HYPERLINK("https://edmondsonsupply.com/products/5-2-1-compressor-saver-csru2", "https://edmondsonsupply.com/products/5-2-1-compressor-saver-csru2")</f>
        <v/>
      </c>
      <c r="C3079" t="inlineStr">
        <is>
          <t>5-2-1 CSRU2 Compressor Saver, 3-1/2 to 5 Tons</t>
        </is>
      </c>
      <c r="D3079" t="inlineStr">
        <is>
          <t>AC Compressor Saver, Generic Hard Start Capacitor Kit Model CSR-U2 for 3 1/2-4-5 Tons Units</t>
        </is>
      </c>
      <c r="E3079" s="2">
        <f>HYPERLINK("https://www.amazon.com/Compressor-Saver-Generic-Capacitor-CSR-U2/dp/B09HZ42ZK1/ref=sr_1_20?keywords=5-2-1+CSRU2+Compressor+Saver%2C+3-1%2F2+to+5+Tons&amp;qid=1694734823&amp;sr=8-20", "https://www.amazon.com/Compressor-Saver-Generic-Capacitor-CSR-U2/dp/B09HZ42ZK1/ref=sr_1_20?keywords=5-2-1+CSRU2+Compressor+Saver%2C+3-1%2F2+to+5+Tons&amp;qid=1694734823&amp;sr=8-20")</f>
        <v/>
      </c>
      <c r="F3079" t="inlineStr">
        <is>
          <t>B09HZ42ZK1</t>
        </is>
      </c>
      <c r="G3079">
        <f>_xludf.IMAGE("https://edmondsonsupply.com/cdn/shop/products/CSRU2.jpg?v=1633030087")</f>
        <v/>
      </c>
      <c r="H3079">
        <f>_xludf.IMAGE("https://m.media-amazon.com/images/I/61snj7xRJkL._AC_UL320_.jpg")</f>
        <v/>
      </c>
      <c r="K3079" t="inlineStr">
        <is>
          <t>42.24</t>
        </is>
      </c>
      <c r="L3079" t="n">
        <v>19.99</v>
      </c>
      <c r="M3079" s="1" t="inlineStr">
        <is>
          <t>-52.68%</t>
        </is>
      </c>
      <c r="N3079" s="1" t="n">
        <v>116.09</v>
      </c>
      <c r="O3079" t="n">
        <v>3.7</v>
      </c>
      <c r="P3079" t="n">
        <v>34</v>
      </c>
      <c r="R3079" t="inlineStr">
        <is>
          <t>InStock</t>
        </is>
      </c>
      <c r="S3079" t="inlineStr">
        <is>
          <t>48.74</t>
        </is>
      </c>
      <c r="T3079" t="inlineStr">
        <is>
          <t>3561347317860</t>
        </is>
      </c>
    </row>
    <row r="3080" hidden="1" ht="15.75" customHeight="1">
      <c r="A3080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3080" s="2">
        <f>HYPERLINK("https://edmondsonsupply.com/products/klein-tools-610-stubby-nut-driver-set-1-1-2-inch-shafts-2-piece", "https://edmondsonsupply.com/products/klein-tools-610-stubby-nut-driver-set-1-1-2-inch-shafts-2-piece")</f>
        <v/>
      </c>
      <c r="C3080" t="inlineStr">
        <is>
          <t>Klein Tools 610 Stubby Nut Driver Set 1-1/2-Inch Shafts 2-Piece</t>
        </is>
      </c>
      <c r="D3080" t="inlineStr">
        <is>
          <t>Klein Tools SS8 1/4-Inch Stubby Nut Driver with 1-1/2-Inch Hollow Shaft and Comfordome Handle</t>
        </is>
      </c>
      <c r="E3080" s="2">
        <f>HYPERLINK("https://www.amazon.com/4-Inch-Comfordome-Klein-Tools-SS8/dp/B00093D5HS/ref=sr_1_7?keywords=Klein+Tools+610+Stubby+Nut+Driver+Set+1-1%2F2-Inch+Shafts+2-Piece&amp;qid=1694734809&amp;sr=8-7", "https://www.amazon.com/4-Inch-Comfordome-Klein-Tools-SS8/dp/B00093D5HS/ref=sr_1_7?keywords=Klein+Tools+610+Stubby+Nut+Driver+Set+1-1%2F2-Inch+Shafts+2-Piece&amp;qid=1694734809&amp;sr=8-7")</f>
        <v/>
      </c>
      <c r="F3080" t="inlineStr">
        <is>
          <t>B00093D5HS</t>
        </is>
      </c>
      <c r="G3080">
        <f>_xludf.IMAGE("https://edmondsonsupply.com/cdn/shop/products/610m_169714eb-6816-4f42-aa86-ea17ea5fcbbb.jpg?v=1633030110")</f>
        <v/>
      </c>
      <c r="H3080">
        <f>_xludf.IMAGE("https://m.media-amazon.com/images/I/51OCOP+vN8L._AC_UL320_.jpg")</f>
        <v/>
      </c>
      <c r="K3080" t="inlineStr">
        <is>
          <t>15.99</t>
        </is>
      </c>
      <c r="L3080" t="n">
        <v>7.51</v>
      </c>
      <c r="M3080" s="1" t="inlineStr">
        <is>
          <t>-53.03%</t>
        </is>
      </c>
      <c r="N3080" s="1" t="n">
        <v>116.08</v>
      </c>
      <c r="O3080" t="n">
        <v>4.2</v>
      </c>
      <c r="P3080" t="n">
        <v>19</v>
      </c>
      <c r="R3080" t="inlineStr">
        <is>
          <t>InStock</t>
        </is>
      </c>
      <c r="S3080" t="inlineStr">
        <is>
          <t>24.26</t>
        </is>
      </c>
      <c r="T3080" t="inlineStr">
        <is>
          <t>3671774855268</t>
        </is>
      </c>
    </row>
    <row r="3081" hidden="1" ht="15.75" customHeight="1">
      <c r="A3081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3081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3081" t="inlineStr">
        <is>
          <t>Diablo Tools DMAPL4250 3/4 in. x 8 in. x 10 in. Rebar Demon™ SDS-Plus 4-Cutter Full Carbide Head Hammer Drill Bit</t>
        </is>
      </c>
      <c r="D3081" t="inlineStr">
        <is>
          <t>Diablo by Freud Diablo DMAPL4210 5/8 in. x 4 in. x 6 in. Rebar Demon SDS-Plus 4-Cutter Full Carbide Head Hammer Bit</t>
        </is>
      </c>
      <c r="E3081" s="2">
        <f>HYPERLINK("https://www.amazon.com/Diablo-Freud-DMAPL4210-SDS-Plus-4-Cutter/dp/B089LGF2KS/ref=sr_1_31?keywords=Diablo+Tools+DMAPL4250+3%2F4+in.+x+8+in.+x+10+in.+Rebar+Demon%E2%84%A2+SDS-Plus+4-Cutter+Full+Carbide+Head+Hammer+Drill+Bit&amp;qid=1694734913&amp;sr=8-31", "https://www.amazon.com/Diablo-Freud-DMAPL4210-SDS-Plus-4-Cutter/dp/B089LGF2KS/ref=sr_1_31?keywords=Diablo+Tools+DMAPL4250+3%2F4+in.+x+8+in.+x+10+in.+Rebar+Demon%E2%84%A2+SDS-Plus+4-Cutter+Full+Carbide+Head+Hammer+Drill+Bit&amp;qid=1694734913&amp;sr=8-31")</f>
        <v/>
      </c>
      <c r="F3081" t="inlineStr">
        <is>
          <t>B089LGF2KS</t>
        </is>
      </c>
      <c r="G3081">
        <f>_xludf.IMAGE("https://edmondsonsupply.com/cdn/shop/files/rltcbi253wmfv6otmtz6.webp?v=1686576913")</f>
        <v/>
      </c>
      <c r="H3081">
        <f>_xludf.IMAGE("https://m.media-amazon.com/images/I/61rU9ZgmndL._AC_UL320_.jpg")</f>
        <v/>
      </c>
      <c r="K3081" t="inlineStr">
        <is>
          <t>24.47</t>
        </is>
      </c>
      <c r="L3081" t="n">
        <v>11.49</v>
      </c>
      <c r="M3081" s="1" t="inlineStr">
        <is>
          <t>-53.04%</t>
        </is>
      </c>
      <c r="N3081" s="1" t="n">
        <v>116.01</v>
      </c>
      <c r="O3081" t="n">
        <v>4.6</v>
      </c>
      <c r="P3081" t="n">
        <v>63</v>
      </c>
      <c r="R3081" t="inlineStr">
        <is>
          <t>InStock</t>
        </is>
      </c>
      <c r="S3081" t="inlineStr">
        <is>
          <t>38.21</t>
        </is>
      </c>
      <c r="T3081" t="inlineStr">
        <is>
          <t>8004486168792</t>
        </is>
      </c>
    </row>
    <row r="3082" hidden="1" ht="15.75" customHeight="1">
      <c r="A3082" s="2">
        <f>HYPERLINK("https://edmondsonsupply.com/collections/hvac/products/klein-tools-610-stubby-nut-driver-set-1-1-2-inch-shafts-2-piece", "https://edmondsonsupply.com/collections/hvac/products/klein-tools-610-stubby-nut-driver-set-1-1-2-inch-shafts-2-piece")</f>
        <v/>
      </c>
      <c r="B3082" s="2">
        <f>HYPERLINK("https://edmondsonsupply.com/products/klein-tools-610-stubby-nut-driver-set-1-1-2-inch-shafts-2-piece", "https://edmondsonsupply.com/products/klein-tools-610-stubby-nut-driver-set-1-1-2-inch-shafts-2-piece")</f>
        <v/>
      </c>
      <c r="C3082" t="inlineStr">
        <is>
          <t>Klein Tools 610 Stubby Nut Driver Set 1-1/2-Inch Shafts 2-Piece</t>
        </is>
      </c>
      <c r="D3082" t="inlineStr">
        <is>
          <t>Klein Tools 610-1/4 1/4-Inch Stubby Nut Driver with 1-1/2-Inch Hollow Shaft and Cushion Grip Handle</t>
        </is>
      </c>
      <c r="E3082" s="2">
        <f>HYPERLINK("https://www.amazon.com/4-Inch-Cushion-Klein-Tools-610-1/dp/B001BZHUKQ/ref=sr_1_4?keywords=Klein+Tools+610+Stubby+Nut+Driver+Set+1-1%2F2-Inch+Shafts+2-Piece&amp;qid=1694734809&amp;sr=8-4", "https://www.amazon.com/4-Inch-Cushion-Klein-Tools-610-1/dp/B001BZHUKQ/ref=sr_1_4?keywords=Klein+Tools+610+Stubby+Nut+Driver+Set+1-1%2F2-Inch+Shafts+2-Piece&amp;qid=1694734809&amp;sr=8-4")</f>
        <v/>
      </c>
      <c r="F3082" t="inlineStr">
        <is>
          <t>B001BZHUKQ</t>
        </is>
      </c>
      <c r="G3082">
        <f>_xludf.IMAGE("https://edmondsonsupply.com/cdn/shop/products/610m_169714eb-6816-4f42-aa86-ea17ea5fcbbb.jpg?v=1633030110")</f>
        <v/>
      </c>
      <c r="H3082">
        <f>_xludf.IMAGE("https://m.media-amazon.com/images/I/41jfNPcsXfL._AC_UL320_.jpg")</f>
        <v/>
      </c>
      <c r="K3082" t="inlineStr">
        <is>
          <t>15.99</t>
        </is>
      </c>
      <c r="L3082" t="n">
        <v>7.49</v>
      </c>
      <c r="M3082" s="1" t="inlineStr">
        <is>
          <t>-53.16%</t>
        </is>
      </c>
      <c r="N3082" s="1" t="n">
        <v>115.69</v>
      </c>
      <c r="O3082" t="n">
        <v>4.7</v>
      </c>
      <c r="P3082" t="n">
        <v>258</v>
      </c>
      <c r="R3082" t="inlineStr">
        <is>
          <t>InStock</t>
        </is>
      </c>
      <c r="S3082" t="inlineStr">
        <is>
          <t>24.26</t>
        </is>
      </c>
      <c r="T3082" t="inlineStr">
        <is>
          <t>3671774855268</t>
        </is>
      </c>
    </row>
    <row r="3083" hidden="1" ht="15.75" customHeight="1">
      <c r="A3083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083" s="2">
        <f>HYPERLINK("https://edmondsonsupply.com/products/klein-tools-935dag-digital-angle-gauge-and-level", "https://edmondsonsupply.com/products/klein-tools-935dag-digital-angle-gauge-and-level")</f>
        <v/>
      </c>
      <c r="C3083" t="inlineStr">
        <is>
          <t>Klein Tools 935DAG Digital Angle Gauge and Level</t>
        </is>
      </c>
      <c r="D3083" t="inlineStr">
        <is>
          <t>LTGEM EVA Hard Case for Klein Tools 935DAG Digital Electronic Level and Angle Gauge- Travel - Protective Carrying Storage Bag</t>
        </is>
      </c>
      <c r="E3083" s="2">
        <f>HYPERLINK("https://www.amazon.com/LTGEM-935DAG-Digital-Electronic-Gauge/dp/B093KVTKDJ/ref=sr_1_6?keywords=Klein+Tools+935DAG+Digital+Angle+Gauge+and+Level&amp;qid=1694734733&amp;sr=8-6", "https://www.amazon.com/LTGEM-935DAG-Digital-Electronic-Gauge/dp/B093KVTKDJ/ref=sr_1_6?keywords=Klein+Tools+935DAG+Digital+Angle+Gauge+and+Level&amp;qid=1694734733&amp;sr=8-6")</f>
        <v/>
      </c>
      <c r="F3083" t="inlineStr">
        <is>
          <t>B093KVTKDJ</t>
        </is>
      </c>
      <c r="G3083">
        <f>_xludf.IMAGE("https://edmondsonsupply.com/cdn/shop/products/935dag.jpg?v=1587145032")</f>
        <v/>
      </c>
      <c r="H3083">
        <f>_xludf.IMAGE("https://m.media-amazon.com/images/I/71g7L8fudmS._AC_UL320_.jpg")</f>
        <v/>
      </c>
      <c r="K3083" t="inlineStr">
        <is>
          <t>29.97</t>
        </is>
      </c>
      <c r="L3083" t="n">
        <v>13.99</v>
      </c>
      <c r="M3083" s="1" t="inlineStr">
        <is>
          <t>-53.32%</t>
        </is>
      </c>
      <c r="N3083" s="1" t="n">
        <v>115.57</v>
      </c>
      <c r="O3083" t="n">
        <v>4.9</v>
      </c>
      <c r="P3083" t="n">
        <v>27</v>
      </c>
      <c r="R3083" t="inlineStr">
        <is>
          <t>InStock</t>
        </is>
      </c>
      <c r="S3083" t="inlineStr">
        <is>
          <t>45.0</t>
        </is>
      </c>
      <c r="T3083" t="inlineStr">
        <is>
          <t>4167487094884</t>
        </is>
      </c>
    </row>
    <row r="3084" ht="87" customHeight="1">
      <c r="A3084" s="2">
        <f>HYPERLINK("https://edmondsonsupply.com/collections/hvac/products/milwaukee-48-40-4515-8-circular-saw-metal-cutting-blade-42t", "https://edmondsonsupply.com/collections/hvac/products/milwaukee-48-40-4515-8-circular-saw-metal-cutting-blade-42t")</f>
        <v/>
      </c>
      <c r="B3084" s="2">
        <f>HYPERLINK("https://edmondsonsupply.com/products/milwaukee-48-40-4515-8-circular-saw-metal-cutting-blade-42t", "https://edmondsonsupply.com/products/milwaukee-48-40-4515-8-circular-saw-metal-cutting-blade-42t")</f>
        <v/>
      </c>
      <c r="C3084" t="inlineStr">
        <is>
          <t>Milwaukee 48-40-4515 8" Circular Saw Metal Cutting Blade- 42T</t>
        </is>
      </c>
      <c r="D3084" t="inlineStr">
        <is>
          <t>Milwaukee 48-40-4006 Non-Ferrous Metal Cutting Circular Saw Blade 6-7/8-Inch 52 Tooth</t>
        </is>
      </c>
      <c r="E3084" s="2">
        <f>HYPERLINK("https://www.amazon.com/Milwaukee-48-40-4006-Non-Ferrous-Cutting-Circular/dp/B000MW57T0/ref=sr_1_1?keywords=Milwaukee+48-40-4515+8%22+Circular+Saw+Metal+Cutting+Blade-+42T&amp;qid=1694734899&amp;sr=8-1", "https://www.amazon.com/Milwaukee-48-40-4006-Non-Ferrous-Cutting-Circular/dp/B000MW57T0/ref=sr_1_1?keywords=Milwaukee+48-40-4515+8%22+Circular+Saw+Metal+Cutting+Blade-+42T&amp;qid=1694734899&amp;sr=8-1")</f>
        <v/>
      </c>
      <c r="F3084" t="inlineStr">
        <is>
          <t>B000MW57T0</t>
        </is>
      </c>
      <c r="G3084">
        <f>_xlfn.IMAGE("https://edmondsonsupply.com/cdn/shop/files/48-40-4515_1.png?v=1687444386")</f>
        <v/>
      </c>
      <c r="H3084">
        <f>_xlfn.IMAGE("https://m.media-amazon.com/images/I/71kEzDsGyxL._AC_UL320_.jpg")</f>
        <v/>
      </c>
      <c r="K3084" t="inlineStr">
        <is>
          <t>59.97</t>
        </is>
      </c>
      <c r="L3084" t="n">
        <v>27.99</v>
      </c>
      <c r="M3084" s="1" t="inlineStr">
        <is>
          <t>-53.33%</t>
        </is>
      </c>
      <c r="N3084" s="7" t="n">
        <v>115.03</v>
      </c>
      <c r="O3084" t="n">
        <v>5</v>
      </c>
      <c r="P3084" t="n">
        <v>2</v>
      </c>
      <c r="R3084" t="inlineStr">
        <is>
          <t>InStock</t>
        </is>
      </c>
      <c r="S3084" t="inlineStr">
        <is>
          <t>88.2</t>
        </is>
      </c>
      <c r="T3084" t="inlineStr">
        <is>
          <t>8007979434200</t>
        </is>
      </c>
    </row>
    <row r="3085" hidden="1" ht="15.75" customHeight="1">
      <c r="A3085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3085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3085" t="inlineStr">
        <is>
          <t>Klein Tools JTH4E17 1/2-Inch Hex Key, Journeyman T-Handle, 4-Inch</t>
        </is>
      </c>
      <c r="D3085" t="inlineStr">
        <is>
          <t>Klein Tools JTH9E14 5/16-Inch Hex Key, Journeyman T-Handle, 9-Inch</t>
        </is>
      </c>
      <c r="E3085" s="2">
        <f>HYPERLINK("https://www.amazon.com/Journeyman-T-Handle-Klein-Tools-JTH9E14/dp/B004QVAH4I/ref=sr_1_8?keywords=Klein+Tools+JTH4E17+1%2F2-Inch+Hex+Key%2C+Journeyman+T-Handle%2C+4-Inch&amp;qid=1694734780&amp;sr=8-8", "https://www.amazon.com/Journeyman-T-Handle-Klein-Tools-JTH9E14/dp/B004QVAH4I/ref=sr_1_8?keywords=Klein+Tools+JTH4E17+1%2F2-Inch+Hex+Key%2C+Journeyman+T-Handle%2C+4-Inch&amp;qid=1694734780&amp;sr=8-8")</f>
        <v/>
      </c>
      <c r="F3085" t="inlineStr">
        <is>
          <t>B004QVAH4I</t>
        </is>
      </c>
      <c r="G3085">
        <f>_xludf.IMAGE("https://edmondsonsupply.com/cdn/shop/products/jth4e17_583549be-7b42-43c7-9c3d-a92f2416ede5.jpg?v=1610655610")</f>
        <v/>
      </c>
      <c r="H3085">
        <f>_xludf.IMAGE("https://m.media-amazon.com/images/I/51Yb8h41vLL._AC_UL320_.jpg")</f>
        <v/>
      </c>
      <c r="K3085" t="inlineStr">
        <is>
          <t>15.99</t>
        </is>
      </c>
      <c r="L3085" t="n">
        <v>7.44</v>
      </c>
      <c r="M3085" s="1" t="inlineStr">
        <is>
          <t>-53.47%</t>
        </is>
      </c>
      <c r="N3085" s="1" t="n">
        <v>114.05</v>
      </c>
      <c r="O3085" t="n">
        <v>4.8</v>
      </c>
      <c r="P3085" t="n">
        <v>114</v>
      </c>
      <c r="R3085" t="inlineStr">
        <is>
          <t>InStock</t>
        </is>
      </c>
      <c r="S3085" t="inlineStr">
        <is>
          <t>24.24</t>
        </is>
      </c>
      <c r="T3085" t="inlineStr">
        <is>
          <t>6203851538605</t>
        </is>
      </c>
    </row>
    <row r="3086" hidden="1" ht="15.75" customHeight="1">
      <c r="A3086" s="2">
        <f>HYPERLINK("https://edmondsonsupply.com/collections/hvac/products/milwaukee-49-90-1900-hepa-filter", "https://edmondsonsupply.com/collections/hvac/products/milwaukee-49-90-1900-hepa-filter")</f>
        <v/>
      </c>
      <c r="B3086" s="2">
        <f>HYPERLINK("https://edmondsonsupply.com/products/milwaukee-49-90-1900-hepa-filter", "https://edmondsonsupply.com/products/milwaukee-49-90-1900-hepa-filter")</f>
        <v/>
      </c>
      <c r="C3086" t="inlineStr">
        <is>
          <t>Milwaukee 49-90-1900 HEPA Filter</t>
        </is>
      </c>
      <c r="D3086" t="inlineStr">
        <is>
          <t>Carkio HEPA Vacuum Cleaner Filter Compatible with Milwaukee 49-90-1900 Wet/Dry VAC 0780-20/0880-20 Cleaner Accessories</t>
        </is>
      </c>
      <c r="E3086" s="2">
        <f>HYPERLINK("https://www.amazon.com/Carkio-Compatible-Milwaukee-49-90-1900-Accessories/dp/B08YS9P8HS/ref=sr_1_39?keywords=Milwaukee+49-90-1900+HEPA+Filter&amp;qid=1694734913&amp;sr=8-39", "https://www.amazon.com/Carkio-Compatible-Milwaukee-49-90-1900-Accessories/dp/B08YS9P8HS/ref=sr_1_39?keywords=Milwaukee+49-90-1900+HEPA+Filter&amp;qid=1694734913&amp;sr=8-39")</f>
        <v/>
      </c>
      <c r="F3086" t="inlineStr">
        <is>
          <t>B08YS9P8HS</t>
        </is>
      </c>
      <c r="G3086">
        <f>_xludf.IMAGE("https://edmondsonsupply.com/cdn/shop/files/49-90-1900_1.png?v=1686234774")</f>
        <v/>
      </c>
      <c r="H3086">
        <f>_xludf.IMAGE("https://m.media-amazon.com/images/I/61ieJjYGAdL._AC_UL320_.jpg")</f>
        <v/>
      </c>
      <c r="K3086" t="inlineStr">
        <is>
          <t>24.98</t>
        </is>
      </c>
      <c r="L3086" t="n">
        <v>11.49</v>
      </c>
      <c r="M3086" s="1" t="inlineStr">
        <is>
          <t>-54.00%</t>
        </is>
      </c>
      <c r="N3086" s="1" t="n">
        <v>113.65</v>
      </c>
      <c r="O3086" t="n">
        <v>3.2</v>
      </c>
      <c r="P3086" t="n">
        <v>2</v>
      </c>
      <c r="R3086" t="inlineStr">
        <is>
          <t>InStock</t>
        </is>
      </c>
      <c r="S3086" t="inlineStr">
        <is>
          <t>40.0</t>
        </is>
      </c>
      <c r="T3086" t="inlineStr">
        <is>
          <t>8002625306840</t>
        </is>
      </c>
    </row>
    <row r="3087" hidden="1" ht="15.75" customHeight="1">
      <c r="A3087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3087" s="2">
        <f>HYPERLINK("https://edmondsonsupply.com/products/milwaukee-48-22-1540-fastback%e2%84%a2-5-in-1-folding-knife", "https://edmondsonsupply.com/products/milwaukee-48-22-1540-fastback%e2%84%a2-5-in-1-folding-knife")</f>
        <v/>
      </c>
      <c r="C3087" t="inlineStr">
        <is>
          <t>Milwaukee 48-22-1540 FASTBACK™ 5-in-1 Folding Knife</t>
        </is>
      </c>
      <c r="D3087" t="inlineStr">
        <is>
          <t>Milwaukee 48-22-1501 Fastback Folding Utility Knife with Wire Stripper, Gut Hook, and Quick Blade Change</t>
        </is>
      </c>
      <c r="E3087" s="2">
        <f>HYPERLINK("https://www.amazon.com/Milwaukee-48-22-1501-Fastback-Folding-Stripper/dp/B083G6J5T3/ref=sr_1_9?keywords=Milwaukee+48-22-1540+FASTBACK%E2%84%A2+5-in-1+Folding+Knife&amp;qid=1694734631&amp;sr=8-9", "https://www.amazon.com/Milwaukee-48-22-1501-Fastback-Folding-Stripper/dp/B083G6J5T3/ref=sr_1_9?keywords=Milwaukee+48-22-1540+FASTBACK%E2%84%A2+5-in-1+Folding+Knife&amp;qid=1694734631&amp;sr=8-9")</f>
        <v/>
      </c>
      <c r="F3087" t="inlineStr">
        <is>
          <t>B083G6J5T3</t>
        </is>
      </c>
      <c r="G3087">
        <f>_xludf.IMAGE("https://edmondsonsupply.com/cdn/shop/products/48-22-1540_1.png?v=1587142762")</f>
        <v/>
      </c>
      <c r="H3087">
        <f>_xludf.IMAGE("https://m.media-amazon.com/images/I/41WVxcFxEZL._AC_UL320_.jpg")</f>
        <v/>
      </c>
      <c r="K3087" t="inlineStr">
        <is>
          <t>23.97</t>
        </is>
      </c>
      <c r="L3087" t="n">
        <v>10.97</v>
      </c>
      <c r="M3087" s="1" t="inlineStr">
        <is>
          <t>-54.23%</t>
        </is>
      </c>
      <c r="N3087" s="1" t="n">
        <v>113.45</v>
      </c>
      <c r="O3087" t="n">
        <v>4.8</v>
      </c>
      <c r="P3087" t="n">
        <v>483</v>
      </c>
      <c r="R3087" t="inlineStr">
        <is>
          <t>InStock</t>
        </is>
      </c>
      <c r="S3087" t="inlineStr">
        <is>
          <t>39.0</t>
        </is>
      </c>
      <c r="T3087" t="inlineStr">
        <is>
          <t>4452621090916</t>
        </is>
      </c>
    </row>
    <row r="3088" hidden="1" ht="15.75" customHeight="1">
      <c r="A3088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3088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3088" t="inlineStr">
        <is>
          <t>Klein Tools JTH4E17 1/2-Inch Hex Key, Journeyman T-Handle, 4-Inch</t>
        </is>
      </c>
      <c r="D3088" t="inlineStr">
        <is>
          <t>Klein Tools JTH4E13 1/4-Inch Hex Key with Journeyman T-Handle, 4-Inch</t>
        </is>
      </c>
      <c r="E3088" s="2">
        <f>HYPERLINK("https://www.amazon.com/Klein-Tools-JTH4E13-Journeyman-T-Handle/dp/B007GH2CDS/ref=sr_1_4?keywords=Klein+Tools+JTH4E17+1%2F2-Inch+Hex+Key%2C+Journeyman+T-Handle%2C+4-Inch&amp;qid=1694734780&amp;sr=8-4", "https://www.amazon.com/Klein-Tools-JTH4E13-Journeyman-T-Handle/dp/B007GH2CDS/ref=sr_1_4?keywords=Klein+Tools+JTH4E17+1%2F2-Inch+Hex+Key%2C+Journeyman+T-Handle%2C+4-Inch&amp;qid=1694734780&amp;sr=8-4")</f>
        <v/>
      </c>
      <c r="F3088" t="inlineStr">
        <is>
          <t>B007GH2CDS</t>
        </is>
      </c>
      <c r="G3088">
        <f>_xludf.IMAGE("https://edmondsonsupply.com/cdn/shop/products/jth4e17_583549be-7b42-43c7-9c3d-a92f2416ede5.jpg?v=1610655610")</f>
        <v/>
      </c>
      <c r="H3088">
        <f>_xludf.IMAGE("https://m.media-amazon.com/images/I/41ERRKlO36L._AC_UL320_.jpg")</f>
        <v/>
      </c>
      <c r="K3088" t="inlineStr">
        <is>
          <t>15.99</t>
        </is>
      </c>
      <c r="L3088" t="n">
        <v>7.3</v>
      </c>
      <c r="M3088" s="1" t="inlineStr">
        <is>
          <t>-54.35%</t>
        </is>
      </c>
      <c r="N3088" s="1" t="n">
        <v>112.88</v>
      </c>
      <c r="O3088" t="n">
        <v>4.8</v>
      </c>
      <c r="P3088" t="n">
        <v>2477</v>
      </c>
      <c r="R3088" t="inlineStr">
        <is>
          <t>InStock</t>
        </is>
      </c>
      <c r="S3088" t="inlineStr">
        <is>
          <t>24.24</t>
        </is>
      </c>
      <c r="T3088" t="inlineStr">
        <is>
          <t>6203851538605</t>
        </is>
      </c>
    </row>
    <row r="3089" ht="87" customHeight="1">
      <c r="A3089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089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089" t="inlineStr">
        <is>
          <t>Robertshaw 41-224 Hot Surface Furnace Ignitor</t>
        </is>
      </c>
      <c r="D3089" t="inlineStr">
        <is>
          <t>Robertshaw Hot Surface Ignitor, Series 41-407</t>
        </is>
      </c>
      <c r="E3089" s="2">
        <f>HYPERLINK("https://www.amazon.com/Robertshaw-Hot-Surface-Ignitor-41-407/dp/B000VYHWCY/ref=sr_1_16?keywords=Robertshaw+41-224+Hot+Surface+Furnace+Ignitor&amp;qid=1694734847&amp;sr=8-16", "https://www.amazon.com/Robertshaw-Hot-Surface-Ignitor-41-407/dp/B000VYHWCY/ref=sr_1_16?keywords=Robertshaw+41-224+Hot+Surface+Furnace+Ignitor&amp;qid=1694734847&amp;sr=8-16")</f>
        <v/>
      </c>
      <c r="F3089" t="inlineStr">
        <is>
          <t>B000VYHWCY</t>
        </is>
      </c>
      <c r="G3089">
        <f>_xlfn.IMAGE("https://edmondsonsupply.com/cdn/shop/files/41-224.jpg?v=1694616534")</f>
        <v/>
      </c>
      <c r="H3089">
        <f>_xlfn.IMAGE("https://m.media-amazon.com/images/I/71oRD+3vvTL._AC_UL320_.jpg")</f>
        <v/>
      </c>
      <c r="K3089" t="inlineStr">
        <is>
          <t>41.78</t>
        </is>
      </c>
      <c r="L3089" t="n">
        <v>19.02</v>
      </c>
      <c r="M3089" s="1" t="inlineStr">
        <is>
          <t>-54.48%</t>
        </is>
      </c>
      <c r="N3089" s="7" t="n">
        <v>112.77</v>
      </c>
      <c r="O3089" t="n">
        <v>4.8</v>
      </c>
      <c r="P3089" t="n">
        <v>13</v>
      </c>
      <c r="R3089" t="inlineStr">
        <is>
          <t>InStock</t>
        </is>
      </c>
      <c r="S3089" t="inlineStr">
        <is>
          <t>undefined</t>
        </is>
      </c>
      <c r="T3089" t="inlineStr">
        <is>
          <t>8035179692248</t>
        </is>
      </c>
    </row>
    <row r="3090" ht="87" customHeight="1">
      <c r="A3090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090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090" t="inlineStr">
        <is>
          <t>Diablo Tools DMAMX1300 1-1/4 in. x 16 in. x 21 in. Rebar Demon™ SDS-Max 4-Cutter Full Carbide Head Hammer Drill Bit</t>
        </is>
      </c>
      <c r="D3090" t="inlineStr">
        <is>
          <t>Diablo by Freud DMAPL4270 27/32 in. x 8 in. x 10 in. Rebar Demon SDS-Plus 4-Cutter Full Carbide Head Hammer Bit</t>
        </is>
      </c>
      <c r="E3090" s="2">
        <f>HYPERLINK("https://www.amazon.com/Diablo-Freud-DMAPL4270-SDS-Plus-4-Cutter/dp/B089KXBGLM/ref=sr_1_36?keywords=Diablo+Tools+DMAMX1300+1-1%2F4+in.+x+16+in.+x+21+in.+Rebar+Demon%E2%84%A2+SDS-Max+4-Cutter+Full+Carbide+Head+Hammer+Drill+Bit&amp;qid=1694734676&amp;sr=8-36", "https://www.amazon.com/Diablo-Freud-DMAPL4270-SDS-Plus-4-Cutter/dp/B089KXBGLM/ref=sr_1_36?keywords=Diablo+Tools+DMAMX1300+1-1%2F4+in.+x+16+in.+x+21+in.+Rebar+Demon%E2%84%A2+SDS-Max+4-Cutter+Full+Carbide+Head+Hammer+Drill+Bit&amp;qid=1694734676&amp;sr=8-36")</f>
        <v/>
      </c>
      <c r="F3090" t="inlineStr">
        <is>
          <t>B089KXBGLM</t>
        </is>
      </c>
      <c r="G3090">
        <f>_xlfn.IMAGE("https://edmondsonsupply.com/cdn/shop/files/immoyh7jjmbau4fzhuq6_7dd7fd73-2865-4c12-9443-da45b48dbd51.webp?v=1685465465")</f>
        <v/>
      </c>
      <c r="H3090">
        <f>_xlfn.IMAGE("https://m.media-amazon.com/images/I/611A6sphG9L._AC_UL320_.jpg")</f>
        <v/>
      </c>
      <c r="K3090" t="inlineStr">
        <is>
          <t>66.4</t>
        </is>
      </c>
      <c r="L3090" t="n">
        <v>30.13</v>
      </c>
      <c r="M3090" s="1" t="inlineStr">
        <is>
          <t>-54.62%</t>
        </is>
      </c>
      <c r="N3090" s="7" t="n">
        <v>112.74</v>
      </c>
      <c r="O3090" t="n">
        <v>5</v>
      </c>
      <c r="P3090" t="n">
        <v>2</v>
      </c>
      <c r="R3090" t="inlineStr">
        <is>
          <t>OutOfStock</t>
        </is>
      </c>
      <c r="S3090" t="inlineStr">
        <is>
          <t>105.4</t>
        </is>
      </c>
      <c r="T3090" t="inlineStr">
        <is>
          <t>7997856874712</t>
        </is>
      </c>
    </row>
    <row r="3091" ht="87" customHeight="1">
      <c r="A3091" s="2">
        <f>HYPERLINK("https://edmondsonsupply.com/collections/hvac/products/milwaukee-2912-22-m18-fuel%E2%84%A2-1-sds-plus-rotary-hammer-kit", "https://edmondsonsupply.com/collections/hvac/products/milwaukee-2912-22-m18-fuel%E2%84%A2-1-sds-plus-rotary-hammer-kit")</f>
        <v/>
      </c>
      <c r="B3091" s="2">
        <f>HYPERLINK("https://edmondsonsupply.com/products/milwaukee-2912-22-m18-fuel%e2%84%a2-1-sds-plus-rotary-hammer-kit", "https://edmondsonsupply.com/products/milwaukee-2912-22-m18-fuel%e2%84%a2-1-sds-plus-rotary-hammer-kit")</f>
        <v/>
      </c>
      <c r="C3091" t="inlineStr">
        <is>
          <t>Milwaukee 2912-22 M18 FUEL™ 1" SDS Plus Rotary Hammer Kit</t>
        </is>
      </c>
      <c r="D3091" t="inlineStr">
        <is>
          <t>Milwaukee 2912-20 M18 Fuel 18V 1" Sds Plus Brushless Rotary Hammer</t>
        </is>
      </c>
      <c r="E3091" s="2">
        <f>HYPERLINK("https://www.amazon.com/Milwaukee-2912-20-Brushless-Rotary-Hammer/dp/B09PMSKXRV/ref=sr_1_3?keywords=Milwaukee+2912-22+M18+FUEL%E2%84%A2+1%22+SDS+Plus+Rotary+Hammer+Kit&amp;qid=1694734903&amp;sr=8-3", "https://www.amazon.com/Milwaukee-2912-20-Brushless-Rotary-Hammer/dp/B09PMSKXRV/ref=sr_1_3?keywords=Milwaukee+2912-22+M18+FUEL%E2%84%A2+1%22+SDS+Plus+Rotary+Hammer+Kit&amp;qid=1694734903&amp;sr=8-3")</f>
        <v/>
      </c>
      <c r="F3091" t="inlineStr">
        <is>
          <t>B09PMSKXRV</t>
        </is>
      </c>
      <c r="G3091">
        <f>_xlfn.IMAGE("https://edmondsonsupply.com/cdn/shop/files/2912-20_1.webp?v=1686934956")</f>
        <v/>
      </c>
      <c r="H3091">
        <f>_xlfn.IMAGE("https://m.media-amazon.com/images/I/41U4w5Nkf8L._AC_UL320_.jpg")</f>
        <v/>
      </c>
      <c r="K3091" t="inlineStr">
        <is>
          <t>599.0</t>
        </is>
      </c>
      <c r="L3091" t="n">
        <v>271.69</v>
      </c>
      <c r="M3091" s="1" t="inlineStr">
        <is>
          <t>-54.64%</t>
        </is>
      </c>
      <c r="N3091" s="7" t="n">
        <v>112.69</v>
      </c>
      <c r="O3091" t="n">
        <v>4.7</v>
      </c>
      <c r="P3091" t="n">
        <v>121</v>
      </c>
      <c r="R3091" t="inlineStr">
        <is>
          <t>InStock</t>
        </is>
      </c>
      <c r="S3091" t="inlineStr">
        <is>
          <t>1054.0</t>
        </is>
      </c>
      <c r="T3091" t="inlineStr">
        <is>
          <t>8006184960216</t>
        </is>
      </c>
    </row>
    <row r="3092" ht="87" customHeight="1">
      <c r="A3092" s="2">
        <f>HYPERLINK("https://edmondsonsupply.com/collections/hvac/products/jb-industries-a31999-100-1-4-valve-core-replacement-100-pack", "https://edmondsonsupply.com/collections/hvac/products/jb-industries-a31999-100-1-4-valve-core-replacement-100-pack")</f>
        <v/>
      </c>
      <c r="B3092" s="2">
        <f>HYPERLINK("https://edmondsonsupply.com/products/jb-industries-a31999-100-1-4-valve-core-replacement-100-pack", "https://edmondsonsupply.com/products/jb-industries-a31999-100-1-4-valve-core-replacement-100-pack")</f>
        <v/>
      </c>
      <c r="C3092" t="inlineStr">
        <is>
          <t>JB Industries A31999-100 1/4" Valve Core Replacement (100 Pack)</t>
        </is>
      </c>
      <c r="D3092" t="inlineStr">
        <is>
          <t>jb industries a31999-100 1/4" valve core</t>
        </is>
      </c>
      <c r="E3092" s="2">
        <f>HYPERLINK("https://www.amazon.com/industries-a31999-100-valve-core/dp/B00E1NKJ26/ref=sr_1_2?keywords=JB+Industries+A31999-100+1%2F4%22+Valve+Core+Replacement+%28100+Pack%29&amp;qid=1694734861&amp;sr=8-2", "https://www.amazon.com/industries-a31999-100-valve-core/dp/B00E1NKJ26/ref=sr_1_2?keywords=JB+Industries+A31999-100+1%2F4%22+Valve+Core+Replacement+%28100+Pack%29&amp;qid=1694734861&amp;sr=8-2")</f>
        <v/>
      </c>
      <c r="F3092" t="inlineStr">
        <is>
          <t>B00E1NKJ26</t>
        </is>
      </c>
      <c r="G3092">
        <f>_xlfn.IMAGE("https://edmondsonsupply.com/cdn/shop/files/A31999-JB-Valve-Cores-Access-Valves_17209224-bf02-4c5b-ac77-b1ec6911778b.png?v=1692481141")</f>
        <v/>
      </c>
      <c r="H3092">
        <f>_xlfn.IMAGE("https://m.media-amazon.com/images/I/21+Fh4IW--L._AC_UL320_.jpg")</f>
        <v/>
      </c>
      <c r="K3092" t="inlineStr">
        <is>
          <t>66.4</t>
        </is>
      </c>
      <c r="L3092" t="n">
        <v>29.98</v>
      </c>
      <c r="M3092" s="1" t="inlineStr">
        <is>
          <t>-54.85%</t>
        </is>
      </c>
      <c r="N3092" s="7" t="n">
        <v>112.58</v>
      </c>
      <c r="O3092" t="n">
        <v>5</v>
      </c>
      <c r="P3092" t="n">
        <v>1</v>
      </c>
      <c r="R3092" t="inlineStr">
        <is>
          <t>InStock</t>
        </is>
      </c>
      <c r="S3092" t="inlineStr">
        <is>
          <t>113.51</t>
        </is>
      </c>
      <c r="T3092" t="inlineStr">
        <is>
          <t>8028648866008</t>
        </is>
      </c>
    </row>
    <row r="3093" ht="87" customHeight="1">
      <c r="A3093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3093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3093" t="inlineStr">
        <is>
          <t>ICM Controls ICM289 Furnace Control Board - Replacement for Lennox</t>
        </is>
      </c>
      <c r="D3093" t="inlineStr">
        <is>
          <t>ICM284 - Aftermarket Upgraded Replacement for ICM Controls Furnace Control Circuit Board</t>
        </is>
      </c>
      <c r="E3093" s="2">
        <f>HYPERLINK("https://www.amazon.com/ICM284-Aftermarket-Upgraded-Replacement-Controls/dp/B07KPKHNZ9/ref=sr_1_5?keywords=ICM+Controls+ICM289+Furnace+Control+Board+-+Replacement+for+Lennox&amp;qid=1694734661&amp;sr=8-5", "https://www.amazon.com/ICM284-Aftermarket-Upgraded-Replacement-Controls/dp/B07KPKHNZ9/ref=sr_1_5?keywords=ICM+Controls+ICM289+Furnace+Control+Board+-+Replacement+for+Lennox&amp;qid=1694734661&amp;sr=8-5")</f>
        <v/>
      </c>
      <c r="F3093" t="inlineStr">
        <is>
          <t>B07KPKHNZ9</t>
        </is>
      </c>
      <c r="G3093">
        <f>_xlfn.IMAGE("https://edmondsonsupply.com/cdn/shop/products/photo_3601_medium_abc82be0-5d13-465a-9be5-04a6748e2d27.png?v=1656728911")</f>
        <v/>
      </c>
      <c r="H3093">
        <f>_xlfn.IMAGE("https://m.media-amazon.com/images/I/41SnX6Y7LHL._AC_UL320_.jpg")</f>
        <v/>
      </c>
      <c r="K3093" t="inlineStr">
        <is>
          <t>134.99</t>
        </is>
      </c>
      <c r="L3093" t="n">
        <v>59.99</v>
      </c>
      <c r="M3093" s="1" t="inlineStr">
        <is>
          <t>-55.56%</t>
        </is>
      </c>
      <c r="N3093" s="7" t="n">
        <v>112.21</v>
      </c>
      <c r="O3093" t="n">
        <v>5</v>
      </c>
      <c r="P3093" t="n">
        <v>1</v>
      </c>
      <c r="R3093" t="inlineStr">
        <is>
          <t>OutOfStock</t>
        </is>
      </c>
      <c r="S3093" t="inlineStr">
        <is>
          <t>198.98</t>
        </is>
      </c>
      <c r="T3093" t="inlineStr">
        <is>
          <t>7735114432728</t>
        </is>
      </c>
    </row>
    <row r="3094" ht="87" customHeight="1">
      <c r="A3094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3094" s="2">
        <f>HYPERLINK("https://edmondsonsupply.com/products/fresh-aire-uv-tuvl-215p-2-year-blue-tube-replacement-uv-lamp", "https://edmondsonsupply.com/products/fresh-aire-uv-tuvl-215p-2-year-blue-tube-replacement-uv-lamp")</f>
        <v/>
      </c>
      <c r="C3094" t="inlineStr">
        <is>
          <t>Fresh-Aire UV TUVL-215P, 2-Year Blue-Tube Replacement UV Lamp</t>
        </is>
      </c>
      <c r="D3094" t="inlineStr">
        <is>
          <t>LSE Lighting TUVL-215 TUVL-200-E 17W Fresh-Aire Equivalent Replacement UVC Lamp 15" 2 Year Life Span | TUV-APCO-DER2 | TUV-APCO-ER2 | TUV-APCO-SI2P | TUV-APCO-DI2P</t>
        </is>
      </c>
      <c r="E3094" s="2">
        <f>HYPERLINK("https://www.amazon.com/LSE-Lighting-TUV-APCO-DER2-TUV-APCO-SI2P-TUV-APCO-DI2P/dp/B0BFSSHTT5/ref=sr_1_4?keywords=Fresh-Aire+UV+TUVL-215P%2C+2-Year+Blue-Tube+Replacement+UV+Lamp&amp;qid=1694734568&amp;sr=8-4", "https://www.amazon.com/LSE-Lighting-TUV-APCO-DER2-TUV-APCO-SI2P-TUV-APCO-DI2P/dp/B0BFSSHTT5/ref=sr_1_4?keywords=Fresh-Aire+UV+TUVL-215P%2C+2-Year+Blue-Tube+Replacement+UV+Lamp&amp;qid=1694734568&amp;sr=8-4")</f>
        <v/>
      </c>
      <c r="F3094" t="inlineStr">
        <is>
          <t>B0BFSSHTT5</t>
        </is>
      </c>
      <c r="G3094">
        <f>_xlfn.IMAGE("https://edmondsonsupply.com/cdn/shop/products/TUVL-215P.jpg?v=1633030216")</f>
        <v/>
      </c>
      <c r="H3094">
        <f>_xlfn.IMAGE("https://m.media-amazon.com/images/I/31MNaScLYrS._AC_UL320_.jpg")</f>
        <v/>
      </c>
      <c r="K3094" t="inlineStr">
        <is>
          <t>108.03</t>
        </is>
      </c>
      <c r="L3094" t="n">
        <v>48</v>
      </c>
      <c r="M3094" s="1" t="inlineStr">
        <is>
          <t>-55.57%</t>
        </is>
      </c>
      <c r="N3094" s="7" t="n">
        <v>112.11</v>
      </c>
      <c r="O3094" t="n">
        <v>4.4</v>
      </c>
      <c r="P3094" t="n">
        <v>26</v>
      </c>
      <c r="R3094" t="inlineStr">
        <is>
          <t>InStock</t>
        </is>
      </c>
      <c r="S3094" t="inlineStr">
        <is>
          <t>undefined</t>
        </is>
      </c>
      <c r="T3094" t="inlineStr">
        <is>
          <t>4452670537828</t>
        </is>
      </c>
    </row>
    <row r="3095" ht="87" customHeight="1">
      <c r="A3095" s="2">
        <f>HYPERLINK("https://edmondsonsupply.com/collections/hvac/products/fresh-aire-uv-apco-tuvl-211-2-year-replacement-uv-lamp-with-no-plug", "https://edmondsonsupply.com/collections/hvac/products/fresh-aire-uv-apco-tuvl-211-2-year-replacement-uv-lamp-with-no-plug")</f>
        <v/>
      </c>
      <c r="B3095" s="2">
        <f>HYPERLINK("https://edmondsonsupply.com/products/fresh-aire-uv-apco-tuvl-211-2-year-replacement-uv-lamp-with-no-plug", "https://edmondsonsupply.com/products/fresh-aire-uv-apco-tuvl-211-2-year-replacement-uv-lamp-with-no-plug")</f>
        <v/>
      </c>
      <c r="C3095" t="inlineStr">
        <is>
          <t>Fresh-Aire UV APCO TUVL-211, 2-Year Replacement UV Lamp with NO Plug</t>
        </is>
      </c>
      <c r="D3095" t="inlineStr">
        <is>
          <t>LSE Lighting TUVL-215 TUVL-200-E 17W Fresh-Aire Equivalent Replacement UVC Lamp 15" 2 Year Life Span | TUV-APCO-DER2 | TUV-APCO-ER2 | TUV-APCO-SI2P | TUV-APCO-DI2P</t>
        </is>
      </c>
      <c r="E3095" s="2">
        <f>HYPERLINK("https://www.amazon.com/LSE-Lighting-TUV-APCO-DER2-TUV-APCO-SI2P-TUV-APCO-DI2P/dp/B0BFSSHTT5/ref=sr_1_2?keywords=Fresh-Aire+UV+APCO+TUVL-211%2C+2-Year+Replacement+UV+Lamp+with+NO+Plug&amp;qid=1694734859&amp;sr=8-2", "https://www.amazon.com/LSE-Lighting-TUV-APCO-DER2-TUV-APCO-SI2P-TUV-APCO-DI2P/dp/B0BFSSHTT5/ref=sr_1_2?keywords=Fresh-Aire+UV+APCO+TUVL-211%2C+2-Year+Replacement+UV+Lamp+with+NO+Plug&amp;qid=1694734859&amp;sr=8-2")</f>
        <v/>
      </c>
      <c r="F3095" t="inlineStr">
        <is>
          <t>B0BFSSHTT5</t>
        </is>
      </c>
      <c r="G3095">
        <f>_xlfn.IMAGE("https://edmondsonsupply.com/cdn/shop/files/TUVL-211.png?v=1692221661")</f>
        <v/>
      </c>
      <c r="H3095">
        <f>_xlfn.IMAGE("https://m.media-amazon.com/images/I/31MNaScLYrS._AC_UL320_.jpg")</f>
        <v/>
      </c>
      <c r="K3095" t="inlineStr">
        <is>
          <t>108.19</t>
        </is>
      </c>
      <c r="L3095" t="n">
        <v>48</v>
      </c>
      <c r="M3095" s="1" t="inlineStr">
        <is>
          <t>-55.63%</t>
        </is>
      </c>
      <c r="N3095" s="7" t="n">
        <v>111.79</v>
      </c>
      <c r="O3095" t="n">
        <v>4.4</v>
      </c>
      <c r="P3095" t="n">
        <v>26</v>
      </c>
      <c r="R3095" t="inlineStr">
        <is>
          <t>InStock</t>
        </is>
      </c>
      <c r="S3095" t="inlineStr">
        <is>
          <t>undefined</t>
        </is>
      </c>
      <c r="T3095" t="inlineStr">
        <is>
          <t>8028095840472</t>
        </is>
      </c>
    </row>
    <row r="3096" ht="87" customHeight="1">
      <c r="A3096" s="2">
        <f>HYPERLINK("https://edmondsonsupply.com/collections/hvac/products/fresh-aire-uv-apco-tuvl-215-2-year-replacement-uv-lamp", "https://edmondsonsupply.com/collections/hvac/products/fresh-aire-uv-apco-tuvl-215-2-year-replacement-uv-lamp")</f>
        <v/>
      </c>
      <c r="B3096" s="2">
        <f>HYPERLINK("https://edmondsonsupply.com/products/fresh-aire-uv-apco-tuvl-215-2-year-replacement-uv-lamp", "https://edmondsonsupply.com/products/fresh-aire-uv-apco-tuvl-215-2-year-replacement-uv-lamp")</f>
        <v/>
      </c>
      <c r="C3096" t="inlineStr">
        <is>
          <t>Fresh-Aire UV APCO TUVL-215, 2-Year Replacement UV Lamp</t>
        </is>
      </c>
      <c r="D3096" t="inlineStr">
        <is>
          <t>LSE Lighting TUVL-215 TUVL-200-E 17W Fresh-Aire Equivalent Replacement UVC Lamp 15" 2 Year Life Span | TUV-APCO-DER2 | TUV-APCO-ER2 | TUV-APCO-SI2P | TUV-APCO-DI2P</t>
        </is>
      </c>
      <c r="E3096" s="2">
        <f>HYPERLINK("https://www.amazon.com/LSE-Lighting-TUV-APCO-DER2-TUV-APCO-SI2P-TUV-APCO-DI2P/dp/B0BFSSHTT5/ref=sr_1_1?keywords=Fresh-Aire+UV+APCO+TUVL-215%2C+2-Year+Replacement+UV+Lamp&amp;qid=1694734567&amp;sr=8-1", "https://www.amazon.com/LSE-Lighting-TUV-APCO-DER2-TUV-APCO-SI2P-TUV-APCO-DI2P/dp/B0BFSSHTT5/ref=sr_1_1?keywords=Fresh-Aire+UV+APCO+TUVL-215%2C+2-Year+Replacement+UV+Lamp&amp;qid=1694734567&amp;sr=8-1")</f>
        <v/>
      </c>
      <c r="F3096" t="inlineStr">
        <is>
          <t>B0BFSSHTT5</t>
        </is>
      </c>
      <c r="G3096">
        <f>_xlfn.IMAGE("https://edmondsonsupply.com/cdn/shop/products/TUVL-215_1ea9b67d-7d35-4102-a10b-a43913714c29.jpg?v=1633030216")</f>
        <v/>
      </c>
      <c r="H3096">
        <f>_xlfn.IMAGE("https://m.media-amazon.com/images/I/31MNaScLYrS._AC_UL320_.jpg")</f>
        <v/>
      </c>
      <c r="K3096" t="inlineStr">
        <is>
          <t>108.19</t>
        </is>
      </c>
      <c r="L3096" t="n">
        <v>48</v>
      </c>
      <c r="M3096" s="1" t="inlineStr">
        <is>
          <t>-55.63%</t>
        </is>
      </c>
      <c r="N3096" s="7" t="n">
        <v>111.28</v>
      </c>
      <c r="O3096" t="n">
        <v>4.4</v>
      </c>
      <c r="P3096" t="n">
        <v>26</v>
      </c>
      <c r="R3096" t="inlineStr">
        <is>
          <t>InStock</t>
        </is>
      </c>
      <c r="S3096" t="inlineStr">
        <is>
          <t>undefined</t>
        </is>
      </c>
      <c r="T3096" t="inlineStr">
        <is>
          <t>4452264837220</t>
        </is>
      </c>
    </row>
    <row r="3097" ht="87" customHeight="1">
      <c r="A3097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097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097" t="inlineStr">
        <is>
          <t>Robertshaw 41-224 Hot Surface Furnace Ignitor</t>
        </is>
      </c>
      <c r="D3097" t="inlineStr">
        <is>
          <t>Robertshaw 41-403 Hot Surface Ignitor</t>
        </is>
      </c>
      <c r="E3097" s="2">
        <f>HYPERLINK("https://www.amazon.com/Robertshaw-41-403-Hot-Surface-Ignitor/dp/B001DPQPEG/ref=sr_1_15?keywords=Robertshaw+41-224+Hot+Surface+Furnace+Ignitor&amp;qid=1694734847&amp;sr=8-15", "https://www.amazon.com/Robertshaw-41-403-Hot-Surface-Ignitor/dp/B001DPQPEG/ref=sr_1_15?keywords=Robertshaw+41-224+Hot+Surface+Furnace+Ignitor&amp;qid=1694734847&amp;sr=8-15")</f>
        <v/>
      </c>
      <c r="F3097" t="inlineStr">
        <is>
          <t>B001DPQPEG</t>
        </is>
      </c>
      <c r="G3097">
        <f>_xlfn.IMAGE("https://edmondsonsupply.com/cdn/shop/files/41-224.jpg?v=1694616534")</f>
        <v/>
      </c>
      <c r="H3097">
        <f>_xlfn.IMAGE("https://m.media-amazon.com/images/I/61hhQ9fmoBL._AC_UL320_.jpg")</f>
        <v/>
      </c>
      <c r="K3097" t="inlineStr">
        <is>
          <t>41.78</t>
        </is>
      </c>
      <c r="L3097" t="n">
        <v>18.5</v>
      </c>
      <c r="M3097" s="1" t="inlineStr">
        <is>
          <t>-55.72%</t>
        </is>
      </c>
      <c r="N3097" s="7" t="n">
        <v>111.26</v>
      </c>
      <c r="O3097" t="n">
        <v>4.3</v>
      </c>
      <c r="P3097" t="n">
        <v>20</v>
      </c>
      <c r="R3097" t="inlineStr">
        <is>
          <t>InStock</t>
        </is>
      </c>
      <c r="S3097" t="inlineStr">
        <is>
          <t>undefined</t>
        </is>
      </c>
      <c r="T3097" t="inlineStr">
        <is>
          <t>8035179692248</t>
        </is>
      </c>
    </row>
    <row r="3098" ht="87" customHeight="1">
      <c r="A3098" s="2">
        <f>HYPERLINK("https://edmondsonsupply.com/collections/hvac/products/sioux-chief-672xv0490-3-4-pex-inlet-x-4-1-2-pex-branches-valved-manifold", "https://edmondsonsupply.com/collections/hvac/products/sioux-chief-672xv0490-3-4-pex-inlet-x-4-1-2-pex-branches-valved-manifold")</f>
        <v/>
      </c>
      <c r="B3098" s="2">
        <f>HYPERLINK("https://edmondsonsupply.com/products/sioux-chief-672xv0490-3-4-pex-inlet-x-4-1-2-pex-branches-valved-manifold", "https://edmondsonsupply.com/products/sioux-chief-672xv0490-3-4-pex-inlet-x-4-1-2-pex-branches-valved-manifold")</f>
        <v/>
      </c>
      <c r="C3098" t="inlineStr">
        <is>
          <t>Sioux Chief 672XV0490 3/4" PEX Inlet x (4) 1/2" PEX Branches Valved Manifold</t>
        </is>
      </c>
      <c r="D3098" t="inlineStr">
        <is>
          <t>Sioux Chief 672X0490 1/2" PEX Plumbing Manifold 3/4" PEX inlet, clsd</t>
        </is>
      </c>
      <c r="E3098" s="2">
        <f>HYPERLINK("https://www.amazon.com/Sioux-Chief-672X0490-Plumbing-Manifold/dp/B003QSOB9E/ref=sr_1_1?keywords=Sioux+Chief+672XV0490+3%2F4%22+PEX+Inlet+x+%284%29+1%2F2%22+PEX+Branches+Valved+Manifold&amp;qid=1694734654&amp;sr=8-1", "https://www.amazon.com/Sioux-Chief-672X0490-Plumbing-Manifold/dp/B003QSOB9E/ref=sr_1_1?keywords=Sioux+Chief+672XV0490+3%2F4%22+PEX+Inlet+x+%284%29+1%2F2%22+PEX+Branches+Valved+Manifold&amp;qid=1694734654&amp;sr=8-1")</f>
        <v/>
      </c>
      <c r="F3098" t="inlineStr">
        <is>
          <t>B003QSOB9E</t>
        </is>
      </c>
      <c r="G3098">
        <f>_xlfn.IMAGE("https://edmondsonsupply.com/cdn/shop/products/672XV0490.jpg?v=1587147465")</f>
        <v/>
      </c>
      <c r="H3098">
        <f>_xlfn.IMAGE("https://m.media-amazon.com/images/I/21CfvwfLqvL._AC_UL320_.jpg")</f>
        <v/>
      </c>
      <c r="K3098" t="inlineStr">
        <is>
          <t>68.25</t>
        </is>
      </c>
      <c r="L3098" t="n">
        <v>29.99</v>
      </c>
      <c r="M3098" s="1" t="inlineStr">
        <is>
          <t>-56.06%</t>
        </is>
      </c>
      <c r="N3098" s="7" t="n">
        <v>111.01</v>
      </c>
      <c r="O3098" t="n">
        <v>4.4</v>
      </c>
      <c r="P3098" t="n">
        <v>54</v>
      </c>
      <c r="R3098" t="inlineStr">
        <is>
          <t>InStock</t>
        </is>
      </c>
      <c r="S3098" t="inlineStr">
        <is>
          <t>105.0</t>
        </is>
      </c>
      <c r="T3098" t="inlineStr">
        <is>
          <t>4410479673444</t>
        </is>
      </c>
    </row>
    <row r="3099" hidden="1" ht="15.75" customHeight="1">
      <c r="A3099" s="2">
        <f>HYPERLINK("https://edmondsonsupply.com/collections/hvac/products/yellow-jacket-78080-2-gas-test-gauge-3-4-npt-0-30-lb", "https://edmondsonsupply.com/collections/hvac/products/yellow-jacket-78080-2-gas-test-gauge-3-4-npt-0-30-lb")</f>
        <v/>
      </c>
      <c r="B3099" s="2">
        <f>HYPERLINK("https://edmondsonsupply.com/products/yellow-jacket-78080-2-gas-test-gauge-3-4-npt-0-30-lb", "https://edmondsonsupply.com/products/yellow-jacket-78080-2-gas-test-gauge-3-4-npt-0-30-lb")</f>
        <v/>
      </c>
      <c r="C3099" t="inlineStr">
        <is>
          <t>Yellow Jacket 78080 2" Gas Test Gauge - 3/4" NPT - 0-30 lb</t>
        </is>
      </c>
      <c r="D3099" t="inlineStr">
        <is>
          <t>MEANLIN MEASURE 0-30Psi Forged Brass Gas Test Pressure gauges, 3/4" FNPT Connection, 2" Double Graduated, Bell Shape Body Assembly, -3-2-3% Accuracy</t>
        </is>
      </c>
      <c r="E3099" s="2">
        <f>HYPERLINK("https://www.amazon.com/MEANLIN-MEASURE-Pressure-Connection-Graduated/dp/B09VDK23Q5/ref=sr_1_9?keywords=Yellow+Jacket+78080+2%22+Gas+Test+Gauge+-+3%2F4%22+NPT+-+0-30+lb&amp;qid=1694734707&amp;sr=8-9", "https://www.amazon.com/MEANLIN-MEASURE-Pressure-Connection-Graduated/dp/B09VDK23Q5/ref=sr_1_9?keywords=Yellow+Jacket+78080+2%22+Gas+Test+Gauge+-+3%2F4%22+NPT+-+0-30+lb&amp;qid=1694734707&amp;sr=8-9")</f>
        <v/>
      </c>
      <c r="F3099" t="inlineStr">
        <is>
          <t>B09VDK23Q5</t>
        </is>
      </c>
      <c r="G3099">
        <f>_xludf.IMAGE("https://edmondsonsupply.com/cdn/shop/products/57_2.jpg?v=1633030928")</f>
        <v/>
      </c>
      <c r="H3099">
        <f>_xludf.IMAGE("https://m.media-amazon.com/images/I/71Wu4tN69KL._AC_UY218_.jpg")</f>
        <v/>
      </c>
      <c r="K3099" t="inlineStr">
        <is>
          <t>30.8</t>
        </is>
      </c>
      <c r="L3099" t="n">
        <v>13.49</v>
      </c>
      <c r="M3099" s="1" t="inlineStr">
        <is>
          <t>-56.20%</t>
        </is>
      </c>
      <c r="N3099" s="1" t="n">
        <v>110.8</v>
      </c>
      <c r="O3099" t="n">
        <v>4.5</v>
      </c>
      <c r="P3099" t="n">
        <v>130</v>
      </c>
      <c r="R3099" t="inlineStr">
        <is>
          <t>InStock</t>
        </is>
      </c>
      <c r="S3099" t="inlineStr">
        <is>
          <t>undefined</t>
        </is>
      </c>
      <c r="T3099" t="inlineStr">
        <is>
          <t>6550757965997</t>
        </is>
      </c>
    </row>
    <row r="3100" ht="87" customHeight="1">
      <c r="A3100" s="2">
        <f>HYPERLINK("https://edmondsonsupply.com/collections/hvac/products/inficon-d-tek-3", "https://edmondsonsupply.com/collections/hvac/products/inficon-d-tek-3")</f>
        <v/>
      </c>
      <c r="B3100" s="2">
        <f>HYPERLINK("https://edmondsonsupply.com/products/inficon-d-tek-3", "https://edmondsonsupply.com/products/inficon-d-tek-3")</f>
        <v/>
      </c>
      <c r="C3100" t="inlineStr">
        <is>
          <t>Inficon D-TEK® 3 Refrigerant Leak Detector</t>
        </is>
      </c>
      <c r="D3100" t="inlineStr">
        <is>
          <t>Elitech HVAC Refrigerant Leak Detector 10 Yrs Infrared Sensor Life Halogen Freon Sniffer, Air Conditioning Detection, Automotive Gas Finder, R410A R134A R1234YF CFCs HCFCs HFCs, ILD-200</t>
        </is>
      </c>
      <c r="E3100" s="2">
        <f>HYPERLINK("https://www.amazon.com/Elitech-ILD-200-Refrigerant-Sensitivity-Warranty%E3%80%91/dp/B07586MWM9/ref=sr_1_9?keywords=Inficon+D-TEK%C2%AE+3+Refrigerant+Leak+Detector&amp;qid=1694734644&amp;sr=8-9", "https://www.amazon.com/Elitech-ILD-200-Refrigerant-Sensitivity-Warranty%E3%80%91/dp/B07586MWM9/ref=sr_1_9?keywords=Inficon+D-TEK%C2%AE+3+Refrigerant+Leak+Detector&amp;qid=1694734644&amp;sr=8-9")</f>
        <v/>
      </c>
      <c r="F3100" t="inlineStr">
        <is>
          <t>B07586MWM9</t>
        </is>
      </c>
      <c r="G3100">
        <f>_xlfn.IMAGE("https://edmondsonsupply.com/cdn/shop/products/dtek3.png?v=1633030772")</f>
        <v/>
      </c>
      <c r="H3100">
        <f>_xlfn.IMAGE("https://m.media-amazon.com/images/I/613dkPvMCTL._AC_UL320_.jpg")</f>
        <v/>
      </c>
      <c r="K3100" t="inlineStr">
        <is>
          <t>516.99</t>
        </is>
      </c>
      <c r="L3100" t="n">
        <v>225.99</v>
      </c>
      <c r="M3100" s="1" t="inlineStr">
        <is>
          <t>-56.29%</t>
        </is>
      </c>
      <c r="N3100" s="7" t="n">
        <v>110.33</v>
      </c>
      <c r="O3100" t="n">
        <v>4.6</v>
      </c>
      <c r="P3100" t="n">
        <v>740</v>
      </c>
      <c r="R3100" t="inlineStr">
        <is>
          <t>InStock</t>
        </is>
      </c>
      <c r="S3100" t="inlineStr">
        <is>
          <t>645.0</t>
        </is>
      </c>
      <c r="T3100" t="inlineStr">
        <is>
          <t>5950406623400</t>
        </is>
      </c>
    </row>
    <row r="3101" ht="87" customHeight="1">
      <c r="A3101" s="2">
        <f>HYPERLINK("https://edmondsonsupply.com/collections/hvac/products/fresh-aire-uv-apco-tuvl-215-2-year-replacement-uv-lamp", "https://edmondsonsupply.com/collections/hvac/products/fresh-aire-uv-apco-tuvl-215-2-year-replacement-uv-lamp")</f>
        <v/>
      </c>
      <c r="B3101" s="2">
        <f>HYPERLINK("https://edmondsonsupply.com/products/fresh-aire-uv-apco-tuvl-215-2-year-replacement-uv-lamp", "https://edmondsonsupply.com/products/fresh-aire-uv-apco-tuvl-215-2-year-replacement-uv-lamp")</f>
        <v/>
      </c>
      <c r="C3101" t="inlineStr">
        <is>
          <t>Fresh-Aire UV APCO TUVL-215, 2-Year Replacement UV Lamp</t>
        </is>
      </c>
      <c r="D3101" t="inlineStr">
        <is>
          <t>LSE Lighting TUVL-115 TUVL-115, TUVL-115Р, TUVL-100-E 17W Fresh-Aire Equivalent Replacement UVC Lamp 15" | High Performance UV Lamp | Used in Fresh Air APCO-SI, APCO-DI, APCO-ER or APCO-MAG 15 Models</t>
        </is>
      </c>
      <c r="E3101" s="2">
        <f>HYPERLINK("https://www.amazon.com/LSE-Lighting-Fresh-Aire-Replacement-Performance/dp/B0BFRWSH4Q/ref=sr_1_3?keywords=Fresh-Aire+UV+APCO+TUVL-215%2C+2-Year+Replacement+UV+Lamp&amp;qid=1694734567&amp;sr=8-3", "https://www.amazon.com/LSE-Lighting-Fresh-Aire-Replacement-Performance/dp/B0BFRWSH4Q/ref=sr_1_3?keywords=Fresh-Aire+UV+APCO+TUVL-215%2C+2-Year+Replacement+UV+Lamp&amp;qid=1694734567&amp;sr=8-3")</f>
        <v/>
      </c>
      <c r="F3101" t="inlineStr">
        <is>
          <t>B0BFRWSH4Q</t>
        </is>
      </c>
      <c r="G3101">
        <f>_xlfn.IMAGE("https://edmondsonsupply.com/cdn/shop/products/TUVL-215_1ea9b67d-7d35-4102-a10b-a43913714c29.jpg?v=1633030216")</f>
        <v/>
      </c>
      <c r="H3101">
        <f>_xlfn.IMAGE("https://m.media-amazon.com/images/I/31tNUXb52LL._AC_UL320_.jpg")</f>
        <v/>
      </c>
      <c r="K3101" t="inlineStr">
        <is>
          <t>108.19</t>
        </is>
      </c>
      <c r="L3101" t="n">
        <v>47</v>
      </c>
      <c r="M3101" s="1" t="inlineStr">
        <is>
          <t>-56.56%</t>
        </is>
      </c>
      <c r="N3101" s="7" t="n">
        <v>109.8</v>
      </c>
      <c r="O3101" t="n">
        <v>4.8</v>
      </c>
      <c r="P3101" t="n">
        <v>8</v>
      </c>
      <c r="R3101" t="inlineStr">
        <is>
          <t>InStock</t>
        </is>
      </c>
      <c r="S3101" t="inlineStr">
        <is>
          <t>undefined</t>
        </is>
      </c>
      <c r="T3101" t="inlineStr">
        <is>
          <t>4452264837220</t>
        </is>
      </c>
    </row>
    <row r="3102" hidden="1" ht="15.75" customHeight="1">
      <c r="A3102" s="2">
        <f>HYPERLINK("https://edmondsonsupply.com/collections/hvac/products/klein-tools-3005cr-ratcheting-crimper-10-22-awg", "https://edmondsonsupply.com/collections/hvac/products/klein-tools-3005cr-ratcheting-crimper-10-22-awg")</f>
        <v/>
      </c>
      <c r="B3102" s="2">
        <f>HYPERLINK("https://edmondsonsupply.com/products/klein-tools-3005cr-ratcheting-crimper-10-22-awg", "https://edmondsonsupply.com/products/klein-tools-3005cr-ratcheting-crimper-10-22-awg")</f>
        <v/>
      </c>
      <c r="C3102" t="inlineStr">
        <is>
          <t>Klein Tools 3005CR Ratcheting Crimper, 10-22 AWG - Insulated Terminals</t>
        </is>
      </c>
      <c r="D3102" t="inlineStr">
        <is>
          <t>Voilamart Insulated Wire Crimper, Ratcheting Crimper Wire Terminals Connectors Plier Tool for 22-10AWG</t>
        </is>
      </c>
      <c r="E3102" s="2">
        <f>HYPERLINK("https://www.amazon.com/Voilamart-Insulated-Terminals-Connectors-Ratcheting/dp/B01N0Q9ZUM/ref=sr_1_17?keywords=Klein+Tools+3005CR+Ratcheting+Crimper%2C+10-22+AWG+-+Insulated+Terminals&amp;qid=1694734673&amp;sr=8-17", "https://www.amazon.com/Voilamart-Insulated-Terminals-Connectors-Ratcheting/dp/B01N0Q9ZUM/ref=sr_1_17?keywords=Klein+Tools+3005CR+Ratcheting+Crimper%2C+10-22+AWG+-+Insulated+Terminals&amp;qid=1694734673&amp;sr=8-17")</f>
        <v/>
      </c>
      <c r="F3102" t="inlineStr">
        <is>
          <t>B01N0Q9ZUM</t>
        </is>
      </c>
      <c r="G3102">
        <f>_xludf.IMAGE("https://edmondsonsupply.com/cdn/shop/products/3005cr.jpg?v=1587146892")</f>
        <v/>
      </c>
      <c r="H3102">
        <f>_xludf.IMAGE("https://m.media-amazon.com/images/I/61q6bW28v9L._AC_UL320_.jpg")</f>
        <v/>
      </c>
      <c r="K3102" t="inlineStr">
        <is>
          <t>29.97</t>
        </is>
      </c>
      <c r="L3102" t="n">
        <v>12.99</v>
      </c>
      <c r="M3102" s="1" t="inlineStr">
        <is>
          <t>-56.66%</t>
        </is>
      </c>
      <c r="N3102" s="1" t="n">
        <v>109.72</v>
      </c>
      <c r="O3102" t="n">
        <v>4.4</v>
      </c>
      <c r="P3102" t="n">
        <v>797</v>
      </c>
      <c r="R3102" t="inlineStr">
        <is>
          <t>InStock</t>
        </is>
      </c>
      <c r="S3102" t="inlineStr">
        <is>
          <t>42.9</t>
        </is>
      </c>
      <c r="T3102" t="inlineStr">
        <is>
          <t>3699388907620</t>
        </is>
      </c>
    </row>
    <row r="3103" hidden="1" ht="15.75" customHeight="1">
      <c r="A3103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103" s="2">
        <f>HYPERLINK("https://edmondsonsupply.com/products/klein-tools-935dag-digital-angle-gauge-and-level", "https://edmondsonsupply.com/products/klein-tools-935dag-digital-angle-gauge-and-level")</f>
        <v/>
      </c>
      <c r="C3103" t="inlineStr">
        <is>
          <t>Klein Tools 935DAG Digital Angle Gauge and Level</t>
        </is>
      </c>
      <c r="D3103" t="inlineStr">
        <is>
          <t>Case Compatible with Klein Tools 935DAG Digital Electronic Level and Angle Gauge, Angle Finder Protractors Carrying Storage Holder Bag Fits for Degree Ranges Measures and Batteries (Box Only)</t>
        </is>
      </c>
      <c r="E3103" s="2">
        <f>HYPERLINK("https://www.amazon.com/Compatible-Electronic-Protractors-Carrying-Batteries/dp/B09JW639MH/ref=sr_1_2?keywords=Klein+Tools+935DAG+Digital+Angle+Gauge+and+Level&amp;qid=1694734733&amp;sr=8-2", "https://www.amazon.com/Compatible-Electronic-Protractors-Carrying-Batteries/dp/B09JW639MH/ref=sr_1_2?keywords=Klein+Tools+935DAG+Digital+Angle+Gauge+and+Level&amp;qid=1694734733&amp;sr=8-2")</f>
        <v/>
      </c>
      <c r="F3103" t="inlineStr">
        <is>
          <t>B09JW639MH</t>
        </is>
      </c>
      <c r="G3103">
        <f>_xludf.IMAGE("https://edmondsonsupply.com/cdn/shop/products/935dag.jpg?v=1587145032")</f>
        <v/>
      </c>
      <c r="H3103">
        <f>_xludf.IMAGE("https://m.media-amazon.com/images/I/81IUpkXJVgL._AC_UL320_.jpg")</f>
        <v/>
      </c>
      <c r="K3103" t="inlineStr">
        <is>
          <t>29.97</t>
        </is>
      </c>
      <c r="L3103" t="n">
        <v>12.99</v>
      </c>
      <c r="M3103" s="1" t="inlineStr">
        <is>
          <t>-56.66%</t>
        </is>
      </c>
      <c r="N3103" s="1" t="n">
        <v>109.71</v>
      </c>
      <c r="O3103" t="n">
        <v>4.7</v>
      </c>
      <c r="P3103" t="n">
        <v>410</v>
      </c>
      <c r="R3103" t="inlineStr">
        <is>
          <t>InStock</t>
        </is>
      </c>
      <c r="S3103" t="inlineStr">
        <is>
          <t>45.0</t>
        </is>
      </c>
      <c r="T3103" t="inlineStr">
        <is>
          <t>4167487094884</t>
        </is>
      </c>
    </row>
    <row r="3104" hidden="1" ht="15.75" customHeight="1">
      <c r="A3104" s="2">
        <f>HYPERLINK("https://edmondsonsupply.com/collections/hvac/products/klein-tools-srs56038-polymer-fish-rod-set-glow-in-the-dark", "https://edmondsonsupply.com/collections/hvac/products/klein-tools-srs56038-polymer-fish-rod-set-glow-in-the-dark")</f>
        <v/>
      </c>
      <c r="B3104" s="2">
        <f>HYPERLINK("https://edmondsonsupply.com/products/klein-tools-srs56038-polymer-fish-rod-set-glow-in-the-dark", "https://edmondsonsupply.com/products/klein-tools-srs56038-polymer-fish-rod-set-glow-in-the-dark")</f>
        <v/>
      </c>
      <c r="C3104" t="inlineStr">
        <is>
          <t>Klein Tools SRS56038 Polymer Fish Rod Set Glow-in-The-Dark</t>
        </is>
      </c>
      <c r="D3104" t="inlineStr">
        <is>
          <t>Klein Tools SRS56038 Polymer Fish Rod Set Glow-in-The-Dark</t>
        </is>
      </c>
      <c r="E3104" s="2">
        <f>HYPERLINK("https://www.amazon.com/Polymer-Glow-Klein-Tools-SRS56038/dp/B01C0GADSA/ref=sr_1_1?keywords=Klein+Tools+SRS56038+Polymer+Fish+Rod+Set+Glow-in-The-Dark&amp;qid=1694734783&amp;sr=8-1", "https://www.amazon.com/Polymer-Glow-Klein-Tools-SRS56038/dp/B01C0GADSA/ref=sr_1_1?keywords=Klein+Tools+SRS56038+Polymer+Fish+Rod+Set+Glow-in-The-Dark&amp;qid=1694734783&amp;sr=8-1")</f>
        <v/>
      </c>
      <c r="F3104" t="inlineStr">
        <is>
          <t>B01C0GADSA</t>
        </is>
      </c>
      <c r="G3104">
        <f>_xludf.IMAGE("https://edmondsonsupply.com/cdn/shop/products/srs56038.jpg?v=1633030781")</f>
        <v/>
      </c>
      <c r="H3104">
        <f>_xludf.IMAGE("https://m.media-amazon.com/images/I/513o+u6HGjL._AC_UL320_.jpg")</f>
        <v/>
      </c>
      <c r="K3104" t="inlineStr">
        <is>
          <t>29.97</t>
        </is>
      </c>
      <c r="L3104" t="n">
        <v>12.99</v>
      </c>
      <c r="M3104" s="1" t="inlineStr">
        <is>
          <t>-56.66%</t>
        </is>
      </c>
      <c r="N3104" s="1" t="n">
        <v>109.66</v>
      </c>
      <c r="O3104" t="n">
        <v>3.8</v>
      </c>
      <c r="P3104" t="n">
        <v>40</v>
      </c>
      <c r="R3104" t="inlineStr">
        <is>
          <t>InStock</t>
        </is>
      </c>
      <c r="S3104" t="inlineStr">
        <is>
          <t>40.0</t>
        </is>
      </c>
      <c r="T3104" t="inlineStr">
        <is>
          <t>5966785478824</t>
        </is>
      </c>
    </row>
    <row r="3105" hidden="1" ht="15.75" customHeight="1">
      <c r="A3105" s="2">
        <f>HYPERLINK("https://edmondsonsupply.com/collections/hvac/products/klein-tools-93ldm100c-compact-laser-distance-measure", "https://edmondsonsupply.com/collections/hvac/products/klein-tools-93ldm100c-compact-laser-distance-measure")</f>
        <v/>
      </c>
      <c r="B3105" s="2">
        <f>HYPERLINK("https://edmondsonsupply.com/products/klein-tools-93ldm100c-compact-laser-distance-measure", "https://edmondsonsupply.com/products/klein-tools-93ldm100c-compact-laser-distance-measure")</f>
        <v/>
      </c>
      <c r="C3105" t="inlineStr">
        <is>
          <t>Klein Tools 93LDM100C Compact Laser Distance Measure</t>
        </is>
      </c>
      <c r="D3105" t="inlineStr">
        <is>
          <t>Aproca Hard Protective Storage Case, for Klein Tools 93LDM100C Compact Laser Distance Measure</t>
        </is>
      </c>
      <c r="E3105" s="2">
        <f>HYPERLINK("https://www.amazon.com/Aproca-Protective-Compatible-Electromagnetic-Radiation/dp/B07H2S8KRM/ref=sr_1_2?keywords=Klein+Tools+93LDM100C+Compact+Laser+Distance+Measure&amp;qid=1694734774&amp;sr=8-2", "https://www.amazon.com/Aproca-Protective-Compatible-Electromagnetic-Radiation/dp/B07H2S8KRM/ref=sr_1_2?keywords=Klein+Tools+93LDM100C+Compact+Laser+Distance+Measure&amp;qid=1694734774&amp;sr=8-2")</f>
        <v/>
      </c>
      <c r="F3105" t="inlineStr">
        <is>
          <t>B07H2S8KRM</t>
        </is>
      </c>
      <c r="G3105">
        <f>_xludf.IMAGE("https://edmondsonsupply.com/cdn/shop/products/93ldm100c.jpg?v=1666806501")</f>
        <v/>
      </c>
      <c r="H3105">
        <f>_xludf.IMAGE("https://m.media-amazon.com/images/I/71r6lbsdXsL._AC_UL320_.jpg")</f>
        <v/>
      </c>
      <c r="K3105" t="inlineStr">
        <is>
          <t>34.97</t>
        </is>
      </c>
      <c r="L3105" t="n">
        <v>14.99</v>
      </c>
      <c r="M3105" s="1" t="inlineStr">
        <is>
          <t>-57.13%</t>
        </is>
      </c>
      <c r="N3105" s="1" t="n">
        <v>109.56</v>
      </c>
      <c r="O3105" t="n">
        <v>4.4</v>
      </c>
      <c r="P3105" t="n">
        <v>63</v>
      </c>
      <c r="R3105" t="inlineStr">
        <is>
          <t>InStock</t>
        </is>
      </c>
      <c r="S3105" t="inlineStr">
        <is>
          <t>51.46</t>
        </is>
      </c>
      <c r="T3105" t="inlineStr">
        <is>
          <t>7866238861528</t>
        </is>
      </c>
    </row>
    <row r="3106" hidden="1" ht="15.75" customHeight="1">
      <c r="A3106" s="2">
        <f>HYPERLINK("https://edmondsonsupply.com/collections/hvac/products/klein-tools-11053-klein-kurve%C2%AE-wire-stripper-cutter", "https://edmondsonsupply.com/collections/hvac/products/klein-tools-11053-klein-kurve%C2%AE-wire-stripper-cutter")</f>
        <v/>
      </c>
      <c r="B3106" s="2">
        <f>HYPERLINK("https://edmondsonsupply.com/products/klein-tools-11053-klein-kurve%c2%ae-wire-stripper-cutter", "https://edmondsonsupply.com/products/klein-tools-11053-klein-kurve%c2%ae-wire-stripper-cutter")</f>
        <v/>
      </c>
      <c r="C3106" t="inlineStr">
        <is>
          <t>Klein Tools 11053 Klein-Kurve® Wire Stripper/Cutter</t>
        </is>
      </c>
      <c r="D3106" t="inlineStr">
        <is>
          <t>Klein Tools 1003 Wire Stripper and Cutter for Solid and Stranded Wire, Compact Yellow</t>
        </is>
      </c>
      <c r="E3106" s="2">
        <f>HYPERLINK("https://www.amazon.com/Stripper-Stranded-Klein-Tools-1003/dp/B000V6W5QU/ref=sr_1_23?keywords=Klein+Tools+11053+Klein-Kurve%C2%AE+Wire+Stripper%2FCutter&amp;qid=1694734664&amp;sr=8-23", "https://www.amazon.com/Stripper-Stranded-Klein-Tools-1003/dp/B000V6W5QU/ref=sr_1_23?keywords=Klein+Tools+11053+Klein-Kurve%C2%AE+Wire+Stripper%2FCutter&amp;qid=1694734664&amp;sr=8-23")</f>
        <v/>
      </c>
      <c r="F3106" t="inlineStr">
        <is>
          <t>B000V6W5QU</t>
        </is>
      </c>
      <c r="G3106">
        <f>_xludf.IMAGE("https://edmondsonsupply.com/cdn/shop/products/11053.jpg?v=1633030511")</f>
        <v/>
      </c>
      <c r="H3106">
        <f>_xludf.IMAGE("https://m.media-amazon.com/images/I/41OXcwB6zvL._AC_UL320_.jpg")</f>
        <v/>
      </c>
      <c r="K3106" t="inlineStr">
        <is>
          <t>20.97</t>
        </is>
      </c>
      <c r="L3106" t="n">
        <v>8.960000000000001</v>
      </c>
      <c r="M3106" s="1" t="inlineStr">
        <is>
          <t>-57.27%</t>
        </is>
      </c>
      <c r="N3106" s="1" t="n">
        <v>109.44</v>
      </c>
      <c r="O3106" t="n">
        <v>4.6</v>
      </c>
      <c r="P3106" t="n">
        <v>627</v>
      </c>
      <c r="R3106" t="inlineStr">
        <is>
          <t>InStock</t>
        </is>
      </c>
      <c r="S3106" t="inlineStr">
        <is>
          <t>31.76</t>
        </is>
      </c>
      <c r="T3106" t="inlineStr">
        <is>
          <t>5387171299496</t>
        </is>
      </c>
    </row>
    <row r="3107" hidden="1" ht="15.75" customHeight="1">
      <c r="A3107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3107" s="2">
        <f>HYPERLINK("https://edmondsonsupply.com/products/klein-tools-sk234-screwdriver-set-slotted-screw-holding-3-piece", "https://edmondsonsupply.com/products/klein-tools-sk234-screwdriver-set-slotted-screw-holding-3-piece")</f>
        <v/>
      </c>
      <c r="C3107" t="inlineStr">
        <is>
          <t>Klein Tools SK234 Screwdriver Set, Slotted Screw Holding, 3-Piece</t>
        </is>
      </c>
      <c r="D3107" t="inlineStr">
        <is>
          <t>Klein Tools 85742 Screwdriver Set, 3/16 Cabinet and 2 Phillips Precision Machined Tips, Cushion-Grip Handles, Round Shank, 2-Piece</t>
        </is>
      </c>
      <c r="E3107" s="2">
        <f>HYPERLINK("https://www.amazon.com/Screwdriver-Cushion-Grip-Klein-Tools-85742/dp/B0917X34P6/ref=sr_1_14?keywords=Klein+Tools+SK234+Screwdriver+Set%2C+Slotted+Screw+Holding%2C+3-Piece&amp;qid=1694734646&amp;sr=8-14", "https://www.amazon.com/Screwdriver-Cushion-Grip-Klein-Tools-85742/dp/B0917X34P6/ref=sr_1_14?keywords=Klein+Tools+SK234+Screwdriver+Set%2C+Slotted+Screw+Holding%2C+3-Piece&amp;qid=1694734646&amp;sr=8-14")</f>
        <v/>
      </c>
      <c r="F3107" t="inlineStr">
        <is>
          <t>B0917X34P6</t>
        </is>
      </c>
      <c r="G3107">
        <f>_xludf.IMAGE("https://edmondsonsupply.com/cdn/shop/products/sk234.jpg?v=1587144984")</f>
        <v/>
      </c>
      <c r="H3107">
        <f>_xludf.IMAGE("https://m.media-amazon.com/images/I/51oASlfAJbS._AC_UL320_.jpg")</f>
        <v/>
      </c>
      <c r="K3107" t="inlineStr">
        <is>
          <t>29.97</t>
        </is>
      </c>
      <c r="L3107" t="n">
        <v>12.76</v>
      </c>
      <c r="M3107" s="1" t="inlineStr">
        <is>
          <t>-57.42%</t>
        </is>
      </c>
      <c r="N3107" s="1" t="n">
        <v>109.25</v>
      </c>
      <c r="O3107" t="n">
        <v>4.7</v>
      </c>
      <c r="P3107" t="n">
        <v>89</v>
      </c>
      <c r="R3107" t="inlineStr">
        <is>
          <t>OutOfStock</t>
        </is>
      </c>
      <c r="S3107" t="inlineStr">
        <is>
          <t>45.42</t>
        </is>
      </c>
      <c r="T3107" t="inlineStr">
        <is>
          <t>4405483143268</t>
        </is>
      </c>
    </row>
    <row r="3108" hidden="1" ht="15.75" customHeight="1">
      <c r="A3108" s="2">
        <f>HYPERLINK("https://edmondsonsupply.com/collections/hvac/products/white-rodgers-24a34-6-24v-electric-heat-sequencer-2-dpst", "https://edmondsonsupply.com/collections/hvac/products/white-rodgers-24a34-6-24v-electric-heat-sequencer-2-dpst")</f>
        <v/>
      </c>
      <c r="B3108" s="2">
        <f>HYPERLINK("https://edmondsonsupply.com/products/white-rodgers-24a34-6-24v-electric-heat-sequencer-2-dpst", "https://edmondsonsupply.com/products/white-rodgers-24a34-6-24v-electric-heat-sequencer-2-dpst")</f>
        <v/>
      </c>
      <c r="C3108" t="inlineStr">
        <is>
          <t>White-Rodgers 24A34-6 24V Electric Heat Sequencer, 2 DPST</t>
        </is>
      </c>
      <c r="D3108" t="inlineStr">
        <is>
          <t>White-Rodgers 24A34-5 Electric Heat Sequencer, 3 Switch</t>
        </is>
      </c>
      <c r="E3108" s="2">
        <f>HYPERLINK("https://www.amazon.com/White-Rodgers-24A34-5-Electric-Sequencer-Switch/dp/B000LDN76A/ref=sr_1_3?keywords=White-Rodgers+24A34-6+24V+Electric+Heat+Sequencer%2C+2+DPST&amp;qid=1694734618&amp;sr=8-3", "https://www.amazon.com/White-Rodgers-24A34-5-Electric-Sequencer-Switch/dp/B000LDN76A/ref=sr_1_3?keywords=White-Rodgers+24A34-6+24V+Electric+Heat+Sequencer%2C+2+DPST&amp;qid=1694734618&amp;sr=8-3")</f>
        <v/>
      </c>
      <c r="F3108" t="inlineStr">
        <is>
          <t>B000LDN76A</t>
        </is>
      </c>
      <c r="G3108">
        <f>_xludf.IMAGE("https://edmondsonsupply.com/cdn/shop/products/24A34-6.jpg?v=1633030752")</f>
        <v/>
      </c>
      <c r="H3108">
        <f>_xludf.IMAGE("https://m.media-amazon.com/images/I/61UoZ2DTghL._AC_UL320_.jpg")</f>
        <v/>
      </c>
      <c r="K3108" t="inlineStr">
        <is>
          <t>23.5</t>
        </is>
      </c>
      <c r="L3108" t="n">
        <v>9.99</v>
      </c>
      <c r="M3108" s="1" t="inlineStr">
        <is>
          <t>-57.49%</t>
        </is>
      </c>
      <c r="N3108" s="1" t="n">
        <v>108.46</v>
      </c>
      <c r="O3108" t="n">
        <v>4.8</v>
      </c>
      <c r="P3108" t="n">
        <v>8</v>
      </c>
      <c r="R3108" t="inlineStr">
        <is>
          <t>InStock</t>
        </is>
      </c>
      <c r="S3108" t="inlineStr">
        <is>
          <t>58.43</t>
        </is>
      </c>
      <c r="T3108" t="inlineStr">
        <is>
          <t>5896305213608</t>
        </is>
      </c>
    </row>
    <row r="3109" hidden="1" ht="15.75" customHeight="1">
      <c r="A3109" s="2">
        <f>HYPERLINK("https://edmondsonsupply.com/collections/hvac/products/imperial-tc-1050-imp%C2%AE-mini-tube-cutter-1-8-5-8-o-d", "https://edmondsonsupply.com/collections/hvac/products/imperial-tc-1050-imp%C2%AE-mini-tube-cutter-1-8-5-8-o-d")</f>
        <v/>
      </c>
      <c r="B3109" s="2">
        <f>HYPERLINK("https://edmondsonsupply.com/products/imperial-tc-1050-imp%c2%ae-mini-tube-cutter-1-8-5-8-o-d", "https://edmondsonsupply.com/products/imperial-tc-1050-imp%c2%ae-mini-tube-cutter-1-8-5-8-o-d")</f>
        <v/>
      </c>
      <c r="C3109" t="inlineStr">
        <is>
          <t>Imperial TC-1050 IMP® Mini Tube Cutter 1/8" - 5/8" O.D.</t>
        </is>
      </c>
      <c r="D3109" t="inlineStr">
        <is>
          <t>Imperial Tool TC1050RH Ratcheting Tube Cutter for 1/8" to 5/8" O.D. Tubing</t>
        </is>
      </c>
      <c r="E3109" s="2">
        <f>HYPERLINK("https://www.amazon.com/Imperial-Eastman-TC1050RH-Ratcheting-Tubing/dp/B002P8Q1S0/ref=sr_1_2?keywords=Imperial+TC-1050+IMP%C2%AE+Mini+Tube+Cutter+1%2F8%22+-+5%2F8%22+O.D.&amp;qid=1694734652&amp;sr=8-2", "https://www.amazon.com/Imperial-Eastman-TC1050RH-Ratcheting-Tubing/dp/B002P8Q1S0/ref=sr_1_2?keywords=Imperial+TC-1050+IMP%C2%AE+Mini+Tube+Cutter+1%2F8%22+-+5%2F8%22+O.D.&amp;qid=1694734652&amp;sr=8-2")</f>
        <v/>
      </c>
      <c r="F3109" t="inlineStr">
        <is>
          <t>B002P8Q1S0</t>
        </is>
      </c>
      <c r="G3109">
        <f>_xludf.IMAGE("https://edmondsonsupply.com/cdn/shop/products/imperial-pipe-tube-cutters-tc1050-64_1000.jpg?v=1587144076")</f>
        <v/>
      </c>
      <c r="H3109">
        <f>_xludf.IMAGE("https://m.media-amazon.com/images/I/716MEjcCeTL._AC_UL320_.jpg")</f>
        <v/>
      </c>
      <c r="K3109" t="inlineStr">
        <is>
          <t>18.99</t>
        </is>
      </c>
      <c r="L3109" t="n">
        <v>8</v>
      </c>
      <c r="M3109" s="1" t="inlineStr">
        <is>
          <t>-57.87%</t>
        </is>
      </c>
      <c r="N3109" s="1" t="n">
        <v>108.44</v>
      </c>
      <c r="O3109" t="n">
        <v>3</v>
      </c>
      <c r="P3109" t="n">
        <v>1</v>
      </c>
      <c r="R3109" t="inlineStr">
        <is>
          <t>InStock</t>
        </is>
      </c>
      <c r="S3109" t="inlineStr">
        <is>
          <t>undefined</t>
        </is>
      </c>
      <c r="T3109" t="inlineStr">
        <is>
          <t>3679475138660</t>
        </is>
      </c>
    </row>
    <row r="3110" hidden="1" ht="15.75" customHeight="1">
      <c r="A3110" s="2">
        <f>HYPERLINK("https://edmondsonsupply.com/collections/hvac/products/klein-tools-pnd-12-5-1-2-inch-power-nut-driver-5-inch-length", "https://edmondsonsupply.com/collections/hvac/products/klein-tools-pnd-12-5-1-2-inch-power-nut-driver-5-inch-length")</f>
        <v/>
      </c>
      <c r="B3110" s="2">
        <f>HYPERLINK("https://edmondsonsupply.com/products/klein-tools-pnd-12-5-1-2-inch-power-nut-driver-5-inch-length", "https://edmondsonsupply.com/products/klein-tools-pnd-12-5-1-2-inch-power-nut-driver-5-inch-length")</f>
        <v/>
      </c>
      <c r="C3110" t="inlineStr">
        <is>
          <t>Klein Tools PND-12-5 1/2-Inch Power Nut Driver 5-Inch Length</t>
        </is>
      </c>
      <c r="D3110" t="inlineStr">
        <is>
          <t>Klein Tools 32766 Impact Driver, 3-in-1 Impact Flip Socket and Bit Holder, 1 /4-Inch and 5/16-Inch Hex Drivers, 3-Inch Length</t>
        </is>
      </c>
      <c r="E3110" s="2">
        <f>HYPERLINK("https://www.amazon.com/Klein-Tools-32766-16-Inch-Drivers/dp/B09R2L4GFJ/ref=sr_1_16?keywords=Klein+Tools+PND-12-5+1%2F2-Inch+Power+Nut+Driver+5-Inch+Length&amp;qid=1694734708&amp;sr=8-16", "https://www.amazon.com/Klein-Tools-32766-16-Inch-Drivers/dp/B09R2L4GFJ/ref=sr_1_16?keywords=Klein+Tools+PND-12-5+1%2F2-Inch+Power+Nut+Driver+5-Inch+Length&amp;qid=1694734708&amp;sr=8-16")</f>
        <v/>
      </c>
      <c r="F3110" t="inlineStr">
        <is>
          <t>B09R2L4GFJ</t>
        </is>
      </c>
      <c r="G3110">
        <f>_xludf.IMAGE("https://edmondsonsupply.com/cdn/shop/products/pnd125.jpg?v=1633031028")</f>
        <v/>
      </c>
      <c r="H3110">
        <f>_xludf.IMAGE("https://m.media-amazon.com/images/I/41MLWTR6goL._AC_UL320_.jpg")</f>
        <v/>
      </c>
      <c r="K3110" t="inlineStr">
        <is>
          <t>18.99</t>
        </is>
      </c>
      <c r="L3110" t="n">
        <v>7.99</v>
      </c>
      <c r="M3110" s="1" t="inlineStr">
        <is>
          <t>-57.93%</t>
        </is>
      </c>
      <c r="N3110" s="1" t="n">
        <v>108.43</v>
      </c>
      <c r="O3110" t="n">
        <v>4.5</v>
      </c>
      <c r="P3110" t="n">
        <v>1240</v>
      </c>
      <c r="R3110" t="inlineStr">
        <is>
          <t>InStock</t>
        </is>
      </c>
      <c r="S3110" t="inlineStr">
        <is>
          <t>30.98</t>
        </is>
      </c>
      <c r="T3110" t="inlineStr">
        <is>
          <t>6729466445997</t>
        </is>
      </c>
    </row>
    <row r="3111" hidden="1" ht="15.75" customHeight="1">
      <c r="A3111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3111" s="2">
        <f>HYPERLINK("https://edmondsonsupply.com/products/klein-tools-32535-10-in-1-10-fold-screwdriver-nut-driver", "https://edmondsonsupply.com/products/klein-tools-32535-10-in-1-10-fold-screwdriver-nut-driver")</f>
        <v/>
      </c>
      <c r="C3111" t="inlineStr">
        <is>
          <t>Klein Tools 32535 10-in-1 10 Fold Screwdriver / Nut Driver</t>
        </is>
      </c>
      <c r="D3111" t="inlineStr">
        <is>
          <t>Klein Tools 605-10 1/4-Inch Cabinet Tip Screwdriver, 10-Inch Shank</t>
        </is>
      </c>
      <c r="E3111" s="2">
        <f>HYPERLINK("https://www.amazon.com/Cabinet-Screwdriver-Klein-Tools-605-10/dp/B00093D6MW/ref=sr_1_35?keywords=Klein+Tools+32535+10-in-1+10+Fold+Screwdriver+%2F+Nut+Driver&amp;qid=1694734776&amp;sr=8-35", "https://www.amazon.com/Cabinet-Screwdriver-Klein-Tools-605-10/dp/B00093D6MW/ref=sr_1_35?keywords=Klein+Tools+32535+10-in-1+10+Fold+Screwdriver+%2F+Nut+Driver&amp;qid=1694734776&amp;sr=8-35")</f>
        <v/>
      </c>
      <c r="F3111" t="inlineStr">
        <is>
          <t>B00093D6MW</t>
        </is>
      </c>
      <c r="G3111">
        <f>_xludf.IMAGE("https://edmondsonsupply.com/cdn/shop/products/32535.jpg?v=1633030894")</f>
        <v/>
      </c>
      <c r="H3111">
        <f>_xludf.IMAGE("https://m.media-amazon.com/images/I/41WLDr2SP+L._AC_UL320_.jpg")</f>
        <v/>
      </c>
      <c r="K3111" t="inlineStr">
        <is>
          <t>29.99</t>
        </is>
      </c>
      <c r="L3111" t="n">
        <v>12.49</v>
      </c>
      <c r="M3111" s="1" t="inlineStr">
        <is>
          <t>-58.35%</t>
        </is>
      </c>
      <c r="N3111" s="1" t="n">
        <v>108.37</v>
      </c>
      <c r="O3111" t="n">
        <v>4.8</v>
      </c>
      <c r="P3111" t="n">
        <v>1225</v>
      </c>
      <c r="R3111" t="inlineStr">
        <is>
          <t>InStock</t>
        </is>
      </c>
      <c r="S3111" t="inlineStr">
        <is>
          <t>45.36</t>
        </is>
      </c>
      <c r="T3111" t="inlineStr">
        <is>
          <t>6224651485357</t>
        </is>
      </c>
    </row>
    <row r="3112" hidden="1" ht="15.75" customHeight="1">
      <c r="A3112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3112" s="2">
        <f>HYPERLINK("https://edmondsonsupply.com/products/milwaukee-48-22-1540-fastback%e2%84%a2-5-in-1-folding-knife", "https://edmondsonsupply.com/products/milwaukee-48-22-1540-fastback%e2%84%a2-5-in-1-folding-knife")</f>
        <v/>
      </c>
      <c r="C3112" t="inlineStr">
        <is>
          <t>Milwaukee 48-22-1540 FASTBACK™ 5-in-1 Folding Knife</t>
        </is>
      </c>
      <c r="D3112" t="inlineStr">
        <is>
          <t>Milwaukee 48-22-1500 Fastback Compact Folding Utility Knife</t>
        </is>
      </c>
      <c r="E3112" s="2">
        <f>HYPERLINK("https://www.amazon.com/Milwaukee-48-22-1500-Fastback-Compact-Folding/dp/B08127SPCX/ref=sr_1_14?keywords=Milwaukee+48-22-1540+FASTBACK%E2%84%A2+5-in-1+Folding+Knife&amp;qid=1694734631&amp;sr=8-14", "https://www.amazon.com/Milwaukee-48-22-1500-Fastback-Compact-Folding/dp/B08127SPCX/ref=sr_1_14?keywords=Milwaukee+48-22-1540+FASTBACK%E2%84%A2+5-in-1+Folding+Knife&amp;qid=1694734631&amp;sr=8-14")</f>
        <v/>
      </c>
      <c r="F3112" t="inlineStr">
        <is>
          <t>B08127SPCX</t>
        </is>
      </c>
      <c r="G3112">
        <f>_xludf.IMAGE("https://edmondsonsupply.com/cdn/shop/products/48-22-1540_1.png?v=1587142762")</f>
        <v/>
      </c>
      <c r="H3112">
        <f>_xludf.IMAGE("https://m.media-amazon.com/images/I/51JoK6Sfw9L._AC_UL320_.jpg")</f>
        <v/>
      </c>
      <c r="K3112" t="inlineStr">
        <is>
          <t>23.97</t>
        </is>
      </c>
      <c r="L3112" t="n">
        <v>9.970000000000001</v>
      </c>
      <c r="M3112" s="1" t="inlineStr">
        <is>
          <t>-58.41%</t>
        </is>
      </c>
      <c r="N3112" s="1" t="n">
        <v>108.21</v>
      </c>
      <c r="O3112" t="n">
        <v>4.8</v>
      </c>
      <c r="P3112" t="n">
        <v>687</v>
      </c>
      <c r="R3112" t="inlineStr">
        <is>
          <t>InStock</t>
        </is>
      </c>
      <c r="S3112" t="inlineStr">
        <is>
          <t>39.0</t>
        </is>
      </c>
      <c r="T3112" t="inlineStr">
        <is>
          <t>4452621090916</t>
        </is>
      </c>
    </row>
    <row r="3113" ht="87" customHeight="1">
      <c r="A3113" s="2">
        <f>HYPERLINK("https://edmondsonsupply.com/collections/hvac/products/inficon-d-tek-3", "https://edmondsonsupply.com/collections/hvac/products/inficon-d-tek-3")</f>
        <v/>
      </c>
      <c r="B3113" s="2">
        <f>HYPERLINK("https://edmondsonsupply.com/products/inficon-d-tek-3", "https://edmondsonsupply.com/products/inficon-d-tek-3")</f>
        <v/>
      </c>
      <c r="C3113" t="inlineStr">
        <is>
          <t>Inficon D-TEK® 3 Refrigerant Leak Detector</t>
        </is>
      </c>
      <c r="D3113" t="inlineStr">
        <is>
          <t>Inficon Inficon Refrigerant Leak Detector, Model:705-202-G1</t>
        </is>
      </c>
      <c r="E3113" s="2">
        <f>HYPERLINK("https://www.amazon.com/INFICON-TEK-Mate-705-202-G1-Refrigerant-Detector/dp/B000H6OZJ4/ref=sr_1_6?keywords=Inficon+D-TEK%C2%AE+3+Refrigerant+Leak+Detector&amp;qid=1694734644&amp;sr=8-6", "https://www.amazon.com/INFICON-TEK-Mate-705-202-G1-Refrigerant-Detector/dp/B000H6OZJ4/ref=sr_1_6?keywords=Inficon+D-TEK%C2%AE+3+Refrigerant+Leak+Detector&amp;qid=1694734644&amp;sr=8-6")</f>
        <v/>
      </c>
      <c r="F3113" t="inlineStr">
        <is>
          <t>B000H6OZJ4</t>
        </is>
      </c>
      <c r="G3113">
        <f>_xlfn.IMAGE("https://edmondsonsupply.com/cdn/shop/products/dtek3.png?v=1633030772")</f>
        <v/>
      </c>
      <c r="H3113">
        <f>_xlfn.IMAGE("https://m.media-amazon.com/images/I/61YATjI1qqL._AC_UL320_.jpg")</f>
        <v/>
      </c>
      <c r="K3113" t="inlineStr">
        <is>
          <t>516.99</t>
        </is>
      </c>
      <c r="L3113" t="n">
        <v>214.99</v>
      </c>
      <c r="M3113" s="1" t="inlineStr">
        <is>
          <t>-58.42%</t>
        </is>
      </c>
      <c r="N3113" s="7" t="n">
        <v>108.09</v>
      </c>
      <c r="O3113" t="n">
        <v>4.5</v>
      </c>
      <c r="P3113" t="n">
        <v>447</v>
      </c>
      <c r="R3113" t="inlineStr">
        <is>
          <t>InStock</t>
        </is>
      </c>
      <c r="S3113" t="inlineStr">
        <is>
          <t>645.0</t>
        </is>
      </c>
      <c r="T3113" t="inlineStr">
        <is>
          <t>5950406623400</t>
        </is>
      </c>
    </row>
    <row r="3114" ht="87" customHeight="1">
      <c r="A3114" s="2">
        <f>HYPERLINK("https://edmondsonsupply.com/collections/hvac/products/wiha-tools-66990-9-piece-magicring-ball-end-long-arm-hex-l-key-set-metric", "https://edmondsonsupply.com/collections/hvac/products/wiha-tools-66990-9-piece-magicring-ball-end-long-arm-hex-l-key-set-metric")</f>
        <v/>
      </c>
      <c r="B3114" s="2">
        <f>HYPERLINK("https://edmondsonsupply.com/products/wiha-tools-66990-9-piece-magicring-ball-end-long-arm-hex-l-key-set-metric", "https://edmondsonsupply.com/products/wiha-tools-66990-9-piece-magicring-ball-end-long-arm-hex-l-key-set-metric")</f>
        <v/>
      </c>
      <c r="C3114" t="inlineStr">
        <is>
          <t>Wiha Tools 66990 9 Piece MagicRing Ball End Long Arm Hex L-Key Set - Metric</t>
        </is>
      </c>
      <c r="D3114" t="inlineStr">
        <is>
          <t>Wiha 66995 6-Piece Metric Ball End Long Hex L-Key Set</t>
        </is>
      </c>
      <c r="E3114" s="2">
        <f>HYPERLINK("https://www.amazon.com/Wiha-66995-6-Piece-Metric-L-Key/dp/B002S0O7U4/ref=sr_1_2?keywords=Wiha+Tools+66990+9+Piece+MagicRing+Ball+End+Long+Arm+Hex+L-Key+Set+-+Metric&amp;qid=1694734869&amp;sr=8-2", "https://www.amazon.com/Wiha-66995-6-Piece-Metric-L-Key/dp/B002S0O7U4/ref=sr_1_2?keywords=Wiha+Tools+66990+9+Piece+MagicRing+Ball+End+Long+Arm+Hex+L-Key+Set+-+Metric&amp;qid=1694734869&amp;sr=8-2")</f>
        <v/>
      </c>
      <c r="F3114" t="inlineStr">
        <is>
          <t>B002S0O7U4</t>
        </is>
      </c>
      <c r="G3114">
        <f>_xlfn.IMAGE("https://edmondsonsupply.com/cdn/shop/files/13e958aad91c16597a10bc35346fe94965ff7cc5_1000x_585c36ae-bd90-4c7e-95df-eb1519527f63.webp?v=1690841217")</f>
        <v/>
      </c>
      <c r="H3114">
        <f>_xlfn.IMAGE("https://m.media-amazon.com/images/I/61emfyjx68L._AC_UL320_.jpg")</f>
        <v/>
      </c>
      <c r="K3114" t="inlineStr">
        <is>
          <t>39.26</t>
        </is>
      </c>
      <c r="L3114" t="n">
        <v>16.22</v>
      </c>
      <c r="M3114" s="1" t="inlineStr">
        <is>
          <t>-58.69%</t>
        </is>
      </c>
      <c r="N3114" s="7" t="n">
        <v>107.45</v>
      </c>
      <c r="O3114" t="n">
        <v>4.5</v>
      </c>
      <c r="P3114" t="n">
        <v>80</v>
      </c>
      <c r="R3114" t="inlineStr">
        <is>
          <t>InStock</t>
        </is>
      </c>
      <c r="S3114" t="inlineStr">
        <is>
          <t>52.34</t>
        </is>
      </c>
      <c r="T3114" t="inlineStr">
        <is>
          <t>8023273111768</t>
        </is>
      </c>
    </row>
    <row r="3115" ht="87" customHeight="1">
      <c r="A3115" s="2">
        <f>HYPERLINK("https://edmondsonsupply.com/collections/hvac/products/klein-tools-2138neeins-insulated-pliers-slim-handle-side-cutters-8-inch", "https://edmondsonsupply.com/collections/hvac/products/klein-tools-2138neeins-insulated-pliers-slim-handle-side-cutters-8-inch")</f>
        <v/>
      </c>
      <c r="B3115" s="2">
        <f>HYPERLINK("https://edmondsonsupply.com/products/klein-tools-2138neeins-insulated-pliers-slim-handle-side-cutters-8-inch", "https://edmondsonsupply.com/products/klein-tools-2138neeins-insulated-pliers-slim-handle-side-cutters-8-inch")</f>
        <v/>
      </c>
      <c r="C3115" t="inlineStr">
        <is>
          <t>Klein Tools 2138NEEINS Insulated Pliers, Slim Handle Side Cutters, 8-Inch</t>
        </is>
      </c>
      <c r="D3115" t="inlineStr">
        <is>
          <t>Klein Tools D203-8 Needle Nose Pliers, Long Nose Side Cutters, Alligator Pliers with Extended Handles, 8-Inch</t>
        </is>
      </c>
      <c r="E3115" s="2">
        <f>HYPERLINK("https://www.amazon.com/Linemans-Alligator-Klein-Tools-D203-8/dp/B0000302WQ/ref=sr_1_8?keywords=Klein+Tools+2138NEEINS+Insulated+Pliers%2C+Slim+Handle+Side+Cutters%2C+8-Inch&amp;qid=1694734833&amp;sr=8-8", "https://www.amazon.com/Linemans-Alligator-Klein-Tools-D203-8/dp/B0000302WQ/ref=sr_1_8?keywords=Klein+Tools+2138NEEINS+Insulated+Pliers%2C+Slim+Handle+Side+Cutters%2C+8-Inch&amp;qid=1694734833&amp;sr=8-8")</f>
        <v/>
      </c>
      <c r="F3115" t="inlineStr">
        <is>
          <t>B0000302WQ</t>
        </is>
      </c>
      <c r="G3115">
        <f>_xlfn.IMAGE("https://edmondsonsupply.com/cdn/shop/files/2138neeins.jpg?v=1694611719")</f>
        <v/>
      </c>
      <c r="H3115">
        <f>_xlfn.IMAGE("https://m.media-amazon.com/images/I/51Ifjz4aftL._AC_UL320_.jpg")</f>
        <v/>
      </c>
      <c r="K3115" t="inlineStr">
        <is>
          <t>69.99</t>
        </is>
      </c>
      <c r="L3115" t="n">
        <v>28.74</v>
      </c>
      <c r="M3115" s="1" t="inlineStr">
        <is>
          <t>-58.94%</t>
        </is>
      </c>
      <c r="N3115" s="7" t="n">
        <v>106.83</v>
      </c>
      <c r="O3115" t="n">
        <v>4.8</v>
      </c>
      <c r="P3115" t="n">
        <v>930</v>
      </c>
      <c r="R3115" t="inlineStr">
        <is>
          <t>InStock</t>
        </is>
      </c>
      <c r="S3115" t="inlineStr">
        <is>
          <t>106.06</t>
        </is>
      </c>
      <c r="T3115" t="inlineStr">
        <is>
          <t>8036834476248</t>
        </is>
      </c>
    </row>
    <row r="3116" ht="87" customHeight="1">
      <c r="A3116" s="2">
        <f>HYPERLINK("https://edmondsonsupply.com/collections/hvac/products/sioux-chief-672xv0490-3-4-pex-inlet-x-4-1-2-pex-branches-valved-manifold", "https://edmondsonsupply.com/collections/hvac/products/sioux-chief-672xv0490-3-4-pex-inlet-x-4-1-2-pex-branches-valved-manifold")</f>
        <v/>
      </c>
      <c r="B3116" s="2">
        <f>HYPERLINK("https://edmondsonsupply.com/products/sioux-chief-672xv0490-3-4-pex-inlet-x-4-1-2-pex-branches-valved-manifold", "https://edmondsonsupply.com/products/sioux-chief-672xv0490-3-4-pex-inlet-x-4-1-2-pex-branches-valved-manifold")</f>
        <v/>
      </c>
      <c r="C3116" t="inlineStr">
        <is>
          <t>Sioux Chief 672XV0490 3/4" PEX Inlet x (4) 1/2" PEX Branches Valved Manifold</t>
        </is>
      </c>
      <c r="D3116" t="inlineStr">
        <is>
          <t>Sioux Chief 672X0699, 1/2" PEX Manifold, 3/4" PEX inlet/outlet</t>
        </is>
      </c>
      <c r="E3116" s="2">
        <f>HYPERLINK("https://www.amazon.com/Sioux-Chief-672X0699-Manifold-outlet/dp/B003QSGQ1A/ref=sr_1_2?keywords=Sioux+Chief+672XV0490+3%2F4%22+PEX+Inlet+x+%284%29+1%2F2%22+PEX+Branches+Valved+Manifold&amp;qid=1694734654&amp;sr=8-2", "https://www.amazon.com/Sioux-Chief-672X0699-Manifold-outlet/dp/B003QSGQ1A/ref=sr_1_2?keywords=Sioux+Chief+672XV0490+3%2F4%22+PEX+Inlet+x+%284%29+1%2F2%22+PEX+Branches+Valved+Manifold&amp;qid=1694734654&amp;sr=8-2")</f>
        <v/>
      </c>
      <c r="F3116" t="inlineStr">
        <is>
          <t>B003QSGQ1A</t>
        </is>
      </c>
      <c r="G3116">
        <f>_xlfn.IMAGE("https://edmondsonsupply.com/cdn/shop/products/672XV0490.jpg?v=1587147465")</f>
        <v/>
      </c>
      <c r="H3116">
        <f>_xlfn.IMAGE("https://m.media-amazon.com/images/I/11ywoAI6gVL._AC_UL320_.jpg")</f>
        <v/>
      </c>
      <c r="K3116" t="inlineStr">
        <is>
          <t>68.25</t>
        </is>
      </c>
      <c r="L3116" t="n">
        <v>27.59</v>
      </c>
      <c r="M3116" s="1" t="inlineStr">
        <is>
          <t>-59.58%</t>
        </is>
      </c>
      <c r="N3116" s="7" t="n">
        <v>106.73</v>
      </c>
      <c r="O3116" t="n">
        <v>4.3</v>
      </c>
      <c r="P3116" t="n">
        <v>2</v>
      </c>
      <c r="R3116" t="inlineStr">
        <is>
          <t>InStock</t>
        </is>
      </c>
      <c r="S3116" t="inlineStr">
        <is>
          <t>105.0</t>
        </is>
      </c>
      <c r="T3116" t="inlineStr">
        <is>
          <t>4410479673444</t>
        </is>
      </c>
    </row>
    <row r="3117" ht="87" customHeight="1">
      <c r="A3117" s="2">
        <f>HYPERLINK("https://edmondsonsupply.com/collections/hvac/products/packard-c390a-contactor-3-pole-90-amps-24-coil-voltage", "https://edmondsonsupply.com/collections/hvac/products/packard-c390a-contactor-3-pole-90-amps-24-coil-voltage")</f>
        <v/>
      </c>
      <c r="B3117" s="2">
        <f>HYPERLINK("https://edmondsonsupply.com/products/packard-c390a-contactor-3-pole-90-amps-24-coil-voltage", "https://edmondsonsupply.com/products/packard-c390a-contactor-3-pole-90-amps-24-coil-voltage")</f>
        <v/>
      </c>
      <c r="C3117" t="inlineStr">
        <is>
          <t>Packard C390A Contactor 3 Pole 90 AMPS 24 Coil Voltage</t>
        </is>
      </c>
      <c r="D3117" t="inlineStr">
        <is>
          <t>Packard C350A Packard Contactor 3 Pole 50 Amps 24 Coil Voltage</t>
        </is>
      </c>
      <c r="E3117" s="2">
        <f>HYPERLINK("https://www.amazon.com/Packard-C350A-Contactor-Pole-Voltage/dp/B004ZU4Q06/ref=sr_1_9?keywords=Packard+C390A+Contactor+3+Pole+90+AMPS+24+Coil+Voltage&amp;qid=1694734901&amp;sr=8-9", "https://www.amazon.com/Packard-C350A-Contactor-Pole-Voltage/dp/B004ZU4Q06/ref=sr_1_9?keywords=Packard+C390A+Contactor+3+Pole+90+AMPS+24+Coil+Voltage&amp;qid=1694734901&amp;sr=8-9")</f>
        <v/>
      </c>
      <c r="F3117" t="inlineStr">
        <is>
          <t>B004ZU4Q06</t>
        </is>
      </c>
      <c r="G3117">
        <f>_xlfn.IMAGE("https://edmondsonsupply.com/cdn/shop/files/packard-3.75-pole_xl_1_1152ce1d-b456-4bbf-bf1e-26917d918096.jpg?v=1687396564")</f>
        <v/>
      </c>
      <c r="H3117">
        <f>_xlfn.IMAGE("https://m.media-amazon.com/images/I/51c25R-4qEL._AC_UY218_.jpg")</f>
        <v/>
      </c>
      <c r="K3117" t="inlineStr">
        <is>
          <t>128.99</t>
        </is>
      </c>
      <c r="L3117" t="n">
        <v>52</v>
      </c>
      <c r="M3117" s="1" t="inlineStr">
        <is>
          <t>-59.69%</t>
        </is>
      </c>
      <c r="N3117" s="7" t="n">
        <v>106.51</v>
      </c>
      <c r="O3117" t="n">
        <v>5</v>
      </c>
      <c r="P3117" t="n">
        <v>1</v>
      </c>
      <c r="R3117" t="inlineStr">
        <is>
          <t>InStock</t>
        </is>
      </c>
      <c r="S3117" t="inlineStr">
        <is>
          <t>undefined</t>
        </is>
      </c>
      <c r="T3117" t="inlineStr">
        <is>
          <t>8007878836440</t>
        </is>
      </c>
    </row>
    <row r="3118" ht="87" customHeight="1">
      <c r="A3118" s="2">
        <f>HYPERLINK("https://edmondsonsupply.com/collections/hvac/products/packard-c440c-contactor-4-pole-40-amps-208-240-coil-voltage-1", "https://edmondsonsupply.com/collections/hvac/products/packard-c440c-contactor-4-pole-40-amps-208-240-coil-voltage-1")</f>
        <v/>
      </c>
      <c r="B3118" s="2">
        <f>HYPERLINK("https://edmondsonsupply.com/products/packard-c440c-contactor-4-pole-40-amps-208-240-coil-voltage-1", "https://edmondsonsupply.com/products/packard-c440c-contactor-4-pole-40-amps-208-240-coil-voltage-1")</f>
        <v/>
      </c>
      <c r="C3118" t="inlineStr">
        <is>
          <t>Packard C440C Contactor 4 Pole 40 AMPS 208/240 Coil Voltage</t>
        </is>
      </c>
      <c r="D3118" t="inlineStr">
        <is>
          <t>Packard C240C 2 Pole 40 Amp Contactor 208/240 Volt Coil Contactor</t>
        </is>
      </c>
      <c r="E3118" s="2">
        <f>HYPERLINK("https://www.amazon.com/Packard-C240C-Pole-Contactor-Volt/dp/B004Z0RLR6/ref=sr_1_2?keywords=Packard+C440C+Contactor+4+Pole+40+AMPS+208%2F240+Coil+Voltage&amp;qid=1694734674&amp;sr=8-2", "https://www.amazon.com/Packard-C240C-Pole-Contactor-Volt/dp/B004Z0RLR6/ref=sr_1_2?keywords=Packard+C440C+Contactor+4+Pole+40+AMPS+208%2F240+Coil+Voltage&amp;qid=1694734674&amp;sr=8-2")</f>
        <v/>
      </c>
      <c r="F3118" t="inlineStr">
        <is>
          <t>B004Z0RLR6</t>
        </is>
      </c>
      <c r="G3118">
        <f>_xlfn.IMAGE("https://edmondsonsupply.com/cdn/shop/products/packard_c440c_xl_1_536437f5-bc6f-4278-8bf8-da7e8512e77e.jpg?v=1587144444")</f>
        <v/>
      </c>
      <c r="H3118">
        <f>_xlfn.IMAGE("https://m.media-amazon.com/images/I/91HgJ588lHL._AC_UY218_.jpg")</f>
        <v/>
      </c>
      <c r="K3118" t="inlineStr">
        <is>
          <t>46.61</t>
        </is>
      </c>
      <c r="L3118" t="n">
        <v>18.7</v>
      </c>
      <c r="M3118" s="1" t="inlineStr">
        <is>
          <t>-59.88%</t>
        </is>
      </c>
      <c r="N3118" s="7" t="n">
        <v>106.49</v>
      </c>
      <c r="O3118" t="n">
        <v>4.4</v>
      </c>
      <c r="P3118" t="n">
        <v>118</v>
      </c>
      <c r="R3118" t="inlineStr">
        <is>
          <t>InStock</t>
        </is>
      </c>
      <c r="S3118" t="inlineStr">
        <is>
          <t>undefined</t>
        </is>
      </c>
      <c r="T3118" t="inlineStr">
        <is>
          <t>4175222997092</t>
        </is>
      </c>
    </row>
    <row r="3119" ht="87" customHeight="1">
      <c r="A3119" s="2">
        <f>HYPERLINK("https://edmondsonsupply.com/collections/hvac/products/fieldpiece-sr47-wireless-refrigerant-scale", "https://edmondsonsupply.com/collections/hvac/products/fieldpiece-sr47-wireless-refrigerant-scale")</f>
        <v/>
      </c>
      <c r="B3119" s="2">
        <f>HYPERLINK("https://edmondsonsupply.com/products/fieldpiece-sr47-wireless-refrigerant-scale", "https://edmondsonsupply.com/products/fieldpiece-sr47-wireless-refrigerant-scale")</f>
        <v/>
      </c>
      <c r="C3119" t="inlineStr">
        <is>
          <t>Fieldpiece SR47 Wireless Refrigerant Scale</t>
        </is>
      </c>
      <c r="D3119" t="inlineStr">
        <is>
          <t>Fieldpiece SRS3R Wireless Remote for SRS3 Refrigerant Scale</t>
        </is>
      </c>
      <c r="E3119" s="2">
        <f>HYPERLINK("https://www.amazon.com/Fieldpiece-SRS3R-Wireless-Remote-Refrigerant/dp/B07QH39S6M/ref=sr_1_4?keywords=Fieldpiece+SR47+Wireless+Refrigerant+Scale&amp;qid=1694734757&amp;sr=8-4", "https://www.amazon.com/Fieldpiece-SRS3R-Wireless-Remote-Refrigerant/dp/B07QH39S6M/ref=sr_1_4?keywords=Fieldpiece+SR47+Wireless+Refrigerant+Scale&amp;qid=1694734757&amp;sr=8-4")</f>
        <v/>
      </c>
      <c r="F3119" t="inlineStr">
        <is>
          <t>B07QH39S6M</t>
        </is>
      </c>
      <c r="G3119">
        <f>_xlfn.IMAGE("https://edmondsonsupply.com/cdn/shop/products/SR47.png?v=1669930210")</f>
        <v/>
      </c>
      <c r="H3119">
        <f>_xlfn.IMAGE("https://m.media-amazon.com/images/I/41xFvVJ2XHL._AC_UL320_.jpg")</f>
        <v/>
      </c>
      <c r="K3119" t="inlineStr">
        <is>
          <t>357.0</t>
        </is>
      </c>
      <c r="L3119" t="n">
        <v>142.8</v>
      </c>
      <c r="M3119" s="1" t="inlineStr">
        <is>
          <t>-60.00%</t>
        </is>
      </c>
      <c r="N3119" s="7" t="n">
        <v>106.36</v>
      </c>
      <c r="O3119" t="n">
        <v>5</v>
      </c>
      <c r="P3119" t="n">
        <v>3</v>
      </c>
      <c r="R3119" t="inlineStr">
        <is>
          <t>InStock</t>
        </is>
      </c>
      <c r="S3119" t="inlineStr">
        <is>
          <t>420.0</t>
        </is>
      </c>
      <c r="T3119" t="inlineStr">
        <is>
          <t>7897207701720</t>
        </is>
      </c>
    </row>
    <row r="3120" hidden="1" ht="15.75" customHeight="1">
      <c r="A3120" s="2">
        <f>HYPERLINK("https://edmondsonsupply.com/collections/hvac/products/klein-tools-sk234-screwdriver-set-slotted-screw-holding-3-piece", "https://edmondsonsupply.com/collections/hvac/products/klein-tools-sk234-screwdriver-set-slotted-screw-holding-3-piece")</f>
        <v/>
      </c>
      <c r="B3120" s="2">
        <f>HYPERLINK("https://edmondsonsupply.com/products/klein-tools-sk234-screwdriver-set-slotted-screw-holding-3-piece", "https://edmondsonsupply.com/products/klein-tools-sk234-screwdriver-set-slotted-screw-holding-3-piece")</f>
        <v/>
      </c>
      <c r="C3120" t="inlineStr">
        <is>
          <t>Klein Tools SK234 Screwdriver Set, Slotted Screw Holding, 3-Piece</t>
        </is>
      </c>
      <c r="D3120" t="inlineStr">
        <is>
          <t>Klein Tools 32581 4-in-1 Electronics Screwdriver Set with Precision Machines Bits: 2 Slotted, 2 Phillips, and Cushion Grip Handles, 4-Piece</t>
        </is>
      </c>
      <c r="E3120" s="2">
        <f>HYPERLINK("https://www.amazon.com/Screwdriver-Electronics-Klein-Tools-32581/dp/B01EOY7LTA/ref=sr_1_23?keywords=Klein+Tools+SK234+Screwdriver+Set%2C+Slotted+Screw+Holding%2C+3-Piece&amp;qid=1694734646&amp;sr=8-23", "https://www.amazon.com/Screwdriver-Electronics-Klein-Tools-32581/dp/B01EOY7LTA/ref=sr_1_23?keywords=Klein+Tools+SK234+Screwdriver+Set%2C+Slotted+Screw+Holding%2C+3-Piece&amp;qid=1694734646&amp;sr=8-23")</f>
        <v/>
      </c>
      <c r="F3120" t="inlineStr">
        <is>
          <t>B01EOY7LTA</t>
        </is>
      </c>
      <c r="G3120">
        <f>_xludf.IMAGE("https://edmondsonsupply.com/cdn/shop/products/sk234.jpg?v=1587144984")</f>
        <v/>
      </c>
      <c r="H3120">
        <f>_xludf.IMAGE("https://m.media-amazon.com/images/I/31v0ZtokP0L._AC_UL320_.jpg")</f>
        <v/>
      </c>
      <c r="K3120" t="inlineStr">
        <is>
          <t>29.97</t>
        </is>
      </c>
      <c r="L3120" t="n">
        <v>11.97</v>
      </c>
      <c r="M3120" s="1" t="inlineStr">
        <is>
          <t>-60.06%</t>
        </is>
      </c>
      <c r="N3120" s="1" t="n">
        <v>106.33</v>
      </c>
      <c r="O3120" t="n">
        <v>4.8</v>
      </c>
      <c r="P3120" t="n">
        <v>17683</v>
      </c>
      <c r="R3120" t="inlineStr">
        <is>
          <t>OutOfStock</t>
        </is>
      </c>
      <c r="S3120" t="inlineStr">
        <is>
          <t>45.42</t>
        </is>
      </c>
      <c r="T3120" t="inlineStr">
        <is>
          <t>4405483143268</t>
        </is>
      </c>
    </row>
    <row r="3121" hidden="1" ht="15.75" customHeight="1">
      <c r="A3121" s="2">
        <f>HYPERLINK("https://edmondsonsupply.com/collections/hvac/products/milwaukee-49-90-1900-hepa-filter", "https://edmondsonsupply.com/collections/hvac/products/milwaukee-49-90-1900-hepa-filter")</f>
        <v/>
      </c>
      <c r="B3121" s="2">
        <f>HYPERLINK("https://edmondsonsupply.com/products/milwaukee-49-90-1900-hepa-filter", "https://edmondsonsupply.com/products/milwaukee-49-90-1900-hepa-filter")</f>
        <v/>
      </c>
      <c r="C3121" t="inlineStr">
        <is>
          <t>Milwaukee 49-90-1900 HEPA Filter</t>
        </is>
      </c>
      <c r="D3121" t="inlineStr">
        <is>
          <t>4yourhome Vacuum Cleaner Filter For Milwaukee 49-90-1900 Wet/Dry Vacuums</t>
        </is>
      </c>
      <c r="E3121" s="2">
        <f>HYPERLINK("https://www.amazon.com/4yourhome-Cleaner-Milwaukee-49-90-1900-Vacuums/dp/B08231JWPW/ref=sr_1_15?keywords=Milwaukee+49-90-1900+HEPA+Filter&amp;qid=1694734913&amp;sr=8-15", "https://www.amazon.com/4yourhome-Cleaner-Milwaukee-49-90-1900-Vacuums/dp/B08231JWPW/ref=sr_1_15?keywords=Milwaukee+49-90-1900+HEPA+Filter&amp;qid=1694734913&amp;sr=8-15")</f>
        <v/>
      </c>
      <c r="F3121" t="inlineStr">
        <is>
          <t>B08231JWPW</t>
        </is>
      </c>
      <c r="G3121">
        <f>_xludf.IMAGE("https://edmondsonsupply.com/cdn/shop/files/49-90-1900_1.png?v=1686234774")</f>
        <v/>
      </c>
      <c r="H3121">
        <f>_xludf.IMAGE("https://m.media-amazon.com/images/I/61dWJ0ZDVFL._AC_UL320_.jpg")</f>
        <v/>
      </c>
      <c r="K3121" t="inlineStr">
        <is>
          <t>24.98</t>
        </is>
      </c>
      <c r="L3121" t="n">
        <v>9.960000000000001</v>
      </c>
      <c r="M3121" s="1" t="inlineStr">
        <is>
          <t>-60.13%</t>
        </is>
      </c>
      <c r="N3121" s="1" t="n">
        <v>106.21</v>
      </c>
      <c r="O3121" t="n">
        <v>5</v>
      </c>
      <c r="P3121" t="n">
        <v>3</v>
      </c>
      <c r="R3121" t="inlineStr">
        <is>
          <t>InStock</t>
        </is>
      </c>
      <c r="S3121" t="inlineStr">
        <is>
          <t>40.0</t>
        </is>
      </c>
      <c r="T3121" t="inlineStr">
        <is>
          <t>8002625306840</t>
        </is>
      </c>
    </row>
    <row r="3122" hidden="1" ht="15.75" customHeight="1">
      <c r="A3122" s="2">
        <f>HYPERLINK("https://edmondsonsupply.com/collections/hvac/products/yellow-jacket-19047-gasket-remover-tool", "https://edmondsonsupply.com/collections/hvac/products/yellow-jacket-19047-gasket-remover-tool")</f>
        <v/>
      </c>
      <c r="B3122" s="2">
        <f>HYPERLINK("https://edmondsonsupply.com/products/yellow-jacket-19047-gasket-remover-tool", "https://edmondsonsupply.com/products/yellow-jacket-19047-gasket-remover-tool")</f>
        <v/>
      </c>
      <c r="C3122" t="inlineStr">
        <is>
          <t>Yellow Jacket 19047 Gasket Remover Pick Tool</t>
        </is>
      </c>
      <c r="D3122" t="inlineStr">
        <is>
          <t>PATIKIL O-Ring Straight Pick 142mm, Oil Seal Gasket Precision Screwdriver Puller Remover Removal Tool, Yellow</t>
        </is>
      </c>
      <c r="E3122" s="2">
        <f>HYPERLINK("https://www.amazon.com/PATIKIL-Straight-Precision-Screwdriver-Remover/dp/B0C3MCMWRM/ref=sr_1_5?keywords=Yellow+Jacket+19047+Gasket+Remover+Pick+Tool&amp;qid=1694734578&amp;sr=8-5", "https://www.amazon.com/PATIKIL-Straight-Precision-Screwdriver-Remover/dp/B0C3MCMWRM/ref=sr_1_5?keywords=Yellow+Jacket+19047+Gasket+Remover+Pick+Tool&amp;qid=1694734578&amp;sr=8-5")</f>
        <v/>
      </c>
      <c r="F3122" t="inlineStr">
        <is>
          <t>B0C3MCMWRM</t>
        </is>
      </c>
      <c r="G3122">
        <f>_xludf.IMAGE("https://edmondsonsupply.com/cdn/shop/products/gasket-remover-tool.jpg?v=1587144379")</f>
        <v/>
      </c>
      <c r="H3122">
        <f>_xludf.IMAGE("https://m.media-amazon.com/images/I/41CEu809r+L._AC_UL320_.jpg")</f>
        <v/>
      </c>
      <c r="K3122" t="inlineStr">
        <is>
          <t>15.24</t>
        </is>
      </c>
      <c r="L3122" t="n">
        <v>5.99</v>
      </c>
      <c r="M3122" s="1" t="inlineStr">
        <is>
          <t>-60.70%</t>
        </is>
      </c>
      <c r="N3122" s="1" t="n">
        <v>106</v>
      </c>
      <c r="O3122" t="n">
        <v>5</v>
      </c>
      <c r="P3122" t="n">
        <v>2</v>
      </c>
      <c r="R3122" t="inlineStr">
        <is>
          <t>InStock</t>
        </is>
      </c>
      <c r="S3122" t="inlineStr">
        <is>
          <t>undefined</t>
        </is>
      </c>
      <c r="T3122" t="inlineStr">
        <is>
          <t>4549796233316</t>
        </is>
      </c>
    </row>
    <row r="3123" hidden="1" ht="15.75" customHeight="1">
      <c r="A3123" s="2">
        <f>HYPERLINK("https://edmondsonsupply.com/collections/hvac/products/malco-mshxlc-6", "https://edmondsonsupply.com/collections/hvac/products/malco-mshxlc-6")</f>
        <v/>
      </c>
      <c r="B3123" s="2">
        <f>HYPERLINK("https://edmondsonsupply.com/products/malco-mshxlc-6", "https://edmondsonsupply.com/products/malco-mshxlc-6")</f>
        <v/>
      </c>
      <c r="C3123" t="inlineStr">
        <is>
          <t>Malco Tools MSHXLC 6-Inch C-Rhex Cleanable, Reversible Magnetic Hex Driver, 1/4" &amp; 5/16"</t>
        </is>
      </c>
      <c r="D3123" t="inlineStr">
        <is>
          <t>Malco MSHC2 C-RHEX® Building Construction Series Cleanable, Reversible Magnetic Hex Driver (1/4" &amp; 5/16")</t>
        </is>
      </c>
      <c r="E3123" s="2">
        <f>HYPERLINK("https://www.amazon.com/Malco-MSHC2-Construction-Cleanable-Reversible/dp/B0BX779Y8S/ref=sr_1_2?keywords=Malco+Tools+MSHXLC+6-Inch+C-Rhex+Cleanable%2C+Reversible+Magnetic+Hex+Driver%2C+1%2F4&amp;qid=1694734630&amp;sr=8-2", "https://www.amazon.com/Malco-MSHC2-Construction-Cleanable-Reversible/dp/B0BX779Y8S/ref=sr_1_2?keywords=Malco+Tools+MSHXLC+6-Inch+C-Rhex+Cleanable%2C+Reversible+Magnetic+Hex+Driver%2C+1%2F4&amp;qid=1694734630&amp;sr=8-2")</f>
        <v/>
      </c>
      <c r="F3123" t="inlineStr">
        <is>
          <t>B0BX779Y8S</t>
        </is>
      </c>
      <c r="G3123">
        <f>_xludf.IMAGE("https://edmondsonsupply.com/cdn/shop/products/Malco-MSHXLC-CRHEX-Slim-Design.jpg?v=1668084662")</f>
        <v/>
      </c>
      <c r="H3123">
        <f>_xludf.IMAGE("https://m.media-amazon.com/images/I/61Iwy5K7S5L._AC_UL320_.jpg")</f>
        <v/>
      </c>
      <c r="K3123" t="inlineStr">
        <is>
          <t>17.99</t>
        </is>
      </c>
      <c r="L3123" t="n">
        <v>7.05</v>
      </c>
      <c r="M3123" s="1" t="inlineStr">
        <is>
          <t>-60.81%</t>
        </is>
      </c>
      <c r="N3123" s="1" t="n">
        <v>105.89</v>
      </c>
      <c r="O3123" t="n">
        <v>4.7</v>
      </c>
      <c r="P3123" t="n">
        <v>39</v>
      </c>
      <c r="R3123" t="inlineStr">
        <is>
          <t>InStock</t>
        </is>
      </c>
      <c r="S3123" t="inlineStr">
        <is>
          <t>19.11</t>
        </is>
      </c>
      <c r="T3123" t="inlineStr">
        <is>
          <t>4102710394980</t>
        </is>
      </c>
    </row>
    <row r="3124" hidden="1" ht="15.75" customHeight="1">
      <c r="A3124" s="2">
        <f>HYPERLINK("https://edmondsonsupply.com/collections/hvac/products/hilmor-1839043-swos-service-wrench-offset-ratchet-1-4-3-16-3-8-5-16-sq", "https://edmondsonsupply.com/collections/hvac/products/hilmor-1839043-swos-service-wrench-offset-ratchet-1-4-3-16-3-8-5-16-sq")</f>
        <v/>
      </c>
      <c r="B3124" s="2">
        <f>HYPERLINK("https://edmondsonsupply.com/products/hilmor-1839043-swos-service-wrench-offset-ratchet-1-4-3-16-3-8-5-16-sq", "https://edmondsonsupply.com/products/hilmor-1839043-swos-service-wrench-offset-ratchet-1-4-3-16-3-8-5-16-sq")</f>
        <v/>
      </c>
      <c r="C3124" t="inlineStr">
        <is>
          <t>Hilmor 1839043 SWOS Service Wrench - Offset Ratchet 1/4", 3/16", 3/8", 5/16" Sq</t>
        </is>
      </c>
      <c r="D3124" t="inlineStr">
        <is>
          <t>Hilmor 1839043 Offset Service Wrench, 1/4" x 3/16" Square, 3/8" x 5/16" Square - HVAC Ratchet Wrench</t>
        </is>
      </c>
      <c r="E3124" s="2">
        <f>HYPERLINK("https://www.amazon.com/hilmor-1839043-Service-Wrench-Square/dp/B00O94UTUE/ref=sr_1_1?keywords=Hilmor+1839043+SWOS+Service+Wrench+-+Offset+Ratchet+1%2F4%2C+3%2F16%2C+3%2F8%2C+5%2F16+Sq&amp;qid=1694734601&amp;sr=8-1", "https://www.amazon.com/hilmor-1839043-Service-Wrench-Square/dp/B00O94UTUE/ref=sr_1_1?keywords=Hilmor+1839043+SWOS+Service+Wrench+-+Offset+Ratchet+1%2F4%2C+3%2F16%2C+3%2F8%2C+5%2F16+Sq&amp;qid=1694734601&amp;sr=8-1")</f>
        <v/>
      </c>
      <c r="F3124" t="inlineStr">
        <is>
          <t>B00O94UTUE</t>
        </is>
      </c>
      <c r="G3124">
        <f>_xludf.IMAGE("https://edmondsonsupply.com/cdn/shop/products/Service_Wrenches_Primary_785x480-735x480.jpg?v=1587145841")</f>
        <v/>
      </c>
      <c r="H3124">
        <f>_xludf.IMAGE("https://m.media-amazon.com/images/I/61Jp-2MhCUL._AC_UL320_.jpg")</f>
        <v/>
      </c>
      <c r="K3124" t="inlineStr">
        <is>
          <t>28.88</t>
        </is>
      </c>
      <c r="L3124" t="n">
        <v>11.27</v>
      </c>
      <c r="M3124" s="1" t="inlineStr">
        <is>
          <t>-60.98%</t>
        </is>
      </c>
      <c r="N3124" s="1" t="n">
        <v>105.67</v>
      </c>
      <c r="O3124" t="n">
        <v>4.6</v>
      </c>
      <c r="P3124" t="n">
        <v>598</v>
      </c>
      <c r="R3124" t="inlineStr">
        <is>
          <t>InStock</t>
        </is>
      </c>
      <c r="S3124" t="inlineStr">
        <is>
          <t>undefined</t>
        </is>
      </c>
      <c r="T3124" t="inlineStr">
        <is>
          <t>2097400217700</t>
        </is>
      </c>
    </row>
    <row r="3125" hidden="1" ht="15.75" customHeight="1">
      <c r="A3125" s="2">
        <f>HYPERLINK("https://edmondsonsupply.com/collections/hvac/products/channellock-804", "https://edmondsonsupply.com/collections/hvac/products/channellock-804")</f>
        <v/>
      </c>
      <c r="B3125" s="2">
        <f>HYPERLINK("https://edmondsonsupply.com/products/channellock-804", "https://edmondsonsupply.com/products/channellock-804")</f>
        <v/>
      </c>
      <c r="C3125" t="inlineStr">
        <is>
          <t>Channellock 804 4-Inch Chrome Adjustable Wrench</t>
        </is>
      </c>
      <c r="D3125" t="inlineStr">
        <is>
          <t>FLZOSPER 4-inch Adjustable Wrench, Forged, Heat Treated, Chrome-plated</t>
        </is>
      </c>
      <c r="E3125" s="2">
        <f>HYPERLINK("https://www.amazon.com/Adjustable-Wrench-Carded-Chrome-4-in/dp/B0936WG5G1/ref=sr_1_11?keywords=Channellock+804+4-Inch+Chrome+Adjustable+Wrench&amp;qid=1694734791&amp;sr=8-11", "https://www.amazon.com/Adjustable-Wrench-Carded-Chrome-4-in/dp/B0936WG5G1/ref=sr_1_11?keywords=Channellock+804+4-Inch+Chrome+Adjustable+Wrench&amp;qid=1694734791&amp;sr=8-11")</f>
        <v/>
      </c>
      <c r="F3125" t="inlineStr">
        <is>
          <t>B0936WG5G1</t>
        </is>
      </c>
      <c r="G3125">
        <f>_xludf.IMAGE("https://edmondsonsupply.com/cdn/shop/products/804-683x1024.jpg?v=1587145853")</f>
        <v/>
      </c>
      <c r="H3125">
        <f>_xludf.IMAGE("https://m.media-amazon.com/images/I/41ci49WB6dL._AC_UL320_.jpg")</f>
        <v/>
      </c>
      <c r="K3125" t="inlineStr">
        <is>
          <t>16.95</t>
        </is>
      </c>
      <c r="L3125" t="n">
        <v>6.59</v>
      </c>
      <c r="M3125" s="1" t="inlineStr">
        <is>
          <t>-61.12%</t>
        </is>
      </c>
      <c r="N3125" s="1" t="n">
        <v>105.66</v>
      </c>
      <c r="O3125" t="n">
        <v>3.6</v>
      </c>
      <c r="P3125" t="n">
        <v>15</v>
      </c>
      <c r="R3125" t="inlineStr">
        <is>
          <t>InStock</t>
        </is>
      </c>
      <c r="S3125" t="inlineStr">
        <is>
          <t>26.62</t>
        </is>
      </c>
      <c r="T3125" t="inlineStr">
        <is>
          <t>4094611488868</t>
        </is>
      </c>
    </row>
    <row r="3126" hidden="1" ht="15.75" customHeight="1">
      <c r="A3126" s="2">
        <f>HYPERLINK("https://edmondsonsupply.com/collections/hvac/products/nu-calgon-4057-56-a-c-re-new-connect-inject", "https://edmondsonsupply.com/collections/hvac/products/nu-calgon-4057-56-a-c-re-new-connect-inject")</f>
        <v/>
      </c>
      <c r="B3126" s="2">
        <f>HYPERLINK("https://edmondsonsupply.com/products/nu-calgon-4057-56-a-c-re-new-connect-inject", "https://edmondsonsupply.com/products/nu-calgon-4057-56-a-c-re-new-connect-inject")</f>
        <v/>
      </c>
      <c r="C3126" t="inlineStr">
        <is>
          <t>Nu-Calgon 4057-56 A/C Re-New Connect Inject</t>
        </is>
      </c>
      <c r="D3126" t="inlineStr">
        <is>
          <t>Nu-Calgon 4155-01 A/C Re-New Connect Injector Tool</t>
        </is>
      </c>
      <c r="E3126" s="2">
        <f>HYPERLINK("https://www.amazon.com/Nu-Calgon-4155-01-Re-New-Connect-Injector/dp/B07QD2PRH2/ref=sr_1_4?keywords=Nu-Calgon+4057-56+A%2FC+Re-New+Connect+Inject&amp;qid=1694734613&amp;sr=8-4", "https://www.amazon.com/Nu-Calgon-4155-01-Re-New-Connect-Injector/dp/B07QD2PRH2/ref=sr_1_4?keywords=Nu-Calgon+4057-56+A%2FC+Re-New+Connect+Inject&amp;qid=1694734613&amp;sr=8-4")</f>
        <v/>
      </c>
      <c r="F3126" t="inlineStr">
        <is>
          <t>B07QD2PRH2</t>
        </is>
      </c>
      <c r="G3126">
        <f>_xludf.IMAGE("https://edmondsonsupply.com/cdn/shop/products/4057-56.jpg?v=1659034051")</f>
        <v/>
      </c>
      <c r="H3126">
        <f>_xludf.IMAGE("https://m.media-amazon.com/images/I/51mPfVLAVJL._AC_UL320_.jpg")</f>
        <v/>
      </c>
      <c r="K3126" t="inlineStr">
        <is>
          <t>90.65</t>
        </is>
      </c>
      <c r="L3126" t="n">
        <v>35.21</v>
      </c>
      <c r="M3126" s="1" t="inlineStr">
        <is>
          <t>-61.16%</t>
        </is>
      </c>
      <c r="N3126" s="1" t="n">
        <v>105.55</v>
      </c>
      <c r="O3126" t="n">
        <v>3.7</v>
      </c>
      <c r="P3126" t="n">
        <v>3</v>
      </c>
      <c r="R3126" t="inlineStr">
        <is>
          <t>InStock</t>
        </is>
      </c>
      <c r="S3126" t="inlineStr">
        <is>
          <t>139.4</t>
        </is>
      </c>
      <c r="T3126" t="inlineStr">
        <is>
          <t>7765083324632</t>
        </is>
      </c>
    </row>
    <row r="3127" ht="87" customHeight="1">
      <c r="A3127" s="2">
        <f>HYPERLINK("https://edmondsonsupply.com/collections/hvac/products/speedclean-msb-kit-mini-split-bib%C2%AE-kit", "https://edmondsonsupply.com/collections/hvac/products/speedclean-msb-kit-mini-split-bib%C2%AE-kit")</f>
        <v/>
      </c>
      <c r="B3127" s="2">
        <f>HYPERLINK("https://edmondsonsupply.com/products/speedclean-msb-kit-mini-split-bib%c2%ae-kit", "https://edmondsonsupply.com/products/speedclean-msb-kit-mini-split-bib%c2%ae-kit")</f>
        <v/>
      </c>
      <c r="C3127" t="inlineStr">
        <is>
          <t>SpeedClean MSB-KIT Mini-Split Bib® Kit</t>
        </is>
      </c>
      <c r="D3127" t="inlineStr">
        <is>
          <t>SpeedClean Mini Split Bib Kit Replacement Bag</t>
        </is>
      </c>
      <c r="E3127" s="2">
        <f>HYPERLINK("https://www.amazon.com/SpeedClean-MSB-01-Mini-Split-Replacement/dp/B01N5HRIBR/ref=sr_1_2?keywords=SpeedClean+MSB-KIT+Mini-Split+Bib%C2%AE+Kit&amp;qid=1694734887&amp;sr=8-2", "https://www.amazon.com/SpeedClean-MSB-01-Mini-Split-Replacement/dp/B01N5HRIBR/ref=sr_1_2?keywords=SpeedClean+MSB-KIT+Mini-Split+Bib%C2%AE+Kit&amp;qid=1694734887&amp;sr=8-2")</f>
        <v/>
      </c>
      <c r="F3127" t="inlineStr">
        <is>
          <t>B01N5HRIBR</t>
        </is>
      </c>
      <c r="G3127">
        <f>_xlfn.IMAGE("https://edmondsonsupply.com/cdn/shop/files/64274f3119e9f363178468.jpg?v=1689861211")</f>
        <v/>
      </c>
      <c r="H3127">
        <f>_xlfn.IMAGE("https://m.media-amazon.com/images/I/51aK9E0IcJL._AC_UL320_.jpg")</f>
        <v/>
      </c>
      <c r="K3127" t="inlineStr">
        <is>
          <t>107.64</t>
        </is>
      </c>
      <c r="L3127" t="n">
        <v>41.79</v>
      </c>
      <c r="M3127" s="1" t="inlineStr">
        <is>
          <t>-61.18%</t>
        </is>
      </c>
      <c r="N3127" s="7" t="n">
        <v>105.55</v>
      </c>
      <c r="O3127" t="n">
        <v>4.1</v>
      </c>
      <c r="P3127" t="n">
        <v>24</v>
      </c>
      <c r="R3127" t="inlineStr">
        <is>
          <t>InStock</t>
        </is>
      </c>
      <c r="S3127" t="inlineStr">
        <is>
          <t>undefined</t>
        </is>
      </c>
      <c r="T3127" t="inlineStr">
        <is>
          <t>8018789040344</t>
        </is>
      </c>
    </row>
    <row r="3128" hidden="1" ht="15.75" customHeight="1">
      <c r="A3128" s="2">
        <f>HYPERLINK("https://edmondsonsupply.com/collections/hvac/products/diablo-tools-dou250bw3-2-1-2-in-universal-fit-bi-metal-oscillating-blades-for-nail-embedded-wood-3-pack", "https://edmondsonsupply.com/collections/hvac/products/diablo-tools-dou250bw3-2-1-2-in-universal-fit-bi-metal-oscillating-blades-for-nail-embedded-wood-3-pack")</f>
        <v/>
      </c>
      <c r="B3128" s="2">
        <f>HYPERLINK("https://edmondsonsupply.com/products/diablo-tools-dou250bw3-2-1-2-in-universal-fit-bi-metal-oscillating-blades-for-nail-embedded-wood-3-pack", "https://edmondsonsupply.com/products/diablo-tools-dou250bw3-2-1-2-in-universal-fit-bi-metal-oscillating-blades-for-nail-embedded-wood-3-pack")</f>
        <v/>
      </c>
      <c r="C3128" t="inlineStr">
        <is>
          <t>Diablo Tools DOU250BW3 2-1/2 in. Universal Fit Bi-Metal Oscillating Blades for Nail-Embedded Wood (3 pack)</t>
        </is>
      </c>
      <c r="D3128" t="inlineStr">
        <is>
          <t>Diablo DOU125BW 1-1/4 in. Universal Fit Bi-Metal Oscillating Blade for Nail-Embedded Wood</t>
        </is>
      </c>
      <c r="E3128" s="2">
        <f>HYPERLINK("https://www.amazon.com/Diablo-Universal-Bi-Metal-Oscillating-Nail-Embedded/dp/B089LDN2LT/ref=sr_1_4?keywords=Diablo+Tools+DOU250BW3+2-1%2F2+in.+Universal+Fit+Bi-Metal+Oscillating+Blades+for+Nail-Embedded+Wood+%283+pack%29&amp;qid=1694734915&amp;sr=8-4", "https://www.amazon.com/Diablo-Universal-Bi-Metal-Oscillating-Nail-Embedded/dp/B089LDN2LT/ref=sr_1_4?keywords=Diablo+Tools+DOU250BW3+2-1%2F2+in.+Universal+Fit+Bi-Metal+Oscillating+Blades+for+Nail-Embedded+Wood+%283+pack%29&amp;qid=1694734915&amp;sr=8-4")</f>
        <v/>
      </c>
      <c r="F3128" t="inlineStr">
        <is>
          <t>B089LDN2LT</t>
        </is>
      </c>
      <c r="G3128">
        <f>_xludf.IMAGE("https://edmondsonsupply.com/cdn/shop/files/xcched1uye7bv2s0ryod_fbd674d3-3cd9-4e2a-a920-451af57abfde.webp?v=1686149226")</f>
        <v/>
      </c>
      <c r="H3128">
        <f>_xludf.IMAGE("https://m.media-amazon.com/images/I/613ig7mNjfL._AC_UL320_.jpg")</f>
        <v/>
      </c>
      <c r="K3128" t="inlineStr">
        <is>
          <t>31.32</t>
        </is>
      </c>
      <c r="L3128" t="n">
        <v>12.14</v>
      </c>
      <c r="M3128" s="1" t="inlineStr">
        <is>
          <t>-61.24%</t>
        </is>
      </c>
      <c r="N3128" s="1" t="n">
        <v>105.15</v>
      </c>
      <c r="O3128" t="n">
        <v>4.8</v>
      </c>
      <c r="P3128" t="n">
        <v>12</v>
      </c>
      <c r="R3128" t="inlineStr">
        <is>
          <t>InStock</t>
        </is>
      </c>
      <c r="S3128" t="inlineStr">
        <is>
          <t>49.73</t>
        </is>
      </c>
      <c r="T3128" t="inlineStr">
        <is>
          <t>8002370601176</t>
        </is>
      </c>
    </row>
    <row r="3129" hidden="1" ht="15.75" customHeight="1">
      <c r="A3129" s="2">
        <f>HYPERLINK("https://edmondsonsupply.com/collections/hvac/products/hilmor-1839043-swos-service-wrench-offset-ratchet-1-4-3-16-3-8-5-16-sq", "https://edmondsonsupply.com/collections/hvac/products/hilmor-1839043-swos-service-wrench-offset-ratchet-1-4-3-16-3-8-5-16-sq")</f>
        <v/>
      </c>
      <c r="B3129" s="2">
        <f>HYPERLINK("https://edmondsonsupply.com/products/hilmor-1839043-swos-service-wrench-offset-ratchet-1-4-3-16-3-8-5-16-sq", "https://edmondsonsupply.com/products/hilmor-1839043-swos-service-wrench-offset-ratchet-1-4-3-16-3-8-5-16-sq")</f>
        <v/>
      </c>
      <c r="C3129" t="inlineStr">
        <is>
          <t>Hilmor 1839043 SWOS Service Wrench - Offset Ratchet 1/4", 3/16", 3/8", 5/16" Sq</t>
        </is>
      </c>
      <c r="D3129" t="inlineStr">
        <is>
          <t>Hilmor Straight Service Racheting Wrench 1/4", 3/16", 3/8", 5/16" Square Hex, SWS 1839042</t>
        </is>
      </c>
      <c r="E3129" s="2">
        <f>HYPERLINK("https://www.amazon.com/hilmor-1839042-Straight-Service-Wrench/dp/B00FDJBW14/ref=sr_1_2?keywords=Hilmor+1839043+SWOS+Service+Wrench+-+Offset+Ratchet+1%2F4%2C+3%2F16%2C+3%2F8%2C+5%2F16+Sq&amp;qid=1694734601&amp;sr=8-2", "https://www.amazon.com/hilmor-1839042-Straight-Service-Wrench/dp/B00FDJBW14/ref=sr_1_2?keywords=Hilmor+1839043+SWOS+Service+Wrench+-+Offset+Ratchet+1%2F4%2C+3%2F16%2C+3%2F8%2C+5%2F16+Sq&amp;qid=1694734601&amp;sr=8-2")</f>
        <v/>
      </c>
      <c r="F3129" t="inlineStr">
        <is>
          <t>B00FDJBW14</t>
        </is>
      </c>
      <c r="G3129">
        <f>_xludf.IMAGE("https://edmondsonsupply.com/cdn/shop/products/Service_Wrenches_Primary_785x480-735x480.jpg?v=1587145841")</f>
        <v/>
      </c>
      <c r="H3129">
        <f>_xludf.IMAGE("https://m.media-amazon.com/images/I/61q45Oqag4L._AC_UL320_.jpg")</f>
        <v/>
      </c>
      <c r="K3129" t="inlineStr">
        <is>
          <t>28.88</t>
        </is>
      </c>
      <c r="L3129" t="n">
        <v>10.99</v>
      </c>
      <c r="M3129" s="1" t="inlineStr">
        <is>
          <t>-61.95%</t>
        </is>
      </c>
      <c r="N3129" s="1" t="n">
        <v>105.14</v>
      </c>
      <c r="O3129" t="n">
        <v>4.6</v>
      </c>
      <c r="P3129" t="n">
        <v>69</v>
      </c>
      <c r="R3129" t="inlineStr">
        <is>
          <t>InStock</t>
        </is>
      </c>
      <c r="S3129" t="inlineStr">
        <is>
          <t>undefined</t>
        </is>
      </c>
      <c r="T3129" t="inlineStr">
        <is>
          <t>2097400217700</t>
        </is>
      </c>
    </row>
    <row r="3130" hidden="1" ht="15.75" customHeight="1">
      <c r="A3130" s="2">
        <f>HYPERLINK("https://edmondsonsupply.com/collections/hvac/products/hilmor-1839043-swos-service-wrench-offset-ratchet-1-4-3-16-3-8-5-16-sq", "https://edmondsonsupply.com/collections/hvac/products/hilmor-1839043-swos-service-wrench-offset-ratchet-1-4-3-16-3-8-5-16-sq")</f>
        <v/>
      </c>
      <c r="B3130" s="2">
        <f>HYPERLINK("https://edmondsonsupply.com/products/hilmor-1839043-swos-service-wrench-offset-ratchet-1-4-3-16-3-8-5-16-sq", "https://edmondsonsupply.com/products/hilmor-1839043-swos-service-wrench-offset-ratchet-1-4-3-16-3-8-5-16-sq")</f>
        <v/>
      </c>
      <c r="C3130" t="inlineStr">
        <is>
          <t>Hilmor 1839043 SWOS Service Wrench - Offset Ratchet 1/4", 3/16", 3/8", 5/16" Sq</t>
        </is>
      </c>
      <c r="D3130" t="inlineStr">
        <is>
          <t>LDCRE HVAC Service Wrench Set, Air Conditioner Valve Curved Ratchet Wrench (1/4", 3/8", 3/16", 5/16"), with Hexagon Bit Adapter Tool Kit for Refrigeration Equipment and Repair</t>
        </is>
      </c>
      <c r="E3130" s="2">
        <f>HYPERLINK("https://www.amazon.com/Service-Conditioner-Ratchet-Refrigeration-Equipment/dp/B09YHHW476/ref=sr_1_30?keywords=Hilmor+1839043+SWOS+Service+Wrench+-+Offset+Ratchet+1%2F4%2C+3%2F16%2C+3%2F8%2C+5%2F16+Sq&amp;qid=1694734601&amp;sr=8-30", "https://www.amazon.com/Service-Conditioner-Ratchet-Refrigeration-Equipment/dp/B09YHHW476/ref=sr_1_30?keywords=Hilmor+1839043+SWOS+Service+Wrench+-+Offset+Ratchet+1%2F4%2C+3%2F16%2C+3%2F8%2C+5%2F16+Sq&amp;qid=1694734601&amp;sr=8-30")</f>
        <v/>
      </c>
      <c r="F3130" t="inlineStr">
        <is>
          <t>B09YHHW476</t>
        </is>
      </c>
      <c r="G3130">
        <f>_xludf.IMAGE("https://edmondsonsupply.com/cdn/shop/products/Service_Wrenches_Primary_785x480-735x480.jpg?v=1587145841")</f>
        <v/>
      </c>
      <c r="H3130">
        <f>_xludf.IMAGE("https://m.media-amazon.com/images/I/618VLv3MHIL._AC_UL320_.jpg")</f>
        <v/>
      </c>
      <c r="K3130" t="inlineStr">
        <is>
          <t>28.88</t>
        </is>
      </c>
      <c r="L3130" t="n">
        <v>10.98</v>
      </c>
      <c r="M3130" s="1" t="inlineStr">
        <is>
          <t>-61.98%</t>
        </is>
      </c>
      <c r="N3130" s="1" t="n">
        <v>104.9</v>
      </c>
      <c r="O3130" t="n">
        <v>3.8</v>
      </c>
      <c r="P3130" t="n">
        <v>60</v>
      </c>
      <c r="R3130" t="inlineStr">
        <is>
          <t>InStock</t>
        </is>
      </c>
      <c r="S3130" t="inlineStr">
        <is>
          <t>undefined</t>
        </is>
      </c>
      <c r="T3130" t="inlineStr">
        <is>
          <t>2097400217700</t>
        </is>
      </c>
    </row>
    <row r="3131" ht="87" customHeight="1">
      <c r="A3131" s="2">
        <f>HYPERLINK("https://edmondsonsupply.com/collections/hvac/products/klein-tools-94130-1000v-insulated-tool-kit-5-piece", "https://edmondsonsupply.com/collections/hvac/products/klein-tools-94130-1000v-insulated-tool-kit-5-piece")</f>
        <v/>
      </c>
      <c r="B3131" s="2">
        <f>HYPERLINK("https://edmondsonsupply.com/products/klein-tools-94130-1000v-insulated-tool-kit-5-piece", "https://edmondsonsupply.com/products/klein-tools-94130-1000v-insulated-tool-kit-5-piece")</f>
        <v/>
      </c>
      <c r="C3131" t="inlineStr">
        <is>
          <t>Klein Tools 94130 1000V Insulated Tool Kit, 5-Piece</t>
        </is>
      </c>
      <c r="D3131" t="inlineStr">
        <is>
          <t>Klein Tools 85076INS Insulated Screwdriver Set features 1000V Screwdrivers, (3) Phillips and (2) Slotted and Square Tips, 6-Piece</t>
        </is>
      </c>
      <c r="E3131" s="2">
        <f>HYPERLINK("https://www.amazon.com/Klein-Tools-85076INS-Screwdriver-Screwdrivers/dp/B0BF76JDCC/ref=sr_1_9?keywords=Klein+Tools+94130+1000V+Insulated+Tool+Kit%2C+5-Piece&amp;qid=1694734718&amp;sr=8-9", "https://www.amazon.com/Klein-Tools-85076INS-Screwdriver-Screwdrivers/dp/B0BF76JDCC/ref=sr_1_9?keywords=Klein+Tools+94130+1000V+Insulated+Tool+Kit%2C+5-Piece&amp;qid=1694734718&amp;sr=8-9")</f>
        <v/>
      </c>
      <c r="F3131" t="inlineStr">
        <is>
          <t>B0BF76JDCC</t>
        </is>
      </c>
      <c r="G3131">
        <f>_xlfn.IMAGE("https://edmondsonsupply.com/cdn/shop/products/94130.jpg?v=1633030386")</f>
        <v/>
      </c>
      <c r="H3131">
        <f>_xlfn.IMAGE("https://m.media-amazon.com/images/I/51wtKAQ0TLL._AC_UL320_.jpg")</f>
        <v/>
      </c>
      <c r="K3131" t="inlineStr">
        <is>
          <t>99.99</t>
        </is>
      </c>
      <c r="L3131" t="n">
        <v>37.74</v>
      </c>
      <c r="M3131" s="1" t="inlineStr">
        <is>
          <t>-62.26%</t>
        </is>
      </c>
      <c r="N3131" s="7" t="n">
        <v>104.47</v>
      </c>
      <c r="O3131" t="n">
        <v>4.7</v>
      </c>
      <c r="P3131" t="n">
        <v>201</v>
      </c>
      <c r="R3131" t="inlineStr">
        <is>
          <t>InStock</t>
        </is>
      </c>
      <c r="S3131" t="inlineStr">
        <is>
          <t>149.98</t>
        </is>
      </c>
      <c r="T3131" t="inlineStr">
        <is>
          <t>5299145146536</t>
        </is>
      </c>
    </row>
    <row r="3132" ht="87" customHeight="1">
      <c r="A3132" s="2">
        <f>HYPERLINK("https://edmondsonsupply.com/collections/hvac/products/robertshaw-41-224-hot-surface-furnace-ignitor-rheem-armstrong-replacement", "https://edmondsonsupply.com/collections/hvac/products/robertshaw-41-224-hot-surface-furnace-ignitor-rheem-armstrong-replacement")</f>
        <v/>
      </c>
      <c r="B3132" s="2">
        <f>HYPERLINK("https://edmondsonsupply.com/products/robertshaw-41-224-hot-surface-furnace-ignitor-rheem-armstrong-replacement", "https://edmondsonsupply.com/products/robertshaw-41-224-hot-surface-furnace-ignitor-rheem-armstrong-replacement")</f>
        <v/>
      </c>
      <c r="C3132" t="inlineStr">
        <is>
          <t>Robertshaw 41-224 Hot Surface Furnace Ignitor</t>
        </is>
      </c>
      <c r="D3132" t="inlineStr">
        <is>
          <t>Upgraded Replacement Furnace Hot Surface Ignitor/Igniter Fits Carrier 41-409</t>
        </is>
      </c>
      <c r="E3132" s="2">
        <f>HYPERLINK("https://www.amazon.com/Upgraded-Replacement-Carrier-Furnace-Surface/dp/B00EE86PY4/ref=sr_1_29?keywords=Robertshaw+41-224+Hot+Surface+Furnace+Ignitor&amp;qid=1694734847&amp;sr=8-29", "https://www.amazon.com/Upgraded-Replacement-Carrier-Furnace-Surface/dp/B00EE86PY4/ref=sr_1_29?keywords=Robertshaw+41-224+Hot+Surface+Furnace+Ignitor&amp;qid=1694734847&amp;sr=8-29")</f>
        <v/>
      </c>
      <c r="F3132" t="inlineStr">
        <is>
          <t>B00EE86PY4</t>
        </is>
      </c>
      <c r="G3132">
        <f>_xlfn.IMAGE("https://edmondsonsupply.com/cdn/shop/files/41-224.jpg?v=1694616534")</f>
        <v/>
      </c>
      <c r="H3132">
        <f>_xlfn.IMAGE("https://m.media-amazon.com/images/I/511m03jNi4L._AC_UL320_.jpg")</f>
        <v/>
      </c>
      <c r="K3132" t="inlineStr">
        <is>
          <t>41.78</t>
        </is>
      </c>
      <c r="L3132" t="n">
        <v>15.6</v>
      </c>
      <c r="M3132" s="1" t="inlineStr">
        <is>
          <t>-62.66%</t>
        </is>
      </c>
      <c r="N3132" s="7" t="n">
        <v>104.03</v>
      </c>
      <c r="O3132" t="n">
        <v>4.6</v>
      </c>
      <c r="P3132" t="n">
        <v>478</v>
      </c>
      <c r="R3132" t="inlineStr">
        <is>
          <t>InStock</t>
        </is>
      </c>
      <c r="S3132" t="inlineStr">
        <is>
          <t>undefined</t>
        </is>
      </c>
      <c r="T3132" t="inlineStr">
        <is>
          <t>8035179692248</t>
        </is>
      </c>
    </row>
    <row r="3133" ht="87" customHeight="1">
      <c r="A3133" s="2">
        <f>HYPERLINK("https://edmondsonsupply.com/collections/hvac/products/packard-c390c-contactor-3-pole-90-amps-208-240-coil-voltage", "https://edmondsonsupply.com/collections/hvac/products/packard-c390c-contactor-3-pole-90-amps-208-240-coil-voltage")</f>
        <v/>
      </c>
      <c r="B3133" s="2">
        <f>HYPERLINK("https://edmondsonsupply.com/products/packard-c390c-contactor-3-pole-90-amps-208-240-coil-voltage", "https://edmondsonsupply.com/products/packard-c390c-contactor-3-pole-90-amps-208-240-coil-voltage")</f>
        <v/>
      </c>
      <c r="C3133" t="inlineStr">
        <is>
          <t>Packard C390C Contactor 3 Pole 90 AMPS 208/240 Coil Voltage</t>
        </is>
      </c>
      <c r="D3133" t="inlineStr">
        <is>
          <t>Packard C360C Packard Contactor 3 Pole 60 Amps 208/240 Coil Voltage</t>
        </is>
      </c>
      <c r="E3133" s="2">
        <f>HYPERLINK("https://www.amazon.com/Packard-C360C-Contactor-Pole-Voltage/dp/B00BD4BS7Q/ref=sr_1_6?keywords=Packard+C390C+Contactor+3+Pole+90+AMPS+208%2F240+Coil+Voltage&amp;qid=1694734594&amp;sr=8-6", "https://www.amazon.com/Packard-C360C-Contactor-Pole-Voltage/dp/B00BD4BS7Q/ref=sr_1_6?keywords=Packard+C390C+Contactor+3+Pole+90+AMPS+208%2F240+Coil+Voltage&amp;qid=1694734594&amp;sr=8-6")</f>
        <v/>
      </c>
      <c r="F3133" t="inlineStr">
        <is>
          <t>B00BD4BS7Q</t>
        </is>
      </c>
      <c r="G3133">
        <f>_xlfn.IMAGE("https://edmondsonsupply.com/cdn/shop/products/packard-3.75-pole_xl_1.jpg?v=1660002504")</f>
        <v/>
      </c>
      <c r="H3133">
        <f>_xlfn.IMAGE("https://m.media-amazon.com/images/I/71dbLtXexCL._AC_UY218_.jpg")</f>
        <v/>
      </c>
      <c r="K3133" t="inlineStr">
        <is>
          <t>131.25</t>
        </is>
      </c>
      <c r="L3133" t="n">
        <v>48.55</v>
      </c>
      <c r="M3133" s="1" t="inlineStr">
        <is>
          <t>-63.01%</t>
        </is>
      </c>
      <c r="N3133" s="7" t="n">
        <v>103.63</v>
      </c>
      <c r="O3133" t="n">
        <v>4.7</v>
      </c>
      <c r="P3133" t="n">
        <v>8</v>
      </c>
      <c r="R3133" t="inlineStr">
        <is>
          <t>InStock</t>
        </is>
      </c>
      <c r="S3133" t="inlineStr">
        <is>
          <t>undefined</t>
        </is>
      </c>
      <c r="T3133" t="inlineStr">
        <is>
          <t>4276682850404</t>
        </is>
      </c>
    </row>
    <row r="3134" hidden="1" ht="15.75" customHeight="1">
      <c r="A3134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3134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3134" t="inlineStr">
        <is>
          <t>Diablo Tools DMAPL4250 3/4 in. x 8 in. x 10 in. Rebar Demon™ SDS-Plus 4-Cutter Full Carbide Head Hammer Drill Bit</t>
        </is>
      </c>
      <c r="D3134" t="inlineStr">
        <is>
          <t>Diablo by Freud DMAPL4050 3/16 in. x 6 in. x 8 in. Rebar Demon SDS-Plus 4-Cutter Full Carbide Head Hammer Bit Multi, One Size</t>
        </is>
      </c>
      <c r="E3134" s="2">
        <f>HYPERLINK("https://www.amazon.com/Diablo-SDS-Plus-4-Cutter-Carbide-Hammer/dp/B089LKWR9L/ref=sr_1_5?keywords=Diablo+Tools+DMAPL4250+3%2F4+in.+x+8+in.+x+10+in.+Rebar+Demon%E2%84%A2+SDS-Plus+4-Cutter+Full+Carbide+Head+Hammer+Drill+Bit&amp;qid=1694734913&amp;sr=8-5", "https://www.amazon.com/Diablo-SDS-Plus-4-Cutter-Carbide-Hammer/dp/B089LKWR9L/ref=sr_1_5?keywords=Diablo+Tools+DMAPL4250+3%2F4+in.+x+8+in.+x+10+in.+Rebar+Demon%E2%84%A2+SDS-Plus+4-Cutter+Full+Carbide+Head+Hammer+Drill+Bit&amp;qid=1694734913&amp;sr=8-5")</f>
        <v/>
      </c>
      <c r="F3134" t="inlineStr">
        <is>
          <t>B089LKWR9L</t>
        </is>
      </c>
      <c r="G3134">
        <f>_xludf.IMAGE("https://edmondsonsupply.com/cdn/shop/files/rltcbi253wmfv6otmtz6.webp?v=1686576913")</f>
        <v/>
      </c>
      <c r="H3134">
        <f>_xludf.IMAGE("https://m.media-amazon.com/images/I/61uukuKzJeL._AC_UL320_.jpg")</f>
        <v/>
      </c>
      <c r="K3134" t="inlineStr">
        <is>
          <t>24.47</t>
        </is>
      </c>
      <c r="L3134" t="n">
        <v>8.99</v>
      </c>
      <c r="M3134" s="1" t="inlineStr">
        <is>
          <t>-63.26%</t>
        </is>
      </c>
      <c r="N3134" s="1" t="n">
        <v>103.5</v>
      </c>
      <c r="O3134" t="n">
        <v>3.7</v>
      </c>
      <c r="P3134" t="n">
        <v>10</v>
      </c>
      <c r="R3134" t="inlineStr">
        <is>
          <t>InStock</t>
        </is>
      </c>
      <c r="S3134" t="inlineStr">
        <is>
          <t>38.21</t>
        </is>
      </c>
      <c r="T3134" t="inlineStr">
        <is>
          <t>8004486168792</t>
        </is>
      </c>
    </row>
    <row r="3135" hidden="1" ht="15.75" customHeight="1">
      <c r="A3135" s="2">
        <f>HYPERLINK("https://edmondsonsupply.com/collections/hvac/products/klein-tools-935dag-digital-angle-gauge-and-level", "https://edmondsonsupply.com/collections/hvac/products/klein-tools-935dag-digital-angle-gauge-and-level")</f>
        <v/>
      </c>
      <c r="B3135" s="2">
        <f>HYPERLINK("https://edmondsonsupply.com/products/klein-tools-935dag-digital-angle-gauge-and-level", "https://edmondsonsupply.com/products/klein-tools-935dag-digital-angle-gauge-and-level")</f>
        <v/>
      </c>
      <c r="C3135" t="inlineStr">
        <is>
          <t>Klein Tools 935DAG Digital Angle Gauge and Level</t>
        </is>
      </c>
      <c r="D3135" t="inlineStr">
        <is>
          <t>Aproca Hard Storage Travel Case, for Klein Tools 935DAG Digital Electronic Level and Angle Gauge</t>
        </is>
      </c>
      <c r="E3135" s="2">
        <f>HYPERLINK("https://www.amazon.com/Aproca-Storage-Travel-Digital-Electronic/dp/B08LKV462K/ref=sr_1_3?keywords=Klein+Tools+935DAG+Digital+Angle+Gauge+and+Level&amp;qid=1694734733&amp;sr=8-3", "https://www.amazon.com/Aproca-Storage-Travel-Digital-Electronic/dp/B08LKV462K/ref=sr_1_3?keywords=Klein+Tools+935DAG+Digital+Angle+Gauge+and+Level&amp;qid=1694734733&amp;sr=8-3")</f>
        <v/>
      </c>
      <c r="F3135" t="inlineStr">
        <is>
          <t>B08LKV462K</t>
        </is>
      </c>
      <c r="G3135">
        <f>_xludf.IMAGE("https://edmondsonsupply.com/cdn/shop/products/935dag.jpg?v=1587145032")</f>
        <v/>
      </c>
      <c r="H3135">
        <f>_xludf.IMAGE("https://m.media-amazon.com/images/I/71x6NsHDAdL._AC_UL320_.jpg")</f>
        <v/>
      </c>
      <c r="K3135" t="inlineStr">
        <is>
          <t>29.97</t>
        </is>
      </c>
      <c r="L3135" t="n">
        <v>10.99</v>
      </c>
      <c r="M3135" s="1" t="inlineStr">
        <is>
          <t>-63.33%</t>
        </is>
      </c>
      <c r="N3135" s="1" t="n">
        <v>103.5</v>
      </c>
      <c r="O3135" t="n">
        <v>4.4</v>
      </c>
      <c r="P3135" t="n">
        <v>69</v>
      </c>
      <c r="R3135" t="inlineStr">
        <is>
          <t>InStock</t>
        </is>
      </c>
      <c r="S3135" t="inlineStr">
        <is>
          <t>45.0</t>
        </is>
      </c>
      <c r="T3135" t="inlineStr">
        <is>
          <t>4167487094884</t>
        </is>
      </c>
    </row>
    <row r="3136" ht="87" customHeight="1">
      <c r="A3136" s="2">
        <f>HYPERLINK("https://edmondsonsupply.com/collections/hvac/products/inficon-d-tek-3", "https://edmondsonsupply.com/collections/hvac/products/inficon-d-tek-3")</f>
        <v/>
      </c>
      <c r="B3136" s="2">
        <f>HYPERLINK("https://edmondsonsupply.com/products/inficon-d-tek-3", "https://edmondsonsupply.com/products/inficon-d-tek-3")</f>
        <v/>
      </c>
      <c r="C3136" t="inlineStr">
        <is>
          <t>Inficon D-TEK® 3 Refrigerant Leak Detector</t>
        </is>
      </c>
      <c r="D3136" t="inlineStr">
        <is>
          <t>Xetron[Flagship] Infrared Refrigerant Leak Detector A2L Compatible [R1234YF R134A R410A R22], HVAC Anti-Interference 10-Yr. Sensor Automotive AC Mute Rechargeable Freon Sniffer with an Extended 12inch</t>
        </is>
      </c>
      <c r="E3136" s="2">
        <f>HYPERLINK("https://www.amazon.com/Xetron-Anti-Interference-Infrared-Refrigerant-Automotive/dp/B09Q5MVSHQ/ref=sr_1_24?keywords=Inficon+D-TEK%C2%AE+3+Refrigerant+Leak+Detector&amp;qid=1694734644&amp;sr=8-24", "https://www.amazon.com/Xetron-Anti-Interference-Infrared-Refrigerant-Automotive/dp/B09Q5MVSHQ/ref=sr_1_24?keywords=Inficon+D-TEK%C2%AE+3+Refrigerant+Leak+Detector&amp;qid=1694734644&amp;sr=8-24")</f>
        <v/>
      </c>
      <c r="F3136" t="inlineStr">
        <is>
          <t>B09Q5MVSHQ</t>
        </is>
      </c>
      <c r="G3136">
        <f>_xlfn.IMAGE("https://edmondsonsupply.com/cdn/shop/products/dtek3.png?v=1633030772")</f>
        <v/>
      </c>
      <c r="H3136">
        <f>_xlfn.IMAGE("https://m.media-amazon.com/images/I/611Afx2V-dL._AC_UL320_.jpg")</f>
        <v/>
      </c>
      <c r="K3136" t="inlineStr">
        <is>
          <t>516.99</t>
        </is>
      </c>
      <c r="L3136" t="n">
        <v>188.1</v>
      </c>
      <c r="M3136" s="1" t="inlineStr">
        <is>
          <t>-63.62%</t>
        </is>
      </c>
      <c r="N3136" s="7" t="n">
        <v>102.97</v>
      </c>
      <c r="O3136" t="n">
        <v>4.6</v>
      </c>
      <c r="P3136" t="n">
        <v>45</v>
      </c>
      <c r="R3136" t="inlineStr">
        <is>
          <t>InStock</t>
        </is>
      </c>
      <c r="S3136" t="inlineStr">
        <is>
          <t>645.0</t>
        </is>
      </c>
      <c r="T3136" t="inlineStr">
        <is>
          <t>5950406623400</t>
        </is>
      </c>
    </row>
    <row r="3137" hidden="1" ht="15.75" customHeight="1">
      <c r="A3137" s="2">
        <f>HYPERLINK("https://edmondsonsupply.com/collections/hvac/products/diablo-tools-dmapl4250-3-4-in-x-8-in-x-10-in-rebar-demon%E2%84%A2-sds-plus-4-cutter-full-carbide-head-hammer-drill-bit", "https://edmondsonsupply.com/collections/hvac/products/diablo-tools-dmapl4250-3-4-in-x-8-in-x-10-in-rebar-demon%E2%84%A2-sds-plus-4-cutter-full-carbide-head-hammer-drill-bit")</f>
        <v/>
      </c>
      <c r="B3137" s="2">
        <f>HYPERLINK("https://edmondsonsupply.com/products/diablo-tools-dmapl4250-3-4-in-x-8-in-x-10-in-rebar-demon%e2%84%a2-sds-plus-4-cutter-full-carbide-head-hammer-drill-bit", "https://edmondsonsupply.com/products/diablo-tools-dmapl4250-3-4-in-x-8-in-x-10-in-rebar-demon%e2%84%a2-sds-plus-4-cutter-full-carbide-head-hammer-drill-bit")</f>
        <v/>
      </c>
      <c r="C3137" t="inlineStr">
        <is>
          <t>Diablo Tools DMAPL4250 3/4 in. x 8 in. x 10 in. Rebar Demon™ SDS-Plus 4-Cutter Full Carbide Head Hammer Drill Bit</t>
        </is>
      </c>
      <c r="D3137" t="inlineStr">
        <is>
          <t>Diablo by Freud Diablo DMAPL4070 1/4 in. x 4 in. x 6 in. Rebar Demon SDS-Plus 4-Cutter Full Carbide Head Hammer Bit</t>
        </is>
      </c>
      <c r="E3137" s="2">
        <f>HYPERLINK("https://www.amazon.com/Diablo-Freud-DMAPL4070-SDS-Plus-4-Cutter/dp/B089KVLDML/ref=sr_1_25?keywords=Diablo+Tools+DMAPL4250+3%2F4+in.+x+8+in.+x+10+in.+Rebar+Demon%E2%84%A2+SDS-Plus+4-Cutter+Full+Carbide+Head+Hammer+Drill+Bit&amp;qid=1694734913&amp;sr=8-25", "https://www.amazon.com/Diablo-Freud-DMAPL4070-SDS-Plus-4-Cutter/dp/B089KVLDML/ref=sr_1_25?keywords=Diablo+Tools+DMAPL4250+3%2F4+in.+x+8+in.+x+10+in.+Rebar+Demon%E2%84%A2+SDS-Plus+4-Cutter+Full+Carbide+Head+Hammer+Drill+Bit&amp;qid=1694734913&amp;sr=8-25")</f>
        <v/>
      </c>
      <c r="F3137" t="inlineStr">
        <is>
          <t>B089KVLDML</t>
        </is>
      </c>
      <c r="G3137">
        <f>_xludf.IMAGE("https://edmondsonsupply.com/cdn/shop/files/rltcbi253wmfv6otmtz6.webp?v=1686576913")</f>
        <v/>
      </c>
      <c r="H3137">
        <f>_xludf.IMAGE("https://m.media-amazon.com/images/I/61fLLQz5xPL._AC_UL320_.jpg")</f>
        <v/>
      </c>
      <c r="K3137" t="inlineStr">
        <is>
          <t>24.47</t>
        </is>
      </c>
      <c r="L3137" t="n">
        <v>8.84</v>
      </c>
      <c r="M3137" s="1" t="inlineStr">
        <is>
          <t>-63.87%</t>
        </is>
      </c>
      <c r="N3137" s="1" t="n">
        <v>102.69</v>
      </c>
      <c r="O3137" t="n">
        <v>4.4</v>
      </c>
      <c r="P3137" t="n">
        <v>28</v>
      </c>
      <c r="R3137" t="inlineStr">
        <is>
          <t>InStock</t>
        </is>
      </c>
      <c r="S3137" t="inlineStr">
        <is>
          <t>38.21</t>
        </is>
      </c>
      <c r="T3137" t="inlineStr">
        <is>
          <t>8004486168792</t>
        </is>
      </c>
    </row>
    <row r="3138" hidden="1" ht="15.75" customHeight="1">
      <c r="A3138" s="2">
        <f>HYPERLINK("https://edmondsonsupply.com/collections/hvac/products/yellow-jacket-78080-2-gas-test-gauge-3-4-npt-0-30-lb", "https://edmondsonsupply.com/collections/hvac/products/yellow-jacket-78080-2-gas-test-gauge-3-4-npt-0-30-lb")</f>
        <v/>
      </c>
      <c r="B3138" s="2">
        <f>HYPERLINK("https://edmondsonsupply.com/products/yellow-jacket-78080-2-gas-test-gauge-3-4-npt-0-30-lb", "https://edmondsonsupply.com/products/yellow-jacket-78080-2-gas-test-gauge-3-4-npt-0-30-lb")</f>
        <v/>
      </c>
      <c r="C3138" t="inlineStr">
        <is>
          <t>Yellow Jacket 78080 2" Gas Test Gauge - 3/4" NPT - 0-30 lb</t>
        </is>
      </c>
      <c r="D3138" t="inlineStr">
        <is>
          <t>MEASUREMAN 2" Forged Steel Gas Pressure Test Gauge Assembly, 3/4" FNPT Connection, 0-30psi, -3-2-3% Accuracy，</t>
        </is>
      </c>
      <c r="E3138" s="2">
        <f>HYPERLINK("https://www.amazon.com/Measureman-Pressure-Assembly-Connection-Accuracy/dp/B084YWQFT4/ref=sr_1_2?keywords=Yellow+Jacket+78080+2%22+Gas+Test+Gauge+-+3%2F4%22+NPT+-+0-30+lb&amp;qid=1694734707&amp;sr=8-2", "https://www.amazon.com/Measureman-Pressure-Assembly-Connection-Accuracy/dp/B084YWQFT4/ref=sr_1_2?keywords=Yellow+Jacket+78080+2%22+Gas+Test+Gauge+-+3%2F4%22+NPT+-+0-30+lb&amp;qid=1694734707&amp;sr=8-2")</f>
        <v/>
      </c>
      <c r="F3138" t="inlineStr">
        <is>
          <t>B084YWQFT4</t>
        </is>
      </c>
      <c r="G3138">
        <f>_xludf.IMAGE("https://edmondsonsupply.com/cdn/shop/products/57_2.jpg?v=1633030928")</f>
        <v/>
      </c>
      <c r="H3138">
        <f>_xludf.IMAGE("https://m.media-amazon.com/images/I/61-CMUciWqL._AC_UY218_.jpg")</f>
        <v/>
      </c>
      <c r="K3138" t="inlineStr">
        <is>
          <t>30.8</t>
        </is>
      </c>
      <c r="L3138" t="n">
        <v>10.97</v>
      </c>
      <c r="M3138" s="1" t="inlineStr">
        <is>
          <t>-64.38%</t>
        </is>
      </c>
      <c r="N3138" s="1" t="n">
        <v>102.64</v>
      </c>
      <c r="O3138" t="n">
        <v>4.3</v>
      </c>
      <c r="P3138" t="n">
        <v>852</v>
      </c>
      <c r="R3138" t="inlineStr">
        <is>
          <t>InStock</t>
        </is>
      </c>
      <c r="S3138" t="inlineStr">
        <is>
          <t>undefined</t>
        </is>
      </c>
      <c r="T3138" t="inlineStr">
        <is>
          <t>6550757965997</t>
        </is>
      </c>
    </row>
    <row r="3139" ht="87" customHeight="1">
      <c r="A3139" s="2">
        <f>HYPERLINK("https://edmondsonsupply.com/collections/hvac/products/packard-c440c-contactor-4-pole-40-amps-208-240-coil-voltage-1", "https://edmondsonsupply.com/collections/hvac/products/packard-c440c-contactor-4-pole-40-amps-208-240-coil-voltage-1")</f>
        <v/>
      </c>
      <c r="B3139" s="2">
        <f>HYPERLINK("https://edmondsonsupply.com/products/packard-c440c-contactor-4-pole-40-amps-208-240-coil-voltage-1", "https://edmondsonsupply.com/products/packard-c440c-contactor-4-pole-40-amps-208-240-coil-voltage-1")</f>
        <v/>
      </c>
      <c r="C3139" t="inlineStr">
        <is>
          <t>Packard C440C Contactor 4 Pole 40 AMPS 208/240 Coil Voltage</t>
        </is>
      </c>
      <c r="D3139" t="inlineStr">
        <is>
          <t>Packard C240B Packard Contactor 2 Pole 40 Amps 120 Coil Voltage</t>
        </is>
      </c>
      <c r="E3139" s="2">
        <f>HYPERLINK("https://www.amazon.com/Packard-C240B-Contactor-Pole-Voltage/dp/B004Z0RLL2/ref=sr_1_10?keywords=Packard+C440C+Contactor+4+Pole+40+AMPS+208%2F240+Coil+Voltage&amp;qid=1694734674&amp;sr=8-10", "https://www.amazon.com/Packard-C240B-Contactor-Pole-Voltage/dp/B004Z0RLL2/ref=sr_1_10?keywords=Packard+C440C+Contactor+4+Pole+40+AMPS+208%2F240+Coil+Voltage&amp;qid=1694734674&amp;sr=8-10")</f>
        <v/>
      </c>
      <c r="F3139" t="inlineStr">
        <is>
          <t>B004Z0RLL2</t>
        </is>
      </c>
      <c r="G3139">
        <f>_xlfn.IMAGE("https://edmondsonsupply.com/cdn/shop/products/packard_c440c_xl_1_536437f5-bc6f-4278-8bf8-da7e8512e77e.jpg?v=1587144444")</f>
        <v/>
      </c>
      <c r="H3139">
        <f>_xlfn.IMAGE("https://m.media-amazon.com/images/I/81OXIO+-K1L._AC_UY218_.jpg")</f>
        <v/>
      </c>
      <c r="K3139" t="inlineStr">
        <is>
          <t>46.61</t>
        </is>
      </c>
      <c r="L3139" t="n">
        <v>16.58</v>
      </c>
      <c r="M3139" s="1" t="inlineStr">
        <is>
          <t>-64.43%</t>
        </is>
      </c>
      <c r="N3139" s="7" t="n">
        <v>102.6</v>
      </c>
      <c r="O3139" t="n">
        <v>4.6</v>
      </c>
      <c r="P3139" t="n">
        <v>299</v>
      </c>
      <c r="R3139" t="inlineStr">
        <is>
          <t>InStock</t>
        </is>
      </c>
      <c r="S3139" t="inlineStr">
        <is>
          <t>undefined</t>
        </is>
      </c>
      <c r="T3139" t="inlineStr">
        <is>
          <t>4175222997092</t>
        </is>
      </c>
    </row>
    <row r="3140" ht="87" customHeight="1">
      <c r="A3140" s="2">
        <f>HYPERLINK("https://edmondsonsupply.com/collections/hvac/products/packard-c440b-contactor-4-pole-40-amps-120-coil-voltage", "https://edmondsonsupply.com/collections/hvac/products/packard-c440b-contactor-4-pole-40-amps-120-coil-voltage")</f>
        <v/>
      </c>
      <c r="B3140" s="2">
        <f>HYPERLINK("https://edmondsonsupply.com/products/packard-c440b-contactor-4-pole-40-amps-120-coil-voltage", "https://edmondsonsupply.com/products/packard-c440b-contactor-4-pole-40-amps-120-coil-voltage")</f>
        <v/>
      </c>
      <c r="C3140" t="inlineStr">
        <is>
          <t>Packard C440B Contactor 4 Pole 40 AMPS 120 Coil Voltage</t>
        </is>
      </c>
      <c r="D3140" t="inlineStr">
        <is>
          <t>Packard C240B Packard Contactor 2 Pole 40 Amps 120 Coil Voltage</t>
        </is>
      </c>
      <c r="E3140" s="2">
        <f>HYPERLINK("https://www.amazon.com/Packard-C240B-Contactor-Pole-Voltage/dp/B004Z0RLL2/ref=sr_1_3?keywords=Packard+C440B+Contactor+4+Pole+40+AMPS+120+Coil+Voltage&amp;qid=1694734777&amp;sr=8-3", "https://www.amazon.com/Packard-C240B-Contactor-Pole-Voltage/dp/B004Z0RLL2/ref=sr_1_3?keywords=Packard+C440B+Contactor+4+Pole+40+AMPS+120+Coil+Voltage&amp;qid=1694734777&amp;sr=8-3")</f>
        <v/>
      </c>
      <c r="F3140" t="inlineStr">
        <is>
          <t>B004Z0RLL2</t>
        </is>
      </c>
      <c r="G3140">
        <f>_xlfn.IMAGE("https://edmondsonsupply.com/cdn/shop/products/C440B-1.jpg?v=1633030967")</f>
        <v/>
      </c>
      <c r="H3140">
        <f>_xlfn.IMAGE("https://m.media-amazon.com/images/I/81OXIO+-K1L._AC_UY218_.jpg")</f>
        <v/>
      </c>
      <c r="K3140" t="inlineStr">
        <is>
          <t>46.61</t>
        </is>
      </c>
      <c r="L3140" t="n">
        <v>16.58</v>
      </c>
      <c r="M3140" s="1" t="inlineStr">
        <is>
          <t>-64.43%</t>
        </is>
      </c>
      <c r="N3140" s="7" t="n">
        <v>102.16</v>
      </c>
      <c r="O3140" t="n">
        <v>4.6</v>
      </c>
      <c r="P3140" t="n">
        <v>299</v>
      </c>
      <c r="R3140" t="inlineStr">
        <is>
          <t>InStock</t>
        </is>
      </c>
      <c r="S3140" t="inlineStr">
        <is>
          <t>undefined</t>
        </is>
      </c>
      <c r="T3140" t="inlineStr">
        <is>
          <t>6631570735277</t>
        </is>
      </c>
    </row>
    <row r="3141" hidden="1" ht="15.75" customHeight="1">
      <c r="A3141" s="2">
        <f>HYPERLINK("https://edmondsonsupply.com/collections/hvac/products/diablo-tools-dmapl2290-7-16-in-x-10-in-x-12-in-sds-plus-2-cutter", "https://edmondsonsupply.com/collections/hvac/products/diablo-tools-dmapl2290-7-16-in-x-10-in-x-12-in-sds-plus-2-cutter")</f>
        <v/>
      </c>
      <c r="B3141" s="2">
        <f>HYPERLINK("https://edmondsonsupply.com/products/diablo-tools-dmapl2290-7-16-in-x-10-in-x-12-in-sds-plus-2-cutter", "https://edmondsonsupply.com/products/diablo-tools-dmapl2290-7-16-in-x-10-in-x-12-in-sds-plus-2-cutter")</f>
        <v/>
      </c>
      <c r="C3141" t="inlineStr">
        <is>
          <t>Diablo Tools DMAPL2290 7/16 in. x 10 in. x 12 in. SDS-Plus 2-Cutter</t>
        </is>
      </c>
      <c r="D3141" t="inlineStr">
        <is>
          <t>BOSCH HC2074 7/16 In. x 10 In. x 12 In. Bulldog SDS-Plus Rotary Hammer Bit</t>
        </is>
      </c>
      <c r="E3141" s="2">
        <f>HYPERLINK("https://www.amazon.com/Bosch-HC2074-SDS-plus-Bulldog-Rotary/dp/B000AMXOF6/ref=sr_1_9?keywords=Diablo+Tools+DMAPL2290+7%2F16+in.+x+10+in.+x+12+in.+SDS-Plus+2-Cutter&amp;qid=1694734916&amp;sr=8-9", "https://www.amazon.com/Bosch-HC2074-SDS-plus-Bulldog-Rotary/dp/B000AMXOF6/ref=sr_1_9?keywords=Diablo+Tools+DMAPL2290+7%2F16+in.+x+10+in.+x+12+in.+SDS-Plus+2-Cutter&amp;qid=1694734916&amp;sr=8-9")</f>
        <v/>
      </c>
      <c r="F3141" t="inlineStr">
        <is>
          <t>B000AMXOF6</t>
        </is>
      </c>
      <c r="G3141">
        <f>_xludf.IMAGE("https://edmondsonsupply.com/cdn/shop/files/lgvfccwvf9ikjakt8qfb.webp?v=1686146379")</f>
        <v/>
      </c>
      <c r="H3141">
        <f>_xludf.IMAGE("https://m.media-amazon.com/images/I/61UHBPkvguL._AC_UL320_.jpg")</f>
        <v/>
      </c>
      <c r="K3141" t="inlineStr">
        <is>
          <t>10.5</t>
        </is>
      </c>
      <c r="L3141" t="n">
        <v>3.7</v>
      </c>
      <c r="M3141" s="1" t="inlineStr">
        <is>
          <t>-64.76%</t>
        </is>
      </c>
      <c r="N3141" s="1" t="n">
        <v>102.13</v>
      </c>
      <c r="O3141" t="n">
        <v>4.7</v>
      </c>
      <c r="P3141" t="n">
        <v>9679</v>
      </c>
      <c r="R3141" t="inlineStr">
        <is>
          <t>InStock</t>
        </is>
      </c>
      <c r="S3141" t="inlineStr">
        <is>
          <t>16.67</t>
        </is>
      </c>
      <c r="T3141" t="inlineStr">
        <is>
          <t>8002354872536</t>
        </is>
      </c>
    </row>
    <row r="3142" hidden="1" ht="15.75" customHeight="1">
      <c r="A3142" s="2">
        <f>HYPERLINK("https://edmondsonsupply.com/collections/hvac/products/diablo-tools-dmamxcc5050-4-in-x-7-in-sds-max-carbide-tipped-core-bit", "https://edmondsonsupply.com/collections/hvac/products/diablo-tools-dmamxcc5050-4-in-x-7-in-sds-max-carbide-tipped-core-bit")</f>
        <v/>
      </c>
      <c r="B3142" s="2">
        <f>HYPERLINK("https://edmondsonsupply.com/products/diablo-tools-dmamxcc5050-4-in-x-7-in-sds-max-carbide-tipped-core-bit", "https://edmondsonsupply.com/products/diablo-tools-dmamxcc5050-4-in-x-7-in-sds-max-carbide-tipped-core-bit")</f>
        <v/>
      </c>
      <c r="C3142" t="inlineStr">
        <is>
          <t>Diablo Tools DMAMXCC5050 4 in. x 7 in. SDS-Max Carbide Tipped Core Bit</t>
        </is>
      </c>
      <c r="D3142" t="inlineStr">
        <is>
          <t>Diablo DMAMX1180 7/8 in. x 16 in. x 21 in. Rebar Demon™ SDS-Max 4-Cutter Full Carbide Head Hammer Bit</t>
        </is>
      </c>
      <c r="E3142" s="2">
        <f>HYPERLINK("https://www.amazon.com/Diablo-SDS-Max-4-Cutter-Carbide-Hammer/dp/B089KWFF8B/ref=sr_1_8?keywords=Diablo+Tools+DMAMXCC5050+4+in.+x+7+in.+SDS-Max+Carbide+Tipped+Core+Bit&amp;qid=1694734908&amp;sr=8-8", "https://www.amazon.com/Diablo-SDS-Max-4-Cutter-Carbide-Hammer/dp/B089KWFF8B/ref=sr_1_8?keywords=Diablo+Tools+DMAMXCC5050+4+in.+x+7+in.+SDS-Max+Carbide+Tipped+Core+Bit&amp;qid=1694734908&amp;sr=8-8")</f>
        <v/>
      </c>
      <c r="F3142" t="inlineStr">
        <is>
          <t>B089KWFF8B</t>
        </is>
      </c>
      <c r="G3142">
        <f>_xludf.IMAGE("https://edmondsonsupply.com/cdn/shop/files/yghx7uqdjxchri5fikny.webp?v=1686586834")</f>
        <v/>
      </c>
      <c r="H3142">
        <f>_xludf.IMAGE("https://m.media-amazon.com/images/I/611fTcYRNFL._AC_UL320_.jpg")</f>
        <v/>
      </c>
      <c r="K3142" t="inlineStr">
        <is>
          <t>151.4</t>
        </is>
      </c>
      <c r="L3142" t="n">
        <v>52.51</v>
      </c>
      <c r="M3142" s="1" t="inlineStr">
        <is>
          <t>-65.32%</t>
        </is>
      </c>
      <c r="N3142" s="1" t="n">
        <v>102.13</v>
      </c>
      <c r="O3142" t="n">
        <v>3.5</v>
      </c>
      <c r="P3142" t="n">
        <v>3</v>
      </c>
      <c r="R3142" t="inlineStr">
        <is>
          <t>InStock</t>
        </is>
      </c>
      <c r="S3142" t="inlineStr">
        <is>
          <t>240.33</t>
        </is>
      </c>
      <c r="T3142" t="inlineStr">
        <is>
          <t>8004510908632</t>
        </is>
      </c>
    </row>
    <row r="3143" ht="87" customHeight="1">
      <c r="A3143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143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143" t="inlineStr">
        <is>
          <t>Diablo Tools DMAMX1300 1-1/4 in. x 16 in. x 21 in. Rebar Demon™ SDS-Max 4-Cutter Full Carbide Head Hammer Drill Bit</t>
        </is>
      </c>
      <c r="D3143" t="inlineStr">
        <is>
          <t>Diablo by Freud DMAPL4200 1/2 in. x 16 in. x 18 in. Rebar Demon SDS-Plus 4-Cutter Full Carbide Head Hammer Bit</t>
        </is>
      </c>
      <c r="E3143" s="2">
        <f>HYPERLINK("https://www.amazon.com/Diablo-Freud-DMAPL4200-SDS-Plus-4-Cutter/dp/B089KW2QV1/ref=sr_1_15?keywords=Diablo+Tools+DMAMX1300+1-1%2F4+in.+x+16+in.+x+21+in.+Rebar+Demon%E2%84%A2+SDS-Max+4-Cutter+Full+Carbide+Head+Hammer+Drill+Bit&amp;qid=1694734676&amp;sr=8-15", "https://www.amazon.com/Diablo-Freud-DMAPL4200-SDS-Plus-4-Cutter/dp/B089KW2QV1/ref=sr_1_15?keywords=Diablo+Tools+DMAMX1300+1-1%2F4+in.+x+16+in.+x+21+in.+Rebar+Demon%E2%84%A2+SDS-Max+4-Cutter+Full+Carbide+Head+Hammer+Drill+Bit&amp;qid=1694734676&amp;sr=8-15")</f>
        <v/>
      </c>
      <c r="F3143" t="inlineStr">
        <is>
          <t>B089KW2QV1</t>
        </is>
      </c>
      <c r="G3143">
        <f>_xlfn.IMAGE("https://edmondsonsupply.com/cdn/shop/files/immoyh7jjmbau4fzhuq6_7dd7fd73-2865-4c12-9443-da45b48dbd51.webp?v=1685465465")</f>
        <v/>
      </c>
      <c r="H3143">
        <f>_xlfn.IMAGE("https://m.media-amazon.com/images/I/61rW+ROVmNL._AC_UL320_.jpg")</f>
        <v/>
      </c>
      <c r="K3143" t="inlineStr">
        <is>
          <t>66.4</t>
        </is>
      </c>
      <c r="L3143" t="n">
        <v>23</v>
      </c>
      <c r="M3143" s="1" t="inlineStr">
        <is>
          <t>-65.36%</t>
        </is>
      </c>
      <c r="N3143" s="7" t="n">
        <v>102</v>
      </c>
      <c r="O3143" t="n">
        <v>4.7</v>
      </c>
      <c r="P3143" t="n">
        <v>18</v>
      </c>
      <c r="R3143" t="inlineStr">
        <is>
          <t>OutOfStock</t>
        </is>
      </c>
      <c r="S3143" t="inlineStr">
        <is>
          <t>105.4</t>
        </is>
      </c>
      <c r="T3143" t="inlineStr">
        <is>
          <t>7997856874712</t>
        </is>
      </c>
    </row>
    <row r="3144" ht="87" customHeight="1">
      <c r="A3144" s="2">
        <f>HYPERLINK("https://edmondsonsupply.com/collections/hvac/products/icm-controls-icm286-furnace-control-board-replacement-for-goodman-pcbbf112s-b1809926s-0130f00005s", "https://edmondsonsupply.com/collections/hvac/products/icm-controls-icm286-furnace-control-board-replacement-for-goodman-pcbbf112s-b1809926s-0130f00005s")</f>
        <v/>
      </c>
      <c r="B3144" s="2">
        <f>HYPERLINK("https://edmondsonsupply.com/products/icm-controls-icm286-furnace-control-board-replacement-for-goodman-pcbbf112s-b1809926s-0130f00005s", "https://edmondsonsupply.com/products/icm-controls-icm286-furnace-control-board-replacement-for-goodman-pcbbf112s-b1809926s-0130f00005s")</f>
        <v/>
      </c>
      <c r="C3144" t="inlineStr">
        <is>
          <t>ICM Controls ICM2811 Furnace Control Board - Replacement for Goodman</t>
        </is>
      </c>
      <c r="D3144" t="inlineStr">
        <is>
          <t>ClimaTek Upgraded Replacement for Goodman Furnace Fan Control Circuit Board B13707-35 B1370735 B1370735S</t>
        </is>
      </c>
      <c r="E3144" s="2">
        <f>HYPERLINK("https://www.amazon.com/ClimaTek-Upgraded-Replacement-Goodman-B13707-35/dp/B07L3VLK9R/ref=sr_1_10?keywords=ICM+Controls+ICM2811+Furnace+Control+Board+-+Replacement+for+Goodman&amp;qid=1694734652&amp;sr=8-10", "https://www.amazon.com/ClimaTek-Upgraded-Replacement-Goodman-B13707-35/dp/B07L3VLK9R/ref=sr_1_10?keywords=ICM+Controls+ICM2811+Furnace+Control+Board+-+Replacement+for+Goodman&amp;qid=1694734652&amp;sr=8-10")</f>
        <v/>
      </c>
      <c r="F3144" t="inlineStr">
        <is>
          <t>B07L3VLK9R</t>
        </is>
      </c>
      <c r="G3144">
        <f>_xlfn.IMAGE("https://edmondsonsupply.com/cdn/shop/products/photo_3800_medium_86f45e25-a764-4839-bc84-759a6ce1c7bd.jpg?v=1659910436")</f>
        <v/>
      </c>
      <c r="H3144">
        <f>_xlfn.IMAGE("https://m.media-amazon.com/images/I/41KCBEhjv2L._AC_UL320_.jpg")</f>
        <v/>
      </c>
      <c r="K3144" t="inlineStr">
        <is>
          <t>68.99</t>
        </is>
      </c>
      <c r="L3144" t="n">
        <v>23.75</v>
      </c>
      <c r="M3144" s="1" t="inlineStr">
        <is>
          <t>-65.57%</t>
        </is>
      </c>
      <c r="N3144" s="7" t="n">
        <v>100.67</v>
      </c>
      <c r="O3144" t="n">
        <v>4.7</v>
      </c>
      <c r="P3144" t="n">
        <v>323</v>
      </c>
      <c r="R3144" t="inlineStr">
        <is>
          <t>InStock</t>
        </is>
      </c>
      <c r="S3144" t="inlineStr">
        <is>
          <t>93.62</t>
        </is>
      </c>
      <c r="T3144" t="inlineStr">
        <is>
          <t>4345448202340</t>
        </is>
      </c>
    </row>
    <row r="3145" ht="87" customHeight="1">
      <c r="A3145" s="2">
        <f>HYPERLINK("https://edmondsonsupply.com/collections/hvac/products/bacharach-h-10-pro-refrigerant-leak-detector", "https://edmondsonsupply.com/collections/hvac/products/bacharach-h-10-pro-refrigerant-leak-detector")</f>
        <v/>
      </c>
      <c r="B3145" s="2">
        <f>HYPERLINK("https://edmondsonsupply.com/products/bacharach-h-10-pro-refrigerant-leak-detector", "https://edmondsonsupply.com/products/bacharach-h-10-pro-refrigerant-leak-detector")</f>
        <v/>
      </c>
      <c r="C3145" t="inlineStr">
        <is>
          <t>Bacharach H-10 PRO Refrigerant Leak Detector</t>
        </is>
      </c>
      <c r="D3145" t="inlineStr">
        <is>
          <t>Elitech HVAC Refrigerant Leak Detector 10 Yrs Infrared Sensor Life Halogen Freon Sniffer, Air Conditioning Detection, Automotive Gas Finder, R410A R134A R1234YF CFCs HCFCs HFCs, ILD-200</t>
        </is>
      </c>
      <c r="E3145" s="2">
        <f>HYPERLINK("https://www.amazon.com/Elitech-ILD-200-Refrigerant-Sensitivity-Warranty%E3%80%91/dp/B07586MWM9/ref=sr_1_4?keywords=Bacharach+H-10+PRO+Refrigerant+Leak+Detector&amp;qid=1694734698&amp;sr=8-4", "https://www.amazon.com/Elitech-ILD-200-Refrigerant-Sensitivity-Warranty%E3%80%91/dp/B07586MWM9/ref=sr_1_4?keywords=Bacharach+H-10+PRO+Refrigerant+Leak+Detector&amp;qid=1694734698&amp;sr=8-4")</f>
        <v/>
      </c>
      <c r="F3145" t="inlineStr">
        <is>
          <t>B07586MWM9</t>
        </is>
      </c>
      <c r="G3145">
        <f>_xlfn.IMAGE("https://edmondsonsupply.com/cdn/shop/products/featured-h-10-pro-refrigerant-leak-detector.jpg?v=1635555994")</f>
        <v/>
      </c>
      <c r="H3145">
        <f>_xlfn.IMAGE("https://m.media-amazon.com/images/I/613dkPvMCTL._AC_UL320_.jpg")</f>
        <v/>
      </c>
      <c r="K3145" t="inlineStr">
        <is>
          <t>657.72</t>
        </is>
      </c>
      <c r="L3145" t="n">
        <v>225.99</v>
      </c>
      <c r="M3145" s="1" t="inlineStr">
        <is>
          <t>-65.64%</t>
        </is>
      </c>
      <c r="N3145" s="7" t="n">
        <v>100.5</v>
      </c>
      <c r="O3145" t="n">
        <v>4.6</v>
      </c>
      <c r="P3145" t="n">
        <v>740</v>
      </c>
      <c r="R3145" t="inlineStr">
        <is>
          <t>InStock</t>
        </is>
      </c>
      <c r="S3145" t="inlineStr">
        <is>
          <t>undefined</t>
        </is>
      </c>
      <c r="T3145" t="inlineStr">
        <is>
          <t>7354561102040</t>
        </is>
      </c>
    </row>
    <row r="3146" ht="87" customHeight="1">
      <c r="A3146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3146" s="2">
        <f>HYPERLINK("https://edmondsonsupply.com/products/fresh-aire-uv-tuvl-215p-2-year-blue-tube-replacement-uv-lamp", "https://edmondsonsupply.com/products/fresh-aire-uv-tuvl-215p-2-year-blue-tube-replacement-uv-lamp")</f>
        <v/>
      </c>
      <c r="C3146" t="inlineStr">
        <is>
          <t>Fresh-Aire UV TUVL-215P, 2-Year Blue-Tube Replacement UV Lamp</t>
        </is>
      </c>
      <c r="D3146" t="inlineStr">
        <is>
          <t>TUVL-215, TUVL-200-E, 15" Lamp for Fresh Air Blue-Tube, AHU Series 1, and APCO MAG 15, OEM Quality Premium Compatible Lamp Bulb. (Bulb has The Notch on The Base) Guaranteed for One Year</t>
        </is>
      </c>
      <c r="E3146" s="2">
        <f>HYPERLINK("https://www.amazon.com/LuTrace-TUVL-200-Blue-Tube-Compatible-Guaranteed/dp/B09NL9LX1P/ref=sr_1_7?keywords=Fresh-Aire+UV+TUVL-215P%2C+2-Year+Blue-Tube+Replacement+UV+Lamp&amp;qid=1694734568&amp;sr=8-7", "https://www.amazon.com/LuTrace-TUVL-200-Blue-Tube-Compatible-Guaranteed/dp/B09NL9LX1P/ref=sr_1_7?keywords=Fresh-Aire+UV+TUVL-215P%2C+2-Year+Blue-Tube+Replacement+UV+Lamp&amp;qid=1694734568&amp;sr=8-7")</f>
        <v/>
      </c>
      <c r="F3146" t="inlineStr">
        <is>
          <t>B09NL9LX1P</t>
        </is>
      </c>
      <c r="G3146">
        <f>_xlfn.IMAGE("https://edmondsonsupply.com/cdn/shop/products/TUVL-215P.jpg?v=1633030216")</f>
        <v/>
      </c>
      <c r="H3146">
        <f>_xlfn.IMAGE("https://m.media-amazon.com/images/I/31rDuymxXbL._AC_UL320_.jpg")</f>
        <v/>
      </c>
      <c r="K3146" t="inlineStr">
        <is>
          <t>108.03</t>
        </is>
      </c>
      <c r="L3146" t="n">
        <v>36.99</v>
      </c>
      <c r="M3146" s="1" t="inlineStr">
        <is>
          <t>-65.76%</t>
        </is>
      </c>
      <c r="N3146" s="7" t="n">
        <v>100.46</v>
      </c>
      <c r="O3146" t="n">
        <v>4.3</v>
      </c>
      <c r="P3146" t="n">
        <v>50</v>
      </c>
      <c r="R3146" t="inlineStr">
        <is>
          <t>InStock</t>
        </is>
      </c>
      <c r="S3146" t="inlineStr">
        <is>
          <t>undefined</t>
        </is>
      </c>
      <c r="T3146" t="inlineStr">
        <is>
          <t>4452670537828</t>
        </is>
      </c>
    </row>
    <row r="3147" hidden="1" ht="15.75" customHeight="1">
      <c r="A3147" s="2">
        <f>HYPERLINK("https://edmondsonsupply.com/collections/hvac/products/milwaukee-48-22-8392r-packout%E2%84%A2-20oz-tumbler", "https://edmondsonsupply.com/collections/hvac/products/milwaukee-48-22-8392r-packout%E2%84%A2-20oz-tumbler")</f>
        <v/>
      </c>
      <c r="B3147" s="2">
        <f>HYPERLINK("https://edmondsonsupply.com/products/milwaukee-48-22-8392r-packout%e2%84%a2-20oz-tumbler", "https://edmondsonsupply.com/products/milwaukee-48-22-8392r-packout%e2%84%a2-20oz-tumbler")</f>
        <v/>
      </c>
      <c r="C3147" t="inlineStr">
        <is>
          <t>Milwaukee 48-22-8392R PACKOUT™ 20oz Tumbler</t>
        </is>
      </c>
      <c r="D3147" t="inlineStr">
        <is>
          <t>20 oz Tumbler Rubber Gaskets Replacement for Milwaukee 48-22-8392R Coffee Cup Lid Resealable Gasket-Seals(2 Pack)</t>
        </is>
      </c>
      <c r="E3147" s="2">
        <f>HYPERLINK("https://www.amazon.com/Replacement-Milwaukee-48-22-8392R-Resealable-Gasket-Seals/dp/B0C9R4T855/ref=sr_1_5?keywords=Milwaukee+48-22-8392R+PACKOUT%E2%84%A2+20oz+Tumbler&amp;qid=1694734872&amp;sr=8-5", "https://www.amazon.com/Replacement-Milwaukee-48-22-8392R-Resealable-Gasket-Seals/dp/B0C9R4T855/ref=sr_1_5?keywords=Milwaukee+48-22-8392R+PACKOUT%E2%84%A2+20oz+Tumbler&amp;qid=1694734872&amp;sr=8-5")</f>
        <v/>
      </c>
      <c r="F3147" t="inlineStr">
        <is>
          <t>B0C9R4T855</t>
        </is>
      </c>
      <c r="G3147">
        <f>_xludf.IMAGE("https://edmondsonsupply.com/cdn/shop/files/48-22-8392R_1.png?v=1691501431")</f>
        <v/>
      </c>
      <c r="H3147">
        <f>_xludf.IMAGE("https://m.media-amazon.com/images/I/51mMrDh3TyL._AC_UL320_.jpg")</f>
        <v/>
      </c>
      <c r="K3147" t="inlineStr">
        <is>
          <t>29.47</t>
        </is>
      </c>
      <c r="L3147" t="n">
        <v>10.09</v>
      </c>
      <c r="M3147" s="1" t="inlineStr">
        <is>
          <t>-65.76%</t>
        </is>
      </c>
      <c r="N3147" s="1" t="n">
        <v>100.42</v>
      </c>
      <c r="O3147" t="n">
        <v>5</v>
      </c>
      <c r="P3147" t="n">
        <v>1</v>
      </c>
      <c r="R3147" t="inlineStr">
        <is>
          <t>InStock</t>
        </is>
      </c>
      <c r="S3147" t="inlineStr">
        <is>
          <t>46.0</t>
        </is>
      </c>
      <c r="T3147" t="inlineStr">
        <is>
          <t>8025473089752</t>
        </is>
      </c>
    </row>
    <row r="3148" ht="87" customHeight="1">
      <c r="A3148" s="2">
        <f>HYPERLINK("https://edmondsonsupply.com/collections/hvac/products/milwaukee-2980-22-m18-fuel%E2%84%A2-4-1-2-6-braking-grinder-kit-paddle-switch-no-lock", "https://edmondsonsupply.com/collections/hvac/products/milwaukee-2980-22-m18-fuel%E2%84%A2-4-1-2-6-braking-grinder-kit-paddle-switch-no-lock")</f>
        <v/>
      </c>
      <c r="B3148" s="2">
        <f>HYPERLINK("https://edmondsonsupply.com/products/milwaukee-2980-22-m18-fuel%e2%84%a2-4-1-2-6-braking-grinder-kit-paddle-switch-no-lock", "https://edmondsonsupply.com/products/milwaukee-2980-22-m18-fuel%e2%84%a2-4-1-2-6-braking-grinder-kit-paddle-switch-no-lock")</f>
        <v/>
      </c>
      <c r="C3148" t="inlineStr">
        <is>
          <t>Milwaukee 2980-22 M18 FUEL™ 4-1/2” - 6” Braking Grinder Kit, Paddle Switch No-Lock</t>
        </is>
      </c>
      <c r="D3148" t="inlineStr">
        <is>
          <t>Milwaukee 2980-20 M18 FUEL 4-1/2 in. - 6 in. Braking Grinder w/No-Lock Paddle Switch (Tool Only)</t>
        </is>
      </c>
      <c r="E3148" s="2">
        <f>HYPERLINK("https://www.amazon.com/Milwaukee-2980-20-M18-FUEL-4-1/dp/B07VXK6NBC/ref=sr_1_1?keywords=Milwaukee+2980-22+M18+FUEL%E2%84%A2+4-1%2F2%E2%80%9D+-+6%E2%80%9D+Braking+Grinder+Kit%2C+Paddle+Switch+No-Lock&amp;qid=1694734922&amp;sr=8-1", "https://www.amazon.com/Milwaukee-2980-20-M18-FUEL-4-1/dp/B07VXK6NBC/ref=sr_1_1?keywords=Milwaukee+2980-22+M18+FUEL%E2%84%A2+4-1%2F2%E2%80%9D+-+6%E2%80%9D+Braking+Grinder+Kit%2C+Paddle+Switch+No-Lock&amp;qid=1694734922&amp;sr=8-1")</f>
        <v/>
      </c>
      <c r="F3148" t="inlineStr">
        <is>
          <t>B07VXK6NBC</t>
        </is>
      </c>
      <c r="G3148">
        <f>_xlfn.IMAGE("https://edmondsonsupply.com/cdn/shop/files/2980-21_2.webp?v=1686157900")</f>
        <v/>
      </c>
      <c r="H3148">
        <f>_xlfn.IMAGE("https://m.media-amazon.com/images/I/31Kt4bbcseL._AC_UL320_.jpg")</f>
        <v/>
      </c>
      <c r="K3148" t="inlineStr">
        <is>
          <t>519.0</t>
        </is>
      </c>
      <c r="L3148" t="n">
        <v>176.19</v>
      </c>
      <c r="M3148" s="1" t="inlineStr">
        <is>
          <t>-66.05%</t>
        </is>
      </c>
      <c r="N3148" s="7" t="n">
        <v>100.27</v>
      </c>
      <c r="O3148" t="n">
        <v>4.8</v>
      </c>
      <c r="P3148" t="n">
        <v>357</v>
      </c>
      <c r="R3148" t="inlineStr">
        <is>
          <t>InStock</t>
        </is>
      </c>
      <c r="S3148" t="inlineStr">
        <is>
          <t>913.0</t>
        </is>
      </c>
      <c r="T3148" t="inlineStr">
        <is>
          <t>8002396160216</t>
        </is>
      </c>
    </row>
    <row r="3149" hidden="1" ht="15.75" customHeight="1">
      <c r="A3149" s="2">
        <f>HYPERLINK("https://edmondsonsupply.com/collections/hvac/products/milwaukee-48-22-1502-fastback%E2%84%A2-folding-utility-knife-w-blade-storage", "https://edmondsonsupply.com/collections/hvac/products/milwaukee-48-22-1502-fastback%E2%84%A2-folding-utility-knife-w-blade-storage")</f>
        <v/>
      </c>
      <c r="B3149" s="2">
        <f>HYPERLINK("https://edmondsonsupply.com/products/milwaukee-48-22-1502-fastback%e2%84%a2-folding-utility-knife-w-blade-storage", "https://edmondsonsupply.com/products/milwaukee-48-22-1502-fastback%e2%84%a2-folding-utility-knife-w-blade-storage")</f>
        <v/>
      </c>
      <c r="C3149" t="inlineStr">
        <is>
          <t>Milwaukee 48-22-1502 FASTBACK™ Folding Utility Knife w/ Blade Storage</t>
        </is>
      </c>
      <c r="D3149" t="inlineStr">
        <is>
          <t>Milwaukee 48-22-1933 5-Pack of Deburred Micro Carbide Drywall Utility Knife Blades for Folding Lockback and Sliding Knives</t>
        </is>
      </c>
      <c r="E3149" s="2">
        <f>HYPERLINK("https://www.amazon.com/Milwaukee-48-22-1933-Deburred-Carbide-Lockback/dp/B00D5YLP5W/ref=sr_1_8?keywords=Milwaukee+48-22-1502+FASTBACK%E2%84%A2+Folding+Utility+Knife+w%2F+Blade+Storage&amp;qid=1694734633&amp;sr=8-8", "https://www.amazon.com/Milwaukee-48-22-1933-Deburred-Carbide-Lockback/dp/B00D5YLP5W/ref=sr_1_8?keywords=Milwaukee+48-22-1502+FASTBACK%E2%84%A2+Folding+Utility+Knife+w%2F+Blade+Storage&amp;qid=1694734633&amp;sr=8-8")</f>
        <v/>
      </c>
      <c r="F3149" t="inlineStr">
        <is>
          <t>B00D5YLP5W</t>
        </is>
      </c>
      <c r="G3149">
        <f>_xludf.IMAGE("https://edmondsonsupply.com/cdn/shop/products/48-22-1502_3.png?v=1587148345")</f>
        <v/>
      </c>
      <c r="H3149">
        <f>_xludf.IMAGE("https://m.media-amazon.com/images/I/41vPWO+PD8L._AC_UL320_.jpg")</f>
        <v/>
      </c>
      <c r="K3149" t="inlineStr">
        <is>
          <t>14.97</t>
        </is>
      </c>
      <c r="L3149" t="n">
        <v>4.99</v>
      </c>
      <c r="M3149" s="1" t="inlineStr">
        <is>
          <t>-66.67%</t>
        </is>
      </c>
      <c r="N3149" s="1" t="n">
        <v>100.2</v>
      </c>
      <c r="O3149" t="n">
        <v>4.5</v>
      </c>
      <c r="P3149" t="n">
        <v>65</v>
      </c>
      <c r="R3149" t="inlineStr">
        <is>
          <t>InStock</t>
        </is>
      </c>
      <c r="S3149" t="inlineStr">
        <is>
          <t>23.0</t>
        </is>
      </c>
      <c r="T3149" t="inlineStr">
        <is>
          <t>4399154069604</t>
        </is>
      </c>
    </row>
    <row r="3150" hidden="1" ht="15.75" customHeight="1">
      <c r="A3150" s="2">
        <f>HYPERLINK("https://edmondsonsupply.com/collections/hvac/products/icm-controls-icm282b-furnace-control-board-replacement-for-carrier", "https://edmondsonsupply.com/collections/hvac/products/icm-controls-icm282b-furnace-control-board-replacement-for-carrier")</f>
        <v/>
      </c>
      <c r="B3150" s="2">
        <f>HYPERLINK("https://edmondsonsupply.com/products/icm-controls-icm282b-furnace-control-board-replacement-for-carrier", "https://edmondsonsupply.com/products/icm-controls-icm282b-furnace-control-board-replacement-for-carrier")</f>
        <v/>
      </c>
      <c r="C3150" t="inlineStr">
        <is>
          <t>ICM Controls ICM282B Furnace Control Board - Replacement for Carrier</t>
        </is>
      </c>
      <c r="D3150" t="inlineStr">
        <is>
          <t>ICM Controls ICM-2810 Furnace Control Board For Goodman PCBBF136 and PCBBF140</t>
        </is>
      </c>
      <c r="E3150" s="2">
        <f>HYPERLINK("https://www.amazon.com/ICM-Controls-ICM-2810-PCBBF136-PCBBF140/dp/B078KMX2V9/ref=sr_1_9?keywords=ICM+Controls+ICM282B+Furnace+Control+Board+-+Replacement+for+Carrier&amp;qid=1694734691&amp;sr=8-9", "https://www.amazon.com/ICM-Controls-ICM-2810-PCBBF136-PCBBF140/dp/B078KMX2V9/ref=sr_1_9?keywords=ICM+Controls+ICM282B+Furnace+Control+Board+-+Replacement+for+Carrier&amp;qid=1694734691&amp;sr=8-9")</f>
        <v/>
      </c>
      <c r="F3150" t="inlineStr">
        <is>
          <t>B078KMX2V9</t>
        </is>
      </c>
      <c r="G3150">
        <f>_xludf.IMAGE("https://edmondsonsupply.com/cdn/shop/products/57_5_96e476f9-dc43-4075-94fb-2c5efeccce22.jpg?v=1659481947")</f>
        <v/>
      </c>
      <c r="H3150">
        <f>_xludf.IMAGE("https://m.media-amazon.com/images/I/51UFjRz3HyL._AC_UL320_.jpg")</f>
        <v/>
      </c>
      <c r="K3150" t="inlineStr">
        <is>
          <t>195.99</t>
        </is>
      </c>
      <c r="L3150" t="n">
        <v>64.95</v>
      </c>
      <c r="M3150" s="1" t="inlineStr">
        <is>
          <t>-66.86%</t>
        </is>
      </c>
      <c r="N3150" s="1" t="n">
        <v>100.2</v>
      </c>
      <c r="O3150" t="n">
        <v>4</v>
      </c>
      <c r="P3150" t="n">
        <v>18</v>
      </c>
      <c r="R3150" t="inlineStr">
        <is>
          <t>InStock</t>
        </is>
      </c>
      <c r="S3150" t="inlineStr">
        <is>
          <t>256.41</t>
        </is>
      </c>
      <c r="T3150" t="inlineStr">
        <is>
          <t>7770046464216</t>
        </is>
      </c>
    </row>
    <row r="3151" hidden="1" ht="15.75" customHeight="1">
      <c r="A3151" s="2">
        <f>HYPERLINK("https://edmondsonsupply.com/collections/hvac/products/diablo-tools-dou125cgp3-1-1-4-in-universal-fit-carbide-oscillating-blades-for-general-purpose-cuts-3-pack", "https://edmondsonsupply.com/collections/hvac/products/diablo-tools-dou125cgp3-1-1-4-in-universal-fit-carbide-oscillating-blades-for-general-purpose-cuts-3-pack")</f>
        <v/>
      </c>
      <c r="B3151" s="2">
        <f>HYPERLINK("https://edmondsonsupply.com/products/diablo-tools-dou125cgp3-1-1-4-in-universal-fit-carbide-oscillating-blades-for-general-purpose-cuts-3-pack", "https://edmondsonsupply.com/products/diablo-tools-dou125cgp3-1-1-4-in-universal-fit-carbide-oscillating-blades-for-general-purpose-cuts-3-pack")</f>
        <v/>
      </c>
      <c r="C3151" t="inlineStr">
        <is>
          <t>Diablo Tools DOU125CGP3 1-1/4 in. Universal Fit Carbide Oscillating Blades for General Purpose Cuts (3 Pack)</t>
        </is>
      </c>
      <c r="D3151" t="inlineStr">
        <is>
          <t>Diablo by Freud DOU125CGP 1-1/4 in. Universal Fit Carbide Oscillating Blade for General Purpose Cuts</t>
        </is>
      </c>
      <c r="E3151" s="2">
        <f>HYPERLINK("https://www.amazon.com/Diablo-Freud-DOU125CGP-Universal-Oscillating/dp/B089LGJV4X/ref=sr_1_3?keywords=Diablo+Tools+DOU125CGP3+1-1%2F4+in.+Universal+Fit+Carbide+Oscillating+Blades+for+General+Purpose+Cuts+%283+Pack%29&amp;qid=1694734917&amp;sr=8-3", "https://www.amazon.com/Diablo-Freud-DOU125CGP-Universal-Oscillating/dp/B089LGJV4X/ref=sr_1_3?keywords=Diablo+Tools+DOU125CGP3+1-1%2F4+in.+Universal+Fit+Carbide+Oscillating+Blades+for+General+Purpose+Cuts+%283+Pack%29&amp;qid=1694734917&amp;sr=8-3")</f>
        <v/>
      </c>
      <c r="F3151" t="inlineStr">
        <is>
          <t>B089LGJV4X</t>
        </is>
      </c>
      <c r="G3151">
        <f>_xludf.IMAGE("https://edmondsonsupply.com/cdn/shop/files/htobgrjt150mygkkk6to_1.webp?v=1686147205")</f>
        <v/>
      </c>
      <c r="H3151">
        <f>_xludf.IMAGE("https://m.media-amazon.com/images/I/71lNEMXVnHL._AC_UL320_.jpg")</f>
        <v/>
      </c>
      <c r="K3151" t="inlineStr">
        <is>
          <t>44.97</t>
        </is>
      </c>
      <c r="L3151" t="n">
        <v>14.9</v>
      </c>
      <c r="M3151" s="1" t="inlineStr">
        <is>
          <t>-66.87%</t>
        </is>
      </c>
      <c r="N3151" s="1" t="n">
        <v>100.17</v>
      </c>
      <c r="O3151" t="n">
        <v>4.6</v>
      </c>
      <c r="P3151" t="n">
        <v>38</v>
      </c>
      <c r="R3151" t="inlineStr">
        <is>
          <t>InStock</t>
        </is>
      </c>
      <c r="S3151" t="inlineStr">
        <is>
          <t>55.96</t>
        </is>
      </c>
      <c r="T3151" t="inlineStr">
        <is>
          <t>8002357264600</t>
        </is>
      </c>
    </row>
    <row r="3152" hidden="1" ht="15.75" customHeight="1">
      <c r="A3152" s="2">
        <f>HYPERLINK("https://edmondsonsupply.com/collections/hvac/products/bacharach-h-10-pro-refrigerant-leak-detector", "https://edmondsonsupply.com/collections/hvac/products/bacharach-h-10-pro-refrigerant-leak-detector")</f>
        <v/>
      </c>
      <c r="B3152" s="2">
        <f>HYPERLINK("https://edmondsonsupply.com/products/bacharach-h-10-pro-refrigerant-leak-detector", "https://edmondsonsupply.com/products/bacharach-h-10-pro-refrigerant-leak-detector")</f>
        <v/>
      </c>
      <c r="C3152" t="inlineStr">
        <is>
          <t>Bacharach H-10 PRO Refrigerant Leak Detector</t>
        </is>
      </c>
      <c r="D3152" t="inlineStr">
        <is>
          <t>Klein Tools ET160 Refrigerant Gas Detector, Detects Gas Leaks in the Presence of CFC's, HFC's, HCFC's and Blends as Low as 100 PPM</t>
        </is>
      </c>
      <c r="E3152" s="2">
        <f>HYPERLINK("https://www.amazon.com/Refrigerant-Detector-Klein-Tools-ET160/dp/B09271R8F5/ref=sr_1_13?keywords=Bacharach+H-10+PRO+Refrigerant+Leak+Detector&amp;qid=1694734698&amp;sr=8-13", "https://www.amazon.com/Refrigerant-Detector-Klein-Tools-ET160/dp/B09271R8F5/ref=sr_1_13?keywords=Bacharach+H-10+PRO+Refrigerant+Leak+Detector&amp;qid=1694734698&amp;sr=8-13")</f>
        <v/>
      </c>
      <c r="F3152" t="inlineStr">
        <is>
          <t>B09271R8F5</t>
        </is>
      </c>
      <c r="G3152">
        <f>_xludf.IMAGE("https://edmondsonsupply.com/cdn/shop/products/featured-h-10-pro-refrigerant-leak-detector.jpg?v=1635555994")</f>
        <v/>
      </c>
      <c r="H3152">
        <f>_xludf.IMAGE("https://m.media-amazon.com/images/I/616KBlyls8L._AC_UL320_.jpg")</f>
        <v/>
      </c>
      <c r="K3152" t="inlineStr">
        <is>
          <t>657.72</t>
        </is>
      </c>
      <c r="L3152" t="n">
        <v>214.99</v>
      </c>
      <c r="M3152" s="1" t="inlineStr">
        <is>
          <t>-67.31%</t>
        </is>
      </c>
      <c r="N3152" s="1" t="n">
        <v>100.15</v>
      </c>
      <c r="O3152" t="n">
        <v>3.5</v>
      </c>
      <c r="P3152" t="n">
        <v>29</v>
      </c>
      <c r="R3152" t="inlineStr">
        <is>
          <t>InStock</t>
        </is>
      </c>
      <c r="S3152" t="inlineStr">
        <is>
          <t>undefined</t>
        </is>
      </c>
      <c r="T3152" t="inlineStr">
        <is>
          <t>7354561102040</t>
        </is>
      </c>
    </row>
    <row r="3153" ht="87" customHeight="1">
      <c r="A3153" s="2">
        <f>HYPERLINK("https://edmondsonsupply.com/collections/hvac/products/milwaukee-48-11-2430-m12%E2%84%A2-redlithium%E2%84%A2-3-0-compact-battery-pack", "https://edmondsonsupply.com/collections/hvac/products/milwaukee-48-11-2430-m12%E2%84%A2-redlithium%E2%84%A2-3-0-compact-battery-pack")</f>
        <v/>
      </c>
      <c r="B3153" s="2">
        <f>HYPERLINK("https://edmondsonsupply.com/products/milwaukee-48-11-2430-m12%e2%84%a2-redlithium%e2%84%a2-3-0-compact-battery-pack", "https://edmondsonsupply.com/products/milwaukee-48-11-2430-m12%e2%84%a2-redlithium%e2%84%a2-3-0-compact-battery-pack")</f>
        <v/>
      </c>
      <c r="C3153" t="inlineStr">
        <is>
          <t>Milwaukee 48-11-2430 M12™ REDLITHIUM™ 3.0 Compact Battery Pack</t>
        </is>
      </c>
      <c r="D3153" t="inlineStr">
        <is>
          <t>BABAKA 2 Packs 3.0Ah M12 Replacement Battery for Milwaukee 12V Battery for XC 48-11-2411 48-11-2420 48-11-2401 48-11-2402,48-11-2430,48-11-2440,48-11-2460, 48-11-2412 Cordless Tools Batteries</t>
        </is>
      </c>
      <c r="E3153" s="2">
        <f>HYPERLINK("https://www.amazon.com/Replacement-48-11-2411-48-11-2420-48-11-2401-48-11-2402/dp/B07ZJJ7MHT/ref=sr_1_21?keywords=Milwaukee+48-11-2430+M12%E2%84%A2+REDLITHIUM%E2%84%A2+3.0+Compact+Battery+Pack&amp;qid=1694734812&amp;sr=8-21", "https://www.amazon.com/Replacement-48-11-2411-48-11-2420-48-11-2401-48-11-2402/dp/B07ZJJ7MHT/ref=sr_1_21?keywords=Milwaukee+48-11-2430+M12%E2%84%A2+REDLITHIUM%E2%84%A2+3.0+Compact+Battery+Pack&amp;qid=1694734812&amp;sr=8-21")</f>
        <v/>
      </c>
      <c r="F3153" t="inlineStr">
        <is>
          <t>B07ZJJ7MHT</t>
        </is>
      </c>
      <c r="G3153">
        <f>_xlfn.IMAGE("https://edmondsonsupply.com/cdn/shop/products/48-11-2430.png?v=1587142488")</f>
        <v/>
      </c>
      <c r="H3153">
        <f>_xlfn.IMAGE("https://m.media-amazon.com/images/I/71mPcwmDHiL._AC_UL320_.jpg")</f>
        <v/>
      </c>
      <c r="K3153" t="inlineStr">
        <is>
          <t>69.0</t>
        </is>
      </c>
      <c r="L3153" t="n">
        <v>22.49</v>
      </c>
      <c r="M3153" s="1" t="inlineStr">
        <is>
          <t>-67.41%</t>
        </is>
      </c>
      <c r="N3153" s="7" t="n">
        <v>100.14</v>
      </c>
      <c r="O3153" t="n">
        <v>4.5</v>
      </c>
      <c r="P3153" t="n">
        <v>1135</v>
      </c>
      <c r="R3153" t="inlineStr">
        <is>
          <t>InStock</t>
        </is>
      </c>
      <c r="S3153" t="inlineStr">
        <is>
          <t>117.0</t>
        </is>
      </c>
      <c r="T3153" t="inlineStr">
        <is>
          <t>4385431912548</t>
        </is>
      </c>
    </row>
    <row r="3154" ht="87" customHeight="1">
      <c r="A3154" s="2">
        <f>HYPERLINK("https://edmondsonsupply.com/collections/hvac/products/fresh-aire-uv-tuvl-215p-2-year-blue-tube-replacement-uv-lamp", "https://edmondsonsupply.com/collections/hvac/products/fresh-aire-uv-tuvl-215p-2-year-blue-tube-replacement-uv-lamp")</f>
        <v/>
      </c>
      <c r="B3154" s="2">
        <f>HYPERLINK("https://edmondsonsupply.com/products/fresh-aire-uv-tuvl-215p-2-year-blue-tube-replacement-uv-lamp", "https://edmondsonsupply.com/products/fresh-aire-uv-tuvl-215p-2-year-blue-tube-replacement-uv-lamp")</f>
        <v/>
      </c>
      <c r="C3154" t="inlineStr">
        <is>
          <t>Fresh-Aire UV TUVL-215P, 2-Year Blue-Tube Replacement UV Lamp</t>
        </is>
      </c>
      <c r="D3154" t="inlineStr">
        <is>
          <t>TUVL-215P, TUVL-200-E, TUVL-215, 15" OEM Quality Premium Compatible Lamp Bulb, Lamp for Fresh Air Blue-Tube, AHU Series 1, and APCO MAG 15, (Bulb has The Notch on The Base) Guaranteed for One Year</t>
        </is>
      </c>
      <c r="E3154" s="2">
        <f>HYPERLINK("https://www.amazon.com/TUVL-215P-TUVL-200-Compatible-Blue-Tube-Guaranteed/dp/B0BDSHMM2T/ref=sr_1_3?keywords=Fresh-Aire+UV+TUVL-215P%2C+2-Year+Blue-Tube+Replacement+UV+Lamp&amp;qid=1694734568&amp;sr=8-3", "https://www.amazon.com/TUVL-215P-TUVL-200-Compatible-Blue-Tube-Guaranteed/dp/B0BDSHMM2T/ref=sr_1_3?keywords=Fresh-Aire+UV+TUVL-215P%2C+2-Year+Blue-Tube+Replacement+UV+Lamp&amp;qid=1694734568&amp;sr=8-3")</f>
        <v/>
      </c>
      <c r="F3154" t="inlineStr">
        <is>
          <t>B0BDSHMM2T</t>
        </is>
      </c>
      <c r="G3154">
        <f>_xlfn.IMAGE("https://edmondsonsupply.com/cdn/shop/products/TUVL-215P.jpg?v=1633030216")</f>
        <v/>
      </c>
      <c r="H3154">
        <f>_xlfn.IMAGE("https://m.media-amazon.com/images/I/41gWfJy0fWL._AC_UL320_.jpg")</f>
        <v/>
      </c>
      <c r="K3154" t="inlineStr">
        <is>
          <t>108.03</t>
        </is>
      </c>
      <c r="L3154" t="n">
        <v>34.99</v>
      </c>
      <c r="M3154" s="1" t="inlineStr">
        <is>
          <t>-67.61%</t>
        </is>
      </c>
      <c r="N3154" s="7" t="n">
        <v>100.11</v>
      </c>
      <c r="O3154" t="n">
        <v>4.1</v>
      </c>
      <c r="P3154" t="n">
        <v>37</v>
      </c>
      <c r="R3154" t="inlineStr">
        <is>
          <t>InStock</t>
        </is>
      </c>
      <c r="S3154" t="inlineStr">
        <is>
          <t>undefined</t>
        </is>
      </c>
      <c r="T3154" t="inlineStr">
        <is>
          <t>4452670537828</t>
        </is>
      </c>
    </row>
    <row r="3155" ht="87" customHeight="1">
      <c r="A3155" s="2">
        <f>HYPERLINK("https://edmondsonsupply.com/collections/hvac/products/icm-controls-icm450-3-phase-line-voltage-monitor", "https://edmondsonsupply.com/collections/hvac/products/icm-controls-icm450-3-phase-line-voltage-monitor")</f>
        <v/>
      </c>
      <c r="B3155" s="2">
        <f>HYPERLINK("https://edmondsonsupply.com/products/icm-controls-icm450-3-phase-line-voltage-monitor", "https://edmondsonsupply.com/products/icm-controls-icm450-3-phase-line-voltage-monitor")</f>
        <v/>
      </c>
      <c r="C3155" t="inlineStr">
        <is>
          <t>ICM Controls ICM450A 3 Phase Line Voltage Monitor</t>
        </is>
      </c>
      <c r="D3155" t="inlineStr">
        <is>
          <t>ICM Controls ICM401 Three-Phase Line Voltage Monitor Offering Protection Against Phase Loss/Reversal and Unbalance; 50/60 Hz, 190-600 VAC (18-30 Control VAC)</t>
        </is>
      </c>
      <c r="E3155" s="2">
        <f>HYPERLINK("https://www.amazon.com/ICM-Controls-ICM401-Three-Phase-Protection/dp/B004I5817C/ref=sr_1_3?keywords=ICM+Controls+ICM450A+3+Phase+Line+Voltage+Monitor&amp;qid=1694734635&amp;sr=8-3", "https://www.amazon.com/ICM-Controls-ICM401-Three-Phase-Protection/dp/B004I5817C/ref=sr_1_3?keywords=ICM+Controls+ICM450A+3+Phase+Line+Voltage+Monitor&amp;qid=1694734635&amp;sr=8-3")</f>
        <v/>
      </c>
      <c r="F3155" t="inlineStr">
        <is>
          <t>B004I5817C</t>
        </is>
      </c>
      <c r="G3155">
        <f>_xlfn.IMAGE("https://edmondsonsupply.com/cdn/shop/products/450A.png?v=1666732398")</f>
        <v/>
      </c>
      <c r="H3155">
        <f>_xlfn.IMAGE("https://m.media-amazon.com/images/I/61T2FryJHhL._AC_UL320_.jpg")</f>
        <v/>
      </c>
      <c r="K3155" t="inlineStr">
        <is>
          <t>149.99</t>
        </is>
      </c>
      <c r="L3155" t="n">
        <v>48.5</v>
      </c>
      <c r="M3155" s="1" t="inlineStr">
        <is>
          <t>-67.66%</t>
        </is>
      </c>
      <c r="N3155" s="7" t="n">
        <v>100.11</v>
      </c>
      <c r="O3155" t="n">
        <v>4.1</v>
      </c>
      <c r="P3155" t="n">
        <v>11</v>
      </c>
      <c r="R3155" t="inlineStr">
        <is>
          <t>InStock</t>
        </is>
      </c>
      <c r="S3155" t="inlineStr">
        <is>
          <t>202.72</t>
        </is>
      </c>
      <c r="T3155" t="inlineStr">
        <is>
          <t>7861482062040</t>
        </is>
      </c>
    </row>
    <row r="3156" hidden="1" ht="15.75" customHeight="1">
      <c r="A3156" s="2">
        <f>HYPERLINK("https://edmondsonsupply.com/collections/hvac/products/greenlee-dtap1-4-20-drill-tap-1-4-20", "https://edmondsonsupply.com/collections/hvac/products/greenlee-dtap1-4-20-drill-tap-1-4-20")</f>
        <v/>
      </c>
      <c r="B3156" s="2">
        <f>HYPERLINK("https://edmondsonsupply.com/products/greenlee-dtap1-4-20-drill-tap-1-4-20", "https://edmondsonsupply.com/products/greenlee-dtap1-4-20-drill-tap-1-4-20")</f>
        <v/>
      </c>
      <c r="C3156" t="inlineStr">
        <is>
          <t>Greenlee DTAP1/4-20 Drill/Tap, 1/4-20</t>
        </is>
      </c>
      <c r="D3156" t="inlineStr">
        <is>
          <t>Drill America - DWT57129 1/4"-20 High Speed Steel 2 Flute Spiral Point Tap, DWT Series</t>
        </is>
      </c>
      <c r="E3156" s="2">
        <f>HYPERLINK("https://www.amazon.com/Drill-America-DWT57129-Qualtech-High-Speed/dp/B00BD5Q0BE/ref=sr_1_16?keywords=Greenlee+DTAP1%2F4-20+Drill%2FTap%2C+1%2F4-20&amp;qid=1694734812&amp;sr=8-16", "https://www.amazon.com/Drill-America-DWT57129-Qualtech-High-Speed/dp/B00BD5Q0BE/ref=sr_1_16?keywords=Greenlee+DTAP1%2F4-20+Drill%2FTap%2C+1%2F4-20&amp;qid=1694734812&amp;sr=8-16")</f>
        <v/>
      </c>
      <c r="F3156" t="inlineStr">
        <is>
          <t>B00BD5Q0BE</t>
        </is>
      </c>
      <c r="G3156">
        <f>_xludf.IMAGE("https://edmondsonsupply.com/cdn/shop/products/DTAP1-4-20.jpg?v=1587151009")</f>
        <v/>
      </c>
      <c r="H3156">
        <f>_xludf.IMAGE("https://m.media-amazon.com/images/I/61wJyK5k6FL._AC_UL320_.jpg")</f>
        <v/>
      </c>
      <c r="K3156" t="inlineStr">
        <is>
          <t>8.99</t>
        </is>
      </c>
      <c r="L3156" t="n">
        <v>2.89</v>
      </c>
      <c r="M3156" s="1" t="inlineStr">
        <is>
          <t>-67.85%</t>
        </is>
      </c>
      <c r="N3156" s="1" t="n">
        <v>100.1</v>
      </c>
      <c r="O3156" t="n">
        <v>4.4</v>
      </c>
      <c r="P3156" t="n">
        <v>1279</v>
      </c>
      <c r="R3156" t="inlineStr">
        <is>
          <t>InStock</t>
        </is>
      </c>
      <c r="S3156" t="inlineStr">
        <is>
          <t>9.7</t>
        </is>
      </c>
      <c r="T3156" t="inlineStr">
        <is>
          <t>4395885199460</t>
        </is>
      </c>
    </row>
    <row r="3157" hidden="1" ht="15.75" customHeight="1">
      <c r="A3157" s="2">
        <f>HYPERLINK("https://edmondsonsupply.com/collections/hvac/products/klein-tools-65064-2-in-1-hex-head-screwdriver-1-4-5-16", "https://edmondsonsupply.com/collections/hvac/products/klein-tools-65064-2-in-1-hex-head-screwdriver-1-4-5-16")</f>
        <v/>
      </c>
      <c r="B3157" s="2">
        <f>HYPERLINK("https://edmondsonsupply.com/products/klein-tools-65064-2-in-1-hex-head-screwdriver-1-4-5-16", "https://edmondsonsupply.com/products/klein-tools-65064-2-in-1-hex-head-screwdriver-1-4-5-16")</f>
        <v/>
      </c>
      <c r="C3157" t="inlineStr">
        <is>
          <t>Klein Tools 65064 2-in-1 Nut Driver, Hex Head, 1/4-Inch and 5/16-Inch</t>
        </is>
      </c>
      <c r="D3157" t="inlineStr">
        <is>
          <t>Klein Tools 32483 Bit for 11-in-1 and 10-in-1 Klein Screwdriver Nut Driver, #2 Phillips, 1/4-Inch Slotted</t>
        </is>
      </c>
      <c r="E3157" s="2">
        <f>HYPERLINK("https://www.amazon.com/Klein-Tools-32483-Screwdriver-Phillips/dp/B000936PUC/ref=sr_1_9?keywords=Klein+Tools+65064+2-in-1+Nut+Driver%2C+Hex+Head%2C+1%2F4-Inch+and+5%2F16-Inch&amp;qid=1694734734&amp;sr=8-9", "https://www.amazon.com/Klein-Tools-32483-Screwdriver-Phillips/dp/B000936PUC/ref=sr_1_9?keywords=Klein+Tools+65064+2-in-1+Nut+Driver%2C+Hex+Head%2C+1%2F4-Inch+and+5%2F16-Inch&amp;qid=1694734734&amp;sr=8-9")</f>
        <v/>
      </c>
      <c r="F3157" t="inlineStr">
        <is>
          <t>B000936PUC</t>
        </is>
      </c>
      <c r="G3157">
        <f>_xludf.IMAGE("https://edmondsonsupply.com/cdn/shop/products/65064.jpg?v=1587147719")</f>
        <v/>
      </c>
      <c r="H3157">
        <f>_xludf.IMAGE("https://m.media-amazon.com/images/I/51KFiDupheL._AC_UL320_.jpg")</f>
        <v/>
      </c>
      <c r="K3157" t="inlineStr">
        <is>
          <t>15.97</t>
        </is>
      </c>
      <c r="L3157" t="n">
        <v>4.99</v>
      </c>
      <c r="M3157" s="1" t="inlineStr">
        <is>
          <t>-68.75%</t>
        </is>
      </c>
      <c r="N3157" s="1" t="n">
        <v>100.09</v>
      </c>
      <c r="O3157" t="n">
        <v>4.7</v>
      </c>
      <c r="P3157" t="n">
        <v>4262</v>
      </c>
      <c r="R3157" t="inlineStr">
        <is>
          <t>InStock</t>
        </is>
      </c>
      <c r="S3157" t="inlineStr">
        <is>
          <t>23.36</t>
        </is>
      </c>
      <c r="T3157" t="inlineStr">
        <is>
          <t>1707342889060</t>
        </is>
      </c>
    </row>
    <row r="3158" hidden="1" ht="15.75" customHeight="1">
      <c r="A3158" s="2">
        <f>HYPERLINK("https://edmondsonsupply.com/collections/hvac/products/klein-tools-32314-14-in-1-precision-screwdriver-nut-driver", "https://edmondsonsupply.com/collections/hvac/products/klein-tools-32314-14-in-1-precision-screwdriver-nut-driver")</f>
        <v/>
      </c>
      <c r="B3158" s="2">
        <f>HYPERLINK("https://edmondsonsupply.com/products/klein-tools-32314-14-in-1-precision-screwdriver-nut-driver", "https://edmondsonsupply.com/products/klein-tools-32314-14-in-1-precision-screwdriver-nut-driver")</f>
        <v/>
      </c>
      <c r="C3158" t="inlineStr">
        <is>
          <t>Klein Tools 32314 14-in-1 Precision Screwdriver/ Nut Driver</t>
        </is>
      </c>
      <c r="D3158" t="inlineStr">
        <is>
          <t>Klein Tools 32483 Bit for 11-in-1 and 10-in-1 Klein Screwdriver Nut Driver, #2 Phillips, 1/4-Inch Slotted</t>
        </is>
      </c>
      <c r="E3158" s="2">
        <f>HYPERLINK("https://www.amazon.com/Klein-Tools-32483-Screwdriver-Phillips/dp/B000936PUC/ref=sr_1_21?keywords=Klein+Tools+32314+14-in-1+Precision+Screwdriver%2F+Nut+Driver&amp;qid=1694734697&amp;sr=8-21", "https://www.amazon.com/Klein-Tools-32483-Screwdriver-Phillips/dp/B000936PUC/ref=sr_1_21?keywords=Klein+Tools+32314+14-in-1+Precision+Screwdriver%2F+Nut+Driver&amp;qid=1694734697&amp;sr=8-21")</f>
        <v/>
      </c>
      <c r="F3158" t="inlineStr">
        <is>
          <t>B000936PUC</t>
        </is>
      </c>
      <c r="G3158">
        <f>_xludf.IMAGE("https://edmondsonsupply.com/cdn/shop/products/32314.jpg?v=1646593726")</f>
        <v/>
      </c>
      <c r="H3158">
        <f>_xludf.IMAGE("https://m.media-amazon.com/images/I/51KFiDupheL._AC_UL320_.jpg")</f>
        <v/>
      </c>
      <c r="K3158" t="inlineStr">
        <is>
          <t>15.97</t>
        </is>
      </c>
      <c r="L3158" t="n">
        <v>4.99</v>
      </c>
      <c r="M3158" s="1" t="inlineStr">
        <is>
          <t>-68.75%</t>
        </is>
      </c>
      <c r="N3158" s="1" t="n">
        <v>100.08</v>
      </c>
      <c r="O3158" t="n">
        <v>4.7</v>
      </c>
      <c r="P3158" t="n">
        <v>4262</v>
      </c>
      <c r="R3158" t="inlineStr">
        <is>
          <t>InStock</t>
        </is>
      </c>
      <c r="S3158" t="inlineStr">
        <is>
          <t>22.38</t>
        </is>
      </c>
      <c r="T3158" t="inlineStr">
        <is>
          <t>7626984947928</t>
        </is>
      </c>
    </row>
    <row r="3159" ht="87" customHeight="1">
      <c r="A3159" s="2">
        <f>HYPERLINK("https://edmondsonsupply.com/collections/hvac/products/nu-calgon-4773-0-clean-connect-sprayer", "https://edmondsonsupply.com/collections/hvac/products/nu-calgon-4773-0-clean-connect-sprayer")</f>
        <v/>
      </c>
      <c r="B3159" s="2">
        <f>HYPERLINK("https://edmondsonsupply.com/products/nu-calgon-4773-0-clean-connect-sprayer", "https://edmondsonsupply.com/products/nu-calgon-4773-0-clean-connect-sprayer")</f>
        <v/>
      </c>
      <c r="C3159" t="inlineStr">
        <is>
          <t>Nu-Calgon 4773-0 Clean Connect Sprayer</t>
        </is>
      </c>
      <c r="D3159" t="inlineStr">
        <is>
          <t>Nu-Calgon 4372-24 TriClean 2X Concentrate Coil Cleaning Sprayer with Hose Connector, 1 Quart</t>
        </is>
      </c>
      <c r="E3159" s="2">
        <f>HYPERLINK("https://www.amazon.com/TriClean-Concentrate-Coil-Cleaner-Connector/dp/B01FCABBQO/ref=sr_1_5?keywords=Nu-Calgon+4773-0+Clean+Connect+Sprayer&amp;qid=1694734757&amp;sr=8-5", "https://www.amazon.com/TriClean-Concentrate-Coil-Cleaner-Connector/dp/B01FCABBQO/ref=sr_1_5?keywords=Nu-Calgon+4773-0+Clean+Connect+Sprayer&amp;qid=1694734757&amp;sr=8-5")</f>
        <v/>
      </c>
      <c r="F3159" t="inlineStr">
        <is>
          <t>B01FCABBQO</t>
        </is>
      </c>
      <c r="G3159">
        <f>_xlfn.IMAGE("https://edmondsonsupply.com/cdn/shop/products/4773-0_20200416.png?v=1667507119")</f>
        <v/>
      </c>
      <c r="H3159">
        <f>_xlfn.IMAGE("https://m.media-amazon.com/images/I/31wneIxbHyL._AC_UL320_.jpg")</f>
        <v/>
      </c>
      <c r="K3159" t="inlineStr">
        <is>
          <t>119.91</t>
        </is>
      </c>
      <c r="L3159" t="n">
        <v>36.87</v>
      </c>
      <c r="M3159" s="1" t="inlineStr">
        <is>
          <t>-69.25%</t>
        </is>
      </c>
      <c r="N3159" s="7" t="n">
        <v>100.07</v>
      </c>
      <c r="O3159" t="n">
        <v>5</v>
      </c>
      <c r="P3159" t="n">
        <v>1</v>
      </c>
      <c r="R3159" t="inlineStr">
        <is>
          <t>InStock</t>
        </is>
      </c>
      <c r="S3159" t="inlineStr">
        <is>
          <t>159.88</t>
        </is>
      </c>
      <c r="T3159" t="inlineStr">
        <is>
          <t>7874094694616</t>
        </is>
      </c>
    </row>
    <row r="3160" ht="87" customHeight="1">
      <c r="A3160" s="2">
        <f>HYPERLINK("https://edmondsonsupply.com/collections/hvac/products/icm-controls-icm450a-3-phase-line-voltage-monitor-with-modbus", "https://edmondsonsupply.com/collections/hvac/products/icm-controls-icm450a-3-phase-line-voltage-monitor-with-modbus")</f>
        <v/>
      </c>
      <c r="B3160" s="2">
        <f>HYPERLINK("https://edmondsonsupply.com/products/icm-controls-icm450a-3-phase-line-voltage-monitor-with-modbus", "https://edmondsonsupply.com/products/icm-controls-icm450a-3-phase-line-voltage-monitor-with-modbus")</f>
        <v/>
      </c>
      <c r="C3160" t="inlineStr">
        <is>
          <t>ICM Controls ICM450A+ 3 Phase Line Voltage Monitor with MODBUS</t>
        </is>
      </c>
      <c r="D3160" t="inlineStr">
        <is>
          <t>ICM Controls ICM401 Three-Phase Line Voltage Monitor Offering Protection Against Phase Loss/Reversal and Unbalance; 50/60 Hz, 190-600 VAC (18-30 Control VAC)</t>
        </is>
      </c>
      <c r="E3160" s="2">
        <f>HYPERLINK("https://www.amazon.com/ICM-Controls-ICM401-Three-Phase-Protection/dp/B004I5817C/ref=sr_1_4?keywords=ICM+Controls+ICM450A%2B+3+Phase+Line+Voltage+Monitor+with+MODBUS&amp;qid=1694734610&amp;sr=8-4", "https://www.amazon.com/ICM-Controls-ICM401-Three-Phase-Protection/dp/B004I5817C/ref=sr_1_4?keywords=ICM+Controls+ICM450A%2B+3+Phase+Line+Voltage+Monitor+with+MODBUS&amp;qid=1694734610&amp;sr=8-4")</f>
        <v/>
      </c>
      <c r="F3160" t="inlineStr">
        <is>
          <t>B004I5817C</t>
        </is>
      </c>
      <c r="G3160">
        <f>_xlfn.IMAGE("https://edmondsonsupply.com/cdn/shop/products/Screenshot2023-03-12144636.png?v=1678647085")</f>
        <v/>
      </c>
      <c r="H3160">
        <f>_xlfn.IMAGE("https://m.media-amazon.com/images/I/61T2FryJHhL._AC_UL320_.jpg")</f>
        <v/>
      </c>
      <c r="K3160" t="inlineStr">
        <is>
          <t>160.99</t>
        </is>
      </c>
      <c r="L3160" t="n">
        <v>48.5</v>
      </c>
      <c r="M3160" s="1" t="inlineStr">
        <is>
          <t>-69.87%</t>
        </is>
      </c>
      <c r="N3160" s="7" t="n">
        <v>100.07</v>
      </c>
      <c r="O3160" t="n">
        <v>4.1</v>
      </c>
      <c r="P3160" t="n">
        <v>11</v>
      </c>
      <c r="R3160" t="inlineStr">
        <is>
          <t>InStock</t>
        </is>
      </c>
      <c r="S3160" t="inlineStr">
        <is>
          <t>219.15</t>
        </is>
      </c>
      <c r="T3160" t="inlineStr">
        <is>
          <t>7960731943128</t>
        </is>
      </c>
    </row>
    <row r="3161" ht="87" customHeight="1">
      <c r="A3161" s="2">
        <f>HYPERLINK("https://edmondsonsupply.com/collections/hvac/products/milwaukee-48-11-2430-m12%E2%84%A2-redlithium%E2%84%A2-3-0-compact-battery-pack", "https://edmondsonsupply.com/collections/hvac/products/milwaukee-48-11-2430-m12%E2%84%A2-redlithium%E2%84%A2-3-0-compact-battery-pack")</f>
        <v/>
      </c>
      <c r="B3161" s="2">
        <f>HYPERLINK("https://edmondsonsupply.com/products/milwaukee-48-11-2430-m12%e2%84%a2-redlithium%e2%84%a2-3-0-compact-battery-pack", "https://edmondsonsupply.com/products/milwaukee-48-11-2430-m12%e2%84%a2-redlithium%e2%84%a2-3-0-compact-battery-pack")</f>
        <v/>
      </c>
      <c r="C3161" t="inlineStr">
        <is>
          <t>Milwaukee 48-11-2430 M12™ REDLITHIUM™ 3.0 Compact Battery Pack</t>
        </is>
      </c>
      <c r="D3161" t="inlineStr">
        <is>
          <t>Dosctt 2 Packs 3.0Ah 12 Volt 48-11-2430 Replacement Battery Compatible with Milwaukee 12V Battery Lithium 48-11-2420 48-11-2425 48-11-2401 48-11-2402 48-11-2440 48-11-2460</t>
        </is>
      </c>
      <c r="E3161" s="2">
        <f>HYPERLINK("https://www.amazon.com/Dosctt-48-11-2430-Replacement-Compatible-48-11-2420/dp/B08H21NVMH/ref=sr_1_3?keywords=Milwaukee+48-11-2430+M12%E2%84%A2+REDLITHIUM%E2%84%A2+3.0+Compact+Battery+Pack&amp;qid=1694734812&amp;sr=8-3", "https://www.amazon.com/Dosctt-48-11-2430-Replacement-Compatible-48-11-2420/dp/B08H21NVMH/ref=sr_1_3?keywords=Milwaukee+48-11-2430+M12%E2%84%A2+REDLITHIUM%E2%84%A2+3.0+Compact+Battery+Pack&amp;qid=1694734812&amp;sr=8-3")</f>
        <v/>
      </c>
      <c r="F3161" t="inlineStr">
        <is>
          <t>B08H21NVMH</t>
        </is>
      </c>
      <c r="G3161">
        <f>_xlfn.IMAGE("https://edmondsonsupply.com/cdn/shop/products/48-11-2430.png?v=1587142488")</f>
        <v/>
      </c>
      <c r="H3161">
        <f>_xlfn.IMAGE("https://m.media-amazon.com/images/I/61gmvk8teAL._AC_UL320_.jpg")</f>
        <v/>
      </c>
      <c r="K3161" t="inlineStr">
        <is>
          <t>69.0</t>
        </is>
      </c>
      <c r="L3161" t="n">
        <v>20.39</v>
      </c>
      <c r="M3161" s="1" t="inlineStr">
        <is>
          <t>-70.45%</t>
        </is>
      </c>
      <c r="N3161" s="7" t="n">
        <v>100.06</v>
      </c>
      <c r="O3161" t="n">
        <v>4.3</v>
      </c>
      <c r="P3161" t="n">
        <v>107</v>
      </c>
      <c r="R3161" t="inlineStr">
        <is>
          <t>InStock</t>
        </is>
      </c>
      <c r="S3161" t="inlineStr">
        <is>
          <t>117.0</t>
        </is>
      </c>
      <c r="T3161" t="inlineStr">
        <is>
          <t>4385431912548</t>
        </is>
      </c>
    </row>
    <row r="3162" ht="87" customHeight="1">
      <c r="A3162" s="2">
        <f>HYPERLINK("https://edmondsonsupply.com/collections/hvac/products/bacharach-h-10-pro-refrigerant-leak-detector", "https://edmondsonsupply.com/collections/hvac/products/bacharach-h-10-pro-refrigerant-leak-detector")</f>
        <v/>
      </c>
      <c r="B3162" s="2">
        <f>HYPERLINK("https://edmondsonsupply.com/products/bacharach-h-10-pro-refrigerant-leak-detector", "https://edmondsonsupply.com/products/bacharach-h-10-pro-refrigerant-leak-detector")</f>
        <v/>
      </c>
      <c r="C3162" t="inlineStr">
        <is>
          <t>Bacharach H-10 PRO Refrigerant Leak Detector</t>
        </is>
      </c>
      <c r="D3162" t="inlineStr">
        <is>
          <t>Xetron[Flagship] Infrared Refrigerant Leak Detector A2L Compatible [R1234YF R134A R410A R22], HVAC Anti-Interference 10-Yr. Sensor Automotive AC Mute Rechargeable Freon Sniffer with an Extended 12inch</t>
        </is>
      </c>
      <c r="E3162" s="2">
        <f>HYPERLINK("https://www.amazon.com/Xetron-Anti-Interference-Infrared-Refrigerant-Automotive/dp/B09Q5MVSHQ/ref=sr_1_29?keywords=Bacharach+H-10+PRO+Refrigerant+Leak+Detector&amp;qid=1694734698&amp;sr=8-29", "https://www.amazon.com/Xetron-Anti-Interference-Infrared-Refrigerant-Automotive/dp/B09Q5MVSHQ/ref=sr_1_29?keywords=Bacharach+H-10+PRO+Refrigerant+Leak+Detector&amp;qid=1694734698&amp;sr=8-29")</f>
        <v/>
      </c>
      <c r="F3162" t="inlineStr">
        <is>
          <t>B09Q5MVSHQ</t>
        </is>
      </c>
      <c r="G3162">
        <f>_xlfn.IMAGE("https://edmondsonsupply.com/cdn/shop/products/featured-h-10-pro-refrigerant-leak-detector.jpg?v=1635555994")</f>
        <v/>
      </c>
      <c r="H3162">
        <f>_xlfn.IMAGE("https://m.media-amazon.com/images/I/611Afx2V-dL._AC_UL320_.jpg")</f>
        <v/>
      </c>
      <c r="K3162" t="inlineStr">
        <is>
          <t>657.72</t>
        </is>
      </c>
      <c r="L3162" t="n">
        <v>188.1</v>
      </c>
      <c r="M3162" s="1" t="inlineStr">
        <is>
          <t>-71.40%</t>
        </is>
      </c>
      <c r="N3162" s="7" t="n">
        <v>100.04</v>
      </c>
      <c r="O3162" t="n">
        <v>4.6</v>
      </c>
      <c r="P3162" t="n">
        <v>45</v>
      </c>
      <c r="R3162" t="inlineStr">
        <is>
          <t>InStock</t>
        </is>
      </c>
      <c r="S3162" t="inlineStr">
        <is>
          <t>undefined</t>
        </is>
      </c>
      <c r="T3162" t="inlineStr">
        <is>
          <t>7354561102040</t>
        </is>
      </c>
    </row>
    <row r="3163" ht="87" customHeight="1">
      <c r="A3163" s="2">
        <f>HYPERLINK("https://edmondsonsupply.com/collections/hvac/products/inficon-d-tek-3", "https://edmondsonsupply.com/collections/hvac/products/inficon-d-tek-3")</f>
        <v/>
      </c>
      <c r="B3163" s="2">
        <f>HYPERLINK("https://edmondsonsupply.com/products/inficon-d-tek-3", "https://edmondsonsupply.com/products/inficon-d-tek-3")</f>
        <v/>
      </c>
      <c r="C3163" t="inlineStr">
        <is>
          <t>Inficon D-TEK® 3 Refrigerant Leak Detector</t>
        </is>
      </c>
      <c r="D3163" t="inlineStr">
        <is>
          <t>Refrigerant Leak Detector, Aprvtio ALD-200 Freon Leak Detector, Freon Sniffer Automotive Halogen Gas Leak Detector for R134A R410A R22 R1234YF R600a R290 CFCs HCFCs HFCs HCs HFOs</t>
        </is>
      </c>
      <c r="E3163" s="2">
        <f>HYPERLINK("https://www.amazon.com/Refrigerant-Detector-Aprvtio-Rechargeable-Refrigerator/dp/B095S6S6GY/ref=sr_1_17?keywords=Inficon+D-TEK%C2%AE+3+Refrigerant+Leak+Detector&amp;qid=1694734644&amp;sr=8-17", "https://www.amazon.com/Refrigerant-Detector-Aprvtio-Rechargeable-Refrigerator/dp/B095S6S6GY/ref=sr_1_17?keywords=Inficon+D-TEK%C2%AE+3+Refrigerant+Leak+Detector&amp;qid=1694734644&amp;sr=8-17")</f>
        <v/>
      </c>
      <c r="F3163" t="inlineStr">
        <is>
          <t>B095S6S6GY</t>
        </is>
      </c>
      <c r="G3163">
        <f>_xlfn.IMAGE("https://edmondsonsupply.com/cdn/shop/products/dtek3.png?v=1633030772")</f>
        <v/>
      </c>
      <c r="H3163">
        <f>_xlfn.IMAGE("https://m.media-amazon.com/images/I/51IN5teXxVL._AC_UL320_.jpg")</f>
        <v/>
      </c>
      <c r="K3163" t="inlineStr">
        <is>
          <t>516.99</t>
        </is>
      </c>
      <c r="L3163" t="n">
        <v>139.99</v>
      </c>
      <c r="M3163" s="1" t="inlineStr">
        <is>
          <t>-72.92%</t>
        </is>
      </c>
      <c r="N3163" s="7" t="n">
        <v>100.03</v>
      </c>
      <c r="O3163" t="n">
        <v>4.4</v>
      </c>
      <c r="P3163" t="n">
        <v>67</v>
      </c>
      <c r="R3163" t="inlineStr">
        <is>
          <t>InStock</t>
        </is>
      </c>
      <c r="S3163" t="inlineStr">
        <is>
          <t>645.0</t>
        </is>
      </c>
      <c r="T3163" t="inlineStr">
        <is>
          <t>5950406623400</t>
        </is>
      </c>
    </row>
    <row r="3164" ht="87" customHeight="1">
      <c r="A3164" s="2">
        <f>HYPERLINK("https://edmondsonsupply.com/collections/hvac/products/icm-controls-icm289-furnace-control-board-replacement-for-lennox", "https://edmondsonsupply.com/collections/hvac/products/icm-controls-icm289-furnace-control-board-replacement-for-lennox")</f>
        <v/>
      </c>
      <c r="B3164" s="2">
        <f>HYPERLINK("https://edmondsonsupply.com/products/icm-controls-icm289-furnace-control-board-replacement-for-lennox", "https://edmondsonsupply.com/products/icm-controls-icm289-furnace-control-board-replacement-for-lennox")</f>
        <v/>
      </c>
      <c r="C3164" t="inlineStr">
        <is>
          <t>ICM Controls ICM289 Furnace Control Board - Replacement for Lennox</t>
        </is>
      </c>
      <c r="D3164" t="inlineStr">
        <is>
          <t>ICM Controls ICM273 Fan Blower Control Replacement for EMI 240000-969 Control Boards</t>
        </is>
      </c>
      <c r="E3164" s="2">
        <f>HYPERLINK("https://www.amazon.com/ICM-Controls-ICM273-Replacement-240000-969/dp/B004I55GTI/ref=sr_1_23?keywords=ICM+Controls+ICM289+Furnace+Control+Board+-+Replacement+for+Lennox&amp;qid=1694734661&amp;sr=8-23", "https://www.amazon.com/ICM-Controls-ICM273-Replacement-240000-969/dp/B004I55GTI/ref=sr_1_23?keywords=ICM+Controls+ICM289+Furnace+Control+Board+-+Replacement+for+Lennox&amp;qid=1694734661&amp;sr=8-23")</f>
        <v/>
      </c>
      <c r="F3164" t="inlineStr">
        <is>
          <t>B004I55GTI</t>
        </is>
      </c>
      <c r="G3164">
        <f>_xlfn.IMAGE("https://edmondsonsupply.com/cdn/shop/products/photo_3601_medium_abc82be0-5d13-465a-9be5-04a6748e2d27.png?v=1656728911")</f>
        <v/>
      </c>
      <c r="H3164">
        <f>_xlfn.IMAGE("https://m.media-amazon.com/images/I/61nv2wT3F+L._AC_UL320_.jpg")</f>
        <v/>
      </c>
      <c r="K3164" t="inlineStr">
        <is>
          <t>134.99</t>
        </is>
      </c>
      <c r="L3164" t="n">
        <v>36.13</v>
      </c>
      <c r="M3164" s="1" t="inlineStr">
        <is>
          <t>-73.24%</t>
        </is>
      </c>
      <c r="N3164" s="7" t="n">
        <v>100.02</v>
      </c>
      <c r="O3164" t="n">
        <v>5</v>
      </c>
      <c r="P3164" t="n">
        <v>2</v>
      </c>
      <c r="R3164" t="inlineStr">
        <is>
          <t>OutOfStock</t>
        </is>
      </c>
      <c r="S3164" t="inlineStr">
        <is>
          <t>198.98</t>
        </is>
      </c>
      <c r="T3164" t="inlineStr">
        <is>
          <t>7735114432728</t>
        </is>
      </c>
    </row>
    <row r="3165" ht="87" customHeight="1">
      <c r="A3165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165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165" t="inlineStr">
        <is>
          <t>Diablo Tools DMAMX1300 1-1/4 in. x 16 in. x 21 in. Rebar Demon™ SDS-Max 4-Cutter Full Carbide Head Hammer Drill Bit</t>
        </is>
      </c>
      <c r="D3165" t="inlineStr">
        <is>
          <t>Diablo by Freud Diablo DMAPL4190 1/2 in. x 10 in. x 12 in. Rebar Demon SDS-Plus 4-Cutter Full Carbide Head Hammer Bit</t>
        </is>
      </c>
      <c r="E3165" s="2">
        <f>HYPERLINK("https://www.amazon.com/Diablo-Freud-DMAPL4190-SDS-Plus-4-Cutter/dp/B089LJZ25M/ref=sr_1_26?keywords=Diablo+Tools+DMAMX1300+1-1%2F4+in.+x+16+in.+x+21+in.+Rebar+Demon%E2%84%A2+SDS-Max+4-Cutter+Full+Carbide+Head+Hammer+Drill+Bit&amp;qid=1694734676&amp;sr=8-26", "https://www.amazon.com/Diablo-Freud-DMAPL4190-SDS-Plus-4-Cutter/dp/B089LJZ25M/ref=sr_1_26?keywords=Diablo+Tools+DMAMX1300+1-1%2F4+in.+x+16+in.+x+21+in.+Rebar+Demon%E2%84%A2+SDS-Max+4-Cutter+Full+Carbide+Head+Hammer+Drill+Bit&amp;qid=1694734676&amp;sr=8-26")</f>
        <v/>
      </c>
      <c r="F3165" t="inlineStr">
        <is>
          <t>B089LJZ25M</t>
        </is>
      </c>
      <c r="G3165">
        <f>_xlfn.IMAGE("https://edmondsonsupply.com/cdn/shop/files/immoyh7jjmbau4fzhuq6_7dd7fd73-2865-4c12-9443-da45b48dbd51.webp?v=1685465465")</f>
        <v/>
      </c>
      <c r="H3165">
        <f>_xlfn.IMAGE("https://m.media-amazon.com/images/I/61dzudnwI8L._AC_UL320_.jpg")</f>
        <v/>
      </c>
      <c r="K3165" t="inlineStr">
        <is>
          <t>66.4</t>
        </is>
      </c>
      <c r="L3165" t="n">
        <v>17.41</v>
      </c>
      <c r="M3165" s="1" t="inlineStr">
        <is>
          <t>-73.78%</t>
        </is>
      </c>
      <c r="N3165" s="7" t="n">
        <v>100</v>
      </c>
      <c r="O3165" t="n">
        <v>4.6</v>
      </c>
      <c r="P3165" t="n">
        <v>43</v>
      </c>
      <c r="R3165" t="inlineStr">
        <is>
          <t>OutOfStock</t>
        </is>
      </c>
      <c r="S3165" t="inlineStr">
        <is>
          <t>105.4</t>
        </is>
      </c>
      <c r="T3165" t="inlineStr">
        <is>
          <t>7997856874712</t>
        </is>
      </c>
    </row>
    <row r="3166" ht="87" customHeight="1">
      <c r="A3166" s="2">
        <f>HYPERLINK("https://edmondsonsupply.com/collections/hvac/products/bacharach-h-10-pro-refrigerant-leak-detector", "https://edmondsonsupply.com/collections/hvac/products/bacharach-h-10-pro-refrigerant-leak-detector")</f>
        <v/>
      </c>
      <c r="B3166" s="2">
        <f>HYPERLINK("https://edmondsonsupply.com/products/bacharach-h-10-pro-refrigerant-leak-detector", "https://edmondsonsupply.com/products/bacharach-h-10-pro-refrigerant-leak-detector")</f>
        <v/>
      </c>
      <c r="C3166" t="inlineStr">
        <is>
          <t>Bacharach H-10 PRO Refrigerant Leak Detector</t>
        </is>
      </c>
      <c r="D3166" t="inlineStr">
        <is>
          <t>Bacharach 3015-0486 Replacement Refrigerant Sensor for Models H-10PM All-in-One Refrigerant Leak Detector and H-10G Manual Balance Refrigerant Leak Detector</t>
        </is>
      </c>
      <c r="E3166" s="2">
        <f>HYPERLINK("https://www.amazon.com/Bacharach-3015-0486-Replacement-Refrigerant-Detector/dp/B00DSVGIUE/ref=sr_1_3?keywords=Bacharach+H-10+PRO+Refrigerant+Leak+Detector&amp;qid=1694734698&amp;sr=8-3", "https://www.amazon.com/Bacharach-3015-0486-Replacement-Refrigerant-Detector/dp/B00DSVGIUE/ref=sr_1_3?keywords=Bacharach+H-10+PRO+Refrigerant+Leak+Detector&amp;qid=1694734698&amp;sr=8-3")</f>
        <v/>
      </c>
      <c r="F3166" t="inlineStr">
        <is>
          <t>B00DSVGIUE</t>
        </is>
      </c>
      <c r="G3166">
        <f>_xlfn.IMAGE("https://edmondsonsupply.com/cdn/shop/products/featured-h-10-pro-refrigerant-leak-detector.jpg?v=1635555994")</f>
        <v/>
      </c>
      <c r="H3166">
        <f>_xlfn.IMAGE("https://m.media-amazon.com/images/I/71cff7LAGrL._AC_UL320_.jpg")</f>
        <v/>
      </c>
      <c r="K3166" t="inlineStr">
        <is>
          <t>657.72</t>
        </is>
      </c>
      <c r="L3166" t="n">
        <v>168.15</v>
      </c>
      <c r="M3166" s="1" t="inlineStr">
        <is>
          <t>-74.43%</t>
        </is>
      </c>
      <c r="N3166" s="7" t="n">
        <v>100</v>
      </c>
      <c r="O3166" t="n">
        <v>4.5</v>
      </c>
      <c r="P3166" t="n">
        <v>9</v>
      </c>
      <c r="R3166" t="inlineStr">
        <is>
          <t>InStock</t>
        </is>
      </c>
      <c r="S3166" t="inlineStr">
        <is>
          <t>undefined</t>
        </is>
      </c>
      <c r="T3166" t="inlineStr">
        <is>
          <t>7354561102040</t>
        </is>
      </c>
    </row>
    <row r="3167" hidden="1" ht="15.75" customHeight="1">
      <c r="A3167" s="2">
        <f>HYPERLINK("https://edmondsonsupply.com/collections/hvac/products/yellow-jacket-78080-2-gas-test-gauge-3-4-npt-0-30-lb", "https://edmondsonsupply.com/collections/hvac/products/yellow-jacket-78080-2-gas-test-gauge-3-4-npt-0-30-lb")</f>
        <v/>
      </c>
      <c r="B3167" s="2">
        <f>HYPERLINK("https://edmondsonsupply.com/products/yellow-jacket-78080-2-gas-test-gauge-3-4-npt-0-30-lb", "https://edmondsonsupply.com/products/yellow-jacket-78080-2-gas-test-gauge-3-4-npt-0-30-lb")</f>
        <v/>
      </c>
      <c r="C3167" t="inlineStr">
        <is>
          <t>Yellow Jacket 78080 2" Gas Test Gauge - 3/4" NPT - 0-30 lb</t>
        </is>
      </c>
      <c r="D3167" t="inlineStr">
        <is>
          <t>Beauthom Gas Test Pressure Gauge 2" Steel Dual Scale Dial, 0-30psi/ 2bar, 3/4" FNPT Connection, Brass Valve, Chrome Plated Steel Body Assembly</t>
        </is>
      </c>
      <c r="E3167" s="2">
        <f>HYPERLINK("https://www.amazon.com/Beauthom-Pressure-0-30psi-Connection-Assembly/dp/B091KXKL5T/ref=sr_1_8?keywords=Yellow+Jacket+78080+2%22+Gas+Test+Gauge+-+3%2F4%22+NPT+-+0-30+lb&amp;qid=1694734707&amp;sr=8-8", "https://www.amazon.com/Beauthom-Pressure-0-30psi-Connection-Assembly/dp/B091KXKL5T/ref=sr_1_8?keywords=Yellow+Jacket+78080+2%22+Gas+Test+Gauge+-+3%2F4%22+NPT+-+0-30+lb&amp;qid=1694734707&amp;sr=8-8")</f>
        <v/>
      </c>
      <c r="F3167" t="inlineStr">
        <is>
          <t>B091KXKL5T</t>
        </is>
      </c>
      <c r="G3167">
        <f>_xludf.IMAGE("https://edmondsonsupply.com/cdn/shop/products/57_2.jpg?v=1633030928")</f>
        <v/>
      </c>
      <c r="H3167">
        <f>_xludf.IMAGE("https://m.media-amazon.com/images/I/61e+UKVVq3S._AC_UY218_.jpg")</f>
        <v/>
      </c>
      <c r="K3167" t="inlineStr">
        <is>
          <t>30.8</t>
        </is>
      </c>
      <c r="L3167" t="n">
        <v>7.77</v>
      </c>
      <c r="M3167" s="1" t="inlineStr">
        <is>
          <t>-74.77%</t>
        </is>
      </c>
      <c r="N3167" s="1" t="n">
        <v>100</v>
      </c>
      <c r="O3167" t="n">
        <v>4.3</v>
      </c>
      <c r="P3167" t="n">
        <v>8</v>
      </c>
      <c r="R3167" t="inlineStr">
        <is>
          <t>InStock</t>
        </is>
      </c>
      <c r="S3167" t="inlineStr">
        <is>
          <t>undefined</t>
        </is>
      </c>
      <c r="T3167" t="inlineStr">
        <is>
          <t>6550757965997</t>
        </is>
      </c>
    </row>
    <row r="3168" hidden="1" ht="15.75" customHeight="1">
      <c r="A3168" s="2">
        <f>HYPERLINK("https://edmondsonsupply.com/collections/hvac/products/klein-tools-jth4e17-1-2-inch-hex-key-journeyman-t-handle-4-inch-1", "https://edmondsonsupply.com/collections/hvac/products/klein-tools-jth4e17-1-2-inch-hex-key-journeyman-t-handle-4-inch-1")</f>
        <v/>
      </c>
      <c r="B3168" s="2">
        <f>HYPERLINK("https://edmondsonsupply.com/products/klein-tools-jth4e17-1-2-inch-hex-key-journeyman-t-handle-4-inch-1", "https://edmondsonsupply.com/products/klein-tools-jth4e17-1-2-inch-hex-key-journeyman-t-handle-4-inch-1")</f>
        <v/>
      </c>
      <c r="C3168" t="inlineStr">
        <is>
          <t>Klein Tools JTH4E17 1/2-Inch Hex Key, Journeyman T-Handle, 4-Inch</t>
        </is>
      </c>
      <c r="D3168" t="inlineStr">
        <is>
          <t>Klein Tools JTH6M4 4 mm Hex Key, Journeyman T-Handle, 6-Inch</t>
        </is>
      </c>
      <c r="E3168" s="2">
        <f>HYPERLINK("https://www.amazon.com/Journeyman-T-Handle-Klein-Tools-JTH6M4/dp/B005G394YO/ref=sr_1_6?keywords=Klein+Tools+JTH4E17+1%2F2-Inch+Hex+Key%2C+Journeyman+T-Handle%2C+4-Inch&amp;qid=1694734780&amp;sr=8-6", "https://www.amazon.com/Journeyman-T-Handle-Klein-Tools-JTH6M4/dp/B005G394YO/ref=sr_1_6?keywords=Klein+Tools+JTH4E17+1%2F2-Inch+Hex+Key%2C+Journeyman+T-Handle%2C+4-Inch&amp;qid=1694734780&amp;sr=8-6")</f>
        <v/>
      </c>
      <c r="F3168" t="inlineStr">
        <is>
          <t>B005G394YO</t>
        </is>
      </c>
      <c r="G3168">
        <f>_xludf.IMAGE("https://edmondsonsupply.com/cdn/shop/products/jth4e17_583549be-7b42-43c7-9c3d-a92f2416ede5.jpg?v=1610655610")</f>
        <v/>
      </c>
      <c r="H3168">
        <f>_xludf.IMAGE("https://m.media-amazon.com/images/I/51+1x0vz9XL._AC_UL320_.jpg")</f>
        <v/>
      </c>
      <c r="K3168" t="inlineStr">
        <is>
          <t>15.99</t>
        </is>
      </c>
      <c r="L3168" t="n">
        <v>3.99</v>
      </c>
      <c r="M3168" s="1" t="inlineStr">
        <is>
          <t>-75.05%</t>
        </is>
      </c>
      <c r="N3168" s="1" t="n">
        <v>100</v>
      </c>
      <c r="O3168" t="n">
        <v>4.7</v>
      </c>
      <c r="P3168" t="n">
        <v>1530</v>
      </c>
      <c r="R3168" t="inlineStr">
        <is>
          <t>InStock</t>
        </is>
      </c>
      <c r="S3168" t="inlineStr">
        <is>
          <t>24.24</t>
        </is>
      </c>
      <c r="T3168" t="inlineStr">
        <is>
          <t>6203851538605</t>
        </is>
      </c>
    </row>
    <row r="3169" hidden="1" ht="15.75" customHeight="1">
      <c r="A3169" s="2">
        <f>HYPERLINK("https://edmondsonsupply.com/collections/hvac/products/klein-tools-d2000-9neglw-hi-viz-side-cutting-pliers-high-leverage", "https://edmondsonsupply.com/collections/hvac/products/klein-tools-d2000-9neglw-hi-viz-side-cutting-pliers-high-leverage")</f>
        <v/>
      </c>
      <c r="B3169" s="2">
        <f>HYPERLINK("https://edmondsonsupply.com/products/klein-tools-d2000-9neglw-hi-viz-side-cutting-pliers-high-leverage", "https://edmondsonsupply.com/products/klein-tools-d2000-9neglw-hi-viz-side-cutting-pliers-high-leverage")</f>
        <v/>
      </c>
      <c r="C3169" t="inlineStr">
        <is>
          <t>Klein Tools D20009NEGLW High-Visibility Side-Cutting Pliers High-Leverage</t>
        </is>
      </c>
      <c r="D3169" t="inlineStr">
        <is>
          <t>YIYITOOLS Lineman's Pliers, Combination Pliers with Wire Stripper/Crimper/Cutter Function, Heavy Duty Side Cutting High-Leverage Plier, 8-1/2 inch (HX-1-002)</t>
        </is>
      </c>
      <c r="E3169" s="2">
        <f>HYPERLINK("https://www.amazon.com/YIYITOOLS-Linemans-Combination-High-Leverage-HX-1-002/dp/B08GGPGXJV/ref=sr_1_46?keywords=Klein+Tools+D20009NEGLW+High-Visibility+Side-Cutting+Pliers+High-Leverage&amp;qid=1694734809&amp;sr=8-46", "https://www.amazon.com/YIYITOOLS-Linemans-Combination-High-Leverage-HX-1-002/dp/B08GGPGXJV/ref=sr_1_46?keywords=Klein+Tools+D20009NEGLW+High-Visibility+Side-Cutting+Pliers+High-Leverage&amp;qid=1694734809&amp;sr=8-46")</f>
        <v/>
      </c>
      <c r="F3169" t="inlineStr">
        <is>
          <t>B08GGPGXJV</t>
        </is>
      </c>
      <c r="G3169">
        <f>_xludf.IMAGE("https://edmondsonsupply.com/cdn/shop/products/d20009neglw.jpg?v=1587144933")</f>
        <v/>
      </c>
      <c r="H3169">
        <f>_xludf.IMAGE("https://m.media-amazon.com/images/I/61sY7wjNvML._AC_UL320_.jpg")</f>
        <v/>
      </c>
      <c r="K3169" t="inlineStr">
        <is>
          <t>44.97</t>
        </is>
      </c>
      <c r="L3169" t="n">
        <v>10.68</v>
      </c>
      <c r="M3169" s="1" t="inlineStr">
        <is>
          <t>-76.25%</t>
        </is>
      </c>
      <c r="N3169" s="1" t="n">
        <v>100</v>
      </c>
      <c r="O3169" t="n">
        <v>4.6</v>
      </c>
      <c r="P3169" t="n">
        <v>1965</v>
      </c>
      <c r="R3169" t="inlineStr">
        <is>
          <t>InStock</t>
        </is>
      </c>
      <c r="S3169" t="inlineStr">
        <is>
          <t>68.16</t>
        </is>
      </c>
      <c r="T3169" t="inlineStr">
        <is>
          <t>4396888490084</t>
        </is>
      </c>
    </row>
    <row r="3170" hidden="1" ht="15.75" customHeight="1">
      <c r="A3170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170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170" t="inlineStr">
        <is>
          <t>Diablo Tools DMAMX1300 1-1/4 in. x 16 in. x 21 in. Rebar Demon™ SDS-Max 4-Cutter Full Carbide Head Hammer Drill Bit</t>
        </is>
      </c>
      <c r="D3170" t="inlineStr">
        <is>
          <t>Diablo DMAPL4055 3/16 in. x 10 in. x 12 in. Rebar Demon™ SDS-Plus 4-Cutter Full Carbide Head Hammer Bit</t>
        </is>
      </c>
      <c r="E3170" s="2">
        <f>HYPERLINK("https://www.amazon.com/Diablo-DMAPL4055-SDS-Plus-4-Cutter-Carbide/dp/B089LJCD42/ref=sr_1_29?keywords=Diablo+Tools+DMAMX1300+1-1%2F4+in.+x+16+in.+x+21+in.+Rebar+Demon%E2%84%A2+SDS-Max+4-Cutter+Full+Carbide+Head+Hammer+Drill+Bit&amp;qid=1694734676&amp;sr=8-29", "https://www.amazon.com/Diablo-DMAPL4055-SDS-Plus-4-Cutter-Carbide/dp/B089LJCD42/ref=sr_1_29?keywords=Diablo+Tools+DMAMX1300+1-1%2F4+in.+x+16+in.+x+21+in.+Rebar+Demon%E2%84%A2+SDS-Max+4-Cutter+Full+Carbide+Head+Hammer+Drill+Bit&amp;qid=1694734676&amp;sr=8-29")</f>
        <v/>
      </c>
      <c r="F3170" t="inlineStr">
        <is>
          <t>B089LJCD42</t>
        </is>
      </c>
      <c r="G3170">
        <f>_xludf.IMAGE("https://edmondsonsupply.com/cdn/shop/files/immoyh7jjmbau4fzhuq6_7dd7fd73-2865-4c12-9443-da45b48dbd51.webp?v=1685465465")</f>
        <v/>
      </c>
      <c r="H3170">
        <f>_xludf.IMAGE("https://m.media-amazon.com/images/I/61cDOAhkb4L._AC_UL320_.jpg")</f>
        <v/>
      </c>
      <c r="K3170" t="inlineStr">
        <is>
          <t>66.4</t>
        </is>
      </c>
      <c r="L3170" t="n">
        <v>15.76</v>
      </c>
      <c r="M3170" s="1" t="inlineStr">
        <is>
          <t>-76.27%</t>
        </is>
      </c>
      <c r="N3170" s="1" t="n">
        <v>100</v>
      </c>
      <c r="O3170" t="n">
        <v>2</v>
      </c>
      <c r="P3170" t="n">
        <v>1</v>
      </c>
      <c r="R3170" t="inlineStr">
        <is>
          <t>OutOfStock</t>
        </is>
      </c>
      <c r="S3170" t="inlineStr">
        <is>
          <t>105.4</t>
        </is>
      </c>
      <c r="T3170" t="inlineStr">
        <is>
          <t>7997856874712</t>
        </is>
      </c>
    </row>
    <row r="3171" hidden="1" ht="15.75" customHeight="1">
      <c r="A3171" s="2">
        <f>HYPERLINK("https://edmondsonsupply.com/collections/hvac/products/hilmor-1839027-tb1412-tri-tube-benders-1-4-3-8-1-2", "https://edmondsonsupply.com/collections/hvac/products/hilmor-1839027-tb1412-tri-tube-benders-1-4-3-8-1-2")</f>
        <v/>
      </c>
      <c r="B3171" s="2">
        <f>HYPERLINK("https://edmondsonsupply.com/products/hilmor-1839027-tb1412-tri-tube-benders-1-4-3-8-1-2", "https://edmondsonsupply.com/products/hilmor-1839027-tb1412-tri-tube-benders-1-4-3-8-1-2")</f>
        <v/>
      </c>
      <c r="C3171" t="inlineStr">
        <is>
          <t>Hilmor 1839027 Tri-Tube Bender - 1/4", 3/8", 1/2"</t>
        </is>
      </c>
      <c r="D3171" t="inlineStr">
        <is>
          <t>Kyuionty Spring Tubing Benders Kit for Pipe O.D. 1/4", 5/16", 3/8", 1/2", and 5/8", Tube Bender Set for Copper, Aluminum and Thin Wall Steel Tubing, 7.9" / 200mm Length, Pack of 5</t>
        </is>
      </c>
      <c r="E3171" s="2">
        <f>HYPERLINK("https://www.amazon.com/Kyuionty-Spring-Tubing-Benders-Aluminum/dp/B0BTD91W46/ref=sr_1_6?keywords=Hilmor+1839027+Tri-Tube+Bender+-+1%2F4%22%2C+3%2F8%22%2C+1%2F2%22&amp;qid=1694734830&amp;sr=8-6", "https://www.amazon.com/Kyuionty-Spring-Tubing-Benders-Aluminum/dp/B0BTD91W46/ref=sr_1_6?keywords=Hilmor+1839027+Tri-Tube+Bender+-+1%2F4%22%2C+3%2F8%22%2C+1%2F2%22&amp;qid=1694734830&amp;sr=8-6")</f>
        <v/>
      </c>
      <c r="F3171" t="inlineStr">
        <is>
          <t>B0BTD91W46</t>
        </is>
      </c>
      <c r="G3171">
        <f>_xludf.IMAGE("https://edmondsonsupply.com/cdn/shop/products/Tri-Tube_Bender2-green_glow-735x480.png?v=1643678213")</f>
        <v/>
      </c>
      <c r="H3171">
        <f>_xludf.IMAGE("https://m.media-amazon.com/images/I/71AJFv870HL._AC_UL320_.jpg")</f>
        <v/>
      </c>
      <c r="K3171" t="inlineStr">
        <is>
          <t>49.99</t>
        </is>
      </c>
      <c r="L3171" t="n">
        <v>10.99</v>
      </c>
      <c r="M3171" s="1" t="inlineStr">
        <is>
          <t>-78.02%</t>
        </is>
      </c>
      <c r="N3171" s="1" t="n">
        <v>99.95</v>
      </c>
      <c r="O3171" t="n">
        <v>5</v>
      </c>
      <c r="P3171" t="n">
        <v>1</v>
      </c>
      <c r="R3171" t="inlineStr">
        <is>
          <t>InStock</t>
        </is>
      </c>
      <c r="S3171" t="inlineStr">
        <is>
          <t>172.6</t>
        </is>
      </c>
      <c r="T3171" t="inlineStr">
        <is>
          <t>2109289791588</t>
        </is>
      </c>
    </row>
    <row r="3172" ht="87" customHeight="1">
      <c r="A3172" s="2">
        <f>HYPERLINK("https://edmondsonsupply.com/collections/hvac/products/fieldpiece-tc24-pipe-clamp-thermocouple-3-8-to-1-3-8-for-air-conditioning", "https://edmondsonsupply.com/collections/hvac/products/fieldpiece-tc24-pipe-clamp-thermocouple-3-8-to-1-3-8-for-air-conditioning")</f>
        <v/>
      </c>
      <c r="B3172" s="2">
        <f>HYPERLINK("https://edmondsonsupply.com/products/fieldpiece-tc24-pipe-clamp-thermocouple-3-8-to-1-3-8-for-air-conditioning", "https://edmondsonsupply.com/products/fieldpiece-tc24-pipe-clamp-thermocouple-3-8-to-1-3-8-for-air-conditioning")</f>
        <v/>
      </c>
      <c r="C3172" t="inlineStr">
        <is>
          <t>Fieldpiece TC24 Pipe Clamp Thermocouple</t>
        </is>
      </c>
      <c r="D3172" t="inlineStr">
        <is>
          <t>Temperature Clamp HVAC K-Type Thermocouple Thermometer Lead Probe Pipe Clamp Multimeter Sensor Fieldpiece Jaw Clip Plumbing Clamp</t>
        </is>
      </c>
      <c r="E3172" s="2">
        <f>HYPERLINK("https://www.amazon.com/Temperature-Thermocouple-Thermometer-Multimeter-Fieldpiece/dp/B0BNL9JNGM/ref=sr_1_4?keywords=Fieldpiece+TC24+Pipe+Clamp+Thermocouple&amp;qid=1694734734&amp;sr=8-4", "https://www.amazon.com/Temperature-Thermocouple-Thermometer-Multimeter-Fieldpiece/dp/B0BNL9JNGM/ref=sr_1_4?keywords=Fieldpiece+TC24+Pipe+Clamp+Thermocouple&amp;qid=1694734734&amp;sr=8-4")</f>
        <v/>
      </c>
      <c r="F3172" t="inlineStr">
        <is>
          <t>B0BNL9JNGM</t>
        </is>
      </c>
      <c r="G3172">
        <f>_xlfn.IMAGE("https://edmondsonsupply.com/cdn/shop/products/TC24-SRC-Product-300dpi.jpg?v=1633030118")</f>
        <v/>
      </c>
      <c r="H3172">
        <f>_xlfn.IMAGE("https://m.media-amazon.com/images/I/61lwA+ScZ9L._AC_UY218_.jpg")</f>
        <v/>
      </c>
      <c r="K3172" t="inlineStr">
        <is>
          <t>73.1</t>
        </is>
      </c>
      <c r="L3172" t="n">
        <v>15.99</v>
      </c>
      <c r="M3172" s="1" t="inlineStr">
        <is>
          <t>-78.13%</t>
        </is>
      </c>
      <c r="N3172" s="7" t="n">
        <v>99.93000000000001</v>
      </c>
      <c r="O3172" t="n">
        <v>4.1</v>
      </c>
      <c r="P3172" t="n">
        <v>62</v>
      </c>
      <c r="R3172" t="inlineStr">
        <is>
          <t>InStock</t>
        </is>
      </c>
      <c r="S3172" t="inlineStr">
        <is>
          <t>86.0</t>
        </is>
      </c>
      <c r="T3172" t="inlineStr">
        <is>
          <t>3688556494948</t>
        </is>
      </c>
    </row>
    <row r="3173" ht="87" customHeight="1">
      <c r="A3173" s="2">
        <f>HYPERLINK("https://edmondsonsupply.com/collections/hvac/products/bacharach-h-10-pro-refrigerant-leak-detector", "https://edmondsonsupply.com/collections/hvac/products/bacharach-h-10-pro-refrigerant-leak-detector")</f>
        <v/>
      </c>
      <c r="B3173" s="2">
        <f>HYPERLINK("https://edmondsonsupply.com/products/bacharach-h-10-pro-refrigerant-leak-detector", "https://edmondsonsupply.com/products/bacharach-h-10-pro-refrigerant-leak-detector")</f>
        <v/>
      </c>
      <c r="C3173" t="inlineStr">
        <is>
          <t>Bacharach H-10 PRO Refrigerant Leak Detector</t>
        </is>
      </c>
      <c r="D3173" t="inlineStr">
        <is>
          <t>Refrigerant Leak Detector, Aprvtio ALD-200 Freon Leak Detector, Freon Sniffer Automotive Halogen Gas Leak Detector for R134A R410A R22 R1234YF R600a R290 CFCs HCFCs HFCs HCs HFOs</t>
        </is>
      </c>
      <c r="E3173" s="2">
        <f>HYPERLINK("https://www.amazon.com/Refrigerant-Detector-Aprvtio-Rechargeable-Refrigerator/dp/B095S6S6GY/ref=sr_1_6?keywords=Bacharach+H-10+PRO+Refrigerant+Leak+Detector&amp;qid=1694734698&amp;sr=8-6", "https://www.amazon.com/Refrigerant-Detector-Aprvtio-Rechargeable-Refrigerator/dp/B095S6S6GY/ref=sr_1_6?keywords=Bacharach+H-10+PRO+Refrigerant+Leak+Detector&amp;qid=1694734698&amp;sr=8-6")</f>
        <v/>
      </c>
      <c r="F3173" t="inlineStr">
        <is>
          <t>B095S6S6GY</t>
        </is>
      </c>
      <c r="G3173">
        <f>_xlfn.IMAGE("https://edmondsonsupply.com/cdn/shop/products/featured-h-10-pro-refrigerant-leak-detector.jpg?v=1635555994")</f>
        <v/>
      </c>
      <c r="H3173">
        <f>_xlfn.IMAGE("https://m.media-amazon.com/images/I/51IN5teXxVL._AC_UL320_.jpg")</f>
        <v/>
      </c>
      <c r="K3173" t="inlineStr">
        <is>
          <t>657.72</t>
        </is>
      </c>
      <c r="L3173" t="n">
        <v>139.99</v>
      </c>
      <c r="M3173" s="1" t="inlineStr">
        <is>
          <t>-78.72%</t>
        </is>
      </c>
      <c r="N3173" s="7" t="n">
        <v>99.93000000000001</v>
      </c>
      <c r="O3173" t="n">
        <v>4.4</v>
      </c>
      <c r="P3173" t="n">
        <v>67</v>
      </c>
      <c r="R3173" t="inlineStr">
        <is>
          <t>InStock</t>
        </is>
      </c>
      <c r="S3173" t="inlineStr">
        <is>
          <t>undefined</t>
        </is>
      </c>
      <c r="T3173" t="inlineStr">
        <is>
          <t>7354561102040</t>
        </is>
      </c>
    </row>
    <row r="3174" ht="87" customHeight="1">
      <c r="A3174" s="2">
        <f>HYPERLINK("https://edmondsonsupply.com/collections/hvac/products/inficon-d-tek-3", "https://edmondsonsupply.com/collections/hvac/products/inficon-d-tek-3")</f>
        <v/>
      </c>
      <c r="B3174" s="2">
        <f>HYPERLINK("https://edmondsonsupply.com/products/inficon-d-tek-3", "https://edmondsonsupply.com/products/inficon-d-tek-3")</f>
        <v/>
      </c>
      <c r="C3174" t="inlineStr">
        <is>
          <t>Inficon D-TEK® 3 Refrigerant Leak Detector</t>
        </is>
      </c>
      <c r="D3174" t="inlineStr">
        <is>
          <t>Elitech Refrigerant Leak Detector, Freon Leak Detector, Freon Sniffer Automotive Halogen Gas Leak Detector for R134A R410A R1234YF R600a R290 CFCs HCFCs HFCs HCs HFOs, LD-100+</t>
        </is>
      </c>
      <c r="E3174" s="2">
        <f>HYPERLINK("https://www.amazon.com/Elitech-LD-100-Refrigerant-Detector-Automotive/dp/B0928N17S6/ref=sr_1_33?keywords=Inficon+D-TEK%C2%AE+3+Refrigerant+Leak+Detector&amp;qid=1694734644&amp;sr=8-33", "https://www.amazon.com/Elitech-LD-100-Refrigerant-Detector-Automotive/dp/B0928N17S6/ref=sr_1_33?keywords=Inficon+D-TEK%C2%AE+3+Refrigerant+Leak+Detector&amp;qid=1694734644&amp;sr=8-33")</f>
        <v/>
      </c>
      <c r="F3174" t="inlineStr">
        <is>
          <t>B0928N17S6</t>
        </is>
      </c>
      <c r="G3174">
        <f>_xlfn.IMAGE("https://edmondsonsupply.com/cdn/shop/products/dtek3.png?v=1633030772")</f>
        <v/>
      </c>
      <c r="H3174">
        <f>_xlfn.IMAGE("https://m.media-amazon.com/images/I/515n5CUNM3L._AC_UL320_.jpg")</f>
        <v/>
      </c>
      <c r="K3174" t="inlineStr">
        <is>
          <t>516.99</t>
        </is>
      </c>
      <c r="L3174" t="n">
        <v>109.99</v>
      </c>
      <c r="M3174" s="1" t="inlineStr">
        <is>
          <t>-78.72%</t>
        </is>
      </c>
      <c r="N3174" s="7" t="n">
        <v>99.93000000000001</v>
      </c>
      <c r="O3174" t="n">
        <v>4.3</v>
      </c>
      <c r="P3174" t="n">
        <v>29</v>
      </c>
      <c r="R3174" t="inlineStr">
        <is>
          <t>InStock</t>
        </is>
      </c>
      <c r="S3174" t="inlineStr">
        <is>
          <t>645.0</t>
        </is>
      </c>
      <c r="T3174" t="inlineStr">
        <is>
          <t>5950406623400</t>
        </is>
      </c>
    </row>
    <row r="3175" hidden="1" ht="15.75" customHeight="1">
      <c r="A3175" s="2">
        <f>HYPERLINK("https://edmondsonsupply.com/collections/hvac/products/milwaukee-48-22-1540-fastback%E2%84%A2-5-in-1-folding-knife", "https://edmondsonsupply.com/collections/hvac/products/milwaukee-48-22-1540-fastback%E2%84%A2-5-in-1-folding-knife")</f>
        <v/>
      </c>
      <c r="B3175" s="2">
        <f>HYPERLINK("https://edmondsonsupply.com/products/milwaukee-48-22-1540-fastback%e2%84%a2-5-in-1-folding-knife", "https://edmondsonsupply.com/products/milwaukee-48-22-1540-fastback%e2%84%a2-5-in-1-folding-knife")</f>
        <v/>
      </c>
      <c r="C3175" t="inlineStr">
        <is>
          <t>Milwaukee 48-22-1540 FASTBACK™ 5-in-1 Folding Knife</t>
        </is>
      </c>
      <c r="D3175" t="inlineStr">
        <is>
          <t>Milwaukee 48-22-1933 5-Pack of Deburred Micro Carbide Drywall Utility Knife Blades for Folding Lockback and Sliding Knives</t>
        </is>
      </c>
      <c r="E3175" s="2">
        <f>HYPERLINK("https://www.amazon.com/Milwaukee-48-22-1933-Deburred-Carbide-Lockback/dp/B00D5YLP5W/ref=sr_1_17?keywords=Milwaukee+48-22-1540+FASTBACK%E2%84%A2+5-in-1+Folding+Knife&amp;qid=1694734631&amp;sr=8-17", "https://www.amazon.com/Milwaukee-48-22-1933-Deburred-Carbide-Lockback/dp/B00D5YLP5W/ref=sr_1_17?keywords=Milwaukee+48-22-1540+FASTBACK%E2%84%A2+5-in-1+Folding+Knife&amp;qid=1694734631&amp;sr=8-17")</f>
        <v/>
      </c>
      <c r="F3175" t="inlineStr">
        <is>
          <t>B00D5YLP5W</t>
        </is>
      </c>
      <c r="G3175">
        <f>_xludf.IMAGE("https://edmondsonsupply.com/cdn/shop/products/48-22-1540_1.png?v=1587142762")</f>
        <v/>
      </c>
      <c r="H3175">
        <f>_xludf.IMAGE("https://m.media-amazon.com/images/I/41vPWO+PD8L._AC_UL320_.jpg")</f>
        <v/>
      </c>
      <c r="K3175" t="inlineStr">
        <is>
          <t>23.97</t>
        </is>
      </c>
      <c r="L3175" t="n">
        <v>4.99</v>
      </c>
      <c r="M3175" s="1" t="inlineStr">
        <is>
          <t>-79.18%</t>
        </is>
      </c>
      <c r="N3175" s="1" t="n">
        <v>99.90000000000001</v>
      </c>
      <c r="O3175" t="n">
        <v>4.5</v>
      </c>
      <c r="P3175" t="n">
        <v>65</v>
      </c>
      <c r="R3175" t="inlineStr">
        <is>
          <t>InStock</t>
        </is>
      </c>
      <c r="S3175" t="inlineStr">
        <is>
          <t>39.0</t>
        </is>
      </c>
      <c r="T3175" t="inlineStr">
        <is>
          <t>4452621090916</t>
        </is>
      </c>
    </row>
    <row r="3176" ht="87" customHeight="1">
      <c r="A3176" s="2">
        <f>HYPERLINK("https://edmondsonsupply.com/collections/hvac/products/klein-tools-94130-1000v-insulated-tool-kit-5-piece", "https://edmondsonsupply.com/collections/hvac/products/klein-tools-94130-1000v-insulated-tool-kit-5-piece")</f>
        <v/>
      </c>
      <c r="B3176" s="2">
        <f>HYPERLINK("https://edmondsonsupply.com/products/klein-tools-94130-1000v-insulated-tool-kit-5-piece", "https://edmondsonsupply.com/products/klein-tools-94130-1000v-insulated-tool-kit-5-piece")</f>
        <v/>
      </c>
      <c r="C3176" t="inlineStr">
        <is>
          <t>Klein Tools 94130 1000V Insulated Tool Kit, 5-Piece</t>
        </is>
      </c>
      <c r="D3176" t="inlineStr">
        <is>
          <t>Klein Tools 85073INS Insulated Screwdriver Set features 1000V Phillips, Slotted and Square Tips, Cushion Grip Handles, 3-Piece</t>
        </is>
      </c>
      <c r="E3176" s="2">
        <f>HYPERLINK("https://www.amazon.com/Klein-Tools-85073INS-Insulated-Screwdriver/dp/B0BF79WQZX/ref=sr_1_6?keywords=Klein+Tools+94130+1000V+Insulated+Tool+Kit%2C+5-Piece&amp;qid=1694734718&amp;sr=8-6", "https://www.amazon.com/Klein-Tools-85073INS-Insulated-Screwdriver/dp/B0BF79WQZX/ref=sr_1_6?keywords=Klein+Tools+94130+1000V+Insulated+Tool+Kit%2C+5-Piece&amp;qid=1694734718&amp;sr=8-6")</f>
        <v/>
      </c>
      <c r="F3176" t="inlineStr">
        <is>
          <t>B0BF79WQZX</t>
        </is>
      </c>
      <c r="G3176">
        <f>_xlfn.IMAGE("https://edmondsonsupply.com/cdn/shop/products/94130.jpg?v=1633030386")</f>
        <v/>
      </c>
      <c r="H3176">
        <f>_xlfn.IMAGE("https://m.media-amazon.com/images/I/51dL7msUIqL._AC_UL320_.jpg")</f>
        <v/>
      </c>
      <c r="K3176" t="inlineStr">
        <is>
          <t>99.99</t>
        </is>
      </c>
      <c r="L3176" t="n">
        <v>19.97</v>
      </c>
      <c r="M3176" s="1" t="inlineStr">
        <is>
          <t>-80.03%</t>
        </is>
      </c>
      <c r="N3176" s="7" t="n">
        <v>99.77</v>
      </c>
      <c r="O3176" t="n">
        <v>4.9</v>
      </c>
      <c r="P3176" t="n">
        <v>202</v>
      </c>
      <c r="R3176" t="inlineStr">
        <is>
          <t>InStock</t>
        </is>
      </c>
      <c r="S3176" t="inlineStr">
        <is>
          <t>149.98</t>
        </is>
      </c>
      <c r="T3176" t="inlineStr">
        <is>
          <t>5299145146536</t>
        </is>
      </c>
    </row>
    <row r="3177" ht="87" customHeight="1">
      <c r="A3177" s="2">
        <f>HYPERLINK("https://edmondsonsupply.com/collections/hvac/products/diablo-tools-dmamxcc5030-3-1-4-in-x-7-in-sds-max-carbide-tipped-core-bit", "https://edmondsonsupply.com/collections/hvac/products/diablo-tools-dmamxcc5030-3-1-4-in-x-7-in-sds-max-carbide-tipped-core-bit")</f>
        <v/>
      </c>
      <c r="B3177" s="2">
        <f>HYPERLINK("https://edmondsonsupply.com/products/diablo-tools-dmamxcc5030-3-1-4-in-x-7-in-sds-max-carbide-tipped-core-bit", "https://edmondsonsupply.com/products/diablo-tools-dmamxcc5030-3-1-4-in-x-7-in-sds-max-carbide-tipped-core-bit")</f>
        <v/>
      </c>
      <c r="C3177" t="inlineStr">
        <is>
          <t>Diablo Tools DMAMXCC5030 3-1/4 in. x 7 in. SDS-Max Carbide Tipped Core Bit</t>
        </is>
      </c>
      <c r="D3177" t="inlineStr">
        <is>
          <t>Sabre Tools Sabre Tool 3/4 Inch x 13 Inch SDS MAX Rotary Hammer Drill Bit, U-Flute, Carbide Tipped for Brick, Stone, and Concrete, SDS MAX Drivers ONLY (3/4inches x 8.5inches x 13</t>
        </is>
      </c>
      <c r="E3177" s="2">
        <f>HYPERLINK("https://www.amazon.com/Sabre-Rotary-U-Flute-Carbide-Concrete/dp/B08M6FNYL6/ref=sr_1_29?keywords=Diablo+Tools+DMAMXCC5030+3-1%2F4+in.+x+7+in.+SDS-Max+Carbide+Tipped+Core+Bit&amp;qid=1694734916&amp;sr=8-29", "https://www.amazon.com/Sabre-Rotary-U-Flute-Carbide-Concrete/dp/B08M6FNYL6/ref=sr_1_29?keywords=Diablo+Tools+DMAMXCC5030+3-1%2F4+in.+x+7+in.+SDS-Max+Carbide+Tipped+Core+Bit&amp;qid=1694734916&amp;sr=8-29")</f>
        <v/>
      </c>
      <c r="F3177" t="inlineStr">
        <is>
          <t>B08M6FNYL6</t>
        </is>
      </c>
      <c r="G3177">
        <f>_xlfn.IMAGE("https://edmondsonsupply.com/cdn/shop/files/gtygiwnduxetozty2qne.webp?v=1686585332")</f>
        <v/>
      </c>
      <c r="H3177">
        <f>_xlfn.IMAGE("https://m.media-amazon.com/images/I/613cvl2TyCL._AC_UL320_.jpg")</f>
        <v/>
      </c>
      <c r="K3177" t="inlineStr">
        <is>
          <t>125.99</t>
        </is>
      </c>
      <c r="L3177" t="n">
        <v>24.99</v>
      </c>
      <c r="M3177" s="1" t="inlineStr">
        <is>
          <t>-80.17%</t>
        </is>
      </c>
      <c r="N3177" s="7" t="n">
        <v>99.27</v>
      </c>
      <c r="O3177" t="n">
        <v>4.6</v>
      </c>
      <c r="P3177" t="n">
        <v>178</v>
      </c>
      <c r="R3177" t="inlineStr">
        <is>
          <t>InStock</t>
        </is>
      </c>
      <c r="S3177" t="inlineStr">
        <is>
          <t>201.87</t>
        </is>
      </c>
      <c r="T3177" t="inlineStr">
        <is>
          <t>8004507435224</t>
        </is>
      </c>
    </row>
    <row r="3178" ht="87" customHeight="1">
      <c r="A3178" s="2">
        <f>HYPERLINK("https://edmondsonsupply.com/collections/hvac/products/bacharach-h-10-pro-refrigerant-leak-detector", "https://edmondsonsupply.com/collections/hvac/products/bacharach-h-10-pro-refrigerant-leak-detector")</f>
        <v/>
      </c>
      <c r="B3178" s="2">
        <f>HYPERLINK("https://edmondsonsupply.com/products/bacharach-h-10-pro-refrigerant-leak-detector", "https://edmondsonsupply.com/products/bacharach-h-10-pro-refrigerant-leak-detector")</f>
        <v/>
      </c>
      <c r="C3178" t="inlineStr">
        <is>
          <t>Bacharach H-10 PRO Refrigerant Leak Detector</t>
        </is>
      </c>
      <c r="D3178" t="inlineStr">
        <is>
          <t>Refrigerant Leak Detector HVAC Freon Leak Detector with 15.5-inch Sensor Probe Car AC Leak Detector Kit Automotive Halogen Gas Leak Detector Finder for R134A R410A R22 R404A R407C R502 CFCs HCFCs HFCs</t>
        </is>
      </c>
      <c r="E3178" s="2">
        <f>HYPERLINK("https://www.amazon.com/Refrigerant-Leak-Detector-15-5-inch-Automotive/dp/B0BX9R1N18/ref=sr_1_19?keywords=Bacharach+H-10+PRO+Refrigerant+Leak+Detector&amp;qid=1694734698&amp;sr=8-19", "https://www.amazon.com/Refrigerant-Leak-Detector-15-5-inch-Automotive/dp/B0BX9R1N18/ref=sr_1_19?keywords=Bacharach+H-10+PRO+Refrigerant+Leak+Detector&amp;qid=1694734698&amp;sr=8-19")</f>
        <v/>
      </c>
      <c r="F3178" t="inlineStr">
        <is>
          <t>B0BX9R1N18</t>
        </is>
      </c>
      <c r="G3178">
        <f>_xlfn.IMAGE("https://edmondsonsupply.com/cdn/shop/products/featured-h-10-pro-refrigerant-leak-detector.jpg?v=1635555994")</f>
        <v/>
      </c>
      <c r="H3178">
        <f>_xlfn.IMAGE("https://m.media-amazon.com/images/I/619lzAb8HOL._AC_UL320_.jpg")</f>
        <v/>
      </c>
      <c r="K3178" t="inlineStr">
        <is>
          <t>657.72</t>
        </is>
      </c>
      <c r="L3178" t="n">
        <v>129.99</v>
      </c>
      <c r="M3178" s="1" t="inlineStr">
        <is>
          <t>-80.24%</t>
        </is>
      </c>
      <c r="N3178" s="7" t="n">
        <v>98.94</v>
      </c>
      <c r="O3178" t="n">
        <v>5</v>
      </c>
      <c r="P3178" t="n">
        <v>1</v>
      </c>
      <c r="R3178" t="inlineStr">
        <is>
          <t>InStock</t>
        </is>
      </c>
      <c r="S3178" t="inlineStr">
        <is>
          <t>undefined</t>
        </is>
      </c>
      <c r="T3178" t="inlineStr">
        <is>
          <t>7354561102040</t>
        </is>
      </c>
    </row>
    <row r="3179" hidden="1" ht="15.75" customHeight="1">
      <c r="A3179" s="2">
        <f>HYPERLINK("https://edmondsonsupply.com/collections/hvac/products/spin-tools-s6000-swaging-drill-bit-set-1-4-3-8-1-2-5-8-3-4-7-8", "https://edmondsonsupply.com/collections/hvac/products/spin-tools-s6000-swaging-drill-bit-set-1-4-3-8-1-2-5-8-3-4-7-8")</f>
        <v/>
      </c>
      <c r="B3179" s="2">
        <f>HYPERLINK("https://edmondsonsupply.com/products/spin-tools-s6000-swaging-drill-bit-set-1-4-3-8-1-2-5-8-3-4-7-8", "https://edmondsonsupply.com/products/spin-tools-s6000-swaging-drill-bit-set-1-4-3-8-1-2-5-8-3-4-7-8")</f>
        <v/>
      </c>
      <c r="C3179" t="inlineStr">
        <is>
          <t>SPIN Tools S6000 Swaging Drill Bit Set, 1/4", 3/8", 1/2", 5/8", 3/4" &amp; 7/8"</t>
        </is>
      </c>
      <c r="D3179" t="inlineStr">
        <is>
          <t>Baorder 6Pcs Air Conditioner Copper Tube Expander Swaging Tool Multifunction Manual Bearing Steel Swaging Drill Bit,Hex Handle HVAC Repairing Set with 1/4",3/8",1/2",5/8",3/4",7/8",1/4"Bits</t>
        </is>
      </c>
      <c r="E3179" s="2">
        <f>HYPERLINK("https://www.amazon.com/Baorder-Conditioner-Expander-Multifunction-Repairing/dp/B0BQ6PMQMG/ref=sr_1_45?keywords=SPIN+Tools+S6000+Swaging+Drill+Bit+Set%2C+1%2F4%22%2C+3%2F8%22%2C+1%2F2%22%2C+5%2F8%22%2C+3%2F4%22+%26+7%2F8%22&amp;qid=1694734575&amp;sr=8-45", "https://www.amazon.com/Baorder-Conditioner-Expander-Multifunction-Repairing/dp/B0BQ6PMQMG/ref=sr_1_45?keywords=SPIN+Tools+S6000+Swaging+Drill+Bit+Set%2C+1%2F4%22%2C+3%2F8%22%2C+1%2F2%22%2C+5%2F8%22%2C+3%2F4%22+%26+7%2F8%22&amp;qid=1694734575&amp;sr=8-45")</f>
        <v/>
      </c>
      <c r="F3179" t="inlineStr">
        <is>
          <t>B0BQ6PMQMG</t>
        </is>
      </c>
      <c r="G3179">
        <f>_xludf.IMAGE("https://edmondsonsupply.com/cdn/shop/products/s6000-1.jpg?v=1587147463")</f>
        <v/>
      </c>
      <c r="H3179">
        <f>_xludf.IMAGE("https://m.media-amazon.com/images/I/6178df0-2mL._AC_UL320_.jpg")</f>
        <v/>
      </c>
      <c r="K3179" t="inlineStr">
        <is>
          <t>93.38</t>
        </is>
      </c>
      <c r="L3179" t="n">
        <v>15.89</v>
      </c>
      <c r="M3179" s="1" t="inlineStr">
        <is>
          <t>-82.98%</t>
        </is>
      </c>
      <c r="N3179" s="1" t="n">
        <v>98.42</v>
      </c>
      <c r="O3179" t="n">
        <v>1</v>
      </c>
      <c r="P3179" t="n">
        <v>1</v>
      </c>
      <c r="R3179" t="inlineStr">
        <is>
          <t>OutOfStock</t>
        </is>
      </c>
      <c r="S3179" t="inlineStr">
        <is>
          <t>undefined</t>
        </is>
      </c>
      <c r="T3179" t="inlineStr">
        <is>
          <t>3702992339044</t>
        </is>
      </c>
    </row>
    <row r="3180" ht="87" customHeight="1">
      <c r="A3180" s="2">
        <f>HYPERLINK("https://edmondsonsupply.com/collections/hvac/products/bacharach-h-10-pro-refrigerant-leak-detector", "https://edmondsonsupply.com/collections/hvac/products/bacharach-h-10-pro-refrigerant-leak-detector")</f>
        <v/>
      </c>
      <c r="B3180" s="2">
        <f>HYPERLINK("https://edmondsonsupply.com/products/bacharach-h-10-pro-refrigerant-leak-detector", "https://edmondsonsupply.com/products/bacharach-h-10-pro-refrigerant-leak-detector")</f>
        <v/>
      </c>
      <c r="C3180" t="inlineStr">
        <is>
          <t>Bacharach H-10 PRO Refrigerant Leak Detector</t>
        </is>
      </c>
      <c r="D3180" t="inlineStr">
        <is>
          <t>Elitech Refrigerant Leak Detector, Freon Leak Detector, Freon Sniffer Automotive Halogen Gas Leak Detector for R134A R410A R1234YF R600a R290 CFCs HCFCs HFCs HCs HFOs, LD-100+</t>
        </is>
      </c>
      <c r="E3180" s="2">
        <f>HYPERLINK("https://www.amazon.com/Elitech-LD-100-Refrigerant-Detector-Automotive/dp/B0928N17S6/ref=sr_1_16?keywords=Bacharach+H-10+PRO+Refrigerant+Leak+Detector&amp;qid=1694734698&amp;sr=8-16", "https://www.amazon.com/Elitech-LD-100-Refrigerant-Detector-Automotive/dp/B0928N17S6/ref=sr_1_16?keywords=Bacharach+H-10+PRO+Refrigerant+Leak+Detector&amp;qid=1694734698&amp;sr=8-16")</f>
        <v/>
      </c>
      <c r="F3180" t="inlineStr">
        <is>
          <t>B0928N17S6</t>
        </is>
      </c>
      <c r="G3180">
        <f>_xlfn.IMAGE("https://edmondsonsupply.com/cdn/shop/products/featured-h-10-pro-refrigerant-leak-detector.jpg?v=1635555994")</f>
        <v/>
      </c>
      <c r="H3180">
        <f>_xlfn.IMAGE("https://m.media-amazon.com/images/I/515n5CUNM3L._AC_UL320_.jpg")</f>
        <v/>
      </c>
      <c r="K3180" t="inlineStr">
        <is>
          <t>657.72</t>
        </is>
      </c>
      <c r="L3180" t="n">
        <v>109.99</v>
      </c>
      <c r="M3180" s="1" t="inlineStr">
        <is>
          <t>-83.28%</t>
        </is>
      </c>
      <c r="N3180" s="7" t="n">
        <v>97.62</v>
      </c>
      <c r="O3180" t="n">
        <v>4.3</v>
      </c>
      <c r="P3180" t="n">
        <v>29</v>
      </c>
      <c r="R3180" t="inlineStr">
        <is>
          <t>InStock</t>
        </is>
      </c>
      <c r="S3180" t="inlineStr">
        <is>
          <t>undefined</t>
        </is>
      </c>
      <c r="T3180" t="inlineStr">
        <is>
          <t>7354561102040</t>
        </is>
      </c>
    </row>
    <row r="3181" hidden="1" ht="15.75" customHeight="1">
      <c r="A3181" s="2">
        <f>HYPERLINK("https://edmondsonsupply.com/collections/hvac/products/klein-tools-32535-10-in-1-10-fold-screwdriver-nut-driver", "https://edmondsonsupply.com/collections/hvac/products/klein-tools-32535-10-in-1-10-fold-screwdriver-nut-driver")</f>
        <v/>
      </c>
      <c r="B3181" s="2">
        <f>HYPERLINK("https://edmondsonsupply.com/products/klein-tools-32535-10-in-1-10-fold-screwdriver-nut-driver", "https://edmondsonsupply.com/products/klein-tools-32535-10-in-1-10-fold-screwdriver-nut-driver")</f>
        <v/>
      </c>
      <c r="C3181" t="inlineStr">
        <is>
          <t>Klein Tools 32535 10-in-1 10 Fold Screwdriver / Nut Driver</t>
        </is>
      </c>
      <c r="D3181" t="inlineStr">
        <is>
          <t>Klein Tools 32483 Bit for 11-in-1 and 10-in-1 Klein Screwdriver Nut Driver, #2 Phillips, 1/4-Inch Slotted</t>
        </is>
      </c>
      <c r="E3181" s="2">
        <f>HYPERLINK("https://www.amazon.com/Klein-Tools-32483-Screwdriver-Phillips/dp/B000936PUC/ref=sr_1_3?keywords=Klein+Tools+32535+10-in-1+10+Fold+Screwdriver+%2F+Nut+Driver&amp;qid=1694734776&amp;sr=8-3", "https://www.amazon.com/Klein-Tools-32483-Screwdriver-Phillips/dp/B000936PUC/ref=sr_1_3?keywords=Klein+Tools+32535+10-in-1+10+Fold+Screwdriver+%2F+Nut+Driver&amp;qid=1694734776&amp;sr=8-3")</f>
        <v/>
      </c>
      <c r="F3181" t="inlineStr">
        <is>
          <t>B000936PUC</t>
        </is>
      </c>
      <c r="G3181">
        <f>_xludf.IMAGE("https://edmondsonsupply.com/cdn/shop/products/32535.jpg?v=1633030894")</f>
        <v/>
      </c>
      <c r="H3181">
        <f>_xludf.IMAGE("https://m.media-amazon.com/images/I/51KFiDupheL._AC_UL320_.jpg")</f>
        <v/>
      </c>
      <c r="K3181" t="inlineStr">
        <is>
          <t>29.99</t>
        </is>
      </c>
      <c r="L3181" t="n">
        <v>4.99</v>
      </c>
      <c r="M3181" s="1" t="inlineStr">
        <is>
          <t>-83.36%</t>
        </is>
      </c>
      <c r="N3181" s="1" t="n">
        <v>97.17</v>
      </c>
      <c r="O3181" t="n">
        <v>4.7</v>
      </c>
      <c r="P3181" t="n">
        <v>4262</v>
      </c>
      <c r="R3181" t="inlineStr">
        <is>
          <t>InStock</t>
        </is>
      </c>
      <c r="S3181" t="inlineStr">
        <is>
          <t>45.36</t>
        </is>
      </c>
      <c r="T3181" t="inlineStr">
        <is>
          <t>6224651485357</t>
        </is>
      </c>
    </row>
    <row r="3182" ht="87" customHeight="1">
      <c r="A3182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182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182" t="inlineStr">
        <is>
          <t>Milwaukee 0970-20 M18 FUEL™ PACKOUT™ 2.5 Gallon Wet/Dry Vacuum</t>
        </is>
      </c>
      <c r="D3182" t="inlineStr">
        <is>
          <t>Anewise 49-90-1900 Wet Dry Vacuum HEPA Filter Replacement for Milwaukee M18 2 Gallon 0880-20, M12 FUEL 1.6 Gallon 0960-20 and M18 FUEL PACKOUT 0970-20 Wet Dry Vacuums, 4 Packs</t>
        </is>
      </c>
      <c r="E3182" s="2">
        <f>HYPERLINK("https://www.amazon.com/Anewise-49-90-1900-Replacement-Milwaukee-0880-20/dp/B0C149NC9Q/ref=sr_1_13?keywords=Milwaukee+0970-20+M18+FUEL%E2%84%A2+PACKOUT%E2%84%A2+2.5+Gallon+Wet%2FDry+Vacuum&amp;qid=1694734754&amp;sr=8-13", "https://www.amazon.com/Anewise-49-90-1900-Replacement-Milwaukee-0880-20/dp/B0C149NC9Q/ref=sr_1_13?keywords=Milwaukee+0970-20+M18+FUEL%E2%84%A2+PACKOUT%E2%84%A2+2.5+Gallon+Wet%2FDry+Vacuum&amp;qid=1694734754&amp;sr=8-13")</f>
        <v/>
      </c>
      <c r="F3182" t="inlineStr">
        <is>
          <t>B0C149NC9Q</t>
        </is>
      </c>
      <c r="G3182">
        <f>_xlfn.IMAGE("https://edmondsonsupply.com/cdn/shop/products/0970-20_3webp.webp?v=1668442362")</f>
        <v/>
      </c>
      <c r="H3182">
        <f>_xlfn.IMAGE("https://m.media-amazon.com/images/I/713gthAL4TL._AC_UL320_.jpg")</f>
        <v/>
      </c>
      <c r="K3182" t="inlineStr">
        <is>
          <t>199.0</t>
        </is>
      </c>
      <c r="L3182" t="n">
        <v>32.99</v>
      </c>
      <c r="M3182" s="1" t="inlineStr">
        <is>
          <t>-83.42%</t>
        </is>
      </c>
      <c r="N3182" s="7" t="n">
        <v>97.15000000000001</v>
      </c>
      <c r="O3182" t="n">
        <v>5</v>
      </c>
      <c r="P3182" t="n">
        <v>5</v>
      </c>
      <c r="R3182" t="inlineStr">
        <is>
          <t>OutOfStock</t>
        </is>
      </c>
      <c r="S3182" t="inlineStr">
        <is>
          <t>330.0</t>
        </is>
      </c>
      <c r="T3182" t="inlineStr">
        <is>
          <t>7884392366296</t>
        </is>
      </c>
    </row>
    <row r="3183" ht="87" customHeight="1">
      <c r="A3183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183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183" t="inlineStr">
        <is>
          <t>Milwaukee 0970-20 M18 FUEL™ PACKOUT™ 2.5 Gallon Wet/Dry Vacuum</t>
        </is>
      </c>
      <c r="D3183" t="inlineStr">
        <is>
          <t>PUREBURG Wet Dry Vacuum HEPA Filter Replacement 49-90-1900 Compatible with Milwaukee Cordless Vacuum, M18 FUEL PACKOUT 0970-20 / M18 2 Gallon 0880-20 / M12 FUEL 1.6 Gallon 0960-20,4-Pack</t>
        </is>
      </c>
      <c r="E3183" s="2">
        <f>HYPERLINK("https://www.amazon.com/PUREBURG-Replacement-49-90-1900-Compatible-Gallon-0960-20/dp/B09TQMH51M/ref=sr_1_11?keywords=Milwaukee+0970-20+M18+FUEL%E2%84%A2+PACKOUT%E2%84%A2+2.5+Gallon+Wet%2FDry+Vacuum&amp;qid=1694734754&amp;sr=8-11", "https://www.amazon.com/PUREBURG-Replacement-49-90-1900-Compatible-Gallon-0960-20/dp/B09TQMH51M/ref=sr_1_11?keywords=Milwaukee+0970-20+M18+FUEL%E2%84%A2+PACKOUT%E2%84%A2+2.5+Gallon+Wet%2FDry+Vacuum&amp;qid=1694734754&amp;sr=8-11")</f>
        <v/>
      </c>
      <c r="F3183" t="inlineStr">
        <is>
          <t>B09TQMH51M</t>
        </is>
      </c>
      <c r="G3183">
        <f>_xlfn.IMAGE("https://edmondsonsupply.com/cdn/shop/products/0970-20_3webp.webp?v=1668442362")</f>
        <v/>
      </c>
      <c r="H3183">
        <f>_xlfn.IMAGE("https://m.media-amazon.com/images/I/61QaPzKVdpL._AC_UL320_.jpg")</f>
        <v/>
      </c>
      <c r="K3183" t="inlineStr">
        <is>
          <t>199.0</t>
        </is>
      </c>
      <c r="L3183" t="n">
        <v>32.49</v>
      </c>
      <c r="M3183" s="1" t="inlineStr">
        <is>
          <t>-83.67%</t>
        </is>
      </c>
      <c r="N3183" s="7" t="n">
        <v>97.04000000000001</v>
      </c>
      <c r="O3183" t="n">
        <v>4.6</v>
      </c>
      <c r="P3183" t="n">
        <v>21</v>
      </c>
      <c r="R3183" t="inlineStr">
        <is>
          <t>OutOfStock</t>
        </is>
      </c>
      <c r="S3183" t="inlineStr">
        <is>
          <t>330.0</t>
        </is>
      </c>
      <c r="T3183" t="inlineStr">
        <is>
          <t>7884392366296</t>
        </is>
      </c>
    </row>
    <row r="3184" hidden="1" ht="15.75" customHeight="1">
      <c r="A3184" s="2">
        <f>HYPERLINK("https://edmondsonsupply.com/collections/hvac/products/jb-industries-a31999-100-1-4-valve-core-replacement-100-pack", "https://edmondsonsupply.com/collections/hvac/products/jb-industries-a31999-100-1-4-valve-core-replacement-100-pack")</f>
        <v/>
      </c>
      <c r="B3184" s="2">
        <f>HYPERLINK("https://edmondsonsupply.com/products/jb-industries-a31999-100-1-4-valve-core-replacement-100-pack", "https://edmondsonsupply.com/products/jb-industries-a31999-100-1-4-valve-core-replacement-100-pack")</f>
        <v/>
      </c>
      <c r="C3184" t="inlineStr">
        <is>
          <t>JB Industries A31999-100 1/4" Valve Core Replacement (100 Pack)</t>
        </is>
      </c>
      <c r="D3184" t="inlineStr">
        <is>
          <t>JB Industries A31999 Replacement Valve Core, 1/4"</t>
        </is>
      </c>
      <c r="E3184" s="2">
        <f>HYPERLINK("https://www.amazon.com/JB-Industries-A31999-Replacement-Valve/dp/B00E1NKERG/ref=sr_1_1?keywords=JB+Industries+A31999-100+1%2F4%22+Valve+Core+Replacement+%28100+Pack%29&amp;qid=1694734861&amp;sr=8-1", "https://www.amazon.com/JB-Industries-A31999-Replacement-Valve/dp/B00E1NKERG/ref=sr_1_1?keywords=JB+Industries+A31999-100+1%2F4%22+Valve+Core+Replacement+%28100+Pack%29&amp;qid=1694734861&amp;sr=8-1")</f>
        <v/>
      </c>
      <c r="F3184" t="inlineStr">
        <is>
          <t>B00E1NKERG</t>
        </is>
      </c>
      <c r="G3184">
        <f>_xludf.IMAGE("https://edmondsonsupply.com/cdn/shop/files/A31999-JB-Valve-Cores-Access-Valves_17209224-bf02-4c5b-ac77-b1ec6911778b.png?v=1692481141")</f>
        <v/>
      </c>
      <c r="H3184">
        <f>_xludf.IMAGE("https://m.media-amazon.com/images/I/61QUbDxctPL._AC_UL320_.jpg")</f>
        <v/>
      </c>
      <c r="K3184" t="inlineStr">
        <is>
          <t>66.4</t>
        </is>
      </c>
      <c r="L3184" t="n">
        <v>10.5</v>
      </c>
      <c r="M3184" s="1" t="inlineStr">
        <is>
          <t>-84.19%</t>
        </is>
      </c>
      <c r="N3184" s="1" t="n">
        <v>96.31999999999999</v>
      </c>
      <c r="O3184" t="n">
        <v>5</v>
      </c>
      <c r="P3184" t="n">
        <v>3</v>
      </c>
      <c r="R3184" t="inlineStr">
        <is>
          <t>InStock</t>
        </is>
      </c>
      <c r="S3184" t="inlineStr">
        <is>
          <t>113.51</t>
        </is>
      </c>
      <c r="T3184" t="inlineStr">
        <is>
          <t>8028648866008</t>
        </is>
      </c>
    </row>
    <row r="3185" ht="87" customHeight="1">
      <c r="A3185" s="2">
        <f>HYPERLINK("https://edmondsonsupply.com/collections/hvac/products/klein-tools-et120-combustible-gas-leak-detector", "https://edmondsonsupply.com/collections/hvac/products/klein-tools-et120-combustible-gas-leak-detector")</f>
        <v/>
      </c>
      <c r="B3185" s="2">
        <f>HYPERLINK("https://edmondsonsupply.com/products/klein-tools-et120-combustible-gas-leak-detector", "https://edmondsonsupply.com/products/klein-tools-et120-combustible-gas-leak-detector")</f>
        <v/>
      </c>
      <c r="C3185" t="inlineStr">
        <is>
          <t>Klein Tools ET120 Combustible Gas Leak Detector</t>
        </is>
      </c>
      <c r="D3185" t="inlineStr">
        <is>
          <t>CaseSack Detector Case for UEi Test Instruments CD100A Combustible Gas Leak Detector &amp; CO71A Carbon Monoxide Detector, Also for Techamor Y201, EG Air Y201, Pangea, Klein Tools ET120, ALOPEX</t>
        </is>
      </c>
      <c r="E3185" s="2">
        <f>HYPERLINK("https://www.amazon.com/CaseSack-Detector-Instruments-Combustible-Monoxide/dp/B088MDT81X/ref=sr_1_6?keywords=Klein+Tools+ET120+Combustible+Gas+Leak+Detector&amp;qid=1694734816&amp;sr=8-6", "https://www.amazon.com/CaseSack-Detector-Instruments-Combustible-Monoxide/dp/B088MDT81X/ref=sr_1_6?keywords=Klein+Tools+ET120+Combustible+Gas+Leak+Detector&amp;qid=1694734816&amp;sr=8-6")</f>
        <v/>
      </c>
      <c r="F3185" t="inlineStr">
        <is>
          <t>B088MDT81X</t>
        </is>
      </c>
      <c r="G3185">
        <f>_xlfn.IMAGE("https://edmondsonsupply.com/cdn/shop/products/et120.jpg?v=1587149243")</f>
        <v/>
      </c>
      <c r="H3185">
        <f>_xlfn.IMAGE("https://m.media-amazon.com/images/I/91DeHDKaUdL._AC_UL320_.jpg")</f>
        <v/>
      </c>
      <c r="K3185" t="inlineStr">
        <is>
          <t>119.99</t>
        </is>
      </c>
      <c r="L3185" t="n">
        <v>18.68</v>
      </c>
      <c r="M3185" s="1" t="inlineStr">
        <is>
          <t>-84.43%</t>
        </is>
      </c>
      <c r="N3185" s="7" t="n">
        <v>96.19</v>
      </c>
      <c r="O3185" t="n">
        <v>4.5</v>
      </c>
      <c r="P3185" t="n">
        <v>44</v>
      </c>
      <c r="R3185" t="inlineStr">
        <is>
          <t>InStock</t>
        </is>
      </c>
      <c r="S3185" t="inlineStr">
        <is>
          <t>179.32</t>
        </is>
      </c>
      <c r="T3185" t="inlineStr">
        <is>
          <t>1828453187684</t>
        </is>
      </c>
    </row>
    <row r="3186" hidden="1" ht="15.75" customHeight="1">
      <c r="A3186" s="2">
        <f>HYPERLINK("https://edmondsonsupply.com/collections/hvac/products/klein-tools-89552-hole-cutter-for-duct-and-sheet-metal-2-to-12-inch", "https://edmondsonsupply.com/collections/hvac/products/klein-tools-89552-hole-cutter-for-duct-and-sheet-metal-2-to-12-inch")</f>
        <v/>
      </c>
      <c r="B3186" s="2">
        <f>HYPERLINK("https://edmondsonsupply.com/products/klein-tools-89552-hole-cutter-for-duct-and-sheet-metal-2-to-12-inch", "https://edmondsonsupply.com/products/klein-tools-89552-hole-cutter-for-duct-and-sheet-metal-2-to-12-inch")</f>
        <v/>
      </c>
      <c r="C3186" t="inlineStr">
        <is>
          <t>Klein Tools 89552 Hole Cutter for Duct and Sheet Metal, 2 to 12-Inch</t>
        </is>
      </c>
      <c r="D3186" t="inlineStr">
        <is>
          <t>Klein Tools 89551 Hole Cutter Replacement Bit for Klein Tools Hole Cutter Cat. No. 89552 Cuts 2 to 12-Inch</t>
        </is>
      </c>
      <c r="E3186" s="2">
        <f>HYPERLINK("https://www.amazon.com/Klein-Tools-89551-Replacement-12-Inch/dp/B07DLRWFCG/ref=sr_1_2?keywords=Klein+Tools+89552+Hole+Cutter+for+Duct+and+Sheet+Metal%2C+2+to+12-Inch&amp;qid=1694734820&amp;sr=8-2", "https://www.amazon.com/Klein-Tools-89551-Replacement-12-Inch/dp/B07DLRWFCG/ref=sr_1_2?keywords=Klein+Tools+89552+Hole+Cutter+for+Duct+and+Sheet+Metal%2C+2+to+12-Inch&amp;qid=1694734820&amp;sr=8-2")</f>
        <v/>
      </c>
      <c r="F3186" t="inlineStr">
        <is>
          <t>B07DLRWFCG</t>
        </is>
      </c>
      <c r="G3186">
        <f>_xludf.IMAGE("https://edmondsonsupply.com/cdn/shop/products/89552.jpg?v=1587143132")</f>
        <v/>
      </c>
      <c r="H3186">
        <f>_xludf.IMAGE("https://m.media-amazon.com/images/I/411kCYe-NnL._AC_UL320_.jpg")</f>
        <v/>
      </c>
      <c r="K3186" t="inlineStr">
        <is>
          <t>56.99</t>
        </is>
      </c>
      <c r="L3186" t="n">
        <v>8.69</v>
      </c>
      <c r="M3186" s="1" t="inlineStr">
        <is>
          <t>-84.75%</t>
        </is>
      </c>
      <c r="N3186" s="1" t="n">
        <v>95.90000000000001</v>
      </c>
      <c r="O3186" t="n">
        <v>4.2</v>
      </c>
      <c r="P3186" t="n">
        <v>184</v>
      </c>
      <c r="R3186" t="inlineStr">
        <is>
          <t>InStock</t>
        </is>
      </c>
      <c r="S3186" t="inlineStr">
        <is>
          <t>83.98</t>
        </is>
      </c>
      <c r="T3186" t="inlineStr">
        <is>
          <t>4169413165156</t>
        </is>
      </c>
    </row>
    <row r="3187" hidden="1" ht="15.75" customHeight="1">
      <c r="A3187" s="2">
        <f>HYPERLINK("https://edmondsonsupply.com/collections/hvac/products/imperial-368-fh-imp%E2%84%A2-triple-head-tube-bender-3-16-3-8-o-d", "https://edmondsonsupply.com/collections/hvac/products/imperial-368-fh-imp%E2%84%A2-triple-head-tube-bender-3-16-3-8-o-d")</f>
        <v/>
      </c>
      <c r="B3187" s="2">
        <f>HYPERLINK("https://edmondsonsupply.com/products/imperial-368-fh-imp%e2%84%a2-triple-head-tube-bender-3-16-3-8-o-d", "https://edmondsonsupply.com/products/imperial-368-fh-imp%e2%84%a2-triple-head-tube-bender-3-16-3-8-o-d")</f>
        <v/>
      </c>
      <c r="C3187" t="inlineStr">
        <is>
          <t>Imperial 368-FH IMP™ Triple Head Tube Bender 3/16" - 3/8" O.D.</t>
        </is>
      </c>
      <c r="D3187" t="inlineStr">
        <is>
          <t>Gino Development 02-0274 TruePower Triple Head Tube Bender 1/4",5/16",3/8" O.D tubing</t>
        </is>
      </c>
      <c r="E3187" s="2">
        <f>HYPERLINK("https://www.amazon.com/Gino-Development-02-0274-TruePower-Triple/dp/B01MSKDC9A/ref=sr_1_5?keywords=Imperial+368-FH+IMP%E2%84%A2+Triple+Head+Tube+Bender+3%2F16%22+-+3%2F8%22+O.D.&amp;qid=1694734821&amp;sr=8-5", "https://www.amazon.com/Gino-Development-02-0274-TruePower-Triple/dp/B01MSKDC9A/ref=sr_1_5?keywords=Imperial+368-FH+IMP%E2%84%A2+Triple+Head+Tube+Bender+3%2F16%22+-+3%2F8%22+O.D.&amp;qid=1694734821&amp;sr=8-5")</f>
        <v/>
      </c>
      <c r="F3187" t="inlineStr">
        <is>
          <t>B01MSKDC9A</t>
        </is>
      </c>
      <c r="G3187">
        <f>_xludf.IMAGE("https://edmondsonsupply.com/cdn/shop/products/368-FH.jpg?v=1587145793")</f>
        <v/>
      </c>
      <c r="H3187">
        <f>_xludf.IMAGE("https://m.media-amazon.com/images/I/81786yijGVL._AC_UL320_.jpg")</f>
        <v/>
      </c>
      <c r="K3187" t="inlineStr">
        <is>
          <t>36.52</t>
        </is>
      </c>
      <c r="L3187" t="n">
        <v>5.49</v>
      </c>
      <c r="M3187" s="1" t="inlineStr">
        <is>
          <t>-84.97%</t>
        </is>
      </c>
      <c r="N3187" s="1" t="n">
        <v>95.90000000000001</v>
      </c>
      <c r="O3187" t="n">
        <v>5</v>
      </c>
      <c r="P3187" t="n">
        <v>4</v>
      </c>
      <c r="R3187" t="inlineStr">
        <is>
          <t>InStock</t>
        </is>
      </c>
      <c r="S3187" t="inlineStr">
        <is>
          <t>undefined</t>
        </is>
      </c>
      <c r="T3187" t="inlineStr">
        <is>
          <t>3679124127844</t>
        </is>
      </c>
    </row>
    <row r="3188" ht="87" customHeight="1">
      <c r="A3188" s="2">
        <f>HYPERLINK("https://edmondsonsupply.com/collections/hvac/products/fluke-t5-600", "https://edmondsonsupply.com/collections/hvac/products/fluke-t5-600")</f>
        <v/>
      </c>
      <c r="B3188" s="2">
        <f>HYPERLINK("https://edmondsonsupply.com/products/fluke-t5-600", "https://edmondsonsupply.com/products/fluke-t5-600")</f>
        <v/>
      </c>
      <c r="C3188" t="inlineStr">
        <is>
          <t>Fluke T5-600 Voltage, Continuity and Current Tester, 600V AC/DC</t>
        </is>
      </c>
      <c r="D3188" t="inlineStr">
        <is>
          <t>Hard Case Replacement for Fluke T5-1000/T5-600/T6-1000/T6-600 Electrical Voltage, Continuity and Current Tester by Aenllosi</t>
        </is>
      </c>
      <c r="E3188" s="2">
        <f>HYPERLINK("https://www.amazon.com/Aenllosi-T5-1000-Electrical-Voltage-Continuity/dp/B07LFQVCZ2/ref=sr_1_9?keywords=Fluke+T5-600+Voltage%2C+Continuity+and+Current+Tester%2C+600V+AC%2FDC&amp;qid=1694734616&amp;sr=8-9", "https://www.amazon.com/Aenllosi-T5-1000-Electrical-Voltage-Continuity/dp/B07LFQVCZ2/ref=sr_1_9?keywords=Fluke+T5-600+Voltage%2C+Continuity+and+Current+Tester%2C+600V+AC%2FDC&amp;qid=1694734616&amp;sr=8-9")</f>
        <v/>
      </c>
      <c r="F3188" t="inlineStr">
        <is>
          <t>B07LFQVCZ2</t>
        </is>
      </c>
      <c r="G3188">
        <f>_xlfn.IMAGE("https://edmondsonsupply.com/cdn/shop/products/F-t5-600-euro_03a_c.jpg?v=1633030279")</f>
        <v/>
      </c>
      <c r="H3188">
        <f>_xlfn.IMAGE("https://m.media-amazon.com/images/I/61OaRs4xThL._AC_UL320_.jpg")</f>
        <v/>
      </c>
      <c r="K3188" t="inlineStr">
        <is>
          <t>137.99</t>
        </is>
      </c>
      <c r="L3188" t="n">
        <v>19.99</v>
      </c>
      <c r="M3188" s="1" t="inlineStr">
        <is>
          <t>-85.51%</t>
        </is>
      </c>
      <c r="N3188" s="7" t="n">
        <v>95.84</v>
      </c>
      <c r="O3188" t="n">
        <v>4.8</v>
      </c>
      <c r="P3188" t="n">
        <v>1979</v>
      </c>
      <c r="R3188" t="inlineStr">
        <is>
          <t>InStock</t>
        </is>
      </c>
      <c r="S3188" t="inlineStr">
        <is>
          <t>152.99</t>
        </is>
      </c>
      <c r="T3188" t="inlineStr">
        <is>
          <t>5238394781864</t>
        </is>
      </c>
    </row>
    <row r="3189" hidden="1" ht="15.75" customHeight="1">
      <c r="A3189" s="2">
        <f>HYPERLINK("https://edmondsonsupply.com/collections/hvac/products/fresh-aire-uv-apco-tuv-apco-er2", "https://edmondsonsupply.com/collections/hvac/products/fresh-aire-uv-apco-tuv-apco-er2")</f>
        <v/>
      </c>
      <c r="B3189" s="2">
        <f>HYPERLINK("https://edmondsonsupply.com/products/fresh-aire-uv-apco-tuv-apco-er2", "https://edmondsonsupply.com/products/fresh-aire-uv-apco-tuv-apco-er2")</f>
        <v/>
      </c>
      <c r="C3189" t="inlineStr">
        <is>
          <t>Fresh-Aire UV APCO TUV-APCO-ER2 18-32 VAC, 2-Year UV Lamp</t>
        </is>
      </c>
      <c r="D3189" t="inlineStr">
        <is>
          <t>LSE Lighting TUVL-215P TUVL-200-E 15" UV Lamp for AHU Series 1 APCO MAG 15 (no Black Wire Attached) | Used for Fresh-Aire UVC Systems | 2 Year 15" Replacement lamp | Made from Hard Quartz</t>
        </is>
      </c>
      <c r="E3189" s="2">
        <f>HYPERLINK("https://www.amazon.com/LSE-Lighting-TUVL-215P-Fresh-Aire-Replacement/dp/B0BCH7Z2T3/ref=sr_1_17?keywords=Fresh-Aire+UV+APCO+TUV-APCO-ER2+18-32+VAC%2C+2-Year+UV+Lamp&amp;qid=1694734608&amp;sr=8-17", "https://www.amazon.com/LSE-Lighting-TUVL-215P-Fresh-Aire-Replacement/dp/B0BCH7Z2T3/ref=sr_1_17?keywords=Fresh-Aire+UV+APCO+TUV-APCO-ER2+18-32+VAC%2C+2-Year+UV+Lamp&amp;qid=1694734608&amp;sr=8-17")</f>
        <v/>
      </c>
      <c r="F3189" t="inlineStr">
        <is>
          <t>B0BCH7Z2T3</t>
        </is>
      </c>
      <c r="G3189">
        <f>_xludf.IMAGE("https://edmondsonsupply.com/cdn/shop/products/fresh-aire-uv_tuv-apco-er2_article_1367841289911_en_normal.jpg?v=1587143929")</f>
        <v/>
      </c>
      <c r="H3189">
        <f>_xludf.IMAGE("https://m.media-amazon.com/images/I/31MNaScLYrS._AC_UL320_.jpg")</f>
        <v/>
      </c>
      <c r="K3189" t="inlineStr">
        <is>
          <t>385.99</t>
        </is>
      </c>
      <c r="L3189" t="n">
        <v>54</v>
      </c>
      <c r="M3189" s="1" t="inlineStr">
        <is>
          <t>-86.01%</t>
        </is>
      </c>
      <c r="N3189" s="1" t="n">
        <v>95.33</v>
      </c>
      <c r="O3189" t="n">
        <v>3.8</v>
      </c>
      <c r="P3189" t="n">
        <v>13</v>
      </c>
      <c r="R3189" t="inlineStr">
        <is>
          <t>InStock</t>
        </is>
      </c>
      <c r="S3189" t="inlineStr">
        <is>
          <t>undefined</t>
        </is>
      </c>
      <c r="T3189" t="inlineStr">
        <is>
          <t>4429144260708</t>
        </is>
      </c>
    </row>
    <row r="3190" ht="87" customHeight="1">
      <c r="A3190" s="2">
        <f>HYPERLINK("https://edmondsonsupply.com/collections/hvac/products/fluke-62-max-mini-infrared-thermometer", "https://edmondsonsupply.com/collections/hvac/products/fluke-62-max-mini-infrared-thermometer")</f>
        <v/>
      </c>
      <c r="B3190" s="2">
        <f>HYPERLINK("https://edmondsonsupply.com/products/fluke-62-max-mini-infrared-thermometer", "https://edmondsonsupply.com/products/fluke-62-max-mini-infrared-thermometer")</f>
        <v/>
      </c>
      <c r="C3190" t="inlineStr">
        <is>
          <t>Fluke 62 MAX Mini Infrared Thermometer</t>
        </is>
      </c>
      <c r="D3190" t="inlineStr">
        <is>
          <t>co2CREA Hard Travel Case Replacement for Fluke 62 Max+ / 62 Max / 64 Max / 59 Max+ / 59 Max / 59 Mini Infrared IR Thermometer (Yellow Case)</t>
        </is>
      </c>
      <c r="E3190" s="2">
        <f>HYPERLINK("https://www.amazon.com/co2crea-Travel-Infrared-Thermometer-Yellow/dp/B08FHPGX3X/ref=sr_1_2?keywords=Fluke+62+MAX+Mini+Infrared+Thermometer&amp;qid=1694734710&amp;sr=8-2", "https://www.amazon.com/co2crea-Travel-Infrared-Thermometer-Yellow/dp/B08FHPGX3X/ref=sr_1_2?keywords=Fluke+62+MAX+Mini+Infrared+Thermometer&amp;qid=1694734710&amp;sr=8-2")</f>
        <v/>
      </c>
      <c r="F3190" t="inlineStr">
        <is>
          <t>B08FHPGX3X</t>
        </is>
      </c>
      <c r="G3190">
        <f>_xlfn.IMAGE("https://edmondsonsupply.com/cdn/shop/products/62max.jpg?v=1633030769")</f>
        <v/>
      </c>
      <c r="H3190">
        <f>_xlfn.IMAGE("https://m.media-amazon.com/images/I/819lhKmR58L._AC_UY218_.jpg")</f>
        <v/>
      </c>
      <c r="K3190" t="inlineStr">
        <is>
          <t>122.99</t>
        </is>
      </c>
      <c r="L3190" t="n">
        <v>16.99</v>
      </c>
      <c r="M3190" s="1" t="inlineStr">
        <is>
          <t>-86.19%</t>
        </is>
      </c>
      <c r="N3190" s="7" t="n">
        <v>95.33</v>
      </c>
      <c r="O3190" t="n">
        <v>4.6</v>
      </c>
      <c r="P3190" t="n">
        <v>519</v>
      </c>
      <c r="R3190" t="inlineStr">
        <is>
          <t>OutOfStock</t>
        </is>
      </c>
      <c r="S3190" t="inlineStr">
        <is>
          <t>134.99</t>
        </is>
      </c>
      <c r="T3190" t="inlineStr">
        <is>
          <t>5931906334888</t>
        </is>
      </c>
    </row>
    <row r="3191" ht="87" customHeight="1">
      <c r="A3191" s="2">
        <f>HYPERLINK("https://edmondsonsupply.com/collections/hvac/products/fluke-62-max-mini-infrared-thermometer", "https://edmondsonsupply.com/collections/hvac/products/fluke-62-max-mini-infrared-thermometer")</f>
        <v/>
      </c>
      <c r="B3191" s="2">
        <f>HYPERLINK("https://edmondsonsupply.com/products/fluke-62-max-mini-infrared-thermometer", "https://edmondsonsupply.com/products/fluke-62-max-mini-infrared-thermometer")</f>
        <v/>
      </c>
      <c r="C3191" t="inlineStr">
        <is>
          <t>Fluke 62 MAX Mini Infrared Thermometer</t>
        </is>
      </c>
      <c r="D3191" t="inlineStr">
        <is>
          <t>Aproca Hard Storage Travel Case, for Fluke 62 Max Infrared Thermometer</t>
        </is>
      </c>
      <c r="E3191" s="2">
        <f>HYPERLINK("https://www.amazon.com/Aproca-Storage-Travel-Fluke-Thermometer/dp/B07WMQ8G1Q/ref=sr_1_12?keywords=Fluke+62+MAX+Mini+Infrared+Thermometer&amp;qid=1694734710&amp;sr=8-12", "https://www.amazon.com/Aproca-Storage-Travel-Fluke-Thermometer/dp/B07WMQ8G1Q/ref=sr_1_12?keywords=Fluke+62+MAX+Mini+Infrared+Thermometer&amp;qid=1694734710&amp;sr=8-12")</f>
        <v/>
      </c>
      <c r="F3191" t="inlineStr">
        <is>
          <t>B07WMQ8G1Q</t>
        </is>
      </c>
      <c r="G3191">
        <f>_xlfn.IMAGE("https://edmondsonsupply.com/cdn/shop/products/62max.jpg?v=1633030769")</f>
        <v/>
      </c>
      <c r="H3191">
        <f>_xlfn.IMAGE("https://m.media-amazon.com/images/I/81nOJJ+KQaL._AC_UY218_.jpg")</f>
        <v/>
      </c>
      <c r="K3191" t="inlineStr">
        <is>
          <t>122.99</t>
        </is>
      </c>
      <c r="L3191" t="n">
        <v>16.99</v>
      </c>
      <c r="M3191" s="1" t="inlineStr">
        <is>
          <t>-86.19%</t>
        </is>
      </c>
      <c r="N3191" s="7" t="n">
        <v>95.33</v>
      </c>
      <c r="O3191" t="n">
        <v>4.7</v>
      </c>
      <c r="P3191" t="n">
        <v>58</v>
      </c>
      <c r="R3191" t="inlineStr">
        <is>
          <t>OutOfStock</t>
        </is>
      </c>
      <c r="S3191" t="inlineStr">
        <is>
          <t>134.99</t>
        </is>
      </c>
      <c r="T3191" t="inlineStr">
        <is>
          <t>5931906334888</t>
        </is>
      </c>
    </row>
    <row r="3192" ht="87" customHeight="1">
      <c r="A3192" s="2">
        <f>HYPERLINK("https://edmondsonsupply.com/collections/hvac/products/fluke-373-true-rms-ac-clamp-meter", "https://edmondsonsupply.com/collections/hvac/products/fluke-373-true-rms-ac-clamp-meter")</f>
        <v/>
      </c>
      <c r="B3192" s="2">
        <f>HYPERLINK("https://edmondsonsupply.com/products/fluke-373-true-rms-ac-clamp-meter", "https://edmondsonsupply.com/products/fluke-373-true-rms-ac-clamp-meter")</f>
        <v/>
      </c>
      <c r="C3192" t="inlineStr">
        <is>
          <t>Fluke 373 True-RMS AC Clamp Meter</t>
        </is>
      </c>
      <c r="D3192" t="inlineStr">
        <is>
          <t>Inrush Clamp Meter MESTEK 1000A True RMS AC/DC Current Amp Meter, Multimeter Voltage Tester 6000 Counts, VFD, LOZ Mode, Measures Current Voltage Temperature Capacitance Resistance Diodes Continuity</t>
        </is>
      </c>
      <c r="E3192" s="2">
        <f>HYPERLINK("https://www.amazon.com/MESTEK-Multimeter-Temperature-Capacitance-Resistance/dp/B0B8HJ517X/ref=sr_1_12?keywords=Fluke+373+True-RMS+AC+Clamp+Meter&amp;qid=1694734920&amp;sr=8-12", "https://www.amazon.com/MESTEK-Multimeter-Temperature-Capacitance-Resistance/dp/B0B8HJ517X/ref=sr_1_12?keywords=Fluke+373+True-RMS+AC+Clamp+Meter&amp;qid=1694734920&amp;sr=8-12")</f>
        <v/>
      </c>
      <c r="F3192" t="inlineStr">
        <is>
          <t>B0B8HJ517X</t>
        </is>
      </c>
      <c r="G3192">
        <f>_xlfn.IMAGE("https://edmondsonsupply.com/cdn/shop/files/f-373-01d-1500x1000.webp?v=1689369435")</f>
        <v/>
      </c>
      <c r="H3192">
        <f>_xlfn.IMAGE("https://m.media-amazon.com/images/I/81DniwJ5vwL._AC_UY218_.jpg")</f>
        <v/>
      </c>
      <c r="K3192" t="inlineStr">
        <is>
          <t>290.05</t>
        </is>
      </c>
      <c r="L3192" t="n">
        <v>39.99</v>
      </c>
      <c r="M3192" s="1" t="inlineStr">
        <is>
          <t>-86.21%</t>
        </is>
      </c>
      <c r="N3192" s="7" t="n">
        <v>95.23999999999999</v>
      </c>
      <c r="O3192" t="n">
        <v>4.5</v>
      </c>
      <c r="P3192" t="n">
        <v>373</v>
      </c>
      <c r="R3192" t="inlineStr">
        <is>
          <t>InStock</t>
        </is>
      </c>
      <c r="S3192" t="inlineStr">
        <is>
          <t>undefined</t>
        </is>
      </c>
      <c r="T3192" t="inlineStr">
        <is>
          <t>8016406773976</t>
        </is>
      </c>
    </row>
    <row r="3193" hidden="1" ht="15.75" customHeight="1">
      <c r="A3193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193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193" t="inlineStr">
        <is>
          <t>Diablo Tools DMAMX1300 1-1/4 in. x 16 in. x 21 in. Rebar Demon™ SDS-Max 4-Cutter Full Carbide Head Hammer Drill Bit</t>
        </is>
      </c>
      <c r="D3193" t="inlineStr">
        <is>
          <t>Diablo by Freud DMAPL4050 3/16 in. x 6 in. x 8 in. Rebar Demon SDS-Plus 4-Cutter Full Carbide Head Hammer Bit Multi, One Size</t>
        </is>
      </c>
      <c r="E3193" s="2">
        <f>HYPERLINK("https://www.amazon.com/Diablo-SDS-Plus-4-Cutter-Carbide-Hammer/dp/B089LKWR9L/ref=sr_1_43?keywords=Diablo+Tools+DMAMX1300+1-1%2F4+in.+x+16+in.+x+21+in.+Rebar+Demon%E2%84%A2+SDS-Max+4-Cutter+Full+Carbide+Head+Hammer+Drill+Bit&amp;qid=1694734676&amp;sr=8-43", "https://www.amazon.com/Diablo-SDS-Plus-4-Cutter-Carbide-Hammer/dp/B089LKWR9L/ref=sr_1_43?keywords=Diablo+Tools+DMAMX1300+1-1%2F4+in.+x+16+in.+x+21+in.+Rebar+Demon%E2%84%A2+SDS-Max+4-Cutter+Full+Carbide+Head+Hammer+Drill+Bit&amp;qid=1694734676&amp;sr=8-43")</f>
        <v/>
      </c>
      <c r="F3193" t="inlineStr">
        <is>
          <t>B089LKWR9L</t>
        </is>
      </c>
      <c r="G3193">
        <f>_xludf.IMAGE("https://edmondsonsupply.com/cdn/shop/files/immoyh7jjmbau4fzhuq6_7dd7fd73-2865-4c12-9443-da45b48dbd51.webp?v=1685465465")</f>
        <v/>
      </c>
      <c r="H3193">
        <f>_xludf.IMAGE("https://m.media-amazon.com/images/I/61uukuKzJeL._AC_UL320_.jpg")</f>
        <v/>
      </c>
      <c r="K3193" t="inlineStr">
        <is>
          <t>66.4</t>
        </is>
      </c>
      <c r="L3193" t="n">
        <v>8.99</v>
      </c>
      <c r="M3193" s="1" t="inlineStr">
        <is>
          <t>-86.46%</t>
        </is>
      </c>
      <c r="N3193" s="1" t="n">
        <v>95.09</v>
      </c>
      <c r="O3193" t="n">
        <v>3.7</v>
      </c>
      <c r="P3193" t="n">
        <v>10</v>
      </c>
      <c r="R3193" t="inlineStr">
        <is>
          <t>OutOfStock</t>
        </is>
      </c>
      <c r="S3193" t="inlineStr">
        <is>
          <t>105.4</t>
        </is>
      </c>
      <c r="T3193" t="inlineStr">
        <is>
          <t>7997856874712</t>
        </is>
      </c>
    </row>
    <row r="3194" hidden="1" ht="15.75" customHeight="1">
      <c r="A3194" s="2">
        <f>HYPERLINK("https://edmondsonsupply.com/collections/hvac/products/diablo-tools-dmamx1300-1-1-4-in-x-16-in-x-21-in-rebar-demon%E2%84%A2-sds-max-4-cutter-full-carbide-head-hammer-drill-bit", "https://edmondsonsupply.com/collections/hvac/products/diablo-tools-dmamx1300-1-1-4-in-x-16-in-x-21-in-rebar-demon%E2%84%A2-sds-max-4-cutter-full-carbide-head-hammer-drill-bit")</f>
        <v/>
      </c>
      <c r="B3194" s="2">
        <f>HYPERLINK("https://edmondsonsupply.com/products/diablo-tools-dmamx1300-1-1-4-in-x-16-in-x-21-in-rebar-demon%e2%84%a2-sds-max-4-cutter-full-carbide-head-hammer-drill-bit", "https://edmondsonsupply.com/products/diablo-tools-dmamx1300-1-1-4-in-x-16-in-x-21-in-rebar-demon%e2%84%a2-sds-max-4-cutter-full-carbide-head-hammer-drill-bit")</f>
        <v/>
      </c>
      <c r="C3194" t="inlineStr">
        <is>
          <t>Diablo Tools DMAMX1300 1-1/4 in. x 16 in. x 21 in. Rebar Demon™ SDS-Max 4-Cutter Full Carbide Head Hammer Drill Bit</t>
        </is>
      </c>
      <c r="D3194" t="inlineStr">
        <is>
          <t>Diablo by Freud Diablo DMAPL4070 1/4 in. x 4 in. x 6 in. Rebar Demon SDS-Plus 4-Cutter Full Carbide Head Hammer Bit</t>
        </is>
      </c>
      <c r="E3194" s="2">
        <f>HYPERLINK("https://www.amazon.com/Diablo-Freud-DMAPL4070-SDS-Plus-4-Cutter/dp/B089KVLDML/ref=sr_1_16?keywords=Diablo+Tools+DMAMX1300+1-1%2F4+in.+x+16+in.+x+21+in.+Rebar+Demon%E2%84%A2+SDS-Max+4-Cutter+Full+Carbide+Head+Hammer+Drill+Bit&amp;qid=1694734676&amp;sr=8-16", "https://www.amazon.com/Diablo-Freud-DMAPL4070-SDS-Plus-4-Cutter/dp/B089KVLDML/ref=sr_1_16?keywords=Diablo+Tools+DMAMX1300+1-1%2F4+in.+x+16+in.+x+21+in.+Rebar+Demon%E2%84%A2+SDS-Max+4-Cutter+Full+Carbide+Head+Hammer+Drill+Bit&amp;qid=1694734676&amp;sr=8-16")</f>
        <v/>
      </c>
      <c r="F3194" t="inlineStr">
        <is>
          <t>B089KVLDML</t>
        </is>
      </c>
      <c r="G3194">
        <f>_xludf.IMAGE("https://edmondsonsupply.com/cdn/shop/files/immoyh7jjmbau4fzhuq6_7dd7fd73-2865-4c12-9443-da45b48dbd51.webp?v=1685465465")</f>
        <v/>
      </c>
      <c r="H3194">
        <f>_xludf.IMAGE("https://m.media-amazon.com/images/I/61fLLQz5xPL._AC_UL320_.jpg")</f>
        <v/>
      </c>
      <c r="K3194" t="inlineStr">
        <is>
          <t>66.4</t>
        </is>
      </c>
      <c r="L3194" t="n">
        <v>8.84</v>
      </c>
      <c r="M3194" s="1" t="inlineStr">
        <is>
          <t>-86.69%</t>
        </is>
      </c>
      <c r="N3194" s="1" t="n">
        <v>95.09</v>
      </c>
      <c r="O3194" t="n">
        <v>4.4</v>
      </c>
      <c r="P3194" t="n">
        <v>28</v>
      </c>
      <c r="R3194" t="inlineStr">
        <is>
          <t>OutOfStock</t>
        </is>
      </c>
      <c r="S3194" t="inlineStr">
        <is>
          <t>105.4</t>
        </is>
      </c>
      <c r="T3194" t="inlineStr">
        <is>
          <t>7997856874712</t>
        </is>
      </c>
    </row>
    <row r="3195" hidden="1" ht="15.75" customHeight="1">
      <c r="A3195" s="2">
        <f>HYPERLINK("https://edmondsonsupply.com/collections/hvac/products/fresh-aire-uv-apco-tuv-apco-rt-er2-18-32-vac-2-year-uv-lamp", "https://edmondsonsupply.com/collections/hvac/products/fresh-aire-uv-apco-tuv-apco-rt-er2-18-32-vac-2-year-uv-lamp")</f>
        <v/>
      </c>
      <c r="B3195" s="2">
        <f>HYPERLINK("https://edmondsonsupply.com/products/fresh-aire-uv-apco-tuv-apco-rt-er2-18-32-vac-2-year-uv-lamp", "https://edmondsonsupply.com/products/fresh-aire-uv-apco-tuv-apco-rt-er2-18-32-vac-2-year-uv-lamp")</f>
        <v/>
      </c>
      <c r="C3195" t="inlineStr">
        <is>
          <t>Fresh-Aire UV APCO TUV-APCO-RT-ER2 18-32 VAC, 2-Year UV Lamp</t>
        </is>
      </c>
      <c r="D3195" t="inlineStr">
        <is>
          <t>LSE Lighting TUVL-215P TUVL-200-E 15" UV Lamp for AHU Series 1 APCO MAG 15 (no Black Wire Attached) | Used for Fresh-Aire UVC Systems | 2 Year 15" Replacement lamp | Made from Hard Quartz</t>
        </is>
      </c>
      <c r="E3195" s="2">
        <f>HYPERLINK("https://www.amazon.com/LSE-Lighting-TUVL-215P-Fresh-Aire-Replacement/dp/B0BCH7Z2T3/ref=sr_1_13?keywords=Fresh-Aire+UV+APCO+TUV-APCO-RT-ER2+18-32+VAC%2C+2-Year+UV+Lamp&amp;qid=1694734662&amp;sr=8-13", "https://www.amazon.com/LSE-Lighting-TUVL-215P-Fresh-Aire-Replacement/dp/B0BCH7Z2T3/ref=sr_1_13?keywords=Fresh-Aire+UV+APCO+TUV-APCO-RT-ER2+18-32+VAC%2C+2-Year+UV+Lamp&amp;qid=1694734662&amp;sr=8-13")</f>
        <v/>
      </c>
      <c r="F3195" t="inlineStr">
        <is>
          <t>B0BCH7Z2T3</t>
        </is>
      </c>
      <c r="G3195">
        <f>_xludf.IMAGE("https://edmondsonsupply.com/cdn/shop/products/APCO-RT-front.jpg?v=1664831717")</f>
        <v/>
      </c>
      <c r="H3195">
        <f>_xludf.IMAGE("https://m.media-amazon.com/images/I/31MNaScLYrS._AC_UL320_.jpg")</f>
        <v/>
      </c>
      <c r="K3195" t="inlineStr">
        <is>
          <t>409.92</t>
        </is>
      </c>
      <c r="L3195" t="n">
        <v>54</v>
      </c>
      <c r="M3195" s="1" t="inlineStr">
        <is>
          <t>-86.83%</t>
        </is>
      </c>
      <c r="N3195" s="1" t="n">
        <v>95</v>
      </c>
      <c r="O3195" t="n">
        <v>3.8</v>
      </c>
      <c r="P3195" t="n">
        <v>13</v>
      </c>
      <c r="R3195" t="inlineStr">
        <is>
          <t>InStock</t>
        </is>
      </c>
      <c r="S3195" t="inlineStr">
        <is>
          <t>522.5</t>
        </is>
      </c>
      <c r="T3195" t="inlineStr">
        <is>
          <t>6694665781421</t>
        </is>
      </c>
    </row>
    <row r="3196" ht="87" customHeight="1">
      <c r="A3196" s="2">
        <f>HYPERLINK("https://edmondsonsupply.com/collections/hvac/products/yellow-jacket-61001-hydrocarbon-charging-kit", "https://edmondsonsupply.com/collections/hvac/products/yellow-jacket-61001-hydrocarbon-charging-kit")</f>
        <v/>
      </c>
      <c r="B3196" s="2">
        <f>HYPERLINK("https://edmondsonsupply.com/products/yellow-jacket-61001-hydrocarbon-charging-kit", "https://edmondsonsupply.com/products/yellow-jacket-61001-hydrocarbon-charging-kit")</f>
        <v/>
      </c>
      <c r="C3196" t="inlineStr">
        <is>
          <t>Yellow Jacket 61001 Hydrocarbon Charging Kit</t>
        </is>
      </c>
      <c r="D3196" t="inlineStr">
        <is>
          <t>Yellow Jacket 61003 Digital Scale for Hydrocarbon Charging Kit</t>
        </is>
      </c>
      <c r="E3196" s="2">
        <f>HYPERLINK("https://www.amazon.com/Yellow-Jacket-Digital-Hydrocarbon-Charging/dp/B091H63CYZ/ref=sr_1_fkmr0_1?keywords=Yellow+Jacket+61001+Hydrocarbon+Charging+Kit&amp;qid=1694734582&amp;sr=8-1-fkmr0", "https://www.amazon.com/Yellow-Jacket-Digital-Hydrocarbon-Charging/dp/B091H63CYZ/ref=sr_1_fkmr0_1?keywords=Yellow+Jacket+61001+Hydrocarbon+Charging+Kit&amp;qid=1694734582&amp;sr=8-1-fkmr0")</f>
        <v/>
      </c>
      <c r="F3196" t="inlineStr">
        <is>
          <t>B091H63CYZ</t>
        </is>
      </c>
      <c r="G3196">
        <f>_xlfn.IMAGE("https://edmondsonsupply.com/cdn/shop/products/61001-Hydrobarbon-Kit-OPEN-CASE-2048x1553.jpg?v=1633030964")</f>
        <v/>
      </c>
      <c r="H3196">
        <f>_xlfn.IMAGE("https://m.media-amazon.com/images/I/61Cc4L6rDVL._AC_UL320_.jpg")</f>
        <v/>
      </c>
      <c r="K3196" t="inlineStr">
        <is>
          <t>488.66</t>
        </is>
      </c>
      <c r="L3196" t="n">
        <v>64</v>
      </c>
      <c r="M3196" s="1" t="inlineStr">
        <is>
          <t>-86.90%</t>
        </is>
      </c>
      <c r="N3196" s="7" t="n">
        <v>94.98</v>
      </c>
      <c r="O3196" t="n">
        <v>4.1</v>
      </c>
      <c r="P3196" t="n">
        <v>4</v>
      </c>
      <c r="R3196" t="inlineStr">
        <is>
          <t>InStock</t>
        </is>
      </c>
      <c r="S3196" t="inlineStr">
        <is>
          <t>undefined</t>
        </is>
      </c>
      <c r="T3196" t="inlineStr">
        <is>
          <t>6626544812205</t>
        </is>
      </c>
    </row>
    <row r="3197" ht="87" customHeight="1">
      <c r="A3197" s="2">
        <f>HYPERLINK("https://edmondsonsupply.com/collections/hvac/products/klein-tools-80028-electricians-tool-kit-28-piece", "https://edmondsonsupply.com/collections/hvac/products/klein-tools-80028-electricians-tool-kit-28-piece")</f>
        <v/>
      </c>
      <c r="B3197" s="2">
        <f>HYPERLINK("https://edmondsonsupply.com/products/klein-tools-80028-electricians-tool-kit-28-piece", "https://edmondsonsupply.com/products/klein-tools-80028-electricians-tool-kit-28-piece")</f>
        <v/>
      </c>
      <c r="C3197" t="inlineStr">
        <is>
          <t>Klein Tools 80028 Electrician's Tool Kit, 28-Piece</t>
        </is>
      </c>
      <c r="D3197" t="inlineStr">
        <is>
          <t>Klein Tools Tool Set, Multi-Bit Screwdriver and Nut Driver Tool Kit, 28 Different Industrial Strength Bits and Sizes, 4-Piece</t>
        </is>
      </c>
      <c r="E3197" s="2">
        <f>HYPERLINK("https://www.amazon.com/Klein-Tools-Multi-Bit-Screwdriver-Industrial/dp/B0C8LHT9TF/ref=sr_1_40?keywords=Klein+Tools+80028+Electrician%27s+Tool+Kit%2C+28-Piece&amp;qid=1694734712&amp;sr=8-40", "https://www.amazon.com/Klein-Tools-Multi-Bit-Screwdriver-Industrial/dp/B0C8LHT9TF/ref=sr_1_40?keywords=Klein+Tools+80028+Electrician%27s+Tool+Kit%2C+28-Piece&amp;qid=1694734712&amp;sr=8-40")</f>
        <v/>
      </c>
      <c r="F3197" t="inlineStr">
        <is>
          <t>B0C8LHT9TF</t>
        </is>
      </c>
      <c r="G3197">
        <f>_xlfn.IMAGE("https://edmondsonsupply.com/cdn/shop/files/80028_d.jpg?v=1686062794")</f>
        <v/>
      </c>
      <c r="H3197">
        <f>_xlfn.IMAGE("https://m.media-amazon.com/images/I/21uoRrn97+L._AC_UL320_.jpg")</f>
        <v/>
      </c>
      <c r="K3197" t="inlineStr">
        <is>
          <t>414.99</t>
        </is>
      </c>
      <c r="L3197" t="n">
        <v>52.91</v>
      </c>
      <c r="M3197" s="1" t="inlineStr">
        <is>
          <t>-87.25%</t>
        </is>
      </c>
      <c r="N3197" s="7" t="n">
        <v>94.83</v>
      </c>
      <c r="O3197" t="n">
        <v>4.7</v>
      </c>
      <c r="P3197" t="n">
        <v>9145</v>
      </c>
      <c r="R3197" t="inlineStr">
        <is>
          <t>InStock</t>
        </is>
      </c>
      <c r="S3197" t="inlineStr">
        <is>
          <t>628.74</t>
        </is>
      </c>
      <c r="T3197" t="inlineStr">
        <is>
          <t>5868172214440</t>
        </is>
      </c>
    </row>
    <row r="3198" ht="87" customHeight="1">
      <c r="A3198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198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198" t="inlineStr">
        <is>
          <t>Milwaukee 0970-20 M18 FUEL™ PACKOUT™ 2.5 Gallon Wet/Dry Vacuum</t>
        </is>
      </c>
      <c r="D3198" t="inlineStr">
        <is>
          <t>49-90-2016 Fleece Dust Bags for Milwaukee 0960-20 M12 FUEL 1.6 Gallon Wet/Dry Vacuum &amp;0970-20 M18 FUEL PACKOUT 2.5 Gallon Wet/Dry Vacuum|for Milwaukee Vacuum Accessories</t>
        </is>
      </c>
      <c r="E3198" s="2">
        <f>HYPERLINK("https://www.amazon.com/49-90-2016-Milwaukee-0960-20-0970-20-Accessories/dp/B0CB8X1CTW/ref=sr_1_1?keywords=Milwaukee+0970-20+M18+FUEL%E2%84%A2+PACKOUT%E2%84%A2+2.5+Gallon+Wet%2FDry+Vacuum&amp;qid=1694734754&amp;sr=8-1", "https://www.amazon.com/49-90-2016-Milwaukee-0960-20-0970-20-Accessories/dp/B0CB8X1CTW/ref=sr_1_1?keywords=Milwaukee+0970-20+M18+FUEL%E2%84%A2+PACKOUT%E2%84%A2+2.5+Gallon+Wet%2FDry+Vacuum&amp;qid=1694734754&amp;sr=8-1")</f>
        <v/>
      </c>
      <c r="F3198" t="inlineStr">
        <is>
          <t>B0CB8X1CTW</t>
        </is>
      </c>
      <c r="G3198">
        <f>_xlfn.IMAGE("https://edmondsonsupply.com/cdn/shop/products/0970-20_3webp.webp?v=1668442362")</f>
        <v/>
      </c>
      <c r="H3198">
        <f>_xlfn.IMAGE("https://m.media-amazon.com/images/I/516K-p8fSCL._AC_UL320_.jpg")</f>
        <v/>
      </c>
      <c r="K3198" t="inlineStr">
        <is>
          <t>199.0</t>
        </is>
      </c>
      <c r="L3198" t="n">
        <v>24.99</v>
      </c>
      <c r="M3198" s="1" t="inlineStr">
        <is>
          <t>-87.44%</t>
        </is>
      </c>
      <c r="N3198" s="7" t="n">
        <v>94.63</v>
      </c>
      <c r="O3198" t="n">
        <v>4.5</v>
      </c>
      <c r="P3198" t="n">
        <v>4</v>
      </c>
      <c r="R3198" t="inlineStr">
        <is>
          <t>OutOfStock</t>
        </is>
      </c>
      <c r="S3198" t="inlineStr">
        <is>
          <t>330.0</t>
        </is>
      </c>
      <c r="T3198" t="inlineStr">
        <is>
          <t>7884392366296</t>
        </is>
      </c>
    </row>
    <row r="3199" ht="87" customHeight="1">
      <c r="A3199" s="2">
        <f>HYPERLINK("https://edmondsonsupply.com/collections/hvac/products/fresh-aire-uv-apco-tuv-apco-er2", "https://edmondsonsupply.com/collections/hvac/products/fresh-aire-uv-apco-tuv-apco-er2")</f>
        <v/>
      </c>
      <c r="B3199" s="2">
        <f>HYPERLINK("https://edmondsonsupply.com/products/fresh-aire-uv-apco-tuv-apco-er2", "https://edmondsonsupply.com/products/fresh-aire-uv-apco-tuv-apco-er2")</f>
        <v/>
      </c>
      <c r="C3199" t="inlineStr">
        <is>
          <t>Fresh-Aire UV APCO TUV-APCO-ER2 18-32 VAC, 2-Year UV Lamp</t>
        </is>
      </c>
      <c r="D3199" t="inlineStr">
        <is>
          <t>LSE Lighting TUVL-215 TUVL-200-E 17W Fresh-Aire Equivalent Replacement UVC Lamp 15" 2 Year Life Span | TUV-APCO-DER2 | TUV-APCO-ER2 | TUV-APCO-SI2P | TUV-APCO-DI2P</t>
        </is>
      </c>
      <c r="E3199" s="2">
        <f>HYPERLINK("https://www.amazon.com/LSE-Lighting-TUV-APCO-DER2-TUV-APCO-SI2P-TUV-APCO-DI2P/dp/B0BFSSHTT5/ref=sr_1_2?keywords=Fresh-Aire+UV+APCO+TUV-APCO-ER2+18-32+VAC%2C+2-Year+UV+Lamp&amp;qid=1694734608&amp;sr=8-2", "https://www.amazon.com/LSE-Lighting-TUV-APCO-DER2-TUV-APCO-SI2P-TUV-APCO-DI2P/dp/B0BFSSHTT5/ref=sr_1_2?keywords=Fresh-Aire+UV+APCO+TUV-APCO-ER2+18-32+VAC%2C+2-Year+UV+Lamp&amp;qid=1694734608&amp;sr=8-2")</f>
        <v/>
      </c>
      <c r="F3199" t="inlineStr">
        <is>
          <t>B0BFSSHTT5</t>
        </is>
      </c>
      <c r="G3199">
        <f>_xlfn.IMAGE("https://edmondsonsupply.com/cdn/shop/products/fresh-aire-uv_tuv-apco-er2_article_1367841289911_en_normal.jpg?v=1587143929")</f>
        <v/>
      </c>
      <c r="H3199">
        <f>_xlfn.IMAGE("https://m.media-amazon.com/images/I/31MNaScLYrS._AC_UL320_.jpg")</f>
        <v/>
      </c>
      <c r="K3199" t="inlineStr">
        <is>
          <t>385.99</t>
        </is>
      </c>
      <c r="L3199" t="n">
        <v>48</v>
      </c>
      <c r="M3199" s="1" t="inlineStr">
        <is>
          <t>-87.56%</t>
        </is>
      </c>
      <c r="N3199" s="7" t="n">
        <v>94.52</v>
      </c>
      <c r="O3199" t="n">
        <v>4.4</v>
      </c>
      <c r="P3199" t="n">
        <v>26</v>
      </c>
      <c r="R3199" t="inlineStr">
        <is>
          <t>InStock</t>
        </is>
      </c>
      <c r="S3199" t="inlineStr">
        <is>
          <t>undefined</t>
        </is>
      </c>
      <c r="T3199" t="inlineStr">
        <is>
          <t>4429144260708</t>
        </is>
      </c>
    </row>
    <row r="3200" hidden="1" ht="15.75" customHeight="1">
      <c r="A3200" s="2">
        <f>HYPERLINK("https://edmondsonsupply.com/collections/hvac/products/fluke-62-max-mini-infrared-thermometer", "https://edmondsonsupply.com/collections/hvac/products/fluke-62-max-mini-infrared-thermometer")</f>
        <v/>
      </c>
      <c r="B3200" s="2">
        <f>HYPERLINK("https://edmondsonsupply.com/products/fluke-62-max-mini-infrared-thermometer", "https://edmondsonsupply.com/products/fluke-62-max-mini-infrared-thermometer")</f>
        <v/>
      </c>
      <c r="C3200" t="inlineStr">
        <is>
          <t>Fluke 62 MAX Mini Infrared Thermometer</t>
        </is>
      </c>
      <c r="D3200" t="inlineStr">
        <is>
          <t>KingSung Hard Case for Fluke 62 Max/59 Max+/64 MAX Plus Infrared IR Thermometer,Real Machine Custom Lined with YKK Smooth Zipper, Black</t>
        </is>
      </c>
      <c r="E3200" s="2">
        <f>HYPERLINK("https://www.amazon.com/KingSung-Infrared-Thermometer-Machine-Custom/dp/B0BJ1LSL7B/ref=sr_1_13?keywords=Fluke+62+MAX+Mini+Infrared+Thermometer&amp;qid=1694734710&amp;sr=8-13", "https://www.amazon.com/KingSung-Infrared-Thermometer-Machine-Custom/dp/B0BJ1LSL7B/ref=sr_1_13?keywords=Fluke+62+MAX+Mini+Infrared+Thermometer&amp;qid=1694734710&amp;sr=8-13")</f>
        <v/>
      </c>
      <c r="F3200" t="inlineStr">
        <is>
          <t>B0BJ1LSL7B</t>
        </is>
      </c>
      <c r="G3200">
        <f>_xludf.IMAGE("https://edmondsonsupply.com/cdn/shop/products/62max.jpg?v=1633030769")</f>
        <v/>
      </c>
      <c r="H3200">
        <f>_xludf.IMAGE("https://m.media-amazon.com/images/I/81ERcsqPVvL._AC_UY218_.jpg")</f>
        <v/>
      </c>
      <c r="K3200" t="inlineStr">
        <is>
          <t>122.99</t>
        </is>
      </c>
      <c r="L3200" t="n">
        <v>14.99</v>
      </c>
      <c r="M3200" s="1" t="inlineStr">
        <is>
          <t>-87.81%</t>
        </is>
      </c>
      <c r="N3200" s="1" t="n">
        <v>94.20999999999999</v>
      </c>
      <c r="O3200" t="n">
        <v>4.7</v>
      </c>
      <c r="P3200" t="n">
        <v>15</v>
      </c>
      <c r="R3200" t="inlineStr">
        <is>
          <t>OutOfStock</t>
        </is>
      </c>
      <c r="S3200" t="inlineStr">
        <is>
          <t>134.99</t>
        </is>
      </c>
      <c r="T3200" t="inlineStr">
        <is>
          <t>5931906334888</t>
        </is>
      </c>
    </row>
    <row r="3201" ht="87" customHeight="1">
      <c r="A3201" s="2">
        <f>HYPERLINK("https://edmondsonsupply.com/collections/hvac/products/klein-tools-et450-advanced-circuit-tracer-kit", "https://edmondsonsupply.com/collections/hvac/products/klein-tools-et450-advanced-circuit-tracer-kit")</f>
        <v/>
      </c>
      <c r="B3201" s="2">
        <f>HYPERLINK("https://edmondsonsupply.com/products/klein-tools-et450-advanced-circuit-tracer-kit", "https://edmondsonsupply.com/products/klein-tools-et450-advanced-circuit-tracer-kit")</f>
        <v/>
      </c>
      <c r="C3201" t="inlineStr">
        <is>
          <t>Klein Tools ET450 Advanced Circuit Tracer Kit</t>
        </is>
      </c>
      <c r="D3201" t="inlineStr">
        <is>
          <t>RLSOCO Hard Case for Klein Tools ET450 Advanced Circuit Breaker Finder and Wire Tracer Kit-Compact Tools Kit Organizer Case</t>
        </is>
      </c>
      <c r="E3201" s="2">
        <f>HYPERLINK("https://www.amazon.com/RLSOCO-Advanced-Circuit-Kit-Compact-Organizer/dp/B0BVVRMV9H/ref=sr_1_2?keywords=Klein+Tools+ET450+Advanced+Circuit+Tracer+Kit&amp;qid=1694734693&amp;sr=8-2", "https://www.amazon.com/RLSOCO-Advanced-Circuit-Kit-Compact-Organizer/dp/B0BVVRMV9H/ref=sr_1_2?keywords=Klein+Tools+ET450+Advanced+Circuit+Tracer+Kit&amp;qid=1694734693&amp;sr=8-2")</f>
        <v/>
      </c>
      <c r="F3201" t="inlineStr">
        <is>
          <t>B0BVVRMV9H</t>
        </is>
      </c>
      <c r="G3201">
        <f>_xlfn.IMAGE("https://edmondsonsupply.com/cdn/shop/products/et450.jpg?v=1660165248")</f>
        <v/>
      </c>
      <c r="H3201">
        <f>_xlfn.IMAGE("https://m.media-amazon.com/images/I/81VXJWrj4rL._AC_UL320_.jpg")</f>
        <v/>
      </c>
      <c r="K3201" t="inlineStr">
        <is>
          <t>239.99</t>
        </is>
      </c>
      <c r="L3201" t="n">
        <v>28.99</v>
      </c>
      <c r="M3201" s="1" t="inlineStr">
        <is>
          <t>-87.92%</t>
        </is>
      </c>
      <c r="N3201" s="7" t="n">
        <v>94.19</v>
      </c>
      <c r="O3201" t="n">
        <v>4.4</v>
      </c>
      <c r="P3201" t="n">
        <v>16</v>
      </c>
      <c r="R3201" t="inlineStr">
        <is>
          <t>InStock</t>
        </is>
      </c>
      <c r="S3201" t="inlineStr">
        <is>
          <t>359.98</t>
        </is>
      </c>
      <c r="T3201" t="inlineStr">
        <is>
          <t>7778011971800</t>
        </is>
      </c>
    </row>
    <row r="3202" ht="87" customHeight="1">
      <c r="A3202" s="2">
        <f>HYPERLINK("https://edmondsonsupply.com/collections/hvac/products/klein-tools-80028-electricians-tool-kit-28-piece", "https://edmondsonsupply.com/collections/hvac/products/klein-tools-80028-electricians-tool-kit-28-piece")</f>
        <v/>
      </c>
      <c r="B3202" s="2">
        <f>HYPERLINK("https://edmondsonsupply.com/products/klein-tools-80028-electricians-tool-kit-28-piece", "https://edmondsonsupply.com/products/klein-tools-80028-electricians-tool-kit-28-piece")</f>
        <v/>
      </c>
      <c r="C3202" t="inlineStr">
        <is>
          <t>Klein Tools 80028 Electrician's Tool Kit, 28-Piece</t>
        </is>
      </c>
      <c r="D3202" t="inlineStr">
        <is>
          <t>Klein Tools 80019 Tool Set, Multi-Bit Screwdriver and Nut Driver Tool Kit, 28 Different Industrial Strength Bits and Sizes, 4-Piece</t>
        </is>
      </c>
      <c r="E3202" s="2">
        <f>HYPERLINK("https://www.amazon.com/Klein-Tools-80019-Screwdriver-Industrial/dp/B08VW84W2G/ref=sr_1_7?keywords=Klein+Tools+80028+Electrician%27s+Tool+Kit%2C+28-Piece&amp;qid=1694734712&amp;sr=8-7", "https://www.amazon.com/Klein-Tools-80019-Screwdriver-Industrial/dp/B08VW84W2G/ref=sr_1_7?keywords=Klein+Tools+80028+Electrician%27s+Tool+Kit%2C+28-Piece&amp;qid=1694734712&amp;sr=8-7")</f>
        <v/>
      </c>
      <c r="F3202" t="inlineStr">
        <is>
          <t>B08VW84W2G</t>
        </is>
      </c>
      <c r="G3202">
        <f>_xlfn.IMAGE("https://edmondsonsupply.com/cdn/shop/files/80028_d.jpg?v=1686062794")</f>
        <v/>
      </c>
      <c r="H3202">
        <f>_xlfn.IMAGE("https://m.media-amazon.com/images/I/61UoMiQVT8L._AC_UL320_.jpg")</f>
        <v/>
      </c>
      <c r="K3202" t="inlineStr">
        <is>
          <t>414.99</t>
        </is>
      </c>
      <c r="L3202" t="n">
        <v>49.99</v>
      </c>
      <c r="M3202" s="1" t="inlineStr">
        <is>
          <t>-87.95%</t>
        </is>
      </c>
      <c r="N3202" s="7" t="n">
        <v>94.11</v>
      </c>
      <c r="O3202" t="n">
        <v>4.8</v>
      </c>
      <c r="P3202" t="n">
        <v>1116</v>
      </c>
      <c r="R3202" t="inlineStr">
        <is>
          <t>InStock</t>
        </is>
      </c>
      <c r="S3202" t="inlineStr">
        <is>
          <t>628.74</t>
        </is>
      </c>
      <c r="T3202" t="inlineStr">
        <is>
          <t>5868172214440</t>
        </is>
      </c>
    </row>
    <row r="3203" ht="87" customHeight="1">
      <c r="A3203" s="2">
        <f>HYPERLINK("https://edmondsonsupply.com/collections/hvac/products/bacharach-h-10-pro-refrigerant-leak-detector", "https://edmondsonsupply.com/collections/hvac/products/bacharach-h-10-pro-refrigerant-leak-detector")</f>
        <v/>
      </c>
      <c r="B3203" s="2">
        <f>HYPERLINK("https://edmondsonsupply.com/products/bacharach-h-10-pro-refrigerant-leak-detector", "https://edmondsonsupply.com/products/bacharach-h-10-pro-refrigerant-leak-detector")</f>
        <v/>
      </c>
      <c r="C3203" t="inlineStr">
        <is>
          <t>Bacharach H-10 PRO Refrigerant Leak Detector</t>
        </is>
      </c>
      <c r="D3203" t="inlineStr">
        <is>
          <t>Bacharach 3015-0784 Maintenance Kit for Models H-10PM All-in-One Refrigerant Leak Detector and H-10G Manual Balance Refrigerant Leak Detector</t>
        </is>
      </c>
      <c r="E3203" s="2">
        <f>HYPERLINK("https://www.amazon.com/Bacharach-3015-0784-Maintenance-Refrigerant-Detector/dp/B00DSVF2LA/ref=sr_1_12?keywords=Bacharach+H-10+PRO+Refrigerant+Leak+Detector&amp;qid=1694734698&amp;sr=8-12", "https://www.amazon.com/Bacharach-3015-0784-Maintenance-Refrigerant-Detector/dp/B00DSVF2LA/ref=sr_1_12?keywords=Bacharach+H-10+PRO+Refrigerant+Leak+Detector&amp;qid=1694734698&amp;sr=8-12")</f>
        <v/>
      </c>
      <c r="F3203" t="inlineStr">
        <is>
          <t>B00DSVF2LA</t>
        </is>
      </c>
      <c r="G3203">
        <f>_xlfn.IMAGE("https://edmondsonsupply.com/cdn/shop/products/featured-h-10-pro-refrigerant-leak-detector.jpg?v=1635555994")</f>
        <v/>
      </c>
      <c r="H3203">
        <f>_xlfn.IMAGE("https://m.media-amazon.com/images/I/710UmiI9RoL._AC_UL320_.jpg")</f>
        <v/>
      </c>
      <c r="K3203" t="inlineStr">
        <is>
          <t>657.72</t>
        </is>
      </c>
      <c r="L3203" t="n">
        <v>79.14</v>
      </c>
      <c r="M3203" s="1" t="inlineStr">
        <is>
          <t>-87.97%</t>
        </is>
      </c>
      <c r="N3203" s="7" t="n">
        <v>94.09</v>
      </c>
      <c r="O3203" t="n">
        <v>4.2</v>
      </c>
      <c r="P3203" t="n">
        <v>10</v>
      </c>
      <c r="R3203" t="inlineStr">
        <is>
          <t>InStock</t>
        </is>
      </c>
      <c r="S3203" t="inlineStr">
        <is>
          <t>undefined</t>
        </is>
      </c>
      <c r="T3203" t="inlineStr">
        <is>
          <t>7354561102040</t>
        </is>
      </c>
    </row>
    <row r="3204" ht="87" customHeight="1">
      <c r="A3204" s="2">
        <f>HYPERLINK("https://edmondsonsupply.com/collections/hvac/products/fresh-aire-uv-apco-tuv-apco-rt-er2-18-32-vac-2-year-uv-lamp", "https://edmondsonsupply.com/collections/hvac/products/fresh-aire-uv-apco-tuv-apco-rt-er2-18-32-vac-2-year-uv-lamp")</f>
        <v/>
      </c>
      <c r="B3204" s="2">
        <f>HYPERLINK("https://edmondsonsupply.com/products/fresh-aire-uv-apco-tuv-apco-rt-er2-18-32-vac-2-year-uv-lamp", "https://edmondsonsupply.com/products/fresh-aire-uv-apco-tuv-apco-rt-er2-18-32-vac-2-year-uv-lamp")</f>
        <v/>
      </c>
      <c r="C3204" t="inlineStr">
        <is>
          <t>Fresh-Aire UV APCO TUV-APCO-RT-ER2 18-32 VAC, 2-Year UV Lamp</t>
        </is>
      </c>
      <c r="D3204" t="inlineStr">
        <is>
          <t>LSE Lighting TUVL-215 TUVL-200-E 17W Fresh-Aire Equivalent Replacement UVC Lamp 15" 2 Year Life Span | TUV-APCO-DER2 | TUV-APCO-ER2 | TUV-APCO-SI2P | TUV-APCO-DI2P</t>
        </is>
      </c>
      <c r="E3204" s="2">
        <f>HYPERLINK("https://www.amazon.com/LSE-Lighting-TUV-APCO-DER2-TUV-APCO-SI2P-TUV-APCO-DI2P/dp/B0BFSSHTT5/ref=sr_1_2?keywords=Fresh-Aire+UV+APCO+TUV-APCO-RT-ER2+18-32+VAC%2C+2-Year+UV+Lamp&amp;qid=1694734662&amp;sr=8-2", "https://www.amazon.com/LSE-Lighting-TUV-APCO-DER2-TUV-APCO-SI2P-TUV-APCO-DI2P/dp/B0BFSSHTT5/ref=sr_1_2?keywords=Fresh-Aire+UV+APCO+TUV-APCO-RT-ER2+18-32+VAC%2C+2-Year+UV+Lamp&amp;qid=1694734662&amp;sr=8-2")</f>
        <v/>
      </c>
      <c r="F3204" t="inlineStr">
        <is>
          <t>B0BFSSHTT5</t>
        </is>
      </c>
      <c r="G3204">
        <f>_xlfn.IMAGE("https://edmondsonsupply.com/cdn/shop/products/APCO-RT-front.jpg?v=1664831717")</f>
        <v/>
      </c>
      <c r="H3204">
        <f>_xlfn.IMAGE("https://m.media-amazon.com/images/I/31MNaScLYrS._AC_UL320_.jpg")</f>
        <v/>
      </c>
      <c r="K3204" t="inlineStr">
        <is>
          <t>409.92</t>
        </is>
      </c>
      <c r="L3204" t="n">
        <v>48</v>
      </c>
      <c r="M3204" s="1" t="inlineStr">
        <is>
          <t>-88.29%</t>
        </is>
      </c>
      <c r="N3204" s="7" t="n">
        <v>94.05</v>
      </c>
      <c r="O3204" t="n">
        <v>4.4</v>
      </c>
      <c r="P3204" t="n">
        <v>26</v>
      </c>
      <c r="R3204" t="inlineStr">
        <is>
          <t>InStock</t>
        </is>
      </c>
      <c r="S3204" t="inlineStr">
        <is>
          <t>522.5</t>
        </is>
      </c>
      <c r="T3204" t="inlineStr">
        <is>
          <t>6694665781421</t>
        </is>
      </c>
    </row>
    <row r="3205" ht="87" customHeight="1">
      <c r="A3205" s="2">
        <f>HYPERLINK("https://edmondsonsupply.com/collections/hvac/products/inficon-d-tek-3", "https://edmondsonsupply.com/collections/hvac/products/inficon-d-tek-3")</f>
        <v/>
      </c>
      <c r="B3205" s="2">
        <f>HYPERLINK("https://edmondsonsupply.com/products/inficon-d-tek-3", "https://edmondsonsupply.com/products/inficon-d-tek-3")</f>
        <v/>
      </c>
      <c r="C3205" t="inlineStr">
        <is>
          <t>Inficon D-TEK® 3 Refrigerant Leak Detector</t>
        </is>
      </c>
      <c r="D3205" t="inlineStr">
        <is>
          <t>Elitech HVAC Leak Detector Halogen Gas Tester HVAC Refrigerant AC Sniffer R22 R410A R134A, CPU-1G</t>
        </is>
      </c>
      <c r="E3205" s="2">
        <f>HYPERLINK("https://www.amazon.com/Elitech-CPU-1G-Refrigerant-Detector-Halogen/dp/B07KFBHTHB/ref=sr_1_23?keywords=Inficon+D-TEK%C2%AE+3+Refrigerant+Leak+Detector&amp;qid=1694734644&amp;sr=8-23", "https://www.amazon.com/Elitech-CPU-1G-Refrigerant-Detector-Halogen/dp/B07KFBHTHB/ref=sr_1_23?keywords=Inficon+D-TEK%C2%AE+3+Refrigerant+Leak+Detector&amp;qid=1694734644&amp;sr=8-23")</f>
        <v/>
      </c>
      <c r="F3205" t="inlineStr">
        <is>
          <t>B07KFBHTHB</t>
        </is>
      </c>
      <c r="G3205">
        <f>_xlfn.IMAGE("https://edmondsonsupply.com/cdn/shop/products/dtek3.png?v=1633030772")</f>
        <v/>
      </c>
      <c r="H3205">
        <f>_xlfn.IMAGE("https://m.media-amazon.com/images/I/614qw1NfX0L._AC_UL320_.jpg")</f>
        <v/>
      </c>
      <c r="K3205" t="inlineStr">
        <is>
          <t>516.99</t>
        </is>
      </c>
      <c r="L3205" t="n">
        <v>59.99</v>
      </c>
      <c r="M3205" s="1" t="inlineStr">
        <is>
          <t>-88.40%</t>
        </is>
      </c>
      <c r="N3205" s="7" t="n">
        <v>94</v>
      </c>
      <c r="O3205" t="n">
        <v>4.3</v>
      </c>
      <c r="P3205" t="n">
        <v>219</v>
      </c>
      <c r="R3205" t="inlineStr">
        <is>
          <t>InStock</t>
        </is>
      </c>
      <c r="S3205" t="inlineStr">
        <is>
          <t>645.0</t>
        </is>
      </c>
      <c r="T3205" t="inlineStr">
        <is>
          <t>5950406623400</t>
        </is>
      </c>
    </row>
    <row r="3206" ht="87" customHeight="1">
      <c r="A3206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206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206" t="inlineStr">
        <is>
          <t>Milwaukee 0970-20 M18 FUEL™ PACKOUT™ 2.5 Gallon Wet/Dry Vacuum</t>
        </is>
      </c>
      <c r="D3206" t="inlineStr">
        <is>
          <t>KitchenKipper 14-37-0016 Hose Assembly Compatible with Milwaukee 0970-20 M18 Fuel 18V PACKOUT 2.5 Gallon Wet/Dry Vacuum Bare Tool (Please note the product usage diagram)</t>
        </is>
      </c>
      <c r="E3206" s="2">
        <f>HYPERLINK("https://www.amazon.com/KitchenKipper-14-37-0016-Assembly-Compatible-Milwaukee/dp/B0C5QLZ8LK/ref=sr_1_3?keywords=Milwaukee+0970-20+M18+FUEL%E2%84%A2+PACKOUT%E2%84%A2+2.5+Gallon+Wet%2FDry+Vacuum&amp;qid=1694734754&amp;sr=8-3", "https://www.amazon.com/KitchenKipper-14-37-0016-Assembly-Compatible-Milwaukee/dp/B0C5QLZ8LK/ref=sr_1_3?keywords=Milwaukee+0970-20+M18+FUEL%E2%84%A2+PACKOUT%E2%84%A2+2.5+Gallon+Wet%2FDry+Vacuum&amp;qid=1694734754&amp;sr=8-3")</f>
        <v/>
      </c>
      <c r="F3206" t="inlineStr">
        <is>
          <t>B0C5QLZ8LK</t>
        </is>
      </c>
      <c r="G3206">
        <f>_xlfn.IMAGE("https://edmondsonsupply.com/cdn/shop/products/0970-20_3webp.webp?v=1668442362")</f>
        <v/>
      </c>
      <c r="H3206">
        <f>_xlfn.IMAGE("https://m.media-amazon.com/images/I/51+EmXP9D+L._AC_UL320_.jpg")</f>
        <v/>
      </c>
      <c r="K3206" t="inlineStr">
        <is>
          <t>199.0</t>
        </is>
      </c>
      <c r="L3206" t="n">
        <v>22.99</v>
      </c>
      <c r="M3206" s="1" t="inlineStr">
        <is>
          <t>-88.45%</t>
        </is>
      </c>
      <c r="N3206" s="7" t="n">
        <v>93.98</v>
      </c>
      <c r="O3206" t="n">
        <v>5</v>
      </c>
      <c r="P3206" t="n">
        <v>3</v>
      </c>
      <c r="R3206" t="inlineStr">
        <is>
          <t>OutOfStock</t>
        </is>
      </c>
      <c r="S3206" t="inlineStr">
        <is>
          <t>330.0</t>
        </is>
      </c>
      <c r="T3206" t="inlineStr">
        <is>
          <t>7884392366296</t>
        </is>
      </c>
    </row>
    <row r="3207" ht="87" customHeight="1">
      <c r="A3207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207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207" t="inlineStr">
        <is>
          <t>Milwaukee 0970-20 M18 FUEL™ PACKOUT™ 2.5 Gallon Wet/Dry Vacuum</t>
        </is>
      </c>
      <c r="D3207" t="inlineStr">
        <is>
          <t>14-37-0016 Hose Assembly fits for Milwaukee PACKOUT 0970-20 M18 Fuel 2.5 Gallon Wet/Dry Vacuum Hose</t>
        </is>
      </c>
      <c r="E3207" s="2">
        <f>HYPERLINK("https://www.amazon.com/14-37-0016-Assembly-Milwaukee-PACKOUT-0970-20/dp/B0C9PDVGV2/ref=sr_1_5?keywords=Milwaukee+0970-20+M18+FUEL%E2%84%A2+PACKOUT%E2%84%A2+2.5+Gallon+Wet%2FDry+Vacuum&amp;qid=1694734754&amp;sr=8-5", "https://www.amazon.com/14-37-0016-Assembly-Milwaukee-PACKOUT-0970-20/dp/B0C9PDVGV2/ref=sr_1_5?keywords=Milwaukee+0970-20+M18+FUEL%E2%84%A2+PACKOUT%E2%84%A2+2.5+Gallon+Wet%2FDry+Vacuum&amp;qid=1694734754&amp;sr=8-5")</f>
        <v/>
      </c>
      <c r="F3207" t="inlineStr">
        <is>
          <t>B0C9PDVGV2</t>
        </is>
      </c>
      <c r="G3207">
        <f>_xlfn.IMAGE("https://edmondsonsupply.com/cdn/shop/products/0970-20_3webp.webp?v=1668442362")</f>
        <v/>
      </c>
      <c r="H3207">
        <f>_xlfn.IMAGE("https://m.media-amazon.com/images/I/61qHCZ2gcNL._AC_UL320_.jpg")</f>
        <v/>
      </c>
      <c r="K3207" t="inlineStr">
        <is>
          <t>199.0</t>
        </is>
      </c>
      <c r="L3207" t="n">
        <v>22.69</v>
      </c>
      <c r="M3207" s="1" t="inlineStr">
        <is>
          <t>-88.60%</t>
        </is>
      </c>
      <c r="N3207" s="7" t="n">
        <v>93.81</v>
      </c>
      <c r="O3207" t="n">
        <v>5</v>
      </c>
      <c r="P3207" t="n">
        <v>1</v>
      </c>
      <c r="R3207" t="inlineStr">
        <is>
          <t>OutOfStock</t>
        </is>
      </c>
      <c r="S3207" t="inlineStr">
        <is>
          <t>330.0</t>
        </is>
      </c>
      <c r="T3207" t="inlineStr">
        <is>
          <t>7884392366296</t>
        </is>
      </c>
    </row>
    <row r="3208" ht="87" customHeight="1">
      <c r="A3208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208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208" t="inlineStr">
        <is>
          <t>Milwaukee 0970-20 M18 FUEL™ PACKOUT™ 2.5 Gallon Wet/Dry Vacuum</t>
        </is>
      </c>
      <c r="D3208" t="inlineStr">
        <is>
          <t>14-37-0105 Vacuum Hose Assembly Fits For Milwaukee M18 0970-20 0880-20P PACKOUT Fuel 2.5 Gallon Wet/Dry vacuum Hose-Fits For Milwaukee 14-37-0016 Hose Assembly 0970-20</t>
        </is>
      </c>
      <c r="E3208" s="2">
        <f>HYPERLINK("https://www.amazon.com/14-37-0105-Assembly-Milwaukee-Hose-Fits-14-37-0016/dp/B0C9PRRPC8/ref=sr_1_6?keywords=Milwaukee+0970-20+M18+FUEL%E2%84%A2+PACKOUT%E2%84%A2+2.5+Gallon+Wet%2FDry+Vacuum&amp;qid=1694734754&amp;sr=8-6", "https://www.amazon.com/14-37-0105-Assembly-Milwaukee-Hose-Fits-14-37-0016/dp/B0C9PRRPC8/ref=sr_1_6?keywords=Milwaukee+0970-20+M18+FUEL%E2%84%A2+PACKOUT%E2%84%A2+2.5+Gallon+Wet%2FDry+Vacuum&amp;qid=1694734754&amp;sr=8-6")</f>
        <v/>
      </c>
      <c r="F3208" t="inlineStr">
        <is>
          <t>B0C9PRRPC8</t>
        </is>
      </c>
      <c r="G3208">
        <f>_xlfn.IMAGE("https://edmondsonsupply.com/cdn/shop/products/0970-20_3webp.webp?v=1668442362")</f>
        <v/>
      </c>
      <c r="H3208">
        <f>_xlfn.IMAGE("https://m.media-amazon.com/images/I/61yTya+2mLL._AC_UL320_.jpg")</f>
        <v/>
      </c>
      <c r="K3208" t="inlineStr">
        <is>
          <t>199.0</t>
        </is>
      </c>
      <c r="L3208" t="n">
        <v>22.59</v>
      </c>
      <c r="M3208" s="1" t="inlineStr">
        <is>
          <t>-88.65%</t>
        </is>
      </c>
      <c r="N3208" s="7" t="n">
        <v>92.98999999999999</v>
      </c>
      <c r="O3208" t="n">
        <v>5</v>
      </c>
      <c r="P3208" t="n">
        <v>1</v>
      </c>
      <c r="R3208" t="inlineStr">
        <is>
          <t>OutOfStock</t>
        </is>
      </c>
      <c r="S3208" t="inlineStr">
        <is>
          <t>330.0</t>
        </is>
      </c>
      <c r="T3208" t="inlineStr">
        <is>
          <t>7884392366296</t>
        </is>
      </c>
    </row>
    <row r="3209" hidden="1" ht="15.75" customHeight="1">
      <c r="A3209" s="2">
        <f>HYPERLINK("https://edmondsonsupply.com/collections/hvac/products/inficon-whisper%C2%AE-ultrasonic-leak-detector-with-accessory-kit", "https://edmondsonsupply.com/collections/hvac/products/inficon-whisper%C2%AE-ultrasonic-leak-detector-with-accessory-kit")</f>
        <v/>
      </c>
      <c r="B3209" s="2">
        <f>HYPERLINK("https://edmondsonsupply.com/products/inficon-whisper%c2%ae-ultrasonic-leak-detector-with-accessory-kit", "https://edmondsonsupply.com/products/inficon-whisper%c2%ae-ultrasonic-leak-detector-with-accessory-kit")</f>
        <v/>
      </c>
      <c r="C3209" t="inlineStr">
        <is>
          <t>Inficon Whisper® Ultrasonic Leak Detector with Accessory Kit</t>
        </is>
      </c>
      <c r="D3209" t="inlineStr">
        <is>
          <t>Leak Detection Tools，Ultrasonic Leak Detector &amp; Transmitter with Headphone Accessory Kit for Pipeline/tire/Refrigeration Equipment Leak Detection, Automotive Window Seal Inspection etc.</t>
        </is>
      </c>
      <c r="E3209" s="2">
        <f>HYPERLINK("https://www.amazon.com/Tools%EF%BC%8CUltrasonic-Transmitter-Refrigeration-Automotive-Inspection/dp/B07MC2QSFX/ref=sr_1_6?keywords=Inficon+Whisper%C2%AE+Ultrasonic+Leak+Detector+with+Accessory+Kit&amp;qid=1694734722&amp;sr=8-6", "https://www.amazon.com/Tools%EF%BC%8CUltrasonic-Transmitter-Refrigeration-Automotive-Inspection/dp/B07MC2QSFX/ref=sr_1_6?keywords=Inficon+Whisper%C2%AE+Ultrasonic+Leak+Detector+with+Accessory+Kit&amp;qid=1694734722&amp;sr=8-6")</f>
        <v/>
      </c>
      <c r="F3209" t="inlineStr">
        <is>
          <t>B07MC2QSFX</t>
        </is>
      </c>
      <c r="G3209">
        <f>_xludf.IMAGE("https://edmondsonsupply.com/cdn/shop/products/t5rPU4FQ.png?v=1633030885")</f>
        <v/>
      </c>
      <c r="H3209">
        <f>_xludf.IMAGE("https://m.media-amazon.com/images/I/71amNq-kF2L._AC_UY218_.jpg")</f>
        <v/>
      </c>
      <c r="K3209" t="inlineStr">
        <is>
          <t>408.99</t>
        </is>
      </c>
      <c r="L3209" t="n">
        <v>45.99</v>
      </c>
      <c r="M3209" s="1" t="inlineStr">
        <is>
          <t>-88.76%</t>
        </is>
      </c>
      <c r="N3209" s="1" t="n">
        <v>92.95999999999999</v>
      </c>
      <c r="O3209" t="n">
        <v>3.6</v>
      </c>
      <c r="P3209" t="n">
        <v>59</v>
      </c>
      <c r="R3209" t="inlineStr">
        <is>
          <t>InStock</t>
        </is>
      </c>
      <c r="S3209" t="inlineStr">
        <is>
          <t>510.0</t>
        </is>
      </c>
      <c r="T3209" t="inlineStr">
        <is>
          <t>6207749783725</t>
        </is>
      </c>
    </row>
    <row r="3210" ht="87" customHeight="1">
      <c r="A3210" s="2">
        <f>HYPERLINK("https://edmondsonsupply.com/collections/hvac/products/inficon-d-tek-3", "https://edmondsonsupply.com/collections/hvac/products/inficon-d-tek-3")</f>
        <v/>
      </c>
      <c r="B3210" s="2">
        <f>HYPERLINK("https://edmondsonsupply.com/products/inficon-d-tek-3", "https://edmondsonsupply.com/products/inficon-d-tek-3")</f>
        <v/>
      </c>
      <c r="C3210" t="inlineStr">
        <is>
          <t>Inficon D-TEK® 3 Refrigerant Leak Detector</t>
        </is>
      </c>
      <c r="D3210" t="inlineStr">
        <is>
          <t>Inficon 703-020-G1 Replacement Sensor for TEK-Mate and Compass Refrigerant Leak Detector</t>
        </is>
      </c>
      <c r="E3210" s="2">
        <f>HYPERLINK("https://www.amazon.com/Inficon-703-020-G1-Replacement-TEK-Mate-Refrigerant/dp/B00DAOHQSM/ref=sr_1_13?keywords=Inficon+D-TEK%C2%AE+3+Refrigerant+Leak+Detector&amp;qid=1694734644&amp;sr=8-13", "https://www.amazon.com/Inficon-703-020-G1-Replacement-TEK-Mate-Refrigerant/dp/B00DAOHQSM/ref=sr_1_13?keywords=Inficon+D-TEK%C2%AE+3+Refrigerant+Leak+Detector&amp;qid=1694734644&amp;sr=8-13")</f>
        <v/>
      </c>
      <c r="F3210" t="inlineStr">
        <is>
          <t>B00DAOHQSM</t>
        </is>
      </c>
      <c r="G3210">
        <f>_xlfn.IMAGE("https://edmondsonsupply.com/cdn/shop/products/dtek3.png?v=1633030772")</f>
        <v/>
      </c>
      <c r="H3210">
        <f>_xlfn.IMAGE("https://m.media-amazon.com/images/I/514skhpT6TL._AC_UL320_.jpg")</f>
        <v/>
      </c>
      <c r="K3210" t="inlineStr">
        <is>
          <t>516.99</t>
        </is>
      </c>
      <c r="L3210" t="n">
        <v>56.97</v>
      </c>
      <c r="M3210" s="1" t="inlineStr">
        <is>
          <t>-88.98%</t>
        </is>
      </c>
      <c r="N3210" s="7" t="n">
        <v>92.83</v>
      </c>
      <c r="O3210" t="n">
        <v>4.7</v>
      </c>
      <c r="P3210" t="n">
        <v>152</v>
      </c>
      <c r="R3210" t="inlineStr">
        <is>
          <t>InStock</t>
        </is>
      </c>
      <c r="S3210" t="inlineStr">
        <is>
          <t>645.0</t>
        </is>
      </c>
      <c r="T3210" t="inlineStr">
        <is>
          <t>5950406623400</t>
        </is>
      </c>
    </row>
    <row r="3211" hidden="1" ht="15.75" customHeight="1">
      <c r="A3211" s="2">
        <f>HYPERLINK("https://edmondsonsupply.com/collections/hvac/products/fluke-62-max-mini-infrared-thermometer", "https://edmondsonsupply.com/collections/hvac/products/fluke-62-max-mini-infrared-thermometer")</f>
        <v/>
      </c>
      <c r="B3211" s="2">
        <f>HYPERLINK("https://edmondsonsupply.com/products/fluke-62-max-mini-infrared-thermometer", "https://edmondsonsupply.com/products/fluke-62-max-mini-infrared-thermometer")</f>
        <v/>
      </c>
      <c r="C3211" t="inlineStr">
        <is>
          <t>Fluke 62 MAX Mini Infrared Thermometer</t>
        </is>
      </c>
      <c r="D3211" t="inlineStr">
        <is>
          <t>LTGEM Case for Fluke 62 Max/Fluke 64/Fluke 59 Max+ Infrared IR Thermometer (Case Only)</t>
        </is>
      </c>
      <c r="E3211" s="2">
        <f>HYPERLINK("https://www.amazon.com/LTGEM-Case-Fluke-Infrared-Thermometer-Black/dp/B06XX5Z4K1/ref=sr_1_15?keywords=Fluke+62+MAX+Mini+Infrared+Thermometer&amp;qid=1694734710&amp;sr=8-15", "https://www.amazon.com/LTGEM-Case-Fluke-Infrared-Thermometer-Black/dp/B06XX5Z4K1/ref=sr_1_15?keywords=Fluke+62+MAX+Mini+Infrared+Thermometer&amp;qid=1694734710&amp;sr=8-15")</f>
        <v/>
      </c>
      <c r="F3211" t="inlineStr">
        <is>
          <t>B06XX5Z4K1</t>
        </is>
      </c>
      <c r="G3211">
        <f>_xludf.IMAGE("https://edmondsonsupply.com/cdn/shop/products/62max.jpg?v=1633030769")</f>
        <v/>
      </c>
      <c r="H3211">
        <f>_xludf.IMAGE("https://m.media-amazon.com/images/I/81zfVObJ5ZL._AC_UY218_.jpg")</f>
        <v/>
      </c>
      <c r="K3211" t="inlineStr">
        <is>
          <t>122.99</t>
        </is>
      </c>
      <c r="L3211" t="n">
        <v>11.99</v>
      </c>
      <c r="M3211" s="1" t="inlineStr">
        <is>
          <t>-90.25%</t>
        </is>
      </c>
      <c r="N3211" s="1" t="n">
        <v>92.48999999999999</v>
      </c>
      <c r="O3211" t="n">
        <v>4.6</v>
      </c>
      <c r="P3211" t="n">
        <v>379</v>
      </c>
      <c r="R3211" t="inlineStr">
        <is>
          <t>OutOfStock</t>
        </is>
      </c>
      <c r="S3211" t="inlineStr">
        <is>
          <t>134.99</t>
        </is>
      </c>
      <c r="T3211" t="inlineStr">
        <is>
          <t>5931906334888</t>
        </is>
      </c>
    </row>
    <row r="3212" hidden="1" ht="15.75" customHeight="1">
      <c r="A3212" s="2">
        <f>HYPERLINK("https://edmondsonsupply.com/collections/hvac/products/spin-tools-s6000-swaging-drill-bit-set-1-4-3-8-1-2-5-8-3-4-7-8", "https://edmondsonsupply.com/collections/hvac/products/spin-tools-s6000-swaging-drill-bit-set-1-4-3-8-1-2-5-8-3-4-7-8")</f>
        <v/>
      </c>
      <c r="B3212" s="2">
        <f>HYPERLINK("https://edmondsonsupply.com/products/spin-tools-s6000-swaging-drill-bit-set-1-4-3-8-1-2-5-8-3-4-7-8", "https://edmondsonsupply.com/products/spin-tools-s6000-swaging-drill-bit-set-1-4-3-8-1-2-5-8-3-4-7-8")</f>
        <v/>
      </c>
      <c r="C3212" t="inlineStr">
        <is>
          <t>SPIN Tools S6000 Swaging Drill Bit Set, 1/4", 3/8", 1/2", 5/8", 3/4" &amp; 7/8"</t>
        </is>
      </c>
      <c r="D3212" t="inlineStr">
        <is>
          <t>Swaging Tool Drill Bit Set, HVAC Repairing Set, Air Conditioner Copper Tube Expander with 1/4", 3/8", 1/2", 5/8", 3/4", 7/8" Drill Bit Repairing Set</t>
        </is>
      </c>
      <c r="E3212" s="2">
        <f>HYPERLINK("https://www.amazon.com/Swaging-Repairing-Conditioner-Copper-Expander/dp/B09TFVWT1F/ref=sr_1_4?keywords=SPIN+Tools+S6000+Swaging+Drill+Bit+Set%2C+1%2F4%22%2C+3%2F8%22%2C+1%2F2%22%2C+5%2F8%22%2C+3%2F4%22+%26+7%2F8%22&amp;qid=1694734575&amp;sr=8-4", "https://www.amazon.com/Swaging-Repairing-Conditioner-Copper-Expander/dp/B09TFVWT1F/ref=sr_1_4?keywords=SPIN+Tools+S6000+Swaging+Drill+Bit+Set%2C+1%2F4%22%2C+3%2F8%22%2C+1%2F2%22%2C+5%2F8%22%2C+3%2F4%22+%26+7%2F8%22&amp;qid=1694734575&amp;sr=8-4")</f>
        <v/>
      </c>
      <c r="F3212" t="inlineStr">
        <is>
          <t>B09TFVWT1F</t>
        </is>
      </c>
      <c r="G3212">
        <f>_xludf.IMAGE("https://edmondsonsupply.com/cdn/shop/products/s6000-1.jpg?v=1587147463")</f>
        <v/>
      </c>
      <c r="H3212">
        <f>_xludf.IMAGE("https://m.media-amazon.com/images/I/4141nE6I6eL._AC_UL320_.jpg")</f>
        <v/>
      </c>
      <c r="K3212" t="inlineStr">
        <is>
          <t>93.38</t>
        </is>
      </c>
      <c r="L3212" t="n">
        <v>8.99</v>
      </c>
      <c r="M3212" s="1" t="inlineStr">
        <is>
          <t>-90.37%</t>
        </is>
      </c>
      <c r="N3212" s="1" t="n">
        <v>92.48999999999999</v>
      </c>
      <c r="O3212" t="n">
        <v>3.8</v>
      </c>
      <c r="P3212" t="n">
        <v>121</v>
      </c>
      <c r="R3212" t="inlineStr">
        <is>
          <t>OutOfStock</t>
        </is>
      </c>
      <c r="S3212" t="inlineStr">
        <is>
          <t>undefined</t>
        </is>
      </c>
      <c r="T3212" t="inlineStr">
        <is>
          <t>3702992339044</t>
        </is>
      </c>
    </row>
    <row r="3213" ht="87" customHeight="1">
      <c r="A3213" s="2">
        <f>HYPERLINK("https://edmondsonsupply.com/collections/hvac/products/milwaukee-0970-20-m18-fuel%E2%84%A2-packout%E2%84%A2-2-5-gallon-wet-dry-vacuum", "https://edmondsonsupply.com/collections/hvac/products/milwaukee-0970-20-m18-fuel%E2%84%A2-packout%E2%84%A2-2-5-gallon-wet-dry-vacuum")</f>
        <v/>
      </c>
      <c r="B3213" s="2">
        <f>HYPERLINK("https://edmondsonsupply.com/products/milwaukee-0970-20-m18-fuel%e2%84%a2-packout%e2%84%a2-2-5-gallon-wet-dry-vacuum", "https://edmondsonsupply.com/products/milwaukee-0970-20-m18-fuel%e2%84%a2-packout%e2%84%a2-2-5-gallon-wet-dry-vacuum")</f>
        <v/>
      </c>
      <c r="C3213" t="inlineStr">
        <is>
          <t>Milwaukee 0970-20 M18 FUEL™ PACKOUT™ 2.5 Gallon Wet/Dry Vacuum</t>
        </is>
      </c>
      <c r="D3213" t="inlineStr">
        <is>
          <t>Aryavos 2 Pack Wet Dry Vacuum HEPA Filter Replacement 49-90-1900 Compatible with Milwaukee Cordless Vacuum M18 Fuel Packout 0970-20 / M18 2 Gallon 0880-20 / M12 Fuel 1.6 Gallon 0960-20</t>
        </is>
      </c>
      <c r="E3213" s="2">
        <f>HYPERLINK("https://www.amazon.com/Aryavos-Replacement-49-90-1900-Compatible-Milwaukee/dp/B0B7M6DM8K/ref=sr_1_8?keywords=Milwaukee+0970-20+M18+FUEL%E2%84%A2+PACKOUT%E2%84%A2+2.5+Gallon+Wet%2FDry+Vacuum&amp;qid=1694734754&amp;sr=8-8", "https://www.amazon.com/Aryavos-Replacement-49-90-1900-Compatible-Milwaukee/dp/B0B7M6DM8K/ref=sr_1_8?keywords=Milwaukee+0970-20+M18+FUEL%E2%84%A2+PACKOUT%E2%84%A2+2.5+Gallon+Wet%2FDry+Vacuum&amp;qid=1694734754&amp;sr=8-8")</f>
        <v/>
      </c>
      <c r="F3213" t="inlineStr">
        <is>
          <t>B0B7M6DM8K</t>
        </is>
      </c>
      <c r="G3213">
        <f>_xlfn.IMAGE("https://edmondsonsupply.com/cdn/shop/products/0970-20_3webp.webp?v=1668442362")</f>
        <v/>
      </c>
      <c r="H3213">
        <f>_xlfn.IMAGE("https://m.media-amazon.com/images/I/61qFe9bSfoL._AC_UL320_.jpg")</f>
        <v/>
      </c>
      <c r="K3213" t="inlineStr">
        <is>
          <t>199.0</t>
        </is>
      </c>
      <c r="L3213" t="n">
        <v>18.99</v>
      </c>
      <c r="M3213" s="1" t="inlineStr">
        <is>
          <t>-90.46%</t>
        </is>
      </c>
      <c r="N3213" s="7" t="n">
        <v>92.48999999999999</v>
      </c>
      <c r="O3213" t="n">
        <v>4.4</v>
      </c>
      <c r="P3213" t="n">
        <v>17</v>
      </c>
      <c r="R3213" t="inlineStr">
        <is>
          <t>OutOfStock</t>
        </is>
      </c>
      <c r="S3213" t="inlineStr">
        <is>
          <t>330.0</t>
        </is>
      </c>
      <c r="T3213" t="inlineStr">
        <is>
          <t>7884392366296</t>
        </is>
      </c>
    </row>
    <row r="3214" hidden="1" ht="15.75" customHeight="1">
      <c r="A3214" s="2">
        <f>HYPERLINK("https://edmondsonsupply.com/collections/hvac/products/inficon-whisper%C2%AE-ultrasonic-leak-detector-with-accessory-kit", "https://edmondsonsupply.com/collections/hvac/products/inficon-whisper%C2%AE-ultrasonic-leak-detector-with-accessory-kit")</f>
        <v/>
      </c>
      <c r="B3214" s="2">
        <f>HYPERLINK("https://edmondsonsupply.com/products/inficon-whisper%c2%ae-ultrasonic-leak-detector-with-accessory-kit", "https://edmondsonsupply.com/products/inficon-whisper%c2%ae-ultrasonic-leak-detector-with-accessory-kit")</f>
        <v/>
      </c>
      <c r="C3214" t="inlineStr">
        <is>
          <t>Inficon Whisper® Ultrasonic Leak Detector with Accessory Kit</t>
        </is>
      </c>
      <c r="D3214" t="inlineStr">
        <is>
          <t>BELEY Ultrasonic Leak Detector, Air Water Fluid Pressure Vaccum System Leaks Tester with Headphone Accessory Kit for Detecting Leakage of Window Door Sealed Container</t>
        </is>
      </c>
      <c r="E3214" s="2">
        <f>HYPERLINK("https://www.amazon.com/BELEY-Ultrasonic-Headphone-Accessory-Detecting/dp/B07PHSS75X/ref=sr_1_8?keywords=Inficon+Whisper%C2%AE+Ultrasonic+Leak+Detector+with+Accessory+Kit&amp;qid=1694734722&amp;sr=8-8", "https://www.amazon.com/BELEY-Ultrasonic-Headphone-Accessory-Detecting/dp/B07PHSS75X/ref=sr_1_8?keywords=Inficon+Whisper%C2%AE+Ultrasonic+Leak+Detector+with+Accessory+Kit&amp;qid=1694734722&amp;sr=8-8")</f>
        <v/>
      </c>
      <c r="F3214" t="inlineStr">
        <is>
          <t>B07PHSS75X</t>
        </is>
      </c>
      <c r="G3214">
        <f>_xludf.IMAGE("https://edmondsonsupply.com/cdn/shop/products/t5rPU4FQ.png?v=1633030885")</f>
        <v/>
      </c>
      <c r="H3214">
        <f>_xludf.IMAGE("https://m.media-amazon.com/images/I/71LuCIcl+FL._AC_UY218_.jpg")</f>
        <v/>
      </c>
      <c r="K3214" t="inlineStr">
        <is>
          <t>408.99</t>
        </is>
      </c>
      <c r="L3214" t="n">
        <v>38.52</v>
      </c>
      <c r="M3214" s="1" t="inlineStr">
        <is>
          <t>-90.58%</t>
        </is>
      </c>
      <c r="N3214" s="1" t="n">
        <v>92.26000000000001</v>
      </c>
      <c r="O3214" t="n">
        <v>3.1</v>
      </c>
      <c r="P3214" t="n">
        <v>23</v>
      </c>
      <c r="R3214" t="inlineStr">
        <is>
          <t>InStock</t>
        </is>
      </c>
      <c r="S3214" t="inlineStr">
        <is>
          <t>510.0</t>
        </is>
      </c>
      <c r="T3214" t="inlineStr">
        <is>
          <t>6207749783725</t>
        </is>
      </c>
    </row>
    <row r="3215" ht="87" customHeight="1">
      <c r="A3215" s="2">
        <f>HYPERLINK("https://edmondsonsupply.com/collections/hvac/products/bacharach-h-10-pro-refrigerant-leak-detector", "https://edmondsonsupply.com/collections/hvac/products/bacharach-h-10-pro-refrigerant-leak-detector")</f>
        <v/>
      </c>
      <c r="B3215" s="2">
        <f>HYPERLINK("https://edmondsonsupply.com/products/bacharach-h-10-pro-refrigerant-leak-detector", "https://edmondsonsupply.com/products/bacharach-h-10-pro-refrigerant-leak-detector")</f>
        <v/>
      </c>
      <c r="C3215" t="inlineStr">
        <is>
          <t>Bacharach H-10 PRO Refrigerant Leak Detector</t>
        </is>
      </c>
      <c r="D3215" t="inlineStr">
        <is>
          <t>Elitech HVAC Leak Detector Halogen Gas Tester HVAC Refrigerant AC Sniffer R22 R410A R134A, CPU-1G</t>
        </is>
      </c>
      <c r="E3215" s="2">
        <f>HYPERLINK("https://www.amazon.com/Elitech-CPU-1G-Refrigerant-Detector-Halogen/dp/B07KFBHTHB/ref=sr_1_17?keywords=Bacharach+H-10+PRO+Refrigerant+Leak+Detector&amp;qid=1694734698&amp;sr=8-17", "https://www.amazon.com/Elitech-CPU-1G-Refrigerant-Detector-Halogen/dp/B07KFBHTHB/ref=sr_1_17?keywords=Bacharach+H-10+PRO+Refrigerant+Leak+Detector&amp;qid=1694734698&amp;sr=8-17")</f>
        <v/>
      </c>
      <c r="F3215" t="inlineStr">
        <is>
          <t>B07KFBHTHB</t>
        </is>
      </c>
      <c r="G3215">
        <f>_xlfn.IMAGE("https://edmondsonsupply.com/cdn/shop/products/featured-h-10-pro-refrigerant-leak-detector.jpg?v=1635555994")</f>
        <v/>
      </c>
      <c r="H3215">
        <f>_xlfn.IMAGE("https://m.media-amazon.com/images/I/614qw1NfX0L._AC_UL320_.jpg")</f>
        <v/>
      </c>
      <c r="K3215" t="inlineStr">
        <is>
          <t>657.72</t>
        </is>
      </c>
      <c r="L3215" t="n">
        <v>59.99</v>
      </c>
      <c r="M3215" s="1" t="inlineStr">
        <is>
          <t>-90.88%</t>
        </is>
      </c>
      <c r="N3215" s="7" t="n">
        <v>91.91</v>
      </c>
      <c r="O3215" t="n">
        <v>4.3</v>
      </c>
      <c r="P3215" t="n">
        <v>219</v>
      </c>
      <c r="R3215" t="inlineStr">
        <is>
          <t>InStock</t>
        </is>
      </c>
      <c r="S3215" t="inlineStr">
        <is>
          <t>undefined</t>
        </is>
      </c>
      <c r="T3215" t="inlineStr">
        <is>
          <t>7354561102040</t>
        </is>
      </c>
    </row>
    <row r="3216" hidden="1" ht="15.75" customHeight="1">
      <c r="A3216" s="2">
        <f>HYPERLINK("https://edmondsonsupply.com/collections/hvac/products/packard-c390a-contactor-3-pole-90-amps-24-coil-voltage", "https://edmondsonsupply.com/collections/hvac/products/packard-c390a-contactor-3-pole-90-amps-24-coil-voltage")</f>
        <v/>
      </c>
      <c r="B3216" s="2">
        <f>HYPERLINK("https://edmondsonsupply.com/products/packard-c390a-contactor-3-pole-90-amps-24-coil-voltage", "https://edmondsonsupply.com/products/packard-c390a-contactor-3-pole-90-amps-24-coil-voltage")</f>
        <v/>
      </c>
      <c r="C3216" t="inlineStr">
        <is>
          <t>Packard C390A Contactor 3 Pole 90 AMPS 24 Coil Voltage</t>
        </is>
      </c>
      <c r="D3216" t="inlineStr">
        <is>
          <t>Packard Contactor C130A 1 Pole 30 Amps 24 Coil Voltage 4.5 Out of 5 Stars 44</t>
        </is>
      </c>
      <c r="E3216" s="2">
        <f>HYPERLINK("https://www.amazon.com/Packard-Contactor-C130A-Pole-Voltage/dp/B002CJFJWQ/ref=sr_1_12?keywords=Packard+C390A+Contactor+3+Pole+90+AMPS+24+Coil+Voltage&amp;qid=1694734901&amp;sr=8-12", "https://www.amazon.com/Packard-Contactor-C130A-Pole-Voltage/dp/B002CJFJWQ/ref=sr_1_12?keywords=Packard+C390A+Contactor+3+Pole+90+AMPS+24+Coil+Voltage&amp;qid=1694734901&amp;sr=8-12")</f>
        <v/>
      </c>
      <c r="F3216" t="inlineStr">
        <is>
          <t>B002CJFJWQ</t>
        </is>
      </c>
      <c r="G3216">
        <f>_xludf.IMAGE("https://edmondsonsupply.com/cdn/shop/files/packard-3.75-pole_xl_1_1152ce1d-b456-4bbf-bf1e-26917d918096.jpg?v=1687396564")</f>
        <v/>
      </c>
      <c r="H3216">
        <f>_xludf.IMAGE("https://m.media-amazon.com/images/I/41n4xVc0BbL._AC_UY218_.jpg")</f>
        <v/>
      </c>
      <c r="K3216" t="inlineStr">
        <is>
          <t>128.99</t>
        </is>
      </c>
      <c r="L3216" t="n">
        <v>10.26</v>
      </c>
      <c r="M3216" s="1" t="inlineStr">
        <is>
          <t>-92.05%</t>
        </is>
      </c>
      <c r="N3216" s="1" t="n">
        <v>91.91</v>
      </c>
      <c r="O3216" t="n">
        <v>4.6</v>
      </c>
      <c r="P3216" t="n">
        <v>273</v>
      </c>
      <c r="R3216" t="inlineStr">
        <is>
          <t>InStock</t>
        </is>
      </c>
      <c r="S3216" t="inlineStr">
        <is>
          <t>undefined</t>
        </is>
      </c>
      <c r="T3216" t="inlineStr">
        <is>
          <t>8007878836440</t>
        </is>
      </c>
    </row>
    <row r="3217" hidden="1" ht="15.75" customHeight="1">
      <c r="A3217" s="2">
        <f>HYPERLINK("https://edmondsonsupply.com/collections/hvac/products/inficon-d-tek-3", "https://edmondsonsupply.com/collections/hvac/products/inficon-d-tek-3")</f>
        <v/>
      </c>
      <c r="B3217" s="2">
        <f>HYPERLINK("https://edmondsonsupply.com/products/inficon-d-tek-3", "https://edmondsonsupply.com/products/inficon-d-tek-3")</f>
        <v/>
      </c>
      <c r="C3217" t="inlineStr">
        <is>
          <t>Inficon D-TEK® 3 Refrigerant Leak Detector</t>
        </is>
      </c>
      <c r="D3217" t="inlineStr">
        <is>
          <t>Inficon 711-703-G1 Contact Probe for Whisper Ultrasonic Leak Detector</t>
        </is>
      </c>
      <c r="E3217" s="2">
        <f>HYPERLINK("https://www.amazon.com/Inficon-711-703-G1-Contact-Ultrasonic-Detector/dp/B00DAOHO1G/ref=sr_1_38?keywords=Inficon+D-TEK%C2%AE+3+Refrigerant+Leak+Detector&amp;qid=1694734644&amp;sr=8-38", "https://www.amazon.com/Inficon-711-703-G1-Contact-Ultrasonic-Detector/dp/B00DAOHO1G/ref=sr_1_38?keywords=Inficon+D-TEK%C2%AE+3+Refrigerant+Leak+Detector&amp;qid=1694734644&amp;sr=8-38")</f>
        <v/>
      </c>
      <c r="F3217" t="inlineStr">
        <is>
          <t>B00DAOHO1G</t>
        </is>
      </c>
      <c r="G3217">
        <f>_xludf.IMAGE("https://edmondsonsupply.com/cdn/shop/products/dtek3.png?v=1633030772")</f>
        <v/>
      </c>
      <c r="H3217">
        <f>_xludf.IMAGE("https://m.media-amazon.com/images/I/41QdYeAsChL._AC_UL320_.jpg")</f>
        <v/>
      </c>
      <c r="K3217" t="inlineStr">
        <is>
          <t>516.99</t>
        </is>
      </c>
      <c r="L3217" t="n">
        <v>38</v>
      </c>
      <c r="M3217" s="1" t="inlineStr">
        <is>
          <t>-92.65%</t>
        </is>
      </c>
      <c r="N3217" s="1" t="n">
        <v>91.5</v>
      </c>
      <c r="O3217" t="n">
        <v>3.9</v>
      </c>
      <c r="P3217" t="n">
        <v>24</v>
      </c>
      <c r="R3217" t="inlineStr">
        <is>
          <t>InStock</t>
        </is>
      </c>
      <c r="S3217" t="inlineStr">
        <is>
          <t>645.0</t>
        </is>
      </c>
      <c r="T3217" t="inlineStr">
        <is>
          <t>5950406623400</t>
        </is>
      </c>
    </row>
    <row r="3218" hidden="1" ht="15.75" customHeight="1">
      <c r="A3218" s="2">
        <f>HYPERLINK("https://edmondsonsupply.com/collections/hvac/products/inficon-d-tek-3", "https://edmondsonsupply.com/collections/hvac/products/inficon-d-tek-3")</f>
        <v/>
      </c>
      <c r="B3218" s="2">
        <f>HYPERLINK("https://edmondsonsupply.com/products/inficon-d-tek-3", "https://edmondsonsupply.com/products/inficon-d-tek-3")</f>
        <v/>
      </c>
      <c r="C3218" t="inlineStr">
        <is>
          <t>Inficon D-TEK® 3 Refrigerant Leak Detector</t>
        </is>
      </c>
      <c r="D3218" t="inlineStr">
        <is>
          <t>VI VINTRONS Battery Replacement Compatible for Inficon D-TEK Select Refrigerant Leak Detector 712-202-G1,</t>
        </is>
      </c>
      <c r="E3218" s="2">
        <f>HYPERLINK("https://www.amazon.com/Replacement-D-TEK-Select-Refrigerant-Leak/dp/B086VR6NP2/ref=sr_1_3?keywords=Inficon+D-TEK%C2%AE+3+Refrigerant+Leak+Detector&amp;qid=1694734644&amp;sr=8-3", "https://www.amazon.com/Replacement-D-TEK-Select-Refrigerant-Leak/dp/B086VR6NP2/ref=sr_1_3?keywords=Inficon+D-TEK%C2%AE+3+Refrigerant+Leak+Detector&amp;qid=1694734644&amp;sr=8-3")</f>
        <v/>
      </c>
      <c r="F3218" t="inlineStr">
        <is>
          <t>B086VR6NP2</t>
        </is>
      </c>
      <c r="G3218">
        <f>_xludf.IMAGE("https://edmondsonsupply.com/cdn/shop/products/dtek3.png?v=1633030772")</f>
        <v/>
      </c>
      <c r="H3218">
        <f>_xludf.IMAGE("https://m.media-amazon.com/images/I/41GoYw3ABQL._AC_UL320_.jpg")</f>
        <v/>
      </c>
      <c r="K3218" t="inlineStr">
        <is>
          <t>516.99</t>
        </is>
      </c>
      <c r="L3218" t="n">
        <v>36.99</v>
      </c>
      <c r="M3218" s="1" t="inlineStr">
        <is>
          <t>-92.85%</t>
        </is>
      </c>
      <c r="N3218" s="1" t="n">
        <v>91.39</v>
      </c>
      <c r="O3218" t="n">
        <v>3.9</v>
      </c>
      <c r="P3218" t="n">
        <v>12</v>
      </c>
      <c r="R3218" t="inlineStr">
        <is>
          <t>InStock</t>
        </is>
      </c>
      <c r="S3218" t="inlineStr">
        <is>
          <t>645.0</t>
        </is>
      </c>
      <c r="T3218" t="inlineStr">
        <is>
          <t>5950406623400</t>
        </is>
      </c>
    </row>
    <row r="3219" ht="87" customHeight="1">
      <c r="A3219" s="2">
        <f>HYPERLINK("https://edmondsonsupply.com/collections/hvac/products/fluke-373-true-rms-ac-clamp-meter", "https://edmondsonsupply.com/collections/hvac/products/fluke-373-true-rms-ac-clamp-meter")</f>
        <v/>
      </c>
      <c r="B3219" s="2">
        <f>HYPERLINK("https://edmondsonsupply.com/products/fluke-373-true-rms-ac-clamp-meter", "https://edmondsonsupply.com/products/fluke-373-true-rms-ac-clamp-meter")</f>
        <v/>
      </c>
      <c r="C3219" t="inlineStr">
        <is>
          <t>Fluke 373 True-RMS AC Clamp Meter</t>
        </is>
      </c>
      <c r="D3219" t="inlineStr">
        <is>
          <t>Clamp Multimeter Tester - 6000 Counts FKM True RMS Voltmeter for AC Current AC/DC Voltage Tester with Lighting System, Auto-ranging AMP Frequency Resistance, NCV Digital Clamp Meter</t>
        </is>
      </c>
      <c r="E3219" s="2">
        <f>HYPERLINK("https://www.amazon.com/Clamp-Multimeter-Tester-Auto-ranging-Resistance/dp/B09MYN62TG/ref=sr_1_14?keywords=Fluke+373+True-RMS+AC+Clamp+Meter&amp;qid=1694734920&amp;sr=8-14", "https://www.amazon.com/Clamp-Multimeter-Tester-Auto-ranging-Resistance/dp/B09MYN62TG/ref=sr_1_14?keywords=Fluke+373+True-RMS+AC+Clamp+Meter&amp;qid=1694734920&amp;sr=8-14")</f>
        <v/>
      </c>
      <c r="F3219" t="inlineStr">
        <is>
          <t>B09MYN62TG</t>
        </is>
      </c>
      <c r="G3219">
        <f>_xlfn.IMAGE("https://edmondsonsupply.com/cdn/shop/files/f-373-01d-1500x1000.webp?v=1689369435")</f>
        <v/>
      </c>
      <c r="H3219">
        <f>_xlfn.IMAGE("https://m.media-amazon.com/images/I/71mgxgO56pL._AC_UY218_.jpg")</f>
        <v/>
      </c>
      <c r="K3219" t="inlineStr">
        <is>
          <t>290.05</t>
        </is>
      </c>
      <c r="L3219" t="n">
        <v>19.99</v>
      </c>
      <c r="M3219" s="1" t="inlineStr">
        <is>
          <t>-93.11%</t>
        </is>
      </c>
      <c r="N3219" s="7" t="n">
        <v>91.37</v>
      </c>
      <c r="O3219" t="n">
        <v>4.4</v>
      </c>
      <c r="P3219" t="n">
        <v>275</v>
      </c>
      <c r="R3219" t="inlineStr">
        <is>
          <t>InStock</t>
        </is>
      </c>
      <c r="S3219" t="inlineStr">
        <is>
          <t>undefined</t>
        </is>
      </c>
      <c r="T3219" t="inlineStr">
        <is>
          <t>8016406773976</t>
        </is>
      </c>
    </row>
    <row r="3220" ht="87" customHeight="1">
      <c r="A3220" s="2">
        <f>HYPERLINK("https://edmondsonsupply.com/collections/hvac/products/inficon-d-tek-3", "https://edmondsonsupply.com/collections/hvac/products/inficon-d-tek-3")</f>
        <v/>
      </c>
      <c r="B3220" s="2">
        <f>HYPERLINK("https://edmondsonsupply.com/products/inficon-d-tek-3", "https://edmondsonsupply.com/products/inficon-d-tek-3")</f>
        <v/>
      </c>
      <c r="C3220" t="inlineStr">
        <is>
          <t>Inficon D-TEK® 3 Refrigerant Leak Detector</t>
        </is>
      </c>
      <c r="D3220" t="inlineStr">
        <is>
          <t>Inficon 712-707-G1 Replacement Filter Cartridges for D-TEK Stratus, D-TEK3 and D-TEK Select Refrigerant Leak Detector</t>
        </is>
      </c>
      <c r="E3220" s="2">
        <f>HYPERLINK("https://www.amazon.com/712-707-G1-Replacement-Cartridges-Refrigerant-Detector/dp/B0086AO5CU/ref=sr_1_10?keywords=Inficon+D-TEK%C2%AE+3+Refrigerant+Leak+Detector&amp;qid=1694734644&amp;sr=8-10", "https://www.amazon.com/712-707-G1-Replacement-Cartridges-Refrigerant-Detector/dp/B0086AO5CU/ref=sr_1_10?keywords=Inficon+D-TEK%C2%AE+3+Refrigerant+Leak+Detector&amp;qid=1694734644&amp;sr=8-10")</f>
        <v/>
      </c>
      <c r="F3220" t="inlineStr">
        <is>
          <t>B0086AO5CU</t>
        </is>
      </c>
      <c r="G3220">
        <f>_xlfn.IMAGE("https://edmondsonsupply.com/cdn/shop/products/dtek3.png?v=1633030772")</f>
        <v/>
      </c>
      <c r="H3220">
        <f>_xlfn.IMAGE("https://m.media-amazon.com/images/I/81rHIWaKwnL._AC_UL320_.jpg")</f>
        <v/>
      </c>
      <c r="K3220" t="inlineStr">
        <is>
          <t>516.99</t>
        </is>
      </c>
      <c r="L3220" t="n">
        <v>33</v>
      </c>
      <c r="M3220" s="1" t="inlineStr">
        <is>
          <t>-93.62%</t>
        </is>
      </c>
      <c r="N3220" s="7" t="n">
        <v>91.03</v>
      </c>
      <c r="O3220" t="n">
        <v>4.6</v>
      </c>
      <c r="P3220" t="n">
        <v>28</v>
      </c>
      <c r="R3220" t="inlineStr">
        <is>
          <t>InStock</t>
        </is>
      </c>
      <c r="S3220" t="inlineStr">
        <is>
          <t>645.0</t>
        </is>
      </c>
      <c r="T3220" t="inlineStr">
        <is>
          <t>5950406623400</t>
        </is>
      </c>
    </row>
    <row r="3221" ht="87" customHeight="1">
      <c r="A3221" s="2">
        <f>HYPERLINK("https://edmondsonsupply.com/collections/hvac/products/inficon-d-tek-3", "https://edmondsonsupply.com/collections/hvac/products/inficon-d-tek-3")</f>
        <v/>
      </c>
      <c r="B3221" s="2">
        <f>HYPERLINK("https://edmondsonsupply.com/products/inficon-d-tek-3", "https://edmondsonsupply.com/products/inficon-d-tek-3")</f>
        <v/>
      </c>
      <c r="C3221" t="inlineStr">
        <is>
          <t>Inficon D-TEK® 3 Refrigerant Leak Detector</t>
        </is>
      </c>
      <c r="D3221" t="inlineStr">
        <is>
          <t>Aprvtio Refrigerant Leak Detector with LED Light, Halogen Leak Detector Freon Gas Leakage Tester HVAC Air Condition R22 R410A R134A R1234YF CFCs HCFCs HFCs Indicator WJL-6000PRO Freon Sniffer</t>
        </is>
      </c>
      <c r="E3221" s="2">
        <f>HYPERLINK("https://www.amazon.com/Aprvtio-Refrigerant-Condition-Indicator-WJL-6000PRO/dp/B0972QFD6N/ref=sr_1_26?keywords=Inficon+D-TEK%C2%AE+3+Refrigerant+Leak+Detector&amp;qid=1694734644&amp;sr=8-26", "https://www.amazon.com/Aprvtio-Refrigerant-Condition-Indicator-WJL-6000PRO/dp/B0972QFD6N/ref=sr_1_26?keywords=Inficon+D-TEK%C2%AE+3+Refrigerant+Leak+Detector&amp;qid=1694734644&amp;sr=8-26")</f>
        <v/>
      </c>
      <c r="F3221" t="inlineStr">
        <is>
          <t>B0972QFD6N</t>
        </is>
      </c>
      <c r="G3221">
        <f>_xlfn.IMAGE("https://edmondsonsupply.com/cdn/shop/products/dtek3.png?v=1633030772")</f>
        <v/>
      </c>
      <c r="H3221">
        <f>_xlfn.IMAGE("https://m.media-amazon.com/images/I/61XenXOQYZL._AC_UL320_.jpg")</f>
        <v/>
      </c>
      <c r="K3221" t="inlineStr">
        <is>
          <t>516.99</t>
        </is>
      </c>
      <c r="L3221" t="n">
        <v>29.99</v>
      </c>
      <c r="M3221" s="1" t="inlineStr">
        <is>
          <t>-94.20%</t>
        </is>
      </c>
      <c r="N3221" s="7" t="n">
        <v>91</v>
      </c>
      <c r="O3221" t="n">
        <v>4.2</v>
      </c>
      <c r="P3221" t="n">
        <v>694</v>
      </c>
      <c r="R3221" t="inlineStr">
        <is>
          <t>InStock</t>
        </is>
      </c>
      <c r="S3221" t="inlineStr">
        <is>
          <t>645.0</t>
        </is>
      </c>
      <c r="T3221" t="inlineStr">
        <is>
          <t>5950406623400</t>
        </is>
      </c>
    </row>
    <row r="3222" ht="87" customHeight="1">
      <c r="A3222" s="2">
        <f>HYPERLINK("https://edmondsonsupply.com/collections/hvac/products/inficon-d-tek-3", "https://edmondsonsupply.com/collections/hvac/products/inficon-d-tek-3")</f>
        <v/>
      </c>
      <c r="B3222" s="2">
        <f>HYPERLINK("https://edmondsonsupply.com/products/inficon-d-tek-3", "https://edmondsonsupply.com/products/inficon-d-tek-3")</f>
        <v/>
      </c>
      <c r="C3222" t="inlineStr">
        <is>
          <t>Inficon D-TEK® 3 Refrigerant Leak Detector</t>
        </is>
      </c>
      <c r="D3222" t="inlineStr">
        <is>
          <t>Xetron HVAC Refrigerant Leak Detector with UV LED,Automotive AC [R134A R410A R22 R1234YF] Freon Sniff Halogen Gas Leak Detector, 6 Adjustable Sensitivity, CFCs HCFCs HFCs HFOs CLD-100UV</t>
        </is>
      </c>
      <c r="E3222" s="2">
        <f>HYPERLINK("https://www.amazon.com/Xetron-Refrigerant-Automotive-Adjustable-Sensitivity/dp/B0BCPWJ9P4/ref=sr_1_20?keywords=Inficon+D-TEK%C2%AE+3+Refrigerant+Leak+Detector&amp;qid=1694734644&amp;sr=8-20", "https://www.amazon.com/Xetron-Refrigerant-Automotive-Adjustable-Sensitivity/dp/B0BCPWJ9P4/ref=sr_1_20?keywords=Inficon+D-TEK%C2%AE+3+Refrigerant+Leak+Detector&amp;qid=1694734644&amp;sr=8-20")</f>
        <v/>
      </c>
      <c r="F3222" t="inlineStr">
        <is>
          <t>B0BCPWJ9P4</t>
        </is>
      </c>
      <c r="G3222">
        <f>_xlfn.IMAGE("https://edmondsonsupply.com/cdn/shop/products/dtek3.png?v=1633030772")</f>
        <v/>
      </c>
      <c r="H3222">
        <f>_xlfn.IMAGE("https://m.media-amazon.com/images/I/51ZKJK9FPkL._AC_UL320_.jpg")</f>
        <v/>
      </c>
      <c r="K3222" t="inlineStr">
        <is>
          <t>516.99</t>
        </is>
      </c>
      <c r="L3222" t="n">
        <v>25</v>
      </c>
      <c r="M3222" s="1" t="inlineStr">
        <is>
          <t>-95.16%</t>
        </is>
      </c>
      <c r="N3222" s="7" t="n">
        <v>90.93000000000001</v>
      </c>
      <c r="O3222" t="n">
        <v>4.3</v>
      </c>
      <c r="P3222" t="n">
        <v>569</v>
      </c>
      <c r="R3222" t="inlineStr">
        <is>
          <t>InStock</t>
        </is>
      </c>
      <c r="S3222" t="inlineStr">
        <is>
          <t>645.0</t>
        </is>
      </c>
      <c r="T3222" t="inlineStr">
        <is>
          <t>5950406623400</t>
        </is>
      </c>
    </row>
    <row r="3223" hidden="1" ht="15.75" customHeight="1">
      <c r="A3223" s="2">
        <f>HYPERLINK("https://edmondsonsupply.com/collections/hvac/products/inficon-d-tek-3", "https://edmondsonsupply.com/collections/hvac/products/inficon-d-tek-3")</f>
        <v/>
      </c>
      <c r="B3223" s="2">
        <f>HYPERLINK("https://edmondsonsupply.com/products/inficon-d-tek-3", "https://edmondsonsupply.com/products/inficon-d-tek-3")</f>
        <v/>
      </c>
      <c r="C3223" t="inlineStr">
        <is>
          <t>Inficon D-TEK® 3 Refrigerant Leak Detector</t>
        </is>
      </c>
      <c r="D3223" t="inlineStr">
        <is>
          <t>Simbow Freon Leak Detector with LED Light, [2021 Upgrade] Refrigerant Halogen Leak Detector Portable R134a R410a R22a R600a R290 CFCs HCFCs HFCs Tester Air Conditioner Detection Tool HVAC</t>
        </is>
      </c>
      <c r="E3223" s="2">
        <f>HYPERLINK("https://www.amazon.com/Simbow-Detector-Refrigerant-Conditioner-Detection/dp/B08S7CW7G2/ref=sr_1_35?keywords=Inficon+D-TEK%C2%AE+3+Refrigerant+Leak+Detector&amp;qid=1694734644&amp;sr=8-35", "https://www.amazon.com/Simbow-Detector-Refrigerant-Conditioner-Detection/dp/B08S7CW7G2/ref=sr_1_35?keywords=Inficon+D-TEK%C2%AE+3+Refrigerant+Leak+Detector&amp;qid=1694734644&amp;sr=8-35")</f>
        <v/>
      </c>
      <c r="F3223" t="inlineStr">
        <is>
          <t>B08S7CW7G2</t>
        </is>
      </c>
      <c r="G3223">
        <f>_xludf.IMAGE("https://edmondsonsupply.com/cdn/shop/products/dtek3.png?v=1633030772")</f>
        <v/>
      </c>
      <c r="H3223">
        <f>_xludf.IMAGE("https://m.media-amazon.com/images/I/61c9cRiTh0L._AC_UL320_.jpg")</f>
        <v/>
      </c>
      <c r="K3223" t="inlineStr">
        <is>
          <t>516.99</t>
        </is>
      </c>
      <c r="L3223" t="n">
        <v>24.99</v>
      </c>
      <c r="M3223" s="1" t="inlineStr">
        <is>
          <t>-95.17%</t>
        </is>
      </c>
      <c r="N3223" s="1" t="n">
        <v>90.90000000000001</v>
      </c>
      <c r="O3223" t="n">
        <v>4</v>
      </c>
      <c r="P3223" t="n">
        <v>371</v>
      </c>
      <c r="R3223" t="inlineStr">
        <is>
          <t>InStock</t>
        </is>
      </c>
      <c r="S3223" t="inlineStr">
        <is>
          <t>645.0</t>
        </is>
      </c>
      <c r="T3223" t="inlineStr">
        <is>
          <t>5950406623400</t>
        </is>
      </c>
    </row>
    <row r="3224" ht="87" customHeight="1">
      <c r="A3224" s="2">
        <f>HYPERLINK("https://edmondsonsupply.com/collections/hvac/products/inficon-d-tek-3", "https://edmondsonsupply.com/collections/hvac/products/inficon-d-tek-3")</f>
        <v/>
      </c>
      <c r="B3224" s="2">
        <f>HYPERLINK("https://edmondsonsupply.com/products/inficon-d-tek-3", "https://edmondsonsupply.com/products/inficon-d-tek-3")</f>
        <v/>
      </c>
      <c r="C3224" t="inlineStr">
        <is>
          <t>Inficon D-TEK® 3 Refrigerant Leak Detector</t>
        </is>
      </c>
      <c r="D3224" t="inlineStr">
        <is>
          <t>Elitech WJL-6000 Freon Leak Detector Halogen Gas Tester HVAC Refrigerant AC Sniffer R22 R410A R134A with LED</t>
        </is>
      </c>
      <c r="E3224" s="2">
        <f>HYPERLINK("https://www.amazon.com/Elitech-WJL-6000-Detector-Halogen-Refrigerant/dp/B0BX26TPL6/ref=sr_1_18?keywords=Inficon+D-TEK%C2%AE+3+Refrigerant+Leak+Detector&amp;qid=1694734644&amp;sr=8-18", "https://www.amazon.com/Elitech-WJL-6000-Detector-Halogen-Refrigerant/dp/B0BX26TPL6/ref=sr_1_18?keywords=Inficon+D-TEK%C2%AE+3+Refrigerant+Leak+Detector&amp;qid=1694734644&amp;sr=8-18")</f>
        <v/>
      </c>
      <c r="F3224" t="inlineStr">
        <is>
          <t>B0BX26TPL6</t>
        </is>
      </c>
      <c r="G3224">
        <f>_xlfn.IMAGE("https://edmondsonsupply.com/cdn/shop/products/dtek3.png?v=1633030772")</f>
        <v/>
      </c>
      <c r="H3224">
        <f>_xlfn.IMAGE("https://m.media-amazon.com/images/I/61wDq7c8bvL._AC_UL320_.jpg")</f>
        <v/>
      </c>
      <c r="K3224" t="inlineStr">
        <is>
          <t>516.99</t>
        </is>
      </c>
      <c r="L3224" t="n">
        <v>24.99</v>
      </c>
      <c r="M3224" s="1" t="inlineStr">
        <is>
          <t>-95.17%</t>
        </is>
      </c>
      <c r="N3224" s="7" t="n">
        <v>90.90000000000001</v>
      </c>
      <c r="O3224" t="n">
        <v>4.4</v>
      </c>
      <c r="P3224" t="n">
        <v>10</v>
      </c>
      <c r="R3224" t="inlineStr">
        <is>
          <t>InStock</t>
        </is>
      </c>
      <c r="S3224" t="inlineStr">
        <is>
          <t>645.0</t>
        </is>
      </c>
      <c r="T3224" t="inlineStr">
        <is>
          <t>5950406623400</t>
        </is>
      </c>
    </row>
    <row r="3225" ht="87" customHeight="1">
      <c r="A3225" s="2">
        <f>HYPERLINK("https://edmondsonsupply.com/collections/hvac/products/inficon-d-tek-3", "https://edmondsonsupply.com/collections/hvac/products/inficon-d-tek-3")</f>
        <v/>
      </c>
      <c r="B3225" s="2">
        <f>HYPERLINK("https://edmondsonsupply.com/products/inficon-d-tek-3", "https://edmondsonsupply.com/products/inficon-d-tek-3")</f>
        <v/>
      </c>
      <c r="C3225" t="inlineStr">
        <is>
          <t>Inficon D-TEK® 3 Refrigerant Leak Detector</t>
        </is>
      </c>
      <c r="D3225" t="inlineStr">
        <is>
          <t>4 ALLTECH WJL-6000 pro Freon Refrigerant Halogen AC Leak Detector with UV LED Spotlight and Case R22 R134A A/C System Diagnose Tool</t>
        </is>
      </c>
      <c r="E3225" s="2">
        <f>HYPERLINK("https://www.amazon.com/WJL-6000-Refrigerant-Detector-Spotlight-Diagnose/dp/B08ZMXDJ87/ref=sr_1_29?keywords=Inficon+D-TEK%C2%AE+3+Refrigerant+Leak+Detector&amp;qid=1694734644&amp;sr=8-29", "https://www.amazon.com/WJL-6000-Refrigerant-Detector-Spotlight-Diagnose/dp/B08ZMXDJ87/ref=sr_1_29?keywords=Inficon+D-TEK%C2%AE+3+Refrigerant+Leak+Detector&amp;qid=1694734644&amp;sr=8-29")</f>
        <v/>
      </c>
      <c r="F3225" t="inlineStr">
        <is>
          <t>B08ZMXDJ87</t>
        </is>
      </c>
      <c r="G3225">
        <f>_xlfn.IMAGE("https://edmondsonsupply.com/cdn/shop/products/dtek3.png?v=1633030772")</f>
        <v/>
      </c>
      <c r="H3225">
        <f>_xlfn.IMAGE("https://m.media-amazon.com/images/I/61W12NFFNWL._AC_UL320_.jpg")</f>
        <v/>
      </c>
      <c r="K3225" t="inlineStr">
        <is>
          <t>516.99</t>
        </is>
      </c>
      <c r="L3225" t="n">
        <v>24.99</v>
      </c>
      <c r="M3225" s="1" t="inlineStr">
        <is>
          <t>-95.17%</t>
        </is>
      </c>
      <c r="N3225" s="7" t="n">
        <v>90.90000000000001</v>
      </c>
      <c r="O3225" t="n">
        <v>4.1</v>
      </c>
      <c r="P3225" t="n">
        <v>171</v>
      </c>
      <c r="R3225" t="inlineStr">
        <is>
          <t>InStock</t>
        </is>
      </c>
      <c r="S3225" t="inlineStr">
        <is>
          <t>645.0</t>
        </is>
      </c>
      <c r="T3225" t="inlineStr">
        <is>
          <t>5950406623400</t>
        </is>
      </c>
    </row>
    <row r="3226" ht="87" customHeight="1">
      <c r="A3226" s="2">
        <f>HYPERLINK("https://edmondsonsupply.com/collections/hvac/products/bacharach-h-10-pro-refrigerant-leak-detector", "https://edmondsonsupply.com/collections/hvac/products/bacharach-h-10-pro-refrigerant-leak-detector")</f>
        <v/>
      </c>
      <c r="B3226" s="2">
        <f>HYPERLINK("https://edmondsonsupply.com/products/bacharach-h-10-pro-refrigerant-leak-detector", "https://edmondsonsupply.com/products/bacharach-h-10-pro-refrigerant-leak-detector")</f>
        <v/>
      </c>
      <c r="C3226" t="inlineStr">
        <is>
          <t>Bacharach H-10 PRO Refrigerant Leak Detector</t>
        </is>
      </c>
      <c r="D3226" t="inlineStr">
        <is>
          <t>Simbow Refrigerant Leak Detector with Two Color LED Light, WJL-6000PRO Freon Leak Detector, Halogen Gas Leakage Tester HVAC Air Condition R22 R410A R134A R1234YF CFCs HCFCs HFCs Higher Sensitivity</t>
        </is>
      </c>
      <c r="E3226" s="2">
        <f>HYPERLINK("https://www.amazon.com/Simbow-Refrigerant-WJL-6000PRO-Condition-Sensitivity/dp/B0BF56CDSG/ref=sr_1_24?keywords=Bacharach+H-10+PRO+Refrigerant+Leak+Detector&amp;qid=1694734698&amp;sr=8-24", "https://www.amazon.com/Simbow-Refrigerant-WJL-6000PRO-Condition-Sensitivity/dp/B0BF56CDSG/ref=sr_1_24?keywords=Bacharach+H-10+PRO+Refrigerant+Leak+Detector&amp;qid=1694734698&amp;sr=8-24")</f>
        <v/>
      </c>
      <c r="F3226" t="inlineStr">
        <is>
          <t>B0BF56CDSG</t>
        </is>
      </c>
      <c r="G3226">
        <f>_xlfn.IMAGE("https://edmondsonsupply.com/cdn/shop/products/featured-h-10-pro-refrigerant-leak-detector.jpg?v=1635555994")</f>
        <v/>
      </c>
      <c r="H3226">
        <f>_xlfn.IMAGE("https://m.media-amazon.com/images/I/61YH560A9OL._AC_UL320_.jpg")</f>
        <v/>
      </c>
      <c r="K3226" t="inlineStr">
        <is>
          <t>657.72</t>
        </is>
      </c>
      <c r="L3226" t="n">
        <v>29.99</v>
      </c>
      <c r="M3226" s="1" t="inlineStr">
        <is>
          <t>-95.44%</t>
        </is>
      </c>
      <c r="N3226" s="7" t="n">
        <v>90.83</v>
      </c>
      <c r="O3226" t="n">
        <v>4.2</v>
      </c>
      <c r="P3226" t="n">
        <v>425</v>
      </c>
      <c r="R3226" t="inlineStr">
        <is>
          <t>InStock</t>
        </is>
      </c>
      <c r="S3226" t="inlineStr">
        <is>
          <t>undefined</t>
        </is>
      </c>
      <c r="T3226" t="inlineStr">
        <is>
          <t>7354561102040</t>
        </is>
      </c>
    </row>
    <row r="3227" ht="87" customHeight="1">
      <c r="A3227" s="2">
        <f>HYPERLINK("https://edmondsonsupply.com/collections/hvac/products/bacharach-h-10-pro-refrigerant-leak-detector", "https://edmondsonsupply.com/collections/hvac/products/bacharach-h-10-pro-refrigerant-leak-detector")</f>
        <v/>
      </c>
      <c r="B3227" s="2">
        <f>HYPERLINK("https://edmondsonsupply.com/products/bacharach-h-10-pro-refrigerant-leak-detector", "https://edmondsonsupply.com/products/bacharach-h-10-pro-refrigerant-leak-detector")</f>
        <v/>
      </c>
      <c r="C3227" t="inlineStr">
        <is>
          <t>Bacharach H-10 PRO Refrigerant Leak Detector</t>
        </is>
      </c>
      <c r="D3227" t="inlineStr">
        <is>
          <t>Aprvtio Refrigerant Leak Detector with LED Light, Halogen Leak Detector Freon Gas Leakage Tester HVAC Air Condition R22 R410A R134A R1234YF CFCs HCFCs HFCs Indicator WJL-6000PRO Freon Sniffer</t>
        </is>
      </c>
      <c r="E3227" s="2">
        <f>HYPERLINK("https://www.amazon.com/Aprvtio-Refrigerant-Condition-Indicator-WJL-6000PRO/dp/B0972QFD6N/ref=sr_1_15?keywords=Bacharach+H-10+PRO+Refrigerant+Leak+Detector&amp;qid=1694734698&amp;sr=8-15", "https://www.amazon.com/Aprvtio-Refrigerant-Condition-Indicator-WJL-6000PRO/dp/B0972QFD6N/ref=sr_1_15?keywords=Bacharach+H-10+PRO+Refrigerant+Leak+Detector&amp;qid=1694734698&amp;sr=8-15")</f>
        <v/>
      </c>
      <c r="F3227" t="inlineStr">
        <is>
          <t>B0972QFD6N</t>
        </is>
      </c>
      <c r="G3227">
        <f>_xlfn.IMAGE("https://edmondsonsupply.com/cdn/shop/products/featured-h-10-pro-refrigerant-leak-detector.jpg?v=1635555994")</f>
        <v/>
      </c>
      <c r="H3227">
        <f>_xlfn.IMAGE("https://m.media-amazon.com/images/I/61XenXOQYZL._AC_UL320_.jpg")</f>
        <v/>
      </c>
      <c r="K3227" t="inlineStr">
        <is>
          <t>657.72</t>
        </is>
      </c>
      <c r="L3227" t="n">
        <v>29.99</v>
      </c>
      <c r="M3227" s="1" t="inlineStr">
        <is>
          <t>-95.44%</t>
        </is>
      </c>
      <c r="N3227" s="7" t="n">
        <v>90.75</v>
      </c>
      <c r="O3227" t="n">
        <v>4.2</v>
      </c>
      <c r="P3227" t="n">
        <v>694</v>
      </c>
      <c r="R3227" t="inlineStr">
        <is>
          <t>InStock</t>
        </is>
      </c>
      <c r="S3227" t="inlineStr">
        <is>
          <t>undefined</t>
        </is>
      </c>
      <c r="T3227" t="inlineStr">
        <is>
          <t>7354561102040</t>
        </is>
      </c>
    </row>
    <row r="3228" ht="87" customHeight="1">
      <c r="A3228" s="2">
        <f>HYPERLINK("https://edmondsonsupply.com/collections/hvac/products/fieldpiece-dr82-infrared-refrigerant-leak-detector", "https://edmondsonsupply.com/collections/hvac/products/fieldpiece-dr82-infrared-refrigerant-leak-detector")</f>
        <v/>
      </c>
      <c r="B3228" s="2">
        <f>HYPERLINK("https://edmondsonsupply.com/products/fieldpiece-dr82-infrared-refrigerant-leak-detector", "https://edmondsonsupply.com/products/fieldpiece-dr82-infrared-refrigerant-leak-detector")</f>
        <v/>
      </c>
      <c r="C3228" t="inlineStr">
        <is>
          <t>Fieldpiece DR82 Infrared Refrigerant Leak Detector</t>
        </is>
      </c>
      <c r="D3228" t="inlineStr">
        <is>
          <t>UpBright 9V AC/DC Adapter Compatible with Fieldpiece SRL2K7 Infrared Refrigerant Leak Detector DR82 Heated Diode Detectors RCA2 RWA2 SRL8 SRL2 9VDC 2A DC9V 2.0A Power Supply Cord Cable Battery Charger</t>
        </is>
      </c>
      <c r="E3228" s="2">
        <f>HYPERLINK("https://www.amazon.com/Compatible-Fieldpiece-SRL2K7-Refrigerant-Power/dp/B09BN8F1FW/ref=sr_1_3?keywords=Fieldpiece+DR82+Infrared+Refrigerant+Leak+Detector&amp;qid=1694734641&amp;sr=8-3", "https://www.amazon.com/Compatible-Fieldpiece-SRL2K7-Refrigerant-Power/dp/B09BN8F1FW/ref=sr_1_3?keywords=Fieldpiece+DR82+Infrared+Refrigerant+Leak+Detector&amp;qid=1694734641&amp;sr=8-3")</f>
        <v/>
      </c>
      <c r="F3228" t="inlineStr">
        <is>
          <t>B09BN8F1FW</t>
        </is>
      </c>
      <c r="G3228">
        <f>_xlfn.IMAGE("https://edmondsonsupply.com/cdn/shop/products/DR82-Product-01-300dpi-scaled.jpg?v=1633031061")</f>
        <v/>
      </c>
      <c r="H3228">
        <f>_xlfn.IMAGE("https://m.media-amazon.com/images/I/61KkXelaEZL._AC_UL320_.jpg")</f>
        <v/>
      </c>
      <c r="K3228" t="inlineStr">
        <is>
          <t>476.85</t>
        </is>
      </c>
      <c r="L3228" t="n">
        <v>20.85</v>
      </c>
      <c r="M3228" s="1" t="inlineStr">
        <is>
          <t>-95.63%</t>
        </is>
      </c>
      <c r="N3228" s="7" t="n">
        <v>90.61</v>
      </c>
      <c r="O3228" t="n">
        <v>4.4</v>
      </c>
      <c r="P3228" t="n">
        <v>6</v>
      </c>
      <c r="R3228" t="inlineStr">
        <is>
          <t>InStock</t>
        </is>
      </c>
      <c r="S3228" t="inlineStr">
        <is>
          <t>561.0</t>
        </is>
      </c>
      <c r="T3228" t="inlineStr">
        <is>
          <t>6819628613805</t>
        </is>
      </c>
    </row>
    <row r="3229" ht="87" customHeight="1">
      <c r="A3229" s="2">
        <f>HYPERLINK("https://edmondsonsupply.com/collections/hvac/products/inficon-d-tek-3", "https://edmondsonsupply.com/collections/hvac/products/inficon-d-tek-3")</f>
        <v/>
      </c>
      <c r="B3229" s="2">
        <f>HYPERLINK("https://edmondsonsupply.com/products/inficon-d-tek-3", "https://edmondsonsupply.com/products/inficon-d-tek-3")</f>
        <v/>
      </c>
      <c r="C3229" t="inlineStr">
        <is>
          <t>Inficon D-TEK® 3 Refrigerant Leak Detector</t>
        </is>
      </c>
      <c r="D3229" t="inlineStr">
        <is>
          <t>Elitech WJL-6000S Freon Leak Detector Halogen Refrigerant Tester AC Leak Sniffer R22 R410A R134A R1234YF</t>
        </is>
      </c>
      <c r="E3229" s="2">
        <f>HYPERLINK("https://www.amazon.com/Elitech-WJL-6000S-Refrigerant-Condition-Indicator/dp/B083XTT26M/ref=sr_1_22?keywords=Inficon+D-TEK%C2%AE+3+Refrigerant+Leak+Detector&amp;qid=1694734644&amp;sr=8-22", "https://www.amazon.com/Elitech-WJL-6000S-Refrigerant-Condition-Indicator/dp/B083XTT26M/ref=sr_1_22?keywords=Inficon+D-TEK%C2%AE+3+Refrigerant+Leak+Detector&amp;qid=1694734644&amp;sr=8-22")</f>
        <v/>
      </c>
      <c r="F3229" t="inlineStr">
        <is>
          <t>B083XTT26M</t>
        </is>
      </c>
      <c r="G3229">
        <f>_xlfn.IMAGE("https://edmondsonsupply.com/cdn/shop/products/dtek3.png?v=1633030772")</f>
        <v/>
      </c>
      <c r="H3229">
        <f>_xlfn.IMAGE("https://m.media-amazon.com/images/I/618Hi-oVeCL._AC_UL320_.jpg")</f>
        <v/>
      </c>
      <c r="K3229" t="inlineStr">
        <is>
          <t>516.99</t>
        </is>
      </c>
      <c r="L3229" t="n">
        <v>21.99</v>
      </c>
      <c r="M3229" s="1" t="inlineStr">
        <is>
          <t>-95.75%</t>
        </is>
      </c>
      <c r="N3229" s="7" t="n">
        <v>90.61</v>
      </c>
      <c r="O3229" t="n">
        <v>4.2</v>
      </c>
      <c r="P3229" t="n">
        <v>737</v>
      </c>
      <c r="R3229" t="inlineStr">
        <is>
          <t>InStock</t>
        </is>
      </c>
      <c r="S3229" t="inlineStr">
        <is>
          <t>645.0</t>
        </is>
      </c>
      <c r="T3229" t="inlineStr">
        <is>
          <t>5950406623400</t>
        </is>
      </c>
    </row>
    <row r="3230" ht="87" customHeight="1">
      <c r="A3230" s="2">
        <f>HYPERLINK("https://edmondsonsupply.com/collections/hvac/products/inficon-d-tek-3", "https://edmondsonsupply.com/collections/hvac/products/inficon-d-tek-3")</f>
        <v/>
      </c>
      <c r="B3230" s="2">
        <f>HYPERLINK("https://edmondsonsupply.com/products/inficon-d-tek-3", "https://edmondsonsupply.com/products/inficon-d-tek-3")</f>
        <v/>
      </c>
      <c r="C3230" t="inlineStr">
        <is>
          <t>Inficon D-TEK® 3 Refrigerant Leak Detector</t>
        </is>
      </c>
      <c r="D3230" t="inlineStr">
        <is>
          <t>Elitech WJL-6000S Freon Leak Detector Halogen Gas Sniffer Refrigerant AC Leak Tester R22 R410A R134A R1234YF 𝐔𝐏𝐆𝐑𝐀𝐃𝐄𝐃 𝐅𝐑𝐎𝐌 𝐖𝐉𝐋‒𝟲𝟬𝟬𝟬</t>
        </is>
      </c>
      <c r="E3230" s="2">
        <f>HYPERLINK("https://www.amazon.com/Elitech-WJL-6000S-Refrigerant-Condition-Indicator/dp/B083XRD6GN/ref=sr_1_30?keywords=Inficon+D-TEK%C2%AE+3+Refrigerant+Leak+Detector&amp;qid=1694734644&amp;sr=8-30", "https://www.amazon.com/Elitech-WJL-6000S-Refrigerant-Condition-Indicator/dp/B083XRD6GN/ref=sr_1_30?keywords=Inficon+D-TEK%C2%AE+3+Refrigerant+Leak+Detector&amp;qid=1694734644&amp;sr=8-30")</f>
        <v/>
      </c>
      <c r="F3230" t="inlineStr">
        <is>
          <t>B083XRD6GN</t>
        </is>
      </c>
      <c r="G3230">
        <f>_xlfn.IMAGE("https://edmondsonsupply.com/cdn/shop/products/dtek3.png?v=1633030772")</f>
        <v/>
      </c>
      <c r="H3230">
        <f>_xlfn.IMAGE("https://m.media-amazon.com/images/I/618Hi-oVeCL._AC_UL320_.jpg")</f>
        <v/>
      </c>
      <c r="K3230" t="inlineStr">
        <is>
          <t>516.99</t>
        </is>
      </c>
      <c r="L3230" t="n">
        <v>21.99</v>
      </c>
      <c r="M3230" s="1" t="inlineStr">
        <is>
          <t>-95.75%</t>
        </is>
      </c>
      <c r="N3230" s="7" t="n">
        <v>90.61</v>
      </c>
      <c r="O3230" t="n">
        <v>4.1</v>
      </c>
      <c r="P3230" t="n">
        <v>434</v>
      </c>
      <c r="R3230" t="inlineStr">
        <is>
          <t>InStock</t>
        </is>
      </c>
      <c r="S3230" t="inlineStr">
        <is>
          <t>645.0</t>
        </is>
      </c>
      <c r="T3230" t="inlineStr">
        <is>
          <t>5950406623400</t>
        </is>
      </c>
    </row>
    <row r="3231" ht="87" customHeight="1">
      <c r="A3231" s="2">
        <f>HYPERLINK("https://edmondsonsupply.com/collections/hvac/products/inficon-d-tek-3", "https://edmondsonsupply.com/collections/hvac/products/inficon-d-tek-3")</f>
        <v/>
      </c>
      <c r="B3231" s="2">
        <f>HYPERLINK("https://edmondsonsupply.com/products/inficon-d-tek-3", "https://edmondsonsupply.com/products/inficon-d-tek-3")</f>
        <v/>
      </c>
      <c r="C3231" t="inlineStr">
        <is>
          <t>Inficon D-TEK® 3 Refrigerant Leak Detector</t>
        </is>
      </c>
      <c r="D3231" t="inlineStr">
        <is>
          <t>Elitech WJL-6000 Freon Leak Detector Halogen Gas Tester HVAC Refrigerant AC Sniffer R22 R410A R134A</t>
        </is>
      </c>
      <c r="E3231" s="2">
        <f>HYPERLINK("https://www.amazon.com/Elitech-WJL-6000-Detector-Refrigerant-Condition/dp/B015FK1EH2/ref=sr_1_12?keywords=Inficon+D-TEK%C2%AE+3+Refrigerant+Leak+Detector&amp;qid=1694734644&amp;sr=8-12", "https://www.amazon.com/Elitech-WJL-6000-Detector-Refrigerant-Condition/dp/B015FK1EH2/ref=sr_1_12?keywords=Inficon+D-TEK%C2%AE+3+Refrigerant+Leak+Detector&amp;qid=1694734644&amp;sr=8-12")</f>
        <v/>
      </c>
      <c r="F3231" t="inlineStr">
        <is>
          <t>B015FK1EH2</t>
        </is>
      </c>
      <c r="G3231">
        <f>_xlfn.IMAGE("https://edmondsonsupply.com/cdn/shop/products/dtek3.png?v=1633030772")</f>
        <v/>
      </c>
      <c r="H3231">
        <f>_xlfn.IMAGE("https://m.media-amazon.com/images/I/51KVjsgUidL._AC_UL320_.jpg")</f>
        <v/>
      </c>
      <c r="K3231" t="inlineStr">
        <is>
          <t>516.99</t>
        </is>
      </c>
      <c r="L3231" t="n">
        <v>21.99</v>
      </c>
      <c r="M3231" s="1" t="inlineStr">
        <is>
          <t>-95.75%</t>
        </is>
      </c>
      <c r="N3231" s="7" t="n">
        <v>90.61</v>
      </c>
      <c r="O3231" t="n">
        <v>4.2</v>
      </c>
      <c r="P3231" t="n">
        <v>4599</v>
      </c>
      <c r="R3231" t="inlineStr">
        <is>
          <t>InStock</t>
        </is>
      </c>
      <c r="S3231" t="inlineStr">
        <is>
          <t>645.0</t>
        </is>
      </c>
      <c r="T3231" t="inlineStr">
        <is>
          <t>5950406623400</t>
        </is>
      </c>
    </row>
    <row r="3232" ht="87" customHeight="1">
      <c r="A3232" s="2">
        <f>HYPERLINK("https://edmondsonsupply.com/collections/hvac/products/bacharach-h-10-pro-refrigerant-leak-detector", "https://edmondsonsupply.com/collections/hvac/products/bacharach-h-10-pro-refrigerant-leak-detector")</f>
        <v/>
      </c>
      <c r="B3232" s="2">
        <f>HYPERLINK("https://edmondsonsupply.com/products/bacharach-h-10-pro-refrigerant-leak-detector", "https://edmondsonsupply.com/products/bacharach-h-10-pro-refrigerant-leak-detector")</f>
        <v/>
      </c>
      <c r="C3232" t="inlineStr">
        <is>
          <t>Bacharach H-10 PRO Refrigerant Leak Detector</t>
        </is>
      </c>
      <c r="D3232" t="inlineStr">
        <is>
          <t>Xetron HVAC Refrigerant Leak Detector with UV LED,Automotive AC [R134A R410A R22 R1234YF] Freon Sniff Halogen Gas Leak Detector, 6 Adjustable Sensitivity, CFCs HCFCs HFCs HFOs CLD-100UV</t>
        </is>
      </c>
      <c r="E3232" s="2">
        <f>HYPERLINK("https://www.amazon.com/Xetron-Refrigerant-Automotive-Adjustable-Sensitivity/dp/B0BCPWJ9P4/ref=sr_1_9?keywords=Bacharach+H-10+PRO+Refrigerant+Leak+Detector&amp;qid=1694734698&amp;sr=8-9", "https://www.amazon.com/Xetron-Refrigerant-Automotive-Adjustable-Sensitivity/dp/B0BCPWJ9P4/ref=sr_1_9?keywords=Bacharach+H-10+PRO+Refrigerant+Leak+Detector&amp;qid=1694734698&amp;sr=8-9")</f>
        <v/>
      </c>
      <c r="F3232" t="inlineStr">
        <is>
          <t>B0BCPWJ9P4</t>
        </is>
      </c>
      <c r="G3232">
        <f>_xlfn.IMAGE("https://edmondsonsupply.com/cdn/shop/products/featured-h-10-pro-refrigerant-leak-detector.jpg?v=1635555994")</f>
        <v/>
      </c>
      <c r="H3232">
        <f>_xlfn.IMAGE("https://m.media-amazon.com/images/I/51ZKJK9FPkL._AC_UL320_.jpg")</f>
        <v/>
      </c>
      <c r="K3232" t="inlineStr">
        <is>
          <t>657.72</t>
        </is>
      </c>
      <c r="L3232" t="n">
        <v>25</v>
      </c>
      <c r="M3232" s="1" t="inlineStr">
        <is>
          <t>-96.20%</t>
        </is>
      </c>
      <c r="N3232" s="7" t="n">
        <v>90.52</v>
      </c>
      <c r="O3232" t="n">
        <v>4.3</v>
      </c>
      <c r="P3232" t="n">
        <v>569</v>
      </c>
      <c r="R3232" t="inlineStr">
        <is>
          <t>InStock</t>
        </is>
      </c>
      <c r="S3232" t="inlineStr">
        <is>
          <t>undefined</t>
        </is>
      </c>
      <c r="T3232" t="inlineStr">
        <is>
          <t>7354561102040</t>
        </is>
      </c>
    </row>
    <row r="3233" ht="87" customHeight="1">
      <c r="A3233" s="2">
        <f>HYPERLINK("https://edmondsonsupply.com/collections/hvac/products/bacharach-h-10-pro-refrigerant-leak-detector", "https://edmondsonsupply.com/collections/hvac/products/bacharach-h-10-pro-refrigerant-leak-detector")</f>
        <v/>
      </c>
      <c r="B3233" s="2">
        <f>HYPERLINK("https://edmondsonsupply.com/products/bacharach-h-10-pro-refrigerant-leak-detector", "https://edmondsonsupply.com/products/bacharach-h-10-pro-refrigerant-leak-detector")</f>
        <v/>
      </c>
      <c r="C3233" t="inlineStr">
        <is>
          <t>Bacharach H-10 PRO Refrigerant Leak Detector</t>
        </is>
      </c>
      <c r="D3233" t="inlineStr">
        <is>
          <t>Elitech WJL-6000 Freon Leak Detector Halogen Gas Tester HVAC Refrigerant AC Sniffer R22 R410A R134A with LED</t>
        </is>
      </c>
      <c r="E3233" s="2">
        <f>HYPERLINK("https://www.amazon.com/Elitech-WJL-6000-Detector-Halogen-Refrigerant/dp/B0BX26TPL6/ref=sr_1_7?keywords=Bacharach+H-10+PRO+Refrigerant+Leak+Detector&amp;qid=1694734698&amp;sr=8-7", "https://www.amazon.com/Elitech-WJL-6000-Detector-Halogen-Refrigerant/dp/B0BX26TPL6/ref=sr_1_7?keywords=Bacharach+H-10+PRO+Refrigerant+Leak+Detector&amp;qid=1694734698&amp;sr=8-7")</f>
        <v/>
      </c>
      <c r="F3233" t="inlineStr">
        <is>
          <t>B0BX26TPL6</t>
        </is>
      </c>
      <c r="G3233">
        <f>_xlfn.IMAGE("https://edmondsonsupply.com/cdn/shop/products/featured-h-10-pro-refrigerant-leak-detector.jpg?v=1635555994")</f>
        <v/>
      </c>
      <c r="H3233">
        <f>_xlfn.IMAGE("https://m.media-amazon.com/images/I/61wDq7c8bvL._AC_UL320_.jpg")</f>
        <v/>
      </c>
      <c r="K3233" t="inlineStr">
        <is>
          <t>657.72</t>
        </is>
      </c>
      <c r="L3233" t="n">
        <v>24.99</v>
      </c>
      <c r="M3233" s="1" t="inlineStr">
        <is>
          <t>-96.20%</t>
        </is>
      </c>
      <c r="N3233" s="7" t="n">
        <v>90.47</v>
      </c>
      <c r="O3233" t="n">
        <v>4.4</v>
      </c>
      <c r="P3233" t="n">
        <v>10</v>
      </c>
      <c r="R3233" t="inlineStr">
        <is>
          <t>InStock</t>
        </is>
      </c>
      <c r="S3233" t="inlineStr">
        <is>
          <t>undefined</t>
        </is>
      </c>
      <c r="T3233" t="inlineStr">
        <is>
          <t>7354561102040</t>
        </is>
      </c>
    </row>
    <row r="3234" ht="87" customHeight="1">
      <c r="A3234" s="2">
        <f>HYPERLINK("https://edmondsonsupply.com/collections/hvac/products/bacharach-h-10-pro-refrigerant-leak-detector", "https://edmondsonsupply.com/collections/hvac/products/bacharach-h-10-pro-refrigerant-leak-detector")</f>
        <v/>
      </c>
      <c r="B3234" s="2">
        <f>HYPERLINK("https://edmondsonsupply.com/products/bacharach-h-10-pro-refrigerant-leak-detector", "https://edmondsonsupply.com/products/bacharach-h-10-pro-refrigerant-leak-detector")</f>
        <v/>
      </c>
      <c r="C3234" t="inlineStr">
        <is>
          <t>Bacharach H-10 PRO Refrigerant Leak Detector</t>
        </is>
      </c>
      <c r="D3234" t="inlineStr">
        <is>
          <t>4 ALLTECH WJL-6000 pro Freon Refrigerant Halogen AC Leak Detector with UV LED Spotlight and Case R22 R134A A/C System Diagnose Tool</t>
        </is>
      </c>
      <c r="E3234" s="2">
        <f>HYPERLINK("https://www.amazon.com/WJL-6000-Refrigerant-Detector-Spotlight-Diagnose/dp/B08ZMXDJ87/ref=sr_1_27?keywords=Bacharach+H-10+PRO+Refrigerant+Leak+Detector&amp;qid=1694734698&amp;sr=8-27", "https://www.amazon.com/WJL-6000-Refrigerant-Detector-Spotlight-Diagnose/dp/B08ZMXDJ87/ref=sr_1_27?keywords=Bacharach+H-10+PRO+Refrigerant+Leak+Detector&amp;qid=1694734698&amp;sr=8-27")</f>
        <v/>
      </c>
      <c r="F3234" t="inlineStr">
        <is>
          <t>B08ZMXDJ87</t>
        </is>
      </c>
      <c r="G3234">
        <f>_xlfn.IMAGE("https://edmondsonsupply.com/cdn/shop/products/featured-h-10-pro-refrigerant-leak-detector.jpg?v=1635555994")</f>
        <v/>
      </c>
      <c r="H3234">
        <f>_xlfn.IMAGE("https://m.media-amazon.com/images/I/61W12NFFNWL._AC_UL320_.jpg")</f>
        <v/>
      </c>
      <c r="K3234" t="inlineStr">
        <is>
          <t>657.72</t>
        </is>
      </c>
      <c r="L3234" t="n">
        <v>24.99</v>
      </c>
      <c r="M3234" s="1" t="inlineStr">
        <is>
          <t>-96.20%</t>
        </is>
      </c>
      <c r="N3234" s="7" t="n">
        <v>90.16</v>
      </c>
      <c r="O3234" t="n">
        <v>4.1</v>
      </c>
      <c r="P3234" t="n">
        <v>171</v>
      </c>
      <c r="R3234" t="inlineStr">
        <is>
          <t>InStock</t>
        </is>
      </c>
      <c r="S3234" t="inlineStr">
        <is>
          <t>undefined</t>
        </is>
      </c>
      <c r="T3234" t="inlineStr">
        <is>
          <t>7354561102040</t>
        </is>
      </c>
    </row>
    <row r="3235" hidden="1" ht="15.75" customHeight="1">
      <c r="A3235" s="2">
        <f>HYPERLINK("https://edmondsonsupply.com/collections/hvac/products/bacharach-h-10-pro-refrigerant-leak-detector", "https://edmondsonsupply.com/collections/hvac/products/bacharach-h-10-pro-refrigerant-leak-detector")</f>
        <v/>
      </c>
      <c r="B3235" s="2">
        <f>HYPERLINK("https://edmondsonsupply.com/products/bacharach-h-10-pro-refrigerant-leak-detector", "https://edmondsonsupply.com/products/bacharach-h-10-pro-refrigerant-leak-detector")</f>
        <v/>
      </c>
      <c r="C3235" t="inlineStr">
        <is>
          <t>Bacharach H-10 PRO Refrigerant Leak Detector</t>
        </is>
      </c>
      <c r="D3235" t="inlineStr">
        <is>
          <t>Simbow Freon Leak Detector with LED Light, [2021 Upgrade] Refrigerant Halogen Leak Detector Portable R134a R410a R22a R600a R290 CFCs HCFCs HFCs Tester Air Conditioner Detection Tool HVAC</t>
        </is>
      </c>
      <c r="E3235" s="2">
        <f>HYPERLINK("https://www.amazon.com/Simbow-Detector-Refrigerant-Conditioner-Detection/dp/B08S7CW7G2/ref=sr_1_30?keywords=Bacharach+H-10+PRO+Refrigerant+Leak+Detector&amp;qid=1694734698&amp;sr=8-30", "https://www.amazon.com/Simbow-Detector-Refrigerant-Conditioner-Detection/dp/B08S7CW7G2/ref=sr_1_30?keywords=Bacharach+H-10+PRO+Refrigerant+Leak+Detector&amp;qid=1694734698&amp;sr=8-30")</f>
        <v/>
      </c>
      <c r="F3235" t="inlineStr">
        <is>
          <t>B08S7CW7G2</t>
        </is>
      </c>
      <c r="G3235">
        <f>_xludf.IMAGE("https://edmondsonsupply.com/cdn/shop/products/featured-h-10-pro-refrigerant-leak-detector.jpg?v=1635555994")</f>
        <v/>
      </c>
      <c r="H3235">
        <f>_xludf.IMAGE("https://m.media-amazon.com/images/I/61c9cRiTh0L._AC_UL320_.jpg")</f>
        <v/>
      </c>
      <c r="K3235" t="inlineStr">
        <is>
          <t>657.72</t>
        </is>
      </c>
      <c r="L3235" t="n">
        <v>24.99</v>
      </c>
      <c r="M3235" s="1" t="inlineStr">
        <is>
          <t>-96.20%</t>
        </is>
      </c>
      <c r="N3235" s="1" t="n">
        <v>90.09</v>
      </c>
      <c r="O3235" t="n">
        <v>4</v>
      </c>
      <c r="P3235" t="n">
        <v>371</v>
      </c>
      <c r="R3235" t="inlineStr">
        <is>
          <t>InStock</t>
        </is>
      </c>
      <c r="S3235" t="inlineStr">
        <is>
          <t>undefined</t>
        </is>
      </c>
      <c r="T3235" t="inlineStr">
        <is>
          <t>7354561102040</t>
        </is>
      </c>
    </row>
    <row r="3236" ht="87" customHeight="1">
      <c r="A3236" s="2">
        <f>HYPERLINK("https://edmondsonsupply.com/collections/hvac/products/bacharach-h-10-pro-refrigerant-leak-detector", "https://edmondsonsupply.com/collections/hvac/products/bacharach-h-10-pro-refrigerant-leak-detector")</f>
        <v/>
      </c>
      <c r="B3236" s="2">
        <f>HYPERLINK("https://edmondsonsupply.com/products/bacharach-h-10-pro-refrigerant-leak-detector", "https://edmondsonsupply.com/products/bacharach-h-10-pro-refrigerant-leak-detector")</f>
        <v/>
      </c>
      <c r="C3236" t="inlineStr">
        <is>
          <t>Bacharach H-10 PRO Refrigerant Leak Detector</t>
        </is>
      </c>
      <c r="D3236" t="inlineStr">
        <is>
          <t>Elitech WJL-6000 Freon Leak Detector Halogen Gas Tester HVAC Refrigerant AC Sniffer R22 R410A R134A</t>
        </is>
      </c>
      <c r="E3236" s="2">
        <f>HYPERLINK("https://www.amazon.com/Elitech-WJL-6000-Detector-Refrigerant-Condition/dp/B015FK1EH2/ref=sr_1_26?keywords=Bacharach+H-10+PRO+Refrigerant+Leak+Detector&amp;qid=1694734698&amp;sr=8-26", "https://www.amazon.com/Elitech-WJL-6000-Detector-Refrigerant-Condition/dp/B015FK1EH2/ref=sr_1_26?keywords=Bacharach+H-10+PRO+Refrigerant+Leak+Detector&amp;qid=1694734698&amp;sr=8-26")</f>
        <v/>
      </c>
      <c r="F3236" t="inlineStr">
        <is>
          <t>B015FK1EH2</t>
        </is>
      </c>
      <c r="G3236">
        <f>_xlfn.IMAGE("https://edmondsonsupply.com/cdn/shop/products/featured-h-10-pro-refrigerant-leak-detector.jpg?v=1635555994")</f>
        <v/>
      </c>
      <c r="H3236">
        <f>_xlfn.IMAGE("https://m.media-amazon.com/images/I/51KVjsgUidL._AC_UL320_.jpg")</f>
        <v/>
      </c>
      <c r="K3236" t="inlineStr">
        <is>
          <t>657.72</t>
        </is>
      </c>
      <c r="L3236" t="n">
        <v>21.99</v>
      </c>
      <c r="M3236" s="1" t="inlineStr">
        <is>
          <t>-96.66%</t>
        </is>
      </c>
      <c r="N3236" s="7" t="n">
        <v>90.09</v>
      </c>
      <c r="O3236" t="n">
        <v>4.2</v>
      </c>
      <c r="P3236" t="n">
        <v>4599</v>
      </c>
      <c r="R3236" t="inlineStr">
        <is>
          <t>InStock</t>
        </is>
      </c>
      <c r="S3236" t="inlineStr">
        <is>
          <t>undefined</t>
        </is>
      </c>
      <c r="T3236" t="inlineStr">
        <is>
          <t>7354561102040</t>
        </is>
      </c>
    </row>
    <row r="3237" ht="87" customHeight="1">
      <c r="A3237" s="2">
        <f>HYPERLINK("https://edmondsonsupply.com/collections/hvac/products/bacharach-h-10-pro-refrigerant-leak-detector", "https://edmondsonsupply.com/collections/hvac/products/bacharach-h-10-pro-refrigerant-leak-detector")</f>
        <v/>
      </c>
      <c r="B3237" s="2">
        <f>HYPERLINK("https://edmondsonsupply.com/products/bacharach-h-10-pro-refrigerant-leak-detector", "https://edmondsonsupply.com/products/bacharach-h-10-pro-refrigerant-leak-detector")</f>
        <v/>
      </c>
      <c r="C3237" t="inlineStr">
        <is>
          <t>Bacharach H-10 PRO Refrigerant Leak Detector</t>
        </is>
      </c>
      <c r="D3237" t="inlineStr">
        <is>
          <t>Elitech WJL-6000S Freon Leak Detector Halogen Refrigerant Tester AC Leak Sniffer R22 R410A R134A R1234YF</t>
        </is>
      </c>
      <c r="E3237" s="2">
        <f>HYPERLINK("https://www.amazon.com/Elitech-WJL-6000S-Refrigerant-Condition-Indicator/dp/B083XTT26M/ref=sr_1_22?keywords=Bacharach+H-10+PRO+Refrigerant+Leak+Detector&amp;qid=1694734698&amp;sr=8-22", "https://www.amazon.com/Elitech-WJL-6000S-Refrigerant-Condition-Indicator/dp/B083XTT26M/ref=sr_1_22?keywords=Bacharach+H-10+PRO+Refrigerant+Leak+Detector&amp;qid=1694734698&amp;sr=8-22")</f>
        <v/>
      </c>
      <c r="F3237" t="inlineStr">
        <is>
          <t>B083XTT26M</t>
        </is>
      </c>
      <c r="G3237">
        <f>_xlfn.IMAGE("https://edmondsonsupply.com/cdn/shop/products/featured-h-10-pro-refrigerant-leak-detector.jpg?v=1635555994")</f>
        <v/>
      </c>
      <c r="H3237">
        <f>_xlfn.IMAGE("https://m.media-amazon.com/images/I/618Hi-oVeCL._AC_UL320_.jpg")</f>
        <v/>
      </c>
      <c r="K3237" t="inlineStr">
        <is>
          <t>657.72</t>
        </is>
      </c>
      <c r="L3237" t="n">
        <v>21.99</v>
      </c>
      <c r="M3237" s="1" t="inlineStr">
        <is>
          <t>-96.66%</t>
        </is>
      </c>
      <c r="N3237" s="7" t="n">
        <v>90.06999999999999</v>
      </c>
      <c r="O3237" t="n">
        <v>4.2</v>
      </c>
      <c r="P3237" t="n">
        <v>737</v>
      </c>
      <c r="R3237" t="inlineStr">
        <is>
          <t>InStock</t>
        </is>
      </c>
      <c r="S3237" t="inlineStr">
        <is>
          <t>undefined</t>
        </is>
      </c>
      <c r="T3237" t="inlineStr">
        <is>
          <t>7354561102040</t>
        </is>
      </c>
    </row>
    <row r="3238" ht="87" customHeight="1">
      <c r="A3238" s="2">
        <f>HYPERLINK("https://edmondsonsupply.com/collections/hvac/products/bacharach-h-10-pro-refrigerant-leak-detector", "https://edmondsonsupply.com/collections/hvac/products/bacharach-h-10-pro-refrigerant-leak-detector")</f>
        <v/>
      </c>
      <c r="B3238" s="2">
        <f>HYPERLINK("https://edmondsonsupply.com/products/bacharach-h-10-pro-refrigerant-leak-detector", "https://edmondsonsupply.com/products/bacharach-h-10-pro-refrigerant-leak-detector")</f>
        <v/>
      </c>
      <c r="C3238" t="inlineStr">
        <is>
          <t>Bacharach H-10 PRO Refrigerant Leak Detector</t>
        </is>
      </c>
      <c r="D3238" t="inlineStr">
        <is>
          <t>Elitech WJL-6000S Freon Leak Detector Halogen Gas Sniffer Refrigerant AC Leak Tester R22 R410A R134A R1234YF 𝐔𝐏𝐆𝐑𝐀𝐃𝐄𝐃 𝐅𝐑𝐎𝐌 𝐖𝐉𝐋‒𝟲𝟬𝟬𝟬</t>
        </is>
      </c>
      <c r="E3238" s="2">
        <f>HYPERLINK("https://www.amazon.com/Elitech-WJL-6000S-Refrigerant-Condition-Indicator/dp/B083XRD6GN/ref=sr_1_28?keywords=Bacharach+H-10+PRO+Refrigerant+Leak+Detector&amp;qid=1694734698&amp;sr=8-28", "https://www.amazon.com/Elitech-WJL-6000S-Refrigerant-Condition-Indicator/dp/B083XRD6GN/ref=sr_1_28?keywords=Bacharach+H-10+PRO+Refrigerant+Leak+Detector&amp;qid=1694734698&amp;sr=8-28")</f>
        <v/>
      </c>
      <c r="F3238" t="inlineStr">
        <is>
          <t>B083XRD6GN</t>
        </is>
      </c>
      <c r="G3238">
        <f>_xlfn.IMAGE("https://edmondsonsupply.com/cdn/shop/products/featured-h-10-pro-refrigerant-leak-detector.jpg?v=1635555994")</f>
        <v/>
      </c>
      <c r="H3238">
        <f>_xlfn.IMAGE("https://m.media-amazon.com/images/I/618Hi-oVeCL._AC_UL320_.jpg")</f>
        <v/>
      </c>
      <c r="K3238" t="inlineStr">
        <is>
          <t>657.72</t>
        </is>
      </c>
      <c r="L3238" t="n">
        <v>21.99</v>
      </c>
      <c r="M3238" s="1" t="inlineStr">
        <is>
          <t>-96.66%</t>
        </is>
      </c>
      <c r="N3238" s="7" t="n">
        <v>90.03</v>
      </c>
      <c r="O3238" t="n">
        <v>4.1</v>
      </c>
      <c r="P3238" t="n">
        <v>434</v>
      </c>
      <c r="R3238" t="inlineStr">
        <is>
          <t>InStock</t>
        </is>
      </c>
      <c r="S3238" t="inlineStr">
        <is>
          <t>undefined</t>
        </is>
      </c>
      <c r="T3238" t="inlineStr">
        <is>
          <t>7354561102040</t>
        </is>
      </c>
    </row>
    <row r="3239" ht="87" customHeight="1">
      <c r="A3239" s="2">
        <f>HYPERLINK("https://edmondsonsupply.com/collections/hvac/products/fieldpiece-dr82-infrared-refrigerant-leak-detector", "https://edmondsonsupply.com/collections/hvac/products/fieldpiece-dr82-infrared-refrigerant-leak-detector")</f>
        <v/>
      </c>
      <c r="B3239" s="2">
        <f>HYPERLINK("https://edmondsonsupply.com/products/fieldpiece-dr82-infrared-refrigerant-leak-detector", "https://edmondsonsupply.com/products/fieldpiece-dr82-infrared-refrigerant-leak-detector")</f>
        <v/>
      </c>
      <c r="C3239" t="inlineStr">
        <is>
          <t>Fieldpiece DR82 Infrared Refrigerant Leak Detector</t>
        </is>
      </c>
      <c r="D3239" t="inlineStr">
        <is>
          <t>AC Adapter Compatible with Fieldpiece SRL2K7 Infrared Refrigerant Leak Detector DR82 Heated Diode Detectors RCA2 RWA2 SRL8 SRL2 Power Supply Cord Cable PS Wall Outlet Battery Charger</t>
        </is>
      </c>
      <c r="E3239" s="2">
        <f>HYPERLINK("https://www.amazon.com/Compatible-Fieldpiece-Infrared-Refrigerant-Detectors/dp/B09VFRYYHX/ref=sr_1_2?keywords=Fieldpiece+DR82+Infrared+Refrigerant+Leak+Detector&amp;qid=1694734641&amp;sr=8-2", "https://www.amazon.com/Compatible-Fieldpiece-Infrared-Refrigerant-Detectors/dp/B09VFRYYHX/ref=sr_1_2?keywords=Fieldpiece+DR82+Infrared+Refrigerant+Leak+Detector&amp;qid=1694734641&amp;sr=8-2")</f>
        <v/>
      </c>
      <c r="F3239" t="inlineStr">
        <is>
          <t>B09VFRYYHX</t>
        </is>
      </c>
      <c r="G3239">
        <f>_xlfn.IMAGE("https://edmondsonsupply.com/cdn/shop/products/DR82-Product-01-300dpi-scaled.jpg?v=1633031061")</f>
        <v/>
      </c>
      <c r="H3239">
        <f>_xlfn.IMAGE("https://m.media-amazon.com/images/I/51zwt7Fkn+L._AC_UL320_.jpg")</f>
        <v/>
      </c>
      <c r="K3239" t="inlineStr">
        <is>
          <t>476.85</t>
        </is>
      </c>
      <c r="L3239" t="n">
        <v>15.38</v>
      </c>
      <c r="M3239" s="1" t="inlineStr">
        <is>
          <t>-96.77%</t>
        </is>
      </c>
      <c r="N3239" s="7" t="n">
        <v>89.73999999999999</v>
      </c>
      <c r="O3239" t="n">
        <v>5</v>
      </c>
      <c r="P3239" t="n">
        <v>2</v>
      </c>
      <c r="R3239" t="inlineStr">
        <is>
          <t>InStock</t>
        </is>
      </c>
      <c r="S3239" t="inlineStr">
        <is>
          <t>561.0</t>
        </is>
      </c>
      <c r="T3239" t="inlineStr">
        <is>
          <t>6819628613805</t>
        </is>
      </c>
    </row>
    <row r="3240" ht="87" customHeight="1">
      <c r="A3240" s="2">
        <f>HYPERLINK("https://edmondsonsupply.com/collections/hvac/products/inficon-d-tek-stratus", "https://edmondsonsupply.com/collections/hvac/products/inficon-d-tek-stratus")</f>
        <v/>
      </c>
      <c r="B3240" s="2">
        <f>HYPERLINK("https://edmondsonsupply.com/products/inficon-d-tek-stratus", "https://edmondsonsupply.com/products/inficon-d-tek-stratus")</f>
        <v/>
      </c>
      <c r="C3240" t="inlineStr">
        <is>
          <t>Inficon D-TEK Stratus® Refrigerant Leak Detector and Portable Monitor</t>
        </is>
      </c>
      <c r="D3240" t="inlineStr">
        <is>
          <t>Inficon 712-707-G1 Replacement Filter Cartridges for D-TEK Stratus, D-TEK3 and D-TEK Select Refrigerant Leak Detector</t>
        </is>
      </c>
      <c r="E3240" s="2">
        <f>HYPERLINK("https://www.amazon.com/712-707-G1-Replacement-Cartridges-Refrigerant-Detector/dp/B0086AO5CU/ref=sr_1_3?keywords=Inficon+D-TEK+Stratus%C2%AE+Refrigerant+Leak+Detector+and+Portable+Monitor&amp;qid=1694734626&amp;sr=8-3", "https://www.amazon.com/712-707-G1-Replacement-Cartridges-Refrigerant-Detector/dp/B0086AO5CU/ref=sr_1_3?keywords=Inficon+D-TEK+Stratus%C2%AE+Refrigerant+Leak+Detector+and+Portable+Monitor&amp;qid=1694734626&amp;sr=8-3")</f>
        <v/>
      </c>
      <c r="F3240" t="inlineStr">
        <is>
          <t>B0086AO5CU</t>
        </is>
      </c>
      <c r="G3240">
        <f>_xlfn.IMAGE("https://edmondsonsupply.com/cdn/shop/products/stratus.png?v=1633030783")</f>
        <v/>
      </c>
      <c r="H3240">
        <f>_xlfn.IMAGE("https://m.media-amazon.com/images/I/81rHIWaKwnL._AC_UL320_.jpg")</f>
        <v/>
      </c>
      <c r="K3240" t="inlineStr">
        <is>
          <t>1024.99</t>
        </is>
      </c>
      <c r="L3240" t="n">
        <v>33</v>
      </c>
      <c r="M3240" s="1" t="inlineStr">
        <is>
          <t>-96.78%</t>
        </is>
      </c>
      <c r="N3240" s="7" t="n">
        <v>89.72</v>
      </c>
      <c r="O3240" t="n">
        <v>4.6</v>
      </c>
      <c r="P3240" t="n">
        <v>28</v>
      </c>
      <c r="R3240" t="inlineStr">
        <is>
          <t>InStock</t>
        </is>
      </c>
      <c r="S3240" t="inlineStr">
        <is>
          <t>1281.0</t>
        </is>
      </c>
      <c r="T3240" t="inlineStr">
        <is>
          <t>5973277999272</t>
        </is>
      </c>
    </row>
    <row r="3241" hidden="1" ht="15.75" customHeight="1">
      <c r="A3241" s="2">
        <f>HYPERLINK("https://edmondsonsupply.com/collections/hvac/products/fieldpiece-dr82-infrared-refrigerant-leak-detector", "https://edmondsonsupply.com/collections/hvac/products/fieldpiece-dr82-infrared-refrigerant-leak-detector")</f>
        <v/>
      </c>
      <c r="B3241" s="2">
        <f>HYPERLINK("https://edmondsonsupply.com/products/fieldpiece-dr82-infrared-refrigerant-leak-detector", "https://edmondsonsupply.com/products/fieldpiece-dr82-infrared-refrigerant-leak-detector")</f>
        <v/>
      </c>
      <c r="C3241" t="inlineStr">
        <is>
          <t>Fieldpiece DR82 Infrared Refrigerant Leak Detector</t>
        </is>
      </c>
      <c r="D3241" t="inlineStr">
        <is>
          <t>UpBright Car DC Adapter Compatible with Fieldpiece SRL2K7 Infrared Refrigerant Leak Detector DR82 Heated Diode Detectors RCA2 RWA2 SRL8 SRL2 Auto Vehicle Cigarette Lighter Power Supply Battery Charger</t>
        </is>
      </c>
      <c r="E3241" s="2">
        <f>HYPERLINK("https://www.amazon.com/Car-Fieldpiece-SRL2K7-Refrigerant-Power/dp/B09BNCCVYK/ref=sr_1_4?keywords=Fieldpiece+DR82+Infrared+Refrigerant+Leak+Detector&amp;qid=1694734641&amp;sr=8-4", "https://www.amazon.com/Car-Fieldpiece-SRL2K7-Refrigerant-Power/dp/B09BNCCVYK/ref=sr_1_4?keywords=Fieldpiece+DR82+Infrared+Refrigerant+Leak+Detector&amp;qid=1694734641&amp;sr=8-4")</f>
        <v/>
      </c>
      <c r="F3241" t="inlineStr">
        <is>
          <t>B09BNCCVYK</t>
        </is>
      </c>
      <c r="G3241">
        <f>_xludf.IMAGE("https://edmondsonsupply.com/cdn/shop/products/DR82-Product-01-300dpi-scaled.jpg?v=1633031061")</f>
        <v/>
      </c>
      <c r="H3241">
        <f>_xludf.IMAGE("https://m.media-amazon.com/images/I/51oaaeylwaL._AC_UL320_.jpg")</f>
        <v/>
      </c>
      <c r="K3241" t="inlineStr">
        <is>
          <t>476.85</t>
        </is>
      </c>
      <c r="L3241" t="n">
        <v>13.99</v>
      </c>
      <c r="M3241" s="1" t="inlineStr">
        <is>
          <t>-97.07%</t>
        </is>
      </c>
      <c r="N3241" s="1" t="n">
        <v>89.72</v>
      </c>
      <c r="O3241" t="n">
        <v>5</v>
      </c>
      <c r="P3241" t="n">
        <v>1</v>
      </c>
      <c r="R3241" t="inlineStr">
        <is>
          <t>InStock</t>
        </is>
      </c>
      <c r="S3241" t="inlineStr">
        <is>
          <t>561.0</t>
        </is>
      </c>
      <c r="T3241" t="inlineStr">
        <is>
          <t>6819628613805</t>
        </is>
      </c>
    </row>
    <row r="3242" ht="87" customHeight="1">
      <c r="A3242" s="2">
        <f>HYPERLINK("https://edmondsonsupply.com/collections/hvac/products/fluke-1587-fc-insulation-multimeter", "https://edmondsonsupply.com/collections/hvac/products/fluke-1587-fc-insulation-multimeter")</f>
        <v/>
      </c>
      <c r="B3242" s="2">
        <f>HYPERLINK("https://edmondsonsupply.com/products/fluke-1587-fc-insulation-multimeter", "https://edmondsonsupply.com/products/fluke-1587-fc-insulation-multimeter")</f>
        <v/>
      </c>
      <c r="C3242" t="inlineStr">
        <is>
          <t>Fluke 1587 FC Insulation Multimeter</t>
        </is>
      </c>
      <c r="D3242" t="inlineStr">
        <is>
          <t>RLSOCO Hard Case for FLUKE 1587 FC/1503/1507/1508 /1577 &amp; Works with Brymen BM869s Digital Megohmmeter Insulation Resistance Tester (Case has updated to have padding around)</t>
        </is>
      </c>
      <c r="E3242" s="2">
        <f>HYPERLINK("https://www.amazon.com/RLSOCO-Multimeter-Megohmmeter-Insulation-Resistance/dp/B086MC4V89/ref=sr_1_8?keywords=Fluke+1587+FC+Insulation+Multimeter&amp;qid=1694734664&amp;sr=8-8", "https://www.amazon.com/RLSOCO-Multimeter-Megohmmeter-Insulation-Resistance/dp/B086MC4V89/ref=sr_1_8?keywords=Fluke+1587+FC+Insulation+Multimeter&amp;qid=1694734664&amp;sr=8-8")</f>
        <v/>
      </c>
      <c r="F3242" t="inlineStr">
        <is>
          <t>B086MC4V89</t>
        </is>
      </c>
      <c r="G3242">
        <f>_xlfn.IMAGE("https://edmondsonsupply.com/cdn/shop/products/Fluke_1587_FC_True-rms_Insulation_Multimeter__1280x1006px_E_NR-20298.jpg?v=1633031188")</f>
        <v/>
      </c>
      <c r="H3242">
        <f>_xlfn.IMAGE("https://m.media-amazon.com/images/I/81t3qhimpSL._AC_UL320_.jpg")</f>
        <v/>
      </c>
      <c r="K3242" t="inlineStr">
        <is>
          <t>929.99</t>
        </is>
      </c>
      <c r="L3242" t="n">
        <v>23.99</v>
      </c>
      <c r="M3242" s="1" t="inlineStr">
        <is>
          <t>-97.42%</t>
        </is>
      </c>
      <c r="N3242" s="7" t="n">
        <v>89.63</v>
      </c>
      <c r="O3242" t="n">
        <v>4.4</v>
      </c>
      <c r="P3242" t="n">
        <v>69</v>
      </c>
      <c r="R3242" t="inlineStr">
        <is>
          <t>InStock</t>
        </is>
      </c>
      <c r="S3242" t="inlineStr">
        <is>
          <t>1038.99</t>
        </is>
      </c>
      <c r="T3242" t="inlineStr">
        <is>
          <t>6925453754541</t>
        </is>
      </c>
    </row>
    <row r="3243" ht="87" customHeight="1">
      <c r="A3243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43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43" t="inlineStr">
        <is>
          <t>Diablo Tools DMAPL4060 1/4 in. x 2 in. x 4 in. Rebar Demon™ SDS‑Plus 4‑Cutter Full Carbide Head Hammer Bit</t>
        </is>
      </c>
      <c r="D3243" t="inlineStr">
        <is>
          <t>Diablo by Freud DMAPL4160-P25 3/8 in. x 10 in. x 12 in. Rebar Demon SDS-Plus 4-Cutter Full Carbide Head Hammer Bit (25-Pack)</t>
        </is>
      </c>
      <c r="E3243" s="2" t="n"/>
      <c r="F3243" t="inlineStr">
        <is>
          <t>B089LKWCD1</t>
        </is>
      </c>
      <c r="G3243">
        <f>_xlfn.IMAGE("https://edmondsonsupply.com/cdn/shop/products/4060.webp?v=1647637028")</f>
        <v/>
      </c>
      <c r="H3243">
        <f>_xlfn.IMAGE("https://m.media-amazon.com/images/I/61MHnm3+2bL._AC_UL320_.jpg")</f>
        <v/>
      </c>
      <c r="K3243" t="inlineStr">
        <is>
          <t>3.47</t>
        </is>
      </c>
      <c r="L3243" t="n">
        <v>180.97</v>
      </c>
      <c r="M3243" s="1" t="inlineStr">
        <is>
          <t>5,115.27%</t>
        </is>
      </c>
      <c r="N3243" s="7" t="n">
        <v>89.55</v>
      </c>
      <c r="O3243" t="n">
        <v>5</v>
      </c>
      <c r="P3243" t="n">
        <v>1</v>
      </c>
      <c r="R3243" t="inlineStr">
        <is>
          <t>InStock</t>
        </is>
      </c>
      <c r="S3243" t="inlineStr">
        <is>
          <t>6.0</t>
        </is>
      </c>
      <c r="T3243" t="inlineStr">
        <is>
          <t>7639203807448</t>
        </is>
      </c>
    </row>
    <row r="3244" ht="87" customHeight="1">
      <c r="A3244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44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44" t="inlineStr">
        <is>
          <t>Diablo Tools DMAPL4030 3/16 in. x 2 in. x 4 in. Rebar Demon™ SDS-Plus 4-Cutter Full Carbide Head Hammer Bit</t>
        </is>
      </c>
      <c r="D3244" t="inlineStr">
        <is>
          <t>Diablo by Freud DMAPL4160-P25 3/8 in. x 10 in. x 12 in. Rebar Demon SDS-Plus 4-Cutter Full Carbide Head Hammer Bit (25-Pack)</t>
        </is>
      </c>
      <c r="E3244" s="2">
        <f>HYPERLINK("https://www.amazon.com/Diablo-Freud-DMAPL4160-P25-SDS-Plus-4-Cutter/dp/B089LKWCD1/ref=sr_1_33?keywords=Diablo+Tools+DMAPL4030+3%2F16+in.+x+2+in.+x+4+in.+Rebar+Demon%E2%84%A2+SDS-Plus+4-Cutter+Full+Carbide+Head+Hammer+Bit&amp;qid=1694735295&amp;sr=8-33", "https://www.amazon.com/Diablo-Freud-DMAPL4160-P25-SDS-Plus-4-Cutter/dp/B089LKWCD1/ref=sr_1_33?keywords=Diablo+Tools+DMAPL4030+3%2F16+in.+x+2+in.+x+4+in.+Rebar+Demon%E2%84%A2+SDS-Plus+4-Cutter+Full+Carbide+Head+Hammer+Bit&amp;qid=1694735295&amp;sr=8-33")</f>
        <v/>
      </c>
      <c r="F3244" t="inlineStr">
        <is>
          <t>B089LKWCD1</t>
        </is>
      </c>
      <c r="G3244">
        <f>_xlfn.IMAGE("https://edmondsonsupply.com/cdn/shop/products/DMAPL4030.jpg?v=1633030357")</f>
        <v/>
      </c>
      <c r="H3244">
        <f>_xlfn.IMAGE("https://m.media-amazon.com/images/I/61MHnm3+2bL._AC_UL320_.jpg")</f>
        <v/>
      </c>
      <c r="K3244" t="inlineStr">
        <is>
          <t>3.97</t>
        </is>
      </c>
      <c r="L3244" t="n">
        <v>180.97</v>
      </c>
      <c r="M3244" s="1" t="inlineStr">
        <is>
          <t>4,458.44%</t>
        </is>
      </c>
      <c r="N3244" s="7" t="n">
        <v>89.17</v>
      </c>
      <c r="O3244" t="n">
        <v>5</v>
      </c>
      <c r="P3244" t="n">
        <v>1</v>
      </c>
      <c r="R3244" t="inlineStr">
        <is>
          <t>InStock</t>
        </is>
      </c>
      <c r="S3244" t="inlineStr">
        <is>
          <t>5.51</t>
        </is>
      </c>
      <c r="T3244" t="inlineStr">
        <is>
          <t>5286322012328</t>
        </is>
      </c>
    </row>
    <row r="3245" ht="87" customHeight="1">
      <c r="A3245" s="2">
        <f>HYPERLINK("https://edmondsonsupply.com/collections/electricians-tools/products/greenlee-dtapkit-drill-tap-kit", "https://edmondsonsupply.com/collections/electricians-tools/products/greenlee-dtapkit-drill-tap-kit")</f>
        <v/>
      </c>
      <c r="B3245" s="2">
        <f>HYPERLINK("https://edmondsonsupply.com/products/greenlee-dtapkit-drill-tap-kit", "https://edmondsonsupply.com/products/greenlee-dtapkit-drill-tap-kit")</f>
        <v/>
      </c>
      <c r="C3245" t="inlineStr">
        <is>
          <t>Greenlee DTAPKIT Drill/Tap Kit</t>
        </is>
      </c>
      <c r="D3245" t="inlineStr">
        <is>
          <t>Greenlee 7310SB 11-Ton Hydraulic Knockout Punch Kit with Hand Pump and Slug-Buster, 1/2" - 4" &amp; DTAPKIT Drill/Tap Kit for Metal, One-Step Drilling, Tapping, and Deburring/Countersinking Set</t>
        </is>
      </c>
      <c r="E3245" s="2">
        <f>HYPERLINK("https://www.amazon.com/Greenlee-7310SB-Hydraulic-Knockout-Slug-Buster/dp/B0CB15LMPV/ref=sr_1_5?keywords=Greenlee+DTAPKIT+Drill%2FTap+Kit&amp;qid=1694735397&amp;sr=8-5", "https://www.amazon.com/Greenlee-7310SB-Hydraulic-Knockout-Slug-Buster/dp/B0CB15LMPV/ref=sr_1_5?keywords=Greenlee+DTAPKIT+Drill%2FTap+Kit&amp;qid=1694735397&amp;sr=8-5")</f>
        <v/>
      </c>
      <c r="F3245" t="inlineStr">
        <is>
          <t>B0CB15LMPV</t>
        </is>
      </c>
      <c r="G3245">
        <f>_xlfn.IMAGE("https://edmondsonsupply.com/cdn/shop/products/DTAPKIT_ip_72dpi.jpg?v=1587145646")</f>
        <v/>
      </c>
      <c r="H3245">
        <f>_xlfn.IMAGE("https://m.media-amazon.com/images/I/51ZS+Rn3ooL._AC_UL320_.jpg")</f>
        <v/>
      </c>
      <c r="K3245" t="inlineStr">
        <is>
          <t>46.99</t>
        </is>
      </c>
      <c r="L3245" t="n">
        <v>1824.92</v>
      </c>
      <c r="M3245" s="1" t="inlineStr">
        <is>
          <t>3,783.63%</t>
        </is>
      </c>
      <c r="N3245" s="7" t="n">
        <v>88.93000000000001</v>
      </c>
      <c r="O3245" t="n">
        <v>4.6</v>
      </c>
      <c r="P3245" t="n">
        <v>298</v>
      </c>
      <c r="R3245" t="inlineStr">
        <is>
          <t>InStock</t>
        </is>
      </c>
      <c r="S3245" t="inlineStr">
        <is>
          <t>50.0</t>
        </is>
      </c>
      <c r="T3245" t="inlineStr">
        <is>
          <t>4395595268196</t>
        </is>
      </c>
    </row>
    <row r="3246" ht="87" customHeight="1">
      <c r="A3246" s="2">
        <f>HYPERLINK("https://edmondsonsupply.com/collections/electricians-tools/products/klein-tools-31874-replacement-hole-cutter-pilot-bit", "https://edmondsonsupply.com/collections/electricians-tools/products/klein-tools-31874-replacement-hole-cutter-pilot-bit")</f>
        <v/>
      </c>
      <c r="B3246" s="2">
        <f>HYPERLINK("https://edmondsonsupply.com/products/klein-tools-31874-replacement-hole-cutter-pilot-bit", "https://edmondsonsupply.com/products/klein-tools-31874-replacement-hole-cutter-pilot-bit")</f>
        <v/>
      </c>
      <c r="C3246" t="inlineStr">
        <is>
          <t>Klein Tools 31874 Replacement Hole Cutter Pilot Bit</t>
        </is>
      </c>
      <c r="D3246" t="inlineStr">
        <is>
          <t>Klein Tools 31873 Heavy Duty Hole Cutter Kit, Includes Carbide Hole Cutters and 2 Pilot Bits in Rust-Proof Molded Plastic Case, 8-Piece</t>
        </is>
      </c>
      <c r="E3246" s="2">
        <f>HYPERLINK("https://www.amazon.com/Electricians-8-Piece-Klein-Tools-31873/dp/B003CCRCM2/ref=sr_1_6?keywords=Klein+Tools+31874+Replacement+Hole+Cutter+Pilot+Bit&amp;qid=1694735351&amp;sr=8-6", "https://www.amazon.com/Electricians-8-Piece-Klein-Tools-31873/dp/B003CCRCM2/ref=sr_1_6?keywords=Klein+Tools+31874+Replacement+Hole+Cutter+Pilot+Bit&amp;qid=1694735351&amp;sr=8-6")</f>
        <v/>
      </c>
      <c r="F3246" t="inlineStr">
        <is>
          <t>B003CCRCM2</t>
        </is>
      </c>
      <c r="G3246">
        <f>_xlfn.IMAGE("https://edmondsonsupply.com/cdn/shop/products/31874_b.jpg?v=1674494632")</f>
        <v/>
      </c>
      <c r="H3246">
        <f>_xlfn.IMAGE("https://m.media-amazon.com/images/I/61G-oQvGZTL._AC_UL320_.jpg")</f>
        <v/>
      </c>
      <c r="K3246" t="inlineStr">
        <is>
          <t>7.99</t>
        </is>
      </c>
      <c r="L3246" t="n">
        <v>279.99</v>
      </c>
      <c r="M3246" s="1" t="inlineStr">
        <is>
          <t>3,404.26%</t>
        </is>
      </c>
      <c r="N3246" s="7" t="n">
        <v>88.79000000000001</v>
      </c>
      <c r="O3246" t="n">
        <v>4.6</v>
      </c>
      <c r="P3246" t="n">
        <v>64</v>
      </c>
      <c r="R3246" t="inlineStr">
        <is>
          <t>InStock</t>
        </is>
      </c>
      <c r="S3246" t="inlineStr">
        <is>
          <t>10.54</t>
        </is>
      </c>
      <c r="T3246" t="inlineStr">
        <is>
          <t>4440725323876</t>
        </is>
      </c>
    </row>
    <row r="3247" ht="87" customHeight="1">
      <c r="A3247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47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47" t="inlineStr">
        <is>
          <t>Diablo Tools DMAPL4060 1/4 in. x 2 in. x 4 in. Rebar Demon™ SDS‑Plus 4‑Cutter Full Carbide Head Hammer Bit</t>
        </is>
      </c>
      <c r="D3247" t="inlineStr">
        <is>
          <t>Diablo DMAMX1230 1 in. x 24 in. x 29 in. Rebar Demon™ SDS-Max 4-Cutter Full Carbide Head Hammer Bit</t>
        </is>
      </c>
      <c r="E3247" s="2">
        <f>HYPERLINK("https://www.amazon.com/Diablo-DMAMX1230-SDS-Max-4-Cutter-Carbide/dp/B089KWMBLT/ref=sr_1_46?keywords=Diablo+Tools+DMAPL4060+1%2F4+in.+x+2+in.+x+4+in.+Rebar+Demon%E2%84%A2+SDS%E2%80%91Plus+4%E2%80%91Cutter+Full+Carbide+Head+Hammer+Bit&amp;qid=1694735165&amp;sr=8-46", "https://www.amazon.com/Diablo-DMAMX1230-SDS-Max-4-Cutter-Carbide/dp/B089KWMBLT/ref=sr_1_46?keywords=Diablo+Tools+DMAPL4060+1%2F4+in.+x+2+in.+x+4+in.+Rebar+Demon%E2%84%A2+SDS%E2%80%91Plus+4%E2%80%91Cutter+Full+Carbide+Head+Hammer+Bit&amp;qid=1694735165&amp;sr=8-46")</f>
        <v/>
      </c>
      <c r="F3247" t="inlineStr">
        <is>
          <t>B089KWMBLT</t>
        </is>
      </c>
      <c r="G3247">
        <f>_xlfn.IMAGE("https://edmondsonsupply.com/cdn/shop/products/4060.webp?v=1647637028")</f>
        <v/>
      </c>
      <c r="H3247">
        <f>_xlfn.IMAGE("https://m.media-amazon.com/images/I/61B-wgZVzML._AC_UL320_.jpg")</f>
        <v/>
      </c>
      <c r="K3247" t="inlineStr">
        <is>
          <t>3.47</t>
        </is>
      </c>
      <c r="L3247" t="n">
        <v>109.99</v>
      </c>
      <c r="M3247" s="1" t="inlineStr">
        <is>
          <t>3,069.74%</t>
        </is>
      </c>
      <c r="N3247" s="7" t="n">
        <v>88.51000000000001</v>
      </c>
      <c r="O3247" t="n">
        <v>4.6</v>
      </c>
      <c r="P3247" t="n">
        <v>3</v>
      </c>
      <c r="R3247" t="inlineStr">
        <is>
          <t>InStock</t>
        </is>
      </c>
      <c r="S3247" t="inlineStr">
        <is>
          <t>6.0</t>
        </is>
      </c>
      <c r="T3247" t="inlineStr">
        <is>
          <t>7639203807448</t>
        </is>
      </c>
    </row>
    <row r="3248" ht="87" customHeight="1">
      <c r="A3248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248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248" t="inlineStr">
        <is>
          <t>Diablo Tools DMAPL4110 5/16 in. x 4 in. x 6 in. Rebar Demon™ SDS‑Plus 4‑Cutter Full Carbide Head Hammer Bit</t>
        </is>
      </c>
      <c r="D3248" t="inlineStr">
        <is>
          <t>Diablo by Freud DMAPL4160-P25 3/8 in. x 10 in. x 12 in. Rebar Demon SDS-Plus 4-Cutter Full Carbide Head Hammer Bit (25-Pack)</t>
        </is>
      </c>
      <c r="E3248" s="2" t="n"/>
      <c r="F3248" t="inlineStr">
        <is>
          <t>B089LKWCD1</t>
        </is>
      </c>
      <c r="G3248">
        <f>_xlfn.IMAGE("https://edmondsonsupply.com/cdn/shop/products/DMAPL4110_Main-Image20200701.png?v=1633030426")</f>
        <v/>
      </c>
      <c r="H3248">
        <f>_xlfn.IMAGE("https://m.media-amazon.com/images/I/61MHnm3+2bL._AC_UL320_.jpg")</f>
        <v/>
      </c>
      <c r="K3248" t="inlineStr">
        <is>
          <t>5.97</t>
        </is>
      </c>
      <c r="L3248" t="n">
        <v>180.97</v>
      </c>
      <c r="M3248" s="1" t="inlineStr">
        <is>
          <t>2,931.32%</t>
        </is>
      </c>
      <c r="N3248" s="7" t="n">
        <v>88.36</v>
      </c>
      <c r="O3248" t="n">
        <v>5</v>
      </c>
      <c r="P3248" t="n">
        <v>1</v>
      </c>
      <c r="R3248" t="inlineStr">
        <is>
          <t>InStock</t>
        </is>
      </c>
      <c r="S3248" t="inlineStr">
        <is>
          <t>8.44</t>
        </is>
      </c>
      <c r="T3248" t="inlineStr">
        <is>
          <t>5326873100456</t>
        </is>
      </c>
    </row>
    <row r="3249" ht="87" customHeight="1">
      <c r="A3249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3249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3249" t="inlineStr">
        <is>
          <t>Diablo Tools DMAPL4050 3/16 in. x 6 in. x 8 in. Rebar Demon™ SDS‑Plus 4‑Cutter Full Carbide Head Hammer Drill Bit</t>
        </is>
      </c>
      <c r="D3249" t="inlineStr">
        <is>
          <t>Diablo by Freud DMAPL4160-P25 3/8 in. x 10 in. x 12 in. Rebar Demon SDS-Plus 4-Cutter Full Carbide Head Hammer Bit (25-Pack)</t>
        </is>
      </c>
      <c r="E3249" s="2" t="n"/>
      <c r="F3249" t="inlineStr">
        <is>
          <t>B089LKWCD1</t>
        </is>
      </c>
      <c r="G3249">
        <f>_xlfn.IMAGE("https://edmondsonsupply.com/cdn/shop/products/DMAPL4050_Main-Image20200701.png?v=1633030632")</f>
        <v/>
      </c>
      <c r="H3249">
        <f>_xlfn.IMAGE("https://m.media-amazon.com/images/I/61MHnm3+2bL._AC_UL320_.jpg")</f>
        <v/>
      </c>
      <c r="K3249" t="inlineStr">
        <is>
          <t>5.97</t>
        </is>
      </c>
      <c r="L3249" t="n">
        <v>180.97</v>
      </c>
      <c r="M3249" s="1" t="inlineStr">
        <is>
          <t>2,931.32%</t>
        </is>
      </c>
      <c r="N3249" s="7" t="n">
        <v>88.36</v>
      </c>
      <c r="O3249" t="n">
        <v>5</v>
      </c>
      <c r="P3249" t="n">
        <v>1</v>
      </c>
      <c r="R3249" t="inlineStr">
        <is>
          <t>InStock</t>
        </is>
      </c>
      <c r="S3249" t="inlineStr">
        <is>
          <t>8.82</t>
        </is>
      </c>
      <c r="T3249" t="inlineStr">
        <is>
          <t>5701590188200</t>
        </is>
      </c>
    </row>
    <row r="3250" ht="87" customHeight="1">
      <c r="A3250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50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50" t="inlineStr">
        <is>
          <t>Diablo Tools DMAPL4060 1/4 in. x 2 in. x 4 in. Rebar Demon™ SDS‑Plus 4‑Cutter Full Carbide Head Hammer Bit</t>
        </is>
      </c>
      <c r="D3250" t="inlineStr">
        <is>
          <t>Diablo by Freud DMAMX1240 1 in. x 31 in. x 36 in. Rebar Demon SDS-Max 4-Cutter Full Carbide Head Hammer Bit</t>
        </is>
      </c>
      <c r="E3250" s="2">
        <f>HYPERLINK("https://www.amazon.com/Diablo-SDS-Max-4-Cutter-Carbide-Hammer/dp/B089KWF9R4/ref=sr_1_42?keywords=Diablo+Tools+DMAPL4060+1%2F4+in.+x+2+in.+x+4+in.+Rebar+Demon%E2%84%A2+SDS%E2%80%91Plus+4%E2%80%91Cutter+Full+Carbide+Head+Hammer+Bit&amp;qid=1694735165&amp;sr=8-42", "https://www.amazon.com/Diablo-SDS-Max-4-Cutter-Carbide-Hammer/dp/B089KWF9R4/ref=sr_1_42?keywords=Diablo+Tools+DMAPL4060+1%2F4+in.+x+2+in.+x+4+in.+Rebar+Demon%E2%84%A2+SDS%E2%80%91Plus+4%E2%80%91Cutter+Full+Carbide+Head+Hammer+Bit&amp;qid=1694735165&amp;sr=8-42")</f>
        <v/>
      </c>
      <c r="F3250" t="inlineStr">
        <is>
          <t>B089KWF9R4</t>
        </is>
      </c>
      <c r="G3250">
        <f>_xlfn.IMAGE("https://edmondsonsupply.com/cdn/shop/products/4060.webp?v=1647637028")</f>
        <v/>
      </c>
      <c r="H3250">
        <f>_xlfn.IMAGE("https://m.media-amazon.com/images/I/61UhVlNC+9L._AC_UL320_.jpg")</f>
        <v/>
      </c>
      <c r="K3250" t="inlineStr">
        <is>
          <t>3.47</t>
        </is>
      </c>
      <c r="L3250" t="n">
        <v>100</v>
      </c>
      <c r="M3250" s="1" t="inlineStr">
        <is>
          <t>2,781.84%</t>
        </is>
      </c>
      <c r="N3250" s="7" t="n">
        <v>88.20999999999999</v>
      </c>
      <c r="O3250" t="n">
        <v>5</v>
      </c>
      <c r="P3250" t="n">
        <v>3</v>
      </c>
      <c r="R3250" t="inlineStr">
        <is>
          <t>InStock</t>
        </is>
      </c>
      <c r="S3250" t="inlineStr">
        <is>
          <t>6.0</t>
        </is>
      </c>
      <c r="T3250" t="inlineStr">
        <is>
          <t>7639203807448</t>
        </is>
      </c>
    </row>
    <row r="3251" ht="87" customHeight="1">
      <c r="A3251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51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51" t="inlineStr">
        <is>
          <t>Diablo Tools DMAPL4060 1/4 in. x 2 in. x 4 in. Rebar Demon™ SDS‑Plus 4‑Cutter Full Carbide Head Hammer Bit</t>
        </is>
      </c>
      <c r="D3251" t="inlineStr">
        <is>
          <t>Diablo by Freud DMAPL4180-P25 1/2 in. x 4 in. x 6 in. Rebar Demon SDS-Plus 4-Cutter Full Carbide Head Hammer Bit (25-Pack) Multi, One Size</t>
        </is>
      </c>
      <c r="E3251" s="2">
        <f>HYPERLINK("https://www.amazon.com/Diablo-Rebar-4-Cutter-Carbide-Hammer/dp/B089LGWV7F/ref=sr_1_8?keywords=Diablo+Tools+DMAPL4060+1%2F4+in.+x+2+in.+x+4+in.+Rebar+Demon%E2%84%A2+SDS%E2%80%91Plus+4%E2%80%91Cutter+Full+Carbide+Head+Hammer+Bit&amp;qid=1694735165&amp;sr=8-8", "https://www.amazon.com/Diablo-Rebar-4-Cutter-Carbide-Hammer/dp/B089LGWV7F/ref=sr_1_8?keywords=Diablo+Tools+DMAPL4060+1%2F4+in.+x+2+in.+x+4+in.+Rebar+Demon%E2%84%A2+SDS%E2%80%91Plus+4%E2%80%91Cutter+Full+Carbide+Head+Hammer+Bit&amp;qid=1694735165&amp;sr=8-8")</f>
        <v/>
      </c>
      <c r="F3251" t="inlineStr">
        <is>
          <t>B089LGWV7F</t>
        </is>
      </c>
      <c r="G3251">
        <f>_xlfn.IMAGE("https://edmondsonsupply.com/cdn/shop/products/4060.webp?v=1647637028")</f>
        <v/>
      </c>
      <c r="H3251">
        <f>_xlfn.IMAGE("https://m.media-amazon.com/images/I/61q9iw+mKpL._AC_UL320_.jpg")</f>
        <v/>
      </c>
      <c r="K3251" t="inlineStr">
        <is>
          <t>3.47</t>
        </is>
      </c>
      <c r="L3251" t="n">
        <v>99.98999999999999</v>
      </c>
      <c r="M3251" s="1" t="inlineStr">
        <is>
          <t>2,781.56%</t>
        </is>
      </c>
      <c r="N3251" s="7" t="n">
        <v>88.20999999999999</v>
      </c>
      <c r="O3251" t="n">
        <v>5</v>
      </c>
      <c r="P3251" t="n">
        <v>2</v>
      </c>
      <c r="R3251" t="inlineStr">
        <is>
          <t>InStock</t>
        </is>
      </c>
      <c r="S3251" t="inlineStr">
        <is>
          <t>6.0</t>
        </is>
      </c>
      <c r="T3251" t="inlineStr">
        <is>
          <t>7639203807448</t>
        </is>
      </c>
    </row>
    <row r="3252" ht="87" customHeight="1">
      <c r="A3252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252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252" t="inlineStr">
        <is>
          <t>Diablo Tools DMAPL4010 5/32 in. x 2 in. x 4 in. Rebar Demon™ SDS-Plus 4-Cutter Full Carbide Head Hammer Bit</t>
        </is>
      </c>
      <c r="D3252" t="inlineStr">
        <is>
          <t>Diablo by Freud DMAPL4160-P25 3/8 in. x 10 in. x 12 in. Rebar Demon SDS-Plus 4-Cutter Full Carbide Head Hammer Bit (25-Pack)</t>
        </is>
      </c>
      <c r="E3252" s="2">
        <f>HYPERLINK("https://www.amazon.com/Diablo-Freud-DMAPL4160-P25-SDS-Plus-4-Cutter/dp/B089LKWCD1/ref=sr_1_30?keywords=Diablo+Tools+DMAPL4010+5%2F32+in.+x+2+in.+x+4+in.+Rebar+Demon%E2%84%A2+SDS-Plus+4-Cutter+Full+Carbide+Head+Hammer+Bit&amp;qid=1694735296&amp;sr=8-30", "https://www.amazon.com/Diablo-Freud-DMAPL4160-P25-SDS-Plus-4-Cutter/dp/B089LKWCD1/ref=sr_1_30?keywords=Diablo+Tools+DMAPL4010+5%2F32+in.+x+2+in.+x+4+in.+Rebar+Demon%E2%84%A2+SDS-Plus+4-Cutter+Full+Carbide+Head+Hammer+Bit&amp;qid=1694735296&amp;sr=8-30")</f>
        <v/>
      </c>
      <c r="F3252" t="inlineStr">
        <is>
          <t>B089LKWCD1</t>
        </is>
      </c>
      <c r="G3252">
        <f>_xlfn.IMAGE("https://edmondsonsupply.com/cdn/shop/products/DMAPL4010.jpg?v=1633030357")</f>
        <v/>
      </c>
      <c r="H3252">
        <f>_xlfn.IMAGE("https://m.media-amazon.com/images/I/61MHnm3+2bL._AC_UL320_.jpg")</f>
        <v/>
      </c>
      <c r="K3252" t="inlineStr">
        <is>
          <t>6.48</t>
        </is>
      </c>
      <c r="L3252" t="n">
        <v>180.97</v>
      </c>
      <c r="M3252" s="1" t="inlineStr">
        <is>
          <t>2,692.75%</t>
        </is>
      </c>
      <c r="N3252" s="7" t="n">
        <v>87.84999999999999</v>
      </c>
      <c r="O3252" t="n">
        <v>5</v>
      </c>
      <c r="P3252" t="n">
        <v>1</v>
      </c>
      <c r="R3252" t="inlineStr">
        <is>
          <t>InStock</t>
        </is>
      </c>
      <c r="S3252" t="inlineStr">
        <is>
          <t>10.3</t>
        </is>
      </c>
      <c r="T3252" t="inlineStr">
        <is>
          <t>5286308380840</t>
        </is>
      </c>
    </row>
    <row r="3253" ht="87" customHeight="1">
      <c r="A3253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53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53" t="inlineStr">
        <is>
          <t>Diablo Tools DMAPL4030 3/16 in. x 2 in. x 4 in. Rebar Demon™ SDS-Plus 4-Cutter Full Carbide Head Hammer Bit</t>
        </is>
      </c>
      <c r="D3253" t="inlineStr">
        <is>
          <t>Diablo DMAMX1230 1 in. x 24 in. x 29 in. Rebar Demon™ SDS-Max 4-Cutter Full Carbide Head Hammer Bit</t>
        </is>
      </c>
      <c r="E3253" s="2">
        <f>HYPERLINK("https://www.amazon.com/Diablo-DMAMX1230-SDS-Max-4-Cutter-Carbide/dp/B089KWMBLT/ref=sr_1_46?keywords=Diablo+Tools+DMAPL4030+3%2F16+in.+x+2+in.+x+4+in.+Rebar+Demon%E2%84%A2+SDS-Plus+4-Cutter+Full+Carbide+Head+Hammer+Bit&amp;qid=1694735295&amp;sr=8-46", "https://www.amazon.com/Diablo-DMAMX1230-SDS-Max-4-Cutter-Carbide/dp/B089KWMBLT/ref=sr_1_46?keywords=Diablo+Tools+DMAPL4030+3%2F16+in.+x+2+in.+x+4+in.+Rebar+Demon%E2%84%A2+SDS-Plus+4-Cutter+Full+Carbide+Head+Hammer+Bit&amp;qid=1694735295&amp;sr=8-46")</f>
        <v/>
      </c>
      <c r="F3253" t="inlineStr">
        <is>
          <t>B089KWMBLT</t>
        </is>
      </c>
      <c r="G3253">
        <f>_xlfn.IMAGE("https://edmondsonsupply.com/cdn/shop/products/DMAPL4030.jpg?v=1633030357")</f>
        <v/>
      </c>
      <c r="H3253">
        <f>_xlfn.IMAGE("https://m.media-amazon.com/images/I/61B-wgZVzML._AC_UL320_.jpg")</f>
        <v/>
      </c>
      <c r="K3253" t="inlineStr">
        <is>
          <t>3.97</t>
        </is>
      </c>
      <c r="L3253" t="n">
        <v>109.99</v>
      </c>
      <c r="M3253" s="1" t="inlineStr">
        <is>
          <t>2,670.53%</t>
        </is>
      </c>
      <c r="N3253" s="7" t="n">
        <v>87.66</v>
      </c>
      <c r="O3253" t="n">
        <v>4.6</v>
      </c>
      <c r="P3253" t="n">
        <v>3</v>
      </c>
      <c r="R3253" t="inlineStr">
        <is>
          <t>InStock</t>
        </is>
      </c>
      <c r="S3253" t="inlineStr">
        <is>
          <t>5.51</t>
        </is>
      </c>
      <c r="T3253" t="inlineStr">
        <is>
          <t>5286322012328</t>
        </is>
      </c>
    </row>
    <row r="3254" ht="87" customHeight="1">
      <c r="A3254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254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254" t="inlineStr">
        <is>
          <t>Klein Tools 630-3/8 3/8-Inch Nut Driver with 3-Inch Hollow Shaft</t>
        </is>
      </c>
      <c r="D3254" t="inlineStr">
        <is>
          <t>Klein Tools 33524 Tool Kit, 1000V Insulated Nut Driver Set, Sizes 3/16, 1/4, 5/16, 11/32, 3/8,7/16,1/2,9/16,5/8-Inch, with Case, 9-Piece</t>
        </is>
      </c>
      <c r="E3254" s="2">
        <f>HYPERLINK("https://www.amazon.com/Insulated-9-Piece-Klein-Tools-33524/dp/B000MKIR9E/ref=sr_1_40?keywords=Klein+Tools+630-3%2F8+3%2F8-Inch+Nut+Driver+with+3-Inch+Hollow+Shaft&amp;qid=1694735236&amp;sr=8-40", "https://www.amazon.com/Insulated-9-Piece-Klein-Tools-33524/dp/B000MKIR9E/ref=sr_1_40?keywords=Klein+Tools+630-3%2F8+3%2F8-Inch+Nut+Driver+with+3-Inch+Hollow+Shaft&amp;qid=1694735236&amp;sr=8-40")</f>
        <v/>
      </c>
      <c r="F3254" t="inlineStr">
        <is>
          <t>B000MKIR9E</t>
        </is>
      </c>
      <c r="G3254">
        <f>_xlfn.IMAGE("https://edmondsonsupply.com/cdn/shop/products/630-1-2_e23f9fbd-a282-44d7-b743-2cfe0f84edfa.jpg?v=1633030906")</f>
        <v/>
      </c>
      <c r="H3254">
        <f>_xlfn.IMAGE("https://m.media-amazon.com/images/I/71+Db525CfL._AC_UL320_.jpg")</f>
        <v/>
      </c>
      <c r="K3254" t="inlineStr">
        <is>
          <t>8.99</t>
        </is>
      </c>
      <c r="L3254" t="n">
        <v>229.99</v>
      </c>
      <c r="M3254" s="1" t="inlineStr">
        <is>
          <t>2,458.29%</t>
        </is>
      </c>
      <c r="N3254" s="7" t="n">
        <v>87.64</v>
      </c>
      <c r="O3254" t="n">
        <v>4.4</v>
      </c>
      <c r="P3254" t="n">
        <v>26</v>
      </c>
      <c r="R3254" t="inlineStr">
        <is>
          <t>InStock</t>
        </is>
      </c>
      <c r="S3254" t="inlineStr">
        <is>
          <t>11.74</t>
        </is>
      </c>
      <c r="T3254" t="inlineStr">
        <is>
          <t>6244382376109</t>
        </is>
      </c>
    </row>
    <row r="3255" ht="87" customHeight="1">
      <c r="A3255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55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55" t="inlineStr">
        <is>
          <t>Diablo Tools DMAPL4030 3/16 in. x 2 in. x 4 in. Rebar Demon™ SDS-Plus 4-Cutter Full Carbide Head Hammer Bit</t>
        </is>
      </c>
      <c r="D3255" t="inlineStr">
        <is>
          <t>Diablo by Freud DMAPL4180-P25 1/2 in. x 4 in. x 6 in. Rebar Demon SDS-Plus 4-Cutter Full Carbide Head Hammer Bit (25-Pack) Multi, One Size</t>
        </is>
      </c>
      <c r="E3255" s="2">
        <f>HYPERLINK("https://www.amazon.com/Diablo-Rebar-4-Cutter-Carbide-Hammer/dp/B089LGWV7F/ref=sr_1_9?keywords=Diablo+Tools+DMAPL4030+3%2F16+in.+x+2+in.+x+4+in.+Rebar+Demon%E2%84%A2+SDS-Plus+4-Cutter+Full+Carbide+Head+Hammer+Bit&amp;qid=1694735295&amp;sr=8-9", "https://www.amazon.com/Diablo-Rebar-4-Cutter-Carbide-Hammer/dp/B089LGWV7F/ref=sr_1_9?keywords=Diablo+Tools+DMAPL4030+3%2F16+in.+x+2+in.+x+4+in.+Rebar+Demon%E2%84%A2+SDS-Plus+4-Cutter+Full+Carbide+Head+Hammer+Bit&amp;qid=1694735295&amp;sr=8-9")</f>
        <v/>
      </c>
      <c r="F3255" t="inlineStr">
        <is>
          <t>B089LGWV7F</t>
        </is>
      </c>
      <c r="G3255">
        <f>_xlfn.IMAGE("https://edmondsonsupply.com/cdn/shop/products/DMAPL4030.jpg?v=1633030357")</f>
        <v/>
      </c>
      <c r="H3255">
        <f>_xlfn.IMAGE("https://m.media-amazon.com/images/I/61q9iw+mKpL._AC_UL320_.jpg")</f>
        <v/>
      </c>
      <c r="K3255" t="inlineStr">
        <is>
          <t>3.97</t>
        </is>
      </c>
      <c r="L3255" t="n">
        <v>99.98999999999999</v>
      </c>
      <c r="M3255" s="1" t="inlineStr">
        <is>
          <t>2,418.64%</t>
        </is>
      </c>
      <c r="N3255" s="7" t="n">
        <v>87.62</v>
      </c>
      <c r="O3255" t="n">
        <v>5</v>
      </c>
      <c r="P3255" t="n">
        <v>2</v>
      </c>
      <c r="R3255" t="inlineStr">
        <is>
          <t>InStock</t>
        </is>
      </c>
      <c r="S3255" t="inlineStr">
        <is>
          <t>5.51</t>
        </is>
      </c>
      <c r="T3255" t="inlineStr">
        <is>
          <t>5286322012328</t>
        </is>
      </c>
    </row>
    <row r="3256" ht="87" customHeight="1">
      <c r="A3256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3256" s="2">
        <f>HYPERLINK("https://edmondsonsupply.com/products/klein-tools-32900-7-in-1-impact-flip-socket-with-handle", "https://edmondsonsupply.com/products/klein-tools-32900-7-in-1-impact-flip-socket-with-handle")</f>
        <v/>
      </c>
      <c r="C3256" t="inlineStr">
        <is>
          <t>Klein Tools 32900 7-in-1 Impact Flip Socket with Handle</t>
        </is>
      </c>
      <c r="D3256" t="inlineStr">
        <is>
          <t>Klein Tools 80141 Hand Tools Kit includes Pliers, 41-Piece &amp; 32900 Impact Driver, 7-in-1 Impact Flip Socket Set with Handle, 6 Hex Driver Sizes plus a 1/4-Inch Bit Holder</t>
        </is>
      </c>
      <c r="E3256" s="2">
        <f>HYPERLINK("https://www.amazon.com/Klein-Tools-Pliers-41-Piece-Impact/dp/B0BYZ6NLGN/ref=sr_1_21?keywords=Klein+Tools+32900+7-in-1+Impact+Flip+Socket+with+Handle&amp;qid=1694735103&amp;sr=8-21", "https://www.amazon.com/Klein-Tools-Pliers-41-Piece-Impact/dp/B0BYZ6NLGN/ref=sr_1_21?keywords=Klein+Tools+32900+7-in-1+Impact+Flip+Socket+with+Handle&amp;qid=1694735103&amp;sr=8-21")</f>
        <v/>
      </c>
      <c r="F3256" t="inlineStr">
        <is>
          <t>B0BYZ6NLGN</t>
        </is>
      </c>
      <c r="G3256">
        <f>_xlfn.IMAGE("https://edmondsonsupply.com/cdn/shop/products/32900_b.jpg?v=1666024787")</f>
        <v/>
      </c>
      <c r="H3256">
        <f>_xlfn.IMAGE("https://m.media-amazon.com/images/I/519gwkMq0qL._AC_UL320_.jpg")</f>
        <v/>
      </c>
      <c r="K3256" t="inlineStr">
        <is>
          <t>29.97</t>
        </is>
      </c>
      <c r="L3256" t="n">
        <v>744.96</v>
      </c>
      <c r="M3256" s="1" t="inlineStr">
        <is>
          <t>2,385.69%</t>
        </is>
      </c>
      <c r="N3256" s="7" t="n">
        <v>87.52</v>
      </c>
      <c r="O3256" t="n">
        <v>4.6</v>
      </c>
      <c r="P3256" t="n">
        <v>118</v>
      </c>
      <c r="R3256" t="inlineStr">
        <is>
          <t>InStock</t>
        </is>
      </c>
      <c r="S3256" t="inlineStr">
        <is>
          <t>45.0</t>
        </is>
      </c>
      <c r="T3256" t="inlineStr">
        <is>
          <t>7856651239640</t>
        </is>
      </c>
    </row>
    <row r="3257" ht="87" customHeight="1">
      <c r="A3257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257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257" t="inlineStr">
        <is>
          <t>Diablo Tools DMAPL4140 3/8 in. x 4 in. x 6 in. Rebar Demon™ SDS-Plus 4-Cutter Full Carbide Head Hammer Bit</t>
        </is>
      </c>
      <c r="D3257" t="inlineStr">
        <is>
          <t>Diablo by Freud DMAPL4160-P25 3/8 in. x 10 in. x 12 in. Rebar Demon SDS-Plus 4-Cutter Full Carbide Head Hammer Bit (25-Pack)</t>
        </is>
      </c>
      <c r="E3257" s="2">
        <f>HYPERLINK("https://www.amazon.com/Diablo-Freud-DMAPL4160-P25-SDS-Plus-4-Cutter/dp/B089LKWCD1/ref=sr_1_4?keywords=Diablo+Tools+DMAPL4140+3%2F8+in.+x+4+in.+x+6+in.+Rebar+Demon%E2%84%A2+SDS-Plus+4-Cutter+Full+Carbide+Head+Hammer+Bit&amp;qid=1694735296&amp;sr=8-4", "https://www.amazon.com/Diablo-Freud-DMAPL4160-P25-SDS-Plus-4-Cutter/dp/B089LKWCD1/ref=sr_1_4?keywords=Diablo+Tools+DMAPL4140+3%2F8+in.+x+4+in.+x+6+in.+Rebar+Demon%E2%84%A2+SDS-Plus+4-Cutter+Full+Carbide+Head+Hammer+Bit&amp;qid=1694735296&amp;sr=8-4")</f>
        <v/>
      </c>
      <c r="F3257" t="inlineStr">
        <is>
          <t>B089LKWCD1</t>
        </is>
      </c>
      <c r="G3257">
        <f>_xlfn.IMAGE("https://edmondsonsupply.com/cdn/shop/products/DMAPL4140_Main-Image20200701.png?v=1633030360")</f>
        <v/>
      </c>
      <c r="H3257">
        <f>_xlfn.IMAGE("https://m.media-amazon.com/images/I/61MHnm3+2bL._AC_UL320_.jpg")</f>
        <v/>
      </c>
      <c r="K3257" t="inlineStr">
        <is>
          <t>7.29</t>
        </is>
      </c>
      <c r="L3257" t="n">
        <v>180.97</v>
      </c>
      <c r="M3257" s="1" t="inlineStr">
        <is>
          <t>2,382.44%</t>
        </is>
      </c>
      <c r="N3257" s="7" t="n">
        <v>87.52</v>
      </c>
      <c r="O3257" t="n">
        <v>5</v>
      </c>
      <c r="P3257" t="n">
        <v>1</v>
      </c>
      <c r="R3257" t="inlineStr">
        <is>
          <t>InStock</t>
        </is>
      </c>
      <c r="S3257" t="inlineStr">
        <is>
          <t>undefined</t>
        </is>
      </c>
      <c r="T3257" t="inlineStr">
        <is>
          <t>5286771949736</t>
        </is>
      </c>
    </row>
    <row r="3258" ht="87" customHeight="1">
      <c r="A3258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58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58" t="inlineStr">
        <is>
          <t>Diablo Tools DMAPL4060 1/4 in. x 2 in. x 4 in. Rebar Demon™ SDS‑Plus 4‑Cutter Full Carbide Head Hammer Bit</t>
        </is>
      </c>
      <c r="D3258" t="inlineStr">
        <is>
          <t>Diablo by Freud DMAPL4040-P25 3/16 in. x 4 in. x 6 in. Rebar Demon™ SDS-Plus 4-Cutter Full Carbide Head Hammer Bit (25-Pack)</t>
        </is>
      </c>
      <c r="E3258" s="2" t="n"/>
      <c r="F3258" t="inlineStr">
        <is>
          <t>B089LKW42D</t>
        </is>
      </c>
      <c r="G3258">
        <f>_xlfn.IMAGE("https://edmondsonsupply.com/cdn/shop/products/4060.webp?v=1647637028")</f>
        <v/>
      </c>
      <c r="H3258">
        <f>_xlfn.IMAGE("https://m.media-amazon.com/images/I/61WAyx865hL._AC_UL320_.jpg")</f>
        <v/>
      </c>
      <c r="K3258" t="inlineStr">
        <is>
          <t>3.47</t>
        </is>
      </c>
      <c r="L3258" t="n">
        <v>79.63</v>
      </c>
      <c r="M3258" s="1" t="inlineStr">
        <is>
          <t>2,194.81%</t>
        </is>
      </c>
      <c r="N3258" s="7" t="n">
        <v>87.48999999999999</v>
      </c>
      <c r="O3258" t="n">
        <v>5</v>
      </c>
      <c r="P3258" t="n">
        <v>2</v>
      </c>
      <c r="R3258" t="inlineStr">
        <is>
          <t>InStock</t>
        </is>
      </c>
      <c r="S3258" t="inlineStr">
        <is>
          <t>6.0</t>
        </is>
      </c>
      <c r="T3258" t="inlineStr">
        <is>
          <t>7639203807448</t>
        </is>
      </c>
    </row>
    <row r="3259" ht="87" customHeight="1">
      <c r="A3259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59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59" t="inlineStr">
        <is>
          <t>Diablo Tools DMAPL4060 1/4 in. x 2 in. x 4 in. Rebar Demon™ SDS‑Plus 4‑Cutter Full Carbide Head Hammer Bit</t>
        </is>
      </c>
      <c r="D3259" t="inlineStr">
        <is>
          <t>Diablo DMAMX1110 5/8 in. x 24 in. x 29 in. Rebar Demon™ SDS-Max 4-Cutter Full Carbide Head Hammer Bit</t>
        </is>
      </c>
      <c r="E3259" s="2">
        <f>HYPERLINK("https://www.amazon.com/Diablo-SDS-Max-4-Cutter-Carbide-Hammer/dp/B089LJ9GHW/ref=sr_1_35?keywords=Diablo+Tools+DMAPL4060+1%2F4+in.+x+2+in.+x+4+in.+Rebar+Demon%E2%84%A2+SDS%E2%80%91Plus+4%E2%80%91Cutter+Full+Carbide+Head+Hammer+Bit&amp;qid=1694735165&amp;sr=8-35", "https://www.amazon.com/Diablo-SDS-Max-4-Cutter-Carbide-Hammer/dp/B089LJ9GHW/ref=sr_1_35?keywords=Diablo+Tools+DMAPL4060+1%2F4+in.+x+2+in.+x+4+in.+Rebar+Demon%E2%84%A2+SDS%E2%80%91Plus+4%E2%80%91Cutter+Full+Carbide+Head+Hammer+Bit&amp;qid=1694735165&amp;sr=8-35")</f>
        <v/>
      </c>
      <c r="F3259" t="inlineStr">
        <is>
          <t>B089LJ9GHW</t>
        </is>
      </c>
      <c r="G3259">
        <f>_xlfn.IMAGE("https://edmondsonsupply.com/cdn/shop/products/4060.webp?v=1647637028")</f>
        <v/>
      </c>
      <c r="H3259">
        <f>_xlfn.IMAGE("https://m.media-amazon.com/images/I/61vWAd-z8eL._AC_UL320_.jpg")</f>
        <v/>
      </c>
      <c r="K3259" t="inlineStr">
        <is>
          <t>3.47</t>
        </is>
      </c>
      <c r="L3259" t="n">
        <v>78.98999999999999</v>
      </c>
      <c r="M3259" s="1" t="inlineStr">
        <is>
          <t>2,176.37%</t>
        </is>
      </c>
      <c r="N3259" s="7" t="n">
        <v>87.43000000000001</v>
      </c>
      <c r="O3259" t="n">
        <v>4.7</v>
      </c>
      <c r="P3259" t="n">
        <v>4</v>
      </c>
      <c r="R3259" t="inlineStr">
        <is>
          <t>InStock</t>
        </is>
      </c>
      <c r="S3259" t="inlineStr">
        <is>
          <t>6.0</t>
        </is>
      </c>
      <c r="T3259" t="inlineStr">
        <is>
          <t>7639203807448</t>
        </is>
      </c>
    </row>
    <row r="3260" ht="87" customHeight="1">
      <c r="A3260" s="2">
        <f>HYPERLINK("https://edmondsonsupply.com/collections/electricians-tools/products/diablo-tools-dmapl4150-3-8-in-x-6-in-x-8-in-rebar-demon%E2%84%A2-sds-plus-4-cutter-full-carbide-head-hammer-drill-bit", "https://edmondsonsupply.com/collections/electricians-tools/products/diablo-tools-dmapl4150-3-8-in-x-6-in-x-8-in-rebar-demon%E2%84%A2-sds-plus-4-cutter-full-carbide-head-hammer-drill-bit")</f>
        <v/>
      </c>
      <c r="B3260" s="2">
        <f>HYPERLINK("https://edmondsonsupply.com/products/diablo-tools-dmapl4150-3-8-in-x-6-in-x-8-in-rebar-demon%e2%84%a2-sds-plus-4-cutter-full-carbide-head-hammer-drill-bit", "https://edmondsonsupply.com/products/diablo-tools-dmapl4150-3-8-in-x-6-in-x-8-in-rebar-demon%e2%84%a2-sds-plus-4-cutter-full-carbide-head-hammer-drill-bit")</f>
        <v/>
      </c>
      <c r="C3260" t="inlineStr">
        <is>
          <t>Diablo Tools DMAPL4150 3/8 in. x 6 in. x 8 in. Rebar Demon™ SDS‑Plus 4‑Cutter Full Carbide Head Hammer Drill Bit</t>
        </is>
      </c>
      <c r="D3260" t="inlineStr">
        <is>
          <t>Diablo by Freud DMAPL4160-P25 3/8 in. x 10 in. x 12 in. Rebar Demon SDS-Plus 4-Cutter Full Carbide Head Hammer Bit (25-Pack)</t>
        </is>
      </c>
      <c r="E3260" s="2" t="n"/>
      <c r="F3260" t="inlineStr">
        <is>
          <t>B089LKWCD1</t>
        </is>
      </c>
      <c r="G3260">
        <f>_xlfn.IMAGE("https://edmondsonsupply.com/cdn/shop/products/DMAPL4150_Main-Image20200701.png?v=1633030763")</f>
        <v/>
      </c>
      <c r="H3260">
        <f>_xlfn.IMAGE("https://m.media-amazon.com/images/I/61MHnm3+2bL._AC_UL320_.jpg")</f>
        <v/>
      </c>
      <c r="K3260" t="inlineStr">
        <is>
          <t>7.97</t>
        </is>
      </c>
      <c r="L3260" t="n">
        <v>180.97</v>
      </c>
      <c r="M3260" s="1" t="inlineStr">
        <is>
          <t>2,170.64%</t>
        </is>
      </c>
      <c r="N3260" s="7" t="n">
        <v>87.36</v>
      </c>
      <c r="O3260" t="n">
        <v>5</v>
      </c>
      <c r="P3260" t="n">
        <v>1</v>
      </c>
      <c r="R3260" t="inlineStr">
        <is>
          <t>InStock</t>
        </is>
      </c>
      <c r="S3260" t="inlineStr">
        <is>
          <t>10.0</t>
        </is>
      </c>
      <c r="T3260" t="inlineStr">
        <is>
          <t>5918108450984</t>
        </is>
      </c>
    </row>
    <row r="3261" ht="87" customHeight="1">
      <c r="A3261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261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261" t="inlineStr">
        <is>
          <t>Diablo Tools DMAPL4040 3/16 in. x 4 in. x 6 in. Rebar Demon™ SDS-Plus 4-Cutter Full Carbide Head Hammer Bit</t>
        </is>
      </c>
      <c r="D3261" t="inlineStr">
        <is>
          <t>Diablo by Freud DMAPL4160-P25 3/8 in. x 10 in. x 12 in. Rebar Demon SDS-Plus 4-Cutter Full Carbide Head Hammer Bit (25-Pack)</t>
        </is>
      </c>
      <c r="E3261" s="2">
        <f>HYPERLINK("https://www.amazon.com/Diablo-Freud-DMAPL4160-P25-SDS-Plus-4-Cutter/dp/B089LKWCD1/ref=sr_1_39?keywords=Diablo+Tools+DMAPL4040+3%2F16+in.+x+4+in.+x+6+in.+Rebar+Demon%E2%84%A2+SDS-Plus+4-Cutter+Full+Carbide+Head+Hammer+Bit&amp;qid=1694735297&amp;sr=8-39", "https://www.amazon.com/Diablo-Freud-DMAPL4160-P25-SDS-Plus-4-Cutter/dp/B089LKWCD1/ref=sr_1_39?keywords=Diablo+Tools+DMAPL4040+3%2F16+in.+x+4+in.+x+6+in.+Rebar+Demon%E2%84%A2+SDS-Plus+4-Cutter+Full+Carbide+Head+Hammer+Bit&amp;qid=1694735297&amp;sr=8-39")</f>
        <v/>
      </c>
      <c r="F3261" t="inlineStr">
        <is>
          <t>B089LKWCD1</t>
        </is>
      </c>
      <c r="G3261">
        <f>_xlfn.IMAGE("https://edmondsonsupply.com/cdn/shop/products/DMAPL4040_Main-Image20200701.png?v=1633030358")</f>
        <v/>
      </c>
      <c r="H3261">
        <f>_xlfn.IMAGE("https://m.media-amazon.com/images/I/61MHnm3+2bL._AC_UL320_.jpg")</f>
        <v/>
      </c>
      <c r="K3261" t="inlineStr">
        <is>
          <t>8.47</t>
        </is>
      </c>
      <c r="L3261" t="n">
        <v>180.97</v>
      </c>
      <c r="M3261" s="1" t="inlineStr">
        <is>
          <t>2,036.60%</t>
        </is>
      </c>
      <c r="N3261" s="7" t="n">
        <v>87.31999999999999</v>
      </c>
      <c r="O3261" t="n">
        <v>5</v>
      </c>
      <c r="P3261" t="n">
        <v>1</v>
      </c>
      <c r="R3261" t="inlineStr">
        <is>
          <t>InStock</t>
        </is>
      </c>
      <c r="S3261" t="inlineStr">
        <is>
          <t>undefined</t>
        </is>
      </c>
      <c r="T3261" t="inlineStr">
        <is>
          <t>5286740426920</t>
        </is>
      </c>
    </row>
    <row r="3262" ht="87" customHeight="1">
      <c r="A3262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3262" s="2">
        <f>HYPERLINK("https://edmondsonsupply.com/products/klein-tools-31737-folding-jab-saw", "https://edmondsonsupply.com/products/klein-tools-31737-folding-jab-saw")</f>
        <v/>
      </c>
      <c r="C3262" t="inlineStr">
        <is>
          <t>Klein Tools 31737 Folding Jab Saw</t>
        </is>
      </c>
      <c r="D3262" t="inlineStr">
        <is>
          <t>Klein Tools 80028 Hand Tools Kit includes Pliers, Screwdrivers, 28-Piece &amp; 31737 Folding Jab Saw/Drywall Saw, Hand Saw with Lockback at 180 and 125 Degrees and Tether Hole</t>
        </is>
      </c>
      <c r="E3262" s="2">
        <f>HYPERLINK("https://www.amazon.com/Klein-Tools-Screwdrivers-28-Piece-Lockback/dp/B0BXK9YSJS/ref=sr_1_18?keywords=Klein+Tools+31737+Folding+Jab+Saw&amp;qid=1694735392&amp;sr=8-18", "https://www.amazon.com/Klein-Tools-Screwdrivers-28-Piece-Lockback/dp/B0BXK9YSJS/ref=sr_1_18?keywords=Klein+Tools+31737+Folding+Jab+Saw&amp;qid=1694735392&amp;sr=8-18")</f>
        <v/>
      </c>
      <c r="F3262" t="inlineStr">
        <is>
          <t>B0BXK9YSJS</t>
        </is>
      </c>
      <c r="G3262">
        <f>_xlfn.IMAGE("https://edmondsonsupply.com/cdn/shop/products/31737.jpg?v=1587149419")</f>
        <v/>
      </c>
      <c r="H3262">
        <f>_xlfn.IMAGE("https://m.media-amazon.com/images/I/51rspFjanxL._AC_UL320_.jpg")</f>
        <v/>
      </c>
      <c r="K3262" t="inlineStr">
        <is>
          <t>20.99</t>
        </is>
      </c>
      <c r="L3262" t="n">
        <v>435.98</v>
      </c>
      <c r="M3262" s="1" t="inlineStr">
        <is>
          <t>1,977.08%</t>
        </is>
      </c>
      <c r="N3262" s="7" t="n">
        <v>86.81999999999999</v>
      </c>
      <c r="O3262" t="n">
        <v>5</v>
      </c>
      <c r="P3262" t="n">
        <v>1</v>
      </c>
      <c r="R3262" t="inlineStr">
        <is>
          <t>InStock</t>
        </is>
      </c>
      <c r="S3262" t="inlineStr">
        <is>
          <t>30.06</t>
        </is>
      </c>
      <c r="T3262" t="inlineStr">
        <is>
          <t>1780079853668</t>
        </is>
      </c>
    </row>
    <row r="3263" ht="87" customHeight="1">
      <c r="A3263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263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263" t="inlineStr">
        <is>
          <t>Diablo Tools DMAPL4070 1/4 in. x 4 in. x 6 in. Rebar Demon™ SDS-Plus 4-Cutter Full Carbide Head Hammer Bit</t>
        </is>
      </c>
      <c r="D3263" t="inlineStr">
        <is>
          <t>Diablo by Freud DMAPL4160-P25 3/8 in. x 10 in. x 12 in. Rebar Demon SDS-Plus 4-Cutter Full Carbide Head Hammer Bit (25-Pack)</t>
        </is>
      </c>
      <c r="E3263" s="2">
        <f>HYPERLINK("https://www.amazon.com/Diablo-Freud-DMAPL4160-P25-SDS-Plus-4-Cutter/dp/B089LKWCD1/ref=sr_1_37?keywords=Diablo+Tools+DMAPL4070+1%2F4+in.+x+4+in.+x+6+in.+Rebar+Demon%E2%84%A2+SDS-Plus+4-Cutter+Full+Carbide+Head+Hammer+Bit&amp;qid=1694735303&amp;sr=8-37", "https://www.amazon.com/Diablo-Freud-DMAPL4160-P25-SDS-Plus-4-Cutter/dp/B089LKWCD1/ref=sr_1_37?keywords=Diablo+Tools+DMAPL4070+1%2F4+in.+x+4+in.+x+6+in.+Rebar+Demon%E2%84%A2+SDS-Plus+4-Cutter+Full+Carbide+Head+Hammer+Bit&amp;qid=1694735303&amp;sr=8-37")</f>
        <v/>
      </c>
      <c r="F3263" t="inlineStr">
        <is>
          <t>B089LKWCD1</t>
        </is>
      </c>
      <c r="G3263">
        <f>_xlfn.IMAGE("https://edmondsonsupply.com/cdn/shop/products/DMAPL4070_Main-Image20200701.png?v=1633030350")</f>
        <v/>
      </c>
      <c r="H3263">
        <f>_xlfn.IMAGE("https://m.media-amazon.com/images/I/61MHnm3+2bL._AC_UL320_.jpg")</f>
        <v/>
      </c>
      <c r="K3263" t="inlineStr">
        <is>
          <t>8.97</t>
        </is>
      </c>
      <c r="L3263" t="n">
        <v>180.97</v>
      </c>
      <c r="M3263" s="1" t="inlineStr">
        <is>
          <t>1,917.50%</t>
        </is>
      </c>
      <c r="N3263" s="7" t="n">
        <v>86.67</v>
      </c>
      <c r="O3263" t="n">
        <v>5</v>
      </c>
      <c r="P3263" t="n">
        <v>1</v>
      </c>
      <c r="R3263" t="inlineStr">
        <is>
          <t>InStock</t>
        </is>
      </c>
      <c r="S3263" t="inlineStr">
        <is>
          <t>undefined</t>
        </is>
      </c>
      <c r="T3263" t="inlineStr">
        <is>
          <t>5283100197032</t>
        </is>
      </c>
    </row>
    <row r="3264" ht="87" customHeight="1">
      <c r="A3264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64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64" t="inlineStr">
        <is>
          <t>Diablo Tools DMAPL4030 3/16 in. x 2 in. x 4 in. Rebar Demon™ SDS-Plus 4-Cutter Full Carbide Head Hammer Bit</t>
        </is>
      </c>
      <c r="D3264" t="inlineStr">
        <is>
          <t>Diablo by Freud DMAPL4040-P25 3/16 in. x 4 in. x 6 in. Rebar Demon™ SDS-Plus 4-Cutter Full Carbide Head Hammer Bit (25-Pack)</t>
        </is>
      </c>
      <c r="E3264" s="2">
        <f>HYPERLINK("https://www.amazon.com/Diablo-Freud-DMAPL4040-P25-SDS-Plus-4-Cutter/dp/B089LKW42D/ref=sr_1_5?keywords=Diablo+Tools+DMAPL4030+3%2F16+in.+x+2+in.+x+4+in.+Rebar+Demon%E2%84%A2+SDS-Plus+4-Cutter+Full+Carbide+Head+Hammer+Bit&amp;qid=1694735295&amp;sr=8-5", "https://www.amazon.com/Diablo-Freud-DMAPL4040-P25-SDS-Plus-4-Cutter/dp/B089LKW42D/ref=sr_1_5?keywords=Diablo+Tools+DMAPL4030+3%2F16+in.+x+2+in.+x+4+in.+Rebar+Demon%E2%84%A2+SDS-Plus+4-Cutter+Full+Carbide+Head+Hammer+Bit&amp;qid=1694735295&amp;sr=8-5")</f>
        <v/>
      </c>
      <c r="F3264" t="inlineStr">
        <is>
          <t>B089LKW42D</t>
        </is>
      </c>
      <c r="G3264">
        <f>_xlfn.IMAGE("https://edmondsonsupply.com/cdn/shop/products/DMAPL4030.jpg?v=1633030357")</f>
        <v/>
      </c>
      <c r="H3264">
        <f>_xlfn.IMAGE("https://m.media-amazon.com/images/I/61WAyx865hL._AC_UL320_.jpg")</f>
        <v/>
      </c>
      <c r="K3264" t="inlineStr">
        <is>
          <t>3.97</t>
        </is>
      </c>
      <c r="L3264" t="n">
        <v>79.63</v>
      </c>
      <c r="M3264" s="1" t="inlineStr">
        <is>
          <t>1,905.79%</t>
        </is>
      </c>
      <c r="N3264" s="7" t="n">
        <v>86.44</v>
      </c>
      <c r="O3264" t="n">
        <v>5</v>
      </c>
      <c r="P3264" t="n">
        <v>2</v>
      </c>
      <c r="R3264" t="inlineStr">
        <is>
          <t>InStock</t>
        </is>
      </c>
      <c r="S3264" t="inlineStr">
        <is>
          <t>5.51</t>
        </is>
      </c>
      <c r="T3264" t="inlineStr">
        <is>
          <t>5286322012328</t>
        </is>
      </c>
    </row>
    <row r="3265" ht="87" customHeight="1">
      <c r="A3265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3265" s="2">
        <f>HYPERLINK("https://edmondsonsupply.com/products/diablo-tools-dmapl2140-1-4-in-x-4-in-x-6-in-sds-plus-2-cutter", "https://edmondsonsupply.com/products/diablo-tools-dmapl2140-1-4-in-x-4-in-x-6-in-sds-plus-2-cutter")</f>
        <v/>
      </c>
      <c r="C3265" t="inlineStr">
        <is>
          <t>Diablo Tools DMAPL2140 1/4 in. x 4 in. x 6 in. SDS‑Plus 2‑Cutter</t>
        </is>
      </c>
      <c r="D3265" t="inlineStr">
        <is>
          <t>Diablo by Freud DMAPL4180-P25 1/2 in. x 4 in. x 6 in. Rebar Demon SDS-Plus 4-Cutter Full Carbide Head Hammer Bit (25-Pack) Multi, One Size</t>
        </is>
      </c>
      <c r="E3265" s="2">
        <f>HYPERLINK("https://www.amazon.com/Diablo-Rebar-4-Cutter-Carbide-Hammer/dp/B089LGWV7F/ref=sr_1_45?keywords=Diablo+Tools+DMAPL2140+1%2F4+in.+x+4+in.+x+6+in.+SDS%E2%80%91Plus+2%E2%80%91Cutter&amp;qid=1694735261&amp;sr=8-45", "https://www.amazon.com/Diablo-Rebar-4-Cutter-Carbide-Hammer/dp/B089LGWV7F/ref=sr_1_45?keywords=Diablo+Tools+DMAPL2140+1%2F4+in.+x+4+in.+x+6+in.+SDS%E2%80%91Plus+2%E2%80%91Cutter&amp;qid=1694735261&amp;sr=8-45")</f>
        <v/>
      </c>
      <c r="F3265" t="inlineStr">
        <is>
          <t>B089LGWV7F</t>
        </is>
      </c>
      <c r="G3265">
        <f>_xlfn.IMAGE("https://edmondsonsupply.com/cdn/shop/products/DMAPL2140-P25_Main-Image20200701_051150e2-bdbb-41a1-87fd-df202a887b18.png?v=1633030654")</f>
        <v/>
      </c>
      <c r="H3265">
        <f>_xlfn.IMAGE("https://m.media-amazon.com/images/I/61q9iw+mKpL._AC_UL320_.jpg")</f>
        <v/>
      </c>
      <c r="K3265" t="inlineStr">
        <is>
          <t>4.99</t>
        </is>
      </c>
      <c r="L3265" t="n">
        <v>99.98999999999999</v>
      </c>
      <c r="M3265" s="1" t="inlineStr">
        <is>
          <t>1,903.81%</t>
        </is>
      </c>
      <c r="N3265" s="7" t="n">
        <v>86.31999999999999</v>
      </c>
      <c r="O3265" t="n">
        <v>5</v>
      </c>
      <c r="P3265" t="n">
        <v>2</v>
      </c>
      <c r="R3265" t="inlineStr">
        <is>
          <t>InStock</t>
        </is>
      </c>
      <c r="S3265" t="inlineStr">
        <is>
          <t>5.04</t>
        </is>
      </c>
      <c r="T3265" t="inlineStr">
        <is>
          <t>5740655739048</t>
        </is>
      </c>
    </row>
    <row r="3266" ht="87" customHeight="1">
      <c r="A3266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66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66" t="inlineStr">
        <is>
          <t>Diablo Tools DMAPL4030 3/16 in. x 2 in. x 4 in. Rebar Demon™ SDS-Plus 4-Cutter Full Carbide Head Hammer Bit</t>
        </is>
      </c>
      <c r="D3266" t="inlineStr">
        <is>
          <t>Diablo DMAMX1110 5/8 in. x 24 in. x 29 in. Rebar Demon™ SDS-Max 4-Cutter Full Carbide Head Hammer Bit</t>
        </is>
      </c>
      <c r="E3266" s="2">
        <f>HYPERLINK("https://www.amazon.com/Diablo-SDS-Max-4-Cutter-Carbide-Hammer/dp/B089LJ9GHW/ref=sr_1_37?keywords=Diablo+Tools+DMAPL4030+3%2F16+in.+x+2+in.+x+4+in.+Rebar+Demon%E2%84%A2+SDS-Plus+4-Cutter+Full+Carbide+Head+Hammer+Bit&amp;qid=1694735295&amp;sr=8-37", "https://www.amazon.com/Diablo-SDS-Max-4-Cutter-Carbide-Hammer/dp/B089LJ9GHW/ref=sr_1_37?keywords=Diablo+Tools+DMAPL4030+3%2F16+in.+x+2+in.+x+4+in.+Rebar+Demon%E2%84%A2+SDS-Plus+4-Cutter+Full+Carbide+Head+Hammer+Bit&amp;qid=1694735295&amp;sr=8-37")</f>
        <v/>
      </c>
      <c r="F3266" t="inlineStr">
        <is>
          <t>B089LJ9GHW</t>
        </is>
      </c>
      <c r="G3266">
        <f>_xlfn.IMAGE("https://edmondsonsupply.com/cdn/shop/products/DMAPL4030.jpg?v=1633030357")</f>
        <v/>
      </c>
      <c r="H3266">
        <f>_xlfn.IMAGE("https://m.media-amazon.com/images/I/61vWAd-z8eL._AC_UL320_.jpg")</f>
        <v/>
      </c>
      <c r="K3266" t="inlineStr">
        <is>
          <t>3.97</t>
        </is>
      </c>
      <c r="L3266" t="n">
        <v>78.98999999999999</v>
      </c>
      <c r="M3266" s="1" t="inlineStr">
        <is>
          <t>1,889.67%</t>
        </is>
      </c>
      <c r="N3266" s="7" t="n">
        <v>85.79000000000001</v>
      </c>
      <c r="O3266" t="n">
        <v>4.7</v>
      </c>
      <c r="P3266" t="n">
        <v>4</v>
      </c>
      <c r="R3266" t="inlineStr">
        <is>
          <t>InStock</t>
        </is>
      </c>
      <c r="S3266" t="inlineStr">
        <is>
          <t>5.51</t>
        </is>
      </c>
      <c r="T3266" t="inlineStr">
        <is>
          <t>5286322012328</t>
        </is>
      </c>
    </row>
    <row r="3267" ht="87" customHeight="1">
      <c r="A3267" s="2">
        <f>HYPERLINK("https://edmondsonsupply.com/collections/electricians-tools/products/klein-5416tfr", "https://edmondsonsupply.com/collections/electricians-tools/products/klein-5416tfr")</f>
        <v/>
      </c>
      <c r="B3267" s="2">
        <f>HYPERLINK("https://edmondsonsupply.com/products/klein-5416tfr", "https://edmondsonsupply.com/products/klein-5416tfr")</f>
        <v/>
      </c>
      <c r="C3267" t="inlineStr">
        <is>
          <t>Klein Tools 5416TFR Tool Bag, Flame Resistant Bolt Bag, No. 4 Canvas, 5 x 10 x 9-Inch</t>
        </is>
      </c>
      <c r="D3267" t="inlineStr">
        <is>
          <t>Occidental Leather 8580 M FatLip Tool Bag Set &amp; Klein Tools 5416TFR Tool Bag, Flame Resistant Canvas Bag for Bolt Storage with Double Reinforced Bottom and Tunnel Connect, 5 x 10 x 9-Inch</t>
        </is>
      </c>
      <c r="E3267" s="2">
        <f>HYPERLINK("https://www.amazon.com/Occidental-Leather-5416TFR-Resistant-Reinforced/dp/B08ZNLG8FB/ref=sr_1_4?keywords=Klein+Tools+5416TFR+Tool+Bag%2C+Flame+Resistant+Bolt+Bag%2C+No.+4+Canvas%2C+5+x+10+x+9-Inch&amp;qid=1694734988&amp;sr=8-4", "https://www.amazon.com/Occidental-Leather-5416TFR-Resistant-Reinforced/dp/B08ZNLG8FB/ref=sr_1_4?keywords=Klein+Tools+5416TFR+Tool+Bag%2C+Flame+Resistant+Bolt+Bag%2C+No.+4+Canvas%2C+5+x+10+x+9-Inch&amp;qid=1694734988&amp;sr=8-4")</f>
        <v/>
      </c>
      <c r="F3267" t="inlineStr">
        <is>
          <t>B08ZNLG8FB</t>
        </is>
      </c>
      <c r="G3267">
        <f>_xlfn.IMAGE("https://edmondsonsupply.com/cdn/shop/products/5416tfr.jpg?v=1587149359")</f>
        <v/>
      </c>
      <c r="H3267">
        <f>_xlfn.IMAGE("https://m.media-amazon.com/images/I/61C6VApN0nL._AC_UL320_.jpg")</f>
        <v/>
      </c>
      <c r="K3267" t="inlineStr">
        <is>
          <t>19.99</t>
        </is>
      </c>
      <c r="L3267" t="n">
        <v>369.89</v>
      </c>
      <c r="M3267" s="1" t="inlineStr">
        <is>
          <t>1,750.38%</t>
        </is>
      </c>
      <c r="N3267" s="7" t="n">
        <v>85.75</v>
      </c>
      <c r="O3267" t="n">
        <v>5</v>
      </c>
      <c r="P3267" t="n">
        <v>1</v>
      </c>
      <c r="R3267" t="inlineStr">
        <is>
          <t>InStock</t>
        </is>
      </c>
      <c r="S3267" t="inlineStr">
        <is>
          <t>33.64</t>
        </is>
      </c>
      <c r="T3267" t="inlineStr">
        <is>
          <t>1490970837092</t>
        </is>
      </c>
    </row>
    <row r="3268" ht="87" customHeight="1">
      <c r="A3268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268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268" t="inlineStr">
        <is>
          <t>Diablo Tools DMAPL4160 3/8 in. x 10 in. x 12 in. Rebar Demon™ SDS-Plus 4-Cutter Full Carbide Head Hammer Bit</t>
        </is>
      </c>
      <c r="D3268" t="inlineStr">
        <is>
          <t>Diablo by Freud DMAPL4160-P25 3/8 in. x 10 in. x 12 in. Rebar Demon SDS-Plus 4-Cutter Full Carbide Head Hammer Bit (25-Pack)</t>
        </is>
      </c>
      <c r="E3268" s="2">
        <f>HYPERLINK("https://www.amazon.com/Diablo-Freud-DMAPL4160-P25-SDS-Plus-4-Cutter/dp/B089LKWCD1/ref=sr_1_2?keywords=Diablo+Tools+DMAPL4160+3%2F8+in.+x+10+in.+x+12+in.+Rebar+Demon%E2%84%A2+SDS-Plus+4-Cutter+Full+Carbide+Head+Hammer+Bit&amp;qid=1694735304&amp;sr=8-2", "https://www.amazon.com/Diablo-Freud-DMAPL4160-P25-SDS-Plus-4-Cutter/dp/B089LKWCD1/ref=sr_1_2?keywords=Diablo+Tools+DMAPL4160+3%2F8+in.+x+10+in.+x+12+in.+Rebar+Demon%E2%84%A2+SDS-Plus+4-Cutter+Full+Carbide+Head+Hammer+Bit&amp;qid=1694735304&amp;sr=8-2")</f>
        <v/>
      </c>
      <c r="F3268" t="inlineStr">
        <is>
          <t>B089LKWCD1</t>
        </is>
      </c>
      <c r="G3268">
        <f>_xlfn.IMAGE("https://edmondsonsupply.com/cdn/shop/products/w7y3zlfom8dhrlplcmqa.webp?v=1670439058")</f>
        <v/>
      </c>
      <c r="H3268">
        <f>_xlfn.IMAGE("https://m.media-amazon.com/images/I/61MHnm3+2bL._AC_UL320_.jpg")</f>
        <v/>
      </c>
      <c r="K3268" t="inlineStr">
        <is>
          <t>9.97</t>
        </is>
      </c>
      <c r="L3268" t="n">
        <v>180.97</v>
      </c>
      <c r="M3268" s="1" t="inlineStr">
        <is>
          <t>1,715.15%</t>
        </is>
      </c>
      <c r="N3268" s="7" t="n">
        <v>85.70999999999999</v>
      </c>
      <c r="O3268" t="n">
        <v>5</v>
      </c>
      <c r="P3268" t="n">
        <v>1</v>
      </c>
      <c r="R3268" t="inlineStr">
        <is>
          <t>InStock</t>
        </is>
      </c>
      <c r="S3268" t="inlineStr">
        <is>
          <t>15.02</t>
        </is>
      </c>
      <c r="T3268" t="inlineStr">
        <is>
          <t>5286778601640</t>
        </is>
      </c>
    </row>
    <row r="3269" ht="87" customHeight="1">
      <c r="A3269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269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269" t="inlineStr">
        <is>
          <t>Diablo Tools DMAPL4180 1/2 in. x 4 in. x 6 in. Rebar Demon™ SDS-Plus 4-Cutter Full Carbide Head Hammer Bit</t>
        </is>
      </c>
      <c r="D3269" t="inlineStr">
        <is>
          <t>Diablo by Freud DMAPL4160-P25 3/8 in. x 10 in. x 12 in. Rebar Demon SDS-Plus 4-Cutter Full Carbide Head Hammer Bit (25-Pack)</t>
        </is>
      </c>
      <c r="E3269" s="2">
        <f>HYPERLINK("https://www.amazon.com/Diablo-Freud-DMAPL4160-P25-SDS-Plus-4-Cutter/dp/B089LKWCD1/ref=sr_1_34?keywords=Diablo+Tools+DMAPL4180+1%2F2+in.+x+4+in.+x+6+in.+Rebar+Demon%E2%84%A2+SDS-Plus+4-Cutter+Full+Carbide+Head+Hammer+Bit&amp;qid=1694735298&amp;sr=8-34", "https://www.amazon.com/Diablo-Freud-DMAPL4160-P25-SDS-Plus-4-Cutter/dp/B089LKWCD1/ref=sr_1_34?keywords=Diablo+Tools+DMAPL4180+1%2F2+in.+x+4+in.+x+6+in.+Rebar+Demon%E2%84%A2+SDS-Plus+4-Cutter+Full+Carbide+Head+Hammer+Bit&amp;qid=1694735298&amp;sr=8-34")</f>
        <v/>
      </c>
      <c r="F3269" t="inlineStr">
        <is>
          <t>B089LKWCD1</t>
        </is>
      </c>
      <c r="G3269">
        <f>_xlfn.IMAGE("https://edmondsonsupply.com/cdn/shop/products/DMAPL4180_Main-Image20200702.png?v=1633030362")</f>
        <v/>
      </c>
      <c r="H3269">
        <f>_xlfn.IMAGE("https://m.media-amazon.com/images/I/61MHnm3+2bL._AC_UL320_.jpg")</f>
        <v/>
      </c>
      <c r="K3269" t="inlineStr">
        <is>
          <t>9.97</t>
        </is>
      </c>
      <c r="L3269" t="n">
        <v>180.97</v>
      </c>
      <c r="M3269" s="1" t="inlineStr">
        <is>
          <t>1,715.15%</t>
        </is>
      </c>
      <c r="N3269" s="7" t="n">
        <v>85.64</v>
      </c>
      <c r="O3269" t="n">
        <v>5</v>
      </c>
      <c r="P3269" t="n">
        <v>1</v>
      </c>
      <c r="R3269" t="inlineStr">
        <is>
          <t>InStock</t>
        </is>
      </c>
      <c r="S3269" t="inlineStr">
        <is>
          <t>undefined</t>
        </is>
      </c>
      <c r="T3269" t="inlineStr">
        <is>
          <t>5286803833000</t>
        </is>
      </c>
    </row>
    <row r="3270" ht="87" customHeight="1">
      <c r="A3270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270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270" t="inlineStr">
        <is>
          <t>Diablo Tools DMAPL4020 5/32 in. x 4 in. x 6 in. Rebar Demon™ SDS-Plus 4-Cutter Full Carbide Head Hammer Bit</t>
        </is>
      </c>
      <c r="D3270" t="inlineStr">
        <is>
          <t>Diablo DMAMX1230 1 in. x 24 in. x 29 in. Rebar Demon™ SDS-Max 4-Cutter Full Carbide Head Hammer Bit</t>
        </is>
      </c>
      <c r="E3270" s="2">
        <f>HYPERLINK("https://www.amazon.com/Diablo-DMAMX1230-SDS-Max-4-Cutter-Carbide/dp/B089KWMBLT/ref=sr_1_36?keywords=Diablo+Tools+DMAPL4020+5%2F32+in.+x+4+in.+x+6+in.+Rebar+Demon%E2%84%A2+SDS-Plus+4-Cutter+Full+Carbide+Head+Hammer+Bit&amp;qid=1694735291&amp;sr=8-36", "https://www.amazon.com/Diablo-DMAMX1230-SDS-Max-4-Cutter-Carbide/dp/B089KWMBLT/ref=sr_1_36?keywords=Diablo+Tools+DMAPL4020+5%2F32+in.+x+4+in.+x+6+in.+Rebar+Demon%E2%84%A2+SDS-Plus+4-Cutter+Full+Carbide+Head+Hammer+Bit&amp;qid=1694735291&amp;sr=8-36")</f>
        <v/>
      </c>
      <c r="F3270" t="inlineStr">
        <is>
          <t>B089KWMBLT</t>
        </is>
      </c>
      <c r="G3270">
        <f>_xlfn.IMAGE("https://edmondsonsupply.com/cdn/shop/products/DMAPL4020_1.jpg?v=1633030415")</f>
        <v/>
      </c>
      <c r="H3270">
        <f>_xlfn.IMAGE("https://m.media-amazon.com/images/I/61B-wgZVzML._AC_UL320_.jpg")</f>
        <v/>
      </c>
      <c r="K3270" t="inlineStr">
        <is>
          <t>6.47</t>
        </is>
      </c>
      <c r="L3270" t="n">
        <v>109.99</v>
      </c>
      <c r="M3270" s="1" t="inlineStr">
        <is>
          <t>1,600.00%</t>
        </is>
      </c>
      <c r="N3270" s="7" t="n">
        <v>85.45999999999999</v>
      </c>
      <c r="O3270" t="n">
        <v>4.6</v>
      </c>
      <c r="P3270" t="n">
        <v>3</v>
      </c>
      <c r="R3270" t="inlineStr">
        <is>
          <t>InStock</t>
        </is>
      </c>
      <c r="S3270" t="inlineStr">
        <is>
          <t>9.44</t>
        </is>
      </c>
      <c r="T3270" t="inlineStr">
        <is>
          <t>5313711046824</t>
        </is>
      </c>
    </row>
    <row r="3271" ht="87" customHeight="1">
      <c r="A3271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271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271" t="inlineStr">
        <is>
          <t>Diablo Tools DMAPL4010 5/32 in. x 2 in. x 4 in. Rebar Demon™ SDS-Plus 4-Cutter Full Carbide Head Hammer Bit</t>
        </is>
      </c>
      <c r="D3271" t="inlineStr">
        <is>
          <t>Diablo DMAMX1230 1 in. x 24 in. x 29 in. Rebar Demon™ SDS-Max 4-Cutter Full Carbide Head Hammer Bit</t>
        </is>
      </c>
      <c r="E3271" s="2">
        <f>HYPERLINK("https://www.amazon.com/Diablo-DMAMX1230-SDS-Max-4-Cutter-Carbide/dp/B089KWMBLT/ref=sr_1_44?keywords=Diablo+Tools+DMAPL4010+5%2F32+in.+x+2+in.+x+4+in.+Rebar+Demon%E2%84%A2+SDS-Plus+4-Cutter+Full+Carbide+Head+Hammer+Bit&amp;qid=1694735296&amp;sr=8-44", "https://www.amazon.com/Diablo-DMAMX1230-SDS-Max-4-Cutter-Carbide/dp/B089KWMBLT/ref=sr_1_44?keywords=Diablo+Tools+DMAPL4010+5%2F32+in.+x+2+in.+x+4+in.+Rebar+Demon%E2%84%A2+SDS-Plus+4-Cutter+Full+Carbide+Head+Hammer+Bit&amp;qid=1694735296&amp;sr=8-44")</f>
        <v/>
      </c>
      <c r="F3271" t="inlineStr">
        <is>
          <t>B089KWMBLT</t>
        </is>
      </c>
      <c r="G3271">
        <f>_xlfn.IMAGE("https://edmondsonsupply.com/cdn/shop/products/DMAPL4010.jpg?v=1633030357")</f>
        <v/>
      </c>
      <c r="H3271">
        <f>_xlfn.IMAGE("https://m.media-amazon.com/images/I/61B-wgZVzML._AC_UL320_.jpg")</f>
        <v/>
      </c>
      <c r="K3271" t="inlineStr">
        <is>
          <t>6.48</t>
        </is>
      </c>
      <c r="L3271" t="n">
        <v>109.99</v>
      </c>
      <c r="M3271" s="1" t="inlineStr">
        <is>
          <t>1,597.38%</t>
        </is>
      </c>
      <c r="N3271" s="7" t="n">
        <v>85.45999999999999</v>
      </c>
      <c r="O3271" t="n">
        <v>4.6</v>
      </c>
      <c r="P3271" t="n">
        <v>3</v>
      </c>
      <c r="R3271" t="inlineStr">
        <is>
          <t>InStock</t>
        </is>
      </c>
      <c r="S3271" t="inlineStr">
        <is>
          <t>10.3</t>
        </is>
      </c>
      <c r="T3271" t="inlineStr">
        <is>
          <t>5286308380840</t>
        </is>
      </c>
    </row>
    <row r="3272" ht="87" customHeight="1">
      <c r="A3272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272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272" t="inlineStr">
        <is>
          <t>Diablo Tools DMAPL4110 5/16 in. x 4 in. x 6 in. Rebar Demon™ SDS‑Plus 4‑Cutter Full Carbide Head Hammer Bit</t>
        </is>
      </c>
      <c r="D3272" t="inlineStr">
        <is>
          <t>Diablo by Freud DMAPL4180-P25 1/2 in. x 4 in. x 6 in. Rebar Demon SDS-Plus 4-Cutter Full Carbide Head Hammer Bit (25-Pack) Multi, One Size</t>
        </is>
      </c>
      <c r="E3272" s="2">
        <f>HYPERLINK("https://www.amazon.com/Diablo-Rebar-4-Cutter-Carbide-Hammer/dp/B089LGWV7F/ref=sr_1_6?keywords=Diablo+Tools+DMAPL4110+5%2F16+in.+x+4+in.+x+6+in.+Rebar+Demon%E2%84%A2+SDS%E2%80%91Plus+4%E2%80%91Cutter+Full+Carbide+Head+Hammer+Bit&amp;qid=1694735288&amp;sr=8-6", "https://www.amazon.com/Diablo-Rebar-4-Cutter-Carbide-Hammer/dp/B089LGWV7F/ref=sr_1_6?keywords=Diablo+Tools+DMAPL4110+5%2F16+in.+x+4+in.+x+6+in.+Rebar+Demon%E2%84%A2+SDS%E2%80%91Plus+4%E2%80%91Cutter+Full+Carbide+Head+Hammer+Bit&amp;qid=1694735288&amp;sr=8-6")</f>
        <v/>
      </c>
      <c r="F3272" t="inlineStr">
        <is>
          <t>B089LGWV7F</t>
        </is>
      </c>
      <c r="G3272">
        <f>_xlfn.IMAGE("https://edmondsonsupply.com/cdn/shop/products/DMAPL4110_Main-Image20200701.png?v=1633030426")</f>
        <v/>
      </c>
      <c r="H3272">
        <f>_xlfn.IMAGE("https://m.media-amazon.com/images/I/61q9iw+mKpL._AC_UL320_.jpg")</f>
        <v/>
      </c>
      <c r="K3272" t="inlineStr">
        <is>
          <t>5.97</t>
        </is>
      </c>
      <c r="L3272" t="n">
        <v>99.98999999999999</v>
      </c>
      <c r="M3272" s="1" t="inlineStr">
        <is>
          <t>1,574.87%</t>
        </is>
      </c>
      <c r="N3272" s="7" t="n">
        <v>85.23</v>
      </c>
      <c r="O3272" t="n">
        <v>5</v>
      </c>
      <c r="P3272" t="n">
        <v>2</v>
      </c>
      <c r="R3272" t="inlineStr">
        <is>
          <t>InStock</t>
        </is>
      </c>
      <c r="S3272" t="inlineStr">
        <is>
          <t>8.44</t>
        </is>
      </c>
      <c r="T3272" t="inlineStr">
        <is>
          <t>5326873100456</t>
        </is>
      </c>
    </row>
    <row r="3273" ht="87" customHeight="1">
      <c r="A3273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3273" s="2">
        <f>HYPERLINK("https://edmondsonsupply.com/products/diablo-tools-dmapl2240-3-8-in-x-10-in-x-12-in-sds-plus-2-cutter", "https://edmondsonsupply.com/products/diablo-tools-dmapl2240-3-8-in-x-10-in-x-12-in-sds-plus-2-cutter")</f>
        <v/>
      </c>
      <c r="C3273" t="inlineStr">
        <is>
          <t>Diablo Tools DMAPL2240 3/8 in. x 10 in. x 12 in. SDS-Plus 2-Cutter</t>
        </is>
      </c>
      <c r="D3273" t="inlineStr">
        <is>
          <t>Diablo by Freud DMAPL4160-P25 3/8 in. x 10 in. x 12 in. Rebar Demon SDS-Plus 4-Cutter Full Carbide Head Hammer Bit (25-Pack)</t>
        </is>
      </c>
      <c r="E3273" s="2">
        <f>HYPERLINK("https://www.amazon.com/Diablo-Freud-DMAPL4160-P25-SDS-Plus-4-Cutter/dp/B089LKWCD1/ref=sr_1_7?keywords=Diablo+Tools+DMAPL2240+3%2F8+in.+x+10+in.+x+12+in.+SDS-Plus+2-Cutter&amp;qid=1694735297&amp;sr=8-7", "https://www.amazon.com/Diablo-Freud-DMAPL4160-P25-SDS-Plus-4-Cutter/dp/B089LKWCD1/ref=sr_1_7?keywords=Diablo+Tools+DMAPL2240+3%2F8+in.+x+10+in.+x+12+in.+SDS-Plus+2-Cutter&amp;qid=1694735297&amp;sr=8-7")</f>
        <v/>
      </c>
      <c r="F3273" t="inlineStr">
        <is>
          <t>B089LKWCD1</t>
        </is>
      </c>
      <c r="G3273">
        <f>_xlfn.IMAGE("https://edmondsonsupply.com/cdn/shop/products/DMAPL2240-P25.jpg?v=1633030355")</f>
        <v/>
      </c>
      <c r="H3273">
        <f>_xlfn.IMAGE("https://m.media-amazon.com/images/I/61MHnm3+2bL._AC_UL320_.jpg")</f>
        <v/>
      </c>
      <c r="K3273" t="inlineStr">
        <is>
          <t>10.97</t>
        </is>
      </c>
      <c r="L3273" t="n">
        <v>180.97</v>
      </c>
      <c r="M3273" s="1" t="inlineStr">
        <is>
          <t>1,549.68%</t>
        </is>
      </c>
      <c r="N3273" s="7" t="n">
        <v>85.09</v>
      </c>
      <c r="O3273" t="n">
        <v>5</v>
      </c>
      <c r="P3273" t="n">
        <v>1</v>
      </c>
      <c r="R3273" t="inlineStr">
        <is>
          <t>InStock</t>
        </is>
      </c>
      <c r="S3273" t="inlineStr">
        <is>
          <t>12.38</t>
        </is>
      </c>
      <c r="T3273" t="inlineStr">
        <is>
          <t>5286161252520</t>
        </is>
      </c>
    </row>
    <row r="3274" ht="87" customHeight="1">
      <c r="A3274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3274" s="2">
        <f>HYPERLINK("https://edmondsonsupply.com/products/diablo-tools-dmapl2140-1-4-in-x-4-in-x-6-in-sds-plus-2-cutter", "https://edmondsonsupply.com/products/diablo-tools-dmapl2140-1-4-in-x-4-in-x-6-in-sds-plus-2-cutter")</f>
        <v/>
      </c>
      <c r="C3274" t="inlineStr">
        <is>
          <t>Diablo Tools DMAPL2140 1/4 in. x 4 in. x 6 in. SDS‑Plus 2‑Cutter</t>
        </is>
      </c>
      <c r="D3274" t="inlineStr">
        <is>
          <t>Diablo by Freud DMAPL4040-P25 3/16 in. x 4 in. x 6 in. Rebar Demon™ SDS-Plus 4-Cutter Full Carbide Head Hammer Bit (25-Pack)</t>
        </is>
      </c>
      <c r="E3274" s="2">
        <f>HYPERLINK("https://www.amazon.com/Diablo-Freud-DMAPL4040-P25-SDS-Plus-4-Cutter/dp/B089LKW42D/ref=sr_1_19?keywords=Diablo+Tools+DMAPL2140+1%2F4+in.+x+4+in.+x+6+in.+SDS%E2%80%91Plus+2%E2%80%91Cutter&amp;qid=1694735261&amp;sr=8-19", "https://www.amazon.com/Diablo-Freud-DMAPL4040-P25-SDS-Plus-4-Cutter/dp/B089LKW42D/ref=sr_1_19?keywords=Diablo+Tools+DMAPL2140+1%2F4+in.+x+4+in.+x+6+in.+SDS%E2%80%91Plus+2%E2%80%91Cutter&amp;qid=1694735261&amp;sr=8-19")</f>
        <v/>
      </c>
      <c r="F3274" t="inlineStr">
        <is>
          <t>B089LKW42D</t>
        </is>
      </c>
      <c r="G3274">
        <f>_xlfn.IMAGE("https://edmondsonsupply.com/cdn/shop/products/DMAPL2140-P25_Main-Image20200701_051150e2-bdbb-41a1-87fd-df202a887b18.png?v=1633030654")</f>
        <v/>
      </c>
      <c r="H3274">
        <f>_xlfn.IMAGE("https://m.media-amazon.com/images/I/61WAyx865hL._AC_UL320_.jpg")</f>
        <v/>
      </c>
      <c r="K3274" t="inlineStr">
        <is>
          <t>4.99</t>
        </is>
      </c>
      <c r="L3274" t="n">
        <v>79.63</v>
      </c>
      <c r="M3274" s="1" t="inlineStr">
        <is>
          <t>1,495.79%</t>
        </is>
      </c>
      <c r="N3274" s="7" t="n">
        <v>84.95999999999999</v>
      </c>
      <c r="O3274" t="n">
        <v>5</v>
      </c>
      <c r="P3274" t="n">
        <v>2</v>
      </c>
      <c r="R3274" t="inlineStr">
        <is>
          <t>InStock</t>
        </is>
      </c>
      <c r="S3274" t="inlineStr">
        <is>
          <t>5.04</t>
        </is>
      </c>
      <c r="T3274" t="inlineStr">
        <is>
          <t>5740655739048</t>
        </is>
      </c>
    </row>
    <row r="3275" ht="87" customHeight="1">
      <c r="A3275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75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75" t="inlineStr">
        <is>
          <t>Diablo Tools DMAPL4060 1/4 in. x 2 in. x 4 in. Rebar Demon™ SDS‑Plus 4‑Cutter Full Carbide Head Hammer Bit</t>
        </is>
      </c>
      <c r="D3275" t="inlineStr">
        <is>
          <t>Diablo by Freud DMAMX1040 1/2 in. x 24 in. x 29 in. Rebar Demon™ SDS-Max 4-Cutter Full Carbide Head</t>
        </is>
      </c>
      <c r="E3275" s="2">
        <f>HYPERLINK("https://www.amazon.com/Diablo-SDS-Max-4-Cutter-Carbide-Hammer/dp/B089LG76YL/ref=sr_1_24?keywords=Diablo+Tools+DMAPL4060+1%2F4+in.+x+2+in.+x+4+in.+Rebar+Demon%E2%84%A2+SDS%E2%80%91Plus+4%E2%80%91Cutter+Full+Carbide+Head+Hammer+Bit&amp;qid=1694735165&amp;sr=8-24", "https://www.amazon.com/Diablo-SDS-Max-4-Cutter-Carbide-Hammer/dp/B089LG76YL/ref=sr_1_24?keywords=Diablo+Tools+DMAPL4060+1%2F4+in.+x+2+in.+x+4+in.+Rebar+Demon%E2%84%A2+SDS%E2%80%91Plus+4%E2%80%91Cutter+Full+Carbide+Head+Hammer+Bit&amp;qid=1694735165&amp;sr=8-24")</f>
        <v/>
      </c>
      <c r="F3275" t="inlineStr">
        <is>
          <t>B089LG76YL</t>
        </is>
      </c>
      <c r="G3275">
        <f>_xlfn.IMAGE("https://edmondsonsupply.com/cdn/shop/products/4060.webp?v=1647637028")</f>
        <v/>
      </c>
      <c r="H3275">
        <f>_xlfn.IMAGE("https://m.media-amazon.com/images/I/61Q8G2EXOxL._AC_UL320_.jpg")</f>
        <v/>
      </c>
      <c r="K3275" t="inlineStr">
        <is>
          <t>3.47</t>
        </is>
      </c>
      <c r="L3275" t="n">
        <v>55</v>
      </c>
      <c r="M3275" s="1" t="inlineStr">
        <is>
          <t>1,485.01%</t>
        </is>
      </c>
      <c r="N3275" s="7" t="n">
        <v>84.90000000000001</v>
      </c>
      <c r="O3275" t="n">
        <v>5</v>
      </c>
      <c r="P3275" t="n">
        <v>9</v>
      </c>
      <c r="R3275" t="inlineStr">
        <is>
          <t>InStock</t>
        </is>
      </c>
      <c r="S3275" t="inlineStr">
        <is>
          <t>6.0</t>
        </is>
      </c>
      <c r="T3275" t="inlineStr">
        <is>
          <t>7639203807448</t>
        </is>
      </c>
    </row>
    <row r="3276" ht="87" customHeight="1">
      <c r="A3276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276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276" t="inlineStr">
        <is>
          <t>Diablo Tools DMAPL4020 5/32 in. x 4 in. x 6 in. Rebar Demon™ SDS-Plus 4-Cutter Full Carbide Head Hammer Bit</t>
        </is>
      </c>
      <c r="D3276" t="inlineStr">
        <is>
          <t>Diablo by Freud DMAPL4180-P25 1/2 in. x 4 in. x 6 in. Rebar Demon SDS-Plus 4-Cutter Full Carbide Head Hammer Bit (25-Pack) Multi, One Size</t>
        </is>
      </c>
      <c r="E3276" s="2">
        <f>HYPERLINK("https://www.amazon.com/Diablo-Rebar-4-Cutter-Carbide-Hammer/dp/B089LGWV7F/ref=sr_1_17?keywords=Diablo+Tools+DMAPL4020+5%2F32+in.+x+4+in.+x+6+in.+Rebar+Demon%E2%84%A2+SDS-Plus+4-Cutter+Full+Carbide+Head+Hammer+Bit&amp;qid=1694735291&amp;sr=8-17", "https://www.amazon.com/Diablo-Rebar-4-Cutter-Carbide-Hammer/dp/B089LGWV7F/ref=sr_1_17?keywords=Diablo+Tools+DMAPL4020+5%2F32+in.+x+4+in.+x+6+in.+Rebar+Demon%E2%84%A2+SDS-Plus+4-Cutter+Full+Carbide+Head+Hammer+Bit&amp;qid=1694735291&amp;sr=8-17")</f>
        <v/>
      </c>
      <c r="F3276" t="inlineStr">
        <is>
          <t>B089LGWV7F</t>
        </is>
      </c>
      <c r="G3276">
        <f>_xlfn.IMAGE("https://edmondsonsupply.com/cdn/shop/products/DMAPL4020_1.jpg?v=1633030415")</f>
        <v/>
      </c>
      <c r="H3276">
        <f>_xlfn.IMAGE("https://m.media-amazon.com/images/I/61q9iw+mKpL._AC_UL320_.jpg")</f>
        <v/>
      </c>
      <c r="K3276" t="inlineStr">
        <is>
          <t>6.47</t>
        </is>
      </c>
      <c r="L3276" t="n">
        <v>99.98999999999999</v>
      </c>
      <c r="M3276" s="1" t="inlineStr">
        <is>
          <t>1,445.44%</t>
        </is>
      </c>
      <c r="N3276" s="7" t="n">
        <v>84.72</v>
      </c>
      <c r="O3276" t="n">
        <v>5</v>
      </c>
      <c r="P3276" t="n">
        <v>2</v>
      </c>
      <c r="R3276" t="inlineStr">
        <is>
          <t>InStock</t>
        </is>
      </c>
      <c r="S3276" t="inlineStr">
        <is>
          <t>9.44</t>
        </is>
      </c>
      <c r="T3276" t="inlineStr">
        <is>
          <t>5313711046824</t>
        </is>
      </c>
    </row>
    <row r="3277" ht="87" customHeight="1">
      <c r="A3277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277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277" t="inlineStr">
        <is>
          <t>Diablo Tools DMAPL4010 5/32 in. x 2 in. x 4 in. Rebar Demon™ SDS-Plus 4-Cutter Full Carbide Head Hammer Bit</t>
        </is>
      </c>
      <c r="D3277" t="inlineStr">
        <is>
          <t>Diablo by Freud DMAMX1240 1 in. x 31 in. x 36 in. Rebar Demon SDS-Max 4-Cutter Full Carbide Head Hammer Bit</t>
        </is>
      </c>
      <c r="E3277" s="2">
        <f>HYPERLINK("https://www.amazon.com/Diablo-SDS-Max-4-Cutter-Carbide-Hammer/dp/B089KWF9R4/ref=sr_1_43?keywords=Diablo+Tools+DMAPL4010+5%2F32+in.+x+2+in.+x+4+in.+Rebar+Demon%E2%84%A2+SDS-Plus+4-Cutter+Full+Carbide+Head+Hammer+Bit&amp;qid=1694735296&amp;sr=8-43", "https://www.amazon.com/Diablo-SDS-Max-4-Cutter-Carbide-Hammer/dp/B089KWF9R4/ref=sr_1_43?keywords=Diablo+Tools+DMAPL4010+5%2F32+in.+x+2+in.+x+4+in.+Rebar+Demon%E2%84%A2+SDS-Plus+4-Cutter+Full+Carbide+Head+Hammer+Bit&amp;qid=1694735296&amp;sr=8-43")</f>
        <v/>
      </c>
      <c r="F3277" t="inlineStr">
        <is>
          <t>B089KWF9R4</t>
        </is>
      </c>
      <c r="G3277">
        <f>_xlfn.IMAGE("https://edmondsonsupply.com/cdn/shop/products/DMAPL4010.jpg?v=1633030357")</f>
        <v/>
      </c>
      <c r="H3277">
        <f>_xlfn.IMAGE("https://m.media-amazon.com/images/I/61UhVlNC+9L._AC_UL320_.jpg")</f>
        <v/>
      </c>
      <c r="K3277" t="inlineStr">
        <is>
          <t>6.48</t>
        </is>
      </c>
      <c r="L3277" t="n">
        <v>100</v>
      </c>
      <c r="M3277" s="1" t="inlineStr">
        <is>
          <t>1,443.21%</t>
        </is>
      </c>
      <c r="N3277" s="7" t="n">
        <v>84.59999999999999</v>
      </c>
      <c r="O3277" t="n">
        <v>5</v>
      </c>
      <c r="P3277" t="n">
        <v>3</v>
      </c>
      <c r="R3277" t="inlineStr">
        <is>
          <t>InStock</t>
        </is>
      </c>
      <c r="S3277" t="inlineStr">
        <is>
          <t>10.3</t>
        </is>
      </c>
      <c r="T3277" t="inlineStr">
        <is>
          <t>5286308380840</t>
        </is>
      </c>
    </row>
    <row r="3278" ht="87" customHeight="1">
      <c r="A3278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278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278" t="inlineStr">
        <is>
          <t>Diablo Tools DMAPL4010 5/32 in. x 2 in. x 4 in. Rebar Demon™ SDS-Plus 4-Cutter Full Carbide Head Hammer Bit</t>
        </is>
      </c>
      <c r="D3278" t="inlineStr">
        <is>
          <t>Diablo by Freud DMAPL4180-P25 1/2 in. x 4 in. x 6 in. Rebar Demon SDS-Plus 4-Cutter Full Carbide Head Hammer Bit (25-Pack) Multi, One Size</t>
        </is>
      </c>
      <c r="E3278" s="2">
        <f>HYPERLINK("https://www.amazon.com/Diablo-Rebar-4-Cutter-Carbide-Hammer/dp/B089LGWV7F/ref=sr_1_5?keywords=Diablo+Tools+DMAPL4010+5%2F32+in.+x+2+in.+x+4+in.+Rebar+Demon%E2%84%A2+SDS-Plus+4-Cutter+Full+Carbide+Head+Hammer+Bit&amp;qid=1694735296&amp;sr=8-5", "https://www.amazon.com/Diablo-Rebar-4-Cutter-Carbide-Hammer/dp/B089LGWV7F/ref=sr_1_5?keywords=Diablo+Tools+DMAPL4010+5%2F32+in.+x+2+in.+x+4+in.+Rebar+Demon%E2%84%A2+SDS-Plus+4-Cutter+Full+Carbide+Head+Hammer+Bit&amp;qid=1694735296&amp;sr=8-5")</f>
        <v/>
      </c>
      <c r="F3278" t="inlineStr">
        <is>
          <t>B089LGWV7F</t>
        </is>
      </c>
      <c r="G3278">
        <f>_xlfn.IMAGE("https://edmondsonsupply.com/cdn/shop/products/DMAPL4010.jpg?v=1633030357")</f>
        <v/>
      </c>
      <c r="H3278">
        <f>_xlfn.IMAGE("https://m.media-amazon.com/images/I/61q9iw+mKpL._AC_UL320_.jpg")</f>
        <v/>
      </c>
      <c r="K3278" t="inlineStr">
        <is>
          <t>6.48</t>
        </is>
      </c>
      <c r="L3278" t="n">
        <v>99.98999999999999</v>
      </c>
      <c r="M3278" s="1" t="inlineStr">
        <is>
          <t>1,443.06%</t>
        </is>
      </c>
      <c r="N3278" s="7" t="n">
        <v>84.59</v>
      </c>
      <c r="O3278" t="n">
        <v>5</v>
      </c>
      <c r="P3278" t="n">
        <v>2</v>
      </c>
      <c r="R3278" t="inlineStr">
        <is>
          <t>InStock</t>
        </is>
      </c>
      <c r="S3278" t="inlineStr">
        <is>
          <t>10.3</t>
        </is>
      </c>
      <c r="T3278" t="inlineStr">
        <is>
          <t>5286308380840</t>
        </is>
      </c>
    </row>
    <row r="3279" hidden="1" ht="15.75" customHeight="1">
      <c r="A3279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279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279" t="inlineStr">
        <is>
          <t>Diablo Tools DMAPL4060 1/4 in. x 2 in. x 4 in. Rebar Demon™ SDS‑Plus 4‑Cutter Full Carbide Head Hammer Bit</t>
        </is>
      </c>
      <c r="D3279" t="inlineStr">
        <is>
          <t>Diablo DMAMX1180 7/8 in. x 16 in. x 21 in. Rebar Demon™ SDS-Max 4-Cutter Full Carbide Head Hammer Bit</t>
        </is>
      </c>
      <c r="E3279" s="2">
        <f>HYPERLINK("https://www.amazon.com/Diablo-SDS-Max-4-Cutter-Carbide-Hammer/dp/B089KWFF8B/ref=sr_1_36?keywords=Diablo+Tools+DMAPL4060+1%2F4+in.+x+2+in.+x+4+in.+Rebar+Demon%E2%84%A2+SDS%E2%80%91Plus+4%E2%80%91Cutter+Full+Carbide+Head+Hammer+Bit&amp;qid=1694735165&amp;sr=8-36", "https://www.amazon.com/Diablo-SDS-Max-4-Cutter-Carbide-Hammer/dp/B089KWFF8B/ref=sr_1_36?keywords=Diablo+Tools+DMAPL4060+1%2F4+in.+x+2+in.+x+4+in.+Rebar+Demon%E2%84%A2+SDS%E2%80%91Plus+4%E2%80%91Cutter+Full+Carbide+Head+Hammer+Bit&amp;qid=1694735165&amp;sr=8-36")</f>
        <v/>
      </c>
      <c r="F3279" t="inlineStr">
        <is>
          <t>B089KWFF8B</t>
        </is>
      </c>
      <c r="G3279">
        <f>_xludf.IMAGE("https://edmondsonsupply.com/cdn/shop/products/4060.webp?v=1647637028")</f>
        <v/>
      </c>
      <c r="H3279">
        <f>_xludf.IMAGE("https://m.media-amazon.com/images/I/611fTcYRNFL._AC_UL320_.jpg")</f>
        <v/>
      </c>
      <c r="K3279" t="inlineStr">
        <is>
          <t>3.47</t>
        </is>
      </c>
      <c r="L3279" t="n">
        <v>52.51</v>
      </c>
      <c r="M3279" s="1" t="inlineStr">
        <is>
          <t>1,413.26%</t>
        </is>
      </c>
      <c r="N3279" s="1" t="n">
        <v>84.58</v>
      </c>
      <c r="O3279" t="n">
        <v>3.5</v>
      </c>
      <c r="P3279" t="n">
        <v>3</v>
      </c>
      <c r="R3279" t="inlineStr">
        <is>
          <t>InStock</t>
        </is>
      </c>
      <c r="S3279" t="inlineStr">
        <is>
          <t>6.0</t>
        </is>
      </c>
      <c r="T3279" t="inlineStr">
        <is>
          <t>7639203807448</t>
        </is>
      </c>
    </row>
    <row r="3280" ht="87" customHeight="1">
      <c r="A3280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280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280" t="inlineStr">
        <is>
          <t>Diablo Tools DMAPL4090 1/4 in. x 10 in. x 12 in. Rebar Demon™ SDS‑Plus 4‑Cutter Full Carbide Head Hammer Bit</t>
        </is>
      </c>
      <c r="D3280" t="inlineStr">
        <is>
          <t>Diablo by Freud DMAPL4160-P25 3/8 in. x 10 in. x 12 in. Rebar Demon SDS-Plus 4-Cutter Full Carbide Head Hammer Bit (25-Pack)</t>
        </is>
      </c>
      <c r="E3280" s="2" t="n"/>
      <c r="F3280" t="inlineStr">
        <is>
          <t>B089LKWCD1</t>
        </is>
      </c>
      <c r="G3280">
        <f>_xlfn.IMAGE("https://edmondsonsupply.com/cdn/shop/products/nf6i5llohxcmlh9huvf0.webp?v=1670438124")</f>
        <v/>
      </c>
      <c r="H3280">
        <f>_xlfn.IMAGE("https://m.media-amazon.com/images/I/61MHnm3+2bL._AC_UL320_.jpg")</f>
        <v/>
      </c>
      <c r="K3280" t="inlineStr">
        <is>
          <t>11.97</t>
        </is>
      </c>
      <c r="L3280" t="n">
        <v>180.97</v>
      </c>
      <c r="M3280" s="1" t="inlineStr">
        <is>
          <t>1,411.86%</t>
        </is>
      </c>
      <c r="N3280" s="7" t="n">
        <v>83.77</v>
      </c>
      <c r="O3280" t="n">
        <v>5</v>
      </c>
      <c r="P3280" t="n">
        <v>1</v>
      </c>
      <c r="R3280" t="inlineStr">
        <is>
          <t>InStock</t>
        </is>
      </c>
      <c r="S3280" t="inlineStr">
        <is>
          <t>16.41</t>
        </is>
      </c>
      <c r="T3280" t="inlineStr">
        <is>
          <t>5317905973416</t>
        </is>
      </c>
    </row>
    <row r="3281" ht="87" customHeight="1">
      <c r="A3281" s="2">
        <f>HYPERLINK("https://edmondsonsupply.com/collections/electricians-tools/products/diablo-tools-dmapl2300-1-2-in-x-4-in-x-6-in-sds-plus-2-cutter", "https://edmondsonsupply.com/collections/electricians-tools/products/diablo-tools-dmapl2300-1-2-in-x-4-in-x-6-in-sds-plus-2-cutter")</f>
        <v/>
      </c>
      <c r="B3281" s="2">
        <f>HYPERLINK("https://edmondsonsupply.com/products/diablo-tools-dmapl2300-1-2-in-x-4-in-x-6-in-sds-plus-2-cutter", "https://edmondsonsupply.com/products/diablo-tools-dmapl2300-1-2-in-x-4-in-x-6-in-sds-plus-2-cutter")</f>
        <v/>
      </c>
      <c r="C3281" t="inlineStr">
        <is>
          <t>Diablo Tools DMAPL2300 1/2 in. x 4 in. x 6 in. SDS‑Plus 2‑Cutter</t>
        </is>
      </c>
      <c r="D3281" t="inlineStr">
        <is>
          <t>Diablo by Freud DMAPL4180-P25 1/2 in. x 4 in. x 6 in. Rebar Demon SDS-Plus 4-Cutter Full Carbide Head Hammer Bit (25-Pack) Multi, One Size</t>
        </is>
      </c>
      <c r="E3281" s="2">
        <f>HYPERLINK("https://www.amazon.com/Diablo-Rebar-4-Cutter-Carbide-Hammer/dp/B089LGWV7F/ref=sr_1_14?keywords=Diablo+Tools+DMAPL2300+1%2F2+in.+x+4+in.+x+6+in.+SDS%E2%80%91Plus+2%E2%80%91Cutter&amp;qid=1694735256&amp;sr=8-14", "https://www.amazon.com/Diablo-Rebar-4-Cutter-Carbide-Hammer/dp/B089LGWV7F/ref=sr_1_14?keywords=Diablo+Tools+DMAPL2300+1%2F2+in.+x+4+in.+x+6+in.+SDS%E2%80%91Plus+2%E2%80%91Cutter&amp;qid=1694735256&amp;sr=8-14")</f>
        <v/>
      </c>
      <c r="F3281" t="inlineStr">
        <is>
          <t>B089LGWV7F</t>
        </is>
      </c>
      <c r="G3281">
        <f>_xlfn.IMAGE("https://edmondsonsupply.com/cdn/shop/products/DMAPL2300-P25_Main-Image20200701_f135ab9e-1d6a-4464-ad6a-807f2f571e10.png?v=1633030655")</f>
        <v/>
      </c>
      <c r="H3281">
        <f>_xlfn.IMAGE("https://m.media-amazon.com/images/I/61q9iw+mKpL._AC_UL320_.jpg")</f>
        <v/>
      </c>
      <c r="K3281" t="inlineStr">
        <is>
          <t>6.97</t>
        </is>
      </c>
      <c r="L3281" t="n">
        <v>99.98999999999999</v>
      </c>
      <c r="M3281" s="1" t="inlineStr">
        <is>
          <t>1,334.58%</t>
        </is>
      </c>
      <c r="N3281" s="7" t="n">
        <v>83.75</v>
      </c>
      <c r="O3281" t="n">
        <v>5</v>
      </c>
      <c r="P3281" t="n">
        <v>2</v>
      </c>
      <c r="R3281" t="inlineStr">
        <is>
          <t>InStock</t>
        </is>
      </c>
      <c r="S3281" t="inlineStr">
        <is>
          <t>8.4</t>
        </is>
      </c>
      <c r="T3281" t="inlineStr">
        <is>
          <t>5740710887592</t>
        </is>
      </c>
    </row>
    <row r="3282" ht="87" customHeight="1">
      <c r="A3282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3282" s="2">
        <f>HYPERLINK("https://edmondsonsupply.com/products/klein-tools-55470-stand-up-zipper-bags-2-pack", "https://edmondsonsupply.com/products/klein-tools-55470-stand-up-zipper-bags-2-pack")</f>
        <v/>
      </c>
      <c r="C3282" t="inlineStr">
        <is>
          <t>Klein Tools 55470 Zipper Bag, Stand-Up Tool Pouch, 2-Pack</t>
        </is>
      </c>
      <c r="D3282" t="inlineStr">
        <is>
          <t>Klein Tools 55485 Tool Bag Backpack, Durable Electrician Backpack &amp; 55470 Utility Bag, Stand-Up Zipper Tool Bags, Tough 1680d Ballistic Weave, Reinforced Bottoms, Orange/Black, Gray/Black, 2-Pack</t>
        </is>
      </c>
      <c r="E3282" s="2">
        <f>HYPERLINK("https://www.amazon.com/Klein-Tools-Electrician-Ballistic-Reinforced/dp/B09T6ZR6SS/ref=sr_1_19?keywords=Klein+Tools+55470+Zipper+Bag%2C+Stand-Up+Tool+Pouch%2C+2-Pack&amp;qid=1694735348&amp;sr=8-19", "https://www.amazon.com/Klein-Tools-Electrician-Ballistic-Reinforced/dp/B09T6ZR6SS/ref=sr_1_19?keywords=Klein+Tools+55470+Zipper+Bag%2C+Stand-Up+Tool+Pouch%2C+2-Pack&amp;qid=1694735348&amp;sr=8-19")</f>
        <v/>
      </c>
      <c r="F3282" t="inlineStr">
        <is>
          <t>B09T6ZR6SS</t>
        </is>
      </c>
      <c r="G3282">
        <f>_xlfn.IMAGE("https://edmondsonsupply.com/cdn/shop/products/55470.jpg?v=1587149313")</f>
        <v/>
      </c>
      <c r="H3282">
        <f>_xlfn.IMAGE("https://m.media-amazon.com/images/I/51mrs2VNfrL._AC_UL320_.jpg")</f>
        <v/>
      </c>
      <c r="K3282" t="inlineStr">
        <is>
          <t>14.97</t>
        </is>
      </c>
      <c r="L3282" t="n">
        <v>213.99</v>
      </c>
      <c r="M3282" s="1" t="inlineStr">
        <is>
          <t>1,329.46%</t>
        </is>
      </c>
      <c r="N3282" s="7" t="n">
        <v>83.68000000000001</v>
      </c>
      <c r="O3282" t="n">
        <v>5</v>
      </c>
      <c r="P3282" t="n">
        <v>14</v>
      </c>
      <c r="R3282" t="inlineStr">
        <is>
          <t>InStock</t>
        </is>
      </c>
      <c r="S3282" t="inlineStr">
        <is>
          <t>21.5</t>
        </is>
      </c>
      <c r="T3282" t="inlineStr">
        <is>
          <t>1723696971876</t>
        </is>
      </c>
    </row>
    <row r="3283" ht="87" customHeight="1">
      <c r="A3283" s="2">
        <f>HYPERLINK("https://edmondsonsupply.com/collections/electricians-tools/products/diablo-tools-dmapl2300-1-2-in-x-4-in-x-6-in-sds-plus-2-cutter", "https://edmondsonsupply.com/collections/electricians-tools/products/diablo-tools-dmapl2300-1-2-in-x-4-in-x-6-in-sds-plus-2-cutter")</f>
        <v/>
      </c>
      <c r="B3283" s="2">
        <f>HYPERLINK("https://edmondsonsupply.com/products/diablo-tools-dmapl2300-1-2-in-x-4-in-x-6-in-sds-plus-2-cutter", "https://edmondsonsupply.com/products/diablo-tools-dmapl2300-1-2-in-x-4-in-x-6-in-sds-plus-2-cutter")</f>
        <v/>
      </c>
      <c r="C3283" t="inlineStr">
        <is>
          <t>Diablo Tools DMAPL2300 1/2 in. x 4 in. x 6 in. SDS‑Plus 2‑Cutter</t>
        </is>
      </c>
      <c r="D3283" t="inlineStr">
        <is>
          <t>Diablo DMAMX1360 1-1/2 in. x 16 in. x 21 in. Rebar Demon™ SDS-Max 4-Cutter Carbide-Tipped Hammer Bit</t>
        </is>
      </c>
      <c r="E3283" s="2">
        <f>HYPERLINK("https://www.amazon.com/Diablo-SDS-Max-4-Cutter-Carbide-Tipped-Hammer/dp/B089KXF4R5/ref=sr_1_45?keywords=Diablo+Tools+DMAPL2300+1%2F2+in.+x+4+in.+x+6+in.+SDS%E2%80%91Plus+2%E2%80%91Cutter&amp;qid=1694735256&amp;sr=8-45", "https://www.amazon.com/Diablo-SDS-Max-4-Cutter-Carbide-Tipped-Hammer/dp/B089KXF4R5/ref=sr_1_45?keywords=Diablo+Tools+DMAPL2300+1%2F2+in.+x+4+in.+x+6+in.+SDS%E2%80%91Plus+2%E2%80%91Cutter&amp;qid=1694735256&amp;sr=8-45")</f>
        <v/>
      </c>
      <c r="F3283" t="inlineStr">
        <is>
          <t>B089KXF4R5</t>
        </is>
      </c>
      <c r="G3283">
        <f>_xlfn.IMAGE("https://edmondsonsupply.com/cdn/shop/products/DMAPL2300-P25_Main-Image20200701_f135ab9e-1d6a-4464-ad6a-807f2f571e10.png?v=1633030655")</f>
        <v/>
      </c>
      <c r="H3283">
        <f>_xlfn.IMAGE("https://m.media-amazon.com/images/I/61MTkJ-cWaL._AC_UL320_.jpg")</f>
        <v/>
      </c>
      <c r="K3283" t="inlineStr">
        <is>
          <t>6.97</t>
        </is>
      </c>
      <c r="L3283" t="n">
        <v>98.98999999999999</v>
      </c>
      <c r="M3283" s="1" t="inlineStr">
        <is>
          <t>1,320.23%</t>
        </is>
      </c>
      <c r="N3283" s="7" t="n">
        <v>83.63</v>
      </c>
      <c r="O3283" t="n">
        <v>5</v>
      </c>
      <c r="P3283" t="n">
        <v>5</v>
      </c>
      <c r="R3283" t="inlineStr">
        <is>
          <t>InStock</t>
        </is>
      </c>
      <c r="S3283" t="inlineStr">
        <is>
          <t>8.4</t>
        </is>
      </c>
      <c r="T3283" t="inlineStr">
        <is>
          <t>5740710887592</t>
        </is>
      </c>
    </row>
    <row r="3284" ht="87" customHeight="1">
      <c r="A3284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284" s="2">
        <f>HYPERLINK("https://edmondsonsupply.com/products/klein-tools-et45-ac-dc-voltage-tester", "https://edmondsonsupply.com/products/klein-tools-et45-ac-dc-voltage-tester")</f>
        <v/>
      </c>
      <c r="C3284" t="inlineStr">
        <is>
          <t>Klein Tools ET45 AC/DC Voltage Tester</t>
        </is>
      </c>
      <c r="D3284" t="inlineStr">
        <is>
          <t>Klein Tools HVNCVT-1 Dual-Range Non-Contact High-Voltage Tester, Dual-Range, Audio/Visual Indicators, Water Resistant, With Case and Battery, Black</t>
        </is>
      </c>
      <c r="E3284" s="2">
        <f>HYPERLINK("https://www.amazon.com/Voltage-Tester-Klein-Tools-HVNCVT-1/dp/B015KU2EXU/ref=sr_1_20?keywords=Klein+Tools+ET45+AC%2FDC+Voltage+Tester&amp;qid=1694735227&amp;sr=8-20", "https://www.amazon.com/Voltage-Tester-Klein-Tools-HVNCVT-1/dp/B015KU2EXU/ref=sr_1_20?keywords=Klein+Tools+ET45+AC%2FDC+Voltage+Tester&amp;qid=1694735227&amp;sr=8-20")</f>
        <v/>
      </c>
      <c r="F3284" t="inlineStr">
        <is>
          <t>B015KU2EXU</t>
        </is>
      </c>
      <c r="G3284">
        <f>_xlfn.IMAGE("https://edmondsonsupply.com/cdn/shop/products/et45.jpg?v=1647786270")</f>
        <v/>
      </c>
      <c r="H3284">
        <f>_xlfn.IMAGE("https://m.media-amazon.com/images/I/51vp8USEpSL._AC_UL320_.jpg")</f>
        <v/>
      </c>
      <c r="K3284" t="inlineStr">
        <is>
          <t>11.99</t>
        </is>
      </c>
      <c r="L3284" t="n">
        <v>168.19</v>
      </c>
      <c r="M3284" s="1" t="inlineStr">
        <is>
          <t>1,302.75%</t>
        </is>
      </c>
      <c r="N3284" s="7" t="n">
        <v>83.43000000000001</v>
      </c>
      <c r="O3284" t="n">
        <v>4.4</v>
      </c>
      <c r="P3284" t="n">
        <v>86</v>
      </c>
      <c r="R3284" t="inlineStr">
        <is>
          <t>InStock</t>
        </is>
      </c>
      <c r="S3284" t="inlineStr">
        <is>
          <t>16.72</t>
        </is>
      </c>
      <c r="T3284" t="inlineStr">
        <is>
          <t>3688633630820</t>
        </is>
      </c>
    </row>
    <row r="3285" ht="87" customHeight="1">
      <c r="A3285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285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285" t="inlineStr">
        <is>
          <t>Diablo Tools DMAPL4140 3/8 in. x 4 in. x 6 in. Rebar Demon™ SDS-Plus 4-Cutter Full Carbide Head Hammer Bit</t>
        </is>
      </c>
      <c r="D3285" t="inlineStr">
        <is>
          <t>Diablo 7/8" x 31"x36" Rebar Demon™ SDS-Max 4-Cutter Full Carbide Head Hammer Bit</t>
        </is>
      </c>
      <c r="E3285" s="2">
        <f>HYPERLINK("https://www.amazon.com/Diablo-SDS-Max-4-Cutter-Carbide-Hammer/dp/B089KVQH88/ref=sr_1_39?keywords=Diablo+Tools+DMAPL4140+3%2F8+in.+x+4+in.+x+6+in.+Rebar+Demon%E2%84%A2+SDS-Plus+4-Cutter+Full+Carbide+Head+Hammer+Bit&amp;qid=1694735296&amp;sr=8-39", "https://www.amazon.com/Diablo-SDS-Max-4-Cutter-Carbide-Hammer/dp/B089KVQH88/ref=sr_1_39?keywords=Diablo+Tools+DMAPL4140+3%2F8+in.+x+4+in.+x+6+in.+Rebar+Demon%E2%84%A2+SDS-Plus+4-Cutter+Full+Carbide+Head+Hammer+Bit&amp;qid=1694735296&amp;sr=8-39")</f>
        <v/>
      </c>
      <c r="F3285" t="inlineStr">
        <is>
          <t>B089KVQH88</t>
        </is>
      </c>
      <c r="G3285">
        <f>_xlfn.IMAGE("https://edmondsonsupply.com/cdn/shop/products/DMAPL4140_Main-Image20200701.png?v=1633030360")</f>
        <v/>
      </c>
      <c r="H3285">
        <f>_xlfn.IMAGE("https://m.media-amazon.com/images/I/61mEIK0ojUL._AC_UL320_.jpg")</f>
        <v/>
      </c>
      <c r="K3285" t="inlineStr">
        <is>
          <t>7.29</t>
        </is>
      </c>
      <c r="L3285" t="n">
        <v>99.98999999999999</v>
      </c>
      <c r="M3285" s="1" t="inlineStr">
        <is>
          <t>1,271.60%</t>
        </is>
      </c>
      <c r="N3285" s="7" t="n">
        <v>83.33</v>
      </c>
      <c r="O3285" t="n">
        <v>5</v>
      </c>
      <c r="P3285" t="n">
        <v>1</v>
      </c>
      <c r="R3285" t="inlineStr">
        <is>
          <t>InStock</t>
        </is>
      </c>
      <c r="S3285" t="inlineStr">
        <is>
          <t>undefined</t>
        </is>
      </c>
      <c r="T3285" t="inlineStr">
        <is>
          <t>5286771949736</t>
        </is>
      </c>
    </row>
    <row r="3286" ht="87" customHeight="1">
      <c r="A3286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286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286" t="inlineStr">
        <is>
          <t>Diablo Tools DMAPL4140 3/8 in. x 4 in. x 6 in. Rebar Demon™ SDS-Plus 4-Cutter Full Carbide Head Hammer Bit</t>
        </is>
      </c>
      <c r="D3286" t="inlineStr">
        <is>
          <t>Diablo by Freud DMAPL4180-P25 1/2 in. x 4 in. x 6 in. Rebar Demon SDS-Plus 4-Cutter Full Carbide Head Hammer Bit (25-Pack) Multi, One Size</t>
        </is>
      </c>
      <c r="E3286" s="2">
        <f>HYPERLINK("https://www.amazon.com/Diablo-Rebar-4-Cutter-Carbide-Hammer/dp/B089LGWV7F/ref=sr_1_6?keywords=Diablo+Tools+DMAPL4140+3%2F8+in.+x+4+in.+x+6+in.+Rebar+Demon%E2%84%A2+SDS-Plus+4-Cutter+Full+Carbide+Head+Hammer+Bit&amp;qid=1694735296&amp;sr=8-6", "https://www.amazon.com/Diablo-Rebar-4-Cutter-Carbide-Hammer/dp/B089LGWV7F/ref=sr_1_6?keywords=Diablo+Tools+DMAPL4140+3%2F8+in.+x+4+in.+x+6+in.+Rebar+Demon%E2%84%A2+SDS-Plus+4-Cutter+Full+Carbide+Head+Hammer+Bit&amp;qid=1694735296&amp;sr=8-6")</f>
        <v/>
      </c>
      <c r="F3286" t="inlineStr">
        <is>
          <t>B089LGWV7F</t>
        </is>
      </c>
      <c r="G3286">
        <f>_xlfn.IMAGE("https://edmondsonsupply.com/cdn/shop/products/DMAPL4140_Main-Image20200701.png?v=1633030360")</f>
        <v/>
      </c>
      <c r="H3286">
        <f>_xlfn.IMAGE("https://m.media-amazon.com/images/I/61q9iw+mKpL._AC_UL320_.jpg")</f>
        <v/>
      </c>
      <c r="K3286" t="inlineStr">
        <is>
          <t>7.29</t>
        </is>
      </c>
      <c r="L3286" t="n">
        <v>99.98999999999999</v>
      </c>
      <c r="M3286" s="1" t="inlineStr">
        <is>
          <t>1,271.60%</t>
        </is>
      </c>
      <c r="N3286" s="7" t="n">
        <v>83.31999999999999</v>
      </c>
      <c r="O3286" t="n">
        <v>5</v>
      </c>
      <c r="P3286" t="n">
        <v>2</v>
      </c>
      <c r="R3286" t="inlineStr">
        <is>
          <t>InStock</t>
        </is>
      </c>
      <c r="S3286" t="inlineStr">
        <is>
          <t>undefined</t>
        </is>
      </c>
      <c r="T3286" t="inlineStr">
        <is>
          <t>5286771949736</t>
        </is>
      </c>
    </row>
    <row r="3287" hidden="1" ht="15.75" customHeight="1">
      <c r="A3287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3287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3287" t="inlineStr">
        <is>
          <t>Milwaukee 48-39-0572 18 TPI Standard Compact Portable Band Saw Blade BULK 100</t>
        </is>
      </c>
      <c r="D3287" t="inlineStr">
        <is>
          <t>Milwaukee 48-39-0527 Compact Band Saw Blade 35-3/8-Inch 18TPI, 100 Pack</t>
        </is>
      </c>
      <c r="E3287" s="2">
        <f>HYPERLINK("https://www.amazon.com/Milwaukee-48-39-0527-Compact-Blade-8-Inch/dp/B003BWTFG4/ref=sr_1_14?keywords=Milwaukee+48-39-0572+18+TPI+Standard+Compact+Portable+Band+Saw+Blade+BULK+100&amp;qid=1694735025&amp;sr=8-14", "https://www.amazon.com/Milwaukee-48-39-0527-Compact-Blade-8-Inch/dp/B003BWTFG4/ref=sr_1_14?keywords=Milwaukee+48-39-0572+18+TPI+Standard+Compact+Portable+Band+Saw+Blade+BULK+100&amp;qid=1694735025&amp;sr=8-14")</f>
        <v/>
      </c>
      <c r="F3287" t="inlineStr">
        <is>
          <t>B003BWTFG4</t>
        </is>
      </c>
      <c r="G3287">
        <f>_xludf.IMAGE("https://edmondsonsupply.com/cdn/shop/products/21432_48-39-0510.jpg?v=1678901662")</f>
        <v/>
      </c>
      <c r="H3287">
        <f>_xludf.IMAGE("https://m.media-amazon.com/images/I/51qJQpwZW7L._AC_UL320_.jpg")</f>
        <v/>
      </c>
      <c r="K3287" t="inlineStr">
        <is>
          <t>21.97</t>
        </is>
      </c>
      <c r="L3287" t="n">
        <v>299</v>
      </c>
      <c r="M3287" s="1" t="inlineStr">
        <is>
          <t>1,260.95%</t>
        </is>
      </c>
      <c r="N3287" s="1" t="n">
        <v>83.31999999999999</v>
      </c>
      <c r="O3287" t="n">
        <v>3</v>
      </c>
      <c r="P3287" t="n">
        <v>2</v>
      </c>
      <c r="R3287" t="inlineStr">
        <is>
          <t>InStock</t>
        </is>
      </c>
      <c r="S3287" t="inlineStr">
        <is>
          <t>27.5</t>
        </is>
      </c>
      <c r="T3287" t="inlineStr">
        <is>
          <t>7962068549848</t>
        </is>
      </c>
    </row>
    <row r="3288" ht="87" customHeight="1">
      <c r="A3288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288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288" t="inlineStr">
        <is>
          <t>Diablo Tools DMAPL4080 1/4 in. x 6 in. x 8 in. Rebar Demon™ SDS-Plus 4-Cutter Full Carbide Head Hammer Bit</t>
        </is>
      </c>
      <c r="D3288" t="inlineStr">
        <is>
          <t>Diablo by Freud DMAPL4180-P25 1/2 in. x 4 in. x 6 in. Rebar Demon SDS-Plus 4-Cutter Full Carbide Head Hammer Bit (25-Pack) Multi, One Size</t>
        </is>
      </c>
      <c r="E3288" s="2">
        <f>HYPERLINK("https://www.amazon.com/Diablo-Rebar-4-Cutter-Carbide-Hammer/dp/B089LGWV7F/ref=sr_1_29?keywords=Diablo+Tools+DMAPL4080+1%2F4+in.+x+6+in.+x+8+in.+Rebar+Demon%E2%84%A2+SDS-Plus+4-Cutter+Full+Carbide+Head+Hammer+Bit&amp;qid=1694735294&amp;sr=8-29", "https://www.amazon.com/Diablo-Rebar-4-Cutter-Carbide-Hammer/dp/B089LGWV7F/ref=sr_1_29?keywords=Diablo+Tools+DMAPL4080+1%2F4+in.+x+6+in.+x+8+in.+Rebar+Demon%E2%84%A2+SDS-Plus+4-Cutter+Full+Carbide+Head+Hammer+Bit&amp;qid=1694735294&amp;sr=8-29")</f>
        <v/>
      </c>
      <c r="F3288" t="inlineStr">
        <is>
          <t>B089LGWV7F</t>
        </is>
      </c>
      <c r="G3288">
        <f>_xlfn.IMAGE("https://edmondsonsupply.com/cdn/shop/products/DMAPL4080_1.jpg?v=1633030359")</f>
        <v/>
      </c>
      <c r="H3288">
        <f>_xlfn.IMAGE("https://m.media-amazon.com/images/I/61q9iw+mKpL._AC_UL320_.jpg")</f>
        <v/>
      </c>
      <c r="K3288" t="inlineStr">
        <is>
          <t>7.47</t>
        </is>
      </c>
      <c r="L3288" t="n">
        <v>99.98999999999999</v>
      </c>
      <c r="M3288" s="1" t="inlineStr">
        <is>
          <t>1,238.55%</t>
        </is>
      </c>
      <c r="N3288" s="7" t="n">
        <v>83.31999999999999</v>
      </c>
      <c r="O3288" t="n">
        <v>5</v>
      </c>
      <c r="P3288" t="n">
        <v>2</v>
      </c>
      <c r="R3288" t="inlineStr">
        <is>
          <t>InStock</t>
        </is>
      </c>
      <c r="S3288" t="inlineStr">
        <is>
          <t>undefined</t>
        </is>
      </c>
      <c r="T3288" t="inlineStr">
        <is>
          <t>5286767919272</t>
        </is>
      </c>
    </row>
    <row r="3289" ht="87" customHeight="1">
      <c r="A3289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289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289" t="inlineStr">
        <is>
          <t>Diablo Tools DMAPL4080 1/4 in. x 6 in. x 8 in. Rebar Demon™ SDS-Plus 4-Cutter Full Carbide Head Hammer Bit</t>
        </is>
      </c>
      <c r="D3289" t="inlineStr">
        <is>
          <t>Diablo 7/8" x 31"x36" Rebar Demon™ SDS-Max 4-Cutter Full Carbide Head Hammer Bit</t>
        </is>
      </c>
      <c r="E3289" s="2">
        <f>HYPERLINK("https://www.amazon.com/Diablo-SDS-Max-4-Cutter-Carbide-Hammer/dp/B089KVQH88/ref=sr_1_41?keywords=Diablo+Tools+DMAPL4080+1%2F4+in.+x+6+in.+x+8+in.+Rebar+Demon%E2%84%A2+SDS-Plus+4-Cutter+Full+Carbide+Head+Hammer+Bit&amp;qid=1694735294&amp;sr=8-41", "https://www.amazon.com/Diablo-SDS-Max-4-Cutter-Carbide-Hammer/dp/B089KVQH88/ref=sr_1_41?keywords=Diablo+Tools+DMAPL4080+1%2F4+in.+x+6+in.+x+8+in.+Rebar+Demon%E2%84%A2+SDS-Plus+4-Cutter+Full+Carbide+Head+Hammer+Bit&amp;qid=1694735294&amp;sr=8-41")</f>
        <v/>
      </c>
      <c r="F3289" t="inlineStr">
        <is>
          <t>B089KVQH88</t>
        </is>
      </c>
      <c r="G3289">
        <f>_xlfn.IMAGE("https://edmondsonsupply.com/cdn/shop/products/DMAPL4080_1.jpg?v=1633030359")</f>
        <v/>
      </c>
      <c r="H3289">
        <f>_xlfn.IMAGE("https://m.media-amazon.com/images/I/61mEIK0ojUL._AC_UL320_.jpg")</f>
        <v/>
      </c>
      <c r="K3289" t="inlineStr">
        <is>
          <t>7.47</t>
        </is>
      </c>
      <c r="L3289" t="n">
        <v>99.98999999999999</v>
      </c>
      <c r="M3289" s="1" t="inlineStr">
        <is>
          <t>1,238.55%</t>
        </is>
      </c>
      <c r="N3289" s="7" t="n">
        <v>83.23999999999999</v>
      </c>
      <c r="O3289" t="n">
        <v>5</v>
      </c>
      <c r="P3289" t="n">
        <v>1</v>
      </c>
      <c r="R3289" t="inlineStr">
        <is>
          <t>InStock</t>
        </is>
      </c>
      <c r="S3289" t="inlineStr">
        <is>
          <t>undefined</t>
        </is>
      </c>
      <c r="T3289" t="inlineStr">
        <is>
          <t>5286767919272</t>
        </is>
      </c>
    </row>
    <row r="3290" ht="87" customHeight="1">
      <c r="A3290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290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290" t="inlineStr">
        <is>
          <t>Diablo Tools DMAPL4110 5/16 in. x 4 in. x 6 in. Rebar Demon™ SDS‑Plus 4‑Cutter Full Carbide Head Hammer Bit</t>
        </is>
      </c>
      <c r="D3290" t="inlineStr">
        <is>
          <t>Diablo by Freud DMAPL4040-P25 3/16 in. x 4 in. x 6 in. Rebar Demon™ SDS-Plus 4-Cutter Full Carbide Head Hammer Bit (25-Pack)</t>
        </is>
      </c>
      <c r="E3290" s="2" t="n"/>
      <c r="F3290" t="inlineStr">
        <is>
          <t>B089LKW42D</t>
        </is>
      </c>
      <c r="G3290">
        <f>_xlfn.IMAGE("https://edmondsonsupply.com/cdn/shop/products/DMAPL4110_Main-Image20200701.png?v=1633030426")</f>
        <v/>
      </c>
      <c r="H3290">
        <f>_xlfn.IMAGE("https://m.media-amazon.com/images/I/61WAyx865hL._AC_UL320_.jpg")</f>
        <v/>
      </c>
      <c r="K3290" t="inlineStr">
        <is>
          <t>5.97</t>
        </is>
      </c>
      <c r="L3290" t="n">
        <v>79.63</v>
      </c>
      <c r="M3290" s="1" t="inlineStr">
        <is>
          <t>1,233.84%</t>
        </is>
      </c>
      <c r="N3290" s="7" t="n">
        <v>83.22</v>
      </c>
      <c r="O3290" t="n">
        <v>5</v>
      </c>
      <c r="P3290" t="n">
        <v>2</v>
      </c>
      <c r="R3290" t="inlineStr">
        <is>
          <t>InStock</t>
        </is>
      </c>
      <c r="S3290" t="inlineStr">
        <is>
          <t>8.44</t>
        </is>
      </c>
      <c r="T3290" t="inlineStr">
        <is>
          <t>5326873100456</t>
        </is>
      </c>
    </row>
    <row r="3291" ht="87" customHeight="1">
      <c r="A3291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3291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3291" t="inlineStr">
        <is>
          <t>Diablo Tools DMAPL4050 3/16 in. x 6 in. x 8 in. Rebar Demon™ SDS‑Plus 4‑Cutter Full Carbide Head Hammer Drill Bit</t>
        </is>
      </c>
      <c r="D3291" t="inlineStr">
        <is>
          <t>Diablo by Freud DMAPL4040-P25 3/16 in. x 4 in. x 6 in. Rebar Demon™ SDS-Plus 4-Cutter Full Carbide Head Hammer Bit (25-Pack)</t>
        </is>
      </c>
      <c r="E3291" s="2" t="n"/>
      <c r="F3291" t="inlineStr">
        <is>
          <t>B089LKW42D</t>
        </is>
      </c>
      <c r="G3291">
        <f>_xlfn.IMAGE("https://edmondsonsupply.com/cdn/shop/products/DMAPL4050_Main-Image20200701.png?v=1633030632")</f>
        <v/>
      </c>
      <c r="H3291">
        <f>_xlfn.IMAGE("https://m.media-amazon.com/images/I/61WAyx865hL._AC_UL320_.jpg")</f>
        <v/>
      </c>
      <c r="K3291" t="inlineStr">
        <is>
          <t>5.97</t>
        </is>
      </c>
      <c r="L3291" t="n">
        <v>79.63</v>
      </c>
      <c r="M3291" s="1" t="inlineStr">
        <is>
          <t>1,233.84%</t>
        </is>
      </c>
      <c r="N3291" s="7" t="n">
        <v>83.03</v>
      </c>
      <c r="O3291" t="n">
        <v>5</v>
      </c>
      <c r="P3291" t="n">
        <v>2</v>
      </c>
      <c r="R3291" t="inlineStr">
        <is>
          <t>InStock</t>
        </is>
      </c>
      <c r="S3291" t="inlineStr">
        <is>
          <t>8.82</t>
        </is>
      </c>
      <c r="T3291" t="inlineStr">
        <is>
          <t>5701590188200</t>
        </is>
      </c>
    </row>
    <row r="3292" ht="87" customHeight="1">
      <c r="A3292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292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292" t="inlineStr">
        <is>
          <t>Diablo Tools DMAPL4110 5/16 in. x 4 in. x 6 in. Rebar Demon™ SDS‑Plus 4‑Cutter Full Carbide Head Hammer Bit</t>
        </is>
      </c>
      <c r="D3292" t="inlineStr">
        <is>
          <t>Diablo DMAMX1110 5/8 in. x 24 in. x 29 in. Rebar Demon™ SDS-Max 4-Cutter Full Carbide Head Hammer Bit</t>
        </is>
      </c>
      <c r="E3292" s="2">
        <f>HYPERLINK("https://www.amazon.com/Diablo-SDS-Max-4-Cutter-Carbide-Hammer/dp/B089LJ9GHW/ref=sr_1_40?keywords=Diablo+Tools+DMAPL4110+5%2F16+in.+x+4+in.+x+6+in.+Rebar+Demon%E2%84%A2+SDS%E2%80%91Plus+4%E2%80%91Cutter+Full+Carbide+Head+Hammer+Bit&amp;qid=1694735288&amp;sr=8-40", "https://www.amazon.com/Diablo-SDS-Max-4-Cutter-Carbide-Hammer/dp/B089LJ9GHW/ref=sr_1_40?keywords=Diablo+Tools+DMAPL4110+5%2F16+in.+x+4+in.+x+6+in.+Rebar+Demon%E2%84%A2+SDS%E2%80%91Plus+4%E2%80%91Cutter+Full+Carbide+Head+Hammer+Bit&amp;qid=1694735288&amp;sr=8-40")</f>
        <v/>
      </c>
      <c r="F3292" t="inlineStr">
        <is>
          <t>B089LJ9GHW</t>
        </is>
      </c>
      <c r="G3292">
        <f>_xlfn.IMAGE("https://edmondsonsupply.com/cdn/shop/products/DMAPL4110_Main-Image20200701.png?v=1633030426")</f>
        <v/>
      </c>
      <c r="H3292">
        <f>_xlfn.IMAGE("https://m.media-amazon.com/images/I/61vWAd-z8eL._AC_UL320_.jpg")</f>
        <v/>
      </c>
      <c r="K3292" t="inlineStr">
        <is>
          <t>5.97</t>
        </is>
      </c>
      <c r="L3292" t="n">
        <v>78.98999999999999</v>
      </c>
      <c r="M3292" s="1" t="inlineStr">
        <is>
          <t>1,223.12%</t>
        </is>
      </c>
      <c r="N3292" s="7" t="n">
        <v>82.98999999999999</v>
      </c>
      <c r="O3292" t="n">
        <v>4.7</v>
      </c>
      <c r="P3292" t="n">
        <v>4</v>
      </c>
      <c r="R3292" t="inlineStr">
        <is>
          <t>InStock</t>
        </is>
      </c>
      <c r="S3292" t="inlineStr">
        <is>
          <t>8.44</t>
        </is>
      </c>
      <c r="T3292" t="inlineStr">
        <is>
          <t>5326873100456</t>
        </is>
      </c>
    </row>
    <row r="3293" hidden="1" ht="15.75" customHeight="1">
      <c r="A3293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93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93" t="inlineStr">
        <is>
          <t>Diablo Tools DMAPL4030 3/16 in. x 2 in. x 4 in. Rebar Demon™ SDS-Plus 4-Cutter Full Carbide Head Hammer Bit</t>
        </is>
      </c>
      <c r="D3293" t="inlineStr">
        <is>
          <t>Diablo DMAMX1180 7/8 in. x 16 in. x 21 in. Rebar Demon™ SDS-Max 4-Cutter Full Carbide Head Hammer Bit</t>
        </is>
      </c>
      <c r="E3293" s="2">
        <f>HYPERLINK("https://www.amazon.com/Diablo-SDS-Max-4-Cutter-Carbide-Hammer/dp/B089KWFF8B/ref=sr_1_36?keywords=Diablo+Tools+DMAPL4030+3%2F16+in.+x+2+in.+x+4+in.+Rebar+Demon%E2%84%A2+SDS-Plus+4-Cutter+Full+Carbide+Head+Hammer+Bit&amp;qid=1694735295&amp;sr=8-36", "https://www.amazon.com/Diablo-SDS-Max-4-Cutter-Carbide-Hammer/dp/B089KWFF8B/ref=sr_1_36?keywords=Diablo+Tools+DMAPL4030+3%2F16+in.+x+2+in.+x+4+in.+Rebar+Demon%E2%84%A2+SDS-Plus+4-Cutter+Full+Carbide+Head+Hammer+Bit&amp;qid=1694735295&amp;sr=8-36")</f>
        <v/>
      </c>
      <c r="F3293" t="inlineStr">
        <is>
          <t>B089KWFF8B</t>
        </is>
      </c>
      <c r="G3293">
        <f>_xludf.IMAGE("https://edmondsonsupply.com/cdn/shop/products/DMAPL4030.jpg?v=1633030357")</f>
        <v/>
      </c>
      <c r="H3293">
        <f>_xludf.IMAGE("https://m.media-amazon.com/images/I/611fTcYRNFL._AC_UL320_.jpg")</f>
        <v/>
      </c>
      <c r="K3293" t="inlineStr">
        <is>
          <t>3.97</t>
        </is>
      </c>
      <c r="L3293" t="n">
        <v>52.51</v>
      </c>
      <c r="M3293" s="1" t="inlineStr">
        <is>
          <t>1,222.67%</t>
        </is>
      </c>
      <c r="N3293" s="1" t="n">
        <v>82.73999999999999</v>
      </c>
      <c r="O3293" t="n">
        <v>3.5</v>
      </c>
      <c r="P3293" t="n">
        <v>3</v>
      </c>
      <c r="R3293" t="inlineStr">
        <is>
          <t>InStock</t>
        </is>
      </c>
      <c r="S3293" t="inlineStr">
        <is>
          <t>5.51</t>
        </is>
      </c>
      <c r="T3293" t="inlineStr">
        <is>
          <t>5286322012328</t>
        </is>
      </c>
    </row>
    <row r="3294" ht="87" customHeight="1">
      <c r="A3294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3294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3294" t="inlineStr">
        <is>
          <t>Diablo Tools DMAPL4055 3/16 in. x 10 in. x 12 in. Rebar Demon™ SDS‑Plus 4‑Cutter Full Carbide Head Hammer Bit</t>
        </is>
      </c>
      <c r="D3294" t="inlineStr">
        <is>
          <t>Diablo by Freud DMAPL4160-P25 3/8 in. x 10 in. x 12 in. Rebar Demon SDS-Plus 4-Cutter Full Carbide Head Hammer Bit (25-Pack)</t>
        </is>
      </c>
      <c r="E3294" s="2" t="n"/>
      <c r="F3294" t="inlineStr">
        <is>
          <t>B089LKWCD1</t>
        </is>
      </c>
      <c r="G3294">
        <f>_xlfn.IMAGE("https://edmondsonsupply.com/cdn/shop/products/DMAPL4055_Main-Image20200331.png?v=1633030416")</f>
        <v/>
      </c>
      <c r="H3294">
        <f>_xlfn.IMAGE("https://m.media-amazon.com/images/I/61MHnm3+2bL._AC_UL320_.jpg")</f>
        <v/>
      </c>
      <c r="K3294" t="inlineStr">
        <is>
          <t>13.97</t>
        </is>
      </c>
      <c r="L3294" t="n">
        <v>180.97</v>
      </c>
      <c r="M3294" s="1" t="inlineStr">
        <is>
          <t>1,195.42%</t>
        </is>
      </c>
      <c r="N3294" s="7" t="n">
        <v>82.65000000000001</v>
      </c>
      <c r="O3294" t="n">
        <v>5</v>
      </c>
      <c r="P3294" t="n">
        <v>1</v>
      </c>
      <c r="R3294" t="inlineStr">
        <is>
          <t>InStock</t>
        </is>
      </c>
      <c r="S3294" t="inlineStr">
        <is>
          <t>19.56</t>
        </is>
      </c>
      <c r="T3294" t="inlineStr">
        <is>
          <t>5316790714536</t>
        </is>
      </c>
    </row>
    <row r="3295" ht="87" customHeight="1">
      <c r="A3295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295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295" t="inlineStr">
        <is>
          <t>Diablo Tools DMAPL4030 3/16 in. x 2 in. x 4 in. Rebar Demon™ SDS-Plus 4-Cutter Full Carbide Head Hammer Bit</t>
        </is>
      </c>
      <c r="D3295" t="inlineStr">
        <is>
          <t>Diablo DMAMX1140 3/4 in. x 16 in. x 21 in. Rebar Demon™ SDS-Max 4-Cutter Full Carbide Head Hammer Bit</t>
        </is>
      </c>
      <c r="E3295" s="2">
        <f>HYPERLINK("https://www.amazon.com/Diablo-SDS-Max-4-Cutter-Carbide-Hammer/dp/B089KWP4WK/ref=sr_1_39?keywords=Diablo+Tools+DMAPL4030+3%2F16+in.+x+2+in.+x+4+in.+Rebar+Demon%E2%84%A2+SDS-Plus+4-Cutter+Full+Carbide+Head+Hammer+Bit&amp;qid=1694735295&amp;sr=8-39", "https://www.amazon.com/Diablo-SDS-Max-4-Cutter-Carbide-Hammer/dp/B089KWP4WK/ref=sr_1_39?keywords=Diablo+Tools+DMAPL4030+3%2F16+in.+x+2+in.+x+4+in.+Rebar+Demon%E2%84%A2+SDS-Plus+4-Cutter+Full+Carbide+Head+Hammer+Bit&amp;qid=1694735295&amp;sr=8-39")</f>
        <v/>
      </c>
      <c r="F3295" t="inlineStr">
        <is>
          <t>B089KWP4WK</t>
        </is>
      </c>
      <c r="G3295">
        <f>_xlfn.IMAGE("https://edmondsonsupply.com/cdn/shop/products/DMAPL4030.jpg?v=1633030357")</f>
        <v/>
      </c>
      <c r="H3295">
        <f>_xlfn.IMAGE("https://m.media-amazon.com/images/I/61yWWNP1xrL._AC_UL320_.jpg")</f>
        <v/>
      </c>
      <c r="K3295" t="inlineStr">
        <is>
          <t>3.97</t>
        </is>
      </c>
      <c r="L3295" t="n">
        <v>50.26</v>
      </c>
      <c r="M3295" s="1" t="inlineStr">
        <is>
          <t>1,165.99%</t>
        </is>
      </c>
      <c r="N3295" s="7" t="n">
        <v>82.65000000000001</v>
      </c>
      <c r="O3295" t="n">
        <v>5</v>
      </c>
      <c r="P3295" t="n">
        <v>9</v>
      </c>
      <c r="R3295" t="inlineStr">
        <is>
          <t>InStock</t>
        </is>
      </c>
      <c r="S3295" t="inlineStr">
        <is>
          <t>5.51</t>
        </is>
      </c>
      <c r="T3295" t="inlineStr">
        <is>
          <t>5286322012328</t>
        </is>
      </c>
    </row>
    <row r="3296" ht="87" customHeight="1">
      <c r="A3296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296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296" t="inlineStr">
        <is>
          <t>Diablo Tools D0724A 7-1/4 in. x 24 Tooth Framing Saw Blade</t>
        </is>
      </c>
      <c r="D3296" t="inlineStr">
        <is>
          <t>Milwaukee 48-41-0720 7-1/4 in. x 24-Tooth Framing Circular Saw Blade (10 Pack)</t>
        </is>
      </c>
      <c r="E3296" s="2">
        <f>HYPERLINK("https://www.amazon.com/Milwaukee-48-41-0720-24-Tooth-Framing-Circular/dp/B09KNT33HL/ref=sr_1_30?keywords=Diablo+Tools+D0724A+7-1%2F4+in.+x+24+Tooth+Framing+Saw+Blade&amp;qid=1694735310&amp;sr=8-30", "https://www.amazon.com/Milwaukee-48-41-0720-24-Tooth-Framing-Circular/dp/B09KNT33HL/ref=sr_1_30?keywords=Diablo+Tools+D0724A+7-1%2F4+in.+x+24+Tooth+Framing+Saw+Blade&amp;qid=1694735310&amp;sr=8-30")</f>
        <v/>
      </c>
      <c r="F3296" t="inlineStr">
        <is>
          <t>B09KNT33HL</t>
        </is>
      </c>
      <c r="G3296">
        <f>_xlfn.IMAGE("https://edmondsonsupply.com/cdn/shop/products/D0724A_Main-Image20200218.png?v=1633030268")</f>
        <v/>
      </c>
      <c r="H3296">
        <f>_xlfn.IMAGE("https://m.media-amazon.com/images/I/714xYiMKRTL._AC_UL320_.jpg")</f>
        <v/>
      </c>
      <c r="K3296" t="inlineStr">
        <is>
          <t>9.97</t>
        </is>
      </c>
      <c r="L3296" t="n">
        <v>123.96</v>
      </c>
      <c r="M3296" s="1" t="inlineStr">
        <is>
          <t>1,143.33%</t>
        </is>
      </c>
      <c r="N3296" s="7" t="n">
        <v>82.62</v>
      </c>
      <c r="O3296" t="n">
        <v>5</v>
      </c>
      <c r="P3296" t="n">
        <v>2</v>
      </c>
      <c r="R3296" t="inlineStr">
        <is>
          <t>InStock</t>
        </is>
      </c>
      <c r="S3296" t="inlineStr">
        <is>
          <t>15.45</t>
        </is>
      </c>
      <c r="T3296" t="inlineStr">
        <is>
          <t>4678532563044</t>
        </is>
      </c>
    </row>
    <row r="3297" ht="87" customHeight="1">
      <c r="A3297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297" s="2">
        <f>HYPERLINK("https://edmondsonsupply.com/products/diablo-tools-d0724x-7-1-4-in-x-24-tooth-framing-saw-blade", "https://edmondsonsupply.com/products/diablo-tools-d0724x-7-1-4-in-x-24-tooth-framing-saw-blade")</f>
        <v/>
      </c>
      <c r="C3297" t="inlineStr">
        <is>
          <t>Diablo Tools D0724X 7-1/4 in. x 24 Tooth Framing Saw Blade</t>
        </is>
      </c>
      <c r="D3297" t="inlineStr">
        <is>
          <t>Milwaukee 48-41-0720 7-1/4 in. x 24-Tooth Framing Circular Saw Blade (10 Pack)</t>
        </is>
      </c>
      <c r="E3297" s="2">
        <f>HYPERLINK("https://www.amazon.com/Milwaukee-48-41-0720-24-Tooth-Framing-Circular/dp/B09KNT33HL/ref=sr_1_33?keywords=Diablo+Tools+D0724X+7-1%2F4+in.+x+24+Tooth+Framing+Saw+Blade&amp;qid=1694735022&amp;sr=8-33", "https://www.amazon.com/Milwaukee-48-41-0720-24-Tooth-Framing-Circular/dp/B09KNT33HL/ref=sr_1_33?keywords=Diablo+Tools+D0724X+7-1%2F4+in.+x+24+Tooth+Framing+Saw+Blade&amp;qid=1694735022&amp;sr=8-33")</f>
        <v/>
      </c>
      <c r="F3297" t="inlineStr">
        <is>
          <t>B09KNT33HL</t>
        </is>
      </c>
      <c r="G3297">
        <f>_xlfn.IMAGE("https://edmondsonsupply.com/cdn/shop/products/D0724A_Main-Image20200218_ba34939c-8546-489a-9616-b05338ff91cc.png?v=1678971696")</f>
        <v/>
      </c>
      <c r="H3297">
        <f>_xlfn.IMAGE("https://m.media-amazon.com/images/I/714xYiMKRTL._AC_UL320_.jpg")</f>
        <v/>
      </c>
      <c r="K3297" t="inlineStr">
        <is>
          <t>9.97</t>
        </is>
      </c>
      <c r="L3297" t="n">
        <v>123.96</v>
      </c>
      <c r="M3297" s="1" t="inlineStr">
        <is>
          <t>1,143.33%</t>
        </is>
      </c>
      <c r="N3297" s="7" t="n">
        <v>82.5</v>
      </c>
      <c r="O3297" t="n">
        <v>5</v>
      </c>
      <c r="P3297" t="n">
        <v>2</v>
      </c>
      <c r="R3297" t="inlineStr">
        <is>
          <t>InStock</t>
        </is>
      </c>
      <c r="S3297" t="inlineStr">
        <is>
          <t>16.41</t>
        </is>
      </c>
      <c r="T3297" t="inlineStr">
        <is>
          <t>7962598670552</t>
        </is>
      </c>
    </row>
    <row r="3298" ht="87" customHeight="1">
      <c r="A3298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298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298" t="inlineStr">
        <is>
          <t>Diablo Tools DMAPL4020 5/32 in. x 4 in. x 6 in. Rebar Demon™ SDS-Plus 4-Cutter Full Carbide Head Hammer Bit</t>
        </is>
      </c>
      <c r="D3298" t="inlineStr">
        <is>
          <t>Diablo by Freud DMAPL4040-P25 3/16 in. x 4 in. x 6 in. Rebar Demon™ SDS-Plus 4-Cutter Full Carbide Head Hammer Bit (25-Pack)</t>
        </is>
      </c>
      <c r="E3298" s="2">
        <f>HYPERLINK("https://www.amazon.com/Diablo-Freud-DMAPL4040-P25-SDS-Plus-4-Cutter/dp/B089LKW42D/ref=sr_1_8?keywords=Diablo+Tools+DMAPL4020+5%2F32+in.+x+4+in.+x+6+in.+Rebar+Demon%E2%84%A2+SDS-Plus+4-Cutter+Full+Carbide+Head+Hammer+Bit&amp;qid=1694735291&amp;sr=8-8", "https://www.amazon.com/Diablo-Freud-DMAPL4040-P25-SDS-Plus-4-Cutter/dp/B089LKW42D/ref=sr_1_8?keywords=Diablo+Tools+DMAPL4020+5%2F32+in.+x+4+in.+x+6+in.+Rebar+Demon%E2%84%A2+SDS-Plus+4-Cutter+Full+Carbide+Head+Hammer+Bit&amp;qid=1694735291&amp;sr=8-8")</f>
        <v/>
      </c>
      <c r="F3298" t="inlineStr">
        <is>
          <t>B089LKW42D</t>
        </is>
      </c>
      <c r="G3298">
        <f>_xlfn.IMAGE("https://edmondsonsupply.com/cdn/shop/products/DMAPL4020_1.jpg?v=1633030415")</f>
        <v/>
      </c>
      <c r="H3298">
        <f>_xlfn.IMAGE("https://m.media-amazon.com/images/I/61WAyx865hL._AC_UL320_.jpg")</f>
        <v/>
      </c>
      <c r="K3298" t="inlineStr">
        <is>
          <t>6.47</t>
        </is>
      </c>
      <c r="L3298" t="n">
        <v>79.63</v>
      </c>
      <c r="M3298" s="1" t="inlineStr">
        <is>
          <t>1,130.76%</t>
        </is>
      </c>
      <c r="N3298" s="7" t="n">
        <v>82.26000000000001</v>
      </c>
      <c r="O3298" t="n">
        <v>5</v>
      </c>
      <c r="P3298" t="n">
        <v>2</v>
      </c>
      <c r="R3298" t="inlineStr">
        <is>
          <t>InStock</t>
        </is>
      </c>
      <c r="S3298" t="inlineStr">
        <is>
          <t>9.44</t>
        </is>
      </c>
      <c r="T3298" t="inlineStr">
        <is>
          <t>5313711046824</t>
        </is>
      </c>
    </row>
    <row r="3299" ht="87" customHeight="1">
      <c r="A3299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299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299" t="inlineStr">
        <is>
          <t>Diablo Tools DMAPL4010 5/32 in. x 2 in. x 4 in. Rebar Demon™ SDS-Plus 4-Cutter Full Carbide Head Hammer Bit</t>
        </is>
      </c>
      <c r="D3299" t="inlineStr">
        <is>
          <t>Diablo by Freud DMAPL4040-P25 3/16 in. x 4 in. x 6 in. Rebar Demon™ SDS-Plus 4-Cutter Full Carbide Head Hammer Bit (25-Pack)</t>
        </is>
      </c>
      <c r="E3299" s="2">
        <f>HYPERLINK("https://www.amazon.com/Diablo-Freud-DMAPL4040-P25-SDS-Plus-4-Cutter/dp/B089LKW42D/ref=sr_1_4?keywords=Diablo+Tools+DMAPL4010+5%2F32+in.+x+2+in.+x+4+in.+Rebar+Demon%E2%84%A2+SDS-Plus+4-Cutter+Full+Carbide+Head+Hammer+Bit&amp;qid=1694735296&amp;sr=8-4", "https://www.amazon.com/Diablo-Freud-DMAPL4040-P25-SDS-Plus-4-Cutter/dp/B089LKW42D/ref=sr_1_4?keywords=Diablo+Tools+DMAPL4010+5%2F32+in.+x+2+in.+x+4+in.+Rebar+Demon%E2%84%A2+SDS-Plus+4-Cutter+Full+Carbide+Head+Hammer+Bit&amp;qid=1694735296&amp;sr=8-4")</f>
        <v/>
      </c>
      <c r="F3299" t="inlineStr">
        <is>
          <t>B089LKW42D</t>
        </is>
      </c>
      <c r="G3299">
        <f>_xlfn.IMAGE("https://edmondsonsupply.com/cdn/shop/products/DMAPL4010.jpg?v=1633030357")</f>
        <v/>
      </c>
      <c r="H3299">
        <f>_xlfn.IMAGE("https://m.media-amazon.com/images/I/61WAyx865hL._AC_UL320_.jpg")</f>
        <v/>
      </c>
      <c r="K3299" t="inlineStr">
        <is>
          <t>6.48</t>
        </is>
      </c>
      <c r="L3299" t="n">
        <v>79.63</v>
      </c>
      <c r="M3299" s="1" t="inlineStr">
        <is>
          <t>1,128.86%</t>
        </is>
      </c>
      <c r="N3299" s="7" t="n">
        <v>82.22</v>
      </c>
      <c r="O3299" t="n">
        <v>5</v>
      </c>
      <c r="P3299" t="n">
        <v>2</v>
      </c>
      <c r="R3299" t="inlineStr">
        <is>
          <t>InStock</t>
        </is>
      </c>
      <c r="S3299" t="inlineStr">
        <is>
          <t>10.3</t>
        </is>
      </c>
      <c r="T3299" t="inlineStr">
        <is>
          <t>5286308380840</t>
        </is>
      </c>
    </row>
    <row r="3300" ht="87" customHeight="1">
      <c r="A3300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300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300" t="inlineStr">
        <is>
          <t>Diablo Tools DMAPL4030 3/16 in. x 2 in. x 4 in. Rebar Demon™ SDS-Plus 4-Cutter Full Carbide Head Hammer Bit</t>
        </is>
      </c>
      <c r="D3300" t="inlineStr">
        <is>
          <t>Diablo DMAPL4310 1 in. x 16 in. x 18 in. Rebar Demon™ SDS-Plus 4-Cutter Full Carbide Head Hammer Bit</t>
        </is>
      </c>
      <c r="E3300" s="2">
        <f>HYPERLINK("https://www.amazon.com/Diablo-DMAPL4310-SDS-Plus-4-Cutter-Carbide/dp/B089KX2VKR/ref=sr_1_26?keywords=Diablo+Tools+DMAPL4030+3%2F16+in.+x+2+in.+x+4+in.+Rebar+Demon%E2%84%A2+SDS-Plus+4-Cutter+Full+Carbide+Head+Hammer+Bit&amp;qid=1694735295&amp;sr=8-26", "https://www.amazon.com/Diablo-DMAPL4310-SDS-Plus-4-Cutter-Carbide/dp/B089KX2VKR/ref=sr_1_26?keywords=Diablo+Tools+DMAPL4030+3%2F16+in.+x+2+in.+x+4+in.+Rebar+Demon%E2%84%A2+SDS-Plus+4-Cutter+Full+Carbide+Head+Hammer+Bit&amp;qid=1694735295&amp;sr=8-26")</f>
        <v/>
      </c>
      <c r="F3300" t="inlineStr">
        <is>
          <t>B089KX2VKR</t>
        </is>
      </c>
      <c r="G3300">
        <f>_xlfn.IMAGE("https://edmondsonsupply.com/cdn/shop/products/DMAPL4030.jpg?v=1633030357")</f>
        <v/>
      </c>
      <c r="H3300">
        <f>_xlfn.IMAGE("https://m.media-amazon.com/images/I/61iwxfqG2VL._AC_UL320_.jpg")</f>
        <v/>
      </c>
      <c r="K3300" t="inlineStr">
        <is>
          <t>3.97</t>
        </is>
      </c>
      <c r="L3300" t="n">
        <v>48.49</v>
      </c>
      <c r="M3300" s="1" t="inlineStr">
        <is>
          <t>1,121.41%</t>
        </is>
      </c>
      <c r="N3300" s="7" t="n">
        <v>82.22</v>
      </c>
      <c r="O3300" t="n">
        <v>4.5</v>
      </c>
      <c r="P3300" t="n">
        <v>32</v>
      </c>
      <c r="R3300" t="inlineStr">
        <is>
          <t>InStock</t>
        </is>
      </c>
      <c r="S3300" t="inlineStr">
        <is>
          <t>5.51</t>
        </is>
      </c>
      <c r="T3300" t="inlineStr">
        <is>
          <t>5286322012328</t>
        </is>
      </c>
    </row>
    <row r="3301" ht="87" customHeight="1">
      <c r="A3301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301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301" t="inlineStr">
        <is>
          <t>Diablo Tools DMAPL4020 5/32 in. x 4 in. x 6 in. Rebar Demon™ SDS-Plus 4-Cutter Full Carbide Head Hammer Bit</t>
        </is>
      </c>
      <c r="D3301" t="inlineStr">
        <is>
          <t>Diablo DMAMX1110 5/8 in. x 24 in. x 29 in. Rebar Demon™ SDS-Max 4-Cutter Full Carbide Head Hammer Bit</t>
        </is>
      </c>
      <c r="E3301" s="2">
        <f>HYPERLINK("https://www.amazon.com/Diablo-SDS-Max-4-Cutter-Carbide-Hammer/dp/B089LJ9GHW/ref=sr_1_27?keywords=Diablo+Tools+DMAPL4020+5%2F32+in.+x+4+in.+x+6+in.+Rebar+Demon%E2%84%A2+SDS-Plus+4-Cutter+Full+Carbide+Head+Hammer+Bit&amp;qid=1694735291&amp;sr=8-27", "https://www.amazon.com/Diablo-SDS-Max-4-Cutter-Carbide-Hammer/dp/B089LJ9GHW/ref=sr_1_27?keywords=Diablo+Tools+DMAPL4020+5%2F32+in.+x+4+in.+x+6+in.+Rebar+Demon%E2%84%A2+SDS-Plus+4-Cutter+Full+Carbide+Head+Hammer+Bit&amp;qid=1694735291&amp;sr=8-27")</f>
        <v/>
      </c>
      <c r="F3301" t="inlineStr">
        <is>
          <t>B089LJ9GHW</t>
        </is>
      </c>
      <c r="G3301">
        <f>_xlfn.IMAGE("https://edmondsonsupply.com/cdn/shop/products/DMAPL4020_1.jpg?v=1633030415")</f>
        <v/>
      </c>
      <c r="H3301">
        <f>_xlfn.IMAGE("https://m.media-amazon.com/images/I/61vWAd-z8eL._AC_UL320_.jpg")</f>
        <v/>
      </c>
      <c r="K3301" t="inlineStr">
        <is>
          <t>6.47</t>
        </is>
      </c>
      <c r="L3301" t="n">
        <v>78.98999999999999</v>
      </c>
      <c r="M3301" s="1" t="inlineStr">
        <is>
          <t>1,120.87%</t>
        </is>
      </c>
      <c r="N3301" s="7" t="n">
        <v>82.02</v>
      </c>
      <c r="O3301" t="n">
        <v>4.7</v>
      </c>
      <c r="P3301" t="n">
        <v>4</v>
      </c>
      <c r="R3301" t="inlineStr">
        <is>
          <t>InStock</t>
        </is>
      </c>
      <c r="S3301" t="inlineStr">
        <is>
          <t>9.44</t>
        </is>
      </c>
      <c r="T3301" t="inlineStr">
        <is>
          <t>5313711046824</t>
        </is>
      </c>
    </row>
    <row r="3302" ht="87" customHeight="1">
      <c r="A3302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302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302" t="inlineStr">
        <is>
          <t>Diablo Tools DMAPL4010 5/32 in. x 2 in. x 4 in. Rebar Demon™ SDS-Plus 4-Cutter Full Carbide Head Hammer Bit</t>
        </is>
      </c>
      <c r="D3302" t="inlineStr">
        <is>
          <t>Diablo DMAMX1110 5/8 in. x 24 in. x 29 in. Rebar Demon™ SDS-Max 4-Cutter Full Carbide Head Hammer Bit</t>
        </is>
      </c>
      <c r="E3302" s="2">
        <f>HYPERLINK("https://www.amazon.com/Diablo-SDS-Max-4-Cutter-Carbide-Hammer/dp/B089LJ9GHW/ref=sr_1_36?keywords=Diablo+Tools+DMAPL4010+5%2F32+in.+x+2+in.+x+4+in.+Rebar+Demon%E2%84%A2+SDS-Plus+4-Cutter+Full+Carbide+Head+Hammer+Bit&amp;qid=1694735296&amp;sr=8-36", "https://www.amazon.com/Diablo-SDS-Max-4-Cutter-Carbide-Hammer/dp/B089LJ9GHW/ref=sr_1_36?keywords=Diablo+Tools+DMAPL4010+5%2F32+in.+x+2+in.+x+4+in.+Rebar+Demon%E2%84%A2+SDS-Plus+4-Cutter+Full+Carbide+Head+Hammer+Bit&amp;qid=1694735296&amp;sr=8-36")</f>
        <v/>
      </c>
      <c r="F3302" t="inlineStr">
        <is>
          <t>B089LJ9GHW</t>
        </is>
      </c>
      <c r="G3302">
        <f>_xlfn.IMAGE("https://edmondsonsupply.com/cdn/shop/products/DMAPL4010.jpg?v=1633030357")</f>
        <v/>
      </c>
      <c r="H3302">
        <f>_xlfn.IMAGE("https://m.media-amazon.com/images/I/61vWAd-z8eL._AC_UL320_.jpg")</f>
        <v/>
      </c>
      <c r="K3302" t="inlineStr">
        <is>
          <t>6.48</t>
        </is>
      </c>
      <c r="L3302" t="n">
        <v>78.98999999999999</v>
      </c>
      <c r="M3302" s="1" t="inlineStr">
        <is>
          <t>1,118.98%</t>
        </is>
      </c>
      <c r="N3302" s="7" t="n">
        <v>81.84</v>
      </c>
      <c r="O3302" t="n">
        <v>4.7</v>
      </c>
      <c r="P3302" t="n">
        <v>4</v>
      </c>
      <c r="R3302" t="inlineStr">
        <is>
          <t>InStock</t>
        </is>
      </c>
      <c r="S3302" t="inlineStr">
        <is>
          <t>10.3</t>
        </is>
      </c>
      <c r="T3302" t="inlineStr">
        <is>
          <t>5286308380840</t>
        </is>
      </c>
    </row>
    <row r="3303" ht="87" customHeight="1">
      <c r="A3303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3303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3303" t="inlineStr">
        <is>
          <t>Diablo Tools DMAPL2380 9/16 in. x 10 in. x 12 in. SDS-Plus 2-Cutter</t>
        </is>
      </c>
      <c r="D3303" t="inlineStr">
        <is>
          <t>Diablo by Freud DMAPL4160-P25 3/8 in. x 10 in. x 12 in. Rebar Demon SDS-Plus 4-Cutter Full Carbide Head Hammer Bit (25-Pack)</t>
        </is>
      </c>
      <c r="E3303" s="2">
        <f>HYPERLINK("https://www.amazon.com/Diablo-Freud-DMAPL4160-P25-SDS-Plus-4-Cutter/dp/B089LKWCD1/ref=sr_1_26?keywords=Diablo+Tools+DMAPL2380+9%2F16+in.+x+10+in.+x+12+in.+SDS-Plus+2-Cutter&amp;qid=1694735296&amp;sr=8-26", "https://www.amazon.com/Diablo-Freud-DMAPL4160-P25-SDS-Plus-4-Cutter/dp/B089LKWCD1/ref=sr_1_26?keywords=Diablo+Tools+DMAPL2380+9%2F16+in.+x+10+in.+x+12+in.+SDS-Plus+2-Cutter&amp;qid=1694735296&amp;sr=8-26")</f>
        <v/>
      </c>
      <c r="F3303" t="inlineStr">
        <is>
          <t>B089LKWCD1</t>
        </is>
      </c>
      <c r="G3303">
        <f>_xlfn.IMAGE("https://edmondsonsupply.com/cdn/shop/products/pn8n58bx2f87ihetrrnf.webp?v=1670435143")</f>
        <v/>
      </c>
      <c r="H3303">
        <f>_xlfn.IMAGE("https://m.media-amazon.com/images/I/61MHnm3+2bL._AC_UL320_.jpg")</f>
        <v/>
      </c>
      <c r="K3303" t="inlineStr">
        <is>
          <t>14.99</t>
        </is>
      </c>
      <c r="L3303" t="n">
        <v>180.97</v>
      </c>
      <c r="M3303" s="1" t="inlineStr">
        <is>
          <t>1,107.27%</t>
        </is>
      </c>
      <c r="N3303" s="7" t="n">
        <v>81.81999999999999</v>
      </c>
      <c r="O3303" t="n">
        <v>5</v>
      </c>
      <c r="P3303" t="n">
        <v>1</v>
      </c>
      <c r="R3303" t="inlineStr">
        <is>
          <t>InStock</t>
        </is>
      </c>
      <c r="S3303" t="inlineStr">
        <is>
          <t>21.48</t>
        </is>
      </c>
      <c r="T3303" t="inlineStr">
        <is>
          <t>5286298222760</t>
        </is>
      </c>
    </row>
    <row r="3304" ht="87" customHeight="1">
      <c r="A3304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304" s="2">
        <f>HYPERLINK("https://edmondsonsupply.com/products/klein-tools-rt250-gfci-receptacle-tester-with-lcd", "https://edmondsonsupply.com/products/klein-tools-rt250-gfci-receptacle-tester-with-lcd")</f>
        <v/>
      </c>
      <c r="C3304" t="inlineStr">
        <is>
          <t>Klein Tools RT250 GFCI Receptacle Tester with LCD</t>
        </is>
      </c>
      <c r="D3304" t="inlineStr">
        <is>
          <t>Klein Tools ET450 Advanced Circuit Breaker Finder and Wire Tracer Kit &amp; RT250 GFCI Outlet Tester with LCD Display, Electric Voltage Tester for Standard 3-Wire 120V Electrical Receptacles</t>
        </is>
      </c>
      <c r="E3304" s="2">
        <f>HYPERLINK("https://www.amazon.com/Klein-Tools-Advanced-Electrical-Receptacles/dp/B0BS2X7F87/ref=sr_1_41?keywords=Klein+Tools+RT250+GFCI+Receptacle+Tester+with+LCD&amp;qid=1694735148&amp;sr=8-41", "https://www.amazon.com/Klein-Tools-Advanced-Electrical-Receptacles/dp/B0BS2X7F87/ref=sr_1_41?keywords=Klein+Tools+RT250+GFCI+Receptacle+Tester+with+LCD&amp;qid=1694735148&amp;sr=8-41")</f>
        <v/>
      </c>
      <c r="F3304" t="inlineStr">
        <is>
          <t>B0BS2X7F87</t>
        </is>
      </c>
      <c r="G3304">
        <f>_xlfn.IMAGE("https://edmondsonsupply.com/cdn/shop/products/rt250_photo_c.jpg?v=1661363824")</f>
        <v/>
      </c>
      <c r="H3304">
        <f>_xlfn.IMAGE("https://m.media-amazon.com/images/I/51Gvm13TsCL._AC_UL320_.jpg")</f>
        <v/>
      </c>
      <c r="K3304" t="inlineStr">
        <is>
          <t>21.97</t>
        </is>
      </c>
      <c r="L3304" t="n">
        <v>259.96</v>
      </c>
      <c r="M3304" s="1" t="inlineStr">
        <is>
          <t>1,083.25%</t>
        </is>
      </c>
      <c r="N3304" s="7" t="n">
        <v>81.29000000000001</v>
      </c>
      <c r="O3304" t="n">
        <v>5</v>
      </c>
      <c r="P3304" t="n">
        <v>3</v>
      </c>
      <c r="R3304" t="inlineStr">
        <is>
          <t>InStock</t>
        </is>
      </c>
      <c r="S3304" t="inlineStr">
        <is>
          <t>30.78</t>
        </is>
      </c>
      <c r="T3304" t="inlineStr">
        <is>
          <t>7793138729176</t>
        </is>
      </c>
    </row>
    <row r="3305" ht="87" customHeight="1">
      <c r="A3305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305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305" t="inlineStr">
        <is>
          <t>Diablo Tools DMAPL4040 3/16 in. x 4 in. x 6 in. Rebar Demon™ SDS-Plus 4-Cutter Full Carbide Head Hammer Bit</t>
        </is>
      </c>
      <c r="D3305" t="inlineStr">
        <is>
          <t>Diablo by Freud DMAPL4180-P25 1/2 in. x 4 in. x 6 in. Rebar Demon SDS-Plus 4-Cutter Full Carbide Head Hammer Bit (25-Pack) Multi, One Size</t>
        </is>
      </c>
      <c r="E3305" s="2">
        <f>HYPERLINK("https://www.amazon.com/Diablo-Rebar-4-Cutter-Carbide-Hammer/dp/B089LGWV7F/ref=sr_1_24?keywords=Diablo+Tools+DMAPL4040+3%2F16+in.+x+4+in.+x+6+in.+Rebar+Demon%E2%84%A2+SDS-Plus+4-Cutter+Full+Carbide+Head+Hammer+Bit&amp;qid=1694735297&amp;sr=8-24", "https://www.amazon.com/Diablo-Rebar-4-Cutter-Carbide-Hammer/dp/B089LGWV7F/ref=sr_1_24?keywords=Diablo+Tools+DMAPL4040+3%2F16+in.+x+4+in.+x+6+in.+Rebar+Demon%E2%84%A2+SDS-Plus+4-Cutter+Full+Carbide+Head+Hammer+Bit&amp;qid=1694735297&amp;sr=8-24")</f>
        <v/>
      </c>
      <c r="F3305" t="inlineStr">
        <is>
          <t>B089LGWV7F</t>
        </is>
      </c>
      <c r="G3305">
        <f>_xlfn.IMAGE("https://edmondsonsupply.com/cdn/shop/products/DMAPL4040_Main-Image20200701.png?v=1633030358")</f>
        <v/>
      </c>
      <c r="H3305">
        <f>_xlfn.IMAGE("https://m.media-amazon.com/images/I/61q9iw+mKpL._AC_UL320_.jpg")</f>
        <v/>
      </c>
      <c r="K3305" t="inlineStr">
        <is>
          <t>8.47</t>
        </is>
      </c>
      <c r="L3305" t="n">
        <v>99.98999999999999</v>
      </c>
      <c r="M3305" s="1" t="inlineStr">
        <is>
          <t>1,080.52%</t>
        </is>
      </c>
      <c r="N3305" s="7" t="n">
        <v>81.2</v>
      </c>
      <c r="O3305" t="n">
        <v>5</v>
      </c>
      <c r="P3305" t="n">
        <v>2</v>
      </c>
      <c r="R3305" t="inlineStr">
        <is>
          <t>InStock</t>
        </is>
      </c>
      <c r="S3305" t="inlineStr">
        <is>
          <t>undefined</t>
        </is>
      </c>
      <c r="T3305" t="inlineStr">
        <is>
          <t>5286740426920</t>
        </is>
      </c>
    </row>
    <row r="3306" ht="87" customHeight="1">
      <c r="A3306" s="2">
        <f>HYPERLINK("https://edmondsonsupply.com/collections/electricians-tools/products/klein-tools-56335-wide-steel-fish-tape-1-4-inch-x-25-foot", "https://edmondsonsupply.com/collections/electricians-tools/products/klein-tools-56335-wide-steel-fish-tape-1-4-inch-x-25-foot")</f>
        <v/>
      </c>
      <c r="B3306" s="2">
        <f>HYPERLINK("https://edmondsonsupply.com/products/klein-tools-56335-wide-steel-fish-tape-1-4-inch-x-25-foot", "https://edmondsonsupply.com/products/klein-tools-56335-wide-steel-fish-tape-1-4-inch-x-25-foot")</f>
        <v/>
      </c>
      <c r="C3306" t="inlineStr">
        <is>
          <t>Klein Tools 56335 Wide Steel Fish Tape, 1/4-Inch x 25-Foot</t>
        </is>
      </c>
      <c r="D3306" t="inlineStr">
        <is>
          <t>Klein Tools 56056 Electrical Fiberglass Fish Tape, 200-Foot x 3/16-Inch Wide Multi-Groove Fish Tape with Steel Leader</t>
        </is>
      </c>
      <c r="E3306" s="2">
        <f>HYPERLINK("https://www.amazon.com/Multi-Groove-Fiberglass-200-Foot-Klein-Tools/dp/B00N6Y8RRA/ref=sr_1_7?keywords=Klein+Tools+56335+Wide+Steel+Fish+Tape%2C+1%2F4-Inch+x+25-Foot&amp;qid=1694735248&amp;sr=8-7", "https://www.amazon.com/Multi-Groove-Fiberglass-200-Foot-Klein-Tools/dp/B00N6Y8RRA/ref=sr_1_7?keywords=Klein+Tools+56335+Wide+Steel+Fish+Tape%2C+1%2F4-Inch+x+25-Foot&amp;qid=1694735248&amp;sr=8-7")</f>
        <v/>
      </c>
      <c r="F3306" t="inlineStr">
        <is>
          <t>B00N6Y8RRA</t>
        </is>
      </c>
      <c r="G3306">
        <f>_xlfn.IMAGE("https://edmondsonsupply.com/cdn/shop/products/56335.jpg?v=1633030737")</f>
        <v/>
      </c>
      <c r="H3306">
        <f>_xlfn.IMAGE("https://m.media-amazon.com/images/I/61-dcSdFpvL._AC_UL320_.jpg")</f>
        <v/>
      </c>
      <c r="K3306" t="inlineStr">
        <is>
          <t>16.97</t>
        </is>
      </c>
      <c r="L3306" t="n">
        <v>199.99</v>
      </c>
      <c r="M3306" s="1" t="inlineStr">
        <is>
          <t>1,078.49%</t>
        </is>
      </c>
      <c r="N3306" s="7" t="n">
        <v>81.09999999999999</v>
      </c>
      <c r="O3306" t="n">
        <v>4.4</v>
      </c>
      <c r="P3306" t="n">
        <v>86</v>
      </c>
      <c r="R3306" t="inlineStr">
        <is>
          <t>InStock</t>
        </is>
      </c>
      <c r="S3306" t="inlineStr">
        <is>
          <t>24.84</t>
        </is>
      </c>
      <c r="T3306" t="inlineStr">
        <is>
          <t>5878323445928</t>
        </is>
      </c>
    </row>
    <row r="3307" ht="87" customHeight="1">
      <c r="A3307" s="2">
        <f>HYPERLINK("https://edmondsonsupply.com/collections/electricians-tools/products/klein-tools-86600-1-4-inch-magnetic-hex-drivers-3-pack", "https://edmondsonsupply.com/collections/electricians-tools/products/klein-tools-86600-1-4-inch-magnetic-hex-drivers-3-pack")</f>
        <v/>
      </c>
      <c r="B3307" s="2">
        <f>HYPERLINK("https://edmondsonsupply.com/products/klein-tools-86600-1-4-inch-magnetic-hex-drivers-3-pack", "https://edmondsonsupply.com/products/klein-tools-86600-1-4-inch-magnetic-hex-drivers-3-pack")</f>
        <v/>
      </c>
      <c r="C3307" t="inlineStr">
        <is>
          <t>Klein Tools 86600 1/4-Inch Magnetic Hex Drivers, 3-Pack</t>
        </is>
      </c>
      <c r="D3307" t="inlineStr">
        <is>
          <t>Klein Tools 635-6 Tool Set, Heavy Duty Magnetic Nut Drivers SAE Sizes 1/4, 5/16, 3/8, 7/16, 1/2, and 9/16-Inch Hex, 6-Inch, 6-Piece</t>
        </is>
      </c>
      <c r="E3307" s="2">
        <f>HYPERLINK("https://www.amazon.com/Heavy-Duty-Driver-6-Piece-Klein-Tools/dp/B01DKNDHGM/ref=sr_1_15?keywords=Klein+Tools+86600+1%2F4-Inch+Magnetic+Hex+Drivers%2C+3-Pack&amp;qid=1694735168&amp;sr=8-15", "https://www.amazon.com/Heavy-Duty-Driver-6-Piece-Klein-Tools/dp/B01DKNDHGM/ref=sr_1_15?keywords=Klein+Tools+86600+1%2F4-Inch+Magnetic+Hex+Drivers%2C+3-Pack&amp;qid=1694735168&amp;sr=8-15")</f>
        <v/>
      </c>
      <c r="F3307" t="inlineStr">
        <is>
          <t>B01DKNDHGM</t>
        </is>
      </c>
      <c r="G3307">
        <f>_xlfn.IMAGE("https://edmondsonsupply.com/cdn/shop/products/86600.png?v=1645569632")</f>
        <v/>
      </c>
      <c r="H3307">
        <f>_xlfn.IMAGE("https://m.media-amazon.com/images/I/61eypCy1RLL._AC_UL320_.jpg")</f>
        <v/>
      </c>
      <c r="K3307" t="inlineStr">
        <is>
          <t>6.99</t>
        </is>
      </c>
      <c r="L3307" t="n">
        <v>79.98999999999999</v>
      </c>
      <c r="M3307" s="1" t="inlineStr">
        <is>
          <t>1,044.35%</t>
        </is>
      </c>
      <c r="N3307" s="7" t="n">
        <v>81.02</v>
      </c>
      <c r="O3307" t="n">
        <v>4.7</v>
      </c>
      <c r="P3307" t="n">
        <v>943</v>
      </c>
      <c r="R3307" t="inlineStr">
        <is>
          <t>InStock</t>
        </is>
      </c>
      <c r="S3307" t="inlineStr">
        <is>
          <t>10.6</t>
        </is>
      </c>
      <c r="T3307" t="inlineStr">
        <is>
          <t>7614370054360</t>
        </is>
      </c>
    </row>
    <row r="3308" ht="87" customHeight="1">
      <c r="A3308" s="2">
        <f>HYPERLINK("https://edmondsonsupply.com/collections/electricians-tools/products/klein-5416tfr", "https://edmondsonsupply.com/collections/electricians-tools/products/klein-5416tfr")</f>
        <v/>
      </c>
      <c r="B3308" s="2">
        <f>HYPERLINK("https://edmondsonsupply.com/products/klein-5416tfr", "https://edmondsonsupply.com/products/klein-5416tfr")</f>
        <v/>
      </c>
      <c r="C3308" t="inlineStr">
        <is>
          <t>Klein Tools 5416TFR Tool Bag, Flame Resistant Bolt Bag, No. 4 Canvas, 5 x 10 x 9-Inch</t>
        </is>
      </c>
      <c r="D3308" t="inlineStr">
        <is>
          <t>Guardian 21030 Cyclone Construction Harness, Black/Yellow &amp; Klein Tools 5416TFR Tool Bag, Flame Resistant Canvas Bag for Bolt Storage with Double Reinforced Bottom and Tunnel Connect, 5 x 10 x 9-Inch</t>
        </is>
      </c>
      <c r="E3308" s="2">
        <f>HYPERLINK("https://www.amazon.com/Guardian-Cyclone-Construction-Resistant-Reinforced/dp/B0BC86NRSH/ref=sr_1_14?keywords=Klein+Tools+5416TFR+Tool+Bag%2C+Flame+Resistant+Bolt+Bag%2C+No.+4+Canvas%2C+5+x+10+x+9-Inch&amp;qid=1694734988&amp;sr=8-14", "https://www.amazon.com/Guardian-Cyclone-Construction-Resistant-Reinforced/dp/B0BC86NRSH/ref=sr_1_14?keywords=Klein+Tools+5416TFR+Tool+Bag%2C+Flame+Resistant+Bolt+Bag%2C+No.+4+Canvas%2C+5+x+10+x+9-Inch&amp;qid=1694734988&amp;sr=8-14")</f>
        <v/>
      </c>
      <c r="F3308" t="inlineStr">
        <is>
          <t>B0BC86NRSH</t>
        </is>
      </c>
      <c r="G3308">
        <f>_xlfn.IMAGE("https://edmondsonsupply.com/cdn/shop/products/5416tfr.jpg?v=1587149359")</f>
        <v/>
      </c>
      <c r="H3308">
        <f>_xlfn.IMAGE("https://m.media-amazon.com/images/I/51UrrYtt7nL._AC_UL320_.jpg")</f>
        <v/>
      </c>
      <c r="K3308" t="inlineStr">
        <is>
          <t>19.99</t>
        </is>
      </c>
      <c r="L3308" t="n">
        <v>226.24</v>
      </c>
      <c r="M3308" s="1" t="inlineStr">
        <is>
          <t>1,031.77%</t>
        </is>
      </c>
      <c r="N3308" s="7" t="n">
        <v>80.98</v>
      </c>
      <c r="O3308" t="n">
        <v>4.5</v>
      </c>
      <c r="P3308" t="n">
        <v>379</v>
      </c>
      <c r="R3308" t="inlineStr">
        <is>
          <t>InStock</t>
        </is>
      </c>
      <c r="S3308" t="inlineStr">
        <is>
          <t>33.64</t>
        </is>
      </c>
      <c r="T3308" t="inlineStr">
        <is>
          <t>1490970837092</t>
        </is>
      </c>
    </row>
    <row r="3309" ht="87" customHeight="1">
      <c r="A3309" s="2">
        <f>HYPERLINK("https://edmondsonsupply.com/collections/electricians-tools/products/klein-tools-31874-replacement-hole-cutter-pilot-bit", "https://edmondsonsupply.com/collections/electricians-tools/products/klein-tools-31874-replacement-hole-cutter-pilot-bit")</f>
        <v/>
      </c>
      <c r="B3309" s="2">
        <f>HYPERLINK("https://edmondsonsupply.com/products/klein-tools-31874-replacement-hole-cutter-pilot-bit", "https://edmondsonsupply.com/products/klein-tools-31874-replacement-hole-cutter-pilot-bit")</f>
        <v/>
      </c>
      <c r="C3309" t="inlineStr">
        <is>
          <t>Klein Tools 31874 Replacement Hole Cutter Pilot Bit</t>
        </is>
      </c>
      <c r="D3309" t="inlineStr">
        <is>
          <t>Klein Tools 31872 Heavy Duty Hole Cutter Kit, Includes Carbide Hole Cutters and Pilot Bit in Rust-Proof Molded Plastic Case, 4-Piece</t>
        </is>
      </c>
      <c r="E3309" s="2">
        <f>HYPERLINK("https://www.amazon.com/Carbide-Cutter-Klein-Tools-31872/dp/B003CCR97A/ref=sr_1_5?keywords=Klein+Tools+31874+Replacement+Hole+Cutter+Pilot+Bit&amp;qid=1694735351&amp;sr=8-5", "https://www.amazon.com/Carbide-Cutter-Klein-Tools-31872/dp/B003CCR97A/ref=sr_1_5?keywords=Klein+Tools+31874+Replacement+Hole+Cutter+Pilot+Bit&amp;qid=1694735351&amp;sr=8-5")</f>
        <v/>
      </c>
      <c r="F3309" t="inlineStr">
        <is>
          <t>B003CCR97A</t>
        </is>
      </c>
      <c r="G3309">
        <f>_xlfn.IMAGE("https://edmondsonsupply.com/cdn/shop/products/31874_b.jpg?v=1674494632")</f>
        <v/>
      </c>
      <c r="H3309">
        <f>_xlfn.IMAGE("https://m.media-amazon.com/images/I/61oX7BDmtJL._AC_UL320_.jpg")</f>
        <v/>
      </c>
      <c r="K3309" t="inlineStr">
        <is>
          <t>7.99</t>
        </is>
      </c>
      <c r="L3309" t="n">
        <v>89.98999999999999</v>
      </c>
      <c r="M3309" s="1" t="inlineStr">
        <is>
          <t>1,026.28%</t>
        </is>
      </c>
      <c r="N3309" s="7" t="n">
        <v>80.78</v>
      </c>
      <c r="O3309" t="n">
        <v>4.7</v>
      </c>
      <c r="P3309" t="n">
        <v>927</v>
      </c>
      <c r="R3309" t="inlineStr">
        <is>
          <t>InStock</t>
        </is>
      </c>
      <c r="S3309" t="inlineStr">
        <is>
          <t>10.54</t>
        </is>
      </c>
      <c r="T3309" t="inlineStr">
        <is>
          <t>4440725323876</t>
        </is>
      </c>
    </row>
    <row r="3310" ht="87" customHeight="1">
      <c r="A3310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310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310" t="inlineStr">
        <is>
          <t>Diablo Tools DMAPL4070 1/4 in. x 4 in. x 6 in. Rebar Demon™ SDS-Plus 4-Cutter Full Carbide Head Hammer Bit</t>
        </is>
      </c>
      <c r="D3310" t="inlineStr">
        <is>
          <t>Diablo 7/8" x 31"x36" Rebar Demon™ SDS-Max 4-Cutter Full Carbide Head Hammer Bit</t>
        </is>
      </c>
      <c r="E3310" s="2">
        <f>HYPERLINK("https://www.amazon.com/Diablo-SDS-Max-4-Cutter-Carbide-Hammer/dp/B089KVQH88/ref=sr_1_40?keywords=Diablo+Tools+DMAPL4070+1%2F4+in.+x+4+in.+x+6+in.+Rebar+Demon%E2%84%A2+SDS-Plus+4-Cutter+Full+Carbide+Head+Hammer+Bit&amp;qid=1694735303&amp;sr=8-40", "https://www.amazon.com/Diablo-SDS-Max-4-Cutter-Carbide-Hammer/dp/B089KVQH88/ref=sr_1_40?keywords=Diablo+Tools+DMAPL4070+1%2F4+in.+x+4+in.+x+6+in.+Rebar+Demon%E2%84%A2+SDS-Plus+4-Cutter+Full+Carbide+Head+Hammer+Bit&amp;qid=1694735303&amp;sr=8-40")</f>
        <v/>
      </c>
      <c r="F3310" t="inlineStr">
        <is>
          <t>B089KVQH88</t>
        </is>
      </c>
      <c r="G3310">
        <f>_xlfn.IMAGE("https://edmondsonsupply.com/cdn/shop/products/DMAPL4070_Main-Image20200701.png?v=1633030350")</f>
        <v/>
      </c>
      <c r="H3310">
        <f>_xlfn.IMAGE("https://m.media-amazon.com/images/I/61mEIK0ojUL._AC_UL320_.jpg")</f>
        <v/>
      </c>
      <c r="K3310" t="inlineStr">
        <is>
          <t>8.97</t>
        </is>
      </c>
      <c r="L3310" t="n">
        <v>99.98999999999999</v>
      </c>
      <c r="M3310" s="1" t="inlineStr">
        <is>
          <t>1,014.72%</t>
        </is>
      </c>
      <c r="N3310" s="7" t="n">
        <v>80.75</v>
      </c>
      <c r="O3310" t="n">
        <v>5</v>
      </c>
      <c r="P3310" t="n">
        <v>1</v>
      </c>
      <c r="R3310" t="inlineStr">
        <is>
          <t>InStock</t>
        </is>
      </c>
      <c r="S3310" t="inlineStr">
        <is>
          <t>undefined</t>
        </is>
      </c>
      <c r="T3310" t="inlineStr">
        <is>
          <t>5283100197032</t>
        </is>
      </c>
    </row>
    <row r="3311" ht="87" customHeight="1">
      <c r="A3311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311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311" t="inlineStr">
        <is>
          <t>Diablo Tools DMAPL4070 1/4 in. x 4 in. x 6 in. Rebar Demon™ SDS-Plus 4-Cutter Full Carbide Head Hammer Bit</t>
        </is>
      </c>
      <c r="D3311" t="inlineStr">
        <is>
          <t>Diablo by Freud DMAPL4180-P25 1/2 in. x 4 in. x 6 in. Rebar Demon SDS-Plus 4-Cutter Full Carbide Head Hammer Bit (25-Pack) Multi, One Size</t>
        </is>
      </c>
      <c r="E3311" s="2">
        <f>HYPERLINK("https://www.amazon.com/Diablo-Rebar-4-Cutter-Carbide-Hammer/dp/B089LGWV7F/ref=sr_1_10?keywords=Diablo+Tools+DMAPL4070+1%2F4+in.+x+4+in.+x+6+in.+Rebar+Demon%E2%84%A2+SDS-Plus+4-Cutter+Full+Carbide+Head+Hammer+Bit&amp;qid=1694735303&amp;sr=8-10", "https://www.amazon.com/Diablo-Rebar-4-Cutter-Carbide-Hammer/dp/B089LGWV7F/ref=sr_1_10?keywords=Diablo+Tools+DMAPL4070+1%2F4+in.+x+4+in.+x+6+in.+Rebar+Demon%E2%84%A2+SDS-Plus+4-Cutter+Full+Carbide+Head+Hammer+Bit&amp;qid=1694735303&amp;sr=8-10")</f>
        <v/>
      </c>
      <c r="F3311" t="inlineStr">
        <is>
          <t>B089LGWV7F</t>
        </is>
      </c>
      <c r="G3311">
        <f>_xlfn.IMAGE("https://edmondsonsupply.com/cdn/shop/products/DMAPL4070_Main-Image20200701.png?v=1633030350")</f>
        <v/>
      </c>
      <c r="H3311">
        <f>_xlfn.IMAGE("https://m.media-amazon.com/images/I/61q9iw+mKpL._AC_UL320_.jpg")</f>
        <v/>
      </c>
      <c r="K3311" t="inlineStr">
        <is>
          <t>8.97</t>
        </is>
      </c>
      <c r="L3311" t="n">
        <v>99.98999999999999</v>
      </c>
      <c r="M3311" s="1" t="inlineStr">
        <is>
          <t>1,014.72%</t>
        </is>
      </c>
      <c r="N3311" s="7" t="n">
        <v>80.44</v>
      </c>
      <c r="O3311" t="n">
        <v>5</v>
      </c>
      <c r="P3311" t="n">
        <v>2</v>
      </c>
      <c r="R3311" t="inlineStr">
        <is>
          <t>InStock</t>
        </is>
      </c>
      <c r="S3311" t="inlineStr">
        <is>
          <t>undefined</t>
        </is>
      </c>
      <c r="T3311" t="inlineStr">
        <is>
          <t>5283100197032</t>
        </is>
      </c>
    </row>
    <row r="3312" ht="87" customHeight="1">
      <c r="A3312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3312" s="2">
        <f>HYPERLINK("https://edmondsonsupply.com/products/klein-tools-s8-1-4-inch-hollow-shaft-nut-driver-3-inch-shaft", "https://edmondsonsupply.com/products/klein-tools-s8-1-4-inch-hollow-shaft-nut-driver-3-inch-shaft")</f>
        <v/>
      </c>
      <c r="C3312" t="inlineStr">
        <is>
          <t>Klein Tools S8 1/4-Inch Hollow Shaft Nut Driver, 3-Inch Shaft</t>
        </is>
      </c>
      <c r="D3312" t="inlineStr">
        <is>
          <t>Klein Tools 647M Tool Set, Magnetic Nut Drivers Sizes 3/16, 1/4, 5/16, 11/32, 3/8, 7/16, 1/2-Inch, 6-Inch Hollow Shafts, 7-Piece</t>
        </is>
      </c>
      <c r="E3312" s="2">
        <f>HYPERLINK("https://www.amazon.com/Klein-Tools-647M-Magnetic-7-Piece/dp/B000MKIUYQ/ref=sr_1_27?keywords=Klein+Tools+S8+1%2F4-Inch+Hollow+Shaft+Nut+Driver%2C+3-Inch+Shaft&amp;qid=1694735248&amp;sr=8-27", "https://www.amazon.com/Klein-Tools-647M-Magnetic-7-Piece/dp/B000MKIUYQ/ref=sr_1_27?keywords=Klein+Tools+S8+1%2F4-Inch+Hollow+Shaft+Nut+Driver%2C+3-Inch+Shaft&amp;qid=1694735248&amp;sr=8-27")</f>
        <v/>
      </c>
      <c r="F3312" t="inlineStr">
        <is>
          <t>B000MKIUYQ</t>
        </is>
      </c>
      <c r="G3312">
        <f>_xlfn.IMAGE("https://edmondsonsupply.com/cdn/shop/products/s10.jpg?v=1633030797")</f>
        <v/>
      </c>
      <c r="H3312">
        <f>_xlfn.IMAGE("https://m.media-amazon.com/images/I/61PNUE211uL._AC_UL320_.jpg")</f>
        <v/>
      </c>
      <c r="K3312" t="inlineStr">
        <is>
          <t>7.29</t>
        </is>
      </c>
      <c r="L3312" t="n">
        <v>79.98999999999999</v>
      </c>
      <c r="M3312" s="1" t="inlineStr">
        <is>
          <t>997.26%</t>
        </is>
      </c>
      <c r="N3312" s="7" t="n">
        <v>80.27</v>
      </c>
      <c r="O3312" t="n">
        <v>4.8</v>
      </c>
      <c r="P3312" t="n">
        <v>985</v>
      </c>
      <c r="R3312" t="inlineStr">
        <is>
          <t>InStock</t>
        </is>
      </c>
      <c r="S3312" t="inlineStr">
        <is>
          <t>10.74</t>
        </is>
      </c>
      <c r="T3312" t="inlineStr">
        <is>
          <t>6000424485032</t>
        </is>
      </c>
    </row>
    <row r="3313" ht="87" customHeight="1">
      <c r="A3313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313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313" t="inlineStr">
        <is>
          <t>Diablo Tools DMAPL4140 3/8 in. x 4 in. x 6 in. Rebar Demon™ SDS-Plus 4-Cutter Full Carbide Head Hammer Bit</t>
        </is>
      </c>
      <c r="D3313" t="inlineStr">
        <is>
          <t>Diablo by Freud DMAPL4040-P25 3/16 in. x 4 in. x 6 in. Rebar Demon™ SDS-Plus 4-Cutter Full Carbide Head Hammer Bit (25-Pack)</t>
        </is>
      </c>
      <c r="E3313" s="2">
        <f>HYPERLINK("https://www.amazon.com/Diablo-Freud-DMAPL4040-P25-SDS-Plus-4-Cutter/dp/B089LKW42D/ref=sr_1_7?keywords=Diablo+Tools+DMAPL4140+3%2F8+in.+x+4+in.+x+6+in.+Rebar+Demon%E2%84%A2+SDS-Plus+4-Cutter+Full+Carbide+Head+Hammer+Bit&amp;qid=1694735296&amp;sr=8-7", "https://www.amazon.com/Diablo-Freud-DMAPL4040-P25-SDS-Plus-4-Cutter/dp/B089LKW42D/ref=sr_1_7?keywords=Diablo+Tools+DMAPL4140+3%2F8+in.+x+4+in.+x+6+in.+Rebar+Demon%E2%84%A2+SDS-Plus+4-Cutter+Full+Carbide+Head+Hammer+Bit&amp;qid=1694735296&amp;sr=8-7")</f>
        <v/>
      </c>
      <c r="F3313" t="inlineStr">
        <is>
          <t>B089LKW42D</t>
        </is>
      </c>
      <c r="G3313">
        <f>_xlfn.IMAGE("https://edmondsonsupply.com/cdn/shop/products/DMAPL4140_Main-Image20200701.png?v=1633030360")</f>
        <v/>
      </c>
      <c r="H3313">
        <f>_xlfn.IMAGE("https://m.media-amazon.com/images/I/61WAyx865hL._AC_UL320_.jpg")</f>
        <v/>
      </c>
      <c r="K3313" t="inlineStr">
        <is>
          <t>7.29</t>
        </is>
      </c>
      <c r="L3313" t="n">
        <v>79.63</v>
      </c>
      <c r="M3313" s="1" t="inlineStr">
        <is>
          <t>992.32%</t>
        </is>
      </c>
      <c r="N3313" s="7" t="n">
        <v>80.08</v>
      </c>
      <c r="O3313" t="n">
        <v>5</v>
      </c>
      <c r="P3313" t="n">
        <v>2</v>
      </c>
      <c r="R3313" t="inlineStr">
        <is>
          <t>InStock</t>
        </is>
      </c>
      <c r="S3313" t="inlineStr">
        <is>
          <t>undefined</t>
        </is>
      </c>
      <c r="T3313" t="inlineStr">
        <is>
          <t>5286771949736</t>
        </is>
      </c>
    </row>
    <row r="3314" ht="87" customHeight="1">
      <c r="A3314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314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314" t="inlineStr">
        <is>
          <t>Diablo Tools DMAPL4140 3/8 in. x 4 in. x 6 in. Rebar Demon™ SDS-Plus 4-Cutter Full Carbide Head Hammer Bit</t>
        </is>
      </c>
      <c r="D3314" t="inlineStr">
        <is>
          <t>Diablo DMAMX1110 5/8 in. x 24 in. x 29 in. Rebar Demon™ SDS-Max 4-Cutter Full Carbide Head Hammer Bit</t>
        </is>
      </c>
      <c r="E3314" s="2">
        <f>HYPERLINK("https://www.amazon.com/Diablo-SDS-Max-4-Cutter-Carbide-Hammer/dp/B089LJ9GHW/ref=sr_1_47?keywords=Diablo+Tools+DMAPL4140+3%2F8+in.+x+4+in.+x+6+in.+Rebar+Demon%E2%84%A2+SDS-Plus+4-Cutter+Full+Carbide+Head+Hammer+Bit&amp;qid=1694735296&amp;sr=8-47", "https://www.amazon.com/Diablo-SDS-Max-4-Cutter-Carbide-Hammer/dp/B089LJ9GHW/ref=sr_1_47?keywords=Diablo+Tools+DMAPL4140+3%2F8+in.+x+4+in.+x+6+in.+Rebar+Demon%E2%84%A2+SDS-Plus+4-Cutter+Full+Carbide+Head+Hammer+Bit&amp;qid=1694735296&amp;sr=8-47")</f>
        <v/>
      </c>
      <c r="F3314" t="inlineStr">
        <is>
          <t>B089LJ9GHW</t>
        </is>
      </c>
      <c r="G3314">
        <f>_xlfn.IMAGE("https://edmondsonsupply.com/cdn/shop/products/DMAPL4140_Main-Image20200701.png?v=1633030360")</f>
        <v/>
      </c>
      <c r="H3314">
        <f>_xlfn.IMAGE("https://m.media-amazon.com/images/I/61vWAd-z8eL._AC_UL320_.jpg")</f>
        <v/>
      </c>
      <c r="K3314" t="inlineStr">
        <is>
          <t>7.29</t>
        </is>
      </c>
      <c r="L3314" t="n">
        <v>78.98999999999999</v>
      </c>
      <c r="M3314" s="1" t="inlineStr">
        <is>
          <t>983.54%</t>
        </is>
      </c>
      <c r="N3314" s="7" t="n">
        <v>80.08</v>
      </c>
      <c r="O3314" t="n">
        <v>4.7</v>
      </c>
      <c r="P3314" t="n">
        <v>4</v>
      </c>
      <c r="R3314" t="inlineStr">
        <is>
          <t>InStock</t>
        </is>
      </c>
      <c r="S3314" t="inlineStr">
        <is>
          <t>undefined</t>
        </is>
      </c>
      <c r="T3314" t="inlineStr">
        <is>
          <t>5286771949736</t>
        </is>
      </c>
    </row>
    <row r="3315" ht="87" customHeight="1">
      <c r="A331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315" s="2">
        <f>HYPERLINK("https://edmondsonsupply.com/products/klein-tools-et45-ac-dc-voltage-tester", "https://edmondsonsupply.com/products/klein-tools-et45-ac-dc-voltage-tester")</f>
        <v/>
      </c>
      <c r="C3315" t="inlineStr">
        <is>
          <t>Klein Tools ET45 AC/DC Voltage Tester</t>
        </is>
      </c>
      <c r="D3315" t="inlineStr">
        <is>
          <t>Klein Tools CL120VP Electrical Voltage Test Kit with Clamp Meter, Three Testers, Test Leads, Pouch and Batteries &amp; ET310 AC Circuit Breaker Finder with Integrated GFCI Outlet Tester</t>
        </is>
      </c>
      <c r="E3315" s="2">
        <f>HYPERLINK("https://www.amazon.com/Klein-Tools-Electrical-Batteries-Integrated/dp/B09P843VNV/ref=sr_1_47?keywords=Klein+Tools+ET45+AC%2FDC+Voltage+Tester&amp;qid=1694735227&amp;sr=8-47", "https://www.amazon.com/Klein-Tools-Electrical-Batteries-Integrated/dp/B09P843VNV/ref=sr_1_47?keywords=Klein+Tools+ET45+AC%2FDC+Voltage+Tester&amp;qid=1694735227&amp;sr=8-47")</f>
        <v/>
      </c>
      <c r="F3315" t="inlineStr">
        <is>
          <t>B09P843VNV</t>
        </is>
      </c>
      <c r="G3315">
        <f>_xlfn.IMAGE("https://edmondsonsupply.com/cdn/shop/products/et45.jpg?v=1647786270")</f>
        <v/>
      </c>
      <c r="H3315">
        <f>_xlfn.IMAGE("https://m.media-amazon.com/images/I/51-jSPYFu4L._AC_UL320_.jpg")</f>
        <v/>
      </c>
      <c r="K3315" t="inlineStr">
        <is>
          <t>11.99</t>
        </is>
      </c>
      <c r="L3315" t="n">
        <v>129.7</v>
      </c>
      <c r="M3315" s="1" t="inlineStr">
        <is>
          <t>981.73%</t>
        </is>
      </c>
      <c r="N3315" s="7" t="n">
        <v>80.08</v>
      </c>
      <c r="O3315" t="n">
        <v>4.9</v>
      </c>
      <c r="P3315" t="n">
        <v>11</v>
      </c>
      <c r="R3315" t="inlineStr">
        <is>
          <t>InStock</t>
        </is>
      </c>
      <c r="S3315" t="inlineStr">
        <is>
          <t>16.72</t>
        </is>
      </c>
      <c r="T3315" t="inlineStr">
        <is>
          <t>3688633630820</t>
        </is>
      </c>
    </row>
    <row r="3316" ht="87" customHeight="1">
      <c r="A3316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316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316" t="inlineStr">
        <is>
          <t>Diablo Tools DMAPL4100 1/4 in. x 16 in. x 18 in. Rebar Demon™ SDS‑Plus 4‑Cutter Full Carbide Head Hammer Bit</t>
        </is>
      </c>
      <c r="D3316" t="inlineStr">
        <is>
          <t>Diablo by Freud DMAPL4160-P25 3/8 in. x 10 in. x 12 in. Rebar Demon SDS-Plus 4-Cutter Full Carbide Head Hammer Bit (25-Pack)</t>
        </is>
      </c>
      <c r="E3316" s="2" t="n"/>
      <c r="F3316" t="inlineStr">
        <is>
          <t>B089LKWCD1</t>
        </is>
      </c>
      <c r="G3316">
        <f>_xlfn.IMAGE("https://edmondsonsupply.com/cdn/shop/products/DMAPL4100_Main-Image20200701.png?v=1633030520")</f>
        <v/>
      </c>
      <c r="H3316">
        <f>_xlfn.IMAGE("https://m.media-amazon.com/images/I/61MHnm3+2bL._AC_UL320_.jpg")</f>
        <v/>
      </c>
      <c r="K3316" t="inlineStr">
        <is>
          <t>16.97</t>
        </is>
      </c>
      <c r="L3316" t="n">
        <v>180.97</v>
      </c>
      <c r="M3316" s="1" t="inlineStr">
        <is>
          <t>966.41%</t>
        </is>
      </c>
      <c r="N3316" s="7" t="n">
        <v>80.08</v>
      </c>
      <c r="O3316" t="n">
        <v>5</v>
      </c>
      <c r="P3316" t="n">
        <v>1</v>
      </c>
      <c r="R3316" t="inlineStr">
        <is>
          <t>InStock</t>
        </is>
      </c>
      <c r="S3316" t="inlineStr">
        <is>
          <t>undefined</t>
        </is>
      </c>
      <c r="T3316" t="inlineStr">
        <is>
          <t>5399840882856</t>
        </is>
      </c>
    </row>
    <row r="3317" ht="87" customHeight="1">
      <c r="A3317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317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317" t="inlineStr">
        <is>
          <t>Diablo Tools DMAPL4080 1/4 in. x 6 in. x 8 in. Rebar Demon™ SDS-Plus 4-Cutter Full Carbide Head Hammer Bit</t>
        </is>
      </c>
      <c r="D3317" t="inlineStr">
        <is>
          <t>Diablo by Freud DMAPL4040-P25 3/16 in. x 4 in. x 6 in. Rebar Demon™ SDS-Plus 4-Cutter Full Carbide Head Hammer Bit (25-Pack)</t>
        </is>
      </c>
      <c r="E3317" s="2">
        <f>HYPERLINK("https://www.amazon.com/Diablo-Freud-DMAPL4040-P25-SDS-Plus-4-Cutter/dp/B089LKW42D/ref=sr_1_25?keywords=Diablo+Tools+DMAPL4080+1%2F4+in.+x+6+in.+x+8+in.+Rebar+Demon%E2%84%A2+SDS-Plus+4-Cutter+Full+Carbide+Head+Hammer+Bit&amp;qid=1694735294&amp;sr=8-25", "https://www.amazon.com/Diablo-Freud-DMAPL4040-P25-SDS-Plus-4-Cutter/dp/B089LKW42D/ref=sr_1_25?keywords=Diablo+Tools+DMAPL4080+1%2F4+in.+x+6+in.+x+8+in.+Rebar+Demon%E2%84%A2+SDS-Plus+4-Cutter+Full+Carbide+Head+Hammer+Bit&amp;qid=1694735294&amp;sr=8-25")</f>
        <v/>
      </c>
      <c r="F3317" t="inlineStr">
        <is>
          <t>B089LKW42D</t>
        </is>
      </c>
      <c r="G3317">
        <f>_xlfn.IMAGE("https://edmondsonsupply.com/cdn/shop/products/DMAPL4080_1.jpg?v=1633030359")</f>
        <v/>
      </c>
      <c r="H3317">
        <f>_xlfn.IMAGE("https://m.media-amazon.com/images/I/61WAyx865hL._AC_UL320_.jpg")</f>
        <v/>
      </c>
      <c r="K3317" t="inlineStr">
        <is>
          <t>7.47</t>
        </is>
      </c>
      <c r="L3317" t="n">
        <v>79.63</v>
      </c>
      <c r="M3317" s="1" t="inlineStr">
        <is>
          <t>966.00%</t>
        </is>
      </c>
      <c r="N3317" s="7" t="n">
        <v>80.03</v>
      </c>
      <c r="O3317" t="n">
        <v>5</v>
      </c>
      <c r="P3317" t="n">
        <v>2</v>
      </c>
      <c r="R3317" t="inlineStr">
        <is>
          <t>InStock</t>
        </is>
      </c>
      <c r="S3317" t="inlineStr">
        <is>
          <t>undefined</t>
        </is>
      </c>
      <c r="T3317" t="inlineStr">
        <is>
          <t>5286767919272</t>
        </is>
      </c>
    </row>
    <row r="3318" ht="87" customHeight="1">
      <c r="A3318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318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318" t="inlineStr">
        <is>
          <t>Diablo Tools DMAPL4080 1/4 in. x 6 in. x 8 in. Rebar Demon™ SDS-Plus 4-Cutter Full Carbide Head Hammer Bit</t>
        </is>
      </c>
      <c r="D3318" t="inlineStr">
        <is>
          <t>Diablo DMAMX1110 5/8 in. x 24 in. x 29 in. Rebar Demon™ SDS-Max 4-Cutter Full Carbide Head Hammer Bit</t>
        </is>
      </c>
      <c r="E3318" s="2">
        <f>HYPERLINK("https://www.amazon.com/Diablo-SDS-Max-4-Cutter-Carbide-Hammer/dp/B089LJ9GHW/ref=sr_1_38?keywords=Diablo+Tools+DMAPL4080+1%2F4+in.+x+6+in.+x+8+in.+Rebar+Demon%E2%84%A2+SDS-Plus+4-Cutter+Full+Carbide+Head+Hammer+Bit&amp;qid=1694735294&amp;sr=8-38", "https://www.amazon.com/Diablo-SDS-Max-4-Cutter-Carbide-Hammer/dp/B089LJ9GHW/ref=sr_1_38?keywords=Diablo+Tools+DMAPL4080+1%2F4+in.+x+6+in.+x+8+in.+Rebar+Demon%E2%84%A2+SDS-Plus+4-Cutter+Full+Carbide+Head+Hammer+Bit&amp;qid=1694735294&amp;sr=8-38")</f>
        <v/>
      </c>
      <c r="F3318" t="inlineStr">
        <is>
          <t>B089LJ9GHW</t>
        </is>
      </c>
      <c r="G3318">
        <f>_xlfn.IMAGE("https://edmondsonsupply.com/cdn/shop/products/DMAPL4080_1.jpg?v=1633030359")</f>
        <v/>
      </c>
      <c r="H3318">
        <f>_xlfn.IMAGE("https://m.media-amazon.com/images/I/61vWAd-z8eL._AC_UL320_.jpg")</f>
        <v/>
      </c>
      <c r="K3318" t="inlineStr">
        <is>
          <t>7.47</t>
        </is>
      </c>
      <c r="L3318" t="n">
        <v>78.98999999999999</v>
      </c>
      <c r="M3318" s="1" t="inlineStr">
        <is>
          <t>957.43%</t>
        </is>
      </c>
      <c r="N3318" s="7" t="n">
        <v>80.02</v>
      </c>
      <c r="O3318" t="n">
        <v>4.7</v>
      </c>
      <c r="P3318" t="n">
        <v>4</v>
      </c>
      <c r="R3318" t="inlineStr">
        <is>
          <t>InStock</t>
        </is>
      </c>
      <c r="S3318" t="inlineStr">
        <is>
          <t>undefined</t>
        </is>
      </c>
      <c r="T3318" t="inlineStr">
        <is>
          <t>5286767919272</t>
        </is>
      </c>
    </row>
    <row r="3319" ht="87" customHeight="1">
      <c r="A3319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319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319" t="inlineStr">
        <is>
          <t>Diablo Tools DMAPL4140 3/8 in. x 4 in. x 6 in. Rebar Demon™ SDS-Plus 4-Cutter Full Carbide Head Hammer Bit</t>
        </is>
      </c>
      <c r="D3319" t="inlineStr">
        <is>
          <t>Diablo 3/8"x4"x6" Rebar Demon™ SDS+ 4-Cutter Full Carbide Head Hammer Bit 25Pk</t>
        </is>
      </c>
      <c r="E3319" s="2">
        <f>HYPERLINK("https://www.amazon.com/Diablo-Rebar-4-Cutter-Carbide-Hammer/dp/B089LN938D/ref=sr_1_32?keywords=Diablo+Tools+DMAPL4140+3%2F8+in.+x+4+in.+x+6+in.+Rebar+Demon%E2%84%A2+SDS-Plus+4-Cutter+Full+Carbide+Head+Hammer+Bit&amp;qid=1694735296&amp;sr=8-32", "https://www.amazon.com/Diablo-Rebar-4-Cutter-Carbide-Hammer/dp/B089LN938D/ref=sr_1_32?keywords=Diablo+Tools+DMAPL4140+3%2F8+in.+x+4+in.+x+6+in.+Rebar+Demon%E2%84%A2+SDS-Plus+4-Cutter+Full+Carbide+Head+Hammer+Bit&amp;qid=1694735296&amp;sr=8-32")</f>
        <v/>
      </c>
      <c r="F3319" t="inlineStr">
        <is>
          <t>B089LN938D</t>
        </is>
      </c>
      <c r="G3319">
        <f>_xlfn.IMAGE("https://edmondsonsupply.com/cdn/shop/products/DMAPL4140_Main-Image20200701.png?v=1633030360")</f>
        <v/>
      </c>
      <c r="H3319">
        <f>_xlfn.IMAGE("https://m.media-amazon.com/images/I/61MI28CcuyL._AC_UL320_.jpg")</f>
        <v/>
      </c>
      <c r="K3319" t="inlineStr">
        <is>
          <t>7.29</t>
        </is>
      </c>
      <c r="L3319" t="n">
        <v>76.73</v>
      </c>
      <c r="M3319" s="1" t="inlineStr">
        <is>
          <t>952.54%</t>
        </is>
      </c>
      <c r="N3319" s="7" t="n">
        <v>79.98999999999999</v>
      </c>
      <c r="O3319" t="n">
        <v>5</v>
      </c>
      <c r="P3319" t="n">
        <v>4</v>
      </c>
      <c r="R3319" t="inlineStr">
        <is>
          <t>InStock</t>
        </is>
      </c>
      <c r="S3319" t="inlineStr">
        <is>
          <t>undefined</t>
        </is>
      </c>
      <c r="T3319" t="inlineStr">
        <is>
          <t>5286771949736</t>
        </is>
      </c>
    </row>
    <row r="3320" hidden="1" ht="15.75" customHeight="1">
      <c r="A3320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3320" s="2">
        <f>HYPERLINK("https://edmondsonsupply.com/products/klein-tools-69409-line-splitter-10x", "https://edmondsonsupply.com/products/klein-tools-69409-line-splitter-10x")</f>
        <v/>
      </c>
      <c r="C3320" t="inlineStr">
        <is>
          <t>Klein Tools 69409 Line Splitter 10x</t>
        </is>
      </c>
      <c r="D3320" t="inlineStr">
        <is>
          <t>Klein Tools CL900 Digital Clamp Meter, Autoranging TRMS, AC/DC Voltage/Current, 2000A, LOZ, Continuity, Frequency, NCVT, Temp, More, 1000V &amp; 69409 Line Splitter 10x</t>
        </is>
      </c>
      <c r="E3320" s="2">
        <f>HYPERLINK("https://www.amazon.com/Klein-Tools-Autoranging-Continuity-Frequency/dp/B0BD3X25DN/ref=sr_1_8?keywords=Klein+Tools+69409+Line+Splitter+10x&amp;qid=1694735419&amp;sr=8-8", "https://www.amazon.com/Klein-Tools-Autoranging-Continuity-Frequency/dp/B0BD3X25DN/ref=sr_1_8?keywords=Klein+Tools+69409+Line+Splitter+10x&amp;qid=1694735419&amp;sr=8-8")</f>
        <v/>
      </c>
      <c r="F3320" t="inlineStr">
        <is>
          <t>B0BD3X25DN</t>
        </is>
      </c>
      <c r="G3320">
        <f>_xludf.IMAGE("https://edmondsonsupply.com/cdn/shop/products/69409.jpg?v=1587146689")</f>
        <v/>
      </c>
      <c r="H3320">
        <f>_xludf.IMAGE("https://m.media-amazon.com/images/I/51E8g-6o1vL._AC_UL320_.jpg")</f>
        <v/>
      </c>
      <c r="K3320" t="inlineStr">
        <is>
          <t>16.97</t>
        </is>
      </c>
      <c r="L3320" t="n">
        <v>175.96</v>
      </c>
      <c r="M3320" s="1" t="inlineStr">
        <is>
          <t>936.89%</t>
        </is>
      </c>
      <c r="N3320" s="1" t="n">
        <v>79.98999999999999</v>
      </c>
      <c r="O3320" t="n">
        <v>4</v>
      </c>
      <c r="P3320" t="n">
        <v>2</v>
      </c>
      <c r="R3320" t="inlineStr">
        <is>
          <t>InStock</t>
        </is>
      </c>
      <c r="S3320" t="inlineStr">
        <is>
          <t>20.48</t>
        </is>
      </c>
      <c r="T3320" t="inlineStr">
        <is>
          <t>1723598045284</t>
        </is>
      </c>
    </row>
    <row r="3321" ht="87" customFormat="1" customHeight="1" s="12">
      <c r="A3321" s="11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321" s="11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321" s="12" t="inlineStr">
        <is>
          <t>Diablo Tools D0724A 7-1/4 in. x 24 Tooth Framing Saw Blade</t>
        </is>
      </c>
      <c r="D3321" s="12" t="inlineStr">
        <is>
          <t>10 PACK Freud D0724A Diablo 7- 1/4-Inch 24 Tooth ATB Framing Saw Blade with 5/8-Inch and Diamond Knockout Arbor</t>
        </is>
      </c>
      <c r="E3321" s="11">
        <f>HYPERLINK("https://www.amazon.com/Freud-D0724A-Framing-Diamond-Knockout/dp/B0148UEC42/ref=sr_1_22?keywords=Diablo+Tools+D0724A+7-1%2F4+in.+x+24+Tooth+Framing+Saw+Blade&amp;qid=1694735310&amp;sr=8-22", "https://www.amazon.com/Freud-D0724A-Framing-Diamond-Knockout/dp/B0148UEC42/ref=sr_1_22?keywords=Diablo+Tools+D0724A+7-1%2F4+in.+x+24+Tooth+Framing+Saw+Blade&amp;qid=1694735310&amp;sr=8-22")</f>
        <v/>
      </c>
      <c r="F3321" s="12" t="inlineStr">
        <is>
          <t>B0148UEC42</t>
        </is>
      </c>
      <c r="G3321" s="12">
        <f>_xlfn.IMAGE("https://edmondsonsupply.com/cdn/shop/products/D0724A_Main-Image20200218.png?v=1633030268")</f>
        <v/>
      </c>
      <c r="H3321" s="12">
        <f>_xlfn.IMAGE("https://m.media-amazon.com/images/I/512dz+IHEgL._AC_UL320_.jpg")</f>
        <v/>
      </c>
      <c r="K3321" s="12" t="inlineStr">
        <is>
          <t>9.97</t>
        </is>
      </c>
      <c r="L3321" s="12" t="n">
        <v>101.98</v>
      </c>
      <c r="M3321" s="13" t="inlineStr">
        <is>
          <t>922.87%</t>
        </is>
      </c>
      <c r="N3321" s="13" t="n">
        <v>79.98</v>
      </c>
      <c r="O3321" s="12" t="n">
        <v>4.4</v>
      </c>
      <c r="P3321" s="12" t="n">
        <v>14</v>
      </c>
      <c r="R3321" s="12" t="inlineStr">
        <is>
          <t>InStock</t>
        </is>
      </c>
      <c r="S3321" s="12" t="inlineStr">
        <is>
          <t>15.45</t>
        </is>
      </c>
      <c r="T3321" s="12" t="inlineStr">
        <is>
          <t>4678532563044</t>
        </is>
      </c>
    </row>
    <row r="3322" ht="87" customHeight="1">
      <c r="A3322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322" s="2">
        <f>HYPERLINK("https://edmondsonsupply.com/products/diablo-tools-d0724x-7-1-4-in-x-24-tooth-framing-saw-blade", "https://edmondsonsupply.com/products/diablo-tools-d0724x-7-1-4-in-x-24-tooth-framing-saw-blade")</f>
        <v/>
      </c>
      <c r="C3322" t="inlineStr">
        <is>
          <t>Diablo Tools D0724X 7-1/4 in. x 24 Tooth Framing Saw Blade</t>
        </is>
      </c>
      <c r="D3322" t="inlineStr">
        <is>
          <t>10 PACK Freud D0724A Diablo 7- 1/4-Inch 24 Tooth ATB Framing Saw Blade with 5/8-Inch and Diamond Knockout Arbor</t>
        </is>
      </c>
      <c r="E3322" s="2">
        <f>HYPERLINK("https://www.amazon.com/Freud-D0724A-Framing-Diamond-Knockout/dp/B0148UEC42/ref=sr_1_22?keywords=Diablo+Tools+D0724X+7-1%2F4+in.+x+24+Tooth+Framing+Saw+Blade&amp;qid=1694735022&amp;sr=8-22", "https://www.amazon.com/Freud-D0724A-Framing-Diamond-Knockout/dp/B0148UEC42/ref=sr_1_22?keywords=Diablo+Tools+D0724X+7-1%2F4+in.+x+24+Tooth+Framing+Saw+Blade&amp;qid=1694735022&amp;sr=8-22")</f>
        <v/>
      </c>
      <c r="F3322" t="inlineStr">
        <is>
          <t>B0148UEC42</t>
        </is>
      </c>
      <c r="G3322">
        <f>_xlfn.IMAGE("https://edmondsonsupply.com/cdn/shop/products/D0724A_Main-Image20200218_ba34939c-8546-489a-9616-b05338ff91cc.png?v=1678971696")</f>
        <v/>
      </c>
      <c r="H3322">
        <f>_xlfn.IMAGE("https://m.media-amazon.com/images/I/512dz+IHEgL._AC_UL320_.jpg")</f>
        <v/>
      </c>
      <c r="K3322" t="inlineStr">
        <is>
          <t>9.97</t>
        </is>
      </c>
      <c r="L3322" t="n">
        <v>101.98</v>
      </c>
      <c r="M3322" s="1" t="inlineStr">
        <is>
          <t>922.87%</t>
        </is>
      </c>
      <c r="N3322" s="7" t="n">
        <v>79.67</v>
      </c>
      <c r="O3322" t="n">
        <v>4.4</v>
      </c>
      <c r="P3322" t="n">
        <v>14</v>
      </c>
      <c r="R3322" t="inlineStr">
        <is>
          <t>InStock</t>
        </is>
      </c>
      <c r="S3322" t="inlineStr">
        <is>
          <t>16.41</t>
        </is>
      </c>
      <c r="T3322" t="inlineStr">
        <is>
          <t>7962598670552</t>
        </is>
      </c>
    </row>
    <row r="3323" ht="87" customHeight="1">
      <c r="A3323" s="2">
        <f>HYPERLINK("https://edmondsonsupply.com/collections/electricians-tools/products/milwaukee-48-20-8810-1-4-in-x-2-in-x-4-in-3-flat-secure-grip%E2%84%A2-hammer-drill-bit", "https://edmondsonsupply.com/collections/electricians-tools/products/milwaukee-48-20-8810-1-4-in-x-2-in-x-4-in-3-flat-secure-grip%E2%84%A2-hammer-drill-bit")</f>
        <v/>
      </c>
      <c r="B3323" s="2">
        <f>HYPERLINK("https://edmondsonsupply.com/products/milwaukee-48-20-8810-1-4-in-x-2-in-x-4-in-3-flat-secure-grip%e2%84%a2-hammer-drill-bit", "https://edmondsonsupply.com/products/milwaukee-48-20-8810-1-4-in-x-2-in-x-4-in-3-flat-secure-grip%e2%84%a2-hammer-drill-bit")</f>
        <v/>
      </c>
      <c r="C3323" t="inlineStr">
        <is>
          <t>Milwaukee 48-20-8810 1/4 in. x 2 in. x 4 in. 3-Flat Secure-Grip™ Hammer-Drill Bit</t>
        </is>
      </c>
      <c r="D3323" t="inlineStr">
        <is>
          <t>Milwaukee 48-20-3954 1 by 21-Inch SDS MAX Bit</t>
        </is>
      </c>
      <c r="E3323" s="2">
        <f>HYPERLINK("https://www.amazon.com/Milwaukee-48-20-3954-21-Inch-SDS-MAX/dp/B00004XP8A/ref=sr_1_10?keywords=Milwaukee+48-20-8810+1%2F4+in.+x+2+in.+x+4+in.+3-Flat+Secure-Grip%E2%84%A2+Hammer-Drill+Bit&amp;qid=1694735413&amp;sr=8-10", "https://www.amazon.com/Milwaukee-48-20-3954-21-Inch-SDS-MAX/dp/B00004XP8A/ref=sr_1_10?keywords=Milwaukee+48-20-8810+1%2F4+in.+x+2+in.+x+4+in.+3-Flat+Secure-Grip%E2%84%A2+Hammer-Drill+Bit&amp;qid=1694735413&amp;sr=8-10")</f>
        <v/>
      </c>
      <c r="F3323" t="inlineStr">
        <is>
          <t>B00004XP8A</t>
        </is>
      </c>
      <c r="G3323">
        <f>_xlfn.IMAGE("https://edmondsonsupply.com/cdn/shop/products/48-20-8810.jpg?v=1587144568")</f>
        <v/>
      </c>
      <c r="H3323">
        <f>_xlfn.IMAGE("https://m.media-amazon.com/images/I/41yzCFlwrWL._AC_UL320_.jpg")</f>
        <v/>
      </c>
      <c r="K3323" t="inlineStr">
        <is>
          <t>4.6</t>
        </is>
      </c>
      <c r="L3323" t="n">
        <v>46.95</v>
      </c>
      <c r="M3323" s="1" t="inlineStr">
        <is>
          <t>920.65%</t>
        </is>
      </c>
      <c r="N3323" s="7" t="n">
        <v>79.67</v>
      </c>
      <c r="O3323" t="n">
        <v>5</v>
      </c>
      <c r="P3323" t="n">
        <v>6</v>
      </c>
      <c r="R3323" t="inlineStr">
        <is>
          <t>InStock</t>
        </is>
      </c>
      <c r="S3323" t="inlineStr">
        <is>
          <t>undefined</t>
        </is>
      </c>
      <c r="T3323" t="inlineStr">
        <is>
          <t>4384981516388</t>
        </is>
      </c>
    </row>
    <row r="3324" ht="87" customHeight="1">
      <c r="A3324" s="2">
        <f>HYPERLINK("https://edmondsonsupply.com/collections/electricians-tools/products/klein-tools-ir1-infrared-digital-thermometer-with-targeting-laser-10-1", "https://edmondsonsupply.com/collections/electricians-tools/products/klein-tools-ir1-infrared-digital-thermometer-with-targeting-laser-10-1")</f>
        <v/>
      </c>
      <c r="B3324" s="2">
        <f>HYPERLINK("https://edmondsonsupply.com/products/klein-tools-ir1-infrared-digital-thermometer-with-targeting-laser-10-1", "https://edmondsonsupply.com/products/klein-tools-ir1-infrared-digital-thermometer-with-targeting-laser-10-1")</f>
        <v/>
      </c>
      <c r="C3324" t="inlineStr">
        <is>
          <t>Klein Tools IR1 Infrared Digital Thermometer with Targeting Laser, 10:1</t>
        </is>
      </c>
      <c r="D3324" t="inlineStr">
        <is>
          <t>Klein Tools TI250 Rechargeable Thermal Imaging Camera &amp; IR1 Infrared Thermometer, Digital Laser Gun is Non-Contact Thermometer with a Temperature Range -4 to 752-Degree Fahrenheit</t>
        </is>
      </c>
      <c r="E3324" s="2">
        <f>HYPERLINK("https://www.amazon.com/Klein-Tools-Rechargeable-Thermometer-Non-Contact/dp/B0CCSB4DVN/ref=sr_1_9?keywords=Klein+Tools+IR1+Infrared+Digital+Thermometer+with+Targeting+Laser%2C+10%3A1&amp;qid=1694735137&amp;sr=8-9", "https://www.amazon.com/Klein-Tools-Rechargeable-Thermometer-Non-Contact/dp/B0CCSB4DVN/ref=sr_1_9?keywords=Klein+Tools+IR1+Infrared+Digital+Thermometer+with+Targeting+Laser%2C+10%3A1&amp;qid=1694735137&amp;sr=8-9")</f>
        <v/>
      </c>
      <c r="F3324" t="inlineStr">
        <is>
          <t>B0CCSB4DVN</t>
        </is>
      </c>
      <c r="G3324">
        <f>_xlfn.IMAGE("https://edmondsonsupply.com/cdn/shop/products/ir1.jpg?v=1659112251")</f>
        <v/>
      </c>
      <c r="H3324">
        <f>_xlfn.IMAGE("https://m.media-amazon.com/images/I/51W+aCcwDFL._AC_UY218_.jpg")</f>
        <v/>
      </c>
      <c r="K3324" t="inlineStr">
        <is>
          <t>32.99</t>
        </is>
      </c>
      <c r="L3324" t="n">
        <v>332.98</v>
      </c>
      <c r="M3324" s="1" t="inlineStr">
        <is>
          <t>909.34%</t>
        </is>
      </c>
      <c r="N3324" s="7" t="n">
        <v>79.48999999999999</v>
      </c>
      <c r="O3324" t="n">
        <v>4.5</v>
      </c>
      <c r="P3324" t="n">
        <v>775</v>
      </c>
      <c r="R3324" t="inlineStr">
        <is>
          <t>InStock</t>
        </is>
      </c>
      <c r="S3324" t="inlineStr">
        <is>
          <t>48.5</t>
        </is>
      </c>
      <c r="T3324" t="inlineStr">
        <is>
          <t>7766524231896</t>
        </is>
      </c>
    </row>
    <row r="3325" ht="87" customHeight="1">
      <c r="A3325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3325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3325" t="inlineStr">
        <is>
          <t>Diablo Tools DMAPL4230 5/8 in. x 10 in. x 12 in. Rebar Demon™ SDS‑Plus 4‑Cutter Full Carbide Head Hammer Bit</t>
        </is>
      </c>
      <c r="D3325" t="inlineStr">
        <is>
          <t>Diablo by Freud DMAPL4160-P25 3/8 in. x 10 in. x 12 in. Rebar Demon SDS-Plus 4-Cutter Full Carbide Head Hammer Bit (25-Pack)</t>
        </is>
      </c>
      <c r="E3325" s="2" t="n"/>
      <c r="F3325" t="inlineStr">
        <is>
          <t>B089LKWCD1</t>
        </is>
      </c>
      <c r="G3325">
        <f>_xlfn.IMAGE("https://edmondsonsupply.com/cdn/shop/products/DMAPL4230_Main-Image20200701.png?v=1633030428")</f>
        <v/>
      </c>
      <c r="H3325">
        <f>_xlfn.IMAGE("https://m.media-amazon.com/images/I/61MHnm3+2bL._AC_UL320_.jpg")</f>
        <v/>
      </c>
      <c r="K3325" t="inlineStr">
        <is>
          <t>17.97</t>
        </is>
      </c>
      <c r="L3325" t="n">
        <v>180.97</v>
      </c>
      <c r="M3325" s="1" t="inlineStr">
        <is>
          <t>907.07%</t>
        </is>
      </c>
      <c r="N3325" s="7" t="n">
        <v>78.98</v>
      </c>
      <c r="O3325" t="n">
        <v>5</v>
      </c>
      <c r="P3325" t="n">
        <v>1</v>
      </c>
      <c r="R3325" t="inlineStr">
        <is>
          <t>InStock</t>
        </is>
      </c>
      <c r="S3325" t="inlineStr">
        <is>
          <t>27.18</t>
        </is>
      </c>
      <c r="T3325" t="inlineStr">
        <is>
          <t>5326959476904</t>
        </is>
      </c>
    </row>
    <row r="3326" ht="87" customHeight="1">
      <c r="A3326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326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326" t="inlineStr">
        <is>
          <t>Diablo Tools DMAPL4180 1/2 in. x 4 in. x 6 in. Rebar Demon™ SDS-Plus 4-Cutter Full Carbide Head Hammer Bit</t>
        </is>
      </c>
      <c r="D3326" t="inlineStr">
        <is>
          <t>Diablo by Freud DMAPL4180-P25 1/2 in. x 4 in. x 6 in. Rebar Demon SDS-Plus 4-Cutter Full Carbide Head Hammer Bit (25-Pack) Multi, One Size</t>
        </is>
      </c>
      <c r="E3326" s="2">
        <f>HYPERLINK("https://www.amazon.com/Diablo-Rebar-4-Cutter-Carbide-Hammer/dp/B089LGWV7F/ref=sr_1_1?keywords=Diablo+Tools+DMAPL4180+1%2F2+in.+x+4+in.+x+6+in.+Rebar+Demon%E2%84%A2+SDS-Plus+4-Cutter+Full+Carbide+Head+Hammer+Bit&amp;qid=1694735298&amp;sr=8-1", "https://www.amazon.com/Diablo-Rebar-4-Cutter-Carbide-Hammer/dp/B089LGWV7F/ref=sr_1_1?keywords=Diablo+Tools+DMAPL4180+1%2F2+in.+x+4+in.+x+6+in.+Rebar+Demon%E2%84%A2+SDS-Plus+4-Cutter+Full+Carbide+Head+Hammer+Bit&amp;qid=1694735298&amp;sr=8-1")</f>
        <v/>
      </c>
      <c r="F3326" t="inlineStr">
        <is>
          <t>B089LGWV7F</t>
        </is>
      </c>
      <c r="G3326">
        <f>_xlfn.IMAGE("https://edmondsonsupply.com/cdn/shop/products/DMAPL4180_Main-Image20200702.png?v=1633030362")</f>
        <v/>
      </c>
      <c r="H3326">
        <f>_xlfn.IMAGE("https://m.media-amazon.com/images/I/61q9iw+mKpL._AC_UL320_.jpg")</f>
        <v/>
      </c>
      <c r="K3326" t="inlineStr">
        <is>
          <t>9.97</t>
        </is>
      </c>
      <c r="L3326" t="n">
        <v>99.98999999999999</v>
      </c>
      <c r="M3326" s="1" t="inlineStr">
        <is>
          <t>902.91%</t>
        </is>
      </c>
      <c r="N3326" s="7" t="n">
        <v>78.8</v>
      </c>
      <c r="O3326" t="n">
        <v>5</v>
      </c>
      <c r="P3326" t="n">
        <v>2</v>
      </c>
      <c r="R3326" t="inlineStr">
        <is>
          <t>InStock</t>
        </is>
      </c>
      <c r="S3326" t="inlineStr">
        <is>
          <t>undefined</t>
        </is>
      </c>
      <c r="T3326" t="inlineStr">
        <is>
          <t>5286803833000</t>
        </is>
      </c>
    </row>
    <row r="3327" ht="87" customHeight="1">
      <c r="A3327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327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327" t="inlineStr">
        <is>
          <t>Diablo Tools DMAPL4160 3/8 in. x 10 in. x 12 in. Rebar Demon™ SDS-Plus 4-Cutter Full Carbide Head Hammer Bit</t>
        </is>
      </c>
      <c r="D3327" t="inlineStr">
        <is>
          <t>Diablo by Freud DMAPL4180-P25 1/2 in. x 4 in. x 6 in. Rebar Demon SDS-Plus 4-Cutter Full Carbide Head Hammer Bit (25-Pack) Multi, One Size</t>
        </is>
      </c>
      <c r="E3327" s="2">
        <f>HYPERLINK("https://www.amazon.com/Diablo-Rebar-4-Cutter-Carbide-Hammer/dp/B089LGWV7F/ref=sr_1_43?keywords=Diablo+Tools+DMAPL4160+3%2F8+in.+x+10+in.+x+12+in.+Rebar+Demon%E2%84%A2+SDS-Plus+4-Cutter+Full+Carbide+Head+Hammer+Bit&amp;qid=1694735304&amp;sr=8-43", "https://www.amazon.com/Diablo-Rebar-4-Cutter-Carbide-Hammer/dp/B089LGWV7F/ref=sr_1_43?keywords=Diablo+Tools+DMAPL4160+3%2F8+in.+x+10+in.+x+12+in.+Rebar+Demon%E2%84%A2+SDS-Plus+4-Cutter+Full+Carbide+Head+Hammer+Bit&amp;qid=1694735304&amp;sr=8-43")</f>
        <v/>
      </c>
      <c r="F3327" t="inlineStr">
        <is>
          <t>B089LGWV7F</t>
        </is>
      </c>
      <c r="G3327">
        <f>_xlfn.IMAGE("https://edmondsonsupply.com/cdn/shop/products/w7y3zlfom8dhrlplcmqa.webp?v=1670439058")</f>
        <v/>
      </c>
      <c r="H3327">
        <f>_xlfn.IMAGE("https://m.media-amazon.com/images/I/61q9iw+mKpL._AC_UL320_.jpg")</f>
        <v/>
      </c>
      <c r="K3327" t="inlineStr">
        <is>
          <t>9.97</t>
        </is>
      </c>
      <c r="L3327" t="n">
        <v>99.98999999999999</v>
      </c>
      <c r="M3327" s="1" t="inlineStr">
        <is>
          <t>902.91%</t>
        </is>
      </c>
      <c r="N3327" s="7" t="n">
        <v>78.76000000000001</v>
      </c>
      <c r="O3327" t="n">
        <v>5</v>
      </c>
      <c r="P3327" t="n">
        <v>2</v>
      </c>
      <c r="R3327" t="inlineStr">
        <is>
          <t>InStock</t>
        </is>
      </c>
      <c r="S3327" t="inlineStr">
        <is>
          <t>15.02</t>
        </is>
      </c>
      <c r="T3327" t="inlineStr">
        <is>
          <t>5286778601640</t>
        </is>
      </c>
    </row>
    <row r="3328" hidden="1" ht="15.75" customHeight="1">
      <c r="A3328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3328" s="2">
        <f>HYPERLINK("https://edmondsonsupply.com/products/diablo-tools-dmapl2140-1-4-in-x-4-in-x-6-in-sds-plus-2-cutter", "https://edmondsonsupply.com/products/diablo-tools-dmapl2140-1-4-in-x-4-in-x-6-in-sds-plus-2-cutter")</f>
        <v/>
      </c>
      <c r="C3328" t="inlineStr">
        <is>
          <t>Diablo Tools DMAPL2140 1/4 in. x 4 in. x 6 in. SDS‑Plus 2‑Cutter</t>
        </is>
      </c>
      <c r="D3328" t="inlineStr">
        <is>
          <t>Diablo 3/16 in. x 4 in. x 6 in. SDS-Plus 2-Cutter (25-Pack)</t>
        </is>
      </c>
      <c r="E3328" s="2">
        <f>HYPERLINK("https://www.amazon.com/Diablo-16-SDS-Plus-2-Cutter-25-Pack/dp/B089KVMX61/ref=sr_1_8?keywords=Diablo+Tools+DMAPL2140+1%2F4+in.+x+4+in.+x+6+in.+SDS%E2%80%91Plus+2%E2%80%91Cutter&amp;qid=1694735261&amp;sr=8-8", "https://www.amazon.com/Diablo-16-SDS-Plus-2-Cutter-25-Pack/dp/B089KVMX61/ref=sr_1_8?keywords=Diablo+Tools+DMAPL2140+1%2F4+in.+x+4+in.+x+6+in.+SDS%E2%80%91Plus+2%E2%80%91Cutter&amp;qid=1694735261&amp;sr=8-8")</f>
        <v/>
      </c>
      <c r="F3328" t="inlineStr">
        <is>
          <t>B089KVMX61</t>
        </is>
      </c>
      <c r="G3328">
        <f>_xludf.IMAGE("https://edmondsonsupply.com/cdn/shop/products/DMAPL2140-P25_Main-Image20200701_051150e2-bdbb-41a1-87fd-df202a887b18.png?v=1633030654")</f>
        <v/>
      </c>
      <c r="H3328">
        <f>_xludf.IMAGE("https://m.media-amazon.com/images/I/61iagh11iXL._AC_UL320_.jpg")</f>
        <v/>
      </c>
      <c r="K3328" t="inlineStr">
        <is>
          <t>4.99</t>
        </is>
      </c>
      <c r="L3328" t="n">
        <v>49.99</v>
      </c>
      <c r="M3328" s="1" t="inlineStr">
        <is>
          <t>901.80%</t>
        </is>
      </c>
      <c r="N3328" s="1" t="n">
        <v>78.62</v>
      </c>
      <c r="O3328" t="n">
        <v>4</v>
      </c>
      <c r="P3328" t="n">
        <v>2</v>
      </c>
      <c r="R3328" t="inlineStr">
        <is>
          <t>InStock</t>
        </is>
      </c>
      <c r="S3328" t="inlineStr">
        <is>
          <t>5.04</t>
        </is>
      </c>
      <c r="T3328" t="inlineStr">
        <is>
          <t>5740655739048</t>
        </is>
      </c>
    </row>
    <row r="3329" ht="87" customHeight="1">
      <c r="A3329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329" s="2">
        <f>HYPERLINK("https://edmondsonsupply.com/products/klein-tools-s10-5-16-inch-nut-driver-3-inch-hollow-shaft", "https://edmondsonsupply.com/products/klein-tools-s10-5-16-inch-nut-driver-3-inch-hollow-shaft")</f>
        <v/>
      </c>
      <c r="C3329" t="inlineStr">
        <is>
          <t>Klein Tools S10 5/16-Inch Nut Driver 3-Inch Hollow Shaft</t>
        </is>
      </c>
      <c r="D3329" t="inlineStr">
        <is>
          <t>Klein Tools 635-6 Tool Set, Heavy Duty Magnetic Nut Drivers SAE Sizes 1/4, 5/16, 3/8, 7/16, 1/2, and 9/16-Inch Hex, 6-Inch, 6-Piece</t>
        </is>
      </c>
      <c r="E3329" s="2">
        <f>HYPERLINK("https://www.amazon.com/Heavy-Duty-Driver-6-Piece-Klein-Tools/dp/B01DKNDHGM/ref=sr_1_36?keywords=Klein+Tools+S10+5%2F16-Inch+Nut+Driver+3-Inch+Hollow+Shaft&amp;qid=1694735234&amp;sr=8-36", "https://www.amazon.com/Heavy-Duty-Driver-6-Piece-Klein-Tools/dp/B01DKNDHGM/ref=sr_1_36?keywords=Klein+Tools+S10+5%2F16-Inch+Nut+Driver+3-Inch+Hollow+Shaft&amp;qid=1694735234&amp;sr=8-36")</f>
        <v/>
      </c>
      <c r="F3329" t="inlineStr">
        <is>
          <t>B01DKNDHGM</t>
        </is>
      </c>
      <c r="G3329">
        <f>_xlfn.IMAGE("https://edmondsonsupply.com/cdn/shop/products/s10_38acacb8-6c8e-49ef-8ed3-7160ab53875a.jpg?v=1633030893")</f>
        <v/>
      </c>
      <c r="H3329">
        <f>_xlfn.IMAGE("https://m.media-amazon.com/images/I/61eypCy1RLL._AC_UL320_.jpg")</f>
        <v/>
      </c>
      <c r="K3329" t="inlineStr">
        <is>
          <t>7.99</t>
        </is>
      </c>
      <c r="L3329" t="n">
        <v>79.98999999999999</v>
      </c>
      <c r="M3329" s="1" t="inlineStr">
        <is>
          <t>901.13%</t>
        </is>
      </c>
      <c r="N3329" s="7" t="n">
        <v>78.59</v>
      </c>
      <c r="O3329" t="n">
        <v>4.7</v>
      </c>
      <c r="P3329" t="n">
        <v>943</v>
      </c>
      <c r="R3329" t="inlineStr">
        <is>
          <t>InStock</t>
        </is>
      </c>
      <c r="S3329" t="inlineStr">
        <is>
          <t>12.06</t>
        </is>
      </c>
      <c r="T3329" t="inlineStr">
        <is>
          <t>6223447031981</t>
        </is>
      </c>
    </row>
    <row r="3330" ht="87" customHeight="1">
      <c r="A3330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330" s="2">
        <f>HYPERLINK("https://edmondsonsupply.com/products/klein-tools-s10-5-16-inch-nut-driver-3-inch-hollow-shaft", "https://edmondsonsupply.com/products/klein-tools-s10-5-16-inch-nut-driver-3-inch-hollow-shaft")</f>
        <v/>
      </c>
      <c r="C3330" t="inlineStr">
        <is>
          <t>Klein Tools S10 5/16-Inch Nut Driver 3-Inch Hollow Shaft</t>
        </is>
      </c>
      <c r="D3330" t="inlineStr">
        <is>
          <t>Klein Tools 647M Tool Set, Magnetic Nut Drivers Sizes 3/16, 1/4, 5/16, 11/32, 3/8, 7/16, 1/2-Inch, 6-Inch Hollow Shafts, 7-Piece</t>
        </is>
      </c>
      <c r="E3330" s="2">
        <f>HYPERLINK("https://www.amazon.com/Klein-Tools-647M-Magnetic-7-Piece/dp/B000MKIUYQ/ref=sr_1_31?keywords=Klein+Tools+S10+5%2F16-Inch+Nut+Driver+3-Inch+Hollow+Shaft&amp;qid=1694735234&amp;sr=8-31", "https://www.amazon.com/Klein-Tools-647M-Magnetic-7-Piece/dp/B000MKIUYQ/ref=sr_1_31?keywords=Klein+Tools+S10+5%2F16-Inch+Nut+Driver+3-Inch+Hollow+Shaft&amp;qid=1694735234&amp;sr=8-31")</f>
        <v/>
      </c>
      <c r="F3330" t="inlineStr">
        <is>
          <t>B000MKIUYQ</t>
        </is>
      </c>
      <c r="G3330">
        <f>_xlfn.IMAGE("https://edmondsonsupply.com/cdn/shop/products/s10_38acacb8-6c8e-49ef-8ed3-7160ab53875a.jpg?v=1633030893")</f>
        <v/>
      </c>
      <c r="H3330">
        <f>_xlfn.IMAGE("https://m.media-amazon.com/images/I/61PNUE211uL._AC_UL320_.jpg")</f>
        <v/>
      </c>
      <c r="K3330" t="inlineStr">
        <is>
          <t>7.99</t>
        </is>
      </c>
      <c r="L3330" t="n">
        <v>79.98999999999999</v>
      </c>
      <c r="M3330" s="1" t="inlineStr">
        <is>
          <t>901.13%</t>
        </is>
      </c>
      <c r="N3330" s="7" t="n">
        <v>78.44</v>
      </c>
      <c r="O3330" t="n">
        <v>4.8</v>
      </c>
      <c r="P3330" t="n">
        <v>985</v>
      </c>
      <c r="R3330" t="inlineStr">
        <is>
          <t>InStock</t>
        </is>
      </c>
      <c r="S3330" t="inlineStr">
        <is>
          <t>12.06</t>
        </is>
      </c>
      <c r="T3330" t="inlineStr">
        <is>
          <t>6223447031981</t>
        </is>
      </c>
    </row>
    <row r="3331" ht="87" customHeight="1">
      <c r="A3331" s="2">
        <f>HYPERLINK("https://edmondsonsupply.com/collections/electricians-tools/products/klein-tools-9125-tape-measure-25-foot-single-hook", "https://edmondsonsupply.com/collections/electricians-tools/products/klein-tools-9125-tape-measure-25-foot-single-hook")</f>
        <v/>
      </c>
      <c r="B3331" s="2">
        <f>HYPERLINK("https://edmondsonsupply.com/products/klein-tools-9125-tape-measure-25-foot-single-hook", "https://edmondsonsupply.com/products/klein-tools-9125-tape-measure-25-foot-single-hook")</f>
        <v/>
      </c>
      <c r="C3331" t="inlineStr">
        <is>
          <t>Klein Tools 9125 Tape Measure, 25-Foot Single-Hook</t>
        </is>
      </c>
      <c r="D3331" t="inlineStr">
        <is>
          <t>Klein Tools 92911 Tool Kit, Apprentice Tool Set with 4 Pliers, Wire Stripper and Cutter &amp; 9125 Tape Measure, Heavy-Duty Measuring Tape with 25-Foot Single-Hook Nylon</t>
        </is>
      </c>
      <c r="E3331" s="2">
        <f>HYPERLINK("https://www.amazon.com/Klein-Tools-Apprentice-Heavy-Duty-Single-Hook/dp/B0CF2H8PTH/ref=sr_1_2?keywords=Klein+Tools+9125+Tape+Measure%2C+25-Foot+Single-Hook&amp;qid=1694735140&amp;sr=8-2", "https://www.amazon.com/Klein-Tools-Apprentice-Heavy-Duty-Single-Hook/dp/B0CF2H8PTH/ref=sr_1_2?keywords=Klein+Tools+9125+Tape+Measure%2C+25-Foot+Single-Hook&amp;qid=1694735140&amp;sr=8-2")</f>
        <v/>
      </c>
      <c r="F3331" t="inlineStr">
        <is>
          <t>B0CF2H8PTH</t>
        </is>
      </c>
      <c r="G3331">
        <f>_xlfn.IMAGE("https://edmondsonsupply.com/cdn/shop/products/9125.jpg?v=1587148575")</f>
        <v/>
      </c>
      <c r="H3331">
        <f>_xlfn.IMAGE("https://m.media-amazon.com/images/I/51zTBOk6P+L._AC_UL320_.jpg")</f>
        <v/>
      </c>
      <c r="K3331" t="inlineStr">
        <is>
          <t>19.99</t>
        </is>
      </c>
      <c r="L3331" t="n">
        <v>199.98</v>
      </c>
      <c r="M3331" s="1" t="inlineStr">
        <is>
          <t>900.40%</t>
        </is>
      </c>
      <c r="N3331" s="7" t="n">
        <v>78.06999999999999</v>
      </c>
      <c r="O3331" t="n">
        <v>4.8</v>
      </c>
      <c r="P3331" t="n">
        <v>204</v>
      </c>
      <c r="R3331" t="inlineStr">
        <is>
          <t>InStock</t>
        </is>
      </c>
      <c r="S3331" t="inlineStr">
        <is>
          <t>27.98</t>
        </is>
      </c>
      <c r="T3331" t="inlineStr">
        <is>
          <t>4163406430308</t>
        </is>
      </c>
    </row>
    <row r="3332" hidden="1" ht="15.75" customHeight="1">
      <c r="A3332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3332" s="2">
        <f>HYPERLINK("https://edmondsonsupply.com/products/klein-tools-31918-bi-metal-hole-saw-1-1-8-inch", "https://edmondsonsupply.com/products/klein-tools-31918-bi-metal-hole-saw-1-1-8-inch")</f>
        <v/>
      </c>
      <c r="C3332" t="inlineStr">
        <is>
          <t>Klein Tools 31918 Bi-Metal Hole Saw, 1-1/8-Inch</t>
        </is>
      </c>
      <c r="D3332" t="inlineStr">
        <is>
          <t>Klein Tools 31600SEN 6-3/8-Inch Diameter Bi-Metal Hole Saw</t>
        </is>
      </c>
      <c r="E3332" s="2">
        <f>HYPERLINK("https://www.amazon.com/Klein-Tools-31600SEN-Diameter-Bi-Metal/dp/B0026T4RAM/ref=sr_1_23?keywords=Klein+Tools+31918+Bi-Metal+Hole+Saw%2C+1-1%2F8-Inch&amp;qid=1694735078&amp;sr=8-23", "https://www.amazon.com/Klein-Tools-31600SEN-Diameter-Bi-Metal/dp/B0026T4RAM/ref=sr_1_23?keywords=Klein+Tools+31918+Bi-Metal+Hole+Saw%2C+1-1%2F8-Inch&amp;qid=1694735078&amp;sr=8-23")</f>
        <v/>
      </c>
      <c r="F3332" t="inlineStr">
        <is>
          <t>B0026T4RAM</t>
        </is>
      </c>
      <c r="G3332">
        <f>_xludf.IMAGE("https://edmondsonsupply.com/cdn/shop/products/31918.jpg?v=1669739998")</f>
        <v/>
      </c>
      <c r="H3332">
        <f>_xludf.IMAGE("https://m.media-amazon.com/images/I/61KuoVYOnNL._AC_UL320_.jpg")</f>
        <v/>
      </c>
      <c r="K3332" t="inlineStr">
        <is>
          <t>7.99</t>
        </is>
      </c>
      <c r="L3332" t="n">
        <v>78.38</v>
      </c>
      <c r="M3332" s="1" t="inlineStr">
        <is>
          <t>880.98%</t>
        </is>
      </c>
      <c r="N3332" s="1" t="n">
        <v>78.06999999999999</v>
      </c>
      <c r="O3332" t="n">
        <v>3.4</v>
      </c>
      <c r="P3332" t="n">
        <v>4</v>
      </c>
      <c r="R3332" t="inlineStr">
        <is>
          <t>InStock</t>
        </is>
      </c>
      <c r="S3332" t="inlineStr">
        <is>
          <t>11.2</t>
        </is>
      </c>
      <c r="T3332" t="inlineStr">
        <is>
          <t>7896138678488</t>
        </is>
      </c>
    </row>
    <row r="3333" ht="87" customHeight="1">
      <c r="A3333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333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333" t="inlineStr">
        <is>
          <t>Diablo Tools DMAPL4060 1/4 in. x 2 in. x 4 in. Rebar Demon™ SDS‑Plus 4‑Cutter Full Carbide Head Hammer Bit</t>
        </is>
      </c>
      <c r="D3333" t="inlineStr">
        <is>
          <t>Diablo by Freud DMAPL4300 1 in. x 8 in. x 10 in. Rebar Demon™ SDS-Plus 4-Cutter Full Carbide Head Hammer Bit</t>
        </is>
      </c>
      <c r="E3333" s="2">
        <f>HYPERLINK("https://www.amazon.com/Diablo-Freud-DMAPL4300-SDS-Plus-4-Cutter/dp/B089LL8JD8/ref=sr_1_12?keywords=Diablo+Tools+DMAPL4060+1%2F4+in.+x+2+in.+x+4+in.+Rebar+Demon%E2%84%A2+SDS%E2%80%91Plus+4%E2%80%91Cutter+Full+Carbide+Head+Hammer+Bit&amp;qid=1694735165&amp;sr=8-12", "https://www.amazon.com/Diablo-Freud-DMAPL4300-SDS-Plus-4-Cutter/dp/B089LL8JD8/ref=sr_1_12?keywords=Diablo+Tools+DMAPL4060+1%2F4+in.+x+2+in.+x+4+in.+Rebar+Demon%E2%84%A2+SDS%E2%80%91Plus+4%E2%80%91Cutter+Full+Carbide+Head+Hammer+Bit&amp;qid=1694735165&amp;sr=8-12")</f>
        <v/>
      </c>
      <c r="F3333" t="inlineStr">
        <is>
          <t>B089LL8JD8</t>
        </is>
      </c>
      <c r="G3333">
        <f>_xlfn.IMAGE("https://edmondsonsupply.com/cdn/shop/products/4060.webp?v=1647637028")</f>
        <v/>
      </c>
      <c r="H3333">
        <f>_xlfn.IMAGE("https://m.media-amazon.com/images/I/616UiJGsK1L._AC_UL320_.jpg")</f>
        <v/>
      </c>
      <c r="K3333" t="inlineStr">
        <is>
          <t>3.47</t>
        </is>
      </c>
      <c r="L3333" t="n">
        <v>33.95</v>
      </c>
      <c r="M3333" s="1" t="inlineStr">
        <is>
          <t>878.39%</t>
        </is>
      </c>
      <c r="N3333" s="7" t="n">
        <v>77.86</v>
      </c>
      <c r="O3333" t="n">
        <v>4.5</v>
      </c>
      <c r="P3333" t="n">
        <v>16</v>
      </c>
      <c r="R3333" t="inlineStr">
        <is>
          <t>InStock</t>
        </is>
      </c>
      <c r="S3333" t="inlineStr">
        <is>
          <t>6.0</t>
        </is>
      </c>
      <c r="T3333" t="inlineStr">
        <is>
          <t>7639203807448</t>
        </is>
      </c>
    </row>
    <row r="3334" ht="87" customHeight="1">
      <c r="A3334" s="2">
        <f>HYPERLINK("https://edmondsonsupply.com/collections/electricians-tools/products/diablo-tools-dmapl2410-5-8-in-x-10-in-x-12-in-sds-plus-2-cutter", "https://edmondsonsupply.com/collections/electricians-tools/products/diablo-tools-dmapl2410-5-8-in-x-10-in-x-12-in-sds-plus-2-cutter")</f>
        <v/>
      </c>
      <c r="B3334" s="2">
        <f>HYPERLINK("https://edmondsonsupply.com/products/diablo-tools-dmapl2410-5-8-in-x-10-in-x-12-in-sds-plus-2-cutter", "https://edmondsonsupply.com/products/diablo-tools-dmapl2410-5-8-in-x-10-in-x-12-in-sds-plus-2-cutter")</f>
        <v/>
      </c>
      <c r="C3334" t="inlineStr">
        <is>
          <t>Diablo Tools DMAPL2410 5/8 in. x 10 in. x 12 in. SDS‑Plus 2‑Cutter</t>
        </is>
      </c>
      <c r="D3334" t="inlineStr">
        <is>
          <t>Diablo by Freud DMAPL4160-P25 3/8 in. x 10 in. x 12 in. Rebar Demon SDS-Plus 4-Cutter Full Carbide Head Hammer Bit (25-Pack)</t>
        </is>
      </c>
      <c r="E3334" s="2">
        <f>HYPERLINK("https://www.amazon.com/Diablo-Freud-DMAPL4160-P25-SDS-Plus-4-Cutter/dp/B089LKWCD1/ref=sr_1_34?keywords=Diablo+Tools+DMAPL2410+5%2F8+in.+x+10+in.+x+12+in.+SDS%E2%80%91Plus+2%E2%80%91Cutter&amp;qid=1694735285&amp;sr=8-34", "https://www.amazon.com/Diablo-Freud-DMAPL4160-P25-SDS-Plus-4-Cutter/dp/B089LKWCD1/ref=sr_1_34?keywords=Diablo+Tools+DMAPL2410+5%2F8+in.+x+10+in.+x+12+in.+SDS%E2%80%91Plus+2%E2%80%91Cutter&amp;qid=1694735285&amp;sr=8-34")</f>
        <v/>
      </c>
      <c r="F3334" t="inlineStr">
        <is>
          <t>B089LKWCD1</t>
        </is>
      </c>
      <c r="G3334">
        <f>_xlfn.IMAGE("https://edmondsonsupply.com/cdn/shop/products/DMAPL2410_Main-Image20200331.png?v=1633030462")</f>
        <v/>
      </c>
      <c r="H3334">
        <f>_xlfn.IMAGE("https://m.media-amazon.com/images/I/61MHnm3+2bL._AC_UL320_.jpg")</f>
        <v/>
      </c>
      <c r="K3334" t="inlineStr">
        <is>
          <t>18.97</t>
        </is>
      </c>
      <c r="L3334" t="n">
        <v>180.97</v>
      </c>
      <c r="M3334" s="1" t="inlineStr">
        <is>
          <t>853.98%</t>
        </is>
      </c>
      <c r="N3334" s="7" t="n">
        <v>77.75</v>
      </c>
      <c r="O3334" t="n">
        <v>5</v>
      </c>
      <c r="P3334" t="n">
        <v>1</v>
      </c>
      <c r="R3334" t="inlineStr">
        <is>
          <t>InStock</t>
        </is>
      </c>
      <c r="S3334" t="inlineStr">
        <is>
          <t>24.49</t>
        </is>
      </c>
      <c r="T3334" t="inlineStr">
        <is>
          <t>5361975525544</t>
        </is>
      </c>
    </row>
    <row r="3335" ht="87" customHeight="1">
      <c r="A3335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335" s="2">
        <f>HYPERLINK("https://edmondsonsupply.com/products/klein-tools-rt110-receptacle-tester", "https://edmondsonsupply.com/products/klein-tools-rt110-receptacle-tester")</f>
        <v/>
      </c>
      <c r="C3335" t="inlineStr">
        <is>
          <t>Klein Tools RT110 Receptacle Tester</t>
        </is>
      </c>
      <c r="D3335" t="inlineStr">
        <is>
          <t>Klein Tools RT250KIT Non-Contact Voltage Tester and GFCI Receptacle Tester &amp; 80016 Circuit Breaker Finder Tool Kit with Accessories, 2-Piece Set, Includes Cat. No. ET310 and Cat. No. 69411</t>
        </is>
      </c>
      <c r="E3335" s="2">
        <f>HYPERLINK("https://www.amazon.com/Klein-Tools-Non-Contact-Receptacle-Accessories/dp/B0BC86DZ9N/ref=sr_1_37?keywords=Klein+Tools+RT110+Receptacle+Tester&amp;qid=1694735205&amp;sr=8-37", "https://www.amazon.com/Klein-Tools-Non-Contact-Receptacle-Accessories/dp/B0BC86DZ9N/ref=sr_1_37?keywords=Klein+Tools+RT110+Receptacle+Tester&amp;qid=1694735205&amp;sr=8-37")</f>
        <v/>
      </c>
      <c r="F3335" t="inlineStr">
        <is>
          <t>B0BC86DZ9N</t>
        </is>
      </c>
      <c r="G3335">
        <f>_xlfn.IMAGE("https://edmondsonsupply.com/cdn/shop/products/rt110.jpg?v=1633031036")</f>
        <v/>
      </c>
      <c r="H3335">
        <f>_xlfn.IMAGE("https://m.media-amazon.com/images/I/516iLL0IaEL._AC_UL320_.jpg")</f>
        <v/>
      </c>
      <c r="K3335" t="inlineStr">
        <is>
          <t>9.97</t>
        </is>
      </c>
      <c r="L3335" t="n">
        <v>94.98</v>
      </c>
      <c r="M3335" s="1" t="inlineStr">
        <is>
          <t>852.66%</t>
        </is>
      </c>
      <c r="N3335" s="7" t="n">
        <v>77.72</v>
      </c>
      <c r="O3335" t="n">
        <v>4.7</v>
      </c>
      <c r="P3335" t="n">
        <v>32</v>
      </c>
      <c r="R3335" t="inlineStr">
        <is>
          <t>InStock</t>
        </is>
      </c>
      <c r="S3335" t="inlineStr">
        <is>
          <t>12.12</t>
        </is>
      </c>
      <c r="T3335" t="inlineStr">
        <is>
          <t>6740486619309</t>
        </is>
      </c>
    </row>
    <row r="3336" ht="87" customHeight="1">
      <c r="A3336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336" s="2">
        <f>HYPERLINK("https://edmondsonsupply.com/products/klein-tools-rt110-receptacle-tester", "https://edmondsonsupply.com/products/klein-tools-rt110-receptacle-tester")</f>
        <v/>
      </c>
      <c r="C3336" t="inlineStr">
        <is>
          <t>Klein Tools RT110 Receptacle Tester</t>
        </is>
      </c>
      <c r="D3336" t="inlineStr">
        <is>
          <t>Klein Tools 80016 Circuit Breaker Finder Tool Kit &amp; RT310 Receptacle Tester, AFCI and GFCI Outlet and Device Tester for North American AC Electrical Outlet Receptacles</t>
        </is>
      </c>
      <c r="E3336" s="2">
        <f>HYPERLINK("https://www.amazon.com/Klein-Tools-Receptacle-Electrical-Receptacles/dp/B09P84542L/ref=sr_1_20?keywords=Klein+Tools+RT110+Receptacle+Tester&amp;qid=1694735205&amp;sr=8-20", "https://www.amazon.com/Klein-Tools-Receptacle-Electrical-Receptacles/dp/B09P84542L/ref=sr_1_20?keywords=Klein+Tools+RT110+Receptacle+Tester&amp;qid=1694735205&amp;sr=8-20")</f>
        <v/>
      </c>
      <c r="F3336" t="inlineStr">
        <is>
          <t>B09P84542L</t>
        </is>
      </c>
      <c r="G3336">
        <f>_xlfn.IMAGE("https://edmondsonsupply.com/cdn/shop/products/rt110.jpg?v=1633031036")</f>
        <v/>
      </c>
      <c r="H3336">
        <f>_xlfn.IMAGE("https://m.media-amazon.com/images/I/51JAT1Kr0DL._AC_UL320_.jpg")</f>
        <v/>
      </c>
      <c r="K3336" t="inlineStr">
        <is>
          <t>9.97</t>
        </is>
      </c>
      <c r="L3336" t="n">
        <v>94.95999999999999</v>
      </c>
      <c r="M3336" s="1" t="inlineStr">
        <is>
          <t>852.46%</t>
        </is>
      </c>
      <c r="N3336" s="7" t="n">
        <v>77.59999999999999</v>
      </c>
      <c r="O3336" t="n">
        <v>4.7</v>
      </c>
      <c r="P3336" t="n">
        <v>499</v>
      </c>
      <c r="R3336" t="inlineStr">
        <is>
          <t>InStock</t>
        </is>
      </c>
      <c r="S3336" t="inlineStr">
        <is>
          <t>12.12</t>
        </is>
      </c>
      <c r="T3336" t="inlineStr">
        <is>
          <t>6740486619309</t>
        </is>
      </c>
    </row>
    <row r="3337" ht="87" customHeight="1">
      <c r="A3337" s="2">
        <f>HYPERLINK("https://edmondsonsupply.com/collections/electricians-tools/products/tajima-vrb2-5b-v-rex%E2%84%A2-ii-premium-tempered-steel-utility-knife-blades-5-blade-pack", "https://edmondsonsupply.com/collections/electricians-tools/products/tajima-vrb2-5b-v-rex%E2%84%A2-ii-premium-tempered-steel-utility-knife-blades-5-blade-pack")</f>
        <v/>
      </c>
      <c r="B3337" s="2">
        <f>HYPERLINK("https://edmondsonsupply.com/products/tajima-vrb2-5b-v-rex%e2%84%a2-ii-premium-tempered-steel-utility-knife-blades-5-blade-pack", "https://edmondsonsupply.com/products/tajima-vrb2-5b-v-rex%e2%84%a2-ii-premium-tempered-steel-utility-knife-blades-5-blade-pack")</f>
        <v/>
      </c>
      <c r="C3337" t="inlineStr">
        <is>
          <t>Tajima VRB2-5B V-REX™ II, Premium Tempered Steel Utility Knife Blades, 5-Blade Pack</t>
        </is>
      </c>
      <c r="D3337" t="inlineStr">
        <is>
          <t>Tajima VRB2-100B V-REX II Premium Tempered Steel Utility Knife Blades, 100-Pack</t>
        </is>
      </c>
      <c r="E3337" s="2">
        <f>HYPERLINK("https://www.amazon.com/Tajima-VRB2-100B-Premium-Tempered-100-Pack/dp/B00NY8R9OU/ref=sr_1_1?keywords=Tajima+VRB2-5B+V-REX%E2%84%A2+II%2C+Premium+Tempered+Steel+Utility+Knife+Blades%2C+5-Blade+Pack&amp;qid=1694735183&amp;sr=8-1", "https://www.amazon.com/Tajima-VRB2-100B-Premium-Tempered-100-Pack/dp/B00NY8R9OU/ref=sr_1_1?keywords=Tajima+VRB2-5B+V-REX%E2%84%A2+II%2C+Premium+Tempered+Steel+Utility+Knife+Blades%2C+5-Blade+Pack&amp;qid=1694735183&amp;sr=8-1")</f>
        <v/>
      </c>
      <c r="F3337" t="inlineStr">
        <is>
          <t>B00NY8R9OU</t>
        </is>
      </c>
      <c r="G3337">
        <f>_xlfn.IMAGE("https://edmondsonsupply.com/cdn/shop/products/VRB2-5B.jpg?v=1633031167")</f>
        <v/>
      </c>
      <c r="H3337">
        <f>_xlfn.IMAGE("https://m.media-amazon.com/images/I/818qmSUapWL._AC_UL320_.jpg")</f>
        <v/>
      </c>
      <c r="K3337" t="inlineStr">
        <is>
          <t>3.49</t>
        </is>
      </c>
      <c r="L3337" t="n">
        <v>32.87</v>
      </c>
      <c r="M3337" s="1" t="inlineStr">
        <is>
          <t>841.83%</t>
        </is>
      </c>
      <c r="N3337" s="7" t="n">
        <v>77.48999999999999</v>
      </c>
      <c r="O3337" t="n">
        <v>4.8</v>
      </c>
      <c r="P3337" t="n">
        <v>234</v>
      </c>
      <c r="R3337" t="inlineStr">
        <is>
          <t>InStock</t>
        </is>
      </c>
      <c r="S3337" t="inlineStr">
        <is>
          <t>undefined</t>
        </is>
      </c>
      <c r="T3337" t="inlineStr">
        <is>
          <t>6905363202221</t>
        </is>
      </c>
    </row>
    <row r="3338" ht="87" customHeight="1">
      <c r="A3338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338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338" t="inlineStr">
        <is>
          <t>Diablo Tools DMAPL4040 3/16 in. x 4 in. x 6 in. Rebar Demon™ SDS-Plus 4-Cutter Full Carbide Head Hammer Bit</t>
        </is>
      </c>
      <c r="D3338" t="inlineStr">
        <is>
          <t>Diablo by Freud DMAPL4040-P25 3/16 in. x 4 in. x 6 in. Rebar Demon™ SDS-Plus 4-Cutter Full Carbide Head Hammer Bit (25-Pack)</t>
        </is>
      </c>
      <c r="E3338" s="2">
        <f>HYPERLINK("https://www.amazon.com/Diablo-Freud-DMAPL4040-P25-SDS-Plus-4-Cutter/dp/B089LKW42D/ref=sr_1_1?keywords=Diablo+Tools+DMAPL4040+3%2F16+in.+x+4+in.+x+6+in.+Rebar+Demon%E2%84%A2+SDS-Plus+4-Cutter+Full+Carbide+Head+Hammer+Bit&amp;qid=1694735297&amp;sr=8-1", "https://www.amazon.com/Diablo-Freud-DMAPL4040-P25-SDS-Plus-4-Cutter/dp/B089LKW42D/ref=sr_1_1?keywords=Diablo+Tools+DMAPL4040+3%2F16+in.+x+4+in.+x+6+in.+Rebar+Demon%E2%84%A2+SDS-Plus+4-Cutter+Full+Carbide+Head+Hammer+Bit&amp;qid=1694735297&amp;sr=8-1")</f>
        <v/>
      </c>
      <c r="F3338" t="inlineStr">
        <is>
          <t>B089LKW42D</t>
        </is>
      </c>
      <c r="G3338">
        <f>_xlfn.IMAGE("https://edmondsonsupply.com/cdn/shop/products/DMAPL4040_Main-Image20200701.png?v=1633030358")</f>
        <v/>
      </c>
      <c r="H3338">
        <f>_xlfn.IMAGE("https://m.media-amazon.com/images/I/61WAyx865hL._AC_UL320_.jpg")</f>
        <v/>
      </c>
      <c r="K3338" t="inlineStr">
        <is>
          <t>8.47</t>
        </is>
      </c>
      <c r="L3338" t="n">
        <v>79.63</v>
      </c>
      <c r="M3338" s="1" t="inlineStr">
        <is>
          <t>840.14%</t>
        </is>
      </c>
      <c r="N3338" s="7" t="n">
        <v>77.41</v>
      </c>
      <c r="O3338" t="n">
        <v>5</v>
      </c>
      <c r="P3338" t="n">
        <v>2</v>
      </c>
      <c r="R3338" t="inlineStr">
        <is>
          <t>InStock</t>
        </is>
      </c>
      <c r="S3338" t="inlineStr">
        <is>
          <t>undefined</t>
        </is>
      </c>
      <c r="T3338" t="inlineStr">
        <is>
          <t>5286740426920</t>
        </is>
      </c>
    </row>
    <row r="3339" ht="87" customHeight="1">
      <c r="A3339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3339" s="2">
        <f>HYPERLINK("https://edmondsonsupply.com/products/klein-tools-31918-bi-metal-hole-saw-1-1-8-inch", "https://edmondsonsupply.com/products/klein-tools-31918-bi-metal-hole-saw-1-1-8-inch")</f>
        <v/>
      </c>
      <c r="C3339" t="inlineStr">
        <is>
          <t>Klein Tools 31918 Bi-Metal Hole Saw, 1-1/8-Inch</t>
        </is>
      </c>
      <c r="D3339" t="inlineStr">
        <is>
          <t>Klein Tools 31902 Bi-Metal Hole Saw Kit with Arbor Bits for Cutting Steel, Drywall, Ceiling Tile, Wood, Plastic, 8-Piece</t>
        </is>
      </c>
      <c r="E3339" s="2">
        <f>HYPERLINK("https://www.amazon.com/Bi-Metal-8-Piece-Klein-Tools-31902/dp/B014WEBAO4/ref=sr_1_5?keywords=Klein+Tools+31918+Bi-Metal+Hole+Saw%2C+1-1%2F8-Inch&amp;qid=1694735078&amp;sr=8-5", "https://www.amazon.com/Bi-Metal-8-Piece-Klein-Tools-31902/dp/B014WEBAO4/ref=sr_1_5?keywords=Klein+Tools+31918+Bi-Metal+Hole+Saw%2C+1-1%2F8-Inch&amp;qid=1694735078&amp;sr=8-5")</f>
        <v/>
      </c>
      <c r="F3339" t="inlineStr">
        <is>
          <t>B014WEBAO4</t>
        </is>
      </c>
      <c r="G3339">
        <f>_xlfn.IMAGE("https://edmondsonsupply.com/cdn/shop/products/31918.jpg?v=1669739998")</f>
        <v/>
      </c>
      <c r="H3339">
        <f>_xlfn.IMAGE("https://m.media-amazon.com/images/I/51JZIdZrBtL._AC_UL320_.jpg")</f>
        <v/>
      </c>
      <c r="K3339" t="inlineStr">
        <is>
          <t>7.99</t>
        </is>
      </c>
      <c r="L3339" t="n">
        <v>74.98999999999999</v>
      </c>
      <c r="M3339" s="1" t="inlineStr">
        <is>
          <t>838.55%</t>
        </is>
      </c>
      <c r="N3339" s="7" t="n">
        <v>77.33</v>
      </c>
      <c r="O3339" t="n">
        <v>4.2</v>
      </c>
      <c r="P3339" t="n">
        <v>124</v>
      </c>
      <c r="R3339" t="inlineStr">
        <is>
          <t>InStock</t>
        </is>
      </c>
      <c r="S3339" t="inlineStr">
        <is>
          <t>11.2</t>
        </is>
      </c>
      <c r="T3339" t="inlineStr">
        <is>
          <t>7896138678488</t>
        </is>
      </c>
    </row>
    <row r="3340" ht="87" customHeight="1">
      <c r="A3340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340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340" t="inlineStr">
        <is>
          <t>Diablo Tools D0724A 7-1/4 in. x 24 Tooth Framing Saw Blade</t>
        </is>
      </c>
      <c r="D3340" t="inlineStr">
        <is>
          <t>Freud D0824X Diablo 8-1/4-inch 24 Tooth ATB Thin Kerf Framing Saw Blades, 5-Pack</t>
        </is>
      </c>
      <c r="E3340" s="2">
        <f>HYPERLINK("https://www.amazon.com/Freud-D0824X-Diablo-4-inch-Framing/dp/B00W698NZW/ref=sr_1_36?keywords=Diablo+Tools+D0724A+7-1%2F4+in.+x+24+Tooth+Framing+Saw+Blade&amp;qid=1694735310&amp;sr=8-36", "https://www.amazon.com/Freud-D0824X-Diablo-4-inch-Framing/dp/B00W698NZW/ref=sr_1_36?keywords=Diablo+Tools+D0724A+7-1%2F4+in.+x+24+Tooth+Framing+Saw+Blade&amp;qid=1694735310&amp;sr=8-36")</f>
        <v/>
      </c>
      <c r="F3340" t="inlineStr">
        <is>
          <t>B00W698NZW</t>
        </is>
      </c>
      <c r="G3340">
        <f>_xlfn.IMAGE("https://edmondsonsupply.com/cdn/shop/products/D0724A_Main-Image20200218.png?v=1633030268")</f>
        <v/>
      </c>
      <c r="H3340">
        <f>_xlfn.IMAGE("https://m.media-amazon.com/images/I/71yDyT660tL._AC_UL320_.jpg")</f>
        <v/>
      </c>
      <c r="K3340" t="inlineStr">
        <is>
          <t>9.97</t>
        </is>
      </c>
      <c r="L3340" t="n">
        <v>93.39</v>
      </c>
      <c r="M3340" s="1" t="inlineStr">
        <is>
          <t>836.71%</t>
        </is>
      </c>
      <c r="N3340" s="7" t="n">
        <v>77.23999999999999</v>
      </c>
      <c r="O3340" t="n">
        <v>4.8</v>
      </c>
      <c r="P3340" t="n">
        <v>8</v>
      </c>
      <c r="R3340" t="inlineStr">
        <is>
          <t>InStock</t>
        </is>
      </c>
      <c r="S3340" t="inlineStr">
        <is>
          <t>15.45</t>
        </is>
      </c>
      <c r="T3340" t="inlineStr">
        <is>
          <t>4678532563044</t>
        </is>
      </c>
    </row>
    <row r="3341" ht="87" customHeight="1">
      <c r="A3341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341" s="2">
        <f>HYPERLINK("https://edmondsonsupply.com/products/diablo-tools-d0724x-7-1-4-in-x-24-tooth-framing-saw-blade", "https://edmondsonsupply.com/products/diablo-tools-d0724x-7-1-4-in-x-24-tooth-framing-saw-blade")</f>
        <v/>
      </c>
      <c r="C3341" t="inlineStr">
        <is>
          <t>Diablo Tools D0724X 7-1/4 in. x 24 Tooth Framing Saw Blade</t>
        </is>
      </c>
      <c r="D3341" t="inlineStr">
        <is>
          <t>Freud D0824X Diablo 8-1/4-inch 24 Tooth ATB Thin Kerf Framing Saw Blades, 5-Pack</t>
        </is>
      </c>
      <c r="E3341" s="2">
        <f>HYPERLINK("https://www.amazon.com/Freud-D0824X-Diablo-4-inch-Framing/dp/B00W698NZW/ref=sr_1_46?keywords=Diablo+Tools+D0724X+7-1%2F4+in.+x+24+Tooth+Framing+Saw+Blade&amp;qid=1694735022&amp;sr=8-46", "https://www.amazon.com/Freud-D0824X-Diablo-4-inch-Framing/dp/B00W698NZW/ref=sr_1_46?keywords=Diablo+Tools+D0724X+7-1%2F4+in.+x+24+Tooth+Framing+Saw+Blade&amp;qid=1694735022&amp;sr=8-46")</f>
        <v/>
      </c>
      <c r="F3341" t="inlineStr">
        <is>
          <t>B00W698NZW</t>
        </is>
      </c>
      <c r="G3341">
        <f>_xlfn.IMAGE("https://edmondsonsupply.com/cdn/shop/products/D0724A_Main-Image20200218_ba34939c-8546-489a-9616-b05338ff91cc.png?v=1678971696")</f>
        <v/>
      </c>
      <c r="H3341">
        <f>_xlfn.IMAGE("https://m.media-amazon.com/images/I/71yDyT660tL._AC_UL320_.jpg")</f>
        <v/>
      </c>
      <c r="K3341" t="inlineStr">
        <is>
          <t>9.97</t>
        </is>
      </c>
      <c r="L3341" t="n">
        <v>93.39</v>
      </c>
      <c r="M3341" s="1" t="inlineStr">
        <is>
          <t>836.71%</t>
        </is>
      </c>
      <c r="N3341" s="7" t="n">
        <v>77.03</v>
      </c>
      <c r="O3341" t="n">
        <v>4.8</v>
      </c>
      <c r="P3341" t="n">
        <v>8</v>
      </c>
      <c r="R3341" t="inlineStr">
        <is>
          <t>InStock</t>
        </is>
      </c>
      <c r="S3341" t="inlineStr">
        <is>
          <t>16.41</t>
        </is>
      </c>
      <c r="T3341" t="inlineStr">
        <is>
          <t>7962598670552</t>
        </is>
      </c>
    </row>
    <row r="3342" ht="87" customHeight="1">
      <c r="A3342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342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342" t="inlineStr">
        <is>
          <t>Diablo Tools DMAPL4040 3/16 in. x 4 in. x 6 in. Rebar Demon™ SDS-Plus 4-Cutter Full Carbide Head Hammer Bit</t>
        </is>
      </c>
      <c r="D3342" t="inlineStr">
        <is>
          <t>Diablo DMAMX1110 5/8 in. x 24 in. x 29 in. Rebar Demon™ SDS-Max 4-Cutter Full Carbide Head Hammer Bit</t>
        </is>
      </c>
      <c r="E3342" s="2">
        <f>HYPERLINK("https://www.amazon.com/Diablo-SDS-Max-4-Cutter-Carbide-Hammer/dp/B089LJ9GHW/ref=sr_1_37?keywords=Diablo+Tools+DMAPL4040+3%2F16+in.+x+4+in.+x+6+in.+Rebar+Demon%E2%84%A2+SDS-Plus+4-Cutter+Full+Carbide+Head+Hammer+Bit&amp;qid=1694735297&amp;sr=8-37", "https://www.amazon.com/Diablo-SDS-Max-4-Cutter-Carbide-Hammer/dp/B089LJ9GHW/ref=sr_1_37?keywords=Diablo+Tools+DMAPL4040+3%2F16+in.+x+4+in.+x+6+in.+Rebar+Demon%E2%84%A2+SDS-Plus+4-Cutter+Full+Carbide+Head+Hammer+Bit&amp;qid=1694735297&amp;sr=8-37")</f>
        <v/>
      </c>
      <c r="F3342" t="inlineStr">
        <is>
          <t>B089LJ9GHW</t>
        </is>
      </c>
      <c r="G3342">
        <f>_xlfn.IMAGE("https://edmondsonsupply.com/cdn/shop/products/DMAPL4040_Main-Image20200701.png?v=1633030358")</f>
        <v/>
      </c>
      <c r="H3342">
        <f>_xlfn.IMAGE("https://m.media-amazon.com/images/I/61vWAd-z8eL._AC_UL320_.jpg")</f>
        <v/>
      </c>
      <c r="K3342" t="inlineStr">
        <is>
          <t>8.47</t>
        </is>
      </c>
      <c r="L3342" t="n">
        <v>78.98999999999999</v>
      </c>
      <c r="M3342" s="1" t="inlineStr">
        <is>
          <t>832.59%</t>
        </is>
      </c>
      <c r="N3342" s="7" t="n">
        <v>77.03</v>
      </c>
      <c r="O3342" t="n">
        <v>4.7</v>
      </c>
      <c r="P3342" t="n">
        <v>4</v>
      </c>
      <c r="R3342" t="inlineStr">
        <is>
          <t>InStock</t>
        </is>
      </c>
      <c r="S3342" t="inlineStr">
        <is>
          <t>undefined</t>
        </is>
      </c>
      <c r="T3342" t="inlineStr">
        <is>
          <t>5286740426920</t>
        </is>
      </c>
    </row>
    <row r="3343" ht="87" customHeight="1">
      <c r="A3343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3343" s="2">
        <f>HYPERLINK("https://edmondsonsupply.com/products/klein-tools-jth6m10-10-mm-hex-key-journeyman-t-handle-6-inch", "https://edmondsonsupply.com/products/klein-tools-jth6m10-10-mm-hex-key-journeyman-t-handle-6-inch")</f>
        <v/>
      </c>
      <c r="C3343" t="inlineStr">
        <is>
          <t>Klein Tools JTH6M10 10 mm Hex Key Journeyman T-Handle 6-Inch</t>
        </is>
      </c>
      <c r="D3343" t="inlineStr">
        <is>
          <t>Klein Tools JTH610E T-Handle Hex Key Set, SAE Inch Sizes Allen Wrench Set with 6-Inch Blades, Stand Included, 10-Piece</t>
        </is>
      </c>
      <c r="E3343" s="2">
        <f>HYPERLINK("https://www.amazon.com/Handle-Chamfered-Klein-Tools-JTH610E/dp/B004DAN5RI/ref=sr_1_14?keywords=Klein+Tools+JTH6M10+10+mm+Hex+Key+Journeyman+T-Handle+6-Inch&amp;qid=1694735203&amp;sr=8-14", "https://www.amazon.com/Handle-Chamfered-Klein-Tools-JTH610E/dp/B004DAN5RI/ref=sr_1_14?keywords=Klein+Tools+JTH6M10+10+mm+Hex+Key+Journeyman+T-Handle+6-Inch&amp;qid=1694735203&amp;sr=8-14")</f>
        <v/>
      </c>
      <c r="F3343" t="inlineStr">
        <is>
          <t>B004DAN5RI</t>
        </is>
      </c>
      <c r="G3343">
        <f>_xlfn.IMAGE("https://edmondsonsupply.com/cdn/shop/products/jth6m8_64c2c8d3-e13e-4b81-9b34-745be7fd837a.jpg?v=1627827117")</f>
        <v/>
      </c>
      <c r="H3343">
        <f>_xlfn.IMAGE("https://m.media-amazon.com/images/I/61FmwqrQdfL._AC_UL320_.jpg")</f>
        <v/>
      </c>
      <c r="K3343" t="inlineStr">
        <is>
          <t>8.99</t>
        </is>
      </c>
      <c r="L3343" t="n">
        <v>83.8</v>
      </c>
      <c r="M3343" s="1" t="inlineStr">
        <is>
          <t>832.15%</t>
        </is>
      </c>
      <c r="N3343" s="7" t="n">
        <v>76.95</v>
      </c>
      <c r="O3343" t="n">
        <v>4.8</v>
      </c>
      <c r="P3343" t="n">
        <v>772</v>
      </c>
      <c r="R3343" t="inlineStr">
        <is>
          <t>InStock</t>
        </is>
      </c>
      <c r="S3343" t="inlineStr">
        <is>
          <t>13.56</t>
        </is>
      </c>
      <c r="T3343" t="inlineStr">
        <is>
          <t>6852298014893</t>
        </is>
      </c>
    </row>
    <row r="3344" ht="87" customHeight="1">
      <c r="A3344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3344" s="2">
        <f>HYPERLINK("https://edmondsonsupply.com/products/klein-tools-55470-stand-up-zipper-bags-2-pack", "https://edmondsonsupply.com/products/klein-tools-55470-stand-up-zipper-bags-2-pack")</f>
        <v/>
      </c>
      <c r="C3344" t="inlineStr">
        <is>
          <t>Klein Tools 55470 Zipper Bag, Stand-Up Tool Pouch, 2-Pack</t>
        </is>
      </c>
      <c r="D3344" t="inlineStr">
        <is>
          <t>Klein Tools 55456BPL Laptop Backpack/Tool Bag, 25 Pockets &amp; 55470 Utility Bag, Stand-Up Zipper Tool Bags, Tough 1680d Ballistic Weave, Reinforced Bottoms, Orange/Black, Gray/Black, 2-Pack</t>
        </is>
      </c>
      <c r="E3344" s="2">
        <f>HYPERLINK("https://www.amazon.com/Klein-Tools-55456BPL-Ballistic-Reinforced/dp/B0BC81SYKF/ref=sr_1_15?keywords=Klein+Tools+55470+Zipper+Bag%2C+Stand-Up+Tool+Pouch%2C+2-Pack&amp;qid=1694735348&amp;sr=8-15", "https://www.amazon.com/Klein-Tools-55456BPL-Ballistic-Reinforced/dp/B0BC81SYKF/ref=sr_1_15?keywords=Klein+Tools+55470+Zipper+Bag%2C+Stand-Up+Tool+Pouch%2C+2-Pack&amp;qid=1694735348&amp;sr=8-15")</f>
        <v/>
      </c>
      <c r="F3344" t="inlineStr">
        <is>
          <t>B0BC81SYKF</t>
        </is>
      </c>
      <c r="G3344">
        <f>_xlfn.IMAGE("https://edmondsonsupply.com/cdn/shop/products/55470.jpg?v=1587149313")</f>
        <v/>
      </c>
      <c r="H3344">
        <f>_xlfn.IMAGE("https://m.media-amazon.com/images/I/51Hd1-uEERL._AC_UL320_.jpg")</f>
        <v/>
      </c>
      <c r="K3344" t="inlineStr">
        <is>
          <t>14.97</t>
        </is>
      </c>
      <c r="L3344" t="n">
        <v>138.99</v>
      </c>
      <c r="M3344" s="1" t="inlineStr">
        <is>
          <t>828.46%</t>
        </is>
      </c>
      <c r="N3344" s="7" t="n">
        <v>76.87</v>
      </c>
      <c r="O3344" t="n">
        <v>5</v>
      </c>
      <c r="P3344" t="n">
        <v>4</v>
      </c>
      <c r="R3344" t="inlineStr">
        <is>
          <t>InStock</t>
        </is>
      </c>
      <c r="S3344" t="inlineStr">
        <is>
          <t>21.5</t>
        </is>
      </c>
      <c r="T3344" t="inlineStr">
        <is>
          <t>1723696971876</t>
        </is>
      </c>
    </row>
    <row r="3345" ht="87" customHeight="1">
      <c r="A3345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3345" s="2">
        <f>HYPERLINK("https://edmondsonsupply.com/products/diablo-tools-d0740x-7-1-4-in-x-40-tooth-finish-saw-blade", "https://edmondsonsupply.com/products/diablo-tools-d0740x-7-1-4-in-x-40-tooth-finish-saw-blade")</f>
        <v/>
      </c>
      <c r="C3345" t="inlineStr">
        <is>
          <t>Diablo Tools D0740X 7-1/4 in. x 40 Tooth Finish Saw Blade</t>
        </is>
      </c>
      <c r="D3345" t="inlineStr">
        <is>
          <t>Freud D0740A Diablo 7-1/4 40 Tooth ATB Finishing Saw Blade with 5/8-Inch Arbor (Set of 10) (10 Items)</t>
        </is>
      </c>
      <c r="E3345" s="2">
        <f>HYPERLINK("https://www.amazon.com/Diablo-D0740A-Finish-Circular-Blade/dp/B000SMLFYU/ref=sr_1_11?keywords=Diablo+Tools+D0740X+7-1%2F4+in.+x+40+Tooth+Finish+Saw+Blade&amp;qid=1694735026&amp;sr=8-11", "https://www.amazon.com/Diablo-D0740A-Finish-Circular-Blade/dp/B000SMLFYU/ref=sr_1_11?keywords=Diablo+Tools+D0740X+7-1%2F4+in.+x+40+Tooth+Finish+Saw+Blade&amp;qid=1694735026&amp;sr=8-11")</f>
        <v/>
      </c>
      <c r="F3345" t="inlineStr">
        <is>
          <t>B000SMLFYU</t>
        </is>
      </c>
      <c r="G3345">
        <f>_xlfn.IMAGE("https://edmondsonsupply.com/cdn/shop/products/kdrkrhhsfpivsggxnkhy.webp?v=1678975834")</f>
        <v/>
      </c>
      <c r="H3345">
        <f>_xlfn.IMAGE("https://m.media-amazon.com/images/I/71P5utUYOqL._AC_UL320_.jpg")</f>
        <v/>
      </c>
      <c r="K3345" t="inlineStr">
        <is>
          <t>14.97</t>
        </is>
      </c>
      <c r="L3345" t="n">
        <v>138.75</v>
      </c>
      <c r="M3345" s="1" t="inlineStr">
        <is>
          <t>826.85%</t>
        </is>
      </c>
      <c r="N3345" s="7" t="n">
        <v>76.73999999999999</v>
      </c>
      <c r="O3345" t="n">
        <v>4.5</v>
      </c>
      <c r="P3345" t="n">
        <v>32</v>
      </c>
      <c r="R3345" t="inlineStr">
        <is>
          <t>InStock</t>
        </is>
      </c>
      <c r="S3345" t="inlineStr">
        <is>
          <t>24.4</t>
        </is>
      </c>
      <c r="T3345" t="inlineStr">
        <is>
          <t>7962622787800</t>
        </is>
      </c>
    </row>
    <row r="3346" hidden="1" ht="15.75" customHeight="1">
      <c r="A3346" s="2">
        <f>HYPERLINK("https://edmondsonsupply.com/collections/electricians-tools/products/diablo-tools-dmapl2400-5-8-in-x-6-in-x-8-in-sds-plus-2-cutter", "https://edmondsonsupply.com/collections/electricians-tools/products/diablo-tools-dmapl2400-5-8-in-x-6-in-x-8-in-sds-plus-2-cutter")</f>
        <v/>
      </c>
      <c r="B3346" s="2">
        <f>HYPERLINK("https://edmondsonsupply.com/products/diablo-tools-dmapl2400-5-8-in-x-6-in-x-8-in-sds-plus-2-cutter", "https://edmondsonsupply.com/products/diablo-tools-dmapl2400-5-8-in-x-6-in-x-8-in-sds-plus-2-cutter")</f>
        <v/>
      </c>
      <c r="C3346" t="inlineStr">
        <is>
          <t>Diablo Tools DMAPL2400 5/8 in. x 6 in. x 8 in. SDS‑Plus 2‑Cutter</t>
        </is>
      </c>
      <c r="D3346" t="inlineStr">
        <is>
          <t>Diablo by Freud DMAMX1120 5/8 in. x 31 in. x 36 in. Rebar Demon SDS-Max 4-Cutter Full Carbide Head Hammer Bit</t>
        </is>
      </c>
      <c r="E3346" s="2">
        <f>HYPERLINK("https://www.amazon.com/Diablo-SDS-Max-4-Cutter-Carbide-Hammer/dp/B089LJFH3C/ref=sr_1_41?keywords=Diablo+Tools+DMAPL2400+5%2F8+in.+x+6+in.+x+8+in.+SDS%E2%80%91Plus+2%E2%80%91Cutter&amp;qid=1694735276&amp;sr=8-41", "https://www.amazon.com/Diablo-SDS-Max-4-Cutter-Carbide-Hammer/dp/B089LJFH3C/ref=sr_1_41?keywords=Diablo+Tools+DMAPL2400+5%2F8+in.+x+6+in.+x+8+in.+SDS%E2%80%91Plus+2%E2%80%91Cutter&amp;qid=1694735276&amp;sr=8-41")</f>
        <v/>
      </c>
      <c r="F3346" t="inlineStr">
        <is>
          <t>B089LJFH3C</t>
        </is>
      </c>
      <c r="G3346">
        <f>_xludf.IMAGE("https://edmondsonsupply.com/cdn/shop/products/pn8n58bx2f87ihetrrnf_f6b67816-c0ba-4ddd-9eb9-58f843607bd5.webp?v=1676039619")</f>
        <v/>
      </c>
      <c r="H3346">
        <f>_xludf.IMAGE("https://m.media-amazon.com/images/I/615ffyRtaAL._AC_UL320_.jpg")</f>
        <v/>
      </c>
      <c r="K3346" t="inlineStr">
        <is>
          <t>8.88</t>
        </is>
      </c>
      <c r="L3346" t="n">
        <v>82.18000000000001</v>
      </c>
      <c r="M3346" s="1" t="inlineStr">
        <is>
          <t>825.45%</t>
        </is>
      </c>
      <c r="N3346" s="1" t="n">
        <v>76.72</v>
      </c>
      <c r="O3346" t="n">
        <v>3.9</v>
      </c>
      <c r="P3346" t="n">
        <v>4</v>
      </c>
      <c r="R3346" t="inlineStr">
        <is>
          <t>InStock</t>
        </is>
      </c>
      <c r="S3346" t="inlineStr">
        <is>
          <t>14.09</t>
        </is>
      </c>
      <c r="T3346" t="inlineStr">
        <is>
          <t>5418407723176</t>
        </is>
      </c>
    </row>
    <row r="3347" ht="87" customHeight="1">
      <c r="A3347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347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347" t="inlineStr">
        <is>
          <t>Diablo Tools DMAPL4090 1/4 in. x 10 in. x 12 in. Rebar Demon™ SDS‑Plus 4‑Cutter Full Carbide Head Hammer Bit</t>
        </is>
      </c>
      <c r="D3347" t="inlineStr">
        <is>
          <t>Diablo DMAMX1230 1 in. x 24 in. x 29 in. Rebar Demon™ SDS-Max 4-Cutter Full Carbide Head Hammer Bit</t>
        </is>
      </c>
      <c r="E3347" s="2" t="n"/>
      <c r="F3347" t="inlineStr">
        <is>
          <t>B089KWMBLT</t>
        </is>
      </c>
      <c r="G3347">
        <f>_xlfn.IMAGE("https://edmondsonsupply.com/cdn/shop/products/nf6i5llohxcmlh9huvf0.webp?v=1670438124")</f>
        <v/>
      </c>
      <c r="H3347">
        <f>_xlfn.IMAGE("https://m.media-amazon.com/images/I/61B-wgZVzML._AC_UL320_.jpg")</f>
        <v/>
      </c>
      <c r="K3347" t="inlineStr">
        <is>
          <t>11.97</t>
        </is>
      </c>
      <c r="L3347" t="n">
        <v>109.99</v>
      </c>
      <c r="M3347" s="1" t="inlineStr">
        <is>
          <t>818.88%</t>
        </is>
      </c>
      <c r="N3347" s="7" t="n">
        <v>76.44</v>
      </c>
      <c r="O3347" t="n">
        <v>4.6</v>
      </c>
      <c r="P3347" t="n">
        <v>3</v>
      </c>
      <c r="R3347" t="inlineStr">
        <is>
          <t>InStock</t>
        </is>
      </c>
      <c r="S3347" t="inlineStr">
        <is>
          <t>16.41</t>
        </is>
      </c>
      <c r="T3347" t="inlineStr">
        <is>
          <t>5317905973416</t>
        </is>
      </c>
    </row>
    <row r="3348" ht="87" customHeight="1">
      <c r="A334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34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348" t="inlineStr">
        <is>
          <t>Diablo Tools DMAPL4220 5/8 in. x 6 in. x 8 in. Rebar Demon™ SDS-Plus 4-Cutter Full Carbide Head Hammer Bit</t>
        </is>
      </c>
      <c r="D3348" t="inlineStr">
        <is>
          <t>Diablo by Freud DMAPL4180-P25 1/2 in. x 4 in. x 6 in. Rebar Demon SDS-Plus 4-Cutter Full Carbide Head Hammer Bit (25-Pack) Multi, One Size</t>
        </is>
      </c>
      <c r="E3348" s="2">
        <f>HYPERLINK("https://www.amazon.com/Diablo-Rebar-4-Cutter-Carbide-Hammer/dp/B089LGWV7F/ref=sr_1_7?keywords=Diablo+Tools+DMAPL4220+5%2F8+in.+x+6+in.+x+8+in.+Rebar+Demon%E2%84%A2+SDS-Plus+4-Cutter+Full+Carbide+Head+Hammer+Bit&amp;qid=1694735306&amp;sr=8-7", "https://www.amazon.com/Diablo-Rebar-4-Cutter-Carbide-Hammer/dp/B089LGWV7F/ref=sr_1_7?keywords=Diablo+Tools+DMAPL4220+5%2F8+in.+x+6+in.+x+8+in.+Rebar+Demon%E2%84%A2+SDS-Plus+4-Cutter+Full+Carbide+Head+Hammer+Bit&amp;qid=1694735306&amp;sr=8-7")</f>
        <v/>
      </c>
      <c r="F3348" t="inlineStr">
        <is>
          <t>B089LGWV7F</t>
        </is>
      </c>
      <c r="G3348">
        <f>_xlfn.IMAGE("https://edmondsonsupply.com/cdn/shop/products/DMAPL4220.jpg?v=1633030355")</f>
        <v/>
      </c>
      <c r="H3348">
        <f>_xlfn.IMAGE("https://m.media-amazon.com/images/I/61q9iw+mKpL._AC_UL320_.jpg")</f>
        <v/>
      </c>
      <c r="K3348" t="inlineStr">
        <is>
          <t>10.97</t>
        </is>
      </c>
      <c r="L3348" t="n">
        <v>99.98999999999999</v>
      </c>
      <c r="M3348" s="1" t="inlineStr">
        <is>
          <t>811.49%</t>
        </is>
      </c>
      <c r="N3348" s="7" t="n">
        <v>75.65000000000001</v>
      </c>
      <c r="O3348" t="n">
        <v>5</v>
      </c>
      <c r="P3348" t="n">
        <v>2</v>
      </c>
      <c r="R3348" t="inlineStr">
        <is>
          <t>InStock</t>
        </is>
      </c>
      <c r="S3348" t="inlineStr">
        <is>
          <t>17.16</t>
        </is>
      </c>
      <c r="T3348" t="inlineStr">
        <is>
          <t>5286142148776</t>
        </is>
      </c>
    </row>
    <row r="3349" hidden="1" ht="15.75" customHeight="1">
      <c r="A3349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349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349" t="inlineStr">
        <is>
          <t>Diablo Tools DMARG1030 3/16 in. x 4 in. x 6 in. SPEEDemon™ Red Granite Carbide Tipped Hammer Drill Bit</t>
        </is>
      </c>
      <c r="D3349" t="inlineStr">
        <is>
          <t>VALYRIANTOOL 24-Pack 3/16 Inch x 4 Inch SDS Plus Rotary Hammer Drill Bits Set, Carbide Tipped for Brick, Masonry, Stone and Concrete (3/16" x 2" x 4")</t>
        </is>
      </c>
      <c r="E3349" s="2">
        <f>HYPERLINK("https://www.amazon.com/VALYRIANTOOL-24-Pack-Carbide-Masonry-Concrete/dp/B0B67S3WZR/ref=sr_1_23?keywords=Diablo+Tools+DMARG1030+3%2F16+in.+x+4+in.+x+6+in.+SPEEDemon%E2%84%A2+Red+Granite+Carbide+Tipped+Hammer+Drill+Bit&amp;qid=1694735280&amp;sr=8-23", "https://www.amazon.com/VALYRIANTOOL-24-Pack-Carbide-Masonry-Concrete/dp/B0B67S3WZR/ref=sr_1_23?keywords=Diablo+Tools+DMARG1030+3%2F16+in.+x+4+in.+x+6+in.+SPEEDemon%E2%84%A2+Red+Granite+Carbide+Tipped+Hammer+Drill+Bit&amp;qid=1694735280&amp;sr=8-23")</f>
        <v/>
      </c>
      <c r="F3349" t="inlineStr">
        <is>
          <t>B0B67S3WZR</t>
        </is>
      </c>
      <c r="G3349">
        <f>_xludf.IMAGE("https://edmondsonsupply.com/cdn/shop/products/DMARG1030_Main-Image20200407.png?v=1633030509")</f>
        <v/>
      </c>
      <c r="H3349">
        <f>_xludf.IMAGE("https://m.media-amazon.com/images/I/61D6EXK5R-L._AC_UL320_.jpg")</f>
        <v/>
      </c>
      <c r="K3349" t="inlineStr">
        <is>
          <t>4.47</t>
        </is>
      </c>
      <c r="L3349" t="n">
        <v>39.99</v>
      </c>
      <c r="M3349" s="1" t="inlineStr">
        <is>
          <t>794.63%</t>
        </is>
      </c>
      <c r="N3349" s="1" t="n">
        <v>75.43000000000001</v>
      </c>
      <c r="O3349" t="n">
        <v>3.6</v>
      </c>
      <c r="P3349" t="n">
        <v>4</v>
      </c>
      <c r="R3349" t="inlineStr">
        <is>
          <t>InStock</t>
        </is>
      </c>
      <c r="S3349" t="inlineStr">
        <is>
          <t>undefined</t>
        </is>
      </c>
      <c r="T3349" t="inlineStr">
        <is>
          <t>5386199629992</t>
        </is>
      </c>
    </row>
    <row r="3350" ht="87" customHeight="1">
      <c r="A3350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3350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3350" t="inlineStr">
        <is>
          <t>Klein Tools 630-1/4 1/4-Inch Nut Driver 3-Inch Shaft Cushion Grip</t>
        </is>
      </c>
      <c r="D3350" t="inlineStr">
        <is>
          <t>Klein Tools 635-6 Tool Set, Heavy Duty Magnetic Nut Drivers SAE Sizes 1/4, 5/16, 3/8, 7/16, 1/2, and 9/16-Inch Hex, 6-Inch, 6-Piece</t>
        </is>
      </c>
      <c r="E3350" s="2">
        <f>HYPERLINK("https://www.amazon.com/Heavy-Duty-Driver-6-Piece-Klein-Tools/dp/B01DKNDHGM/ref=sr_1_42?keywords=Klein+Tools+630-1%2F4+1%2F4-Inch+Nut+Driver+3-Inch+Shaft+Cushion+Grip&amp;qid=1694735346&amp;sr=8-42", "https://www.amazon.com/Heavy-Duty-Driver-6-Piece-Klein-Tools/dp/B01DKNDHGM/ref=sr_1_42?keywords=Klein+Tools+630-1%2F4+1%2F4-Inch+Nut+Driver+3-Inch+Shaft+Cushion+Grip&amp;qid=1694735346&amp;sr=8-42")</f>
        <v/>
      </c>
      <c r="F3350" t="inlineStr">
        <is>
          <t>B01DKNDHGM</t>
        </is>
      </c>
      <c r="G3350">
        <f>_xlfn.IMAGE("https://edmondsonsupply.com/cdn/shop/products/630-1-2_4777cf99-f2bc-4f84-bc42-7e765e2a9c37.jpg?v=1587150448")</f>
        <v/>
      </c>
      <c r="H3350">
        <f>_xlfn.IMAGE("https://m.media-amazon.com/images/I/61eypCy1RLL._AC_UL320_.jpg")</f>
        <v/>
      </c>
      <c r="K3350" t="inlineStr">
        <is>
          <t>8.99</t>
        </is>
      </c>
      <c r="L3350" t="n">
        <v>79.98999999999999</v>
      </c>
      <c r="M3350" s="1" t="inlineStr">
        <is>
          <t>789.77%</t>
        </is>
      </c>
      <c r="N3350" s="7" t="n">
        <v>75.19</v>
      </c>
      <c r="O3350" t="n">
        <v>4.7</v>
      </c>
      <c r="P3350" t="n">
        <v>943</v>
      </c>
      <c r="R3350" t="inlineStr">
        <is>
          <t>InStock</t>
        </is>
      </c>
      <c r="S3350" t="inlineStr">
        <is>
          <t>11.36</t>
        </is>
      </c>
      <c r="T3350" t="inlineStr">
        <is>
          <t>4490760355940</t>
        </is>
      </c>
    </row>
    <row r="3351" ht="87" customHeight="1">
      <c r="A3351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351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351" t="inlineStr">
        <is>
          <t>Klein Tools 630-3/8 3/8-Inch Nut Driver with 3-Inch Hollow Shaft</t>
        </is>
      </c>
      <c r="D3351" t="inlineStr">
        <is>
          <t>Klein Tools 647M Tool Set, Magnetic Nut Drivers Sizes 3/16, 1/4, 5/16, 11/32, 3/8, 7/16, 1/2-Inch, 6-Inch Hollow Shafts, 7-Piece</t>
        </is>
      </c>
      <c r="E3351" s="2">
        <f>HYPERLINK("https://www.amazon.com/Klein-Tools-647M-Magnetic-7-Piece/dp/B000MKIUYQ/ref=sr_1_25?keywords=Klein+Tools+630-3%2F8+3%2F8-Inch+Nut+Driver+with+3-Inch+Hollow+Shaft&amp;qid=1694735236&amp;sr=8-25", "https://www.amazon.com/Klein-Tools-647M-Magnetic-7-Piece/dp/B000MKIUYQ/ref=sr_1_25?keywords=Klein+Tools+630-3%2F8+3%2F8-Inch+Nut+Driver+with+3-Inch+Hollow+Shaft&amp;qid=1694735236&amp;sr=8-25")</f>
        <v/>
      </c>
      <c r="F3351" t="inlineStr">
        <is>
          <t>B000MKIUYQ</t>
        </is>
      </c>
      <c r="G3351">
        <f>_xlfn.IMAGE("https://edmondsonsupply.com/cdn/shop/products/630-1-2_e23f9fbd-a282-44d7-b743-2cfe0f84edfa.jpg?v=1633030906")</f>
        <v/>
      </c>
      <c r="H3351">
        <f>_xlfn.IMAGE("https://m.media-amazon.com/images/I/61PNUE211uL._AC_UL320_.jpg")</f>
        <v/>
      </c>
      <c r="K3351" t="inlineStr">
        <is>
          <t>8.99</t>
        </is>
      </c>
      <c r="L3351" t="n">
        <v>79.98999999999999</v>
      </c>
      <c r="M3351" s="1" t="inlineStr">
        <is>
          <t>789.77%</t>
        </is>
      </c>
      <c r="N3351" s="7" t="n">
        <v>75.14</v>
      </c>
      <c r="O3351" t="n">
        <v>4.8</v>
      </c>
      <c r="P3351" t="n">
        <v>985</v>
      </c>
      <c r="R3351" t="inlineStr">
        <is>
          <t>InStock</t>
        </is>
      </c>
      <c r="S3351" t="inlineStr">
        <is>
          <t>11.74</t>
        </is>
      </c>
      <c r="T3351" t="inlineStr">
        <is>
          <t>6244382376109</t>
        </is>
      </c>
    </row>
    <row r="3352" ht="87" customHeight="1">
      <c r="A3352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352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352" t="inlineStr">
        <is>
          <t>Klein Tools 630-3/8 3/8-Inch Nut Driver with 3-Inch Hollow Shaft</t>
        </is>
      </c>
      <c r="D3352" t="inlineStr">
        <is>
          <t>Klein Tools 635-6 Tool Set, Heavy Duty Magnetic Nut Drivers SAE Sizes 1/4, 5/16, 3/8, 7/16, 1/2, and 9/16-Inch Hex, 6-Inch, 6-Piece</t>
        </is>
      </c>
      <c r="E3352" s="2">
        <f>HYPERLINK("https://www.amazon.com/Heavy-Duty-Driver-6-Piece-Klein-Tools/dp/B01DKNDHGM/ref=sr_1_14?keywords=Klein+Tools+630-3%2F8+3%2F8-Inch+Nut+Driver+with+3-Inch+Hollow+Shaft&amp;qid=1694735236&amp;sr=8-14", "https://www.amazon.com/Heavy-Duty-Driver-6-Piece-Klein-Tools/dp/B01DKNDHGM/ref=sr_1_14?keywords=Klein+Tools+630-3%2F8+3%2F8-Inch+Nut+Driver+with+3-Inch+Hollow+Shaft&amp;qid=1694735236&amp;sr=8-14")</f>
        <v/>
      </c>
      <c r="F3352" t="inlineStr">
        <is>
          <t>B01DKNDHGM</t>
        </is>
      </c>
      <c r="G3352">
        <f>_xlfn.IMAGE("https://edmondsonsupply.com/cdn/shop/products/630-1-2_e23f9fbd-a282-44d7-b743-2cfe0f84edfa.jpg?v=1633030906")</f>
        <v/>
      </c>
      <c r="H3352">
        <f>_xlfn.IMAGE("https://m.media-amazon.com/images/I/61eypCy1RLL._AC_UL320_.jpg")</f>
        <v/>
      </c>
      <c r="K3352" t="inlineStr">
        <is>
          <t>8.99</t>
        </is>
      </c>
      <c r="L3352" t="n">
        <v>79.98999999999999</v>
      </c>
      <c r="M3352" s="1" t="inlineStr">
        <is>
          <t>789.77%</t>
        </is>
      </c>
      <c r="N3352" s="7" t="n">
        <v>75.04000000000001</v>
      </c>
      <c r="O3352" t="n">
        <v>4.7</v>
      </c>
      <c r="P3352" t="n">
        <v>943</v>
      </c>
      <c r="R3352" t="inlineStr">
        <is>
          <t>InStock</t>
        </is>
      </c>
      <c r="S3352" t="inlineStr">
        <is>
          <t>11.74</t>
        </is>
      </c>
      <c r="T3352" t="inlineStr">
        <is>
          <t>6244382376109</t>
        </is>
      </c>
    </row>
    <row r="3353" ht="87" customHeight="1">
      <c r="A3353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3353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3353" t="inlineStr">
        <is>
          <t>Klein Tools 630-1/4 1/4-Inch Nut Driver 3-Inch Shaft Cushion Grip</t>
        </is>
      </c>
      <c r="D3353" t="inlineStr">
        <is>
          <t>Klein Tools 647M Tool Set, Magnetic Nut Drivers Sizes 3/16, 1/4, 5/16, 11/32, 3/8, 7/16, 1/2-Inch, 6-Inch Hollow Shafts, 7-Piece</t>
        </is>
      </c>
      <c r="E3353" s="2">
        <f>HYPERLINK("https://www.amazon.com/Klein-Tools-647M-Magnetic-7-Piece/dp/B000MKIUYQ/ref=sr_1_28?keywords=Klein+Tools+630-1%2F4+1%2F4-Inch+Nut+Driver+3-Inch+Shaft+Cushion+Grip&amp;qid=1694735346&amp;sr=8-28", "https://www.amazon.com/Klein-Tools-647M-Magnetic-7-Piece/dp/B000MKIUYQ/ref=sr_1_28?keywords=Klein+Tools+630-1%2F4+1%2F4-Inch+Nut+Driver+3-Inch+Shaft+Cushion+Grip&amp;qid=1694735346&amp;sr=8-28")</f>
        <v/>
      </c>
      <c r="F3353" t="inlineStr">
        <is>
          <t>B000MKIUYQ</t>
        </is>
      </c>
      <c r="G3353">
        <f>_xlfn.IMAGE("https://edmondsonsupply.com/cdn/shop/products/630-1-2_4777cf99-f2bc-4f84-bc42-7e765e2a9c37.jpg?v=1587150448")</f>
        <v/>
      </c>
      <c r="H3353">
        <f>_xlfn.IMAGE("https://m.media-amazon.com/images/I/61PNUE211uL._AC_UL320_.jpg")</f>
        <v/>
      </c>
      <c r="K3353" t="inlineStr">
        <is>
          <t>8.99</t>
        </is>
      </c>
      <c r="L3353" t="n">
        <v>79.98999999999999</v>
      </c>
      <c r="M3353" s="1" t="inlineStr">
        <is>
          <t>789.77%</t>
        </is>
      </c>
      <c r="N3353" s="7" t="n">
        <v>74.98</v>
      </c>
      <c r="O3353" t="n">
        <v>4.8</v>
      </c>
      <c r="P3353" t="n">
        <v>985</v>
      </c>
      <c r="R3353" t="inlineStr">
        <is>
          <t>InStock</t>
        </is>
      </c>
      <c r="S3353" t="inlineStr">
        <is>
          <t>11.36</t>
        </is>
      </c>
      <c r="T3353" t="inlineStr">
        <is>
          <t>4490760355940</t>
        </is>
      </c>
    </row>
    <row r="3354" ht="87" customHeight="1">
      <c r="A3354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354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354" t="inlineStr">
        <is>
          <t>Diablo Tools D0724A 7-1/4 in. x 24 Tooth Framing Saw Blade</t>
        </is>
      </c>
      <c r="D3354" t="inlineStr">
        <is>
          <t>Diablo D0724A 7-1/4" 24T Diablo™ Circular Saw Framing Blade</t>
        </is>
      </c>
      <c r="E3354" s="2">
        <f>HYPERLINK("https://www.amazon.com/Diablo-D0724A-Circular-Framing-Blade/dp/B00M9IDPD0/ref=sr_1_8?keywords=Diablo+Tools+D0724A+7-1%2F4+in.+x+24+Tooth+Framing+Saw+Blade&amp;qid=1694735310&amp;sr=8-8", "https://www.amazon.com/Diablo-D0724A-Circular-Framing-Blade/dp/B00M9IDPD0/ref=sr_1_8?keywords=Diablo+Tools+D0724A+7-1%2F4+in.+x+24+Tooth+Framing+Saw+Blade&amp;qid=1694735310&amp;sr=8-8")</f>
        <v/>
      </c>
      <c r="F3354" t="inlineStr">
        <is>
          <t>B00M9IDPD0</t>
        </is>
      </c>
      <c r="G3354">
        <f>_xlfn.IMAGE("https://edmondsonsupply.com/cdn/shop/products/D0724A_Main-Image20200218.png?v=1633030268")</f>
        <v/>
      </c>
      <c r="H3354">
        <f>_xlfn.IMAGE("https://m.media-amazon.com/images/I/71DFvox7T1L._AC_UL320_.jpg")</f>
        <v/>
      </c>
      <c r="K3354" t="inlineStr">
        <is>
          <t>9.97</t>
        </is>
      </c>
      <c r="L3354" t="n">
        <v>88.59999999999999</v>
      </c>
      <c r="M3354" s="1" t="inlineStr">
        <is>
          <t>788.67%</t>
        </is>
      </c>
      <c r="N3354" s="7" t="n">
        <v>74.98</v>
      </c>
      <c r="O3354" t="n">
        <v>4.6</v>
      </c>
      <c r="P3354" t="n">
        <v>859</v>
      </c>
      <c r="R3354" t="inlineStr">
        <is>
          <t>InStock</t>
        </is>
      </c>
      <c r="S3354" t="inlineStr">
        <is>
          <t>15.45</t>
        </is>
      </c>
      <c r="T3354" t="inlineStr">
        <is>
          <t>4678532563044</t>
        </is>
      </c>
    </row>
    <row r="3355" ht="87" customHeight="1">
      <c r="A3355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355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355" t="inlineStr">
        <is>
          <t>Diablo Tools DMAPL4070 1/4 in. x 4 in. x 6 in. Rebar Demon™ SDS-Plus 4-Cutter Full Carbide Head Hammer Bit</t>
        </is>
      </c>
      <c r="D3355" t="inlineStr">
        <is>
          <t>Diablo by Freud DMAPL4040-P25 3/16 in. x 4 in. x 6 in. Rebar Demon™ SDS-Plus 4-Cutter Full Carbide Head Hammer Bit (25-Pack)</t>
        </is>
      </c>
      <c r="E3355" s="2">
        <f>HYPERLINK("https://www.amazon.com/Diablo-Freud-DMAPL4040-P25-SDS-Plus-4-Cutter/dp/B089LKW42D/ref=sr_1_11?keywords=Diablo+Tools+DMAPL4070+1%2F4+in.+x+4+in.+x+6+in.+Rebar+Demon%E2%84%A2+SDS-Plus+4-Cutter+Full+Carbide+Head+Hammer+Bit&amp;qid=1694735303&amp;sr=8-11", "https://www.amazon.com/Diablo-Freud-DMAPL4040-P25-SDS-Plus-4-Cutter/dp/B089LKW42D/ref=sr_1_11?keywords=Diablo+Tools+DMAPL4070+1%2F4+in.+x+4+in.+x+6+in.+Rebar+Demon%E2%84%A2+SDS-Plus+4-Cutter+Full+Carbide+Head+Hammer+Bit&amp;qid=1694735303&amp;sr=8-11")</f>
        <v/>
      </c>
      <c r="F3355" t="inlineStr">
        <is>
          <t>B089LKW42D</t>
        </is>
      </c>
      <c r="G3355">
        <f>_xlfn.IMAGE("https://edmondsonsupply.com/cdn/shop/products/DMAPL4070_Main-Image20200701.png?v=1633030350")</f>
        <v/>
      </c>
      <c r="H3355">
        <f>_xlfn.IMAGE("https://m.media-amazon.com/images/I/61WAyx865hL._AC_UL320_.jpg")</f>
        <v/>
      </c>
      <c r="K3355" t="inlineStr">
        <is>
          <t>8.97</t>
        </is>
      </c>
      <c r="L3355" t="n">
        <v>79.63</v>
      </c>
      <c r="M3355" s="1" t="inlineStr">
        <is>
          <t>787.74%</t>
        </is>
      </c>
      <c r="N3355" s="7" t="n">
        <v>74.62</v>
      </c>
      <c r="O3355" t="n">
        <v>5</v>
      </c>
      <c r="P3355" t="n">
        <v>2</v>
      </c>
      <c r="R3355" t="inlineStr">
        <is>
          <t>InStock</t>
        </is>
      </c>
      <c r="S3355" t="inlineStr">
        <is>
          <t>undefined</t>
        </is>
      </c>
      <c r="T3355" t="inlineStr">
        <is>
          <t>5283100197032</t>
        </is>
      </c>
    </row>
    <row r="3356" ht="87" customHeight="1">
      <c r="A3356" s="2">
        <f>HYPERLINK("https://edmondsonsupply.com/collections/electricians-tools/products/diablo-tools-dmarg1010-1-8-in-x-2-in-x-3-in-speedemon%E2%84%A2-red-granite-carbide-tipped-hammer-drill-bit", "https://edmondsonsupply.com/collections/electricians-tools/products/diablo-tools-dmarg1010-1-8-in-x-2-in-x-3-in-speedemon%E2%84%A2-red-granite-carbide-tipped-hammer-drill-bit")</f>
        <v/>
      </c>
      <c r="B3356" s="2">
        <f>HYPERLINK("https://edmondsonsupply.com/products/diablo-tools-dmarg1010-1-8-in-x-2-in-x-3-in-speedemon%e2%84%a2-red-granite-carbide-tipped-hammer-drill-bit", "https://edmondsonsupply.com/products/diablo-tools-dmarg1010-1-8-in-x-2-in-x-3-in-speedemon%e2%84%a2-red-granite-carbide-tipped-hammer-drill-bit")</f>
        <v/>
      </c>
      <c r="C3356" t="inlineStr">
        <is>
          <t>Diablo Tools DMARG1010 1/8 in. x 2 in. x 3 in. SPEEDemon™ Red Granite Carbide Tipped Hammer Drill Bit</t>
        </is>
      </c>
      <c r="D3356" t="inlineStr">
        <is>
          <t>Diablo 1 in. x 10" x 12" SPEEDemon™ Red Granite Carbide Tipped Hammer Drill Bit</t>
        </is>
      </c>
      <c r="E3356" s="2">
        <f>HYPERLINK("https://www.amazon.com/Diablo-Freud-DMARG1210-SPEEDemon-Granite/dp/B089KW1B5V/ref=sr_1_4?keywords=Diablo+Tools+DMARG1010+1%2F8+in.+x+2+in.+x+3+in.+SPEEDemon%E2%84%A2+Red+Granite+Carbide+Tipped+Hammer+Drill+Bit&amp;qid=1694735189&amp;sr=8-4", "https://www.amazon.com/Diablo-Freud-DMARG1210-SPEEDemon-Granite/dp/B089KW1B5V/ref=sr_1_4?keywords=Diablo+Tools+DMARG1010+1%2F8+in.+x+2+in.+x+3+in.+SPEEDemon%E2%84%A2+Red+Granite+Carbide+Tipped+Hammer+Drill+Bit&amp;qid=1694735189&amp;sr=8-4")</f>
        <v/>
      </c>
      <c r="F3356" t="inlineStr">
        <is>
          <t>B089KW1B5V</t>
        </is>
      </c>
      <c r="G3356">
        <f>_xlfn.IMAGE("https://edmondsonsupply.com/cdn/shop/products/DMARG1010_Main-Image20200706.png?v=1633031180")</f>
        <v/>
      </c>
      <c r="H3356">
        <f>_xlfn.IMAGE("https://m.media-amazon.com/images/I/61+EqrM-43L._AC_UL320_.jpg")</f>
        <v/>
      </c>
      <c r="K3356" t="inlineStr">
        <is>
          <t>2.99</t>
        </is>
      </c>
      <c r="L3356" t="n">
        <v>26.49</v>
      </c>
      <c r="M3356" s="1" t="inlineStr">
        <is>
          <t>785.95%</t>
        </is>
      </c>
      <c r="N3356" s="7" t="n">
        <v>74.62</v>
      </c>
      <c r="O3356" t="n">
        <v>4.7</v>
      </c>
      <c r="P3356" t="n">
        <v>31</v>
      </c>
      <c r="R3356" t="inlineStr">
        <is>
          <t>InStock</t>
        </is>
      </c>
      <c r="S3356" t="inlineStr">
        <is>
          <t>3.86</t>
        </is>
      </c>
      <c r="T3356" t="inlineStr">
        <is>
          <t>6917972099245</t>
        </is>
      </c>
    </row>
    <row r="3357" ht="87" customHeight="1">
      <c r="A3357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357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357" t="inlineStr">
        <is>
          <t>Diablo Tools DMAPL4070 1/4 in. x 4 in. x 6 in. Rebar Demon™ SDS-Plus 4-Cutter Full Carbide Head Hammer Bit</t>
        </is>
      </c>
      <c r="D3357" t="inlineStr">
        <is>
          <t>Diablo DMAMX1110 5/8 in. x 24 in. x 29 in. Rebar Demon™ SDS-Max 4-Cutter Full Carbide Head Hammer Bit</t>
        </is>
      </c>
      <c r="E3357" s="2">
        <f>HYPERLINK("https://www.amazon.com/Diablo-SDS-Max-4-Cutter-Carbide-Hammer/dp/B089LJ9GHW/ref=sr_1_41?keywords=Diablo+Tools+DMAPL4070+1%2F4+in.+x+4+in.+x+6+in.+Rebar+Demon%E2%84%A2+SDS-Plus+4-Cutter+Full+Carbide+Head+Hammer+Bit&amp;qid=1694735303&amp;sr=8-41", "https://www.amazon.com/Diablo-SDS-Max-4-Cutter-Carbide-Hammer/dp/B089LJ9GHW/ref=sr_1_41?keywords=Diablo+Tools+DMAPL4070+1%2F4+in.+x+4+in.+x+6+in.+Rebar+Demon%E2%84%A2+SDS-Plus+4-Cutter+Full+Carbide+Head+Hammer+Bit&amp;qid=1694735303&amp;sr=8-41")</f>
        <v/>
      </c>
      <c r="F3357" t="inlineStr">
        <is>
          <t>B089LJ9GHW</t>
        </is>
      </c>
      <c r="G3357">
        <f>_xlfn.IMAGE("https://edmondsonsupply.com/cdn/shop/products/DMAPL4070_Main-Image20200701.png?v=1633030350")</f>
        <v/>
      </c>
      <c r="H3357">
        <f>_xlfn.IMAGE("https://m.media-amazon.com/images/I/61vWAd-z8eL._AC_UL320_.jpg")</f>
        <v/>
      </c>
      <c r="K3357" t="inlineStr">
        <is>
          <t>8.97</t>
        </is>
      </c>
      <c r="L3357" t="n">
        <v>78.98999999999999</v>
      </c>
      <c r="M3357" s="1" t="inlineStr">
        <is>
          <t>780.60%</t>
        </is>
      </c>
      <c r="N3357" s="7" t="n">
        <v>74.36</v>
      </c>
      <c r="O3357" t="n">
        <v>4.7</v>
      </c>
      <c r="P3357" t="n">
        <v>4</v>
      </c>
      <c r="R3357" t="inlineStr">
        <is>
          <t>InStock</t>
        </is>
      </c>
      <c r="S3357" t="inlineStr">
        <is>
          <t>undefined</t>
        </is>
      </c>
      <c r="T3357" t="inlineStr">
        <is>
          <t>5283100197032</t>
        </is>
      </c>
    </row>
    <row r="3358" hidden="1" ht="15.75" customHeight="1">
      <c r="A3358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3358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3358" t="inlineStr">
        <is>
          <t>Diablo Tools DMAPL4050 3/16 in. x 6 in. x 8 in. Rebar Demon™ SDS‑Plus 4‑Cutter Full Carbide Head Hammer Drill Bit</t>
        </is>
      </c>
      <c r="D3358" t="inlineStr">
        <is>
          <t>Diablo DMAMX1180 7/8 in. x 16 in. x 21 in. Rebar Demon™ SDS-Max 4-Cutter Full Carbide Head Hammer Bit</t>
        </is>
      </c>
      <c r="E3358" s="2" t="n"/>
      <c r="F3358" t="inlineStr">
        <is>
          <t>B089KWFF8B</t>
        </is>
      </c>
      <c r="G3358">
        <f>_xludf.IMAGE("https://edmondsonsupply.com/cdn/shop/products/DMAPL4050_Main-Image20200701.png?v=1633030632")</f>
        <v/>
      </c>
      <c r="H3358">
        <f>_xludf.IMAGE("https://m.media-amazon.com/images/I/611fTcYRNFL._AC_UL320_.jpg")</f>
        <v/>
      </c>
      <c r="K3358" t="inlineStr">
        <is>
          <t>5.97</t>
        </is>
      </c>
      <c r="L3358" t="n">
        <v>52.51</v>
      </c>
      <c r="M3358" s="1" t="inlineStr">
        <is>
          <t>779.56%</t>
        </is>
      </c>
      <c r="N3358" s="1" t="n">
        <v>74.34</v>
      </c>
      <c r="O3358" t="n">
        <v>3.5</v>
      </c>
      <c r="P3358" t="n">
        <v>3</v>
      </c>
      <c r="R3358" t="inlineStr">
        <is>
          <t>InStock</t>
        </is>
      </c>
      <c r="S3358" t="inlineStr">
        <is>
          <t>8.82</t>
        </is>
      </c>
      <c r="T3358" t="inlineStr">
        <is>
          <t>5701590188200</t>
        </is>
      </c>
    </row>
    <row r="3359" ht="87" customHeight="1">
      <c r="A3359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359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359" t="inlineStr">
        <is>
          <t>Diablo Tools DMAPL4060 1/4 in. x 2 in. x 4 in. Rebar Demon™ SDS‑Plus 4‑Cutter Full Carbide Head Hammer Bit</t>
        </is>
      </c>
      <c r="D3359" t="inlineStr">
        <is>
          <t>Diablo by Freud DMAPL4270 27/32 in. x 8 in. x 10 in. Rebar Demon SDS-Plus 4-Cutter Full Carbide Head Hammer Bit</t>
        </is>
      </c>
      <c r="E3359" s="2">
        <f>HYPERLINK("https://www.amazon.com/Diablo-Freud-DMAPL4270-SDS-Plus-4-Cutter/dp/B089KXBGLM/ref=sr_1_7?keywords=Diablo+Tools+DMAPL4060+1%2F4+in.+x+2+in.+x+4+in.+Rebar+Demon%E2%84%A2+SDS%E2%80%91Plus+4%E2%80%91Cutter+Full+Carbide+Head+Hammer+Bit&amp;qid=1694735165&amp;sr=8-7", "https://www.amazon.com/Diablo-Freud-DMAPL4270-SDS-Plus-4-Cutter/dp/B089KXBGLM/ref=sr_1_7?keywords=Diablo+Tools+DMAPL4060+1%2F4+in.+x+2+in.+x+4+in.+Rebar+Demon%E2%84%A2+SDS%E2%80%91Plus+4%E2%80%91Cutter+Full+Carbide+Head+Hammer+Bit&amp;qid=1694735165&amp;sr=8-7")</f>
        <v/>
      </c>
      <c r="F3359" t="inlineStr">
        <is>
          <t>B089KXBGLM</t>
        </is>
      </c>
      <c r="G3359">
        <f>_xlfn.IMAGE("https://edmondsonsupply.com/cdn/shop/products/4060.webp?v=1647637028")</f>
        <v/>
      </c>
      <c r="H3359">
        <f>_xlfn.IMAGE("https://m.media-amazon.com/images/I/611A6sphG9L._AC_UL320_.jpg")</f>
        <v/>
      </c>
      <c r="K3359" t="inlineStr">
        <is>
          <t>3.47</t>
        </is>
      </c>
      <c r="L3359" t="n">
        <v>30.13</v>
      </c>
      <c r="M3359" s="1" t="inlineStr">
        <is>
          <t>768.30%</t>
        </is>
      </c>
      <c r="N3359" s="7" t="n">
        <v>74.28</v>
      </c>
      <c r="O3359" t="n">
        <v>5</v>
      </c>
      <c r="P3359" t="n">
        <v>2</v>
      </c>
      <c r="R3359" t="inlineStr">
        <is>
          <t>InStock</t>
        </is>
      </c>
      <c r="S3359" t="inlineStr">
        <is>
          <t>6.0</t>
        </is>
      </c>
      <c r="T3359" t="inlineStr">
        <is>
          <t>7639203807448</t>
        </is>
      </c>
    </row>
    <row r="3360" ht="87" customHeight="1">
      <c r="A3360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360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360" t="inlineStr">
        <is>
          <t>Diablo Tools DMAPL4030 3/16 in. x 2 in. x 4 in. Rebar Demon™ SDS-Plus 4-Cutter Full Carbide Head Hammer Bit</t>
        </is>
      </c>
      <c r="D3360" t="inlineStr">
        <is>
          <t>Diablo by Freud DMAPL4300 1 in. x 8 in. x 10 in. Rebar Demon™ SDS-Plus 4-Cutter Full Carbide Head Hammer Bit</t>
        </is>
      </c>
      <c r="E3360" s="2">
        <f>HYPERLINK("https://www.amazon.com/Diablo-Freud-DMAPL4300-SDS-Plus-4-Cutter/dp/B089LL8JD8/ref=sr_1_21?keywords=Diablo+Tools+DMAPL4030+3%2F16+in.+x+2+in.+x+4+in.+Rebar+Demon%E2%84%A2+SDS-Plus+4-Cutter+Full+Carbide+Head+Hammer+Bit&amp;qid=1694735295&amp;sr=8-21", "https://www.amazon.com/Diablo-Freud-DMAPL4300-SDS-Plus-4-Cutter/dp/B089LL8JD8/ref=sr_1_21?keywords=Diablo+Tools+DMAPL4030+3%2F16+in.+x+2+in.+x+4+in.+Rebar+Demon%E2%84%A2+SDS-Plus+4-Cutter+Full+Carbide+Head+Hammer+Bit&amp;qid=1694735295&amp;sr=8-21")</f>
        <v/>
      </c>
      <c r="F3360" t="inlineStr">
        <is>
          <t>B089LL8JD8</t>
        </is>
      </c>
      <c r="G3360">
        <f>_xlfn.IMAGE("https://edmondsonsupply.com/cdn/shop/products/DMAPL4030.jpg?v=1633030357")</f>
        <v/>
      </c>
      <c r="H3360">
        <f>_xlfn.IMAGE("https://m.media-amazon.com/images/I/616UiJGsK1L._AC_UL320_.jpg")</f>
        <v/>
      </c>
      <c r="K3360" t="inlineStr">
        <is>
          <t>3.97</t>
        </is>
      </c>
      <c r="L3360" t="n">
        <v>33.95</v>
      </c>
      <c r="M3360" s="1" t="inlineStr">
        <is>
          <t>755.16%</t>
        </is>
      </c>
      <c r="N3360" s="7" t="n">
        <v>74.28</v>
      </c>
      <c r="O3360" t="n">
        <v>4.5</v>
      </c>
      <c r="P3360" t="n">
        <v>16</v>
      </c>
      <c r="R3360" t="inlineStr">
        <is>
          <t>InStock</t>
        </is>
      </c>
      <c r="S3360" t="inlineStr">
        <is>
          <t>5.51</t>
        </is>
      </c>
      <c r="T3360" t="inlineStr">
        <is>
          <t>5286322012328</t>
        </is>
      </c>
    </row>
    <row r="3361" ht="87" customHeight="1">
      <c r="A3361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3361" s="2">
        <f>HYPERLINK("https://edmondsonsupply.com/products/diablo-tools-d0760x-7-1-4-in-x-60-tooth-ultra-finish-saw-blade", "https://edmondsonsupply.com/products/diablo-tools-d0760x-7-1-4-in-x-60-tooth-ultra-finish-saw-blade")</f>
        <v/>
      </c>
      <c r="C3361" t="inlineStr">
        <is>
          <t>Diablo Tools D0760X 7-1/4 in. x 60 Tooth Ultra Finish Saw Blade</t>
        </is>
      </c>
      <c r="D3361" t="inlineStr">
        <is>
          <t>Diablo by Freud D0760A-10 7-1/4" by 60T Ultra Fine Finishing Circular Saw Blade with 5/8" Arbor, Diamond Knockout Single Blade (10 per pack)</t>
        </is>
      </c>
      <c r="E3361" s="2">
        <f>HYPERLINK("https://www.amazon.com/Diablo-Freud-D0760A-10-Fine-Finishing-Circular/dp/B078YBD4L1/ref=sr_1_10?keywords=Diablo+Tools+D0760X+7-1%2F4+in.+x+60+Tooth+Ultra+Finish+Saw+Blade&amp;qid=1694735024&amp;sr=8-10", "https://www.amazon.com/Diablo-Freud-D0760A-10-Fine-Finishing-Circular/dp/B078YBD4L1/ref=sr_1_10?keywords=Diablo+Tools+D0760X+7-1%2F4+in.+x+60+Tooth+Ultra+Finish+Saw+Blade&amp;qid=1694735024&amp;sr=8-10")</f>
        <v/>
      </c>
      <c r="F3361" t="inlineStr">
        <is>
          <t>B078YBD4L1</t>
        </is>
      </c>
      <c r="G3361">
        <f>_xlfn.IMAGE("https://edmondsonsupply.com/cdn/shop/products/vlfiqrihhfwf5bxirasx.webp?v=1678977162")</f>
        <v/>
      </c>
      <c r="H3361">
        <f>_xlfn.IMAGE("https://m.media-amazon.com/images/I/71uZlLj0O1L._AC_UL320_.jpg")</f>
        <v/>
      </c>
      <c r="K3361" t="inlineStr">
        <is>
          <t>19.97</t>
        </is>
      </c>
      <c r="L3361" t="n">
        <v>170</v>
      </c>
      <c r="M3361" s="1" t="inlineStr">
        <is>
          <t>751.28%</t>
        </is>
      </c>
      <c r="N3361" s="7" t="n">
        <v>73.88</v>
      </c>
      <c r="O3361" t="n">
        <v>4.1</v>
      </c>
      <c r="P3361" t="n">
        <v>3</v>
      </c>
      <c r="R3361" t="inlineStr">
        <is>
          <t>InStock</t>
        </is>
      </c>
      <c r="S3361" t="inlineStr">
        <is>
          <t>30.2</t>
        </is>
      </c>
      <c r="T3361" t="inlineStr">
        <is>
          <t>7962630521048</t>
        </is>
      </c>
    </row>
    <row r="3362" hidden="1" ht="15.75" customHeight="1">
      <c r="A3362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3362" s="2">
        <f>HYPERLINK("https://edmondsonsupply.com/products/klein-tools-rt310-afci-gfci-outlet-tester", "https://edmondsonsupply.com/products/klein-tools-rt310-afci-gfci-outlet-tester")</f>
        <v/>
      </c>
      <c r="C3362" t="inlineStr">
        <is>
          <t>Klein Tools RT310 AFCI / GFCI Outlet Tester</t>
        </is>
      </c>
      <c r="D3362" t="inlineStr">
        <is>
          <t>Rechargeable Thermal Imager &amp; RT310 Outlet Tester, AFCI and GFCI Receptacle Tester for North American AC Electrical Outlets</t>
        </is>
      </c>
      <c r="E3362" s="2">
        <f>HYPERLINK("https://www.amazon.com/Klein-Tools-Rechargeable-Receptacle-Receptacles/dp/B0B68JZSK5/ref=sr_1_12?keywords=Klein+Tools+RT310+AFCI+%2F+GFCI+Outlet+Tester&amp;qid=1694734989&amp;sr=8-12", "https://www.amazon.com/Klein-Tools-Rechargeable-Receptacle-Receptacles/dp/B0B68JZSK5/ref=sr_1_12?keywords=Klein+Tools+RT310+AFCI+%2F+GFCI+Outlet+Tester&amp;qid=1694734989&amp;sr=8-12")</f>
        <v/>
      </c>
      <c r="F3362" t="inlineStr">
        <is>
          <t>B0B68JZSK5</t>
        </is>
      </c>
      <c r="G3362">
        <f>_xludf.IMAGE("https://edmondsonsupply.com/cdn/shop/products/rt310.jpg?v=1587148552")</f>
        <v/>
      </c>
      <c r="H3362">
        <f>_xludf.IMAGE("https://m.media-amazon.com/images/I/51aBHfLcrbL._AC_UL320_.jpg")</f>
        <v/>
      </c>
      <c r="K3362" t="inlineStr">
        <is>
          <t>39.97</t>
        </is>
      </c>
      <c r="L3362" t="n">
        <v>339.96</v>
      </c>
      <c r="M3362" s="1" t="inlineStr">
        <is>
          <t>750.54%</t>
        </is>
      </c>
      <c r="N3362" s="1" t="n">
        <v>73.86</v>
      </c>
      <c r="O3362" t="n">
        <v>4</v>
      </c>
      <c r="P3362" t="n">
        <v>1</v>
      </c>
      <c r="R3362" t="inlineStr">
        <is>
          <t>InStock</t>
        </is>
      </c>
      <c r="S3362" t="inlineStr">
        <is>
          <t>57.9</t>
        </is>
      </c>
      <c r="T3362" t="inlineStr">
        <is>
          <t>3372527779940</t>
        </is>
      </c>
    </row>
    <row r="3363" ht="87" customHeight="1">
      <c r="A3363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3363" s="2">
        <f>HYPERLINK("https://edmondsonsupply.com/products/klein-tools-69409-line-splitter-10x", "https://edmondsonsupply.com/products/klein-tools-69409-line-splitter-10x")</f>
        <v/>
      </c>
      <c r="C3363" t="inlineStr">
        <is>
          <t>Klein Tools 69409 Line Splitter 10x</t>
        </is>
      </c>
      <c r="D3363" t="inlineStr">
        <is>
          <t>Klein Tools CL800 Digital Clamp Meter, Autoranging TRMS &amp; Klein Tools 69409 Line Splitter 10x, Black &amp; Klein Tools 69417 Rare-Earth Magnetic Hanger, with Strap</t>
        </is>
      </c>
      <c r="E3363" s="2">
        <f>HYPERLINK("https://www.amazon.com/Klein-Tools-Autoranging-Splitter-Rare-Earth/dp/B0C99CGRNM/ref=sr_1_5?keywords=Klein+Tools+69409+Line+Splitter+10x&amp;qid=1694735419&amp;sr=8-5", "https://www.amazon.com/Klein-Tools-Autoranging-Splitter-Rare-Earth/dp/B0C99CGRNM/ref=sr_1_5?keywords=Klein+Tools+69409+Line+Splitter+10x&amp;qid=1694735419&amp;sr=8-5")</f>
        <v/>
      </c>
      <c r="F3363" t="inlineStr">
        <is>
          <t>B0C99CGRNM</t>
        </is>
      </c>
      <c r="G3363">
        <f>_xlfn.IMAGE("https://edmondsonsupply.com/cdn/shop/products/69409.jpg?v=1587146689")</f>
        <v/>
      </c>
      <c r="H3363">
        <f>_xlfn.IMAGE("https://m.media-amazon.com/images/I/51cRT-bTN5L._AC_UL320_.jpg")</f>
        <v/>
      </c>
      <c r="K3363" t="inlineStr">
        <is>
          <t>16.97</t>
        </is>
      </c>
      <c r="L3363" t="n">
        <v>143.18</v>
      </c>
      <c r="M3363" s="1" t="inlineStr">
        <is>
          <t>743.72%</t>
        </is>
      </c>
      <c r="N3363" s="7" t="n">
        <v>73.61</v>
      </c>
      <c r="O3363" t="n">
        <v>5</v>
      </c>
      <c r="P3363" t="n">
        <v>3</v>
      </c>
      <c r="R3363" t="inlineStr">
        <is>
          <t>InStock</t>
        </is>
      </c>
      <c r="S3363" t="inlineStr">
        <is>
          <t>20.48</t>
        </is>
      </c>
      <c r="T3363" t="inlineStr">
        <is>
          <t>1723598045284</t>
        </is>
      </c>
    </row>
    <row r="3364" ht="87" customHeight="1">
      <c r="A3364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3364" s="2">
        <f>HYPERLINK("https://edmondsonsupply.com/products/klein-tools-ncvt1xt-non-contact-voltage-tester-70-to-1000v-ac", "https://edmondsonsupply.com/products/klein-tools-ncvt1xt-non-contact-voltage-tester-70-to-1000v-ac")</f>
        <v/>
      </c>
      <c r="C3364" t="inlineStr">
        <is>
          <t>Klein Tools NCVT1XT Non-Contact Voltage Tester, 70 to 1000V AC</t>
        </is>
      </c>
      <c r="D3364" t="inlineStr">
        <is>
          <t>Klein Tools HVNCVT-1 Dual-Range Non-Contact High-Voltage Tester, Dual-Range, Audio/Visual Indicators, Water Resistant, With Case and Battery, Black</t>
        </is>
      </c>
      <c r="E3364" s="2">
        <f>HYPERLINK("https://www.amazon.com/Voltage-Tester-Klein-Tools-HVNCVT-1/dp/B015KU2EXU/ref=sr_1_26?keywords=Klein+Tools+NCVT1XT+Non-Contact+Voltage+Tester%2C+70+to+1000V+AC&amp;qid=1694735046&amp;sr=8-26", "https://www.amazon.com/Voltage-Tester-Klein-Tools-HVNCVT-1/dp/B015KU2EXU/ref=sr_1_26?keywords=Klein+Tools+NCVT1XT+Non-Contact+Voltage+Tester%2C+70+to+1000V+AC&amp;qid=1694735046&amp;sr=8-26")</f>
        <v/>
      </c>
      <c r="F3364" t="inlineStr">
        <is>
          <t>B015KU2EXU</t>
        </is>
      </c>
      <c r="G3364">
        <f>_xlfn.IMAGE("https://edmondsonsupply.com/cdn/shop/products/ncvt1xt.jpg?v=1674496568")</f>
        <v/>
      </c>
      <c r="H3364">
        <f>_xlfn.IMAGE("https://m.media-amazon.com/images/I/51vp8USEpSL._AC_UL320_.jpg")</f>
        <v/>
      </c>
      <c r="K3364" t="inlineStr">
        <is>
          <t>19.97</t>
        </is>
      </c>
      <c r="L3364" t="n">
        <v>168.19</v>
      </c>
      <c r="M3364" s="1" t="inlineStr">
        <is>
          <t>742.21%</t>
        </is>
      </c>
      <c r="N3364" s="7" t="n">
        <v>73.55</v>
      </c>
      <c r="O3364" t="n">
        <v>4.4</v>
      </c>
      <c r="P3364" t="n">
        <v>86</v>
      </c>
      <c r="R3364" t="inlineStr">
        <is>
          <t>InStock</t>
        </is>
      </c>
      <c r="S3364" t="inlineStr">
        <is>
          <t>26.32</t>
        </is>
      </c>
      <c r="T3364" t="inlineStr">
        <is>
          <t>7931947155672</t>
        </is>
      </c>
    </row>
    <row r="3365" ht="87" customHeight="1">
      <c r="A3365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3365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3365" t="inlineStr">
        <is>
          <t>Diablo Tools DMAPL4050 3/16 in. x 6 in. x 8 in. Rebar Demon™ SDS‑Plus 4‑Cutter Full Carbide Head Hammer Drill Bit</t>
        </is>
      </c>
      <c r="D3365" t="inlineStr">
        <is>
          <t>Diablo DMAMX1140 3/4 in. x 16 in. x 21 in. Rebar Demon™ SDS-Max 4-Cutter Full Carbide Head Hammer Bit</t>
        </is>
      </c>
      <c r="E3365" s="2" t="n"/>
      <c r="F3365" t="inlineStr">
        <is>
          <t>B089KWP4WK</t>
        </is>
      </c>
      <c r="G3365">
        <f>_xlfn.IMAGE("https://edmondsonsupply.com/cdn/shop/products/DMAPL4050_Main-Image20200701.png?v=1633030632")</f>
        <v/>
      </c>
      <c r="H3365">
        <f>_xlfn.IMAGE("https://m.media-amazon.com/images/I/61yWWNP1xrL._AC_UL320_.jpg")</f>
        <v/>
      </c>
      <c r="K3365" t="inlineStr">
        <is>
          <t>5.97</t>
        </is>
      </c>
      <c r="L3365" t="n">
        <v>50.26</v>
      </c>
      <c r="M3365" s="1" t="inlineStr">
        <is>
          <t>741.88%</t>
        </is>
      </c>
      <c r="N3365" s="7" t="n">
        <v>73.55</v>
      </c>
      <c r="O3365" t="n">
        <v>5</v>
      </c>
      <c r="P3365" t="n">
        <v>9</v>
      </c>
      <c r="R3365" t="inlineStr">
        <is>
          <t>InStock</t>
        </is>
      </c>
      <c r="S3365" t="inlineStr">
        <is>
          <t>8.82</t>
        </is>
      </c>
      <c r="T3365" t="inlineStr">
        <is>
          <t>5701590188200</t>
        </is>
      </c>
    </row>
    <row r="3366" ht="87" customHeight="1">
      <c r="A3366" s="2">
        <f>HYPERLINK("https://edmondsonsupply.com/collections/electricians-tools/products/klein-tools-31905-hole-saw-arbor-with-adapter-3-8-inch", "https://edmondsonsupply.com/collections/electricians-tools/products/klein-tools-31905-hole-saw-arbor-with-adapter-3-8-inch")</f>
        <v/>
      </c>
      <c r="B3366" s="2">
        <f>HYPERLINK("https://edmondsonsupply.com/products/klein-tools-31905-hole-saw-arbor-with-adapter-3-8-inch", "https://edmondsonsupply.com/products/klein-tools-31905-hole-saw-arbor-with-adapter-3-8-inch")</f>
        <v/>
      </c>
      <c r="C3366" t="inlineStr">
        <is>
          <t>Klein Tools 31905 Hole Saw Arbor with Adapter, 3/8-Inch</t>
        </is>
      </c>
      <c r="D3366" t="inlineStr">
        <is>
          <t>Klein Tools 31902 Bi-Metal Hole Saw Kit with Arbor Bits for Cutting Steel, Drywall, Ceiling Tile, Wood, Plastic, 8-Piece</t>
        </is>
      </c>
      <c r="E3366" s="2">
        <f>HYPERLINK("https://www.amazon.com/Bi-Metal-8-Piece-Klein-Tools-31902/dp/B014WEBAO4/ref=sr_1_12?keywords=Klein+Tools+31905+Hole+Saw+Arbor+with+Adapter%2C+3%2F8-Inch&amp;qid=1694735107&amp;sr=8-12", "https://www.amazon.com/Bi-Metal-8-Piece-Klein-Tools-31902/dp/B014WEBAO4/ref=sr_1_12?keywords=Klein+Tools+31905+Hole+Saw+Arbor+with+Adapter%2C+3%2F8-Inch&amp;qid=1694735107&amp;sr=8-12")</f>
        <v/>
      </c>
      <c r="F3366" t="inlineStr">
        <is>
          <t>B014WEBAO4</t>
        </is>
      </c>
      <c r="G3366">
        <f>_xlfn.IMAGE("https://edmondsonsupply.com/cdn/shop/products/31905.jpg?v=1665602746")</f>
        <v/>
      </c>
      <c r="H3366">
        <f>_xlfn.IMAGE("https://m.media-amazon.com/images/I/51JZIdZrBtL._AC_UL320_.jpg")</f>
        <v/>
      </c>
      <c r="K3366" t="inlineStr">
        <is>
          <t>8.99</t>
        </is>
      </c>
      <c r="L3366" t="n">
        <v>74.98999999999999</v>
      </c>
      <c r="M3366" s="1" t="inlineStr">
        <is>
          <t>734.15%</t>
        </is>
      </c>
      <c r="N3366" s="7" t="n">
        <v>73.31</v>
      </c>
      <c r="O3366" t="n">
        <v>4.2</v>
      </c>
      <c r="P3366" t="n">
        <v>124</v>
      </c>
      <c r="R3366" t="inlineStr">
        <is>
          <t>InStock</t>
        </is>
      </c>
      <c r="S3366" t="inlineStr">
        <is>
          <t>12.62</t>
        </is>
      </c>
      <c r="T3366" t="inlineStr">
        <is>
          <t>7850183360728</t>
        </is>
      </c>
    </row>
    <row r="3367" ht="87" customHeight="1">
      <c r="A3367" s="2">
        <f>HYPERLINK("https://edmondsonsupply.com/collections/electricians-tools/products/greenlee-dtap8-32-drill-tap-8-32", "https://edmondsonsupply.com/collections/electricians-tools/products/greenlee-dtap8-32-drill-tap-8-32")</f>
        <v/>
      </c>
      <c r="B3367" s="2">
        <f>HYPERLINK("https://edmondsonsupply.com/products/greenlee-dtap8-32-drill-tap-8-32", "https://edmondsonsupply.com/products/greenlee-dtap8-32-drill-tap-8-32")</f>
        <v/>
      </c>
      <c r="C3367" t="inlineStr">
        <is>
          <t>Greenlee DTAP8-32 Drill/Tap, 8-32</t>
        </is>
      </c>
      <c r="D3367" t="inlineStr">
        <is>
          <t>Greenlee LDTAPKIT Drill/Tap/Countersink Set, Hss, 7 Pcs., 8-32 to 1/4-20</t>
        </is>
      </c>
      <c r="E3367" s="2">
        <f>HYPERLINK("https://www.amazon.com/Greenlee-LDTAPKIT-Change-Adapter-6-Piece/dp/B00E62G68I/ref=sr_1_38?keywords=Greenlee+DTAP8-32+Drill%2FTap%2C+8-32&amp;qid=1694735400&amp;sr=8-38", "https://www.amazon.com/Greenlee-LDTAPKIT-Change-Adapter-6-Piece/dp/B00E62G68I/ref=sr_1_38?keywords=Greenlee+DTAP8-32+Drill%2FTap%2C+8-32&amp;qid=1694735400&amp;sr=8-38")</f>
        <v/>
      </c>
      <c r="F3367" t="inlineStr">
        <is>
          <t>B00E62G68I</t>
        </is>
      </c>
      <c r="G3367">
        <f>_xlfn.IMAGE("https://edmondsonsupply.com/cdn/shop/products/DTAP8-32.jpg?v=1633030185")</f>
        <v/>
      </c>
      <c r="H3367">
        <f>_xlfn.IMAGE("https://m.media-amazon.com/images/I/81u4qTDFlCL._AC_UL320_.jpg")</f>
        <v/>
      </c>
      <c r="K3367" t="inlineStr">
        <is>
          <t>8.29</t>
        </is>
      </c>
      <c r="L3367" t="n">
        <v>69.03</v>
      </c>
      <c r="M3367" s="1" t="inlineStr">
        <is>
          <t>732.69%</t>
        </is>
      </c>
      <c r="N3367" s="7" t="n">
        <v>73.31</v>
      </c>
      <c r="O3367" t="n">
        <v>4.8</v>
      </c>
      <c r="P3367" t="n">
        <v>1308</v>
      </c>
      <c r="R3367" t="inlineStr">
        <is>
          <t>InStock</t>
        </is>
      </c>
      <c r="S3367" t="inlineStr">
        <is>
          <t>9.7</t>
        </is>
      </c>
      <c r="T3367" t="inlineStr">
        <is>
          <t>4395862392932</t>
        </is>
      </c>
    </row>
    <row r="3368" ht="87" customHeight="1">
      <c r="A3368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368" s="2">
        <f>HYPERLINK("https://edmondsonsupply.com/products/klein-tools-s10-5-16-inch-nut-driver-3-inch-hollow-shaft", "https://edmondsonsupply.com/products/klein-tools-s10-5-16-inch-nut-driver-3-inch-hollow-shaft")</f>
        <v/>
      </c>
      <c r="C3368" t="inlineStr">
        <is>
          <t>Klein Tools S10 5/16-Inch Nut Driver 3-Inch Hollow Shaft</t>
        </is>
      </c>
      <c r="D3368" t="inlineStr">
        <is>
          <t>Klein Tools 89904 Tool Set, Nut Drivers Sizes 3/16, 1/4, 5/16, 11/32, 3/8, 7/16, 1/2-Inch, 6-Inch Shafts, 7-Piece</t>
        </is>
      </c>
      <c r="E3368" s="2">
        <f>HYPERLINK("https://www.amazon.com/Klein-Tools-Nut-Driver-89904/dp/B000MB1JMU/ref=sr_1_44?keywords=Klein+Tools+S10+5%2F16-Inch+Nut+Driver+3-Inch+Hollow+Shaft&amp;qid=1694735234&amp;sr=8-44", "https://www.amazon.com/Klein-Tools-Nut-Driver-89904/dp/B000MB1JMU/ref=sr_1_44?keywords=Klein+Tools+S10+5%2F16-Inch+Nut+Driver+3-Inch+Hollow+Shaft&amp;qid=1694735234&amp;sr=8-44")</f>
        <v/>
      </c>
      <c r="F3368" t="inlineStr">
        <is>
          <t>B000MB1JMU</t>
        </is>
      </c>
      <c r="G3368">
        <f>_xlfn.IMAGE("https://edmondsonsupply.com/cdn/shop/products/s10_38acacb8-6c8e-49ef-8ed3-7160ab53875a.jpg?v=1633030893")</f>
        <v/>
      </c>
      <c r="H3368">
        <f>_xlfn.IMAGE("https://m.media-amazon.com/images/I/61cXQ4v0vvL._AC_UL320_.jpg")</f>
        <v/>
      </c>
      <c r="K3368" t="inlineStr">
        <is>
          <t>7.99</t>
        </is>
      </c>
      <c r="L3368" t="n">
        <v>66.23</v>
      </c>
      <c r="M3368" s="1" t="inlineStr">
        <is>
          <t>728.91%</t>
        </is>
      </c>
      <c r="N3368" s="7" t="n">
        <v>73.31</v>
      </c>
      <c r="O3368" t="n">
        <v>4.5</v>
      </c>
      <c r="P3368" t="n">
        <v>33</v>
      </c>
      <c r="R3368" t="inlineStr">
        <is>
          <t>InStock</t>
        </is>
      </c>
      <c r="S3368" t="inlineStr">
        <is>
          <t>12.06</t>
        </is>
      </c>
      <c r="T3368" t="inlineStr">
        <is>
          <t>6223447031981</t>
        </is>
      </c>
    </row>
    <row r="3369" ht="87" customHeight="1">
      <c r="A3369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3369" s="2">
        <f>HYPERLINK("https://edmondsonsupply.com/products/klein-tools-608-6-1-8-inch-cabinet-tip-mini-screwdriver-6-inch", "https://edmondsonsupply.com/products/klein-tools-608-6-1-8-inch-cabinet-tip-mini-screwdriver-6-inch")</f>
        <v/>
      </c>
      <c r="C3369" t="inlineStr">
        <is>
          <t>Klein Tools 608-6 1/8-Inch Cabinet Tip Mini Screwdriver, 6-Inch</t>
        </is>
      </c>
      <c r="D3369" t="inlineStr">
        <is>
          <t>Klein 608-4 Cabinet Tip Miniature Screwdriver, 1/8"- Pack of 5</t>
        </is>
      </c>
      <c r="E3369" s="2">
        <f>HYPERLINK("https://www.amazon.com/Klein-608-4-Cabinet-Miniature-Screwdriver/dp/B07G3C1RSV/ref=sr_1_45?keywords=Klein+Tools+608-6+1%2F8-Inch+Cabinet+Tip+Mini+Screwdriver%2C+6-Inch&amp;qid=1694735278&amp;sr=8-45", "https://www.amazon.com/Klein-608-4-Cabinet-Miniature-Screwdriver/dp/B07G3C1RSV/ref=sr_1_45?keywords=Klein+Tools+608-6+1%2F8-Inch+Cabinet+Tip+Mini+Screwdriver%2C+6-Inch&amp;qid=1694735278&amp;sr=8-45")</f>
        <v/>
      </c>
      <c r="F3369" t="inlineStr">
        <is>
          <t>B07G3C1RSV</t>
        </is>
      </c>
      <c r="G3369">
        <f>_xlfn.IMAGE("https://edmondsonsupply.com/cdn/shop/products/608-6.jpg?v=1633030486")</f>
        <v/>
      </c>
      <c r="H3369">
        <f>_xlfn.IMAGE("https://m.media-amazon.com/images/I/41UyQvTyOjL._AC_UL320_.jpg")</f>
        <v/>
      </c>
      <c r="K3369" t="inlineStr">
        <is>
          <t>7.99</t>
        </is>
      </c>
      <c r="L3369" t="n">
        <v>64.98999999999999</v>
      </c>
      <c r="M3369" s="1" t="inlineStr">
        <is>
          <t>713.39%</t>
        </is>
      </c>
      <c r="N3369" s="7" t="n">
        <v>72.97</v>
      </c>
      <c r="O3369" t="n">
        <v>4.8</v>
      </c>
      <c r="P3369" t="n">
        <v>6</v>
      </c>
      <c r="R3369" t="inlineStr">
        <is>
          <t>InStock</t>
        </is>
      </c>
      <c r="S3369" t="inlineStr">
        <is>
          <t>12.1</t>
        </is>
      </c>
      <c r="T3369" t="inlineStr">
        <is>
          <t>5371087683752</t>
        </is>
      </c>
    </row>
    <row r="3370" ht="87" customHeight="1">
      <c r="A3370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370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370" t="inlineStr">
        <is>
          <t>Diablo Tools DMAPL4110 5/16 in. x 4 in. x 6 in. Rebar Demon™ SDS‑Plus 4‑Cutter Full Carbide Head Hammer Bit</t>
        </is>
      </c>
      <c r="D3370" t="inlineStr">
        <is>
          <t>Diablo DMAPL4310 1 in. x 16 in. x 18 in. Rebar Demon™ SDS-Plus 4-Cutter Full Carbide Head Hammer Bit</t>
        </is>
      </c>
      <c r="E3370" s="2" t="n"/>
      <c r="F3370" t="inlineStr">
        <is>
          <t>B089KX2VKR</t>
        </is>
      </c>
      <c r="G3370">
        <f>_xlfn.IMAGE("https://edmondsonsupply.com/cdn/shop/products/DMAPL4110_Main-Image20200701.png?v=1633030426")</f>
        <v/>
      </c>
      <c r="H3370">
        <f>_xlfn.IMAGE("https://m.media-amazon.com/images/I/61iwxfqG2VL._AC_UL320_.jpg")</f>
        <v/>
      </c>
      <c r="K3370" t="inlineStr">
        <is>
          <t>5.97</t>
        </is>
      </c>
      <c r="L3370" t="n">
        <v>48.49</v>
      </c>
      <c r="M3370" s="1" t="inlineStr">
        <is>
          <t>712.23%</t>
        </is>
      </c>
      <c r="N3370" s="7" t="n">
        <v>72.88</v>
      </c>
      <c r="O3370" t="n">
        <v>4.5</v>
      </c>
      <c r="P3370" t="n">
        <v>32</v>
      </c>
      <c r="R3370" t="inlineStr">
        <is>
          <t>InStock</t>
        </is>
      </c>
      <c r="S3370" t="inlineStr">
        <is>
          <t>8.44</t>
        </is>
      </c>
      <c r="T3370" t="inlineStr">
        <is>
          <t>5326873100456</t>
        </is>
      </c>
    </row>
    <row r="3371" ht="87" customHeight="1">
      <c r="A3371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3371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3371" t="inlineStr">
        <is>
          <t>Diablo Tools DMAPL4050 3/16 in. x 6 in. x 8 in. Rebar Demon™ SDS‑Plus 4‑Cutter Full Carbide Head Hammer Drill Bit</t>
        </is>
      </c>
      <c r="D3371" t="inlineStr">
        <is>
          <t>Diablo DMAPL4310 1 in. x 16 in. x 18 in. Rebar Demon™ SDS-Plus 4-Cutter Full Carbide Head Hammer Bit</t>
        </is>
      </c>
      <c r="E3371" s="2" t="n"/>
      <c r="F3371" t="inlineStr">
        <is>
          <t>B089KX2VKR</t>
        </is>
      </c>
      <c r="G3371">
        <f>_xlfn.IMAGE("https://edmondsonsupply.com/cdn/shop/products/DMAPL4050_Main-Image20200701.png?v=1633030632")</f>
        <v/>
      </c>
      <c r="H3371">
        <f>_xlfn.IMAGE("https://m.media-amazon.com/images/I/61iwxfqG2VL._AC_UL320_.jpg")</f>
        <v/>
      </c>
      <c r="K3371" t="inlineStr">
        <is>
          <t>5.97</t>
        </is>
      </c>
      <c r="L3371" t="n">
        <v>48.49</v>
      </c>
      <c r="M3371" s="1" t="inlineStr">
        <is>
          <t>712.23%</t>
        </is>
      </c>
      <c r="N3371" s="7" t="n">
        <v>72.86</v>
      </c>
      <c r="O3371" t="n">
        <v>4.5</v>
      </c>
      <c r="P3371" t="n">
        <v>32</v>
      </c>
      <c r="R3371" t="inlineStr">
        <is>
          <t>InStock</t>
        </is>
      </c>
      <c r="S3371" t="inlineStr">
        <is>
          <t>8.82</t>
        </is>
      </c>
      <c r="T3371" t="inlineStr">
        <is>
          <t>5701590188200</t>
        </is>
      </c>
    </row>
    <row r="3372" hidden="1" ht="15.75" customHeight="1">
      <c r="A3372" s="2">
        <f>HYPERLINK("https://edmondsonsupply.com/collections/electricians-tools/products/klein-tools-11045-wire-stripper-cutter-10-18-awg-solid", "https://edmondsonsupply.com/collections/electricians-tools/products/klein-tools-11045-wire-stripper-cutter-10-18-awg-solid")</f>
        <v/>
      </c>
      <c r="B3372" s="2">
        <f>HYPERLINK("https://edmondsonsupply.com/products/klein-tools-11045-wire-stripper-cutter-10-18-awg-solid", "https://edmondsonsupply.com/products/klein-tools-11045-wire-stripper-cutter-10-18-awg-solid")</f>
        <v/>
      </c>
      <c r="C3372" t="inlineStr">
        <is>
          <t>Klein Tools 11045 Wire Stripper/Cutter (10-18 AWG Solid)</t>
        </is>
      </c>
      <c r="D3372" t="inlineStr">
        <is>
          <t>Klein Tools 11045 Wire Stripper/Cutter, Yellow 10 - 18 AWG Solid Wire 3 Pack</t>
        </is>
      </c>
      <c r="E3372" s="2">
        <f>HYPERLINK("https://www.amazon.com/Klein-Tools-11045-Stripper-Cutter/dp/B002YE5L9K/ref=sr_1_1?keywords=Klein+Tools+11045+Wire+Stripper%2FCutter+%2810-18+AWG+Solid%29&amp;qid=1694735208&amp;sr=8-1", "https://www.amazon.com/Klein-Tools-11045-Stripper-Cutter/dp/B002YE5L9K/ref=sr_1_1?keywords=Klein+Tools+11045+Wire+Stripper%2FCutter+%2810-18+AWG+Solid%29&amp;qid=1694735208&amp;sr=8-1")</f>
        <v/>
      </c>
      <c r="F3372" t="inlineStr">
        <is>
          <t>B002YE5L9K</t>
        </is>
      </c>
      <c r="G3372">
        <f>_xludf.IMAGE("https://edmondsonsupply.com/cdn/shop/products/11045.jpg?v=1633031022")</f>
        <v/>
      </c>
      <c r="H3372">
        <f>_xludf.IMAGE("https://m.media-amazon.com/images/I/31JS1KzwvaL._AC_UL320_.jpg")</f>
        <v/>
      </c>
      <c r="K3372" t="inlineStr">
        <is>
          <t>15.97</t>
        </is>
      </c>
      <c r="L3372" t="n">
        <v>129</v>
      </c>
      <c r="M3372" s="1" t="inlineStr">
        <is>
          <t>707.76%</t>
        </is>
      </c>
      <c r="N3372" s="1" t="n">
        <v>72.81999999999999</v>
      </c>
      <c r="O3372" t="n">
        <v>1</v>
      </c>
      <c r="P3372" t="n">
        <v>2</v>
      </c>
      <c r="R3372" t="inlineStr">
        <is>
          <t>InStock</t>
        </is>
      </c>
      <c r="S3372" t="inlineStr">
        <is>
          <t>22.8</t>
        </is>
      </c>
      <c r="T3372" t="inlineStr">
        <is>
          <t>6712927027373</t>
        </is>
      </c>
    </row>
    <row r="3373" ht="87" customHeight="1">
      <c r="A3373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3373" s="2">
        <f>HYPERLINK("https://edmondsonsupply.com/products/klein-tools-55470-stand-up-zipper-bags-2-pack", "https://edmondsonsupply.com/products/klein-tools-55470-stand-up-zipper-bags-2-pack")</f>
        <v/>
      </c>
      <c r="C3373" t="inlineStr">
        <is>
          <t>Klein Tools 55470 Zipper Bag, Stand-Up Tool Pouch, 2-Pack</t>
        </is>
      </c>
      <c r="D3373" t="inlineStr">
        <is>
          <t>Klein Tools 55482 Tool Bag Backpack &amp; 55470 Utility Bag, Stand-Up Zipper Tool Bags, Tough 1680d Ballistic Weave, Reinforced Bottoms, Orange/Black, Gray/Black, 2-Pack</t>
        </is>
      </c>
      <c r="E3373" s="2">
        <f>HYPERLINK("https://www.amazon.com/Klein-Tools-Backpack-Ballistic-Reinforced/dp/B09T72LQ9L/ref=sr_1_12?keywords=Klein+Tools+55470+Zipper+Bag%2C+Stand-Up+Tool+Pouch%2C+2-Pack&amp;qid=1694735348&amp;sr=8-12", "https://www.amazon.com/Klein-Tools-Backpack-Ballistic-Reinforced/dp/B09T72LQ9L/ref=sr_1_12?keywords=Klein+Tools+55470+Zipper+Bag%2C+Stand-Up+Tool+Pouch%2C+2-Pack&amp;qid=1694735348&amp;sr=8-12")</f>
        <v/>
      </c>
      <c r="F3373" t="inlineStr">
        <is>
          <t>B09T72LQ9L</t>
        </is>
      </c>
      <c r="G3373">
        <f>_xlfn.IMAGE("https://edmondsonsupply.com/cdn/shop/products/55470.jpg?v=1587149313")</f>
        <v/>
      </c>
      <c r="H3373">
        <f>_xlfn.IMAGE("https://m.media-amazon.com/images/I/51-RUHMEu5L._AC_UL320_.jpg")</f>
        <v/>
      </c>
      <c r="K3373" t="inlineStr">
        <is>
          <t>14.97</t>
        </is>
      </c>
      <c r="L3373" t="n">
        <v>119.98</v>
      </c>
      <c r="M3373" s="1" t="inlineStr">
        <is>
          <t>701.47%</t>
        </is>
      </c>
      <c r="N3373" s="7" t="n">
        <v>72.79000000000001</v>
      </c>
      <c r="O3373" t="n">
        <v>5</v>
      </c>
      <c r="P3373" t="n">
        <v>4</v>
      </c>
      <c r="R3373" t="inlineStr">
        <is>
          <t>InStock</t>
        </is>
      </c>
      <c r="S3373" t="inlineStr">
        <is>
          <t>21.5</t>
        </is>
      </c>
      <c r="T3373" t="inlineStr">
        <is>
          <t>1723696971876</t>
        </is>
      </c>
    </row>
    <row r="3374" ht="87" customHeight="1">
      <c r="A3374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3374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3374" t="inlineStr">
        <is>
          <t>Klein Tools 630-5/16M 5/16-Inch Magnetic Nut Driver with Hollow Shaft</t>
        </is>
      </c>
      <c r="D3374" t="inlineStr">
        <is>
          <t>Klein Tools 647M Tool Set, Magnetic Nut Drivers Sizes 3/16, 1/4, 5/16, 11/32, 3/8, 7/16, 1/2-Inch, 6-Inch Hollow Shafts, 7-Piece</t>
        </is>
      </c>
      <c r="E3374" s="2">
        <f>HYPERLINK("https://www.amazon.com/Klein-Tools-647M-Magnetic-7-Piece/dp/B000MKIUYQ/ref=sr_1_16?keywords=Klein+Tools+630-5%2F16M+5%2F16-Inch+Magnetic+Nut+Driver+with+Hollow+Shaft&amp;qid=1694735398&amp;sr=8-16", "https://www.amazon.com/Klein-Tools-647M-Magnetic-7-Piece/dp/B000MKIUYQ/ref=sr_1_16?keywords=Klein+Tools+630-5%2F16M+5%2F16-Inch+Magnetic+Nut+Driver+with+Hollow+Shaft&amp;qid=1694735398&amp;sr=8-16")</f>
        <v/>
      </c>
      <c r="F3374" t="inlineStr">
        <is>
          <t>B000MKIUYQ</t>
        </is>
      </c>
      <c r="G3374">
        <f>_xlfn.IMAGE("https://edmondsonsupply.com/cdn/shop/products/630-5-16m.jpg?v=1587148610")</f>
        <v/>
      </c>
      <c r="H3374">
        <f>_xlfn.IMAGE("https://m.media-amazon.com/images/I/61PNUE211uL._AC_UL320_.jpg")</f>
        <v/>
      </c>
      <c r="K3374" t="inlineStr">
        <is>
          <t>9.99</t>
        </is>
      </c>
      <c r="L3374" t="n">
        <v>79.98999999999999</v>
      </c>
      <c r="M3374" s="1" t="inlineStr">
        <is>
          <t>700.70%</t>
        </is>
      </c>
      <c r="N3374" s="7" t="n">
        <v>72.64</v>
      </c>
      <c r="O3374" t="n">
        <v>4.8</v>
      </c>
      <c r="P3374" t="n">
        <v>985</v>
      </c>
      <c r="R3374" t="inlineStr">
        <is>
          <t>InStock</t>
        </is>
      </c>
      <c r="S3374" t="inlineStr">
        <is>
          <t>15.12</t>
        </is>
      </c>
      <c r="T3374" t="inlineStr">
        <is>
          <t>4391884324964</t>
        </is>
      </c>
    </row>
    <row r="3375" ht="87" customHeight="1">
      <c r="A3375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3375" s="2">
        <f>HYPERLINK("https://edmondsonsupply.com/products/klein-tools-vaco-s10m-5-16-magnetic-nut-driver-3-hollow-shaft", "https://edmondsonsupply.com/products/klein-tools-vaco-s10m-5-16-magnetic-nut-driver-3-hollow-shaft")</f>
        <v/>
      </c>
      <c r="C3375" t="inlineStr">
        <is>
          <t>Klein Tools S10M 5/16-Inch Magnetic Nut Driver 3-Inch Shaft</t>
        </is>
      </c>
      <c r="D3375" t="inlineStr">
        <is>
          <t>Klein Tools 647M Tool Set, Magnetic Nut Drivers Sizes 3/16, 1/4, 5/16, 11/32, 3/8, 7/16, 1/2-Inch, 6-Inch Hollow Shafts, 7-Piece</t>
        </is>
      </c>
      <c r="E3375" s="2">
        <f>HYPERLINK("https://www.amazon.com/Klein-Tools-647M-Magnetic-7-Piece/dp/B000MKIUYQ/ref=sr_1_18?keywords=Klein+Tools+S10M+5%2F16-Inch+Magnetic+Nut+Driver+3-Inch+Shaft&amp;qid=1694735002&amp;sr=8-18", "https://www.amazon.com/Klein-Tools-647M-Magnetic-7-Piece/dp/B000MKIUYQ/ref=sr_1_18?keywords=Klein+Tools+S10M+5%2F16-Inch+Magnetic+Nut+Driver+3-Inch+Shaft&amp;qid=1694735002&amp;sr=8-18")</f>
        <v/>
      </c>
      <c r="F3375" t="inlineStr">
        <is>
          <t>B000MKIUYQ</t>
        </is>
      </c>
      <c r="G3375">
        <f>_xlfn.IMAGE("https://edmondsonsupply.com/cdn/shop/products/s10m_alt2.jpg?v=1587143022")</f>
        <v/>
      </c>
      <c r="H3375">
        <f>_xlfn.IMAGE("https://m.media-amazon.com/images/I/61PNUE211uL._AC_UL320_.jpg")</f>
        <v/>
      </c>
      <c r="K3375" t="inlineStr">
        <is>
          <t>9.99</t>
        </is>
      </c>
      <c r="L3375" t="n">
        <v>79.98999999999999</v>
      </c>
      <c r="M3375" s="1" t="inlineStr">
        <is>
          <t>700.70%</t>
        </is>
      </c>
      <c r="N3375" s="7" t="n">
        <v>72.18000000000001</v>
      </c>
      <c r="O3375" t="n">
        <v>4.8</v>
      </c>
      <c r="P3375" t="n">
        <v>985</v>
      </c>
      <c r="R3375" t="inlineStr">
        <is>
          <t>InStock</t>
        </is>
      </c>
      <c r="S3375" t="inlineStr">
        <is>
          <t>15.08</t>
        </is>
      </c>
      <c r="T3375" t="inlineStr">
        <is>
          <t>2767113125988</t>
        </is>
      </c>
    </row>
    <row r="3376" ht="87" customHeight="1">
      <c r="A3376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376" s="2">
        <f>HYPERLINK("https://edmondsonsupply.com/products/klein-tools-56331-steel-fish-tape-1-8-inch-x-50-foot", "https://edmondsonsupply.com/products/klein-tools-56331-steel-fish-tape-1-8-inch-x-50-foot")</f>
        <v/>
      </c>
      <c r="C3376" t="inlineStr">
        <is>
          <t>Klein Tools 56331 Steel Fish Tape, 1/8-Inch x 50-Foot</t>
        </is>
      </c>
      <c r="D3376" t="inlineStr">
        <is>
          <t>Klein Tools 56056 Electrical Fiberglass Fish Tape, 200-Foot x 3/16-Inch Wide Multi-Groove Fish Tape with Steel Leader</t>
        </is>
      </c>
      <c r="E3376" s="2">
        <f>HYPERLINK("https://www.amazon.com/Multi-Groove-Fiberglass-200-Foot-Klein-Tools/dp/B00N6Y8RRA/ref=sr_1_25?keywords=Klein+Tools+56331+Steel+Fish+Tape%2C+1%2F8-Inch+x+50-Foot&amp;qid=1694735384&amp;sr=8-25", "https://www.amazon.com/Multi-Groove-Fiberglass-200-Foot-Klein-Tools/dp/B00N6Y8RRA/ref=sr_1_25?keywords=Klein+Tools+56331+Steel+Fish+Tape%2C+1%2F8-Inch+x+50-Foot&amp;qid=1694735384&amp;sr=8-25")</f>
        <v/>
      </c>
      <c r="F3376" t="inlineStr">
        <is>
          <t>B00N6Y8RRA</t>
        </is>
      </c>
      <c r="G3376">
        <f>_xlfn.IMAGE("https://edmondsonsupply.com/cdn/shop/products/56331.jpg?v=1587143350")</f>
        <v/>
      </c>
      <c r="H3376">
        <f>_xlfn.IMAGE("https://m.media-amazon.com/images/I/61-dcSdFpvL._AC_UL320_.jpg")</f>
        <v/>
      </c>
      <c r="K3376" t="inlineStr">
        <is>
          <t>24.99</t>
        </is>
      </c>
      <c r="L3376" t="n">
        <v>199.99</v>
      </c>
      <c r="M3376" s="1" t="inlineStr">
        <is>
          <t>700.28%</t>
        </is>
      </c>
      <c r="N3376" s="7" t="n">
        <v>71.98</v>
      </c>
      <c r="O3376" t="n">
        <v>4.4</v>
      </c>
      <c r="P3376" t="n">
        <v>86</v>
      </c>
      <c r="R3376" t="inlineStr">
        <is>
          <t>InStock</t>
        </is>
      </c>
      <c r="S3376" t="inlineStr">
        <is>
          <t>30.9</t>
        </is>
      </c>
      <c r="T3376" t="inlineStr">
        <is>
          <t>4412204056676</t>
        </is>
      </c>
    </row>
    <row r="3377" ht="87" customHeight="1">
      <c r="A3377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377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377" t="inlineStr">
        <is>
          <t>Diablo Tools DMAPL4180 1/2 in. x 4 in. x 6 in. Rebar Demon™ SDS-Plus 4-Cutter Full Carbide Head Hammer Bit</t>
        </is>
      </c>
      <c r="D3377" t="inlineStr">
        <is>
          <t>Diablo by Freud DMAPL4040-P25 3/16 in. x 4 in. x 6 in. Rebar Demon™ SDS-Plus 4-Cutter Full Carbide Head Hammer Bit (25-Pack)</t>
        </is>
      </c>
      <c r="E3377" s="2">
        <f>HYPERLINK("https://www.amazon.com/Diablo-Freud-DMAPL4040-P25-SDS-Plus-4-Cutter/dp/B089LKW42D/ref=sr_1_6?keywords=Diablo+Tools+DMAPL4180+1%2F2+in.+x+4+in.+x+6+in.+Rebar+Demon%E2%84%A2+SDS-Plus+4-Cutter+Full+Carbide+Head+Hammer+Bit&amp;qid=1694735298&amp;sr=8-6", "https://www.amazon.com/Diablo-Freud-DMAPL4040-P25-SDS-Plus-4-Cutter/dp/B089LKW42D/ref=sr_1_6?keywords=Diablo+Tools+DMAPL4180+1%2F2+in.+x+4+in.+x+6+in.+Rebar+Demon%E2%84%A2+SDS-Plus+4-Cutter+Full+Carbide+Head+Hammer+Bit&amp;qid=1694735298&amp;sr=8-6")</f>
        <v/>
      </c>
      <c r="F3377" t="inlineStr">
        <is>
          <t>B089LKW42D</t>
        </is>
      </c>
      <c r="G3377">
        <f>_xlfn.IMAGE("https://edmondsonsupply.com/cdn/shop/products/DMAPL4180_Main-Image20200702.png?v=1633030362")</f>
        <v/>
      </c>
      <c r="H3377">
        <f>_xlfn.IMAGE("https://m.media-amazon.com/images/I/61WAyx865hL._AC_UL320_.jpg")</f>
        <v/>
      </c>
      <c r="K3377" t="inlineStr">
        <is>
          <t>9.97</t>
        </is>
      </c>
      <c r="L3377" t="n">
        <v>79.63</v>
      </c>
      <c r="M3377" s="1" t="inlineStr">
        <is>
          <t>698.70%</t>
        </is>
      </c>
      <c r="N3377" s="7" t="n">
        <v>71.29000000000001</v>
      </c>
      <c r="O3377" t="n">
        <v>5</v>
      </c>
      <c r="P3377" t="n">
        <v>2</v>
      </c>
      <c r="R3377" t="inlineStr">
        <is>
          <t>InStock</t>
        </is>
      </c>
      <c r="S3377" t="inlineStr">
        <is>
          <t>undefined</t>
        </is>
      </c>
      <c r="T3377" t="inlineStr">
        <is>
          <t>5286803833000</t>
        </is>
      </c>
    </row>
    <row r="3378" ht="87" customHeight="1">
      <c r="A3378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378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378" t="inlineStr">
        <is>
          <t>Diablo Tools DMAPL4160 3/8 in. x 10 in. x 12 in. Rebar Demon™ SDS-Plus 4-Cutter Full Carbide Head Hammer Bit</t>
        </is>
      </c>
      <c r="D3378" t="inlineStr">
        <is>
          <t>Diablo by Freud DMAPL4040-P25 3/16 in. x 4 in. x 6 in. Rebar Demon™ SDS-Plus 4-Cutter Full Carbide Head Hammer Bit (25-Pack)</t>
        </is>
      </c>
      <c r="E3378" s="2">
        <f>HYPERLINK("https://www.amazon.com/Diablo-Freud-DMAPL4040-P25-SDS-Plus-4-Cutter/dp/B089LKW42D/ref=sr_1_36?keywords=Diablo+Tools+DMAPL4160+3%2F8+in.+x+10+in.+x+12+in.+Rebar+Demon%E2%84%A2+SDS-Plus+4-Cutter+Full+Carbide+Head+Hammer+Bit&amp;qid=1694735304&amp;sr=8-36", "https://www.amazon.com/Diablo-Freud-DMAPL4040-P25-SDS-Plus-4-Cutter/dp/B089LKW42D/ref=sr_1_36?keywords=Diablo+Tools+DMAPL4160+3%2F8+in.+x+10+in.+x+12+in.+Rebar+Demon%E2%84%A2+SDS-Plus+4-Cutter+Full+Carbide+Head+Hammer+Bit&amp;qid=1694735304&amp;sr=8-36")</f>
        <v/>
      </c>
      <c r="F3378" t="inlineStr">
        <is>
          <t>B089LKW42D</t>
        </is>
      </c>
      <c r="G3378">
        <f>_xlfn.IMAGE("https://edmondsonsupply.com/cdn/shop/products/w7y3zlfom8dhrlplcmqa.webp?v=1670439058")</f>
        <v/>
      </c>
      <c r="H3378">
        <f>_xlfn.IMAGE("https://m.media-amazon.com/images/I/61WAyx865hL._AC_UL320_.jpg")</f>
        <v/>
      </c>
      <c r="K3378" t="inlineStr">
        <is>
          <t>9.97</t>
        </is>
      </c>
      <c r="L3378" t="n">
        <v>79.63</v>
      </c>
      <c r="M3378" s="1" t="inlineStr">
        <is>
          <t>698.70%</t>
        </is>
      </c>
      <c r="N3378" s="7" t="n">
        <v>70.77</v>
      </c>
      <c r="O3378" t="n">
        <v>5</v>
      </c>
      <c r="P3378" t="n">
        <v>2</v>
      </c>
      <c r="R3378" t="inlineStr">
        <is>
          <t>InStock</t>
        </is>
      </c>
      <c r="S3378" t="inlineStr">
        <is>
          <t>15.02</t>
        </is>
      </c>
      <c r="T3378" t="inlineStr">
        <is>
          <t>5286778601640</t>
        </is>
      </c>
    </row>
    <row r="3379" ht="87" customHeight="1">
      <c r="A3379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3379" s="2">
        <f>HYPERLINK("https://edmondsonsupply.com/products/klein-tools-s8-1-4-inch-hollow-shaft-nut-driver-3-inch-shaft", "https://edmondsonsupply.com/products/klein-tools-s8-1-4-inch-hollow-shaft-nut-driver-3-inch-shaft")</f>
        <v/>
      </c>
      <c r="C3379" t="inlineStr">
        <is>
          <t>Klein Tools S8 1/4-Inch Hollow Shaft Nut Driver, 3-Inch Shaft</t>
        </is>
      </c>
      <c r="D3379" t="inlineStr">
        <is>
          <t>Klein Tools 647 Tool Set, Nut Drivers Sizes 3/16, 1/4, 5/16, 11/32, 3/8, 7/16, 1/2-Inch, Chrome-Plated 6-Inch Shafts, Cushion Grip, 7-Piece</t>
        </is>
      </c>
      <c r="E3379" s="2">
        <f>HYPERLINK("https://www.amazon.com/Driver-6-Inch-Klein-Tools-647/dp/B0014KRVXO/ref=sr_1_29?keywords=Klein+Tools+S8+1%2F4-Inch+Hollow+Shaft+Nut+Driver%2C+3-Inch+Shaft&amp;qid=1694735248&amp;sr=8-29", "https://www.amazon.com/Driver-6-Inch-Klein-Tools-647/dp/B0014KRVXO/ref=sr_1_29?keywords=Klein+Tools+S8+1%2F4-Inch+Hollow+Shaft+Nut+Driver%2C+3-Inch+Shaft&amp;qid=1694735248&amp;sr=8-29")</f>
        <v/>
      </c>
      <c r="F3379" t="inlineStr">
        <is>
          <t>B0014KRVXO</t>
        </is>
      </c>
      <c r="G3379">
        <f>_xlfn.IMAGE("https://edmondsonsupply.com/cdn/shop/products/s10.jpg?v=1633030797")</f>
        <v/>
      </c>
      <c r="H3379">
        <f>_xlfn.IMAGE("https://m.media-amazon.com/images/I/51usUk-EpGL._AC_UL320_.jpg")</f>
        <v/>
      </c>
      <c r="K3379" t="inlineStr">
        <is>
          <t>7.29</t>
        </is>
      </c>
      <c r="L3379" t="n">
        <v>57.99</v>
      </c>
      <c r="M3379" s="1" t="inlineStr">
        <is>
          <t>695.47%</t>
        </is>
      </c>
      <c r="N3379" s="7" t="n">
        <v>70.43000000000001</v>
      </c>
      <c r="O3379" t="n">
        <v>4.8</v>
      </c>
      <c r="P3379" t="n">
        <v>734</v>
      </c>
      <c r="R3379" t="inlineStr">
        <is>
          <t>InStock</t>
        </is>
      </c>
      <c r="S3379" t="inlineStr">
        <is>
          <t>10.74</t>
        </is>
      </c>
      <c r="T3379" t="inlineStr">
        <is>
          <t>6000424485032</t>
        </is>
      </c>
    </row>
    <row r="3380" ht="87" customHeight="1">
      <c r="A3380" s="2">
        <f>HYPERLINK("https://edmondsonsupply.com/collections/electricians-tools/products/klein-5416tfr", "https://edmondsonsupply.com/collections/electricians-tools/products/klein-5416tfr")</f>
        <v/>
      </c>
      <c r="B3380" s="2">
        <f>HYPERLINK("https://edmondsonsupply.com/products/klein-5416tfr", "https://edmondsonsupply.com/products/klein-5416tfr")</f>
        <v/>
      </c>
      <c r="C3380" t="inlineStr">
        <is>
          <t>Klein Tools 5416TFR Tool Bag, Flame Resistant Bolt Bag, No. 4 Canvas, 5 x 10 x 9-Inch</t>
        </is>
      </c>
      <c r="D3380" t="inlineStr">
        <is>
          <t>Occidental Leather 5055 Stronghold Suspension System &amp; Klein Tools 5416TFR Tool Bag, Flame Resistant Canvas Bag for Bolt Storage with Double Reinforced Bottom and Tunnel Connect, 5 x 10 x 9-Inch</t>
        </is>
      </c>
      <c r="E3380" s="2">
        <f>HYPERLINK("https://www.amazon.com/Occidental-Leather-Stronghold-Suspension-Resistant/dp/B09Y8Y6ZND/ref=sr_1_7?keywords=Klein+Tools+5416TFR+Tool+Bag%2C+Flame+Resistant+Bolt+Bag%2C+No.+4+Canvas%2C+5+x+10+x+9-Inch&amp;qid=1694734988&amp;sr=8-7", "https://www.amazon.com/Occidental-Leather-Stronghold-Suspension-Resistant/dp/B09Y8Y6ZND/ref=sr_1_7?keywords=Klein+Tools+5416TFR+Tool+Bag%2C+Flame+Resistant+Bolt+Bag%2C+No.+4+Canvas%2C+5+x+10+x+9-Inch&amp;qid=1694734988&amp;sr=8-7")</f>
        <v/>
      </c>
      <c r="F3380" t="inlineStr">
        <is>
          <t>B09Y8Y6ZND</t>
        </is>
      </c>
      <c r="G3380">
        <f>_xlfn.IMAGE("https://edmondsonsupply.com/cdn/shop/products/5416tfr.jpg?v=1587149359")</f>
        <v/>
      </c>
      <c r="H3380">
        <f>_xlfn.IMAGE("https://m.media-amazon.com/images/I/61IJVL6YlKL._AC_UL320_.jpg")</f>
        <v/>
      </c>
      <c r="K3380" t="inlineStr">
        <is>
          <t>19.99</t>
        </is>
      </c>
      <c r="L3380" t="n">
        <v>158.89</v>
      </c>
      <c r="M3380" s="1" t="inlineStr">
        <is>
          <t>694.85%</t>
        </is>
      </c>
      <c r="N3380" s="7" t="n">
        <v>70.18000000000001</v>
      </c>
      <c r="O3380" t="n">
        <v>4.7</v>
      </c>
      <c r="P3380" t="n">
        <v>3470</v>
      </c>
      <c r="R3380" t="inlineStr">
        <is>
          <t>InStock</t>
        </is>
      </c>
      <c r="S3380" t="inlineStr">
        <is>
          <t>33.64</t>
        </is>
      </c>
      <c r="T3380" t="inlineStr">
        <is>
          <t>1490970837092</t>
        </is>
      </c>
    </row>
    <row r="3381" ht="87" customHeight="1">
      <c r="A3381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381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381" t="inlineStr">
        <is>
          <t>Diablo Tools DMAPL4160 3/8 in. x 10 in. x 12 in. Rebar Demon™ SDS-Plus 4-Cutter Full Carbide Head Hammer Bit</t>
        </is>
      </c>
      <c r="D3381" t="inlineStr">
        <is>
          <t>Diablo DMAMX1110 5/8 in. x 24 in. x 29 in. Rebar Demon™ SDS-Max 4-Cutter Full Carbide Head Hammer Bit</t>
        </is>
      </c>
      <c r="E3381" s="2">
        <f>HYPERLINK("https://www.amazon.com/Diablo-SDS-Max-4-Cutter-Carbide-Hammer/dp/B089LJ9GHW/ref=sr_1_38?keywords=Diablo+Tools+DMAPL4160+3%2F8+in.+x+10+in.+x+12+in.+Rebar+Demon%E2%84%A2+SDS-Plus+4-Cutter+Full+Carbide+Head+Hammer+Bit&amp;qid=1694735304&amp;sr=8-38", "https://www.amazon.com/Diablo-SDS-Max-4-Cutter-Carbide-Hammer/dp/B089LJ9GHW/ref=sr_1_38?keywords=Diablo+Tools+DMAPL4160+3%2F8+in.+x+10+in.+x+12+in.+Rebar+Demon%E2%84%A2+SDS-Plus+4-Cutter+Full+Carbide+Head+Hammer+Bit&amp;qid=1694735304&amp;sr=8-38")</f>
        <v/>
      </c>
      <c r="F3381" t="inlineStr">
        <is>
          <t>B089LJ9GHW</t>
        </is>
      </c>
      <c r="G3381">
        <f>_xlfn.IMAGE("https://edmondsonsupply.com/cdn/shop/products/w7y3zlfom8dhrlplcmqa.webp?v=1670439058")</f>
        <v/>
      </c>
      <c r="H3381">
        <f>_xlfn.IMAGE("https://m.media-amazon.com/images/I/61vWAd-z8eL._AC_UL320_.jpg")</f>
        <v/>
      </c>
      <c r="K3381" t="inlineStr">
        <is>
          <t>9.97</t>
        </is>
      </c>
      <c r="L3381" t="n">
        <v>78.98999999999999</v>
      </c>
      <c r="M3381" s="1" t="inlineStr">
        <is>
          <t>692.28%</t>
        </is>
      </c>
      <c r="N3381" s="7" t="n">
        <v>70.04000000000001</v>
      </c>
      <c r="O3381" t="n">
        <v>4.7</v>
      </c>
      <c r="P3381" t="n">
        <v>4</v>
      </c>
      <c r="R3381" t="inlineStr">
        <is>
          <t>InStock</t>
        </is>
      </c>
      <c r="S3381" t="inlineStr">
        <is>
          <t>15.02</t>
        </is>
      </c>
      <c r="T3381" t="inlineStr">
        <is>
          <t>5286778601640</t>
        </is>
      </c>
    </row>
    <row r="3382" ht="87" customHeight="1">
      <c r="A3382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382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382" t="inlineStr">
        <is>
          <t>Diablo Tools DMAPL4180 1/2 in. x 4 in. x 6 in. Rebar Demon™ SDS-Plus 4-Cutter Full Carbide Head Hammer Bit</t>
        </is>
      </c>
      <c r="D3382" t="inlineStr">
        <is>
          <t>Diablo DMAMX1110 5/8 in. x 24 in. x 29 in. Rebar Demon™ SDS-Max 4-Cutter Full Carbide Head Hammer Bit</t>
        </is>
      </c>
      <c r="E3382" s="2">
        <f>HYPERLINK("https://www.amazon.com/Diablo-SDS-Max-4-Cutter-Carbide-Hammer/dp/B089LJ9GHW/ref=sr_1_44?keywords=Diablo+Tools+DMAPL4180+1%2F2+in.+x+4+in.+x+6+in.+Rebar+Demon%E2%84%A2+SDS-Plus+4-Cutter+Full+Carbide+Head+Hammer+Bit&amp;qid=1694735298&amp;sr=8-44", "https://www.amazon.com/Diablo-SDS-Max-4-Cutter-Carbide-Hammer/dp/B089LJ9GHW/ref=sr_1_44?keywords=Diablo+Tools+DMAPL4180+1%2F2+in.+x+4+in.+x+6+in.+Rebar+Demon%E2%84%A2+SDS-Plus+4-Cutter+Full+Carbide+Head+Hammer+Bit&amp;qid=1694735298&amp;sr=8-44")</f>
        <v/>
      </c>
      <c r="F3382" t="inlineStr">
        <is>
          <t>B089LJ9GHW</t>
        </is>
      </c>
      <c r="G3382">
        <f>_xlfn.IMAGE("https://edmondsonsupply.com/cdn/shop/products/DMAPL4180_Main-Image20200702.png?v=1633030362")</f>
        <v/>
      </c>
      <c r="H3382">
        <f>_xlfn.IMAGE("https://m.media-amazon.com/images/I/61vWAd-z8eL._AC_UL320_.jpg")</f>
        <v/>
      </c>
      <c r="K3382" t="inlineStr">
        <is>
          <t>9.97</t>
        </is>
      </c>
      <c r="L3382" t="n">
        <v>78.98999999999999</v>
      </c>
      <c r="M3382" s="1" t="inlineStr">
        <is>
          <t>692.28%</t>
        </is>
      </c>
      <c r="N3382" s="7" t="n">
        <v>70.04000000000001</v>
      </c>
      <c r="O3382" t="n">
        <v>4.7</v>
      </c>
      <c r="P3382" t="n">
        <v>4</v>
      </c>
      <c r="R3382" t="inlineStr">
        <is>
          <t>InStock</t>
        </is>
      </c>
      <c r="S3382" t="inlineStr">
        <is>
          <t>undefined</t>
        </is>
      </c>
      <c r="T3382" t="inlineStr">
        <is>
          <t>5286803833000</t>
        </is>
      </c>
    </row>
    <row r="3383" hidden="1" ht="15.75" customHeight="1">
      <c r="A3383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3383" s="2">
        <f>HYPERLINK("https://edmondsonsupply.com/products/klein-tools-31922-bi-metal-hole-saw-1-3-8-inch", "https://edmondsonsupply.com/products/klein-tools-31922-bi-metal-hole-saw-1-3-8-inch")</f>
        <v/>
      </c>
      <c r="C3383" t="inlineStr">
        <is>
          <t>Klein Tools 31922 Bi-Metal Hole Saw, 1-3/8-Inch</t>
        </is>
      </c>
      <c r="D3383" t="inlineStr">
        <is>
          <t>Klein Tools 31600SEN 6-3/8-Inch Diameter Bi-Metal Hole Saw</t>
        </is>
      </c>
      <c r="E3383" s="2">
        <f>HYPERLINK("https://www.amazon.com/Klein-Tools-31600SEN-Diameter-Bi-Metal/dp/B0026T4RAM/ref=sr_1_20?keywords=Klein+Tools+31922+Bi-Metal+Hole+Saw%2C+1-3%2F8-Inch&amp;qid=1694735176&amp;sr=8-20", "https://www.amazon.com/Klein-Tools-31600SEN-Diameter-Bi-Metal/dp/B0026T4RAM/ref=sr_1_20?keywords=Klein+Tools+31922+Bi-Metal+Hole+Saw%2C+1-3%2F8-Inch&amp;qid=1694735176&amp;sr=8-20")</f>
        <v/>
      </c>
      <c r="F3383" t="inlineStr">
        <is>
          <t>B0026T4RAM</t>
        </is>
      </c>
      <c r="G3383">
        <f>_xludf.IMAGE("https://edmondsonsupply.com/cdn/shop/products/31922.jpg?v=1663943738")</f>
        <v/>
      </c>
      <c r="H3383">
        <f>_xludf.IMAGE("https://m.media-amazon.com/images/I/61KuoVYOnNL._AC_UL320_.jpg")</f>
        <v/>
      </c>
      <c r="K3383" t="inlineStr">
        <is>
          <t>9.99</t>
        </is>
      </c>
      <c r="L3383" t="n">
        <v>78.38</v>
      </c>
      <c r="M3383" s="1" t="inlineStr">
        <is>
          <t>684.58%</t>
        </is>
      </c>
      <c r="N3383" s="1" t="n">
        <v>70.02</v>
      </c>
      <c r="O3383" t="n">
        <v>3.4</v>
      </c>
      <c r="P3383" t="n">
        <v>4</v>
      </c>
      <c r="R3383" t="inlineStr">
        <is>
          <t>InStock</t>
        </is>
      </c>
      <c r="S3383" t="inlineStr">
        <is>
          <t>14.0</t>
        </is>
      </c>
      <c r="T3383" t="inlineStr">
        <is>
          <t>7827257819352</t>
        </is>
      </c>
    </row>
    <row r="3384" ht="87" customHeight="1">
      <c r="A3384" s="2">
        <f>HYPERLINK("https://edmondsonsupply.com/collections/electricians-tools/products/gorilla-glue-107450-original-gorilla-glue-20z-bottle", "https://edmondsonsupply.com/collections/electricians-tools/products/gorilla-glue-107450-original-gorilla-glue-20z-bottle")</f>
        <v/>
      </c>
      <c r="B3384" s="2">
        <f>HYPERLINK("https://edmondsonsupply.com/products/gorilla-glue-107450-original-gorilla-glue-20z-bottle", "https://edmondsonsupply.com/products/gorilla-glue-107450-original-gorilla-glue-20z-bottle")</f>
        <v/>
      </c>
      <c r="C3384" t="inlineStr">
        <is>
          <t>Gorilla Glue 107450 Original Gorilla Glue, 2oz. bottle</t>
        </is>
      </c>
      <c r="D3384" t="inlineStr">
        <is>
          <t>Gorilla Original Waterproof Polyurethane Glue, 18 ounce Bottle, Brown, (Pack of 2)</t>
        </is>
      </c>
      <c r="E3384" s="2">
        <f>HYPERLINK("https://www.amazon.com/Gorilla-Original-Waterproof-Polyurethane-Bottle/dp/B01M3VNMNB/ref=sr_1_8?keywords=Gorilla+Glue+107450+Original+Gorilla+Glue%2C+2oz.+bottle&amp;qid=1694735029&amp;sr=8-8", "https://www.amazon.com/Gorilla-Original-Waterproof-Polyurethane-Bottle/dp/B01M3VNMNB/ref=sr_1_8?keywords=Gorilla+Glue+107450+Original+Gorilla+Glue%2C+2oz.+bottle&amp;qid=1694735029&amp;sr=8-8")</f>
        <v/>
      </c>
      <c r="F3384" t="inlineStr">
        <is>
          <t>B01M3VNMNB</t>
        </is>
      </c>
      <c r="G3384">
        <f>_xlfn.IMAGE("https://edmondsonsupply.com/cdn/shop/products/original_gorilla_glue_white_bg_v2-450x450-c-default.webp?v=1678801122")</f>
        <v/>
      </c>
      <c r="H3384">
        <f>_xlfn.IMAGE("https://m.media-amazon.com/images/I/61CiRQcJm9L._AC_UY218_.jpg")</f>
        <v/>
      </c>
      <c r="K3384" t="inlineStr">
        <is>
          <t>6.98</t>
        </is>
      </c>
      <c r="L3384" t="n">
        <v>54.54</v>
      </c>
      <c r="M3384" s="1" t="inlineStr">
        <is>
          <t>681.38%</t>
        </is>
      </c>
      <c r="N3384" s="7" t="n">
        <v>69.98</v>
      </c>
      <c r="O3384" t="n">
        <v>4.7</v>
      </c>
      <c r="P3384" t="n">
        <v>23</v>
      </c>
      <c r="R3384" t="inlineStr">
        <is>
          <t>InStock</t>
        </is>
      </c>
      <c r="S3384" t="inlineStr">
        <is>
          <t>undefined</t>
        </is>
      </c>
      <c r="T3384" t="inlineStr">
        <is>
          <t>7961253314776</t>
        </is>
      </c>
    </row>
    <row r="3385" ht="87" customHeight="1">
      <c r="A3385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3385" s="2">
        <f>HYPERLINK("https://edmondsonsupply.com/products/klein-tools-31856-1-1-8-inch-carbide-hole-cutter", "https://edmondsonsupply.com/products/klein-tools-31856-1-1-8-inch-carbide-hole-cutter")</f>
        <v/>
      </c>
      <c r="C3385" t="inlineStr">
        <is>
          <t>Klein Tools 31856 1-1/8-Inch Carbide Hole Cutter</t>
        </is>
      </c>
      <c r="D3385" t="inlineStr">
        <is>
          <t>Klein Tools 31873 Heavy Duty Hole Cutter Kit, Includes Carbide Hole Cutters and 2 Pilot Bits in Rust-Proof Molded Plastic Case, 8-Piece</t>
        </is>
      </c>
      <c r="E3385" s="2">
        <f>HYPERLINK("https://www.amazon.com/Electricians-8-Piece-Klein-Tools-31873/dp/B003CCRCM2/ref=sr_1_4?keywords=Klein+Tools+31856+1-1%2F8-Inch+Carbide+Hole+Cutter&amp;qid=1694734994&amp;sr=8-4", "https://www.amazon.com/Electricians-8-Piece-Klein-Tools-31873/dp/B003CCRCM2/ref=sr_1_4?keywords=Klein+Tools+31856+1-1%2F8-Inch+Carbide+Hole+Cutter&amp;qid=1694734994&amp;sr=8-4")</f>
        <v/>
      </c>
      <c r="F3385" t="inlineStr">
        <is>
          <t>B003CCRCM2</t>
        </is>
      </c>
      <c r="G3385">
        <f>_xlfn.IMAGE("https://edmondsonsupply.com/cdn/shop/files/31856.jpg?v=1685712345")</f>
        <v/>
      </c>
      <c r="H3385">
        <f>_xlfn.IMAGE("https://m.media-amazon.com/images/I/61G-oQvGZTL._AC_UL320_.jpg")</f>
        <v/>
      </c>
      <c r="K3385" t="inlineStr">
        <is>
          <t>35.99</t>
        </is>
      </c>
      <c r="L3385" t="n">
        <v>279.99</v>
      </c>
      <c r="M3385" s="1" t="inlineStr">
        <is>
          <t>677.97%</t>
        </is>
      </c>
      <c r="N3385" s="7" t="n">
        <v>69.97</v>
      </c>
      <c r="O3385" t="n">
        <v>4.6</v>
      </c>
      <c r="P3385" t="n">
        <v>64</v>
      </c>
      <c r="R3385" t="inlineStr">
        <is>
          <t>InStock</t>
        </is>
      </c>
      <c r="S3385" t="inlineStr">
        <is>
          <t>50.38</t>
        </is>
      </c>
      <c r="T3385" t="inlineStr">
        <is>
          <t>7999529910488</t>
        </is>
      </c>
    </row>
    <row r="3386" ht="87" customHeight="1">
      <c r="A3386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3386" s="2">
        <f>HYPERLINK("https://edmondsonsupply.com/products/diablo-tools-dmapl2320-1-2-in-x-10-in-x-12-in-sds-plus-2-cutter", "https://edmondsonsupply.com/products/diablo-tools-dmapl2320-1-2-in-x-10-in-x-12-in-sds-plus-2-cutter")</f>
        <v/>
      </c>
      <c r="C3386" t="inlineStr">
        <is>
          <t>Diablo Tools DMAPL2320 1/2 in. x 10 in. x 12 in. SDS-Plus 2-Cutter</t>
        </is>
      </c>
      <c r="D3386" t="inlineStr">
        <is>
          <t>Diablo by Freud DMAPL4180-P25 1/2 in. x 4 in. x 6 in. Rebar Demon SDS-Plus 4-Cutter Full Carbide Head Hammer Bit (25-Pack) Multi, One Size</t>
        </is>
      </c>
      <c r="E3386" s="2">
        <f>HYPERLINK("https://www.amazon.com/Diablo-Rebar-4-Cutter-Carbide-Hammer/dp/B089LGWV7F/ref=sr_1_47?keywords=Diablo+Tools+DMAPL2320+1%2F2+in.+x+10+in.+x+12+in.+SDS-Plus+2-Cutter&amp;qid=1694735300&amp;sr=8-47", "https://www.amazon.com/Diablo-Rebar-4-Cutter-Carbide-Hammer/dp/B089LGWV7F/ref=sr_1_47?keywords=Diablo+Tools+DMAPL2320+1%2F2+in.+x+10+in.+x+12+in.+SDS-Plus+2-Cutter&amp;qid=1694735300&amp;sr=8-47")</f>
        <v/>
      </c>
      <c r="F3386" t="inlineStr">
        <is>
          <t>B089LGWV7F</t>
        </is>
      </c>
      <c r="G3386">
        <f>_xlfn.IMAGE("https://edmondsonsupply.com/cdn/shop/products/DMAPL2320.jpg?v=1633030356")</f>
        <v/>
      </c>
      <c r="H3386">
        <f>_xlfn.IMAGE("https://m.media-amazon.com/images/I/61q9iw+mKpL._AC_UL320_.jpg")</f>
        <v/>
      </c>
      <c r="K3386" t="inlineStr">
        <is>
          <t>12.97</t>
        </is>
      </c>
      <c r="L3386" t="n">
        <v>99.98999999999999</v>
      </c>
      <c r="M3386" s="1" t="inlineStr">
        <is>
          <t>670.93%</t>
        </is>
      </c>
      <c r="N3386" s="7" t="n">
        <v>69.87</v>
      </c>
      <c r="O3386" t="n">
        <v>5</v>
      </c>
      <c r="P3386" t="n">
        <v>2</v>
      </c>
      <c r="R3386" t="inlineStr">
        <is>
          <t>InStock</t>
        </is>
      </c>
      <c r="S3386" t="inlineStr">
        <is>
          <t>14.25</t>
        </is>
      </c>
      <c r="T3386" t="inlineStr">
        <is>
          <t>5286282264744</t>
        </is>
      </c>
    </row>
    <row r="3387" ht="87" customHeight="1">
      <c r="A3387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3387" s="2">
        <f>HYPERLINK("https://edmondsonsupply.com/products/klein-tools-55470-stand-up-zipper-bags-2-pack", "https://edmondsonsupply.com/products/klein-tools-55470-stand-up-zipper-bags-2-pack")</f>
        <v/>
      </c>
      <c r="C3387" t="inlineStr">
        <is>
          <t>Klein Tools 55470 Zipper Bag, Stand-Up Tool Pouch, 2-Pack</t>
        </is>
      </c>
      <c r="D3387" t="inlineStr">
        <is>
          <t>Klein Tools 55421BP-14 Tool Bag Backpack &amp; 55470 Utility Bag, Stand-Up Zipper Tool Bags, Tough 1680d Ballistic Weave, Reinforced Bottoms, Orange/Black, Gray/Black, 2-Pack</t>
        </is>
      </c>
      <c r="E3387" s="2">
        <f>HYPERLINK("https://www.amazon.com/Klein-Tools-55421BP-14-Ballistic-Reinforced/dp/B09P83CHLM/ref=sr_1_25?keywords=Klein+Tools+55470+Zipper+Bag%2C+Stand-Up+Tool+Pouch%2C+2-Pack&amp;qid=1694735348&amp;sr=8-25", "https://www.amazon.com/Klein-Tools-55421BP-14-Ballistic-Reinforced/dp/B09P83CHLM/ref=sr_1_25?keywords=Klein+Tools+55470+Zipper+Bag%2C+Stand-Up+Tool+Pouch%2C+2-Pack&amp;qid=1694735348&amp;sr=8-25")</f>
        <v/>
      </c>
      <c r="F3387" t="inlineStr">
        <is>
          <t>B09P83CHLM</t>
        </is>
      </c>
      <c r="G3387">
        <f>_xlfn.IMAGE("https://edmondsonsupply.com/cdn/shop/products/55470.jpg?v=1587149313")</f>
        <v/>
      </c>
      <c r="H3387">
        <f>_xlfn.IMAGE("https://m.media-amazon.com/images/I/51PSnfc3H0L._AC_UL320_.jpg")</f>
        <v/>
      </c>
      <c r="K3387" t="inlineStr">
        <is>
          <t>14.97</t>
        </is>
      </c>
      <c r="L3387" t="n">
        <v>114.96</v>
      </c>
      <c r="M3387" s="1" t="inlineStr">
        <is>
          <t>667.94%</t>
        </is>
      </c>
      <c r="N3387" s="7" t="n">
        <v>69.01000000000001</v>
      </c>
      <c r="O3387" t="n">
        <v>4.8</v>
      </c>
      <c r="P3387" t="n">
        <v>9</v>
      </c>
      <c r="R3387" t="inlineStr">
        <is>
          <t>InStock</t>
        </is>
      </c>
      <c r="S3387" t="inlineStr">
        <is>
          <t>21.5</t>
        </is>
      </c>
      <c r="T3387" t="inlineStr">
        <is>
          <t>1723696971876</t>
        </is>
      </c>
    </row>
    <row r="3388" ht="87" customHeight="1">
      <c r="A3388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3388" s="2">
        <f>HYPERLINK("https://edmondsonsupply.com/products/klein-tools-69409-line-splitter-10x", "https://edmondsonsupply.com/products/klein-tools-69409-line-splitter-10x")</f>
        <v/>
      </c>
      <c r="C3388" t="inlineStr">
        <is>
          <t>Klein Tools 69409 Line Splitter 10x</t>
        </is>
      </c>
      <c r="D3388" t="inlineStr">
        <is>
          <t>Klein Tools CL800 Digital Clamp Meter, Autoranging TRMS, AC/DC Volt/Current, LoZ, Continuity, Frequency, Capacitance, NCVT, Temp, More 1000V &amp; 69409 Line Splitter 10x</t>
        </is>
      </c>
      <c r="E3388" s="2">
        <f>HYPERLINK("https://www.amazon.com/Klein-Tools-Auto-Ranging-Impedance-Measures/dp/B08MG3FWMV/ref=sr_1_9?keywords=Klein+Tools+69409+Line+Splitter+10x&amp;qid=1694735419&amp;sr=8-9", "https://www.amazon.com/Klein-Tools-Auto-Ranging-Impedance-Measures/dp/B08MG3FWMV/ref=sr_1_9?keywords=Klein+Tools+69409+Line+Splitter+10x&amp;qid=1694735419&amp;sr=8-9")</f>
        <v/>
      </c>
      <c r="F3388" t="inlineStr">
        <is>
          <t>B08MG3FWMV</t>
        </is>
      </c>
      <c r="G3388">
        <f>_xlfn.IMAGE("https://edmondsonsupply.com/cdn/shop/products/69409.jpg?v=1587146689")</f>
        <v/>
      </c>
      <c r="H3388">
        <f>_xlfn.IMAGE("https://m.media-amazon.com/images/I/51gry2ztmfL._AC_UL320_.jpg")</f>
        <v/>
      </c>
      <c r="K3388" t="inlineStr">
        <is>
          <t>16.97</t>
        </is>
      </c>
      <c r="L3388" t="n">
        <v>130.18</v>
      </c>
      <c r="M3388" s="1" t="inlineStr">
        <is>
          <t>667.12%</t>
        </is>
      </c>
      <c r="N3388" s="7" t="n">
        <v>68.75</v>
      </c>
      <c r="O3388" t="n">
        <v>4.3</v>
      </c>
      <c r="P3388" t="n">
        <v>3</v>
      </c>
      <c r="R3388" t="inlineStr">
        <is>
          <t>InStock</t>
        </is>
      </c>
      <c r="S3388" t="inlineStr">
        <is>
          <t>20.48</t>
        </is>
      </c>
      <c r="T3388" t="inlineStr">
        <is>
          <t>1723598045284</t>
        </is>
      </c>
    </row>
    <row r="3389" ht="87" customHeight="1">
      <c r="A3389" s="2">
        <f>HYPERLINK("https://edmondsonsupply.com/collections/electricians-tools/products/klein-tools-69381-heavy-duty-alligator-clip-test-leads-3-foot", "https://edmondsonsupply.com/collections/electricians-tools/products/klein-tools-69381-heavy-duty-alligator-clip-test-leads-3-foot")</f>
        <v/>
      </c>
      <c r="B3389" s="2">
        <f>HYPERLINK("https://edmondsonsupply.com/products/klein-tools-69381-heavy-duty-alligator-clip-test-leads-3-foot", "https://edmondsonsupply.com/products/klein-tools-69381-heavy-duty-alligator-clip-test-leads-3-foot")</f>
        <v/>
      </c>
      <c r="C3389" t="inlineStr">
        <is>
          <t>Klein Tools 69381 Heavy-Duty Alligator Clip Test Leads, 3-Foot</t>
        </is>
      </c>
      <c r="D3389" t="inlineStr">
        <is>
          <t>Klein Tools CL390 Digital Clamp Meter, Reverse Contrast Display, Auto Ranging 400A AC/DC Voltage &amp; 69381 Alligator Clip Test Leads, Heavy-Duty Replacement Meter Leads</t>
        </is>
      </c>
      <c r="E3389" s="2">
        <f>HYPERLINK("https://www.amazon.com/Klein-Tools-Alligator-Heavy-Duty-Replacement/dp/B0CF2GZK45/ref=sr_1_7?keywords=Klein+Tools+69381+Heavy-Duty+Alligator+Clip+Test+Leads%2C+3-Foot&amp;qid=1694735094&amp;sr=8-7", "https://www.amazon.com/Klein-Tools-Alligator-Heavy-Duty-Replacement/dp/B0CF2GZK45/ref=sr_1_7?keywords=Klein+Tools+69381+Heavy-Duty+Alligator+Clip+Test+Leads%2C+3-Foot&amp;qid=1694735094&amp;sr=8-7")</f>
        <v/>
      </c>
      <c r="F3389" t="inlineStr">
        <is>
          <t>B0CF2GZK45</t>
        </is>
      </c>
      <c r="G3389">
        <f>_xlfn.IMAGE("https://edmondsonsupply.com/cdn/shop/products/69381_photo.jpg?v=1666889006")</f>
        <v/>
      </c>
      <c r="H3389">
        <f>_xlfn.IMAGE("https://m.media-amazon.com/images/I/51Ex-IV+JwL._AC_UY218_.jpg")</f>
        <v/>
      </c>
      <c r="K3389" t="inlineStr">
        <is>
          <t>14.99</t>
        </is>
      </c>
      <c r="L3389" t="n">
        <v>114.63</v>
      </c>
      <c r="M3389" s="1" t="inlineStr">
        <is>
          <t>664.71%</t>
        </is>
      </c>
      <c r="N3389" s="7" t="n">
        <v>68.69</v>
      </c>
      <c r="O3389" t="n">
        <v>4.6</v>
      </c>
      <c r="P3389" t="n">
        <v>1094</v>
      </c>
      <c r="R3389" t="inlineStr">
        <is>
          <t>InStock</t>
        </is>
      </c>
      <c r="S3389" t="inlineStr">
        <is>
          <t>20.98</t>
        </is>
      </c>
      <c r="T3389" t="inlineStr">
        <is>
          <t>7867714371800</t>
        </is>
      </c>
    </row>
    <row r="3390" ht="87" customHeight="1">
      <c r="A3390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3390" s="2">
        <f>HYPERLINK("https://edmondsonsupply.com/products/klein-tools-vdv427-014-punchdown-tool-krone-blade", "https://edmondsonsupply.com/products/klein-tools-vdv427-014-punchdown-tool-krone-blade")</f>
        <v/>
      </c>
      <c r="C3390" t="inlineStr">
        <is>
          <t>Klein Tools VDV427014 Punchdown Tool Krone Blade</t>
        </is>
      </c>
      <c r="D3390" t="inlineStr">
        <is>
          <t>Klein Tools VDV226-110 Ratcheting Modular Data Cable Crimper/Wire Stripper/Wire Cutter for RJ11/RJ12 Standard, RJ45 Pass-Thru Connectors &amp; VDV427-300 Impact Punchdown Tool, 66/110 Blade</t>
        </is>
      </c>
      <c r="E3390" s="2">
        <f>HYPERLINK("https://www.amazon.com/Klein-Tools-VDV226-110-Ratcheting-Connectors/dp/B0B56VM2HX/ref=sr_1_17?keywords=Klein+Tools+VDV427014+Punchdown+Tool+Krone+Blade&amp;qid=1694735425&amp;sr=8-17", "https://www.amazon.com/Klein-Tools-VDV226-110-Ratcheting-Connectors/dp/B0B56VM2HX/ref=sr_1_17?keywords=Klein+Tools+VDV427014+Punchdown+Tool+Krone+Blade&amp;qid=1694735425&amp;sr=8-17")</f>
        <v/>
      </c>
      <c r="F3390" t="inlineStr">
        <is>
          <t>B0B56VM2HX</t>
        </is>
      </c>
      <c r="G3390">
        <f>_xlfn.IMAGE("https://edmondsonsupply.com/cdn/shop/products/vdv427-014.jpg?v=1587143002")</f>
        <v/>
      </c>
      <c r="H3390">
        <f>_xlfn.IMAGE("https://m.media-amazon.com/images/I/41ysoQQyQfL._AC_UL320_.jpg")</f>
        <v/>
      </c>
      <c r="K3390" t="inlineStr">
        <is>
          <t>11.49</t>
        </is>
      </c>
      <c r="L3390" t="n">
        <v>87.38</v>
      </c>
      <c r="M3390" s="1" t="inlineStr">
        <is>
          <t>660.49%</t>
        </is>
      </c>
      <c r="N3390" s="7" t="n">
        <v>68.69</v>
      </c>
      <c r="O3390" t="n">
        <v>5</v>
      </c>
      <c r="P3390" t="n">
        <v>12</v>
      </c>
      <c r="R3390" t="inlineStr">
        <is>
          <t>InStock</t>
        </is>
      </c>
      <c r="S3390" t="inlineStr">
        <is>
          <t>17.26</t>
        </is>
      </c>
      <c r="T3390" t="inlineStr">
        <is>
          <t>4359135592548</t>
        </is>
      </c>
    </row>
    <row r="3391" ht="87" customHeight="1">
      <c r="A3391" s="2">
        <f>HYPERLINK("https://edmondsonsupply.com/collections/electricians-tools/products/klein-tools-86602-3-8-inch-magnetic-hex-drivers-3-pack", "https://edmondsonsupply.com/collections/electricians-tools/products/klein-tools-86602-3-8-inch-magnetic-hex-drivers-3-pack")</f>
        <v/>
      </c>
      <c r="B3391" s="2">
        <f>HYPERLINK("https://edmondsonsupply.com/products/klein-tools-86602-3-8-inch-magnetic-hex-drivers-3-pack", "https://edmondsonsupply.com/products/klein-tools-86602-3-8-inch-magnetic-hex-drivers-3-pack")</f>
        <v/>
      </c>
      <c r="C3391" t="inlineStr">
        <is>
          <t>Klein Tools 86602 3/8-Inch Magnetic Hex Drivers, 3-Pack</t>
        </is>
      </c>
      <c r="D3391" t="inlineStr">
        <is>
          <t>Klein Tools 635-4 Tool Set, Heavy Duty Magnetic Nut Drivers Hex Sizes 1/4, 5/16, 3/8, 7/16-Inch, Full Hollow Shafts w/Color Coding, 4-Piece</t>
        </is>
      </c>
      <c r="E3391" s="2">
        <f>HYPERLINK("https://www.amazon.com/Klein-Tools-Heavy-Duty-Driver-4-Piece/dp/B01D6D08UO/ref=sr_1_19?keywords=Klein+Tools+86602+3%2F8-Inch+Magnetic+Hex+Drivers%2C+3-Pack&amp;qid=1694735117&amp;sr=8-19", "https://www.amazon.com/Klein-Tools-Heavy-Duty-Driver-4-Piece/dp/B01D6D08UO/ref=sr_1_19?keywords=Klein+Tools+86602+3%2F8-Inch+Magnetic+Hex+Drivers%2C+3-Pack&amp;qid=1694735117&amp;sr=8-19")</f>
        <v/>
      </c>
      <c r="F3391" t="inlineStr">
        <is>
          <t>B01D6D08UO</t>
        </is>
      </c>
      <c r="G3391">
        <f>_xlfn.IMAGE("https://edmondsonsupply.com/cdn/shop/products/86602.jpg?v=1664460860")</f>
        <v/>
      </c>
      <c r="H3391">
        <f>_xlfn.IMAGE("https://m.media-amazon.com/images/I/51svRJU945L._AC_UL320_.jpg")</f>
        <v/>
      </c>
      <c r="K3391" t="inlineStr">
        <is>
          <t>6.99</t>
        </is>
      </c>
      <c r="L3391" t="n">
        <v>53.13</v>
      </c>
      <c r="M3391" s="1" t="inlineStr">
        <is>
          <t>660.09%</t>
        </is>
      </c>
      <c r="N3391" s="7" t="n">
        <v>68.52</v>
      </c>
      <c r="O3391" t="n">
        <v>4.7</v>
      </c>
      <c r="P3391" t="n">
        <v>943</v>
      </c>
      <c r="R3391" t="inlineStr">
        <is>
          <t>InStock</t>
        </is>
      </c>
      <c r="S3391" t="inlineStr">
        <is>
          <t>10.6</t>
        </is>
      </c>
      <c r="T3391" t="inlineStr">
        <is>
          <t>7833497960664</t>
        </is>
      </c>
    </row>
    <row r="3392" ht="87" customHeight="1">
      <c r="A3392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392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392" t="inlineStr">
        <is>
          <t>Diablo Tools DMAPL4030 3/16 in. x 2 in. x 4 in. Rebar Demon™ SDS-Plus 4-Cutter Full Carbide Head Hammer Bit</t>
        </is>
      </c>
      <c r="D3392" t="inlineStr">
        <is>
          <t>Diablo by Freud DMAPL4270 27/32 in. x 8 in. x 10 in. Rebar Demon SDS-Plus 4-Cutter Full Carbide Head Hammer Bit</t>
        </is>
      </c>
      <c r="E3392" s="2">
        <f>HYPERLINK("https://www.amazon.com/Diablo-Freud-DMAPL4270-SDS-Plus-4-Cutter/dp/B089KXBGLM/ref=sr_1_7?keywords=Diablo+Tools+DMAPL4030+3%2F16+in.+x+2+in.+x+4+in.+Rebar+Demon%E2%84%A2+SDS-Plus+4-Cutter+Full+Carbide+Head+Hammer+Bit&amp;qid=1694735295&amp;sr=8-7", "https://www.amazon.com/Diablo-Freud-DMAPL4270-SDS-Plus-4-Cutter/dp/B089KXBGLM/ref=sr_1_7?keywords=Diablo+Tools+DMAPL4030+3%2F16+in.+x+2+in.+x+4+in.+Rebar+Demon%E2%84%A2+SDS-Plus+4-Cutter+Full+Carbide+Head+Hammer+Bit&amp;qid=1694735295&amp;sr=8-7")</f>
        <v/>
      </c>
      <c r="F3392" t="inlineStr">
        <is>
          <t>B089KXBGLM</t>
        </is>
      </c>
      <c r="G3392">
        <f>_xlfn.IMAGE("https://edmondsonsupply.com/cdn/shop/products/DMAPL4030.jpg?v=1633030357")</f>
        <v/>
      </c>
      <c r="H3392">
        <f>_xlfn.IMAGE("https://m.media-amazon.com/images/I/611A6sphG9L._AC_UL320_.jpg")</f>
        <v/>
      </c>
      <c r="K3392" t="inlineStr">
        <is>
          <t>3.97</t>
        </is>
      </c>
      <c r="L3392" t="n">
        <v>30.13</v>
      </c>
      <c r="M3392" s="1" t="inlineStr">
        <is>
          <t>658.94%</t>
        </is>
      </c>
      <c r="N3392" s="7" t="n">
        <v>68.48999999999999</v>
      </c>
      <c r="O3392" t="n">
        <v>5</v>
      </c>
      <c r="P3392" t="n">
        <v>2</v>
      </c>
      <c r="R3392" t="inlineStr">
        <is>
          <t>InStock</t>
        </is>
      </c>
      <c r="S3392" t="inlineStr">
        <is>
          <t>5.51</t>
        </is>
      </c>
      <c r="T3392" t="inlineStr">
        <is>
          <t>5286322012328</t>
        </is>
      </c>
    </row>
    <row r="3393" ht="87" customHeight="1">
      <c r="A3393" s="2">
        <f>HYPERLINK("https://edmondsonsupply.com/collections/electricians-tools/products/klein-tools-51612-3-4-inch-angle-setter%E2%84%A2", "https://edmondsonsupply.com/collections/electricians-tools/products/klein-tools-51612-3-4-inch-angle-setter%E2%84%A2")</f>
        <v/>
      </c>
      <c r="B3393" s="2">
        <f>HYPERLINK("https://edmondsonsupply.com/products/klein-tools-51612-3-4-inch-angle-setter%e2%84%a2", "https://edmondsonsupply.com/products/klein-tools-51612-3-4-inch-angle-setter%e2%84%a2")</f>
        <v/>
      </c>
      <c r="C3393" t="inlineStr">
        <is>
          <t>Klein Tools 51612 3/4-Inch Angle Setter™</t>
        </is>
      </c>
      <c r="D3393" t="inlineStr">
        <is>
          <t>Klein Tools 51610 Iron Conduit Bender Head, for 1-Inch EMT or 3/4-Inch Rigid IMC, use with Klein Tools Angle Setter (Cat. No. 51613)</t>
        </is>
      </c>
      <c r="E3393" s="2">
        <f>HYPERLINK("https://www.amazon.com/Conduit-Bender-Klein-Tools-51610/dp/B08V8J5CX4/ref=sr_1_3?keywords=Klein+Tools+51612+3%2F4-Inch+Angle+Setter%E2%84%A2&amp;qid=1694735134&amp;sr=8-3", "https://www.amazon.com/Conduit-Bender-Klein-Tools-51610/dp/B08V8J5CX4/ref=sr_1_3?keywords=Klein+Tools+51612+3%2F4-Inch+Angle+Setter%E2%84%A2&amp;qid=1694735134&amp;sr=8-3")</f>
        <v/>
      </c>
      <c r="F3393" t="inlineStr">
        <is>
          <t>B08V8J5CX4</t>
        </is>
      </c>
      <c r="G3393">
        <f>_xlfn.IMAGE("https://edmondsonsupply.com/cdn/shop/products/51612.jpg?v=1661977736")</f>
        <v/>
      </c>
      <c r="H3393">
        <f>_xlfn.IMAGE("https://m.media-amazon.com/images/I/61jmGqozuVL._AC_UL320_.jpg")</f>
        <v/>
      </c>
      <c r="K3393" t="inlineStr">
        <is>
          <t>9.97</t>
        </is>
      </c>
      <c r="L3393" t="n">
        <v>74.98999999999999</v>
      </c>
      <c r="M3393" s="1" t="inlineStr">
        <is>
          <t>652.16%</t>
        </is>
      </c>
      <c r="N3393" s="7" t="n">
        <v>68.05</v>
      </c>
      <c r="O3393" t="n">
        <v>4.8</v>
      </c>
      <c r="P3393" t="n">
        <v>11</v>
      </c>
      <c r="R3393" t="inlineStr">
        <is>
          <t>InStock</t>
        </is>
      </c>
      <c r="S3393" t="inlineStr">
        <is>
          <t>12.96</t>
        </is>
      </c>
      <c r="T3393" t="inlineStr">
        <is>
          <t>7798382756056</t>
        </is>
      </c>
    </row>
    <row r="3394" ht="87" customHeight="1">
      <c r="A3394" s="2">
        <f>HYPERLINK("https://edmondsonsupply.com/collections/electricians-tools/products/klein-tools-51612-3-4-inch-angle-setter%E2%84%A2", "https://edmondsonsupply.com/collections/electricians-tools/products/klein-tools-51612-3-4-inch-angle-setter%E2%84%A2")</f>
        <v/>
      </c>
      <c r="B3394" s="2">
        <f>HYPERLINK("https://edmondsonsupply.com/products/klein-tools-51612-3-4-inch-angle-setter%e2%84%a2", "https://edmondsonsupply.com/products/klein-tools-51612-3-4-inch-angle-setter%e2%84%a2")</f>
        <v/>
      </c>
      <c r="C3394" t="inlineStr">
        <is>
          <t>Klein Tools 51612 3/4-Inch Angle Setter™</t>
        </is>
      </c>
      <c r="D3394" t="inlineStr">
        <is>
          <t>Klein Tools 51604 Iron Conduit Bender Full Assembly, 3/4-Inch EMT and 1/2-Inch Rigid, Wide Foot Pedal, Benchmark Symbols and Angle Setter</t>
        </is>
      </c>
      <c r="E3394" s="2">
        <f>HYPERLINK("https://www.amazon.com/Conduit-Features-Klein-Tools-51604/dp/B08V8YVWH1/ref=sr_1_7?keywords=Klein+Tools+51612+3%2F4-Inch+Angle+Setter%E2%84%A2&amp;qid=1694735134&amp;sr=8-7", "https://www.amazon.com/Conduit-Features-Klein-Tools-51604/dp/B08V8YVWH1/ref=sr_1_7?keywords=Klein+Tools+51612+3%2F4-Inch+Angle+Setter%E2%84%A2&amp;qid=1694735134&amp;sr=8-7")</f>
        <v/>
      </c>
      <c r="F3394" t="inlineStr">
        <is>
          <t>B08V8YVWH1</t>
        </is>
      </c>
      <c r="G3394">
        <f>_xlfn.IMAGE("https://edmondsonsupply.com/cdn/shop/products/51612.jpg?v=1661977736")</f>
        <v/>
      </c>
      <c r="H3394">
        <f>_xlfn.IMAGE("https://m.media-amazon.com/images/I/41DkDVmyczL._AC_UL320_.jpg")</f>
        <v/>
      </c>
      <c r="K3394" t="inlineStr">
        <is>
          <t>9.97</t>
        </is>
      </c>
      <c r="L3394" t="n">
        <v>74.98999999999999</v>
      </c>
      <c r="M3394" s="1" t="inlineStr">
        <is>
          <t>652.16%</t>
        </is>
      </c>
      <c r="N3394" s="7" t="n">
        <v>67.87</v>
      </c>
      <c r="O3394" t="n">
        <v>4.8</v>
      </c>
      <c r="P3394" t="n">
        <v>44</v>
      </c>
      <c r="R3394" t="inlineStr">
        <is>
          <t>InStock</t>
        </is>
      </c>
      <c r="S3394" t="inlineStr">
        <is>
          <t>12.96</t>
        </is>
      </c>
      <c r="T3394" t="inlineStr">
        <is>
          <t>7798382756056</t>
        </is>
      </c>
    </row>
    <row r="3395" ht="87" customHeight="1">
      <c r="A3395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3395" s="2">
        <f>HYPERLINK("https://edmondsonsupply.com/products/klein-tools-31922-bi-metal-hole-saw-1-3-8-inch", "https://edmondsonsupply.com/products/klein-tools-31922-bi-metal-hole-saw-1-3-8-inch")</f>
        <v/>
      </c>
      <c r="C3395" t="inlineStr">
        <is>
          <t>Klein Tools 31922 Bi-Metal Hole Saw, 1-3/8-Inch</t>
        </is>
      </c>
      <c r="D3395" t="inlineStr">
        <is>
          <t>Klein Tools 31902 Bi-Metal Hole Saw Kit with Arbor Bits for Cutting Steel, Drywall, Ceiling Tile, Wood, Plastic, 8-Piece</t>
        </is>
      </c>
      <c r="E3395" s="2">
        <f>HYPERLINK("https://www.amazon.com/Bi-Metal-8-Piece-Klein-Tools-31902/dp/B014WEBAO4/ref=sr_1_4?keywords=Klein+Tools+31922+Bi-Metal+Hole+Saw%2C+1-3%2F8-Inch&amp;qid=1694735176&amp;sr=8-4", "https://www.amazon.com/Bi-Metal-8-Piece-Klein-Tools-31902/dp/B014WEBAO4/ref=sr_1_4?keywords=Klein+Tools+31922+Bi-Metal+Hole+Saw%2C+1-3%2F8-Inch&amp;qid=1694735176&amp;sr=8-4")</f>
        <v/>
      </c>
      <c r="F3395" t="inlineStr">
        <is>
          <t>B014WEBAO4</t>
        </is>
      </c>
      <c r="G3395">
        <f>_xlfn.IMAGE("https://edmondsonsupply.com/cdn/shop/products/31922.jpg?v=1663943738")</f>
        <v/>
      </c>
      <c r="H3395">
        <f>_xlfn.IMAGE("https://m.media-amazon.com/images/I/51JZIdZrBtL._AC_UL320_.jpg")</f>
        <v/>
      </c>
      <c r="K3395" t="inlineStr">
        <is>
          <t>9.99</t>
        </is>
      </c>
      <c r="L3395" t="n">
        <v>74.98999999999999</v>
      </c>
      <c r="M3395" s="1" t="inlineStr">
        <is>
          <t>650.65%</t>
        </is>
      </c>
      <c r="N3395" s="7" t="n">
        <v>67.59999999999999</v>
      </c>
      <c r="O3395" t="n">
        <v>4.2</v>
      </c>
      <c r="P3395" t="n">
        <v>124</v>
      </c>
      <c r="R3395" t="inlineStr">
        <is>
          <t>InStock</t>
        </is>
      </c>
      <c r="S3395" t="inlineStr">
        <is>
          <t>14.0</t>
        </is>
      </c>
      <c r="T3395" t="inlineStr">
        <is>
          <t>7827257819352</t>
        </is>
      </c>
    </row>
    <row r="3396" ht="87" customHeight="1">
      <c r="A3396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3396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3396" t="inlineStr">
        <is>
          <t>Klein Tools 630-5/16M 5/16-Inch Magnetic Nut Driver with Hollow Shaft</t>
        </is>
      </c>
      <c r="D3396" t="inlineStr">
        <is>
          <t>Klein Tools 631M Tool Set, Magnetic Nut Drivers Sizes 3/16, 1/4, 5/16, 11/32, 3/8, 7/16 and 1/2-Inch on 3-Inch Full Hollow Shaft, 7-Piece</t>
        </is>
      </c>
      <c r="E3396" s="2">
        <f>HYPERLINK("https://www.amazon.com/Driver-Magnetic-3-Inch-Hollow-Klein/dp/B001BQ0DNG/ref=sr_1_13?keywords=Klein+Tools+630-5%2F16M+5%2F16-Inch+Magnetic+Nut+Driver+with+Hollow+Shaft&amp;qid=1694735398&amp;sr=8-13", "https://www.amazon.com/Driver-Magnetic-3-Inch-Hollow-Klein/dp/B001BQ0DNG/ref=sr_1_13?keywords=Klein+Tools+630-5%2F16M+5%2F16-Inch+Magnetic+Nut+Driver+with+Hollow+Shaft&amp;qid=1694735398&amp;sr=8-13")</f>
        <v/>
      </c>
      <c r="F3396" t="inlineStr">
        <is>
          <t>B001BQ0DNG</t>
        </is>
      </c>
      <c r="G3396">
        <f>_xlfn.IMAGE("https://edmondsonsupply.com/cdn/shop/products/630-5-16m.jpg?v=1587148610")</f>
        <v/>
      </c>
      <c r="H3396">
        <f>_xlfn.IMAGE("https://m.media-amazon.com/images/I/61pMsoh2smL._AC_UL320_.jpg")</f>
        <v/>
      </c>
      <c r="K3396" t="inlineStr">
        <is>
          <t>9.99</t>
        </is>
      </c>
      <c r="L3396" t="n">
        <v>74.98999999999999</v>
      </c>
      <c r="M3396" s="1" t="inlineStr">
        <is>
          <t>650.65%</t>
        </is>
      </c>
      <c r="N3396" s="7" t="n">
        <v>67.44</v>
      </c>
      <c r="O3396" t="n">
        <v>4.8</v>
      </c>
      <c r="P3396" t="n">
        <v>1145</v>
      </c>
      <c r="R3396" t="inlineStr">
        <is>
          <t>InStock</t>
        </is>
      </c>
      <c r="S3396" t="inlineStr">
        <is>
          <t>15.12</t>
        </is>
      </c>
      <c r="T3396" t="inlineStr">
        <is>
          <t>4391884324964</t>
        </is>
      </c>
    </row>
    <row r="3397" ht="87" customHeight="1">
      <c r="A3397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3397" s="2">
        <f>HYPERLINK("https://edmondsonsupply.com/products/klein-tools-51608-1-2-inch-iron-conduit-bender-head", "https://edmondsonsupply.com/products/klein-tools-51608-1-2-inch-iron-conduit-bender-head")</f>
        <v/>
      </c>
      <c r="C3397" t="inlineStr">
        <is>
          <t>Klein Tools 51608 1/2-inch Iron Conduit Bender Head</t>
        </is>
      </c>
      <c r="D3397" t="inlineStr">
        <is>
          <t>Klein Tools 56211 Iron Conduit Bender Head, 1-1/4-Inch EMT</t>
        </is>
      </c>
      <c r="E3397" s="2">
        <f>HYPERLINK("https://www.amazon.com/Conduit-Bender-Klein-Tools-56211/dp/B00BEZWIBY/ref=sr_1_14?keywords=Klein+Tools+51608+1%2F2-inch+Iron+Conduit+Bender+Head&amp;qid=1694735173&amp;sr=8-14", "https://www.amazon.com/Conduit-Bender-Klein-Tools-56211/dp/B00BEZWIBY/ref=sr_1_14?keywords=Klein+Tools+51608+1%2F2-inch+Iron+Conduit+Bender+Head&amp;qid=1694735173&amp;sr=8-14")</f>
        <v/>
      </c>
      <c r="F3397" t="inlineStr">
        <is>
          <t>B00BEZWIBY</t>
        </is>
      </c>
      <c r="G3397">
        <f>_xlfn.IMAGE("https://edmondsonsupply.com/cdn/shop/products/51608.jpg?v=1643679335")</f>
        <v/>
      </c>
      <c r="H3397">
        <f>_xlfn.IMAGE("https://m.media-amazon.com/images/I/61PCC7U22PL._AC_UL320_.jpg")</f>
        <v/>
      </c>
      <c r="K3397" t="inlineStr">
        <is>
          <t>39.99</t>
        </is>
      </c>
      <c r="L3397" t="n">
        <v>299.99</v>
      </c>
      <c r="M3397" s="1" t="inlineStr">
        <is>
          <t>650.16%</t>
        </is>
      </c>
      <c r="N3397" s="7" t="n">
        <v>67.39</v>
      </c>
      <c r="O3397" t="n">
        <v>4.5</v>
      </c>
      <c r="P3397" t="n">
        <v>7</v>
      </c>
      <c r="R3397" t="inlineStr">
        <is>
          <t>InStock</t>
        </is>
      </c>
      <c r="S3397" t="inlineStr">
        <is>
          <t>60.66</t>
        </is>
      </c>
      <c r="T3397" t="inlineStr">
        <is>
          <t>7597417693400</t>
        </is>
      </c>
    </row>
    <row r="3398" hidden="1" ht="15.75" customHeight="1">
      <c r="A339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39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398" t="inlineStr">
        <is>
          <t>Diablo Tools DMAPL4220 5/8 in. x 6 in. x 8 in. Rebar Demon™ SDS-Plus 4-Cutter Full Carbide Head Hammer Bit</t>
        </is>
      </c>
      <c r="D3398" t="inlineStr">
        <is>
          <t>Diablo by Freud DMAMX1120 5/8 in. x 31 in. x 36 in. Rebar Demon SDS-Max 4-Cutter Full Carbide Head Hammer Bit</t>
        </is>
      </c>
      <c r="E3398" s="2">
        <f>HYPERLINK("https://www.amazon.com/Diablo-SDS-Max-4-Cutter-Carbide-Hammer/dp/B089LJFH3C/ref=sr_1_32?keywords=Diablo+Tools+DMAPL4220+5%2F8+in.+x+6+in.+x+8+in.+Rebar+Demon%E2%84%A2+SDS-Plus+4-Cutter+Full+Carbide+Head+Hammer+Bit&amp;qid=1694735306&amp;sr=8-32", "https://www.amazon.com/Diablo-SDS-Max-4-Cutter-Carbide-Hammer/dp/B089LJFH3C/ref=sr_1_32?keywords=Diablo+Tools+DMAPL4220+5%2F8+in.+x+6+in.+x+8+in.+Rebar+Demon%E2%84%A2+SDS-Plus+4-Cutter+Full+Carbide+Head+Hammer+Bit&amp;qid=1694735306&amp;sr=8-32")</f>
        <v/>
      </c>
      <c r="F3398" t="inlineStr">
        <is>
          <t>B089LJFH3C</t>
        </is>
      </c>
      <c r="G3398">
        <f>_xludf.IMAGE("https://edmondsonsupply.com/cdn/shop/products/DMAPL4220.jpg?v=1633030355")</f>
        <v/>
      </c>
      <c r="H3398">
        <f>_xludf.IMAGE("https://m.media-amazon.com/images/I/615ffyRtaAL._AC_UL320_.jpg")</f>
        <v/>
      </c>
      <c r="K3398" t="inlineStr">
        <is>
          <t>10.97</t>
        </is>
      </c>
      <c r="L3398" t="n">
        <v>82.18000000000001</v>
      </c>
      <c r="M3398" s="1" t="inlineStr">
        <is>
          <t>649.13%</t>
        </is>
      </c>
      <c r="N3398" s="1" t="n">
        <v>66.94</v>
      </c>
      <c r="O3398" t="n">
        <v>3.9</v>
      </c>
      <c r="P3398" t="n">
        <v>4</v>
      </c>
      <c r="R3398" t="inlineStr">
        <is>
          <t>InStock</t>
        </is>
      </c>
      <c r="S3398" t="inlineStr">
        <is>
          <t>17.16</t>
        </is>
      </c>
      <c r="T3398" t="inlineStr">
        <is>
          <t>5286142148776</t>
        </is>
      </c>
    </row>
    <row r="3399" ht="87" customHeight="1">
      <c r="A3399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399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399" t="inlineStr">
        <is>
          <t>Diablo Tools DMAPL4010 5/32 in. x 2 in. x 4 in. Rebar Demon™ SDS-Plus 4-Cutter Full Carbide Head Hammer Bit</t>
        </is>
      </c>
      <c r="D3399" t="inlineStr">
        <is>
          <t>Diablo DMAPL4310 1 in. x 16 in. x 18 in. Rebar Demon™ SDS-Plus 4-Cutter Full Carbide Head Hammer Bit</t>
        </is>
      </c>
      <c r="E3399" s="2">
        <f>HYPERLINK("https://www.amazon.com/Diablo-DMAPL4310-SDS-Plus-4-Cutter-Carbide/dp/B089KX2VKR/ref=sr_1_23?keywords=Diablo+Tools+DMAPL4010+5%2F32+in.+x+2+in.+x+4+in.+Rebar+Demon%E2%84%A2+SDS-Plus+4-Cutter+Full+Carbide+Head+Hammer+Bit&amp;qid=1694735296&amp;sr=8-23", "https://www.amazon.com/Diablo-DMAPL4310-SDS-Plus-4-Cutter-Carbide/dp/B089KX2VKR/ref=sr_1_23?keywords=Diablo+Tools+DMAPL4010+5%2F32+in.+x+2+in.+x+4+in.+Rebar+Demon%E2%84%A2+SDS-Plus+4-Cutter+Full+Carbide+Head+Hammer+Bit&amp;qid=1694735296&amp;sr=8-23")</f>
        <v/>
      </c>
      <c r="F3399" t="inlineStr">
        <is>
          <t>B089KX2VKR</t>
        </is>
      </c>
      <c r="G3399">
        <f>_xlfn.IMAGE("https://edmondsonsupply.com/cdn/shop/products/DMAPL4010.jpg?v=1633030357")</f>
        <v/>
      </c>
      <c r="H3399">
        <f>_xlfn.IMAGE("https://m.media-amazon.com/images/I/61iwxfqG2VL._AC_UL320_.jpg")</f>
        <v/>
      </c>
      <c r="K3399" t="inlineStr">
        <is>
          <t>6.48</t>
        </is>
      </c>
      <c r="L3399" t="n">
        <v>48.49</v>
      </c>
      <c r="M3399" s="1" t="inlineStr">
        <is>
          <t>648.30%</t>
        </is>
      </c>
      <c r="N3399" s="7" t="n">
        <v>66.93000000000001</v>
      </c>
      <c r="O3399" t="n">
        <v>4.5</v>
      </c>
      <c r="P3399" t="n">
        <v>32</v>
      </c>
      <c r="R3399" t="inlineStr">
        <is>
          <t>InStock</t>
        </is>
      </c>
      <c r="S3399" t="inlineStr">
        <is>
          <t>10.3</t>
        </is>
      </c>
      <c r="T3399" t="inlineStr">
        <is>
          <t>5286308380840</t>
        </is>
      </c>
    </row>
    <row r="3400" ht="87" customHeight="1">
      <c r="A3400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3400" s="2">
        <f>HYPERLINK("https://edmondsonsupply.com/products/klein-tools-69409-line-splitter-10x", "https://edmondsonsupply.com/products/klein-tools-69409-line-splitter-10x")</f>
        <v/>
      </c>
      <c r="C3400" t="inlineStr">
        <is>
          <t>Klein Tools 69409 Line Splitter 10x</t>
        </is>
      </c>
      <c r="D3400" t="inlineStr">
        <is>
          <t>Klein Tools CL700 Autoranging Digital Clamp Meter, TRMS 600Amp, AC/DC Volts, Current, LOZ, Continuity, Frequency, NCVT, Temp, More, 1000V &amp; 69409 Line Splitter 10x</t>
        </is>
      </c>
      <c r="E3400" s="2">
        <f>HYPERLINK("https://www.amazon.com/Klein-Tools-Autoranging-Continuity-Frequency/dp/B0BFXQSPCC/ref=sr_1_17?keywords=Klein+Tools+69409+Line+Splitter+10x&amp;qid=1694735419&amp;sr=8-17", "https://www.amazon.com/Klein-Tools-Autoranging-Continuity-Frequency/dp/B0BFXQSPCC/ref=sr_1_17?keywords=Klein+Tools+69409+Line+Splitter+10x&amp;qid=1694735419&amp;sr=8-17")</f>
        <v/>
      </c>
      <c r="F3400" t="inlineStr">
        <is>
          <t>B0BFXQSPCC</t>
        </is>
      </c>
      <c r="G3400">
        <f>_xlfn.IMAGE("https://edmondsonsupply.com/cdn/shop/products/69409.jpg?v=1587146689")</f>
        <v/>
      </c>
      <c r="H3400">
        <f>_xlfn.IMAGE("https://m.media-amazon.com/images/I/61kCuo20i7L._MCnd_AC_UL320_.jpg")</f>
        <v/>
      </c>
      <c r="K3400" t="inlineStr">
        <is>
          <t>16.97</t>
        </is>
      </c>
      <c r="L3400" t="n">
        <v>125.94</v>
      </c>
      <c r="M3400" s="1" t="inlineStr">
        <is>
          <t>642.13%</t>
        </is>
      </c>
      <c r="N3400" s="7" t="n">
        <v>66.93000000000001</v>
      </c>
      <c r="O3400" t="n">
        <v>4.7</v>
      </c>
      <c r="P3400" t="n">
        <v>550</v>
      </c>
      <c r="R3400" t="inlineStr">
        <is>
          <t>InStock</t>
        </is>
      </c>
      <c r="S3400" t="inlineStr">
        <is>
          <t>20.48</t>
        </is>
      </c>
      <c r="T3400" t="inlineStr">
        <is>
          <t>1723598045284</t>
        </is>
      </c>
    </row>
    <row r="3401" ht="87" customHeight="1">
      <c r="A3401" s="2">
        <f>HYPERLINK("https://edmondsonsupply.com/collections/electricians-tools/products/klein-tools-31860-carbide-hole-cutter-1-3-8-inch", "https://edmondsonsupply.com/collections/electricians-tools/products/klein-tools-31860-carbide-hole-cutter-1-3-8-inch")</f>
        <v/>
      </c>
      <c r="B3401" s="2">
        <f>HYPERLINK("https://edmondsonsupply.com/products/klein-tools-31860-carbide-hole-cutter-1-3-8-inch", "https://edmondsonsupply.com/products/klein-tools-31860-carbide-hole-cutter-1-3-8-inch")</f>
        <v/>
      </c>
      <c r="C3401" t="inlineStr">
        <is>
          <t>Klein Tools 31860 Carbide Hole Cutter, 1-3/8-Inch</t>
        </is>
      </c>
      <c r="D3401" t="inlineStr">
        <is>
          <t>Klein Tools 31873 Heavy Duty Hole Cutter Kit, Includes Carbide Hole Cutters and 2 Pilot Bits in Rust-Proof Molded Plastic Case, 8-Piece</t>
        </is>
      </c>
      <c r="E3401" s="2">
        <f>HYPERLINK("https://www.amazon.com/Electricians-8-Piece-Klein-Tools-31873/dp/B003CCRCM2/ref=sr_1_3?keywords=Klein+Tools+31860+Carbide+Hole+Cutter%2C+1-3%2F8-Inch&amp;qid=1694735240&amp;sr=8-3", "https://www.amazon.com/Electricians-8-Piece-Klein-Tools-31873/dp/B003CCRCM2/ref=sr_1_3?keywords=Klein+Tools+31860+Carbide+Hole+Cutter%2C+1-3%2F8-Inch&amp;qid=1694735240&amp;sr=8-3")</f>
        <v/>
      </c>
      <c r="F3401" t="inlineStr">
        <is>
          <t>B003CCRCM2</t>
        </is>
      </c>
      <c r="G3401">
        <f>_xlfn.IMAGE("https://edmondsonsupply.com/cdn/shop/products/31860.jpg?v=1633030790")</f>
        <v/>
      </c>
      <c r="H3401">
        <f>_xlfn.IMAGE("https://m.media-amazon.com/images/I/61G-oQvGZTL._AC_UL320_.jpg")</f>
        <v/>
      </c>
      <c r="K3401" t="inlineStr">
        <is>
          <t>37.99</t>
        </is>
      </c>
      <c r="L3401" t="n">
        <v>279.99</v>
      </c>
      <c r="M3401" s="1" t="inlineStr">
        <is>
          <t>637.01%</t>
        </is>
      </c>
      <c r="N3401" s="7" t="n">
        <v>66.89</v>
      </c>
      <c r="O3401" t="n">
        <v>4.6</v>
      </c>
      <c r="P3401" t="n">
        <v>64</v>
      </c>
      <c r="R3401" t="inlineStr">
        <is>
          <t>InStock</t>
        </is>
      </c>
      <c r="S3401" t="inlineStr">
        <is>
          <t>57.54</t>
        </is>
      </c>
      <c r="T3401" t="inlineStr">
        <is>
          <t>5987970613416</t>
        </is>
      </c>
    </row>
    <row r="3402" ht="87" customHeight="1">
      <c r="A3402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402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402" t="inlineStr">
        <is>
          <t>Klein Tools 630-3/8 3/8-Inch Nut Driver with 3-Inch Hollow Shaft</t>
        </is>
      </c>
      <c r="D3402" t="inlineStr">
        <is>
          <t>Klein Tools 89904 Tool Set, Nut Drivers Sizes 3/16, 1/4, 5/16, 11/32, 3/8, 7/16, 1/2-Inch, 6-Inch Shafts, 7-Piece</t>
        </is>
      </c>
      <c r="E3402" s="2">
        <f>HYPERLINK("https://www.amazon.com/Klein-Tools-Nut-Driver-89904/dp/B000MB1JMU/ref=sr_1_37?keywords=Klein+Tools+630-3%2F8+3%2F8-Inch+Nut+Driver+with+3-Inch+Hollow+Shaft&amp;qid=1694735236&amp;sr=8-37", "https://www.amazon.com/Klein-Tools-Nut-Driver-89904/dp/B000MB1JMU/ref=sr_1_37?keywords=Klein+Tools+630-3%2F8+3%2F8-Inch+Nut+Driver+with+3-Inch+Hollow+Shaft&amp;qid=1694735236&amp;sr=8-37")</f>
        <v/>
      </c>
      <c r="F3402" t="inlineStr">
        <is>
          <t>B000MB1JMU</t>
        </is>
      </c>
      <c r="G3402">
        <f>_xlfn.IMAGE("https://edmondsonsupply.com/cdn/shop/products/630-1-2_e23f9fbd-a282-44d7-b743-2cfe0f84edfa.jpg?v=1633030906")</f>
        <v/>
      </c>
      <c r="H3402">
        <f>_xlfn.IMAGE("https://m.media-amazon.com/images/I/61cXQ4v0vvL._AC_UL320_.jpg")</f>
        <v/>
      </c>
      <c r="K3402" t="inlineStr">
        <is>
          <t>8.99</t>
        </is>
      </c>
      <c r="L3402" t="n">
        <v>66.23</v>
      </c>
      <c r="M3402" s="1" t="inlineStr">
        <is>
          <t>636.71%</t>
        </is>
      </c>
      <c r="N3402" s="7" t="n">
        <v>66.78</v>
      </c>
      <c r="O3402" t="n">
        <v>4.5</v>
      </c>
      <c r="P3402" t="n">
        <v>33</v>
      </c>
      <c r="R3402" t="inlineStr">
        <is>
          <t>InStock</t>
        </is>
      </c>
      <c r="S3402" t="inlineStr">
        <is>
          <t>11.74</t>
        </is>
      </c>
      <c r="T3402" t="inlineStr">
        <is>
          <t>6244382376109</t>
        </is>
      </c>
    </row>
    <row r="3403" ht="87" customHeight="1">
      <c r="A3403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3403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3403" t="inlineStr">
        <is>
          <t>Klein Tools 630-1/4 1/4-Inch Nut Driver 3-Inch Shaft Cushion Grip</t>
        </is>
      </c>
      <c r="D3403" t="inlineStr">
        <is>
          <t>Klein Tools 89904 Tool Set, Nut Drivers Sizes 3/16, 1/4, 5/16, 11/32, 3/8, 7/16, 1/2-Inch, 6-Inch Shafts, 7-Piece</t>
        </is>
      </c>
      <c r="E3403" s="2">
        <f>HYPERLINK("https://www.amazon.com/Klein-Tools-Nut-Driver-89904/dp/B000MB1JMU/ref=sr_1_43?keywords=Klein+Tools+630-1%2F4+1%2F4-Inch+Nut+Driver+3-Inch+Shaft+Cushion+Grip&amp;qid=1694735346&amp;sr=8-43", "https://www.amazon.com/Klein-Tools-Nut-Driver-89904/dp/B000MB1JMU/ref=sr_1_43?keywords=Klein+Tools+630-1%2F4+1%2F4-Inch+Nut+Driver+3-Inch+Shaft+Cushion+Grip&amp;qid=1694735346&amp;sr=8-43")</f>
        <v/>
      </c>
      <c r="F3403" t="inlineStr">
        <is>
          <t>B000MB1JMU</t>
        </is>
      </c>
      <c r="G3403">
        <f>_xlfn.IMAGE("https://edmondsonsupply.com/cdn/shop/products/630-1-2_4777cf99-f2bc-4f84-bc42-7e765e2a9c37.jpg?v=1587150448")</f>
        <v/>
      </c>
      <c r="H3403">
        <f>_xlfn.IMAGE("https://m.media-amazon.com/images/I/61cXQ4v0vvL._AC_UL320_.jpg")</f>
        <v/>
      </c>
      <c r="K3403" t="inlineStr">
        <is>
          <t>8.99</t>
        </is>
      </c>
      <c r="L3403" t="n">
        <v>66.23</v>
      </c>
      <c r="M3403" s="1" t="inlineStr">
        <is>
          <t>636.71%</t>
        </is>
      </c>
      <c r="N3403" s="7" t="n">
        <v>66.73</v>
      </c>
      <c r="O3403" t="n">
        <v>4.5</v>
      </c>
      <c r="P3403" t="n">
        <v>33</v>
      </c>
      <c r="R3403" t="inlineStr">
        <is>
          <t>InStock</t>
        </is>
      </c>
      <c r="S3403" t="inlineStr">
        <is>
          <t>11.36</t>
        </is>
      </c>
      <c r="T3403" t="inlineStr">
        <is>
          <t>4490760355940</t>
        </is>
      </c>
    </row>
    <row r="3404" ht="87" customHeight="1">
      <c r="A3404" s="2">
        <f>HYPERLINK("https://edmondsonsupply.com/collections/electricians-tools/products/klein-tools-66079-flip-impact-socket-adapter-small-1-4-to-1-4-inch", "https://edmondsonsupply.com/collections/electricians-tools/products/klein-tools-66079-flip-impact-socket-adapter-small-1-4-to-1-4-inch")</f>
        <v/>
      </c>
      <c r="B3404" s="2">
        <f>HYPERLINK("https://edmondsonsupply.com/products/klein-tools-66079-flip-impact-socket-adapter-small-1-4-to-1-4-inch", "https://edmondsonsupply.com/products/klein-tools-66079-flip-impact-socket-adapter-small-1-4-to-1-4-inch")</f>
        <v/>
      </c>
      <c r="C3404" t="inlineStr">
        <is>
          <t>Klein Tools 66079 Flip Impact Socket Adapter, Small, 1/4 to 1/4-Inch</t>
        </is>
      </c>
      <c r="D3404" t="inlineStr">
        <is>
          <t>Klein Tools 66070 Impact Socket Set, Impact Driver Flip Socket, Five Sockets with 1/4-Inch Hex and 1/2-Inch Square Socket Adapters, 7-Piece</t>
        </is>
      </c>
      <c r="E3404" s="2">
        <f>HYPERLINK("https://www.amazon.com/Klein-Tools-66070-Sockets-Adapters/dp/B0B33XLXD1/ref=sr_1_3?keywords=Klein+Tools+66079+Flip+Impact+Socket+Adapter%2C+Small%2C+1%2F4+to+1%2F4-Inch&amp;qid=1694734974&amp;sr=8-3", "https://www.amazon.com/Klein-Tools-66070-Sockets-Adapters/dp/B0B33XLXD1/ref=sr_1_3?keywords=Klein+Tools+66079+Flip+Impact+Socket+Adapter%2C+Small%2C+1%2F4+to+1%2F4-Inch&amp;qid=1694734974&amp;sr=8-3")</f>
        <v/>
      </c>
      <c r="F3404" t="inlineStr">
        <is>
          <t>B0B33XLXD1</t>
        </is>
      </c>
      <c r="G3404">
        <f>_xlfn.IMAGE("https://edmondsonsupply.com/cdn/shop/products/66079.jpg?v=1669735923")</f>
        <v/>
      </c>
      <c r="H3404">
        <f>_xlfn.IMAGE("https://m.media-amazon.com/images/I/71D23SffznL._AC_UL320_.jpg")</f>
        <v/>
      </c>
      <c r="K3404" t="inlineStr">
        <is>
          <t>6.86</t>
        </is>
      </c>
      <c r="L3404" t="n">
        <v>49.97</v>
      </c>
      <c r="M3404" s="1" t="inlineStr">
        <is>
          <t>628.43%</t>
        </is>
      </c>
      <c r="N3404" s="7" t="n">
        <v>66.72</v>
      </c>
      <c r="O3404" t="n">
        <v>4.8</v>
      </c>
      <c r="P3404" t="n">
        <v>1150</v>
      </c>
      <c r="R3404" t="inlineStr">
        <is>
          <t>InStock</t>
        </is>
      </c>
      <c r="S3404" t="inlineStr">
        <is>
          <t>9.6</t>
        </is>
      </c>
      <c r="T3404" t="inlineStr">
        <is>
          <t>7896124555480</t>
        </is>
      </c>
    </row>
    <row r="3405" ht="87" customHeight="1">
      <c r="A3405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3405" s="2">
        <f>HYPERLINK("https://edmondsonsupply.com/products/klein-tools-630-3-8m-3-8-magnetic-tip-nut-driver-3-hollow-shank", "https://edmondsonsupply.com/products/klein-tools-630-3-8m-3-8-magnetic-tip-nut-driver-3-hollow-shank")</f>
        <v/>
      </c>
      <c r="C3405" t="inlineStr">
        <is>
          <t>Klein Tools 630-3/8M 3/8-Inch Magnetic Tip Nut Driver</t>
        </is>
      </c>
      <c r="D3405" t="inlineStr">
        <is>
          <t>Klein Tools 647M Tool Set, Magnetic Nut Drivers Sizes 3/16, 1/4, 5/16, 11/32, 3/8, 7/16, 1/2-Inch, 6-Inch Hollow Shafts, 7-Piece</t>
        </is>
      </c>
      <c r="E3405" s="2">
        <f>HYPERLINK("https://www.amazon.com/Klein-Tools-647M-Magnetic-7-Piece/dp/B000MKIUYQ/ref=sr_1_4?keywords=Klein+Tools+630-3%2F8M+3%2F8-Inch+Magnetic+Tip+Nut+Driver&amp;qid=1694735121&amp;sr=8-4", "https://www.amazon.com/Klein-Tools-647M-Magnetic-7-Piece/dp/B000MKIUYQ/ref=sr_1_4?keywords=Klein+Tools+630-3%2F8M+3%2F8-Inch+Magnetic+Tip+Nut+Driver&amp;qid=1694735121&amp;sr=8-4")</f>
        <v/>
      </c>
      <c r="F3405" t="inlineStr">
        <is>
          <t>B000MKIUYQ</t>
        </is>
      </c>
      <c r="G3405">
        <f>_xlfn.IMAGE("https://edmondsonsupply.com/cdn/shop/products/630-3-8m.jpg?v=1587145139")</f>
        <v/>
      </c>
      <c r="H3405">
        <f>_xlfn.IMAGE("https://m.media-amazon.com/images/I/61PNUE211uL._AC_UL320_.jpg")</f>
        <v/>
      </c>
      <c r="K3405" t="inlineStr">
        <is>
          <t>10.99</t>
        </is>
      </c>
      <c r="L3405" t="n">
        <v>79.98999999999999</v>
      </c>
      <c r="M3405" s="1" t="inlineStr">
        <is>
          <t>627.84%</t>
        </is>
      </c>
      <c r="N3405" s="7" t="n">
        <v>66.69</v>
      </c>
      <c r="O3405" t="n">
        <v>4.8</v>
      </c>
      <c r="P3405" t="n">
        <v>985</v>
      </c>
      <c r="R3405" t="inlineStr">
        <is>
          <t>InStock</t>
        </is>
      </c>
      <c r="S3405" t="inlineStr">
        <is>
          <t>16.66</t>
        </is>
      </c>
      <c r="T3405" t="inlineStr">
        <is>
          <t>2766802288740</t>
        </is>
      </c>
    </row>
    <row r="3406" ht="87" customHeight="1">
      <c r="A3406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3406" s="2">
        <f>HYPERLINK("https://edmondsonsupply.com/products/klein-tools-630-3-8m-3-8-magnetic-tip-nut-driver-3-hollow-shank", "https://edmondsonsupply.com/products/klein-tools-630-3-8m-3-8-magnetic-tip-nut-driver-3-hollow-shank")</f>
        <v/>
      </c>
      <c r="C3406" t="inlineStr">
        <is>
          <t>Klein Tools 630-3/8M 3/8-Inch Magnetic Tip Nut Driver</t>
        </is>
      </c>
      <c r="D3406" t="inlineStr">
        <is>
          <t>Klein Tools 635-6 Tool Set, Heavy Duty Magnetic Nut Drivers SAE Sizes 1/4, 5/16, 3/8, 7/16, 1/2, and 9/16-Inch Hex, 6-Inch, 6-Piece</t>
        </is>
      </c>
      <c r="E3406" s="2">
        <f>HYPERLINK("https://www.amazon.com/Heavy-Duty-Driver-6-Piece-Klein-Tools/dp/B01DKNDHGM/ref=sr_1_7?keywords=Klein+Tools+630-3%2F8M+3%2F8-Inch+Magnetic+Tip+Nut+Driver&amp;qid=1694735121&amp;sr=8-7", "https://www.amazon.com/Heavy-Duty-Driver-6-Piece-Klein-Tools/dp/B01DKNDHGM/ref=sr_1_7?keywords=Klein+Tools+630-3%2F8M+3%2F8-Inch+Magnetic+Tip+Nut+Driver&amp;qid=1694735121&amp;sr=8-7")</f>
        <v/>
      </c>
      <c r="F3406" t="inlineStr">
        <is>
          <t>B01DKNDHGM</t>
        </is>
      </c>
      <c r="G3406">
        <f>_xlfn.IMAGE("https://edmondsonsupply.com/cdn/shop/products/630-3-8m.jpg?v=1587145139")</f>
        <v/>
      </c>
      <c r="H3406">
        <f>_xlfn.IMAGE("https://m.media-amazon.com/images/I/61eypCy1RLL._AC_UL320_.jpg")</f>
        <v/>
      </c>
      <c r="K3406" t="inlineStr">
        <is>
          <t>10.99</t>
        </is>
      </c>
      <c r="L3406" t="n">
        <v>79.98999999999999</v>
      </c>
      <c r="M3406" s="1" t="inlineStr">
        <is>
          <t>627.84%</t>
        </is>
      </c>
      <c r="N3406" s="7" t="n">
        <v>66.68000000000001</v>
      </c>
      <c r="O3406" t="n">
        <v>4.7</v>
      </c>
      <c r="P3406" t="n">
        <v>943</v>
      </c>
      <c r="R3406" t="inlineStr">
        <is>
          <t>InStock</t>
        </is>
      </c>
      <c r="S3406" t="inlineStr">
        <is>
          <t>16.66</t>
        </is>
      </c>
      <c r="T3406" t="inlineStr">
        <is>
          <t>2766802288740</t>
        </is>
      </c>
    </row>
    <row r="3407" ht="87" customHeight="1">
      <c r="A3407" s="2">
        <f>HYPERLINK("https://edmondsonsupply.com/collections/electricians-tools/products/klein-5416tfr", "https://edmondsonsupply.com/collections/electricians-tools/products/klein-5416tfr")</f>
        <v/>
      </c>
      <c r="B3407" s="2">
        <f>HYPERLINK("https://edmondsonsupply.com/products/klein-5416tfr", "https://edmondsonsupply.com/products/klein-5416tfr")</f>
        <v/>
      </c>
      <c r="C3407" t="inlineStr">
        <is>
          <t>Klein Tools 5416TFR Tool Bag, Flame Resistant Bolt Bag, No. 4 Canvas, 5 x 10 x 9-Inch</t>
        </is>
      </c>
      <c r="D3407" t="inlineStr">
        <is>
          <t>Occidental Leather 8582 FatLip Tool Bag &amp; Klein Tools 5416TFR Tool Bag, Flame Resistant Canvas Bag for Bolt Storage with Double Reinforced Bottom and Tunnel Connect, 5 x 10 x 9-Inch</t>
        </is>
      </c>
      <c r="E3407" s="2">
        <f>HYPERLINK("https://www.amazon.com/Occidental-Leather-5416TFR-Resistant-Reinforced/dp/B0C5THCXX5/ref=sr_1_11?keywords=Klein+Tools+5416TFR+Tool+Bag%2C+Flame+Resistant+Bolt+Bag%2C+No.+4+Canvas%2C+5+x+10+x+9-Inch&amp;qid=1694734988&amp;sr=8-11", "https://www.amazon.com/Occidental-Leather-5416TFR-Resistant-Reinforced/dp/B0C5THCXX5/ref=sr_1_11?keywords=Klein+Tools+5416TFR+Tool+Bag%2C+Flame+Resistant+Bolt+Bag%2C+No.+4+Canvas%2C+5+x+10+x+9-Inch&amp;qid=1694734988&amp;sr=8-11")</f>
        <v/>
      </c>
      <c r="F3407" t="inlineStr">
        <is>
          <t>B0C5THCXX5</t>
        </is>
      </c>
      <c r="G3407">
        <f>_xlfn.IMAGE("https://edmondsonsupply.com/cdn/shop/products/5416tfr.jpg?v=1587149359")</f>
        <v/>
      </c>
      <c r="H3407">
        <f>_xlfn.IMAGE("https://m.media-amazon.com/images/I/615hzilGzvL._AC_UL320_.jpg")</f>
        <v/>
      </c>
      <c r="K3407" t="inlineStr">
        <is>
          <t>19.99</t>
        </is>
      </c>
      <c r="L3407" t="n">
        <v>144.89</v>
      </c>
      <c r="M3407" s="1" t="inlineStr">
        <is>
          <t>624.81%</t>
        </is>
      </c>
      <c r="N3407" s="7" t="n">
        <v>66.64</v>
      </c>
      <c r="O3407" t="n">
        <v>4.7</v>
      </c>
      <c r="P3407" t="n">
        <v>559</v>
      </c>
      <c r="R3407" t="inlineStr">
        <is>
          <t>InStock</t>
        </is>
      </c>
      <c r="S3407" t="inlineStr">
        <is>
          <t>33.64</t>
        </is>
      </c>
      <c r="T3407" t="inlineStr">
        <is>
          <t>1490970837092</t>
        </is>
      </c>
    </row>
    <row r="3408" ht="87" customHeight="1">
      <c r="A3408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3408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3408" t="inlineStr">
        <is>
          <t>Klein Tools ET45VP AC/DC Voltage and GFCI Receptacle Outlet Test Kit</t>
        </is>
      </c>
      <c r="D3408" t="inlineStr">
        <is>
          <t>Klein Tools CL120VP Electrical Voltage Test Kit with Clamp Meter, Three Testers, Test Leads, Pouch and Batteries &amp; ET310 AC Circuit Breaker Finder with Integrated GFCI Outlet Tester</t>
        </is>
      </c>
      <c r="E3408" s="2">
        <f>HYPERLINK("https://www.amazon.com/Klein-Tools-Electrical-Batteries-Integrated/dp/B09P843VNV/ref=sr_1_29?keywords=Klein+Tools+ET45VP+AC%2FDC+Voltage+and+GFCI+Receptacle+Outlet+Test+Kit&amp;qid=1694735138&amp;sr=8-29", "https://www.amazon.com/Klein-Tools-Electrical-Batteries-Integrated/dp/B09P843VNV/ref=sr_1_29?keywords=Klein+Tools+ET45VP+AC%2FDC+Voltage+and+GFCI+Receptacle+Outlet+Test+Kit&amp;qid=1694735138&amp;sr=8-29")</f>
        <v/>
      </c>
      <c r="F3408" t="inlineStr">
        <is>
          <t>B09P843VNV</t>
        </is>
      </c>
      <c r="G3408">
        <f>_xlfn.IMAGE("https://edmondsonsupply.com/cdn/shop/products/et45vp.jpg?v=1660755922")</f>
        <v/>
      </c>
      <c r="H3408">
        <f>_xlfn.IMAGE("https://m.media-amazon.com/images/I/51-jSPYFu4L._AC_UL320_.jpg")</f>
        <v/>
      </c>
      <c r="K3408" t="inlineStr">
        <is>
          <t>17.97</t>
        </is>
      </c>
      <c r="L3408" t="n">
        <v>129.7</v>
      </c>
      <c r="M3408" s="1" t="inlineStr">
        <is>
          <t>621.76%</t>
        </is>
      </c>
      <c r="N3408" s="7" t="n">
        <v>66.64</v>
      </c>
      <c r="O3408" t="n">
        <v>4.9</v>
      </c>
      <c r="P3408" t="n">
        <v>11</v>
      </c>
      <c r="R3408" t="inlineStr">
        <is>
          <t>InStock</t>
        </is>
      </c>
      <c r="S3408" t="inlineStr">
        <is>
          <t>25.82</t>
        </is>
      </c>
      <c r="T3408" t="inlineStr">
        <is>
          <t>7783562084568</t>
        </is>
      </c>
    </row>
    <row r="3409" ht="87" customHeight="1">
      <c r="A3409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409" s="2">
        <f>HYPERLINK("https://edmondsonsupply.com/products/klein-tools-rt110-receptacle-tester", "https://edmondsonsupply.com/products/klein-tools-rt110-receptacle-tester")</f>
        <v/>
      </c>
      <c r="C3409" t="inlineStr">
        <is>
          <t>Klein Tools RT110 Receptacle Tester</t>
        </is>
      </c>
      <c r="D3409" t="inlineStr">
        <is>
          <t>Klein Tools ET310 AC Circuit Breaker Finder with Integrated GFCI Outlet Tester &amp; RT250 GFCI Receptacle Tester with LCD Display, for Standard 3-Wire 120V Electrical Outlets</t>
        </is>
      </c>
      <c r="E3409" s="2">
        <f>HYPERLINK("https://www.amazon.com/Klein-Tools-Integrated-Receptacle-Electrical/dp/B09P85276K/ref=sr_1_15?keywords=Klein+Tools+RT110+Receptacle+Tester&amp;qid=1694735205&amp;sr=8-15", "https://www.amazon.com/Klein-Tools-Integrated-Receptacle-Electrical/dp/B09P85276K/ref=sr_1_15?keywords=Klein+Tools+RT110+Receptacle+Tester&amp;qid=1694735205&amp;sr=8-15")</f>
        <v/>
      </c>
      <c r="F3409" t="inlineStr">
        <is>
          <t>B09P85276K</t>
        </is>
      </c>
      <c r="G3409">
        <f>_xlfn.IMAGE("https://edmondsonsupply.com/cdn/shop/products/rt110.jpg?v=1633031036")</f>
        <v/>
      </c>
      <c r="H3409">
        <f>_xlfn.IMAGE("https://m.media-amazon.com/images/I/51AwhghGlRL._AC_UL320_.jpg")</f>
        <v/>
      </c>
      <c r="K3409" t="inlineStr">
        <is>
          <t>9.97</t>
        </is>
      </c>
      <c r="L3409" t="n">
        <v>71.94</v>
      </c>
      <c r="M3409" s="1" t="inlineStr">
        <is>
          <t>621.56%</t>
        </is>
      </c>
      <c r="N3409" s="7" t="n">
        <v>66.63</v>
      </c>
      <c r="O3409" t="n">
        <v>4.8</v>
      </c>
      <c r="P3409" t="n">
        <v>233</v>
      </c>
      <c r="R3409" t="inlineStr">
        <is>
          <t>InStock</t>
        </is>
      </c>
      <c r="S3409" t="inlineStr">
        <is>
          <t>12.12</t>
        </is>
      </c>
      <c r="T3409" t="inlineStr">
        <is>
          <t>6740486619309</t>
        </is>
      </c>
    </row>
    <row r="3410" hidden="1" ht="15.75" customHeight="1">
      <c r="A3410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410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410" t="inlineStr">
        <is>
          <t>Diablo Tools DMAPL4140 3/8 in. x 4 in. x 6 in. Rebar Demon™ SDS-Plus 4-Cutter Full Carbide Head Hammer Bit</t>
        </is>
      </c>
      <c r="D3410" t="inlineStr">
        <is>
          <t>Diablo DMAMX1180 7/8 in. x 16 in. x 21 in. Rebar Demon™ SDS-Max 4-Cutter Full Carbide Head Hammer Bit</t>
        </is>
      </c>
      <c r="E3410" s="2">
        <f>HYPERLINK("https://www.amazon.com/Diablo-SDS-Max-4-Cutter-Carbide-Hammer/dp/B089KWFF8B/ref=sr_1_46?keywords=Diablo+Tools+DMAPL4140+3%2F8+in.+x+4+in.+x+6+in.+Rebar+Demon%E2%84%A2+SDS-Plus+4-Cutter+Full+Carbide+Head+Hammer+Bit&amp;qid=1694735296&amp;sr=8-46", "https://www.amazon.com/Diablo-SDS-Max-4-Cutter-Carbide-Hammer/dp/B089KWFF8B/ref=sr_1_46?keywords=Diablo+Tools+DMAPL4140+3%2F8+in.+x+4+in.+x+6+in.+Rebar+Demon%E2%84%A2+SDS-Plus+4-Cutter+Full+Carbide+Head+Hammer+Bit&amp;qid=1694735296&amp;sr=8-46")</f>
        <v/>
      </c>
      <c r="F3410" t="inlineStr">
        <is>
          <t>B089KWFF8B</t>
        </is>
      </c>
      <c r="G3410">
        <f>_xludf.IMAGE("https://edmondsonsupply.com/cdn/shop/products/DMAPL4140_Main-Image20200701.png?v=1633030360")</f>
        <v/>
      </c>
      <c r="H3410">
        <f>_xludf.IMAGE("https://m.media-amazon.com/images/I/611fTcYRNFL._AC_UL320_.jpg")</f>
        <v/>
      </c>
      <c r="K3410" t="inlineStr">
        <is>
          <t>7.29</t>
        </is>
      </c>
      <c r="L3410" t="n">
        <v>52.51</v>
      </c>
      <c r="M3410" s="1" t="inlineStr">
        <is>
          <t>620.30%</t>
        </is>
      </c>
      <c r="N3410" s="1" t="n">
        <v>66.62</v>
      </c>
      <c r="O3410" t="n">
        <v>3.5</v>
      </c>
      <c r="P3410" t="n">
        <v>3</v>
      </c>
      <c r="R3410" t="inlineStr">
        <is>
          <t>InStock</t>
        </is>
      </c>
      <c r="S3410" t="inlineStr">
        <is>
          <t>undefined</t>
        </is>
      </c>
      <c r="T3410" t="inlineStr">
        <is>
          <t>5286771949736</t>
        </is>
      </c>
    </row>
    <row r="3411" ht="87" customHeight="1">
      <c r="A3411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411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411" t="inlineStr">
        <is>
          <t>Diablo Tools DMAPL4220 5/8 in. x 6 in. x 8 in. Rebar Demon™ SDS-Plus 4-Cutter Full Carbide Head Hammer Bit</t>
        </is>
      </c>
      <c r="D3411" t="inlineStr">
        <is>
          <t>Diablo DMAMX1110 5/8 in. x 24 in. x 29 in. Rebar Demon™ SDS-Max 4-Cutter Full Carbide Head Hammer Bit</t>
        </is>
      </c>
      <c r="E3411" s="2">
        <f>HYPERLINK("https://www.amazon.com/Diablo-SDS-Max-4-Cutter-Carbide-Hammer/dp/B089LJ9GHW/ref=sr_1_19?keywords=Diablo+Tools+DMAPL4220+5%2F8+in.+x+6+in.+x+8+in.+Rebar+Demon%E2%84%A2+SDS-Plus+4-Cutter+Full+Carbide+Head+Hammer+Bit&amp;qid=1694735306&amp;sr=8-19", "https://www.amazon.com/Diablo-SDS-Max-4-Cutter-Carbide-Hammer/dp/B089LJ9GHW/ref=sr_1_19?keywords=Diablo+Tools+DMAPL4220+5%2F8+in.+x+6+in.+x+8+in.+Rebar+Demon%E2%84%A2+SDS-Plus+4-Cutter+Full+Carbide+Head+Hammer+Bit&amp;qid=1694735306&amp;sr=8-19")</f>
        <v/>
      </c>
      <c r="F3411" t="inlineStr">
        <is>
          <t>B089LJ9GHW</t>
        </is>
      </c>
      <c r="G3411">
        <f>_xlfn.IMAGE("https://edmondsonsupply.com/cdn/shop/products/DMAPL4220.jpg?v=1633030355")</f>
        <v/>
      </c>
      <c r="H3411">
        <f>_xlfn.IMAGE("https://m.media-amazon.com/images/I/61vWAd-z8eL._AC_UL320_.jpg")</f>
        <v/>
      </c>
      <c r="K3411" t="inlineStr">
        <is>
          <t>10.97</t>
        </is>
      </c>
      <c r="L3411" t="n">
        <v>78.98999999999999</v>
      </c>
      <c r="M3411" s="1" t="inlineStr">
        <is>
          <t>620.05%</t>
        </is>
      </c>
      <c r="N3411" s="7" t="n">
        <v>66.45</v>
      </c>
      <c r="O3411" t="n">
        <v>4.7</v>
      </c>
      <c r="P3411" t="n">
        <v>4</v>
      </c>
      <c r="R3411" t="inlineStr">
        <is>
          <t>InStock</t>
        </is>
      </c>
      <c r="S3411" t="inlineStr">
        <is>
          <t>17.16</t>
        </is>
      </c>
      <c r="T3411" t="inlineStr">
        <is>
          <t>5286142148776</t>
        </is>
      </c>
    </row>
    <row r="3412" ht="87" customHeight="1">
      <c r="A3412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3412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3412" t="inlineStr">
        <is>
          <t>Klein Tools JTH6E15 3/8-Inch Hex Key with Journeyman T-Handle, 6-Inch</t>
        </is>
      </c>
      <c r="D3412" t="inlineStr">
        <is>
          <t>Klein Tools JTH68M T-Handle Hex Key Set, Metric Sizes Allen Wrench Set with 6-Inch Blades, Stand Included, 8-Piece</t>
        </is>
      </c>
      <c r="E3412" s="2">
        <f>HYPERLINK("https://www.amazon.com/Journeyman-T-Handle-Klein-Tools-JTH68M/dp/B004MI5M8Q/ref=sr_1_17?keywords=Klein+Tools+JTH6E15+3%2F8-Inch+Hex+Key+with+Journeyman+T-Handle%2C+6-Inch&amp;qid=1694735343&amp;sr=8-17", "https://www.amazon.com/Journeyman-T-Handle-Klein-Tools-JTH68M/dp/B004MI5M8Q/ref=sr_1_17?keywords=Klein+Tools+JTH6E15+3%2F8-Inch+Hex+Key+with+Journeyman+T-Handle%2C+6-Inch&amp;qid=1694735343&amp;sr=8-17")</f>
        <v/>
      </c>
      <c r="F3412" t="inlineStr">
        <is>
          <t>B004MI5M8Q</t>
        </is>
      </c>
      <c r="G3412">
        <f>_xlfn.IMAGE("https://edmondsonsupply.com/cdn/shop/products/jth6e15_c4dd65ba-86a8-4743-882c-88cf44faafdc.jpg?v=1587142819")</f>
        <v/>
      </c>
      <c r="H3412">
        <f>_xlfn.IMAGE("https://m.media-amazon.com/images/I/61rUPCVBhiL._AC_UL320_.jpg")</f>
        <v/>
      </c>
      <c r="K3412" t="inlineStr">
        <is>
          <t>8.99</t>
        </is>
      </c>
      <c r="L3412" t="n">
        <v>64.5</v>
      </c>
      <c r="M3412" s="1" t="inlineStr">
        <is>
          <t>617.46%</t>
        </is>
      </c>
      <c r="N3412" s="7" t="n">
        <v>66.18000000000001</v>
      </c>
      <c r="O3412" t="n">
        <v>4.8</v>
      </c>
      <c r="P3412" t="n">
        <v>824</v>
      </c>
      <c r="R3412" t="inlineStr">
        <is>
          <t>InStock</t>
        </is>
      </c>
      <c r="S3412" t="inlineStr">
        <is>
          <t>13.56</t>
        </is>
      </c>
      <c r="T3412" t="inlineStr">
        <is>
          <t>4512705970276</t>
        </is>
      </c>
    </row>
    <row r="3413" hidden="1" ht="15.75" customHeight="1">
      <c r="A3413" s="2">
        <f>HYPERLINK("https://edmondsonsupply.com/collections/electricians-tools/products/diablo-tools-dmapl2300-1-2-in-x-4-in-x-6-in-sds-plus-2-cutter", "https://edmondsonsupply.com/collections/electricians-tools/products/diablo-tools-dmapl2300-1-2-in-x-4-in-x-6-in-sds-plus-2-cutter")</f>
        <v/>
      </c>
      <c r="B3413" s="2">
        <f>HYPERLINK("https://edmondsonsupply.com/products/diablo-tools-dmapl2300-1-2-in-x-4-in-x-6-in-sds-plus-2-cutter", "https://edmondsonsupply.com/products/diablo-tools-dmapl2300-1-2-in-x-4-in-x-6-in-sds-plus-2-cutter")</f>
        <v/>
      </c>
      <c r="C3413" t="inlineStr">
        <is>
          <t>Diablo Tools DMAPL2300 1/2 in. x 4 in. x 6 in. SDS‑Plus 2‑Cutter</t>
        </is>
      </c>
      <c r="D3413" t="inlineStr">
        <is>
          <t>Diablo 3/16 in. x 4 in. x 6 in. SDS-Plus 2-Cutter (25-Pack)</t>
        </is>
      </c>
      <c r="E3413" s="2">
        <f>HYPERLINK("https://www.amazon.com/Diablo-16-SDS-Plus-2-Cutter-25-Pack/dp/B089KVMX61/ref=sr_1_8?keywords=Diablo+Tools+DMAPL2300+1%2F2+in.+x+4+in.+x+6+in.+SDS%E2%80%91Plus+2%E2%80%91Cutter&amp;qid=1694735256&amp;sr=8-8", "https://www.amazon.com/Diablo-16-SDS-Plus-2-Cutter-25-Pack/dp/B089KVMX61/ref=sr_1_8?keywords=Diablo+Tools+DMAPL2300+1%2F2+in.+x+4+in.+x+6+in.+SDS%E2%80%91Plus+2%E2%80%91Cutter&amp;qid=1694735256&amp;sr=8-8")</f>
        <v/>
      </c>
      <c r="F3413" t="inlineStr">
        <is>
          <t>B089KVMX61</t>
        </is>
      </c>
      <c r="G3413">
        <f>_xludf.IMAGE("https://edmondsonsupply.com/cdn/shop/products/DMAPL2300-P25_Main-Image20200701_f135ab9e-1d6a-4464-ad6a-807f2f571e10.png?v=1633030655")</f>
        <v/>
      </c>
      <c r="H3413">
        <f>_xludf.IMAGE("https://m.media-amazon.com/images/I/61iagh11iXL._AC_UL320_.jpg")</f>
        <v/>
      </c>
      <c r="K3413" t="inlineStr">
        <is>
          <t>6.97</t>
        </is>
      </c>
      <c r="L3413" t="n">
        <v>49.99</v>
      </c>
      <c r="M3413" s="1" t="inlineStr">
        <is>
          <t>617.22%</t>
        </is>
      </c>
      <c r="N3413" s="1" t="n">
        <v>66.15000000000001</v>
      </c>
      <c r="O3413" t="n">
        <v>4</v>
      </c>
      <c r="P3413" t="n">
        <v>2</v>
      </c>
      <c r="R3413" t="inlineStr">
        <is>
          <t>InStock</t>
        </is>
      </c>
      <c r="S3413" t="inlineStr">
        <is>
          <t>8.4</t>
        </is>
      </c>
      <c r="T3413" t="inlineStr">
        <is>
          <t>5740710887592</t>
        </is>
      </c>
    </row>
    <row r="3414" ht="87" customHeight="1">
      <c r="A3414" s="2">
        <f>HYPERLINK("https://edmondsonsupply.com/collections/electricians-tools/products/klein-tools-32238-drill-tap-8-32", "https://edmondsonsupply.com/collections/electricians-tools/products/klein-tools-32238-drill-tap-8-32")</f>
        <v/>
      </c>
      <c r="B3414" s="2">
        <f>HYPERLINK("https://edmondsonsupply.com/products/klein-tools-32238-drill-tap-8-32", "https://edmondsonsupply.com/products/klein-tools-32238-drill-tap-8-32")</f>
        <v/>
      </c>
      <c r="C3414" t="inlineStr">
        <is>
          <t>Klein Tools 32238 Drill Tap, 8-32</t>
        </is>
      </c>
      <c r="D3414" t="inlineStr">
        <is>
          <t>Klein Tools 32217 Drill Tap Tool Kit, 8-Piece, For Aluminum-Brass-Copper-Plastic-Mild Steel, Quick Connect Power Tools Compatible</t>
        </is>
      </c>
      <c r="E3414" s="2">
        <f>HYPERLINK("https://www.amazon.com/Tapping-Connect-Tools-Klein-32217/dp/B00SGMHU7U/ref=sr_1_5?keywords=Klein+Tools+32238+Drill+Tap%2C+8-32&amp;qid=1694735339&amp;sr=8-5", "https://www.amazon.com/Tapping-Connect-Tools-Klein-32217/dp/B00SGMHU7U/ref=sr_1_5?keywords=Klein+Tools+32238+Drill+Tap%2C+8-32&amp;qid=1694735339&amp;sr=8-5")</f>
        <v/>
      </c>
      <c r="F3414" t="inlineStr">
        <is>
          <t>B00SGMHU7U</t>
        </is>
      </c>
      <c r="G3414">
        <f>_xlfn.IMAGE("https://edmondsonsupply.com/cdn/shop/products/32238.jpg?v=1587151206")</f>
        <v/>
      </c>
      <c r="H3414">
        <f>_xlfn.IMAGE("https://m.media-amazon.com/images/I/51y50+-mANL._AC_UL320_.jpg")</f>
        <v/>
      </c>
      <c r="K3414" t="inlineStr">
        <is>
          <t>6.99</t>
        </is>
      </c>
      <c r="L3414" t="n">
        <v>49.99</v>
      </c>
      <c r="M3414" s="1" t="inlineStr">
        <is>
          <t>615.16%</t>
        </is>
      </c>
      <c r="N3414" s="7" t="n">
        <v>66.14</v>
      </c>
      <c r="O3414" t="n">
        <v>4.6</v>
      </c>
      <c r="P3414" t="n">
        <v>318</v>
      </c>
      <c r="R3414" t="inlineStr">
        <is>
          <t>InStock</t>
        </is>
      </c>
      <c r="S3414" t="inlineStr">
        <is>
          <t>10.64</t>
        </is>
      </c>
      <c r="T3414" t="inlineStr">
        <is>
          <t>4505605832804</t>
        </is>
      </c>
    </row>
    <row r="3415" ht="87" customHeight="1">
      <c r="A341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415" s="2">
        <f>HYPERLINK("https://edmondsonsupply.com/products/klein-tools-et45-ac-dc-voltage-tester", "https://edmondsonsupply.com/products/klein-tools-et45-ac-dc-voltage-tester")</f>
        <v/>
      </c>
      <c r="C3415" t="inlineStr">
        <is>
          <t>Klein Tools ET45 AC/DC Voltage Tester</t>
        </is>
      </c>
      <c r="D3415" t="inlineStr">
        <is>
          <t>Klein Tools NCVT3PKIT Electrical Test Kit, Dual-Range Non-Contact Voltage Tester with Flashlight, AC/DC Voltage Tester and Carrying Case &amp; ET310 AC Circuit Breaker Finder</t>
        </is>
      </c>
      <c r="E3415" s="2">
        <f>HYPERLINK("https://www.amazon.com/Klein-Tools-Electrical-Dual-Range-Non-Contact/dp/B0BD3WBV6W/ref=sr_1_17?keywords=Klein+Tools+ET45+AC%2FDC+Voltage+Tester&amp;qid=1694735227&amp;sr=8-17", "https://www.amazon.com/Klein-Tools-Electrical-Dual-Range-Non-Contact/dp/B0BD3WBV6W/ref=sr_1_17?keywords=Klein+Tools+ET45+AC%2FDC+Voltage+Tester&amp;qid=1694735227&amp;sr=8-17")</f>
        <v/>
      </c>
      <c r="F3415" t="inlineStr">
        <is>
          <t>B0BD3WBV6W</t>
        </is>
      </c>
      <c r="G3415">
        <f>_xlfn.IMAGE("https://edmondsonsupply.com/cdn/shop/products/et45.jpg?v=1647786270")</f>
        <v/>
      </c>
      <c r="H3415">
        <f>_xlfn.IMAGE("https://m.media-amazon.com/images/I/51Bb9uu7nIL._AC_UL320_.jpg")</f>
        <v/>
      </c>
      <c r="K3415" t="inlineStr">
        <is>
          <t>11.99</t>
        </is>
      </c>
      <c r="L3415" t="n">
        <v>84.95999999999999</v>
      </c>
      <c r="M3415" s="1" t="inlineStr">
        <is>
          <t>608.59%</t>
        </is>
      </c>
      <c r="N3415" s="7" t="n">
        <v>66</v>
      </c>
      <c r="O3415" t="n">
        <v>5</v>
      </c>
      <c r="P3415" t="n">
        <v>1</v>
      </c>
      <c r="R3415" t="inlineStr">
        <is>
          <t>InStock</t>
        </is>
      </c>
      <c r="S3415" t="inlineStr">
        <is>
          <t>16.72</t>
        </is>
      </c>
      <c r="T3415" t="inlineStr">
        <is>
          <t>3688633630820</t>
        </is>
      </c>
    </row>
    <row r="3416" hidden="1" ht="15.75" customHeight="1">
      <c r="A3416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416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416" t="inlineStr">
        <is>
          <t>Diablo Tools DMAPL4080 1/4 in. x 6 in. x 8 in. Rebar Demon™ SDS-Plus 4-Cutter Full Carbide Head Hammer Bit</t>
        </is>
      </c>
      <c r="D3416" t="inlineStr">
        <is>
          <t>Diablo DMAMX1180 7/8 in. x 16 in. x 21 in. Rebar Demon™ SDS-Max 4-Cutter Full Carbide Head Hammer Bit</t>
        </is>
      </c>
      <c r="E3416" s="2">
        <f>HYPERLINK("https://www.amazon.com/Diablo-SDS-Max-4-Cutter-Carbide-Hammer/dp/B089KWFF8B/ref=sr_1_27?keywords=Diablo+Tools+DMAPL4080+1%2F4+in.+x+6+in.+x+8+in.+Rebar+Demon%E2%84%A2+SDS-Plus+4-Cutter+Full+Carbide+Head+Hammer+Bit&amp;qid=1694735294&amp;sr=8-27", "https://www.amazon.com/Diablo-SDS-Max-4-Cutter-Carbide-Hammer/dp/B089KWFF8B/ref=sr_1_27?keywords=Diablo+Tools+DMAPL4080+1%2F4+in.+x+6+in.+x+8+in.+Rebar+Demon%E2%84%A2+SDS-Plus+4-Cutter+Full+Carbide+Head+Hammer+Bit&amp;qid=1694735294&amp;sr=8-27")</f>
        <v/>
      </c>
      <c r="F3416" t="inlineStr">
        <is>
          <t>B089KWFF8B</t>
        </is>
      </c>
      <c r="G3416">
        <f>_xludf.IMAGE("https://edmondsonsupply.com/cdn/shop/products/DMAPL4080_1.jpg?v=1633030359")</f>
        <v/>
      </c>
      <c r="H3416">
        <f>_xludf.IMAGE("https://m.media-amazon.com/images/I/611fTcYRNFL._AC_UL320_.jpg")</f>
        <v/>
      </c>
      <c r="K3416" t="inlineStr">
        <is>
          <t>7.47</t>
        </is>
      </c>
      <c r="L3416" t="n">
        <v>52.51</v>
      </c>
      <c r="M3416" s="1" t="inlineStr">
        <is>
          <t>602.95%</t>
        </is>
      </c>
      <c r="N3416" s="1" t="n">
        <v>65.87</v>
      </c>
      <c r="O3416" t="n">
        <v>3.5</v>
      </c>
      <c r="P3416" t="n">
        <v>3</v>
      </c>
      <c r="R3416" t="inlineStr">
        <is>
          <t>InStock</t>
        </is>
      </c>
      <c r="S3416" t="inlineStr">
        <is>
          <t>undefined</t>
        </is>
      </c>
      <c r="T3416" t="inlineStr">
        <is>
          <t>5286767919272</t>
        </is>
      </c>
    </row>
    <row r="3417" ht="87" customHeight="1">
      <c r="A3417" s="2">
        <f>HYPERLINK("https://edmondsonsupply.com/collections/electricians-tools/products/komelon-7325-25-x-1-maggrip%E2%84%A2-speedmark%E2%84%A2-magnetic-tape-measure", "https://edmondsonsupply.com/collections/electricians-tools/products/komelon-7325-25-x-1-maggrip%E2%84%A2-speedmark%E2%84%A2-magnetic-tape-measure")</f>
        <v/>
      </c>
      <c r="B3417" s="2">
        <f>HYPERLINK("https://edmondsonsupply.com/products/komelon-7325-25-x-1-maggrip%e2%84%a2-speedmark%e2%84%a2-magnetic-tape-measure", "https://edmondsonsupply.com/products/komelon-7325-25-x-1-maggrip%e2%84%a2-speedmark%e2%84%a2-magnetic-tape-measure")</f>
        <v/>
      </c>
      <c r="C3417" t="inlineStr">
        <is>
          <t>Komelon 7325 25' X 1" MagGrip™ SpeedMark™, Magnetic Tape Measure</t>
        </is>
      </c>
      <c r="D3417" t="inlineStr">
        <is>
          <t>4 Pack Komelon 7125 25' x 1" Monster MagGrip Rubberized Case, Magnetic Tip Tape Measure</t>
        </is>
      </c>
      <c r="E3417" s="2">
        <f>HYPERLINK("https://www.amazon.com/Komelon-Monster-MagGrip-Rubberized-Magnetic/dp/B00377BZL6/ref=sr_1_7?keywords=Komelon+7325+25%27+X+1%22+MagGrip%E2%84%A2+SpeedMark%E2%84%A2%2C+Magnetic+Tape+Measure&amp;qid=1694735220&amp;sr=8-7", "https://www.amazon.com/Komelon-Monster-MagGrip-Rubberized-Magnetic/dp/B00377BZL6/ref=sr_1_7?keywords=Komelon+7325+25%27+X+1%22+MagGrip%E2%84%A2+SpeedMark%E2%84%A2%2C+Magnetic+Tape+Measure&amp;qid=1694735220&amp;sr=8-7")</f>
        <v/>
      </c>
      <c r="F3417" t="inlineStr">
        <is>
          <t>B00377BZL6</t>
        </is>
      </c>
      <c r="G3417">
        <f>_xlfn.IMAGE("https://edmondsonsupply.com/cdn/shop/products/7325_angleExtended.jpg?v=1633030981")</f>
        <v/>
      </c>
      <c r="H3417">
        <f>_xlfn.IMAGE("https://m.media-amazon.com/images/I/61y2m37vFJL._AC_UL320_.jpg")</f>
        <v/>
      </c>
      <c r="K3417" t="inlineStr">
        <is>
          <t>13.99</t>
        </is>
      </c>
      <c r="L3417" t="n">
        <v>98.3</v>
      </c>
      <c r="M3417" s="1" t="inlineStr">
        <is>
          <t>602.64%</t>
        </is>
      </c>
      <c r="N3417" s="7" t="n">
        <v>65.78</v>
      </c>
      <c r="O3417" t="n">
        <v>4.2</v>
      </c>
      <c r="P3417" t="n">
        <v>7</v>
      </c>
      <c r="R3417" t="inlineStr">
        <is>
          <t>InStock</t>
        </is>
      </c>
      <c r="S3417" t="inlineStr">
        <is>
          <t>undefined</t>
        </is>
      </c>
      <c r="T3417" t="inlineStr">
        <is>
          <t>6652039692461</t>
        </is>
      </c>
    </row>
    <row r="3418" ht="87" customHeight="1">
      <c r="A3418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3418" s="2">
        <f>HYPERLINK("https://edmondsonsupply.com/products/klein-tools-55470-stand-up-zipper-bags-2-pack", "https://edmondsonsupply.com/products/klein-tools-55470-stand-up-zipper-bags-2-pack")</f>
        <v/>
      </c>
      <c r="C3418" t="inlineStr">
        <is>
          <t>Klein Tools 55470 Zipper Bag, Stand-Up Tool Pouch, 2-Pack</t>
        </is>
      </c>
      <c r="D3418" t="inlineStr">
        <is>
          <t>Klein Tools 5541610-14 Tool Bag with Shoulder Strap Has 40 Pockets &amp; 55470 Utility Bag, Stand-Up Zipper Tool Bags, Tough 1680d Ballistic Weave, Reinforced Bottoms, Orange/Black, Gray/Black, 2-Pack</t>
        </is>
      </c>
      <c r="E3418" s="2">
        <f>HYPERLINK("https://www.amazon.com/Klein-Tools-5541610-14-Ballistic-Reinforced/dp/B09Z6PK46L/ref=sr_1_10?keywords=Klein+Tools+55470+Zipper+Bag%2C+Stand-Up+Tool+Pouch%2C+2-Pack&amp;qid=1694735348&amp;sr=8-10", "https://www.amazon.com/Klein-Tools-5541610-14-Ballistic-Reinforced/dp/B09Z6PK46L/ref=sr_1_10?keywords=Klein+Tools+55470+Zipper+Bag%2C+Stand-Up+Tool+Pouch%2C+2-Pack&amp;qid=1694735348&amp;sr=8-10")</f>
        <v/>
      </c>
      <c r="F3418" t="inlineStr">
        <is>
          <t>B09Z6PK46L</t>
        </is>
      </c>
      <c r="G3418">
        <f>_xlfn.IMAGE("https://edmondsonsupply.com/cdn/shop/products/55470.jpg?v=1587149313")</f>
        <v/>
      </c>
      <c r="H3418">
        <f>_xlfn.IMAGE("https://m.media-amazon.com/images/I/51zIvmhfG6L._AC_UL320_.jpg")</f>
        <v/>
      </c>
      <c r="K3418" t="inlineStr">
        <is>
          <t>14.97</t>
        </is>
      </c>
      <c r="L3418" t="n">
        <v>105.14</v>
      </c>
      <c r="M3418" s="1" t="inlineStr">
        <is>
          <t>602.34%</t>
        </is>
      </c>
      <c r="N3418" s="7" t="n">
        <v>65.64</v>
      </c>
      <c r="O3418" t="n">
        <v>5</v>
      </c>
      <c r="P3418" t="n">
        <v>1</v>
      </c>
      <c r="R3418" t="inlineStr">
        <is>
          <t>InStock</t>
        </is>
      </c>
      <c r="S3418" t="inlineStr">
        <is>
          <t>21.5</t>
        </is>
      </c>
      <c r="T3418" t="inlineStr">
        <is>
          <t>1723696971876</t>
        </is>
      </c>
    </row>
    <row r="3419" ht="87" customHeight="1">
      <c r="A3419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3419" s="2">
        <f>HYPERLINK("https://edmondsonsupply.com/products/klein-tools-646-7-16-7-16-inch-nut-driver-6-inch-hollow-shaft", "https://edmondsonsupply.com/products/klein-tools-646-7-16-7-16-inch-nut-driver-6-inch-hollow-shaft")</f>
        <v/>
      </c>
      <c r="C3419" t="inlineStr">
        <is>
          <t>Klein Tools 646-7/16 7/16-Inch Nut Driver, 6-Inch Hollow Shaft</t>
        </is>
      </c>
      <c r="D3419" t="inlineStr">
        <is>
          <t>Klein Tools 89904 Tool Set, Nut Drivers Sizes 3/16, 1/4, 5/16, 11/32, 3/8, 7/16, 1/2-Inch, 6-Inch Shafts, 7-Piece</t>
        </is>
      </c>
      <c r="E3419" s="2">
        <f>HYPERLINK("https://www.amazon.com/Klein-Tools-Nut-Driver-89904/dp/B000MB1JMU/ref=sr_1_18?keywords=Klein+Tools+646-7%2F16+7%2F16-Inch+Nut+Driver%2C+6-Inch+Hollow+Shaft&amp;qid=1694735415&amp;sr=8-18", "https://www.amazon.com/Klein-Tools-Nut-Driver-89904/dp/B000MB1JMU/ref=sr_1_18?keywords=Klein+Tools+646-7%2F16+7%2F16-Inch+Nut+Driver%2C+6-Inch+Hollow+Shaft&amp;qid=1694735415&amp;sr=8-18")</f>
        <v/>
      </c>
      <c r="F3419" t="inlineStr">
        <is>
          <t>B000MB1JMU</t>
        </is>
      </c>
      <c r="G3419">
        <f>_xlfn.IMAGE("https://edmondsonsupply.com/cdn/shop/products/646-1-2_64980020-d246-4b4b-829a-c848cc375d64.jpg?v=1587148603")</f>
        <v/>
      </c>
      <c r="H3419">
        <f>_xlfn.IMAGE("https://m.media-amazon.com/images/I/61cXQ4v0vvL._AC_UL320_.jpg")</f>
        <v/>
      </c>
      <c r="K3419" t="inlineStr">
        <is>
          <t>9.49</t>
        </is>
      </c>
      <c r="L3419" t="n">
        <v>66.23</v>
      </c>
      <c r="M3419" s="1" t="inlineStr">
        <is>
          <t>597.89%</t>
        </is>
      </c>
      <c r="N3419" s="7" t="n">
        <v>65.36</v>
      </c>
      <c r="O3419" t="n">
        <v>4.5</v>
      </c>
      <c r="P3419" t="n">
        <v>33</v>
      </c>
      <c r="R3419" t="inlineStr">
        <is>
          <t>InStock</t>
        </is>
      </c>
      <c r="S3419" t="inlineStr">
        <is>
          <t>14.42</t>
        </is>
      </c>
      <c r="T3419" t="inlineStr">
        <is>
          <t>4391246889060</t>
        </is>
      </c>
    </row>
    <row r="3420" ht="87" customHeight="1">
      <c r="A3420" s="2">
        <f>HYPERLINK("https://edmondsonsupply.com/collections/electricians-tools/products/klein-tools-56335-wide-steel-fish-tape-1-4-inch-x-25-foot", "https://edmondsonsupply.com/collections/electricians-tools/products/klein-tools-56335-wide-steel-fish-tape-1-4-inch-x-25-foot")</f>
        <v/>
      </c>
      <c r="B3420" s="2">
        <f>HYPERLINK("https://edmondsonsupply.com/products/klein-tools-56335-wide-steel-fish-tape-1-4-inch-x-25-foot", "https://edmondsonsupply.com/products/klein-tools-56335-wide-steel-fish-tape-1-4-inch-x-25-foot")</f>
        <v/>
      </c>
      <c r="C3420" t="inlineStr">
        <is>
          <t>Klein Tools 56335 Wide Steel Fish Tape, 1/4-Inch x 25-Foot</t>
        </is>
      </c>
      <c r="D3420" t="inlineStr">
        <is>
          <t>Klein Tools 56004 Fish Tape, 240-Foot Long x 1/8-Inch Wide Steel Pull Line for Heavy Duty Wire Pulls, Updated Model Cat. No. 56334 Available</t>
        </is>
      </c>
      <c r="E3420" s="2">
        <f>HYPERLINK("https://www.amazon.com/240-Foot-Measuring-Klein-Tools-56004/dp/B0026TDB5Y/ref=sr_1_22?keywords=Klein+Tools+56335+Wide+Steel+Fish+Tape%2C+1%2F4-Inch+x+25-Foot&amp;qid=1694735248&amp;sr=8-22", "https://www.amazon.com/240-Foot-Measuring-Klein-Tools-56004/dp/B0026TDB5Y/ref=sr_1_22?keywords=Klein+Tools+56335+Wide+Steel+Fish+Tape%2C+1%2F4-Inch+x+25-Foot&amp;qid=1694735248&amp;sr=8-22")</f>
        <v/>
      </c>
      <c r="F3420" t="inlineStr">
        <is>
          <t>B0026TDB5Y</t>
        </is>
      </c>
      <c r="G3420">
        <f>_xlfn.IMAGE("https://edmondsonsupply.com/cdn/shop/products/56335.jpg?v=1633030737")</f>
        <v/>
      </c>
      <c r="H3420">
        <f>_xlfn.IMAGE("https://m.media-amazon.com/images/I/61YlVKsUkcL._AC_UL320_.jpg")</f>
        <v/>
      </c>
      <c r="K3420" t="inlineStr">
        <is>
          <t>16.97</t>
        </is>
      </c>
      <c r="L3420" t="n">
        <v>117.35</v>
      </c>
      <c r="M3420" s="1" t="inlineStr">
        <is>
          <t>591.51%</t>
        </is>
      </c>
      <c r="N3420" s="7" t="n">
        <v>65.2</v>
      </c>
      <c r="O3420" t="n">
        <v>4.1</v>
      </c>
      <c r="P3420" t="n">
        <v>81</v>
      </c>
      <c r="R3420" t="inlineStr">
        <is>
          <t>InStock</t>
        </is>
      </c>
      <c r="S3420" t="inlineStr">
        <is>
          <t>24.84</t>
        </is>
      </c>
      <c r="T3420" t="inlineStr">
        <is>
          <t>5878323445928</t>
        </is>
      </c>
    </row>
    <row r="3421" ht="87" customHeight="1">
      <c r="A3421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421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421" t="inlineStr">
        <is>
          <t>Diablo Tools DMAPL4140 3/8 in. x 4 in. x 6 in. Rebar Demon™ SDS-Plus 4-Cutter Full Carbide Head Hammer Bit</t>
        </is>
      </c>
      <c r="D3421" t="inlineStr">
        <is>
          <t>Diablo DMAMX1140 3/4 in. x 16 in. x 21 in. Rebar Demon™ SDS-Max 4-Cutter Full Carbide Head Hammer Bit</t>
        </is>
      </c>
      <c r="E3421" s="2">
        <f>HYPERLINK("https://www.amazon.com/Diablo-SDS-Max-4-Cutter-Carbide-Hammer/dp/B089KWP4WK/ref=sr_1_33?keywords=Diablo+Tools+DMAPL4140+3%2F8+in.+x+4+in.+x+6+in.+Rebar+Demon%E2%84%A2+SDS-Plus+4-Cutter+Full+Carbide+Head+Hammer+Bit&amp;qid=1694735296&amp;sr=8-33", "https://www.amazon.com/Diablo-SDS-Max-4-Cutter-Carbide-Hammer/dp/B089KWP4WK/ref=sr_1_33?keywords=Diablo+Tools+DMAPL4140+3%2F8+in.+x+4+in.+x+6+in.+Rebar+Demon%E2%84%A2+SDS-Plus+4-Cutter+Full+Carbide+Head+Hammer+Bit&amp;qid=1694735296&amp;sr=8-33")</f>
        <v/>
      </c>
      <c r="F3421" t="inlineStr">
        <is>
          <t>B089KWP4WK</t>
        </is>
      </c>
      <c r="G3421">
        <f>_xlfn.IMAGE("https://edmondsonsupply.com/cdn/shop/products/DMAPL4140_Main-Image20200701.png?v=1633030360")</f>
        <v/>
      </c>
      <c r="H3421">
        <f>_xlfn.IMAGE("https://m.media-amazon.com/images/I/61yWWNP1xrL._AC_UL320_.jpg")</f>
        <v/>
      </c>
      <c r="K3421" t="inlineStr">
        <is>
          <t>7.29</t>
        </is>
      </c>
      <c r="L3421" t="n">
        <v>50.26</v>
      </c>
      <c r="M3421" s="1" t="inlineStr">
        <is>
          <t>589.44%</t>
        </is>
      </c>
      <c r="N3421" s="7" t="n">
        <v>65.05</v>
      </c>
      <c r="O3421" t="n">
        <v>5</v>
      </c>
      <c r="P3421" t="n">
        <v>9</v>
      </c>
      <c r="R3421" t="inlineStr">
        <is>
          <t>InStock</t>
        </is>
      </c>
      <c r="S3421" t="inlineStr">
        <is>
          <t>undefined</t>
        </is>
      </c>
      <c r="T3421" t="inlineStr">
        <is>
          <t>5286771949736</t>
        </is>
      </c>
    </row>
    <row r="3422" ht="87" customHeight="1">
      <c r="A3422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3422" s="2">
        <f>HYPERLINK("https://edmondsonsupply.com/products/klein-tools-s8-1-4-inch-hollow-shaft-nut-driver-3-inch-shaft", "https://edmondsonsupply.com/products/klein-tools-s8-1-4-inch-hollow-shaft-nut-driver-3-inch-shaft")</f>
        <v/>
      </c>
      <c r="C3422" t="inlineStr">
        <is>
          <t>Klein Tools S8 1/4-Inch Hollow Shaft Nut Driver, 3-Inch Shaft</t>
        </is>
      </c>
      <c r="D3422" t="inlineStr">
        <is>
          <t>Klein Tools 65160 Tool Set, Metric Nut Driver Set Sizes 5, 5.5, 6, 7, 8, 9, and 10 mm, 3-Inch Chrome-Plate Hollow Shafts, 7-Piece</t>
        </is>
      </c>
      <c r="E3422" s="2">
        <f>HYPERLINK("https://www.amazon.com/Driver-Metric-3-Inch-7-Piece-Klein/dp/B0009ORXQQ/ref=sr_1_20?keywords=Klein+Tools+S8+1%2F4-Inch+Hollow+Shaft+Nut+Driver%2C+3-Inch+Shaft&amp;qid=1694735248&amp;sr=8-20", "https://www.amazon.com/Driver-Metric-3-Inch-7-Piece-Klein/dp/B0009ORXQQ/ref=sr_1_20?keywords=Klein+Tools+S8+1%2F4-Inch+Hollow+Shaft+Nut+Driver%2C+3-Inch+Shaft&amp;qid=1694735248&amp;sr=8-20")</f>
        <v/>
      </c>
      <c r="F3422" t="inlineStr">
        <is>
          <t>B0009ORXQQ</t>
        </is>
      </c>
      <c r="G3422">
        <f>_xlfn.IMAGE("https://edmondsonsupply.com/cdn/shop/products/s10.jpg?v=1633030797")</f>
        <v/>
      </c>
      <c r="H3422">
        <f>_xlfn.IMAGE("https://m.media-amazon.com/images/I/61CnDJJyViL._AC_UL320_.jpg")</f>
        <v/>
      </c>
      <c r="K3422" t="inlineStr">
        <is>
          <t>7.29</t>
        </is>
      </c>
      <c r="L3422" t="n">
        <v>49.99</v>
      </c>
      <c r="M3422" s="1" t="inlineStr">
        <is>
          <t>585.73%</t>
        </is>
      </c>
      <c r="N3422" s="7" t="n">
        <v>64.95</v>
      </c>
      <c r="O3422" t="n">
        <v>4.8</v>
      </c>
      <c r="P3422" t="n">
        <v>588</v>
      </c>
      <c r="R3422" t="inlineStr">
        <is>
          <t>InStock</t>
        </is>
      </c>
      <c r="S3422" t="inlineStr">
        <is>
          <t>10.74</t>
        </is>
      </c>
      <c r="T3422" t="inlineStr">
        <is>
          <t>6000424485032</t>
        </is>
      </c>
    </row>
    <row r="3423" ht="87" customHeight="1">
      <c r="A3423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3423" s="2">
        <f>HYPERLINK("https://edmondsonsupply.com/products/klein-tools-630-3-8m-3-8-magnetic-tip-nut-driver-3-hollow-shank", "https://edmondsonsupply.com/products/klein-tools-630-3-8m-3-8-magnetic-tip-nut-driver-3-hollow-shank")</f>
        <v/>
      </c>
      <c r="C3423" t="inlineStr">
        <is>
          <t>Klein Tools 630-3/8M 3/8-Inch Magnetic Tip Nut Driver</t>
        </is>
      </c>
      <c r="D3423" t="inlineStr">
        <is>
          <t>Klein Tools 631M Tool Set, Magnetic Nut Drivers Sizes 3/16, 1/4, 5/16, 11/32, 3/8, 7/16 and 1/2-Inch on 3-Inch Full Hollow Shaft, 7-Piece</t>
        </is>
      </c>
      <c r="E3423" s="2">
        <f>HYPERLINK("https://www.amazon.com/Driver-Magnetic-3-Inch-Hollow-Klein/dp/B001BQ0DNG/ref=sr_1_3?keywords=Klein+Tools+630-3%2F8M+3%2F8-Inch+Magnetic+Tip+Nut+Driver&amp;qid=1694735121&amp;sr=8-3", "https://www.amazon.com/Driver-Magnetic-3-Inch-Hollow-Klein/dp/B001BQ0DNG/ref=sr_1_3?keywords=Klein+Tools+630-3%2F8M+3%2F8-Inch+Magnetic+Tip+Nut+Driver&amp;qid=1694735121&amp;sr=8-3")</f>
        <v/>
      </c>
      <c r="F3423" t="inlineStr">
        <is>
          <t>B001BQ0DNG</t>
        </is>
      </c>
      <c r="G3423">
        <f>_xlfn.IMAGE("https://edmondsonsupply.com/cdn/shop/products/630-3-8m.jpg?v=1587145139")</f>
        <v/>
      </c>
      <c r="H3423">
        <f>_xlfn.IMAGE("https://m.media-amazon.com/images/I/61pMsoh2smL._AC_UL320_.jpg")</f>
        <v/>
      </c>
      <c r="K3423" t="inlineStr">
        <is>
          <t>10.99</t>
        </is>
      </c>
      <c r="L3423" t="n">
        <v>74.98999999999999</v>
      </c>
      <c r="M3423" s="1" t="inlineStr">
        <is>
          <t>582.35%</t>
        </is>
      </c>
      <c r="N3423" s="7" t="n">
        <v>64.81999999999999</v>
      </c>
      <c r="O3423" t="n">
        <v>4.8</v>
      </c>
      <c r="P3423" t="n">
        <v>1145</v>
      </c>
      <c r="R3423" t="inlineStr">
        <is>
          <t>InStock</t>
        </is>
      </c>
      <c r="S3423" t="inlineStr">
        <is>
          <t>16.66</t>
        </is>
      </c>
      <c r="T3423" t="inlineStr">
        <is>
          <t>2766802288740</t>
        </is>
      </c>
    </row>
    <row r="3424" ht="87" customHeight="1">
      <c r="A3424" s="2">
        <f>HYPERLINK("https://edmondsonsupply.com/collections/electricians-tools/products/diablo-tools-d0724da-7-1-4-in-24-tooth-%E2%84%A2-framing-demolition-saw-blade", "https://edmondsonsupply.com/collections/electricians-tools/products/diablo-tools-d0724da-7-1-4-in-24-tooth-%E2%84%A2-framing-demolition-saw-blade")</f>
        <v/>
      </c>
      <c r="B3424" s="2">
        <f>HYPERLINK("https://edmondsonsupply.com/products/diablo-tools-d0724da-7-1-4-in-24-tooth-%e2%84%a2-framing-demolition-saw-blade", "https://edmondsonsupply.com/products/diablo-tools-d0724da-7-1-4-in-24-tooth-%e2%84%a2-framing-demolition-saw-blade")</f>
        <v/>
      </c>
      <c r="C3424" t="inlineStr">
        <is>
          <t>Diablo Tools D0724DA 7-1/4 in. 24-Tooth ™ Framing/Demolition Saw Blade</t>
        </is>
      </c>
      <c r="D3424" t="inlineStr">
        <is>
          <t>10 PACK Freud D0724A Diablo 7- 1/4-Inch 24 Tooth ATB Framing Saw Blade with 5/8-Inch and Diamond Knockout Arbor</t>
        </is>
      </c>
      <c r="E3424" s="2">
        <f>HYPERLINK("https://www.amazon.com/Freud-D0724A-Framing-Diamond-Knockout/dp/B0148UEC42/ref=sr_1_15?keywords=Diablo+Tools+D0724DA+7-1%2F4+in.+24-Tooth+%E2%84%A2+Framing%2FDemolition+Saw+Blade&amp;qid=1694735025&amp;sr=8-15", "https://www.amazon.com/Freud-D0724A-Framing-Diamond-Knockout/dp/B0148UEC42/ref=sr_1_15?keywords=Diablo+Tools+D0724DA+7-1%2F4+in.+24-Tooth+%E2%84%A2+Framing%2FDemolition+Saw+Blade&amp;qid=1694735025&amp;sr=8-15")</f>
        <v/>
      </c>
      <c r="F3424" t="inlineStr">
        <is>
          <t>B0148UEC42</t>
        </is>
      </c>
      <c r="G3424">
        <f>_xlfn.IMAGE("https://edmondsonsupply.com/cdn/shop/products/ms7ofgpqtqo0aptxxu1k.webp?v=1678973703")</f>
        <v/>
      </c>
      <c r="H3424">
        <f>_xlfn.IMAGE("https://m.media-amazon.com/images/I/512dz+IHEgL._AC_UL320_.jpg")</f>
        <v/>
      </c>
      <c r="K3424" t="inlineStr">
        <is>
          <t>14.97</t>
        </is>
      </c>
      <c r="L3424" t="n">
        <v>101.98</v>
      </c>
      <c r="M3424" s="1" t="inlineStr">
        <is>
          <t>581.23%</t>
        </is>
      </c>
      <c r="N3424" s="7" t="n">
        <v>64.75</v>
      </c>
      <c r="O3424" t="n">
        <v>4.4</v>
      </c>
      <c r="P3424" t="n">
        <v>14</v>
      </c>
      <c r="R3424" t="inlineStr">
        <is>
          <t>InStock</t>
        </is>
      </c>
      <c r="S3424" t="inlineStr">
        <is>
          <t>22.22</t>
        </is>
      </c>
      <c r="T3424" t="inlineStr">
        <is>
          <t>7962610204888</t>
        </is>
      </c>
    </row>
    <row r="3425" ht="87" customHeight="1">
      <c r="A3425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3425" s="2">
        <f>HYPERLINK("https://edmondsonsupply.com/products/klein-tools-vdv500-123-probe-pro-tracing-probe", "https://edmondsonsupply.com/products/klein-tools-vdv500-123-probe-pro-tracing-probe")</f>
        <v/>
      </c>
      <c r="C3425" t="inlineStr">
        <is>
          <t>Klein Tools VDV500-123 Probe-PRO Tracing Probe</t>
        </is>
      </c>
      <c r="D3425" t="inlineStr">
        <is>
          <t>Klein Tools VDV501-853 CoaxialCable Tester, Scout Pro 3 with Test-n-Map Remote, Includes Remotes #2 - #6, Tests Voice, Data and Video Cable &amp; VDV500-123 Cable Tracer Probe-Pro Tracing Probe</t>
        </is>
      </c>
      <c r="E3425" s="2">
        <f>HYPERLINK("https://www.amazon.com/Klein-Tools-VDV501-853-CoaxialCable-Test-n-Map/dp/B09T71M6ZZ/ref=sr_1_10?keywords=Klein+Tools+VDV500-123+Probe-PRO+Tracing+Probe&amp;qid=1694734977&amp;sr=8-10", "https://www.amazon.com/Klein-Tools-VDV501-853-CoaxialCable-Test-n-Map/dp/B09T71M6ZZ/ref=sr_1_10?keywords=Klein+Tools+VDV500-123+Probe-PRO+Tracing+Probe&amp;qid=1694734977&amp;sr=8-10")</f>
        <v/>
      </c>
      <c r="F3425" t="inlineStr">
        <is>
          <t>B09T71M6ZZ</t>
        </is>
      </c>
      <c r="G3425">
        <f>_xlfn.IMAGE("https://edmondsonsupply.com/cdn/shop/products/vdv500123.jpg?v=1587142783")</f>
        <v/>
      </c>
      <c r="H3425">
        <f>_xlfn.IMAGE("https://m.media-amazon.com/images/I/51SXmtw0RaL._AC_UY218_.jpg")</f>
        <v/>
      </c>
      <c r="K3425" t="inlineStr">
        <is>
          <t>44.99</t>
        </is>
      </c>
      <c r="L3425" t="n">
        <v>304.98</v>
      </c>
      <c r="M3425" s="1" t="inlineStr">
        <is>
          <t>577.88%</t>
        </is>
      </c>
      <c r="N3425" s="7" t="n">
        <v>64.67</v>
      </c>
      <c r="O3425" t="n">
        <v>4.2</v>
      </c>
      <c r="P3425" t="n">
        <v>7</v>
      </c>
      <c r="R3425" t="inlineStr">
        <is>
          <t>InStock</t>
        </is>
      </c>
      <c r="S3425" t="inlineStr">
        <is>
          <t>63.0</t>
        </is>
      </c>
      <c r="T3425" t="inlineStr">
        <is>
          <t>4274361466980</t>
        </is>
      </c>
    </row>
    <row r="3426" ht="87" customHeight="1">
      <c r="A3426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3426" s="2">
        <f>HYPERLINK("https://edmondsonsupply.com/products/klein-tools-69409-line-splitter-10x", "https://edmondsonsupply.com/products/klein-tools-69409-line-splitter-10x")</f>
        <v/>
      </c>
      <c r="C3426" t="inlineStr">
        <is>
          <t>Klein Tools 69409 Line Splitter 10x</t>
        </is>
      </c>
      <c r="D3426" t="inlineStr">
        <is>
          <t>Klein Tools CL390 Digital Clamp Meter, Reverse Contrast Display, Auto Ranging 400A AC/DC, AC/DC Voltage,TRMS, DC Microamps, Temp, NCVT, More &amp; 69409 Line Splitter 10x</t>
        </is>
      </c>
      <c r="E3426" s="2">
        <f>HYPERLINK("https://www.amazon.com/Klein-Tools-Contrast-Microamps-Splitter/dp/B09T6ZV9PK/ref=sr_1_19?keywords=Klein+Tools+69409+Line+Splitter+10x&amp;qid=1694735419&amp;sr=8-19", "https://www.amazon.com/Klein-Tools-Contrast-Microamps-Splitter/dp/B09T6ZV9PK/ref=sr_1_19?keywords=Klein+Tools+69409+Line+Splitter+10x&amp;qid=1694735419&amp;sr=8-19")</f>
        <v/>
      </c>
      <c r="F3426" t="inlineStr">
        <is>
          <t>B09T6ZV9PK</t>
        </is>
      </c>
      <c r="G3426">
        <f>_xlfn.IMAGE("https://edmondsonsupply.com/cdn/shop/products/69409.jpg?v=1587146689")</f>
        <v/>
      </c>
      <c r="H3426">
        <f>_xlfn.IMAGE("https://m.media-amazon.com/images/I/51UrkmUoeML._AC_UL320_.jpg")</f>
        <v/>
      </c>
      <c r="K3426" t="inlineStr">
        <is>
          <t>16.97</t>
        </is>
      </c>
      <c r="L3426" t="n">
        <v>114.93</v>
      </c>
      <c r="M3426" s="1" t="inlineStr">
        <is>
          <t>577.25%</t>
        </is>
      </c>
      <c r="N3426" s="7" t="n">
        <v>64.65000000000001</v>
      </c>
      <c r="O3426" t="n">
        <v>5</v>
      </c>
      <c r="P3426" t="n">
        <v>3</v>
      </c>
      <c r="R3426" t="inlineStr">
        <is>
          <t>InStock</t>
        </is>
      </c>
      <c r="S3426" t="inlineStr">
        <is>
          <t>20.48</t>
        </is>
      </c>
      <c r="T3426" t="inlineStr">
        <is>
          <t>1723598045284</t>
        </is>
      </c>
    </row>
    <row r="3427" ht="87" customHeight="1">
      <c r="A3427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3427" s="2">
        <f>HYPERLINK("https://edmondsonsupply.com/products/diablo-tools-d0624x-6-1-2-in-24-tooth-framing-saw-blade", "https://edmondsonsupply.com/products/diablo-tools-d0624x-6-1-2-in-24-tooth-framing-saw-blade")</f>
        <v/>
      </c>
      <c r="C3427" t="inlineStr">
        <is>
          <t>Diablo Tools D0624X 6-1/2 in. 24-Tooth Framing Saw Blade</t>
        </is>
      </c>
      <c r="D3427" t="inlineStr">
        <is>
          <t>Freud D0624A Diablo 6-1/2-inch 24T ATB Perma-Shield Framing Saw Blades, 10-Pack</t>
        </is>
      </c>
      <c r="E3427" s="2">
        <f>HYPERLINK("https://www.amazon.com/Freud-D0624A-Perma-Shield-Framing-10-Pack/dp/B00USCET84/ref=sr_1_9?keywords=Diablo+Tools+D0624X+6-1%2F2+in.+24-Tooth+Framing+Saw+Blade&amp;qid=1694735025&amp;sr=8-9", "https://www.amazon.com/Freud-D0624A-Perma-Shield-Framing-10-Pack/dp/B00USCET84/ref=sr_1_9?keywords=Diablo+Tools+D0624X+6-1%2F2+in.+24-Tooth+Framing+Saw+Blade&amp;qid=1694735025&amp;sr=8-9")</f>
        <v/>
      </c>
      <c r="F3427" t="inlineStr">
        <is>
          <t>B00USCET84</t>
        </is>
      </c>
      <c r="G3427">
        <f>_xlfn.IMAGE("https://edmondsonsupply.com/cdn/shop/products/mfin0gl4ono6qztsnrth.webp?v=1678982694")</f>
        <v/>
      </c>
      <c r="H3427">
        <f>_xlfn.IMAGE("https://m.media-amazon.com/images/I/71vnuUdm-FL._AC_UL320_.jpg")</f>
        <v/>
      </c>
      <c r="K3427" t="inlineStr">
        <is>
          <t>11.97</t>
        </is>
      </c>
      <c r="L3427" t="n">
        <v>80.97</v>
      </c>
      <c r="M3427" s="1" t="inlineStr">
        <is>
          <t>576.44%</t>
        </is>
      </c>
      <c r="N3427" s="7" t="n">
        <v>64.64</v>
      </c>
      <c r="O3427" t="n">
        <v>4.7</v>
      </c>
      <c r="P3427" t="n">
        <v>230</v>
      </c>
      <c r="R3427" t="inlineStr">
        <is>
          <t>InStock</t>
        </is>
      </c>
      <c r="S3427" t="inlineStr">
        <is>
          <t>17.38</t>
        </is>
      </c>
      <c r="T3427" t="inlineStr">
        <is>
          <t>7962732855512</t>
        </is>
      </c>
    </row>
    <row r="3428" ht="87" customHeight="1">
      <c r="A3428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3428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3428" t="inlineStr">
        <is>
          <t>Klein Tools 635-1/4 1/4-Inch Nut Driver, Magnetic Tip, 4-Inch Shaft</t>
        </is>
      </c>
      <c r="D3428" t="inlineStr">
        <is>
          <t>Klein Tools 647M Tool Set, Magnetic Nut Drivers Sizes 3/16, 1/4, 5/16, 11/32, 3/8, 7/16, 1/2-Inch, 6-Inch Hollow Shafts, 7-Piece</t>
        </is>
      </c>
      <c r="E3428" s="2">
        <f>HYPERLINK("https://www.amazon.com/Klein-Tools-647M-Magnetic-7-Piece/dp/B000MKIUYQ/ref=sr_1_33?keywords=Klein+Tools+635-1%2F4+1%2F4-Inch+Nut+Driver%2C+Magnetic+Tip%2C+4-Inch+Shaft&amp;qid=1694735101&amp;sr=8-33", "https://www.amazon.com/Klein-Tools-647M-Magnetic-7-Piece/dp/B000MKIUYQ/ref=sr_1_33?keywords=Klein+Tools+635-1%2F4+1%2F4-Inch+Nut+Driver%2C+Magnetic+Tip%2C+4-Inch+Shaft&amp;qid=1694735101&amp;sr=8-33")</f>
        <v/>
      </c>
      <c r="F3428" t="inlineStr">
        <is>
          <t>B000MKIUYQ</t>
        </is>
      </c>
      <c r="G3428">
        <f>_xlfn.IMAGE("https://edmondsonsupply.com/cdn/shop/products/635-1-4.jpg?v=1666811523")</f>
        <v/>
      </c>
      <c r="H3428">
        <f>_xlfn.IMAGE("https://m.media-amazon.com/images/I/61PNUE211uL._AC_UL320_.jpg")</f>
        <v/>
      </c>
      <c r="K3428" t="inlineStr">
        <is>
          <t>11.99</t>
        </is>
      </c>
      <c r="L3428" t="n">
        <v>79.98999999999999</v>
      </c>
      <c r="M3428" s="1" t="inlineStr">
        <is>
          <t>567.14%</t>
        </is>
      </c>
      <c r="N3428" s="7" t="n">
        <v>64.20999999999999</v>
      </c>
      <c r="O3428" t="n">
        <v>4.8</v>
      </c>
      <c r="P3428" t="n">
        <v>985</v>
      </c>
      <c r="R3428" t="inlineStr">
        <is>
          <t>InStock</t>
        </is>
      </c>
      <c r="S3428" t="inlineStr">
        <is>
          <t>18.18</t>
        </is>
      </c>
      <c r="T3428" t="inlineStr">
        <is>
          <t>7866294010072</t>
        </is>
      </c>
    </row>
    <row r="3429" ht="87" customHeight="1">
      <c r="A3429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3429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3429" t="inlineStr">
        <is>
          <t>Klein Tools 6926INS Slim-Tip 1000V Insulated Screwdriver, 1/4-Inch Cabinet, 6-Inch</t>
        </is>
      </c>
      <c r="D3429" t="inlineStr">
        <is>
          <t>Klein Tools 94130 1000V Insulated Screwdriver Tool Set with #2 Phillips and 1/4-Inch Cabinet Slim Tips, 2 Pliers and Wire Stripper</t>
        </is>
      </c>
      <c r="E3429" s="2">
        <f>HYPERLINK("https://www.amazon.com/Klein-Tools-94130-Insulated-Screwdriver/dp/B088V99QGG/ref=sr_1_8?keywords=Klein+Tools+6926INS+Slim-Tip+1000V+Insulated+Screwdriver%2C+1%2F4-Inch+Cabinet%2C+6-Inch&amp;qid=1694735143&amp;sr=8-8", "https://www.amazon.com/Klein-Tools-94130-Insulated-Screwdriver/dp/B088V99QGG/ref=sr_1_8?keywords=Klein+Tools+6926INS+Slim-Tip+1000V+Insulated+Screwdriver%2C+1%2F4-Inch+Cabinet%2C+6-Inch&amp;qid=1694735143&amp;sr=8-8")</f>
        <v/>
      </c>
      <c r="F3429" t="inlineStr">
        <is>
          <t>B088V99QGG</t>
        </is>
      </c>
      <c r="G3429">
        <f>_xlfn.IMAGE("https://edmondsonsupply.com/cdn/shop/products/6926ins.jpg?v=1664803626")</f>
        <v/>
      </c>
      <c r="H3429">
        <f>_xlfn.IMAGE("https://m.media-amazon.com/images/I/61m+izyWx1L._AC_UL320_.jpg")</f>
        <v/>
      </c>
      <c r="K3429" t="inlineStr">
        <is>
          <t>14.99</t>
        </is>
      </c>
      <c r="L3429" t="n">
        <v>99.98999999999999</v>
      </c>
      <c r="M3429" s="1" t="inlineStr">
        <is>
          <t>567.04%</t>
        </is>
      </c>
      <c r="N3429" s="7" t="n">
        <v>63.71</v>
      </c>
      <c r="O3429" t="n">
        <v>4.8</v>
      </c>
      <c r="P3429" t="n">
        <v>1518</v>
      </c>
      <c r="R3429" t="inlineStr">
        <is>
          <t>InStock</t>
        </is>
      </c>
      <c r="S3429" t="inlineStr">
        <is>
          <t>20.98</t>
        </is>
      </c>
      <c r="T3429" t="inlineStr">
        <is>
          <t>7837578625240</t>
        </is>
      </c>
    </row>
    <row r="3430" ht="87" customHeight="1">
      <c r="A3430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430" s="2">
        <f>HYPERLINK("https://edmondsonsupply.com/products/klein-tools-et45-ac-dc-voltage-tester", "https://edmondsonsupply.com/products/klein-tools-et45-ac-dc-voltage-tester")</f>
        <v/>
      </c>
      <c r="C3430" t="inlineStr">
        <is>
          <t>Klein Tools ET45 AC/DC Voltage Tester</t>
        </is>
      </c>
      <c r="D3430" t="inlineStr">
        <is>
          <t>Klein Tools CL600 Electrical Tester, Digital Clamp Meter has Autorange TRMS, Measures AC Current, AC/DC Volts, Resistance, NCVT, More, 1000V</t>
        </is>
      </c>
      <c r="E3430" s="2">
        <f>HYPERLINK("https://www.amazon.com/Auto-Ranging-Resistance-Klein-Tools-CL600/dp/B019QMRR08/ref=sr_1_8?keywords=Klein+Tools+ET45+AC%2FDC+Voltage+Tester&amp;qid=1694735227&amp;sr=8-8", "https://www.amazon.com/Auto-Ranging-Resistance-Klein-Tools-CL600/dp/B019QMRR08/ref=sr_1_8?keywords=Klein+Tools+ET45+AC%2FDC+Voltage+Tester&amp;qid=1694735227&amp;sr=8-8")</f>
        <v/>
      </c>
      <c r="F3430" t="inlineStr">
        <is>
          <t>B019QMRR08</t>
        </is>
      </c>
      <c r="G3430">
        <f>_xlfn.IMAGE("https://edmondsonsupply.com/cdn/shop/products/et45.jpg?v=1647786270")</f>
        <v/>
      </c>
      <c r="H3430">
        <f>_xlfn.IMAGE("https://m.media-amazon.com/images/I/710JKvq4MxL._AC_UL320_.jpg")</f>
        <v/>
      </c>
      <c r="K3430" t="inlineStr">
        <is>
          <t>11.99</t>
        </is>
      </c>
      <c r="L3430" t="n">
        <v>79.97</v>
      </c>
      <c r="M3430" s="1" t="inlineStr">
        <is>
          <t>566.97%</t>
        </is>
      </c>
      <c r="N3430" s="7" t="n">
        <v>63.69</v>
      </c>
      <c r="O3430" t="n">
        <v>4.7</v>
      </c>
      <c r="P3430" t="n">
        <v>704</v>
      </c>
      <c r="R3430" t="inlineStr">
        <is>
          <t>InStock</t>
        </is>
      </c>
      <c r="S3430" t="inlineStr">
        <is>
          <t>16.72</t>
        </is>
      </c>
      <c r="T3430" t="inlineStr">
        <is>
          <t>3688633630820</t>
        </is>
      </c>
    </row>
    <row r="3431" ht="87" customHeight="1">
      <c r="A3431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431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431" t="inlineStr">
        <is>
          <t>Diablo Tools DMAPL4090 1/4 in. x 10 in. x 12 in. Rebar Demon™ SDS‑Plus 4‑Cutter Full Carbide Head Hammer Bit</t>
        </is>
      </c>
      <c r="D3431" t="inlineStr">
        <is>
          <t>Diablo by Freud DMAPL4040-P25 3/16 in. x 4 in. x 6 in. Rebar Demon™ SDS-Plus 4-Cutter Full Carbide Head Hammer Bit (25-Pack)</t>
        </is>
      </c>
      <c r="E3431" s="2" t="n"/>
      <c r="F3431" t="inlineStr">
        <is>
          <t>B089LKW42D</t>
        </is>
      </c>
      <c r="G3431">
        <f>_xlfn.IMAGE("https://edmondsonsupply.com/cdn/shop/products/nf6i5llohxcmlh9huvf0.webp?v=1670438124")</f>
        <v/>
      </c>
      <c r="H3431">
        <f>_xlfn.IMAGE("https://m.media-amazon.com/images/I/61WAyx865hL._AC_UL320_.jpg")</f>
        <v/>
      </c>
      <c r="K3431" t="inlineStr">
        <is>
          <t>11.97</t>
        </is>
      </c>
      <c r="L3431" t="n">
        <v>79.63</v>
      </c>
      <c r="M3431" s="1" t="inlineStr">
        <is>
          <t>565.25%</t>
        </is>
      </c>
      <c r="N3431" s="7" t="n">
        <v>63.4</v>
      </c>
      <c r="O3431" t="n">
        <v>5</v>
      </c>
      <c r="P3431" t="n">
        <v>2</v>
      </c>
      <c r="R3431" t="inlineStr">
        <is>
          <t>InStock</t>
        </is>
      </c>
      <c r="S3431" t="inlineStr">
        <is>
          <t>16.41</t>
        </is>
      </c>
      <c r="T3431" t="inlineStr">
        <is>
          <t>5317905973416</t>
        </is>
      </c>
    </row>
    <row r="3432" ht="87" customHeight="1">
      <c r="A3432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432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432" t="inlineStr">
        <is>
          <t>Diablo Tools DMAPL4140 3/8 in. x 4 in. x 6 in. Rebar Demon™ SDS-Plus 4-Cutter Full Carbide Head Hammer Bit</t>
        </is>
      </c>
      <c r="D3432" t="inlineStr">
        <is>
          <t>Diablo DMAPL4310 1 in. x 16 in. x 18 in. Rebar Demon™ SDS-Plus 4-Cutter Full Carbide Head Hammer Bit</t>
        </is>
      </c>
      <c r="E3432" s="2">
        <f>HYPERLINK("https://www.amazon.com/Diablo-DMAPL4310-SDS-Plus-4-Cutter-Carbide/dp/B089KX2VKR/ref=sr_1_30?keywords=Diablo+Tools+DMAPL4140+3%2F8+in.+x+4+in.+x+6+in.+Rebar+Demon%E2%84%A2+SDS-Plus+4-Cutter+Full+Carbide+Head+Hammer+Bit&amp;qid=1694735296&amp;sr=8-30", "https://www.amazon.com/Diablo-DMAPL4310-SDS-Plus-4-Cutter-Carbide/dp/B089KX2VKR/ref=sr_1_30?keywords=Diablo+Tools+DMAPL4140+3%2F8+in.+x+4+in.+x+6+in.+Rebar+Demon%E2%84%A2+SDS-Plus+4-Cutter+Full+Carbide+Head+Hammer+Bit&amp;qid=1694735296&amp;sr=8-30")</f>
        <v/>
      </c>
      <c r="F3432" t="inlineStr">
        <is>
          <t>B089KX2VKR</t>
        </is>
      </c>
      <c r="G3432">
        <f>_xlfn.IMAGE("https://edmondsonsupply.com/cdn/shop/products/DMAPL4140_Main-Image20200701.png?v=1633030360")</f>
        <v/>
      </c>
      <c r="H3432">
        <f>_xlfn.IMAGE("https://m.media-amazon.com/images/I/61iwxfqG2VL._AC_UL320_.jpg")</f>
        <v/>
      </c>
      <c r="K3432" t="inlineStr">
        <is>
          <t>7.29</t>
        </is>
      </c>
      <c r="L3432" t="n">
        <v>48.49</v>
      </c>
      <c r="M3432" s="1" t="inlineStr">
        <is>
          <t>565.16%</t>
        </is>
      </c>
      <c r="N3432" s="7" t="n">
        <v>63.23</v>
      </c>
      <c r="O3432" t="n">
        <v>4.5</v>
      </c>
      <c r="P3432" t="n">
        <v>32</v>
      </c>
      <c r="R3432" t="inlineStr">
        <is>
          <t>InStock</t>
        </is>
      </c>
      <c r="S3432" t="inlineStr">
        <is>
          <t>undefined</t>
        </is>
      </c>
      <c r="T3432" t="inlineStr">
        <is>
          <t>5286771949736</t>
        </is>
      </c>
    </row>
    <row r="3433" ht="87" customHeight="1">
      <c r="A3433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433" s="2">
        <f>HYPERLINK("https://edmondsonsupply.com/products/klein-tools-vdv500-705-tone-probe-test-and-trace-kit", "https://edmondsonsupply.com/products/klein-tools-vdv500-705-tone-probe-test-and-trace-kit")</f>
        <v/>
      </c>
      <c r="C3433" t="inlineStr">
        <is>
          <t>Klein Tools VDV500-705 Tone &amp; Probe Test and Trace Kit</t>
        </is>
      </c>
      <c r="D3433" t="inlineStr">
        <is>
          <t>Klein Tools VDV501-852 Cable Tester &amp; VDV500-820 Cable Tracer with Probe Tone Pro Kit for Telephone, Internet, Video, Data and Communications Cables</t>
        </is>
      </c>
      <c r="E3433" s="2">
        <f>HYPERLINK("https://www.amazon.com/Klein-Tools-VDV501-852-VDV500-820-Communications/dp/B09T6ZQC3M/ref=sr_1_14?keywords=Klein+Tools+VDV500-705+Tone&amp;qid=1694735386&amp;sr=8-14", "https://www.amazon.com/Klein-Tools-VDV501-852-VDV500-820-Communications/dp/B09T6ZQC3M/ref=sr_1_14?keywords=Klein+Tools+VDV500-705+Tone&amp;qid=1694735386&amp;sr=8-14")</f>
        <v/>
      </c>
      <c r="F3433" t="inlineStr">
        <is>
          <t>B09T6ZQC3M</t>
        </is>
      </c>
      <c r="G3433">
        <f>_xlfn.IMAGE("https://edmondsonsupply.com/cdn/shop/products/vdv500705.jpg?v=1587144799")</f>
        <v/>
      </c>
      <c r="H3433">
        <f>_xlfn.IMAGE("https://m.media-amazon.com/images/I/51oudE9XVlL._AC_UY218_.jpg")</f>
        <v/>
      </c>
      <c r="K3433" t="inlineStr">
        <is>
          <t>39.97</t>
        </is>
      </c>
      <c r="L3433" t="n">
        <v>264.96</v>
      </c>
      <c r="M3433" s="1" t="inlineStr">
        <is>
          <t>562.90%</t>
        </is>
      </c>
      <c r="N3433" s="7" t="n">
        <v>62.89</v>
      </c>
      <c r="O3433" t="n">
        <v>5</v>
      </c>
      <c r="P3433" t="n">
        <v>1</v>
      </c>
      <c r="R3433" t="inlineStr">
        <is>
          <t>InStock</t>
        </is>
      </c>
      <c r="S3433" t="inlineStr">
        <is>
          <t>55.98</t>
        </is>
      </c>
      <c r="T3433" t="inlineStr">
        <is>
          <t>4412899590244</t>
        </is>
      </c>
    </row>
    <row r="3434" ht="87" customHeight="1">
      <c r="A3434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434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434" t="inlineStr">
        <is>
          <t>Diablo Tools DMAPL4060 1/4 in. x 2 in. x 4 in. Rebar Demon™ SDS‑Plus 4‑Cutter Full Carbide Head Hammer Bit</t>
        </is>
      </c>
      <c r="D3434" t="inlineStr">
        <is>
          <t>Diablo by Freud DMAPL4200 1/2 in. x 16 in. x 18 in. Rebar Demon SDS-Plus 4-Cutter Full Carbide Head Hammer Bit</t>
        </is>
      </c>
      <c r="E3434" s="2">
        <f>HYPERLINK("https://www.amazon.com/Diablo-Freud-DMAPL4200-SDS-Plus-4-Cutter/dp/B089KW2QV1/ref=sr_1_11?keywords=Diablo+Tools+DMAPL4060+1%2F4+in.+x+2+in.+x+4+in.+Rebar+Demon%E2%84%A2+SDS%E2%80%91Plus+4%E2%80%91Cutter+Full+Carbide+Head+Hammer+Bit&amp;qid=1694735165&amp;sr=8-11", "https://www.amazon.com/Diablo-Freud-DMAPL4200-SDS-Plus-4-Cutter/dp/B089KW2QV1/ref=sr_1_11?keywords=Diablo+Tools+DMAPL4060+1%2F4+in.+x+2+in.+x+4+in.+Rebar+Demon%E2%84%A2+SDS%E2%80%91Plus+4%E2%80%91Cutter+Full+Carbide+Head+Hammer+Bit&amp;qid=1694735165&amp;sr=8-11")</f>
        <v/>
      </c>
      <c r="F3434" t="inlineStr">
        <is>
          <t>B089KW2QV1</t>
        </is>
      </c>
      <c r="G3434">
        <f>_xlfn.IMAGE("https://edmondsonsupply.com/cdn/shop/products/4060.webp?v=1647637028")</f>
        <v/>
      </c>
      <c r="H3434">
        <f>_xlfn.IMAGE("https://m.media-amazon.com/images/I/61rW+ROVmNL._AC_UL320_.jpg")</f>
        <v/>
      </c>
      <c r="K3434" t="inlineStr">
        <is>
          <t>3.47</t>
        </is>
      </c>
      <c r="L3434" t="n">
        <v>23</v>
      </c>
      <c r="M3434" s="1" t="inlineStr">
        <is>
          <t>562.82%</t>
        </is>
      </c>
      <c r="N3434" s="7" t="n">
        <v>62.74</v>
      </c>
      <c r="O3434" t="n">
        <v>4.7</v>
      </c>
      <c r="P3434" t="n">
        <v>18</v>
      </c>
      <c r="R3434" t="inlineStr">
        <is>
          <t>InStock</t>
        </is>
      </c>
      <c r="S3434" t="inlineStr">
        <is>
          <t>6.0</t>
        </is>
      </c>
      <c r="T3434" t="inlineStr">
        <is>
          <t>7639203807448</t>
        </is>
      </c>
    </row>
    <row r="3435" ht="87" customHeight="1">
      <c r="A3435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435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435" t="inlineStr">
        <is>
          <t>Diablo Tools DMAPL4090 1/4 in. x 10 in. x 12 in. Rebar Demon™ SDS‑Plus 4‑Cutter Full Carbide Head Hammer Bit</t>
        </is>
      </c>
      <c r="D3435" t="inlineStr">
        <is>
          <t>Diablo DMAMX1110 5/8 in. x 24 in. x 29 in. Rebar Demon™ SDS-Max 4-Cutter Full Carbide Head Hammer Bit</t>
        </is>
      </c>
      <c r="E3435" s="2">
        <f>HYPERLINK("https://www.amazon.com/Diablo-SDS-Max-4-Cutter-Carbide-Hammer/dp/B089LJ9GHW/ref=sr_1_29?keywords=Diablo+Tools+DMAPL4090+1%2F4+in.+x+10+in.+x+12+in.+Rebar+Demon%E2%84%A2+SDS%E2%80%91Plus+4%E2%80%91Cutter+Full+Carbide+Head+Hammer+Bit&amp;qid=1694735288&amp;sr=8-29", "https://www.amazon.com/Diablo-SDS-Max-4-Cutter-Carbide-Hammer/dp/B089LJ9GHW/ref=sr_1_29?keywords=Diablo+Tools+DMAPL4090+1%2F4+in.+x+10+in.+x+12+in.+Rebar+Demon%E2%84%A2+SDS%E2%80%91Plus+4%E2%80%91Cutter+Full+Carbide+Head+Hammer+Bit&amp;qid=1694735288&amp;sr=8-29")</f>
        <v/>
      </c>
      <c r="F3435" t="inlineStr">
        <is>
          <t>B089LJ9GHW</t>
        </is>
      </c>
      <c r="G3435">
        <f>_xlfn.IMAGE("https://edmondsonsupply.com/cdn/shop/products/nf6i5llohxcmlh9huvf0.webp?v=1670438124")</f>
        <v/>
      </c>
      <c r="H3435">
        <f>_xlfn.IMAGE("https://m.media-amazon.com/images/I/61vWAd-z8eL._AC_UL320_.jpg")</f>
        <v/>
      </c>
      <c r="K3435" t="inlineStr">
        <is>
          <t>11.97</t>
        </is>
      </c>
      <c r="L3435" t="n">
        <v>78.98999999999999</v>
      </c>
      <c r="M3435" s="1" t="inlineStr">
        <is>
          <t>559.90%</t>
        </is>
      </c>
      <c r="N3435" s="7" t="n">
        <v>62.69</v>
      </c>
      <c r="O3435" t="n">
        <v>4.7</v>
      </c>
      <c r="P3435" t="n">
        <v>4</v>
      </c>
      <c r="R3435" t="inlineStr">
        <is>
          <t>InStock</t>
        </is>
      </c>
      <c r="S3435" t="inlineStr">
        <is>
          <t>16.41</t>
        </is>
      </c>
      <c r="T3435" t="inlineStr">
        <is>
          <t>5317905973416</t>
        </is>
      </c>
    </row>
    <row r="3436" hidden="1" ht="15.75" customHeight="1">
      <c r="A3436" s="2">
        <f>HYPERLINK("https://edmondsonsupply.com/collections/electricians-tools/products/diablo-tools-dmapl4150-3-8-in-x-6-in-x-8-in-rebar-demon%E2%84%A2-sds-plus-4-cutter-full-carbide-head-hammer-drill-bit", "https://edmondsonsupply.com/collections/electricians-tools/products/diablo-tools-dmapl4150-3-8-in-x-6-in-x-8-in-rebar-demon%E2%84%A2-sds-plus-4-cutter-full-carbide-head-hammer-drill-bit")</f>
        <v/>
      </c>
      <c r="B3436" s="2">
        <f>HYPERLINK("https://edmondsonsupply.com/products/diablo-tools-dmapl4150-3-8-in-x-6-in-x-8-in-rebar-demon%e2%84%a2-sds-plus-4-cutter-full-carbide-head-hammer-drill-bit", "https://edmondsonsupply.com/products/diablo-tools-dmapl4150-3-8-in-x-6-in-x-8-in-rebar-demon%e2%84%a2-sds-plus-4-cutter-full-carbide-head-hammer-drill-bit")</f>
        <v/>
      </c>
      <c r="C3436" t="inlineStr">
        <is>
          <t>Diablo Tools DMAPL4150 3/8 in. x 6 in. x 8 in. Rebar Demon™ SDS‑Plus 4‑Cutter Full Carbide Head Hammer Drill Bit</t>
        </is>
      </c>
      <c r="D3436" t="inlineStr">
        <is>
          <t>Diablo DMAMX1180 7/8 in. x 16 in. x 21 in. Rebar Demon™ SDS-Max 4-Cutter Full Carbide Head Hammer Bit</t>
        </is>
      </c>
      <c r="E3436" s="2" t="n"/>
      <c r="F3436" t="inlineStr">
        <is>
          <t>B089KWFF8B</t>
        </is>
      </c>
      <c r="G3436">
        <f>_xludf.IMAGE("https://edmondsonsupply.com/cdn/shop/products/DMAPL4150_Main-Image20200701.png?v=1633030763")</f>
        <v/>
      </c>
      <c r="H3436">
        <f>_xludf.IMAGE("https://m.media-amazon.com/images/I/611fTcYRNFL._AC_UL320_.jpg")</f>
        <v/>
      </c>
      <c r="K3436" t="inlineStr">
        <is>
          <t>7.97</t>
        </is>
      </c>
      <c r="L3436" t="n">
        <v>52.51</v>
      </c>
      <c r="M3436" s="1" t="inlineStr">
        <is>
          <t>558.85%</t>
        </is>
      </c>
      <c r="N3436" s="1" t="n">
        <v>62.65</v>
      </c>
      <c r="O3436" t="n">
        <v>3.5</v>
      </c>
      <c r="P3436" t="n">
        <v>3</v>
      </c>
      <c r="R3436" t="inlineStr">
        <is>
          <t>InStock</t>
        </is>
      </c>
      <c r="S3436" t="inlineStr">
        <is>
          <t>10.0</t>
        </is>
      </c>
      <c r="T3436" t="inlineStr">
        <is>
          <t>5918108450984</t>
        </is>
      </c>
    </row>
    <row r="3437" ht="87" customHeight="1">
      <c r="A3437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3437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3437" t="inlineStr">
        <is>
          <t>Klein Tools 630-7/16M 7/16-Inch Magnetic Tip Nut Driver 3-Inch Shaft</t>
        </is>
      </c>
      <c r="D3437" t="inlineStr">
        <is>
          <t>Klein Tools 647M Tool Set, Magnetic Nut Drivers Sizes 3/16, 1/4, 5/16, 11/32, 3/8, 7/16, 1/2-Inch, 6-Inch Hollow Shafts, 7-Piece</t>
        </is>
      </c>
      <c r="E3437" s="2">
        <f>HYPERLINK("https://www.amazon.com/Klein-Tools-647M-Magnetic-7-Piece/dp/B000MKIUYQ/ref=sr_1_27?keywords=Klein+Tools+630-7%2F16M+7%2F16-Inch+Magnetic+Tip+Nut+Driver+3-Inch+Shaft&amp;qid=1694735273&amp;sr=8-27", "https://www.amazon.com/Klein-Tools-647M-Magnetic-7-Piece/dp/B000MKIUYQ/ref=sr_1_27?keywords=Klein+Tools+630-7%2F16M+7%2F16-Inch+Magnetic+Tip+Nut+Driver+3-Inch+Shaft&amp;qid=1694735273&amp;sr=8-27")</f>
        <v/>
      </c>
      <c r="F3437" t="inlineStr">
        <is>
          <t>B000MKIUYQ</t>
        </is>
      </c>
      <c r="G3437">
        <f>_xlfn.IMAGE("https://edmondsonsupply.com/cdn/shop/products/630-7-16m.jpg?v=1633030529")</f>
        <v/>
      </c>
      <c r="H3437">
        <f>_xlfn.IMAGE("https://m.media-amazon.com/images/I/61PNUE211uL._AC_UL320_.jpg")</f>
        <v/>
      </c>
      <c r="K3437" t="inlineStr">
        <is>
          <t>12.24</t>
        </is>
      </c>
      <c r="L3437" t="n">
        <v>79.98999999999999</v>
      </c>
      <c r="M3437" s="1" t="inlineStr">
        <is>
          <t>553.51%</t>
        </is>
      </c>
      <c r="N3437" s="7" t="n">
        <v>62.6</v>
      </c>
      <c r="O3437" t="n">
        <v>4.8</v>
      </c>
      <c r="P3437" t="n">
        <v>985</v>
      </c>
      <c r="R3437" t="inlineStr">
        <is>
          <t>InStock</t>
        </is>
      </c>
      <c r="S3437" t="inlineStr">
        <is>
          <t>18.54</t>
        </is>
      </c>
      <c r="T3437" t="inlineStr">
        <is>
          <t>5408853819560</t>
        </is>
      </c>
    </row>
    <row r="3438" ht="87" customHeight="1">
      <c r="A3438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3438" s="2">
        <f>HYPERLINK("https://edmondsonsupply.com/products/klein-tools-66076-flip-impact-socket-9-16-and-1-2-inch", "https://edmondsonsupply.com/products/klein-tools-66076-flip-impact-socket-9-16-and-1-2-inch")</f>
        <v/>
      </c>
      <c r="C3438" t="inlineStr">
        <is>
          <t>Klein Tools 66076 Flip Impact Socket, 9/16 and 1/2-Inch</t>
        </is>
      </c>
      <c r="D3438" t="inlineStr">
        <is>
          <t>Klein Tools 66070 Impact Socket Set, Impact Driver Flip Socket, Five Sockets with 1/4-Inch Hex and 1/2-Inch Square Socket Adapters, 7-Piece</t>
        </is>
      </c>
      <c r="E3438" s="2">
        <f>HYPERLINK("https://www.amazon.com/Klein-Tools-66070-Impact-7-Piece/dp/B0BGZPWNJQ/ref=sr_1_4?keywords=Klein+Tools+66076+Flip+Impact+Socket%2C+9%2F16+and+1%2F2-Inch&amp;qid=1694735129&amp;sr=8-4", "https://www.amazon.com/Klein-Tools-66070-Impact-7-Piece/dp/B0BGZPWNJQ/ref=sr_1_4?keywords=Klein+Tools+66076+Flip+Impact+Socket%2C+9%2F16+and+1%2F2-Inch&amp;qid=1694735129&amp;sr=8-4")</f>
        <v/>
      </c>
      <c r="F3438" t="inlineStr">
        <is>
          <t>B0BGZPWNJQ</t>
        </is>
      </c>
      <c r="G3438">
        <f>_xlfn.IMAGE("https://edmondsonsupply.com/cdn/shop/products/66076.jpg?v=1663083814")</f>
        <v/>
      </c>
      <c r="H3438">
        <f>_xlfn.IMAGE("https://m.media-amazon.com/images/I/519cDb-A9oL._AC_UL320_.jpg")</f>
        <v/>
      </c>
      <c r="K3438" t="inlineStr">
        <is>
          <t>10.71</t>
        </is>
      </c>
      <c r="L3438" t="n">
        <v>69.95999999999999</v>
      </c>
      <c r="M3438" s="1" t="inlineStr">
        <is>
          <t>553.22%</t>
        </is>
      </c>
      <c r="N3438" s="7" t="n">
        <v>62.44</v>
      </c>
      <c r="O3438" t="n">
        <v>4.8</v>
      </c>
      <c r="P3438" t="n">
        <v>18</v>
      </c>
      <c r="R3438" t="inlineStr">
        <is>
          <t>InStock</t>
        </is>
      </c>
      <c r="S3438" t="inlineStr">
        <is>
          <t>15.0</t>
        </is>
      </c>
      <c r="T3438" t="inlineStr">
        <is>
          <t>7814133874904</t>
        </is>
      </c>
    </row>
    <row r="3439" ht="87" customHeight="1">
      <c r="A3439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439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439" t="inlineStr">
        <is>
          <t>Diablo Tools DMAPL4100 1/4 in. x 16 in. x 18 in. Rebar Demon™ SDS‑Plus 4‑Cutter Full Carbide Head Hammer Bit</t>
        </is>
      </c>
      <c r="D3439" t="inlineStr">
        <is>
          <t>Diablo DMAMX1230 1 in. x 24 in. x 29 in. Rebar Demon™ SDS-Max 4-Cutter Full Carbide Head Hammer Bit</t>
        </is>
      </c>
      <c r="E3439" s="2" t="n"/>
      <c r="F3439" t="inlineStr">
        <is>
          <t>B089KWMBLT</t>
        </is>
      </c>
      <c r="G3439">
        <f>_xlfn.IMAGE("https://edmondsonsupply.com/cdn/shop/products/DMAPL4100_Main-Image20200701.png?v=1633030520")</f>
        <v/>
      </c>
      <c r="H3439">
        <f>_xlfn.IMAGE("https://m.media-amazon.com/images/I/61B-wgZVzML._AC_UL320_.jpg")</f>
        <v/>
      </c>
      <c r="K3439" t="inlineStr">
        <is>
          <t>16.97</t>
        </is>
      </c>
      <c r="L3439" t="n">
        <v>109.99</v>
      </c>
      <c r="M3439" s="1" t="inlineStr">
        <is>
          <t>548.14%</t>
        </is>
      </c>
      <c r="N3439" s="7" t="n">
        <v>62.44</v>
      </c>
      <c r="O3439" t="n">
        <v>4.6</v>
      </c>
      <c r="P3439" t="n">
        <v>3</v>
      </c>
      <c r="R3439" t="inlineStr">
        <is>
          <t>InStock</t>
        </is>
      </c>
      <c r="S3439" t="inlineStr">
        <is>
          <t>undefined</t>
        </is>
      </c>
      <c r="T3439" t="inlineStr">
        <is>
          <t>5399840882856</t>
        </is>
      </c>
    </row>
    <row r="3440" ht="87" customHeight="1">
      <c r="A3440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440" s="2">
        <f>HYPERLINK("https://edmondsonsupply.com/products/klein-tools-rt250-gfci-receptacle-tester-with-lcd", "https://edmondsonsupply.com/products/klein-tools-rt250-gfci-receptacle-tester-with-lcd")</f>
        <v/>
      </c>
      <c r="C3440" t="inlineStr">
        <is>
          <t>Klein Tools RT250 GFCI Receptacle Tester with LCD</t>
        </is>
      </c>
      <c r="D3440" t="inlineStr">
        <is>
          <t>Klein Tools ET110 CO Meter, Carbon Monoxide Tester and Detector &amp; RT250 GFCI Receptacle Tester with LCD Display, for Standard 3-Wire 120V Electrical Outlets</t>
        </is>
      </c>
      <c r="E3440" s="2">
        <f>HYPERLINK("https://www.amazon.com/Klein-Tools-Monoxide-Receptacle-Electrical/dp/B09Z6QQRSP/ref=sr_1_39?keywords=Klein+Tools+RT250+GFCI+Receptacle+Tester+with+LCD&amp;qid=1694735148&amp;sr=8-39", "https://www.amazon.com/Klein-Tools-Monoxide-Receptacle-Electrical/dp/B09Z6QQRSP/ref=sr_1_39?keywords=Klein+Tools+RT250+GFCI+Receptacle+Tester+with+LCD&amp;qid=1694735148&amp;sr=8-39")</f>
        <v/>
      </c>
      <c r="F3440" t="inlineStr">
        <is>
          <t>B09Z6QQRSP</t>
        </is>
      </c>
      <c r="G3440">
        <f>_xlfn.IMAGE("https://edmondsonsupply.com/cdn/shop/products/rt250_photo_c.jpg?v=1661363824")</f>
        <v/>
      </c>
      <c r="H3440">
        <f>_xlfn.IMAGE("https://m.media-amazon.com/images/I/51D2MfCOEdL._AC_UL320_.jpg")</f>
        <v/>
      </c>
      <c r="K3440" t="inlineStr">
        <is>
          <t>21.97</t>
        </is>
      </c>
      <c r="L3440" t="n">
        <v>141.96</v>
      </c>
      <c r="M3440" s="1" t="inlineStr">
        <is>
          <t>546.15%</t>
        </is>
      </c>
      <c r="N3440" s="7" t="n">
        <v>62.39</v>
      </c>
      <c r="O3440" t="n">
        <v>5</v>
      </c>
      <c r="P3440" t="n">
        <v>1</v>
      </c>
      <c r="R3440" t="inlineStr">
        <is>
          <t>InStock</t>
        </is>
      </c>
      <c r="S3440" t="inlineStr">
        <is>
          <t>30.78</t>
        </is>
      </c>
      <c r="T3440" t="inlineStr">
        <is>
          <t>7793138729176</t>
        </is>
      </c>
    </row>
    <row r="3441" ht="87" customHeight="1">
      <c r="A3441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3441" s="2">
        <f>HYPERLINK("https://edmondsonsupply.com/products/klein-tools-630-5-8-nut-driver-5-8-inch-4-inch-hollow-shaft", "https://edmondsonsupply.com/products/klein-tools-630-5-8-nut-driver-5-8-inch-4-inch-hollow-shaft")</f>
        <v/>
      </c>
      <c r="C3441" t="inlineStr">
        <is>
          <t>Klein Tools 630-5/8 Nut Driver, 5/8-Inch, 4-Inch Hollow Shaft</t>
        </is>
      </c>
      <c r="D3441" t="inlineStr">
        <is>
          <t>Klein Tools 635-6 Tool Set, Heavy Duty Magnetic Nut Drivers SAE Sizes 1/4, 5/16, 3/8, 7/16, 1/2, and 9/16-Inch Hex, 6-Inch, 6-Piece</t>
        </is>
      </c>
      <c r="E3441" s="2">
        <f>HYPERLINK("https://www.amazon.com/Heavy-Duty-Driver-6-Piece-Klein-Tools/dp/B01DKNDHGM/ref=sr_1_14?keywords=Klein+Tools+630-5%2F8+Nut+Driver%2C+5%2F8-Inch%2C+4-Inch+Hollow+Shaft&amp;qid=1694735205&amp;sr=8-14", "https://www.amazon.com/Heavy-Duty-Driver-6-Piece-Klein-Tools/dp/B01DKNDHGM/ref=sr_1_14?keywords=Klein+Tools+630-5%2F8+Nut+Driver%2C+5%2F8-Inch%2C+4-Inch+Hollow+Shaft&amp;qid=1694735205&amp;sr=8-14")</f>
        <v/>
      </c>
      <c r="F3441" t="inlineStr">
        <is>
          <t>B01DKNDHGM</t>
        </is>
      </c>
      <c r="G3441">
        <f>_xlfn.IMAGE("https://edmondsonsupply.com/cdn/shop/products/630-1-2_df0ca74a-79e7-41f4-ad94-60312e01e692.jpg?v=1633031052")</f>
        <v/>
      </c>
      <c r="H3441">
        <f>_xlfn.IMAGE("https://m.media-amazon.com/images/I/61eypCy1RLL._AC_UL320_.jpg")</f>
        <v/>
      </c>
      <c r="K3441" t="inlineStr">
        <is>
          <t>12.49</t>
        </is>
      </c>
      <c r="L3441" t="n">
        <v>79.98999999999999</v>
      </c>
      <c r="M3441" s="1" t="inlineStr">
        <is>
          <t>540.43%</t>
        </is>
      </c>
      <c r="N3441" s="7" t="n">
        <v>62.2</v>
      </c>
      <c r="O3441" t="n">
        <v>4.7</v>
      </c>
      <c r="P3441" t="n">
        <v>943</v>
      </c>
      <c r="R3441" t="inlineStr">
        <is>
          <t>InStock</t>
        </is>
      </c>
      <c r="S3441" t="inlineStr">
        <is>
          <t>18.92</t>
        </is>
      </c>
      <c r="T3441" t="inlineStr">
        <is>
          <t>6781025386669</t>
        </is>
      </c>
    </row>
    <row r="3442" ht="87" customHeight="1">
      <c r="A3442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442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442" t="inlineStr">
        <is>
          <t>Klein Tools JTH4E09 9/64-Inch Hex Key Journeyman T-Handle 4-Inch</t>
        </is>
      </c>
      <c r="D3442" t="inlineStr">
        <is>
          <t>Klein Tools JTH9E17 1/2-Inch Hex Key, Journeyman T-Handle, 9-Inch</t>
        </is>
      </c>
      <c r="E3442" s="2">
        <f>HYPERLINK("https://www.amazon.com/Journeyman-T-Handle-Klein-Tools-JTH9E17/dp/B004QV6NL4/ref=sr_1_10?keywords=Klein+Tools+JTH4E09+9%2F64-Inch+Hex+Key+Journeyman+T-Handle+4-Inch&amp;qid=1694735175&amp;sr=8-10", "https://www.amazon.com/Journeyman-T-Handle-Klein-Tools-JTH9E17/dp/B004QV6NL4/ref=sr_1_10?keywords=Klein+Tools+JTH4E09+9%2F64-Inch+Hex+Key+Journeyman+T-Handle+4-Inch&amp;qid=1694735175&amp;sr=8-10")</f>
        <v/>
      </c>
      <c r="F3442" t="inlineStr">
        <is>
          <t>B004QV6NL4</t>
        </is>
      </c>
      <c r="G3442">
        <f>_xlfn.IMAGE("https://edmondsonsupply.com/cdn/shop/products/jth4e06_be5118a6-2e9d-44f5-81ad-c027572dd2d3.jpg?v=1635981570")</f>
        <v/>
      </c>
      <c r="H3442">
        <f>_xlfn.IMAGE("https://m.media-amazon.com/images/I/51Yb8h41vLL._AC_UL320_.jpg")</f>
        <v/>
      </c>
      <c r="K3442" t="inlineStr">
        <is>
          <t>3.79</t>
        </is>
      </c>
      <c r="L3442" t="n">
        <v>23.99</v>
      </c>
      <c r="M3442" s="1" t="inlineStr">
        <is>
          <t>532.98%</t>
        </is>
      </c>
      <c r="N3442" s="7" t="n">
        <v>62.2</v>
      </c>
      <c r="O3442" t="n">
        <v>4.8</v>
      </c>
      <c r="P3442" t="n">
        <v>193</v>
      </c>
      <c r="R3442" t="inlineStr">
        <is>
          <t>InStock</t>
        </is>
      </c>
      <c r="S3442" t="inlineStr">
        <is>
          <t>5.76</t>
        </is>
      </c>
      <c r="T3442" t="inlineStr">
        <is>
          <t>7434795876568</t>
        </is>
      </c>
    </row>
    <row r="3443" ht="87" customHeight="1">
      <c r="A3443" s="2">
        <f>HYPERLINK("https://edmondsonsupply.com/collections/electricians-tools/products/klein-tools-jth4e08-1-8-inch-hex-key-journeyman-t-handle-4-inch", "https://edmondsonsupply.com/collections/electricians-tools/products/klein-tools-jth4e08-1-8-inch-hex-key-journeyman-t-handle-4-inch")</f>
        <v/>
      </c>
      <c r="B3443" s="2">
        <f>HYPERLINK("https://edmondsonsupply.com/products/klein-tools-jth4e08-1-8-inch-hex-key-journeyman-t-handle-4-inch", "https://edmondsonsupply.com/products/klein-tools-jth4e08-1-8-inch-hex-key-journeyman-t-handle-4-inch")</f>
        <v/>
      </c>
      <c r="C3443" t="inlineStr">
        <is>
          <t>Klein Tools JTH4E08 1/8-Inch Hex Key, Journeyman T-Handle, 4-Inch</t>
        </is>
      </c>
      <c r="D3443" t="inlineStr">
        <is>
          <t>Klein Tools JTH9E17 1/2-Inch Hex Key, Journeyman T-Handle, 9-Inch</t>
        </is>
      </c>
      <c r="E3443" s="2">
        <f>HYPERLINK("https://www.amazon.com/Journeyman-T-Handle-Klein-Tools-JTH9E17/dp/B004QV6NL4/ref=sr_1_12?keywords=Klein+Tools+JTH4E08+1%2F8-Inch+Hex+Key%2C+Journeyman+T-Handle%2C+4-Inch&amp;qid=1694735164&amp;sr=8-12", "https://www.amazon.com/Journeyman-T-Handle-Klein-Tools-JTH9E17/dp/B004QV6NL4/ref=sr_1_12?keywords=Klein+Tools+JTH4E08+1%2F8-Inch+Hex+Key%2C+Journeyman+T-Handle%2C+4-Inch&amp;qid=1694735164&amp;sr=8-12")</f>
        <v/>
      </c>
      <c r="F3443" t="inlineStr">
        <is>
          <t>B004QV6NL4</t>
        </is>
      </c>
      <c r="G3443">
        <f>_xlfn.IMAGE("https://edmondsonsupply.com/cdn/shop/products/jth4e06_0950e3ec-22b0-4cdd-acd1-822980009e67.jpg?v=1645564818")</f>
        <v/>
      </c>
      <c r="H3443">
        <f>_xlfn.IMAGE("https://m.media-amazon.com/images/I/51Yb8h41vLL._AC_UL320_.jpg")</f>
        <v/>
      </c>
      <c r="K3443" t="inlineStr">
        <is>
          <t>3.79</t>
        </is>
      </c>
      <c r="L3443" t="n">
        <v>23.99</v>
      </c>
      <c r="M3443" s="1" t="inlineStr">
        <is>
          <t>532.98%</t>
        </is>
      </c>
      <c r="N3443" s="7" t="n">
        <v>62.09</v>
      </c>
      <c r="O3443" t="n">
        <v>4.8</v>
      </c>
      <c r="P3443" t="n">
        <v>193</v>
      </c>
      <c r="R3443" t="inlineStr">
        <is>
          <t>InStock</t>
        </is>
      </c>
      <c r="S3443" t="inlineStr">
        <is>
          <t>5.74</t>
        </is>
      </c>
      <c r="T3443" t="inlineStr">
        <is>
          <t>7614347509976</t>
        </is>
      </c>
    </row>
    <row r="3444" ht="87" customHeight="1">
      <c r="A3444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444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444" t="inlineStr">
        <is>
          <t>Diablo Tools DMAPL4060 1/4 in. x 2 in. x 4 in. Rebar Demon™ SDS‑Plus 4‑Cutter Full Carbide Head Hammer Bit</t>
        </is>
      </c>
      <c r="D3444" t="inlineStr">
        <is>
          <t>Diablo by Freud DMAPL4230 5/8 in. x 10 in. x 12 in. Rebar Demon SDS-Plus 4-Cutter Full Carbide Head Hammer Bit</t>
        </is>
      </c>
      <c r="E3444" s="2">
        <f>HYPERLINK("https://www.amazon.com/Diablo-Freud-DMAPL4230-SDS-Plus-4-Cutter/dp/B089LCN234/ref=sr_1_17?keywords=Diablo+Tools+DMAPL4060+1%2F4+in.+x+2+in.+x+4+in.+Rebar+Demon%E2%84%A2+SDS%E2%80%91Plus+4%E2%80%91Cutter+Full+Carbide+Head+Hammer+Bit&amp;qid=1694735165&amp;sr=8-17", "https://www.amazon.com/Diablo-Freud-DMAPL4230-SDS-Plus-4-Cutter/dp/B089LCN234/ref=sr_1_17?keywords=Diablo+Tools+DMAPL4060+1%2F4+in.+x+2+in.+x+4+in.+Rebar+Demon%E2%84%A2+SDS%E2%80%91Plus+4%E2%80%91Cutter+Full+Carbide+Head+Hammer+Bit&amp;qid=1694735165&amp;sr=8-17")</f>
        <v/>
      </c>
      <c r="F3444" t="inlineStr">
        <is>
          <t>B089LCN234</t>
        </is>
      </c>
      <c r="G3444">
        <f>_xlfn.IMAGE("https://edmondsonsupply.com/cdn/shop/products/4060.webp?v=1647637028")</f>
        <v/>
      </c>
      <c r="H3444">
        <f>_xlfn.IMAGE("https://m.media-amazon.com/images/I/61r649wmyhL._AC_UL320_.jpg")</f>
        <v/>
      </c>
      <c r="K3444" t="inlineStr">
        <is>
          <t>3.47</t>
        </is>
      </c>
      <c r="L3444" t="n">
        <v>21.86</v>
      </c>
      <c r="M3444" s="1" t="inlineStr">
        <is>
          <t>529.97%</t>
        </is>
      </c>
      <c r="N3444" s="7" t="n">
        <v>62.05</v>
      </c>
      <c r="O3444" t="n">
        <v>4.7</v>
      </c>
      <c r="P3444" t="n">
        <v>47</v>
      </c>
      <c r="R3444" t="inlineStr">
        <is>
          <t>InStock</t>
        </is>
      </c>
      <c r="S3444" t="inlineStr">
        <is>
          <t>6.0</t>
        </is>
      </c>
      <c r="T3444" t="inlineStr">
        <is>
          <t>7639203807448</t>
        </is>
      </c>
    </row>
    <row r="3445" ht="87" customHeight="1">
      <c r="A3445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3445" s="2">
        <f>HYPERLINK("https://edmondsonsupply.com/products/diablo-tools-dmapl2140-1-4-in-x-4-in-x-6-in-sds-plus-2-cutter", "https://edmondsonsupply.com/products/diablo-tools-dmapl2140-1-4-in-x-4-in-x-6-in-sds-plus-2-cutter")</f>
        <v/>
      </c>
      <c r="C3445" t="inlineStr">
        <is>
          <t>Diablo Tools DMAPL2140 1/4 in. x 4 in. x 6 in. SDS‑Plus 2‑Cutter</t>
        </is>
      </c>
      <c r="D3445" t="inlineStr">
        <is>
          <t>Diablo 1/4 in. x 4 in. x 6 in. SDS-Plus 2-Cutter (25-Pack)</t>
        </is>
      </c>
      <c r="E3445" s="2">
        <f>HYPERLINK("https://www.amazon.com/Diablo-DMAPL2140-P25-SDS-Plus-2-Cutter-25-Pack/dp/B089KX3SWP/ref=sr_1_1?keywords=Diablo+Tools+DMAPL2140+1%2F4+in.+x+4+in.+x+6+in.+SDS%E2%80%91Plus+2%E2%80%91Cutter&amp;qid=1694735261&amp;sr=8-1", "https://www.amazon.com/Diablo-DMAPL2140-P25-SDS-Plus-2-Cutter-25-Pack/dp/B089KX3SWP/ref=sr_1_1?keywords=Diablo+Tools+DMAPL2140+1%2F4+in.+x+4+in.+x+6+in.+SDS%E2%80%91Plus+2%E2%80%91Cutter&amp;qid=1694735261&amp;sr=8-1")</f>
        <v/>
      </c>
      <c r="F3445" t="inlineStr">
        <is>
          <t>B089KX3SWP</t>
        </is>
      </c>
      <c r="G3445">
        <f>_xlfn.IMAGE("https://edmondsonsupply.com/cdn/shop/products/DMAPL2140-P25_Main-Image20200701_051150e2-bdbb-41a1-87fd-df202a887b18.png?v=1633030654")</f>
        <v/>
      </c>
      <c r="H3445">
        <f>_xlfn.IMAGE("https://m.media-amazon.com/images/I/61ClPzN-wnL._AC_UL320_.jpg")</f>
        <v/>
      </c>
      <c r="K3445" t="inlineStr">
        <is>
          <t>4.99</t>
        </is>
      </c>
      <c r="L3445" t="n">
        <v>31.42</v>
      </c>
      <c r="M3445" s="1" t="inlineStr">
        <is>
          <t>529.66%</t>
        </is>
      </c>
      <c r="N3445" s="7" t="n">
        <v>62.01</v>
      </c>
      <c r="O3445" t="n">
        <v>5</v>
      </c>
      <c r="P3445" t="n">
        <v>1</v>
      </c>
      <c r="R3445" t="inlineStr">
        <is>
          <t>InStock</t>
        </is>
      </c>
      <c r="S3445" t="inlineStr">
        <is>
          <t>5.04</t>
        </is>
      </c>
      <c r="T3445" t="inlineStr">
        <is>
          <t>5740655739048</t>
        </is>
      </c>
    </row>
    <row r="3446" ht="87" customHeight="1">
      <c r="A3446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446" s="2">
        <f>HYPERLINK("https://edmondsonsupply.com/products/klein-tools-s10-5-16-inch-nut-driver-3-inch-hollow-shaft", "https://edmondsonsupply.com/products/klein-tools-s10-5-16-inch-nut-driver-3-inch-hollow-shaft")</f>
        <v/>
      </c>
      <c r="C3446" t="inlineStr">
        <is>
          <t>Klein Tools S10 5/16-Inch Nut Driver 3-Inch Hollow Shaft</t>
        </is>
      </c>
      <c r="D3446" t="inlineStr">
        <is>
          <t>Klein Tools 65160 Tool Set, Metric Nut Driver Set Sizes 5, 5.5, 6, 7, 8, 9, and 10 mm, 3-Inch Chrome-Plate Hollow Shafts, 7-Piece</t>
        </is>
      </c>
      <c r="E3446" s="2">
        <f>HYPERLINK("https://www.amazon.com/Driver-Metric-3-Inch-7-Piece-Klein/dp/B0009ORXQQ/ref=sr_1_23?keywords=Klein+Tools+S10+5%2F16-Inch+Nut+Driver+3-Inch+Hollow+Shaft&amp;qid=1694735234&amp;sr=8-23", "https://www.amazon.com/Driver-Metric-3-Inch-7-Piece-Klein/dp/B0009ORXQQ/ref=sr_1_23?keywords=Klein+Tools+S10+5%2F16-Inch+Nut+Driver+3-Inch+Hollow+Shaft&amp;qid=1694735234&amp;sr=8-23")</f>
        <v/>
      </c>
      <c r="F3446" t="inlineStr">
        <is>
          <t>B0009ORXQQ</t>
        </is>
      </c>
      <c r="G3446">
        <f>_xlfn.IMAGE("https://edmondsonsupply.com/cdn/shop/products/s10_38acacb8-6c8e-49ef-8ed3-7160ab53875a.jpg?v=1633030893")</f>
        <v/>
      </c>
      <c r="H3446">
        <f>_xlfn.IMAGE("https://m.media-amazon.com/images/I/61CnDJJyViL._AC_UL320_.jpg")</f>
        <v/>
      </c>
      <c r="K3446" t="inlineStr">
        <is>
          <t>7.99</t>
        </is>
      </c>
      <c r="L3446" t="n">
        <v>49.99</v>
      </c>
      <c r="M3446" s="1" t="inlineStr">
        <is>
          <t>525.66%</t>
        </is>
      </c>
      <c r="N3446" s="7" t="n">
        <v>62</v>
      </c>
      <c r="O3446" t="n">
        <v>4.8</v>
      </c>
      <c r="P3446" t="n">
        <v>588</v>
      </c>
      <c r="R3446" t="inlineStr">
        <is>
          <t>InStock</t>
        </is>
      </c>
      <c r="S3446" t="inlineStr">
        <is>
          <t>12.06</t>
        </is>
      </c>
      <c r="T3446" t="inlineStr">
        <is>
          <t>6223447031981</t>
        </is>
      </c>
    </row>
    <row r="3447" ht="87" customHeight="1">
      <c r="A3447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3447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3447" t="inlineStr">
        <is>
          <t>Klein Tools 635-1/4 1/4-Inch Nut Driver, Magnetic Tip, 4-Inch Shaft</t>
        </is>
      </c>
      <c r="D3447" t="inlineStr">
        <is>
          <t>Klein Tools 631M Tool Set, Magnetic Nut Drivers Sizes 3/16, 1/4, 5/16, 11/32, 3/8, 7/16 and 1/2-Inch on 3-Inch Full Hollow Shaft, 7-Piece</t>
        </is>
      </c>
      <c r="E3447" s="2">
        <f>HYPERLINK("https://www.amazon.com/Driver-Magnetic-3-Inch-Hollow-Klein/dp/B001BQ0DNG/ref=sr_1_40?keywords=Klein+Tools+635-1%2F4+1%2F4-Inch+Nut+Driver%2C+Magnetic+Tip%2C+4-Inch+Shaft&amp;qid=1694735101&amp;sr=8-40", "https://www.amazon.com/Driver-Magnetic-3-Inch-Hollow-Klein/dp/B001BQ0DNG/ref=sr_1_40?keywords=Klein+Tools+635-1%2F4+1%2F4-Inch+Nut+Driver%2C+Magnetic+Tip%2C+4-Inch+Shaft&amp;qid=1694735101&amp;sr=8-40")</f>
        <v/>
      </c>
      <c r="F3447" t="inlineStr">
        <is>
          <t>B001BQ0DNG</t>
        </is>
      </c>
      <c r="G3447">
        <f>_xlfn.IMAGE("https://edmondsonsupply.com/cdn/shop/products/635-1-4.jpg?v=1666811523")</f>
        <v/>
      </c>
      <c r="H3447">
        <f>_xlfn.IMAGE("https://m.media-amazon.com/images/I/61pMsoh2smL._AC_UL320_.jpg")</f>
        <v/>
      </c>
      <c r="K3447" t="inlineStr">
        <is>
          <t>11.99</t>
        </is>
      </c>
      <c r="L3447" t="n">
        <v>74.98999999999999</v>
      </c>
      <c r="M3447" s="1" t="inlineStr">
        <is>
          <t>525.44%</t>
        </is>
      </c>
      <c r="N3447" s="7" t="n">
        <v>61.92</v>
      </c>
      <c r="O3447" t="n">
        <v>4.8</v>
      </c>
      <c r="P3447" t="n">
        <v>1145</v>
      </c>
      <c r="R3447" t="inlineStr">
        <is>
          <t>InStock</t>
        </is>
      </c>
      <c r="S3447" t="inlineStr">
        <is>
          <t>18.18</t>
        </is>
      </c>
      <c r="T3447" t="inlineStr">
        <is>
          <t>7866294010072</t>
        </is>
      </c>
    </row>
    <row r="3448" ht="87" customHeight="1">
      <c r="A3448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3448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3448" t="inlineStr">
        <is>
          <t>Klein Tools 32308 8-in-1 Multi-Bit Adjustable Length Stubby Screwdriver</t>
        </is>
      </c>
      <c r="D3448" t="inlineStr">
        <is>
          <t>Wiha 28393 Insulated Slim Line Precision Pop Up Screwdriver Set, Slotted, 7-Piece, Red &amp; Klein Tools 32308 Multi-bit Stubby Screwdriver, Impact Rated 8-in-1 Adjustable Magnetic Tool with Phillips</t>
        </is>
      </c>
      <c r="E3448" s="2">
        <f>HYPERLINK("https://www.amazon.com/Wiha-Insulated-Precision-Screwdriver-Adjustable/dp/B0C3B9WXL6/ref=sr_1_10?keywords=Klein+Tools+32308+8-in-1+Multi-Bit+Adjustable+Length+Stubby+Screwdriver&amp;qid=1694735167&amp;sr=8-10", "https://www.amazon.com/Wiha-Insulated-Precision-Screwdriver-Adjustable/dp/B0C3B9WXL6/ref=sr_1_10?keywords=Klein+Tools+32308+8-in-1+Multi-Bit+Adjustable+Length+Stubby+Screwdriver&amp;qid=1694735167&amp;sr=8-10")</f>
        <v/>
      </c>
      <c r="F3448" t="inlineStr">
        <is>
          <t>B0C3B9WXL6</t>
        </is>
      </c>
      <c r="G3448">
        <f>_xlfn.IMAGE("https://edmondsonsupply.com/cdn/shop/products/32308_b.jpg?v=1647348209")</f>
        <v/>
      </c>
      <c r="H3448">
        <f>_xlfn.IMAGE("https://m.media-amazon.com/images/I/4160WELLRSL._AC_UL320_.jpg")</f>
        <v/>
      </c>
      <c r="K3448" t="inlineStr">
        <is>
          <t>16.97</t>
        </is>
      </c>
      <c r="L3448" t="n">
        <v>106.13</v>
      </c>
      <c r="M3448" s="1" t="inlineStr">
        <is>
          <t>525.40%</t>
        </is>
      </c>
      <c r="N3448" s="7" t="n">
        <v>61.84</v>
      </c>
      <c r="O3448" t="n">
        <v>4.5</v>
      </c>
      <c r="P3448" t="n">
        <v>379</v>
      </c>
      <c r="R3448" t="inlineStr">
        <is>
          <t>InStock</t>
        </is>
      </c>
      <c r="S3448" t="inlineStr">
        <is>
          <t>23.78</t>
        </is>
      </c>
      <c r="T3448" t="inlineStr">
        <is>
          <t>7637271445720</t>
        </is>
      </c>
    </row>
    <row r="3449" ht="87" customHeight="1">
      <c r="A3449" s="2">
        <f>HYPERLINK("https://edmondsonsupply.com/collections/electricians-tools/products/diablo-tools-d0424x-4-1-2-in-x-24-tooth-framing-trim-saw-blade", "https://edmondsonsupply.com/collections/electricians-tools/products/diablo-tools-d0424x-4-1-2-in-x-24-tooth-framing-trim-saw-blade")</f>
        <v/>
      </c>
      <c r="B3449" s="2">
        <f>HYPERLINK("https://edmondsonsupply.com/products/diablo-tools-d0424x-4-1-2-in-x-24-tooth-framing-trim-saw-blade", "https://edmondsonsupply.com/products/diablo-tools-d0424x-4-1-2-in-x-24-tooth-framing-trim-saw-blade")</f>
        <v/>
      </c>
      <c r="C3449" t="inlineStr">
        <is>
          <t>Diablo Tools D0424X 4-1/2 in. x 24 Tooth Framing Trim Saw Blade</t>
        </is>
      </c>
      <c r="D3449" t="inlineStr">
        <is>
          <t>Freud D0824X Diablo 8-1/4-inch 24 Tooth ATB Thin Kerf Framing Saw Blades, 5-Pack</t>
        </is>
      </c>
      <c r="E3449" s="2">
        <f>HYPERLINK("https://www.amazon.com/Freud-D0824X-Diablo-4-inch-Framing/dp/B00W698NZW/ref=sr_1_13?keywords=Diablo+Tools+D0424X+4-1%2F2+in.+x+24+Tooth+Framing+Trim+Saw+Blade&amp;qid=1694735015&amp;sr=8-13", "https://www.amazon.com/Freud-D0824X-Diablo-4-inch-Framing/dp/B00W698NZW/ref=sr_1_13?keywords=Diablo+Tools+D0424X+4-1%2F2+in.+x+24+Tooth+Framing+Trim+Saw+Blade&amp;qid=1694735015&amp;sr=8-13")</f>
        <v/>
      </c>
      <c r="F3449" t="inlineStr">
        <is>
          <t>B00W698NZW</t>
        </is>
      </c>
      <c r="G3449">
        <f>_xlfn.IMAGE("https://edmondsonsupply.com/cdn/shop/products/kscyqpb4khjcxmaeciqc.webp?v=1679327311")</f>
        <v/>
      </c>
      <c r="H3449">
        <f>_xlfn.IMAGE("https://m.media-amazon.com/images/I/71yDyT660tL._AC_UL320_.jpg")</f>
        <v/>
      </c>
      <c r="K3449" t="inlineStr">
        <is>
          <t>14.97</t>
        </is>
      </c>
      <c r="L3449" t="n">
        <v>93.39</v>
      </c>
      <c r="M3449" s="1" t="inlineStr">
        <is>
          <t>523.85%</t>
        </is>
      </c>
      <c r="N3449" s="7" t="n">
        <v>61.84</v>
      </c>
      <c r="O3449" t="n">
        <v>4.8</v>
      </c>
      <c r="P3449" t="n">
        <v>8</v>
      </c>
      <c r="R3449" t="inlineStr">
        <is>
          <t>InStock</t>
        </is>
      </c>
      <c r="S3449" t="inlineStr">
        <is>
          <t>18.44</t>
        </is>
      </c>
      <c r="T3449" t="inlineStr">
        <is>
          <t>7964926083288</t>
        </is>
      </c>
    </row>
    <row r="3450" ht="87" customHeight="1">
      <c r="A3450" s="2">
        <f>HYPERLINK("https://edmondsonsupply.com/collections/electricians-tools/products/diablo-tools-dmamm1010-1-8-in-x-2-in-x-3-in-multi-material-carbide-tipped-hammer-drill-bit", "https://edmondsonsupply.com/collections/electricians-tools/products/diablo-tools-dmamm1010-1-8-in-x-2-in-x-3-in-multi-material-carbide-tipped-hammer-drill-bit")</f>
        <v/>
      </c>
      <c r="B3450" s="2">
        <f>HYPERLINK("https://edmondsonsupply.com/products/diablo-tools-dmamm1010-1-8-in-x-2-in-x-3-in-multi-material-carbide-tipped-hammer-drill-bit", "https://edmondsonsupply.com/products/diablo-tools-dmamm1010-1-8-in-x-2-in-x-3-in-multi-material-carbide-tipped-hammer-drill-bit")</f>
        <v/>
      </c>
      <c r="C3450" t="inlineStr">
        <is>
          <t>Diablo Tools DMAMM1010 1/8 in. x 2 in. x 3 in. Multi-Material Carbide Tipped Hammer Drill Bit</t>
        </is>
      </c>
      <c r="D3450" t="inlineStr">
        <is>
          <t>Sabre Tools 1-1/8 Inch x 12 Inch SDS Plus Rotary Hammer Drill Bit, Carbide Tipped for Brick, Stone, and Concrete Version 2 (1-1/8" x 10" x 12")</t>
        </is>
      </c>
      <c r="E3450" s="2">
        <f>HYPERLINK("https://www.amazon.com/Sabre-Tools-Carbide-Concrete-Version/dp/B09CCVY1M2/ref=sr_1_13?keywords=Diablo+Tools+DMAMM1010+1%2F8+in.+x+2+in.+x+3+in.+Multi-Material+Carbide+Tipped+Hammer+Drill+Bit&amp;qid=1694735185&amp;sr=8-13", "https://www.amazon.com/Sabre-Tools-Carbide-Concrete-Version/dp/B09CCVY1M2/ref=sr_1_13?keywords=Diablo+Tools+DMAMM1010+1%2F8+in.+x+2+in.+x+3+in.+Multi-Material+Carbide+Tipped+Hammer+Drill+Bit&amp;qid=1694735185&amp;sr=8-13")</f>
        <v/>
      </c>
      <c r="F3450" t="inlineStr">
        <is>
          <t>B09CCVY1M2</t>
        </is>
      </c>
      <c r="G3450">
        <f>_xlfn.IMAGE("https://edmondsonsupply.com/cdn/shop/products/DMAMM1010_Main-Image20200702.png?v=1633031179")</f>
        <v/>
      </c>
      <c r="H3450">
        <f>_xlfn.IMAGE("https://m.media-amazon.com/images/I/61RU2gjbzEL._AC_UL320_.jpg")</f>
        <v/>
      </c>
      <c r="K3450" t="inlineStr">
        <is>
          <t>4.97</t>
        </is>
      </c>
      <c r="L3450" t="n">
        <v>30.99</v>
      </c>
      <c r="M3450" s="1" t="inlineStr">
        <is>
          <t>523.54%</t>
        </is>
      </c>
      <c r="N3450" s="7" t="n">
        <v>61.62</v>
      </c>
      <c r="O3450" t="n">
        <v>4.6</v>
      </c>
      <c r="P3450" t="n">
        <v>796</v>
      </c>
      <c r="R3450" t="inlineStr">
        <is>
          <t>InStock</t>
        </is>
      </c>
      <c r="S3450" t="inlineStr">
        <is>
          <t>undefined</t>
        </is>
      </c>
      <c r="T3450" t="inlineStr">
        <is>
          <t>6917950668973</t>
        </is>
      </c>
    </row>
    <row r="3451" ht="87" customHeight="1">
      <c r="A3451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451" s="2">
        <f>HYPERLINK("https://edmondsonsupply.com/products/klein-tools-rt110-receptacle-tester", "https://edmondsonsupply.com/products/klein-tools-rt110-receptacle-tester")</f>
        <v/>
      </c>
      <c r="C3451" t="inlineStr">
        <is>
          <t>Klein Tools RT110 Receptacle Tester</t>
        </is>
      </c>
      <c r="D3451" t="inlineStr">
        <is>
          <t>Klein Tools RT310 Receptacle Tester, AFCI and GFCI Outlet and Device Tester &amp; Klein Tools RT250 GFCI Receptacle Tester with LCD Display, for Standard 3-Wire 120V Electrical Outlets</t>
        </is>
      </c>
      <c r="E3451" s="2">
        <f>HYPERLINK("https://www.amazon.com/Klein-Tools-Receptacle-Standard-Electrical/dp/B0BD3YZ7JV/ref=sr_1_41?keywords=Klein+Tools+RT110+Receptacle+Tester&amp;qid=1694735205&amp;sr=8-41", "https://www.amazon.com/Klein-Tools-Receptacle-Standard-Electrical/dp/B0BD3YZ7JV/ref=sr_1_41?keywords=Klein+Tools+RT110+Receptacle+Tester&amp;qid=1694735205&amp;sr=8-41")</f>
        <v/>
      </c>
      <c r="F3451" t="inlineStr">
        <is>
          <t>B0BD3YZ7JV</t>
        </is>
      </c>
      <c r="G3451">
        <f>_xlfn.IMAGE("https://edmondsonsupply.com/cdn/shop/products/rt110.jpg?v=1633031036")</f>
        <v/>
      </c>
      <c r="H3451">
        <f>_xlfn.IMAGE("https://m.media-amazon.com/images/I/51iiNw5cTJL._AC_UL320_.jpg")</f>
        <v/>
      </c>
      <c r="K3451" t="inlineStr">
        <is>
          <t>9.97</t>
        </is>
      </c>
      <c r="L3451" t="n">
        <v>61.94</v>
      </c>
      <c r="M3451" s="1" t="inlineStr">
        <is>
          <t>521.26%</t>
        </is>
      </c>
      <c r="N3451" s="7" t="n">
        <v>61.49</v>
      </c>
      <c r="O3451" t="n">
        <v>4.7</v>
      </c>
      <c r="P3451" t="n">
        <v>6</v>
      </c>
      <c r="R3451" t="inlineStr">
        <is>
          <t>InStock</t>
        </is>
      </c>
      <c r="S3451" t="inlineStr">
        <is>
          <t>12.12</t>
        </is>
      </c>
      <c r="T3451" t="inlineStr">
        <is>
          <t>6740486619309</t>
        </is>
      </c>
    </row>
    <row r="3452" ht="87" customHeight="1">
      <c r="A3452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452" s="2">
        <f>HYPERLINK("https://edmondsonsupply.com/products/klein-tools-rt250-gfci-receptacle-tester-with-lcd", "https://edmondsonsupply.com/products/klein-tools-rt250-gfci-receptacle-tester-with-lcd")</f>
        <v/>
      </c>
      <c r="C3452" t="inlineStr">
        <is>
          <t>Klein Tools RT250 GFCI Receptacle Tester with LCD</t>
        </is>
      </c>
      <c r="D3452" t="inlineStr">
        <is>
          <t>Klein Tools CL800 Digital Clamp Meter &amp; RT250 GFCI Receptacle Tester with LCD Display, for Standard 3-Wire 120V Electrical Outlets</t>
        </is>
      </c>
      <c r="E3452" s="2">
        <f>HYPERLINK("https://www.amazon.com/Klein-Tools-Receptacle-Standard-Electrical/dp/B0B68LTS7Z/ref=sr_1_8?keywords=Klein+Tools+RT250+GFCI+Receptacle+Tester+with+LCD&amp;qid=1694735148&amp;sr=8-8", "https://www.amazon.com/Klein-Tools-Receptacle-Standard-Electrical/dp/B0B68LTS7Z/ref=sr_1_8?keywords=Klein+Tools+RT250+GFCI+Receptacle+Tester+with+LCD&amp;qid=1694735148&amp;sr=8-8")</f>
        <v/>
      </c>
      <c r="F3452" t="inlineStr">
        <is>
          <t>B0B68LTS7Z</t>
        </is>
      </c>
      <c r="G3452">
        <f>_xlfn.IMAGE("https://edmondsonsupply.com/cdn/shop/products/rt250_photo_c.jpg?v=1661363824")</f>
        <v/>
      </c>
      <c r="H3452">
        <f>_xlfn.IMAGE("https://m.media-amazon.com/images/I/61uPdDm-yHL._AC_UL320_.jpg")</f>
        <v/>
      </c>
      <c r="K3452" t="inlineStr">
        <is>
          <t>21.97</t>
        </is>
      </c>
      <c r="L3452" t="n">
        <v>136.18</v>
      </c>
      <c r="M3452" s="1" t="inlineStr">
        <is>
          <t>519.85%</t>
        </is>
      </c>
      <c r="N3452" s="7" t="n">
        <v>61.43</v>
      </c>
      <c r="O3452" t="n">
        <v>4.7</v>
      </c>
      <c r="P3452" t="n">
        <v>15</v>
      </c>
      <c r="R3452" t="inlineStr">
        <is>
          <t>InStock</t>
        </is>
      </c>
      <c r="S3452" t="inlineStr">
        <is>
          <t>30.78</t>
        </is>
      </c>
      <c r="T3452" t="inlineStr">
        <is>
          <t>7793138729176</t>
        </is>
      </c>
    </row>
    <row r="3453" hidden="1" ht="15.75" customHeight="1">
      <c r="A3453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453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453" t="inlineStr">
        <is>
          <t>Diablo Tools DMAPL4070 1/4 in. x 4 in. x 6 in. Rebar Demon™ SDS-Plus 4-Cutter Full Carbide Head Hammer Bit</t>
        </is>
      </c>
      <c r="D3453" t="inlineStr">
        <is>
          <t>Diablo 1" x 16" x 21" Rebar Demon™ SDS-Max 4-Cutter Full Carbide Head Hammer Bit</t>
        </is>
      </c>
      <c r="E3453" s="2">
        <f>HYPERLINK("https://www.amazon.com/Diablo-SDS-Max-4-Cutter-Carbide-Hammer/dp/B089LN5QN7/ref=sr_1_38?keywords=Diablo+Tools+DMAPL4070+1%2F4+in.+x+4+in.+x+6+in.+Rebar+Demon%E2%84%A2+SDS-Plus+4-Cutter+Full+Carbide+Head+Hammer+Bit&amp;qid=1694735303&amp;sr=8-38", "https://www.amazon.com/Diablo-SDS-Max-4-Cutter-Carbide-Hammer/dp/B089LN5QN7/ref=sr_1_38?keywords=Diablo+Tools+DMAPL4070+1%2F4+in.+x+4+in.+x+6+in.+Rebar+Demon%E2%84%A2+SDS-Plus+4-Cutter+Full+Carbide+Head+Hammer+Bit&amp;qid=1694735303&amp;sr=8-38")</f>
        <v/>
      </c>
      <c r="F3453" t="inlineStr">
        <is>
          <t>B089LN5QN7</t>
        </is>
      </c>
      <c r="G3453">
        <f>_xludf.IMAGE("https://edmondsonsupply.com/cdn/shop/products/DMAPL4070_Main-Image20200701.png?v=1633030350")</f>
        <v/>
      </c>
      <c r="H3453">
        <f>_xludf.IMAGE("https://m.media-amazon.com/images/I/6182PTqKZGL._AC_UL320_.jpg")</f>
        <v/>
      </c>
      <c r="K3453" t="inlineStr">
        <is>
          <t>8.97</t>
        </is>
      </c>
      <c r="L3453" t="n">
        <v>55.24</v>
      </c>
      <c r="M3453" s="1" t="inlineStr">
        <is>
          <t>515.83%</t>
        </is>
      </c>
      <c r="N3453" s="1" t="n">
        <v>61.26</v>
      </c>
      <c r="O3453" t="n">
        <v>3.6</v>
      </c>
      <c r="P3453" t="n">
        <v>4</v>
      </c>
      <c r="R3453" t="inlineStr">
        <is>
          <t>InStock</t>
        </is>
      </c>
      <c r="S3453" t="inlineStr">
        <is>
          <t>undefined</t>
        </is>
      </c>
      <c r="T3453" t="inlineStr">
        <is>
          <t>5283100197032</t>
        </is>
      </c>
    </row>
    <row r="3454" ht="87" customHeight="1">
      <c r="A3454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3454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3454" t="inlineStr">
        <is>
          <t>Klein Tools 646-7/16M 7/16-Inch Magnetic Tip Nut Driver 6-Inch Shaft</t>
        </is>
      </c>
      <c r="D3454" t="inlineStr">
        <is>
          <t>Klein Tools 647M Tool Set, Magnetic Nut Drivers Sizes 3/16, 1/4, 5/16, 11/32, 3/8, 7/16, 1/2-Inch, 6-Inch Hollow Shafts, 7-Piece</t>
        </is>
      </c>
      <c r="E3454" s="2">
        <f>HYPERLINK("https://www.amazon.com/Klein-Tools-647M-Magnetic-7-Piece/dp/B000MKIUYQ/ref=sr_1_13?keywords=Klein+Tools+646-7%2F16M+7%2F16-Inch+Magnetic+Tip+Nut+Driver+6-Inch+Shaft&amp;qid=1694735353&amp;sr=8-13", "https://www.amazon.com/Klein-Tools-647M-Magnetic-7-Piece/dp/B000MKIUYQ/ref=sr_1_13?keywords=Klein+Tools+646-7%2F16M+7%2F16-Inch+Magnetic+Tip+Nut+Driver+6-Inch+Shaft&amp;qid=1694735353&amp;sr=8-13")</f>
        <v/>
      </c>
      <c r="F3454" t="inlineStr">
        <is>
          <t>B000MKIUYQ</t>
        </is>
      </c>
      <c r="G3454">
        <f>_xlfn.IMAGE("https://edmondsonsupply.com/cdn/shop/products/646-5-16m_906faaaa-dd9e-40e4-bce3-8174c2b127b5.jpg?v=1587146594")</f>
        <v/>
      </c>
      <c r="H3454">
        <f>_xlfn.IMAGE("https://m.media-amazon.com/images/I/61PNUE211uL._AC_UL320_.jpg")</f>
        <v/>
      </c>
      <c r="K3454" t="inlineStr">
        <is>
          <t>12.99</t>
        </is>
      </c>
      <c r="L3454" t="n">
        <v>79.98999999999999</v>
      </c>
      <c r="M3454" s="1" t="inlineStr">
        <is>
          <t>515.78%</t>
        </is>
      </c>
      <c r="N3454" s="7" t="n">
        <v>61.05</v>
      </c>
      <c r="O3454" t="n">
        <v>4.8</v>
      </c>
      <c r="P3454" t="n">
        <v>985</v>
      </c>
      <c r="R3454" t="inlineStr">
        <is>
          <t>InStock</t>
        </is>
      </c>
      <c r="S3454" t="inlineStr">
        <is>
          <t>19.74</t>
        </is>
      </c>
      <c r="T3454" t="inlineStr">
        <is>
          <t>4461840171108</t>
        </is>
      </c>
    </row>
    <row r="3455" ht="87" customHeight="1">
      <c r="A3455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3455" s="2">
        <f>HYPERLINK("https://edmondsonsupply.com/products/klein-tools-635-3-8-3-8-inch-heavy-duty-nut-driver", "https://edmondsonsupply.com/products/klein-tools-635-3-8-3-8-inch-heavy-duty-nut-driver")</f>
        <v/>
      </c>
      <c r="C3455" t="inlineStr">
        <is>
          <t>Klein Tools 635-3/8 3/8-Inch Heavy-Duty Nut Driver</t>
        </is>
      </c>
      <c r="D3455" t="inlineStr">
        <is>
          <t>Klein Tools 647M Tool Set, Magnetic Nut Drivers Sizes 3/16, 1/4, 5/16, 11/32, 3/8, 7/16, 1/2-Inch, 6-Inch Hollow Shafts, 7-Piece</t>
        </is>
      </c>
      <c r="E3455" s="2">
        <f>HYPERLINK("https://www.amazon.com/Klein-Tools-647M-Magnetic-7-Piece/dp/B000MKIUYQ/ref=sr_1_17?keywords=Klein+Tools+635-3%2F8+3%2F8-Inch+Heavy-Duty+Nut+Driver&amp;qid=1694735241&amp;sr=8-17", "https://www.amazon.com/Klein-Tools-647M-Magnetic-7-Piece/dp/B000MKIUYQ/ref=sr_1_17?keywords=Klein+Tools+635-3%2F8+3%2F8-Inch+Heavy-Duty+Nut+Driver&amp;qid=1694735241&amp;sr=8-17")</f>
        <v/>
      </c>
      <c r="F3455" t="inlineStr">
        <is>
          <t>B000MKIUYQ</t>
        </is>
      </c>
      <c r="G3455">
        <f>_xlfn.IMAGE("https://edmondsonsupply.com/cdn/shop/products/635-3-8.jpg?v=1633030895")</f>
        <v/>
      </c>
      <c r="H3455">
        <f>_xlfn.IMAGE("https://m.media-amazon.com/images/I/61PNUE211uL._AC_UL320_.jpg")</f>
        <v/>
      </c>
      <c r="K3455" t="inlineStr">
        <is>
          <t>12.99</t>
        </is>
      </c>
      <c r="L3455" t="n">
        <v>79.98999999999999</v>
      </c>
      <c r="M3455" s="1" t="inlineStr">
        <is>
          <t>515.78%</t>
        </is>
      </c>
      <c r="N3455" s="7" t="n">
        <v>60.86</v>
      </c>
      <c r="O3455" t="n">
        <v>4.8</v>
      </c>
      <c r="P3455" t="n">
        <v>985</v>
      </c>
      <c r="R3455" t="inlineStr">
        <is>
          <t>InStock</t>
        </is>
      </c>
      <c r="S3455" t="inlineStr">
        <is>
          <t>19.68</t>
        </is>
      </c>
      <c r="T3455" t="inlineStr">
        <is>
          <t>6228534952109</t>
        </is>
      </c>
    </row>
    <row r="3456" hidden="1" ht="15.75" customHeight="1">
      <c r="A3456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3456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3456" t="inlineStr">
        <is>
          <t>Klein Tools K11095 Klein-Kurve® Wire Stripper / Cutter, 8-20 AWG</t>
        </is>
      </c>
      <c r="D3456" t="inlineStr">
        <is>
          <t>Klein Tools 11045 Wire Stripper/Cutter, Yellow 10 - 18 AWG Solid Wire 3 Pack</t>
        </is>
      </c>
      <c r="E3456" s="2">
        <f>HYPERLINK("https://www.amazon.com/Klein-Tools-11045-Stripper-Cutter/dp/B002YE5L9K/ref=sr_1_39?keywords=Klein+Tools+K11095+Klein-Kurve%C2%AE+Wire+Stripper+%2F+Cutter%2C+8-20+AWG&amp;qid=1694735132&amp;sr=8-39", "https://www.amazon.com/Klein-Tools-11045-Stripper-Cutter/dp/B002YE5L9K/ref=sr_1_39?keywords=Klein+Tools+K11095+Klein-Kurve%C2%AE+Wire+Stripper+%2F+Cutter%2C+8-20+AWG&amp;qid=1694735132&amp;sr=8-39")</f>
        <v/>
      </c>
      <c r="F3456" t="inlineStr">
        <is>
          <t>B002YE5L9K</t>
        </is>
      </c>
      <c r="G3456">
        <f>_xludf.IMAGE("https://edmondsonsupply.com/cdn/shop/products/k11095_b_front_vertical.jpg?v=1661364611")</f>
        <v/>
      </c>
      <c r="H3456">
        <f>_xludf.IMAGE("https://m.media-amazon.com/images/I/31JS1KzwvaL._AC_UL320_.jpg")</f>
        <v/>
      </c>
      <c r="K3456" t="inlineStr">
        <is>
          <t>20.97</t>
        </is>
      </c>
      <c r="L3456" t="n">
        <v>129</v>
      </c>
      <c r="M3456" s="1" t="inlineStr">
        <is>
          <t>515.16%</t>
        </is>
      </c>
      <c r="N3456" s="1" t="n">
        <v>60.77</v>
      </c>
      <c r="O3456" t="n">
        <v>1</v>
      </c>
      <c r="P3456" t="n">
        <v>2</v>
      </c>
      <c r="R3456" t="inlineStr">
        <is>
          <t>InStock</t>
        </is>
      </c>
      <c r="S3456" t="inlineStr">
        <is>
          <t>29.38</t>
        </is>
      </c>
      <c r="T3456" t="inlineStr">
        <is>
          <t>7793145315544</t>
        </is>
      </c>
    </row>
    <row r="3457" ht="87" customHeight="1">
      <c r="A3457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457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457" t="inlineStr">
        <is>
          <t>Diablo Tools DMAPL4070 1/4 in. x 4 in. x 6 in. Rebar Demon™ SDS-Plus 4-Cutter Full Carbide Head Hammer Bit</t>
        </is>
      </c>
      <c r="D3457" t="inlineStr">
        <is>
          <t>Diablo by Freud DMAMX1040 1/2 in. x 24 in. x 29 in. Rebar Demon™ SDS-Max 4-Cutter Full Carbide Head</t>
        </is>
      </c>
      <c r="E3457" s="2">
        <f>HYPERLINK("https://www.amazon.com/Diablo-SDS-Max-4-Cutter-Carbide-Hammer/dp/B089LG76YL/ref=sr_1_35?keywords=Diablo+Tools+DMAPL4070+1%2F4+in.+x+4+in.+x+6+in.+Rebar+Demon%E2%84%A2+SDS-Plus+4-Cutter+Full+Carbide+Head+Hammer+Bit&amp;qid=1694735303&amp;sr=8-35", "https://www.amazon.com/Diablo-SDS-Max-4-Cutter-Carbide-Hammer/dp/B089LG76YL/ref=sr_1_35?keywords=Diablo+Tools+DMAPL4070+1%2F4+in.+x+4+in.+x+6+in.+Rebar+Demon%E2%84%A2+SDS-Plus+4-Cutter+Full+Carbide+Head+Hammer+Bit&amp;qid=1694735303&amp;sr=8-35")</f>
        <v/>
      </c>
      <c r="F3457" t="inlineStr">
        <is>
          <t>B089LG76YL</t>
        </is>
      </c>
      <c r="G3457">
        <f>_xlfn.IMAGE("https://edmondsonsupply.com/cdn/shop/products/DMAPL4070_Main-Image20200701.png?v=1633030350")</f>
        <v/>
      </c>
      <c r="H3457">
        <f>_xlfn.IMAGE("https://m.media-amazon.com/images/I/61Q8G2EXOxL._AC_UL320_.jpg")</f>
        <v/>
      </c>
      <c r="K3457" t="inlineStr">
        <is>
          <t>8.97</t>
        </is>
      </c>
      <c r="L3457" t="n">
        <v>55</v>
      </c>
      <c r="M3457" s="1" t="inlineStr">
        <is>
          <t>513.15%</t>
        </is>
      </c>
      <c r="N3457" s="7" t="n">
        <v>60.74</v>
      </c>
      <c r="O3457" t="n">
        <v>5</v>
      </c>
      <c r="P3457" t="n">
        <v>9</v>
      </c>
      <c r="R3457" t="inlineStr">
        <is>
          <t>InStock</t>
        </is>
      </c>
      <c r="S3457" t="inlineStr">
        <is>
          <t>undefined</t>
        </is>
      </c>
      <c r="T3457" t="inlineStr">
        <is>
          <t>5283100197032</t>
        </is>
      </c>
    </row>
    <row r="3458" ht="87" customHeight="1">
      <c r="A3458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3458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3458" t="inlineStr">
        <is>
          <t>Klein Tools 630-7/16M 7/16-Inch Magnetic Tip Nut Driver 3-Inch Shaft</t>
        </is>
      </c>
      <c r="D3458" t="inlineStr">
        <is>
          <t>Klein Tools 631M Tool Set, Magnetic Nut Drivers Sizes 3/16, 1/4, 5/16, 11/32, 3/8, 7/16 and 1/2-Inch on 3-Inch Full Hollow Shaft, 7-Piece</t>
        </is>
      </c>
      <c r="E3458" s="2">
        <f>HYPERLINK("https://www.amazon.com/Driver-Magnetic-3-Inch-Hollow-Klein/dp/B001BQ0DNG/ref=sr_1_15?keywords=Klein+Tools+630-7%2F16M+7%2F16-Inch+Magnetic+Tip+Nut+Driver+3-Inch+Shaft&amp;qid=1694735273&amp;sr=8-15", "https://www.amazon.com/Driver-Magnetic-3-Inch-Hollow-Klein/dp/B001BQ0DNG/ref=sr_1_15?keywords=Klein+Tools+630-7%2F16M+7%2F16-Inch+Magnetic+Tip+Nut+Driver+3-Inch+Shaft&amp;qid=1694735273&amp;sr=8-15")</f>
        <v/>
      </c>
      <c r="F3458" t="inlineStr">
        <is>
          <t>B001BQ0DNG</t>
        </is>
      </c>
      <c r="G3458">
        <f>_xlfn.IMAGE("https://edmondsonsupply.com/cdn/shop/products/630-7-16m.jpg?v=1633030529")</f>
        <v/>
      </c>
      <c r="H3458">
        <f>_xlfn.IMAGE("https://m.media-amazon.com/images/I/61pMsoh2smL._AC_UL320_.jpg")</f>
        <v/>
      </c>
      <c r="K3458" t="inlineStr">
        <is>
          <t>12.24</t>
        </is>
      </c>
      <c r="L3458" t="n">
        <v>74.98999999999999</v>
      </c>
      <c r="M3458" s="1" t="inlineStr">
        <is>
          <t>512.66%</t>
        </is>
      </c>
      <c r="N3458" s="7" t="n">
        <v>60.65</v>
      </c>
      <c r="O3458" t="n">
        <v>4.8</v>
      </c>
      <c r="P3458" t="n">
        <v>1145</v>
      </c>
      <c r="R3458" t="inlineStr">
        <is>
          <t>InStock</t>
        </is>
      </c>
      <c r="S3458" t="inlineStr">
        <is>
          <t>18.54</t>
        </is>
      </c>
      <c r="T3458" t="inlineStr">
        <is>
          <t>5408853819560</t>
        </is>
      </c>
    </row>
    <row r="3459" ht="87" customHeight="1">
      <c r="A3459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3459" s="2">
        <f>HYPERLINK("https://edmondsonsupply.com/products/klein-tools-646-7-16-7-16-inch-nut-driver-6-inch-hollow-shaft", "https://edmondsonsupply.com/products/klein-tools-646-7-16-7-16-inch-nut-driver-6-inch-hollow-shaft")</f>
        <v/>
      </c>
      <c r="C3459" t="inlineStr">
        <is>
          <t>Klein Tools 646-7/16 7/16-Inch Nut Driver, 6-Inch Hollow Shaft</t>
        </is>
      </c>
      <c r="D3459" t="inlineStr">
        <is>
          <t>Klein Tools 647 Tool Set, Nut Drivers Sizes 3/16, 1/4, 5/16, 11/32, 3/8, 7/16, 1/2-Inch, Chrome-Plated 6-Inch Shafts, Cushion Grip, 7-Piece</t>
        </is>
      </c>
      <c r="E3459" s="2">
        <f>HYPERLINK("https://www.amazon.com/Driver-6-Inch-Klein-Tools-647/dp/B0014KRVXO/ref=sr_1_11?keywords=Klein+Tools+646-7%2F16+7%2F16-Inch+Nut+Driver%2C+6-Inch+Hollow+Shaft&amp;qid=1694735415&amp;sr=8-11", "https://www.amazon.com/Driver-6-Inch-Klein-Tools-647/dp/B0014KRVXO/ref=sr_1_11?keywords=Klein+Tools+646-7%2F16+7%2F16-Inch+Nut+Driver%2C+6-Inch+Hollow+Shaft&amp;qid=1694735415&amp;sr=8-11")</f>
        <v/>
      </c>
      <c r="F3459" t="inlineStr">
        <is>
          <t>B0014KRVXO</t>
        </is>
      </c>
      <c r="G3459">
        <f>_xlfn.IMAGE("https://edmondsonsupply.com/cdn/shop/products/646-1-2_64980020-d246-4b4b-829a-c848cc375d64.jpg?v=1587148603")</f>
        <v/>
      </c>
      <c r="H3459">
        <f>_xlfn.IMAGE("https://m.media-amazon.com/images/I/51usUk-EpGL._AC_UL320_.jpg")</f>
        <v/>
      </c>
      <c r="K3459" t="inlineStr">
        <is>
          <t>9.49</t>
        </is>
      </c>
      <c r="L3459" t="n">
        <v>57.99</v>
      </c>
      <c r="M3459" s="1" t="inlineStr">
        <is>
          <t>511.06%</t>
        </is>
      </c>
      <c r="N3459" s="7" t="n">
        <v>60.53</v>
      </c>
      <c r="O3459" t="n">
        <v>4.8</v>
      </c>
      <c r="P3459" t="n">
        <v>734</v>
      </c>
      <c r="R3459" t="inlineStr">
        <is>
          <t>InStock</t>
        </is>
      </c>
      <c r="S3459" t="inlineStr">
        <is>
          <t>14.42</t>
        </is>
      </c>
      <c r="T3459" t="inlineStr">
        <is>
          <t>4391246889060</t>
        </is>
      </c>
    </row>
    <row r="3460" ht="87" customHeight="1">
      <c r="A3460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460" s="2">
        <f>HYPERLINK("https://edmondsonsupply.com/products/klein-tools-rt250-gfci-receptacle-tester-with-lcd", "https://edmondsonsupply.com/products/klein-tools-rt250-gfci-receptacle-tester-with-lcd")</f>
        <v/>
      </c>
      <c r="C3460" t="inlineStr">
        <is>
          <t>Klein Tools RT250 GFCI Receptacle Tester with LCD</t>
        </is>
      </c>
      <c r="D3460" t="inlineStr">
        <is>
          <t>General Tools 4-in-1 Pin/Pinless Combo Moisture Meter &amp; Audible Alarm &amp; Klein Tools RT250 GFCI Receptacle Tester with LCD Display, for Standard 3-Wire 120V Electrical Outlets</t>
        </is>
      </c>
      <c r="E3460" s="2">
        <f>HYPERLINK("https://www.amazon.com/General-Tools-Moisture-Receptacle-Electrical/dp/B0BC83N2DK/ref=sr_1_5?keywords=Klein+Tools+RT250+GFCI+Receptacle+Tester+with+LCD&amp;qid=1694735148&amp;sr=8-5", "https://www.amazon.com/General-Tools-Moisture-Receptacle-Electrical/dp/B0BC83N2DK/ref=sr_1_5?keywords=Klein+Tools+RT250+GFCI+Receptacle+Tester+with+LCD&amp;qid=1694735148&amp;sr=8-5")</f>
        <v/>
      </c>
      <c r="F3460" t="inlineStr">
        <is>
          <t>B0BC83N2DK</t>
        </is>
      </c>
      <c r="G3460">
        <f>_xlfn.IMAGE("https://edmondsonsupply.com/cdn/shop/products/rt250_photo_c.jpg?v=1661363824")</f>
        <v/>
      </c>
      <c r="H3460">
        <f>_xlfn.IMAGE("https://m.media-amazon.com/images/I/51cJkCGIRVL._AC_UL320_.jpg")</f>
        <v/>
      </c>
      <c r="K3460" t="inlineStr">
        <is>
          <t>21.97</t>
        </is>
      </c>
      <c r="L3460" t="n">
        <v>133.96</v>
      </c>
      <c r="M3460" s="1" t="inlineStr">
        <is>
          <t>509.74%</t>
        </is>
      </c>
      <c r="N3460" s="7" t="n">
        <v>60.52</v>
      </c>
      <c r="O3460" t="n">
        <v>4.3</v>
      </c>
      <c r="P3460" t="n">
        <v>511</v>
      </c>
      <c r="R3460" t="inlineStr">
        <is>
          <t>InStock</t>
        </is>
      </c>
      <c r="S3460" t="inlineStr">
        <is>
          <t>30.78</t>
        </is>
      </c>
      <c r="T3460" t="inlineStr">
        <is>
          <t>7793138729176</t>
        </is>
      </c>
    </row>
    <row r="3461" ht="87" customHeight="1">
      <c r="A3461" s="2">
        <f>HYPERLINK("https://edmondsonsupply.com/collections/electricians-tools/products/greenlee-609-3-4-foam-conduit-piston", "https://edmondsonsupply.com/collections/electricians-tools/products/greenlee-609-3-4-foam-conduit-piston")</f>
        <v/>
      </c>
      <c r="B3461" s="2">
        <f>HYPERLINK("https://edmondsonsupply.com/products/greenlee-609-3-4-foam-conduit-piston", "https://edmondsonsupply.com/products/greenlee-609-3-4-foam-conduit-piston")</f>
        <v/>
      </c>
      <c r="C3461" t="inlineStr">
        <is>
          <t>Greenlee 609 3/4" Foam Conduit Piston</t>
        </is>
      </c>
      <c r="D3461" t="inlineStr">
        <is>
          <t>Greenlee 609-5 Piston For 3/4 Conduit, by Greenlee</t>
        </is>
      </c>
      <c r="E3461" s="2">
        <f>HYPERLINK("https://www.amazon.com/Greenlee-609-5-Piston-Conduit/dp/B01N55WU6M/ref=sr_1_2?keywords=Greenlee+609+3%2F4%22+Foam+Conduit+Piston&amp;qid=1694734992&amp;sr=8-2", "https://www.amazon.com/Greenlee-609-5-Piston-Conduit/dp/B01N55WU6M/ref=sr_1_2?keywords=Greenlee+609+3%2F4%22+Foam+Conduit+Piston&amp;qid=1694734992&amp;sr=8-2")</f>
        <v/>
      </c>
      <c r="F3461" t="inlineStr">
        <is>
          <t>B01N55WU6M</t>
        </is>
      </c>
      <c r="G3461">
        <f>_xlfn.IMAGE("https://edmondsonsupply.com/cdn/shop/files/Greenlee-609_1.webp?v=1687448329")</f>
        <v/>
      </c>
      <c r="H3461">
        <f>_xlfn.IMAGE("https://m.media-amazon.com/images/I/51WubMHvWfL._AC_UL320_.jpg")</f>
        <v/>
      </c>
      <c r="K3461" t="inlineStr">
        <is>
          <t>6.82</t>
        </is>
      </c>
      <c r="L3461" t="n">
        <v>41.52</v>
      </c>
      <c r="M3461" s="1" t="inlineStr">
        <is>
          <t>508.80%</t>
        </is>
      </c>
      <c r="N3461" s="7" t="n">
        <v>60.38</v>
      </c>
      <c r="O3461" t="n">
        <v>5</v>
      </c>
      <c r="P3461" t="n">
        <v>1</v>
      </c>
      <c r="R3461" t="inlineStr">
        <is>
          <t>InStock</t>
        </is>
      </c>
      <c r="S3461" t="inlineStr">
        <is>
          <t>undefined</t>
        </is>
      </c>
      <c r="T3461" t="inlineStr">
        <is>
          <t>8007988248792</t>
        </is>
      </c>
    </row>
    <row r="3462" ht="87" customHeight="1">
      <c r="A3462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462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462" t="inlineStr">
        <is>
          <t>Diablo Tools DMAPL4080 1/4 in. x 6 in. x 8 in. Rebar Demon™ SDS-Plus 4-Cutter Full Carbide Head Hammer Bit</t>
        </is>
      </c>
      <c r="D3462" t="inlineStr">
        <is>
          <t>Diablo 7/8"x 16"x18" Rebar Demon SDS-Plus 4-Cutter Full Carbide Head Hammer Bit</t>
        </is>
      </c>
      <c r="E3462" s="2">
        <f>HYPERLINK("https://www.amazon.com/Diablo-Freud-DMAPL4290-SDS-Plus-4-Cutter/dp/B089LDTMLX/ref=sr_1_18?keywords=Diablo+Tools+DMAPL4080+1%2F4+in.+x+6+in.+x+8+in.+Rebar+Demon%E2%84%A2+SDS-Plus+4-Cutter+Full+Carbide+Head+Hammer+Bit&amp;qid=1694735294&amp;sr=8-18", "https://www.amazon.com/Diablo-Freud-DMAPL4290-SDS-Plus-4-Cutter/dp/B089LDTMLX/ref=sr_1_18?keywords=Diablo+Tools+DMAPL4080+1%2F4+in.+x+6+in.+x+8+in.+Rebar+Demon%E2%84%A2+SDS-Plus+4-Cutter+Full+Carbide+Head+Hammer+Bit&amp;qid=1694735294&amp;sr=8-18")</f>
        <v/>
      </c>
      <c r="F3462" t="inlineStr">
        <is>
          <t>B089LDTMLX</t>
        </is>
      </c>
      <c r="G3462">
        <f>_xlfn.IMAGE("https://edmondsonsupply.com/cdn/shop/products/DMAPL4080_1.jpg?v=1633030359")</f>
        <v/>
      </c>
      <c r="H3462">
        <f>_xlfn.IMAGE("https://m.media-amazon.com/images/I/617IyTXiJ1L._AC_UL320_.jpg")</f>
        <v/>
      </c>
      <c r="K3462" t="inlineStr">
        <is>
          <t>7.47</t>
        </is>
      </c>
      <c r="L3462" t="n">
        <v>45</v>
      </c>
      <c r="M3462" s="1" t="inlineStr">
        <is>
          <t>502.41%</t>
        </is>
      </c>
      <c r="N3462" s="7" t="n">
        <v>60.26</v>
      </c>
      <c r="O3462" t="n">
        <v>4.2</v>
      </c>
      <c r="P3462" t="n">
        <v>6</v>
      </c>
      <c r="R3462" t="inlineStr">
        <is>
          <t>InStock</t>
        </is>
      </c>
      <c r="S3462" t="inlineStr">
        <is>
          <t>undefined</t>
        </is>
      </c>
      <c r="T3462" t="inlineStr">
        <is>
          <t>5286767919272</t>
        </is>
      </c>
    </row>
    <row r="3463" ht="87" customHeight="1">
      <c r="A3463" s="2">
        <f>HYPERLINK("https://edmondsonsupply.com/collections/electricians-tools/products/klein-tools-51611-1-2-inch-angle-setter%E2%84%A2", "https://edmondsonsupply.com/collections/electricians-tools/products/klein-tools-51611-1-2-inch-angle-setter%E2%84%A2")</f>
        <v/>
      </c>
      <c r="B3463" s="2">
        <f>HYPERLINK("https://edmondsonsupply.com/products/klein-tools-51611-1-2-inch-angle-setter%e2%84%a2", "https://edmondsonsupply.com/products/klein-tools-51611-1-2-inch-angle-setter%e2%84%a2")</f>
        <v/>
      </c>
      <c r="C3463" t="inlineStr">
        <is>
          <t>Klein Tools 51611 1/2-Inch Angle Setter™</t>
        </is>
      </c>
      <c r="D3463" t="inlineStr">
        <is>
          <t>Klein Tools 51603 Iron Conduit Bender Full Assembly, 1/2-Inch EMT, Wide Foot Pedal, Benchmark Symbols and Angle Setter</t>
        </is>
      </c>
      <c r="E3463" s="2">
        <f>HYPERLINK("https://www.amazon.com/Klein-Tools-51603-Conduit-Features/dp/B08W6GJTHW/ref=sr_1_6?keywords=Klein+Tools+51611+1%2F2-Inch+Angle+Setter%E2%84%A2&amp;qid=1694735142&amp;sr=8-6", "https://www.amazon.com/Klein-Tools-51603-Conduit-Features/dp/B08W6GJTHW/ref=sr_1_6?keywords=Klein+Tools+51611+1%2F2-Inch+Angle+Setter%E2%84%A2&amp;qid=1694735142&amp;sr=8-6")</f>
        <v/>
      </c>
      <c r="F3463" t="inlineStr">
        <is>
          <t>B08W6GJTHW</t>
        </is>
      </c>
      <c r="G3463">
        <f>_xlfn.IMAGE("https://edmondsonsupply.com/cdn/shop/products/51611.jpg?v=1661976456")</f>
        <v/>
      </c>
      <c r="H3463">
        <f>_xlfn.IMAGE("https://m.media-amazon.com/images/I/31lf3y-9bSL._AC_UL320_.jpg")</f>
        <v/>
      </c>
      <c r="K3463" t="inlineStr">
        <is>
          <t>9.97</t>
        </is>
      </c>
      <c r="L3463" t="n">
        <v>59.99</v>
      </c>
      <c r="M3463" s="1" t="inlineStr">
        <is>
          <t>501.71%</t>
        </is>
      </c>
      <c r="N3463" s="7" t="n">
        <v>60.24</v>
      </c>
      <c r="O3463" t="n">
        <v>4.9</v>
      </c>
      <c r="P3463" t="n">
        <v>31</v>
      </c>
      <c r="R3463" t="inlineStr">
        <is>
          <t>InStock</t>
        </is>
      </c>
      <c r="S3463" t="inlineStr">
        <is>
          <t>12.96</t>
        </is>
      </c>
      <c r="T3463" t="inlineStr">
        <is>
          <t>7798377840856</t>
        </is>
      </c>
    </row>
    <row r="3464" ht="87" customHeight="1">
      <c r="A3464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3464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3464" t="inlineStr">
        <is>
          <t>Klein Tools NCVT-2P Dual Range Non-Contact Voltage Tester 12 - 1000V AC</t>
        </is>
      </c>
      <c r="D3464" t="inlineStr">
        <is>
          <t>Klein Tools HVNCVT-1 Dual-Range Non-Contact High-Voltage Tester, Dual-Range, Audio/Visual Indicators, Water Resistant, With Case and Battery, Black</t>
        </is>
      </c>
      <c r="E3464" s="2">
        <f>HYPERLINK("https://www.amazon.com/Voltage-Tester-Klein-Tools-HVNCVT-1/dp/B015KU2EXU/ref=sr_1_16?keywords=Klein+Tools+NCVT-2P+Dual+Range+Non-Contact+Voltage+Tester+12+-+1000V+AC&amp;qid=1694735236&amp;sr=8-16", "https://www.amazon.com/Voltage-Tester-Klein-Tools-HVNCVT-1/dp/B015KU2EXU/ref=sr_1_16?keywords=Klein+Tools+NCVT-2P+Dual+Range+Non-Contact+Voltage+Tester+12+-+1000V+AC&amp;qid=1694735236&amp;sr=8-16")</f>
        <v/>
      </c>
      <c r="F3464" t="inlineStr">
        <is>
          <t>B015KU2EXU</t>
        </is>
      </c>
      <c r="G3464">
        <f>_xlfn.IMAGE("https://edmondsonsupply.com/cdn/shop/products/ncvt2p.jpg?v=1633030824")</f>
        <v/>
      </c>
      <c r="H3464">
        <f>_xlfn.IMAGE("https://m.media-amazon.com/images/I/51vp8USEpSL._AC_UL320_.jpg")</f>
        <v/>
      </c>
      <c r="K3464" t="inlineStr">
        <is>
          <t>27.97</t>
        </is>
      </c>
      <c r="L3464" t="n">
        <v>168.19</v>
      </c>
      <c r="M3464" s="1" t="inlineStr">
        <is>
          <t>501.32%</t>
        </is>
      </c>
      <c r="N3464" s="7" t="n">
        <v>60.15</v>
      </c>
      <c r="O3464" t="n">
        <v>4.4</v>
      </c>
      <c r="P3464" t="n">
        <v>86</v>
      </c>
      <c r="R3464" t="inlineStr">
        <is>
          <t>InStock</t>
        </is>
      </c>
      <c r="S3464" t="inlineStr">
        <is>
          <t>35.76</t>
        </is>
      </c>
      <c r="T3464" t="inlineStr">
        <is>
          <t>6080875626669</t>
        </is>
      </c>
    </row>
    <row r="3465" ht="87" customHeight="1">
      <c r="A3465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3465" s="2">
        <f>HYPERLINK("https://edmondsonsupply.com/products/klein-tools-jth6m2-2-mm-hex-key-journeyman-t-handle-6-inch", "https://edmondsonsupply.com/products/klein-tools-jth6m2-2-mm-hex-key-journeyman-t-handle-6-inch")</f>
        <v/>
      </c>
      <c r="C3465" t="inlineStr">
        <is>
          <t>Klein Tools JTH6M2 2 mm Hex Key, Journeyman T-Handle, 6-Inch</t>
        </is>
      </c>
      <c r="D3465" t="inlineStr">
        <is>
          <t>Klein Tools JTH9E17 1/2-Inch Hex Key, Journeyman T-Handle, 9-Inch</t>
        </is>
      </c>
      <c r="E3465" s="2">
        <f>HYPERLINK("https://www.amazon.com/Journeyman-T-Handle-Klein-Tools-JTH9E17/dp/B004QV6NL4/ref=sr_1_10?keywords=Klein+Tools+JTH6M2+2+mm+Hex+Key%2C+Journeyman+T-Handle%2C+6-Inch&amp;qid=1694735354&amp;sr=8-10", "https://www.amazon.com/Journeyman-T-Handle-Klein-Tools-JTH9E17/dp/B004QV6NL4/ref=sr_1_10?keywords=Klein+Tools+JTH6M2+2+mm+Hex+Key%2C+Journeyman+T-Handle%2C+6-Inch&amp;qid=1694735354&amp;sr=8-10")</f>
        <v/>
      </c>
      <c r="F3465" t="inlineStr">
        <is>
          <t>B004QV6NL4</t>
        </is>
      </c>
      <c r="G3465">
        <f>_xlfn.IMAGE("https://edmondsonsupply.com/cdn/shop/products/jth6m8_a05a7009-87dd-4391-9f0b-ef31a782bd36.jpg?v=1587147558")</f>
        <v/>
      </c>
      <c r="H3465">
        <f>_xlfn.IMAGE("https://m.media-amazon.com/images/I/51Yb8h41vLL._AC_UL320_.jpg")</f>
        <v/>
      </c>
      <c r="K3465" t="inlineStr">
        <is>
          <t>3.99</t>
        </is>
      </c>
      <c r="L3465" t="n">
        <v>23.99</v>
      </c>
      <c r="M3465" s="1" t="inlineStr">
        <is>
          <t>501.25%</t>
        </is>
      </c>
      <c r="N3465" s="7" t="n">
        <v>60.08</v>
      </c>
      <c r="O3465" t="n">
        <v>4.8</v>
      </c>
      <c r="P3465" t="n">
        <v>193</v>
      </c>
      <c r="R3465" t="inlineStr">
        <is>
          <t>InStock</t>
        </is>
      </c>
      <c r="S3465" t="inlineStr">
        <is>
          <t>6.06</t>
        </is>
      </c>
      <c r="T3465" t="inlineStr">
        <is>
          <t>4506082738276</t>
        </is>
      </c>
    </row>
    <row r="3466" ht="87" customHeight="1">
      <c r="A3466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3466" s="2">
        <f>HYPERLINK("https://edmondsonsupply.com/products/klein-tools-jth6e08-1-8-inch-hex-key-journeyman-t-handle-6-inch", "https://edmondsonsupply.com/products/klein-tools-jth6e08-1-8-inch-hex-key-journeyman-t-handle-6-inch")</f>
        <v/>
      </c>
      <c r="C3466" t="inlineStr">
        <is>
          <t>Klein Tools JTH6E08 1/8-Inch Hex Key, Journeyman T-Handle, 6-Inch</t>
        </is>
      </c>
      <c r="D3466" t="inlineStr">
        <is>
          <t>Klein Tools JTH9E17 1/2-Inch Hex Key, Journeyman T-Handle, 9-Inch</t>
        </is>
      </c>
      <c r="E3466" s="2">
        <f>HYPERLINK("https://www.amazon.com/Journeyman-T-Handle-Klein-Tools-JTH9E17/dp/B004QV6NL4/ref=sr_1_11?keywords=Klein+Tools+JTH6E08+1%2F8-Inch+Hex+Key%2C+Journeyman+T-Handle%2C+6-Inch&amp;qid=1694735241&amp;sr=8-11", "https://www.amazon.com/Journeyman-T-Handle-Klein-Tools-JTH9E17/dp/B004QV6NL4/ref=sr_1_11?keywords=Klein+Tools+JTH6E08+1%2F8-Inch+Hex+Key%2C+Journeyman+T-Handle%2C+6-Inch&amp;qid=1694735241&amp;sr=8-11")</f>
        <v/>
      </c>
      <c r="F3466" t="inlineStr">
        <is>
          <t>B004QV6NL4</t>
        </is>
      </c>
      <c r="G3466">
        <f>_xlfn.IMAGE("https://edmondsonsupply.com/cdn/shop/products/jth6e15_e3103b57-060e-4d47-a405-4e66dc6bbb91.jpg?v=1604272072")</f>
        <v/>
      </c>
      <c r="H3466">
        <f>_xlfn.IMAGE("https://m.media-amazon.com/images/I/51Yb8h41vLL._AC_UL320_.jpg")</f>
        <v/>
      </c>
      <c r="K3466" t="inlineStr">
        <is>
          <t>3.99</t>
        </is>
      </c>
      <c r="L3466" t="n">
        <v>23.99</v>
      </c>
      <c r="M3466" s="1" t="inlineStr">
        <is>
          <t>501.25%</t>
        </is>
      </c>
      <c r="N3466" s="7" t="n">
        <v>60.06</v>
      </c>
      <c r="O3466" t="n">
        <v>4.8</v>
      </c>
      <c r="P3466" t="n">
        <v>193</v>
      </c>
      <c r="R3466" t="inlineStr">
        <is>
          <t>InStock</t>
        </is>
      </c>
      <c r="S3466" t="inlineStr">
        <is>
          <t>6.04</t>
        </is>
      </c>
      <c r="T3466" t="inlineStr">
        <is>
          <t>6005767635112</t>
        </is>
      </c>
    </row>
    <row r="3467" hidden="1" ht="15.75" customHeight="1">
      <c r="A3467" s="2">
        <f>HYPERLINK("https://edmondsonsupply.com/collections/electricians-tools/products/milwaukee-48-22-6310-10-comfort-grip-straight-jaw-pliers", "https://edmondsonsupply.com/collections/electricians-tools/products/milwaukee-48-22-6310-10-comfort-grip-straight-jaw-pliers")</f>
        <v/>
      </c>
      <c r="B3467" s="2">
        <f>HYPERLINK("https://edmondsonsupply.com/products/milwaukee-48-22-6310-10-comfort-grip-straight-jaw-pliers", "https://edmondsonsupply.com/products/milwaukee-48-22-6310-10-comfort-grip-straight-jaw-pliers")</f>
        <v/>
      </c>
      <c r="C3467" t="inlineStr">
        <is>
          <t>Milwaukee 48-22-6310 10" Comfort Grip Straight-Jaw Pliers</t>
        </is>
      </c>
      <c r="D3467" t="inlineStr">
        <is>
          <t>For Milwaukee 48-22-6330 6" &amp; 10" Ream and Punch Straight Jaw Pliers Set</t>
        </is>
      </c>
      <c r="E3467" s="2">
        <f>HYPERLINK("https://www.amazon.com/Milwaukee-48-22-6330-Punch-Straight-Pliers/dp/B0C1G32TDX/ref=sr_1_2?keywords=Milwaukee+48-22-6310+10%22+Comfort+Grip+Straight-Jaw+Pliers&amp;qid=1694735411&amp;sr=8-2", "https://www.amazon.com/Milwaukee-48-22-6330-Punch-Straight-Pliers/dp/B0C1G32TDX/ref=sr_1_2?keywords=Milwaukee+48-22-6310+10%22+Comfort+Grip+Straight-Jaw+Pliers&amp;qid=1694735411&amp;sr=8-2")</f>
        <v/>
      </c>
      <c r="F3467" t="inlineStr">
        <is>
          <t>B0C1G32TDX</t>
        </is>
      </c>
      <c r="G3467">
        <f>_xludf.IMAGE("https://edmondsonsupply.com/cdn/shop/products/48-22-6310.png?v=1587147517")</f>
        <v/>
      </c>
      <c r="H3467">
        <f>_xludf.IMAGE("https://m.media-amazon.com/images/I/31v2Xd2bbGL._AC_UL320_.jpg")</f>
        <v/>
      </c>
      <c r="K3467" t="inlineStr">
        <is>
          <t>14.97</t>
        </is>
      </c>
      <c r="L3467" t="n">
        <v>89.98999999999999</v>
      </c>
      <c r="M3467" s="1" t="inlineStr">
        <is>
          <t>501.14%</t>
        </is>
      </c>
      <c r="N3467" s="1" t="n">
        <v>60.01</v>
      </c>
      <c r="O3467" t="n">
        <v>3</v>
      </c>
      <c r="P3467" t="n">
        <v>2</v>
      </c>
      <c r="R3467" t="inlineStr">
        <is>
          <t>InStock</t>
        </is>
      </c>
      <c r="S3467" t="inlineStr">
        <is>
          <t>23.1</t>
        </is>
      </c>
      <c r="T3467" t="inlineStr">
        <is>
          <t>4387848880228</t>
        </is>
      </c>
    </row>
    <row r="3468" ht="87" customHeight="1">
      <c r="A3468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468" s="2">
        <f>HYPERLINK("https://edmondsonsupply.com/products/klein-tools-rt250-gfci-receptacle-tester-with-lcd", "https://edmondsonsupply.com/products/klein-tools-rt250-gfci-receptacle-tester-with-lcd")</f>
        <v/>
      </c>
      <c r="C3468" t="inlineStr">
        <is>
          <t>Klein Tools RT250 GFCI Receptacle Tester with LCD</t>
        </is>
      </c>
      <c r="D3468" t="inlineStr">
        <is>
          <t>Klein Tools CL700 Autoranging Digital Clamp Meter, TRMS 600Amp &amp; RT250 GFCI Outlet Tester with LCD Display, Electric Voltage Tester for Standard 3-Wire 120V Electrical Receptacles</t>
        </is>
      </c>
      <c r="E3468" s="2">
        <f>HYPERLINK("https://www.amazon.com/Klein-Tools-Autoranging-Electrical-Receptacles/dp/B0BFXTQGGZ/ref=sr_1_38?keywords=Klein+Tools+RT250+GFCI+Receptacle+Tester+with+LCD&amp;qid=1694735148&amp;sr=8-38", "https://www.amazon.com/Klein-Tools-Autoranging-Electrical-Receptacles/dp/B0BFXTQGGZ/ref=sr_1_38?keywords=Klein+Tools+RT250+GFCI+Receptacle+Tester+with+LCD&amp;qid=1694735148&amp;sr=8-38")</f>
        <v/>
      </c>
      <c r="F3468" t="inlineStr">
        <is>
          <t>B0BFXTQGGZ</t>
        </is>
      </c>
      <c r="G3468">
        <f>_xlfn.IMAGE("https://edmondsonsupply.com/cdn/shop/products/rt250_photo_c.jpg?v=1661363824")</f>
        <v/>
      </c>
      <c r="H3468">
        <f>_xlfn.IMAGE("https://m.media-amazon.com/images/I/61nPHIhCNUL._AC_UL320_.jpg")</f>
        <v/>
      </c>
      <c r="K3468" t="inlineStr">
        <is>
          <t>21.97</t>
        </is>
      </c>
      <c r="L3468" t="n">
        <v>131.94</v>
      </c>
      <c r="M3468" s="1" t="inlineStr">
        <is>
          <t>500.55%</t>
        </is>
      </c>
      <c r="N3468" s="7" t="n">
        <v>59.99</v>
      </c>
      <c r="O3468" t="n">
        <v>4.7</v>
      </c>
      <c r="P3468" t="n">
        <v>550</v>
      </c>
      <c r="R3468" t="inlineStr">
        <is>
          <t>InStock</t>
        </is>
      </c>
      <c r="S3468" t="inlineStr">
        <is>
          <t>30.78</t>
        </is>
      </c>
      <c r="T3468" t="inlineStr">
        <is>
          <t>7793138729176</t>
        </is>
      </c>
    </row>
    <row r="3469" ht="87" customHeight="1">
      <c r="A3469" s="2">
        <f>HYPERLINK("https://edmondsonsupply.com/collections/electricians-tools/products/klein-tools-56119-illuminated-fish-rod-tip", "https://edmondsonsupply.com/collections/electricians-tools/products/klein-tools-56119-illuminated-fish-rod-tip")</f>
        <v/>
      </c>
      <c r="B3469" s="2">
        <f>HYPERLINK("https://edmondsonsupply.com/products/klein-tools-56119-illuminated-fish-rod-tip", "https://edmondsonsupply.com/products/klein-tools-56119-illuminated-fish-rod-tip")</f>
        <v/>
      </c>
      <c r="C3469" t="inlineStr">
        <is>
          <t>Klein Tools 56119 Illuminated Fish Rod Tip</t>
        </is>
      </c>
      <c r="D3469" t="inlineStr">
        <is>
          <t>Klein Tools 50660 Glow In The Dark Fish Tape, Fiberglass with Nylon Tip and Stainless-Steel Connector for Fish Rod Attachments, 40-Foot</t>
        </is>
      </c>
      <c r="E3469" s="2">
        <f>HYPERLINK("https://www.amazon.com/Klein-Tools-50660-Stainless-Steel-Attachments/dp/B0BVJXRH9J/ref=sr_1_6?keywords=Klein+Tools+56119+Illuminated+Fish+Rod+Tip&amp;qid=1694735239&amp;sr=8-6", "https://www.amazon.com/Klein-Tools-50660-Stainless-Steel-Attachments/dp/B0BVJXRH9J/ref=sr_1_6?keywords=Klein+Tools+56119+Illuminated+Fish+Rod+Tip&amp;qid=1694735239&amp;sr=8-6")</f>
        <v/>
      </c>
      <c r="F3469" t="inlineStr">
        <is>
          <t>B0BVJXRH9J</t>
        </is>
      </c>
      <c r="G3469">
        <f>_xlfn.IMAGE("https://edmondsonsupply.com/cdn/shop/products/56119.jpg?v=1633030794")</f>
        <v/>
      </c>
      <c r="H3469">
        <f>_xlfn.IMAGE("https://m.media-amazon.com/images/I/61TfZQjceGL._AC_UL320_.jpg")</f>
        <v/>
      </c>
      <c r="K3469" t="inlineStr">
        <is>
          <t>9.99</t>
        </is>
      </c>
      <c r="L3469" t="n">
        <v>59.97</v>
      </c>
      <c r="M3469" s="1" t="inlineStr">
        <is>
          <t>500.30%</t>
        </is>
      </c>
      <c r="N3469" s="7" t="n">
        <v>59.95</v>
      </c>
      <c r="O3469" t="n">
        <v>4.1</v>
      </c>
      <c r="P3469" t="n">
        <v>6</v>
      </c>
      <c r="R3469" t="inlineStr">
        <is>
          <t>InStock</t>
        </is>
      </c>
      <c r="S3469" t="inlineStr">
        <is>
          <t>14.02</t>
        </is>
      </c>
      <c r="T3469" t="inlineStr">
        <is>
          <t>5990222266536</t>
        </is>
      </c>
    </row>
    <row r="3470" ht="87" customHeight="1">
      <c r="A3470" s="2">
        <f>HYPERLINK("https://edmondsonsupply.com/collections/electricians-tools/products/copy-of-diablo-tools-d1244x", "https://edmondsonsupply.com/collections/electricians-tools/products/copy-of-diablo-tools-d1244x")</f>
        <v/>
      </c>
      <c r="B3470" s="2">
        <f>HYPERLINK("https://edmondsonsupply.com/products/copy-of-diablo-tools-d1244x", "https://edmondsonsupply.com/products/copy-of-diablo-tools-d1244x")</f>
        <v/>
      </c>
      <c r="C3470" t="inlineStr">
        <is>
          <t>Diablo Tools D1024X 10 in. x 24 Tooth Ripping Saw Blade</t>
        </is>
      </c>
      <c r="D3470" t="inlineStr">
        <is>
          <t>Freud D1024X Diablo 10-Inch 24-Tooth ATB Ripping Saw Blade 5/8-Inch Arbor and PermaShield Coating (6 Pack)</t>
        </is>
      </c>
      <c r="E3470" s="2">
        <f>HYPERLINK("https://www.amazon.com/Diablo-10-Inch-24-Tooth-Ripping-PermaShield/dp/B07657VYR6/ref=sr_1_4?keywords=Diablo+Tools+D1024X+10+in.+x+24+Tooth+Ripping+Saw+Blade&amp;qid=1694735311&amp;sr=8-4", "https://www.amazon.com/Diablo-10-Inch-24-Tooth-Ripping-PermaShield/dp/B07657VYR6/ref=sr_1_4?keywords=Diablo+Tools+D1024X+10+in.+x+24+Tooth+Ripping+Saw+Blade&amp;qid=1694735311&amp;sr=8-4")</f>
        <v/>
      </c>
      <c r="F3470" t="inlineStr">
        <is>
          <t>B07657VYR6</t>
        </is>
      </c>
      <c r="G3470">
        <f>_xlfn.IMAGE("https://edmondsonsupply.com/cdn/shop/products/D1024X_Main-Image20191024.png?v=1609790707")</f>
        <v/>
      </c>
      <c r="H3470">
        <f>_xlfn.IMAGE("https://m.media-amazon.com/images/I/71ht6dc4ljL._AC_UL320_.jpg")</f>
        <v/>
      </c>
      <c r="K3470" t="inlineStr">
        <is>
          <t>28.59</t>
        </is>
      </c>
      <c r="L3470" t="n">
        <v>169.99</v>
      </c>
      <c r="M3470" s="1" t="inlineStr">
        <is>
          <t>494.58%</t>
        </is>
      </c>
      <c r="N3470" s="7" t="n">
        <v>59.94</v>
      </c>
      <c r="O3470" t="n">
        <v>5</v>
      </c>
      <c r="P3470" t="n">
        <v>2</v>
      </c>
      <c r="R3470" t="inlineStr">
        <is>
          <t>InStock</t>
        </is>
      </c>
      <c r="S3470" t="inlineStr">
        <is>
          <t>43.28</t>
        </is>
      </c>
      <c r="T3470" t="inlineStr">
        <is>
          <t>4683548360804</t>
        </is>
      </c>
    </row>
    <row r="3471" ht="87" customHeight="1">
      <c r="A3471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471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471" t="inlineStr">
        <is>
          <t>Diablo Tools DMAPL4040 3/16 in. x 4 in. x 6 in. Rebar Demon™ SDS-Plus 4-Cutter Full Carbide Head Hammer Bit</t>
        </is>
      </c>
      <c r="D3471" t="inlineStr">
        <is>
          <t>Diablo DMAMX1140 3/4 in. x 16 in. x 21 in. Rebar Demon™ SDS-Max 4-Cutter Full Carbide Head Hammer Bit</t>
        </is>
      </c>
      <c r="E3471" s="2">
        <f>HYPERLINK("https://www.amazon.com/Diablo-SDS-Max-4-Cutter-Carbide-Hammer/dp/B089KWP4WK/ref=sr_1_41?keywords=Diablo+Tools+DMAPL4040+3%2F16+in.+x+4+in.+x+6+in.+Rebar+Demon%E2%84%A2+SDS-Plus+4-Cutter+Full+Carbide+Head+Hammer+Bit&amp;qid=1694735297&amp;sr=8-41", "https://www.amazon.com/Diablo-SDS-Max-4-Cutter-Carbide-Hammer/dp/B089KWP4WK/ref=sr_1_41?keywords=Diablo+Tools+DMAPL4040+3%2F16+in.+x+4+in.+x+6+in.+Rebar+Demon%E2%84%A2+SDS-Plus+4-Cutter+Full+Carbide+Head+Hammer+Bit&amp;qid=1694735297&amp;sr=8-41")</f>
        <v/>
      </c>
      <c r="F3471" t="inlineStr">
        <is>
          <t>B089KWP4WK</t>
        </is>
      </c>
      <c r="G3471">
        <f>_xlfn.IMAGE("https://edmondsonsupply.com/cdn/shop/products/DMAPL4040_Main-Image20200701.png?v=1633030358")</f>
        <v/>
      </c>
      <c r="H3471">
        <f>_xlfn.IMAGE("https://m.media-amazon.com/images/I/61yWWNP1xrL._AC_UL320_.jpg")</f>
        <v/>
      </c>
      <c r="K3471" t="inlineStr">
        <is>
          <t>8.47</t>
        </is>
      </c>
      <c r="L3471" t="n">
        <v>50.26</v>
      </c>
      <c r="M3471" s="1" t="inlineStr">
        <is>
          <t>493.39%</t>
        </is>
      </c>
      <c r="N3471" s="7" t="n">
        <v>59.62</v>
      </c>
      <c r="O3471" t="n">
        <v>5</v>
      </c>
      <c r="P3471" t="n">
        <v>9</v>
      </c>
      <c r="R3471" t="inlineStr">
        <is>
          <t>InStock</t>
        </is>
      </c>
      <c r="S3471" t="inlineStr">
        <is>
          <t>undefined</t>
        </is>
      </c>
      <c r="T3471" t="inlineStr">
        <is>
          <t>5286740426920</t>
        </is>
      </c>
    </row>
    <row r="3472" ht="87" customHeight="1">
      <c r="A3472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472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472" t="inlineStr">
        <is>
          <t>Diablo Tools DMAPL4100 1/4 in. x 16 in. x 18 in. Rebar Demon™ SDS‑Plus 4‑Cutter Full Carbide Head Hammer Bit</t>
        </is>
      </c>
      <c r="D3472" t="inlineStr">
        <is>
          <t>Diablo by Freud DMAPL4180-P25 1/2 in. x 4 in. x 6 in. Rebar Demon SDS-Plus 4-Cutter Full Carbide Head Hammer Bit (25-Pack) Multi, One Size</t>
        </is>
      </c>
      <c r="E3472" s="2">
        <f>HYPERLINK("https://www.amazon.com/Diablo-Rebar-4-Cutter-Carbide-Hammer/dp/B089LGWV7F/ref=sr_1_41?keywords=Diablo+Tools+DMAPL4100+1%2F4+in.+x+16+in.+x+18+in.+Rebar+Demon%E2%84%A2+SDS%E2%80%91Plus+4%E2%80%91Cutter+Full+Carbide+Head+Hammer+Bit&amp;qid=1694735272&amp;sr=8-41", "https://www.amazon.com/Diablo-Rebar-4-Cutter-Carbide-Hammer/dp/B089LGWV7F/ref=sr_1_41?keywords=Diablo+Tools+DMAPL4100+1%2F4+in.+x+16+in.+x+18+in.+Rebar+Demon%E2%84%A2+SDS%E2%80%91Plus+4%E2%80%91Cutter+Full+Carbide+Head+Hammer+Bit&amp;qid=1694735272&amp;sr=8-41")</f>
        <v/>
      </c>
      <c r="F3472" t="inlineStr">
        <is>
          <t>B089LGWV7F</t>
        </is>
      </c>
      <c r="G3472">
        <f>_xlfn.IMAGE("https://edmondsonsupply.com/cdn/shop/products/DMAPL4100_Main-Image20200701.png?v=1633030520")</f>
        <v/>
      </c>
      <c r="H3472">
        <f>_xlfn.IMAGE("https://m.media-amazon.com/images/I/61q9iw+mKpL._AC_UL320_.jpg")</f>
        <v/>
      </c>
      <c r="K3472" t="inlineStr">
        <is>
          <t>16.97</t>
        </is>
      </c>
      <c r="L3472" t="n">
        <v>99.98999999999999</v>
      </c>
      <c r="M3472" s="1" t="inlineStr">
        <is>
          <t>489.22%</t>
        </is>
      </c>
      <c r="N3472" s="7" t="n">
        <v>59.36</v>
      </c>
      <c r="O3472" t="n">
        <v>5</v>
      </c>
      <c r="P3472" t="n">
        <v>2</v>
      </c>
      <c r="R3472" t="inlineStr">
        <is>
          <t>InStock</t>
        </is>
      </c>
      <c r="S3472" t="inlineStr">
        <is>
          <t>undefined</t>
        </is>
      </c>
      <c r="T3472" t="inlineStr">
        <is>
          <t>5399840882856</t>
        </is>
      </c>
    </row>
    <row r="3473" ht="87" customHeight="1">
      <c r="A3473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3473" s="2">
        <f>HYPERLINK("https://edmondsonsupply.com/products/diablo-tools-d0740x-7-1-4-in-x-40-tooth-finish-saw-blade", "https://edmondsonsupply.com/products/diablo-tools-d0740x-7-1-4-in-x-40-tooth-finish-saw-blade")</f>
        <v/>
      </c>
      <c r="C3473" t="inlineStr">
        <is>
          <t>Diablo Tools D0740X 7-1/4 in. x 40 Tooth Finish Saw Blade</t>
        </is>
      </c>
      <c r="D3473" t="inlineStr">
        <is>
          <t>Diablo D0740A 7-1/4" X 40 Tooth Wet Lumber Finish Circular Saw Blade 5 Pack</t>
        </is>
      </c>
      <c r="E3473" s="2">
        <f>HYPERLINK("https://www.amazon.com/Diablo-D0740A-Lumber-Finish-Circular/dp/B00VITLHO0/ref=sr_1_3?keywords=Diablo+Tools+D0740X+7-1%2F4+in.+x+40+Tooth+Finish+Saw+Blade&amp;qid=1694735026&amp;sr=8-3", "https://www.amazon.com/Diablo-D0740A-Lumber-Finish-Circular/dp/B00VITLHO0/ref=sr_1_3?keywords=Diablo+Tools+D0740X+7-1%2F4+in.+x+40+Tooth+Finish+Saw+Blade&amp;qid=1694735026&amp;sr=8-3")</f>
        <v/>
      </c>
      <c r="F3473" t="inlineStr">
        <is>
          <t>B00VITLHO0</t>
        </is>
      </c>
      <c r="G3473">
        <f>_xlfn.IMAGE("https://edmondsonsupply.com/cdn/shop/products/kdrkrhhsfpivsggxnkhy.webp?v=1678975834")</f>
        <v/>
      </c>
      <c r="H3473">
        <f>_xlfn.IMAGE("https://m.media-amazon.com/images/I/51Kjg9YnOML._AC_UL320_.jpg")</f>
        <v/>
      </c>
      <c r="K3473" t="inlineStr">
        <is>
          <t>14.97</t>
        </is>
      </c>
      <c r="L3473" t="n">
        <v>87.54000000000001</v>
      </c>
      <c r="M3473" s="1" t="inlineStr">
        <is>
          <t>484.77%</t>
        </is>
      </c>
      <c r="N3473" s="7" t="n">
        <v>59.1</v>
      </c>
      <c r="O3473" t="n">
        <v>5</v>
      </c>
      <c r="P3473" t="n">
        <v>1</v>
      </c>
      <c r="R3473" t="inlineStr">
        <is>
          <t>InStock</t>
        </is>
      </c>
      <c r="S3473" t="inlineStr">
        <is>
          <t>24.4</t>
        </is>
      </c>
      <c r="T3473" t="inlineStr">
        <is>
          <t>7962622787800</t>
        </is>
      </c>
    </row>
    <row r="3474" ht="87" customHeight="1">
      <c r="A3474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474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474" t="inlineStr">
        <is>
          <t>Diablo Tools DMARG1030 3/16 in. x 4 in. x 6 in. SPEEDemon™ Red Granite Carbide Tipped Hammer Drill Bit</t>
        </is>
      </c>
      <c r="D3474" t="inlineStr">
        <is>
          <t>VALYRIANTOOL 10-Pack 3/16 Inch x 6 Inch SDS Plus Rotary Hammer Drill Bits Set, Carbide Tipped for Brick, Masonry, Stone and Concrete (3/16" x 4" x 6")</t>
        </is>
      </c>
      <c r="E3474" s="2">
        <f>HYPERLINK("https://www.amazon.com/VALYRIANTOOL-10-Pack-Carbide-Masonry-Concrete/dp/B07W6KYD3F/ref=sr_1_20?keywords=Diablo+Tools+DMARG1030+3%2F16+in.+x+4+in.+x+6+in.+SPEEDemon%E2%84%A2+Red+Granite+Carbide+Tipped+Hammer+Drill+Bit&amp;qid=1694735280&amp;sr=8-20", "https://www.amazon.com/VALYRIANTOOL-10-Pack-Carbide-Masonry-Concrete/dp/B07W6KYD3F/ref=sr_1_20?keywords=Diablo+Tools+DMARG1030+3%2F16+in.+x+4+in.+x+6+in.+SPEEDemon%E2%84%A2+Red+Granite+Carbide+Tipped+Hammer+Drill+Bit&amp;qid=1694735280&amp;sr=8-20")</f>
        <v/>
      </c>
      <c r="F3474" t="inlineStr">
        <is>
          <t>B07W6KYD3F</t>
        </is>
      </c>
      <c r="G3474">
        <f>_xlfn.IMAGE("https://edmondsonsupply.com/cdn/shop/products/DMARG1030_Main-Image20200407.png?v=1633030509")</f>
        <v/>
      </c>
      <c r="H3474">
        <f>_xlfn.IMAGE("https://m.media-amazon.com/images/I/61gzmHF8KQL._AC_UL320_.jpg")</f>
        <v/>
      </c>
      <c r="K3474" t="inlineStr">
        <is>
          <t>4.47</t>
        </is>
      </c>
      <c r="L3474" t="n">
        <v>25.99</v>
      </c>
      <c r="M3474" s="1" t="inlineStr">
        <is>
          <t>481.43%</t>
        </is>
      </c>
      <c r="N3474" s="7" t="n">
        <v>59.04</v>
      </c>
      <c r="O3474" t="n">
        <v>4.3</v>
      </c>
      <c r="P3474" t="n">
        <v>47</v>
      </c>
      <c r="R3474" t="inlineStr">
        <is>
          <t>InStock</t>
        </is>
      </c>
      <c r="S3474" t="inlineStr">
        <is>
          <t>undefined</t>
        </is>
      </c>
      <c r="T3474" t="inlineStr">
        <is>
          <t>5386199629992</t>
        </is>
      </c>
    </row>
    <row r="3475" ht="87" customHeight="1">
      <c r="A347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475" s="2">
        <f>HYPERLINK("https://edmondsonsupply.com/products/klein-tools-et45-ac-dc-voltage-tester", "https://edmondsonsupply.com/products/klein-tools-et45-ac-dc-voltage-tester")</f>
        <v/>
      </c>
      <c r="C3475" t="inlineStr">
        <is>
          <t>Klein Tools ET45 AC/DC Voltage Tester</t>
        </is>
      </c>
      <c r="D3475" t="inlineStr">
        <is>
          <t>Klein Tools ET310 AC Circuit Breaker Finder with Integrated GFCI Outlet Tester &amp; NCVT1P Voltage Tester, Non-Contact Voltage Detector Pen, 50V to 1000V AC, Audible and Flashing LED Alarms, Pocket Clip</t>
        </is>
      </c>
      <c r="E3475" s="2">
        <f>HYPERLINK("https://www.amazon.com/Klein-Tools-Integrated-Non-Contact-Detector/dp/B0BC84182C/ref=sr_1_27?keywords=Klein+Tools+ET45+AC%2FDC+Voltage+Tester&amp;qid=1694735227&amp;sr=8-27", "https://www.amazon.com/Klein-Tools-Integrated-Non-Contact-Detector/dp/B0BC84182C/ref=sr_1_27?keywords=Klein+Tools+ET45+AC%2FDC+Voltage+Tester&amp;qid=1694735227&amp;sr=8-27")</f>
        <v/>
      </c>
      <c r="F3475" t="inlineStr">
        <is>
          <t>B0BC84182C</t>
        </is>
      </c>
      <c r="G3475">
        <f>_xlfn.IMAGE("https://edmondsonsupply.com/cdn/shop/products/et45.jpg?v=1647786270")</f>
        <v/>
      </c>
      <c r="H3475">
        <f>_xlfn.IMAGE("https://m.media-amazon.com/images/I/51TuoTYTlvL._AC_UL320_.jpg")</f>
        <v/>
      </c>
      <c r="K3475" t="inlineStr">
        <is>
          <t>11.99</t>
        </is>
      </c>
      <c r="L3475" t="n">
        <v>69.69</v>
      </c>
      <c r="M3475" s="1" t="inlineStr">
        <is>
          <t>481.23%</t>
        </is>
      </c>
      <c r="N3475" s="7" t="n">
        <v>58.87</v>
      </c>
      <c r="O3475" t="n">
        <v>4.4</v>
      </c>
      <c r="P3475" t="n">
        <v>7</v>
      </c>
      <c r="R3475" t="inlineStr">
        <is>
          <t>InStock</t>
        </is>
      </c>
      <c r="S3475" t="inlineStr">
        <is>
          <t>16.72</t>
        </is>
      </c>
      <c r="T3475" t="inlineStr">
        <is>
          <t>3688633630820</t>
        </is>
      </c>
    </row>
    <row r="3476" ht="87" customHeight="1">
      <c r="A3476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3476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3476" t="inlineStr">
        <is>
          <t>Klein Tools 630-1/2 1/2-Inch Nut Driver, 3-Inch Shaft, Cushion-Grip</t>
        </is>
      </c>
      <c r="D3476" t="inlineStr">
        <is>
          <t>Klein Tools 647 Tool Set, Nut Drivers Sizes 3/16, 1/4, 5/16, 11/32, 3/8, 7/16, 1/2-Inch, Chrome-Plated 6-Inch Shafts, Cushion Grip, 7-Piece</t>
        </is>
      </c>
      <c r="E3476" s="2">
        <f>HYPERLINK("https://www.amazon.com/Driver-6-Inch-Klein-Tools-647/dp/B0014KRVXO/ref=sr_1_5?keywords=Klein+Tools+630-1%2F2+1%2F2-Inch+Nut+Driver%2C+3-Inch+Shaft%2C+Cushion-Grip&amp;qid=1694735275&amp;sr=8-5", "https://www.amazon.com/Driver-6-Inch-Klein-Tools-647/dp/B0014KRVXO/ref=sr_1_5?keywords=Klein+Tools+630-1%2F2+1%2F2-Inch+Nut+Driver%2C+3-Inch+Shaft%2C+Cushion-Grip&amp;qid=1694735275&amp;sr=8-5")</f>
        <v/>
      </c>
      <c r="F3476" t="inlineStr">
        <is>
          <t>B0014KRVXO</t>
        </is>
      </c>
      <c r="G3476">
        <f>_xlfn.IMAGE("https://edmondsonsupply.com/cdn/shop/products/630-1-2_7cf2cc87-b92f-4b67-9777-1bad53f29a16.jpg?v=1633030528")</f>
        <v/>
      </c>
      <c r="H3476">
        <f>_xlfn.IMAGE("https://m.media-amazon.com/images/I/51usUk-EpGL._AC_UL320_.jpg")</f>
        <v/>
      </c>
      <c r="K3476" t="inlineStr">
        <is>
          <t>9.99</t>
        </is>
      </c>
      <c r="L3476" t="n">
        <v>57.99</v>
      </c>
      <c r="M3476" s="1" t="inlineStr">
        <is>
          <t>480.48%</t>
        </is>
      </c>
      <c r="N3476" s="7" t="n">
        <v>58.82</v>
      </c>
      <c r="O3476" t="n">
        <v>4.8</v>
      </c>
      <c r="P3476" t="n">
        <v>734</v>
      </c>
      <c r="R3476" t="inlineStr">
        <is>
          <t>InStock</t>
        </is>
      </c>
      <c r="S3476" t="inlineStr">
        <is>
          <t>14.38</t>
        </is>
      </c>
      <c r="T3476" t="inlineStr">
        <is>
          <t>5408826458280</t>
        </is>
      </c>
    </row>
    <row r="3477" ht="87" customHeight="1">
      <c r="A3477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477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477" t="inlineStr">
        <is>
          <t>Diablo Tools DMAPL4030 3/16 in. x 2 in. x 4 in. Rebar Demon™ SDS-Plus 4-Cutter Full Carbide Head Hammer Bit</t>
        </is>
      </c>
      <c r="D3477" t="inlineStr">
        <is>
          <t>Diablo by Freud DMAPL4200 1/2 in. x 16 in. x 18 in. Rebar Demon SDS-Plus 4-Cutter Full Carbide Head Hammer Bit</t>
        </is>
      </c>
      <c r="E3477" s="2">
        <f>HYPERLINK("https://www.amazon.com/Diablo-Freud-DMAPL4200-SDS-Plus-4-Cutter/dp/B089KW2QV1/ref=sr_1_25?keywords=Diablo+Tools+DMAPL4030+3%2F16+in.+x+2+in.+x+4+in.+Rebar+Demon%E2%84%A2+SDS-Plus+4-Cutter+Full+Carbide+Head+Hammer+Bit&amp;qid=1694735295&amp;sr=8-25", "https://www.amazon.com/Diablo-Freud-DMAPL4200-SDS-Plus-4-Cutter/dp/B089KW2QV1/ref=sr_1_25?keywords=Diablo+Tools+DMAPL4030+3%2F16+in.+x+2+in.+x+4+in.+Rebar+Demon%E2%84%A2+SDS-Plus+4-Cutter+Full+Carbide+Head+Hammer+Bit&amp;qid=1694735295&amp;sr=8-25")</f>
        <v/>
      </c>
      <c r="F3477" t="inlineStr">
        <is>
          <t>B089KW2QV1</t>
        </is>
      </c>
      <c r="G3477">
        <f>_xlfn.IMAGE("https://edmondsonsupply.com/cdn/shop/products/DMAPL4030.jpg?v=1633030357")</f>
        <v/>
      </c>
      <c r="H3477">
        <f>_xlfn.IMAGE("https://m.media-amazon.com/images/I/61rW+ROVmNL._AC_UL320_.jpg")</f>
        <v/>
      </c>
      <c r="K3477" t="inlineStr">
        <is>
          <t>3.97</t>
        </is>
      </c>
      <c r="L3477" t="n">
        <v>23</v>
      </c>
      <c r="M3477" s="1" t="inlineStr">
        <is>
          <t>479.35%</t>
        </is>
      </c>
      <c r="N3477" s="7" t="n">
        <v>58.71</v>
      </c>
      <c r="O3477" t="n">
        <v>4.7</v>
      </c>
      <c r="P3477" t="n">
        <v>18</v>
      </c>
      <c r="R3477" t="inlineStr">
        <is>
          <t>InStock</t>
        </is>
      </c>
      <c r="S3477" t="inlineStr">
        <is>
          <t>5.51</t>
        </is>
      </c>
      <c r="T3477" t="inlineStr">
        <is>
          <t>5286322012328</t>
        </is>
      </c>
    </row>
    <row r="3478" ht="87" customHeight="1">
      <c r="A3478" s="2">
        <f>HYPERLINK("https://edmondsonsupply.com/collections/electricians-tools/products/diablo-tools-d0724da-7-1-4-in-24-tooth-%E2%84%A2-framing-demolition-saw-blade", "https://edmondsonsupply.com/collections/electricians-tools/products/diablo-tools-d0724da-7-1-4-in-24-tooth-%E2%84%A2-framing-demolition-saw-blade")</f>
        <v/>
      </c>
      <c r="B3478" s="2">
        <f>HYPERLINK("https://edmondsonsupply.com/products/diablo-tools-d0724da-7-1-4-in-24-tooth-%e2%84%a2-framing-demolition-saw-blade", "https://edmondsonsupply.com/products/diablo-tools-d0724da-7-1-4-in-24-tooth-%e2%84%a2-framing-demolition-saw-blade")</f>
        <v/>
      </c>
      <c r="C3478" t="inlineStr">
        <is>
          <t>Diablo Tools D0724DA 7-1/4 in. 24-Tooth ™ Framing/Demolition Saw Blade</t>
        </is>
      </c>
      <c r="D3478" t="inlineStr">
        <is>
          <t>Diablo D0724A 7-1/4" 24T Diablo™ Circular Saw Framing Blade</t>
        </is>
      </c>
      <c r="E3478" s="2">
        <f>HYPERLINK("https://www.amazon.com/Diablo-D0724A-Circular-Framing-Blade/dp/B00M9IDPD0/ref=sr_1_6?keywords=Diablo+Tools+D0724DA+7-1%2F4+in.+24-Tooth+%E2%84%A2+Framing%2FDemolition+Saw+Blade&amp;qid=1694735025&amp;sr=8-6", "https://www.amazon.com/Diablo-D0724A-Circular-Framing-Blade/dp/B00M9IDPD0/ref=sr_1_6?keywords=Diablo+Tools+D0724DA+7-1%2F4+in.+24-Tooth+%E2%84%A2+Framing%2FDemolition+Saw+Blade&amp;qid=1694735025&amp;sr=8-6")</f>
        <v/>
      </c>
      <c r="F3478" t="inlineStr">
        <is>
          <t>B00M9IDPD0</t>
        </is>
      </c>
      <c r="G3478">
        <f>_xlfn.IMAGE("https://edmondsonsupply.com/cdn/shop/products/ms7ofgpqtqo0aptxxu1k.webp?v=1678973703")</f>
        <v/>
      </c>
      <c r="H3478">
        <f>_xlfn.IMAGE("https://m.media-amazon.com/images/I/71DFvox7T1L._AC_UL320_.jpg")</f>
        <v/>
      </c>
      <c r="K3478" t="inlineStr">
        <is>
          <t>14.97</t>
        </is>
      </c>
      <c r="L3478" t="n">
        <v>86.65000000000001</v>
      </c>
      <c r="M3478" s="1" t="inlineStr">
        <is>
          <t>478.82%</t>
        </is>
      </c>
      <c r="N3478" s="7" t="n">
        <v>58.51</v>
      </c>
      <c r="O3478" t="n">
        <v>4.6</v>
      </c>
      <c r="P3478" t="n">
        <v>859</v>
      </c>
      <c r="R3478" t="inlineStr">
        <is>
          <t>InStock</t>
        </is>
      </c>
      <c r="S3478" t="inlineStr">
        <is>
          <t>22.22</t>
        </is>
      </c>
      <c r="T3478" t="inlineStr">
        <is>
          <t>7962610204888</t>
        </is>
      </c>
    </row>
    <row r="3479" ht="87" customHeight="1">
      <c r="A3479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3479" s="2">
        <f>HYPERLINK("https://edmondsonsupply.com/products/klein-tools-635-3-8-3-8-inch-heavy-duty-nut-driver", "https://edmondsonsupply.com/products/klein-tools-635-3-8-3-8-inch-heavy-duty-nut-driver")</f>
        <v/>
      </c>
      <c r="C3479" t="inlineStr">
        <is>
          <t>Klein Tools 635-3/8 3/8-Inch Heavy-Duty Nut Driver</t>
        </is>
      </c>
      <c r="D3479" t="inlineStr">
        <is>
          <t>Klein Tools 631M Tool Set, Magnetic Nut Drivers Sizes 3/16, 1/4, 5/16, 11/32, 3/8, 7/16 and 1/2-Inch on 3-Inch Full Hollow Shaft, 7-Piece</t>
        </is>
      </c>
      <c r="E3479" s="2">
        <f>HYPERLINK("https://www.amazon.com/Driver-Magnetic-3-Inch-Hollow-Klein/dp/B001BQ0DNG/ref=sr_1_24?keywords=Klein+Tools+635-3%2F8+3%2F8-Inch+Heavy-Duty+Nut+Driver&amp;qid=1694735241&amp;sr=8-24", "https://www.amazon.com/Driver-Magnetic-3-Inch-Hollow-Klein/dp/B001BQ0DNG/ref=sr_1_24?keywords=Klein+Tools+635-3%2F8+3%2F8-Inch+Heavy-Duty+Nut+Driver&amp;qid=1694735241&amp;sr=8-24")</f>
        <v/>
      </c>
      <c r="F3479" t="inlineStr">
        <is>
          <t>B001BQ0DNG</t>
        </is>
      </c>
      <c r="G3479">
        <f>_xlfn.IMAGE("https://edmondsonsupply.com/cdn/shop/products/635-3-8.jpg?v=1633030895")</f>
        <v/>
      </c>
      <c r="H3479">
        <f>_xlfn.IMAGE("https://m.media-amazon.com/images/I/61pMsoh2smL._AC_UL320_.jpg")</f>
        <v/>
      </c>
      <c r="K3479" t="inlineStr">
        <is>
          <t>12.99</t>
        </is>
      </c>
      <c r="L3479" t="n">
        <v>74.98999999999999</v>
      </c>
      <c r="M3479" s="1" t="inlineStr">
        <is>
          <t>477.29%</t>
        </is>
      </c>
      <c r="N3479" s="7" t="n">
        <v>58.07</v>
      </c>
      <c r="O3479" t="n">
        <v>4.8</v>
      </c>
      <c r="P3479" t="n">
        <v>1145</v>
      </c>
      <c r="R3479" t="inlineStr">
        <is>
          <t>InStock</t>
        </is>
      </c>
      <c r="S3479" t="inlineStr">
        <is>
          <t>19.68</t>
        </is>
      </c>
      <c r="T3479" t="inlineStr">
        <is>
          <t>6228534952109</t>
        </is>
      </c>
    </row>
    <row r="3480" ht="87" customHeight="1">
      <c r="A3480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3480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3480" t="inlineStr">
        <is>
          <t>Klein Tools 646-7/16M 7/16-Inch Magnetic Tip Nut Driver 6-Inch Shaft</t>
        </is>
      </c>
      <c r="D3480" t="inlineStr">
        <is>
          <t>Klein Tools 631M Tool Set, Magnetic Nut Drivers Sizes 3/16, 1/4, 5/16, 11/32, 3/8, 7/16 and 1/2-Inch on 3-Inch Full Hollow Shaft, 7-Piece</t>
        </is>
      </c>
      <c r="E3480" s="2">
        <f>HYPERLINK("https://www.amazon.com/Driver-Magnetic-3-Inch-Hollow-Klein/dp/B001BQ0DNG/ref=sr_1_17?keywords=Klein+Tools+646-7%2F16M+7%2F16-Inch+Magnetic+Tip+Nut+Driver+6-Inch+Shaft&amp;qid=1694735353&amp;sr=8-17", "https://www.amazon.com/Driver-Magnetic-3-Inch-Hollow-Klein/dp/B001BQ0DNG/ref=sr_1_17?keywords=Klein+Tools+646-7%2F16M+7%2F16-Inch+Magnetic+Tip+Nut+Driver+6-Inch+Shaft&amp;qid=1694735353&amp;sr=8-17")</f>
        <v/>
      </c>
      <c r="F3480" t="inlineStr">
        <is>
          <t>B001BQ0DNG</t>
        </is>
      </c>
      <c r="G3480">
        <f>_xlfn.IMAGE("https://edmondsonsupply.com/cdn/shop/products/646-5-16m_906faaaa-dd9e-40e4-bce3-8174c2b127b5.jpg?v=1587146594")</f>
        <v/>
      </c>
      <c r="H3480">
        <f>_xlfn.IMAGE("https://m.media-amazon.com/images/I/61pMsoh2smL._AC_UL320_.jpg")</f>
        <v/>
      </c>
      <c r="K3480" t="inlineStr">
        <is>
          <t>12.99</t>
        </is>
      </c>
      <c r="L3480" t="n">
        <v>74.98999999999999</v>
      </c>
      <c r="M3480" s="1" t="inlineStr">
        <is>
          <t>477.29%</t>
        </is>
      </c>
      <c r="N3480" s="7" t="n">
        <v>58.01</v>
      </c>
      <c r="O3480" t="n">
        <v>4.8</v>
      </c>
      <c r="P3480" t="n">
        <v>1145</v>
      </c>
      <c r="R3480" t="inlineStr">
        <is>
          <t>InStock</t>
        </is>
      </c>
      <c r="S3480" t="inlineStr">
        <is>
          <t>19.74</t>
        </is>
      </c>
      <c r="T3480" t="inlineStr">
        <is>
          <t>4461840171108</t>
        </is>
      </c>
    </row>
    <row r="3481" ht="87" customHeight="1">
      <c r="A3481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481" s="2">
        <f>HYPERLINK("https://edmondsonsupply.com/products/klein-tools-vdv500-705-tone-probe-test-and-trace-kit", "https://edmondsonsupply.com/products/klein-tools-vdv500-705-tone-probe-test-and-trace-kit")</f>
        <v/>
      </c>
      <c r="C3481" t="inlineStr">
        <is>
          <t>Klein Tools VDV500-705 Tone &amp; Probe Test and Trace Kit</t>
        </is>
      </c>
      <c r="D3481" t="inlineStr">
        <is>
          <t>Klein Tools VDV501-852 Cable Tester &amp; VDV500-123 Cable Tracer Probe-Pro Tracing Probe with Replaceable Non-Metallic, Conductive Tip and a Light for Use in Dark Spaces</t>
        </is>
      </c>
      <c r="E3481" s="2">
        <f>HYPERLINK("https://www.amazon.com/Klein-Tools-VDV501-852-Replaceable-Non-Metallic/dp/B09T71P1V2/ref=sr_1_15?keywords=Klein+Tools+VDV500-705+Tone&amp;qid=1694735386&amp;sr=8-15", "https://www.amazon.com/Klein-Tools-VDV501-852-Replaceable-Non-Metallic/dp/B09T71P1V2/ref=sr_1_15?keywords=Klein+Tools+VDV500-705+Tone&amp;qid=1694735386&amp;sr=8-15")</f>
        <v/>
      </c>
      <c r="F3481" t="inlineStr">
        <is>
          <t>B09T71P1V2</t>
        </is>
      </c>
      <c r="G3481">
        <f>_xlfn.IMAGE("https://edmondsonsupply.com/cdn/shop/products/vdv500705.jpg?v=1587144799")</f>
        <v/>
      </c>
      <c r="H3481">
        <f>_xlfn.IMAGE("https://m.media-amazon.com/images/I/51z8wwfmzML._AC_UY218_.jpg")</f>
        <v/>
      </c>
      <c r="K3481" t="inlineStr">
        <is>
          <t>39.97</t>
        </is>
      </c>
      <c r="L3481" t="n">
        <v>229.98</v>
      </c>
      <c r="M3481" s="1" t="inlineStr">
        <is>
          <t>475.38%</t>
        </is>
      </c>
      <c r="N3481" s="7" t="n">
        <v>57.99</v>
      </c>
      <c r="O3481" t="n">
        <v>4.7</v>
      </c>
      <c r="P3481" t="n">
        <v>4</v>
      </c>
      <c r="R3481" t="inlineStr">
        <is>
          <t>InStock</t>
        </is>
      </c>
      <c r="S3481" t="inlineStr">
        <is>
          <t>55.98</t>
        </is>
      </c>
      <c r="T3481" t="inlineStr">
        <is>
          <t>4412899590244</t>
        </is>
      </c>
    </row>
    <row r="3482" ht="87" customHeight="1">
      <c r="A3482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3482" s="2">
        <f>HYPERLINK("https://edmondsonsupply.com/products/klein-tools-31940-bi-metal-hole-saw-2-1-2-inch", "https://edmondsonsupply.com/products/klein-tools-31940-bi-metal-hole-saw-2-1-2-inch")</f>
        <v/>
      </c>
      <c r="C3482" t="inlineStr">
        <is>
          <t>Klein Tools 31940 Bi-Metal Hole Saw, 2-1/2-Inch</t>
        </is>
      </c>
      <c r="D3482" t="inlineStr">
        <is>
          <t>Klein Tools 31870 Heavy Duty Hole Cutter, 2-1/2-Inch Carbide Hole Cutter Cuts Stainless Steel, Mild Steel, Iron, and Copper</t>
        </is>
      </c>
      <c r="E3482" s="2">
        <f>HYPERLINK("https://www.amazon.com/Carbide-Cutter-Klein-Tools-31870/dp/B00776T3C6/ref=sr_1_12?keywords=Klein+Tools+31940+Bi-Metal+Hole+Saw%2C+2-1%2F2-Inch&amp;qid=1694735159&amp;sr=8-12", "https://www.amazon.com/Carbide-Cutter-Klein-Tools-31870/dp/B00776T3C6/ref=sr_1_12?keywords=Klein+Tools+31940+Bi-Metal+Hole+Saw%2C+2-1%2F2-Inch&amp;qid=1694735159&amp;sr=8-12")</f>
        <v/>
      </c>
      <c r="F3482" t="inlineStr">
        <is>
          <t>B00776T3C6</t>
        </is>
      </c>
      <c r="G3482">
        <f>_xlfn.IMAGE("https://edmondsonsupply.com/cdn/shop/products/31940.jpg?v=1649380086")</f>
        <v/>
      </c>
      <c r="H3482">
        <f>_xlfn.IMAGE("https://m.media-amazon.com/images/I/41YZKcK6nOL._AC_UL320_.jpg")</f>
        <v/>
      </c>
      <c r="K3482" t="inlineStr">
        <is>
          <t>13.99</t>
        </is>
      </c>
      <c r="L3482" t="n">
        <v>79.98999999999999</v>
      </c>
      <c r="M3482" s="1" t="inlineStr">
        <is>
          <t>471.77%</t>
        </is>
      </c>
      <c r="N3482" s="7" t="n">
        <v>57.89</v>
      </c>
      <c r="O3482" t="n">
        <v>4.5</v>
      </c>
      <c r="P3482" t="n">
        <v>472</v>
      </c>
      <c r="R3482" t="inlineStr">
        <is>
          <t>InStock</t>
        </is>
      </c>
      <c r="S3482" t="inlineStr">
        <is>
          <t>18.22</t>
        </is>
      </c>
      <c r="T3482" t="inlineStr">
        <is>
          <t>7657257074904</t>
        </is>
      </c>
    </row>
    <row r="3483" ht="87" customHeight="1">
      <c r="A3483" s="2">
        <f>HYPERLINK("https://edmondsonsupply.com/collections/electricians-tools/products/gorilla-glue-107450-original-gorilla-glue-20z-bottle", "https://edmondsonsupply.com/collections/electricians-tools/products/gorilla-glue-107450-original-gorilla-glue-20z-bottle")</f>
        <v/>
      </c>
      <c r="B3483" s="2">
        <f>HYPERLINK("https://edmondsonsupply.com/products/gorilla-glue-107450-original-gorilla-glue-20z-bottle", "https://edmondsonsupply.com/products/gorilla-glue-107450-original-gorilla-glue-20z-bottle")</f>
        <v/>
      </c>
      <c r="C3483" t="inlineStr">
        <is>
          <t>Gorilla Glue 107450 Original Gorilla Glue, 2oz. bottle</t>
        </is>
      </c>
      <c r="D3483" t="inlineStr">
        <is>
          <t>Gorilla Original Gorilla Glue, Waterproof Polyurethane Glue, 36 Ounce Bottle, Brown, (Pack of 1)</t>
        </is>
      </c>
      <c r="E3483" s="2">
        <f>HYPERLINK("https://www.amazon.com/Gorilla-Original-Waterproof-Polyurethane-Bottle/dp/B00006LAAQ/ref=sr_1_4?keywords=Gorilla+Glue+107450+Original+Gorilla+Glue%2C+2oz.+bottle&amp;qid=1694735029&amp;sr=8-4", "https://www.amazon.com/Gorilla-Original-Waterproof-Polyurethane-Bottle/dp/B00006LAAQ/ref=sr_1_4?keywords=Gorilla+Glue+107450+Original+Gorilla+Glue%2C+2oz.+bottle&amp;qid=1694735029&amp;sr=8-4")</f>
        <v/>
      </c>
      <c r="F3483" t="inlineStr">
        <is>
          <t>B00006LAAQ</t>
        </is>
      </c>
      <c r="G3483">
        <f>_xlfn.IMAGE("https://edmondsonsupply.com/cdn/shop/products/original_gorilla_glue_white_bg_v2-450x450-c-default.webp?v=1678801122")</f>
        <v/>
      </c>
      <c r="H3483">
        <f>_xlfn.IMAGE("https://m.media-amazon.com/images/I/71x97lx3fEL._AC_UY218_.jpg")</f>
        <v/>
      </c>
      <c r="K3483" t="inlineStr">
        <is>
          <t>6.98</t>
        </is>
      </c>
      <c r="L3483" t="n">
        <v>39.84</v>
      </c>
      <c r="M3483" s="1" t="inlineStr">
        <is>
          <t>470.77%</t>
        </is>
      </c>
      <c r="N3483" s="7" t="n">
        <v>57.3</v>
      </c>
      <c r="O3483" t="n">
        <v>4.7</v>
      </c>
      <c r="P3483" t="n">
        <v>617</v>
      </c>
      <c r="R3483" t="inlineStr">
        <is>
          <t>InStock</t>
        </is>
      </c>
      <c r="S3483" t="inlineStr">
        <is>
          <t>undefined</t>
        </is>
      </c>
      <c r="T3483" t="inlineStr">
        <is>
          <t>7961253314776</t>
        </is>
      </c>
    </row>
    <row r="3484" ht="87" customHeight="1">
      <c r="A3484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3484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3484" t="inlineStr">
        <is>
          <t>Diablo Tools DMAPL4055 3/16 in. x 10 in. x 12 in. Rebar Demon™ SDS‑Plus 4‑Cutter Full Carbide Head Hammer Bit</t>
        </is>
      </c>
      <c r="D3484" t="inlineStr">
        <is>
          <t>Diablo by Freud DMAPL4040-P25 3/16 in. x 4 in. x 6 in. Rebar Demon™ SDS-Plus 4-Cutter Full Carbide Head Hammer Bit (25-Pack)</t>
        </is>
      </c>
      <c r="E3484" s="2" t="n"/>
      <c r="F3484" t="inlineStr">
        <is>
          <t>B089LKW42D</t>
        </is>
      </c>
      <c r="G3484">
        <f>_xlfn.IMAGE("https://edmondsonsupply.com/cdn/shop/products/DMAPL4055_Main-Image20200331.png?v=1633030416")</f>
        <v/>
      </c>
      <c r="H3484">
        <f>_xlfn.IMAGE("https://m.media-amazon.com/images/I/61WAyx865hL._AC_UL320_.jpg")</f>
        <v/>
      </c>
      <c r="K3484" t="inlineStr">
        <is>
          <t>13.97</t>
        </is>
      </c>
      <c r="L3484" t="n">
        <v>79.63</v>
      </c>
      <c r="M3484" s="1" t="inlineStr">
        <is>
          <t>470.01%</t>
        </is>
      </c>
      <c r="N3484" s="7" t="n">
        <v>57.19</v>
      </c>
      <c r="O3484" t="n">
        <v>5</v>
      </c>
      <c r="P3484" t="n">
        <v>2</v>
      </c>
      <c r="R3484" t="inlineStr">
        <is>
          <t>InStock</t>
        </is>
      </c>
      <c r="S3484" t="inlineStr">
        <is>
          <t>19.56</t>
        </is>
      </c>
      <c r="T3484" t="inlineStr">
        <is>
          <t>5316790714536</t>
        </is>
      </c>
    </row>
    <row r="3485" ht="87" customHeight="1">
      <c r="A3485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3485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3485" t="inlineStr">
        <is>
          <t>Klein Tools ET45VP AC/DC Voltage and GFCI Receptacle Outlet Test Kit</t>
        </is>
      </c>
      <c r="D3485" t="inlineStr">
        <is>
          <t>Klein Tools CL120VP Electrical Voltage Test Kit &amp; RT250 GFCI Receptacle Tester with LCD Display, for Standard 3-Wire 120V Electrical Outlets</t>
        </is>
      </c>
      <c r="E3485" s="2">
        <f>HYPERLINK("https://www.amazon.com/Klein-Tools-Electrical-Receptacle-Standard/dp/B0B68HFMSW/ref=sr_1_39?keywords=Klein+Tools+ET45VP+AC%2FDC+Voltage+and+GFCI+Receptacle+Outlet+Test+Kit&amp;qid=1694735138&amp;sr=8-39", "https://www.amazon.com/Klein-Tools-Electrical-Receptacle-Standard/dp/B0B68HFMSW/ref=sr_1_39?keywords=Klein+Tools+ET45VP+AC%2FDC+Voltage+and+GFCI+Receptacle+Outlet+Test+Kit&amp;qid=1694735138&amp;sr=8-39")</f>
        <v/>
      </c>
      <c r="F3485" t="inlineStr">
        <is>
          <t>B0B68HFMSW</t>
        </is>
      </c>
      <c r="G3485">
        <f>_xlfn.IMAGE("https://edmondsonsupply.com/cdn/shop/products/et45vp.jpg?v=1660755922")</f>
        <v/>
      </c>
      <c r="H3485">
        <f>_xlfn.IMAGE("https://m.media-amazon.com/images/I/510t4K9B6XL._AC_UL320_.jpg")</f>
        <v/>
      </c>
      <c r="K3485" t="inlineStr">
        <is>
          <t>17.97</t>
        </is>
      </c>
      <c r="L3485" t="n">
        <v>101.95</v>
      </c>
      <c r="M3485" s="1" t="inlineStr">
        <is>
          <t>467.33%</t>
        </is>
      </c>
      <c r="N3485" s="7" t="n">
        <v>57.06</v>
      </c>
      <c r="O3485" t="n">
        <v>4.9</v>
      </c>
      <c r="P3485" t="n">
        <v>22</v>
      </c>
      <c r="R3485" t="inlineStr">
        <is>
          <t>InStock</t>
        </is>
      </c>
      <c r="S3485" t="inlineStr">
        <is>
          <t>25.82</t>
        </is>
      </c>
      <c r="T3485" t="inlineStr">
        <is>
          <t>7783562084568</t>
        </is>
      </c>
    </row>
    <row r="3486" ht="87" customHeight="1">
      <c r="A3486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486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486" t="inlineStr">
        <is>
          <t>Diablo Tools DMAPL4030 3/16 in. x 2 in. x 4 in. Rebar Demon™ SDS-Plus 4-Cutter Full Carbide Head Hammer Bit</t>
        </is>
      </c>
      <c r="D3486" t="inlineStr">
        <is>
          <t>Diablo by Freud DMAPL4230 5/8 in. x 10 in. x 12 in. Rebar Demon SDS-Plus 4-Cutter Full Carbide Head Hammer Bit</t>
        </is>
      </c>
      <c r="E3486" s="2">
        <f>HYPERLINK("https://www.amazon.com/Diablo-Freud-DMAPL4230-SDS-Plus-4-Cutter/dp/B089LCN234/ref=sr_1_27?keywords=Diablo+Tools+DMAPL4030+3%2F16+in.+x+2+in.+x+4+in.+Rebar+Demon%E2%84%A2+SDS-Plus+4-Cutter+Full+Carbide+Head+Hammer+Bit&amp;qid=1694735295&amp;sr=8-27", "https://www.amazon.com/Diablo-Freud-DMAPL4230-SDS-Plus-4-Cutter/dp/B089LCN234/ref=sr_1_27?keywords=Diablo+Tools+DMAPL4030+3%2F16+in.+x+2+in.+x+4+in.+Rebar+Demon%E2%84%A2+SDS-Plus+4-Cutter+Full+Carbide+Head+Hammer+Bit&amp;qid=1694735295&amp;sr=8-27")</f>
        <v/>
      </c>
      <c r="F3486" t="inlineStr">
        <is>
          <t>B089LCN234</t>
        </is>
      </c>
      <c r="G3486">
        <f>_xlfn.IMAGE("https://edmondsonsupply.com/cdn/shop/products/DMAPL4030.jpg?v=1633030357")</f>
        <v/>
      </c>
      <c r="H3486">
        <f>_xlfn.IMAGE("https://m.media-amazon.com/images/I/61r649wmyhL._AC_UL320_.jpg")</f>
        <v/>
      </c>
      <c r="K3486" t="inlineStr">
        <is>
          <t>3.97</t>
        </is>
      </c>
      <c r="L3486" t="n">
        <v>22.51</v>
      </c>
      <c r="M3486" s="1" t="inlineStr">
        <is>
          <t>467.00%</t>
        </is>
      </c>
      <c r="N3486" s="7" t="n">
        <v>57.06</v>
      </c>
      <c r="O3486" t="n">
        <v>4.7</v>
      </c>
      <c r="P3486" t="n">
        <v>47</v>
      </c>
      <c r="R3486" t="inlineStr">
        <is>
          <t>InStock</t>
        </is>
      </c>
      <c r="S3486" t="inlineStr">
        <is>
          <t>5.51</t>
        </is>
      </c>
      <c r="T3486" t="inlineStr">
        <is>
          <t>5286322012328</t>
        </is>
      </c>
    </row>
    <row r="3487" ht="87" customHeight="1">
      <c r="A3487" s="2">
        <f>HYPERLINK("https://edmondsonsupply.com/collections/electricians-tools/products/veto-pro-pac-tp4-tool-pouch", "https://edmondsonsupply.com/collections/electricians-tools/products/veto-pro-pac-tp4-tool-pouch")</f>
        <v/>
      </c>
      <c r="B3487" s="2">
        <f>HYPERLINK("https://edmondsonsupply.com/products/veto-pro-pac-tp4-tool-pouch", "https://edmondsonsupply.com/products/veto-pro-pac-tp4-tool-pouch")</f>
        <v/>
      </c>
      <c r="C3487" t="inlineStr">
        <is>
          <t>Veto Pro Pac TP3 Tool Bag</t>
        </is>
      </c>
      <c r="D3487" t="inlineStr">
        <is>
          <t>Veto Pro Pac Wrencher-LC (Large, Open-Top Tool Bag)</t>
        </is>
      </c>
      <c r="E3487" s="2">
        <f>HYPERLINK("https://www.amazon.com/Veto-Pro-Pac-Wrencher-LC-Open-Top/dp/B0BBPFQ447/ref=sr_1_42?keywords=Veto+Pro+Pac+TP3+Tool+Bag&amp;qid=1694735180&amp;sr=8-42", "https://www.amazon.com/Veto-Pro-Pac-Wrencher-LC-Open-Top/dp/B0BBPFQ447/ref=sr_1_42?keywords=Veto+Pro+Pac+TP3+Tool+Bag&amp;qid=1694735180&amp;sr=8-42")</f>
        <v/>
      </c>
      <c r="F3487" t="inlineStr">
        <is>
          <t>B0BBPFQ447</t>
        </is>
      </c>
      <c r="G3487">
        <f>_xlfn.IMAGE("https://edmondsonsupply.com/cdn/shop/products/TP3_1.jpg?v=1587144391")</f>
        <v/>
      </c>
      <c r="H3487">
        <f>_xlfn.IMAGE("https://m.media-amazon.com/images/I/61iZfeBF47L._AC_UL320_.jpg")</f>
        <v/>
      </c>
      <c r="K3487" t="inlineStr">
        <is>
          <t>59.99</t>
        </is>
      </c>
      <c r="L3487" t="n">
        <v>339.95</v>
      </c>
      <c r="M3487" s="1" t="inlineStr">
        <is>
          <t>466.68%</t>
        </is>
      </c>
      <c r="N3487" s="7" t="n">
        <v>56.98</v>
      </c>
      <c r="O3487" t="n">
        <v>5</v>
      </c>
      <c r="P3487" t="n">
        <v>1</v>
      </c>
      <c r="R3487" t="inlineStr">
        <is>
          <t>InStock</t>
        </is>
      </c>
      <c r="S3487" t="inlineStr">
        <is>
          <t>undefined</t>
        </is>
      </c>
      <c r="T3487" t="inlineStr">
        <is>
          <t>3561762816100</t>
        </is>
      </c>
    </row>
    <row r="3488" ht="87" customHeight="1">
      <c r="A3488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3488" s="2">
        <f>HYPERLINK("https://edmondsonsupply.com/products/klein-tools-69409-line-splitter-10x", "https://edmondsonsupply.com/products/klein-tools-69409-line-splitter-10x")</f>
        <v/>
      </c>
      <c r="C3488" t="inlineStr">
        <is>
          <t>Klein Tools 69409 Line Splitter 10x</t>
        </is>
      </c>
      <c r="D3488" t="inlineStr">
        <is>
          <t>Klein Tools CL600 Electrical Tester, Digital Clamp Meter has Autorange TRMS, Measures AC Current, AC/DC Volts, Resistance, NCVT, More, 1000V &amp; 69409 Line Splitter 10x</t>
        </is>
      </c>
      <c r="E3488" s="2">
        <f>HYPERLINK("https://www.amazon.com/Klein-Tools-Electrical-Autorange-Resistance/dp/B0BFXSKKXX/ref=sr_1_7?keywords=Klein+Tools+69409+Line+Splitter+10x&amp;qid=1694735419&amp;sr=8-7", "https://www.amazon.com/Klein-Tools-Electrical-Autorange-Resistance/dp/B0BFXSKKXX/ref=sr_1_7?keywords=Klein+Tools+69409+Line+Splitter+10x&amp;qid=1694735419&amp;sr=8-7")</f>
        <v/>
      </c>
      <c r="F3488" t="inlineStr">
        <is>
          <t>B0BFXSKKXX</t>
        </is>
      </c>
      <c r="G3488">
        <f>_xlfn.IMAGE("https://edmondsonsupply.com/cdn/shop/products/69409.jpg?v=1587146689")</f>
        <v/>
      </c>
      <c r="H3488">
        <f>_xlfn.IMAGE("https://m.media-amazon.com/images/I/518+uDOmcxL._AC_UL320_.jpg")</f>
        <v/>
      </c>
      <c r="K3488" t="inlineStr">
        <is>
          <t>16.97</t>
        </is>
      </c>
      <c r="L3488" t="n">
        <v>95.94</v>
      </c>
      <c r="M3488" s="1" t="inlineStr">
        <is>
          <t>465.35%</t>
        </is>
      </c>
      <c r="N3488" s="7" t="n">
        <v>56.73</v>
      </c>
      <c r="O3488" t="n">
        <v>5</v>
      </c>
      <c r="P3488" t="n">
        <v>2</v>
      </c>
      <c r="R3488" t="inlineStr">
        <is>
          <t>InStock</t>
        </is>
      </c>
      <c r="S3488" t="inlineStr">
        <is>
          <t>20.48</t>
        </is>
      </c>
      <c r="T3488" t="inlineStr">
        <is>
          <t>1723598045284</t>
        </is>
      </c>
    </row>
    <row r="3489" hidden="1" ht="15.75" customHeight="1">
      <c r="A3489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489" s="2">
        <f>HYPERLINK("https://edmondsonsupply.com/products/klein-tools-rt110-receptacle-tester", "https://edmondsonsupply.com/products/klein-tools-rt110-receptacle-tester")</f>
        <v/>
      </c>
      <c r="C3489" t="inlineStr">
        <is>
          <t>Klein Tools RT110 Receptacle Tester</t>
        </is>
      </c>
      <c r="D3489" t="inlineStr">
        <is>
          <t>Klein Tools RT310 Outlet Tester, AFCI and GFCI Receptacle Tester for North American AC Electrical Outlets &amp; Klein Tools 69401 Multimeter Carrying Case</t>
        </is>
      </c>
      <c r="E3489" s="2">
        <f>HYPERLINK("https://www.amazon.com/Klein-Tools-Receptacle-Electrical-Multimeter/dp/B0BNL4NYN9/ref=sr_1_35?keywords=Klein+Tools+RT110+Receptacle+Tester&amp;qid=1694735205&amp;sr=8-35", "https://www.amazon.com/Klein-Tools-Receptacle-Electrical-Multimeter/dp/B0BNL4NYN9/ref=sr_1_35?keywords=Klein+Tools+RT110+Receptacle+Tester&amp;qid=1694735205&amp;sr=8-35")</f>
        <v/>
      </c>
      <c r="F3489" t="inlineStr">
        <is>
          <t>B0BNL4NYN9</t>
        </is>
      </c>
      <c r="G3489">
        <f>_xludf.IMAGE("https://edmondsonsupply.com/cdn/shop/products/rt110.jpg?v=1633031036")</f>
        <v/>
      </c>
      <c r="H3489">
        <f>_xludf.IMAGE("https://m.media-amazon.com/images/I/51rZF3lboNL._AC_UL320_.jpg")</f>
        <v/>
      </c>
      <c r="K3489" t="inlineStr">
        <is>
          <t>9.97</t>
        </is>
      </c>
      <c r="L3489" t="n">
        <v>55.97</v>
      </c>
      <c r="M3489" s="1" t="inlineStr">
        <is>
          <t>461.38%</t>
        </is>
      </c>
      <c r="N3489" s="1" t="n">
        <v>56.69</v>
      </c>
      <c r="O3489" t="n">
        <v>2.9</v>
      </c>
      <c r="P3489" t="n">
        <v>2</v>
      </c>
      <c r="R3489" t="inlineStr">
        <is>
          <t>InStock</t>
        </is>
      </c>
      <c r="S3489" t="inlineStr">
        <is>
          <t>12.12</t>
        </is>
      </c>
      <c r="T3489" t="inlineStr">
        <is>
          <t>6740486619309</t>
        </is>
      </c>
    </row>
    <row r="3490" ht="87" customHeight="1">
      <c r="A3490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3490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3490" t="inlineStr">
        <is>
          <t>Klein Tools NCVT-3P Dual Range Non-Contact Voltage Tester with Flashlight, 12 - 1000V AC</t>
        </is>
      </c>
      <c r="D3490" t="inlineStr">
        <is>
          <t>Klein Tools HVNCVT-1 Dual-Range Non-Contact High-Voltage Tester, Dual-Range, Audio/Visual Indicators, Water Resistant, With Case and Battery, Black</t>
        </is>
      </c>
      <c r="E3490" s="2">
        <f>HYPERLINK("https://www.amazon.com/Voltage-Tester-Klein-Tools-HVNCVT-1/dp/B015KU2EXU/ref=sr_1_22?keywords=Klein+Tools+NCVT-3P+Dual+Range+Non-Contact+Voltage+Tester+with+Flashlight%2C+12+-+1000V+AC&amp;qid=1694735337&amp;sr=8-22", "https://www.amazon.com/Voltage-Tester-Klein-Tools-HVNCVT-1/dp/B015KU2EXU/ref=sr_1_22?keywords=Klein+Tools+NCVT-3P+Dual+Range+Non-Contact+Voltage+Tester+with+Flashlight%2C+12+-+1000V+AC&amp;qid=1694735337&amp;sr=8-22")</f>
        <v/>
      </c>
      <c r="F3490" t="inlineStr">
        <is>
          <t>B015KU2EXU</t>
        </is>
      </c>
      <c r="G3490">
        <f>_xlfn.IMAGE("https://edmondsonsupply.com/cdn/shop/products/ncvt3p.jpg?v=1633030219")</f>
        <v/>
      </c>
      <c r="H3490">
        <f>_xlfn.IMAGE("https://m.media-amazon.com/images/I/51vp8USEpSL._AC_UL320_.jpg")</f>
        <v/>
      </c>
      <c r="K3490" t="inlineStr">
        <is>
          <t>29.97</t>
        </is>
      </c>
      <c r="L3490" t="n">
        <v>168.19</v>
      </c>
      <c r="M3490" s="1" t="inlineStr">
        <is>
          <t>461.19%</t>
        </is>
      </c>
      <c r="N3490" s="7" t="n">
        <v>56.62</v>
      </c>
      <c r="O3490" t="n">
        <v>4.4</v>
      </c>
      <c r="P3490" t="n">
        <v>86</v>
      </c>
      <c r="R3490" t="inlineStr">
        <is>
          <t>InStock</t>
        </is>
      </c>
      <c r="S3490" t="inlineStr">
        <is>
          <t>40.36</t>
        </is>
      </c>
      <c r="T3490" t="inlineStr">
        <is>
          <t>4505582174308</t>
        </is>
      </c>
    </row>
    <row r="3491" ht="87" customHeight="1">
      <c r="A3491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3491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3491" t="inlineStr">
        <is>
          <t>Klein Tools NCVT1PKIT Non-Contact Voltage and GFCI Receptacle Test Kit</t>
        </is>
      </c>
      <c r="D3491" t="inlineStr">
        <is>
          <t>Klein Tools CL120VP Electrical Voltage Test Kit &amp; 80064 AC Circuit Breaker Kit with GFCI Digital Circuit Breaker Finder, Non-Contact Voltage Tester Pen and Zipper Bag, 3-Piece</t>
        </is>
      </c>
      <c r="E3491" s="2">
        <f>HYPERLINK("https://www.amazon.com/Klein-Tools-CL120VP-Electrical-Non-Contact/dp/B0BC7ZMVBW/ref=sr_1_34?keywords=Klein+Tools+NCVT1PKIT+Non-Contact+Voltage+and+GFCI+Receptacle+Test+Kit&amp;qid=1694735031&amp;sr=8-34", "https://www.amazon.com/Klein-Tools-CL120VP-Electrical-Non-Contact/dp/B0BC7ZMVBW/ref=sr_1_34?keywords=Klein+Tools+NCVT1PKIT+Non-Contact+Voltage+and+GFCI+Receptacle+Test+Kit&amp;qid=1694735031&amp;sr=8-34")</f>
        <v/>
      </c>
      <c r="F3491" t="inlineStr">
        <is>
          <t>B0BC7ZMVBW</t>
        </is>
      </c>
      <c r="G3491">
        <f>_xlfn.IMAGE("https://edmondsonsupply.com/cdn/shop/products/ncvt1pkit.jpg?v=1677682920")</f>
        <v/>
      </c>
      <c r="H3491">
        <f>_xlfn.IMAGE("https://m.media-amazon.com/images/I/61a1FtIwunL._AC_UL320_.jpg")</f>
        <v/>
      </c>
      <c r="K3491" t="inlineStr">
        <is>
          <t>24.97</t>
        </is>
      </c>
      <c r="L3491" t="n">
        <v>139.97</v>
      </c>
      <c r="M3491" s="1" t="inlineStr">
        <is>
          <t>460.55%</t>
        </is>
      </c>
      <c r="N3491" s="7" t="n">
        <v>56.6</v>
      </c>
      <c r="O3491" t="n">
        <v>4.9</v>
      </c>
      <c r="P3491" t="n">
        <v>12</v>
      </c>
      <c r="R3491" t="inlineStr">
        <is>
          <t>InStock</t>
        </is>
      </c>
      <c r="S3491" t="inlineStr">
        <is>
          <t>35.38</t>
        </is>
      </c>
      <c r="T3491" t="inlineStr">
        <is>
          <t>7953960698072</t>
        </is>
      </c>
    </row>
    <row r="3492" ht="87" customHeight="1">
      <c r="A3492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3492" s="2">
        <f>HYPERLINK("https://edmondsonsupply.com/products/klein-tools-vdv427-300-impact-punchdown-tool-66-110-blade", "https://edmondsonsupply.com/products/klein-tools-vdv427-300-impact-punchdown-tool-66-110-blade")</f>
        <v/>
      </c>
      <c r="C3492" t="inlineStr">
        <is>
          <t>Klein Tools VDV427-300 Impact Punchdown Tool, 66/110 Blade</t>
        </is>
      </c>
      <c r="D3492" t="inlineStr">
        <is>
          <t>Klein Tools VDV501-852 Cable Tester with Remote, VDV Scout Pro 3 Test Kit Locates and Tests Voice, Data and Video Cables &amp; VDV427-300 Impact Punchdown Tool, 66/110 Blade</t>
        </is>
      </c>
      <c r="E3492" s="2">
        <f>HYPERLINK("https://www.amazon.com/Klein-Tools-VDV501-852-VDV427-300-Punchdown/dp/B09T6ZR6FD/ref=sr_1_27?keywords=Klein+Tools+VDV427-300+Impact+Punchdown+Tool%2C+66%2F110+Blade&amp;qid=1694735168&amp;sr=8-27", "https://www.amazon.com/Klein-Tools-VDV501-852-VDV427-300-Punchdown/dp/B09T6ZR6FD/ref=sr_1_27?keywords=Klein+Tools+VDV427-300+Impact+Punchdown+Tool%2C+66%2F110+Blade&amp;qid=1694735168&amp;sr=8-27")</f>
        <v/>
      </c>
      <c r="F3492" t="inlineStr">
        <is>
          <t>B09T6ZR6FD</t>
        </is>
      </c>
      <c r="G3492">
        <f>_xlfn.IMAGE("https://edmondsonsupply.com/cdn/shop/products/vdv427300.jpg?v=1646010568")</f>
        <v/>
      </c>
      <c r="H3492">
        <f>_xlfn.IMAGE("https://m.media-amazon.com/images/I/51bJdo18ofL._AC_UL320_.jpg")</f>
        <v/>
      </c>
      <c r="K3492" t="inlineStr">
        <is>
          <t>39.97</t>
        </is>
      </c>
      <c r="L3492" t="n">
        <v>222.4</v>
      </c>
      <c r="M3492" s="1" t="inlineStr">
        <is>
          <t>456.42%</t>
        </is>
      </c>
      <c r="N3492" s="7" t="n">
        <v>56.48</v>
      </c>
      <c r="O3492" t="n">
        <v>5</v>
      </c>
      <c r="P3492" t="n">
        <v>1</v>
      </c>
      <c r="R3492" t="inlineStr">
        <is>
          <t>InStock</t>
        </is>
      </c>
      <c r="S3492" t="inlineStr">
        <is>
          <t>55.98</t>
        </is>
      </c>
      <c r="T3492" t="inlineStr">
        <is>
          <t>7620069818584</t>
        </is>
      </c>
    </row>
    <row r="3493" ht="87" customHeight="1">
      <c r="A3493" s="2">
        <f>HYPERLINK("https://edmondsonsupply.com/collections/electricians-tools/products/channellock-528", "https://edmondsonsupply.com/collections/electricians-tools/products/channellock-528")</f>
        <v/>
      </c>
      <c r="B3493" s="2">
        <f>HYPERLINK("https://edmondsonsupply.com/products/channellock-528", "https://edmondsonsupply.com/products/channellock-528")</f>
        <v/>
      </c>
      <c r="C3493" t="inlineStr">
        <is>
          <t>Channellock 528 8-Inch Slip Joint Pliers</t>
        </is>
      </c>
      <c r="D3493" t="inlineStr">
        <is>
          <t>Channellock PC-2 Pro's Choice Plier Kit with Bonus Tool Tray for convenient storage,4-Piece 9-1/2 Inch Tongue&amp;Groove,8-Inch Duty Slip Joint,8-Inch Long Noseand 7-Inch High Leverage Diagonal Cutter</t>
        </is>
      </c>
      <c r="E3493" s="2">
        <f>HYPERLINK("https://www.amazon.com/Channellock-PC-2-convenient-Leverage-Diagonal/dp/B004WQZWGK/ref=sr_1_5?keywords=Channellock+528+8-Inch+Slip+Joint+Pliers&amp;qid=1694735315&amp;sr=8-5", "https://www.amazon.com/Channellock-PC-2-convenient-Leverage-Diagonal/dp/B004WQZWGK/ref=sr_1_5?keywords=Channellock+528+8-Inch+Slip+Joint+Pliers&amp;qid=1694735315&amp;sr=8-5")</f>
        <v/>
      </c>
      <c r="F3493" t="inlineStr">
        <is>
          <t>B004WQZWGK</t>
        </is>
      </c>
      <c r="G3493">
        <f>_xlfn.IMAGE("https://edmondsonsupply.com/cdn/shop/products/528-683x1024.jpg?v=1633030323")</f>
        <v/>
      </c>
      <c r="H3493">
        <f>_xlfn.IMAGE("https://m.media-amazon.com/images/I/81UUpvET0AL._AC_UL320_.jpg")</f>
        <v/>
      </c>
      <c r="K3493" t="inlineStr">
        <is>
          <t>12.95</t>
        </is>
      </c>
      <c r="L3493" t="n">
        <v>71.95</v>
      </c>
      <c r="M3493" s="1" t="inlineStr">
        <is>
          <t>455.60%</t>
        </is>
      </c>
      <c r="N3493" s="7" t="n">
        <v>56.29</v>
      </c>
      <c r="O3493" t="n">
        <v>4.7</v>
      </c>
      <c r="P3493" t="n">
        <v>117</v>
      </c>
      <c r="R3493" t="inlineStr">
        <is>
          <t>InStock</t>
        </is>
      </c>
      <c r="S3493" t="inlineStr">
        <is>
          <t>17.55</t>
        </is>
      </c>
      <c r="T3493" t="inlineStr">
        <is>
          <t>5245868966056</t>
        </is>
      </c>
    </row>
    <row r="3494" ht="87" customHeight="1">
      <c r="A3494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494" s="2">
        <f>HYPERLINK("https://edmondsonsupply.com/products/klein-tools-rt250-gfci-receptacle-tester-with-lcd", "https://edmondsonsupply.com/products/klein-tools-rt250-gfci-receptacle-tester-with-lcd")</f>
        <v/>
      </c>
      <c r="C3494" t="inlineStr">
        <is>
          <t>Klein Tools RT250 GFCI Receptacle Tester with LCD</t>
        </is>
      </c>
      <c r="D3494" t="inlineStr">
        <is>
          <t>Klein Tools MM700 Multimeter, 1000V &amp; RT250 GFCI Receptacle Tester with LCD Display, for Standard 3-Wire 120V Electrical Outlets</t>
        </is>
      </c>
      <c r="E3494" s="2">
        <f>HYPERLINK("https://www.amazon.com/Klein-Tools-Multimeter-Receptacle-Electrical/dp/B0BD3XZ5ST/ref=sr_1_16?keywords=Klein+Tools+RT250+GFCI+Receptacle+Tester+with+LCD&amp;qid=1694735148&amp;sr=8-16", "https://www.amazon.com/Klein-Tools-Multimeter-Receptacle-Electrical/dp/B0BD3XZ5ST/ref=sr_1_16?keywords=Klein+Tools+RT250+GFCI+Receptacle+Tester+with+LCD&amp;qid=1694735148&amp;sr=8-16")</f>
        <v/>
      </c>
      <c r="F3494" t="inlineStr">
        <is>
          <t>B0BD3XZ5ST</t>
        </is>
      </c>
      <c r="G3494">
        <f>_xlfn.IMAGE("https://edmondsonsupply.com/cdn/shop/products/rt250_photo_c.jpg?v=1661363824")</f>
        <v/>
      </c>
      <c r="H3494">
        <f>_xlfn.IMAGE("https://m.media-amazon.com/images/I/614LshCoLeL._AC_UL320_.jpg")</f>
        <v/>
      </c>
      <c r="K3494" t="inlineStr">
        <is>
          <t>21.97</t>
        </is>
      </c>
      <c r="L3494" t="n">
        <v>121.94</v>
      </c>
      <c r="M3494" s="1" t="inlineStr">
        <is>
          <t>455.03%</t>
        </is>
      </c>
      <c r="N3494" s="7" t="n">
        <v>56.07</v>
      </c>
      <c r="O3494" t="n">
        <v>4.8</v>
      </c>
      <c r="P3494" t="n">
        <v>5</v>
      </c>
      <c r="R3494" t="inlineStr">
        <is>
          <t>InStock</t>
        </is>
      </c>
      <c r="S3494" t="inlineStr">
        <is>
          <t>30.78</t>
        </is>
      </c>
      <c r="T3494" t="inlineStr">
        <is>
          <t>7793138729176</t>
        </is>
      </c>
    </row>
    <row r="3495" hidden="1" ht="15.75" customHeight="1">
      <c r="A3495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495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495" t="inlineStr">
        <is>
          <t>Diablo Tools DMAPL4180 1/2 in. x 4 in. x 6 in. Rebar Demon™ SDS-Plus 4-Cutter Full Carbide Head Hammer Bit</t>
        </is>
      </c>
      <c r="D3495" t="inlineStr">
        <is>
          <t>Diablo 1" x 16" x 21" Rebar Demon™ SDS-Max 4-Cutter Full Carbide Head Hammer Bit</t>
        </is>
      </c>
      <c r="E3495" s="2">
        <f>HYPERLINK("https://www.amazon.com/Diablo-SDS-Max-4-Cutter-Carbide-Hammer/dp/B089LN5QN7/ref=sr_1_42?keywords=Diablo+Tools+DMAPL4180+1%2F2+in.+x+4+in.+x+6+in.+Rebar+Demon%E2%84%A2+SDS-Plus+4-Cutter+Full+Carbide+Head+Hammer+Bit&amp;qid=1694735298&amp;sr=8-42", "https://www.amazon.com/Diablo-SDS-Max-4-Cutter-Carbide-Hammer/dp/B089LN5QN7/ref=sr_1_42?keywords=Diablo+Tools+DMAPL4180+1%2F2+in.+x+4+in.+x+6+in.+Rebar+Demon%E2%84%A2+SDS-Plus+4-Cutter+Full+Carbide+Head+Hammer+Bit&amp;qid=1694735298&amp;sr=8-42")</f>
        <v/>
      </c>
      <c r="F3495" t="inlineStr">
        <is>
          <t>B089LN5QN7</t>
        </is>
      </c>
      <c r="G3495">
        <f>_xludf.IMAGE("https://edmondsonsupply.com/cdn/shop/products/DMAPL4180_Main-Image20200702.png?v=1633030362")</f>
        <v/>
      </c>
      <c r="H3495">
        <f>_xludf.IMAGE("https://m.media-amazon.com/images/I/6182PTqKZGL._AC_UL320_.jpg")</f>
        <v/>
      </c>
      <c r="K3495" t="inlineStr">
        <is>
          <t>9.97</t>
        </is>
      </c>
      <c r="L3495" t="n">
        <v>55.24</v>
      </c>
      <c r="M3495" s="1" t="inlineStr">
        <is>
          <t>454.06%</t>
        </is>
      </c>
      <c r="N3495" s="1" t="n">
        <v>55.59</v>
      </c>
      <c r="O3495" t="n">
        <v>3.6</v>
      </c>
      <c r="P3495" t="n">
        <v>4</v>
      </c>
      <c r="R3495" t="inlineStr">
        <is>
          <t>InStock</t>
        </is>
      </c>
      <c r="S3495" t="inlineStr">
        <is>
          <t>undefined</t>
        </is>
      </c>
      <c r="T3495" t="inlineStr">
        <is>
          <t>5286803833000</t>
        </is>
      </c>
    </row>
    <row r="3496" ht="87" customHeight="1">
      <c r="A3496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3496" s="2">
        <f>HYPERLINK("https://edmondsonsupply.com/products/klein-tools-635-7-16-7-16-inch-heavy-duty-nut-driver", "https://edmondsonsupply.com/products/klein-tools-635-7-16-7-16-inch-heavy-duty-nut-driver")</f>
        <v/>
      </c>
      <c r="C3496" t="inlineStr">
        <is>
          <t>Klein Tools 635-7/16 7/16-Inch Heavy-Duty Nut Driver</t>
        </is>
      </c>
      <c r="D3496" t="inlineStr">
        <is>
          <t>Klein Tools 647M Tool Set, Magnetic Nut Drivers Sizes 3/16, 1/4, 5/16, 11/32, 3/8, 7/16, 1/2-Inch, 6-Inch Hollow Shafts, 7-Piece</t>
        </is>
      </c>
      <c r="E3496" s="2">
        <f>HYPERLINK("https://www.amazon.com/Klein-Tools-647M-Magnetic-7-Piece/dp/B000MKIUYQ/ref=sr_1_12?keywords=Klein+Tools+635-7%2F16+7%2F16-Inch+Heavy-Duty+Nut+Driver&amp;qid=1694735398&amp;sr=8-12", "https://www.amazon.com/Klein-Tools-647M-Magnetic-7-Piece/dp/B000MKIUYQ/ref=sr_1_12?keywords=Klein+Tools+635-7%2F16+7%2F16-Inch+Heavy-Duty+Nut+Driver&amp;qid=1694735398&amp;sr=8-12")</f>
        <v/>
      </c>
      <c r="F3496" t="inlineStr">
        <is>
          <t>B000MKIUYQ</t>
        </is>
      </c>
      <c r="G3496">
        <f>_xlfn.IMAGE("https://edmondsonsupply.com/cdn/shop/products/635-7-16.jpg?v=1587145128")</f>
        <v/>
      </c>
      <c r="H3496">
        <f>_xlfn.IMAGE("https://m.media-amazon.com/images/I/61PNUE211uL._AC_UL320_.jpg")</f>
        <v/>
      </c>
      <c r="K3496" t="inlineStr">
        <is>
          <t>14.49</t>
        </is>
      </c>
      <c r="L3496" t="n">
        <v>79.98999999999999</v>
      </c>
      <c r="M3496" s="1" t="inlineStr">
        <is>
          <t>452.04%</t>
        </is>
      </c>
      <c r="N3496" s="7" t="n">
        <v>55.55</v>
      </c>
      <c r="O3496" t="n">
        <v>4.8</v>
      </c>
      <c r="P3496" t="n">
        <v>985</v>
      </c>
      <c r="R3496" t="inlineStr">
        <is>
          <t>InStock</t>
        </is>
      </c>
      <c r="S3496" t="inlineStr">
        <is>
          <t>21.94</t>
        </is>
      </c>
      <c r="T3496" t="inlineStr">
        <is>
          <t>4410745978980</t>
        </is>
      </c>
    </row>
    <row r="3497" ht="87" customHeight="1">
      <c r="A3497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497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497" t="inlineStr">
        <is>
          <t>Diablo Tools DMAPL4180 1/2 in. x 4 in. x 6 in. Rebar Demon™ SDS-Plus 4-Cutter Full Carbide Head Hammer Bit</t>
        </is>
      </c>
      <c r="D3497" t="inlineStr">
        <is>
          <t>Diablo by Freud DMAMX1040 1/2 in. x 24 in. x 29 in. Rebar Demon™ SDS-Max 4-Cutter Full Carbide Head</t>
        </is>
      </c>
      <c r="E3497" s="2">
        <f>HYPERLINK("https://www.amazon.com/Diablo-SDS-Max-4-Cutter-Carbide-Hammer/dp/B089LG76YL/ref=sr_1_31?keywords=Diablo+Tools+DMAPL4180+1%2F2+in.+x+4+in.+x+6+in.+Rebar+Demon%E2%84%A2+SDS-Plus+4-Cutter+Full+Carbide+Head+Hammer+Bit&amp;qid=1694735298&amp;sr=8-31", "https://www.amazon.com/Diablo-SDS-Max-4-Cutter-Carbide-Hammer/dp/B089LG76YL/ref=sr_1_31?keywords=Diablo+Tools+DMAPL4180+1%2F2+in.+x+4+in.+x+6+in.+Rebar+Demon%E2%84%A2+SDS-Plus+4-Cutter+Full+Carbide+Head+Hammer+Bit&amp;qid=1694735298&amp;sr=8-31")</f>
        <v/>
      </c>
      <c r="F3497" t="inlineStr">
        <is>
          <t>B089LG76YL</t>
        </is>
      </c>
      <c r="G3497">
        <f>_xlfn.IMAGE("https://edmondsonsupply.com/cdn/shop/products/DMAPL4180_Main-Image20200702.png?v=1633030362")</f>
        <v/>
      </c>
      <c r="H3497">
        <f>_xlfn.IMAGE("https://m.media-amazon.com/images/I/61Q8G2EXOxL._AC_UL320_.jpg")</f>
        <v/>
      </c>
      <c r="K3497" t="inlineStr">
        <is>
          <t>9.97</t>
        </is>
      </c>
      <c r="L3497" t="n">
        <v>55</v>
      </c>
      <c r="M3497" s="1" t="inlineStr">
        <is>
          <t>451.65%</t>
        </is>
      </c>
      <c r="N3497" s="7" t="n">
        <v>55.5</v>
      </c>
      <c r="O3497" t="n">
        <v>5</v>
      </c>
      <c r="P3497" t="n">
        <v>9</v>
      </c>
      <c r="R3497" t="inlineStr">
        <is>
          <t>InStock</t>
        </is>
      </c>
      <c r="S3497" t="inlineStr">
        <is>
          <t>undefined</t>
        </is>
      </c>
      <c r="T3497" t="inlineStr">
        <is>
          <t>5286803833000</t>
        </is>
      </c>
    </row>
    <row r="3498" ht="87" customHeight="1">
      <c r="A3498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498" s="2">
        <f>HYPERLINK("https://edmondsonsupply.com/products/klein-tools-s10-5-16-inch-nut-driver-3-inch-hollow-shaft", "https://edmondsonsupply.com/products/klein-tools-s10-5-16-inch-nut-driver-3-inch-hollow-shaft")</f>
        <v/>
      </c>
      <c r="C3498" t="inlineStr">
        <is>
          <t>Klein Tools S10 5/16-Inch Nut Driver 3-Inch Hollow Shaft</t>
        </is>
      </c>
      <c r="D3498" t="inlineStr">
        <is>
          <t>Klein Tools 633 Tool Set, Nut Driver Set with Driver Sizes 1/4, 5/16, 3/8, 9/16-Inch on 3-Inch Full Hollow Shaft, w/Cushion Grips, 4-Piece</t>
        </is>
      </c>
      <c r="E3498" s="2">
        <f>HYPERLINK("https://www.amazon.com/Cushion-4-Piece-Klein-Tools-633/dp/B00508QS5I/ref=sr_1_17?keywords=Klein+Tools+S10+5%2F16-Inch+Nut+Driver+3-Inch+Hollow+Shaft&amp;qid=1694735234&amp;sr=8-17", "https://www.amazon.com/Cushion-4-Piece-Klein-Tools-633/dp/B00508QS5I/ref=sr_1_17?keywords=Klein+Tools+S10+5%2F16-Inch+Nut+Driver+3-Inch+Hollow+Shaft&amp;qid=1694735234&amp;sr=8-17")</f>
        <v/>
      </c>
      <c r="F3498" t="inlineStr">
        <is>
          <t>B00508QS5I</t>
        </is>
      </c>
      <c r="G3498">
        <f>_xlfn.IMAGE("https://edmondsonsupply.com/cdn/shop/products/s10_38acacb8-6c8e-49ef-8ed3-7160ab53875a.jpg?v=1633030893")</f>
        <v/>
      </c>
      <c r="H3498">
        <f>_xlfn.IMAGE("https://m.media-amazon.com/images/I/61yug3exhUS._AC_UL320_.jpg")</f>
        <v/>
      </c>
      <c r="K3498" t="inlineStr">
        <is>
          <t>7.99</t>
        </is>
      </c>
      <c r="L3498" t="n">
        <v>44.05</v>
      </c>
      <c r="M3498" s="1" t="inlineStr">
        <is>
          <t>451.31%</t>
        </is>
      </c>
      <c r="N3498" s="7" t="n">
        <v>55.25</v>
      </c>
      <c r="O3498" t="n">
        <v>4.8</v>
      </c>
      <c r="P3498" t="n">
        <v>734</v>
      </c>
      <c r="R3498" t="inlineStr">
        <is>
          <t>InStock</t>
        </is>
      </c>
      <c r="S3498" t="inlineStr">
        <is>
          <t>12.06</t>
        </is>
      </c>
      <c r="T3498" t="inlineStr">
        <is>
          <t>6223447031981</t>
        </is>
      </c>
    </row>
    <row r="3499" ht="87" customHeight="1">
      <c r="A3499" s="2">
        <f>HYPERLINK("https://edmondsonsupply.com/collections/electricians-tools/products/klein-tools-89-replacement-handles-for-8-to-9-pliers", "https://edmondsonsupply.com/collections/electricians-tools/products/klein-tools-89-replacement-handles-for-8-to-9-pliers")</f>
        <v/>
      </c>
      <c r="B3499" s="2">
        <f>HYPERLINK("https://edmondsonsupply.com/products/klein-tools-89-replacement-handles-for-8-to-9-pliers", "https://edmondsonsupply.com/products/klein-tools-89-replacement-handles-for-8-to-9-pliers")</f>
        <v/>
      </c>
      <c r="C3499" t="inlineStr">
        <is>
          <t>Klein Tools 89 Replacement Handles for 8'' to 9'' Pliers</t>
        </is>
      </c>
      <c r="D3499" t="inlineStr">
        <is>
          <t>Klein Tools HD2000-9NE Side Cutter Linemans Pliers Cut ACSR, Screws, Nails, Hard Wire, 9-Inch Electrical Pliers &amp; 89 Replacement Handles, Plastic Handle Replacement Set for 8 to 9-Inch Pliers</t>
        </is>
      </c>
      <c r="E3499" s="2">
        <f>HYPERLINK("https://www.amazon.com/Klein-Tools-HD2000-9NE-Electrical-Replacement/dp/B09Z92WGL5/ref=sr_1_2?keywords=Klein+Tools+89+Replacement+Handles+for+8%27%27+to+9%27%27+Pliers&amp;qid=1694735336&amp;sr=8-2", "https://www.amazon.com/Klein-Tools-HD2000-9NE-Electrical-Replacement/dp/B09Z92WGL5/ref=sr_1_2?keywords=Klein+Tools+89+Replacement+Handles+for+8%27%27+to+9%27%27+Pliers&amp;qid=1694735336&amp;sr=8-2")</f>
        <v/>
      </c>
      <c r="F3499" t="inlineStr">
        <is>
          <t>B09Z92WGL5</t>
        </is>
      </c>
      <c r="G3499">
        <f>_xlfn.IMAGE("https://edmondsonsupply.com/cdn/shop/files/70_0b24bc56-8d2a-42e8-b550-bb1464fe4c9b.jpg?v=1690206628")</f>
        <v/>
      </c>
      <c r="H3499">
        <f>_xlfn.IMAGE("https://m.media-amazon.com/images/I/41wIvjSwl0L._AC_UL320_.jpg")</f>
        <v/>
      </c>
      <c r="K3499" t="inlineStr">
        <is>
          <t>9.99</t>
        </is>
      </c>
      <c r="L3499" t="n">
        <v>54.98</v>
      </c>
      <c r="M3499" s="1" t="inlineStr">
        <is>
          <t>450.35%</t>
        </is>
      </c>
      <c r="N3499" s="7" t="n">
        <v>54.97</v>
      </c>
      <c r="O3499" t="n">
        <v>5</v>
      </c>
      <c r="P3499" t="n">
        <v>2</v>
      </c>
      <c r="R3499" t="inlineStr">
        <is>
          <t>InStock</t>
        </is>
      </c>
      <c r="S3499" t="inlineStr">
        <is>
          <t>14.9</t>
        </is>
      </c>
      <c r="T3499" t="inlineStr">
        <is>
          <t>4512708624484</t>
        </is>
      </c>
    </row>
    <row r="3500" ht="87" customHeight="1">
      <c r="A3500" s="2">
        <f>HYPERLINK("https://edmondsonsupply.com/collections/electricians-tools/products/greenlee-609-3-4-foam-conduit-piston", "https://edmondsonsupply.com/collections/electricians-tools/products/greenlee-609-3-4-foam-conduit-piston")</f>
        <v/>
      </c>
      <c r="B3500" s="2">
        <f>HYPERLINK("https://edmondsonsupply.com/products/greenlee-609-3-4-foam-conduit-piston", "https://edmondsonsupply.com/products/greenlee-609-3-4-foam-conduit-piston")</f>
        <v/>
      </c>
      <c r="C3500" t="inlineStr">
        <is>
          <t>Greenlee 609 3/4" Foam Conduit Piston</t>
        </is>
      </c>
      <c r="D3500" t="inlineStr">
        <is>
          <t>Greenlee 609-5 Piston For 3/4" Conduit, 5 Pack</t>
        </is>
      </c>
      <c r="E3500" s="2">
        <f>HYPERLINK("https://www.amazon.com/Greenlee-609-5-Piston-Conduit-Pack/dp/B002KM05F6/ref=sr_1_1?keywords=Greenlee+609+3%2F4%22+Foam+Conduit+Piston&amp;qid=1694734992&amp;sr=8-1", "https://www.amazon.com/Greenlee-609-5-Piston-Conduit-Pack/dp/B002KM05F6/ref=sr_1_1?keywords=Greenlee+609+3%2F4%22+Foam+Conduit+Piston&amp;qid=1694734992&amp;sr=8-1")</f>
        <v/>
      </c>
      <c r="F3500" t="inlineStr">
        <is>
          <t>B002KM05F6</t>
        </is>
      </c>
      <c r="G3500">
        <f>_xlfn.IMAGE("https://edmondsonsupply.com/cdn/shop/files/Greenlee-609_1.webp?v=1687448329")</f>
        <v/>
      </c>
      <c r="H3500">
        <f>_xlfn.IMAGE("https://m.media-amazon.com/images/I/91oYW6LrVzL._AC_UL320_.jpg")</f>
        <v/>
      </c>
      <c r="K3500" t="inlineStr">
        <is>
          <t>6.82</t>
        </is>
      </c>
      <c r="L3500" t="n">
        <v>37.42</v>
      </c>
      <c r="M3500" s="1" t="inlineStr">
        <is>
          <t>448.68%</t>
        </is>
      </c>
      <c r="N3500" s="7" t="n">
        <v>54.48</v>
      </c>
      <c r="O3500" t="n">
        <v>4.5</v>
      </c>
      <c r="P3500" t="n">
        <v>41</v>
      </c>
      <c r="R3500" t="inlineStr">
        <is>
          <t>InStock</t>
        </is>
      </c>
      <c r="S3500" t="inlineStr">
        <is>
          <t>undefined</t>
        </is>
      </c>
      <c r="T3500" t="inlineStr">
        <is>
          <t>8007988248792</t>
        </is>
      </c>
    </row>
    <row r="3501" ht="87" customHeight="1">
      <c r="A3501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3501" s="2">
        <f>HYPERLINK("https://edmondsonsupply.com/products/klein-tools-vdv427-014-punchdown-tool-krone-blade", "https://edmondsonsupply.com/products/klein-tools-vdv427-014-punchdown-tool-krone-blade")</f>
        <v/>
      </c>
      <c r="C3501" t="inlineStr">
        <is>
          <t>Klein Tools VDV427014 Punchdown Tool Krone Blade</t>
        </is>
      </c>
      <c r="D3501" t="inlineStr">
        <is>
          <t>Klein Tools VDV427-300 Impact Punchdown Tool, 66/110 Blade &amp; 21010-6-SEN Free-Fall Snip, Scraper, File, Serrated Blades</t>
        </is>
      </c>
      <c r="E3501" s="2">
        <f>HYPERLINK("https://www.amazon.com/Klein-Tools-VDV427-300-Punchdown-21010-6-SEN/dp/B0BNL4X7CJ/ref=sr_1_11?keywords=Klein+Tools+VDV427014+Punchdown+Tool+Krone+Blade&amp;qid=1694735425&amp;sr=8-11", "https://www.amazon.com/Klein-Tools-VDV427-300-Punchdown-21010-6-SEN/dp/B0BNL4X7CJ/ref=sr_1_11?keywords=Klein+Tools+VDV427014+Punchdown+Tool+Krone+Blade&amp;qid=1694735425&amp;sr=8-11")</f>
        <v/>
      </c>
      <c r="F3501" t="inlineStr">
        <is>
          <t>B0BNL4X7CJ</t>
        </is>
      </c>
      <c r="G3501">
        <f>_xlfn.IMAGE("https://edmondsonsupply.com/cdn/shop/products/vdv427-014.jpg?v=1587143002")</f>
        <v/>
      </c>
      <c r="H3501">
        <f>_xlfn.IMAGE("https://m.media-amazon.com/images/I/41i2uMhepnL._AC_UL320_.jpg")</f>
        <v/>
      </c>
      <c r="K3501" t="inlineStr">
        <is>
          <t>11.49</t>
        </is>
      </c>
      <c r="L3501" t="n">
        <v>62.38</v>
      </c>
      <c r="M3501" s="1" t="inlineStr">
        <is>
          <t>442.91%</t>
        </is>
      </c>
      <c r="N3501" s="7" t="n">
        <v>54.47</v>
      </c>
      <c r="O3501" t="n">
        <v>5</v>
      </c>
      <c r="P3501" t="n">
        <v>3</v>
      </c>
      <c r="R3501" t="inlineStr">
        <is>
          <t>InStock</t>
        </is>
      </c>
      <c r="S3501" t="inlineStr">
        <is>
          <t>17.26</t>
        </is>
      </c>
      <c r="T3501" t="inlineStr">
        <is>
          <t>4359135592548</t>
        </is>
      </c>
    </row>
    <row r="3502" ht="87" customHeight="1">
      <c r="A3502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502" s="2">
        <f>HYPERLINK("https://edmondsonsupply.com/products/klein-tools-et45-ac-dc-voltage-tester", "https://edmondsonsupply.com/products/klein-tools-et45-ac-dc-voltage-tester")</f>
        <v/>
      </c>
      <c r="C3502" t="inlineStr">
        <is>
          <t>Klein Tools ET45 AC/DC Voltage Tester</t>
        </is>
      </c>
      <c r="D3502" t="inlineStr">
        <is>
          <t>Klein Tools 80067 Electrical Test Kit with IR Digital Thermometer, Multimeter, Non-Contact Voltage Tester Pen and Receptacle Tester, Green,Red, 4-Piece</t>
        </is>
      </c>
      <c r="E3502" s="2">
        <f>HYPERLINK("https://www.amazon.com/Klein-Tools-80067-Thermometer-Non-Contact/dp/B0B11NG8XM/ref=sr_1_29?keywords=Klein+Tools+ET45+AC%2FDC+Voltage+Tester&amp;qid=1694735227&amp;sr=8-29", "https://www.amazon.com/Klein-Tools-80067-Thermometer-Non-Contact/dp/B0B11NG8XM/ref=sr_1_29?keywords=Klein+Tools+ET45+AC%2FDC+Voltage+Tester&amp;qid=1694735227&amp;sr=8-29")</f>
        <v/>
      </c>
      <c r="F3502" t="inlineStr">
        <is>
          <t>B0B11NG8XM</t>
        </is>
      </c>
      <c r="G3502">
        <f>_xlfn.IMAGE("https://edmondsonsupply.com/cdn/shop/products/et45.jpg?v=1647786270")</f>
        <v/>
      </c>
      <c r="H3502">
        <f>_xlfn.IMAGE("https://m.media-amazon.com/images/I/61M3CphXgvL._AC_UL320_.jpg")</f>
        <v/>
      </c>
      <c r="K3502" t="inlineStr">
        <is>
          <t>11.99</t>
        </is>
      </c>
      <c r="L3502" t="n">
        <v>64.98999999999999</v>
      </c>
      <c r="M3502" s="1" t="inlineStr">
        <is>
          <t>442.04%</t>
        </is>
      </c>
      <c r="N3502" s="7" t="n">
        <v>54.26</v>
      </c>
      <c r="O3502" t="n">
        <v>4.5</v>
      </c>
      <c r="P3502" t="n">
        <v>29</v>
      </c>
      <c r="R3502" t="inlineStr">
        <is>
          <t>InStock</t>
        </is>
      </c>
      <c r="S3502" t="inlineStr">
        <is>
          <t>16.72</t>
        </is>
      </c>
      <c r="T3502" t="inlineStr">
        <is>
          <t>3688633630820</t>
        </is>
      </c>
    </row>
    <row r="3503" ht="87" customHeight="1">
      <c r="A3503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503" s="2">
        <f>HYPERLINK("https://edmondsonsupply.com/products/klein-tools-56331-steel-fish-tape-1-8-inch-x-50-foot", "https://edmondsonsupply.com/products/klein-tools-56331-steel-fish-tape-1-8-inch-x-50-foot")</f>
        <v/>
      </c>
      <c r="C3503" t="inlineStr">
        <is>
          <t>Klein Tools 56331 Steel Fish Tape, 1/8-Inch x 50-Foot</t>
        </is>
      </c>
      <c r="D3503" t="inlineStr">
        <is>
          <t>Klein Tools 56350 Non-Conductive Electrical Fish Tape, Fiberglass Wire Puller with Steel Leader, Optimized Housing / Handle, 50-Foot x 3/16-Inch</t>
        </is>
      </c>
      <c r="E3503" s="2">
        <f>HYPERLINK("https://www.amazon.com/Klein-Tools-56350-Fiberglass-0-182-Inch/dp/B081ZTJTB5/ref=sr_1_18?keywords=Klein+Tools+56331+Steel+Fish+Tape%2C+1%2F8-Inch+x+50-Foot&amp;qid=1694735384&amp;sr=8-18", "https://www.amazon.com/Klein-Tools-56350-Fiberglass-0-182-Inch/dp/B081ZTJTB5/ref=sr_1_18?keywords=Klein+Tools+56331+Steel+Fish+Tape%2C+1%2F8-Inch+x+50-Foot&amp;qid=1694735384&amp;sr=8-18")</f>
        <v/>
      </c>
      <c r="F3503" t="inlineStr">
        <is>
          <t>B081ZTJTB5</t>
        </is>
      </c>
      <c r="G3503">
        <f>_xlfn.IMAGE("https://edmondsonsupply.com/cdn/shop/products/56331.jpg?v=1587143350")</f>
        <v/>
      </c>
      <c r="H3503">
        <f>_xlfn.IMAGE("https://m.media-amazon.com/images/I/51tGreVpcBL._AC_UL320_.jpg")</f>
        <v/>
      </c>
      <c r="K3503" t="inlineStr">
        <is>
          <t>24.99</t>
        </is>
      </c>
      <c r="L3503" t="n">
        <v>134.95</v>
      </c>
      <c r="M3503" s="1" t="inlineStr">
        <is>
          <t>440.02%</t>
        </is>
      </c>
      <c r="N3503" s="7" t="n">
        <v>54.12</v>
      </c>
      <c r="O3503" t="n">
        <v>4.9</v>
      </c>
      <c r="P3503" t="n">
        <v>14</v>
      </c>
      <c r="R3503" t="inlineStr">
        <is>
          <t>InStock</t>
        </is>
      </c>
      <c r="S3503" t="inlineStr">
        <is>
          <t>30.9</t>
        </is>
      </c>
      <c r="T3503" t="inlineStr">
        <is>
          <t>4412204056676</t>
        </is>
      </c>
    </row>
    <row r="3504" ht="87" customHeight="1">
      <c r="A3504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504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504" t="inlineStr">
        <is>
          <t>Diablo Tools DMAPL4140 3/8 in. x 4 in. x 6 in. Rebar Demon™ SDS-Plus 4-Cutter Full Carbide Head Hammer Bit</t>
        </is>
      </c>
      <c r="D3504" t="inlineStr">
        <is>
          <t>Diablo 3/4"x 16"x18" Rebar Demon SDS-Plus 4-Cutter Full Carbide Head Hammer Bit</t>
        </is>
      </c>
      <c r="E3504" s="2">
        <f>HYPERLINK("https://www.amazon.com/Diablo-Freud-DMAPL4260-SDS-Plus-4-Cutter/dp/B089LK4H2L/ref=sr_1_25?keywords=Diablo+Tools+DMAPL4140+3%2F8+in.+x+4+in.+x+6+in.+Rebar+Demon%E2%84%A2+SDS-Plus+4-Cutter+Full+Carbide+Head+Hammer+Bit&amp;qid=1694735296&amp;sr=8-25", "https://www.amazon.com/Diablo-Freud-DMAPL4260-SDS-Plus-4-Cutter/dp/B089LK4H2L/ref=sr_1_25?keywords=Diablo+Tools+DMAPL4140+3%2F8+in.+x+4+in.+x+6+in.+Rebar+Demon%E2%84%A2+SDS-Plus+4-Cutter+Full+Carbide+Head+Hammer+Bit&amp;qid=1694735296&amp;sr=8-25")</f>
        <v/>
      </c>
      <c r="F3504" t="inlineStr">
        <is>
          <t>B089LK4H2L</t>
        </is>
      </c>
      <c r="G3504">
        <f>_xlfn.IMAGE("https://edmondsonsupply.com/cdn/shop/products/DMAPL4140_Main-Image20200701.png?v=1633030360")</f>
        <v/>
      </c>
      <c r="H3504">
        <f>_xlfn.IMAGE("https://m.media-amazon.com/images/I/61K1ugH5-zL._AC_UL320_.jpg")</f>
        <v/>
      </c>
      <c r="K3504" t="inlineStr">
        <is>
          <t>7.29</t>
        </is>
      </c>
      <c r="L3504" t="n">
        <v>39.36</v>
      </c>
      <c r="M3504" s="1" t="inlineStr">
        <is>
          <t>439.92%</t>
        </is>
      </c>
      <c r="N3504" s="7" t="n">
        <v>54.06</v>
      </c>
      <c r="O3504" t="n">
        <v>4.7</v>
      </c>
      <c r="P3504" t="n">
        <v>15</v>
      </c>
      <c r="R3504" t="inlineStr">
        <is>
          <t>InStock</t>
        </is>
      </c>
      <c r="S3504" t="inlineStr">
        <is>
          <t>undefined</t>
        </is>
      </c>
      <c r="T3504" t="inlineStr">
        <is>
          <t>5286771949736</t>
        </is>
      </c>
    </row>
    <row r="3505" ht="87" customHeight="1">
      <c r="A3505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3505" s="2">
        <f>HYPERLINK("https://edmondsonsupply.com/products/diablo-tools-d0824x-8-1-4-in-x-24-tooth-framing-saw-blade", "https://edmondsonsupply.com/products/diablo-tools-d0824x-8-1-4-in-x-24-tooth-framing-saw-blade")</f>
        <v/>
      </c>
      <c r="C3505" t="inlineStr">
        <is>
          <t>Diablo Tools D0824X 8-1/4 in. x 24 Tooth Framing Saw Blade</t>
        </is>
      </c>
      <c r="D3505" t="inlineStr">
        <is>
          <t>10 PACK Freud D0724A Diablo 7- 1/4-Inch 24 Tooth ATB Framing Saw Blade with 5/8-Inch and Diamond Knockout Arbor</t>
        </is>
      </c>
      <c r="E3505" s="2">
        <f>HYPERLINK("https://www.amazon.com/Freud-D0724A-Framing-Diamond-Knockout/dp/B0148UEC42/ref=sr_1_13?keywords=Diablo+Tools+D0824X+8-1%2F4+in.+x+24+Tooth+Framing+Saw+Blade&amp;qid=1694735018&amp;sr=8-13", "https://www.amazon.com/Freud-D0724A-Framing-Diamond-Knockout/dp/B0148UEC42/ref=sr_1_13?keywords=Diablo+Tools+D0824X+8-1%2F4+in.+x+24+Tooth+Framing+Saw+Blade&amp;qid=1694735018&amp;sr=8-13")</f>
        <v/>
      </c>
      <c r="F3505" t="inlineStr">
        <is>
          <t>B0148UEC42</t>
        </is>
      </c>
      <c r="G3505">
        <f>_xlfn.IMAGE("https://edmondsonsupply.com/cdn/shop/products/waqxzlwfclzed6nt6ziy.webp?v=1678979454")</f>
        <v/>
      </c>
      <c r="H3505">
        <f>_xlfn.IMAGE("https://m.media-amazon.com/images/I/512dz+IHEgL._AC_UL320_.jpg")</f>
        <v/>
      </c>
      <c r="K3505" t="inlineStr">
        <is>
          <t>18.97</t>
        </is>
      </c>
      <c r="L3505" t="n">
        <v>101.98</v>
      </c>
      <c r="M3505" s="1" t="inlineStr">
        <is>
          <t>437.59%</t>
        </is>
      </c>
      <c r="N3505" s="7" t="n">
        <v>53.76</v>
      </c>
      <c r="O3505" t="n">
        <v>4.4</v>
      </c>
      <c r="P3505" t="n">
        <v>14</v>
      </c>
      <c r="R3505" t="inlineStr">
        <is>
          <t>InStock</t>
        </is>
      </c>
      <c r="S3505" t="inlineStr">
        <is>
          <t>26.89</t>
        </is>
      </c>
      <c r="T3505" t="inlineStr">
        <is>
          <t>7962666500312</t>
        </is>
      </c>
    </row>
    <row r="3506" ht="87" customHeight="1">
      <c r="A3506" s="2">
        <f>HYPERLINK("https://edmondsonsupply.com/collections/electricians-tools/products/diablo-tools-dmarg1010-1-8-in-x-2-in-x-3-in-speedemon%E2%84%A2-red-granite-carbide-tipped-hammer-drill-bit", "https://edmondsonsupply.com/collections/electricians-tools/products/diablo-tools-dmarg1010-1-8-in-x-2-in-x-3-in-speedemon%E2%84%A2-red-granite-carbide-tipped-hammer-drill-bit")</f>
        <v/>
      </c>
      <c r="B3506" s="2">
        <f>HYPERLINK("https://edmondsonsupply.com/products/diablo-tools-dmarg1010-1-8-in-x-2-in-x-3-in-speedemon%e2%84%a2-red-granite-carbide-tipped-hammer-drill-bit", "https://edmondsonsupply.com/products/diablo-tools-dmarg1010-1-8-in-x-2-in-x-3-in-speedemon%e2%84%a2-red-granite-carbide-tipped-hammer-drill-bit")</f>
        <v/>
      </c>
      <c r="C3506" t="inlineStr">
        <is>
          <t>Diablo Tools DMARG1010 1/8 in. x 2 in. x 3 in. SPEEDemon™ Red Granite Carbide Tipped Hammer Drill Bit</t>
        </is>
      </c>
      <c r="D3506" t="inlineStr">
        <is>
          <t>Diablo by Freud DMARG1020-P5 5/32 in. x 3 in. x 6 in. SPEEDemon Red Granite Carbide Tipped Hammer Drill Bit (5-Pack)</t>
        </is>
      </c>
      <c r="E3506" s="2">
        <f>HYPERLINK("https://www.amazon.com/Diablo-SPEEDemon-Granite-Carbide-Tipped/dp/B089KX38FF/ref=sr_1_2?keywords=Diablo+Tools+DMARG1010+1%2F8+in.+x+2+in.+x+3+in.+SPEEDemon%E2%84%A2+Red+Granite+Carbide+Tipped+Hammer+Drill+Bit&amp;qid=1694735189&amp;sr=8-2", "https://www.amazon.com/Diablo-SPEEDemon-Granite-Carbide-Tipped/dp/B089KX38FF/ref=sr_1_2?keywords=Diablo+Tools+DMARG1010+1%2F8+in.+x+2+in.+x+3+in.+SPEEDemon%E2%84%A2+Red+Granite+Carbide+Tipped+Hammer+Drill+Bit&amp;qid=1694735189&amp;sr=8-2")</f>
        <v/>
      </c>
      <c r="F3506" t="inlineStr">
        <is>
          <t>B089KX38FF</t>
        </is>
      </c>
      <c r="G3506">
        <f>_xlfn.IMAGE("https://edmondsonsupply.com/cdn/shop/products/DMARG1010_Main-Image20200706.png?v=1633031180")</f>
        <v/>
      </c>
      <c r="H3506">
        <f>_xlfn.IMAGE("https://m.media-amazon.com/images/I/61BDYFEnTRL._AC_UL320_.jpg")</f>
        <v/>
      </c>
      <c r="K3506" t="inlineStr">
        <is>
          <t>2.99</t>
        </is>
      </c>
      <c r="L3506" t="n">
        <v>16.01</v>
      </c>
      <c r="M3506" s="1" t="inlineStr">
        <is>
          <t>435.45%</t>
        </is>
      </c>
      <c r="N3506" s="7" t="n">
        <v>53.68</v>
      </c>
      <c r="O3506" t="n">
        <v>4.6</v>
      </c>
      <c r="P3506" t="n">
        <v>27</v>
      </c>
      <c r="R3506" t="inlineStr">
        <is>
          <t>InStock</t>
        </is>
      </c>
      <c r="S3506" t="inlineStr">
        <is>
          <t>3.86</t>
        </is>
      </c>
      <c r="T3506" t="inlineStr">
        <is>
          <t>6917972099245</t>
        </is>
      </c>
    </row>
    <row r="3507" ht="87" customHeight="1">
      <c r="A3507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3507" s="2">
        <f>HYPERLINK("https://edmondsonsupply.com/products/klein-tools-jth9m5-4-mm-hex-key-journeyman-t-handle-9-inch", "https://edmondsonsupply.com/products/klein-tools-jth9m5-4-mm-hex-key-journeyman-t-handle-9-inch")</f>
        <v/>
      </c>
      <c r="C3507" t="inlineStr">
        <is>
          <t>Klein Tools JTH9M4 4 mm Hex Key, Journeyman T-Handle, 9-Inch</t>
        </is>
      </c>
      <c r="D3507" t="inlineStr">
        <is>
          <t>Klein Tools JTH9E17 1/2-Inch Hex Key, Journeyman T-Handle, 9-Inch</t>
        </is>
      </c>
      <c r="E3507" s="2">
        <f>HYPERLINK("https://www.amazon.com/Journeyman-T-Handle-Klein-Tools-JTH9E17/dp/B004QV6NL4/ref=sr_1_8?keywords=Klein+Tools+JTH9M4+4+mm+Hex+Key%2C+Journeyman+T-Handle%2C+9-Inch&amp;qid=1694735170&amp;sr=8-8", "https://www.amazon.com/Journeyman-T-Handle-Klein-Tools-JTH9E17/dp/B004QV6NL4/ref=sr_1_8?keywords=Klein+Tools+JTH9M4+4+mm+Hex+Key%2C+Journeyman+T-Handle%2C+9-Inch&amp;qid=1694735170&amp;sr=8-8")</f>
        <v/>
      </c>
      <c r="F3507" t="inlineStr">
        <is>
          <t>B004QV6NL4</t>
        </is>
      </c>
      <c r="G3507">
        <f>_xlfn.IMAGE("https://edmondsonsupply.com/cdn/shop/products/jth9m_fa8a641d-d03f-4191-ab24-b9045963e4f7.jpg?v=1640191121")</f>
        <v/>
      </c>
      <c r="H3507">
        <f>_xlfn.IMAGE("https://m.media-amazon.com/images/I/51Yb8h41vLL._AC_UL320_.jpg")</f>
        <v/>
      </c>
      <c r="K3507" t="inlineStr">
        <is>
          <t>4.49</t>
        </is>
      </c>
      <c r="L3507" t="n">
        <v>23.99</v>
      </c>
      <c r="M3507" s="1" t="inlineStr">
        <is>
          <t>434.30%</t>
        </is>
      </c>
      <c r="N3507" s="7" t="n">
        <v>53.6</v>
      </c>
      <c r="O3507" t="n">
        <v>4.8</v>
      </c>
      <c r="P3507" t="n">
        <v>193</v>
      </c>
      <c r="R3507" t="inlineStr">
        <is>
          <t>InStock</t>
        </is>
      </c>
      <c r="S3507" t="inlineStr">
        <is>
          <t>6.8</t>
        </is>
      </c>
      <c r="T3507" t="inlineStr">
        <is>
          <t>7555980656856</t>
        </is>
      </c>
    </row>
    <row r="3508" ht="87" customHeight="1">
      <c r="A3508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3508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3508" t="inlineStr">
        <is>
          <t>Klein Tools JTH9E08 1/8-Inch Hex Key with Journeyman T-Handle, 9-Inch</t>
        </is>
      </c>
      <c r="D3508" t="inlineStr">
        <is>
          <t>Klein Tools JTH9E17 1/2-Inch Hex Key, Journeyman T-Handle, 9-Inch</t>
        </is>
      </c>
      <c r="E3508" s="2">
        <f>HYPERLINK("https://www.amazon.com/Journeyman-T-Handle-Klein-Tools-JTH9E17/dp/B004QV6NL4/ref=sr_1_8?keywords=Klein+Tools+JTH9E08+1%2F8-Inch+Hex+Key+with+Journeyman+T-Handle%2C+9-Inch&amp;qid=1694735421&amp;sr=8-8", "https://www.amazon.com/Journeyman-T-Handle-Klein-Tools-JTH9E17/dp/B004QV6NL4/ref=sr_1_8?keywords=Klein+Tools+JTH9E08+1%2F8-Inch+Hex+Key+with+Journeyman+T-Handle%2C+9-Inch&amp;qid=1694735421&amp;sr=8-8")</f>
        <v/>
      </c>
      <c r="F3508" t="inlineStr">
        <is>
          <t>B004QV6NL4</t>
        </is>
      </c>
      <c r="G3508">
        <f>_xlfn.IMAGE("https://edmondsonsupply.com/cdn/shop/products/jth6e15_f2733d2c-ab65-41d7-8597-f1dfd8fcaabf.jpg?v=1587142807")</f>
        <v/>
      </c>
      <c r="H3508">
        <f>_xlfn.IMAGE("https://m.media-amazon.com/images/I/51Yb8h41vLL._AC_UL320_.jpg")</f>
        <v/>
      </c>
      <c r="K3508" t="inlineStr">
        <is>
          <t>4.49</t>
        </is>
      </c>
      <c r="L3508" t="n">
        <v>23.99</v>
      </c>
      <c r="M3508" s="1" t="inlineStr">
        <is>
          <t>434.30%</t>
        </is>
      </c>
      <c r="N3508" s="7" t="n">
        <v>53.53</v>
      </c>
      <c r="O3508" t="n">
        <v>4.8</v>
      </c>
      <c r="P3508" t="n">
        <v>193</v>
      </c>
      <c r="R3508" t="inlineStr">
        <is>
          <t>InStock</t>
        </is>
      </c>
      <c r="S3508" t="inlineStr">
        <is>
          <t>6.82</t>
        </is>
      </c>
      <c r="T3508" t="inlineStr">
        <is>
          <t>4352186810468</t>
        </is>
      </c>
    </row>
    <row r="3509" ht="87" customHeight="1">
      <c r="A3509" s="2">
        <f>HYPERLINK("https://edmondsonsupply.com/collections/electricians-tools/products/klein-tools-66078-flip-impact-socket-adapter-large-1-2-to-1-2-inch", "https://edmondsonsupply.com/collections/electricians-tools/products/klein-tools-66078-flip-impact-socket-adapter-large-1-2-to-1-2-inch")</f>
        <v/>
      </c>
      <c r="B3509" s="2">
        <f>HYPERLINK("https://edmondsonsupply.com/products/klein-tools-66078-flip-impact-socket-adapter-large-1-2-to-1-2-inch", "https://edmondsonsupply.com/products/klein-tools-66078-flip-impact-socket-adapter-large-1-2-to-1-2-inch")</f>
        <v/>
      </c>
      <c r="C3509" t="inlineStr">
        <is>
          <t>Klein Tools 66078 Flip Impact Socket Adapter, Large, 1/2 to 1/2-Inch</t>
        </is>
      </c>
      <c r="D3509" t="inlineStr">
        <is>
          <t>Klein Tools 66031 3-in-1 Slotted Impact Socket, 12-Point Deep Sockets, Coaxial Spring Loaded, 3/4 and 9/16-Inch Hex Sizes, 1/2-Inch Drive</t>
        </is>
      </c>
      <c r="E3509" s="2">
        <f>HYPERLINK("https://www.amazon.com/Klein-Tools-66031-Slotted-12-Point/dp/B08R6FL5P8/ref=sr_1_8?keywords=Klein+Tools+66078+Flip+Impact+Socket+Adapter%2C+Large%2C+1%2F2+to+1%2F2-Inch&amp;qid=1694735127&amp;sr=8-8", "https://www.amazon.com/Klein-Tools-66031-Slotted-12-Point/dp/B08R6FL5P8/ref=sr_1_8?keywords=Klein+Tools+66078+Flip+Impact+Socket+Adapter%2C+Large%2C+1%2F2+to+1%2F2-Inch&amp;qid=1694735127&amp;sr=8-8")</f>
        <v/>
      </c>
      <c r="F3509" t="inlineStr">
        <is>
          <t>B08R6FL5P8</t>
        </is>
      </c>
      <c r="G3509">
        <f>_xlfn.IMAGE("https://edmondsonsupply.com/cdn/shop/products/66078.jpg?v=1674145294")</f>
        <v/>
      </c>
      <c r="H3509">
        <f>_xlfn.IMAGE("https://m.media-amazon.com/images/I/51mIf57QKuL._AC_UL320_.jpg")</f>
        <v/>
      </c>
      <c r="K3509" t="inlineStr">
        <is>
          <t>9.36</t>
        </is>
      </c>
      <c r="L3509" t="n">
        <v>49.99</v>
      </c>
      <c r="M3509" s="1" t="inlineStr">
        <is>
          <t>434.08%</t>
        </is>
      </c>
      <c r="N3509" s="7" t="n">
        <v>53.29</v>
      </c>
      <c r="O3509" t="n">
        <v>4.8</v>
      </c>
      <c r="P3509" t="n">
        <v>661</v>
      </c>
      <c r="R3509" t="inlineStr">
        <is>
          <t>InStock</t>
        </is>
      </c>
      <c r="S3509" t="inlineStr">
        <is>
          <t>15.6</t>
        </is>
      </c>
      <c r="T3509" t="inlineStr">
        <is>
          <t>7814086361304</t>
        </is>
      </c>
    </row>
    <row r="3510" ht="87" customHeight="1">
      <c r="A3510" s="2">
        <f>HYPERLINK("https://edmondsonsupply.com/collections/electricians-tools/products/klein-tools-66078-flip-impact-socket-adapter-large-1-2-to-1-2-inch", "https://edmondsonsupply.com/collections/electricians-tools/products/klein-tools-66078-flip-impact-socket-adapter-large-1-2-to-1-2-inch")</f>
        <v/>
      </c>
      <c r="B3510" s="2">
        <f>HYPERLINK("https://edmondsonsupply.com/products/klein-tools-66078-flip-impact-socket-adapter-large-1-2-to-1-2-inch", "https://edmondsonsupply.com/products/klein-tools-66078-flip-impact-socket-adapter-large-1-2-to-1-2-inch")</f>
        <v/>
      </c>
      <c r="C3510" t="inlineStr">
        <is>
          <t>Klein Tools 66078 Flip Impact Socket Adapter, Large, 1/2 to 1/2-Inch</t>
        </is>
      </c>
      <c r="D3510" t="inlineStr">
        <is>
          <t>Klein Tools 66070 Impact Socket Set, Impact Driver Flip Socket, Five Sockets with 1/4-Inch Hex and 1/2-Inch Square Socket Adapters, 7-Piece</t>
        </is>
      </c>
      <c r="E3510" s="2">
        <f>HYPERLINK("https://www.amazon.com/Klein-Tools-66070-Sockets-Adapters/dp/B0B33XLXD1/ref=sr_1_3?keywords=Klein+Tools+66078+Flip+Impact+Socket+Adapter%2C+Large%2C+1%2F2+to+1%2F2-Inch&amp;qid=1694735127&amp;sr=8-3", "https://www.amazon.com/Klein-Tools-66070-Sockets-Adapters/dp/B0B33XLXD1/ref=sr_1_3?keywords=Klein+Tools+66078+Flip+Impact+Socket+Adapter%2C+Large%2C+1%2F2+to+1%2F2-Inch&amp;qid=1694735127&amp;sr=8-3")</f>
        <v/>
      </c>
      <c r="F3510" t="inlineStr">
        <is>
          <t>B0B33XLXD1</t>
        </is>
      </c>
      <c r="G3510">
        <f>_xlfn.IMAGE("https://edmondsonsupply.com/cdn/shop/products/66078.jpg?v=1674145294")</f>
        <v/>
      </c>
      <c r="H3510">
        <f>_xlfn.IMAGE("https://m.media-amazon.com/images/I/71D23SffznL._AC_UL320_.jpg")</f>
        <v/>
      </c>
      <c r="K3510" t="inlineStr">
        <is>
          <t>9.36</t>
        </is>
      </c>
      <c r="L3510" t="n">
        <v>49.97</v>
      </c>
      <c r="M3510" s="1" t="inlineStr">
        <is>
          <t>433.87%</t>
        </is>
      </c>
      <c r="N3510" s="7" t="n">
        <v>53.24</v>
      </c>
      <c r="O3510" t="n">
        <v>4.8</v>
      </c>
      <c r="P3510" t="n">
        <v>1150</v>
      </c>
      <c r="R3510" t="inlineStr">
        <is>
          <t>InStock</t>
        </is>
      </c>
      <c r="S3510" t="inlineStr">
        <is>
          <t>15.6</t>
        </is>
      </c>
      <c r="T3510" t="inlineStr">
        <is>
          <t>7814086361304</t>
        </is>
      </c>
    </row>
    <row r="3511" ht="87" customHeight="1">
      <c r="A3511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3511" s="2">
        <f>HYPERLINK("https://edmondsonsupply.com/products/klein-tools-635-1-2-1-2-inch-heavy-duty-nut-driver", "https://edmondsonsupply.com/products/klein-tools-635-1-2-1-2-inch-heavy-duty-nut-driver")</f>
        <v/>
      </c>
      <c r="C3511" t="inlineStr">
        <is>
          <t>Klein Tools 635-1/2 1/2-Inch Heavy-Duty Nut Driver</t>
        </is>
      </c>
      <c r="D3511" t="inlineStr">
        <is>
          <t>Klein Tools 635-6 Tool Set, Heavy Duty Magnetic Nut Drivers SAE Sizes 1/4, 5/16, 3/8, 7/16, 1/2, and 9/16-Inch Hex, 6-Inch, 6-Piece</t>
        </is>
      </c>
      <c r="E3511" s="2">
        <f>HYPERLINK("https://www.amazon.com/Heavy-Duty-Driver-6-Piece-Klein-Tools/dp/B01DKNDHGM/ref=sr_1_3?keywords=Klein+Tools+635-1%2F2+1%2F2-Inch+Heavy-Duty+Nut+Driver&amp;qid=1694735353&amp;sr=8-3", "https://www.amazon.com/Heavy-Duty-Driver-6-Piece-Klein-Tools/dp/B01DKNDHGM/ref=sr_1_3?keywords=Klein+Tools+635-1%2F2+1%2F2-Inch+Heavy-Duty+Nut+Driver&amp;qid=1694735353&amp;sr=8-3")</f>
        <v/>
      </c>
      <c r="F3511" t="inlineStr">
        <is>
          <t>B01DKNDHGM</t>
        </is>
      </c>
      <c r="G3511">
        <f>_xlfn.IMAGE("https://edmondsonsupply.com/cdn/shop/products/635-1-2.jpg?v=1587147726")</f>
        <v/>
      </c>
      <c r="H3511">
        <f>_xlfn.IMAGE("https://m.media-amazon.com/images/I/61eypCy1RLL._AC_UL320_.jpg")</f>
        <v/>
      </c>
      <c r="K3511" t="inlineStr">
        <is>
          <t>14.99</t>
        </is>
      </c>
      <c r="L3511" t="n">
        <v>79.98999999999999</v>
      </c>
      <c r="M3511" s="1" t="inlineStr">
        <is>
          <t>433.62%</t>
        </is>
      </c>
      <c r="N3511" s="7" t="n">
        <v>52.97</v>
      </c>
      <c r="O3511" t="n">
        <v>4.7</v>
      </c>
      <c r="P3511" t="n">
        <v>943</v>
      </c>
      <c r="R3511" t="inlineStr">
        <is>
          <t>InStock</t>
        </is>
      </c>
      <c r="S3511" t="inlineStr">
        <is>
          <t>22.78</t>
        </is>
      </c>
      <c r="T3511" t="inlineStr">
        <is>
          <t>4473296945252</t>
        </is>
      </c>
    </row>
    <row r="3512" ht="87" customHeight="1">
      <c r="A3512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3512" s="2">
        <f>HYPERLINK("https://edmondsonsupply.com/products/klein-tools-635-1-2-1-2-inch-heavy-duty-nut-driver", "https://edmondsonsupply.com/products/klein-tools-635-1-2-1-2-inch-heavy-duty-nut-driver")</f>
        <v/>
      </c>
      <c r="C3512" t="inlineStr">
        <is>
          <t>Klein Tools 635-1/2 1/2-Inch Heavy-Duty Nut Driver</t>
        </is>
      </c>
      <c r="D3512" t="inlineStr">
        <is>
          <t>Klein Tools 647M Tool Set, Magnetic Nut Drivers Sizes 3/16, 1/4, 5/16, 11/32, 3/8, 7/16, 1/2-Inch, 6-Inch Hollow Shafts, 7-Piece</t>
        </is>
      </c>
      <c r="E3512" s="2">
        <f>HYPERLINK("https://www.amazon.com/Klein-Tools-647M-Magnetic-7-Piece/dp/B000MKIUYQ/ref=sr_1_4?keywords=Klein+Tools+635-1%2F2+1%2F2-Inch+Heavy-Duty+Nut+Driver&amp;qid=1694735353&amp;sr=8-4", "https://www.amazon.com/Klein-Tools-647M-Magnetic-7-Piece/dp/B000MKIUYQ/ref=sr_1_4?keywords=Klein+Tools+635-1%2F2+1%2F2-Inch+Heavy-Duty+Nut+Driver&amp;qid=1694735353&amp;sr=8-4")</f>
        <v/>
      </c>
      <c r="F3512" t="inlineStr">
        <is>
          <t>B000MKIUYQ</t>
        </is>
      </c>
      <c r="G3512">
        <f>_xlfn.IMAGE("https://edmondsonsupply.com/cdn/shop/products/635-1-2.jpg?v=1587147726")</f>
        <v/>
      </c>
      <c r="H3512">
        <f>_xlfn.IMAGE("https://m.media-amazon.com/images/I/61PNUE211uL._AC_UL320_.jpg")</f>
        <v/>
      </c>
      <c r="K3512" t="inlineStr">
        <is>
          <t>14.99</t>
        </is>
      </c>
      <c r="L3512" t="n">
        <v>79.98999999999999</v>
      </c>
      <c r="M3512" s="1" t="inlineStr">
        <is>
          <t>433.62%</t>
        </is>
      </c>
      <c r="N3512" s="7" t="n">
        <v>52.33</v>
      </c>
      <c r="O3512" t="n">
        <v>4.8</v>
      </c>
      <c r="P3512" t="n">
        <v>985</v>
      </c>
      <c r="R3512" t="inlineStr">
        <is>
          <t>InStock</t>
        </is>
      </c>
      <c r="S3512" t="inlineStr">
        <is>
          <t>22.78</t>
        </is>
      </c>
      <c r="T3512" t="inlineStr">
        <is>
          <t>4473296945252</t>
        </is>
      </c>
    </row>
    <row r="3513" ht="87" customHeight="1">
      <c r="A3513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3513" s="2">
        <f>HYPERLINK("https://edmondsonsupply.com/products/klein-tools-630-5-8-nut-driver-5-8-inch-4-inch-hollow-shaft", "https://edmondsonsupply.com/products/klein-tools-630-5-8-nut-driver-5-8-inch-4-inch-hollow-shaft")</f>
        <v/>
      </c>
      <c r="C3513" t="inlineStr">
        <is>
          <t>Klein Tools 630-5/8 Nut Driver, 5/8-Inch, 4-Inch Hollow Shaft</t>
        </is>
      </c>
      <c r="D3513" t="inlineStr">
        <is>
          <t>Klein Tools 89904 Tool Set, Nut Drivers Sizes 3/16, 1/4, 5/16, 11/32, 3/8, 7/16, 1/2-Inch, 6-Inch Shafts, 7-Piece</t>
        </is>
      </c>
      <c r="E3513" s="2">
        <f>HYPERLINK("https://www.amazon.com/Klein-Tools-Nut-Driver-89904/dp/B000MB1JMU/ref=sr_1_21?keywords=Klein+Tools+630-5%2F8+Nut+Driver%2C+5%2F8-Inch%2C+4-Inch+Hollow+Shaft&amp;qid=1694735205&amp;sr=8-21", "https://www.amazon.com/Klein-Tools-Nut-Driver-89904/dp/B000MB1JMU/ref=sr_1_21?keywords=Klein+Tools+630-5%2F8+Nut+Driver%2C+5%2F8-Inch%2C+4-Inch+Hollow+Shaft&amp;qid=1694735205&amp;sr=8-21")</f>
        <v/>
      </c>
      <c r="F3513" t="inlineStr">
        <is>
          <t>B000MB1JMU</t>
        </is>
      </c>
      <c r="G3513">
        <f>_xlfn.IMAGE("https://edmondsonsupply.com/cdn/shop/products/630-1-2_df0ca74a-79e7-41f4-ad94-60312e01e692.jpg?v=1633031052")</f>
        <v/>
      </c>
      <c r="H3513">
        <f>_xlfn.IMAGE("https://m.media-amazon.com/images/I/61cXQ4v0vvL._AC_UL320_.jpg")</f>
        <v/>
      </c>
      <c r="K3513" t="inlineStr">
        <is>
          <t>12.49</t>
        </is>
      </c>
      <c r="L3513" t="n">
        <v>66.23</v>
      </c>
      <c r="M3513" s="1" t="inlineStr">
        <is>
          <t>430.26%</t>
        </is>
      </c>
      <c r="N3513" s="7" t="n">
        <v>52.29</v>
      </c>
      <c r="O3513" t="n">
        <v>4.5</v>
      </c>
      <c r="P3513" t="n">
        <v>33</v>
      </c>
      <c r="R3513" t="inlineStr">
        <is>
          <t>InStock</t>
        </is>
      </c>
      <c r="S3513" t="inlineStr">
        <is>
          <t>18.92</t>
        </is>
      </c>
      <c r="T3513" t="inlineStr">
        <is>
          <t>6781025386669</t>
        </is>
      </c>
    </row>
    <row r="3514" ht="87" customHeight="1">
      <c r="A3514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3514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3514" t="inlineStr">
        <is>
          <t>Klein Tools ET45VP AC/DC Voltage and GFCI Receptacle Outlet Test Kit</t>
        </is>
      </c>
      <c r="D3514" t="inlineStr">
        <is>
          <t>Klein Tools RT250KIT Non-Contact Voltage Tester and GFCI Receptacle Tester &amp; 80016 Circuit Breaker Finder Tool Kit with Accessories, 2-Piece Set, Includes Cat. No. ET310 and Cat. No. 69411</t>
        </is>
      </c>
      <c r="E3514" s="2">
        <f>HYPERLINK("https://www.amazon.com/Klein-Tools-Non-Contact-Receptacle-Accessories/dp/B0BC86DZ9N/ref=sr_1_37?keywords=Klein+Tools+ET45VP+AC%2FDC+Voltage+and+GFCI+Receptacle+Outlet+Test+Kit&amp;qid=1694735138&amp;sr=8-37", "https://www.amazon.com/Klein-Tools-Non-Contact-Receptacle-Accessories/dp/B0BC86DZ9N/ref=sr_1_37?keywords=Klein+Tools+ET45VP+AC%2FDC+Voltage+and+GFCI+Receptacle+Outlet+Test+Kit&amp;qid=1694735138&amp;sr=8-37")</f>
        <v/>
      </c>
      <c r="F3514" t="inlineStr">
        <is>
          <t>B0BC86DZ9N</t>
        </is>
      </c>
      <c r="G3514">
        <f>_xlfn.IMAGE("https://edmondsonsupply.com/cdn/shop/products/et45vp.jpg?v=1660755922")</f>
        <v/>
      </c>
      <c r="H3514">
        <f>_xlfn.IMAGE("https://m.media-amazon.com/images/I/516iLL0IaEL._AC_UL320_.jpg")</f>
        <v/>
      </c>
      <c r="K3514" t="inlineStr">
        <is>
          <t>17.97</t>
        </is>
      </c>
      <c r="L3514" t="n">
        <v>94.98</v>
      </c>
      <c r="M3514" s="1" t="inlineStr">
        <is>
          <t>428.55%</t>
        </is>
      </c>
      <c r="N3514" s="7" t="n">
        <v>52.26</v>
      </c>
      <c r="O3514" t="n">
        <v>4.7</v>
      </c>
      <c r="P3514" t="n">
        <v>32</v>
      </c>
      <c r="R3514" t="inlineStr">
        <is>
          <t>InStock</t>
        </is>
      </c>
      <c r="S3514" t="inlineStr">
        <is>
          <t>25.82</t>
        </is>
      </c>
      <c r="T3514" t="inlineStr">
        <is>
          <t>7783562084568</t>
        </is>
      </c>
    </row>
    <row r="3515" ht="87" customHeight="1">
      <c r="A3515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515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515" t="inlineStr">
        <is>
          <t>Diablo Tools DMAPL4080 1/4 in. x 6 in. x 8 in. Rebar Demon™ SDS-Plus 4-Cutter Full Carbide Head Hammer Bit</t>
        </is>
      </c>
      <c r="D3515" t="inlineStr">
        <is>
          <t>Diablo 3/4"x 16"x18" Rebar Demon SDS-Plus 4-Cutter Full Carbide Head Hammer Bit</t>
        </is>
      </c>
      <c r="E3515" s="2">
        <f>HYPERLINK("https://www.amazon.com/Diablo-Freud-DMAPL4260-SDS-Plus-4-Cutter/dp/B089LK4H2L/ref=sr_1_20?keywords=Diablo+Tools+DMAPL4080+1%2F4+in.+x+6+in.+x+8+in.+Rebar+Demon%E2%84%A2+SDS-Plus+4-Cutter+Full+Carbide+Head+Hammer+Bit&amp;qid=1694735294&amp;sr=8-20", "https://www.amazon.com/Diablo-Freud-DMAPL4260-SDS-Plus-4-Cutter/dp/B089LK4H2L/ref=sr_1_20?keywords=Diablo+Tools+DMAPL4080+1%2F4+in.+x+6+in.+x+8+in.+Rebar+Demon%E2%84%A2+SDS-Plus+4-Cutter+Full+Carbide+Head+Hammer+Bit&amp;qid=1694735294&amp;sr=8-20")</f>
        <v/>
      </c>
      <c r="F3515" t="inlineStr">
        <is>
          <t>B089LK4H2L</t>
        </is>
      </c>
      <c r="G3515">
        <f>_xlfn.IMAGE("https://edmondsonsupply.com/cdn/shop/products/DMAPL4080_1.jpg?v=1633030359")</f>
        <v/>
      </c>
      <c r="H3515">
        <f>_xlfn.IMAGE("https://m.media-amazon.com/images/I/61K1ugH5-zL._AC_UL320_.jpg")</f>
        <v/>
      </c>
      <c r="K3515" t="inlineStr">
        <is>
          <t>7.47</t>
        </is>
      </c>
      <c r="L3515" t="n">
        <v>39.36</v>
      </c>
      <c r="M3515" s="1" t="inlineStr">
        <is>
          <t>426.91%</t>
        </is>
      </c>
      <c r="N3515" s="7" t="n">
        <v>52.11</v>
      </c>
      <c r="O3515" t="n">
        <v>4.7</v>
      </c>
      <c r="P3515" t="n">
        <v>15</v>
      </c>
      <c r="R3515" t="inlineStr">
        <is>
          <t>InStock</t>
        </is>
      </c>
      <c r="S3515" t="inlineStr">
        <is>
          <t>undefined</t>
        </is>
      </c>
      <c r="T3515" t="inlineStr">
        <is>
          <t>5286767919272</t>
        </is>
      </c>
    </row>
    <row r="3516" hidden="1" ht="15.75" customHeight="1">
      <c r="A3516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516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516" t="inlineStr">
        <is>
          <t>Diablo Tools DMAPL4180 1/2 in. x 4 in. x 6 in. Rebar Demon™ SDS-Plus 4-Cutter Full Carbide Head Hammer Bit</t>
        </is>
      </c>
      <c r="D3516" t="inlineStr">
        <is>
          <t>Diablo DMAMX1180 7/8 in. x 16 in. x 21 in. Rebar Demon™ SDS-Max 4-Cutter Full Carbide Head Hammer Bit</t>
        </is>
      </c>
      <c r="E3516" s="2">
        <f>HYPERLINK("https://www.amazon.com/Diablo-SDS-Max-4-Cutter-Carbide-Hammer/dp/B089KWFF8B/ref=sr_1_43?keywords=Diablo+Tools+DMAPL4180+1%2F2+in.+x+4+in.+x+6+in.+Rebar+Demon%E2%84%A2+SDS-Plus+4-Cutter+Full+Carbide+Head+Hammer+Bit&amp;qid=1694735298&amp;sr=8-43", "https://www.amazon.com/Diablo-SDS-Max-4-Cutter-Carbide-Hammer/dp/B089KWFF8B/ref=sr_1_43?keywords=Diablo+Tools+DMAPL4180+1%2F2+in.+x+4+in.+x+6+in.+Rebar+Demon%E2%84%A2+SDS-Plus+4-Cutter+Full+Carbide+Head+Hammer+Bit&amp;qid=1694735298&amp;sr=8-43")</f>
        <v/>
      </c>
      <c r="F3516" t="inlineStr">
        <is>
          <t>B089KWFF8B</t>
        </is>
      </c>
      <c r="G3516">
        <f>_xludf.IMAGE("https://edmondsonsupply.com/cdn/shop/products/DMAPL4180_Main-Image20200702.png?v=1633030362")</f>
        <v/>
      </c>
      <c r="H3516">
        <f>_xludf.IMAGE("https://m.media-amazon.com/images/I/611fTcYRNFL._AC_UL320_.jpg")</f>
        <v/>
      </c>
      <c r="K3516" t="inlineStr">
        <is>
          <t>9.97</t>
        </is>
      </c>
      <c r="L3516" t="n">
        <v>52.51</v>
      </c>
      <c r="M3516" s="1" t="inlineStr">
        <is>
          <t>426.68%</t>
        </is>
      </c>
      <c r="N3516" s="1" t="n">
        <v>52.03</v>
      </c>
      <c r="O3516" t="n">
        <v>3.5</v>
      </c>
      <c r="P3516" t="n">
        <v>3</v>
      </c>
      <c r="R3516" t="inlineStr">
        <is>
          <t>InStock</t>
        </is>
      </c>
      <c r="S3516" t="inlineStr">
        <is>
          <t>undefined</t>
        </is>
      </c>
      <c r="T3516" t="inlineStr">
        <is>
          <t>5286803833000</t>
        </is>
      </c>
    </row>
    <row r="3517" ht="87" customHeight="1">
      <c r="A3517" s="2">
        <f>HYPERLINK("https://edmondsonsupply.com/collections/electricians-tools/products/gorilla-glue-107450-original-gorilla-glue-20z-bottle", "https://edmondsonsupply.com/collections/electricians-tools/products/gorilla-glue-107450-original-gorilla-glue-20z-bottle")</f>
        <v/>
      </c>
      <c r="B3517" s="2">
        <f>HYPERLINK("https://edmondsonsupply.com/products/gorilla-glue-107450-original-gorilla-glue-20z-bottle", "https://edmondsonsupply.com/products/gorilla-glue-107450-original-gorilla-glue-20z-bottle")</f>
        <v/>
      </c>
      <c r="C3517" t="inlineStr">
        <is>
          <t>Gorilla Glue 107450 Original Gorilla Glue, 2oz. bottle</t>
        </is>
      </c>
      <c r="D3517" t="inlineStr">
        <is>
          <t>Gorilla Original Waterproof Polyurethane Glue, 8 ounce Bottle, Brown, (Pack of 2)</t>
        </is>
      </c>
      <c r="E3517" s="2">
        <f>HYPERLINK("https://www.amazon.com/Gorilla-5002801-2-Original-Glue-Brown/dp/B01M8O1Z3Y/ref=sr_1_2?keywords=Gorilla+Glue+107450+Original+Gorilla+Glue%2C+2oz.+bottle&amp;qid=1694735029&amp;sr=8-2", "https://www.amazon.com/Gorilla-5002801-2-Original-Glue-Brown/dp/B01M8O1Z3Y/ref=sr_1_2?keywords=Gorilla+Glue+107450+Original+Gorilla+Glue%2C+2oz.+bottle&amp;qid=1694735029&amp;sr=8-2")</f>
        <v/>
      </c>
      <c r="F3517" t="inlineStr">
        <is>
          <t>B01M8O1Z3Y</t>
        </is>
      </c>
      <c r="G3517">
        <f>_xlfn.IMAGE("https://edmondsonsupply.com/cdn/shop/products/original_gorilla_glue_white_bg_v2-450x450-c-default.webp?v=1678801122")</f>
        <v/>
      </c>
      <c r="H3517">
        <f>_xlfn.IMAGE("https://m.media-amazon.com/images/I/61X3vZAvDbL._AC_UY218_.jpg")</f>
        <v/>
      </c>
      <c r="K3517" t="inlineStr">
        <is>
          <t>6.98</t>
        </is>
      </c>
      <c r="L3517" t="n">
        <v>36.66</v>
      </c>
      <c r="M3517" s="1" t="inlineStr">
        <is>
          <t>425.21%</t>
        </is>
      </c>
      <c r="N3517" s="7" t="n">
        <v>51.76</v>
      </c>
      <c r="O3517" t="n">
        <v>4.4</v>
      </c>
      <c r="P3517" t="n">
        <v>59</v>
      </c>
      <c r="R3517" t="inlineStr">
        <is>
          <t>InStock</t>
        </is>
      </c>
      <c r="S3517" t="inlineStr">
        <is>
          <t>undefined</t>
        </is>
      </c>
      <c r="T3517" t="inlineStr">
        <is>
          <t>7961253314776</t>
        </is>
      </c>
    </row>
    <row r="3518" ht="87" customHeight="1">
      <c r="A3518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518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518" t="inlineStr">
        <is>
          <t>Diablo Tools DMAPL4020 5/32 in. x 4 in. x 6 in. Rebar Demon™ SDS-Plus 4-Cutter Full Carbide Head Hammer Bit</t>
        </is>
      </c>
      <c r="D3518" t="inlineStr">
        <is>
          <t>Diablo 5/8"x 16"x18" Rebar Demon™ SDS-Plus 4-Cutter Full Carbide Head Hammer Bit</t>
        </is>
      </c>
      <c r="E3518" s="2">
        <f>HYPERLINK("https://www.amazon.com/Diablo-SDS-Plus-4-Cutter-Carbide-Hammer/dp/B089LDNZSN/ref=sr_1_18?keywords=Diablo+Tools+DMAPL4020+5%2F32+in.+x+4+in.+x+6+in.+Rebar+Demon%E2%84%A2+SDS-Plus+4-Cutter+Full+Carbide+Head+Hammer+Bit&amp;qid=1694735291&amp;sr=8-18", "https://www.amazon.com/Diablo-SDS-Plus-4-Cutter-Carbide-Hammer/dp/B089LDNZSN/ref=sr_1_18?keywords=Diablo+Tools+DMAPL4020+5%2F32+in.+x+4+in.+x+6+in.+Rebar+Demon%E2%84%A2+SDS-Plus+4-Cutter+Full+Carbide+Head+Hammer+Bit&amp;qid=1694735291&amp;sr=8-18")</f>
        <v/>
      </c>
      <c r="F3518" t="inlineStr">
        <is>
          <t>B089LDNZSN</t>
        </is>
      </c>
      <c r="G3518">
        <f>_xlfn.IMAGE("https://edmondsonsupply.com/cdn/shop/products/DMAPL4020_1.jpg?v=1633030415")</f>
        <v/>
      </c>
      <c r="H3518">
        <f>_xlfn.IMAGE("https://m.media-amazon.com/images/I/61Vv8Hsfp5L._AC_UL320_.jpg")</f>
        <v/>
      </c>
      <c r="K3518" t="inlineStr">
        <is>
          <t>6.47</t>
        </is>
      </c>
      <c r="L3518" t="n">
        <v>33.98</v>
      </c>
      <c r="M3518" s="1" t="inlineStr">
        <is>
          <t>425.19%</t>
        </is>
      </c>
      <c r="N3518" s="7" t="n">
        <v>51.59</v>
      </c>
      <c r="O3518" t="n">
        <v>4.6</v>
      </c>
      <c r="P3518" t="n">
        <v>10</v>
      </c>
      <c r="R3518" t="inlineStr">
        <is>
          <t>InStock</t>
        </is>
      </c>
      <c r="S3518" t="inlineStr">
        <is>
          <t>9.44</t>
        </is>
      </c>
      <c r="T3518" t="inlineStr">
        <is>
          <t>5313711046824</t>
        </is>
      </c>
    </row>
    <row r="3519" ht="87" customHeight="1">
      <c r="A3519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519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519" t="inlineStr">
        <is>
          <t>Diablo Tools DMAPL4020 5/32 in. x 4 in. x 6 in. Rebar Demon™ SDS-Plus 4-Cutter Full Carbide Head Hammer Bit</t>
        </is>
      </c>
      <c r="D3519" t="inlineStr">
        <is>
          <t>Diablo by Freud DMAPL4300 1 in. x 8 in. x 10 in. Rebar Demon™ SDS-Plus 4-Cutter Full Carbide Head Hammer Bit</t>
        </is>
      </c>
      <c r="E3519" s="2">
        <f>HYPERLINK("https://www.amazon.com/Diablo-Freud-DMAPL4300-SDS-Plus-4-Cutter/dp/B089LL8JD8/ref=sr_1_15?keywords=Diablo+Tools+DMAPL4020+5%2F32+in.+x+4+in.+x+6+in.+Rebar+Demon%E2%84%A2+SDS-Plus+4-Cutter+Full+Carbide+Head+Hammer+Bit&amp;qid=1694735291&amp;sr=8-15", "https://www.amazon.com/Diablo-Freud-DMAPL4300-SDS-Plus-4-Cutter/dp/B089LL8JD8/ref=sr_1_15?keywords=Diablo+Tools+DMAPL4020+5%2F32+in.+x+4+in.+x+6+in.+Rebar+Demon%E2%84%A2+SDS-Plus+4-Cutter+Full+Carbide+Head+Hammer+Bit&amp;qid=1694735291&amp;sr=8-15")</f>
        <v/>
      </c>
      <c r="F3519" t="inlineStr">
        <is>
          <t>B089LL8JD8</t>
        </is>
      </c>
      <c r="G3519">
        <f>_xlfn.IMAGE("https://edmondsonsupply.com/cdn/shop/products/DMAPL4020_1.jpg?v=1633030415")</f>
        <v/>
      </c>
      <c r="H3519">
        <f>_xlfn.IMAGE("https://m.media-amazon.com/images/I/616UiJGsK1L._AC_UL320_.jpg")</f>
        <v/>
      </c>
      <c r="K3519" t="inlineStr">
        <is>
          <t>6.47</t>
        </is>
      </c>
      <c r="L3519" t="n">
        <v>33.95</v>
      </c>
      <c r="M3519" s="1" t="inlineStr">
        <is>
          <t>424.73%</t>
        </is>
      </c>
      <c r="N3519" s="7" t="n">
        <v>51.28</v>
      </c>
      <c r="O3519" t="n">
        <v>4.5</v>
      </c>
      <c r="P3519" t="n">
        <v>16</v>
      </c>
      <c r="R3519" t="inlineStr">
        <is>
          <t>InStock</t>
        </is>
      </c>
      <c r="S3519" t="inlineStr">
        <is>
          <t>9.44</t>
        </is>
      </c>
      <c r="T3519" t="inlineStr">
        <is>
          <t>5313711046824</t>
        </is>
      </c>
    </row>
    <row r="3520" ht="87" customHeight="1">
      <c r="A3520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520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520" t="inlineStr">
        <is>
          <t>Diablo Tools DMAPL4010 5/32 in. x 2 in. x 4 in. Rebar Demon™ SDS-Plus 4-Cutter Full Carbide Head Hammer Bit</t>
        </is>
      </c>
      <c r="D3520" t="inlineStr">
        <is>
          <t>Diablo by Freud DMAPL4300 1 in. x 8 in. x 10 in. Rebar Demon™ SDS-Plus 4-Cutter Full Carbide Head Hammer Bit</t>
        </is>
      </c>
      <c r="E3520" s="2">
        <f>HYPERLINK("https://www.amazon.com/Diablo-Freud-DMAPL4300-SDS-Plus-4-Cutter/dp/B089LL8JD8/ref=sr_1_18?keywords=Diablo+Tools+DMAPL4010+5%2F32+in.+x+2+in.+x+4+in.+Rebar+Demon%E2%84%A2+SDS-Plus+4-Cutter+Full+Carbide+Head+Hammer+Bit&amp;qid=1694735296&amp;sr=8-18", "https://www.amazon.com/Diablo-Freud-DMAPL4300-SDS-Plus-4-Cutter/dp/B089LL8JD8/ref=sr_1_18?keywords=Diablo+Tools+DMAPL4010+5%2F32+in.+x+2+in.+x+4+in.+Rebar+Demon%E2%84%A2+SDS-Plus+4-Cutter+Full+Carbide+Head+Hammer+Bit&amp;qid=1694735296&amp;sr=8-18")</f>
        <v/>
      </c>
      <c r="F3520" t="inlineStr">
        <is>
          <t>B089LL8JD8</t>
        </is>
      </c>
      <c r="G3520">
        <f>_xlfn.IMAGE("https://edmondsonsupply.com/cdn/shop/products/DMAPL4010.jpg?v=1633030357")</f>
        <v/>
      </c>
      <c r="H3520">
        <f>_xlfn.IMAGE("https://m.media-amazon.com/images/I/616UiJGsK1L._AC_UL320_.jpg")</f>
        <v/>
      </c>
      <c r="K3520" t="inlineStr">
        <is>
          <t>6.48</t>
        </is>
      </c>
      <c r="L3520" t="n">
        <v>33.95</v>
      </c>
      <c r="M3520" s="1" t="inlineStr">
        <is>
          <t>423.92%</t>
        </is>
      </c>
      <c r="N3520" s="7" t="n">
        <v>51.21</v>
      </c>
      <c r="O3520" t="n">
        <v>4.5</v>
      </c>
      <c r="P3520" t="n">
        <v>16</v>
      </c>
      <c r="R3520" t="inlineStr">
        <is>
          <t>InStock</t>
        </is>
      </c>
      <c r="S3520" t="inlineStr">
        <is>
          <t>10.3</t>
        </is>
      </c>
      <c r="T3520" t="inlineStr">
        <is>
          <t>5286308380840</t>
        </is>
      </c>
    </row>
    <row r="3521" ht="87" customHeight="1">
      <c r="A3521" s="2">
        <f>HYPERLINK("https://edmondsonsupply.com/collections/electricians-tools/products/copy-of-diablo-tools-d1040x-10-in-x-40-tooth-general-purpose-saw-blade", "https://edmondsonsupply.com/collections/electricians-tools/products/copy-of-diablo-tools-d1040x-10-in-x-40-tooth-general-purpose-saw-blade")</f>
        <v/>
      </c>
      <c r="B3521" s="2">
        <f>HYPERLINK("https://edmondsonsupply.com/products/copy-of-diablo-tools-d1040x-10-in-x-40-tooth-general-purpose-saw-blade", "https://edmondsonsupply.com/products/copy-of-diablo-tools-d1040x-10-in-x-40-tooth-general-purpose-saw-blade")</f>
        <v/>
      </c>
      <c r="C3521" t="inlineStr">
        <is>
          <t>Diablo Tools D1050X 10 in. x 50 Tooth Combination Saw Blade</t>
        </is>
      </c>
      <c r="D3521" t="inlineStr">
        <is>
          <t>5 PK Freud D1050X Diablo 10-Inch 50-tooth ATB Combination Saw Blade with 5/8-Inch Arbor</t>
        </is>
      </c>
      <c r="E3521" s="2">
        <f>HYPERLINK("https://www.amazon.com/Freud-10-Inch-50-tooth-Combination-PermaShield/dp/B0146WA2UK/ref=sr_1_1?keywords=Diablo+Tools+D1050X+10+in.+x+50+Tooth+Combination+Saw+Blade&amp;qid=1694735310&amp;sr=8-1", "https://www.amazon.com/Freud-10-Inch-50-tooth-Combination-PermaShield/dp/B0146WA2UK/ref=sr_1_1?keywords=Diablo+Tools+D1050X+10+in.+x+50+Tooth+Combination+Saw+Blade&amp;qid=1694735310&amp;sr=8-1")</f>
        <v/>
      </c>
      <c r="F3521" t="inlineStr">
        <is>
          <t>B0146WA2UK</t>
        </is>
      </c>
      <c r="G3521">
        <f>_xlfn.IMAGE("https://edmondsonsupply.com/cdn/shop/products/D1050X_Main-Image20191112.png?v=1633030269")</f>
        <v/>
      </c>
      <c r="H3521">
        <f>_xlfn.IMAGE("https://m.media-amazon.com/images/I/71MxGategBS._AC_UL320_.jpg")</f>
        <v/>
      </c>
      <c r="K3521" t="inlineStr">
        <is>
          <t>37.97</t>
        </is>
      </c>
      <c r="L3521" t="n">
        <v>198.65</v>
      </c>
      <c r="M3521" s="1" t="inlineStr">
        <is>
          <t>423.18%</t>
        </is>
      </c>
      <c r="N3521" s="7" t="n">
        <v>50.58</v>
      </c>
      <c r="O3521" t="n">
        <v>5</v>
      </c>
      <c r="P3521" t="n">
        <v>1</v>
      </c>
      <c r="R3521" t="inlineStr">
        <is>
          <t>InStock</t>
        </is>
      </c>
      <c r="S3521" t="inlineStr">
        <is>
          <t>56.46</t>
        </is>
      </c>
      <c r="T3521" t="inlineStr">
        <is>
          <t>4681639559268</t>
        </is>
      </c>
    </row>
    <row r="3522" hidden="1" ht="15.75" customHeight="1">
      <c r="A3522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3522" s="2">
        <f>HYPERLINK("https://edmondsonsupply.com/products/klein-tools-31948-bi-metal-hole-saw-3-inch", "https://edmondsonsupply.com/products/klein-tools-31948-bi-metal-hole-saw-3-inch")</f>
        <v/>
      </c>
      <c r="C3522" t="inlineStr">
        <is>
          <t>Klein Tools 31948 Bi-Metal Hole Saw, 3-Inch</t>
        </is>
      </c>
      <c r="D3522" t="inlineStr">
        <is>
          <t>Klein Tools 31600SEN 6-3/8-Inch Diameter Bi-Metal Hole Saw</t>
        </is>
      </c>
      <c r="E3522" s="2">
        <f>HYPERLINK("https://www.amazon.com/Klein-Tools-31600SEN-Diameter-Bi-Metal/dp/B0026T4RAM/ref=sr_1_26?keywords=Klein+Tools+31948+Bi-Metal+Hole+Saw%2C+3-Inch&amp;qid=1694735118&amp;sr=8-26", "https://www.amazon.com/Klein-Tools-31600SEN-Diameter-Bi-Metal/dp/B0026T4RAM/ref=sr_1_26?keywords=Klein+Tools+31948+Bi-Metal+Hole+Saw%2C+3-Inch&amp;qid=1694735118&amp;sr=8-26")</f>
        <v/>
      </c>
      <c r="F3522" t="inlineStr">
        <is>
          <t>B0026T4RAM</t>
        </is>
      </c>
      <c r="G3522">
        <f>_xludf.IMAGE("https://edmondsonsupply.com/cdn/shop/products/31948.jpg?v=1663945105")</f>
        <v/>
      </c>
      <c r="H3522">
        <f>_xludf.IMAGE("https://m.media-amazon.com/images/I/61KuoVYOnNL._AC_UL320_.jpg")</f>
        <v/>
      </c>
      <c r="K3522" t="inlineStr">
        <is>
          <t>14.99</t>
        </is>
      </c>
      <c r="L3522" t="n">
        <v>78.38</v>
      </c>
      <c r="M3522" s="1" t="inlineStr">
        <is>
          <t>422.88%</t>
        </is>
      </c>
      <c r="N3522" s="1" t="n">
        <v>50.5</v>
      </c>
      <c r="O3522" t="n">
        <v>3.4</v>
      </c>
      <c r="P3522" t="n">
        <v>4</v>
      </c>
      <c r="R3522" t="inlineStr">
        <is>
          <t>InStock</t>
        </is>
      </c>
      <c r="S3522" t="inlineStr">
        <is>
          <t>19.62</t>
        </is>
      </c>
      <c r="T3522" t="inlineStr">
        <is>
          <t>7827277185240</t>
        </is>
      </c>
    </row>
    <row r="3523" ht="87" customHeight="1">
      <c r="A3523" s="2">
        <f>HYPERLINK("https://edmondsonsupply.com/collections/electricians-tools/products/diablo-tools-dmamx1010", "https://edmondsonsupply.com/collections/electricians-tools/products/diablo-tools-dmamx1010")</f>
        <v/>
      </c>
      <c r="B3523" s="2">
        <f>HYPERLINK("https://edmondsonsupply.com/products/diablo-tools-dmamx1010", "https://edmondsonsupply.com/products/diablo-tools-dmamx1010")</f>
        <v/>
      </c>
      <c r="C3523" t="inlineStr">
        <is>
          <t>Diablo Tools DMAMX1010 3/8 in. x 8 in. x 13 in. Rebar Demon SDS‑Max 4‑Cutter Full Carbide Head Hammer Bit</t>
        </is>
      </c>
      <c r="D3523" t="inlineStr">
        <is>
          <t>Diablo by Freud DMAPL4160-P25 3/8 in. x 10 in. x 12 in. Rebar Demon SDS-Plus 4-Cutter Full Carbide Head Hammer Bit (25-Pack)</t>
        </is>
      </c>
      <c r="E3523" s="2">
        <f>HYPERLINK("https://www.amazon.com/Diablo-Freud-DMAPL4160-P25-SDS-Plus-4-Cutter/dp/B089LKWCD1/ref=sr_1_31?keywords=Diablo+Tools+DMAMX1010+3%2F8+in.+x+8+in.+x+13+in.+Rebar+Demon+SDS%E2%80%91Max+4%E2%80%91Cutter+Full+Carbide+Head+Hammer+Bit&amp;qid=1694735277&amp;sr=8-31", "https://www.amazon.com/Diablo-Freud-DMAPL4160-P25-SDS-Plus-4-Cutter/dp/B089LKWCD1/ref=sr_1_31?keywords=Diablo+Tools+DMAMX1010+3%2F8+in.+x+8+in.+x+13+in.+Rebar+Demon+SDS%E2%80%91Max+4%E2%80%91Cutter+Full+Carbide+Head+Hammer+Bit&amp;qid=1694735277&amp;sr=8-31")</f>
        <v/>
      </c>
      <c r="F3523" t="inlineStr">
        <is>
          <t>B089LKWCD1</t>
        </is>
      </c>
      <c r="G3523">
        <f>_xlfn.IMAGE("https://edmondsonsupply.com/cdn/shop/products/DMAMX1010_Main-Image20200701.png?v=1609797900")</f>
        <v/>
      </c>
      <c r="H3523">
        <f>_xlfn.IMAGE("https://m.media-amazon.com/images/I/61MHnm3+2bL._AC_UL320_.jpg")</f>
        <v/>
      </c>
      <c r="K3523" t="inlineStr">
        <is>
          <t>34.97</t>
        </is>
      </c>
      <c r="L3523" t="n">
        <v>180.97</v>
      </c>
      <c r="M3523" s="1" t="inlineStr">
        <is>
          <t>417.50%</t>
        </is>
      </c>
      <c r="N3523" s="7" t="n">
        <v>50.25</v>
      </c>
      <c r="O3523" t="n">
        <v>5</v>
      </c>
      <c r="P3523" t="n">
        <v>1</v>
      </c>
      <c r="R3523" t="inlineStr">
        <is>
          <t>InStock</t>
        </is>
      </c>
      <c r="S3523" t="inlineStr">
        <is>
          <t>43.11</t>
        </is>
      </c>
      <c r="T3523" t="inlineStr">
        <is>
          <t>5463785701544</t>
        </is>
      </c>
    </row>
    <row r="3524" ht="87" customHeight="1">
      <c r="A3524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3524" s="2">
        <f>HYPERLINK("https://edmondsonsupply.com/products/klein-tools-ir5-dual-laser-infrared-thermometer", "https://edmondsonsupply.com/products/klein-tools-ir5-dual-laser-infrared-thermometer")</f>
        <v/>
      </c>
      <c r="C3524" t="inlineStr">
        <is>
          <t>Klein Tools IR5 Dual Laser Infrared Thermometer</t>
        </is>
      </c>
      <c r="D3524" t="inlineStr">
        <is>
          <t>Klein Tools TI250 Rechargeable Thermal Imaging Camera &amp; IR1 Infrared Thermometer, Digital Laser Gun is Non-Contact Thermometer with a Temperature Range -4 to 752-Degree Fahrenheit</t>
        </is>
      </c>
      <c r="E3524" s="2">
        <f>HYPERLINK("https://www.amazon.com/Klein-Tools-Rechargeable-Thermometer-Non-Contact/dp/B0CCSB4DVN/ref=sr_1_10?keywords=Klein+Tools+IR5+Dual+Laser+Infrared+Thermometer&amp;qid=1694735248&amp;sr=8-10", "https://www.amazon.com/Klein-Tools-Rechargeable-Thermometer-Non-Contact/dp/B0CCSB4DVN/ref=sr_1_10?keywords=Klein+Tools+IR5+Dual+Laser+Infrared+Thermometer&amp;qid=1694735248&amp;sr=8-10")</f>
        <v/>
      </c>
      <c r="F3524" t="inlineStr">
        <is>
          <t>B0CCSB4DVN</t>
        </is>
      </c>
      <c r="G3524">
        <f>_xlfn.IMAGE("https://edmondsonsupply.com/cdn/shop/products/ir5.jpg?v=1587148495")</f>
        <v/>
      </c>
      <c r="H3524">
        <f>_xlfn.IMAGE("https://m.media-amazon.com/images/I/51W+aCcwDFL._AC_UY218_.jpg")</f>
        <v/>
      </c>
      <c r="K3524" t="inlineStr">
        <is>
          <t>64.97</t>
        </is>
      </c>
      <c r="L3524" t="n">
        <v>332.98</v>
      </c>
      <c r="M3524" s="1" t="inlineStr">
        <is>
          <t>412.51%</t>
        </is>
      </c>
      <c r="N3524" s="7" t="n">
        <v>50.25</v>
      </c>
      <c r="O3524" t="n">
        <v>4.5</v>
      </c>
      <c r="P3524" t="n">
        <v>775</v>
      </c>
      <c r="R3524" t="inlineStr">
        <is>
          <t>InStock</t>
        </is>
      </c>
      <c r="S3524" t="inlineStr">
        <is>
          <t>80.92</t>
        </is>
      </c>
      <c r="T3524" t="inlineStr">
        <is>
          <t>4385570160740</t>
        </is>
      </c>
    </row>
    <row r="3525" ht="87" customHeight="1">
      <c r="A3525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3525" s="2">
        <f>HYPERLINK("https://edmondsonsupply.com/products/klein-tools-vdv500-123-probe-pro-tracing-probe", "https://edmondsonsupply.com/products/klein-tools-vdv500-123-probe-pro-tracing-probe")</f>
        <v/>
      </c>
      <c r="C3525" t="inlineStr">
        <is>
          <t>Klein Tools VDV500-123 Probe-PRO Tracing Probe</t>
        </is>
      </c>
      <c r="D3525" t="inlineStr">
        <is>
          <t>Klein Tools VDV501-852 Cable Tester &amp; VDV500-123 Cable Tracer Probe-Pro Tracing Probe with Replaceable Non-Metallic, Conductive Tip and a Light for Use in Dark Spaces</t>
        </is>
      </c>
      <c r="E3525" s="2">
        <f>HYPERLINK("https://www.amazon.com/Klein-Tools-VDV501-852-Replaceable-Non-Metallic/dp/B09T71P1V2/ref=sr_1_7?keywords=Klein+Tools+VDV500-123+Probe-PRO+Tracing+Probe&amp;qid=1694734977&amp;sr=8-7", "https://www.amazon.com/Klein-Tools-VDV501-852-Replaceable-Non-Metallic/dp/B09T71P1V2/ref=sr_1_7?keywords=Klein+Tools+VDV500-123+Probe-PRO+Tracing+Probe&amp;qid=1694734977&amp;sr=8-7")</f>
        <v/>
      </c>
      <c r="F3525" t="inlineStr">
        <is>
          <t>B09T71P1V2</t>
        </is>
      </c>
      <c r="G3525">
        <f>_xlfn.IMAGE("https://edmondsonsupply.com/cdn/shop/products/vdv500123.jpg?v=1587142783")</f>
        <v/>
      </c>
      <c r="H3525">
        <f>_xlfn.IMAGE("https://m.media-amazon.com/images/I/51z8wwfmzML._AC_UY218_.jpg")</f>
        <v/>
      </c>
      <c r="K3525" t="inlineStr">
        <is>
          <t>44.99</t>
        </is>
      </c>
      <c r="L3525" t="n">
        <v>229.98</v>
      </c>
      <c r="M3525" s="1" t="inlineStr">
        <is>
          <t>411.18%</t>
        </is>
      </c>
      <c r="N3525" s="7" t="n">
        <v>50.23</v>
      </c>
      <c r="O3525" t="n">
        <v>4.7</v>
      </c>
      <c r="P3525" t="n">
        <v>4</v>
      </c>
      <c r="R3525" t="inlineStr">
        <is>
          <t>InStock</t>
        </is>
      </c>
      <c r="S3525" t="inlineStr">
        <is>
          <t>63.0</t>
        </is>
      </c>
      <c r="T3525" t="inlineStr">
        <is>
          <t>4274361466980</t>
        </is>
      </c>
    </row>
    <row r="3526" ht="87" customHeight="1">
      <c r="A3526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3526" s="2">
        <f>HYPERLINK("https://edmondsonsupply.com/products/klein-tools-635-3-8-3-8-inch-heavy-duty-nut-driver", "https://edmondsonsupply.com/products/klein-tools-635-3-8-3-8-inch-heavy-duty-nut-driver")</f>
        <v/>
      </c>
      <c r="C3526" t="inlineStr">
        <is>
          <t>Klein Tools 635-3/8 3/8-Inch Heavy-Duty Nut Driver</t>
        </is>
      </c>
      <c r="D3526" t="inlineStr">
        <is>
          <t>Klein Tools 89904 Tool Set, Nut Drivers Sizes 3/16, 1/4, 5/16, 11/32, 3/8, 7/16, 1/2-Inch, 6-Inch Shafts, 7-Piece</t>
        </is>
      </c>
      <c r="E3526" s="2">
        <f>HYPERLINK("https://www.amazon.com/Klein-Tools-Nut-Driver-89904/dp/B000MB1JMU/ref=sr_1_36?keywords=Klein+Tools+635-3%2F8+3%2F8-Inch+Heavy-Duty+Nut+Driver&amp;qid=1694735241&amp;sr=8-36", "https://www.amazon.com/Klein-Tools-Nut-Driver-89904/dp/B000MB1JMU/ref=sr_1_36?keywords=Klein+Tools+635-3%2F8+3%2F8-Inch+Heavy-Duty+Nut+Driver&amp;qid=1694735241&amp;sr=8-36")</f>
        <v/>
      </c>
      <c r="F3526" t="inlineStr">
        <is>
          <t>B000MB1JMU</t>
        </is>
      </c>
      <c r="G3526">
        <f>_xlfn.IMAGE("https://edmondsonsupply.com/cdn/shop/products/635-3-8.jpg?v=1633030895")</f>
        <v/>
      </c>
      <c r="H3526">
        <f>_xlfn.IMAGE("https://m.media-amazon.com/images/I/61cXQ4v0vvL._AC_UL320_.jpg")</f>
        <v/>
      </c>
      <c r="K3526" t="inlineStr">
        <is>
          <t>12.99</t>
        </is>
      </c>
      <c r="L3526" t="n">
        <v>66.23</v>
      </c>
      <c r="M3526" s="1" t="inlineStr">
        <is>
          <t>409.85%</t>
        </is>
      </c>
      <c r="N3526" s="7" t="n">
        <v>50.18</v>
      </c>
      <c r="O3526" t="n">
        <v>4.5</v>
      </c>
      <c r="P3526" t="n">
        <v>33</v>
      </c>
      <c r="R3526" t="inlineStr">
        <is>
          <t>InStock</t>
        </is>
      </c>
      <c r="S3526" t="inlineStr">
        <is>
          <t>19.68</t>
        </is>
      </c>
      <c r="T3526" t="inlineStr">
        <is>
          <t>6228534952109</t>
        </is>
      </c>
    </row>
    <row r="3527" ht="87" customHeight="1">
      <c r="A3527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3527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3527" t="inlineStr">
        <is>
          <t>Klein Tools 646-7/16M 7/16-Inch Magnetic Tip Nut Driver 6-Inch Shaft</t>
        </is>
      </c>
      <c r="D3527" t="inlineStr">
        <is>
          <t>Klein Tools 89904 Tool Set, Nut Drivers Sizes 3/16, 1/4, 5/16, 11/32, 3/8, 7/16, 1/2-Inch, 6-Inch Shafts, 7-Piece</t>
        </is>
      </c>
      <c r="E3527" s="2">
        <f>HYPERLINK("https://www.amazon.com/Klein-Tools-Nut-Driver-89904/dp/B000MB1JMU/ref=sr_1_34?keywords=Klein+Tools+646-7%2F16M+7%2F16-Inch+Magnetic+Tip+Nut+Driver+6-Inch+Shaft&amp;qid=1694735353&amp;sr=8-34", "https://www.amazon.com/Klein-Tools-Nut-Driver-89904/dp/B000MB1JMU/ref=sr_1_34?keywords=Klein+Tools+646-7%2F16M+7%2F16-Inch+Magnetic+Tip+Nut+Driver+6-Inch+Shaft&amp;qid=1694735353&amp;sr=8-34")</f>
        <v/>
      </c>
      <c r="F3527" t="inlineStr">
        <is>
          <t>B000MB1JMU</t>
        </is>
      </c>
      <c r="G3527">
        <f>_xlfn.IMAGE("https://edmondsonsupply.com/cdn/shop/products/646-5-16m_906faaaa-dd9e-40e4-bce3-8174c2b127b5.jpg?v=1587146594")</f>
        <v/>
      </c>
      <c r="H3527">
        <f>_xlfn.IMAGE("https://m.media-amazon.com/images/I/61cXQ4v0vvL._AC_UL320_.jpg")</f>
        <v/>
      </c>
      <c r="K3527" t="inlineStr">
        <is>
          <t>12.99</t>
        </is>
      </c>
      <c r="L3527" t="n">
        <v>66.23</v>
      </c>
      <c r="M3527" s="1" t="inlineStr">
        <is>
          <t>409.85%</t>
        </is>
      </c>
      <c r="N3527" s="7" t="n">
        <v>50.09</v>
      </c>
      <c r="O3527" t="n">
        <v>4.5</v>
      </c>
      <c r="P3527" t="n">
        <v>33</v>
      </c>
      <c r="R3527" t="inlineStr">
        <is>
          <t>InStock</t>
        </is>
      </c>
      <c r="S3527" t="inlineStr">
        <is>
          <t>19.74</t>
        </is>
      </c>
      <c r="T3527" t="inlineStr">
        <is>
          <t>4461840171108</t>
        </is>
      </c>
    </row>
    <row r="3528" ht="87" customHeight="1">
      <c r="A3528" s="2">
        <f>HYPERLINK("https://edmondsonsupply.com/collections/electricians-tools/products/veto-pro-pac-tp4-tool-pouch", "https://edmondsonsupply.com/collections/electricians-tools/products/veto-pro-pac-tp4-tool-pouch")</f>
        <v/>
      </c>
      <c r="B3528" s="2">
        <f>HYPERLINK("https://edmondsonsupply.com/products/veto-pro-pac-tp4-tool-pouch", "https://edmondsonsupply.com/products/veto-pro-pac-tp4-tool-pouch")</f>
        <v/>
      </c>
      <c r="C3528" t="inlineStr">
        <is>
          <t>Veto Pro Pac TP3 Tool Bag</t>
        </is>
      </c>
      <c r="D3528" t="inlineStr">
        <is>
          <t>Veto Pro Pac Xlt Laptop-Tool Bag</t>
        </is>
      </c>
      <c r="E3528" s="2">
        <f>HYPERLINK("https://www.amazon.com/Veto-Pro-Pac-Xlt-Laptop-Tool/dp/B006B6IZT0/ref=sr_1_12?keywords=Veto+Pro+Pac+TP3+Tool+Bag&amp;qid=1694735180&amp;sr=8-12", "https://www.amazon.com/Veto-Pro-Pac-Xlt-Laptop-Tool/dp/B006B6IZT0/ref=sr_1_12?keywords=Veto+Pro+Pac+TP3+Tool+Bag&amp;qid=1694735180&amp;sr=8-12")</f>
        <v/>
      </c>
      <c r="F3528" t="inlineStr">
        <is>
          <t>B006B6IZT0</t>
        </is>
      </c>
      <c r="G3528">
        <f>_xlfn.IMAGE("https://edmondsonsupply.com/cdn/shop/products/TP3_1.jpg?v=1587144391")</f>
        <v/>
      </c>
      <c r="H3528">
        <f>_xlfn.IMAGE("https://m.media-amazon.com/images/I/91ctCA+5GWL._AC_UL320_.jpg")</f>
        <v/>
      </c>
      <c r="K3528" t="inlineStr">
        <is>
          <t>59.99</t>
        </is>
      </c>
      <c r="L3528" t="n">
        <v>304.95</v>
      </c>
      <c r="M3528" s="1" t="inlineStr">
        <is>
          <t>408.33%</t>
        </is>
      </c>
      <c r="N3528" s="7" t="n">
        <v>50.08</v>
      </c>
      <c r="O3528" t="n">
        <v>4.2</v>
      </c>
      <c r="P3528" t="n">
        <v>68</v>
      </c>
      <c r="R3528" t="inlineStr">
        <is>
          <t>InStock</t>
        </is>
      </c>
      <c r="S3528" t="inlineStr">
        <is>
          <t>undefined</t>
        </is>
      </c>
      <c r="T3528" t="inlineStr">
        <is>
          <t>3561762816100</t>
        </is>
      </c>
    </row>
    <row r="3529" ht="87" customHeight="1">
      <c r="A3529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529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529" t="inlineStr">
        <is>
          <t>Diablo Tools DMAPL4160 3/8 in. x 10 in. x 12 in. Rebar Demon™ SDS-Plus 4-Cutter Full Carbide Head Hammer Bit</t>
        </is>
      </c>
      <c r="D3529" t="inlineStr">
        <is>
          <t>Diablo DMAMX1140 3/4 in. x 16 in. x 21 in. Rebar Demon™ SDS-Max 4-Cutter Full Carbide Head Hammer Bit</t>
        </is>
      </c>
      <c r="E3529" s="2">
        <f>HYPERLINK("https://www.amazon.com/Diablo-SDS-Max-4-Cutter-Carbide-Hammer/dp/B089KWP4WK/ref=sr_1_14?keywords=Diablo+Tools+DMAPL4160+3%2F8+in.+x+10+in.+x+12+in.+Rebar+Demon%E2%84%A2+SDS-Plus+4-Cutter+Full+Carbide+Head+Hammer+Bit&amp;qid=1694735304&amp;sr=8-14", "https://www.amazon.com/Diablo-SDS-Max-4-Cutter-Carbide-Hammer/dp/B089KWP4WK/ref=sr_1_14?keywords=Diablo+Tools+DMAPL4160+3%2F8+in.+x+10+in.+x+12+in.+Rebar+Demon%E2%84%A2+SDS-Plus+4-Cutter+Full+Carbide+Head+Hammer+Bit&amp;qid=1694735304&amp;sr=8-14")</f>
        <v/>
      </c>
      <c r="F3529" t="inlineStr">
        <is>
          <t>B089KWP4WK</t>
        </is>
      </c>
      <c r="G3529">
        <f>_xlfn.IMAGE("https://edmondsonsupply.com/cdn/shop/products/w7y3zlfom8dhrlplcmqa.webp?v=1670439058")</f>
        <v/>
      </c>
      <c r="H3529">
        <f>_xlfn.IMAGE("https://m.media-amazon.com/images/I/61yWWNP1xrL._AC_UL320_.jpg")</f>
        <v/>
      </c>
      <c r="K3529" t="inlineStr">
        <is>
          <t>9.97</t>
        </is>
      </c>
      <c r="L3529" t="n">
        <v>50.26</v>
      </c>
      <c r="M3529" s="1" t="inlineStr">
        <is>
          <t>404.11%</t>
        </is>
      </c>
      <c r="N3529" s="7" t="n">
        <v>50.07</v>
      </c>
      <c r="O3529" t="n">
        <v>5</v>
      </c>
      <c r="P3529" t="n">
        <v>9</v>
      </c>
      <c r="R3529" t="inlineStr">
        <is>
          <t>InStock</t>
        </is>
      </c>
      <c r="S3529" t="inlineStr">
        <is>
          <t>15.02</t>
        </is>
      </c>
      <c r="T3529" t="inlineStr">
        <is>
          <t>5286778601640</t>
        </is>
      </c>
    </row>
    <row r="3530" ht="87" customHeight="1">
      <c r="A3530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530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530" t="inlineStr">
        <is>
          <t>Diablo Tools DMAPL4180 1/2 in. x 4 in. x 6 in. Rebar Demon™ SDS-Plus 4-Cutter Full Carbide Head Hammer Bit</t>
        </is>
      </c>
      <c r="D3530" t="inlineStr">
        <is>
          <t>Diablo DMAMX1140 3/4 in. x 16 in. x 21 in. Rebar Demon™ SDS-Max 4-Cutter Full Carbide Head Hammer Bit</t>
        </is>
      </c>
      <c r="E3530" s="2">
        <f>HYPERLINK("https://www.amazon.com/Diablo-SDS-Max-4-Cutter-Carbide-Hammer/dp/B089KWP4WK/ref=sr_1_12?keywords=Diablo+Tools+DMAPL4180+1%2F2+in.+x+4+in.+x+6+in.+Rebar+Demon%E2%84%A2+SDS-Plus+4-Cutter+Full+Carbide+Head+Hammer+Bit&amp;qid=1694735298&amp;sr=8-12", "https://www.amazon.com/Diablo-SDS-Max-4-Cutter-Carbide-Hammer/dp/B089KWP4WK/ref=sr_1_12?keywords=Diablo+Tools+DMAPL4180+1%2F2+in.+x+4+in.+x+6+in.+Rebar+Demon%E2%84%A2+SDS-Plus+4-Cutter+Full+Carbide+Head+Hammer+Bit&amp;qid=1694735298&amp;sr=8-12")</f>
        <v/>
      </c>
      <c r="F3530" t="inlineStr">
        <is>
          <t>B089KWP4WK</t>
        </is>
      </c>
      <c r="G3530">
        <f>_xlfn.IMAGE("https://edmondsonsupply.com/cdn/shop/products/DMAPL4180_Main-Image20200702.png?v=1633030362")</f>
        <v/>
      </c>
      <c r="H3530">
        <f>_xlfn.IMAGE("https://m.media-amazon.com/images/I/61yWWNP1xrL._AC_UL320_.jpg")</f>
        <v/>
      </c>
      <c r="K3530" t="inlineStr">
        <is>
          <t>9.97</t>
        </is>
      </c>
      <c r="L3530" t="n">
        <v>50.26</v>
      </c>
      <c r="M3530" s="1" t="inlineStr">
        <is>
          <t>404.11%</t>
        </is>
      </c>
      <c r="N3530" s="7" t="n">
        <v>50.04</v>
      </c>
      <c r="O3530" t="n">
        <v>5</v>
      </c>
      <c r="P3530" t="n">
        <v>9</v>
      </c>
      <c r="R3530" t="inlineStr">
        <is>
          <t>InStock</t>
        </is>
      </c>
      <c r="S3530" t="inlineStr">
        <is>
          <t>undefined</t>
        </is>
      </c>
      <c r="T3530" t="inlineStr">
        <is>
          <t>5286803833000</t>
        </is>
      </c>
    </row>
    <row r="3531" ht="87" customHeight="1">
      <c r="A3531" s="2">
        <f>HYPERLINK("https://edmondsonsupply.com/collections/electricians-tools/products/klein-tools-42200-electricians-tool-apron-m-l", "https://edmondsonsupply.com/collections/electricians-tools/products/klein-tools-42200-electricians-tool-apron-m-l")</f>
        <v/>
      </c>
      <c r="B3531" s="2">
        <f>HYPERLINK("https://edmondsonsupply.com/products/klein-tools-42200-electricians-tool-apron-m-l", "https://edmondsonsupply.com/products/klein-tools-42200-electricians-tool-apron-m-l")</f>
        <v/>
      </c>
      <c r="C3531" t="inlineStr">
        <is>
          <t>Klein Tools 42200 Electrician's Tool Apron M/L</t>
        </is>
      </c>
      <c r="D3531" t="inlineStr">
        <is>
          <t>Klein Tools 51829MHS Aerial Apron with Hot Stick Pocket and Magnet, Orange, Large</t>
        </is>
      </c>
      <c r="E3531" s="2">
        <f>HYPERLINK("https://www.amazon.com/Aerial-Pocket-Klein-Tools-51829MHS/dp/B00BC39X7A/ref=sr_1_6?keywords=Klein+Tools+42200+Electrician%27s+Tool+Apron+M%2FL&amp;qid=1694735356&amp;sr=8-6", "https://www.amazon.com/Aerial-Pocket-Klein-Tools-51829MHS/dp/B00BC39X7A/ref=sr_1_6?keywords=Klein+Tools+42200+Electrician%27s+Tool+Apron+M%2FL&amp;qid=1694735356&amp;sr=8-6")</f>
        <v/>
      </c>
      <c r="F3531" t="inlineStr">
        <is>
          <t>B00BC39X7A</t>
        </is>
      </c>
      <c r="G3531">
        <f>_xlfn.IMAGE("https://edmondsonsupply.com/cdn/shop/products/42200.jpg?v=1587143574")</f>
        <v/>
      </c>
      <c r="H3531">
        <f>_xlfn.IMAGE("https://m.media-amazon.com/images/I/61X9G6nf9zL._AC_UL320_.jpg")</f>
        <v/>
      </c>
      <c r="K3531" t="inlineStr">
        <is>
          <t>31.99</t>
        </is>
      </c>
      <c r="L3531" t="n">
        <v>161.18</v>
      </c>
      <c r="M3531" s="1" t="inlineStr">
        <is>
          <t>403.84%</t>
        </is>
      </c>
      <c r="N3531" s="7" t="n">
        <v>50.02</v>
      </c>
      <c r="O3531" t="n">
        <v>4.4</v>
      </c>
      <c r="P3531" t="n">
        <v>41</v>
      </c>
      <c r="R3531" t="inlineStr">
        <is>
          <t>InStock</t>
        </is>
      </c>
      <c r="S3531" t="inlineStr">
        <is>
          <t>48.48</t>
        </is>
      </c>
      <c r="T3531" t="inlineStr">
        <is>
          <t>4432204890212</t>
        </is>
      </c>
    </row>
    <row r="3532" ht="87" customHeight="1">
      <c r="A3532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532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532" t="inlineStr">
        <is>
          <t>Diablo Tools DMAPL4060 1/4 in. x 2 in. x 4 in. Rebar Demon™ SDS‑Plus 4‑Cutter Full Carbide Head Hammer Bit</t>
        </is>
      </c>
      <c r="D3532" t="inlineStr">
        <is>
          <t>Diablo by Freud Diablo DMAPL4190 1/2 in. x 10 in. x 12 in. Rebar Demon SDS-Plus 4-Cutter Full Carbide Head Hammer Bit</t>
        </is>
      </c>
      <c r="E3532" s="2">
        <f>HYPERLINK("https://www.amazon.com/Diablo-Freud-DMAPL4190-SDS-Plus-4-Cutter/dp/B089LJZ25M/ref=sr_1_13?keywords=Diablo+Tools+DMAPL4060+1%2F4+in.+x+2+in.+x+4+in.+Rebar+Demon%E2%84%A2+SDS%E2%80%91Plus+4%E2%80%91Cutter+Full+Carbide+Head+Hammer+Bit&amp;qid=1694735165&amp;sr=8-13", "https://www.amazon.com/Diablo-Freud-DMAPL4190-SDS-Plus-4-Cutter/dp/B089LJZ25M/ref=sr_1_13?keywords=Diablo+Tools+DMAPL4060+1%2F4+in.+x+2+in.+x+4+in.+Rebar+Demon%E2%84%A2+SDS%E2%80%91Plus+4%E2%80%91Cutter+Full+Carbide+Head+Hammer+Bit&amp;qid=1694735165&amp;sr=8-13")</f>
        <v/>
      </c>
      <c r="F3532" t="inlineStr">
        <is>
          <t>B089LJZ25M</t>
        </is>
      </c>
      <c r="G3532">
        <f>_xlfn.IMAGE("https://edmondsonsupply.com/cdn/shop/products/4060.webp?v=1647637028")</f>
        <v/>
      </c>
      <c r="H3532">
        <f>_xlfn.IMAGE("https://m.media-amazon.com/images/I/61dzudnwI8L._AC_UL320_.jpg")</f>
        <v/>
      </c>
      <c r="K3532" t="inlineStr">
        <is>
          <t>3.47</t>
        </is>
      </c>
      <c r="L3532" t="n">
        <v>17.41</v>
      </c>
      <c r="M3532" s="1" t="inlineStr">
        <is>
          <t>401.73%</t>
        </is>
      </c>
      <c r="N3532" s="7" t="n">
        <v>50.01</v>
      </c>
      <c r="O3532" t="n">
        <v>4.6</v>
      </c>
      <c r="P3532" t="n">
        <v>43</v>
      </c>
      <c r="R3532" t="inlineStr">
        <is>
          <t>InStock</t>
        </is>
      </c>
      <c r="S3532" t="inlineStr">
        <is>
          <t>6.0</t>
        </is>
      </c>
      <c r="T3532" t="inlineStr">
        <is>
          <t>7639203807448</t>
        </is>
      </c>
    </row>
    <row r="3533" ht="87" customHeight="1">
      <c r="A3533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3533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3533" t="inlineStr">
        <is>
          <t>Diablo Tools DMARG1100 5/16 in. x 4 in. x 6 in. SPEEDemon™ Red Granite Carbide Tipped Hammer Drill Bit</t>
        </is>
      </c>
      <c r="D3533" t="inlineStr">
        <is>
          <t>Diablo 1 in. x 10" x 12" SPEEDemon™ Red Granite Carbide Tipped Hammer Drill Bit</t>
        </is>
      </c>
      <c r="E3533" s="2">
        <f>HYPERLINK("https://www.amazon.com/Diablo-Freud-DMARG1210-SPEEDemon-Granite/dp/B089KW1B5V/ref=sr_1_14?keywords=Diablo+Tools+DMARG1100+5%2F16+in.+x+4+in.+x+6+in.+SPEEDemon%E2%84%A2+Red+Granite+Carbide+Tipped+Hammer+Drill+Bit&amp;qid=1694735277&amp;sr=8-14", "https://www.amazon.com/Diablo-Freud-DMARG1210-SPEEDemon-Granite/dp/B089KW1B5V/ref=sr_1_14?keywords=Diablo+Tools+DMARG1100+5%2F16+in.+x+4+in.+x+6+in.+SPEEDemon%E2%84%A2+Red+Granite+Carbide+Tipped+Hammer+Drill+Bit&amp;qid=1694735277&amp;sr=8-14")</f>
        <v/>
      </c>
      <c r="F3533" t="inlineStr">
        <is>
          <t>B089KW1B5V</t>
        </is>
      </c>
      <c r="G3533">
        <f>_xlfn.IMAGE("https://edmondsonsupply.com/cdn/shop/products/DMARG1100_Main-Image20200702.png?v=1633030510")</f>
        <v/>
      </c>
      <c r="H3533">
        <f>_xlfn.IMAGE("https://m.media-amazon.com/images/I/61+EqrM-43L._AC_UL320_.jpg")</f>
        <v/>
      </c>
      <c r="K3533" t="inlineStr">
        <is>
          <t>5.28</t>
        </is>
      </c>
      <c r="L3533" t="n">
        <v>26.49</v>
      </c>
      <c r="M3533" s="1" t="inlineStr">
        <is>
          <t>401.70%</t>
        </is>
      </c>
      <c r="N3533" s="7" t="n">
        <v>49.97</v>
      </c>
      <c r="O3533" t="n">
        <v>4.7</v>
      </c>
      <c r="P3533" t="n">
        <v>31</v>
      </c>
      <c r="R3533" t="inlineStr">
        <is>
          <t>InStock</t>
        </is>
      </c>
      <c r="S3533" t="inlineStr">
        <is>
          <t>undefined</t>
        </is>
      </c>
      <c r="T3533" t="inlineStr">
        <is>
          <t>5386452861096</t>
        </is>
      </c>
    </row>
    <row r="3534" ht="87" customHeight="1">
      <c r="A3534" s="2">
        <f>HYPERLINK("https://edmondsonsupply.com/collections/electricians-tools/products/klein-tools-56119-illuminated-fish-rod-tip", "https://edmondsonsupply.com/collections/electricians-tools/products/klein-tools-56119-illuminated-fish-rod-tip")</f>
        <v/>
      </c>
      <c r="B3534" s="2">
        <f>HYPERLINK("https://edmondsonsupply.com/products/klein-tools-56119-illuminated-fish-rod-tip", "https://edmondsonsupply.com/products/klein-tools-56119-illuminated-fish-rod-tip")</f>
        <v/>
      </c>
      <c r="C3534" t="inlineStr">
        <is>
          <t>Klein Tools 56119 Illuminated Fish Rod Tip</t>
        </is>
      </c>
      <c r="D3534" t="inlineStr">
        <is>
          <t>Klein Tools 80050 Fish Tape, Glow Fish Tape Kit with 20-Foot Fiberglass Tape, Illuminated Fish Rod Tip and Fish Rod Attachments, 6-Piece</t>
        </is>
      </c>
      <c r="E3534" s="2">
        <f>HYPERLINK("https://www.amazon.com/Illuminated-Attachments-Klein-Tools-80050/dp/B09FRBGCZD/ref=sr_1_5?keywords=Klein+Tools+56119+Illuminated+Fish+Rod+Tip&amp;qid=1694735239&amp;sr=8-5", "https://www.amazon.com/Illuminated-Attachments-Klein-Tools-80050/dp/B09FRBGCZD/ref=sr_1_5?keywords=Klein+Tools+56119+Illuminated+Fish+Rod+Tip&amp;qid=1694735239&amp;sr=8-5")</f>
        <v/>
      </c>
      <c r="F3534" t="inlineStr">
        <is>
          <t>B09FRBGCZD</t>
        </is>
      </c>
      <c r="G3534">
        <f>_xlfn.IMAGE("https://edmondsonsupply.com/cdn/shop/products/56119.jpg?v=1633030794")</f>
        <v/>
      </c>
      <c r="H3534">
        <f>_xlfn.IMAGE("https://m.media-amazon.com/images/I/51K8WFeudSL._AC_UL320_.jpg")</f>
        <v/>
      </c>
      <c r="K3534" t="inlineStr">
        <is>
          <t>9.99</t>
        </is>
      </c>
      <c r="L3534" t="n">
        <v>49.99</v>
      </c>
      <c r="M3534" s="1" t="inlineStr">
        <is>
          <t>400.40%</t>
        </is>
      </c>
      <c r="N3534" s="7" t="n">
        <v>49.97</v>
      </c>
      <c r="O3534" t="n">
        <v>4.3</v>
      </c>
      <c r="P3534" t="n">
        <v>22</v>
      </c>
      <c r="R3534" t="inlineStr">
        <is>
          <t>InStock</t>
        </is>
      </c>
      <c r="S3534" t="inlineStr">
        <is>
          <t>14.02</t>
        </is>
      </c>
      <c r="T3534" t="inlineStr">
        <is>
          <t>5990222266536</t>
        </is>
      </c>
    </row>
    <row r="3535" ht="87" customHeight="1">
      <c r="A353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535" s="2">
        <f>HYPERLINK("https://edmondsonsupply.com/products/klein-tools-et45-ac-dc-voltage-tester", "https://edmondsonsupply.com/products/klein-tools-et45-ac-dc-voltage-tester")</f>
        <v/>
      </c>
      <c r="C3535" t="inlineStr">
        <is>
          <t>Klein Tools ET45 AC/DC Voltage Tester</t>
        </is>
      </c>
      <c r="D3535" t="inlineStr">
        <is>
          <t>Klein Tools 80130 Multimeter Tester Kit, Digital Multimeter Auto-Range 600V and Non-Contact Voltage Detector Pen, 50V to 1000V AC, 2-Piece</t>
        </is>
      </c>
      <c r="E3535" s="2">
        <f>HYPERLINK("https://www.amazon.com/Klein-Tools-80130-Multimeter-Non-Contact/dp/B0BVSK581C/ref=sr_1_28?keywords=Klein+Tools+ET45+AC%2FDC+Voltage+Tester&amp;qid=1694735227&amp;sr=8-28", "https://www.amazon.com/Klein-Tools-80130-Multimeter-Non-Contact/dp/B0BVSK581C/ref=sr_1_28?keywords=Klein+Tools+ET45+AC%2FDC+Voltage+Tester&amp;qid=1694735227&amp;sr=8-28")</f>
        <v/>
      </c>
      <c r="F3535" t="inlineStr">
        <is>
          <t>B0BVSK581C</t>
        </is>
      </c>
      <c r="G3535">
        <f>_xlfn.IMAGE("https://edmondsonsupply.com/cdn/shop/products/et45.jpg?v=1647786270")</f>
        <v/>
      </c>
      <c r="H3535">
        <f>_xlfn.IMAGE("https://m.media-amazon.com/images/I/61U30g-38NL._AC_UL320_.jpg")</f>
        <v/>
      </c>
      <c r="K3535" t="inlineStr">
        <is>
          <t>11.99</t>
        </is>
      </c>
      <c r="L3535" t="n">
        <v>59.99</v>
      </c>
      <c r="M3535" s="1" t="inlineStr">
        <is>
          <t>400.33%</t>
        </is>
      </c>
      <c r="N3535" s="7" t="n">
        <v>49.97</v>
      </c>
      <c r="O3535" t="n">
        <v>5</v>
      </c>
      <c r="P3535" t="n">
        <v>2</v>
      </c>
      <c r="R3535" t="inlineStr">
        <is>
          <t>InStock</t>
        </is>
      </c>
      <c r="S3535" t="inlineStr">
        <is>
          <t>16.72</t>
        </is>
      </c>
      <c r="T3535" t="inlineStr">
        <is>
          <t>3688633630820</t>
        </is>
      </c>
    </row>
    <row r="3536" ht="87" customHeight="1">
      <c r="A3536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3536" s="2">
        <f>HYPERLINK("https://edmondsonsupply.com/products/klein-tools-635-9-16-9-16-heavy-duty-nut-driver-magnetic", "https://edmondsonsupply.com/products/klein-tools-635-9-16-9-16-heavy-duty-nut-driver-magnetic")</f>
        <v/>
      </c>
      <c r="C3536" t="inlineStr">
        <is>
          <t>Klein Tools 635-9/16 9/16-Inch Heavy-Duty Nut Driver</t>
        </is>
      </c>
      <c r="D3536" t="inlineStr">
        <is>
          <t>Klein Tools 635-6 Tool Set, Heavy Duty Magnetic Nut Drivers SAE Sizes 1/4, 5/16, 3/8, 7/16, 1/2, and 9/16-Inch Hex, 6-Inch, 6-Piece</t>
        </is>
      </c>
      <c r="E3536" s="2">
        <f>HYPERLINK("https://www.amazon.com/Heavy-Duty-Driver-6-Piece-Klein-Tools/dp/B01DKNDHGM/ref=sr_1_4?keywords=Klein+Tools+635-9%2F16+9%2F16-Inch+Heavy-Duty+Nut+Driver&amp;qid=1694735388&amp;sr=8-4", "https://www.amazon.com/Heavy-Duty-Driver-6-Piece-Klein-Tools/dp/B01DKNDHGM/ref=sr_1_4?keywords=Klein+Tools+635-9%2F16+9%2F16-Inch+Heavy-Duty+Nut+Driver&amp;qid=1694735388&amp;sr=8-4")</f>
        <v/>
      </c>
      <c r="F3536" t="inlineStr">
        <is>
          <t>B01DKNDHGM</t>
        </is>
      </c>
      <c r="G3536">
        <f>_xlfn.IMAGE("https://edmondsonsupply.com/cdn/shop/products/635-9-16.jpg?v=1587145126")</f>
        <v/>
      </c>
      <c r="H3536">
        <f>_xlfn.IMAGE("https://m.media-amazon.com/images/I/61eypCy1RLL._AC_UL320_.jpg")</f>
        <v/>
      </c>
      <c r="K3536" t="inlineStr">
        <is>
          <t>15.99</t>
        </is>
      </c>
      <c r="L3536" t="n">
        <v>79.98999999999999</v>
      </c>
      <c r="M3536" s="1" t="inlineStr">
        <is>
          <t>400.25%</t>
        </is>
      </c>
      <c r="N3536" s="7" t="n">
        <v>49.97</v>
      </c>
      <c r="O3536" t="n">
        <v>4.7</v>
      </c>
      <c r="P3536" t="n">
        <v>943</v>
      </c>
      <c r="R3536" t="inlineStr">
        <is>
          <t>InStock</t>
        </is>
      </c>
      <c r="S3536" t="inlineStr">
        <is>
          <t>24.22</t>
        </is>
      </c>
      <c r="T3536" t="inlineStr">
        <is>
          <t>2766897741924</t>
        </is>
      </c>
    </row>
    <row r="3537" hidden="1" ht="15.75" customHeight="1">
      <c r="A3537" s="2">
        <f>HYPERLINK("https://edmondsonsupply.com/collections/electricians-tools/products/klein-tools-25964-step-drill-bit-spiral-double-fluted-1-8-inch-to-1-2-inch-vaco", "https://edmondsonsupply.com/collections/electricians-tools/products/klein-tools-25964-step-drill-bit-spiral-double-fluted-1-8-inch-to-1-2-inch-vaco")</f>
        <v/>
      </c>
      <c r="B3537" s="2">
        <f>HYPERLINK("https://edmondsonsupply.com/products/klein-tools-25964-step-drill-bit-spiral-double-fluted-1-8-inch-to-1-2-inch-vaco", "https://edmondsonsupply.com/products/klein-tools-25964-step-drill-bit-spiral-double-fluted-1-8-inch-to-1-2-inch-vaco")</f>
        <v/>
      </c>
      <c r="C3537" t="inlineStr">
        <is>
          <t>Klein Tools 25964 Step Drill Bit, Spiral Double-Fluted, 1/8-Inch to 1/2-Inch, VACO</t>
        </is>
      </c>
      <c r="D3537" t="inlineStr">
        <is>
          <t>Klein Tools 25951 Electrician's Step Drill Bit Set, Spiral Double Fluted, Titanium Nitride Coating, 1/4-Inch Impact Shank, Case, 3-Piece</t>
        </is>
      </c>
      <c r="E3537" s="2">
        <f>HYPERLINK("https://www.amazon.com/Klein-Tools-25951-Electricians-Titanium/dp/B0BLFRJLDX/ref=sr_1_1?keywords=Klein+Tools+25964+Step+Drill+Bit%2C+Spiral+Double-Fluted%2C+1%2F8-Inch+to+1%2F2-Inch%2C+VACO&amp;qid=1694735063&amp;sr=8-1", "https://www.amazon.com/Klein-Tools-25951-Electricians-Titanium/dp/B0BLFRJLDX/ref=sr_1_1?keywords=Klein+Tools+25964+Step+Drill+Bit%2C+Spiral+Double-Fluted%2C+1%2F8-Inch+to+1%2F2-Inch%2C+VACO&amp;qid=1694735063&amp;sr=8-1")</f>
        <v/>
      </c>
      <c r="F3537" t="inlineStr">
        <is>
          <t>B0BLFRJLDX</t>
        </is>
      </c>
      <c r="G3537">
        <f>_xludf.IMAGE("https://edmondsonsupply.com/cdn/shop/products/25964_b.jpg?v=1670940646")</f>
        <v/>
      </c>
      <c r="H3537">
        <f>_xludf.IMAGE("https://m.media-amazon.com/images/I/61dZd3WvlgL._AC_UY218_.jpg")</f>
        <v/>
      </c>
      <c r="K3537" t="inlineStr">
        <is>
          <t>19.99</t>
        </is>
      </c>
      <c r="L3537" t="n">
        <v>99.98999999999999</v>
      </c>
      <c r="M3537" s="1" t="inlineStr">
        <is>
          <t>400.20%</t>
        </is>
      </c>
      <c r="N3537" s="1" t="n">
        <v>49.87</v>
      </c>
      <c r="O3537" t="n">
        <v>3.8</v>
      </c>
      <c r="P3537" t="n">
        <v>6</v>
      </c>
      <c r="R3537" t="inlineStr">
        <is>
          <t>InStock</t>
        </is>
      </c>
      <c r="S3537" t="inlineStr">
        <is>
          <t>29.96</t>
        </is>
      </c>
      <c r="T3537" t="inlineStr">
        <is>
          <t>7903946670296</t>
        </is>
      </c>
    </row>
    <row r="3538" ht="87" customHeight="1">
      <c r="A3538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538" s="2">
        <f>HYPERLINK("https://edmondsonsupply.com/products/klein-tools-56331-steel-fish-tape-1-8-inch-x-50-foot", "https://edmondsonsupply.com/products/klein-tools-56331-steel-fish-tape-1-8-inch-x-50-foot")</f>
        <v/>
      </c>
      <c r="C3538" t="inlineStr">
        <is>
          <t>Klein Tools 56331 Steel Fish Tape, 1/8-Inch x 50-Foot</t>
        </is>
      </c>
      <c r="D3538" t="inlineStr">
        <is>
          <t>Wire Puller Kit with 30-Foot Glow Fish Rod and Magnetic Wire Puller, 2 Piece Klein Tools 80051 &amp; 56331 Fish Tape, Steel Wire Puller with Double Loop Tip, Optimized Housing and Handle</t>
        </is>
      </c>
      <c r="E3538" s="2">
        <f>HYPERLINK("https://www.amazon.com/30-Foot-Magnetic-Klein-Tools-Optimized/dp/B0BGJ3BTCD/ref=sr_1_37?keywords=Klein+Tools+56331+Steel+Fish+Tape%2C+1%2F8-Inch+x+50-Foot&amp;qid=1694735384&amp;sr=8-37", "https://www.amazon.com/30-Foot-Magnetic-Klein-Tools-Optimized/dp/B0BGJ3BTCD/ref=sr_1_37?keywords=Klein+Tools+56331+Steel+Fish+Tape%2C+1%2F8-Inch+x+50-Foot&amp;qid=1694735384&amp;sr=8-37")</f>
        <v/>
      </c>
      <c r="F3538" t="inlineStr">
        <is>
          <t>B0BGJ3BTCD</t>
        </is>
      </c>
      <c r="G3538">
        <f>_xlfn.IMAGE("https://edmondsonsupply.com/cdn/shop/products/56331.jpg?v=1587143350")</f>
        <v/>
      </c>
      <c r="H3538">
        <f>_xlfn.IMAGE("https://m.media-amazon.com/images/I/51fZ-+U1hGL._AC_UL320_.jpg")</f>
        <v/>
      </c>
      <c r="K3538" t="inlineStr">
        <is>
          <t>24.99</t>
        </is>
      </c>
      <c r="L3538" t="n">
        <v>124.98</v>
      </c>
      <c r="M3538" s="1" t="inlineStr">
        <is>
          <t>400.12%</t>
        </is>
      </c>
      <c r="N3538" s="7" t="n">
        <v>49.82</v>
      </c>
      <c r="O3538" t="n">
        <v>5</v>
      </c>
      <c r="P3538" t="n">
        <v>1</v>
      </c>
      <c r="R3538" t="inlineStr">
        <is>
          <t>InStock</t>
        </is>
      </c>
      <c r="S3538" t="inlineStr">
        <is>
          <t>30.9</t>
        </is>
      </c>
      <c r="T3538" t="inlineStr">
        <is>
          <t>4412204056676</t>
        </is>
      </c>
    </row>
    <row r="3539" ht="87" customHeight="1">
      <c r="A3539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3539" s="2">
        <f>HYPERLINK("https://edmondsonsupply.com/products/klein-tools-51609-3-4-inch-iron-conduit-bender-head", "https://edmondsonsupply.com/products/klein-tools-51609-3-4-inch-iron-conduit-bender-head")</f>
        <v/>
      </c>
      <c r="C3539" t="inlineStr">
        <is>
          <t>Klein Tools 51609 3/4-Inch Iron Conduit Bender Head</t>
        </is>
      </c>
      <c r="D3539" t="inlineStr">
        <is>
          <t>Klein Tools 56211 Iron Conduit Bender Head, 1-1/4-Inch EMT</t>
        </is>
      </c>
      <c r="E3539" s="2">
        <f>HYPERLINK("https://www.amazon.com/Conduit-Bender-Klein-Tools-56211/dp/B00BEZWIBY/ref=sr_1_13?keywords=Klein+Tools+51609+3%2F4-Inch+Iron+Conduit+Bender+Head&amp;qid=1694735132&amp;sr=8-13", "https://www.amazon.com/Conduit-Bender-Klein-Tools-56211/dp/B00BEZWIBY/ref=sr_1_13?keywords=Klein+Tools+51609+3%2F4-Inch+Iron+Conduit+Bender+Head&amp;qid=1694735132&amp;sr=8-13")</f>
        <v/>
      </c>
      <c r="F3539" t="inlineStr">
        <is>
          <t>B00BEZWIBY</t>
        </is>
      </c>
      <c r="G3539">
        <f>_xlfn.IMAGE("https://edmondsonsupply.com/cdn/shop/products/51609.jpg?v=1661867147")</f>
        <v/>
      </c>
      <c r="H3539">
        <f>_xlfn.IMAGE("https://m.media-amazon.com/images/I/61PCC7U22PL._AC_UL320_.jpg")</f>
        <v/>
      </c>
      <c r="K3539" t="inlineStr">
        <is>
          <t>59.99</t>
        </is>
      </c>
      <c r="L3539" t="n">
        <v>299.99</v>
      </c>
      <c r="M3539" s="1" t="inlineStr">
        <is>
          <t>400.07%</t>
        </is>
      </c>
      <c r="N3539" s="7" t="n">
        <v>49.77</v>
      </c>
      <c r="O3539" t="n">
        <v>4.5</v>
      </c>
      <c r="P3539" t="n">
        <v>7</v>
      </c>
      <c r="R3539" t="inlineStr">
        <is>
          <t>InStock</t>
        </is>
      </c>
      <c r="S3539" t="inlineStr">
        <is>
          <t>90.22</t>
        </is>
      </c>
      <c r="T3539" t="inlineStr">
        <is>
          <t>7797415837912</t>
        </is>
      </c>
    </row>
    <row r="3540" ht="87" customHeight="1">
      <c r="A3540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3540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3540" t="inlineStr">
        <is>
          <t>Klein Tools 32288 8-in-1 Insulated Interchangeable Screwdriver Set</t>
        </is>
      </c>
      <c r="D3540" t="inlineStr">
        <is>
          <t>Klein Tools 55485 Tool Bag Backpack, Durable Electrician Backpack &amp; 32288 Insulated Screwdriver, 8-in-1 Screwdriver Set with Interchangeable Blades, 3 Phillips, 3 Slotted and 2 Square Tips</t>
        </is>
      </c>
      <c r="E3540" s="2">
        <f>HYPERLINK("https://www.amazon.com/Klein-Tools-Electrician-Screwdriver-Interchangeable/dp/B09P83P6C1/ref=sr_1_11?keywords=Klein+Tools+32288+8-in-1+Insulated+Interchangeable+Screwdriver+Set&amp;qid=1694734974&amp;sr=8-11", "https://www.amazon.com/Klein-Tools-Electrician-Screwdriver-Interchangeable/dp/B09P83P6C1/ref=sr_1_11?keywords=Klein+Tools+32288+8-in-1+Insulated+Interchangeable+Screwdriver+Set&amp;qid=1694734974&amp;sr=8-11")</f>
        <v/>
      </c>
      <c r="F3540" t="inlineStr">
        <is>
          <t>B09P83P6C1</t>
        </is>
      </c>
      <c r="G3540">
        <f>_xlfn.IMAGE("https://edmondsonsupply.com/cdn/shop/products/32288.jpg?v=1587146849")</f>
        <v/>
      </c>
      <c r="H3540">
        <f>_xlfn.IMAGE("https://m.media-amazon.com/images/I/51oSa6ggF3L._AC_UL320_.jpg")</f>
        <v/>
      </c>
      <c r="K3540" t="inlineStr">
        <is>
          <t>49.99</t>
        </is>
      </c>
      <c r="L3540" t="n">
        <v>248.99</v>
      </c>
      <c r="M3540" s="1" t="inlineStr">
        <is>
          <t>398.08%</t>
        </is>
      </c>
      <c r="N3540" s="7" t="n">
        <v>49.75</v>
      </c>
      <c r="O3540" t="n">
        <v>5</v>
      </c>
      <c r="P3540" t="n">
        <v>14</v>
      </c>
      <c r="R3540" t="inlineStr">
        <is>
          <t>InStock</t>
        </is>
      </c>
      <c r="S3540" t="inlineStr">
        <is>
          <t>69.98</t>
        </is>
      </c>
      <c r="T3540" t="inlineStr">
        <is>
          <t>4094849613924</t>
        </is>
      </c>
    </row>
    <row r="3541" ht="87" customHeight="1">
      <c r="A3541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541" s="2">
        <f>HYPERLINK("https://edmondsonsupply.com/products/klein-tools-et45-ac-dc-voltage-tester", "https://edmondsonsupply.com/products/klein-tools-et45-ac-dc-voltage-tester")</f>
        <v/>
      </c>
      <c r="C3541" t="inlineStr">
        <is>
          <t>Klein Tools ET45 AC/DC Voltage Tester</t>
        </is>
      </c>
      <c r="D3541" t="inlineStr">
        <is>
          <t>Klein Tools CL120 Digital Clamp Meter, Auto-Ranging 400 Amp AC, AC/DC Voltage, Resistance, Continuity, Non-Contact Voltage Tester Detection</t>
        </is>
      </c>
      <c r="E3541" s="2">
        <f>HYPERLINK("https://www.amazon.com/Klein-Tools-CL120-Auto-Ranging-Measurements/dp/B08CP6GL49/ref=sr_1_10?keywords=Klein+Tools+ET45+AC%2FDC+Voltage+Tester&amp;qid=1694735227&amp;sr=8-10", "https://www.amazon.com/Klein-Tools-CL120-Auto-Ranging-Measurements/dp/B08CP6GL49/ref=sr_1_10?keywords=Klein+Tools+ET45+AC%2FDC+Voltage+Tester&amp;qid=1694735227&amp;sr=8-10")</f>
        <v/>
      </c>
      <c r="F3541" t="inlineStr">
        <is>
          <t>B08CP6GL49</t>
        </is>
      </c>
      <c r="G3541">
        <f>_xlfn.IMAGE("https://edmondsonsupply.com/cdn/shop/products/et45.jpg?v=1647786270")</f>
        <v/>
      </c>
      <c r="H3541">
        <f>_xlfn.IMAGE("https://m.media-amazon.com/images/I/61kcTqY2rFL._AC_UL320_.jpg")</f>
        <v/>
      </c>
      <c r="K3541" t="inlineStr">
        <is>
          <t>11.99</t>
        </is>
      </c>
      <c r="L3541" t="n">
        <v>59.37</v>
      </c>
      <c r="M3541" s="1" t="inlineStr">
        <is>
          <t>395.16%</t>
        </is>
      </c>
      <c r="N3541" s="7" t="n">
        <v>49.66</v>
      </c>
      <c r="O3541" t="n">
        <v>4.7</v>
      </c>
      <c r="P3541" t="n">
        <v>495</v>
      </c>
      <c r="R3541" t="inlineStr">
        <is>
          <t>InStock</t>
        </is>
      </c>
      <c r="S3541" t="inlineStr">
        <is>
          <t>16.72</t>
        </is>
      </c>
      <c r="T3541" t="inlineStr">
        <is>
          <t>3688633630820</t>
        </is>
      </c>
    </row>
    <row r="3542" ht="87" customHeight="1">
      <c r="A3542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3542" s="2">
        <f>HYPERLINK("https://edmondsonsupply.com/products/diablo-tools-d0824x-8-1-4-in-x-24-tooth-framing-saw-blade", "https://edmondsonsupply.com/products/diablo-tools-d0824x-8-1-4-in-x-24-tooth-framing-saw-blade")</f>
        <v/>
      </c>
      <c r="C3542" t="inlineStr">
        <is>
          <t>Diablo Tools D0824X 8-1/4 in. x 24 Tooth Framing Saw Blade</t>
        </is>
      </c>
      <c r="D3542" t="inlineStr">
        <is>
          <t>Freud D0824X Diablo 8-1/4-inch 24 Tooth ATB Thin Kerf Framing Saw Blades, 5-Pack</t>
        </is>
      </c>
      <c r="E3542" s="2">
        <f>HYPERLINK("https://www.amazon.com/Freud-D0824X-Diablo-4-inch-Framing/dp/B00W698NZW/ref=sr_1_4?keywords=Diablo+Tools+D0824X+8-1%2F4+in.+x+24+Tooth+Framing+Saw+Blade&amp;qid=1694735018&amp;sr=8-4", "https://www.amazon.com/Freud-D0824X-Diablo-4-inch-Framing/dp/B00W698NZW/ref=sr_1_4?keywords=Diablo+Tools+D0824X+8-1%2F4+in.+x+24+Tooth+Framing+Saw+Blade&amp;qid=1694735018&amp;sr=8-4")</f>
        <v/>
      </c>
      <c r="F3542" t="inlineStr">
        <is>
          <t>B00W698NZW</t>
        </is>
      </c>
      <c r="G3542">
        <f>_xlfn.IMAGE("https://edmondsonsupply.com/cdn/shop/products/waqxzlwfclzed6nt6ziy.webp?v=1678979454")</f>
        <v/>
      </c>
      <c r="H3542">
        <f>_xlfn.IMAGE("https://m.media-amazon.com/images/I/71yDyT660tL._AC_UL320_.jpg")</f>
        <v/>
      </c>
      <c r="K3542" t="inlineStr">
        <is>
          <t>18.97</t>
        </is>
      </c>
      <c r="L3542" t="n">
        <v>93.39</v>
      </c>
      <c r="M3542" s="1" t="inlineStr">
        <is>
          <t>392.30%</t>
        </is>
      </c>
      <c r="N3542" s="7" t="n">
        <v>49.35</v>
      </c>
      <c r="O3542" t="n">
        <v>4.8</v>
      </c>
      <c r="P3542" t="n">
        <v>8</v>
      </c>
      <c r="R3542" t="inlineStr">
        <is>
          <t>InStock</t>
        </is>
      </c>
      <c r="S3542" t="inlineStr">
        <is>
          <t>26.89</t>
        </is>
      </c>
      <c r="T3542" t="inlineStr">
        <is>
          <t>7962666500312</t>
        </is>
      </c>
    </row>
    <row r="3543" ht="87" customHeight="1">
      <c r="A3543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543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543" t="inlineStr">
        <is>
          <t>Klein Tools 630-3/8 3/8-Inch Nut Driver with 3-Inch Hollow Shaft</t>
        </is>
      </c>
      <c r="D3543" t="inlineStr">
        <is>
          <t>Klein Tools 633 Tool Set, Nut Driver Set with Driver Sizes 1/4, 5/16, 3/8, 9/16-Inch on 3-Inch Full Hollow Shaft, w/Cushion Grips, 4-Piece</t>
        </is>
      </c>
      <c r="E3543" s="2">
        <f>HYPERLINK("https://www.amazon.com/Cushion-4-Piece-Klein-Tools-633/dp/B00508QS5I/ref=sr_1_8?keywords=Klein+Tools+630-3%2F8+3%2F8-Inch+Nut+Driver+with+3-Inch+Hollow+Shaft&amp;qid=1694735236&amp;sr=8-8", "https://www.amazon.com/Cushion-4-Piece-Klein-Tools-633/dp/B00508QS5I/ref=sr_1_8?keywords=Klein+Tools+630-3%2F8+3%2F8-Inch+Nut+Driver+with+3-Inch+Hollow+Shaft&amp;qid=1694735236&amp;sr=8-8")</f>
        <v/>
      </c>
      <c r="F3543" t="inlineStr">
        <is>
          <t>B00508QS5I</t>
        </is>
      </c>
      <c r="G3543">
        <f>_xlfn.IMAGE("https://edmondsonsupply.com/cdn/shop/products/630-1-2_e23f9fbd-a282-44d7-b743-2cfe0f84edfa.jpg?v=1633030906")</f>
        <v/>
      </c>
      <c r="H3543">
        <f>_xlfn.IMAGE("https://m.media-amazon.com/images/I/61yug3exhUS._AC_UL320_.jpg")</f>
        <v/>
      </c>
      <c r="K3543" t="inlineStr">
        <is>
          <t>8.99</t>
        </is>
      </c>
      <c r="L3543" t="n">
        <v>44.05</v>
      </c>
      <c r="M3543" s="1" t="inlineStr">
        <is>
          <t>389.99%</t>
        </is>
      </c>
      <c r="N3543" s="7" t="n">
        <v>49.28</v>
      </c>
      <c r="O3543" t="n">
        <v>4.8</v>
      </c>
      <c r="P3543" t="n">
        <v>734</v>
      </c>
      <c r="R3543" t="inlineStr">
        <is>
          <t>InStock</t>
        </is>
      </c>
      <c r="S3543" t="inlineStr">
        <is>
          <t>11.74</t>
        </is>
      </c>
      <c r="T3543" t="inlineStr">
        <is>
          <t>6244382376109</t>
        </is>
      </c>
    </row>
    <row r="3544" ht="87" customHeight="1">
      <c r="A3544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3544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3544" t="inlineStr">
        <is>
          <t>Klein Tools 630-1/4 1/4-Inch Nut Driver 3-Inch Shaft Cushion Grip</t>
        </is>
      </c>
      <c r="D3544" t="inlineStr">
        <is>
          <t>Klein Tools 633 Tool Set, Nut Driver Set with Driver Sizes 1/4, 5/16, 3/8, 9/16-Inch on 3-Inch Full Hollow Shaft, w/Cushion Grips, 4-Piece</t>
        </is>
      </c>
      <c r="E3544" s="2">
        <f>HYPERLINK("https://www.amazon.com/Cushion-4-Piece-Klein-Tools-633/dp/B00508QS5I/ref=sr_1_14?keywords=Klein+Tools+630-1%2F4+1%2F4-Inch+Nut+Driver+3-Inch+Shaft+Cushion+Grip&amp;qid=1694735346&amp;sr=8-14", "https://www.amazon.com/Cushion-4-Piece-Klein-Tools-633/dp/B00508QS5I/ref=sr_1_14?keywords=Klein+Tools+630-1%2F4+1%2F4-Inch+Nut+Driver+3-Inch+Shaft+Cushion+Grip&amp;qid=1694735346&amp;sr=8-14")</f>
        <v/>
      </c>
      <c r="F3544" t="inlineStr">
        <is>
          <t>B00508QS5I</t>
        </is>
      </c>
      <c r="G3544">
        <f>_xlfn.IMAGE("https://edmondsonsupply.com/cdn/shop/products/630-1-2_4777cf99-f2bc-4f84-bc42-7e765e2a9c37.jpg?v=1587150448")</f>
        <v/>
      </c>
      <c r="H3544">
        <f>_xlfn.IMAGE("https://m.media-amazon.com/images/I/61yug3exhUS._AC_UL320_.jpg")</f>
        <v/>
      </c>
      <c r="K3544" t="inlineStr">
        <is>
          <t>8.99</t>
        </is>
      </c>
      <c r="L3544" t="n">
        <v>44.05</v>
      </c>
      <c r="M3544" s="1" t="inlineStr">
        <is>
          <t>389.99%</t>
        </is>
      </c>
      <c r="N3544" s="7" t="n">
        <v>49.23</v>
      </c>
      <c r="O3544" t="n">
        <v>4.8</v>
      </c>
      <c r="P3544" t="n">
        <v>734</v>
      </c>
      <c r="R3544" t="inlineStr">
        <is>
          <t>InStock</t>
        </is>
      </c>
      <c r="S3544" t="inlineStr">
        <is>
          <t>11.36</t>
        </is>
      </c>
      <c r="T3544" t="inlineStr">
        <is>
          <t>4490760355940</t>
        </is>
      </c>
    </row>
    <row r="3545" ht="87" customHeight="1">
      <c r="A3545" s="2">
        <f>HYPERLINK("https://edmondsonsupply.com/collections/electricians-tools/products/klein-tools-450-001-staples-1-4-inch-x-5-16-inch-insulated", "https://edmondsonsupply.com/collections/electricians-tools/products/klein-tools-450-001-staples-1-4-inch-x-5-16-inch-insulated")</f>
        <v/>
      </c>
      <c r="B3545" s="2">
        <f>HYPERLINK("https://edmondsonsupply.com/products/klein-tools-450-001-staples-1-4-inch-x-5-16-inch-insulated", "https://edmondsonsupply.com/products/klein-tools-450-001-staples-1-4-inch-x-5-16-inch-insulated")</f>
        <v/>
      </c>
      <c r="C3545" t="inlineStr">
        <is>
          <t>Klein Tools 450-001 Staples, 1/4-Inch x 5/16-Inch Insulated</t>
        </is>
      </c>
      <c r="D3545" t="inlineStr">
        <is>
          <t>Klein Tools 450-002 Heavy Duty Staples, 5/16 x 5/16-Inch Insulated Staples &amp; 450-100 Heavy Duty Stapler for Voice, Data, Video and Nonmetallic Sheathed (Romex)</t>
        </is>
      </c>
      <c r="E3545" s="2">
        <f>HYPERLINK("https://www.amazon.com/Klein-Tools-Insulated-Nonmetallic-Sheathed/dp/B0C1BZK9RJ/ref=sr_1_2?keywords=Klein+Tools+450-001+Staples%2C+1%2F4-Inch+x+5%2F16-Inch+Insulated&amp;qid=1694734982&amp;sr=8-2", "https://www.amazon.com/Klein-Tools-Insulated-Nonmetallic-Sheathed/dp/B0C1BZK9RJ/ref=sr_1_2?keywords=Klein+Tools+450-001+Staples%2C+1%2F4-Inch+x+5%2F16-Inch+Insulated&amp;qid=1694734982&amp;sr=8-2")</f>
        <v/>
      </c>
      <c r="F3545" t="inlineStr">
        <is>
          <t>B0C1BZK9RJ</t>
        </is>
      </c>
      <c r="G3545">
        <f>_xlfn.IMAGE("https://edmondsonsupply.com/cdn/shop/products/450001.jpg?v=1633030470")</f>
        <v/>
      </c>
      <c r="H3545">
        <f>_xlfn.IMAGE("https://m.media-amazon.com/images/I/51fityOLgOL._AC_UL320_.jpg")</f>
        <v/>
      </c>
      <c r="K3545" t="inlineStr">
        <is>
          <t>9.99</t>
        </is>
      </c>
      <c r="L3545" t="n">
        <v>48.6</v>
      </c>
      <c r="M3545" s="1" t="inlineStr">
        <is>
          <t>386.49%</t>
        </is>
      </c>
      <c r="N3545" s="7" t="n">
        <v>49.22</v>
      </c>
      <c r="O3545" t="n">
        <v>5</v>
      </c>
      <c r="P3545" t="n">
        <v>1</v>
      </c>
      <c r="R3545" t="inlineStr">
        <is>
          <t>InStock</t>
        </is>
      </c>
      <c r="S3545" t="inlineStr">
        <is>
          <t>14.38</t>
        </is>
      </c>
      <c r="T3545" t="inlineStr">
        <is>
          <t>5365258715304</t>
        </is>
      </c>
    </row>
    <row r="3546" ht="87" customHeight="1">
      <c r="A3546" s="2">
        <f>HYPERLINK("https://edmondsonsupply.com/collections/electricians-tools/products/klein-tools-450-002-staples-5-16-inch-x-5-16-inch-insulated", "https://edmondsonsupply.com/collections/electricians-tools/products/klein-tools-450-002-staples-5-16-inch-x-5-16-inch-insulated")</f>
        <v/>
      </c>
      <c r="B3546" s="2">
        <f>HYPERLINK("https://edmondsonsupply.com/products/klein-tools-450-002-staples-5-16-inch-x-5-16-inch-insulated", "https://edmondsonsupply.com/products/klein-tools-450-002-staples-5-16-inch-x-5-16-inch-insulated")</f>
        <v/>
      </c>
      <c r="C3546" t="inlineStr">
        <is>
          <t>Klein Tools 450-002 Staples, 5/16-Inch x 5/16-Inch Insulated</t>
        </is>
      </c>
      <c r="D3546" t="inlineStr">
        <is>
          <t>Klein Tools 450-002 Heavy Duty Staples, 5/16 x 5/16-Inch Insulated Staples &amp; 450-100 Heavy Duty Stapler for Voice, Data, Video and Nonmetallic Sheathed (Romex)</t>
        </is>
      </c>
      <c r="E3546" s="2">
        <f>HYPERLINK("https://www.amazon.com/Klein-Tools-Insulated-Nonmetallic-Sheathed/dp/B0C1BZK9RJ/ref=sr_1_2?keywords=Klein+Tools+450-002+Staples%2C+5%2F16-Inch+x+5%2F16-Inch+Insulated&amp;qid=1694734983&amp;sr=8-2", "https://www.amazon.com/Klein-Tools-Insulated-Nonmetallic-Sheathed/dp/B0C1BZK9RJ/ref=sr_1_2?keywords=Klein+Tools+450-002+Staples%2C+5%2F16-Inch+x+5%2F16-Inch+Insulated&amp;qid=1694734983&amp;sr=8-2")</f>
        <v/>
      </c>
      <c r="F3546" t="inlineStr">
        <is>
          <t>B0C1BZK9RJ</t>
        </is>
      </c>
      <c r="G3546">
        <f>_xlfn.IMAGE("https://edmondsonsupply.com/cdn/shop/products/450002.jpg?v=1633030471")</f>
        <v/>
      </c>
      <c r="H3546">
        <f>_xlfn.IMAGE("https://m.media-amazon.com/images/I/51fityOLgOL._AC_UL320_.jpg")</f>
        <v/>
      </c>
      <c r="K3546" t="inlineStr">
        <is>
          <t>9.99</t>
        </is>
      </c>
      <c r="L3546" t="n">
        <v>48.6</v>
      </c>
      <c r="M3546" s="1" t="inlineStr">
        <is>
          <t>386.49%</t>
        </is>
      </c>
      <c r="N3546" s="7" t="n">
        <v>49.03</v>
      </c>
      <c r="O3546" t="n">
        <v>5</v>
      </c>
      <c r="P3546" t="n">
        <v>1</v>
      </c>
      <c r="R3546" t="inlineStr">
        <is>
          <t>InStock</t>
        </is>
      </c>
      <c r="S3546" t="inlineStr">
        <is>
          <t>14.38</t>
        </is>
      </c>
      <c r="T3546" t="inlineStr">
        <is>
          <t>5365322612904</t>
        </is>
      </c>
    </row>
    <row r="3547" ht="87" customHeight="1">
      <c r="A3547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3547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3547" t="inlineStr">
        <is>
          <t>Klein Tools 635-1/4 1/4-Inch Nut Driver, Magnetic Tip, 4-Inch Shaft</t>
        </is>
      </c>
      <c r="D3547" t="inlineStr">
        <is>
          <t>Klein Tools 647 Tool Set, Nut Drivers Sizes 3/16, 1/4, 5/16, 11/32, 3/8, 7/16, 1/2-Inch, Chrome-Plated 6-Inch Shafts, Cushion Grip, 7-Piece</t>
        </is>
      </c>
      <c r="E3547" s="2">
        <f>HYPERLINK("https://www.amazon.com/Driver-6-Inch-Klein-Tools-647/dp/B0014KRVXO/ref=sr_1_45?keywords=Klein+Tools+635-1%2F4+1%2F4-Inch+Nut+Driver%2C+Magnetic+Tip%2C+4-Inch+Shaft&amp;qid=1694735101&amp;sr=8-45", "https://www.amazon.com/Driver-6-Inch-Klein-Tools-647/dp/B0014KRVXO/ref=sr_1_45?keywords=Klein+Tools+635-1%2F4+1%2F4-Inch+Nut+Driver%2C+Magnetic+Tip%2C+4-Inch+Shaft&amp;qid=1694735101&amp;sr=8-45")</f>
        <v/>
      </c>
      <c r="F3547" t="inlineStr">
        <is>
          <t>B0014KRVXO</t>
        </is>
      </c>
      <c r="G3547">
        <f>_xlfn.IMAGE("https://edmondsonsupply.com/cdn/shop/products/635-1-4.jpg?v=1666811523")</f>
        <v/>
      </c>
      <c r="H3547">
        <f>_xlfn.IMAGE("https://m.media-amazon.com/images/I/51usUk-EpGL._AC_UL320_.jpg")</f>
        <v/>
      </c>
      <c r="K3547" t="inlineStr">
        <is>
          <t>11.99</t>
        </is>
      </c>
      <c r="L3547" t="n">
        <v>57.99</v>
      </c>
      <c r="M3547" s="1" t="inlineStr">
        <is>
          <t>383.65%</t>
        </is>
      </c>
      <c r="N3547" s="7" t="n">
        <v>48.97</v>
      </c>
      <c r="O3547" t="n">
        <v>4.8</v>
      </c>
      <c r="P3547" t="n">
        <v>734</v>
      </c>
      <c r="R3547" t="inlineStr">
        <is>
          <t>InStock</t>
        </is>
      </c>
      <c r="S3547" t="inlineStr">
        <is>
          <t>18.18</t>
        </is>
      </c>
      <c r="T3547" t="inlineStr">
        <is>
          <t>7866294010072</t>
        </is>
      </c>
    </row>
    <row r="3548" ht="87" customHeight="1">
      <c r="A3548" s="2">
        <f>HYPERLINK("https://edmondsonsupply.com/collections/electricians-tools/products/veto-pro-pac-tp4-tool-pouch", "https://edmondsonsupply.com/collections/electricians-tools/products/veto-pro-pac-tp4-tool-pouch")</f>
        <v/>
      </c>
      <c r="B3548" s="2">
        <f>HYPERLINK("https://edmondsonsupply.com/products/veto-pro-pac-tp4-tool-pouch", "https://edmondsonsupply.com/products/veto-pro-pac-tp4-tool-pouch")</f>
        <v/>
      </c>
      <c r="C3548" t="inlineStr">
        <is>
          <t>Veto Pro Pac TP3 Tool Bag</t>
        </is>
      </c>
      <c r="D3548" t="inlineStr">
        <is>
          <t>Veto Pro Pac Tech Pac LT Tool Bag</t>
        </is>
      </c>
      <c r="E3548" s="2">
        <f>HYPERLINK("https://www.amazon.com/VETO-PRO-PAC-Tech-Pac/dp/B00WZLTCHO/ref=sr_1_17?keywords=Veto+Pro+Pac+TP3+Tool+Bag&amp;qid=1694735180&amp;sr=8-17", "https://www.amazon.com/VETO-PRO-PAC-Tech-Pac/dp/B00WZLTCHO/ref=sr_1_17?keywords=Veto+Pro+Pac+TP3+Tool+Bag&amp;qid=1694735180&amp;sr=8-17")</f>
        <v/>
      </c>
      <c r="F3548" t="inlineStr">
        <is>
          <t>B00WZLTCHO</t>
        </is>
      </c>
      <c r="G3548">
        <f>_xlfn.IMAGE("https://edmondsonsupply.com/cdn/shop/products/TP3_1.jpg?v=1587144391")</f>
        <v/>
      </c>
      <c r="H3548">
        <f>_xlfn.IMAGE("https://m.media-amazon.com/images/I/61uz-pihn8L._AC_UL320_.jpg")</f>
        <v/>
      </c>
      <c r="K3548" t="inlineStr">
        <is>
          <t>59.99</t>
        </is>
      </c>
      <c r="L3548" t="n">
        <v>289.95</v>
      </c>
      <c r="M3548" s="1" t="inlineStr">
        <is>
          <t>383.33%</t>
        </is>
      </c>
      <c r="N3548" s="7" t="n">
        <v>48.47</v>
      </c>
      <c r="O3548" t="n">
        <v>4.7</v>
      </c>
      <c r="P3548" t="n">
        <v>285</v>
      </c>
      <c r="R3548" t="inlineStr">
        <is>
          <t>InStock</t>
        </is>
      </c>
      <c r="S3548" t="inlineStr">
        <is>
          <t>undefined</t>
        </is>
      </c>
      <c r="T3548" t="inlineStr">
        <is>
          <t>3561762816100</t>
        </is>
      </c>
    </row>
    <row r="3549" ht="87" customHeight="1">
      <c r="A3549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3549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3549" t="inlineStr">
        <is>
          <t>Diablo Tools DMARG1070 1/4 in. x 4 in. x 6 in. SPEEDemon™ Red Granite Carbide Tipped Hammer Drill Bit</t>
        </is>
      </c>
      <c r="D3549" t="inlineStr">
        <is>
          <t>Sabre Tools 10-Pack 1/4 Inch x 6 Inch SDS Plus Rotary Hammer Drill Bits, Carbide Tipped for Brick, Stone and Concrete (1/4” x 4" x 6")</t>
        </is>
      </c>
      <c r="E3549" s="2">
        <f>HYPERLINK("https://www.amazon.com/Sabre-Tools-10-Pack-Carbide-Concrete/dp/B08P1FKCQB/ref=sr_1_18?keywords=Diablo+Tools+DMARG1070+1%2F4+in.+x+4+in.+x+6+in.+SPEEDemon%E2%84%A2+Red+Granite+Carbide+Tipped+Hammer+Drill+Bit&amp;qid=1694735286&amp;sr=8-18", "https://www.amazon.com/Sabre-Tools-10-Pack-Carbide-Concrete/dp/B08P1FKCQB/ref=sr_1_18?keywords=Diablo+Tools+DMARG1070+1%2F4+in.+x+4+in.+x+6+in.+SPEEDemon%E2%84%A2+Red+Granite+Carbide+Tipped+Hammer+Drill+Bit&amp;qid=1694735286&amp;sr=8-18")</f>
        <v/>
      </c>
      <c r="F3549" t="inlineStr">
        <is>
          <t>B08P1FKCQB</t>
        </is>
      </c>
      <c r="G3549">
        <f>_xlfn.IMAGE("https://edmondsonsupply.com/cdn/shop/products/DMARG1070_Main-Image20200407.png?v=1633030419")</f>
        <v/>
      </c>
      <c r="H3549">
        <f>_xlfn.IMAGE("https://m.media-amazon.com/images/I/91vqQBON8sL._AC_UL320_.jpg")</f>
        <v/>
      </c>
      <c r="K3549" t="inlineStr">
        <is>
          <t>4.97</t>
        </is>
      </c>
      <c r="L3549" t="n">
        <v>23.99</v>
      </c>
      <c r="M3549" s="1" t="inlineStr">
        <is>
          <t>382.70%</t>
        </is>
      </c>
      <c r="N3549" s="7" t="n">
        <v>48.35</v>
      </c>
      <c r="O3549" t="n">
        <v>4.6</v>
      </c>
      <c r="P3549" t="n">
        <v>123</v>
      </c>
      <c r="R3549" t="inlineStr">
        <is>
          <t>InStock</t>
        </is>
      </c>
      <c r="S3549" t="inlineStr">
        <is>
          <t>undefined</t>
        </is>
      </c>
      <c r="T3549" t="inlineStr">
        <is>
          <t>5317981700264</t>
        </is>
      </c>
    </row>
    <row r="3550" ht="87" customHeight="1">
      <c r="A3550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3550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3550" t="inlineStr">
        <is>
          <t>Diablo Tools DMARG1020 5/32 in. x 3 in. x 6 in. SPEEDemon™ Red Granite Carbide Tipped Hammer Drill Bit</t>
        </is>
      </c>
      <c r="D3550" t="inlineStr">
        <is>
          <t>Sabre Tools 10-Pack 5/32 Inch x 6 Inch SDS Plus Rotary Hammer Drill Bits, Carbide Tipped for Brick, Stone and Concrete (5/32” x 4" x 6")</t>
        </is>
      </c>
      <c r="E3550" s="2">
        <f>HYPERLINK("https://www.amazon.com/Sabre-Tools-10-Pack-Carbide-Concrete/dp/B08P1GTTLS/ref=sr_1_20?keywords=Diablo+Tools+DMARG1020+5%2F32+in.+x+3+in.+x+6+in.+SPEEDemon%E2%84%A2+Red+Granite+Carbide+Tipped+Hammer+Drill+Bit&amp;qid=1694735279&amp;sr=8-20", "https://www.amazon.com/Sabre-Tools-10-Pack-Carbide-Concrete/dp/B08P1GTTLS/ref=sr_1_20?keywords=Diablo+Tools+DMARG1020+5%2F32+in.+x+3+in.+x+6+in.+SPEEDemon%E2%84%A2+Red+Granite+Carbide+Tipped+Hammer+Drill+Bit&amp;qid=1694735279&amp;sr=8-20")</f>
        <v/>
      </c>
      <c r="F3550" t="inlineStr">
        <is>
          <t>B08P1GTTLS</t>
        </is>
      </c>
      <c r="G3550">
        <f>_xlfn.IMAGE("https://edmondsonsupply.com/cdn/shop/products/vozy4matwskc7qc8ko6f.webp?v=1670440892")</f>
        <v/>
      </c>
      <c r="H3550">
        <f>_xlfn.IMAGE("https://m.media-amazon.com/images/I/81bMmpzILRL._AC_UL320_.jpg")</f>
        <v/>
      </c>
      <c r="K3550" t="inlineStr">
        <is>
          <t>4.97</t>
        </is>
      </c>
      <c r="L3550" t="n">
        <v>23.99</v>
      </c>
      <c r="M3550" s="1" t="inlineStr">
        <is>
          <t>382.70%</t>
        </is>
      </c>
      <c r="N3550" s="7" t="n">
        <v>48.2</v>
      </c>
      <c r="O3550" t="n">
        <v>4.3</v>
      </c>
      <c r="P3550" t="n">
        <v>150</v>
      </c>
      <c r="R3550" t="inlineStr">
        <is>
          <t>InStock</t>
        </is>
      </c>
      <c r="S3550" t="inlineStr">
        <is>
          <t>undefined</t>
        </is>
      </c>
      <c r="T3550" t="inlineStr">
        <is>
          <t>5386082484392</t>
        </is>
      </c>
    </row>
    <row r="3551" ht="87" customHeight="1">
      <c r="A3551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3551" s="2">
        <f>HYPERLINK("https://edmondsonsupply.com/products/klein-tools-jth9m5-5-mm-hex-key-journeyman-t-handle-9-inch", "https://edmondsonsupply.com/products/klein-tools-jth9m5-5-mm-hex-key-journeyman-t-handle-9-inch")</f>
        <v/>
      </c>
      <c r="C3551" t="inlineStr">
        <is>
          <t>Klein Tools JTH9M5 5 mm Hex Key, Journeyman T-Handle 9-Inch</t>
        </is>
      </c>
      <c r="D3551" t="inlineStr">
        <is>
          <t>Klein Tools JTH9E17 1/2-Inch Hex Key, Journeyman T-Handle, 9-Inch</t>
        </is>
      </c>
      <c r="E3551" s="2">
        <f>HYPERLINK("https://www.amazon.com/Journeyman-T-Handle-Klein-Tools-JTH9E17/dp/B004QV6NL4/ref=sr_1_8?keywords=Klein+Tools+JTH9M5+5+mm+Hex+Key%2C+Journeyman+T-Handle+9-Inch&amp;qid=1694735207&amp;sr=8-8", "https://www.amazon.com/Journeyman-T-Handle-Klein-Tools-JTH9E17/dp/B004QV6NL4/ref=sr_1_8?keywords=Klein+Tools+JTH9M5+5+mm+Hex+Key%2C+Journeyman+T-Handle+9-Inch&amp;qid=1694735207&amp;sr=8-8")</f>
        <v/>
      </c>
      <c r="F3551" t="inlineStr">
        <is>
          <t>B004QV6NL4</t>
        </is>
      </c>
      <c r="G3551">
        <f>_xlfn.IMAGE("https://edmondsonsupply.com/cdn/shop/products/jth9m_84ad507b-889a-4b5c-80a2-9633c898cd48.jpg?v=1633031048")</f>
        <v/>
      </c>
      <c r="H3551">
        <f>_xlfn.IMAGE("https://m.media-amazon.com/images/I/51Yb8h41vLL._AC_UL320_.jpg")</f>
        <v/>
      </c>
      <c r="K3551" t="inlineStr">
        <is>
          <t>4.99</t>
        </is>
      </c>
      <c r="L3551" t="n">
        <v>23.99</v>
      </c>
      <c r="M3551" s="1" t="inlineStr">
        <is>
          <t>380.76%</t>
        </is>
      </c>
      <c r="N3551" s="7" t="n">
        <v>48.2</v>
      </c>
      <c r="O3551" t="n">
        <v>4.8</v>
      </c>
      <c r="P3551" t="n">
        <v>193</v>
      </c>
      <c r="R3551" t="inlineStr">
        <is>
          <t>InStock</t>
        </is>
      </c>
      <c r="S3551" t="inlineStr">
        <is>
          <t>7.58</t>
        </is>
      </c>
      <c r="T3551" t="inlineStr">
        <is>
          <t>6772921532589</t>
        </is>
      </c>
    </row>
    <row r="3552" ht="87" customHeight="1">
      <c r="A3552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3552" s="2">
        <f>HYPERLINK("https://edmondsonsupply.com/products/diablo-tools-dmapl2140-1-4-in-x-4-in-x-6-in-sds-plus-2-cutter", "https://edmondsonsupply.com/products/diablo-tools-dmapl2140-1-4-in-x-4-in-x-6-in-sds-plus-2-cutter")</f>
        <v/>
      </c>
      <c r="C3552" t="inlineStr">
        <is>
          <t>Diablo Tools DMAPL2140 1/4 in. x 4 in. x 6 in. SDS‑Plus 2‑Cutter</t>
        </is>
      </c>
      <c r="D3552" t="inlineStr">
        <is>
          <t>Sabre Tools 10-Pack 1/4 Inch x 6 Inch SDS Plus Rotary Hammer Drill Bits, Carbide Tipped for Brick, Stone and Concrete (1/4” x 4" x 6")</t>
        </is>
      </c>
      <c r="E3552" s="2">
        <f>HYPERLINK("https://www.amazon.com/Sabre-Tools-10-Pack-Carbide-Concrete/dp/B08P1FKCQB/ref=sr_1_12?keywords=Diablo+Tools+DMAPL2140+1%2F4+in.+x+4+in.+x+6+in.+SDS%E2%80%91Plus+2%E2%80%91Cutter&amp;qid=1694735261&amp;sr=8-12", "https://www.amazon.com/Sabre-Tools-10-Pack-Carbide-Concrete/dp/B08P1FKCQB/ref=sr_1_12?keywords=Diablo+Tools+DMAPL2140+1%2F4+in.+x+4+in.+x+6+in.+SDS%E2%80%91Plus+2%E2%80%91Cutter&amp;qid=1694735261&amp;sr=8-12")</f>
        <v/>
      </c>
      <c r="F3552" t="inlineStr">
        <is>
          <t>B08P1FKCQB</t>
        </is>
      </c>
      <c r="G3552">
        <f>_xlfn.IMAGE("https://edmondsonsupply.com/cdn/shop/products/DMAPL2140-P25_Main-Image20200701_051150e2-bdbb-41a1-87fd-df202a887b18.png?v=1633030654")</f>
        <v/>
      </c>
      <c r="H3552">
        <f>_xlfn.IMAGE("https://m.media-amazon.com/images/I/91vqQBON8sL._AC_UL320_.jpg")</f>
        <v/>
      </c>
      <c r="K3552" t="inlineStr">
        <is>
          <t>4.99</t>
        </is>
      </c>
      <c r="L3552" t="n">
        <v>23.99</v>
      </c>
      <c r="M3552" s="1" t="inlineStr">
        <is>
          <t>380.76%</t>
        </is>
      </c>
      <c r="N3552" s="7" t="n">
        <v>48.2</v>
      </c>
      <c r="O3552" t="n">
        <v>4.6</v>
      </c>
      <c r="P3552" t="n">
        <v>123</v>
      </c>
      <c r="R3552" t="inlineStr">
        <is>
          <t>InStock</t>
        </is>
      </c>
      <c r="S3552" t="inlineStr">
        <is>
          <t>5.04</t>
        </is>
      </c>
      <c r="T3552" t="inlineStr">
        <is>
          <t>5740655739048</t>
        </is>
      </c>
    </row>
    <row r="3553" ht="87" customHeight="1">
      <c r="A3553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3553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3553" t="inlineStr">
        <is>
          <t>Klein Tools NCVT3PKIT Dual Range NCVT and AC/DC Voltage Tester Electrical Test Kit</t>
        </is>
      </c>
      <c r="D3553" t="inlineStr">
        <is>
          <t>Klein Tools HVNCVT-1 Dual-Range Non-Contact High-Voltage Tester, Dual-Range, Audio/Visual Indicators, Water Resistant, With Case and Battery, Black</t>
        </is>
      </c>
      <c r="E3553" s="2">
        <f>HYPERLINK("https://www.amazon.com/Voltage-Tester-Klein-Tools-HVNCVT-1/dp/B015KU2EXU/ref=sr_1_23?keywords=Klein+Tools+NCVT3PKIT+Dual+Range+NCVT+and+AC%2FDC+Voltage+Tester+Electrical+Test+Kit&amp;qid=1694735090&amp;sr=8-23", "https://www.amazon.com/Voltage-Tester-Klein-Tools-HVNCVT-1/dp/B015KU2EXU/ref=sr_1_23?keywords=Klein+Tools+NCVT3PKIT+Dual+Range+NCVT+and+AC%2FDC+Voltage+Tester+Electrical+Test+Kit&amp;qid=1694735090&amp;sr=8-23")</f>
        <v/>
      </c>
      <c r="F3553" t="inlineStr">
        <is>
          <t>B015KU2EXU</t>
        </is>
      </c>
      <c r="G3553">
        <f>_xlfn.IMAGE("https://edmondsonsupply.com/cdn/shop/products/ncvt3pkit.jpg?v=1667228452")</f>
        <v/>
      </c>
      <c r="H3553">
        <f>_xlfn.IMAGE("https://m.media-amazon.com/images/I/51vp8USEpSL._AC_UL320_.jpg")</f>
        <v/>
      </c>
      <c r="K3553" t="inlineStr">
        <is>
          <t>34.99</t>
        </is>
      </c>
      <c r="L3553" t="n">
        <v>168.19</v>
      </c>
      <c r="M3553" s="1" t="inlineStr">
        <is>
          <t>380.68%</t>
        </is>
      </c>
      <c r="N3553" s="7" t="n">
        <v>47.8</v>
      </c>
      <c r="O3553" t="n">
        <v>4.4</v>
      </c>
      <c r="P3553" t="n">
        <v>86</v>
      </c>
      <c r="R3553" t="inlineStr">
        <is>
          <t>InStock</t>
        </is>
      </c>
      <c r="S3553" t="inlineStr">
        <is>
          <t>48.52</t>
        </is>
      </c>
      <c r="T3553" t="inlineStr">
        <is>
          <t>7871488032984</t>
        </is>
      </c>
    </row>
    <row r="3554" hidden="1" ht="15.75" customHeight="1">
      <c r="A3554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554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554" t="inlineStr">
        <is>
          <t>Diablo Tools DMAPL4220 5/8 in. x 6 in. x 8 in. Rebar Demon™ SDS-Plus 4-Cutter Full Carbide Head Hammer Bit</t>
        </is>
      </c>
      <c r="D3554" t="inlineStr">
        <is>
          <t>Diablo DMAMX1180 7/8 in. x 16 in. x 21 in. Rebar Demon™ SDS-Max 4-Cutter Full Carbide Head Hammer Bit</t>
        </is>
      </c>
      <c r="E3554" s="2">
        <f>HYPERLINK("https://www.amazon.com/Diablo-SDS-Max-4-Cutter-Carbide-Hammer/dp/B089KWFF8B/ref=sr_1_37?keywords=Diablo+Tools+DMAPL4220+5%2F8+in.+x+6+in.+x+8+in.+Rebar+Demon%E2%84%A2+SDS-Plus+4-Cutter+Full+Carbide+Head+Hammer+Bit&amp;qid=1694735306&amp;sr=8-37", "https://www.amazon.com/Diablo-SDS-Max-4-Cutter-Carbide-Hammer/dp/B089KWFF8B/ref=sr_1_37?keywords=Diablo+Tools+DMAPL4220+5%2F8+in.+x+6+in.+x+8+in.+Rebar+Demon%E2%84%A2+SDS-Plus+4-Cutter+Full+Carbide+Head+Hammer+Bit&amp;qid=1694735306&amp;sr=8-37")</f>
        <v/>
      </c>
      <c r="F3554" t="inlineStr">
        <is>
          <t>B089KWFF8B</t>
        </is>
      </c>
      <c r="G3554">
        <f>_xludf.IMAGE("https://edmondsonsupply.com/cdn/shop/products/DMAPL4220.jpg?v=1633030355")</f>
        <v/>
      </c>
      <c r="H3554">
        <f>_xludf.IMAGE("https://m.media-amazon.com/images/I/611fTcYRNFL._AC_UL320_.jpg")</f>
        <v/>
      </c>
      <c r="K3554" t="inlineStr">
        <is>
          <t>10.97</t>
        </is>
      </c>
      <c r="L3554" t="n">
        <v>52.51</v>
      </c>
      <c r="M3554" s="1" t="inlineStr">
        <is>
          <t>378.67%</t>
        </is>
      </c>
      <c r="N3554" s="1" t="n">
        <v>47.8</v>
      </c>
      <c r="O3554" t="n">
        <v>3.5</v>
      </c>
      <c r="P3554" t="n">
        <v>3</v>
      </c>
      <c r="R3554" t="inlineStr">
        <is>
          <t>InStock</t>
        </is>
      </c>
      <c r="S3554" t="inlineStr">
        <is>
          <t>17.16</t>
        </is>
      </c>
      <c r="T3554" t="inlineStr">
        <is>
          <t>5286142148776</t>
        </is>
      </c>
    </row>
    <row r="3555" ht="87" customHeight="1">
      <c r="A3555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3555" s="2">
        <f>HYPERLINK("https://edmondsonsupply.com/products/diablo-tools-dmast1050-5-8-in-x-2-1-16-x-sds-plus-2-cutter", "https://edmondsonsupply.com/products/diablo-tools-dmast1050-5-8-in-x-2-1-16-x-sds-plus-2-cutter")</f>
        <v/>
      </c>
      <c r="C3555" t="inlineStr">
        <is>
          <t>Diablo Tools DMAST1050 5/8 in. x 2-1/16 SDS-Plus 2-Cutter</t>
        </is>
      </c>
      <c r="D3555" t="inlineStr">
        <is>
          <t>Diablo - DMAPL4050-P25 3/16"x6"x8" Rebar Demon SDS+ 4-Cutter Full Carbide Head Hammer Bit 25Pk</t>
        </is>
      </c>
      <c r="E3555" s="2">
        <f>HYPERLINK("https://www.amazon.com/Diablo-Freud-DMAPL4050-P25-SDS-Plus-4-Cutter/dp/B089KWQQDY/ref=sr_1_48?keywords=Diablo+Tools+DMAST1050+5%2F8+in.+x+2-1%2F16+SDS-Plus+2-Cutter&amp;qid=1694735304&amp;sr=8-48", "https://www.amazon.com/Diablo-Freud-DMAPL4050-P25-SDS-Plus-4-Cutter/dp/B089KWQQDY/ref=sr_1_48?keywords=Diablo+Tools+DMAST1050+5%2F8+in.+x+2-1%2F16+SDS-Plus+2-Cutter&amp;qid=1694735304&amp;sr=8-48")</f>
        <v/>
      </c>
      <c r="F3555" t="inlineStr">
        <is>
          <t>B089KWQQDY</t>
        </is>
      </c>
      <c r="G3555">
        <f>_xlfn.IMAGE("https://edmondsonsupply.com/cdn/shop/products/DMAST1050_1.jpg?v=1633030363")</f>
        <v/>
      </c>
      <c r="H3555">
        <f>_xlfn.IMAGE("https://m.media-amazon.com/images/I/61uukuKzJeL._AC_UL320_.jpg")</f>
        <v/>
      </c>
      <c r="K3555" t="inlineStr">
        <is>
          <t>21.97</t>
        </is>
      </c>
      <c r="L3555" t="n">
        <v>104.93</v>
      </c>
      <c r="M3555" s="1" t="inlineStr">
        <is>
          <t>377.61%</t>
        </is>
      </c>
      <c r="N3555" s="7" t="n">
        <v>47.8</v>
      </c>
      <c r="O3555" t="n">
        <v>5</v>
      </c>
      <c r="P3555" t="n">
        <v>2</v>
      </c>
      <c r="R3555" t="inlineStr">
        <is>
          <t>InStock</t>
        </is>
      </c>
      <c r="S3555" t="inlineStr">
        <is>
          <t>29.12</t>
        </is>
      </c>
      <c r="T3555" t="inlineStr">
        <is>
          <t>5286938869928</t>
        </is>
      </c>
    </row>
    <row r="3556" ht="87" customHeight="1">
      <c r="A3556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3556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3556" t="inlineStr">
        <is>
          <t>Klein Tools 630-7/16M 7/16-Inch Magnetic Tip Nut Driver 3-Inch Shaft</t>
        </is>
      </c>
      <c r="D3556" t="inlineStr">
        <is>
          <t>Klein Tools 647 Tool Set, Nut Drivers Sizes 3/16, 1/4, 5/16, 11/32, 3/8, 7/16, 1/2-Inch, Chrome-Plated 6-Inch Shafts, Cushion Grip, 7-Piece</t>
        </is>
      </c>
      <c r="E3556" s="2">
        <f>HYPERLINK("https://www.amazon.com/Driver-6-Inch-Klein-Tools-647/dp/B0014KRVXO/ref=sr_1_33?keywords=Klein+Tools+630-7%2F16M+7%2F16-Inch+Magnetic+Tip+Nut+Driver+3-Inch+Shaft&amp;qid=1694735273&amp;sr=8-33", "https://www.amazon.com/Driver-6-Inch-Klein-Tools-647/dp/B0014KRVXO/ref=sr_1_33?keywords=Klein+Tools+630-7%2F16M+7%2F16-Inch+Magnetic+Tip+Nut+Driver+3-Inch+Shaft&amp;qid=1694735273&amp;sr=8-33")</f>
        <v/>
      </c>
      <c r="F3556" t="inlineStr">
        <is>
          <t>B0014KRVXO</t>
        </is>
      </c>
      <c r="G3556">
        <f>_xlfn.IMAGE("https://edmondsonsupply.com/cdn/shop/products/630-7-16m.jpg?v=1633030529")</f>
        <v/>
      </c>
      <c r="H3556">
        <f>_xlfn.IMAGE("https://m.media-amazon.com/images/I/51usUk-EpGL._AC_UL320_.jpg")</f>
        <v/>
      </c>
      <c r="K3556" t="inlineStr">
        <is>
          <t>12.24</t>
        </is>
      </c>
      <c r="L3556" t="n">
        <v>57.99</v>
      </c>
      <c r="M3556" s="1" t="inlineStr">
        <is>
          <t>373.77%</t>
        </is>
      </c>
      <c r="N3556" s="7" t="n">
        <v>47.62</v>
      </c>
      <c r="O3556" t="n">
        <v>4.8</v>
      </c>
      <c r="P3556" t="n">
        <v>734</v>
      </c>
      <c r="R3556" t="inlineStr">
        <is>
          <t>InStock</t>
        </is>
      </c>
      <c r="S3556" t="inlineStr">
        <is>
          <t>18.54</t>
        </is>
      </c>
      <c r="T3556" t="inlineStr">
        <is>
          <t>5408853819560</t>
        </is>
      </c>
    </row>
    <row r="3557" ht="87" customHeight="1">
      <c r="A3557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557" s="2">
        <f>HYPERLINK("https://edmondsonsupply.com/products/klein-tools-56331-steel-fish-tape-1-8-inch-x-50-foot", "https://edmondsonsupply.com/products/klein-tools-56331-steel-fish-tape-1-8-inch-x-50-foot")</f>
        <v/>
      </c>
      <c r="C3557" t="inlineStr">
        <is>
          <t>Klein Tools 56331 Steel Fish Tape, 1/8-Inch x 50-Foot</t>
        </is>
      </c>
      <c r="D3557" t="inlineStr">
        <is>
          <t>Klein Tools 56004 Fish Tape, 240-Foot Long x 1/8-Inch Wide Steel Pull Line for Heavy Duty Wire Pulls, Updated Model Cat. No. 56334 Available</t>
        </is>
      </c>
      <c r="E3557" s="2">
        <f>HYPERLINK("https://www.amazon.com/240-Foot-Measuring-Klein-Tools-56004/dp/B0026TDB5Y/ref=sr_1_15?keywords=Klein+Tools+56331+Steel+Fish+Tape%2C+1%2F8-Inch+x+50-Foot&amp;qid=1694735384&amp;sr=8-15", "https://www.amazon.com/240-Foot-Measuring-Klein-Tools-56004/dp/B0026TDB5Y/ref=sr_1_15?keywords=Klein+Tools+56331+Steel+Fish+Tape%2C+1%2F8-Inch+x+50-Foot&amp;qid=1694735384&amp;sr=8-15")</f>
        <v/>
      </c>
      <c r="F3557" t="inlineStr">
        <is>
          <t>B0026TDB5Y</t>
        </is>
      </c>
      <c r="G3557">
        <f>_xlfn.IMAGE("https://edmondsonsupply.com/cdn/shop/products/56331.jpg?v=1587143350")</f>
        <v/>
      </c>
      <c r="H3557">
        <f>_xlfn.IMAGE("https://m.media-amazon.com/images/I/61YlVKsUkcL._AC_UL320_.jpg")</f>
        <v/>
      </c>
      <c r="K3557" t="inlineStr">
        <is>
          <t>24.99</t>
        </is>
      </c>
      <c r="L3557" t="n">
        <v>117.35</v>
      </c>
      <c r="M3557" s="1" t="inlineStr">
        <is>
          <t>369.59%</t>
        </is>
      </c>
      <c r="N3557" s="7" t="n">
        <v>47.51</v>
      </c>
      <c r="O3557" t="n">
        <v>4.1</v>
      </c>
      <c r="P3557" t="n">
        <v>81</v>
      </c>
      <c r="R3557" t="inlineStr">
        <is>
          <t>InStock</t>
        </is>
      </c>
      <c r="S3557" t="inlineStr">
        <is>
          <t>30.9</t>
        </is>
      </c>
      <c r="T3557" t="inlineStr">
        <is>
          <t>4412204056676</t>
        </is>
      </c>
    </row>
    <row r="3558" ht="87" customHeight="1">
      <c r="A3558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558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558" t="inlineStr">
        <is>
          <t>Diablo Tools DMAPL4100 1/4 in. x 16 in. x 18 in. Rebar Demon™ SDS‑Plus 4‑Cutter Full Carbide Head Hammer Bit</t>
        </is>
      </c>
      <c r="D3558" t="inlineStr">
        <is>
          <t>Diablo by Freud DMAPL4040-P25 3/16 in. x 4 in. x 6 in. Rebar Demon™ SDS-Plus 4-Cutter Full Carbide Head Hammer Bit (25-Pack)</t>
        </is>
      </c>
      <c r="E3558" s="2" t="n"/>
      <c r="F3558" t="inlineStr">
        <is>
          <t>B089LKW42D</t>
        </is>
      </c>
      <c r="G3558">
        <f>_xlfn.IMAGE("https://edmondsonsupply.com/cdn/shop/products/DMAPL4100_Main-Image20200701.png?v=1633030520")</f>
        <v/>
      </c>
      <c r="H3558">
        <f>_xlfn.IMAGE("https://m.media-amazon.com/images/I/61WAyx865hL._AC_UL320_.jpg")</f>
        <v/>
      </c>
      <c r="K3558" t="inlineStr">
        <is>
          <t>16.97</t>
        </is>
      </c>
      <c r="L3558" t="n">
        <v>79.63</v>
      </c>
      <c r="M3558" s="1" t="inlineStr">
        <is>
          <t>369.24%</t>
        </is>
      </c>
      <c r="N3558" s="7" t="n">
        <v>47.32</v>
      </c>
      <c r="O3558" t="n">
        <v>5</v>
      </c>
      <c r="P3558" t="n">
        <v>2</v>
      </c>
      <c r="R3558" t="inlineStr">
        <is>
          <t>InStock</t>
        </is>
      </c>
      <c r="S3558" t="inlineStr">
        <is>
          <t>undefined</t>
        </is>
      </c>
      <c r="T3558" t="inlineStr">
        <is>
          <t>5399840882856</t>
        </is>
      </c>
    </row>
    <row r="3559" ht="87" customHeight="1">
      <c r="A3559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3559" s="2">
        <f>HYPERLINK("https://edmondsonsupply.com/products/klein-tools-66076-flip-impact-socket-9-16-and-1-2-inch", "https://edmondsonsupply.com/products/klein-tools-66076-flip-impact-socket-9-16-and-1-2-inch")</f>
        <v/>
      </c>
      <c r="C3559" t="inlineStr">
        <is>
          <t>Klein Tools 66076 Flip Impact Socket, 9/16 and 1/2-Inch</t>
        </is>
      </c>
      <c r="D3559" t="inlineStr">
        <is>
          <t>Klein Tools 66031 3-in-1 Slotted Impact Socket, 12-Point Deep Sockets, Coaxial Spring Loaded, 3/4 and 9/16-Inch Hex Sizes, 1/2-Inch Drive</t>
        </is>
      </c>
      <c r="E3559" s="2">
        <f>HYPERLINK("https://www.amazon.com/Klein-Tools-66031-Slotted-12-Point/dp/B08R6FL5P8/ref=sr_1_5?keywords=Klein+Tools+66076+Flip+Impact+Socket%2C+9%2F16+and+1%2F2-Inch&amp;qid=1694735129&amp;sr=8-5", "https://www.amazon.com/Klein-Tools-66031-Slotted-12-Point/dp/B08R6FL5P8/ref=sr_1_5?keywords=Klein+Tools+66076+Flip+Impact+Socket%2C+9%2F16+and+1%2F2-Inch&amp;qid=1694735129&amp;sr=8-5")</f>
        <v/>
      </c>
      <c r="F3559" t="inlineStr">
        <is>
          <t>B08R6FL5P8</t>
        </is>
      </c>
      <c r="G3559">
        <f>_xlfn.IMAGE("https://edmondsonsupply.com/cdn/shop/products/66076.jpg?v=1663083814")</f>
        <v/>
      </c>
      <c r="H3559">
        <f>_xlfn.IMAGE("https://m.media-amazon.com/images/I/51mIf57QKuL._AC_UL320_.jpg")</f>
        <v/>
      </c>
      <c r="K3559" t="inlineStr">
        <is>
          <t>10.71</t>
        </is>
      </c>
      <c r="L3559" t="n">
        <v>49.99</v>
      </c>
      <c r="M3559" s="1" t="inlineStr">
        <is>
          <t>366.76%</t>
        </is>
      </c>
      <c r="N3559" s="7" t="n">
        <v>47.25</v>
      </c>
      <c r="O3559" t="n">
        <v>4.8</v>
      </c>
      <c r="P3559" t="n">
        <v>661</v>
      </c>
      <c r="R3559" t="inlineStr">
        <is>
          <t>InStock</t>
        </is>
      </c>
      <c r="S3559" t="inlineStr">
        <is>
          <t>15.0</t>
        </is>
      </c>
      <c r="T3559" t="inlineStr">
        <is>
          <t>7814133874904</t>
        </is>
      </c>
    </row>
    <row r="3560" ht="87" customHeight="1">
      <c r="A3560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3560" s="2">
        <f>HYPERLINK("https://edmondsonsupply.com/products/klein-tools-66076-flip-impact-socket-9-16-and-1-2-inch", "https://edmondsonsupply.com/products/klein-tools-66076-flip-impact-socket-9-16-and-1-2-inch")</f>
        <v/>
      </c>
      <c r="C3560" t="inlineStr">
        <is>
          <t>Klein Tools 66076 Flip Impact Socket, 9/16 and 1/2-Inch</t>
        </is>
      </c>
      <c r="D3560" t="inlineStr">
        <is>
          <t>Klein Tools 66070 Impact Socket Set, Impact Driver Flip Socket, Five Sockets with 1/4-Inch Hex and 1/2-Inch Square Socket Adapters, 7-Piece</t>
        </is>
      </c>
      <c r="E3560" s="2">
        <f>HYPERLINK("https://www.amazon.com/Klein-Tools-66070-Sockets-Adapters/dp/B0B33XLXD1/ref=sr_1_2?keywords=Klein+Tools+66076+Flip+Impact+Socket%2C+9%2F16+and+1%2F2-Inch&amp;qid=1694735129&amp;sr=8-2", "https://www.amazon.com/Klein-Tools-66070-Sockets-Adapters/dp/B0B33XLXD1/ref=sr_1_2?keywords=Klein+Tools+66076+Flip+Impact+Socket%2C+9%2F16+and+1%2F2-Inch&amp;qid=1694735129&amp;sr=8-2")</f>
        <v/>
      </c>
      <c r="F3560" t="inlineStr">
        <is>
          <t>B0B33XLXD1</t>
        </is>
      </c>
      <c r="G3560">
        <f>_xlfn.IMAGE("https://edmondsonsupply.com/cdn/shop/products/66076.jpg?v=1663083814")</f>
        <v/>
      </c>
      <c r="H3560">
        <f>_xlfn.IMAGE("https://m.media-amazon.com/images/I/71D23SffznL._AC_UL320_.jpg")</f>
        <v/>
      </c>
      <c r="K3560" t="inlineStr">
        <is>
          <t>10.71</t>
        </is>
      </c>
      <c r="L3560" t="n">
        <v>49.97</v>
      </c>
      <c r="M3560" s="1" t="inlineStr">
        <is>
          <t>366.57%</t>
        </is>
      </c>
      <c r="N3560" s="7" t="n">
        <v>47.18</v>
      </c>
      <c r="O3560" t="n">
        <v>4.8</v>
      </c>
      <c r="P3560" t="n">
        <v>1150</v>
      </c>
      <c r="R3560" t="inlineStr">
        <is>
          <t>InStock</t>
        </is>
      </c>
      <c r="S3560" t="inlineStr">
        <is>
          <t>15.0</t>
        </is>
      </c>
      <c r="T3560" t="inlineStr">
        <is>
          <t>7814133874904</t>
        </is>
      </c>
    </row>
    <row r="3561" ht="87" customHeight="1">
      <c r="A3561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561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561" t="inlineStr">
        <is>
          <t>Diablo Tools DMAPL4140 3/8 in. x 4 in. x 6 in. Rebar Demon™ SDS-Plus 4-Cutter Full Carbide Head Hammer Bit</t>
        </is>
      </c>
      <c r="D3561" t="inlineStr">
        <is>
          <t>Diablo 5/8"x 16"x18" Rebar Demon™ SDS-Plus 4-Cutter Full Carbide Head Hammer Bit</t>
        </is>
      </c>
      <c r="E3561" s="2">
        <f>HYPERLINK("https://www.amazon.com/Diablo-SDS-Plus-4-Cutter-Carbide-Hammer/dp/B089LDNZSN/ref=sr_1_26?keywords=Diablo+Tools+DMAPL4140+3%2F8+in.+x+4+in.+x+6+in.+Rebar+Demon%E2%84%A2+SDS-Plus+4-Cutter+Full+Carbide+Head+Hammer+Bit&amp;qid=1694735296&amp;sr=8-26", "https://www.amazon.com/Diablo-SDS-Plus-4-Cutter-Carbide-Hammer/dp/B089LDNZSN/ref=sr_1_26?keywords=Diablo+Tools+DMAPL4140+3%2F8+in.+x+4+in.+x+6+in.+Rebar+Demon%E2%84%A2+SDS-Plus+4-Cutter+Full+Carbide+Head+Hammer+Bit&amp;qid=1694735296&amp;sr=8-26")</f>
        <v/>
      </c>
      <c r="F3561" t="inlineStr">
        <is>
          <t>B089LDNZSN</t>
        </is>
      </c>
      <c r="G3561">
        <f>_xlfn.IMAGE("https://edmondsonsupply.com/cdn/shop/products/DMAPL4140_Main-Image20200701.png?v=1633030360")</f>
        <v/>
      </c>
      <c r="H3561">
        <f>_xlfn.IMAGE("https://m.media-amazon.com/images/I/61Vv8Hsfp5L._AC_UL320_.jpg")</f>
        <v/>
      </c>
      <c r="K3561" t="inlineStr">
        <is>
          <t>7.29</t>
        </is>
      </c>
      <c r="L3561" t="n">
        <v>33.98</v>
      </c>
      <c r="M3561" s="1" t="inlineStr">
        <is>
          <t>366.12%</t>
        </is>
      </c>
      <c r="N3561" s="7" t="n">
        <v>47.14</v>
      </c>
      <c r="O3561" t="n">
        <v>4.6</v>
      </c>
      <c r="P3561" t="n">
        <v>10</v>
      </c>
      <c r="R3561" t="inlineStr">
        <is>
          <t>InStock</t>
        </is>
      </c>
      <c r="S3561" t="inlineStr">
        <is>
          <t>undefined</t>
        </is>
      </c>
      <c r="T3561" t="inlineStr">
        <is>
          <t>5286771949736</t>
        </is>
      </c>
    </row>
    <row r="3562" ht="87" customHeight="1">
      <c r="A3562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562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562" t="inlineStr">
        <is>
          <t>Diablo Tools DMAPL4140 3/8 in. x 4 in. x 6 in. Rebar Demon™ SDS-Plus 4-Cutter Full Carbide Head Hammer Bit</t>
        </is>
      </c>
      <c r="D3562" t="inlineStr">
        <is>
          <t>Diablo by Freud DMAPL4300 1 in. x 8 in. x 10 in. Rebar Demon™ SDS-Plus 4-Cutter Full Carbide Head Hammer Bit</t>
        </is>
      </c>
      <c r="E3562" s="2">
        <f>HYPERLINK("https://www.amazon.com/Diablo-Freud-DMAPL4300-SDS-Plus-4-Cutter/dp/B089LL8JD8/ref=sr_1_23?keywords=Diablo+Tools+DMAPL4140+3%2F8+in.+x+4+in.+x+6+in.+Rebar+Demon%E2%84%A2+SDS-Plus+4-Cutter+Full+Carbide+Head+Hammer+Bit&amp;qid=1694735296&amp;sr=8-23", "https://www.amazon.com/Diablo-Freud-DMAPL4300-SDS-Plus-4-Cutter/dp/B089LL8JD8/ref=sr_1_23?keywords=Diablo+Tools+DMAPL4140+3%2F8+in.+x+4+in.+x+6+in.+Rebar+Demon%E2%84%A2+SDS-Plus+4-Cutter+Full+Carbide+Head+Hammer+Bit&amp;qid=1694735296&amp;sr=8-23")</f>
        <v/>
      </c>
      <c r="F3562" t="inlineStr">
        <is>
          <t>B089LL8JD8</t>
        </is>
      </c>
      <c r="G3562">
        <f>_xlfn.IMAGE("https://edmondsonsupply.com/cdn/shop/products/DMAPL4140_Main-Image20200701.png?v=1633030360")</f>
        <v/>
      </c>
      <c r="H3562">
        <f>_xlfn.IMAGE("https://m.media-amazon.com/images/I/616UiJGsK1L._AC_UL320_.jpg")</f>
        <v/>
      </c>
      <c r="K3562" t="inlineStr">
        <is>
          <t>7.29</t>
        </is>
      </c>
      <c r="L3562" t="n">
        <v>33.95</v>
      </c>
      <c r="M3562" s="1" t="inlineStr">
        <is>
          <t>365.71%</t>
        </is>
      </c>
      <c r="N3562" s="7" t="n">
        <v>47.08</v>
      </c>
      <c r="O3562" t="n">
        <v>4.5</v>
      </c>
      <c r="P3562" t="n">
        <v>16</v>
      </c>
      <c r="R3562" t="inlineStr">
        <is>
          <t>InStock</t>
        </is>
      </c>
      <c r="S3562" t="inlineStr">
        <is>
          <t>undefined</t>
        </is>
      </c>
      <c r="T3562" t="inlineStr">
        <is>
          <t>5286771949736</t>
        </is>
      </c>
    </row>
    <row r="3563" ht="87" customHeight="1">
      <c r="A3563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563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563" t="inlineStr">
        <is>
          <t>Diablo Tools DMAPL4020 5/32 in. x 4 in. x 6 in. Rebar Demon™ SDS-Plus 4-Cutter Full Carbide Head Hammer Bit</t>
        </is>
      </c>
      <c r="D3563" t="inlineStr">
        <is>
          <t>Diablo by Freud DMAPL4270 27/32 in. x 8 in. x 10 in. Rebar Demon SDS-Plus 4-Cutter Full Carbide Head Hammer Bit</t>
        </is>
      </c>
      <c r="E3563" s="2">
        <f>HYPERLINK("https://www.amazon.com/Diablo-Freud-DMAPL4270-SDS-Plus-4-Cutter/dp/B089KXBGLM/ref=sr_1_23?keywords=Diablo+Tools+DMAPL4020+5%2F32+in.+x+4+in.+x+6+in.+Rebar+Demon%E2%84%A2+SDS-Plus+4-Cutter+Full+Carbide+Head+Hammer+Bit&amp;qid=1694735291&amp;sr=8-23", "https://www.amazon.com/Diablo-Freud-DMAPL4270-SDS-Plus-4-Cutter/dp/B089KXBGLM/ref=sr_1_23?keywords=Diablo+Tools+DMAPL4020+5%2F32+in.+x+4+in.+x+6+in.+Rebar+Demon%E2%84%A2+SDS-Plus+4-Cutter+Full+Carbide+Head+Hammer+Bit&amp;qid=1694735291&amp;sr=8-23")</f>
        <v/>
      </c>
      <c r="F3563" t="inlineStr">
        <is>
          <t>B089KXBGLM</t>
        </is>
      </c>
      <c r="G3563">
        <f>_xlfn.IMAGE("https://edmondsonsupply.com/cdn/shop/products/DMAPL4020_1.jpg?v=1633030415")</f>
        <v/>
      </c>
      <c r="H3563">
        <f>_xlfn.IMAGE("https://m.media-amazon.com/images/I/611A6sphG9L._AC_UL320_.jpg")</f>
        <v/>
      </c>
      <c r="K3563" t="inlineStr">
        <is>
          <t>6.47</t>
        </is>
      </c>
      <c r="L3563" t="n">
        <v>30.13</v>
      </c>
      <c r="M3563" s="1" t="inlineStr">
        <is>
          <t>365.69%</t>
        </is>
      </c>
      <c r="N3563" s="7" t="n">
        <v>47</v>
      </c>
      <c r="O3563" t="n">
        <v>5</v>
      </c>
      <c r="P3563" t="n">
        <v>2</v>
      </c>
      <c r="R3563" t="inlineStr">
        <is>
          <t>InStock</t>
        </is>
      </c>
      <c r="S3563" t="inlineStr">
        <is>
          <t>9.44</t>
        </is>
      </c>
      <c r="T3563" t="inlineStr">
        <is>
          <t>5313711046824</t>
        </is>
      </c>
    </row>
    <row r="3564" ht="87" customHeight="1">
      <c r="A3564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564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564" t="inlineStr">
        <is>
          <t>Diablo Tools DMAPL4100 1/4 in. x 16 in. x 18 in. Rebar Demon™ SDS‑Plus 4‑Cutter Full Carbide Head Hammer Bit</t>
        </is>
      </c>
      <c r="D3564" t="inlineStr">
        <is>
          <t>Diablo DMAMX1110 5/8 in. x 24 in. x 29 in. Rebar Demon™ SDS-Max 4-Cutter Full Carbide Head Hammer Bit</t>
        </is>
      </c>
      <c r="E3564" s="2">
        <f>HYPERLINK("https://www.amazon.com/Diablo-SDS-Max-4-Cutter-Carbide-Hammer/dp/B089LJ9GHW/ref=sr_1_38?keywords=Diablo+Tools+DMAPL4100+1%2F4+in.+x+16+in.+x+18+in.+Rebar+Demon%E2%84%A2+SDS%E2%80%91Plus+4%E2%80%91Cutter+Full+Carbide+Head+Hammer+Bit&amp;qid=1694735272&amp;sr=8-38", "https://www.amazon.com/Diablo-SDS-Max-4-Cutter-Carbide-Hammer/dp/B089LJ9GHW/ref=sr_1_38?keywords=Diablo+Tools+DMAPL4100+1%2F4+in.+x+16+in.+x+18+in.+Rebar+Demon%E2%84%A2+SDS%E2%80%91Plus+4%E2%80%91Cutter+Full+Carbide+Head+Hammer+Bit&amp;qid=1694735272&amp;sr=8-38")</f>
        <v/>
      </c>
      <c r="F3564" t="inlineStr">
        <is>
          <t>B089LJ9GHW</t>
        </is>
      </c>
      <c r="G3564">
        <f>_xlfn.IMAGE("https://edmondsonsupply.com/cdn/shop/products/DMAPL4100_Main-Image20200701.png?v=1633030520")</f>
        <v/>
      </c>
      <c r="H3564">
        <f>_xlfn.IMAGE("https://m.media-amazon.com/images/I/61vWAd-z8eL._AC_UL320_.jpg")</f>
        <v/>
      </c>
      <c r="K3564" t="inlineStr">
        <is>
          <t>16.97</t>
        </is>
      </c>
      <c r="L3564" t="n">
        <v>78.98999999999999</v>
      </c>
      <c r="M3564" s="1" t="inlineStr">
        <is>
          <t>365.47%</t>
        </is>
      </c>
      <c r="N3564" s="7" t="n">
        <v>46.83</v>
      </c>
      <c r="O3564" t="n">
        <v>4.7</v>
      </c>
      <c r="P3564" t="n">
        <v>4</v>
      </c>
      <c r="R3564" t="inlineStr">
        <is>
          <t>InStock</t>
        </is>
      </c>
      <c r="S3564" t="inlineStr">
        <is>
          <t>undefined</t>
        </is>
      </c>
      <c r="T3564" t="inlineStr">
        <is>
          <t>5399840882856</t>
        </is>
      </c>
    </row>
    <row r="3565" ht="87" customHeight="1">
      <c r="A3565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565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565" t="inlineStr">
        <is>
          <t>Diablo Tools DMAPL4010 5/32 in. x 2 in. x 4 in. Rebar Demon™ SDS-Plus 4-Cutter Full Carbide Head Hammer Bit</t>
        </is>
      </c>
      <c r="D3565" t="inlineStr">
        <is>
          <t>Diablo by Freud DMAPL4270 27/32 in. x 8 in. x 10 in. Rebar Demon SDS-Plus 4-Cutter Full Carbide Head Hammer Bit</t>
        </is>
      </c>
      <c r="E3565" s="2">
        <f>HYPERLINK("https://www.amazon.com/Diablo-Freud-DMAPL4270-SDS-Plus-4-Cutter/dp/B089KXBGLM/ref=sr_1_31?keywords=Diablo+Tools+DMAPL4010+5%2F32+in.+x+2+in.+x+4+in.+Rebar+Demon%E2%84%A2+SDS-Plus+4-Cutter+Full+Carbide+Head+Hammer+Bit&amp;qid=1694735296&amp;sr=8-31", "https://www.amazon.com/Diablo-Freud-DMAPL4270-SDS-Plus-4-Cutter/dp/B089KXBGLM/ref=sr_1_31?keywords=Diablo+Tools+DMAPL4010+5%2F32+in.+x+2+in.+x+4+in.+Rebar+Demon%E2%84%A2+SDS-Plus+4-Cutter+Full+Carbide+Head+Hammer+Bit&amp;qid=1694735296&amp;sr=8-31")</f>
        <v/>
      </c>
      <c r="F3565" t="inlineStr">
        <is>
          <t>B089KXBGLM</t>
        </is>
      </c>
      <c r="G3565">
        <f>_xlfn.IMAGE("https://edmondsonsupply.com/cdn/shop/products/DMAPL4010.jpg?v=1633030357")</f>
        <v/>
      </c>
      <c r="H3565">
        <f>_xlfn.IMAGE("https://m.media-amazon.com/images/I/611A6sphG9L._AC_UL320_.jpg")</f>
        <v/>
      </c>
      <c r="K3565" t="inlineStr">
        <is>
          <t>6.48</t>
        </is>
      </c>
      <c r="L3565" t="n">
        <v>30.13</v>
      </c>
      <c r="M3565" s="1" t="inlineStr">
        <is>
          <t>364.97%</t>
        </is>
      </c>
      <c r="N3565" s="7" t="n">
        <v>46.82</v>
      </c>
      <c r="O3565" t="n">
        <v>5</v>
      </c>
      <c r="P3565" t="n">
        <v>2</v>
      </c>
      <c r="R3565" t="inlineStr">
        <is>
          <t>InStock</t>
        </is>
      </c>
      <c r="S3565" t="inlineStr">
        <is>
          <t>10.3</t>
        </is>
      </c>
      <c r="T3565" t="inlineStr">
        <is>
          <t>5286308380840</t>
        </is>
      </c>
    </row>
    <row r="3566" ht="87" customHeight="1">
      <c r="A3566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566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566" t="inlineStr">
        <is>
          <t>Diablo Tools DMAPL4040 3/16 in. x 4 in. x 6 in. Rebar Demon™ SDS-Plus 4-Cutter Full Carbide Head Hammer Bit</t>
        </is>
      </c>
      <c r="D3566" t="inlineStr">
        <is>
          <t>Diablo 3/4"x 16"x18" Rebar Demon SDS-Plus 4-Cutter Full Carbide Head Hammer Bit</t>
        </is>
      </c>
      <c r="E3566" s="2">
        <f>HYPERLINK("https://www.amazon.com/Diablo-Freud-DMAPL4260-SDS-Plus-4-Cutter/dp/B089LK4H2L/ref=sr_1_11?keywords=Diablo+Tools+DMAPL4040+3%2F16+in.+x+4+in.+x+6+in.+Rebar+Demon%E2%84%A2+SDS-Plus+4-Cutter+Full+Carbide+Head+Hammer+Bit&amp;qid=1694735297&amp;sr=8-11", "https://www.amazon.com/Diablo-Freud-DMAPL4260-SDS-Plus-4-Cutter/dp/B089LK4H2L/ref=sr_1_11?keywords=Diablo+Tools+DMAPL4040+3%2F16+in.+x+4+in.+x+6+in.+Rebar+Demon%E2%84%A2+SDS-Plus+4-Cutter+Full+Carbide+Head+Hammer+Bit&amp;qid=1694735297&amp;sr=8-11")</f>
        <v/>
      </c>
      <c r="F3566" t="inlineStr">
        <is>
          <t>B089LK4H2L</t>
        </is>
      </c>
      <c r="G3566">
        <f>_xlfn.IMAGE("https://edmondsonsupply.com/cdn/shop/products/DMAPL4040_Main-Image20200701.png?v=1633030358")</f>
        <v/>
      </c>
      <c r="H3566">
        <f>_xlfn.IMAGE("https://m.media-amazon.com/images/I/61K1ugH5-zL._AC_UL320_.jpg")</f>
        <v/>
      </c>
      <c r="K3566" t="inlineStr">
        <is>
          <t>8.47</t>
        </is>
      </c>
      <c r="L3566" t="n">
        <v>39.36</v>
      </c>
      <c r="M3566" s="1" t="inlineStr">
        <is>
          <t>364.70%</t>
        </is>
      </c>
      <c r="N3566" s="7" t="n">
        <v>46.64</v>
      </c>
      <c r="O3566" t="n">
        <v>4.7</v>
      </c>
      <c r="P3566" t="n">
        <v>15</v>
      </c>
      <c r="R3566" t="inlineStr">
        <is>
          <t>InStock</t>
        </is>
      </c>
      <c r="S3566" t="inlineStr">
        <is>
          <t>undefined</t>
        </is>
      </c>
      <c r="T3566" t="inlineStr">
        <is>
          <t>5286740426920</t>
        </is>
      </c>
    </row>
    <row r="3567" ht="87" customHeight="1">
      <c r="A3567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3567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3567" t="inlineStr">
        <is>
          <t>Diablo Tools DMAPL4300 1 in. x 8 in. x 10 in. Rebar Demon™ SDS‑Plus 4‑Cutter Full Carbide Head Hammer Drill Bit</t>
        </is>
      </c>
      <c r="D3567" t="inlineStr">
        <is>
          <t>Diablo by Freud DMAPL4160-P25 3/8 in. x 10 in. x 12 in. Rebar Demon SDS-Plus 4-Cutter Full Carbide Head Hammer Bit (25-Pack)</t>
        </is>
      </c>
      <c r="E3567" s="2" t="n"/>
      <c r="F3567" t="inlineStr">
        <is>
          <t>B089LKWCD1</t>
        </is>
      </c>
      <c r="G3567">
        <f>_xlfn.IMAGE("https://edmondsonsupply.com/cdn/shop/products/DMAPL4300_Additional-Images_0120200225.png?v=1633030652")</f>
        <v/>
      </c>
      <c r="H3567">
        <f>_xlfn.IMAGE("https://m.media-amazon.com/images/I/61MHnm3+2bL._AC_UL320_.jpg")</f>
        <v/>
      </c>
      <c r="K3567" t="inlineStr">
        <is>
          <t>38.97</t>
        </is>
      </c>
      <c r="L3567" t="n">
        <v>180.97</v>
      </c>
      <c r="M3567" s="1" t="inlineStr">
        <is>
          <t>364.38%</t>
        </is>
      </c>
      <c r="N3567" s="7" t="n">
        <v>46.56</v>
      </c>
      <c r="O3567" t="n">
        <v>5</v>
      </c>
      <c r="P3567" t="n">
        <v>1</v>
      </c>
      <c r="R3567" t="inlineStr">
        <is>
          <t>InStock</t>
        </is>
      </c>
      <c r="S3567" t="inlineStr">
        <is>
          <t>52.66</t>
        </is>
      </c>
      <c r="T3567" t="inlineStr">
        <is>
          <t>5740518637736</t>
        </is>
      </c>
    </row>
    <row r="3568" ht="87" customHeight="1">
      <c r="A3568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568" s="2">
        <f>HYPERLINK("https://edmondsonsupply.com/products/klein-tools-56331-steel-fish-tape-1-8-inch-x-50-foot", "https://edmondsonsupply.com/products/klein-tools-56331-steel-fish-tape-1-8-inch-x-50-foot")</f>
        <v/>
      </c>
      <c r="C3568" t="inlineStr">
        <is>
          <t>Klein Tools 56331 Steel Fish Tape, 1/8-Inch x 50-Foot</t>
        </is>
      </c>
      <c r="D3568" t="inlineStr">
        <is>
          <t>Klein Tools 56008 Fish Tape, 1/8-Inch Stainless Steel Fish Tape , Easy-Feed Sloped Handle, 240-Foot, Updated Model Cat. No. 56341 Available</t>
        </is>
      </c>
      <c r="E3568" s="2">
        <f>HYPERLINK("https://www.amazon.com/Stainless-240-Foot-Klein-Tools-56008/dp/B002PDVHXO/ref=sr_1_20?keywords=Klein+Tools+56331+Steel+Fish+Tape%2C+1%2F8-Inch+x+50-Foot&amp;qid=1694735384&amp;sr=8-20", "https://www.amazon.com/Stainless-240-Foot-Klein-Tools-56008/dp/B002PDVHXO/ref=sr_1_20?keywords=Klein+Tools+56331+Steel+Fish+Tape%2C+1%2F8-Inch+x+50-Foot&amp;qid=1694735384&amp;sr=8-20")</f>
        <v/>
      </c>
      <c r="F3568" t="inlineStr">
        <is>
          <t>B002PDVHXO</t>
        </is>
      </c>
      <c r="G3568">
        <f>_xlfn.IMAGE("https://edmondsonsupply.com/cdn/shop/products/56331.jpg?v=1587143350")</f>
        <v/>
      </c>
      <c r="H3568">
        <f>_xlfn.IMAGE("https://m.media-amazon.com/images/I/61xbap4AX1L._AC_UL320_.jpg")</f>
        <v/>
      </c>
      <c r="K3568" t="inlineStr">
        <is>
          <t>24.99</t>
        </is>
      </c>
      <c r="L3568" t="n">
        <v>115.99</v>
      </c>
      <c r="M3568" s="1" t="inlineStr">
        <is>
          <t>364.15%</t>
        </is>
      </c>
      <c r="N3568" s="7" t="n">
        <v>46.45</v>
      </c>
      <c r="O3568" t="n">
        <v>4.1</v>
      </c>
      <c r="P3568" t="n">
        <v>25</v>
      </c>
      <c r="R3568" t="inlineStr">
        <is>
          <t>InStock</t>
        </is>
      </c>
      <c r="S3568" t="inlineStr">
        <is>
          <t>30.9</t>
        </is>
      </c>
      <c r="T3568" t="inlineStr">
        <is>
          <t>4412204056676</t>
        </is>
      </c>
    </row>
    <row r="3569" ht="87" customHeight="1">
      <c r="A3569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569" s="2">
        <f>HYPERLINK("https://edmondsonsupply.com/products/klein-tools-rt250-gfci-receptacle-tester-with-lcd", "https://edmondsonsupply.com/products/klein-tools-rt250-gfci-receptacle-tester-with-lcd")</f>
        <v/>
      </c>
      <c r="C3569" t="inlineStr">
        <is>
          <t>Klein Tools RT250 GFCI Receptacle Tester with LCD</t>
        </is>
      </c>
      <c r="D3569" t="inlineStr">
        <is>
          <t>Klein Tools CL120VP Electrical Voltage Test Kit &amp; RT250 GFCI Receptacle Tester with LCD Display, for Standard 3-Wire 120V Electrical Outlets</t>
        </is>
      </c>
      <c r="E3569" s="2">
        <f>HYPERLINK("https://www.amazon.com/Klein-Tools-Electrical-Receptacle-Standard/dp/B0B68HFMSW/ref=sr_1_10?keywords=Klein+Tools+RT250+GFCI+Receptacle+Tester+with+LCD&amp;qid=1694735148&amp;sr=8-10", "https://www.amazon.com/Klein-Tools-Electrical-Receptacle-Standard/dp/B0B68HFMSW/ref=sr_1_10?keywords=Klein+Tools+RT250+GFCI+Receptacle+Tester+with+LCD&amp;qid=1694735148&amp;sr=8-10")</f>
        <v/>
      </c>
      <c r="F3569" t="inlineStr">
        <is>
          <t>B0B68HFMSW</t>
        </is>
      </c>
      <c r="G3569">
        <f>_xlfn.IMAGE("https://edmondsonsupply.com/cdn/shop/products/rt250_photo_c.jpg?v=1661363824")</f>
        <v/>
      </c>
      <c r="H3569">
        <f>_xlfn.IMAGE("https://m.media-amazon.com/images/I/510t4K9B6XL._AC_UL320_.jpg")</f>
        <v/>
      </c>
      <c r="K3569" t="inlineStr">
        <is>
          <t>21.97</t>
        </is>
      </c>
      <c r="L3569" t="n">
        <v>101.95</v>
      </c>
      <c r="M3569" s="1" t="inlineStr">
        <is>
          <t>364.04%</t>
        </is>
      </c>
      <c r="N3569" s="7" t="n">
        <v>46.41</v>
      </c>
      <c r="O3569" t="n">
        <v>4.9</v>
      </c>
      <c r="P3569" t="n">
        <v>22</v>
      </c>
      <c r="R3569" t="inlineStr">
        <is>
          <t>InStock</t>
        </is>
      </c>
      <c r="S3569" t="inlineStr">
        <is>
          <t>30.78</t>
        </is>
      </c>
      <c r="T3569" t="inlineStr">
        <is>
          <t>7793138729176</t>
        </is>
      </c>
    </row>
    <row r="3570" ht="87" customHeight="1">
      <c r="A3570" s="2">
        <f>HYPERLINK("https://edmondsonsupply.com/collections/electricians-tools/products/greenlee-608-1-2-foam-conduit-piston", "https://edmondsonsupply.com/collections/electricians-tools/products/greenlee-608-1-2-foam-conduit-piston")</f>
        <v/>
      </c>
      <c r="B3570" s="2">
        <f>HYPERLINK("https://edmondsonsupply.com/products/greenlee-608-1-2-foam-conduit-piston", "https://edmondsonsupply.com/products/greenlee-608-1-2-foam-conduit-piston")</f>
        <v/>
      </c>
      <c r="C3570" t="inlineStr">
        <is>
          <t>Greenlee 608 1/2" Foam Conduit Piston</t>
        </is>
      </c>
      <c r="D3570" t="inlineStr">
        <is>
          <t>Greenlee 613 Piston For 2" Conduit, 1 Pack by Greenlee</t>
        </is>
      </c>
      <c r="E3570" s="2">
        <f>HYPERLINK("https://www.amazon.com/Greenlee-613-Piston-Conduit-Pack/dp/B0184XZKN6/ref=sr_1_14?keywords=Greenlee+608+1%2F2%22+Foam+Conduit+Piston&amp;qid=1694734991&amp;sr=8-14", "https://www.amazon.com/Greenlee-613-Piston-Conduit-Pack/dp/B0184XZKN6/ref=sr_1_14?keywords=Greenlee+608+1%2F2%22+Foam+Conduit+Piston&amp;qid=1694734991&amp;sr=8-14")</f>
        <v/>
      </c>
      <c r="F3570" t="inlineStr">
        <is>
          <t>B0184XZKN6</t>
        </is>
      </c>
      <c r="G3570">
        <f>_xlfn.IMAGE("https://edmondsonsupply.com/cdn/shop/files/608_2.png?v=1687446700")</f>
        <v/>
      </c>
      <c r="H3570">
        <f>_xlfn.IMAGE("https://m.media-amazon.com/images/I/51w6IU+nu3L._AC_UL320_.jpg")</f>
        <v/>
      </c>
      <c r="K3570" t="inlineStr">
        <is>
          <t>5.99</t>
        </is>
      </c>
      <c r="L3570" t="n">
        <v>27.75</v>
      </c>
      <c r="M3570" s="1" t="inlineStr">
        <is>
          <t>363.27%</t>
        </is>
      </c>
      <c r="N3570" s="7" t="n">
        <v>46.25</v>
      </c>
      <c r="O3570" t="n">
        <v>5</v>
      </c>
      <c r="P3570" t="n">
        <v>5</v>
      </c>
      <c r="R3570" t="inlineStr">
        <is>
          <t>InStock</t>
        </is>
      </c>
      <c r="S3570" t="inlineStr">
        <is>
          <t>undefined</t>
        </is>
      </c>
      <c r="T3570" t="inlineStr">
        <is>
          <t>8007982285016</t>
        </is>
      </c>
    </row>
    <row r="3571" ht="87" customHeight="1">
      <c r="A3571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571" s="2">
        <f>HYPERLINK("https://edmondsonsupply.com/products/klein-tools-rt250-gfci-receptacle-tester-with-lcd", "https://edmondsonsupply.com/products/klein-tools-rt250-gfci-receptacle-tester-with-lcd")</f>
        <v/>
      </c>
      <c r="C3571" t="inlineStr">
        <is>
          <t>Klein Tools RT250 GFCI Receptacle Tester with LCD</t>
        </is>
      </c>
      <c r="D3571" t="inlineStr">
        <is>
          <t>Daniel Woodhead - 840-1760 Woodhead 1760 Receptacle Tension Tester with Carrying Case &amp; Klein Tools RT250 GFCI Outlet Tester with LCD Display, Electric Voltage Tester for Standard</t>
        </is>
      </c>
      <c r="E3571" s="2">
        <f>HYPERLINK("https://www.amazon.com/Daniel-Woodhead-840-1760-Receptacle-Carrying/dp/B0BXJBXLMB/ref=sr_1_13?keywords=Klein+Tools+RT250+GFCI+Receptacle+Tester+with+LCD&amp;qid=1694735148&amp;sr=8-13", "https://www.amazon.com/Daniel-Woodhead-840-1760-Receptacle-Carrying/dp/B0BXJBXLMB/ref=sr_1_13?keywords=Klein+Tools+RT250+GFCI+Receptacle+Tester+with+LCD&amp;qid=1694735148&amp;sr=8-13")</f>
        <v/>
      </c>
      <c r="F3571" t="inlineStr">
        <is>
          <t>B0BXJBXLMB</t>
        </is>
      </c>
      <c r="G3571">
        <f>_xlfn.IMAGE("https://edmondsonsupply.com/cdn/shop/products/rt250_photo_c.jpg?v=1661363824")</f>
        <v/>
      </c>
      <c r="H3571">
        <f>_xlfn.IMAGE("https://m.media-amazon.com/images/I/51Ifzduyy7L._AC_UL320_.jpg")</f>
        <v/>
      </c>
      <c r="K3571" t="inlineStr">
        <is>
          <t>21.97</t>
        </is>
      </c>
      <c r="L3571" t="n">
        <v>101.4</v>
      </c>
      <c r="M3571" s="1" t="inlineStr">
        <is>
          <t>361.54%</t>
        </is>
      </c>
      <c r="N3571" s="7" t="n">
        <v>46.21</v>
      </c>
      <c r="O3571" t="n">
        <v>4.5</v>
      </c>
      <c r="P3571" t="n">
        <v>111</v>
      </c>
      <c r="R3571" t="inlineStr">
        <is>
          <t>InStock</t>
        </is>
      </c>
      <c r="S3571" t="inlineStr">
        <is>
          <t>30.78</t>
        </is>
      </c>
      <c r="T3571" t="inlineStr">
        <is>
          <t>7793138729176</t>
        </is>
      </c>
    </row>
    <row r="3572" ht="87" customHeight="1">
      <c r="A3572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572" s="2">
        <f>HYPERLINK("https://edmondsonsupply.com/products/diablo-tools-d0724x-7-1-4-in-x-24-tooth-framing-saw-blade", "https://edmondsonsupply.com/products/diablo-tools-d0724x-7-1-4-in-x-24-tooth-framing-saw-blade")</f>
        <v/>
      </c>
      <c r="C3572" t="inlineStr">
        <is>
          <t>Diablo Tools D0724X 7-1/4 in. x 24 Tooth Framing Saw Blade</t>
        </is>
      </c>
      <c r="D3572" t="inlineStr">
        <is>
          <t>Freud D0824X Diablo 8-1/4-inch 24 Tooth ATB Thin Kerf Framing Saw Blades, 2-Pack</t>
        </is>
      </c>
      <c r="E3572" s="2">
        <f>HYPERLINK("https://www.amazon.com/Freud-D0824X-Diablo-4-inch-Framing/dp/B00W68OTLK/ref=sr_1_34?keywords=Diablo+Tools+D0724X+7-1%2F4+in.+x+24+Tooth+Framing+Saw+Blade&amp;qid=1694735022&amp;sr=8-34", "https://www.amazon.com/Freud-D0824X-Diablo-4-inch-Framing/dp/B00W68OTLK/ref=sr_1_34?keywords=Diablo+Tools+D0724X+7-1%2F4+in.+x+24+Tooth+Framing+Saw+Blade&amp;qid=1694735022&amp;sr=8-34")</f>
        <v/>
      </c>
      <c r="F3572" t="inlineStr">
        <is>
          <t>B00W68OTLK</t>
        </is>
      </c>
      <c r="G3572">
        <f>_xlfn.IMAGE("https://edmondsonsupply.com/cdn/shop/products/D0724A_Main-Image20200218_ba34939c-8546-489a-9616-b05338ff91cc.png?v=1678971696")</f>
        <v/>
      </c>
      <c r="H3572">
        <f>_xlfn.IMAGE("https://m.media-amazon.com/images/I/71hGL+ZBRfL._AC_UL320_.jpg")</f>
        <v/>
      </c>
      <c r="K3572" t="inlineStr">
        <is>
          <t>9.97</t>
        </is>
      </c>
      <c r="L3572" t="n">
        <v>46</v>
      </c>
      <c r="M3572" s="1" t="inlineStr">
        <is>
          <t>361.38%</t>
        </is>
      </c>
      <c r="N3572" s="7" t="n">
        <v>46.17</v>
      </c>
      <c r="O3572" t="n">
        <v>4.5</v>
      </c>
      <c r="P3572" t="n">
        <v>23</v>
      </c>
      <c r="R3572" t="inlineStr">
        <is>
          <t>InStock</t>
        </is>
      </c>
      <c r="S3572" t="inlineStr">
        <is>
          <t>16.41</t>
        </is>
      </c>
      <c r="T3572" t="inlineStr">
        <is>
          <t>7962598670552</t>
        </is>
      </c>
    </row>
    <row r="3573" ht="87" customHeight="1">
      <c r="A3573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573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573" t="inlineStr">
        <is>
          <t>Diablo Tools D0724A 7-1/4 in. x 24 Tooth Framing Saw Blade</t>
        </is>
      </c>
      <c r="D3573" t="inlineStr">
        <is>
          <t>Freud D0824X Diablo 8-1/4-inch 24 Tooth ATB Thin Kerf Framing Saw Blades, 2-Pack</t>
        </is>
      </c>
      <c r="E3573" s="2">
        <f>HYPERLINK("https://www.amazon.com/Freud-D0824X-Diablo-4-inch-Framing/dp/B00W68OTLK/ref=sr_1_44?keywords=Diablo+Tools+D0724A+7-1%2F4+in.+x+24+Tooth+Framing+Saw+Blade&amp;qid=1694735310&amp;sr=8-44", "https://www.amazon.com/Freud-D0824X-Diablo-4-inch-Framing/dp/B00W68OTLK/ref=sr_1_44?keywords=Diablo+Tools+D0724A+7-1%2F4+in.+x+24+Tooth+Framing+Saw+Blade&amp;qid=1694735310&amp;sr=8-44")</f>
        <v/>
      </c>
      <c r="F3573" t="inlineStr">
        <is>
          <t>B00W68OTLK</t>
        </is>
      </c>
      <c r="G3573">
        <f>_xlfn.IMAGE("https://edmondsonsupply.com/cdn/shop/products/D0724A_Main-Image20200218.png?v=1633030268")</f>
        <v/>
      </c>
      <c r="H3573">
        <f>_xlfn.IMAGE("https://m.media-amazon.com/images/I/71hGL+ZBRfL._AC_UL320_.jpg")</f>
        <v/>
      </c>
      <c r="K3573" t="inlineStr">
        <is>
          <t>9.97</t>
        </is>
      </c>
      <c r="L3573" t="n">
        <v>46</v>
      </c>
      <c r="M3573" s="1" t="inlineStr">
        <is>
          <t>361.38%</t>
        </is>
      </c>
      <c r="N3573" s="7" t="n">
        <v>46.17</v>
      </c>
      <c r="O3573" t="n">
        <v>4.5</v>
      </c>
      <c r="P3573" t="n">
        <v>23</v>
      </c>
      <c r="R3573" t="inlineStr">
        <is>
          <t>InStock</t>
        </is>
      </c>
      <c r="S3573" t="inlineStr">
        <is>
          <t>15.45</t>
        </is>
      </c>
      <c r="T3573" t="inlineStr">
        <is>
          <t>4678532563044</t>
        </is>
      </c>
    </row>
    <row r="3574" ht="87" customHeight="1">
      <c r="A3574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574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574" t="inlineStr">
        <is>
          <t>Diablo Tools DMAPL4220 5/8 in. x 6 in. x 8 in. Rebar Demon™ SDS-Plus 4-Cutter Full Carbide Head Hammer Bit</t>
        </is>
      </c>
      <c r="D3574" t="inlineStr">
        <is>
          <t>Diablo DMAMX1140 3/4 in. x 16 in. x 21 in. Rebar Demon™ SDS-Max 4-Cutter Full Carbide Head Hammer Bit</t>
        </is>
      </c>
      <c r="E3574" s="2">
        <f>HYPERLINK("https://www.amazon.com/Diablo-SDS-Max-4-Cutter-Carbide-Hammer/dp/B089KWP4WK/ref=sr_1_10?keywords=Diablo+Tools+DMAPL4220+5%2F8+in.+x+6+in.+x+8+in.+Rebar+Demon%E2%84%A2+SDS-Plus+4-Cutter+Full+Carbide+Head+Hammer+Bit&amp;qid=1694735306&amp;sr=8-10", "https://www.amazon.com/Diablo-SDS-Max-4-Cutter-Carbide-Hammer/dp/B089KWP4WK/ref=sr_1_10?keywords=Diablo+Tools+DMAPL4220+5%2F8+in.+x+6+in.+x+8+in.+Rebar+Demon%E2%84%A2+SDS-Plus+4-Cutter+Full+Carbide+Head+Hammer+Bit&amp;qid=1694735306&amp;sr=8-10")</f>
        <v/>
      </c>
      <c r="F3574" t="inlineStr">
        <is>
          <t>B089KWP4WK</t>
        </is>
      </c>
      <c r="G3574">
        <f>_xlfn.IMAGE("https://edmondsonsupply.com/cdn/shop/products/DMAPL4220.jpg?v=1633030355")</f>
        <v/>
      </c>
      <c r="H3574">
        <f>_xlfn.IMAGE("https://m.media-amazon.com/images/I/61yWWNP1xrL._AC_UL320_.jpg")</f>
        <v/>
      </c>
      <c r="K3574" t="inlineStr">
        <is>
          <t>10.97</t>
        </is>
      </c>
      <c r="L3574" t="n">
        <v>50.26</v>
      </c>
      <c r="M3574" s="1" t="inlineStr">
        <is>
          <t>358.16%</t>
        </is>
      </c>
      <c r="N3574" s="7" t="n">
        <v>46.12</v>
      </c>
      <c r="O3574" t="n">
        <v>5</v>
      </c>
      <c r="P3574" t="n">
        <v>9</v>
      </c>
      <c r="R3574" t="inlineStr">
        <is>
          <t>InStock</t>
        </is>
      </c>
      <c r="S3574" t="inlineStr">
        <is>
          <t>17.16</t>
        </is>
      </c>
      <c r="T3574" t="inlineStr">
        <is>
          <t>5286142148776</t>
        </is>
      </c>
    </row>
    <row r="3575" hidden="1" ht="15.75" customHeight="1">
      <c r="A3575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3575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3575" t="inlineStr">
        <is>
          <t>Diablo Tools DMAPL4230 5/8 in. x 10 in. x 12 in. Rebar Demon™ SDS‑Plus 4‑Cutter Full Carbide Head Hammer Bit</t>
        </is>
      </c>
      <c r="D3575" t="inlineStr">
        <is>
          <t>Diablo by Freud DMAMX1120 5/8 in. x 31 in. x 36 in. Rebar Demon SDS-Max 4-Cutter Full Carbide Head Hammer Bit</t>
        </is>
      </c>
      <c r="E3575" s="2">
        <f>HYPERLINK("https://www.amazon.com/Diablo-SDS-Max-4-Cutter-Carbide-Hammer/dp/B089LJFH3C/ref=sr_1_29?keywords=Diablo+Tools+DMAPL4230+5%2F8+in.+x+10+in.+x+12+in.+Rebar+Demon%E2%84%A2+SDS%E2%80%91Plus+4%E2%80%91Cutter+Full+Carbide+Head+Hammer+Bit&amp;qid=1694735289&amp;sr=8-29", "https://www.amazon.com/Diablo-SDS-Max-4-Cutter-Carbide-Hammer/dp/B089LJFH3C/ref=sr_1_29?keywords=Diablo+Tools+DMAPL4230+5%2F8+in.+x+10+in.+x+12+in.+Rebar+Demon%E2%84%A2+SDS%E2%80%91Plus+4%E2%80%91Cutter+Full+Carbide+Head+Hammer+Bit&amp;qid=1694735289&amp;sr=8-29")</f>
        <v/>
      </c>
      <c r="F3575" t="inlineStr">
        <is>
          <t>B089LJFH3C</t>
        </is>
      </c>
      <c r="G3575">
        <f>_xludf.IMAGE("https://edmondsonsupply.com/cdn/shop/products/DMAPL4230_Main-Image20200701.png?v=1633030428")</f>
        <v/>
      </c>
      <c r="H3575">
        <f>_xludf.IMAGE("https://m.media-amazon.com/images/I/615ffyRtaAL._AC_UL320_.jpg")</f>
        <v/>
      </c>
      <c r="K3575" t="inlineStr">
        <is>
          <t>17.97</t>
        </is>
      </c>
      <c r="L3575" t="n">
        <v>82.18000000000001</v>
      </c>
      <c r="M3575" s="1" t="inlineStr">
        <is>
          <t>357.32%</t>
        </is>
      </c>
      <c r="N3575" s="1" t="n">
        <v>46.04</v>
      </c>
      <c r="O3575" t="n">
        <v>3.9</v>
      </c>
      <c r="P3575" t="n">
        <v>4</v>
      </c>
      <c r="R3575" t="inlineStr">
        <is>
          <t>InStock</t>
        </is>
      </c>
      <c r="S3575" t="inlineStr">
        <is>
          <t>27.18</t>
        </is>
      </c>
      <c r="T3575" t="inlineStr">
        <is>
          <t>5326959476904</t>
        </is>
      </c>
    </row>
    <row r="3576" ht="87" customHeight="1">
      <c r="A3576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3576" s="2">
        <f>HYPERLINK("https://edmondsonsupply.com/products/klein-tools-635-7-16-7-16-inch-heavy-duty-nut-driver", "https://edmondsonsupply.com/products/klein-tools-635-7-16-7-16-inch-heavy-duty-nut-driver")</f>
        <v/>
      </c>
      <c r="C3576" t="inlineStr">
        <is>
          <t>Klein Tools 635-7/16 7/16-Inch Heavy-Duty Nut Driver</t>
        </is>
      </c>
      <c r="D3576" t="inlineStr">
        <is>
          <t>Klein Tools 89904 Tool Set, Nut Drivers Sizes 3/16, 1/4, 5/16, 11/32, 3/8, 7/16, 1/2-Inch, 6-Inch Shafts, 7-Piece</t>
        </is>
      </c>
      <c r="E3576" s="2">
        <f>HYPERLINK("https://www.amazon.com/Klein-Tools-Nut-Driver-89904/dp/B000MB1JMU/ref=sr_1_44?keywords=Klein+Tools+635-7%2F16+7%2F16-Inch+Heavy-Duty+Nut+Driver&amp;qid=1694735398&amp;sr=8-44", "https://www.amazon.com/Klein-Tools-Nut-Driver-89904/dp/B000MB1JMU/ref=sr_1_44?keywords=Klein+Tools+635-7%2F16+7%2F16-Inch+Heavy-Duty+Nut+Driver&amp;qid=1694735398&amp;sr=8-44")</f>
        <v/>
      </c>
      <c r="F3576" t="inlineStr">
        <is>
          <t>B000MB1JMU</t>
        </is>
      </c>
      <c r="G3576">
        <f>_xlfn.IMAGE("https://edmondsonsupply.com/cdn/shop/products/635-7-16.jpg?v=1587145128")</f>
        <v/>
      </c>
      <c r="H3576">
        <f>_xlfn.IMAGE("https://m.media-amazon.com/images/I/61cXQ4v0vvL._AC_UL320_.jpg")</f>
        <v/>
      </c>
      <c r="K3576" t="inlineStr">
        <is>
          <t>14.49</t>
        </is>
      </c>
      <c r="L3576" t="n">
        <v>66.23</v>
      </c>
      <c r="M3576" s="1" t="inlineStr">
        <is>
          <t>357.07%</t>
        </is>
      </c>
      <c r="N3576" s="7" t="n">
        <v>46.03</v>
      </c>
      <c r="O3576" t="n">
        <v>4.5</v>
      </c>
      <c r="P3576" t="n">
        <v>33</v>
      </c>
      <c r="R3576" t="inlineStr">
        <is>
          <t>InStock</t>
        </is>
      </c>
      <c r="S3576" t="inlineStr">
        <is>
          <t>21.94</t>
        </is>
      </c>
      <c r="T3576" t="inlineStr">
        <is>
          <t>4410745978980</t>
        </is>
      </c>
    </row>
    <row r="3577" ht="87" customHeight="1">
      <c r="A3577" s="2">
        <f>HYPERLINK("https://edmondsonsupply.com/collections/electricians-tools/products/greenlee-608-1-2-foam-conduit-piston", "https://edmondsonsupply.com/collections/electricians-tools/products/greenlee-608-1-2-foam-conduit-piston")</f>
        <v/>
      </c>
      <c r="B3577" s="2">
        <f>HYPERLINK("https://edmondsonsupply.com/products/greenlee-608-1-2-foam-conduit-piston", "https://edmondsonsupply.com/products/greenlee-608-1-2-foam-conduit-piston")</f>
        <v/>
      </c>
      <c r="C3577" t="inlineStr">
        <is>
          <t>Greenlee 608 1/2" Foam Conduit Piston</t>
        </is>
      </c>
      <c r="D3577" t="inlineStr">
        <is>
          <t>Greenlee 608-5 Piston, Foam, 1/2 In, Pk5</t>
        </is>
      </c>
      <c r="E3577" s="2">
        <f>HYPERLINK("https://www.amazon.com/Greenlee-608-5-Piston-Conduit-Types/dp/B002KLW92E/ref=sr_1_1?keywords=Greenlee+608+1%2F2%22+Foam+Conduit+Piston&amp;qid=1694734991&amp;sr=8-1", "https://www.amazon.com/Greenlee-608-5-Piston-Conduit-Types/dp/B002KLW92E/ref=sr_1_1?keywords=Greenlee+608+1%2F2%22+Foam+Conduit+Piston&amp;qid=1694734991&amp;sr=8-1")</f>
        <v/>
      </c>
      <c r="F3577" t="inlineStr">
        <is>
          <t>B002KLW92E</t>
        </is>
      </c>
      <c r="G3577">
        <f>_xlfn.IMAGE("https://edmondsonsupply.com/cdn/shop/files/608_2.png?v=1687446700")</f>
        <v/>
      </c>
      <c r="H3577">
        <f>_xlfn.IMAGE("https://m.media-amazon.com/images/I/91OtGaHrzYL._AC_UL320_.jpg")</f>
        <v/>
      </c>
      <c r="K3577" t="inlineStr">
        <is>
          <t>5.99</t>
        </is>
      </c>
      <c r="L3577" t="n">
        <v>27.35</v>
      </c>
      <c r="M3577" s="1" t="inlineStr">
        <is>
          <t>356.59%</t>
        </is>
      </c>
      <c r="N3577" s="7" t="n">
        <v>45.88</v>
      </c>
      <c r="O3577" t="n">
        <v>4.5</v>
      </c>
      <c r="P3577" t="n">
        <v>24</v>
      </c>
      <c r="R3577" t="inlineStr">
        <is>
          <t>InStock</t>
        </is>
      </c>
      <c r="S3577" t="inlineStr">
        <is>
          <t>undefined</t>
        </is>
      </c>
      <c r="T3577" t="inlineStr">
        <is>
          <t>8007982285016</t>
        </is>
      </c>
    </row>
    <row r="3578" ht="87" customHeight="1">
      <c r="A3578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578" s="2">
        <f>HYPERLINK("https://edmondsonsupply.com/products/klein-tools-rt110-receptacle-tester", "https://edmondsonsupply.com/products/klein-tools-rt110-receptacle-tester")</f>
        <v/>
      </c>
      <c r="C3578" t="inlineStr">
        <is>
          <t>Klein Tools RT110 Receptacle Tester</t>
        </is>
      </c>
      <c r="D3578" t="inlineStr">
        <is>
          <t>Klein Tools 80101 Home Tester Kit, GFCI Outlet and Receptacle Testers, Multimeter, NCVT, Circuit Breaker Finder, Leads, 6-Piece, Black</t>
        </is>
      </c>
      <c r="E3578" s="2">
        <f>HYPERLINK("https://www.amazon.com/Klein-Tools-Receptacle-Testers-Multimeter/dp/B0B7817ZG5/ref=sr_1_5?keywords=Klein+Tools+RT110+Receptacle+Tester&amp;qid=1694735205&amp;sr=8-5", "https://www.amazon.com/Klein-Tools-Receptacle-Testers-Multimeter/dp/B0B7817ZG5/ref=sr_1_5?keywords=Klein+Tools+RT110+Receptacle+Tester&amp;qid=1694735205&amp;sr=8-5")</f>
        <v/>
      </c>
      <c r="F3578" t="inlineStr">
        <is>
          <t>B0B7817ZG5</t>
        </is>
      </c>
      <c r="G3578">
        <f>_xlfn.IMAGE("https://edmondsonsupply.com/cdn/shop/products/rt110.jpg?v=1633031036")</f>
        <v/>
      </c>
      <c r="H3578">
        <f>_xlfn.IMAGE("https://m.media-amazon.com/images/I/61wZRMpKAcL._AC_UL320_.jpg")</f>
        <v/>
      </c>
      <c r="K3578" t="inlineStr">
        <is>
          <t>9.97</t>
        </is>
      </c>
      <c r="L3578" t="n">
        <v>45.5</v>
      </c>
      <c r="M3578" s="1" t="inlineStr">
        <is>
          <t>356.37%</t>
        </is>
      </c>
      <c r="N3578" s="7" t="n">
        <v>45.65</v>
      </c>
      <c r="O3578" t="n">
        <v>4.7</v>
      </c>
      <c r="P3578" t="n">
        <v>403</v>
      </c>
      <c r="R3578" t="inlineStr">
        <is>
          <t>InStock</t>
        </is>
      </c>
      <c r="S3578" t="inlineStr">
        <is>
          <t>12.12</t>
        </is>
      </c>
      <c r="T3578" t="inlineStr">
        <is>
          <t>6740486619309</t>
        </is>
      </c>
    </row>
    <row r="3579" ht="87" customHeight="1">
      <c r="A3579" s="2">
        <f>HYPERLINK("https://edmondsonsupply.com/collections/electricians-tools/products/klein-tools-42200-electricians-tool-apron-m-l", "https://edmondsonsupply.com/collections/electricians-tools/products/klein-tools-42200-electricians-tool-apron-m-l")</f>
        <v/>
      </c>
      <c r="B3579" s="2">
        <f>HYPERLINK("https://edmondsonsupply.com/products/klein-tools-42200-electricians-tool-apron-m-l", "https://edmondsonsupply.com/products/klein-tools-42200-electricians-tool-apron-m-l")</f>
        <v/>
      </c>
      <c r="C3579" t="inlineStr">
        <is>
          <t>Klein Tools 42200 Electrician's Tool Apron M/L</t>
        </is>
      </c>
      <c r="D3579" t="inlineStr">
        <is>
          <t>Klein Tools 5710M Electrician's Powerline Padded Tool Belt and Tool Pouch Combo, Medium, 4-Piece Black Leather</t>
        </is>
      </c>
      <c r="E3579" s="2">
        <f>HYPERLINK("https://www.amazon.com/Electricians-4-Piece-Klein-Tools-5710M/dp/B0002RI6W0/ref=sr_1_12?keywords=Klein+Tools+42200+Electrician%27s+Tool+Apron+M%2FL&amp;qid=1694735356&amp;sr=8-12", "https://www.amazon.com/Electricians-4-Piece-Klein-Tools-5710M/dp/B0002RI6W0/ref=sr_1_12?keywords=Klein+Tools+42200+Electrician%27s+Tool+Apron+M%2FL&amp;qid=1694735356&amp;sr=8-12")</f>
        <v/>
      </c>
      <c r="F3579" t="inlineStr">
        <is>
          <t>B0002RI6W0</t>
        </is>
      </c>
      <c r="G3579">
        <f>_xlfn.IMAGE("https://edmondsonsupply.com/cdn/shop/products/42200.jpg?v=1587143574")</f>
        <v/>
      </c>
      <c r="H3579">
        <f>_xlfn.IMAGE("https://m.media-amazon.com/images/I/51FE2KyQ5QL._AC_UL320_.jpg")</f>
        <v/>
      </c>
      <c r="K3579" t="inlineStr">
        <is>
          <t>31.99</t>
        </is>
      </c>
      <c r="L3579" t="n">
        <v>145.99</v>
      </c>
      <c r="M3579" s="1" t="inlineStr">
        <is>
          <t>356.36%</t>
        </is>
      </c>
      <c r="N3579" s="7" t="n">
        <v>45.47</v>
      </c>
      <c r="O3579" t="n">
        <v>4.4</v>
      </c>
      <c r="P3579" t="n">
        <v>74</v>
      </c>
      <c r="R3579" t="inlineStr">
        <is>
          <t>InStock</t>
        </is>
      </c>
      <c r="S3579" t="inlineStr">
        <is>
          <t>48.48</t>
        </is>
      </c>
      <c r="T3579" t="inlineStr">
        <is>
          <t>4432204890212</t>
        </is>
      </c>
    </row>
    <row r="3580" ht="87" customHeight="1">
      <c r="A3580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3580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3580" t="inlineStr">
        <is>
          <t>Klein Tools JTH6M25BE 2.5 mm Ball Hex Key Journeyman T-Handle 6-Inch</t>
        </is>
      </c>
      <c r="D3580" t="inlineStr">
        <is>
          <t>Klein Tools JTH6E17BE 1/2-Inch Ball End Hex Key with Journeyman T-Handle, 6-Inch</t>
        </is>
      </c>
      <c r="E3580" s="2">
        <f>HYPERLINK("https://www.amazon.com/Journeyman-T-Handle-Klein-Tools-JTH6E17BE/dp/B004QW58Q4/ref=sr_1_6?keywords=Klein+Tools+JTH6M25BE+2.5+mm+Ball+Hex+Key+Journeyman+T-Handle+6-Inch&amp;qid=1694735267&amp;sr=8-6", "https://www.amazon.com/Journeyman-T-Handle-Klein-Tools-JTH6E17BE/dp/B004QW58Q4/ref=sr_1_6?keywords=Klein+Tools+JTH6M25BE+2.5+mm+Ball+Hex+Key+Journeyman+T-Handle+6-Inch&amp;qid=1694735267&amp;sr=8-6")</f>
        <v/>
      </c>
      <c r="F3580" t="inlineStr">
        <is>
          <t>B004QW58Q4</t>
        </is>
      </c>
      <c r="G3580">
        <f>_xlfn.IMAGE("https://edmondsonsupply.com/cdn/shop/products/jth6m8be_af5f0d75-5d0d-4973-9134-931620c84f2d.jpg?v=1633030574")</f>
        <v/>
      </c>
      <c r="H3580">
        <f>_xlfn.IMAGE("https://m.media-amazon.com/images/I/51f9vBFVXgL._AC_UL320_.jpg")</f>
        <v/>
      </c>
      <c r="K3580" t="inlineStr">
        <is>
          <t>4.99</t>
        </is>
      </c>
      <c r="L3580" t="n">
        <v>22.72</v>
      </c>
      <c r="M3580" s="1" t="inlineStr">
        <is>
          <t>355.31%</t>
        </is>
      </c>
      <c r="N3580" s="7" t="n">
        <v>45.46</v>
      </c>
      <c r="O3580" t="n">
        <v>4.8</v>
      </c>
      <c r="P3580" t="n">
        <v>454</v>
      </c>
      <c r="R3580" t="inlineStr">
        <is>
          <t>InStock</t>
        </is>
      </c>
      <c r="S3580" t="inlineStr">
        <is>
          <t>7.56</t>
        </is>
      </c>
      <c r="T3580" t="inlineStr">
        <is>
          <t>5525435973800</t>
        </is>
      </c>
    </row>
    <row r="3581" ht="87" customHeight="1">
      <c r="A3581" s="2">
        <f>HYPERLINK("https://edmondsonsupply.com/collections/electricians-tools/products/channellock-528", "https://edmondsonsupply.com/collections/electricians-tools/products/channellock-528")</f>
        <v/>
      </c>
      <c r="B3581" s="2">
        <f>HYPERLINK("https://edmondsonsupply.com/products/channellock-528", "https://edmondsonsupply.com/products/channellock-528")</f>
        <v/>
      </c>
      <c r="C3581" t="inlineStr">
        <is>
          <t>Channellock 528 8-Inch Slip Joint Pliers</t>
        </is>
      </c>
      <c r="D3581" t="inlineStr">
        <is>
          <t>Channellock 480 BIGAZZ Tongue and Groove Pliers | 20.25-Inch Straight Jaw Groove Joint Plier | 5.5-Inch Jaw Capacity | Laser Heat-Treated 90° Teeth| Forged High Carbon Steel | Made in USA</t>
        </is>
      </c>
      <c r="E3581" s="2">
        <f>HYPERLINK("https://www.amazon.com/Channellock-480-2-Inch-Capacity-20-Inch/dp/B00004SBCX/ref=sr_1_7?keywords=Channellock+528+8-Inch+Slip+Joint+Pliers&amp;qid=1694735315&amp;sr=8-7", "https://www.amazon.com/Channellock-480-2-Inch-Capacity-20-Inch/dp/B00004SBCX/ref=sr_1_7?keywords=Channellock+528+8-Inch+Slip+Joint+Pliers&amp;qid=1694735315&amp;sr=8-7")</f>
        <v/>
      </c>
      <c r="F3581" t="inlineStr">
        <is>
          <t>B00004SBCX</t>
        </is>
      </c>
      <c r="G3581">
        <f>_xlfn.IMAGE("https://edmondsonsupply.com/cdn/shop/products/528-683x1024.jpg?v=1633030323")</f>
        <v/>
      </c>
      <c r="H3581">
        <f>_xlfn.IMAGE("https://m.media-amazon.com/images/I/612L+6BugaL._AC_UL320_.jpg")</f>
        <v/>
      </c>
      <c r="K3581" t="inlineStr">
        <is>
          <t>12.95</t>
        </is>
      </c>
      <c r="L3581" t="n">
        <v>58.95</v>
      </c>
      <c r="M3581" s="1" t="inlineStr">
        <is>
          <t>355.21%</t>
        </is>
      </c>
      <c r="N3581" s="7" t="n">
        <v>45.44</v>
      </c>
      <c r="O3581" t="n">
        <v>4.8</v>
      </c>
      <c r="P3581" t="n">
        <v>870</v>
      </c>
      <c r="R3581" t="inlineStr">
        <is>
          <t>InStock</t>
        </is>
      </c>
      <c r="S3581" t="inlineStr">
        <is>
          <t>17.55</t>
        </is>
      </c>
      <c r="T3581" t="inlineStr">
        <is>
          <t>5245868966056</t>
        </is>
      </c>
    </row>
    <row r="3582" ht="87" customHeight="1">
      <c r="A3582" s="2">
        <f>HYPERLINK("https://edmondsonsupply.com/collections/electricians-tools/products/greenlee-dtap6-32-drill-tap-6-32", "https://edmondsonsupply.com/collections/electricians-tools/products/greenlee-dtap6-32-drill-tap-6-32")</f>
        <v/>
      </c>
      <c r="B3582" s="2">
        <f>HYPERLINK("https://edmondsonsupply.com/products/greenlee-dtap6-32-drill-tap-6-32", "https://edmondsonsupply.com/products/greenlee-dtap6-32-drill-tap-6-32")</f>
        <v/>
      </c>
      <c r="C3582" t="inlineStr">
        <is>
          <t>Greenlee DTAP6-32 Drill/Tap, 6-32</t>
        </is>
      </c>
      <c r="D3582" t="inlineStr">
        <is>
          <t>GREENLEE DTAP6-32 Combination Drill and Tap Bit, 6-32NC - 3 Pack</t>
        </is>
      </c>
      <c r="E3582" s="2">
        <f>HYPERLINK("https://www.amazon.com/GREENLEE-DTAP6-32-Combination-Drill-6-32NC/dp/B007H4DUI6/ref=sr_1_2?keywords=Greenlee+DTAP6-32+Drill%2FTap%2C+6-32&amp;qid=1694735395&amp;sr=8-2", "https://www.amazon.com/GREENLEE-DTAP6-32-Combination-Drill-6-32NC/dp/B007H4DUI6/ref=sr_1_2?keywords=Greenlee+DTAP6-32+Drill%2FTap%2C+6-32&amp;qid=1694735395&amp;sr=8-2")</f>
        <v/>
      </c>
      <c r="F3582" t="inlineStr">
        <is>
          <t>B007H4DUI6</t>
        </is>
      </c>
      <c r="G3582">
        <f>_xlfn.IMAGE("https://edmondsonsupply.com/cdn/shop/products/6-32.jpg?v=1587149860")</f>
        <v/>
      </c>
      <c r="H3582">
        <f>_xlfn.IMAGE("https://m.media-amazon.com/images/I/31lsUSfj+NL._AC_UL320_.jpg")</f>
        <v/>
      </c>
      <c r="K3582" t="inlineStr">
        <is>
          <t>8.99</t>
        </is>
      </c>
      <c r="L3582" t="n">
        <v>40.9</v>
      </c>
      <c r="M3582" s="1" t="inlineStr">
        <is>
          <t>354.95%</t>
        </is>
      </c>
      <c r="N3582" s="7" t="n">
        <v>45.38</v>
      </c>
      <c r="O3582" t="n">
        <v>4.5</v>
      </c>
      <c r="P3582" t="n">
        <v>22</v>
      </c>
      <c r="R3582" t="inlineStr">
        <is>
          <t>OutOfStock</t>
        </is>
      </c>
      <c r="S3582" t="inlineStr">
        <is>
          <t>9.7</t>
        </is>
      </c>
      <c r="T3582" t="inlineStr">
        <is>
          <t>4395858395236</t>
        </is>
      </c>
    </row>
    <row r="3583" ht="87" customHeight="1">
      <c r="A3583" s="2">
        <f>HYPERLINK("https://edmondsonsupply.com/collections/electricians-tools/products/klein-tools-69381-heavy-duty-alligator-clip-test-leads-3-foot", "https://edmondsonsupply.com/collections/electricians-tools/products/klein-tools-69381-heavy-duty-alligator-clip-test-leads-3-foot")</f>
        <v/>
      </c>
      <c r="B3583" s="2">
        <f>HYPERLINK("https://edmondsonsupply.com/products/klein-tools-69381-heavy-duty-alligator-clip-test-leads-3-foot", "https://edmondsonsupply.com/products/klein-tools-69381-heavy-duty-alligator-clip-test-leads-3-foot")</f>
        <v/>
      </c>
      <c r="C3583" t="inlineStr">
        <is>
          <t>Klein Tools 69381 Heavy-Duty Alligator Clip Test Leads, 3-Foot</t>
        </is>
      </c>
      <c r="D3583" t="inlineStr">
        <is>
          <t>Digital Multimeter Electrical Test Kit, Non-Contact Voltage Tester, Receptacle Tester &amp; 69381 Alligator Clip Test Leads, Heavy-Duty Replacement Meter Leads</t>
        </is>
      </c>
      <c r="E3583" s="2">
        <f>HYPERLINK("https://www.amazon.com/Multimeter-Electrical-Non-Contact-Receptacle-Replacement/dp/B0C9ZZTHMQ/ref=sr_1_11?keywords=Klein+Tools+69381+Heavy-Duty+Alligator+Clip+Test+Leads%2C+3-Foot&amp;qid=1694735094&amp;sr=8-11", "https://www.amazon.com/Multimeter-Electrical-Non-Contact-Receptacle-Replacement/dp/B0C9ZZTHMQ/ref=sr_1_11?keywords=Klein+Tools+69381+Heavy-Duty+Alligator+Clip+Test+Leads%2C+3-Foot&amp;qid=1694735094&amp;sr=8-11")</f>
        <v/>
      </c>
      <c r="F3583" t="inlineStr">
        <is>
          <t>B0C9ZZTHMQ</t>
        </is>
      </c>
      <c r="G3583">
        <f>_xlfn.IMAGE("https://edmondsonsupply.com/cdn/shop/products/69381_photo.jpg?v=1666889006")</f>
        <v/>
      </c>
      <c r="H3583">
        <f>_xlfn.IMAGE("https://m.media-amazon.com/images/I/51DPoa8w49L._AC_UY218_.jpg")</f>
        <v/>
      </c>
      <c r="K3583" t="inlineStr">
        <is>
          <t>14.99</t>
        </is>
      </c>
      <c r="L3583" t="n">
        <v>68.16</v>
      </c>
      <c r="M3583" s="1" t="inlineStr">
        <is>
          <t>354.70%</t>
        </is>
      </c>
      <c r="N3583" s="7" t="n">
        <v>45.17</v>
      </c>
      <c r="O3583" t="n">
        <v>5</v>
      </c>
      <c r="P3583" t="n">
        <v>2</v>
      </c>
      <c r="R3583" t="inlineStr">
        <is>
          <t>InStock</t>
        </is>
      </c>
      <c r="S3583" t="inlineStr">
        <is>
          <t>20.98</t>
        </is>
      </c>
      <c r="T3583" t="inlineStr">
        <is>
          <t>7867714371800</t>
        </is>
      </c>
    </row>
    <row r="3584" hidden="1" ht="15.75" customHeight="1">
      <c r="A3584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584" s="2">
        <f>HYPERLINK("https://edmondsonsupply.com/products/diablo-tools-dsp2060-9-16-in-x-6-in-spade-bit", "https://edmondsonsupply.com/products/diablo-tools-dsp2060-9-16-in-x-6-in-spade-bit")</f>
        <v/>
      </c>
      <c r="C3584" t="inlineStr">
        <is>
          <t>Diablo Tools DSP2060 9/16 in. x 6 in. Spade Bit</t>
        </is>
      </c>
      <c r="D3584" t="inlineStr">
        <is>
          <t>DEWALT Drill Bit, Spade, 7/8 Inch x 16 Inch (DW1594)</t>
        </is>
      </c>
      <c r="E3584" s="2">
        <f>HYPERLINK("https://www.amazon.com/DEWALT-DW1594-8-Inch-16-Inch-Spade/dp/B0001LQYW6/ref=sr_1_46?keywords=Diablo+Tools+DSP2060+9%2F16+in.+x+6+in.+Spade+Bit&amp;qid=1694735062&amp;sr=8-46", "https://www.amazon.com/DEWALT-DW1594-8-Inch-16-Inch-Spade/dp/B0001LQYW6/ref=sr_1_46?keywords=Diablo+Tools+DSP2060+9%2F16+in.+x+6+in.+Spade+Bit&amp;qid=1694735062&amp;sr=8-46")</f>
        <v/>
      </c>
      <c r="F3584" t="inlineStr">
        <is>
          <t>B0001LQYW6</t>
        </is>
      </c>
      <c r="G3584">
        <f>_xludf.IMAGE("https://edmondsonsupply.com/cdn/shop/products/aedhx1bor2stxnsd8b2m.webp?v=1670512947")</f>
        <v/>
      </c>
      <c r="H3584">
        <f>_xludf.IMAGE("https://m.media-amazon.com/images/I/51C03iSkKAS._AC_UL320_.jpg")</f>
        <v/>
      </c>
      <c r="K3584" t="inlineStr">
        <is>
          <t>2.88</t>
        </is>
      </c>
      <c r="L3584" t="n">
        <v>13.09</v>
      </c>
      <c r="M3584" s="1" t="inlineStr">
        <is>
          <t>354.51%</t>
        </is>
      </c>
      <c r="N3584" s="1" t="n">
        <v>44.97</v>
      </c>
      <c r="O3584" t="n">
        <v>4.6</v>
      </c>
      <c r="P3584" t="n">
        <v>93</v>
      </c>
      <c r="R3584" t="inlineStr">
        <is>
          <t>InStock</t>
        </is>
      </c>
      <c r="S3584" t="inlineStr">
        <is>
          <t>3.21</t>
        </is>
      </c>
      <c r="T3584" t="inlineStr">
        <is>
          <t>7901216112856</t>
        </is>
      </c>
    </row>
    <row r="3585" ht="87" customHeight="1">
      <c r="A3585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585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585" t="inlineStr">
        <is>
          <t>Diablo Tools DMAPL4080 1/4 in. x 6 in. x 8 in. Rebar Demon™ SDS-Plus 4-Cutter Full Carbide Head Hammer Bit</t>
        </is>
      </c>
      <c r="D3585" t="inlineStr">
        <is>
          <t>Diablo by Freud DMAPL4300 1 in. x 8 in. x 10 in. Rebar Demon™ SDS-Plus 4-Cutter Full Carbide Head Hammer Bit</t>
        </is>
      </c>
      <c r="E3585" s="2">
        <f>HYPERLINK("https://www.amazon.com/Diablo-Freud-DMAPL4300-SDS-Plus-4-Cutter/dp/B089LL8JD8/ref=sr_1_6?keywords=Diablo+Tools+DMAPL4080+1%2F4+in.+x+6+in.+x+8+in.+Rebar+Demon%E2%84%A2+SDS-Plus+4-Cutter+Full+Carbide+Head+Hammer+Bit&amp;qid=1694735294&amp;sr=8-6", "https://www.amazon.com/Diablo-Freud-DMAPL4300-SDS-Plus-4-Cutter/dp/B089LL8JD8/ref=sr_1_6?keywords=Diablo+Tools+DMAPL4080+1%2F4+in.+x+6+in.+x+8+in.+Rebar+Demon%E2%84%A2+SDS-Plus+4-Cutter+Full+Carbide+Head+Hammer+Bit&amp;qid=1694735294&amp;sr=8-6")</f>
        <v/>
      </c>
      <c r="F3585" t="inlineStr">
        <is>
          <t>B089LL8JD8</t>
        </is>
      </c>
      <c r="G3585">
        <f>_xlfn.IMAGE("https://edmondsonsupply.com/cdn/shop/products/DMAPL4080_1.jpg?v=1633030359")</f>
        <v/>
      </c>
      <c r="H3585">
        <f>_xlfn.IMAGE("https://m.media-amazon.com/images/I/616UiJGsK1L._AC_UL320_.jpg")</f>
        <v/>
      </c>
      <c r="K3585" t="inlineStr">
        <is>
          <t>7.47</t>
        </is>
      </c>
      <c r="L3585" t="n">
        <v>33.95</v>
      </c>
      <c r="M3585" s="1" t="inlineStr">
        <is>
          <t>354.48%</t>
        </is>
      </c>
      <c r="N3585" s="7" t="n">
        <v>44.81</v>
      </c>
      <c r="O3585" t="n">
        <v>4.5</v>
      </c>
      <c r="P3585" t="n">
        <v>16</v>
      </c>
      <c r="R3585" t="inlineStr">
        <is>
          <t>InStock</t>
        </is>
      </c>
      <c r="S3585" t="inlineStr">
        <is>
          <t>undefined</t>
        </is>
      </c>
      <c r="T3585" t="inlineStr">
        <is>
          <t>5286767919272</t>
        </is>
      </c>
    </row>
    <row r="3586" hidden="1" ht="15.75" customHeight="1">
      <c r="A3586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586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586" t="inlineStr">
        <is>
          <t>Diablo Tools DMAPL4060 1/4 in. x 2 in. x 4 in. Rebar Demon™ SDS‑Plus 4‑Cutter Full Carbide Head Hammer Bit</t>
        </is>
      </c>
      <c r="D3586" t="inlineStr">
        <is>
          <t>Diablo DMAPL4055 3/16 in. x 10 in. x 12 in. Rebar Demon™ SDS-Plus 4-Cutter Full Carbide Head Hammer Bit</t>
        </is>
      </c>
      <c r="E3586" s="2" t="n"/>
      <c r="F3586" t="inlineStr">
        <is>
          <t>B089LJCD42</t>
        </is>
      </c>
      <c r="G3586">
        <f>_xludf.IMAGE("https://edmondsonsupply.com/cdn/shop/products/4060.webp?v=1647637028")</f>
        <v/>
      </c>
      <c r="H3586">
        <f>_xludf.IMAGE("https://m.media-amazon.com/images/I/61cDOAhkb4L._AC_UL320_.jpg")</f>
        <v/>
      </c>
      <c r="K3586" t="inlineStr">
        <is>
          <t>3.47</t>
        </is>
      </c>
      <c r="L3586" t="n">
        <v>15.76</v>
      </c>
      <c r="M3586" s="1" t="inlineStr">
        <is>
          <t>354.18%</t>
        </is>
      </c>
      <c r="N3586" s="1" t="n">
        <v>44.81</v>
      </c>
      <c r="O3586" t="n">
        <v>2</v>
      </c>
      <c r="P3586" t="n">
        <v>1</v>
      </c>
      <c r="R3586" t="inlineStr">
        <is>
          <t>InStock</t>
        </is>
      </c>
      <c r="S3586" t="inlineStr">
        <is>
          <t>6.0</t>
        </is>
      </c>
      <c r="T3586" t="inlineStr">
        <is>
          <t>7639203807448</t>
        </is>
      </c>
    </row>
    <row r="3587" ht="87" customHeight="1">
      <c r="A3587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587" s="2">
        <f>HYPERLINK("https://edmondsonsupply.com/products/klein-tools-56331-steel-fish-tape-1-8-inch-x-50-foot", "https://edmondsonsupply.com/products/klein-tools-56331-steel-fish-tape-1-8-inch-x-50-foot")</f>
        <v/>
      </c>
      <c r="C3587" t="inlineStr">
        <is>
          <t>Klein Tools 56331 Steel Fish Tape, 1/8-Inch x 50-Foot</t>
        </is>
      </c>
      <c r="D3587" t="inlineStr">
        <is>
          <t>Klein Tools 56341 Electrical Fish Tape / Wire Puller, Stainless Steel with Double Loop Tip, Optimized Housing and Handle, 1/8-Inch x 240-Foot</t>
        </is>
      </c>
      <c r="E3587" s="2">
        <f>HYPERLINK("https://www.amazon.com/Klein-Tools-56341-Stainless-Optimized/dp/B081ZTN3MT/ref=sr_1_14?keywords=Klein+Tools+56331+Steel+Fish+Tape%2C+1%2F8-Inch+x+50-Foot&amp;qid=1694735384&amp;sr=8-14", "https://www.amazon.com/Klein-Tools-56341-Stainless-Optimized/dp/B081ZTN3MT/ref=sr_1_14?keywords=Klein+Tools+56331+Steel+Fish+Tape%2C+1%2F8-Inch+x+50-Foot&amp;qid=1694735384&amp;sr=8-14")</f>
        <v/>
      </c>
      <c r="F3587" t="inlineStr">
        <is>
          <t>B081ZTN3MT</t>
        </is>
      </c>
      <c r="G3587">
        <f>_xlfn.IMAGE("https://edmondsonsupply.com/cdn/shop/products/56331.jpg?v=1587143350")</f>
        <v/>
      </c>
      <c r="H3587">
        <f>_xlfn.IMAGE("https://m.media-amazon.com/images/I/51rJNR9x1ML._AC_UL320_.jpg")</f>
        <v/>
      </c>
      <c r="K3587" t="inlineStr">
        <is>
          <t>24.99</t>
        </is>
      </c>
      <c r="L3587" t="n">
        <v>112.99</v>
      </c>
      <c r="M3587" s="1" t="inlineStr">
        <is>
          <t>352.14%</t>
        </is>
      </c>
      <c r="N3587" s="7" t="n">
        <v>44.63</v>
      </c>
      <c r="O3587" t="n">
        <v>4.7</v>
      </c>
      <c r="P3587" t="n">
        <v>239</v>
      </c>
      <c r="R3587" t="inlineStr">
        <is>
          <t>InStock</t>
        </is>
      </c>
      <c r="S3587" t="inlineStr">
        <is>
          <t>30.9</t>
        </is>
      </c>
      <c r="T3587" t="inlineStr">
        <is>
          <t>4412204056676</t>
        </is>
      </c>
    </row>
    <row r="3588" ht="87" customHeight="1">
      <c r="A3588" s="2">
        <f>HYPERLINK("https://edmondsonsupply.com/collections/electricians-tools/products/klein-tools-51612-3-4-inch-angle-setter%E2%84%A2", "https://edmondsonsupply.com/collections/electricians-tools/products/klein-tools-51612-3-4-inch-angle-setter%E2%84%A2")</f>
        <v/>
      </c>
      <c r="B3588" s="2">
        <f>HYPERLINK("https://edmondsonsupply.com/products/klein-tools-51612-3-4-inch-angle-setter%e2%84%a2", "https://edmondsonsupply.com/products/klein-tools-51612-3-4-inch-angle-setter%e2%84%a2")</f>
        <v/>
      </c>
      <c r="C3588" t="inlineStr">
        <is>
          <t>Klein Tools 51612 3/4-Inch Angle Setter™</t>
        </is>
      </c>
      <c r="D3588" t="inlineStr">
        <is>
          <t>Klein Tools 51609 Iron Conduit Bender Head, for 3/4-Inch EMT or 1/2-Inch Rigid IMC, use with Klein Tools Angle Setter (Cat. No. 51612)</t>
        </is>
      </c>
      <c r="E3588" s="2">
        <f>HYPERLINK("https://www.amazon.com/Conduit-Bender-Klein-Tools-51609/dp/B08VYFHL9J/ref=sr_1_2?keywords=Klein+Tools+51612+3%2F4-Inch+Angle+Setter%E2%84%A2&amp;qid=1694735134&amp;sr=8-2", "https://www.amazon.com/Conduit-Bender-Klein-Tools-51609/dp/B08VYFHL9J/ref=sr_1_2?keywords=Klein+Tools+51612+3%2F4-Inch+Angle+Setter%E2%84%A2&amp;qid=1694735134&amp;sr=8-2")</f>
        <v/>
      </c>
      <c r="F3588" t="inlineStr">
        <is>
          <t>B08VYFHL9J</t>
        </is>
      </c>
      <c r="G3588">
        <f>_xlfn.IMAGE("https://edmondsonsupply.com/cdn/shop/products/51612.jpg?v=1661977736")</f>
        <v/>
      </c>
      <c r="H3588">
        <f>_xlfn.IMAGE("https://m.media-amazon.com/images/I/61KifnC2xML._AC_UL320_.jpg")</f>
        <v/>
      </c>
      <c r="K3588" t="inlineStr">
        <is>
          <t>9.97</t>
        </is>
      </c>
      <c r="L3588" t="n">
        <v>44.99</v>
      </c>
      <c r="M3588" s="1" t="inlineStr">
        <is>
          <t>351.25%</t>
        </is>
      </c>
      <c r="N3588" s="7" t="n">
        <v>44.52</v>
      </c>
      <c r="O3588" t="n">
        <v>4.2</v>
      </c>
      <c r="P3588" t="n">
        <v>31</v>
      </c>
      <c r="R3588" t="inlineStr">
        <is>
          <t>InStock</t>
        </is>
      </c>
      <c r="S3588" t="inlineStr">
        <is>
          <t>12.96</t>
        </is>
      </c>
      <c r="T3588" t="inlineStr">
        <is>
          <t>7798382756056</t>
        </is>
      </c>
    </row>
    <row r="3589" ht="87" customHeight="1">
      <c r="A3589" s="2">
        <f>HYPERLINK("https://edmondsonsupply.com/collections/electricians-tools/products/diablo-tools-dmapl2300-1-2-in-x-4-in-x-6-in-sds-plus-2-cutter", "https://edmondsonsupply.com/collections/electricians-tools/products/diablo-tools-dmapl2300-1-2-in-x-4-in-x-6-in-sds-plus-2-cutter")</f>
        <v/>
      </c>
      <c r="B3589" s="2">
        <f>HYPERLINK("https://edmondsonsupply.com/products/diablo-tools-dmapl2300-1-2-in-x-4-in-x-6-in-sds-plus-2-cutter", "https://edmondsonsupply.com/products/diablo-tools-dmapl2300-1-2-in-x-4-in-x-6-in-sds-plus-2-cutter")</f>
        <v/>
      </c>
      <c r="C3589" t="inlineStr">
        <is>
          <t>Diablo Tools DMAPL2300 1/2 in. x 4 in. x 6 in. SDS‑Plus 2‑Cutter</t>
        </is>
      </c>
      <c r="D3589" t="inlineStr">
        <is>
          <t>Diablo 1/4 in. x 4 in. x 6 in. SDS-Plus 2-Cutter (25-Pack)</t>
        </is>
      </c>
      <c r="E3589" s="2">
        <f>HYPERLINK("https://www.amazon.com/Diablo-DMAPL2140-P25-SDS-Plus-2-Cutter-25-Pack/dp/B089KX3SWP/ref=sr_1_7?keywords=Diablo+Tools+DMAPL2300+1%2F2+in.+x+4+in.+x+6+in.+SDS%E2%80%91Plus+2%E2%80%91Cutter&amp;qid=1694735256&amp;sr=8-7", "https://www.amazon.com/Diablo-DMAPL2140-P25-SDS-Plus-2-Cutter-25-Pack/dp/B089KX3SWP/ref=sr_1_7?keywords=Diablo+Tools+DMAPL2300+1%2F2+in.+x+4+in.+x+6+in.+SDS%E2%80%91Plus+2%E2%80%91Cutter&amp;qid=1694735256&amp;sr=8-7")</f>
        <v/>
      </c>
      <c r="F3589" t="inlineStr">
        <is>
          <t>B089KX3SWP</t>
        </is>
      </c>
      <c r="G3589">
        <f>_xlfn.IMAGE("https://edmondsonsupply.com/cdn/shop/products/DMAPL2300-P25_Main-Image20200701_f135ab9e-1d6a-4464-ad6a-807f2f571e10.png?v=1633030655")</f>
        <v/>
      </c>
      <c r="H3589">
        <f>_xlfn.IMAGE("https://m.media-amazon.com/images/I/61ClPzN-wnL._AC_UL320_.jpg")</f>
        <v/>
      </c>
      <c r="K3589" t="inlineStr">
        <is>
          <t>6.97</t>
        </is>
      </c>
      <c r="L3589" t="n">
        <v>31.42</v>
      </c>
      <c r="M3589" s="1" t="inlineStr">
        <is>
          <t>350.79%</t>
        </is>
      </c>
      <c r="N3589" s="7" t="n">
        <v>44.42</v>
      </c>
      <c r="O3589" t="n">
        <v>5</v>
      </c>
      <c r="P3589" t="n">
        <v>1</v>
      </c>
      <c r="R3589" t="inlineStr">
        <is>
          <t>InStock</t>
        </is>
      </c>
      <c r="S3589" t="inlineStr">
        <is>
          <t>8.4</t>
        </is>
      </c>
      <c r="T3589" t="inlineStr">
        <is>
          <t>5740710887592</t>
        </is>
      </c>
    </row>
    <row r="3590" ht="87" customHeight="1">
      <c r="A3590" s="2">
        <f>HYPERLINK("https://edmondsonsupply.com/collections/electricians-tools/products/veto-pro-pac-tp4-tool-pouch", "https://edmondsonsupply.com/collections/electricians-tools/products/veto-pro-pac-tp4-tool-pouch")</f>
        <v/>
      </c>
      <c r="B3590" s="2">
        <f>HYPERLINK("https://edmondsonsupply.com/products/veto-pro-pac-tp4-tool-pouch", "https://edmondsonsupply.com/products/veto-pro-pac-tp4-tool-pouch")</f>
        <v/>
      </c>
      <c r="C3590" t="inlineStr">
        <is>
          <t>Veto Pro Pac TP3 Tool Bag</t>
        </is>
      </c>
      <c r="D3590" t="inlineStr">
        <is>
          <t>Veto Pro Pac OT-XL Tool Bag</t>
        </is>
      </c>
      <c r="E3590" s="2">
        <f>HYPERLINK("https://www.amazon.com/VETO-PRO-PAC-OT-XL-Tool/dp/B000VKSAQK/ref=sr_1_15?keywords=Veto+Pro+Pac+TP3+Tool+Bag&amp;qid=1694735180&amp;sr=8-15", "https://www.amazon.com/VETO-PRO-PAC-OT-XL-Tool/dp/B000VKSAQK/ref=sr_1_15?keywords=Veto+Pro+Pac+TP3+Tool+Bag&amp;qid=1694735180&amp;sr=8-15")</f>
        <v/>
      </c>
      <c r="F3590" t="inlineStr">
        <is>
          <t>B000VKSAQK</t>
        </is>
      </c>
      <c r="G3590">
        <f>_xlfn.IMAGE("https://edmondsonsupply.com/cdn/shop/products/TP3_1.jpg?v=1587144391")</f>
        <v/>
      </c>
      <c r="H3590">
        <f>_xlfn.IMAGE("https://m.media-amazon.com/images/I/61meVw9HeQL._AC_UL320_.jpg")</f>
        <v/>
      </c>
      <c r="K3590" t="inlineStr">
        <is>
          <t>59.99</t>
        </is>
      </c>
      <c r="L3590" t="n">
        <v>269.95</v>
      </c>
      <c r="M3590" s="1" t="inlineStr">
        <is>
          <t>349.99%</t>
        </is>
      </c>
      <c r="N3590" s="7" t="n">
        <v>44.04</v>
      </c>
      <c r="O3590" t="n">
        <v>4.7</v>
      </c>
      <c r="P3590" t="n">
        <v>281</v>
      </c>
      <c r="R3590" t="inlineStr">
        <is>
          <t>InStock</t>
        </is>
      </c>
      <c r="S3590" t="inlineStr">
        <is>
          <t>undefined</t>
        </is>
      </c>
      <c r="T3590" t="inlineStr">
        <is>
          <t>3561762816100</t>
        </is>
      </c>
    </row>
    <row r="3591" ht="87" customHeight="1">
      <c r="A3591" s="2">
        <f>HYPERLINK("https://edmondsonsupply.com/collections/electricians-tools/products/veto-pro-pac-tp4-tool-pouch", "https://edmondsonsupply.com/collections/electricians-tools/products/veto-pro-pac-tp4-tool-pouch")</f>
        <v/>
      </c>
      <c r="B3591" s="2">
        <f>HYPERLINK("https://edmondsonsupply.com/products/veto-pro-pac-tp4-tool-pouch", "https://edmondsonsupply.com/products/veto-pro-pac-tp4-tool-pouch")</f>
        <v/>
      </c>
      <c r="C3591" t="inlineStr">
        <is>
          <t>Veto Pro Pac TP3 Tool Bag</t>
        </is>
      </c>
      <c r="D3591" t="inlineStr">
        <is>
          <t>Veto Pro Pac Model XXL-F Tool Bag</t>
        </is>
      </c>
      <c r="E3591" s="2">
        <f>HYPERLINK("https://www.amazon.com/VETO-PRO-PAC-Model-XXL-F/dp/B0002HC2CK/ref=sr_1_23?keywords=Veto+Pro+Pac+TP3+Tool+Bag&amp;qid=1694735180&amp;sr=8-23", "https://www.amazon.com/VETO-PRO-PAC-Model-XXL-F/dp/B0002HC2CK/ref=sr_1_23?keywords=Veto+Pro+Pac+TP3+Tool+Bag&amp;qid=1694735180&amp;sr=8-23")</f>
        <v/>
      </c>
      <c r="F3591" t="inlineStr">
        <is>
          <t>B0002HC2CK</t>
        </is>
      </c>
      <c r="G3591">
        <f>_xlfn.IMAGE("https://edmondsonsupply.com/cdn/shop/products/TP3_1.jpg?v=1587144391")</f>
        <v/>
      </c>
      <c r="H3591">
        <f>_xlfn.IMAGE("https://m.media-amazon.com/images/I/61tR0YjGMkL._AC_UL320_.jpg")</f>
        <v/>
      </c>
      <c r="K3591" t="inlineStr">
        <is>
          <t>59.99</t>
        </is>
      </c>
      <c r="L3591" t="n">
        <v>269.95</v>
      </c>
      <c r="M3591" s="1" t="inlineStr">
        <is>
          <t>349.99%</t>
        </is>
      </c>
      <c r="N3591" s="7" t="n">
        <v>44.04</v>
      </c>
      <c r="O3591" t="n">
        <v>4.5</v>
      </c>
      <c r="P3591" t="n">
        <v>261</v>
      </c>
      <c r="R3591" t="inlineStr">
        <is>
          <t>InStock</t>
        </is>
      </c>
      <c r="S3591" t="inlineStr">
        <is>
          <t>undefined</t>
        </is>
      </c>
      <c r="T3591" t="inlineStr">
        <is>
          <t>3561762816100</t>
        </is>
      </c>
    </row>
    <row r="3592" ht="87" customHeight="1">
      <c r="A3592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3592" s="2">
        <f>HYPERLINK("https://edmondsonsupply.com/products/klein-tools-66076-flip-impact-socket-9-16-and-1-2-inch", "https://edmondsonsupply.com/products/klein-tools-66076-flip-impact-socket-9-16-and-1-2-inch")</f>
        <v/>
      </c>
      <c r="C3592" t="inlineStr">
        <is>
          <t>Klein Tools 66076 Flip Impact Socket, 9/16 and 1/2-Inch</t>
        </is>
      </c>
      <c r="D3592" t="inlineStr">
        <is>
          <t>Klein Tools 66030 2-in-1 Non-Marring Impact Socket, Coated 12-Point Deep Sockets, 3/4- and 9/16-Inch Sizes</t>
        </is>
      </c>
      <c r="E3592" s="2">
        <f>HYPERLINK("https://www.amazon.com/Non-Marring-12-Point-Klein-Tools-66030/dp/B09JWM5Y6N/ref=sr_1_38?keywords=Klein+Tools+66076+Flip+Impact+Socket%2C+9%2F16+and+1%2F2-Inch&amp;qid=1694735129&amp;sr=8-38", "https://www.amazon.com/Non-Marring-12-Point-Klein-Tools-66030/dp/B09JWM5Y6N/ref=sr_1_38?keywords=Klein+Tools+66076+Flip+Impact+Socket%2C+9%2F16+and+1%2F2-Inch&amp;qid=1694735129&amp;sr=8-38")</f>
        <v/>
      </c>
      <c r="F3592" t="inlineStr">
        <is>
          <t>B09JWM5Y6N</t>
        </is>
      </c>
      <c r="G3592">
        <f>_xlfn.IMAGE("https://edmondsonsupply.com/cdn/shop/products/66076.jpg?v=1663083814")</f>
        <v/>
      </c>
      <c r="H3592">
        <f>_xlfn.IMAGE("https://m.media-amazon.com/images/I/41w38OgEo3L._AC_UL320_.jpg")</f>
        <v/>
      </c>
      <c r="K3592" t="inlineStr">
        <is>
          <t>10.71</t>
        </is>
      </c>
      <c r="L3592" t="n">
        <v>47.99</v>
      </c>
      <c r="M3592" s="1" t="inlineStr">
        <is>
          <t>348.09%</t>
        </is>
      </c>
      <c r="N3592" s="7" t="n">
        <v>43.97</v>
      </c>
      <c r="O3592" t="n">
        <v>5</v>
      </c>
      <c r="P3592" t="n">
        <v>2</v>
      </c>
      <c r="R3592" t="inlineStr">
        <is>
          <t>InStock</t>
        </is>
      </c>
      <c r="S3592" t="inlineStr">
        <is>
          <t>15.0</t>
        </is>
      </c>
      <c r="T3592" t="inlineStr">
        <is>
          <t>7814133874904</t>
        </is>
      </c>
    </row>
    <row r="3593" ht="87" customHeight="1">
      <c r="A3593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3593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3593" t="inlineStr">
        <is>
          <t>Klein Tools 646-7/16M 7/16-Inch Magnetic Tip Nut Driver 6-Inch Shaft</t>
        </is>
      </c>
      <c r="D3593" t="inlineStr">
        <is>
          <t>Klein Tools 647 Tool Set, Nut Drivers Sizes 3/16, 1/4, 5/16, 11/32, 3/8, 7/16, 1/2-Inch, Chrome-Plated 6-Inch Shafts, Cushion Grip, 7-Piece</t>
        </is>
      </c>
      <c r="E3593" s="2">
        <f>HYPERLINK("https://www.amazon.com/Driver-6-Inch-Klein-Tools-647/dp/B0014KRVXO/ref=sr_1_15?keywords=Klein+Tools+646-7%2F16M+7%2F16-Inch+Magnetic+Tip+Nut+Driver+6-Inch+Shaft&amp;qid=1694735353&amp;sr=8-15", "https://www.amazon.com/Driver-6-Inch-Klein-Tools-647/dp/B0014KRVXO/ref=sr_1_15?keywords=Klein+Tools+646-7%2F16M+7%2F16-Inch+Magnetic+Tip+Nut+Driver+6-Inch+Shaft&amp;qid=1694735353&amp;sr=8-15")</f>
        <v/>
      </c>
      <c r="F3593" t="inlineStr">
        <is>
          <t>B0014KRVXO</t>
        </is>
      </c>
      <c r="G3593">
        <f>_xlfn.IMAGE("https://edmondsonsupply.com/cdn/shop/products/646-5-16m_906faaaa-dd9e-40e4-bce3-8174c2b127b5.jpg?v=1587146594")</f>
        <v/>
      </c>
      <c r="H3593">
        <f>_xlfn.IMAGE("https://m.media-amazon.com/images/I/51usUk-EpGL._AC_UL320_.jpg")</f>
        <v/>
      </c>
      <c r="K3593" t="inlineStr">
        <is>
          <t>12.99</t>
        </is>
      </c>
      <c r="L3593" t="n">
        <v>57.99</v>
      </c>
      <c r="M3593" s="1" t="inlineStr">
        <is>
          <t>346.42%</t>
        </is>
      </c>
      <c r="N3593" s="7" t="n">
        <v>43.95</v>
      </c>
      <c r="O3593" t="n">
        <v>4.8</v>
      </c>
      <c r="P3593" t="n">
        <v>734</v>
      </c>
      <c r="R3593" t="inlineStr">
        <is>
          <t>InStock</t>
        </is>
      </c>
      <c r="S3593" t="inlineStr">
        <is>
          <t>19.74</t>
        </is>
      </c>
      <c r="T3593" t="inlineStr">
        <is>
          <t>4461840171108</t>
        </is>
      </c>
    </row>
    <row r="3594" ht="87" customHeight="1">
      <c r="A3594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3594" s="2">
        <f>HYPERLINK("https://edmondsonsupply.com/products/klein-tools-635-3-8-3-8-inch-heavy-duty-nut-driver", "https://edmondsonsupply.com/products/klein-tools-635-3-8-3-8-inch-heavy-duty-nut-driver")</f>
        <v/>
      </c>
      <c r="C3594" t="inlineStr">
        <is>
          <t>Klein Tools 635-3/8 3/8-Inch Heavy-Duty Nut Driver</t>
        </is>
      </c>
      <c r="D3594" t="inlineStr">
        <is>
          <t>Klein Tools 647 Tool Set, Nut Drivers Sizes 3/16, 1/4, 5/16, 11/32, 3/8, 7/16, 1/2-Inch, Chrome-Plated 6-Inch Shafts, Cushion Grip, 7-Piece</t>
        </is>
      </c>
      <c r="E3594" s="2">
        <f>HYPERLINK("https://www.amazon.com/Driver-6-Inch-Klein-Tools-647/dp/B0014KRVXO/ref=sr_1_10?keywords=Klein+Tools+635-3%2F8+3%2F8-Inch+Heavy-Duty+Nut+Driver&amp;qid=1694735241&amp;sr=8-10", "https://www.amazon.com/Driver-6-Inch-Klein-Tools-647/dp/B0014KRVXO/ref=sr_1_10?keywords=Klein+Tools+635-3%2F8+3%2F8-Inch+Heavy-Duty+Nut+Driver&amp;qid=1694735241&amp;sr=8-10")</f>
        <v/>
      </c>
      <c r="F3594" t="inlineStr">
        <is>
          <t>B0014KRVXO</t>
        </is>
      </c>
      <c r="G3594">
        <f>_xlfn.IMAGE("https://edmondsonsupply.com/cdn/shop/products/635-3-8.jpg?v=1633030895")</f>
        <v/>
      </c>
      <c r="H3594">
        <f>_xlfn.IMAGE("https://m.media-amazon.com/images/I/51usUk-EpGL._AC_UL320_.jpg")</f>
        <v/>
      </c>
      <c r="K3594" t="inlineStr">
        <is>
          <t>12.99</t>
        </is>
      </c>
      <c r="L3594" t="n">
        <v>57.99</v>
      </c>
      <c r="M3594" s="1" t="inlineStr">
        <is>
          <t>346.42%</t>
        </is>
      </c>
      <c r="N3594" s="7" t="n">
        <v>43.28</v>
      </c>
      <c r="O3594" t="n">
        <v>4.8</v>
      </c>
      <c r="P3594" t="n">
        <v>734</v>
      </c>
      <c r="R3594" t="inlineStr">
        <is>
          <t>InStock</t>
        </is>
      </c>
      <c r="S3594" t="inlineStr">
        <is>
          <t>19.68</t>
        </is>
      </c>
      <c r="T3594" t="inlineStr">
        <is>
          <t>6228534952109</t>
        </is>
      </c>
    </row>
    <row r="3595" hidden="1" ht="15.75" customHeight="1">
      <c r="A3595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595" s="2">
        <f>HYPERLINK("https://edmondsonsupply.com/products/diablo-tools-dsp1060-1-in-x-4-in-spade-bit", "https://edmondsonsupply.com/products/diablo-tools-dsp1060-1-in-x-4-in-spade-bit")</f>
        <v/>
      </c>
      <c r="C3595" t="inlineStr">
        <is>
          <t>Diablo Tools DSP1060 1 in. x 4 in. Spade Bit</t>
        </is>
      </c>
      <c r="D3595" t="inlineStr">
        <is>
          <t>Irwin Tools SPEEDBOR Spade Wood Drill Bit 1 X 16 (88716)</t>
        </is>
      </c>
      <c r="E3595" s="2">
        <f>HYPERLINK("https://www.amazon.com/Speedbor-88716-2000-Shank-Boring/dp/B00004YOAM/ref=sr_1_19?keywords=Diablo+Tools+DSP1060+1+in.+x+4+in.+Spade+Bit&amp;qid=1694735068&amp;sr=8-19", "https://www.amazon.com/Speedbor-88716-2000-Shank-Boring/dp/B00004YOAM/ref=sr_1_19?keywords=Diablo+Tools+DSP1060+1+in.+x+4+in.+Spade+Bit&amp;qid=1694735068&amp;sr=8-19")</f>
        <v/>
      </c>
      <c r="F3595" t="inlineStr">
        <is>
          <t>B00004YOAM</t>
        </is>
      </c>
      <c r="G3595">
        <f>_xludf.IMAGE("https://edmondsonsupply.com/cdn/shop/products/hanbmwlurgioczoyawta.webp?v=1670510289")</f>
        <v/>
      </c>
      <c r="H3595">
        <f>_xludf.IMAGE("https://m.media-amazon.com/images/I/31b6SGIwAyL._AC_UL320_.jpg")</f>
        <v/>
      </c>
      <c r="K3595" t="inlineStr">
        <is>
          <t>2.59</t>
        </is>
      </c>
      <c r="L3595" t="n">
        <v>11.48</v>
      </c>
      <c r="M3595" s="1" t="inlineStr">
        <is>
          <t>343.24%</t>
        </is>
      </c>
      <c r="N3595" s="1" t="n">
        <v>43.1</v>
      </c>
      <c r="O3595" t="n">
        <v>4.5</v>
      </c>
      <c r="P3595" t="n">
        <v>780</v>
      </c>
      <c r="R3595" t="inlineStr">
        <is>
          <t>InStock</t>
        </is>
      </c>
      <c r="S3595" t="inlineStr">
        <is>
          <t>2.96</t>
        </is>
      </c>
      <c r="T3595" t="inlineStr">
        <is>
          <t>7901168730328</t>
        </is>
      </c>
    </row>
    <row r="3596" ht="87" customHeight="1">
      <c r="A3596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3596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3596" t="inlineStr">
        <is>
          <t>Klein Tools 635-1/4 1/4-Inch Nut Driver, Magnetic Tip, 4-Inch Shaft</t>
        </is>
      </c>
      <c r="D3596" t="inlineStr">
        <is>
          <t>Klein Tools 635-4 Tool Set, Heavy Duty Magnetic Nut Drivers Hex Sizes 1/4, 5/16, 3/8, 7/16-Inch, Full Hollow Shafts w/Color Coding, 4-Piece</t>
        </is>
      </c>
      <c r="E3596" s="2">
        <f>HYPERLINK("https://www.amazon.com/Klein-Tools-Heavy-Duty-Driver-4-Piece/dp/B01D6D08UO/ref=sr_1_35?keywords=Klein+Tools+635-1%2F4+1%2F4-Inch+Nut+Driver%2C+Magnetic+Tip%2C+4-Inch+Shaft&amp;qid=1694735101&amp;sr=8-35", "https://www.amazon.com/Klein-Tools-Heavy-Duty-Driver-4-Piece/dp/B01D6D08UO/ref=sr_1_35?keywords=Klein+Tools+635-1%2F4+1%2F4-Inch+Nut+Driver%2C+Magnetic+Tip%2C+4-Inch+Shaft&amp;qid=1694735101&amp;sr=8-35")</f>
        <v/>
      </c>
      <c r="F3596" t="inlineStr">
        <is>
          <t>B01D6D08UO</t>
        </is>
      </c>
      <c r="G3596">
        <f>_xlfn.IMAGE("https://edmondsonsupply.com/cdn/shop/products/635-1-4.jpg?v=1666811523")</f>
        <v/>
      </c>
      <c r="H3596">
        <f>_xlfn.IMAGE("https://m.media-amazon.com/images/I/51svRJU945L._AC_UL320_.jpg")</f>
        <v/>
      </c>
      <c r="K3596" t="inlineStr">
        <is>
          <t>11.99</t>
        </is>
      </c>
      <c r="L3596" t="n">
        <v>53.13</v>
      </c>
      <c r="M3596" s="1" t="inlineStr">
        <is>
          <t>343.12%</t>
        </is>
      </c>
      <c r="N3596" s="7" t="n">
        <v>43.09</v>
      </c>
      <c r="O3596" t="n">
        <v>4.7</v>
      </c>
      <c r="P3596" t="n">
        <v>943</v>
      </c>
      <c r="R3596" t="inlineStr">
        <is>
          <t>InStock</t>
        </is>
      </c>
      <c r="S3596" t="inlineStr">
        <is>
          <t>18.18</t>
        </is>
      </c>
      <c r="T3596" t="inlineStr">
        <is>
          <t>7866294010072</t>
        </is>
      </c>
    </row>
    <row r="3597" ht="87" customHeight="1">
      <c r="A3597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3597" s="2">
        <f>HYPERLINK("https://edmondsonsupply.com/products/klein-tools-ncvt1xt-non-contact-voltage-tester-70-to-1000v-ac", "https://edmondsonsupply.com/products/klein-tools-ncvt1xt-non-contact-voltage-tester-70-to-1000v-ac")</f>
        <v/>
      </c>
      <c r="C3597" t="inlineStr">
        <is>
          <t>Klein Tools NCVT1XT Non-Contact Voltage Tester, 70 to 1000V AC</t>
        </is>
      </c>
      <c r="D3597" t="inlineStr">
        <is>
          <t>Klein Tools NCVT-4IR Non-Contact Volt Tester, 12-1000V AC Pen with IR Thermometer -22 to 482 deg F &amp; Klein Tools ET310 AC Circuit Breaker Finder, Electric Tester with Integrated GFCI Outlet Tester</t>
        </is>
      </c>
      <c r="E3597" s="2">
        <f>HYPERLINK("https://www.amazon.com/Klein-Tools-Non-Contact-Thermometer-Integrated/dp/B0BM3TDBXK/ref=sr_1_16?keywords=Klein+Tools+NCVT1XT+Non-Contact+Voltage+Tester%2C+70+to+1000V+AC&amp;qid=1694735046&amp;sr=8-16", "https://www.amazon.com/Klein-Tools-Non-Contact-Thermometer-Integrated/dp/B0BM3TDBXK/ref=sr_1_16?keywords=Klein+Tools+NCVT1XT+Non-Contact+Voltage+Tester%2C+70+to+1000V+AC&amp;qid=1694735046&amp;sr=8-16")</f>
        <v/>
      </c>
      <c r="F3597" t="inlineStr">
        <is>
          <t>B0BM3TDBXK</t>
        </is>
      </c>
      <c r="G3597">
        <f>_xlfn.IMAGE("https://edmondsonsupply.com/cdn/shop/products/ncvt1xt.jpg?v=1674496568")</f>
        <v/>
      </c>
      <c r="H3597">
        <f>_xlfn.IMAGE("https://m.media-amazon.com/images/I/51jvhfhaE+L._AC_UL320_.jpg")</f>
        <v/>
      </c>
      <c r="K3597" t="inlineStr">
        <is>
          <t>19.97</t>
        </is>
      </c>
      <c r="L3597" t="n">
        <v>88.42</v>
      </c>
      <c r="M3597" s="1" t="inlineStr">
        <is>
          <t>342.76%</t>
        </is>
      </c>
      <c r="N3597" s="7" t="n">
        <v>43.01</v>
      </c>
      <c r="O3597" t="n">
        <v>5</v>
      </c>
      <c r="P3597" t="n">
        <v>1</v>
      </c>
      <c r="R3597" t="inlineStr">
        <is>
          <t>InStock</t>
        </is>
      </c>
      <c r="S3597" t="inlineStr">
        <is>
          <t>26.32</t>
        </is>
      </c>
      <c r="T3597" t="inlineStr">
        <is>
          <t>7931947155672</t>
        </is>
      </c>
    </row>
    <row r="3598" ht="87" customHeight="1">
      <c r="A359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59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598" t="inlineStr">
        <is>
          <t>Diablo Tools DMAPL4220 5/8 in. x 6 in. x 8 in. Rebar Demon™ SDS-Plus 4-Cutter Full Carbide Head Hammer Bit</t>
        </is>
      </c>
      <c r="D3598" t="inlineStr">
        <is>
          <t>Diablo DMAPL4310 1 in. x 16 in. x 18 in. Rebar Demon™ SDS-Plus 4-Cutter Full Carbide Head Hammer Bit</t>
        </is>
      </c>
      <c r="E3598" s="2">
        <f>HYPERLINK("https://www.amazon.com/Diablo-DMAPL4310-SDS-Plus-4-Cutter-Carbide/dp/B089KX2VKR/ref=sr_1_29?keywords=Diablo+Tools+DMAPL4220+5%2F8+in.+x+6+in.+x+8+in.+Rebar+Demon%E2%84%A2+SDS-Plus+4-Cutter+Full+Carbide+Head+Hammer+Bit&amp;qid=1694735306&amp;sr=8-29", "https://www.amazon.com/Diablo-DMAPL4310-SDS-Plus-4-Cutter-Carbide/dp/B089KX2VKR/ref=sr_1_29?keywords=Diablo+Tools+DMAPL4220+5%2F8+in.+x+6+in.+x+8+in.+Rebar+Demon%E2%84%A2+SDS-Plus+4-Cutter+Full+Carbide+Head+Hammer+Bit&amp;qid=1694735306&amp;sr=8-29")</f>
        <v/>
      </c>
      <c r="F3598" t="inlineStr">
        <is>
          <t>B089KX2VKR</t>
        </is>
      </c>
      <c r="G3598">
        <f>_xlfn.IMAGE("https://edmondsonsupply.com/cdn/shop/products/DMAPL4220.jpg?v=1633030355")</f>
        <v/>
      </c>
      <c r="H3598">
        <f>_xlfn.IMAGE("https://m.media-amazon.com/images/I/61iwxfqG2VL._AC_UL320_.jpg")</f>
        <v/>
      </c>
      <c r="K3598" t="inlineStr">
        <is>
          <t>10.97</t>
        </is>
      </c>
      <c r="L3598" t="n">
        <v>48.49</v>
      </c>
      <c r="M3598" s="1" t="inlineStr">
        <is>
          <t>342.02%</t>
        </is>
      </c>
      <c r="N3598" s="7" t="n">
        <v>43.01</v>
      </c>
      <c r="O3598" t="n">
        <v>4.5</v>
      </c>
      <c r="P3598" t="n">
        <v>32</v>
      </c>
      <c r="R3598" t="inlineStr">
        <is>
          <t>InStock</t>
        </is>
      </c>
      <c r="S3598" t="inlineStr">
        <is>
          <t>17.16</t>
        </is>
      </c>
      <c r="T3598" t="inlineStr">
        <is>
          <t>5286142148776</t>
        </is>
      </c>
    </row>
    <row r="3599" ht="87" customHeight="1">
      <c r="A3599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3599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3599" t="inlineStr">
        <is>
          <t>Klein Tools 630-5/16M 5/16-Inch Magnetic Nut Driver with Hollow Shaft</t>
        </is>
      </c>
      <c r="D3599" t="inlineStr">
        <is>
          <t>Klein Tools 633 Tool Set, Nut Driver Set with Driver Sizes 1/4, 5/16, 3/8, 9/16-Inch on 3-Inch Full Hollow Shaft, w/Cushion Grips, 4-Piece</t>
        </is>
      </c>
      <c r="E3599" s="2">
        <f>HYPERLINK("https://www.amazon.com/Cushion-4-Piece-Klein-Tools-633/dp/B00508QS5I/ref=sr_1_26?keywords=Klein+Tools+630-5%2F16M+5%2F16-Inch+Magnetic+Nut+Driver+with+Hollow+Shaft&amp;qid=1694735398&amp;sr=8-26", "https://www.amazon.com/Cushion-4-Piece-Klein-Tools-633/dp/B00508QS5I/ref=sr_1_26?keywords=Klein+Tools+630-5%2F16M+5%2F16-Inch+Magnetic+Nut+Driver+with+Hollow+Shaft&amp;qid=1694735398&amp;sr=8-26")</f>
        <v/>
      </c>
      <c r="F3599" t="inlineStr">
        <is>
          <t>B00508QS5I</t>
        </is>
      </c>
      <c r="G3599">
        <f>_xlfn.IMAGE("https://edmondsonsupply.com/cdn/shop/products/630-5-16m.jpg?v=1587148610")</f>
        <v/>
      </c>
      <c r="H3599">
        <f>_xlfn.IMAGE("https://m.media-amazon.com/images/I/61yug3exhUS._AC_UL320_.jpg")</f>
        <v/>
      </c>
      <c r="K3599" t="inlineStr">
        <is>
          <t>9.99</t>
        </is>
      </c>
      <c r="L3599" t="n">
        <v>44.05</v>
      </c>
      <c r="M3599" s="1" t="inlineStr">
        <is>
          <t>340.94%</t>
        </is>
      </c>
      <c r="N3599" s="7" t="n">
        <v>42.95</v>
      </c>
      <c r="O3599" t="n">
        <v>4.8</v>
      </c>
      <c r="P3599" t="n">
        <v>734</v>
      </c>
      <c r="R3599" t="inlineStr">
        <is>
          <t>InStock</t>
        </is>
      </c>
      <c r="S3599" t="inlineStr">
        <is>
          <t>15.12</t>
        </is>
      </c>
      <c r="T3599" t="inlineStr">
        <is>
          <t>4391884324964</t>
        </is>
      </c>
    </row>
    <row r="3600" ht="87" customHeight="1">
      <c r="A3600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3600" s="2">
        <f>HYPERLINK("https://edmondsonsupply.com/products/klein-tools-vaco-s10m-5-16-magnetic-nut-driver-3-hollow-shaft", "https://edmondsonsupply.com/products/klein-tools-vaco-s10m-5-16-magnetic-nut-driver-3-hollow-shaft")</f>
        <v/>
      </c>
      <c r="C3600" t="inlineStr">
        <is>
          <t>Klein Tools S10M 5/16-Inch Magnetic Nut Driver 3-Inch Shaft</t>
        </is>
      </c>
      <c r="D3600" t="inlineStr">
        <is>
          <t>Klein Tools 633 Tool Set, Nut Driver Set with Driver Sizes 1/4, 5/16, 3/8, 9/16-Inch on 3-Inch Full Hollow Shaft, w/Cushion Grips, 4-Piece</t>
        </is>
      </c>
      <c r="E3600" s="2">
        <f>HYPERLINK("https://www.amazon.com/Cushion-4-Piece-Klein-Tools-633/dp/B00508QS5I/ref=sr_1_25?keywords=Klein+Tools+S10M+5%2F16-Inch+Magnetic+Nut+Driver+3-Inch+Shaft&amp;qid=1694735002&amp;sr=8-25", "https://www.amazon.com/Cushion-4-Piece-Klein-Tools-633/dp/B00508QS5I/ref=sr_1_25?keywords=Klein+Tools+S10M+5%2F16-Inch+Magnetic+Nut+Driver+3-Inch+Shaft&amp;qid=1694735002&amp;sr=8-25")</f>
        <v/>
      </c>
      <c r="F3600" t="inlineStr">
        <is>
          <t>B00508QS5I</t>
        </is>
      </c>
      <c r="G3600">
        <f>_xlfn.IMAGE("https://edmondsonsupply.com/cdn/shop/products/s10m_alt2.jpg?v=1587143022")</f>
        <v/>
      </c>
      <c r="H3600">
        <f>_xlfn.IMAGE("https://m.media-amazon.com/images/I/61yug3exhUS._AC_UL320_.jpg")</f>
        <v/>
      </c>
      <c r="K3600" t="inlineStr">
        <is>
          <t>9.99</t>
        </is>
      </c>
      <c r="L3600" t="n">
        <v>44.05</v>
      </c>
      <c r="M3600" s="1" t="inlineStr">
        <is>
          <t>340.94%</t>
        </is>
      </c>
      <c r="N3600" s="7" t="n">
        <v>42.95</v>
      </c>
      <c r="O3600" t="n">
        <v>4.8</v>
      </c>
      <c r="P3600" t="n">
        <v>734</v>
      </c>
      <c r="R3600" t="inlineStr">
        <is>
          <t>InStock</t>
        </is>
      </c>
      <c r="S3600" t="inlineStr">
        <is>
          <t>15.08</t>
        </is>
      </c>
      <c r="T3600" t="inlineStr">
        <is>
          <t>2767113125988</t>
        </is>
      </c>
    </row>
    <row r="3601" ht="87" customHeight="1">
      <c r="A3601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3601" s="2">
        <f>HYPERLINK("https://edmondsonsupply.com/products/klein-tools-66074-flip-impact-socket-3-4-and-13-16-inch", "https://edmondsonsupply.com/products/klein-tools-66074-flip-impact-socket-3-4-and-13-16-inch")</f>
        <v/>
      </c>
      <c r="C3601" t="inlineStr">
        <is>
          <t>Klein Tools 66074 Flip Impact Socket, 3/4 and 13/16-Inch</t>
        </is>
      </c>
      <c r="D3601" t="inlineStr">
        <is>
          <t>Klein Tools 66065 2-in-1 Deep Impact Socket, 6-Point 1-Inch and 13/16-Inch Hex Socket Sizes, Use with Impact Wrenches BAT20-CW, BAT20-CW</t>
        </is>
      </c>
      <c r="E3601" s="2">
        <f>HYPERLINK("https://www.amazon.com/Klein-Tools-66065-Wrenches-BAT20-CW/dp/B09NDPWW3X/ref=sr_1_24?keywords=Klein+Tools+66074+Flip+Impact+Socket%2C+3%2F4+and+13%2F16-Inch&amp;qid=1694735130&amp;sr=8-24", "https://www.amazon.com/Klein-Tools-66065-Wrenches-BAT20-CW/dp/B09NDPWW3X/ref=sr_1_24?keywords=Klein+Tools+66074+Flip+Impact+Socket%2C+3%2F4+and+13%2F16-Inch&amp;qid=1694735130&amp;sr=8-24")</f>
        <v/>
      </c>
      <c r="F3601" t="inlineStr">
        <is>
          <t>B09NDPWW3X</t>
        </is>
      </c>
      <c r="G3601">
        <f>_xlfn.IMAGE("https://edmondsonsupply.com/cdn/shop/products/66074.jpg?v=1663249251")</f>
        <v/>
      </c>
      <c r="H3601">
        <f>_xlfn.IMAGE("https://m.media-amazon.com/images/I/815Ioz0XAyL._AC_UL320_.jpg")</f>
        <v/>
      </c>
      <c r="K3601" t="inlineStr">
        <is>
          <t>12.71</t>
        </is>
      </c>
      <c r="L3601" t="n">
        <v>56.03</v>
      </c>
      <c r="M3601" s="1" t="inlineStr">
        <is>
          <t>340.83%</t>
        </is>
      </c>
      <c r="N3601" s="7" t="n">
        <v>42.93</v>
      </c>
      <c r="O3601" t="n">
        <v>5</v>
      </c>
      <c r="P3601" t="n">
        <v>1</v>
      </c>
      <c r="R3601" t="inlineStr">
        <is>
          <t>InStock</t>
        </is>
      </c>
      <c r="S3601" t="inlineStr">
        <is>
          <t>17.8</t>
        </is>
      </c>
      <c r="T3601" t="inlineStr">
        <is>
          <t>7817341534424</t>
        </is>
      </c>
    </row>
    <row r="3602" ht="87" customHeight="1">
      <c r="A3602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602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602" t="inlineStr">
        <is>
          <t>Diablo Tools D0724A 7-1/4 in. x 24 Tooth Framing Saw Blade</t>
        </is>
      </c>
      <c r="D3602" t="inlineStr">
        <is>
          <t>(4 Count) Freud Diablo D0724 7-1/4-Inch 24 Tooth ATB Carbide Framing Saw Blade with 5/8-Inch and Diamond Knockout Arbor</t>
        </is>
      </c>
      <c r="E3602" s="2">
        <f>HYPERLINK("https://www.amazon.com/Freud-Diablo-D0724-Carbide-Knockout/dp/B00OL849JA/ref=sr_1_38?keywords=Diablo+Tools+D0724A+7-1%2F4+in.+x+24+Tooth+Framing+Saw+Blade&amp;qid=1694735310&amp;sr=8-38", "https://www.amazon.com/Freud-Diablo-D0724-Carbide-Knockout/dp/B00OL849JA/ref=sr_1_38?keywords=Diablo+Tools+D0724A+7-1%2F4+in.+x+24+Tooth+Framing+Saw+Blade&amp;qid=1694735310&amp;sr=8-38")</f>
        <v/>
      </c>
      <c r="F3602" t="inlineStr">
        <is>
          <t>B00OL849JA</t>
        </is>
      </c>
      <c r="G3602">
        <f>_xlfn.IMAGE("https://edmondsonsupply.com/cdn/shop/products/D0724A_Main-Image20200218.png?v=1633030268")</f>
        <v/>
      </c>
      <c r="H3602">
        <f>_xlfn.IMAGE("https://m.media-amazon.com/images/I/41Y-PeOXAoL._AC_UL320_.jpg")</f>
        <v/>
      </c>
      <c r="K3602" t="inlineStr">
        <is>
          <t>9.97</t>
        </is>
      </c>
      <c r="L3602" t="n">
        <v>43.95</v>
      </c>
      <c r="M3602" s="1" t="inlineStr">
        <is>
          <t>340.82%</t>
        </is>
      </c>
      <c r="N3602" s="7" t="n">
        <v>42.92</v>
      </c>
      <c r="O3602" t="n">
        <v>5</v>
      </c>
      <c r="P3602" t="n">
        <v>1</v>
      </c>
      <c r="R3602" t="inlineStr">
        <is>
          <t>InStock</t>
        </is>
      </c>
      <c r="S3602" t="inlineStr">
        <is>
          <t>15.45</t>
        </is>
      </c>
      <c r="T3602" t="inlineStr">
        <is>
          <t>4678532563044</t>
        </is>
      </c>
    </row>
    <row r="3603" ht="87" customHeight="1">
      <c r="A3603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603" s="2">
        <f>HYPERLINK("https://edmondsonsupply.com/products/diablo-tools-d0724x-7-1-4-in-x-24-tooth-framing-saw-blade", "https://edmondsonsupply.com/products/diablo-tools-d0724x-7-1-4-in-x-24-tooth-framing-saw-blade")</f>
        <v/>
      </c>
      <c r="C3603" t="inlineStr">
        <is>
          <t>Diablo Tools D0724X 7-1/4 in. x 24 Tooth Framing Saw Blade</t>
        </is>
      </c>
      <c r="D3603" t="inlineStr">
        <is>
          <t>(4 Count) Freud Diablo D0724 7-1/4-Inch 24 Tooth ATB Carbide Framing Saw Blade with 5/8-Inch and Diamond Knockout Arbor</t>
        </is>
      </c>
      <c r="E3603" s="2">
        <f>HYPERLINK("https://www.amazon.com/Freud-Diablo-D0724-Carbide-Knockout/dp/B00OL849JA/ref=sr_1_14?keywords=Diablo+Tools+D0724X+7-1%2F4+in.+x+24+Tooth+Framing+Saw+Blade&amp;qid=1694735022&amp;sr=8-14", "https://www.amazon.com/Freud-Diablo-D0724-Carbide-Knockout/dp/B00OL849JA/ref=sr_1_14?keywords=Diablo+Tools+D0724X+7-1%2F4+in.+x+24+Tooth+Framing+Saw+Blade&amp;qid=1694735022&amp;sr=8-14")</f>
        <v/>
      </c>
      <c r="F3603" t="inlineStr">
        <is>
          <t>B00OL849JA</t>
        </is>
      </c>
      <c r="G3603">
        <f>_xlfn.IMAGE("https://edmondsonsupply.com/cdn/shop/products/D0724A_Main-Image20200218_ba34939c-8546-489a-9616-b05338ff91cc.png?v=1678971696")</f>
        <v/>
      </c>
      <c r="H3603">
        <f>_xlfn.IMAGE("https://m.media-amazon.com/images/I/41Y-PeOXAoL._AC_UL320_.jpg")</f>
        <v/>
      </c>
      <c r="K3603" t="inlineStr">
        <is>
          <t>9.97</t>
        </is>
      </c>
      <c r="L3603" t="n">
        <v>43.95</v>
      </c>
      <c r="M3603" s="1" t="inlineStr">
        <is>
          <t>340.82%</t>
        </is>
      </c>
      <c r="N3603" s="7" t="n">
        <v>42.92</v>
      </c>
      <c r="O3603" t="n">
        <v>5</v>
      </c>
      <c r="P3603" t="n">
        <v>1</v>
      </c>
      <c r="R3603" t="inlineStr">
        <is>
          <t>InStock</t>
        </is>
      </c>
      <c r="S3603" t="inlineStr">
        <is>
          <t>16.41</t>
        </is>
      </c>
      <c r="T3603" t="inlineStr">
        <is>
          <t>7962598670552</t>
        </is>
      </c>
    </row>
    <row r="3604" ht="87" customHeight="1">
      <c r="A3604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3604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3604" t="inlineStr">
        <is>
          <t>Diablo Tools DMAPL4230 5/8 in. x 10 in. x 12 in. Rebar Demon™ SDS‑Plus 4‑Cutter Full Carbide Head Hammer Bit</t>
        </is>
      </c>
      <c r="D3604" t="inlineStr">
        <is>
          <t>Diablo DMAMX1110 5/8 in. x 24 in. x 29 in. Rebar Demon™ SDS-Max 4-Cutter Full Carbide Head Hammer Bit</t>
        </is>
      </c>
      <c r="E3604" s="2">
        <f>HYPERLINK("https://www.amazon.com/Diablo-SDS-Max-4-Cutter-Carbide-Hammer/dp/B089LJ9GHW/ref=sr_1_21?keywords=Diablo+Tools+DMAPL4230+5%2F8+in.+x+10+in.+x+12+in.+Rebar+Demon%E2%84%A2+SDS%E2%80%91Plus+4%E2%80%91Cutter+Full+Carbide+Head+Hammer+Bit&amp;qid=1694735289&amp;sr=8-21", "https://www.amazon.com/Diablo-SDS-Max-4-Cutter-Carbide-Hammer/dp/B089LJ9GHW/ref=sr_1_21?keywords=Diablo+Tools+DMAPL4230+5%2F8+in.+x+10+in.+x+12+in.+Rebar+Demon%E2%84%A2+SDS%E2%80%91Plus+4%E2%80%91Cutter+Full+Carbide+Head+Hammer+Bit&amp;qid=1694735289&amp;sr=8-21")</f>
        <v/>
      </c>
      <c r="F3604" t="inlineStr">
        <is>
          <t>B089LJ9GHW</t>
        </is>
      </c>
      <c r="G3604">
        <f>_xlfn.IMAGE("https://edmondsonsupply.com/cdn/shop/products/DMAPL4230_Main-Image20200701.png?v=1633030428")</f>
        <v/>
      </c>
      <c r="H3604">
        <f>_xlfn.IMAGE("https://m.media-amazon.com/images/I/61vWAd-z8eL._AC_UL320_.jpg")</f>
        <v/>
      </c>
      <c r="K3604" t="inlineStr">
        <is>
          <t>17.97</t>
        </is>
      </c>
      <c r="L3604" t="n">
        <v>78.98999999999999</v>
      </c>
      <c r="M3604" s="1" t="inlineStr">
        <is>
          <t>339.57%</t>
        </is>
      </c>
      <c r="N3604" s="7" t="n">
        <v>42.92</v>
      </c>
      <c r="O3604" t="n">
        <v>4.7</v>
      </c>
      <c r="P3604" t="n">
        <v>4</v>
      </c>
      <c r="R3604" t="inlineStr">
        <is>
          <t>InStock</t>
        </is>
      </c>
      <c r="S3604" t="inlineStr">
        <is>
          <t>27.18</t>
        </is>
      </c>
      <c r="T3604" t="inlineStr">
        <is>
          <t>5326959476904</t>
        </is>
      </c>
    </row>
    <row r="3605" ht="87" customHeight="1">
      <c r="A3605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605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605" t="inlineStr">
        <is>
          <t>Diablo Tools DMAPL4030 3/16 in. x 2 in. x 4 in. Rebar Demon™ SDS-Plus 4-Cutter Full Carbide Head Hammer Bit</t>
        </is>
      </c>
      <c r="D3605" t="inlineStr">
        <is>
          <t>Diablo by Freud Diablo DMAPL4190 1/2 in. x 10 in. x 12 in. Rebar Demon SDS-Plus 4-Cutter Full Carbide Head Hammer Bit</t>
        </is>
      </c>
      <c r="E3605" s="2">
        <f>HYPERLINK("https://www.amazon.com/Diablo-Freud-DMAPL4190-SDS-Plus-4-Cutter/dp/B089LJZ25M/ref=sr_1_19?keywords=Diablo+Tools+DMAPL4030+3%2F16+in.+x+2+in.+x+4+in.+Rebar+Demon%E2%84%A2+SDS-Plus+4-Cutter+Full+Carbide+Head+Hammer+Bit&amp;qid=1694735295&amp;sr=8-19", "https://www.amazon.com/Diablo-Freud-DMAPL4190-SDS-Plus-4-Cutter/dp/B089LJZ25M/ref=sr_1_19?keywords=Diablo+Tools+DMAPL4030+3%2F16+in.+x+2+in.+x+4+in.+Rebar+Demon%E2%84%A2+SDS-Plus+4-Cutter+Full+Carbide+Head+Hammer+Bit&amp;qid=1694735295&amp;sr=8-19")</f>
        <v/>
      </c>
      <c r="F3605" t="inlineStr">
        <is>
          <t>B089LJZ25M</t>
        </is>
      </c>
      <c r="G3605">
        <f>_xlfn.IMAGE("https://edmondsonsupply.com/cdn/shop/products/DMAPL4030.jpg?v=1633030357")</f>
        <v/>
      </c>
      <c r="H3605">
        <f>_xlfn.IMAGE("https://m.media-amazon.com/images/I/61dzudnwI8L._AC_UL320_.jpg")</f>
        <v/>
      </c>
      <c r="K3605" t="inlineStr">
        <is>
          <t>3.97</t>
        </is>
      </c>
      <c r="L3605" t="n">
        <v>17.41</v>
      </c>
      <c r="M3605" s="1" t="inlineStr">
        <is>
          <t>338.54%</t>
        </is>
      </c>
      <c r="N3605" s="7" t="n">
        <v>42.92</v>
      </c>
      <c r="O3605" t="n">
        <v>4.6</v>
      </c>
      <c r="P3605" t="n">
        <v>43</v>
      </c>
      <c r="R3605" t="inlineStr">
        <is>
          <t>InStock</t>
        </is>
      </c>
      <c r="S3605" t="inlineStr">
        <is>
          <t>5.51</t>
        </is>
      </c>
      <c r="T3605" t="inlineStr">
        <is>
          <t>5286322012328</t>
        </is>
      </c>
    </row>
    <row r="3606" ht="87" customHeight="1">
      <c r="A3606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3606" s="2">
        <f>HYPERLINK("https://edmondsonsupply.com/products/diablo-tools-d0760x-7-1-4-in-x-60-tooth-ultra-finish-saw-blade", "https://edmondsonsupply.com/products/diablo-tools-d0760x-7-1-4-in-x-60-tooth-ultra-finish-saw-blade")</f>
        <v/>
      </c>
      <c r="C3606" t="inlineStr">
        <is>
          <t>Diablo Tools D0760X 7-1/4 in. x 60 Tooth Ultra Finish Saw Blade</t>
        </is>
      </c>
      <c r="D3606" t="inlineStr">
        <is>
          <t>Diablo D0740A 7-1/4" X 40 Tooth Wet Lumber Finish Circular Saw Blade 5 Pack</t>
        </is>
      </c>
      <c r="E3606" s="2">
        <f>HYPERLINK("https://www.amazon.com/Diablo-D0740A-Lumber-Finish-Circular/dp/B00VITLHO0/ref=sr_1_31?keywords=Diablo+Tools+D0760X+7-1%2F4+in.+x+60+Tooth+Ultra+Finish+Saw+Blade&amp;qid=1694735024&amp;sr=8-31", "https://www.amazon.com/Diablo-D0740A-Lumber-Finish-Circular/dp/B00VITLHO0/ref=sr_1_31?keywords=Diablo+Tools+D0760X+7-1%2F4+in.+x+60+Tooth+Ultra+Finish+Saw+Blade&amp;qid=1694735024&amp;sr=8-31")</f>
        <v/>
      </c>
      <c r="F3606" t="inlineStr">
        <is>
          <t>B00VITLHO0</t>
        </is>
      </c>
      <c r="G3606">
        <f>_xlfn.IMAGE("https://edmondsonsupply.com/cdn/shop/products/vlfiqrihhfwf5bxirasx.webp?v=1678977162")</f>
        <v/>
      </c>
      <c r="H3606">
        <f>_xlfn.IMAGE("https://m.media-amazon.com/images/I/51Kjg9YnOML._AC_UL320_.jpg")</f>
        <v/>
      </c>
      <c r="K3606" t="inlineStr">
        <is>
          <t>19.97</t>
        </is>
      </c>
      <c r="L3606" t="n">
        <v>87.54000000000001</v>
      </c>
      <c r="M3606" s="1" t="inlineStr">
        <is>
          <t>338.36%</t>
        </is>
      </c>
      <c r="N3606" s="7" t="n">
        <v>42.92</v>
      </c>
      <c r="O3606" t="n">
        <v>5</v>
      </c>
      <c r="P3606" t="n">
        <v>1</v>
      </c>
      <c r="R3606" t="inlineStr">
        <is>
          <t>InStock</t>
        </is>
      </c>
      <c r="S3606" t="inlineStr">
        <is>
          <t>30.2</t>
        </is>
      </c>
      <c r="T3606" t="inlineStr">
        <is>
          <t>7962630521048</t>
        </is>
      </c>
    </row>
    <row r="3607" ht="87" customHeight="1">
      <c r="A3607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3607" s="2">
        <f>HYPERLINK("https://edmondsonsupply.com/products/klein-tools-31918-bi-metal-hole-saw-1-1-8-inch", "https://edmondsonsupply.com/products/klein-tools-31918-bi-metal-hole-saw-1-1-8-inch")</f>
        <v/>
      </c>
      <c r="C3607" t="inlineStr">
        <is>
          <t>Klein Tools 31918 Bi-Metal Hole Saw, 1-1/8-Inch</t>
        </is>
      </c>
      <c r="D3607" t="inlineStr">
        <is>
          <t>Klein Tools 31856 Heavy Duty Hole Cutter, 1-1/8-Inch Carbide Hole Cutter Cuts Stainless Steel, Mild Steel, Iron, and Copper</t>
        </is>
      </c>
      <c r="E3607" s="2">
        <f>HYPERLINK("https://www.amazon.com/8-Inch-Carbide-Klein-Tools-31856/dp/B00776T2XQ/ref=sr_1_3?keywords=Klein+Tools+31918+Bi-Metal+Hole+Saw%2C+1-1%2F8-Inch&amp;qid=1694735078&amp;sr=8-3", "https://www.amazon.com/8-Inch-Carbide-Klein-Tools-31856/dp/B00776T2XQ/ref=sr_1_3?keywords=Klein+Tools+31918+Bi-Metal+Hole+Saw%2C+1-1%2F8-Inch&amp;qid=1694735078&amp;sr=8-3")</f>
        <v/>
      </c>
      <c r="F3607" t="inlineStr">
        <is>
          <t>B00776T2XQ</t>
        </is>
      </c>
      <c r="G3607">
        <f>_xlfn.IMAGE("https://edmondsonsupply.com/cdn/shop/products/31918.jpg?v=1669739998")</f>
        <v/>
      </c>
      <c r="H3607">
        <f>_xlfn.IMAGE("https://m.media-amazon.com/images/I/41TKex1GIjL._AC_UL320_.jpg")</f>
        <v/>
      </c>
      <c r="K3607" t="inlineStr">
        <is>
          <t>7.99</t>
        </is>
      </c>
      <c r="L3607" t="n">
        <v>34.99</v>
      </c>
      <c r="M3607" s="1" t="inlineStr">
        <is>
          <t>337.92%</t>
        </is>
      </c>
      <c r="N3607" s="7" t="n">
        <v>42.92</v>
      </c>
      <c r="O3607" t="n">
        <v>4.5</v>
      </c>
      <c r="P3607" t="n">
        <v>472</v>
      </c>
      <c r="R3607" t="inlineStr">
        <is>
          <t>InStock</t>
        </is>
      </c>
      <c r="S3607" t="inlineStr">
        <is>
          <t>11.2</t>
        </is>
      </c>
      <c r="T3607" t="inlineStr">
        <is>
          <t>7896138678488</t>
        </is>
      </c>
    </row>
    <row r="3608" ht="87" customHeight="1">
      <c r="A3608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608" s="2">
        <f>HYPERLINK("https://edmondsonsupply.com/products/klein-tools-et45-ac-dc-voltage-tester", "https://edmondsonsupply.com/products/klein-tools-et45-ac-dc-voltage-tester")</f>
        <v/>
      </c>
      <c r="C3608" t="inlineStr">
        <is>
          <t>Klein Tools ET45 AC/DC Voltage Tester</t>
        </is>
      </c>
      <c r="D3608" t="inlineStr">
        <is>
          <t>Digital Multimeter Electrical Test Kit, Non-Contact Voltage Tester, Receptacle Tester, Carrying Case and Batteries Klein Tools MM320KIT &amp; 69417 Rare-Earth Magnetic Hanger, with Strap</t>
        </is>
      </c>
      <c r="E3608" s="2">
        <f>HYPERLINK("https://www.amazon.com/Multimeter-Electrical-Non-Contact-Klein-Tools/dp/B0CF2CFS1D/ref=sr_1_22?keywords=Klein+Tools+ET45+AC%2FDC+Voltage+Tester&amp;qid=1694735227&amp;sr=8-22", "https://www.amazon.com/Multimeter-Electrical-Non-Contact-Klein-Tools/dp/B0CF2CFS1D/ref=sr_1_22?keywords=Klein+Tools+ET45+AC%2FDC+Voltage+Tester&amp;qid=1694735227&amp;sr=8-22")</f>
        <v/>
      </c>
      <c r="F3608" t="inlineStr">
        <is>
          <t>B0CF2CFS1D</t>
        </is>
      </c>
      <c r="G3608">
        <f>_xlfn.IMAGE("https://edmondsonsupply.com/cdn/shop/products/et45.jpg?v=1647786270")</f>
        <v/>
      </c>
      <c r="H3608">
        <f>_xlfn.IMAGE("https://m.media-amazon.com/images/I/5182bo0BHaL._AC_UL320_.jpg")</f>
        <v/>
      </c>
      <c r="K3608" t="inlineStr">
        <is>
          <t>11.99</t>
        </is>
      </c>
      <c r="L3608" t="n">
        <v>52.49</v>
      </c>
      <c r="M3608" s="1" t="inlineStr">
        <is>
          <t>337.78%</t>
        </is>
      </c>
      <c r="N3608" s="7" t="n">
        <v>42.87</v>
      </c>
      <c r="O3608" t="n">
        <v>4.8</v>
      </c>
      <c r="P3608" t="n">
        <v>1447</v>
      </c>
      <c r="R3608" t="inlineStr">
        <is>
          <t>InStock</t>
        </is>
      </c>
      <c r="S3608" t="inlineStr">
        <is>
          <t>16.72</t>
        </is>
      </c>
      <c r="T3608" t="inlineStr">
        <is>
          <t>3688633630820</t>
        </is>
      </c>
    </row>
    <row r="3609" ht="87" customHeight="1">
      <c r="A3609" s="2">
        <f>HYPERLINK("https://edmondsonsupply.com/collections/electricians-tools/products/gorilla-glue-107450-original-gorilla-glue-20z-bottle", "https://edmondsonsupply.com/collections/electricians-tools/products/gorilla-glue-107450-original-gorilla-glue-20z-bottle")</f>
        <v/>
      </c>
      <c r="B3609" s="2">
        <f>HYPERLINK("https://edmondsonsupply.com/products/gorilla-glue-107450-original-gorilla-glue-20z-bottle", "https://edmondsonsupply.com/products/gorilla-glue-107450-original-gorilla-glue-20z-bottle")</f>
        <v/>
      </c>
      <c r="C3609" t="inlineStr">
        <is>
          <t>Gorilla Glue 107450 Original Gorilla Glue, 2oz. bottle</t>
        </is>
      </c>
      <c r="D3609" t="inlineStr">
        <is>
          <t>Gorilla Original Gorilla Glue, Waterproof Polyurethane Glue, 18 Ounce Bottle, Brown, (Pack of 1)</t>
        </is>
      </c>
      <c r="E3609" s="2">
        <f>HYPERLINK("https://www.amazon.com/Gorilla-Original-Waterproof-Polyurethane-Bottle/dp/B0000223UU/ref=sr_1_6?keywords=Gorilla+Glue+107450+Original+Gorilla+Glue%2C+2oz.+bottle&amp;qid=1694735029&amp;sr=8-6", "https://www.amazon.com/Gorilla-Original-Waterproof-Polyurethane-Bottle/dp/B0000223UU/ref=sr_1_6?keywords=Gorilla+Glue+107450+Original+Gorilla+Glue%2C+2oz.+bottle&amp;qid=1694735029&amp;sr=8-6")</f>
        <v/>
      </c>
      <c r="F3609" t="inlineStr">
        <is>
          <t>B0000223UU</t>
        </is>
      </c>
      <c r="G3609">
        <f>_xlfn.IMAGE("https://edmondsonsupply.com/cdn/shop/products/original_gorilla_glue_white_bg_v2-450x450-c-default.webp?v=1678801122")</f>
        <v/>
      </c>
      <c r="H3609">
        <f>_xlfn.IMAGE("https://m.media-amazon.com/images/I/817vsV09M-L._AC_UY218_.jpg")</f>
        <v/>
      </c>
      <c r="K3609" t="inlineStr">
        <is>
          <t>6.98</t>
        </is>
      </c>
      <c r="L3609" t="n">
        <v>30.39</v>
      </c>
      <c r="M3609" s="1" t="inlineStr">
        <is>
          <t>335.39%</t>
        </is>
      </c>
      <c r="N3609" s="7" t="n">
        <v>42.83</v>
      </c>
      <c r="O3609" t="n">
        <v>4.6</v>
      </c>
      <c r="P3609" t="n">
        <v>593</v>
      </c>
      <c r="R3609" t="inlineStr">
        <is>
          <t>InStock</t>
        </is>
      </c>
      <c r="S3609" t="inlineStr">
        <is>
          <t>undefined</t>
        </is>
      </c>
      <c r="T3609" t="inlineStr">
        <is>
          <t>7961253314776</t>
        </is>
      </c>
    </row>
    <row r="3610" ht="87" customHeight="1">
      <c r="A3610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610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610" t="inlineStr">
        <is>
          <t>Diablo Tools DMAPL4070 1/4 in. x 4 in. x 6 in. Rebar Demon™ SDS-Plus 4-Cutter Full Carbide Head Hammer Bit</t>
        </is>
      </c>
      <c r="D3610" t="inlineStr">
        <is>
          <t>Diablo 3/4"x 16"x18" Rebar Demon SDS-Plus 4-Cutter Full Carbide Head Hammer Bit</t>
        </is>
      </c>
      <c r="E3610" s="2">
        <f>HYPERLINK("https://www.amazon.com/Diablo-Freud-DMAPL4260-SDS-Plus-4-Cutter/dp/B089LK4H2L/ref=sr_1_16?keywords=Diablo+Tools+DMAPL4070+1%2F4+in.+x+4+in.+x+6+in.+Rebar+Demon%E2%84%A2+SDS-Plus+4-Cutter+Full+Carbide+Head+Hammer+Bit&amp;qid=1694735303&amp;sr=8-16", "https://www.amazon.com/Diablo-Freud-DMAPL4260-SDS-Plus-4-Cutter/dp/B089LK4H2L/ref=sr_1_16?keywords=Diablo+Tools+DMAPL4070+1%2F4+in.+x+4+in.+x+6+in.+Rebar+Demon%E2%84%A2+SDS-Plus+4-Cutter+Full+Carbide+Head+Hammer+Bit&amp;qid=1694735303&amp;sr=8-16")</f>
        <v/>
      </c>
      <c r="F3610" t="inlineStr">
        <is>
          <t>B089LK4H2L</t>
        </is>
      </c>
      <c r="G3610">
        <f>_xlfn.IMAGE("https://edmondsonsupply.com/cdn/shop/products/DMAPL4070_Main-Image20200701.png?v=1633030350")</f>
        <v/>
      </c>
      <c r="H3610">
        <f>_xlfn.IMAGE("https://m.media-amazon.com/images/I/61K1ugH5-zL._AC_UL320_.jpg")</f>
        <v/>
      </c>
      <c r="K3610" t="inlineStr">
        <is>
          <t>8.97</t>
        </is>
      </c>
      <c r="L3610" t="n">
        <v>39</v>
      </c>
      <c r="M3610" s="1" t="inlineStr">
        <is>
          <t>334.78%</t>
        </is>
      </c>
      <c r="N3610" s="7" t="n">
        <v>42.77</v>
      </c>
      <c r="O3610" t="n">
        <v>4.7</v>
      </c>
      <c r="P3610" t="n">
        <v>15</v>
      </c>
      <c r="R3610" t="inlineStr">
        <is>
          <t>InStock</t>
        </is>
      </c>
      <c r="S3610" t="inlineStr">
        <is>
          <t>undefined</t>
        </is>
      </c>
      <c r="T3610" t="inlineStr">
        <is>
          <t>5283100197032</t>
        </is>
      </c>
    </row>
    <row r="3611" ht="87" customHeight="1">
      <c r="A3611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3611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3611" t="inlineStr">
        <is>
          <t>Klein Tools 630-7/16M 7/16-Inch Magnetic Tip Nut Driver 3-Inch Shaft</t>
        </is>
      </c>
      <c r="D3611" t="inlineStr">
        <is>
          <t>Klein Tools 635-4 Tool Set, Heavy Duty Magnetic Nut Drivers Hex Sizes 1/4, 5/16, 3/8, 7/16-Inch, Full Hollow Shafts w/Color Coding, 4-Piece</t>
        </is>
      </c>
      <c r="E3611" s="2">
        <f>HYPERLINK("https://www.amazon.com/Klein-Tools-Heavy-Duty-Driver-4-Piece/dp/B01D6D08UO/ref=sr_1_24?keywords=Klein+Tools+630-7%2F16M+7%2F16-Inch+Magnetic+Tip+Nut+Driver+3-Inch+Shaft&amp;qid=1694735273&amp;sr=8-24", "https://www.amazon.com/Klein-Tools-Heavy-Duty-Driver-4-Piece/dp/B01D6D08UO/ref=sr_1_24?keywords=Klein+Tools+630-7%2F16M+7%2F16-Inch+Magnetic+Tip+Nut+Driver+3-Inch+Shaft&amp;qid=1694735273&amp;sr=8-24")</f>
        <v/>
      </c>
      <c r="F3611" t="inlineStr">
        <is>
          <t>B01D6D08UO</t>
        </is>
      </c>
      <c r="G3611">
        <f>_xlfn.IMAGE("https://edmondsonsupply.com/cdn/shop/products/630-7-16m.jpg?v=1633030529")</f>
        <v/>
      </c>
      <c r="H3611">
        <f>_xlfn.IMAGE("https://m.media-amazon.com/images/I/51svRJU945L._AC_UL320_.jpg")</f>
        <v/>
      </c>
      <c r="K3611" t="inlineStr">
        <is>
          <t>12.24</t>
        </is>
      </c>
      <c r="L3611" t="n">
        <v>53.13</v>
      </c>
      <c r="M3611" s="1" t="inlineStr">
        <is>
          <t>334.07%</t>
        </is>
      </c>
      <c r="N3611" s="7" t="n">
        <v>42.46</v>
      </c>
      <c r="O3611" t="n">
        <v>4.7</v>
      </c>
      <c r="P3611" t="n">
        <v>943</v>
      </c>
      <c r="R3611" t="inlineStr">
        <is>
          <t>InStock</t>
        </is>
      </c>
      <c r="S3611" t="inlineStr">
        <is>
          <t>18.54</t>
        </is>
      </c>
      <c r="T3611" t="inlineStr">
        <is>
          <t>5408853819560</t>
        </is>
      </c>
    </row>
    <row r="3612" ht="87" customHeight="1">
      <c r="A3612" s="2">
        <f>HYPERLINK("https://edmondsonsupply.com/collections/electricians-tools/products/klein-tools-66078-flip-impact-socket-adapter-large-1-2-to-1-2-inch", "https://edmondsonsupply.com/collections/electricians-tools/products/klein-tools-66078-flip-impact-socket-adapter-large-1-2-to-1-2-inch")</f>
        <v/>
      </c>
      <c r="B3612" s="2">
        <f>HYPERLINK("https://edmondsonsupply.com/products/klein-tools-66078-flip-impact-socket-adapter-large-1-2-to-1-2-inch", "https://edmondsonsupply.com/products/klein-tools-66078-flip-impact-socket-adapter-large-1-2-to-1-2-inch")</f>
        <v/>
      </c>
      <c r="C3612" t="inlineStr">
        <is>
          <t>Klein Tools 66078 Flip Impact Socket Adapter, Large, 1/2 to 1/2-Inch</t>
        </is>
      </c>
      <c r="D3612" t="inlineStr">
        <is>
          <t>Klein Tools 66011 2-in-1 Impact Socket with 12-Point Deep Sockets, Coaxial Spring Loaded in 1/2- and 3/8-Inch Sizes</t>
        </is>
      </c>
      <c r="E3612" s="2">
        <f>HYPERLINK("https://www.amazon.com/Klein-Tools-66011-12-Point-Sockets/dp/B08P3V1LY3/ref=sr_1_28?keywords=Klein+Tools+66078+Flip+Impact+Socket+Adapter%2C+Large%2C+1%2F2+to+1%2F2-Inch&amp;qid=1694735127&amp;sr=8-28", "https://www.amazon.com/Klein-Tools-66011-12-Point-Sockets/dp/B08P3V1LY3/ref=sr_1_28?keywords=Klein+Tools+66078+Flip+Impact+Socket+Adapter%2C+Large%2C+1%2F2+to+1%2F2-Inch&amp;qid=1694735127&amp;sr=8-28")</f>
        <v/>
      </c>
      <c r="F3612" t="inlineStr">
        <is>
          <t>B08P3V1LY3</t>
        </is>
      </c>
      <c r="G3612">
        <f>_xlfn.IMAGE("https://edmondsonsupply.com/cdn/shop/products/66078.jpg?v=1674145294")</f>
        <v/>
      </c>
      <c r="H3612">
        <f>_xlfn.IMAGE("https://m.media-amazon.com/images/I/41-2kIUpvBL._AC_UL320_.jpg")</f>
        <v/>
      </c>
      <c r="K3612" t="inlineStr">
        <is>
          <t>9.36</t>
        </is>
      </c>
      <c r="L3612" t="n">
        <v>40.61</v>
      </c>
      <c r="M3612" s="1" t="inlineStr">
        <is>
          <t>333.87%</t>
        </is>
      </c>
      <c r="N3612" s="7" t="n">
        <v>42.33</v>
      </c>
      <c r="O3612" t="n">
        <v>4.6</v>
      </c>
      <c r="P3612" t="n">
        <v>25</v>
      </c>
      <c r="R3612" t="inlineStr">
        <is>
          <t>InStock</t>
        </is>
      </c>
      <c r="S3612" t="inlineStr">
        <is>
          <t>15.6</t>
        </is>
      </c>
      <c r="T3612" t="inlineStr">
        <is>
          <t>7814086361304</t>
        </is>
      </c>
    </row>
    <row r="3613" ht="87" customHeight="1">
      <c r="A3613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3613" s="2">
        <f>HYPERLINK("https://edmondsonsupply.com/products/klein-tools-32900-7-in-1-impact-flip-socket-with-handle", "https://edmondsonsupply.com/products/klein-tools-32900-7-in-1-impact-flip-socket-with-handle")</f>
        <v/>
      </c>
      <c r="C3613" t="inlineStr">
        <is>
          <t>Klein Tools 32900 7-in-1 Impact Flip Socket with Handle</t>
        </is>
      </c>
      <c r="D3613" t="inlineStr">
        <is>
          <t>Klein Tools 80021 Tool Set, Screwdriver and Nut Driver Tool Kit with Assorted Tips &amp; 32900 Impact Driver, 7-in-1 Impact Flip Socket Set with Handle, 6 Hex Driver Sizes</t>
        </is>
      </c>
      <c r="E3613" s="2">
        <f>HYPERLINK("https://www.amazon.com/Klein-Tools-Screwdriver-Driver-Assorted/dp/B0CF29SBCM/ref=sr_1_10?keywords=Klein+Tools+32900+7-in-1+Impact+Flip+Socket+with+Handle&amp;qid=1694735103&amp;sr=8-10", "https://www.amazon.com/Klein-Tools-Screwdriver-Driver-Assorted/dp/B0CF29SBCM/ref=sr_1_10?keywords=Klein+Tools+32900+7-in-1+Impact+Flip+Socket+with+Handle&amp;qid=1694735103&amp;sr=8-10")</f>
        <v/>
      </c>
      <c r="F3613" t="inlineStr">
        <is>
          <t>B0CF29SBCM</t>
        </is>
      </c>
      <c r="G3613">
        <f>_xlfn.IMAGE("https://edmondsonsupply.com/cdn/shop/products/32900_b.jpg?v=1666024787")</f>
        <v/>
      </c>
      <c r="H3613">
        <f>_xlfn.IMAGE("https://m.media-amazon.com/images/I/51h9TffKWqL._AC_UL320_.jpg")</f>
        <v/>
      </c>
      <c r="K3613" t="inlineStr">
        <is>
          <t>29.97</t>
        </is>
      </c>
      <c r="L3613" t="n">
        <v>129.96</v>
      </c>
      <c r="M3613" s="1" t="inlineStr">
        <is>
          <t>333.63%</t>
        </is>
      </c>
      <c r="N3613" s="7" t="n">
        <v>41.72</v>
      </c>
      <c r="O3613" t="n">
        <v>4.9</v>
      </c>
      <c r="P3613" t="n">
        <v>1816</v>
      </c>
      <c r="R3613" t="inlineStr">
        <is>
          <t>InStock</t>
        </is>
      </c>
      <c r="S3613" t="inlineStr">
        <is>
          <t>45.0</t>
        </is>
      </c>
      <c r="T3613" t="inlineStr">
        <is>
          <t>7856651239640</t>
        </is>
      </c>
    </row>
    <row r="3614" ht="87" customHeight="1">
      <c r="A3614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614" s="2">
        <f>HYPERLINK("https://edmondsonsupply.com/products/klein-tools-et45-ac-dc-voltage-tester", "https://edmondsonsupply.com/products/klein-tools-et45-ac-dc-voltage-tester")</f>
        <v/>
      </c>
      <c r="C3614" t="inlineStr">
        <is>
          <t>Klein Tools ET45 AC/DC Voltage Tester</t>
        </is>
      </c>
      <c r="D3614" t="inlineStr">
        <is>
          <t>Klein Tools 81021 Electrical Tester Tool Kit with Multimeter, Non-Contact Voltage Pen, Receptacle Tester, Wire Stripper / Cutter, 4-Piece, Orange</t>
        </is>
      </c>
      <c r="E3614" s="2">
        <f>HYPERLINK("https://www.amazon.com/Klein-Tools-81021-Electrical-Non-Contact/dp/B09N5598J2/ref=sr_1_34?keywords=Klein+Tools+ET45+AC%2FDC+Voltage+Tester&amp;qid=1694735227&amp;sr=8-34", "https://www.amazon.com/Klein-Tools-81021-Electrical-Non-Contact/dp/B09N5598J2/ref=sr_1_34?keywords=Klein+Tools+ET45+AC%2FDC+Voltage+Tester&amp;qid=1694735227&amp;sr=8-34")</f>
        <v/>
      </c>
      <c r="F3614" t="inlineStr">
        <is>
          <t>B09N5598J2</t>
        </is>
      </c>
      <c r="G3614">
        <f>_xlfn.IMAGE("https://edmondsonsupply.com/cdn/shop/products/et45.jpg?v=1647786270")</f>
        <v/>
      </c>
      <c r="H3614">
        <f>_xlfn.IMAGE("https://m.media-amazon.com/images/I/61J5iWONbvL._AC_UL320_.jpg")</f>
        <v/>
      </c>
      <c r="K3614" t="inlineStr">
        <is>
          <t>11.99</t>
        </is>
      </c>
      <c r="L3614" t="n">
        <v>51.99</v>
      </c>
      <c r="M3614" s="1" t="inlineStr">
        <is>
          <t>333.61%</t>
        </is>
      </c>
      <c r="N3614" s="7" t="n">
        <v>41.68</v>
      </c>
      <c r="O3614" t="n">
        <v>4.8</v>
      </c>
      <c r="P3614" t="n">
        <v>39</v>
      </c>
      <c r="R3614" t="inlineStr">
        <is>
          <t>InStock</t>
        </is>
      </c>
      <c r="S3614" t="inlineStr">
        <is>
          <t>16.72</t>
        </is>
      </c>
      <c r="T3614" t="inlineStr">
        <is>
          <t>3688633630820</t>
        </is>
      </c>
    </row>
    <row r="3615" hidden="1" ht="15.75" customHeight="1">
      <c r="A3615" s="2">
        <f>HYPERLINK("https://edmondsonsupply.com/collections/electricians-tools/products/klein-tools-19352-conduit-reamer", "https://edmondsonsupply.com/collections/electricians-tools/products/klein-tools-19352-conduit-reamer")</f>
        <v/>
      </c>
      <c r="B3615" s="2">
        <f>HYPERLINK("https://edmondsonsupply.com/products/klein-tools-19352-conduit-reamer", "https://edmondsonsupply.com/products/klein-tools-19352-conduit-reamer")</f>
        <v/>
      </c>
      <c r="C3615" t="inlineStr">
        <is>
          <t>Klein Tools 19352 Conduit Reamer</t>
        </is>
      </c>
      <c r="D3615" t="inlineStr">
        <is>
          <t>Klein Tools 80073 Reaming Driver Kit with Conduit Reamer &amp; 32807MAG 7-in-1 Nut Driver, Magnetic Driver has SAE Hex Nut Sizes 1/4 to 9/16-Inch, Cushion Grip Handle for Added Torque</t>
        </is>
      </c>
      <c r="E3615" s="2">
        <f>HYPERLINK("https://www.amazon.com/Klein-Tools-Reaming-32807MAG-Magnetic/dp/B0BGJ4VZC3/ref=sr_1_17?keywords=Klein+Tools+19352+Conduit+Reamer&amp;qid=1694735413&amp;sr=8-17", "https://www.amazon.com/Klein-Tools-Reaming-32807MAG-Magnetic/dp/B0BGJ4VZC3/ref=sr_1_17?keywords=Klein+Tools+19352+Conduit+Reamer&amp;qid=1694735413&amp;sr=8-17")</f>
        <v/>
      </c>
      <c r="F3615" t="inlineStr">
        <is>
          <t>B0BGJ4VZC3</t>
        </is>
      </c>
      <c r="G3615">
        <f>_xludf.IMAGE("https://edmondsonsupply.com/cdn/shop/products/19352.jpg?v=1587145575")</f>
        <v/>
      </c>
      <c r="H3615">
        <f>_xludf.IMAGE("https://m.media-amazon.com/images/I/41UeevettrL._AC_UL320_.jpg")</f>
        <v/>
      </c>
      <c r="K3615" t="inlineStr">
        <is>
          <t>18.49</t>
        </is>
      </c>
      <c r="L3615" t="n">
        <v>79.95999999999999</v>
      </c>
      <c r="M3615" s="1" t="inlineStr">
        <is>
          <t>332.45%</t>
        </is>
      </c>
      <c r="N3615" s="1" t="n">
        <v>41.25</v>
      </c>
      <c r="O3615" t="n">
        <v>3.3</v>
      </c>
      <c r="P3615" t="n">
        <v>3</v>
      </c>
      <c r="R3615" t="inlineStr">
        <is>
          <t>InStock</t>
        </is>
      </c>
      <c r="S3615" t="inlineStr">
        <is>
          <t>27.24</t>
        </is>
      </c>
      <c r="T3615" t="inlineStr">
        <is>
          <t>4385945616484</t>
        </is>
      </c>
    </row>
    <row r="3616" ht="87" customHeight="1">
      <c r="A3616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616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616" t="inlineStr">
        <is>
          <t>Klein Tools JTH4E09 9/64-Inch Hex Key Journeyman T-Handle 4-Inch</t>
        </is>
      </c>
      <c r="D3616" t="inlineStr">
        <is>
          <t>Klein Tools JTH9M8 8 mm Hex Key with Journeyman T-Handle, 9-Inch</t>
        </is>
      </c>
      <c r="E3616" s="2">
        <f>HYPERLINK("https://www.amazon.com/Journeyman-T-Handle-Klein-Tools-JTH9M8/dp/B005G3HJSC/ref=sr_1_14?keywords=Klein+Tools+JTH4E09+9%2F64-Inch+Hex+Key+Journeyman+T-Handle+4-Inch&amp;qid=1694735175&amp;sr=8-14", "https://www.amazon.com/Journeyman-T-Handle-Klein-Tools-JTH9M8/dp/B005G3HJSC/ref=sr_1_14?keywords=Klein+Tools+JTH4E09+9%2F64-Inch+Hex+Key+Journeyman+T-Handle+4-Inch&amp;qid=1694735175&amp;sr=8-14")</f>
        <v/>
      </c>
      <c r="F3616" t="inlineStr">
        <is>
          <t>B005G3HJSC</t>
        </is>
      </c>
      <c r="G3616">
        <f>_xlfn.IMAGE("https://edmondsonsupply.com/cdn/shop/products/jth4e06_be5118a6-2e9d-44f5-81ad-c027572dd2d3.jpg?v=1635981570")</f>
        <v/>
      </c>
      <c r="H3616">
        <f>_xlfn.IMAGE("https://m.media-amazon.com/images/I/51+1x0vz9XL._AC_UL320_.jpg")</f>
        <v/>
      </c>
      <c r="K3616" t="inlineStr">
        <is>
          <t>3.79</t>
        </is>
      </c>
      <c r="L3616" t="n">
        <v>16.27</v>
      </c>
      <c r="M3616" s="1" t="inlineStr">
        <is>
          <t>329.29%</t>
        </is>
      </c>
      <c r="N3616" s="7" t="n">
        <v>41.2</v>
      </c>
      <c r="O3616" t="n">
        <v>5</v>
      </c>
      <c r="P3616" t="n">
        <v>4</v>
      </c>
      <c r="R3616" t="inlineStr">
        <is>
          <t>InStock</t>
        </is>
      </c>
      <c r="S3616" t="inlineStr">
        <is>
          <t>5.76</t>
        </is>
      </c>
      <c r="T3616" t="inlineStr">
        <is>
          <t>7434795876568</t>
        </is>
      </c>
    </row>
    <row r="3617" ht="87" customHeight="1">
      <c r="A3617" s="2">
        <f>HYPERLINK("https://edmondsonsupply.com/collections/electricians-tools/products/klein-tools-86602-3-8-inch-magnetic-hex-drivers-3-pack", "https://edmondsonsupply.com/collections/electricians-tools/products/klein-tools-86602-3-8-inch-magnetic-hex-drivers-3-pack")</f>
        <v/>
      </c>
      <c r="B3617" s="2">
        <f>HYPERLINK("https://edmondsonsupply.com/products/klein-tools-86602-3-8-inch-magnetic-hex-drivers-3-pack", "https://edmondsonsupply.com/products/klein-tools-86602-3-8-inch-magnetic-hex-drivers-3-pack")</f>
        <v/>
      </c>
      <c r="C3617" t="inlineStr">
        <is>
          <t>Klein Tools 86602 3/8-Inch Magnetic Hex Drivers, 3-Pack</t>
        </is>
      </c>
      <c r="D3617" t="inlineStr">
        <is>
          <t>Klein Tools 32807MAG 7-in-1 Nut Driver, Magnetic Driver has SAE Hex Nut Sizes 1/4 to 9/16-Inch, Cushion Grip Handle for Added Torque</t>
        </is>
      </c>
      <c r="E3617" s="2">
        <f>HYPERLINK("https://www.amazon.com/Driver-Magnetic-Klein-Tools-32807MAG/dp/B07D4M51DQ/ref=sr_1_10?keywords=Klein+Tools+86602+3%2F8-Inch+Magnetic+Hex+Drivers%2C+3-Pack&amp;qid=1694735117&amp;sr=8-10", "https://www.amazon.com/Driver-Magnetic-Klein-Tools-32807MAG/dp/B07D4M51DQ/ref=sr_1_10?keywords=Klein+Tools+86602+3%2F8-Inch+Magnetic+Hex+Drivers%2C+3-Pack&amp;qid=1694735117&amp;sr=8-10")</f>
        <v/>
      </c>
      <c r="F3617" t="inlineStr">
        <is>
          <t>B07D4M51DQ</t>
        </is>
      </c>
      <c r="G3617">
        <f>_xlfn.IMAGE("https://edmondsonsupply.com/cdn/shop/products/86602.jpg?v=1664460860")</f>
        <v/>
      </c>
      <c r="H3617">
        <f>_xlfn.IMAGE("https://m.media-amazon.com/images/I/61gwAJBzDAL._AC_UL320_.jpg")</f>
        <v/>
      </c>
      <c r="K3617" t="inlineStr">
        <is>
          <t>6.99</t>
        </is>
      </c>
      <c r="L3617" t="n">
        <v>29.97</v>
      </c>
      <c r="M3617" s="1" t="inlineStr">
        <is>
          <t>328.76%</t>
        </is>
      </c>
      <c r="N3617" s="7" t="n">
        <v>40.11</v>
      </c>
      <c r="O3617" t="n">
        <v>4.7</v>
      </c>
      <c r="P3617" t="n">
        <v>9145</v>
      </c>
      <c r="R3617" t="inlineStr">
        <is>
          <t>InStock</t>
        </is>
      </c>
      <c r="S3617" t="inlineStr">
        <is>
          <t>10.6</t>
        </is>
      </c>
      <c r="T3617" t="inlineStr">
        <is>
          <t>7833497960664</t>
        </is>
      </c>
    </row>
    <row r="3618" ht="87" customHeight="1">
      <c r="A3618" s="2">
        <f>HYPERLINK("https://edmondsonsupply.com/collections/electricians-tools/products/klein-tools-86600-1-4-inch-magnetic-hex-drivers-3-pack", "https://edmondsonsupply.com/collections/electricians-tools/products/klein-tools-86600-1-4-inch-magnetic-hex-drivers-3-pack")</f>
        <v/>
      </c>
      <c r="B3618" s="2">
        <f>HYPERLINK("https://edmondsonsupply.com/products/klein-tools-86600-1-4-inch-magnetic-hex-drivers-3-pack", "https://edmondsonsupply.com/products/klein-tools-86600-1-4-inch-magnetic-hex-drivers-3-pack")</f>
        <v/>
      </c>
      <c r="C3618" t="inlineStr">
        <is>
          <t>Klein Tools 86600 1/4-Inch Magnetic Hex Drivers, 3-Pack</t>
        </is>
      </c>
      <c r="D3618" t="inlineStr">
        <is>
          <t>Klein Tools 32807MAG 7-in-1 Nut Driver, Magnetic Driver has SAE Hex Nut Sizes 1/4 to 9/16-Inch, Cushion Grip Handle for Added Torque</t>
        </is>
      </c>
      <c r="E3618" s="2">
        <f>HYPERLINK("https://www.amazon.com/Driver-Magnetic-Klein-Tools-32807MAG/dp/B07D4M51DQ/ref=sr_1_20?keywords=Klein+Tools+86600+1%2F4-Inch+Magnetic+Hex+Drivers%2C+3-Pack&amp;qid=1694735168&amp;sr=8-20", "https://www.amazon.com/Driver-Magnetic-Klein-Tools-32807MAG/dp/B07D4M51DQ/ref=sr_1_20?keywords=Klein+Tools+86600+1%2F4-Inch+Magnetic+Hex+Drivers%2C+3-Pack&amp;qid=1694735168&amp;sr=8-20")</f>
        <v/>
      </c>
      <c r="F3618" t="inlineStr">
        <is>
          <t>B07D4M51DQ</t>
        </is>
      </c>
      <c r="G3618">
        <f>_xlfn.IMAGE("https://edmondsonsupply.com/cdn/shop/products/86600.png?v=1645569632")</f>
        <v/>
      </c>
      <c r="H3618">
        <f>_xlfn.IMAGE("https://m.media-amazon.com/images/I/61gwAJBzDAL._AC_UL320_.jpg")</f>
        <v/>
      </c>
      <c r="K3618" t="inlineStr">
        <is>
          <t>6.99</t>
        </is>
      </c>
      <c r="L3618" t="n">
        <v>29.97</v>
      </c>
      <c r="M3618" s="1" t="inlineStr">
        <is>
          <t>328.76%</t>
        </is>
      </c>
      <c r="N3618" s="7" t="n">
        <v>40.1</v>
      </c>
      <c r="O3618" t="n">
        <v>4.7</v>
      </c>
      <c r="P3618" t="n">
        <v>9145</v>
      </c>
      <c r="R3618" t="inlineStr">
        <is>
          <t>InStock</t>
        </is>
      </c>
      <c r="S3618" t="inlineStr">
        <is>
          <t>10.6</t>
        </is>
      </c>
      <c r="T3618" t="inlineStr">
        <is>
          <t>7614370054360</t>
        </is>
      </c>
    </row>
    <row r="3619" ht="87" customHeight="1">
      <c r="A3619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3619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3619" t="inlineStr">
        <is>
          <t>Klein Tools NCVT-3P Dual Range Non-Contact Voltage Tester with Flashlight, 12 - 1000V AC</t>
        </is>
      </c>
      <c r="D3619" t="inlineStr">
        <is>
          <t>Klein Tools MM700 Multimeter, 1000V &amp; NCVT3P Dual Range Non Contact Voltage Tester, 12-1000V AC Pen, Flashlight, Audible and Flashing LED Alarms, Pocket Clip</t>
        </is>
      </c>
      <c r="E3619" s="2">
        <f>HYPERLINK("https://www.amazon.com/Klein-Tools-Multimeter-Contact-Voltage/dp/B0BD437HC8/ref=sr_1_16?keywords=Klein+Tools+NCVT-3P+Dual+Range+Non-Contact+Voltage+Tester+with+Flashlight%2C+12+-+1000V+AC&amp;qid=1694735337&amp;sr=8-16", "https://www.amazon.com/Klein-Tools-Multimeter-Contact-Voltage/dp/B0BD437HC8/ref=sr_1_16?keywords=Klein+Tools+NCVT-3P+Dual+Range+Non-Contact+Voltage+Tester+with+Flashlight%2C+12+-+1000V+AC&amp;qid=1694735337&amp;sr=8-16")</f>
        <v/>
      </c>
      <c r="F3619" t="inlineStr">
        <is>
          <t>B0BD437HC8</t>
        </is>
      </c>
      <c r="G3619">
        <f>_xlfn.IMAGE("https://edmondsonsupply.com/cdn/shop/products/ncvt3p.jpg?v=1633030219")</f>
        <v/>
      </c>
      <c r="H3619">
        <f>_xlfn.IMAGE("https://m.media-amazon.com/images/I/51nbm7bxstL._AC_UL320_.jpg")</f>
        <v/>
      </c>
      <c r="K3619" t="inlineStr">
        <is>
          <t>29.97</t>
        </is>
      </c>
      <c r="L3619" t="n">
        <v>128.31</v>
      </c>
      <c r="M3619" s="1" t="inlineStr">
        <is>
          <t>328.13%</t>
        </is>
      </c>
      <c r="N3619" s="7" t="n">
        <v>40.08</v>
      </c>
      <c r="O3619" t="n">
        <v>4.8</v>
      </c>
      <c r="P3619" t="n">
        <v>5</v>
      </c>
      <c r="R3619" t="inlineStr">
        <is>
          <t>InStock</t>
        </is>
      </c>
      <c r="S3619" t="inlineStr">
        <is>
          <t>40.36</t>
        </is>
      </c>
      <c r="T3619" t="inlineStr">
        <is>
          <t>4505582174308</t>
        </is>
      </c>
    </row>
    <row r="3620" ht="87" customHeight="1">
      <c r="A3620" s="2">
        <f>HYPERLINK("https://edmondsonsupply.com/collections/electricians-tools/products/greenlee-608-1-2-foam-conduit-piston", "https://edmondsonsupply.com/collections/electricians-tools/products/greenlee-608-1-2-foam-conduit-piston")</f>
        <v/>
      </c>
      <c r="B3620" s="2">
        <f>HYPERLINK("https://edmondsonsupply.com/products/greenlee-608-1-2-foam-conduit-piston", "https://edmondsonsupply.com/products/greenlee-608-1-2-foam-conduit-piston")</f>
        <v/>
      </c>
      <c r="C3620" t="inlineStr">
        <is>
          <t>Greenlee 608 1/2" Foam Conduit Piston</t>
        </is>
      </c>
      <c r="D3620" t="inlineStr">
        <is>
          <t>Greenlee - Piston,2-1/2" Conduit, Fishing (614)</t>
        </is>
      </c>
      <c r="E3620" s="2">
        <f>HYPERLINK("https://www.amazon.com/Greenlee-614-Piston-2-1-Conduit/dp/B0042T01W2/ref=sr_1_12?keywords=Greenlee+608+1%2F2%22+Foam+Conduit+Piston&amp;qid=1694734991&amp;sr=8-12", "https://www.amazon.com/Greenlee-614-Piston-2-1-Conduit/dp/B0042T01W2/ref=sr_1_12?keywords=Greenlee+608+1%2F2%22+Foam+Conduit+Piston&amp;qid=1694734991&amp;sr=8-12")</f>
        <v/>
      </c>
      <c r="F3620" t="inlineStr">
        <is>
          <t>B0042T01W2</t>
        </is>
      </c>
      <c r="G3620">
        <f>_xlfn.IMAGE("https://edmondsonsupply.com/cdn/shop/files/608_2.png?v=1687446700")</f>
        <v/>
      </c>
      <c r="H3620">
        <f>_xlfn.IMAGE("https://m.media-amazon.com/images/I/A1x3jV0pkfL._AC_UL320_.jpg")</f>
        <v/>
      </c>
      <c r="K3620" t="inlineStr">
        <is>
          <t>5.99</t>
        </is>
      </c>
      <c r="L3620" t="n">
        <v>25.56</v>
      </c>
      <c r="M3620" s="1" t="inlineStr">
        <is>
          <t>326.71%</t>
        </is>
      </c>
      <c r="N3620" s="7" t="n">
        <v>40.07</v>
      </c>
      <c r="O3620" t="n">
        <v>4.3</v>
      </c>
      <c r="P3620" t="n">
        <v>11</v>
      </c>
      <c r="R3620" t="inlineStr">
        <is>
          <t>InStock</t>
        </is>
      </c>
      <c r="S3620" t="inlineStr">
        <is>
          <t>undefined</t>
        </is>
      </c>
      <c r="T3620" t="inlineStr">
        <is>
          <t>8007982285016</t>
        </is>
      </c>
    </row>
    <row r="3621" ht="87" customHeight="1">
      <c r="A3621" s="2">
        <f>HYPERLINK("https://edmondsonsupply.com/collections/electricians-tools/products/klein-tools-66079-flip-impact-socket-adapter-small-1-4-to-1-4-inch", "https://edmondsonsupply.com/collections/electricians-tools/products/klein-tools-66079-flip-impact-socket-adapter-small-1-4-to-1-4-inch")</f>
        <v/>
      </c>
      <c r="B3621" s="2">
        <f>HYPERLINK("https://edmondsonsupply.com/products/klein-tools-66079-flip-impact-socket-adapter-small-1-4-to-1-4-inch", "https://edmondsonsupply.com/products/klein-tools-66079-flip-impact-socket-adapter-small-1-4-to-1-4-inch")</f>
        <v/>
      </c>
      <c r="C3621" t="inlineStr">
        <is>
          <t>Klein Tools 66079 Flip Impact Socket Adapter, Small, 1/4 to 1/4-Inch</t>
        </is>
      </c>
      <c r="D3621" t="inlineStr">
        <is>
          <t>Klein Tools 32900 Impact Driver, 7-in-1 Impact Flip Socket Set with Handle, 6 Hex Driver Sizes plus a 1/4-Inch Bit Holder</t>
        </is>
      </c>
      <c r="E3621" s="2">
        <f>HYPERLINK("https://www.amazon.com/Klein-Tools-32900-Impact-Driver/dp/B09PZG4F8X/ref=sr_1_2?keywords=Klein+Tools+66079+Flip+Impact+Socket+Adapter%2C+Small%2C+1%2F4+to+1%2F4-Inch&amp;qid=1694734974&amp;sr=8-2", "https://www.amazon.com/Klein-Tools-32900-Impact-Driver/dp/B09PZG4F8X/ref=sr_1_2?keywords=Klein+Tools+66079+Flip+Impact+Socket+Adapter%2C+Small%2C+1%2F4+to+1%2F4-Inch&amp;qid=1694734974&amp;sr=8-2")</f>
        <v/>
      </c>
      <c r="F3621" t="inlineStr">
        <is>
          <t>B09PZG4F8X</t>
        </is>
      </c>
      <c r="G3621">
        <f>_xlfn.IMAGE("https://edmondsonsupply.com/cdn/shop/products/66079.jpg?v=1669735923")</f>
        <v/>
      </c>
      <c r="H3621">
        <f>_xlfn.IMAGE("https://m.media-amazon.com/images/I/51qL2uXqcTL._AC_UL320_.jpg")</f>
        <v/>
      </c>
      <c r="K3621" t="inlineStr">
        <is>
          <t>6.86</t>
        </is>
      </c>
      <c r="L3621" t="n">
        <v>29.25</v>
      </c>
      <c r="M3621" s="1" t="inlineStr">
        <is>
          <t>326.38%</t>
        </is>
      </c>
      <c r="N3621" s="7" t="n">
        <v>40.05</v>
      </c>
      <c r="O3621" t="n">
        <v>4.7</v>
      </c>
      <c r="P3621" t="n">
        <v>2468</v>
      </c>
      <c r="R3621" t="inlineStr">
        <is>
          <t>InStock</t>
        </is>
      </c>
      <c r="S3621" t="inlineStr">
        <is>
          <t>9.6</t>
        </is>
      </c>
      <c r="T3621" t="inlineStr">
        <is>
          <t>7896124555480</t>
        </is>
      </c>
    </row>
    <row r="3622" ht="87" customHeight="1">
      <c r="A3622" s="2">
        <f>HYPERLINK("https://edmondsonsupply.com/collections/electricians-tools/products/diablo-tools-dmapl4150-3-8-in-x-6-in-x-8-in-rebar-demon%E2%84%A2-sds-plus-4-cutter-full-carbide-head-hammer-drill-bit", "https://edmondsonsupply.com/collections/electricians-tools/products/diablo-tools-dmapl4150-3-8-in-x-6-in-x-8-in-rebar-demon%E2%84%A2-sds-plus-4-cutter-full-carbide-head-hammer-drill-bit")</f>
        <v/>
      </c>
      <c r="B3622" s="2">
        <f>HYPERLINK("https://edmondsonsupply.com/products/diablo-tools-dmapl4150-3-8-in-x-6-in-x-8-in-rebar-demon%e2%84%a2-sds-plus-4-cutter-full-carbide-head-hammer-drill-bit", "https://edmondsonsupply.com/products/diablo-tools-dmapl4150-3-8-in-x-6-in-x-8-in-rebar-demon%e2%84%a2-sds-plus-4-cutter-full-carbide-head-hammer-drill-bit")</f>
        <v/>
      </c>
      <c r="C3622" t="inlineStr">
        <is>
          <t>Diablo Tools DMAPL4150 3/8 in. x 6 in. x 8 in. Rebar Demon™ SDS‑Plus 4‑Cutter Full Carbide Head Hammer Drill Bit</t>
        </is>
      </c>
      <c r="D3622" t="inlineStr">
        <is>
          <t>Diablo by Freud DMAPL4300 1 in. x 8 in. x 10 in. Rebar Demon™ SDS-Plus 4-Cutter Full Carbide Head Hammer Bit</t>
        </is>
      </c>
      <c r="E3622" s="2" t="n"/>
      <c r="F3622" t="inlineStr">
        <is>
          <t>B089LL8JD8</t>
        </is>
      </c>
      <c r="G3622">
        <f>_xlfn.IMAGE("https://edmondsonsupply.com/cdn/shop/products/DMAPL4150_Main-Image20200701.png?v=1633030763")</f>
        <v/>
      </c>
      <c r="H3622">
        <f>_xlfn.IMAGE("https://m.media-amazon.com/images/I/616UiJGsK1L._AC_UL320_.jpg")</f>
        <v/>
      </c>
      <c r="K3622" t="inlineStr">
        <is>
          <t>7.97</t>
        </is>
      </c>
      <c r="L3622" t="n">
        <v>33.95</v>
      </c>
      <c r="M3622" s="1" t="inlineStr">
        <is>
          <t>325.97%</t>
        </is>
      </c>
      <c r="N3622" s="7" t="n">
        <v>40.04</v>
      </c>
      <c r="O3622" t="n">
        <v>4.5</v>
      </c>
      <c r="P3622" t="n">
        <v>16</v>
      </c>
      <c r="R3622" t="inlineStr">
        <is>
          <t>InStock</t>
        </is>
      </c>
      <c r="S3622" t="inlineStr">
        <is>
          <t>10.0</t>
        </is>
      </c>
      <c r="T3622" t="inlineStr">
        <is>
          <t>5918108450984</t>
        </is>
      </c>
    </row>
    <row r="3623" ht="87" customHeight="1">
      <c r="A3623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3623" s="2">
        <f>HYPERLINK("https://edmondsonsupply.com/products/diablo-tools-dmapl2320-1-2-in-x-10-in-x-12-in-sds-plus-2-cutter", "https://edmondsonsupply.com/products/diablo-tools-dmapl2320-1-2-in-x-10-in-x-12-in-sds-plus-2-cutter")</f>
        <v/>
      </c>
      <c r="C3623" t="inlineStr">
        <is>
          <t>Diablo Tools DMAPL2320 1/2 in. x 10 in. x 12 in. SDS-Plus 2-Cutter</t>
        </is>
      </c>
      <c r="D3623" t="inlineStr">
        <is>
          <t>Diablo by Freud DMAMX1040 1/2 in. x 24 in. x 29 in. Rebar Demon™ SDS-Max 4-Cutter Full Carbide Head</t>
        </is>
      </c>
      <c r="E3623" s="2">
        <f>HYPERLINK("https://www.amazon.com/Diablo-SDS-Max-4-Cutter-Carbide-Hammer/dp/B089LG76YL/ref=sr_1_31?keywords=Diablo+Tools+DMAPL2320+1%2F2+in.+x+10+in.+x+12+in.+SDS-Plus+2-Cutter&amp;qid=1694735300&amp;sr=8-31", "https://www.amazon.com/Diablo-SDS-Max-4-Cutter-Carbide-Hammer/dp/B089LG76YL/ref=sr_1_31?keywords=Diablo+Tools+DMAPL2320+1%2F2+in.+x+10+in.+x+12+in.+SDS-Plus+2-Cutter&amp;qid=1694735300&amp;sr=8-31")</f>
        <v/>
      </c>
      <c r="F3623" t="inlineStr">
        <is>
          <t>B089LG76YL</t>
        </is>
      </c>
      <c r="G3623">
        <f>_xlfn.IMAGE("https://edmondsonsupply.com/cdn/shop/products/DMAPL2320.jpg?v=1633030356")</f>
        <v/>
      </c>
      <c r="H3623">
        <f>_xlfn.IMAGE("https://m.media-amazon.com/images/I/61Q8G2EXOxL._AC_UL320_.jpg")</f>
        <v/>
      </c>
      <c r="K3623" t="inlineStr">
        <is>
          <t>12.97</t>
        </is>
      </c>
      <c r="L3623" t="n">
        <v>55</v>
      </c>
      <c r="M3623" s="1" t="inlineStr">
        <is>
          <t>324.06%</t>
        </is>
      </c>
      <c r="N3623" s="7" t="n">
        <v>40.03</v>
      </c>
      <c r="O3623" t="n">
        <v>5</v>
      </c>
      <c r="P3623" t="n">
        <v>9</v>
      </c>
      <c r="R3623" t="inlineStr">
        <is>
          <t>InStock</t>
        </is>
      </c>
      <c r="S3623" t="inlineStr">
        <is>
          <t>14.25</t>
        </is>
      </c>
      <c r="T3623" t="inlineStr">
        <is>
          <t>5286282264744</t>
        </is>
      </c>
    </row>
    <row r="3624" ht="87" customHeight="1">
      <c r="A3624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624" s="2">
        <f>HYPERLINK("https://edmondsonsupply.com/products/klein-tools-rt110-receptacle-tester", "https://edmondsonsupply.com/products/klein-tools-rt110-receptacle-tester")</f>
        <v/>
      </c>
      <c r="C3624" t="inlineStr">
        <is>
          <t>Klein Tools RT110 Receptacle Tester</t>
        </is>
      </c>
      <c r="D3624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3624" s="2">
        <f>HYPERLINK("https://www.amazon.com/Klein-Tools-Receptacle-Electrical-Accessory/dp/B09P83VQDK/ref=sr_1_27?keywords=Klein+Tools+RT110+Receptacle+Tester&amp;qid=1694735205&amp;sr=8-27", "https://www.amazon.com/Klein-Tools-Receptacle-Electrical-Accessory/dp/B09P83VQDK/ref=sr_1_27?keywords=Klein+Tools+RT110+Receptacle+Tester&amp;qid=1694735205&amp;sr=8-27")</f>
        <v/>
      </c>
      <c r="F3624" t="inlineStr">
        <is>
          <t>B09P83VQDK</t>
        </is>
      </c>
      <c r="G3624">
        <f>_xlfn.IMAGE("https://edmondsonsupply.com/cdn/shop/products/rt110.jpg?v=1633031036")</f>
        <v/>
      </c>
      <c r="H3624">
        <f>_xlfn.IMAGE("https://m.media-amazon.com/images/I/51Y6EmT5N-L._AC_UL320_.jpg")</f>
        <v/>
      </c>
      <c r="K3624" t="inlineStr">
        <is>
          <t>9.97</t>
        </is>
      </c>
      <c r="L3624" t="n">
        <v>41.94</v>
      </c>
      <c r="M3624" s="1" t="inlineStr">
        <is>
          <t>320.66%</t>
        </is>
      </c>
      <c r="N3624" s="7" t="n">
        <v>40.03</v>
      </c>
      <c r="O3624" t="n">
        <v>4.9</v>
      </c>
      <c r="P3624" t="n">
        <v>20</v>
      </c>
      <c r="R3624" t="inlineStr">
        <is>
          <t>InStock</t>
        </is>
      </c>
      <c r="S3624" t="inlineStr">
        <is>
          <t>12.12</t>
        </is>
      </c>
      <c r="T3624" t="inlineStr">
        <is>
          <t>6740486619309</t>
        </is>
      </c>
    </row>
    <row r="3625" hidden="1" ht="15.75" customHeight="1">
      <c r="A3625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3625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3625" t="inlineStr">
        <is>
          <t>Klein Tools ET310 Digital Circuit Breaker Finder with GFCI Outlet Tester</t>
        </is>
      </c>
      <c r="D3625" t="inlineStr">
        <is>
          <t>Klein Tools CL900 Digital Clamp Meter, Autoranging TRMS &amp; ET310 AC Circuit Breaker Finder with Integrated GFCI Outlet Tester</t>
        </is>
      </c>
      <c r="E3625" s="2">
        <f>HYPERLINK("https://www.amazon.com/Klein-Tools-Digital-Autoranging-Integrated/dp/B0BD41J517/ref=sr_1_16?keywords=Klein+Tools+ET310+Digital+Circuit+Breaker+Finder+with+GFCI+Outlet+Tester&amp;qid=1694734974&amp;sr=8-16", "https://www.amazon.com/Klein-Tools-Digital-Autoranging-Integrated/dp/B0BD41J517/ref=sr_1_16?keywords=Klein+Tools+ET310+Digital+Circuit+Breaker+Finder+with+GFCI+Outlet+Tester&amp;qid=1694734974&amp;sr=8-16")</f>
        <v/>
      </c>
      <c r="F3625" t="inlineStr">
        <is>
          <t>B0BD41J517</t>
        </is>
      </c>
      <c r="G3625">
        <f>_xludf.IMAGE("https://edmondsonsupply.com/cdn/shop/products/et310_c.jpg?v=1646963918")</f>
        <v/>
      </c>
      <c r="H3625">
        <f>_xludf.IMAGE("https://m.media-amazon.com/images/I/514bHKASbKL._AC_UL320_.jpg")</f>
        <v/>
      </c>
      <c r="K3625" t="inlineStr">
        <is>
          <t>49.97</t>
        </is>
      </c>
      <c r="L3625" t="n">
        <v>209.96</v>
      </c>
      <c r="M3625" s="1" t="inlineStr">
        <is>
          <t>320.17%</t>
        </is>
      </c>
      <c r="N3625" s="1" t="n">
        <v>39.97</v>
      </c>
      <c r="O3625" t="n">
        <v>4</v>
      </c>
      <c r="P3625" t="n">
        <v>2</v>
      </c>
      <c r="R3625" t="inlineStr">
        <is>
          <t>InStock</t>
        </is>
      </c>
      <c r="S3625" t="inlineStr">
        <is>
          <t>75.1</t>
        </is>
      </c>
      <c r="T3625" t="inlineStr">
        <is>
          <t>3389551280228</t>
        </is>
      </c>
    </row>
    <row r="3626" ht="87" customHeight="1">
      <c r="A3626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626" s="2">
        <f>HYPERLINK("https://edmondsonsupply.com/products/klein-tools-rt250-gfci-receptacle-tester-with-lcd", "https://edmondsonsupply.com/products/klein-tools-rt250-gfci-receptacle-tester-with-lcd")</f>
        <v/>
      </c>
      <c r="C3626" t="inlineStr">
        <is>
          <t>Klein Tools RT250 GFCI Receptacle Tester with LCD</t>
        </is>
      </c>
      <c r="D3626" t="inlineStr">
        <is>
          <t>Klein Tools ET310 AC Circuit Breaker Finder, Electric Tester with Integrated GFCI Outlet Tester &amp; RT250 GFCI Outlet Tester with LCD Display &amp; Klein Tools 69411 Circuit Breaker Finder Accessory Kit</t>
        </is>
      </c>
      <c r="E3626" s="2">
        <f>HYPERLINK("https://www.amazon.com/Klein-Tools-Electric-Integrated-Accessory/dp/B0C9999Y7J/ref=sr_1_19?keywords=Klein+Tools+RT250+GFCI+Receptacle+Tester+with+LCD&amp;qid=1694735148&amp;sr=8-19", "https://www.amazon.com/Klein-Tools-Electric-Integrated-Accessory/dp/B0C9999Y7J/ref=sr_1_19?keywords=Klein+Tools+RT250+GFCI+Receptacle+Tester+with+LCD&amp;qid=1694735148&amp;sr=8-19")</f>
        <v/>
      </c>
      <c r="F3626" t="inlineStr">
        <is>
          <t>B0C9999Y7J</t>
        </is>
      </c>
      <c r="G3626">
        <f>_xlfn.IMAGE("https://edmondsonsupply.com/cdn/shop/products/rt250_photo_c.jpg?v=1661363824")</f>
        <v/>
      </c>
      <c r="H3626">
        <f>_xlfn.IMAGE("https://m.media-amazon.com/images/I/612+A-jAqtL._AC_UL320_.jpg")</f>
        <v/>
      </c>
      <c r="K3626" t="inlineStr">
        <is>
          <t>21.97</t>
        </is>
      </c>
      <c r="L3626" t="n">
        <v>91.66</v>
      </c>
      <c r="M3626" s="1" t="inlineStr">
        <is>
          <t>317.21%</t>
        </is>
      </c>
      <c r="N3626" s="7" t="n">
        <v>39.96</v>
      </c>
      <c r="O3626" t="n">
        <v>4.8</v>
      </c>
      <c r="P3626" t="n">
        <v>6</v>
      </c>
      <c r="R3626" t="inlineStr">
        <is>
          <t>InStock</t>
        </is>
      </c>
      <c r="S3626" t="inlineStr">
        <is>
          <t>30.78</t>
        </is>
      </c>
      <c r="T3626" t="inlineStr">
        <is>
          <t>7793138729176</t>
        </is>
      </c>
    </row>
    <row r="3627" ht="87" customHeight="1">
      <c r="A3627" s="2">
        <f>HYPERLINK("https://edmondsonsupply.com/collections/electricians-tools/products/veto-pro-pac-tp4-tool-pouch", "https://edmondsonsupply.com/collections/electricians-tools/products/veto-pro-pac-tp4-tool-pouch")</f>
        <v/>
      </c>
      <c r="B3627" s="2">
        <f>HYPERLINK("https://edmondsonsupply.com/products/veto-pro-pac-tp4-tool-pouch", "https://edmondsonsupply.com/products/veto-pro-pac-tp4-tool-pouch")</f>
        <v/>
      </c>
      <c r="C3627" t="inlineStr">
        <is>
          <t>Veto Pro Pac TP3 Tool Bag</t>
        </is>
      </c>
      <c r="D3627" t="inlineStr">
        <is>
          <t>Veto Pro Pac Tech XL Tool Bag, 1-Pack,Black, Grey</t>
        </is>
      </c>
      <c r="E3627" s="2">
        <f>HYPERLINK("https://www.amazon.com/Veto-Tech-XL-Tool-1-Pack/dp/B00DYRFEJI/ref=sr_1_11?keywords=Veto+Pro+Pac+TP3+Tool+Bag&amp;qid=1694735180&amp;sr=8-11", "https://www.amazon.com/Veto-Tech-XL-Tool-1-Pack/dp/B00DYRFEJI/ref=sr_1_11?keywords=Veto+Pro+Pac+TP3+Tool+Bag&amp;qid=1694735180&amp;sr=8-11")</f>
        <v/>
      </c>
      <c r="F3627" t="inlineStr">
        <is>
          <t>B00DYRFEJI</t>
        </is>
      </c>
      <c r="G3627">
        <f>_xlfn.IMAGE("https://edmondsonsupply.com/cdn/shop/products/TP3_1.jpg?v=1587144391")</f>
        <v/>
      </c>
      <c r="H3627">
        <f>_xlfn.IMAGE("https://m.media-amazon.com/images/I/71suRnmtVZL._AC_UL320_.jpg")</f>
        <v/>
      </c>
      <c r="K3627" t="inlineStr">
        <is>
          <t>59.99</t>
        </is>
      </c>
      <c r="L3627" t="n">
        <v>249.95</v>
      </c>
      <c r="M3627" s="1" t="inlineStr">
        <is>
          <t>316.65%</t>
        </is>
      </c>
      <c r="N3627" s="7" t="n">
        <v>39.89</v>
      </c>
      <c r="O3627" t="n">
        <v>4.8</v>
      </c>
      <c r="P3627" t="n">
        <v>762</v>
      </c>
      <c r="R3627" t="inlineStr">
        <is>
          <t>InStock</t>
        </is>
      </c>
      <c r="S3627" t="inlineStr">
        <is>
          <t>undefined</t>
        </is>
      </c>
      <c r="T3627" t="inlineStr">
        <is>
          <t>3561762816100</t>
        </is>
      </c>
    </row>
    <row r="3628" ht="87" customHeight="1">
      <c r="A3628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628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628" t="inlineStr">
        <is>
          <t>Diablo Tools DMAPL4140 3/8 in. x 4 in. x 6 in. Rebar Demon™ SDS-Plus 4-Cutter Full Carbide Head Hammer Bit</t>
        </is>
      </c>
      <c r="D3628" t="inlineStr">
        <is>
          <t>Diablo by Freud DMAPL4270 27/32 in. x 8 in. x 10 in. Rebar Demon SDS-Plus 4-Cutter Full Carbide Head Hammer Bit</t>
        </is>
      </c>
      <c r="E3628" s="2">
        <f>HYPERLINK("https://www.amazon.com/Diablo-Freud-DMAPL4270-SDS-Plus-4-Cutter/dp/B089KXBGLM/ref=sr_1_11?keywords=Diablo+Tools+DMAPL4140+3%2F8+in.+x+4+in.+x+6+in.+Rebar+Demon%E2%84%A2+SDS-Plus+4-Cutter+Full+Carbide+Head+Hammer+Bit&amp;qid=1694735296&amp;sr=8-11", "https://www.amazon.com/Diablo-Freud-DMAPL4270-SDS-Plus-4-Cutter/dp/B089KXBGLM/ref=sr_1_11?keywords=Diablo+Tools+DMAPL4140+3%2F8+in.+x+4+in.+x+6+in.+Rebar+Demon%E2%84%A2+SDS-Plus+4-Cutter+Full+Carbide+Head+Hammer+Bit&amp;qid=1694735296&amp;sr=8-11")</f>
        <v/>
      </c>
      <c r="F3628" t="inlineStr">
        <is>
          <t>B089KXBGLM</t>
        </is>
      </c>
      <c r="G3628">
        <f>_xlfn.IMAGE("https://edmondsonsupply.com/cdn/shop/products/DMAPL4140_Main-Image20200701.png?v=1633030360")</f>
        <v/>
      </c>
      <c r="H3628">
        <f>_xlfn.IMAGE("https://m.media-amazon.com/images/I/611A6sphG9L._AC_UL320_.jpg")</f>
        <v/>
      </c>
      <c r="K3628" t="inlineStr">
        <is>
          <t>7.29</t>
        </is>
      </c>
      <c r="L3628" t="n">
        <v>30.13</v>
      </c>
      <c r="M3628" s="1" t="inlineStr">
        <is>
          <t>313.31%</t>
        </is>
      </c>
      <c r="N3628" s="7" t="n">
        <v>39.64</v>
      </c>
      <c r="O3628" t="n">
        <v>5</v>
      </c>
      <c r="P3628" t="n">
        <v>2</v>
      </c>
      <c r="R3628" t="inlineStr">
        <is>
          <t>InStock</t>
        </is>
      </c>
      <c r="S3628" t="inlineStr">
        <is>
          <t>undefined</t>
        </is>
      </c>
      <c r="T3628" t="inlineStr">
        <is>
          <t>5286771949736</t>
        </is>
      </c>
    </row>
    <row r="3629" ht="87" customHeight="1">
      <c r="A3629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3629" s="2">
        <f>HYPERLINK("https://edmondsonsupply.com/products/klein-tools-66077-flip-impact-socket-7-16-and-3-8-inch", "https://edmondsonsupply.com/products/klein-tools-66077-flip-impact-socket-7-16-and-3-8-inch")</f>
        <v/>
      </c>
      <c r="C3629" t="inlineStr">
        <is>
          <t>Klein Tools 66077 Flip Impact Socket, 7/16 and 3/8-Inch</t>
        </is>
      </c>
      <c r="D3629" t="inlineStr">
        <is>
          <t>Klein Tools 66062 2-in-1 Deep Impact Socket, 6-Point 5/8-Inch and 7/16-Inch Hex Socket, Use with Impact Wrenches BAT20-CW, BAT20-CW</t>
        </is>
      </c>
      <c r="E3629" s="2">
        <f>HYPERLINK("https://www.amazon.com/Klein-Tools-66062-Wrenches-BAT20-CW/dp/B09NDQW5HQ/ref=sr_1_31?keywords=Klein+Tools+66077+Flip+Impact+Socket%2C+7%2F16+and+3%2F8-Inch&amp;qid=1694735129&amp;sr=8-31", "https://www.amazon.com/Klein-Tools-66062-Wrenches-BAT20-CW/dp/B09NDQW5HQ/ref=sr_1_31?keywords=Klein+Tools+66077+Flip+Impact+Socket%2C+7%2F16+and+3%2F8-Inch&amp;qid=1694735129&amp;sr=8-31")</f>
        <v/>
      </c>
      <c r="F3629" t="inlineStr">
        <is>
          <t>B09NDQW5HQ</t>
        </is>
      </c>
      <c r="G3629">
        <f>_xlfn.IMAGE("https://edmondsonsupply.com/cdn/shop/products/66077.jpg?v=1663082226")</f>
        <v/>
      </c>
      <c r="H3629">
        <f>_xlfn.IMAGE("https://m.media-amazon.com/images/I/816tstt7E9L._AC_UL320_.jpg")</f>
        <v/>
      </c>
      <c r="K3629" t="inlineStr">
        <is>
          <t>10.43</t>
        </is>
      </c>
      <c r="L3629" t="n">
        <v>43.08</v>
      </c>
      <c r="M3629" s="1" t="inlineStr">
        <is>
          <t>313.04%</t>
        </is>
      </c>
      <c r="N3629" s="7" t="n">
        <v>39.6</v>
      </c>
      <c r="O3629" t="n">
        <v>5</v>
      </c>
      <c r="P3629" t="n">
        <v>1</v>
      </c>
      <c r="R3629" t="inlineStr">
        <is>
          <t>InStock</t>
        </is>
      </c>
      <c r="S3629" t="inlineStr">
        <is>
          <t>14.6</t>
        </is>
      </c>
      <c r="T3629" t="inlineStr">
        <is>
          <t>7814113165528</t>
        </is>
      </c>
    </row>
    <row r="3630" ht="87" customHeight="1">
      <c r="A3630" s="2">
        <f>HYPERLINK("https://edmondsonsupply.com/collections/electricians-tools/products/klein-tools-51611-1-2-inch-angle-setter%E2%84%A2", "https://edmondsonsupply.com/collections/electricians-tools/products/klein-tools-51611-1-2-inch-angle-setter%E2%84%A2")</f>
        <v/>
      </c>
      <c r="B3630" s="2">
        <f>HYPERLINK("https://edmondsonsupply.com/products/klein-tools-51611-1-2-inch-angle-setter%e2%84%a2", "https://edmondsonsupply.com/products/klein-tools-51611-1-2-inch-angle-setter%e2%84%a2")</f>
        <v/>
      </c>
      <c r="C3630" t="inlineStr">
        <is>
          <t>Klein Tools 51611 1/2-Inch Angle Setter™</t>
        </is>
      </c>
      <c r="D3630" t="inlineStr">
        <is>
          <t>Klein Tools 51608 Iron Conduit Bender Head, for 1/2-Inch EMT, Compatible with Klein Tools Angle Setter (Cat. No. 51611)</t>
        </is>
      </c>
      <c r="E3630" s="2">
        <f>HYPERLINK("https://www.amazon.com/Conduit-Compatible-Klein-Tools-51608/dp/B08VYJMT3R/ref=sr_1_2?keywords=Klein+Tools+51611+1%2F2-Inch+Angle+Setter%E2%84%A2&amp;qid=1694735142&amp;sr=8-2", "https://www.amazon.com/Conduit-Compatible-Klein-Tools-51608/dp/B08VYJMT3R/ref=sr_1_2?keywords=Klein+Tools+51611+1%2F2-Inch+Angle+Setter%E2%84%A2&amp;qid=1694735142&amp;sr=8-2")</f>
        <v/>
      </c>
      <c r="F3630" t="inlineStr">
        <is>
          <t>B08VYJMT3R</t>
        </is>
      </c>
      <c r="G3630">
        <f>_xlfn.IMAGE("https://edmondsonsupply.com/cdn/shop/products/51611.jpg?v=1661976456")</f>
        <v/>
      </c>
      <c r="H3630">
        <f>_xlfn.IMAGE("https://m.media-amazon.com/images/I/61mnVTiX18L._AC_UL320_.jpg")</f>
        <v/>
      </c>
      <c r="K3630" t="inlineStr">
        <is>
          <t>9.97</t>
        </is>
      </c>
      <c r="L3630" t="n">
        <v>40.91</v>
      </c>
      <c r="M3630" s="1" t="inlineStr">
        <is>
          <t>310.33%</t>
        </is>
      </c>
      <c r="N3630" s="7" t="n">
        <v>39.53</v>
      </c>
      <c r="O3630" t="n">
        <v>4.3</v>
      </c>
      <c r="P3630" t="n">
        <v>17</v>
      </c>
      <c r="R3630" t="inlineStr">
        <is>
          <t>InStock</t>
        </is>
      </c>
      <c r="S3630" t="inlineStr">
        <is>
          <t>12.96</t>
        </is>
      </c>
      <c r="T3630" t="inlineStr">
        <is>
          <t>7798377840856</t>
        </is>
      </c>
    </row>
    <row r="3631" ht="87" customHeight="1">
      <c r="A3631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3631" s="2">
        <f>HYPERLINK("https://edmondsonsupply.com/products/klein-tools-635-3-8-3-8-inch-heavy-duty-nut-driver", "https://edmondsonsupply.com/products/klein-tools-635-3-8-3-8-inch-heavy-duty-nut-driver")</f>
        <v/>
      </c>
      <c r="C3631" t="inlineStr">
        <is>
          <t>Klein Tools 635-3/8 3/8-Inch Heavy-Duty Nut Driver</t>
        </is>
      </c>
      <c r="D3631" t="inlineStr">
        <is>
          <t>Klein Tools 635-4 Tool Set, Heavy Duty Magnetic Nut Drivers Hex Sizes 1/4, 5/16, 3/8, 7/16-Inch, Full Hollow Shafts w/Color Coding, 4-Piece</t>
        </is>
      </c>
      <c r="E3631" s="2">
        <f>HYPERLINK("https://www.amazon.com/Klein-Tools-Heavy-Duty-Driver-4-Piece/dp/B01D6D08UO/ref=sr_1_14?keywords=Klein+Tools+635-3%2F8+3%2F8-Inch+Heavy-Duty+Nut+Driver&amp;qid=1694735241&amp;sr=8-14", "https://www.amazon.com/Klein-Tools-Heavy-Duty-Driver-4-Piece/dp/B01D6D08UO/ref=sr_1_14?keywords=Klein+Tools+635-3%2F8+3%2F8-Inch+Heavy-Duty+Nut+Driver&amp;qid=1694735241&amp;sr=8-14")</f>
        <v/>
      </c>
      <c r="F3631" t="inlineStr">
        <is>
          <t>B01D6D08UO</t>
        </is>
      </c>
      <c r="G3631">
        <f>_xlfn.IMAGE("https://edmondsonsupply.com/cdn/shop/products/635-3-8.jpg?v=1633030895")</f>
        <v/>
      </c>
      <c r="H3631">
        <f>_xlfn.IMAGE("https://m.media-amazon.com/images/I/51svRJU945L._AC_UL320_.jpg")</f>
        <v/>
      </c>
      <c r="K3631" t="inlineStr">
        <is>
          <t>12.99</t>
        </is>
      </c>
      <c r="L3631" t="n">
        <v>53.13</v>
      </c>
      <c r="M3631" s="1" t="inlineStr">
        <is>
          <t>309.01%</t>
        </is>
      </c>
      <c r="N3631" s="7" t="n">
        <v>39.4</v>
      </c>
      <c r="O3631" t="n">
        <v>4.7</v>
      </c>
      <c r="P3631" t="n">
        <v>943</v>
      </c>
      <c r="R3631" t="inlineStr">
        <is>
          <t>InStock</t>
        </is>
      </c>
      <c r="S3631" t="inlineStr">
        <is>
          <t>19.68</t>
        </is>
      </c>
      <c r="T3631" t="inlineStr">
        <is>
          <t>6228534952109</t>
        </is>
      </c>
    </row>
    <row r="3632" ht="87" customHeight="1">
      <c r="A3632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3632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3632" t="inlineStr">
        <is>
          <t>Klein Tools 646-7/16M 7/16-Inch Magnetic Tip Nut Driver 6-Inch Shaft</t>
        </is>
      </c>
      <c r="D3632" t="inlineStr">
        <is>
          <t>Klein Tools 635-4 Tool Set, Heavy Duty Magnetic Nut Drivers Hex Sizes 1/4, 5/16, 3/8, 7/16-Inch, Full Hollow Shafts w/Color Coding, 4-Piece</t>
        </is>
      </c>
      <c r="E3632" s="2">
        <f>HYPERLINK("https://www.amazon.com/Klein-Tools-Heavy-Duty-Driver-4-Piece/dp/B01D6D08UO/ref=sr_1_16?keywords=Klein+Tools+646-7%2F16M+7%2F16-Inch+Magnetic+Tip+Nut+Driver+6-Inch+Shaft&amp;qid=1694735353&amp;sr=8-16", "https://www.amazon.com/Klein-Tools-Heavy-Duty-Driver-4-Piece/dp/B01D6D08UO/ref=sr_1_16?keywords=Klein+Tools+646-7%2F16M+7%2F16-Inch+Magnetic+Tip+Nut+Driver+6-Inch+Shaft&amp;qid=1694735353&amp;sr=8-16")</f>
        <v/>
      </c>
      <c r="F3632" t="inlineStr">
        <is>
          <t>B01D6D08UO</t>
        </is>
      </c>
      <c r="G3632">
        <f>_xlfn.IMAGE("https://edmondsonsupply.com/cdn/shop/products/646-5-16m_906faaaa-dd9e-40e4-bce3-8174c2b127b5.jpg?v=1587146594")</f>
        <v/>
      </c>
      <c r="H3632">
        <f>_xlfn.IMAGE("https://m.media-amazon.com/images/I/51svRJU945L._AC_UL320_.jpg")</f>
        <v/>
      </c>
      <c r="K3632" t="inlineStr">
        <is>
          <t>12.99</t>
        </is>
      </c>
      <c r="L3632" t="n">
        <v>53.13</v>
      </c>
      <c r="M3632" s="1" t="inlineStr">
        <is>
          <t>309.01%</t>
        </is>
      </c>
      <c r="N3632" s="7" t="n">
        <v>39.31</v>
      </c>
      <c r="O3632" t="n">
        <v>4.7</v>
      </c>
      <c r="P3632" t="n">
        <v>943</v>
      </c>
      <c r="R3632" t="inlineStr">
        <is>
          <t>InStock</t>
        </is>
      </c>
      <c r="S3632" t="inlineStr">
        <is>
          <t>19.74</t>
        </is>
      </c>
      <c r="T3632" t="inlineStr">
        <is>
          <t>4461840171108</t>
        </is>
      </c>
    </row>
    <row r="3633" ht="87" customHeight="1">
      <c r="A3633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633" s="2">
        <f>HYPERLINK("https://edmondsonsupply.com/products/klein-tools-rt250-gfci-receptacle-tester-with-lcd", "https://edmondsonsupply.com/products/klein-tools-rt250-gfci-receptacle-tester-with-lcd")</f>
        <v/>
      </c>
      <c r="C3633" t="inlineStr">
        <is>
          <t>Klein Tools RT250 GFCI Receptacle Tester with LCD</t>
        </is>
      </c>
      <c r="D3633" t="inlineStr">
        <is>
          <t>Klein Tools RT250KIT Non-Contact Voltage Tester and GFCI Receptacle Tester with LCD and Flashlight, Voltage Electrical Test Kit &amp; ET310 AC Circuit Breaker Finder with Integrated GFCI Outlet Tester</t>
        </is>
      </c>
      <c r="E3633" s="2">
        <f>HYPERLINK("https://www.amazon.com/Klein-Tools-Non-Contact-Receptacle-Flashlight/dp/B0BC84NX5S/ref=sr_1_44?keywords=Klein+Tools+RT250+GFCI+Receptacle+Tester+with+LCD&amp;qid=1694735148&amp;sr=8-44", "https://www.amazon.com/Klein-Tools-Non-Contact-Receptacle-Flashlight/dp/B0BC84NX5S/ref=sr_1_44?keywords=Klein+Tools+RT250+GFCI+Receptacle+Tester+with+LCD&amp;qid=1694735148&amp;sr=8-44")</f>
        <v/>
      </c>
      <c r="F3633" t="inlineStr">
        <is>
          <t>B0BC84NX5S</t>
        </is>
      </c>
      <c r="G3633">
        <f>_xlfn.IMAGE("https://edmondsonsupply.com/cdn/shop/products/rt250_photo_c.jpg?v=1661363824")</f>
        <v/>
      </c>
      <c r="H3633">
        <f>_xlfn.IMAGE("https://m.media-amazon.com/images/I/51vE7iLXotL._AC_UL320_.jpg")</f>
        <v/>
      </c>
      <c r="K3633" t="inlineStr">
        <is>
          <t>21.97</t>
        </is>
      </c>
      <c r="L3633" t="n">
        <v>89.70999999999999</v>
      </c>
      <c r="M3633" s="1" t="inlineStr">
        <is>
          <t>308.33%</t>
        </is>
      </c>
      <c r="N3633" s="7" t="n">
        <v>39.29</v>
      </c>
      <c r="O3633" t="n">
        <v>5</v>
      </c>
      <c r="P3633" t="n">
        <v>1</v>
      </c>
      <c r="R3633" t="inlineStr">
        <is>
          <t>InStock</t>
        </is>
      </c>
      <c r="S3633" t="inlineStr">
        <is>
          <t>30.78</t>
        </is>
      </c>
      <c r="T3633" t="inlineStr">
        <is>
          <t>7793138729176</t>
        </is>
      </c>
    </row>
    <row r="3634" ht="87" customHeight="1">
      <c r="A3634" s="2">
        <f>HYPERLINK("https://edmondsonsupply.com/collections/electricians-tools/products/greenlee-k2p-1-2-1-2-conduit-size-slug-buster%C2%AE-knockout-punch", "https://edmondsonsupply.com/collections/electricians-tools/products/greenlee-k2p-1-2-1-2-conduit-size-slug-buster%C2%AE-knockout-punch")</f>
        <v/>
      </c>
      <c r="B3634" s="2">
        <f>HYPERLINK("https://edmondsonsupply.com/products/greenlee-k2p-1-2-1-2-conduit-size-slug-buster%c2%ae-knockout-punch", "https://edmondsonsupply.com/products/greenlee-k2p-1-2-1-2-conduit-size-slug-buster%c2%ae-knockout-punch")</f>
        <v/>
      </c>
      <c r="C3634" t="inlineStr">
        <is>
          <t>Greenlee K2P-1/2 1/2" Conduit Size Slug-Buster® Knockout Punch</t>
        </is>
      </c>
      <c r="D3634" t="inlineStr">
        <is>
          <t>Greenlee, K2BB-2 replaces 7211BB-2, 2" Conduit Size Slug-Buster Knockout Set</t>
        </is>
      </c>
      <c r="E3634" s="2">
        <f>HYPERLINK("https://www.amazon.com/Greenlee-K2BB-2-Knockout-Set/dp/B07Y5QXV3N/ref=sr_1_17?keywords=Greenlee+K2P-1%2F2+1%2F2%22+Conduit+Size+Slug-Buster%C2%AE+Knockout+Punch&amp;qid=1694735371&amp;sr=8-17", "https://www.amazon.com/Greenlee-K2BB-2-Knockout-Set/dp/B07Y5QXV3N/ref=sr_1_17?keywords=Greenlee+K2P-1%2F2+1%2F2%22+Conduit+Size+Slug-Buster%C2%AE+Knockout+Punch&amp;qid=1694735371&amp;sr=8-17")</f>
        <v/>
      </c>
      <c r="F3634" t="inlineStr">
        <is>
          <t>B07Y5QXV3N</t>
        </is>
      </c>
      <c r="G3634">
        <f>_xlfn.IMAGE("https://edmondsonsupply.com/cdn/shop/products/K2P-1-2-CAT1.jpg?v=1587145640")</f>
        <v/>
      </c>
      <c r="H3634">
        <f>_xlfn.IMAGE("https://m.media-amazon.com/images/I/811L159og+L._AC_UL320_.jpg")</f>
        <v/>
      </c>
      <c r="K3634" t="inlineStr">
        <is>
          <t>30.87</t>
        </is>
      </c>
      <c r="L3634" t="n">
        <v>125.89</v>
      </c>
      <c r="M3634" s="1" t="inlineStr">
        <is>
          <t>307.81%</t>
        </is>
      </c>
      <c r="N3634" s="7" t="n">
        <v>39.16</v>
      </c>
      <c r="O3634" t="n">
        <v>5</v>
      </c>
      <c r="P3634" t="n">
        <v>9</v>
      </c>
      <c r="R3634" t="inlineStr">
        <is>
          <t>InStock</t>
        </is>
      </c>
      <c r="S3634" t="inlineStr">
        <is>
          <t>31.5</t>
        </is>
      </c>
      <c r="T3634" t="inlineStr">
        <is>
          <t>4431351414884</t>
        </is>
      </c>
    </row>
    <row r="3635" ht="87" customHeight="1">
      <c r="A3635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3635" s="2">
        <f>HYPERLINK("https://edmondsonsupply.com/products/klein-tools-jth6m4-4-mm-hex-with-journeyman-t-handle-6-inch", "https://edmondsonsupply.com/products/klein-tools-jth6m4-4-mm-hex-with-journeyman-t-handle-6-inch")</f>
        <v/>
      </c>
      <c r="C3635" t="inlineStr">
        <is>
          <t>Klein Tools JTH6M4 4 mm Hex with Journeyman T-Handle 6-Inch</t>
        </is>
      </c>
      <c r="D3635" t="inlineStr">
        <is>
          <t>Klein Tools JTH9M8 8 mm Hex Key with Journeyman T-Handle, 9-Inch</t>
        </is>
      </c>
      <c r="E3635" s="2">
        <f>HYPERLINK("https://www.amazon.com/Journeyman-T-Handle-Klein-Tools-JTH9M8/dp/B005G3HJSC/ref=sr_1_15?keywords=Klein+Tools+JTH6M4+4+mm+Hex+with+Journeyman+T-Handle+6-Inch&amp;qid=1694735242&amp;sr=8-15", "https://www.amazon.com/Journeyman-T-Handle-Klein-Tools-JTH9M8/dp/B005G3HJSC/ref=sr_1_15?keywords=Klein+Tools+JTH6M4+4+mm+Hex+with+Journeyman+T-Handle+6-Inch&amp;qid=1694735242&amp;sr=8-15")</f>
        <v/>
      </c>
      <c r="F3635" t="inlineStr">
        <is>
          <t>B005G3HJSC</t>
        </is>
      </c>
      <c r="G3635">
        <f>_xlfn.IMAGE("https://edmondsonsupply.com/cdn/shop/products/jth6m8_21839492-f844-4577-89b7-6c2cb1d02f31.jpg?v=1603052109")</f>
        <v/>
      </c>
      <c r="H3635">
        <f>_xlfn.IMAGE("https://m.media-amazon.com/images/I/51+1x0vz9XL._AC_UL320_.jpg")</f>
        <v/>
      </c>
      <c r="K3635" t="inlineStr">
        <is>
          <t>3.99</t>
        </is>
      </c>
      <c r="L3635" t="n">
        <v>16.27</v>
      </c>
      <c r="M3635" s="1" t="inlineStr">
        <is>
          <t>307.77%</t>
        </is>
      </c>
      <c r="N3635" s="7" t="n">
        <v>39.04</v>
      </c>
      <c r="O3635" t="n">
        <v>5</v>
      </c>
      <c r="P3635" t="n">
        <v>4</v>
      </c>
      <c r="R3635" t="inlineStr">
        <is>
          <t>InStock</t>
        </is>
      </c>
      <c r="S3635" t="inlineStr">
        <is>
          <t>6.04</t>
        </is>
      </c>
      <c r="T3635" t="inlineStr">
        <is>
          <t>5963077157032</t>
        </is>
      </c>
    </row>
    <row r="3636" ht="87" customHeight="1">
      <c r="A3636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636" s="2">
        <f>HYPERLINK("https://edmondsonsupply.com/products/klein-tools-vdv500-705-tone-probe-test-and-trace-kit", "https://edmondsonsupply.com/products/klein-tools-vdv500-705-tone-probe-test-and-trace-kit")</f>
        <v/>
      </c>
      <c r="C3636" t="inlineStr">
        <is>
          <t>Klein Tools VDV500-705 Tone &amp; Probe Test and Trace Kit</t>
        </is>
      </c>
      <c r="D3636" t="inlineStr">
        <is>
          <t>Klein Tools VDV501-851 Cable Tester Kit &amp; Klein Tools VDV500-820 Cable Tracer with Probe Tone Pro Kit for Telephone, Internet, Video, Data and Communications Cables</t>
        </is>
      </c>
      <c r="E3636" s="2">
        <f>HYPERLINK("https://www.amazon.com/Klein-Tools-VDV501-851-VDV500-820-Communications/dp/B09C25WVCD/ref=sr_1_5?keywords=Klein+Tools+VDV500-705+Tone&amp;qid=1694735386&amp;sr=8-5", "https://www.amazon.com/Klein-Tools-VDV501-851-VDV500-820-Communications/dp/B09C25WVCD/ref=sr_1_5?keywords=Klein+Tools+VDV500-705+Tone&amp;qid=1694735386&amp;sr=8-5")</f>
        <v/>
      </c>
      <c r="F3636" t="inlineStr">
        <is>
          <t>B09C25WVCD</t>
        </is>
      </c>
      <c r="G3636">
        <f>_xlfn.IMAGE("https://edmondsonsupply.com/cdn/shop/products/vdv500705.jpg?v=1587144799")</f>
        <v/>
      </c>
      <c r="H3636">
        <f>_xlfn.IMAGE("https://m.media-amazon.com/images/I/51CaD7ecNeL._AC_UY218_.jpg")</f>
        <v/>
      </c>
      <c r="K3636" t="inlineStr">
        <is>
          <t>39.97</t>
        </is>
      </c>
      <c r="L3636" t="n">
        <v>162.86</v>
      </c>
      <c r="M3636" s="1" t="inlineStr">
        <is>
          <t>307.46%</t>
        </is>
      </c>
      <c r="N3636" s="7" t="n">
        <v>38.9</v>
      </c>
      <c r="O3636" t="n">
        <v>4.8</v>
      </c>
      <c r="P3636" t="n">
        <v>74</v>
      </c>
      <c r="R3636" t="inlineStr">
        <is>
          <t>InStock</t>
        </is>
      </c>
      <c r="S3636" t="inlineStr">
        <is>
          <t>55.98</t>
        </is>
      </c>
      <c r="T3636" t="inlineStr">
        <is>
          <t>4412899590244</t>
        </is>
      </c>
    </row>
    <row r="3637" ht="87" customHeight="1">
      <c r="A3637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637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637" t="inlineStr">
        <is>
          <t>Diablo Tools DMAPL4090 1/4 in. x 10 in. x 12 in. Rebar Demon™ SDS‑Plus 4‑Cutter Full Carbide Head Hammer Bit</t>
        </is>
      </c>
      <c r="D3637" t="inlineStr">
        <is>
          <t>Diablo DMAPL4310 1 in. x 16 in. x 18 in. Rebar Demon™ SDS-Plus 4-Cutter Full Carbide Head Hammer Bit</t>
        </is>
      </c>
      <c r="E3637" s="2" t="n"/>
      <c r="F3637" t="inlineStr">
        <is>
          <t>B089KX2VKR</t>
        </is>
      </c>
      <c r="G3637">
        <f>_xlfn.IMAGE("https://edmondsonsupply.com/cdn/shop/products/nf6i5llohxcmlh9huvf0.webp?v=1670438124")</f>
        <v/>
      </c>
      <c r="H3637">
        <f>_xlfn.IMAGE("https://m.media-amazon.com/images/I/61iwxfqG2VL._AC_UL320_.jpg")</f>
        <v/>
      </c>
      <c r="K3637" t="inlineStr">
        <is>
          <t>11.97</t>
        </is>
      </c>
      <c r="L3637" t="n">
        <v>48.49</v>
      </c>
      <c r="M3637" s="1" t="inlineStr">
        <is>
          <t>305.10%</t>
        </is>
      </c>
      <c r="N3637" s="7" t="n">
        <v>38.49</v>
      </c>
      <c r="O3637" t="n">
        <v>4.5</v>
      </c>
      <c r="P3637" t="n">
        <v>32</v>
      </c>
      <c r="R3637" t="inlineStr">
        <is>
          <t>InStock</t>
        </is>
      </c>
      <c r="S3637" t="inlineStr">
        <is>
          <t>16.41</t>
        </is>
      </c>
      <c r="T3637" t="inlineStr">
        <is>
          <t>5317905973416</t>
        </is>
      </c>
    </row>
    <row r="3638" ht="87" customHeight="1">
      <c r="A3638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638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638" t="inlineStr">
        <is>
          <t>Diablo Tools DMAPL4080 1/4 in. x 6 in. x 8 in. Rebar Demon™ SDS-Plus 4-Cutter Full Carbide Head Hammer Bit</t>
        </is>
      </c>
      <c r="D3638" t="inlineStr">
        <is>
          <t>Diablo by Freud DMAPL4270 27/32 in. x 8 in. x 10 in. Rebar Demon SDS-Plus 4-Cutter Full Carbide Head Hammer Bit</t>
        </is>
      </c>
      <c r="E3638" s="2">
        <f>HYPERLINK("https://www.amazon.com/Diablo-Freud-DMAPL4270-SDS-Plus-4-Cutter/dp/B089KXBGLM/ref=sr_1_14?keywords=Diablo+Tools+DMAPL4080+1%2F4+in.+x+6+in.+x+8+in.+Rebar+Demon%E2%84%A2+SDS-Plus+4-Cutter+Full+Carbide+Head+Hammer+Bit&amp;qid=1694735294&amp;sr=8-14", "https://www.amazon.com/Diablo-Freud-DMAPL4270-SDS-Plus-4-Cutter/dp/B089KXBGLM/ref=sr_1_14?keywords=Diablo+Tools+DMAPL4080+1%2F4+in.+x+6+in.+x+8+in.+Rebar+Demon%E2%84%A2+SDS-Plus+4-Cutter+Full+Carbide+Head+Hammer+Bit&amp;qid=1694735294&amp;sr=8-14")</f>
        <v/>
      </c>
      <c r="F3638" t="inlineStr">
        <is>
          <t>B089KXBGLM</t>
        </is>
      </c>
      <c r="G3638">
        <f>_xlfn.IMAGE("https://edmondsonsupply.com/cdn/shop/products/DMAPL4080_1.jpg?v=1633030359")</f>
        <v/>
      </c>
      <c r="H3638">
        <f>_xlfn.IMAGE("https://m.media-amazon.com/images/I/611A6sphG9L._AC_UL320_.jpg")</f>
        <v/>
      </c>
      <c r="K3638" t="inlineStr">
        <is>
          <t>7.47</t>
        </is>
      </c>
      <c r="L3638" t="n">
        <v>30.13</v>
      </c>
      <c r="M3638" s="1" t="inlineStr">
        <is>
          <t>303.35%</t>
        </is>
      </c>
      <c r="N3638" s="7" t="n">
        <v>38.49</v>
      </c>
      <c r="O3638" t="n">
        <v>5</v>
      </c>
      <c r="P3638" t="n">
        <v>2</v>
      </c>
      <c r="R3638" t="inlineStr">
        <is>
          <t>InStock</t>
        </is>
      </c>
      <c r="S3638" t="inlineStr">
        <is>
          <t>undefined</t>
        </is>
      </c>
      <c r="T3638" t="inlineStr">
        <is>
          <t>5286767919272</t>
        </is>
      </c>
    </row>
    <row r="3639" ht="87" customHeight="1">
      <c r="A3639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639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639" t="inlineStr">
        <is>
          <t>Diablo Tools DMARG1030 3/16 in. x 4 in. x 6 in. SPEEDemon™ Red Granite Carbide Tipped Hammer Drill Bit</t>
        </is>
      </c>
      <c r="D3639" t="inlineStr">
        <is>
          <t>Sabre Tools 3/16 Inch x 6 Inch Masonry Drill Bit, Carbide Tipped 10-Pack for Concrete, Brick, Stone, 1/4” Hex Shank, Impact Performance (3/16” x 6”, 10)</t>
        </is>
      </c>
      <c r="E3639" s="2">
        <f>HYPERLINK("https://www.amazon.com/Sabre-Tools-Masonry-Concrete-Performance/dp/B08YWW3549/ref=sr_1_29?keywords=Diablo+Tools+DMARG1030+3%2F16+in.+x+4+in.+x+6+in.+SPEEDemon%E2%84%A2+Red+Granite+Carbide+Tipped+Hammer+Drill+Bit&amp;qid=1694735280&amp;sr=8-29", "https://www.amazon.com/Sabre-Tools-Masonry-Concrete-Performance/dp/B08YWW3549/ref=sr_1_29?keywords=Diablo+Tools+DMARG1030+3%2F16+in.+x+4+in.+x+6+in.+SPEEDemon%E2%84%A2+Red+Granite+Carbide+Tipped+Hammer+Drill+Bit&amp;qid=1694735280&amp;sr=8-29")</f>
        <v/>
      </c>
      <c r="F3639" t="inlineStr">
        <is>
          <t>B08YWW3549</t>
        </is>
      </c>
      <c r="G3639">
        <f>_xlfn.IMAGE("https://edmondsonsupply.com/cdn/shop/products/DMARG1030_Main-Image20200407.png?v=1633030509")</f>
        <v/>
      </c>
      <c r="H3639">
        <f>_xlfn.IMAGE("https://m.media-amazon.com/images/I/911A6fsX3NL._AC_UL320_.jpg")</f>
        <v/>
      </c>
      <c r="K3639" t="inlineStr">
        <is>
          <t>4.47</t>
        </is>
      </c>
      <c r="L3639" t="n">
        <v>17.99</v>
      </c>
      <c r="M3639" s="1" t="inlineStr">
        <is>
          <t>302.46%</t>
        </is>
      </c>
      <c r="N3639" s="7" t="n">
        <v>38.49</v>
      </c>
      <c r="O3639" t="n">
        <v>4.2</v>
      </c>
      <c r="P3639" t="n">
        <v>237</v>
      </c>
      <c r="R3639" t="inlineStr">
        <is>
          <t>InStock</t>
        </is>
      </c>
      <c r="S3639" t="inlineStr">
        <is>
          <t>undefined</t>
        </is>
      </c>
      <c r="T3639" t="inlineStr">
        <is>
          <t>5386199629992</t>
        </is>
      </c>
    </row>
    <row r="3640" ht="87" customHeight="1">
      <c r="A3640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640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640" t="inlineStr">
        <is>
          <t>Diablo Tools DMAPL4040 3/16 in. x 4 in. x 6 in. Rebar Demon™ SDS-Plus 4-Cutter Full Carbide Head Hammer Bit</t>
        </is>
      </c>
      <c r="D3640" t="inlineStr">
        <is>
          <t>Diablo 5/8"x 16"x18" Rebar Demon™ SDS-Plus 4-Cutter Full Carbide Head Hammer Bit</t>
        </is>
      </c>
      <c r="E3640" s="2">
        <f>HYPERLINK("https://www.amazon.com/Diablo-SDS-Plus-4-Cutter-Carbide-Hammer/dp/B089LDNZSN/ref=sr_1_14?keywords=Diablo+Tools+DMAPL4040+3%2F16+in.+x+4+in.+x+6+in.+Rebar+Demon%E2%84%A2+SDS-Plus+4-Cutter+Full+Carbide+Head+Hammer+Bit&amp;qid=1694735297&amp;sr=8-14", "https://www.amazon.com/Diablo-SDS-Plus-4-Cutter-Carbide-Hammer/dp/B089LDNZSN/ref=sr_1_14?keywords=Diablo+Tools+DMAPL4040+3%2F16+in.+x+4+in.+x+6+in.+Rebar+Demon%E2%84%A2+SDS-Plus+4-Cutter+Full+Carbide+Head+Hammer+Bit&amp;qid=1694735297&amp;sr=8-14")</f>
        <v/>
      </c>
      <c r="F3640" t="inlineStr">
        <is>
          <t>B089LDNZSN</t>
        </is>
      </c>
      <c r="G3640">
        <f>_xlfn.IMAGE("https://edmondsonsupply.com/cdn/shop/products/DMAPL4040_Main-Image20200701.png?v=1633030358")</f>
        <v/>
      </c>
      <c r="H3640">
        <f>_xlfn.IMAGE("https://m.media-amazon.com/images/I/61Vv8Hsfp5L._AC_UL320_.jpg")</f>
        <v/>
      </c>
      <c r="K3640" t="inlineStr">
        <is>
          <t>8.47</t>
        </is>
      </c>
      <c r="L3640" t="n">
        <v>33.98</v>
      </c>
      <c r="M3640" s="1" t="inlineStr">
        <is>
          <t>301.18%</t>
        </is>
      </c>
      <c r="N3640" s="7" t="n">
        <v>38.4</v>
      </c>
      <c r="O3640" t="n">
        <v>4.6</v>
      </c>
      <c r="P3640" t="n">
        <v>10</v>
      </c>
      <c r="R3640" t="inlineStr">
        <is>
          <t>InStock</t>
        </is>
      </c>
      <c r="S3640" t="inlineStr">
        <is>
          <t>undefined</t>
        </is>
      </c>
      <c r="T3640" t="inlineStr">
        <is>
          <t>5286740426920</t>
        </is>
      </c>
    </row>
    <row r="3641" ht="87" customHeight="1">
      <c r="A3641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641" s="2">
        <f>HYPERLINK("https://edmondsonsupply.com/products/klein-tools-rt110-receptacle-tester", "https://edmondsonsupply.com/products/klein-tools-rt110-receptacle-tester")</f>
        <v/>
      </c>
      <c r="C3641" t="inlineStr">
        <is>
          <t>Klein Tools RT110 Receptacle Tester</t>
        </is>
      </c>
      <c r="D3641" t="inlineStr">
        <is>
          <t>Klein Tools RT250KIT Non-Contact Voltage Tester and GFCI Receptacle Tester with LCD and Flashlight, Voltage Electrical Test Kit</t>
        </is>
      </c>
      <c r="E3641" s="2">
        <f>HYPERLINK("https://www.amazon.com/Non-Contact-Receptacle-Klein-Tools-RT250KIT/dp/B08YDFQ2FV/ref=sr_1_12?keywords=Klein+Tools+RT110+Receptacle+Tester&amp;qid=1694735205&amp;sr=8-12", "https://www.amazon.com/Non-Contact-Receptacle-Klein-Tools-RT250KIT/dp/B08YDFQ2FV/ref=sr_1_12?keywords=Klein+Tools+RT110+Receptacle+Tester&amp;qid=1694735205&amp;sr=8-12")</f>
        <v/>
      </c>
      <c r="F3641" t="inlineStr">
        <is>
          <t>B08YDFQ2FV</t>
        </is>
      </c>
      <c r="G3641">
        <f>_xlfn.IMAGE("https://edmondsonsupply.com/cdn/shop/products/rt110.jpg?v=1633031036")</f>
        <v/>
      </c>
      <c r="H3641">
        <f>_xlfn.IMAGE("https://m.media-amazon.com/images/I/61WaBlkJfxL._AC_UL320_.jpg")</f>
        <v/>
      </c>
      <c r="K3641" t="inlineStr">
        <is>
          <t>9.97</t>
        </is>
      </c>
      <c r="L3641" t="n">
        <v>39.99</v>
      </c>
      <c r="M3641" s="1" t="inlineStr">
        <is>
          <t>301.10%</t>
        </is>
      </c>
      <c r="N3641" s="7" t="n">
        <v>38.36</v>
      </c>
      <c r="O3641" t="n">
        <v>4.8</v>
      </c>
      <c r="P3641" t="n">
        <v>1264</v>
      </c>
      <c r="R3641" t="inlineStr">
        <is>
          <t>InStock</t>
        </is>
      </c>
      <c r="S3641" t="inlineStr">
        <is>
          <t>12.12</t>
        </is>
      </c>
      <c r="T3641" t="inlineStr">
        <is>
          <t>6740486619309</t>
        </is>
      </c>
    </row>
    <row r="3642" ht="87" customHeight="1">
      <c r="A3642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642" s="2">
        <f>HYPERLINK("https://edmondsonsupply.com/products/klein-tools-rt110-receptacle-tester", "https://edmondsonsupply.com/products/klein-tools-rt110-receptacle-tester")</f>
        <v/>
      </c>
      <c r="C3642" t="inlineStr">
        <is>
          <t>Klein Tools RT110 Receptacle Tester</t>
        </is>
      </c>
      <c r="D3642" t="inlineStr">
        <is>
          <t>Klein Tools RT310 Outlet Tester, AFCI and GFCI Receptacle Tester for North American AC Electrical Outlets</t>
        </is>
      </c>
      <c r="E3642" s="2">
        <f>HYPERLINK("https://www.amazon.com/Klein-Tools-RT310-Electrical-Receptacles/dp/B07PMDRHXB/ref=sr_1_8?keywords=Klein+Tools+RT110+Receptacle+Tester&amp;qid=1694735205&amp;sr=8-8", "https://www.amazon.com/Klein-Tools-RT310-Electrical-Receptacles/dp/B07PMDRHXB/ref=sr_1_8?keywords=Klein+Tools+RT110+Receptacle+Tester&amp;qid=1694735205&amp;sr=8-8")</f>
        <v/>
      </c>
      <c r="F3642" t="inlineStr">
        <is>
          <t>B07PMDRHXB</t>
        </is>
      </c>
      <c r="G3642">
        <f>_xlfn.IMAGE("https://edmondsonsupply.com/cdn/shop/products/rt110.jpg?v=1633031036")</f>
        <v/>
      </c>
      <c r="H3642">
        <f>_xlfn.IMAGE("https://m.media-amazon.com/images/I/51C46-kDFFL._AC_UL320_.jpg")</f>
        <v/>
      </c>
      <c r="K3642" t="inlineStr">
        <is>
          <t>9.97</t>
        </is>
      </c>
      <c r="L3642" t="n">
        <v>39.97</v>
      </c>
      <c r="M3642" s="1" t="inlineStr">
        <is>
          <t>300.90%</t>
        </is>
      </c>
      <c r="N3642" s="7" t="n">
        <v>38.19</v>
      </c>
      <c r="O3642" t="n">
        <v>4.7</v>
      </c>
      <c r="P3642" t="n">
        <v>1603</v>
      </c>
      <c r="R3642" t="inlineStr">
        <is>
          <t>InStock</t>
        </is>
      </c>
      <c r="S3642" t="inlineStr">
        <is>
          <t>12.12</t>
        </is>
      </c>
      <c r="T3642" t="inlineStr">
        <is>
          <t>6740486619309</t>
        </is>
      </c>
    </row>
    <row r="3643" ht="87" customHeight="1">
      <c r="A3643" s="2">
        <f>HYPERLINK("https://edmondsonsupply.com/collections/electricians-tools/products/klein-tools-51611-1-2-inch-angle-setter%E2%84%A2", "https://edmondsonsupply.com/collections/electricians-tools/products/klein-tools-51611-1-2-inch-angle-setter%E2%84%A2")</f>
        <v/>
      </c>
      <c r="B3643" s="2">
        <f>HYPERLINK("https://edmondsonsupply.com/products/klein-tools-51611-1-2-inch-angle-setter%e2%84%a2", "https://edmondsonsupply.com/products/klein-tools-51611-1-2-inch-angle-setter%e2%84%a2")</f>
        <v/>
      </c>
      <c r="C3643" t="inlineStr">
        <is>
          <t>Klein Tools 51611 1/2-Inch Angle Setter™</t>
        </is>
      </c>
      <c r="D3643" t="inlineStr">
        <is>
          <t>Klein Tools 51606 Aluminum Conduit Bender Full Assembly, 1/2-Inch EMT, Wide Food Pedal, Benchmark Symbols and Angle Setter</t>
        </is>
      </c>
      <c r="E3643" s="2">
        <f>HYPERLINK("https://www.amazon.com/Aluminum-Benchmark-Technology-Klein-Tools/dp/B08L41DC9N/ref=sr_1_5?keywords=Klein+Tools+51611+1%2F2-Inch+Angle+Setter%E2%84%A2&amp;qid=1694735142&amp;sr=8-5", "https://www.amazon.com/Aluminum-Benchmark-Technology-Klein-Tools/dp/B08L41DC9N/ref=sr_1_5?keywords=Klein+Tools+51611+1%2F2-Inch+Angle+Setter%E2%84%A2&amp;qid=1694735142&amp;sr=8-5")</f>
        <v/>
      </c>
      <c r="F3643" t="inlineStr">
        <is>
          <t>B08L41DC9N</t>
        </is>
      </c>
      <c r="G3643">
        <f>_xlfn.IMAGE("https://edmondsonsupply.com/cdn/shop/products/51611.jpg?v=1661976456")</f>
        <v/>
      </c>
      <c r="H3643">
        <f>_xlfn.IMAGE("https://m.media-amazon.com/images/I/41JBDxEE8NL._AC_UL320_.jpg")</f>
        <v/>
      </c>
      <c r="K3643" t="inlineStr">
        <is>
          <t>9.97</t>
        </is>
      </c>
      <c r="L3643" t="n">
        <v>39.97</v>
      </c>
      <c r="M3643" s="1" t="inlineStr">
        <is>
          <t>300.90%</t>
        </is>
      </c>
      <c r="N3643" s="7" t="n">
        <v>38.16</v>
      </c>
      <c r="O3643" t="n">
        <v>4.8</v>
      </c>
      <c r="P3643" t="n">
        <v>258</v>
      </c>
      <c r="R3643" t="inlineStr">
        <is>
          <t>InStock</t>
        </is>
      </c>
      <c r="S3643" t="inlineStr">
        <is>
          <t>12.96</t>
        </is>
      </c>
      <c r="T3643" t="inlineStr">
        <is>
          <t>7798377840856</t>
        </is>
      </c>
    </row>
    <row r="3644" ht="87" customHeight="1">
      <c r="A3644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644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644" t="inlineStr">
        <is>
          <t>Diablo Tools DMAPL4040 3/16 in. x 4 in. x 6 in. Rebar Demon™ SDS-Plus 4-Cutter Full Carbide Head Hammer Bit</t>
        </is>
      </c>
      <c r="D3644" t="inlineStr">
        <is>
          <t>Diablo by Freud DMAPL4300 1 in. x 8 in. x 10 in. Rebar Demon™ SDS-Plus 4-Cutter Full Carbide Head Hammer Bit</t>
        </is>
      </c>
      <c r="E3644" s="2">
        <f>HYPERLINK("https://www.amazon.com/Diablo-Freud-DMAPL4300-SDS-Plus-4-Cutter/dp/B089LL8JD8/ref=sr_1_22?keywords=Diablo+Tools+DMAPL4040+3%2F16+in.+x+4+in.+x+6+in.+Rebar+Demon%E2%84%A2+SDS-Plus+4-Cutter+Full+Carbide+Head+Hammer+Bit&amp;qid=1694735297&amp;sr=8-22", "https://www.amazon.com/Diablo-Freud-DMAPL4300-SDS-Plus-4-Cutter/dp/B089LL8JD8/ref=sr_1_22?keywords=Diablo+Tools+DMAPL4040+3%2F16+in.+x+4+in.+x+6+in.+Rebar+Demon%E2%84%A2+SDS-Plus+4-Cutter+Full+Carbide+Head+Hammer+Bit&amp;qid=1694735297&amp;sr=8-22")</f>
        <v/>
      </c>
      <c r="F3644" t="inlineStr">
        <is>
          <t>B089LL8JD8</t>
        </is>
      </c>
      <c r="G3644">
        <f>_xlfn.IMAGE("https://edmondsonsupply.com/cdn/shop/products/DMAPL4040_Main-Image20200701.png?v=1633030358")</f>
        <v/>
      </c>
      <c r="H3644">
        <f>_xlfn.IMAGE("https://m.media-amazon.com/images/I/616UiJGsK1L._AC_UL320_.jpg")</f>
        <v/>
      </c>
      <c r="K3644" t="inlineStr">
        <is>
          <t>8.47</t>
        </is>
      </c>
      <c r="L3644" t="n">
        <v>33.95</v>
      </c>
      <c r="M3644" s="1" t="inlineStr">
        <is>
          <t>300.83%</t>
        </is>
      </c>
      <c r="N3644" s="7" t="n">
        <v>38.11</v>
      </c>
      <c r="O3644" t="n">
        <v>4.5</v>
      </c>
      <c r="P3644" t="n">
        <v>16</v>
      </c>
      <c r="R3644" t="inlineStr">
        <is>
          <t>InStock</t>
        </is>
      </c>
      <c r="S3644" t="inlineStr">
        <is>
          <t>undefined</t>
        </is>
      </c>
      <c r="T3644" t="inlineStr">
        <is>
          <t>5286740426920</t>
        </is>
      </c>
    </row>
    <row r="3645" ht="87" customHeight="1">
      <c r="A3645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3645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3645" t="inlineStr">
        <is>
          <t>Klein Tools JTH9E11 3/16-Inch Hex Key with Journeyman T-Handle, 9-Inch</t>
        </is>
      </c>
      <c r="D3645" t="inlineStr">
        <is>
          <t>Klein Tools JTH9E17 1/2-Inch Hex Key, Journeyman T-Handle, 9-Inch</t>
        </is>
      </c>
      <c r="E3645" s="2">
        <f>HYPERLINK("https://www.amazon.com/Journeyman-T-Handle-Klein-Tools-JTH9E17/dp/B004QV6NL4/ref=sr_1_5?keywords=Klein+Tools+JTH9E11+3%2F16-Inch+Hex+Key+with+Journeyman+T-Handle%2C+9-Inch&amp;qid=1694735351&amp;sr=8-5", "https://www.amazon.com/Journeyman-T-Handle-Klein-Tools-JTH9E17/dp/B004QV6NL4/ref=sr_1_5?keywords=Klein+Tools+JTH9E11+3%2F16-Inch+Hex+Key+with+Journeyman+T-Handle%2C+9-Inch&amp;qid=1694735351&amp;sr=8-5")</f>
        <v/>
      </c>
      <c r="F3645" t="inlineStr">
        <is>
          <t>B004QV6NL4</t>
        </is>
      </c>
      <c r="G3645">
        <f>_xlfn.IMAGE("https://edmondsonsupply.com/cdn/shop/products/jth9e12_5173eed3-120e-418c-a1cc-489b6dba3958.jpg?v=1587147554")</f>
        <v/>
      </c>
      <c r="H3645">
        <f>_xlfn.IMAGE("https://m.media-amazon.com/images/I/51Yb8h41vLL._AC_UL320_.jpg")</f>
        <v/>
      </c>
      <c r="K3645" t="inlineStr">
        <is>
          <t>5.99</t>
        </is>
      </c>
      <c r="L3645" t="n">
        <v>23.99</v>
      </c>
      <c r="M3645" s="1" t="inlineStr">
        <is>
          <t>300.50%</t>
        </is>
      </c>
      <c r="N3645" s="7" t="n">
        <v>37.87</v>
      </c>
      <c r="O3645" t="n">
        <v>4.8</v>
      </c>
      <c r="P3645" t="n">
        <v>193</v>
      </c>
      <c r="R3645" t="inlineStr">
        <is>
          <t>InStock</t>
        </is>
      </c>
      <c r="S3645" t="inlineStr">
        <is>
          <t>9.06</t>
        </is>
      </c>
      <c r="T3645" t="inlineStr">
        <is>
          <t>4455227523172</t>
        </is>
      </c>
    </row>
    <row r="3646" ht="87" customHeight="1">
      <c r="A3646" s="2">
        <f>HYPERLINK("https://edmondsonsupply.com/collections/electricians-tools/products/milwaukee-48-22-8485-packout%E2%84%A2-mounting-plate", "https://edmondsonsupply.com/collections/electricians-tools/products/milwaukee-48-22-8485-packout%E2%84%A2-mounting-plate")</f>
        <v/>
      </c>
      <c r="B3646" s="2">
        <f>HYPERLINK("https://edmondsonsupply.com/products/milwaukee-48-22-8485-packout%e2%84%a2-mounting-plate", "https://edmondsonsupply.com/products/milwaukee-48-22-8485-packout%e2%84%a2-mounting-plate")</f>
        <v/>
      </c>
      <c r="C3646" t="inlineStr">
        <is>
          <t>Milwaukee 48-22-8485 PACKOUT™ Mounting Plate</t>
        </is>
      </c>
      <c r="D3646" t="inlineStr">
        <is>
          <t>48-22-8487 for Milwaukee Packout Large Wall Plate with 150 lbs. Capacity,Wall and Floor Mounting, Dimensions: 1.1L x 20W x 30.5H in</t>
        </is>
      </c>
      <c r="E3646" s="2">
        <f>HYPERLINK("https://www.amazon.com/48-22-8487-Milwaukee-Capacity-Mounting-Dimensions/dp/B0BLH8MR12/ref=sr_1_11?keywords=Milwaukee+48-22-8485+PACKOUT%E2%84%A2+Mounting+Plate&amp;qid=1694735032&amp;sr=8-11", "https://www.amazon.com/48-22-8487-Milwaukee-Capacity-Mounting-Dimensions/dp/B0BLH8MR12/ref=sr_1_11?keywords=Milwaukee+48-22-8485+PACKOUT%E2%84%A2+Mounting+Plate&amp;qid=1694735032&amp;sr=8-11")</f>
        <v/>
      </c>
      <c r="F3646" t="inlineStr">
        <is>
          <t>B0BLH8MR12</t>
        </is>
      </c>
      <c r="G3646">
        <f>_xlfn.IMAGE("https://edmondsonsupply.com/cdn/shop/products/48-22-8485_3.png?v=1677252283")</f>
        <v/>
      </c>
      <c r="H3646">
        <f>_xlfn.IMAGE("https://m.media-amazon.com/images/I/61e8-0MC3NL._AC_UL320_.jpg")</f>
        <v/>
      </c>
      <c r="K3646" t="inlineStr">
        <is>
          <t>29.97</t>
        </is>
      </c>
      <c r="L3646" t="n">
        <v>119.99</v>
      </c>
      <c r="M3646" s="1" t="inlineStr">
        <is>
          <t>300.37%</t>
        </is>
      </c>
      <c r="N3646" s="7" t="n">
        <v>37.72</v>
      </c>
      <c r="O3646" t="n">
        <v>5</v>
      </c>
      <c r="P3646" t="n">
        <v>1</v>
      </c>
      <c r="R3646" t="inlineStr">
        <is>
          <t>InStock</t>
        </is>
      </c>
      <c r="S3646" t="inlineStr">
        <is>
          <t>50.0</t>
        </is>
      </c>
      <c r="T3646" t="inlineStr">
        <is>
          <t>7950727413976</t>
        </is>
      </c>
    </row>
    <row r="3647" ht="87" customHeight="1">
      <c r="A3647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3647" s="2">
        <f>HYPERLINK("https://edmondsonsupply.com/products/klein-tools-635-7-16-7-16-inch-heavy-duty-nut-driver", "https://edmondsonsupply.com/products/klein-tools-635-7-16-7-16-inch-heavy-duty-nut-driver")</f>
        <v/>
      </c>
      <c r="C3647" t="inlineStr">
        <is>
          <t>Klein Tools 635-7/16 7/16-Inch Heavy-Duty Nut Driver</t>
        </is>
      </c>
      <c r="D3647" t="inlineStr">
        <is>
          <t>Klein Tools 647 Tool Set, Nut Drivers Sizes 3/16, 1/4, 5/16, 11/32, 3/8, 7/16, 1/2-Inch, Chrome-Plated 6-Inch Shafts, Cushion Grip, 7-Piece</t>
        </is>
      </c>
      <c r="E3647" s="2">
        <f>HYPERLINK("https://www.amazon.com/Driver-6-Inch-Klein-Tools-647/dp/B0014KRVXO/ref=sr_1_13?keywords=Klein+Tools+635-7%2F16+7%2F16-Inch+Heavy-Duty+Nut+Driver&amp;qid=1694735398&amp;sr=8-13", "https://www.amazon.com/Driver-6-Inch-Klein-Tools-647/dp/B0014KRVXO/ref=sr_1_13?keywords=Klein+Tools+635-7%2F16+7%2F16-Inch+Heavy-Duty+Nut+Driver&amp;qid=1694735398&amp;sr=8-13")</f>
        <v/>
      </c>
      <c r="F3647" t="inlineStr">
        <is>
          <t>B0014KRVXO</t>
        </is>
      </c>
      <c r="G3647">
        <f>_xlfn.IMAGE("https://edmondsonsupply.com/cdn/shop/products/635-7-16.jpg?v=1587145128")</f>
        <v/>
      </c>
      <c r="H3647">
        <f>_xlfn.IMAGE("https://m.media-amazon.com/images/I/51usUk-EpGL._AC_UL320_.jpg")</f>
        <v/>
      </c>
      <c r="K3647" t="inlineStr">
        <is>
          <t>14.49</t>
        </is>
      </c>
      <c r="L3647" t="n">
        <v>57.99</v>
      </c>
      <c r="M3647" s="1" t="inlineStr">
        <is>
          <t>300.21%</t>
        </is>
      </c>
      <c r="N3647" s="7" t="n">
        <v>37.68</v>
      </c>
      <c r="O3647" t="n">
        <v>4.8</v>
      </c>
      <c r="P3647" t="n">
        <v>734</v>
      </c>
      <c r="R3647" t="inlineStr">
        <is>
          <t>InStock</t>
        </is>
      </c>
      <c r="S3647" t="inlineStr">
        <is>
          <t>21.94</t>
        </is>
      </c>
      <c r="T3647" t="inlineStr">
        <is>
          <t>4410745978980</t>
        </is>
      </c>
    </row>
    <row r="3648" ht="87" customHeight="1">
      <c r="A3648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3648" s="2">
        <f>HYPERLINK("https://edmondsonsupply.com/products/klein-tools-rt310-afci-gfci-outlet-tester", "https://edmondsonsupply.com/products/klein-tools-rt310-afci-gfci-outlet-tester")</f>
        <v/>
      </c>
      <c r="C3648" t="inlineStr">
        <is>
          <t>Klein Tools RT310 AFCI / GFCI Outlet Tester</t>
        </is>
      </c>
      <c r="D3648" t="inlineStr">
        <is>
          <t>Klein Tools ET110 CO Meter, Carbon Monoxide Tester and Detector &amp; RT310 Receptacle Tester, AFCI and GFCI Outlet and Device Tester for North American AC Electrical Outlet Receptacles</t>
        </is>
      </c>
      <c r="E3648" s="2">
        <f>HYPERLINK("https://www.amazon.com/Klein-Tools-Receptacle-Electrical-Receptacles/dp/B09Q65CGHR/ref=sr_1_7?keywords=Klein+Tools+RT310+AFCI+%2F+GFCI+Outlet+Tester&amp;qid=1694734989&amp;sr=8-7", "https://www.amazon.com/Klein-Tools-Receptacle-Electrical-Receptacles/dp/B09Q65CGHR/ref=sr_1_7?keywords=Klein+Tools+RT310+AFCI+%2F+GFCI+Outlet+Tester&amp;qid=1694734989&amp;sr=8-7")</f>
        <v/>
      </c>
      <c r="F3648" t="inlineStr">
        <is>
          <t>B09Q65CGHR</t>
        </is>
      </c>
      <c r="G3648">
        <f>_xlfn.IMAGE("https://edmondsonsupply.com/cdn/shop/products/rt310.jpg?v=1587148552")</f>
        <v/>
      </c>
      <c r="H3648">
        <f>_xlfn.IMAGE("https://m.media-amazon.com/images/I/41MPamqttZL._AC_UL320_.jpg")</f>
        <v/>
      </c>
      <c r="K3648" t="inlineStr">
        <is>
          <t>39.97</t>
        </is>
      </c>
      <c r="L3648" t="n">
        <v>159.96</v>
      </c>
      <c r="M3648" s="1" t="inlineStr">
        <is>
          <t>300.20%</t>
        </is>
      </c>
      <c r="N3648" s="7" t="n">
        <v>37.63</v>
      </c>
      <c r="O3648" t="n">
        <v>4.8</v>
      </c>
      <c r="P3648" t="n">
        <v>28</v>
      </c>
      <c r="R3648" t="inlineStr">
        <is>
          <t>InStock</t>
        </is>
      </c>
      <c r="S3648" t="inlineStr">
        <is>
          <t>57.9</t>
        </is>
      </c>
      <c r="T3648" t="inlineStr">
        <is>
          <t>3372527779940</t>
        </is>
      </c>
    </row>
    <row r="3649" hidden="1" ht="15.75" customHeight="1">
      <c r="A3649" s="2">
        <f>HYPERLINK("https://edmondsonsupply.com/collections/electricians-tools/products/klein-tools-25963-step-drill-bit-spiral-double-fluted-1-4-inch-to-3-4-inch-vaco", "https://edmondsonsupply.com/collections/electricians-tools/products/klein-tools-25963-step-drill-bit-spiral-double-fluted-1-4-inch-to-3-4-inch-vaco")</f>
        <v/>
      </c>
      <c r="B3649" s="2">
        <f>HYPERLINK("https://edmondsonsupply.com/products/klein-tools-25963-step-drill-bit-spiral-double-fluted-1-4-inch-to-3-4-inch-vaco", "https://edmondsonsupply.com/products/klein-tools-25963-step-drill-bit-spiral-double-fluted-1-4-inch-to-3-4-inch-vaco")</f>
        <v/>
      </c>
      <c r="C3649" t="inlineStr">
        <is>
          <t>Klein Tools 25963 Step Drill Bit, Spiral Double-Fluted, 1/4-Inch to 3/4-Inch, VACO</t>
        </is>
      </c>
      <c r="D3649" t="inlineStr">
        <is>
          <t>Klein Tools 25951 Electrician's Step Drill Bit Set, Spiral Double Fluted, Titanium Nitride Coating, 1/4-Inch Impact Shank, Case, 3-Piece</t>
        </is>
      </c>
      <c r="E3649" s="2">
        <f>HYPERLINK("https://www.amazon.com/Klein-Tools-25951-Electricians-Titanium/dp/B0BLFRJLDX/ref=sr_1_1?keywords=Klein+Tools+25963+Step+Drill+Bit%2C+Spiral+Double-Fluted%2C+1%2F4-Inch+to+3%2F4-Inch%2C+VACO&amp;qid=1694735067&amp;sr=8-1", "https://www.amazon.com/Klein-Tools-25951-Electricians-Titanium/dp/B0BLFRJLDX/ref=sr_1_1?keywords=Klein+Tools+25963+Step+Drill+Bit%2C+Spiral+Double-Fluted%2C+1%2F4-Inch+to+3%2F4-Inch%2C+VACO&amp;qid=1694735067&amp;sr=8-1")</f>
        <v/>
      </c>
      <c r="F3649" t="inlineStr">
        <is>
          <t>B0BLFRJLDX</t>
        </is>
      </c>
      <c r="G3649">
        <f>_xludf.IMAGE("https://edmondsonsupply.com/cdn/shop/products/25963_b.jpg?v=1670524306")</f>
        <v/>
      </c>
      <c r="H3649">
        <f>_xludf.IMAGE("https://m.media-amazon.com/images/I/61dZd3WvlgL._AC_UY218_.jpg")</f>
        <v/>
      </c>
      <c r="K3649" t="inlineStr">
        <is>
          <t>24.99</t>
        </is>
      </c>
      <c r="L3649" t="n">
        <v>99.98999999999999</v>
      </c>
      <c r="M3649" s="1" t="inlineStr">
        <is>
          <t>300.12%</t>
        </is>
      </c>
      <c r="N3649" s="1" t="n">
        <v>37.01</v>
      </c>
      <c r="O3649" t="n">
        <v>3.8</v>
      </c>
      <c r="P3649" t="n">
        <v>6</v>
      </c>
      <c r="R3649" t="inlineStr">
        <is>
          <t>InStock</t>
        </is>
      </c>
      <c r="S3649" t="inlineStr">
        <is>
          <t>37.48</t>
        </is>
      </c>
      <c r="T3649" t="inlineStr">
        <is>
          <t>7901318971608</t>
        </is>
      </c>
    </row>
    <row r="3650" hidden="1" ht="15.75" customHeight="1">
      <c r="A3650" s="2">
        <f>HYPERLINK("https://edmondsonsupply.com/collections/electricians-tools/products/klein-tools-450-002-staples-5-16-inch-x-5-16-inch-insulated", "https://edmondsonsupply.com/collections/electricians-tools/products/klein-tools-450-002-staples-5-16-inch-x-5-16-inch-insulated")</f>
        <v/>
      </c>
      <c r="B3650" s="2">
        <f>HYPERLINK("https://edmondsonsupply.com/products/klein-tools-450-002-staples-5-16-inch-x-5-16-inch-insulated", "https://edmondsonsupply.com/products/klein-tools-450-002-staples-5-16-inch-x-5-16-inch-insulated")</f>
        <v/>
      </c>
      <c r="C3650" t="inlineStr">
        <is>
          <t>Klein Tools 450-002 Staples, 5/16-Inch x 5/16-Inch Insulated</t>
        </is>
      </c>
      <c r="D3650" t="inlineStr">
        <is>
          <t>Klein Tools 450-100 Heavy Duty Stapler for Voice, Data, Video and Nonmetallic Sheathed (Romex) Cable Fits 1/4-, 5/16-, and 19/32-Inch Staples</t>
        </is>
      </c>
      <c r="E3650" s="2">
        <f>HYPERLINK("https://www.amazon.com/Klein-Tools-450-100-Nonmetallic-Sheathed/dp/B085RLW9XL/ref=sr_1_6?keywords=Klein+Tools+450-002+Staples%2C+5%2F16-Inch+x+5%2F16-Inch+Insulated&amp;qid=1694734983&amp;sr=8-6", "https://www.amazon.com/Klein-Tools-450-100-Nonmetallic-Sheathed/dp/B085RLW9XL/ref=sr_1_6?keywords=Klein+Tools+450-002+Staples%2C+5%2F16-Inch+x+5%2F16-Inch+Insulated&amp;qid=1694734983&amp;sr=8-6")</f>
        <v/>
      </c>
      <c r="F3650" t="inlineStr">
        <is>
          <t>B085RLW9XL</t>
        </is>
      </c>
      <c r="G3650">
        <f>_xludf.IMAGE("https://edmondsonsupply.com/cdn/shop/products/450002.jpg?v=1633030471")</f>
        <v/>
      </c>
      <c r="H3650">
        <f>_xludf.IMAGE("https://m.media-amazon.com/images/I/61ykeA9CI3L._AC_UL320_.jpg")</f>
        <v/>
      </c>
      <c r="K3650" t="inlineStr">
        <is>
          <t>9.99</t>
        </is>
      </c>
      <c r="L3650" t="n">
        <v>39.97</v>
      </c>
      <c r="M3650" s="1" t="inlineStr">
        <is>
          <t>300.10%</t>
        </is>
      </c>
      <c r="N3650" s="1" t="n">
        <v>36.72</v>
      </c>
      <c r="O3650" t="n">
        <v>3.6</v>
      </c>
      <c r="P3650" t="n">
        <v>661</v>
      </c>
      <c r="R3650" t="inlineStr">
        <is>
          <t>InStock</t>
        </is>
      </c>
      <c r="S3650" t="inlineStr">
        <is>
          <t>14.38</t>
        </is>
      </c>
      <c r="T3650" t="inlineStr">
        <is>
          <t>5365322612904</t>
        </is>
      </c>
    </row>
    <row r="3651" hidden="1" ht="15.75" customHeight="1">
      <c r="A3651" s="2">
        <f>HYPERLINK("https://edmondsonsupply.com/collections/electricians-tools/products/klein-tools-450-001-staples-1-4-inch-x-5-16-inch-insulated", "https://edmondsonsupply.com/collections/electricians-tools/products/klein-tools-450-001-staples-1-4-inch-x-5-16-inch-insulated")</f>
        <v/>
      </c>
      <c r="B3651" s="2">
        <f>HYPERLINK("https://edmondsonsupply.com/products/klein-tools-450-001-staples-1-4-inch-x-5-16-inch-insulated", "https://edmondsonsupply.com/products/klein-tools-450-001-staples-1-4-inch-x-5-16-inch-insulated")</f>
        <v/>
      </c>
      <c r="C3651" t="inlineStr">
        <is>
          <t>Klein Tools 450-001 Staples, 1/4-Inch x 5/16-Inch Insulated</t>
        </is>
      </c>
      <c r="D3651" t="inlineStr">
        <is>
          <t>Klein Tools 450-100 Heavy Duty Stapler for Voice, Data, Video and Nonmetallic Sheathed (Romex) Cable Fits 1/4-, 5/16-, and 19/32-Inch Staples</t>
        </is>
      </c>
      <c r="E3651" s="2">
        <f>HYPERLINK("https://www.amazon.com/Klein-Tools-450-100-Nonmetallic-Sheathed/dp/B085RLW9XL/ref=sr_1_5?keywords=Klein+Tools+450-001+Staples%2C+1%2F4-Inch+x+5%2F16-Inch+Insulated&amp;qid=1694734982&amp;sr=8-5", "https://www.amazon.com/Klein-Tools-450-100-Nonmetallic-Sheathed/dp/B085RLW9XL/ref=sr_1_5?keywords=Klein+Tools+450-001+Staples%2C+1%2F4-Inch+x+5%2F16-Inch+Insulated&amp;qid=1694734982&amp;sr=8-5")</f>
        <v/>
      </c>
      <c r="F3651" t="inlineStr">
        <is>
          <t>B085RLW9XL</t>
        </is>
      </c>
      <c r="G3651">
        <f>_xludf.IMAGE("https://edmondsonsupply.com/cdn/shop/products/450001.jpg?v=1633030470")</f>
        <v/>
      </c>
      <c r="H3651">
        <f>_xludf.IMAGE("https://m.media-amazon.com/images/I/61ykeA9CI3L._AC_UL320_.jpg")</f>
        <v/>
      </c>
      <c r="K3651" t="inlineStr">
        <is>
          <t>9.99</t>
        </is>
      </c>
      <c r="L3651" t="n">
        <v>39.97</v>
      </c>
      <c r="M3651" s="1" t="inlineStr">
        <is>
          <t>300.10%</t>
        </is>
      </c>
      <c r="N3651" s="1" t="n">
        <v>36.67</v>
      </c>
      <c r="O3651" t="n">
        <v>3.6</v>
      </c>
      <c r="P3651" t="n">
        <v>661</v>
      </c>
      <c r="R3651" t="inlineStr">
        <is>
          <t>InStock</t>
        </is>
      </c>
      <c r="S3651" t="inlineStr">
        <is>
          <t>14.38</t>
        </is>
      </c>
      <c r="T3651" t="inlineStr">
        <is>
          <t>5365258715304</t>
        </is>
      </c>
    </row>
    <row r="3652" ht="87" customHeight="1">
      <c r="A3652" s="2">
        <f>HYPERLINK("https://edmondsonsupply.com/collections/electricians-tools/products/klein-tools-51610-1-iron-conduit-bender-head", "https://edmondsonsupply.com/collections/electricians-tools/products/klein-tools-51610-1-iron-conduit-bender-head")</f>
        <v/>
      </c>
      <c r="B3652" s="2">
        <f>HYPERLINK("https://edmondsonsupply.com/products/klein-tools-51610-1-iron-conduit-bender-head", "https://edmondsonsupply.com/products/klein-tools-51610-1-iron-conduit-bender-head")</f>
        <v/>
      </c>
      <c r="C3652" t="inlineStr">
        <is>
          <t>Klein Tools 51610 1" Iron Conduit Bender Head</t>
        </is>
      </c>
      <c r="D3652" t="inlineStr">
        <is>
          <t>Klein Tools 56211 Iron Conduit Bender Head, 1-1/4-Inch EMT</t>
        </is>
      </c>
      <c r="E3652" s="2">
        <f>HYPERLINK("https://www.amazon.com/Conduit-Bender-Klein-Tools-56211/dp/B00BEZWIBY/ref=sr_1_4?keywords=Klein+Tools+51610+1%22+Iron+Conduit+Bender+Head&amp;qid=1694735131&amp;sr=8-4", "https://www.amazon.com/Conduit-Bender-Klein-Tools-56211/dp/B00BEZWIBY/ref=sr_1_4?keywords=Klein+Tools+51610+1%22+Iron+Conduit+Bender+Head&amp;qid=1694735131&amp;sr=8-4")</f>
        <v/>
      </c>
      <c r="F3652" t="inlineStr">
        <is>
          <t>B00BEZWIBY</t>
        </is>
      </c>
      <c r="G3652">
        <f>_xlfn.IMAGE("https://edmondsonsupply.com/cdn/shop/products/51610.jpg?v=1661975879")</f>
        <v/>
      </c>
      <c r="H3652">
        <f>_xlfn.IMAGE("https://m.media-amazon.com/images/I/61PCC7U22PL._AC_UL320_.jpg")</f>
        <v/>
      </c>
      <c r="K3652" t="inlineStr">
        <is>
          <t>74.99</t>
        </is>
      </c>
      <c r="L3652" t="n">
        <v>299.99</v>
      </c>
      <c r="M3652" s="1" t="inlineStr">
        <is>
          <t>300.04%</t>
        </is>
      </c>
      <c r="N3652" s="7" t="n">
        <v>36.6</v>
      </c>
      <c r="O3652" t="n">
        <v>4.5</v>
      </c>
      <c r="P3652" t="n">
        <v>7</v>
      </c>
      <c r="R3652" t="inlineStr">
        <is>
          <t>InStock</t>
        </is>
      </c>
      <c r="S3652" t="inlineStr">
        <is>
          <t>113.68</t>
        </is>
      </c>
      <c r="T3652" t="inlineStr">
        <is>
          <t>7798372630744</t>
        </is>
      </c>
    </row>
    <row r="3653" ht="87" customHeight="1">
      <c r="A3653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653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653" t="inlineStr">
        <is>
          <t>Klein Tools JTH4E09 9/64-Inch Hex Key Journeyman T-Handle 4-Inch</t>
        </is>
      </c>
      <c r="D3653" t="inlineStr">
        <is>
          <t>Klein Tools JTH9M10 10 mm Hex Key with Journeyman T-Handle, 9-Inch</t>
        </is>
      </c>
      <c r="E3653" s="2">
        <f>HYPERLINK("https://www.amazon.com/Journeyman-T-Handle-Klein-Tools-JTH9M10/dp/B005G3HIA6/ref=sr_1_12?keywords=Klein+Tools+JTH4E09+9%2F64-Inch+Hex+Key+Journeyman+T-Handle+4-Inch&amp;qid=1694735175&amp;sr=8-12", "https://www.amazon.com/Journeyman-T-Handle-Klein-Tools-JTH9M10/dp/B005G3HIA6/ref=sr_1_12?keywords=Klein+Tools+JTH4E09+9%2F64-Inch+Hex+Key+Journeyman+T-Handle+4-Inch&amp;qid=1694735175&amp;sr=8-12")</f>
        <v/>
      </c>
      <c r="F3653" t="inlineStr">
        <is>
          <t>B005G3HIA6</t>
        </is>
      </c>
      <c r="G3653">
        <f>_xlfn.IMAGE("https://edmondsonsupply.com/cdn/shop/products/jth4e06_be5118a6-2e9d-44f5-81ad-c027572dd2d3.jpg?v=1635981570")</f>
        <v/>
      </c>
      <c r="H3653">
        <f>_xlfn.IMAGE("https://m.media-amazon.com/images/I/51+1x0vz9XL._AC_UL320_.jpg")</f>
        <v/>
      </c>
      <c r="K3653" t="inlineStr">
        <is>
          <t>3.79</t>
        </is>
      </c>
      <c r="L3653" t="n">
        <v>15.15</v>
      </c>
      <c r="M3653" s="1" t="inlineStr">
        <is>
          <t>299.74%</t>
        </is>
      </c>
      <c r="N3653" s="7" t="n">
        <v>36.54</v>
      </c>
      <c r="O3653" t="n">
        <v>5</v>
      </c>
      <c r="P3653" t="n">
        <v>2</v>
      </c>
      <c r="R3653" t="inlineStr">
        <is>
          <t>InStock</t>
        </is>
      </c>
      <c r="S3653" t="inlineStr">
        <is>
          <t>5.76</t>
        </is>
      </c>
      <c r="T3653" t="inlineStr">
        <is>
          <t>7434795876568</t>
        </is>
      </c>
    </row>
    <row r="3654" hidden="1" ht="15.75" customHeight="1">
      <c r="A3654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654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654" t="inlineStr">
        <is>
          <t>Diablo Tools DMAPL4030 3/16 in. x 2 in. x 4 in. Rebar Demon™ SDS-Plus 4-Cutter Full Carbide Head Hammer Bit</t>
        </is>
      </c>
      <c r="D3654" t="inlineStr">
        <is>
          <t>Diablo DMAPL4055 3/16 in. x 10 in. x 12 in. Rebar Demon™ SDS-Plus 4-Cutter Full Carbide Head Hammer Bit</t>
        </is>
      </c>
      <c r="E3654" s="2">
        <f>HYPERLINK("https://www.amazon.com/Diablo-DMAPL4055-SDS-Plus-4-Cutter-Carbide/dp/B089LJCD42/ref=sr_1_2?keywords=Diablo+Tools+DMAPL4030+3%2F16+in.+x+2+in.+x+4+in.+Rebar+Demon%E2%84%A2+SDS-Plus+4-Cutter+Full+Carbide+Head+Hammer+Bit&amp;qid=1694735295&amp;sr=8-2", "https://www.amazon.com/Diablo-DMAPL4055-SDS-Plus-4-Cutter-Carbide/dp/B089LJCD42/ref=sr_1_2?keywords=Diablo+Tools+DMAPL4030+3%2F16+in.+x+2+in.+x+4+in.+Rebar+Demon%E2%84%A2+SDS-Plus+4-Cutter+Full+Carbide+Head+Hammer+Bit&amp;qid=1694735295&amp;sr=8-2")</f>
        <v/>
      </c>
      <c r="F3654" t="inlineStr">
        <is>
          <t>B089LJCD42</t>
        </is>
      </c>
      <c r="G3654">
        <f>_xludf.IMAGE("https://edmondsonsupply.com/cdn/shop/products/DMAPL4030.jpg?v=1633030357")</f>
        <v/>
      </c>
      <c r="H3654">
        <f>_xludf.IMAGE("https://m.media-amazon.com/images/I/61cDOAhkb4L._AC_UL320_.jpg")</f>
        <v/>
      </c>
      <c r="K3654" t="inlineStr">
        <is>
          <t>3.97</t>
        </is>
      </c>
      <c r="L3654" t="n">
        <v>15.76</v>
      </c>
      <c r="M3654" s="1" t="inlineStr">
        <is>
          <t>296.98%</t>
        </is>
      </c>
      <c r="N3654" s="1" t="n">
        <v>36.51</v>
      </c>
      <c r="O3654" t="n">
        <v>2</v>
      </c>
      <c r="P3654" t="n">
        <v>1</v>
      </c>
      <c r="R3654" t="inlineStr">
        <is>
          <t>InStock</t>
        </is>
      </c>
      <c r="S3654" t="inlineStr">
        <is>
          <t>5.51</t>
        </is>
      </c>
      <c r="T3654" t="inlineStr">
        <is>
          <t>5286322012328</t>
        </is>
      </c>
    </row>
    <row r="3655" ht="87" customHeight="1">
      <c r="A3655" s="2">
        <f>HYPERLINK("https://edmondsonsupply.com/collections/electricians-tools/products/klein-tools-42200-electricians-tool-apron-m-l", "https://edmondsonsupply.com/collections/electricians-tools/products/klein-tools-42200-electricians-tool-apron-m-l")</f>
        <v/>
      </c>
      <c r="B3655" s="2">
        <f>HYPERLINK("https://edmondsonsupply.com/products/klein-tools-42200-electricians-tool-apron-m-l", "https://edmondsonsupply.com/products/klein-tools-42200-electricians-tool-apron-m-l")</f>
        <v/>
      </c>
      <c r="C3655" t="inlineStr">
        <is>
          <t>Klein Tools 42200 Electrician's Tool Apron M/L</t>
        </is>
      </c>
      <c r="D3655" t="inlineStr">
        <is>
          <t>Klein Tools 5709L Electrician's Padded Tool Belt/Pouch Combo, 11-Pocket, 4-Piece, L</t>
        </is>
      </c>
      <c r="E3655" s="2">
        <f>HYPERLINK("https://www.amazon.com/Klein-Tools-5709L-PowerLine-4-Piece/dp/B0002RI6VQ/ref=sr_1_13?keywords=Klein+Tools+42200+Electrician%27s+Tool+Apron+M%2FL&amp;qid=1694735356&amp;sr=8-13", "https://www.amazon.com/Klein-Tools-5709L-PowerLine-4-Piece/dp/B0002RI6VQ/ref=sr_1_13?keywords=Klein+Tools+42200+Electrician%27s+Tool+Apron+M%2FL&amp;qid=1694735356&amp;sr=8-13")</f>
        <v/>
      </c>
      <c r="F3655" t="inlineStr">
        <is>
          <t>B0002RI6VQ</t>
        </is>
      </c>
      <c r="G3655">
        <f>_xlfn.IMAGE("https://edmondsonsupply.com/cdn/shop/products/42200.jpg?v=1587143574")</f>
        <v/>
      </c>
      <c r="H3655">
        <f>_xlfn.IMAGE("https://m.media-amazon.com/images/I/51hVNDNEVDL._AC_UL320_.jpg")</f>
        <v/>
      </c>
      <c r="K3655" t="inlineStr">
        <is>
          <t>31.99</t>
        </is>
      </c>
      <c r="L3655" t="n">
        <v>126.99</v>
      </c>
      <c r="M3655" s="1" t="inlineStr">
        <is>
          <t>296.97%</t>
        </is>
      </c>
      <c r="N3655" s="7" t="n">
        <v>36.38</v>
      </c>
      <c r="O3655" t="n">
        <v>4.8</v>
      </c>
      <c r="P3655" t="n">
        <v>6</v>
      </c>
      <c r="R3655" t="inlineStr">
        <is>
          <t>InStock</t>
        </is>
      </c>
      <c r="S3655" t="inlineStr">
        <is>
          <t>48.48</t>
        </is>
      </c>
      <c r="T3655" t="inlineStr">
        <is>
          <t>4432204890212</t>
        </is>
      </c>
    </row>
    <row r="3656" ht="87" customHeight="1">
      <c r="A3656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3656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3656" t="inlineStr">
        <is>
          <t>Klein Tools 32308 8-in-1 Multi-Bit Adjustable Length Stubby Screwdriver</t>
        </is>
      </c>
      <c r="D3656" t="inlineStr">
        <is>
          <t>Klein Tools 32288 Insulated Screwdriver, 8-in-1 Screwdriver Set &amp; 32308 Multi-bit Stubby Screwdriver, Impact Rated 8-in-1 Adjustable Magnetic Tool with Phillips, Slotted, Square and Nut Driver</t>
        </is>
      </c>
      <c r="E3656" s="2">
        <f>HYPERLINK("https://www.amazon.com/Klein-Tools-Insulated-Screwdriver-Adjustable/dp/B09Y7XVMRK/ref=sr_1_17?keywords=Klein+Tools+32308+8-in-1+Multi-Bit+Adjustable+Length+Stubby+Screwdriver&amp;qid=1694735167&amp;sr=8-17", "https://www.amazon.com/Klein-Tools-Insulated-Screwdriver-Adjustable/dp/B09Y7XVMRK/ref=sr_1_17?keywords=Klein+Tools+32308+8-in-1+Multi-Bit+Adjustable+Length+Stubby+Screwdriver&amp;qid=1694735167&amp;sr=8-17")</f>
        <v/>
      </c>
      <c r="F3656" t="inlineStr">
        <is>
          <t>B09Y7XVMRK</t>
        </is>
      </c>
      <c r="G3656">
        <f>_xlfn.IMAGE("https://edmondsonsupply.com/cdn/shop/products/32308_b.jpg?v=1647348209")</f>
        <v/>
      </c>
      <c r="H3656">
        <f>_xlfn.IMAGE("https://m.media-amazon.com/images/I/51vjWT86y0L._AC_UL320_.jpg")</f>
        <v/>
      </c>
      <c r="K3656" t="inlineStr">
        <is>
          <t>16.97</t>
        </is>
      </c>
      <c r="L3656" t="n">
        <v>66.95999999999999</v>
      </c>
      <c r="M3656" s="1" t="inlineStr">
        <is>
          <t>294.58%</t>
        </is>
      </c>
      <c r="N3656" s="7" t="n">
        <v>36.26</v>
      </c>
      <c r="O3656" t="n">
        <v>4.7</v>
      </c>
      <c r="P3656" t="n">
        <v>7</v>
      </c>
      <c r="R3656" t="inlineStr">
        <is>
          <t>InStock</t>
        </is>
      </c>
      <c r="S3656" t="inlineStr">
        <is>
          <t>23.78</t>
        </is>
      </c>
      <c r="T3656" t="inlineStr">
        <is>
          <t>7637271445720</t>
        </is>
      </c>
    </row>
    <row r="3657" ht="87" customHeight="1">
      <c r="A3657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3657" s="2">
        <f>HYPERLINK("https://edmondsonsupply.com/products/klein-tools-66074-flip-impact-socket-3-4-and-13-16-inch", "https://edmondsonsupply.com/products/klein-tools-66074-flip-impact-socket-3-4-and-13-16-inch")</f>
        <v/>
      </c>
      <c r="C3657" t="inlineStr">
        <is>
          <t>Klein Tools 66074 Flip Impact Socket, 3/4 and 13/16-Inch</t>
        </is>
      </c>
      <c r="D3657" t="inlineStr">
        <is>
          <t>Klein Tools 66031 3-in-1 Slotted Impact Socket, 12-Point Deep Sockets, Coaxial Spring Loaded, 3/4 and 9/16-Inch Hex Sizes, 1/2-Inch Drive</t>
        </is>
      </c>
      <c r="E3657" s="2">
        <f>HYPERLINK("https://www.amazon.com/Klein-Tools-66031-Slotted-12-Point/dp/B08R6FL5P8/ref=sr_1_5?keywords=Klein+Tools+66074+Flip+Impact+Socket%2C+3%2F4+and+13%2F16-Inch&amp;qid=1694735130&amp;sr=8-5", "https://www.amazon.com/Klein-Tools-66031-Slotted-12-Point/dp/B08R6FL5P8/ref=sr_1_5?keywords=Klein+Tools+66074+Flip+Impact+Socket%2C+3%2F4+and+13%2F16-Inch&amp;qid=1694735130&amp;sr=8-5")</f>
        <v/>
      </c>
      <c r="F3657" t="inlineStr">
        <is>
          <t>B08R6FL5P8</t>
        </is>
      </c>
      <c r="G3657">
        <f>_xlfn.IMAGE("https://edmondsonsupply.com/cdn/shop/products/66074.jpg?v=1663249251")</f>
        <v/>
      </c>
      <c r="H3657">
        <f>_xlfn.IMAGE("https://m.media-amazon.com/images/I/51mIf57QKuL._AC_UL320_.jpg")</f>
        <v/>
      </c>
      <c r="K3657" t="inlineStr">
        <is>
          <t>12.71</t>
        </is>
      </c>
      <c r="L3657" t="n">
        <v>49.99</v>
      </c>
      <c r="M3657" s="1" t="inlineStr">
        <is>
          <t>293.31%</t>
        </is>
      </c>
      <c r="N3657" s="7" t="n">
        <v>36.1</v>
      </c>
      <c r="O3657" t="n">
        <v>4.8</v>
      </c>
      <c r="P3657" t="n">
        <v>661</v>
      </c>
      <c r="R3657" t="inlineStr">
        <is>
          <t>InStock</t>
        </is>
      </c>
      <c r="S3657" t="inlineStr">
        <is>
          <t>17.8</t>
        </is>
      </c>
      <c r="T3657" t="inlineStr">
        <is>
          <t>7817341534424</t>
        </is>
      </c>
    </row>
    <row r="3658" ht="87" customHeight="1">
      <c r="A3658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658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658" t="inlineStr">
        <is>
          <t>Diablo Tools DMARG1030 3/16 in. x 4 in. x 6 in. SPEEDemon™ Red Granite Carbide Tipped Hammer Drill Bit</t>
        </is>
      </c>
      <c r="D3658" t="inlineStr">
        <is>
          <t>Diablo 3/4" x 4" x 6" SPEEDemon™ Red Granite Carbide Tipped Hammer Drill Bit</t>
        </is>
      </c>
      <c r="E3658" s="2">
        <f>HYPERLINK("https://www.amazon.com/Diablo-DMARG1190-SPEEDemon-Granite-Carbide/dp/B089KWDFSV/ref=sr_1_9?keywords=Diablo+Tools+DMARG1030+3%2F16+in.+x+4+in.+x+6+in.+SPEEDemon%E2%84%A2+Red+Granite+Carbide+Tipped+Hammer+Drill+Bit&amp;qid=1694735280&amp;sr=8-9", "https://www.amazon.com/Diablo-DMARG1190-SPEEDemon-Granite-Carbide/dp/B089KWDFSV/ref=sr_1_9?keywords=Diablo+Tools+DMARG1030+3%2F16+in.+x+4+in.+x+6+in.+SPEEDemon%E2%84%A2+Red+Granite+Carbide+Tipped+Hammer+Drill+Bit&amp;qid=1694735280&amp;sr=8-9")</f>
        <v/>
      </c>
      <c r="F3658" t="inlineStr">
        <is>
          <t>B089KWDFSV</t>
        </is>
      </c>
      <c r="G3658">
        <f>_xlfn.IMAGE("https://edmondsonsupply.com/cdn/shop/products/DMARG1030_Main-Image20200407.png?v=1633030509")</f>
        <v/>
      </c>
      <c r="H3658">
        <f>_xlfn.IMAGE("https://m.media-amazon.com/images/I/614DQf6-m2L._AC_UL320_.jpg")</f>
        <v/>
      </c>
      <c r="K3658" t="inlineStr">
        <is>
          <t>4.47</t>
        </is>
      </c>
      <c r="L3658" t="n">
        <v>17.49</v>
      </c>
      <c r="M3658" s="1" t="inlineStr">
        <is>
          <t>291.28%</t>
        </is>
      </c>
      <c r="N3658" s="7" t="n">
        <v>36</v>
      </c>
      <c r="O3658" t="n">
        <v>4.5</v>
      </c>
      <c r="P3658" t="n">
        <v>17</v>
      </c>
      <c r="R3658" t="inlineStr">
        <is>
          <t>InStock</t>
        </is>
      </c>
      <c r="S3658" t="inlineStr">
        <is>
          <t>undefined</t>
        </is>
      </c>
      <c r="T3658" t="inlineStr">
        <is>
          <t>5386199629992</t>
        </is>
      </c>
    </row>
    <row r="3659" ht="87" customHeight="1">
      <c r="A3659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3659" s="2">
        <f>HYPERLINK("https://edmondsonsupply.com/products/klein-tools-31932-bi-metal-hole-saw-2-inch", "https://edmondsonsupply.com/products/klein-tools-31932-bi-metal-hole-saw-2-inch")</f>
        <v/>
      </c>
      <c r="C3659" t="inlineStr">
        <is>
          <t>Klein Tools 31932 Bi-Metal Hole Saw, 2-Inch</t>
        </is>
      </c>
      <c r="D3659" t="inlineStr">
        <is>
          <t>Klein Tools 31900 Bi-Metal Hole Saw, 6-3/8-Inch, For Drywall-Ceiling Tile-Steel-Wood-Plastic, Stainless Steel, Recessed Lighting</t>
        </is>
      </c>
      <c r="E3659" s="2">
        <f>HYPERLINK("https://www.amazon.com/Bi-Metal-8-Inch-Klein-Tools-31900/dp/B0171X0FXU/ref=sr_1_6?keywords=Klein+Tools+31932+Bi-Metal+Hole+Saw%2C+2-Inch&amp;qid=1694735227&amp;sr=8-6", "https://www.amazon.com/Bi-Metal-8-Inch-Klein-Tools-31900/dp/B0171X0FXU/ref=sr_1_6?keywords=Klein+Tools+31932+Bi-Metal+Hole+Saw%2C+2-Inch&amp;qid=1694735227&amp;sr=8-6")</f>
        <v/>
      </c>
      <c r="F3659" t="inlineStr">
        <is>
          <t>B0171X0FXU</t>
        </is>
      </c>
      <c r="G3659">
        <f>_xlfn.IMAGE("https://edmondsonsupply.com/cdn/shop/products/31932.jpg?v=1633030939")</f>
        <v/>
      </c>
      <c r="H3659">
        <f>_xlfn.IMAGE("https://m.media-amazon.com/images/I/51mfU+Jrr7L._AC_UL320_.jpg")</f>
        <v/>
      </c>
      <c r="K3659" t="inlineStr">
        <is>
          <t>10.99</t>
        </is>
      </c>
      <c r="L3659" t="n">
        <v>42.99</v>
      </c>
      <c r="M3659" s="1" t="inlineStr">
        <is>
          <t>291.17%</t>
        </is>
      </c>
      <c r="N3659" s="7" t="n">
        <v>35.97</v>
      </c>
      <c r="O3659" t="n">
        <v>4.5</v>
      </c>
      <c r="P3659" t="n">
        <v>211</v>
      </c>
      <c r="R3659" t="inlineStr">
        <is>
          <t>InStock</t>
        </is>
      </c>
      <c r="S3659" t="inlineStr">
        <is>
          <t>15.42</t>
        </is>
      </c>
      <c r="T3659" t="inlineStr">
        <is>
          <t>6572814434477</t>
        </is>
      </c>
    </row>
    <row r="3660" ht="87" customHeight="1">
      <c r="A3660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660" s="2">
        <f>HYPERLINK("https://edmondsonsupply.com/products/klein-tools-et45-ac-dc-voltage-tester", "https://edmondsonsupply.com/products/klein-tools-et45-ac-dc-voltage-tester")</f>
        <v/>
      </c>
      <c r="C3660" t="inlineStr">
        <is>
          <t>Klein Tools ET45 AC/DC Voltage Tester</t>
        </is>
      </c>
      <c r="D3660" t="inlineStr">
        <is>
          <t>Klein Tools MM450 Multimeter, Slim Digital Meter, Auto-Ranging TRMS, 600V AC/DC Voltage, Current, Resistance, Temp, Frequency, Continuity, Orange</t>
        </is>
      </c>
      <c r="E3660" s="2">
        <f>HYPERLINK("https://www.amazon.com/Multimeter-Auto-Ranging-Resistance-Klein-Tools/dp/B0B6WW5ZX8/ref=sr_1_19?keywords=Klein+Tools+ET45+AC%2FDC+Voltage+Tester&amp;qid=1694735227&amp;sr=8-19", "https://www.amazon.com/Multimeter-Auto-Ranging-Resistance-Klein-Tools/dp/B0B6WW5ZX8/ref=sr_1_19?keywords=Klein+Tools+ET45+AC%2FDC+Voltage+Tester&amp;qid=1694735227&amp;sr=8-19")</f>
        <v/>
      </c>
      <c r="F3660" t="inlineStr">
        <is>
          <t>B0B6WW5ZX8</t>
        </is>
      </c>
      <c r="G3660">
        <f>_xlfn.IMAGE("https://edmondsonsupply.com/cdn/shop/products/et45.jpg?v=1647786270")</f>
        <v/>
      </c>
      <c r="H3660">
        <f>_xlfn.IMAGE("https://m.media-amazon.com/images/I/61CnpDxHyHL._AC_UL320_.jpg")</f>
        <v/>
      </c>
      <c r="K3660" t="inlineStr">
        <is>
          <t>11.99</t>
        </is>
      </c>
      <c r="L3660" t="n">
        <v>46.9</v>
      </c>
      <c r="M3660" s="1" t="inlineStr">
        <is>
          <t>291.16%</t>
        </is>
      </c>
      <c r="N3660" s="7" t="n">
        <v>35.96</v>
      </c>
      <c r="O3660" t="n">
        <v>4.7</v>
      </c>
      <c r="P3660" t="n">
        <v>3806</v>
      </c>
      <c r="R3660" t="inlineStr">
        <is>
          <t>InStock</t>
        </is>
      </c>
      <c r="S3660" t="inlineStr">
        <is>
          <t>16.72</t>
        </is>
      </c>
      <c r="T3660" t="inlineStr">
        <is>
          <t>3688633630820</t>
        </is>
      </c>
    </row>
    <row r="3661" ht="87" customHeight="1">
      <c r="A3661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3661" s="2">
        <f>HYPERLINK("https://edmondsonsupply.com/products/klein-tools-635-1-2-1-2-inch-heavy-duty-nut-driver", "https://edmondsonsupply.com/products/klein-tools-635-1-2-1-2-inch-heavy-duty-nut-driver")</f>
        <v/>
      </c>
      <c r="C3661" t="inlineStr">
        <is>
          <t>Klein Tools 635-1/2 1/2-Inch Heavy-Duty Nut Driver</t>
        </is>
      </c>
      <c r="D3661" t="inlineStr">
        <is>
          <t>Klein Tools 647 Tool Set, Nut Drivers Sizes 3/16, 1/4, 5/16, 11/32, 3/8, 7/16, 1/2-Inch, Chrome-Plated 6-Inch Shafts, Cushion Grip, 7-Piece</t>
        </is>
      </c>
      <c r="E3661" s="2">
        <f>HYPERLINK("https://www.amazon.com/Driver-6-Inch-Klein-Tools-647/dp/B0014KRVXO/ref=sr_1_2?keywords=Klein+Tools+635-1%2F2+1%2F2-Inch+Heavy-Duty+Nut+Driver&amp;qid=1694735353&amp;sr=8-2", "https://www.amazon.com/Driver-6-Inch-Klein-Tools-647/dp/B0014KRVXO/ref=sr_1_2?keywords=Klein+Tools+635-1%2F2+1%2F2-Inch+Heavy-Duty+Nut+Driver&amp;qid=1694735353&amp;sr=8-2")</f>
        <v/>
      </c>
      <c r="F3661" t="inlineStr">
        <is>
          <t>B0014KRVXO</t>
        </is>
      </c>
      <c r="G3661">
        <f>_xlfn.IMAGE("https://edmondsonsupply.com/cdn/shop/products/635-1-2.jpg?v=1587147726")</f>
        <v/>
      </c>
      <c r="H3661">
        <f>_xlfn.IMAGE("https://m.media-amazon.com/images/I/51usUk-EpGL._AC_UL320_.jpg")</f>
        <v/>
      </c>
      <c r="K3661" t="inlineStr">
        <is>
          <t>14.99</t>
        </is>
      </c>
      <c r="L3661" t="n">
        <v>57.99</v>
      </c>
      <c r="M3661" s="1" t="inlineStr">
        <is>
          <t>286.86%</t>
        </is>
      </c>
      <c r="N3661" s="7" t="n">
        <v>35.89</v>
      </c>
      <c r="O3661" t="n">
        <v>4.8</v>
      </c>
      <c r="P3661" t="n">
        <v>734</v>
      </c>
      <c r="R3661" t="inlineStr">
        <is>
          <t>InStock</t>
        </is>
      </c>
      <c r="S3661" t="inlineStr">
        <is>
          <t>22.78</t>
        </is>
      </c>
      <c r="T3661" t="inlineStr">
        <is>
          <t>4473296945252</t>
        </is>
      </c>
    </row>
    <row r="3662" ht="87" customHeight="1">
      <c r="A3662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662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662" t="inlineStr">
        <is>
          <t>Diablo Tools DMAPL4110 5/16 in. x 4 in. x 6 in. Rebar Demon™ SDS‑Plus 4‑Cutter Full Carbide Head Hammer Bit</t>
        </is>
      </c>
      <c r="D3662" t="inlineStr">
        <is>
          <t>Diablo by Freud DMAPL4200 1/2 in. x 16 in. x 18 in. Rebar Demon SDS-Plus 4-Cutter Full Carbide Head Hammer Bit</t>
        </is>
      </c>
      <c r="E3662" s="2">
        <f>HYPERLINK("https://www.amazon.com/Diablo-Freud-DMAPL4200-SDS-Plus-4-Cutter/dp/B089KW2QV1/ref=sr_1_22?keywords=Diablo+Tools+DMAPL4110+5%2F16+in.+x+4+in.+x+6+in.+Rebar+Demon%E2%84%A2+SDS%E2%80%91Plus+4%E2%80%91Cutter+Full+Carbide+Head+Hammer+Bit&amp;qid=1694735288&amp;sr=8-22", "https://www.amazon.com/Diablo-Freud-DMAPL4200-SDS-Plus-4-Cutter/dp/B089KW2QV1/ref=sr_1_22?keywords=Diablo+Tools+DMAPL4110+5%2F16+in.+x+4+in.+x+6+in.+Rebar+Demon%E2%84%A2+SDS%E2%80%91Plus+4%E2%80%91Cutter+Full+Carbide+Head+Hammer+Bit&amp;qid=1694735288&amp;sr=8-22")</f>
        <v/>
      </c>
      <c r="F3662" t="inlineStr">
        <is>
          <t>B089KW2QV1</t>
        </is>
      </c>
      <c r="G3662">
        <f>_xlfn.IMAGE("https://edmondsonsupply.com/cdn/shop/products/DMAPL4110_Main-Image20200701.png?v=1633030426")</f>
        <v/>
      </c>
      <c r="H3662">
        <f>_xlfn.IMAGE("https://m.media-amazon.com/images/I/61rW+ROVmNL._AC_UL320_.jpg")</f>
        <v/>
      </c>
      <c r="K3662" t="inlineStr">
        <is>
          <t>5.97</t>
        </is>
      </c>
      <c r="L3662" t="n">
        <v>23</v>
      </c>
      <c r="M3662" s="1" t="inlineStr">
        <is>
          <t>285.26%</t>
        </is>
      </c>
      <c r="N3662" s="7" t="n">
        <v>35.61</v>
      </c>
      <c r="O3662" t="n">
        <v>4.7</v>
      </c>
      <c r="P3662" t="n">
        <v>18</v>
      </c>
      <c r="R3662" t="inlineStr">
        <is>
          <t>InStock</t>
        </is>
      </c>
      <c r="S3662" t="inlineStr">
        <is>
          <t>8.44</t>
        </is>
      </c>
      <c r="T3662" t="inlineStr">
        <is>
          <t>5326873100456</t>
        </is>
      </c>
    </row>
    <row r="3663" ht="87" customHeight="1">
      <c r="A3663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3663" s="2">
        <f>HYPERLINK("https://edmondsonsupply.com/products/klein-tools-635-3-8-3-8-inch-heavy-duty-nut-driver", "https://edmondsonsupply.com/products/klein-tools-635-3-8-3-8-inch-heavy-duty-nut-driver")</f>
        <v/>
      </c>
      <c r="C3663" t="inlineStr">
        <is>
          <t>Klein Tools 635-3/8 3/8-Inch Heavy-Duty Nut Driver</t>
        </is>
      </c>
      <c r="D3663" t="inlineStr">
        <is>
          <t>Klein Tools 65160 Tool Set, Metric Nut Driver Set Sizes 5, 5.5, 6, 7, 8, 9, and 10 mm, 3-Inch Chrome-Plate Hollow Shafts, 7-Piece</t>
        </is>
      </c>
      <c r="E3663" s="2">
        <f>HYPERLINK("https://www.amazon.com/Driver-Metric-3-Inch-7-Piece-Klein/dp/B0009ORXQQ/ref=sr_1_5?keywords=Klein+Tools+635-3%2F8+3%2F8-Inch+Heavy-Duty+Nut+Driver&amp;qid=1694735241&amp;sr=8-5", "https://www.amazon.com/Driver-Metric-3-Inch-7-Piece-Klein/dp/B0009ORXQQ/ref=sr_1_5?keywords=Klein+Tools+635-3%2F8+3%2F8-Inch+Heavy-Duty+Nut+Driver&amp;qid=1694735241&amp;sr=8-5")</f>
        <v/>
      </c>
      <c r="F3663" t="inlineStr">
        <is>
          <t>B0009ORXQQ</t>
        </is>
      </c>
      <c r="G3663">
        <f>_xlfn.IMAGE("https://edmondsonsupply.com/cdn/shop/products/635-3-8.jpg?v=1633030895")</f>
        <v/>
      </c>
      <c r="H3663">
        <f>_xlfn.IMAGE("https://m.media-amazon.com/images/I/61CnDJJyViL._AC_UL320_.jpg")</f>
        <v/>
      </c>
      <c r="K3663" t="inlineStr">
        <is>
          <t>12.99</t>
        </is>
      </c>
      <c r="L3663" t="n">
        <v>49.99</v>
      </c>
      <c r="M3663" s="1" t="inlineStr">
        <is>
          <t>284.83%</t>
        </is>
      </c>
      <c r="N3663" s="7" t="n">
        <v>35.53</v>
      </c>
      <c r="O3663" t="n">
        <v>4.8</v>
      </c>
      <c r="P3663" t="n">
        <v>588</v>
      </c>
      <c r="R3663" t="inlineStr">
        <is>
          <t>InStock</t>
        </is>
      </c>
      <c r="S3663" t="inlineStr">
        <is>
          <t>19.68</t>
        </is>
      </c>
      <c r="T3663" t="inlineStr">
        <is>
          <t>6228534952109</t>
        </is>
      </c>
    </row>
    <row r="3664" ht="87" customHeight="1">
      <c r="A3664" s="2">
        <f>HYPERLINK("https://edmondsonsupply.com/collections/electricians-tools/products/veto-pro-pac-tp4-tool-pouch", "https://edmondsonsupply.com/collections/electricians-tools/products/veto-pro-pac-tp4-tool-pouch")</f>
        <v/>
      </c>
      <c r="B3664" s="2">
        <f>HYPERLINK("https://edmondsonsupply.com/products/veto-pro-pac-tp4-tool-pouch", "https://edmondsonsupply.com/products/veto-pro-pac-tp4-tool-pouch")</f>
        <v/>
      </c>
      <c r="C3664" t="inlineStr">
        <is>
          <t>Veto Pro Pac TP3 Tool Bag</t>
        </is>
      </c>
      <c r="D3664" t="inlineStr">
        <is>
          <t>Veto Pro Pac OT-LC Tool Bag</t>
        </is>
      </c>
      <c r="E3664" s="2">
        <f>HYPERLINK("https://www.amazon.com/VETO-PRO-PAC-OT-LC-Tool/dp/B000VKSAQA/ref=sr_1_24?keywords=Veto+Pro+Pac+TP3+Tool+Bag&amp;qid=1694735180&amp;sr=8-24", "https://www.amazon.com/VETO-PRO-PAC-OT-LC-Tool/dp/B000VKSAQA/ref=sr_1_24?keywords=Veto+Pro+Pac+TP3+Tool+Bag&amp;qid=1694735180&amp;sr=8-24")</f>
        <v/>
      </c>
      <c r="F3664" t="inlineStr">
        <is>
          <t>B000VKSAQA</t>
        </is>
      </c>
      <c r="G3664">
        <f>_xlfn.IMAGE("https://edmondsonsupply.com/cdn/shop/products/TP3_1.jpg?v=1587144391")</f>
        <v/>
      </c>
      <c r="H3664">
        <f>_xlfn.IMAGE("https://m.media-amazon.com/images/I/61sY9UF2i5L._AC_UL320_.jpg")</f>
        <v/>
      </c>
      <c r="K3664" t="inlineStr">
        <is>
          <t>59.99</t>
        </is>
      </c>
      <c r="L3664" t="n">
        <v>229.95</v>
      </c>
      <c r="M3664" s="1" t="inlineStr">
        <is>
          <t>283.31%</t>
        </is>
      </c>
      <c r="N3664" s="7" t="n">
        <v>35.35</v>
      </c>
      <c r="O3664" t="n">
        <v>4.7</v>
      </c>
      <c r="P3664" t="n">
        <v>162</v>
      </c>
      <c r="R3664" t="inlineStr">
        <is>
          <t>InStock</t>
        </is>
      </c>
      <c r="S3664" t="inlineStr">
        <is>
          <t>undefined</t>
        </is>
      </c>
      <c r="T3664" t="inlineStr">
        <is>
          <t>3561762816100</t>
        </is>
      </c>
    </row>
    <row r="3665" ht="87" customHeight="1">
      <c r="A3665" s="2">
        <f>HYPERLINK("https://edmondsonsupply.com/collections/electricians-tools/products/fluke-tplus-electrical-tester", "https://edmondsonsupply.com/collections/electricians-tools/products/fluke-tplus-electrical-tester")</f>
        <v/>
      </c>
      <c r="B3665" s="2">
        <f>HYPERLINK("https://edmondsonsupply.com/products/fluke-tplus-electrical-tester", "https://edmondsonsupply.com/products/fluke-tplus-electrical-tester")</f>
        <v/>
      </c>
      <c r="C3665" t="inlineStr">
        <is>
          <t>Fluke T+ Electrical Tester</t>
        </is>
      </c>
      <c r="D3665" t="inlineStr">
        <is>
          <t>Fluke T6-1000 Electrical Tester with TPAK, H-T6, AC285</t>
        </is>
      </c>
      <c r="E3665" s="2">
        <f>HYPERLINK("https://www.amazon.com/Fluke-T6-TPAK-HT6-AC-T6-1000-Tester-AC285/dp/B07D2FHR14/ref=sr_1_23?keywords=Fluke+T+Electrical+Tester&amp;qid=1694735309&amp;sr=8-23", "https://www.amazon.com/Fluke-T6-TPAK-HT6-AC-T6-1000-Tester-AC285/dp/B07D2FHR14/ref=sr_1_23?keywords=Fluke+T+Electrical+Tester&amp;qid=1694735309&amp;sr=8-23")</f>
        <v/>
      </c>
      <c r="F3665" t="inlineStr">
        <is>
          <t>B07D2FHR14</t>
        </is>
      </c>
      <c r="G3665">
        <f>_xlfn.IMAGE("https://edmondsonsupply.com/cdn/shop/products/tplus.jpg?v=1633030280")</f>
        <v/>
      </c>
      <c r="H3665">
        <f>_xlfn.IMAGE("https://m.media-amazon.com/images/I/41db-uPydSL._AC_UL320_.jpg")</f>
        <v/>
      </c>
      <c r="K3665" t="inlineStr">
        <is>
          <t>94.49</t>
        </is>
      </c>
      <c r="L3665" t="n">
        <v>360.52</v>
      </c>
      <c r="M3665" s="1" t="inlineStr">
        <is>
          <t>281.54%</t>
        </is>
      </c>
      <c r="N3665" s="7" t="n">
        <v>35.24</v>
      </c>
      <c r="O3665" t="n">
        <v>4.1</v>
      </c>
      <c r="P3665" t="n">
        <v>21</v>
      </c>
      <c r="R3665" t="inlineStr">
        <is>
          <t>InStock</t>
        </is>
      </c>
      <c r="S3665" t="inlineStr">
        <is>
          <t>104.99</t>
        </is>
      </c>
      <c r="T3665" t="inlineStr">
        <is>
          <t>5238397337768</t>
        </is>
      </c>
    </row>
    <row r="3666" ht="87" customHeight="1">
      <c r="A3666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3666" s="2">
        <f>HYPERLINK("https://edmondsonsupply.com/products/klein-tools-32900-7-in-1-impact-flip-socket-with-handle", "https://edmondsonsupply.com/products/klein-tools-32900-7-in-1-impact-flip-socket-with-handle")</f>
        <v/>
      </c>
      <c r="C3666" t="inlineStr">
        <is>
          <t>Klein Tools 32900 7-in-1 Impact Flip Socket with Handle</t>
        </is>
      </c>
      <c r="D3666" t="inlineStr">
        <is>
          <t>KNIPEX Tools - 2 Piece Mini Pliers Wrench Set (9K0080121US) &amp; Klein Tools 32900 Impact Driver, 7-in-1 Impact Flip Socket Set with Handle, 6 Hex Driver Sizes plus a 1/4-Inch Bit Holder</t>
        </is>
      </c>
      <c r="E3666" s="2">
        <f>HYPERLINK("https://www.amazon.com/KNIPEX-Tools-9K0080121US-7-1/dp/B0CB142X56/ref=sr_1_3?keywords=Klein+Tools+32900+7-in-1+Impact+Flip+Socket+with+Handle&amp;qid=1694735103&amp;sr=8-3", "https://www.amazon.com/KNIPEX-Tools-9K0080121US-7-1/dp/B0CB142X56/ref=sr_1_3?keywords=Klein+Tools+32900+7-in-1+Impact+Flip+Socket+with+Handle&amp;qid=1694735103&amp;sr=8-3")</f>
        <v/>
      </c>
      <c r="F3666" t="inlineStr">
        <is>
          <t>B0CB142X56</t>
        </is>
      </c>
      <c r="G3666">
        <f>_xlfn.IMAGE("https://edmondsonsupply.com/cdn/shop/products/32900_b.jpg?v=1666024787")</f>
        <v/>
      </c>
      <c r="H3666">
        <f>_xlfn.IMAGE("https://m.media-amazon.com/images/I/51f4IxPp8rL._AC_UL320_.jpg")</f>
        <v/>
      </c>
      <c r="K3666" t="inlineStr">
        <is>
          <t>29.97</t>
        </is>
      </c>
      <c r="L3666" t="n">
        <v>114.03</v>
      </c>
      <c r="M3666" s="1" t="inlineStr">
        <is>
          <t>280.48%</t>
        </is>
      </c>
      <c r="N3666" s="7" t="n">
        <v>35.08</v>
      </c>
      <c r="O3666" t="n">
        <v>4.8</v>
      </c>
      <c r="P3666" t="n">
        <v>1146</v>
      </c>
      <c r="R3666" t="inlineStr">
        <is>
          <t>InStock</t>
        </is>
      </c>
      <c r="S3666" t="inlineStr">
        <is>
          <t>45.0</t>
        </is>
      </c>
      <c r="T3666" t="inlineStr">
        <is>
          <t>7856651239640</t>
        </is>
      </c>
    </row>
    <row r="3667" ht="87" customHeight="1">
      <c r="A3667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3667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3667" t="inlineStr">
        <is>
          <t>Klein Tools NCVT1PKIT Non-Contact Voltage and GFCI Receptacle Test Kit</t>
        </is>
      </c>
      <c r="D3667" t="inlineStr">
        <is>
          <t>Klein Tools RT250KIT Non-Contact Voltage Tester and GFCI Receptacle Tester &amp; 80016 Circuit Breaker Finder Tool Kit with Accessories, 2-Piece Set, Includes Cat. No. ET310 and Cat. No. 69411</t>
        </is>
      </c>
      <c r="E3667" s="2">
        <f>HYPERLINK("https://www.amazon.com/Klein-Tools-Non-Contact-Receptacle-Accessories/dp/B0BC86DZ9N/ref=sr_1_10?keywords=Klein+Tools+NCVT1PKIT+Non-Contact+Voltage+and+GFCI+Receptacle+Test+Kit&amp;qid=1694735031&amp;sr=8-10", "https://www.amazon.com/Klein-Tools-Non-Contact-Receptacle-Accessories/dp/B0BC86DZ9N/ref=sr_1_10?keywords=Klein+Tools+NCVT1PKIT+Non-Contact+Voltage+and+GFCI+Receptacle+Test+Kit&amp;qid=1694735031&amp;sr=8-10")</f>
        <v/>
      </c>
      <c r="F3667" t="inlineStr">
        <is>
          <t>B0BC86DZ9N</t>
        </is>
      </c>
      <c r="G3667">
        <f>_xlfn.IMAGE("https://edmondsonsupply.com/cdn/shop/products/ncvt1pkit.jpg?v=1677682920")</f>
        <v/>
      </c>
      <c r="H3667">
        <f>_xlfn.IMAGE("https://m.media-amazon.com/images/I/516iLL0IaEL._AC_UL320_.jpg")</f>
        <v/>
      </c>
      <c r="K3667" t="inlineStr">
        <is>
          <t>24.97</t>
        </is>
      </c>
      <c r="L3667" t="n">
        <v>94.98</v>
      </c>
      <c r="M3667" s="1" t="inlineStr">
        <is>
          <t>280.38%</t>
        </is>
      </c>
      <c r="N3667" s="7" t="n">
        <v>35.05</v>
      </c>
      <c r="O3667" t="n">
        <v>4.7</v>
      </c>
      <c r="P3667" t="n">
        <v>32</v>
      </c>
      <c r="R3667" t="inlineStr">
        <is>
          <t>InStock</t>
        </is>
      </c>
      <c r="S3667" t="inlineStr">
        <is>
          <t>35.38</t>
        </is>
      </c>
      <c r="T3667" t="inlineStr">
        <is>
          <t>7953960698072</t>
        </is>
      </c>
    </row>
    <row r="3668" ht="87" customHeight="1">
      <c r="A3668" s="2">
        <f>HYPERLINK("https://edmondsonsupply.com/collections/electricians-tools/products/klein-tools-66073-flip-impact-socket-15-16-and-7-8-inch", "https://edmondsonsupply.com/collections/electricians-tools/products/klein-tools-66073-flip-impact-socket-15-16-and-7-8-inch")</f>
        <v/>
      </c>
      <c r="B3668" s="2">
        <f>HYPERLINK("https://edmondsonsupply.com/products/klein-tools-66073-flip-impact-socket-15-16-and-7-8-inch", "https://edmondsonsupply.com/products/klein-tools-66073-flip-impact-socket-15-16-and-7-8-inch")</f>
        <v/>
      </c>
      <c r="C3668" t="inlineStr">
        <is>
          <t>Klein Tools 66073 Flip Impact Socket, 15/16 and 7/8-Inch</t>
        </is>
      </c>
      <c r="D3668" t="inlineStr">
        <is>
          <t>Klein Tools 66066 2-in-1 Deep Impact Socket, 6-Point 1-1/8-Inch and 15/16-Inch hex socket sizes, Use with Impact Wrenches BAT20-CW, BAT20-CW</t>
        </is>
      </c>
      <c r="E3668" s="2">
        <f>HYPERLINK("https://www.amazon.com/Klein-Tools-66066-Wrenches-BAT20-CW/dp/B09NDQWZXD/ref=sr_1_14?keywords=Klein+Tools+66073+Flip+Impact+Socket%2C+15%2F16+and+7%2F8-Inch&amp;qid=1694735125&amp;sr=8-14", "https://www.amazon.com/Klein-Tools-66066-Wrenches-BAT20-CW/dp/B09NDQWZXD/ref=sr_1_14?keywords=Klein+Tools+66073+Flip+Impact+Socket%2C+15%2F16+and+7%2F8-Inch&amp;qid=1694735125&amp;sr=8-14")</f>
        <v/>
      </c>
      <c r="F3668" t="inlineStr">
        <is>
          <t>B09NDQWZXD</t>
        </is>
      </c>
      <c r="G3668">
        <f>_xlfn.IMAGE("https://edmondsonsupply.com/cdn/shop/products/66073.jpg?v=1663250093")</f>
        <v/>
      </c>
      <c r="H3668">
        <f>_xlfn.IMAGE("https://m.media-amazon.com/images/I/81aGC8UQvnL._AC_UL320_.jpg")</f>
        <v/>
      </c>
      <c r="K3668" t="inlineStr">
        <is>
          <t>15.0</t>
        </is>
      </c>
      <c r="L3668" t="n">
        <v>56.98</v>
      </c>
      <c r="M3668" s="1" t="inlineStr">
        <is>
          <t>279.87%</t>
        </is>
      </c>
      <c r="N3668" s="7" t="n">
        <v>34.77</v>
      </c>
      <c r="O3668" t="n">
        <v>4.7</v>
      </c>
      <c r="P3668" t="n">
        <v>4</v>
      </c>
      <c r="R3668" t="inlineStr">
        <is>
          <t>InStock</t>
        </is>
      </c>
      <c r="S3668" t="inlineStr">
        <is>
          <t>21.0</t>
        </is>
      </c>
      <c r="T3668" t="inlineStr">
        <is>
          <t>7817375547608</t>
        </is>
      </c>
    </row>
    <row r="3669" ht="87" customHeight="1">
      <c r="A3669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669" s="2">
        <f>HYPERLINK("https://edmondsonsupply.com/products/klein-tools-et45-ac-dc-voltage-tester", "https://edmondsonsupply.com/products/klein-tools-et45-ac-dc-voltage-tester")</f>
        <v/>
      </c>
      <c r="C3669" t="inlineStr">
        <is>
          <t>Klein Tools ET45 AC/DC Voltage Tester</t>
        </is>
      </c>
      <c r="D3669" t="inlineStr">
        <is>
          <t>Klein Tools 69355 Digital Multimeter Premium Electrical Test Kit with Non-Contact Voltage Tester, Receptacle Tester, Test Leads</t>
        </is>
      </c>
      <c r="E3669" s="2">
        <f>HYPERLINK("https://www.amazon.com/Klein-Tools-69355-Electrical-Test/dp/B09SVQQFZX/ref=sr_1_39?keywords=Klein+Tools+ET45+AC%2FDC+Voltage+Tester&amp;qid=1694735227&amp;sr=8-39", "https://www.amazon.com/Klein-Tools-69355-Electrical-Test/dp/B09SVQQFZX/ref=sr_1_39?keywords=Klein+Tools+ET45+AC%2FDC+Voltage+Tester&amp;qid=1694735227&amp;sr=8-39")</f>
        <v/>
      </c>
      <c r="F3669" t="inlineStr">
        <is>
          <t>B09SVQQFZX</t>
        </is>
      </c>
      <c r="G3669">
        <f>_xlfn.IMAGE("https://edmondsonsupply.com/cdn/shop/products/et45.jpg?v=1647786270")</f>
        <v/>
      </c>
      <c r="H3669">
        <f>_xlfn.IMAGE("https://m.media-amazon.com/images/I/51heXSegywL._AC_UL320_.jpg")</f>
        <v/>
      </c>
      <c r="K3669" t="inlineStr">
        <is>
          <t>11.99</t>
        </is>
      </c>
      <c r="L3669" t="n">
        <v>45.5</v>
      </c>
      <c r="M3669" s="1" t="inlineStr">
        <is>
          <t>279.48%</t>
        </is>
      </c>
      <c r="N3669" s="7" t="n">
        <v>34.77</v>
      </c>
      <c r="O3669" t="n">
        <v>4.7</v>
      </c>
      <c r="P3669" t="n">
        <v>403</v>
      </c>
      <c r="R3669" t="inlineStr">
        <is>
          <t>InStock</t>
        </is>
      </c>
      <c r="S3669" t="inlineStr">
        <is>
          <t>16.72</t>
        </is>
      </c>
      <c r="T3669" t="inlineStr">
        <is>
          <t>3688633630820</t>
        </is>
      </c>
    </row>
    <row r="3670" ht="87" customHeight="1">
      <c r="A3670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3670" s="2">
        <f>HYPERLINK("https://edmondsonsupply.com/products/klein-tools-cl110-digital-clamp-meter-ac-auto-ranging-400-amp", "https://edmondsonsupply.com/products/klein-tools-cl110-digital-clamp-meter-ac-auto-ranging-400-amp")</f>
        <v/>
      </c>
      <c r="C3670" t="inlineStr">
        <is>
          <t>Klein Tools CL120 Digital Clamp Meter, AC Auto-Ranging 400 Amp</t>
        </is>
      </c>
      <c r="D3670" t="inlineStr">
        <is>
          <t>Klein Tools HVNCVT-1 Dual-Range Non-Contact High-Voltage Tester, Dual-Range &amp; CL120 Digital Clamp Meter, Auto-Ranging 400 Amp AC, AC/DC Voltage, Resistance</t>
        </is>
      </c>
      <c r="E3670" s="2">
        <f>HYPERLINK("https://www.amazon.com/Klein-Tools-Non-Contact-High-Voltage-Auto-Ranging/dp/B0CF2HR589/ref=sr_1_4?keywords=Klein+Tools+CL120+Digital+Clamp+Meter%2C+AC+Auto-Ranging+400+Amp&amp;qid=1694735357&amp;sr=8-4", "https://www.amazon.com/Klein-Tools-Non-Contact-High-Voltage-Auto-Ranging/dp/B0CF2HR589/ref=sr_1_4?keywords=Klein+Tools+CL120+Digital+Clamp+Meter%2C+AC+Auto-Ranging+400+Amp&amp;qid=1694735357&amp;sr=8-4")</f>
        <v/>
      </c>
      <c r="F3670" t="inlineStr">
        <is>
          <t>B0CF2HR589</t>
        </is>
      </c>
      <c r="G3670">
        <f>_xlfn.IMAGE("https://edmondsonsupply.com/cdn/shop/products/cl120.jpg?v=1633030212")</f>
        <v/>
      </c>
      <c r="H3670">
        <f>_xlfn.IMAGE("https://m.media-amazon.com/images/I/512guoZOGKL._AC_UY218_.jpg")</f>
        <v/>
      </c>
      <c r="K3670" t="inlineStr">
        <is>
          <t>59.97</t>
        </is>
      </c>
      <c r="L3670" t="n">
        <v>227.56</v>
      </c>
      <c r="M3670" s="1" t="inlineStr">
        <is>
          <t>279.46%</t>
        </is>
      </c>
      <c r="N3670" s="7" t="n">
        <v>34.71</v>
      </c>
      <c r="O3670" t="n">
        <v>4.4</v>
      </c>
      <c r="P3670" t="n">
        <v>86</v>
      </c>
      <c r="R3670" t="inlineStr">
        <is>
          <t>InStock</t>
        </is>
      </c>
      <c r="S3670" t="inlineStr">
        <is>
          <t>85.26</t>
        </is>
      </c>
      <c r="T3670" t="inlineStr">
        <is>
          <t>4432351527012</t>
        </is>
      </c>
    </row>
    <row r="3671" ht="87" customHeight="1">
      <c r="A3671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671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671" t="inlineStr">
        <is>
          <t>Diablo Tools DMAPL4070 1/4 in. x 4 in. x 6 in. Rebar Demon™ SDS-Plus 4-Cutter Full Carbide Head Hammer Bit</t>
        </is>
      </c>
      <c r="D3671" t="inlineStr">
        <is>
          <t>Diablo by Freud DMAPL4300 1 in. x 8 in. x 10 in. Rebar Demon™ SDS-Plus 4-Cutter Full Carbide Head Hammer Bit</t>
        </is>
      </c>
      <c r="E3671" s="2">
        <f>HYPERLINK("https://www.amazon.com/Diablo-Freud-DMAPL4300-SDS-Plus-4-Cutter/dp/B089LL8JD8/ref=sr_1_15?keywords=Diablo+Tools+DMAPL4070+1%2F4+in.+x+4+in.+x+6+in.+Rebar+Demon%E2%84%A2+SDS-Plus+4-Cutter+Full+Carbide+Head+Hammer+Bit&amp;qid=1694735303&amp;sr=8-15", "https://www.amazon.com/Diablo-Freud-DMAPL4300-SDS-Plus-4-Cutter/dp/B089LL8JD8/ref=sr_1_15?keywords=Diablo+Tools+DMAPL4070+1%2F4+in.+x+4+in.+x+6+in.+Rebar+Demon%E2%84%A2+SDS-Plus+4-Cutter+Full+Carbide+Head+Hammer+Bit&amp;qid=1694735303&amp;sr=8-15")</f>
        <v/>
      </c>
      <c r="F3671" t="inlineStr">
        <is>
          <t>B089LL8JD8</t>
        </is>
      </c>
      <c r="G3671">
        <f>_xlfn.IMAGE("https://edmondsonsupply.com/cdn/shop/products/DMAPL4070_Main-Image20200701.png?v=1633030350")</f>
        <v/>
      </c>
      <c r="H3671">
        <f>_xlfn.IMAGE("https://m.media-amazon.com/images/I/616UiJGsK1L._AC_UL320_.jpg")</f>
        <v/>
      </c>
      <c r="K3671" t="inlineStr">
        <is>
          <t>8.97</t>
        </is>
      </c>
      <c r="L3671" t="n">
        <v>33.99</v>
      </c>
      <c r="M3671" s="1" t="inlineStr">
        <is>
          <t>278.93%</t>
        </is>
      </c>
      <c r="N3671" s="7" t="n">
        <v>34.41</v>
      </c>
      <c r="O3671" t="n">
        <v>4.5</v>
      </c>
      <c r="P3671" t="n">
        <v>16</v>
      </c>
      <c r="R3671" t="inlineStr">
        <is>
          <t>InStock</t>
        </is>
      </c>
      <c r="S3671" t="inlineStr">
        <is>
          <t>undefined</t>
        </is>
      </c>
      <c r="T3671" t="inlineStr">
        <is>
          <t>5283100197032</t>
        </is>
      </c>
    </row>
    <row r="3672" hidden="1" ht="15.75" customHeight="1">
      <c r="A3672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672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672" t="inlineStr">
        <is>
          <t>Klein Tools JTH4E09 9/64-Inch Hex Key Journeyman T-Handle 4-Inch</t>
        </is>
      </c>
      <c r="D3672" t="inlineStr">
        <is>
          <t>Klein Tools JTH6E09BE 9/64-Inch Ball-End Hex Key with Journeyman T-Handle, 6-Inch (Pack of 2)</t>
        </is>
      </c>
      <c r="E3672" s="2">
        <f>HYPERLINK("https://www.amazon.com/Klein-Tools-JTH6E09BE-Ball-End-Journeyman/dp/B0CGLVC75M/ref=sr_1_3?keywords=Klein+Tools+JTH4E09+9%2F64-Inch+Hex+Key+Journeyman+T-Handle+4-Inch&amp;qid=1694735175&amp;sr=8-3", "https://www.amazon.com/Klein-Tools-JTH6E09BE-Ball-End-Journeyman/dp/B0CGLVC75M/ref=sr_1_3?keywords=Klein+Tools+JTH4E09+9%2F64-Inch+Hex+Key+Journeyman+T-Handle+4-Inch&amp;qid=1694735175&amp;sr=8-3")</f>
        <v/>
      </c>
      <c r="F3672" t="inlineStr">
        <is>
          <t>B0CGLVC75M</t>
        </is>
      </c>
      <c r="G3672">
        <f>_xludf.IMAGE("https://edmondsonsupply.com/cdn/shop/products/jth4e06_be5118a6-2e9d-44f5-81ad-c027572dd2d3.jpg?v=1635981570")</f>
        <v/>
      </c>
      <c r="H3672">
        <f>_xludf.IMAGE("https://m.media-amazon.com/images/I/41bN+I19ReL._AC_UL320_.jpg")</f>
        <v/>
      </c>
      <c r="K3672" t="inlineStr">
        <is>
          <t>3.79</t>
        </is>
      </c>
      <c r="L3672" t="n">
        <v>14.36</v>
      </c>
      <c r="M3672" s="1" t="inlineStr">
        <is>
          <t>278.89%</t>
        </is>
      </c>
      <c r="N3672" s="1" t="n">
        <v>34.32</v>
      </c>
      <c r="O3672" t="n">
        <v>4.9</v>
      </c>
      <c r="P3672" t="n">
        <v>65</v>
      </c>
      <c r="R3672" t="inlineStr">
        <is>
          <t>InStock</t>
        </is>
      </c>
      <c r="S3672" t="inlineStr">
        <is>
          <t>5.76</t>
        </is>
      </c>
      <c r="T3672" t="inlineStr">
        <is>
          <t>7434795876568</t>
        </is>
      </c>
    </row>
    <row r="3673" ht="87" customHeight="1">
      <c r="A3673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673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673" t="inlineStr">
        <is>
          <t>Diablo Tools DMAPL4070 1/4 in. x 4 in. x 6 in. Rebar Demon™ SDS-Plus 4-Cutter Full Carbide Head Hammer Bit</t>
        </is>
      </c>
      <c r="D3673" t="inlineStr">
        <is>
          <t>Diablo 5/8"x 16"x18" Rebar Demon™ SDS-Plus 4-Cutter Full Carbide Head Hammer Bit</t>
        </is>
      </c>
      <c r="E3673" s="2">
        <f>HYPERLINK("https://www.amazon.com/Diablo-SDS-Plus-4-Cutter-Carbide-Hammer/dp/B089LDNZSN/ref=sr_1_24?keywords=Diablo+Tools+DMAPL4070+1%2F4+in.+x+4+in.+x+6+in.+Rebar+Demon%E2%84%A2+SDS-Plus+4-Cutter+Full+Carbide+Head+Hammer+Bit&amp;qid=1694735303&amp;sr=8-24", "https://www.amazon.com/Diablo-SDS-Plus-4-Cutter-Carbide-Hammer/dp/B089LDNZSN/ref=sr_1_24?keywords=Diablo+Tools+DMAPL4070+1%2F4+in.+x+4+in.+x+6+in.+Rebar+Demon%E2%84%A2+SDS-Plus+4-Cutter+Full+Carbide+Head+Hammer+Bit&amp;qid=1694735303&amp;sr=8-24")</f>
        <v/>
      </c>
      <c r="F3673" t="inlineStr">
        <is>
          <t>B089LDNZSN</t>
        </is>
      </c>
      <c r="G3673">
        <f>_xlfn.IMAGE("https://edmondsonsupply.com/cdn/shop/products/DMAPL4070_Main-Image20200701.png?v=1633030350")</f>
        <v/>
      </c>
      <c r="H3673">
        <f>_xlfn.IMAGE("https://m.media-amazon.com/images/I/61Vv8Hsfp5L._AC_UL320_.jpg")</f>
        <v/>
      </c>
      <c r="K3673" t="inlineStr">
        <is>
          <t>8.97</t>
        </is>
      </c>
      <c r="L3673" t="n">
        <v>33.98</v>
      </c>
      <c r="M3673" s="1" t="inlineStr">
        <is>
          <t>278.82%</t>
        </is>
      </c>
      <c r="N3673" s="7" t="n">
        <v>34.23</v>
      </c>
      <c r="O3673" t="n">
        <v>4.6</v>
      </c>
      <c r="P3673" t="n">
        <v>10</v>
      </c>
      <c r="R3673" t="inlineStr">
        <is>
          <t>InStock</t>
        </is>
      </c>
      <c r="S3673" t="inlineStr">
        <is>
          <t>undefined</t>
        </is>
      </c>
      <c r="T3673" t="inlineStr">
        <is>
          <t>5283100197032</t>
        </is>
      </c>
    </row>
    <row r="3674" ht="87" customHeight="1">
      <c r="A3674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3674" s="2">
        <f>HYPERLINK("https://edmondsonsupply.com/products/klein-tools-66074-flip-impact-socket-3-4-and-13-16-inch", "https://edmondsonsupply.com/products/klein-tools-66074-flip-impact-socket-3-4-and-13-16-inch")</f>
        <v/>
      </c>
      <c r="C3674" t="inlineStr">
        <is>
          <t>Klein Tools 66074 Flip Impact Socket, 3/4 and 13/16-Inch</t>
        </is>
      </c>
      <c r="D3674" t="inlineStr">
        <is>
          <t>Klein Tools 66030 2-in-1 Non-Marring Impact Socket, Coated 12-Point Deep Sockets, 3/4- and 9/16-Inch Sizes</t>
        </is>
      </c>
      <c r="E3674" s="2">
        <f>HYPERLINK("https://www.amazon.com/Non-Marring-12-Point-Klein-Tools-66030/dp/B09JWM5Y6N/ref=sr_1_16?keywords=Klein+Tools+66074+Flip+Impact+Socket%2C+3%2F4+and+13%2F16-Inch&amp;qid=1694735130&amp;sr=8-16", "https://www.amazon.com/Non-Marring-12-Point-Klein-Tools-66030/dp/B09JWM5Y6N/ref=sr_1_16?keywords=Klein+Tools+66074+Flip+Impact+Socket%2C+3%2F4+and+13%2F16-Inch&amp;qid=1694735130&amp;sr=8-16")</f>
        <v/>
      </c>
      <c r="F3674" t="inlineStr">
        <is>
          <t>B09JWM5Y6N</t>
        </is>
      </c>
      <c r="G3674">
        <f>_xlfn.IMAGE("https://edmondsonsupply.com/cdn/shop/products/66074.jpg?v=1663249251")</f>
        <v/>
      </c>
      <c r="H3674">
        <f>_xlfn.IMAGE("https://m.media-amazon.com/images/I/41w38OgEo3L._AC_UL320_.jpg")</f>
        <v/>
      </c>
      <c r="K3674" t="inlineStr">
        <is>
          <t>12.71</t>
        </is>
      </c>
      <c r="L3674" t="n">
        <v>47.99</v>
      </c>
      <c r="M3674" s="1" t="inlineStr">
        <is>
          <t>277.58%</t>
        </is>
      </c>
      <c r="N3674" s="7" t="n">
        <v>34.02</v>
      </c>
      <c r="O3674" t="n">
        <v>5</v>
      </c>
      <c r="P3674" t="n">
        <v>2</v>
      </c>
      <c r="R3674" t="inlineStr">
        <is>
          <t>InStock</t>
        </is>
      </c>
      <c r="S3674" t="inlineStr">
        <is>
          <t>17.8</t>
        </is>
      </c>
      <c r="T3674" t="inlineStr">
        <is>
          <t>7817341534424</t>
        </is>
      </c>
    </row>
    <row r="3675" ht="87" customHeight="1">
      <c r="A3675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3675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3675" t="inlineStr">
        <is>
          <t>Diablo Tools DMAMX1050 9/16 in. x 8 in. x 13 in. Rebar Demon™ SDS-Max 4-Cutter Full Carbide Head Hammer Drill Bit</t>
        </is>
      </c>
      <c r="D3675" t="inlineStr">
        <is>
          <t>Diablo DMAMX1230 1 in. x 24 in. x 29 in. Rebar Demon™ SDS-Max 4-Cutter Full Carbide Head Hammer Bit</t>
        </is>
      </c>
      <c r="E3675" s="2">
        <f>HYPERLINK("https://www.amazon.com/Diablo-DMAMX1230-SDS-Max-4-Cutter-Carbide/dp/B089KWMBLT/ref=sr_1_43?keywords=Diablo+Tools+DMAMX1050+9%2F16+in.+x+8+in.+x+13+in.+Rebar+Demon%E2%84%A2+SDS-Max+4-Cutter+Full+Carbide+Head+Hammer+Drill+Bit&amp;qid=1694735208&amp;sr=8-43", "https://www.amazon.com/Diablo-DMAMX1230-SDS-Max-4-Cutter-Carbide/dp/B089KWMBLT/ref=sr_1_43?keywords=Diablo+Tools+DMAMX1050+9%2F16+in.+x+8+in.+x+13+in.+Rebar+Demon%E2%84%A2+SDS-Max+4-Cutter+Full+Carbide+Head+Hammer+Drill+Bit&amp;qid=1694735208&amp;sr=8-43")</f>
        <v/>
      </c>
      <c r="F3675" t="inlineStr">
        <is>
          <t>B089KWMBLT</t>
        </is>
      </c>
      <c r="G3675">
        <f>_xlfn.IMAGE("https://edmondsonsupply.com/cdn/shop/products/DMAMX1050_Main-Image20200701.png?v=1633031097")</f>
        <v/>
      </c>
      <c r="H3675">
        <f>_xlfn.IMAGE("https://m.media-amazon.com/images/I/61B-wgZVzML._AC_UL320_.jpg")</f>
        <v/>
      </c>
      <c r="K3675" t="inlineStr">
        <is>
          <t>29.19</t>
        </is>
      </c>
      <c r="L3675" t="n">
        <v>109.99</v>
      </c>
      <c r="M3675" s="1" t="inlineStr">
        <is>
          <t>276.81%</t>
        </is>
      </c>
      <c r="N3675" s="7" t="n">
        <v>34.01</v>
      </c>
      <c r="O3675" t="n">
        <v>4.6</v>
      </c>
      <c r="P3675" t="n">
        <v>3</v>
      </c>
      <c r="R3675" t="inlineStr">
        <is>
          <t>InStock</t>
        </is>
      </c>
      <c r="S3675" t="inlineStr">
        <is>
          <t>46.05</t>
        </is>
      </c>
      <c r="T3675" t="inlineStr">
        <is>
          <t>6842367738029</t>
        </is>
      </c>
    </row>
    <row r="3676" ht="87" customHeight="1">
      <c r="A3676" s="2">
        <f>HYPERLINK("https://edmondsonsupply.com/collections/electricians-tools/products/klein-tools-ir1-infrared-digital-thermometer-with-targeting-laser-10-1", "https://edmondsonsupply.com/collections/electricians-tools/products/klein-tools-ir1-infrared-digital-thermometer-with-targeting-laser-10-1")</f>
        <v/>
      </c>
      <c r="B3676" s="2">
        <f>HYPERLINK("https://edmondsonsupply.com/products/klein-tools-ir1-infrared-digital-thermometer-with-targeting-laser-10-1", "https://edmondsonsupply.com/products/klein-tools-ir1-infrared-digital-thermometer-with-targeting-laser-10-1")</f>
        <v/>
      </c>
      <c r="C3676" t="inlineStr">
        <is>
          <t>Klein Tools IR1 Infrared Digital Thermometer with Targeting Laser, 10:1</t>
        </is>
      </c>
      <c r="D3676" t="inlineStr">
        <is>
          <t>Klein Tools IR10 Infrared Thermometer, Digital Thermometer Gun with Dual Targeting Laser, 20:1 &amp; ET10 Magnetic Digital Pocket Thermometer</t>
        </is>
      </c>
      <c r="E3676" s="2">
        <f>HYPERLINK("https://www.amazon.com/Klein-Tools-Infrared-Thermometer-Targeting/dp/B0BGJ6JX2Q/ref=sr_1_10?keywords=Klein+Tools+IR1+Infrared+Digital+Thermometer+with+Targeting+Laser%2C+10%3A1&amp;qid=1694735137&amp;sr=8-10", "https://www.amazon.com/Klein-Tools-Infrared-Thermometer-Targeting/dp/B0BGJ6JX2Q/ref=sr_1_10?keywords=Klein+Tools+IR1+Infrared+Digital+Thermometer+with+Targeting+Laser%2C+10%3A1&amp;qid=1694735137&amp;sr=8-10")</f>
        <v/>
      </c>
      <c r="F3676" t="inlineStr">
        <is>
          <t>B0BGJ6JX2Q</t>
        </is>
      </c>
      <c r="G3676">
        <f>_xlfn.IMAGE("https://edmondsonsupply.com/cdn/shop/products/ir1.jpg?v=1659112251")</f>
        <v/>
      </c>
      <c r="H3676">
        <f>_xlfn.IMAGE("https://m.media-amazon.com/images/I/51I0Gu41RPL._AC_UY218_.jpg")</f>
        <v/>
      </c>
      <c r="K3676" t="inlineStr">
        <is>
          <t>32.99</t>
        </is>
      </c>
      <c r="L3676" t="n">
        <v>123.98</v>
      </c>
      <c r="M3676" s="1" t="inlineStr">
        <is>
          <t>275.81%</t>
        </is>
      </c>
      <c r="N3676" s="7" t="n">
        <v>33.98</v>
      </c>
      <c r="O3676" t="n">
        <v>5</v>
      </c>
      <c r="P3676" t="n">
        <v>2</v>
      </c>
      <c r="R3676" t="inlineStr">
        <is>
          <t>InStock</t>
        </is>
      </c>
      <c r="S3676" t="inlineStr">
        <is>
          <t>48.5</t>
        </is>
      </c>
      <c r="T3676" t="inlineStr">
        <is>
          <t>7766524231896</t>
        </is>
      </c>
    </row>
    <row r="3677" ht="87" customHeight="1">
      <c r="A3677" s="2">
        <f>HYPERLINK("https://edmondsonsupply.com/collections/electricians-tools/products/veto-pro-pac-tp4-tool-pouch", "https://edmondsonsupply.com/collections/electricians-tools/products/veto-pro-pac-tp4-tool-pouch")</f>
        <v/>
      </c>
      <c r="B3677" s="2">
        <f>HYPERLINK("https://edmondsonsupply.com/products/veto-pro-pac-tp4-tool-pouch", "https://edmondsonsupply.com/products/veto-pro-pac-tp4-tool-pouch")</f>
        <v/>
      </c>
      <c r="C3677" t="inlineStr">
        <is>
          <t>Veto Pro Pac TP3 Tool Bag</t>
        </is>
      </c>
      <c r="D3677" t="inlineStr">
        <is>
          <t>Veto Pro Pac Model XL Tool Bag</t>
        </is>
      </c>
      <c r="E3677" s="2">
        <f>HYPERLINK("https://www.amazon.com/VETO-PRO-PAC-Model-XL/dp/B00009K77K/ref=sr_1_9?keywords=Veto+Pro+Pac+TP3+Tool+Bag&amp;qid=1694735180&amp;sr=8-9", "https://www.amazon.com/VETO-PRO-PAC-Model-XL/dp/B00009K77K/ref=sr_1_9?keywords=Veto+Pro+Pac+TP3+Tool+Bag&amp;qid=1694735180&amp;sr=8-9")</f>
        <v/>
      </c>
      <c r="F3677" t="inlineStr">
        <is>
          <t>B00009K77K</t>
        </is>
      </c>
      <c r="G3677">
        <f>_xlfn.IMAGE("https://edmondsonsupply.com/cdn/shop/products/TP3_1.jpg?v=1587144391")</f>
        <v/>
      </c>
      <c r="H3677">
        <f>_xlfn.IMAGE("https://m.media-amazon.com/images/I/51WvtSPKVtS._AC_UL320_.jpg")</f>
        <v/>
      </c>
      <c r="K3677" t="inlineStr">
        <is>
          <t>59.99</t>
        </is>
      </c>
      <c r="L3677" t="n">
        <v>224.95</v>
      </c>
      <c r="M3677" s="1" t="inlineStr">
        <is>
          <t>274.98%</t>
        </is>
      </c>
      <c r="N3677" s="7" t="n">
        <v>33.96</v>
      </c>
      <c r="O3677" t="n">
        <v>4.7</v>
      </c>
      <c r="P3677" t="n">
        <v>343</v>
      </c>
      <c r="R3677" t="inlineStr">
        <is>
          <t>InStock</t>
        </is>
      </c>
      <c r="S3677" t="inlineStr">
        <is>
          <t>undefined</t>
        </is>
      </c>
      <c r="T3677" t="inlineStr">
        <is>
          <t>3561762816100</t>
        </is>
      </c>
    </row>
    <row r="3678" hidden="1" ht="15.75" customHeight="1">
      <c r="A3678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3678" s="2">
        <f>HYPERLINK("https://edmondsonsupply.com/products/diablo-tools-dmast1050-5-8-in-x-2-1-16-x-sds-plus-2-cutter", "https://edmondsonsupply.com/products/diablo-tools-dmast1050-5-8-in-x-2-1-16-x-sds-plus-2-cutter")</f>
        <v/>
      </c>
      <c r="C3678" t="inlineStr">
        <is>
          <t>Diablo Tools DMAST1050 5/8 in. x 2-1/16 SDS-Plus 2-Cutter</t>
        </is>
      </c>
      <c r="D3678" t="inlineStr">
        <is>
          <t>Diablo by Freud DMAMX1120 5/8 in. x 31 in. x 36 in. Rebar Demon SDS-Max 4-Cutter Full Carbide Head Hammer Bit</t>
        </is>
      </c>
      <c r="E3678" s="2">
        <f>HYPERLINK("https://www.amazon.com/Diablo-SDS-Max-4-Cutter-Carbide-Hammer/dp/B089LJFH3C/ref=sr_1_17?keywords=Diablo+Tools+DMAST1050+5%2F8+in.+x+2-1%2F16+SDS-Plus+2-Cutter&amp;qid=1694735304&amp;sr=8-17", "https://www.amazon.com/Diablo-SDS-Max-4-Cutter-Carbide-Hammer/dp/B089LJFH3C/ref=sr_1_17?keywords=Diablo+Tools+DMAST1050+5%2F8+in.+x+2-1%2F16+SDS-Plus+2-Cutter&amp;qid=1694735304&amp;sr=8-17")</f>
        <v/>
      </c>
      <c r="F3678" t="inlineStr">
        <is>
          <t>B089LJFH3C</t>
        </is>
      </c>
      <c r="G3678">
        <f>_xludf.IMAGE("https://edmondsonsupply.com/cdn/shop/products/DMAST1050_1.jpg?v=1633030363")</f>
        <v/>
      </c>
      <c r="H3678">
        <f>_xludf.IMAGE("https://m.media-amazon.com/images/I/615ffyRtaAL._AC_UL320_.jpg")</f>
        <v/>
      </c>
      <c r="K3678" t="inlineStr">
        <is>
          <t>21.97</t>
        </is>
      </c>
      <c r="L3678" t="n">
        <v>82.18000000000001</v>
      </c>
      <c r="M3678" s="1" t="inlineStr">
        <is>
          <t>274.06%</t>
        </is>
      </c>
      <c r="N3678" s="1" t="n">
        <v>33.78</v>
      </c>
      <c r="O3678" t="n">
        <v>3.9</v>
      </c>
      <c r="P3678" t="n">
        <v>4</v>
      </c>
      <c r="R3678" t="inlineStr">
        <is>
          <t>InStock</t>
        </is>
      </c>
      <c r="S3678" t="inlineStr">
        <is>
          <t>29.12</t>
        </is>
      </c>
      <c r="T3678" t="inlineStr">
        <is>
          <t>5286938869928</t>
        </is>
      </c>
    </row>
    <row r="3679" ht="87" customHeight="1">
      <c r="A3679" s="2">
        <f>HYPERLINK("https://edmondsonsupply.com/collections/electricians-tools/products/diablo-tools-dmapl2080-3-16-in-x-16-in-x-18-in-sds-plus-2-cutter", "https://edmondsonsupply.com/collections/electricians-tools/products/diablo-tools-dmapl2080-3-16-in-x-16-in-x-18-in-sds-plus-2-cutter")</f>
        <v/>
      </c>
      <c r="B3679" s="2">
        <f>HYPERLINK("https://edmondsonsupply.com/products/diablo-tools-dmapl2080-3-16-in-x-16-in-x-18-in-sds-plus-2-cutter", "https://edmondsonsupply.com/products/diablo-tools-dmapl2080-3-16-in-x-16-in-x-18-in-sds-plus-2-cutter")</f>
        <v/>
      </c>
      <c r="C3679" t="inlineStr">
        <is>
          <t>Diablo Tools DMAPL2080 3/16 in. x 16 in. x 18 in. SDS‑Plus 2‑Cutter</t>
        </is>
      </c>
      <c r="D3679" t="inlineStr">
        <is>
          <t>Diablo DMAPL4310 1 in. x 16 in. x 18 in. Rebar Demon™ SDS-Plus 4-Cutter Full Carbide Head Hammer Bit</t>
        </is>
      </c>
      <c r="E3679" s="2">
        <f>HYPERLINK("https://www.amazon.com/Diablo-DMAPL4310-SDS-Plus-4-Cutter-Carbide/dp/B089KX2VKR/ref=sr_1_19?keywords=Diablo+Tools+DMAPL2080+3%2F16+in.+x+16+in.+x+18+in.+SDS%E2%80%91Plus+2%E2%80%91Cutter&amp;qid=1694735288&amp;sr=8-19", "https://www.amazon.com/Diablo-DMAPL4310-SDS-Plus-4-Cutter-Carbide/dp/B089KX2VKR/ref=sr_1_19?keywords=Diablo+Tools+DMAPL2080+3%2F16+in.+x+16+in.+x+18+in.+SDS%E2%80%91Plus+2%E2%80%91Cutter&amp;qid=1694735288&amp;sr=8-19")</f>
        <v/>
      </c>
      <c r="F3679" t="inlineStr">
        <is>
          <t>B089KX2VKR</t>
        </is>
      </c>
      <c r="G3679">
        <f>_xlfn.IMAGE("https://edmondsonsupply.com/cdn/shop/products/DMAPL2080_Main-Image20200331.png?v=1633030464")</f>
        <v/>
      </c>
      <c r="H3679">
        <f>_xlfn.IMAGE("https://m.media-amazon.com/images/I/61iwxfqG2VL._AC_UL320_.jpg")</f>
        <v/>
      </c>
      <c r="K3679" t="inlineStr">
        <is>
          <t>12.97</t>
        </is>
      </c>
      <c r="L3679" t="n">
        <v>48.49</v>
      </c>
      <c r="M3679" s="1" t="inlineStr">
        <is>
          <t>273.86%</t>
        </is>
      </c>
      <c r="N3679" s="7" t="n">
        <v>33.74</v>
      </c>
      <c r="O3679" t="n">
        <v>4.5</v>
      </c>
      <c r="P3679" t="n">
        <v>32</v>
      </c>
      <c r="R3679" t="inlineStr">
        <is>
          <t>InStock</t>
        </is>
      </c>
      <c r="S3679" t="inlineStr">
        <is>
          <t>15.62</t>
        </is>
      </c>
      <c r="T3679" t="inlineStr">
        <is>
          <t>5362018877608</t>
        </is>
      </c>
    </row>
    <row r="3680" ht="87" customHeight="1">
      <c r="A3680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3680" s="2">
        <f>HYPERLINK("https://edmondsonsupply.com/products/klein-tools-66076-flip-impact-socket-9-16-and-1-2-inch", "https://edmondsonsupply.com/products/klein-tools-66076-flip-impact-socket-9-16-and-1-2-inch")</f>
        <v/>
      </c>
      <c r="C3680" t="inlineStr">
        <is>
          <t>Klein Tools 66076 Flip Impact Socket, 9/16 and 1/2-Inch</t>
        </is>
      </c>
      <c r="D3680" t="inlineStr">
        <is>
          <t>Klein Tools 66004 2-in-1 Impact Socket, Socket Wrench Sizes 3/4-Inch and 9/16-Inch Hex, 6-Point Deep Socket with 1/2-Inch Drive</t>
        </is>
      </c>
      <c r="E3680" s="2">
        <f>HYPERLINK("https://www.amazon.com/6-Point-16-Inch-Klein-Tools-66004/dp/B078NJ9Y5C/ref=sr_1_17?keywords=Klein+Tools+66076+Flip+Impact+Socket%2C+9%2F16+and+1%2F2-Inch&amp;qid=1694735129&amp;sr=8-17", "https://www.amazon.com/6-Point-16-Inch-Klein-Tools-66004/dp/B078NJ9Y5C/ref=sr_1_17?keywords=Klein+Tools+66076+Flip+Impact+Socket%2C+9%2F16+and+1%2F2-Inch&amp;qid=1694735129&amp;sr=8-17")</f>
        <v/>
      </c>
      <c r="F3680" t="inlineStr">
        <is>
          <t>B078NJ9Y5C</t>
        </is>
      </c>
      <c r="G3680">
        <f>_xlfn.IMAGE("https://edmondsonsupply.com/cdn/shop/products/66076.jpg?v=1663083814")</f>
        <v/>
      </c>
      <c r="H3680">
        <f>_xlfn.IMAGE("https://m.media-amazon.com/images/I/71Oio7pyyHL._AC_UL320_.jpg")</f>
        <v/>
      </c>
      <c r="K3680" t="inlineStr">
        <is>
          <t>10.71</t>
        </is>
      </c>
      <c r="L3680" t="n">
        <v>39.99</v>
      </c>
      <c r="M3680" s="1" t="inlineStr">
        <is>
          <t>273.39%</t>
        </is>
      </c>
      <c r="N3680" s="7" t="n">
        <v>33.61</v>
      </c>
      <c r="O3680" t="n">
        <v>4.8</v>
      </c>
      <c r="P3680" t="n">
        <v>753</v>
      </c>
      <c r="R3680" t="inlineStr">
        <is>
          <t>InStock</t>
        </is>
      </c>
      <c r="S3680" t="inlineStr">
        <is>
          <t>15.0</t>
        </is>
      </c>
      <c r="T3680" t="inlineStr">
        <is>
          <t>7814133874904</t>
        </is>
      </c>
    </row>
    <row r="3681" ht="87" customHeight="1">
      <c r="A3681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3681" s="2">
        <f>HYPERLINK("https://edmondsonsupply.com/products/klein-tools-31902-bi-metal-hole-saw-kit-8-piece", "https://edmondsonsupply.com/products/klein-tools-31902-bi-metal-hole-saw-kit-8-piece")</f>
        <v/>
      </c>
      <c r="C3681" t="inlineStr">
        <is>
          <t>Klein Tools 31902 Bi-Metal Hole Saw Kit, 8-Piece</t>
        </is>
      </c>
      <c r="D3681" t="inlineStr">
        <is>
          <t>Klein Tools 31873 Heavy Duty Hole Cutter Kit, Includes Carbide Hole Cutters and 2 Pilot Bits in Rust-Proof Molded Plastic Case, 8-Piece</t>
        </is>
      </c>
      <c r="E3681" s="2">
        <f>HYPERLINK("https://www.amazon.com/Electricians-8-Piece-Klein-Tools-31873/dp/B003CCRCM2/ref=sr_1_11?keywords=Klein+Tools+31902+Bi-Metal+Hole+Saw+Kit%2C+8-Piece&amp;qid=1694735008&amp;sr=8-11", "https://www.amazon.com/Electricians-8-Piece-Klein-Tools-31873/dp/B003CCRCM2/ref=sr_1_11?keywords=Klein+Tools+31902+Bi-Metal+Hole+Saw+Kit%2C+8-Piece&amp;qid=1694735008&amp;sr=8-11")</f>
        <v/>
      </c>
      <c r="F3681" t="inlineStr">
        <is>
          <t>B003CCRCM2</t>
        </is>
      </c>
      <c r="G3681">
        <f>_xlfn.IMAGE("https://edmondsonsupply.com/cdn/shop/products/31902.jpg?v=1679665390")</f>
        <v/>
      </c>
      <c r="H3681">
        <f>_xlfn.IMAGE("https://m.media-amazon.com/images/I/61G-oQvGZTL._AC_UL320_.jpg")</f>
        <v/>
      </c>
      <c r="K3681" t="inlineStr">
        <is>
          <t>74.99</t>
        </is>
      </c>
      <c r="L3681" t="n">
        <v>279.99</v>
      </c>
      <c r="M3681" s="1" t="inlineStr">
        <is>
          <t>273.37%</t>
        </is>
      </c>
      <c r="N3681" s="7" t="n">
        <v>33.5</v>
      </c>
      <c r="O3681" t="n">
        <v>4.6</v>
      </c>
      <c r="P3681" t="n">
        <v>64</v>
      </c>
      <c r="R3681" t="inlineStr">
        <is>
          <t>InStock</t>
        </is>
      </c>
      <c r="S3681" t="inlineStr">
        <is>
          <t>105.24</t>
        </is>
      </c>
      <c r="T3681" t="inlineStr">
        <is>
          <t>7966205673688</t>
        </is>
      </c>
    </row>
    <row r="3682" ht="87" customHeight="1">
      <c r="A3682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3682" s="2">
        <f>HYPERLINK("https://edmondsonsupply.com/products/klein-tools-32305-15-in-1-multi-bit-ratcheting-screwdriver", "https://edmondsonsupply.com/products/klein-tools-32305-15-in-1-multi-bit-ratcheting-screwdriver")</f>
        <v/>
      </c>
      <c r="C3682" t="inlineStr">
        <is>
          <t>Klein Tools 32305 15-in-1 Multi-Bit Ratcheting Screwdriver</t>
        </is>
      </c>
      <c r="D3682" t="inlineStr">
        <is>
          <t>Klein Tools 55419SP-14 Tool Bag with Shoulder Strap Has 14 Pockets for Tool Storage, Can Fit Long Screwdrivers &amp; 32305 Multi-bit Ratcheting Screwdriver, 15-in-1 Tool with Phillips, Slotted, Square</t>
        </is>
      </c>
      <c r="E3682" s="2">
        <f>HYPERLINK("https://www.amazon.com/Klein-Tools-55419SP-14-Screwdrivers-Screwdriver/dp/B0CF2DT3WF/ref=sr_1_12?keywords=Klein+Tools+32305+15-in-1+Multi-Bit+Ratcheting+Screwdriver&amp;qid=1694735163&amp;sr=8-12", "https://www.amazon.com/Klein-Tools-55419SP-14-Screwdrivers-Screwdriver/dp/B0CF2DT3WF/ref=sr_1_12?keywords=Klein+Tools+32305+15-in-1+Multi-Bit+Ratcheting+Screwdriver&amp;qid=1694735163&amp;sr=8-12")</f>
        <v/>
      </c>
      <c r="F3682" t="inlineStr">
        <is>
          <t>B0CF2DT3WF</t>
        </is>
      </c>
      <c r="G3682">
        <f>_xlfn.IMAGE("https://edmondsonsupply.com/cdn/shop/products/32305.jpg?v=1646965475")</f>
        <v/>
      </c>
      <c r="H3682">
        <f>_xlfn.IMAGE("https://m.media-amazon.com/images/I/51IeNoRd0vL._AC_UL320_.jpg")</f>
        <v/>
      </c>
      <c r="K3682" t="inlineStr">
        <is>
          <t>21.97</t>
        </is>
      </c>
      <c r="L3682" t="n">
        <v>81.95999999999999</v>
      </c>
      <c r="M3682" s="1" t="inlineStr">
        <is>
          <t>273.05%</t>
        </is>
      </c>
      <c r="N3682" s="7" t="n">
        <v>33.5</v>
      </c>
      <c r="O3682" t="n">
        <v>4.8</v>
      </c>
      <c r="P3682" t="n">
        <v>2931</v>
      </c>
      <c r="R3682" t="inlineStr">
        <is>
          <t>InStock</t>
        </is>
      </c>
      <c r="S3682" t="inlineStr">
        <is>
          <t>30.78</t>
        </is>
      </c>
      <c r="T3682" t="inlineStr">
        <is>
          <t>7632426598616</t>
        </is>
      </c>
    </row>
    <row r="3683" hidden="1" ht="15.75" customHeight="1">
      <c r="A3683" s="2">
        <f>HYPERLINK("https://edmondsonsupply.com/collections/electricians-tools/products/klein-tools-ktsb01-step-drill-bit-double-fluted-1-1-8-to-1-2-inch", "https://edmondsonsupply.com/collections/electricians-tools/products/klein-tools-ktsb01-step-drill-bit-double-fluted-1-1-8-to-1-2-inch")</f>
        <v/>
      </c>
      <c r="B3683" s="2">
        <f>HYPERLINK("https://edmondsonsupply.com/products/klein-tools-ktsb01-step-drill-bit-double-fluted-1-1-8-to-1-2-inch", "https://edmondsonsupply.com/products/klein-tools-ktsb01-step-drill-bit-double-fluted-1-1-8-to-1-2-inch")</f>
        <v/>
      </c>
      <c r="C3683" t="inlineStr">
        <is>
          <t>Klein Tools KTSB01 Step Drill Bit Double-Fluted #1, 1/8 to 1/2-Inch</t>
        </is>
      </c>
      <c r="D3683" t="inlineStr">
        <is>
          <t>Klein Tools 25951 Electrician's Step Drill Bit Set, Spiral Double Fluted, Titanium Nitride Coating, 1/4-Inch Impact Shank, Case, 3-Piece</t>
        </is>
      </c>
      <c r="E3683" s="2">
        <f>HYPERLINK("https://www.amazon.com/Klein-Tools-25951-Electricians-Titanium/dp/B0BLFRJLDX/ref=sr_1_2?keywords=Klein+Tools+KTSB01+Step+Drill+Bit+Double-Fluted&amp;qid=1694735175&amp;sr=8-2", "https://www.amazon.com/Klein-Tools-25951-Electricians-Titanium/dp/B0BLFRJLDX/ref=sr_1_2?keywords=Klein+Tools+KTSB01+Step+Drill+Bit+Double-Fluted&amp;qid=1694735175&amp;sr=8-2")</f>
        <v/>
      </c>
      <c r="F3683" t="inlineStr">
        <is>
          <t>B0BLFRJLDX</t>
        </is>
      </c>
      <c r="G3683">
        <f>_xludf.IMAGE("https://edmondsonsupply.com/cdn/shop/products/ktsb01.jpg?v=1633903640")</f>
        <v/>
      </c>
      <c r="H3683">
        <f>_xludf.IMAGE("https://m.media-amazon.com/images/I/61dZd3WvlgL._AC_UY218_.jpg")</f>
        <v/>
      </c>
      <c r="K3683" t="inlineStr">
        <is>
          <t>26.99</t>
        </is>
      </c>
      <c r="L3683" t="n">
        <v>99.98999999999999</v>
      </c>
      <c r="M3683" s="1" t="inlineStr">
        <is>
          <t>270.47%</t>
        </is>
      </c>
      <c r="N3683" s="1" t="n">
        <v>33.43</v>
      </c>
      <c r="O3683" t="n">
        <v>3.8</v>
      </c>
      <c r="P3683" t="n">
        <v>6</v>
      </c>
      <c r="R3683" t="inlineStr">
        <is>
          <t>InStock</t>
        </is>
      </c>
      <c r="S3683" t="inlineStr">
        <is>
          <t>36.48</t>
        </is>
      </c>
      <c r="T3683" t="inlineStr">
        <is>
          <t>7007793774765</t>
        </is>
      </c>
    </row>
    <row r="3684" ht="87" customHeight="1">
      <c r="A3684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3684" s="2">
        <f>HYPERLINK("https://edmondsonsupply.com/products/klein-tools-31922-bi-metal-hole-saw-1-3-8-inch", "https://edmondsonsupply.com/products/klein-tools-31922-bi-metal-hole-saw-1-3-8-inch")</f>
        <v/>
      </c>
      <c r="C3684" t="inlineStr">
        <is>
          <t>Klein Tools 31922 Bi-Metal Hole Saw, 1-3/8-Inch</t>
        </is>
      </c>
      <c r="D3684" t="inlineStr">
        <is>
          <t>Klein Tools 31860 Heavy Duty Hole Cutter, 1-3/8-Inch Carbide Hole Cutter Cuts Stainless Steel, Mild Steel, Iron, and Copper</t>
        </is>
      </c>
      <c r="E3684" s="2">
        <f>HYPERLINK("https://www.amazon.com/Carbide-Cutter-Klein-Tools-31860/dp/B0061J5B2Q/ref=sr_1_3?keywords=Klein+Tools+31922+Bi-Metal+Hole+Saw%2C+1-3%2F8-Inch&amp;qid=1694735176&amp;sr=8-3", "https://www.amazon.com/Carbide-Cutter-Klein-Tools-31860/dp/B0061J5B2Q/ref=sr_1_3?keywords=Klein+Tools+31922+Bi-Metal+Hole+Saw%2C+1-3%2F8-Inch&amp;qid=1694735176&amp;sr=8-3")</f>
        <v/>
      </c>
      <c r="F3684" t="inlineStr">
        <is>
          <t>B0061J5B2Q</t>
        </is>
      </c>
      <c r="G3684">
        <f>_xlfn.IMAGE("https://edmondsonsupply.com/cdn/shop/products/31922.jpg?v=1663943738")</f>
        <v/>
      </c>
      <c r="H3684">
        <f>_xlfn.IMAGE("https://m.media-amazon.com/images/I/71zW61z+LYL._AC_UL320_.jpg")</f>
        <v/>
      </c>
      <c r="K3684" t="inlineStr">
        <is>
          <t>9.99</t>
        </is>
      </c>
      <c r="L3684" t="n">
        <v>36.99</v>
      </c>
      <c r="M3684" s="1" t="inlineStr">
        <is>
          <t>270.27%</t>
        </is>
      </c>
      <c r="N3684" s="7" t="n">
        <v>33.43</v>
      </c>
      <c r="O3684" t="n">
        <v>4.5</v>
      </c>
      <c r="P3684" t="n">
        <v>472</v>
      </c>
      <c r="R3684" t="inlineStr">
        <is>
          <t>InStock</t>
        </is>
      </c>
      <c r="S3684" t="inlineStr">
        <is>
          <t>14.0</t>
        </is>
      </c>
      <c r="T3684" t="inlineStr">
        <is>
          <t>7827257819352</t>
        </is>
      </c>
    </row>
    <row r="3685" ht="87" customHeight="1">
      <c r="A3685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685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685" t="inlineStr">
        <is>
          <t>Diablo Tools DMARG1030 3/16 in. x 4 in. x 6 in. SPEEDemon™ Red Granite Carbide Tipped Hammer Drill Bit</t>
        </is>
      </c>
      <c r="D3685" t="inlineStr">
        <is>
          <t>Diablo by Freud DMARG1030-P5 3/16""x4""x6"" SPEEDemon Red Granite Carbide Tipped Hammer Drill Bit (5-Pk)"</t>
        </is>
      </c>
      <c r="E3685" s="2">
        <f>HYPERLINK("https://www.amazon.com/Diablo-DMARG1030-P5-SPEEDemon-Granite-Carbide/dp/B089KWB1GK/ref=sr_1_8?keywords=Diablo+Tools+DMARG1030+3%2F16+in.+x+4+in.+x+6+in.+SPEEDemon%E2%84%A2+Red+Granite+Carbide+Tipped+Hammer+Drill+Bit&amp;qid=1694735280&amp;sr=8-8", "https://www.amazon.com/Diablo-DMARG1030-P5-SPEEDemon-Granite-Carbide/dp/B089KWB1GK/ref=sr_1_8?keywords=Diablo+Tools+DMARG1030+3%2F16+in.+x+4+in.+x+6+in.+SPEEDemon%E2%84%A2+Red+Granite+Carbide+Tipped+Hammer+Drill+Bit&amp;qid=1694735280&amp;sr=8-8")</f>
        <v/>
      </c>
      <c r="F3685" t="inlineStr">
        <is>
          <t>B089KWB1GK</t>
        </is>
      </c>
      <c r="G3685">
        <f>_xlfn.IMAGE("https://edmondsonsupply.com/cdn/shop/products/DMARG1030_Main-Image20200407.png?v=1633030509")</f>
        <v/>
      </c>
      <c r="H3685">
        <f>_xlfn.IMAGE("https://m.media-amazon.com/images/I/61+BAExWexL._AC_UL320_.jpg")</f>
        <v/>
      </c>
      <c r="K3685" t="inlineStr">
        <is>
          <t>4.47</t>
        </is>
      </c>
      <c r="L3685" t="n">
        <v>16.55</v>
      </c>
      <c r="M3685" s="1" t="inlineStr">
        <is>
          <t>270.25%</t>
        </is>
      </c>
      <c r="N3685" s="7" t="n">
        <v>33.43</v>
      </c>
      <c r="O3685" t="n">
        <v>4.9</v>
      </c>
      <c r="P3685" t="n">
        <v>18</v>
      </c>
      <c r="R3685" t="inlineStr">
        <is>
          <t>InStock</t>
        </is>
      </c>
      <c r="S3685" t="inlineStr">
        <is>
          <t>undefined</t>
        </is>
      </c>
      <c r="T3685" t="inlineStr">
        <is>
          <t>5386199629992</t>
        </is>
      </c>
    </row>
    <row r="3686" ht="87" customHeight="1">
      <c r="A3686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686" s="2">
        <f>HYPERLINK("https://edmondsonsupply.com/products/diablo-tools-d0724x-7-1-4-in-x-24-tooth-framing-saw-blade", "https://edmondsonsupply.com/products/diablo-tools-d0724x-7-1-4-in-x-24-tooth-framing-saw-blade")</f>
        <v/>
      </c>
      <c r="C3686" t="inlineStr">
        <is>
          <t>Diablo Tools D0724X 7-1/4 in. x 24 Tooth Framing Saw Blade</t>
        </is>
      </c>
      <c r="D3686" t="inlineStr">
        <is>
          <t>2 Pack Diablo D0724DA 7-1/4" X 24 Tooth Framing/Deconstruction Circular Saw Blade</t>
        </is>
      </c>
      <c r="E3686" s="2">
        <f>HYPERLINK("https://www.amazon.com/Diablo-D0724DA-Framing-Deconstruction-Circular/dp/B00XT9KFVS/ref=sr_1_6?keywords=Diablo+Tools+D0724X+7-1%2F4+in.+x+24+Tooth+Framing+Saw+Blade&amp;qid=1694735022&amp;sr=8-6", "https://www.amazon.com/Diablo-D0724DA-Framing-Deconstruction-Circular/dp/B00XT9KFVS/ref=sr_1_6?keywords=Diablo+Tools+D0724X+7-1%2F4+in.+x+24+Tooth+Framing+Saw+Blade&amp;qid=1694735022&amp;sr=8-6")</f>
        <v/>
      </c>
      <c r="F3686" t="inlineStr">
        <is>
          <t>B00XT9KFVS</t>
        </is>
      </c>
      <c r="G3686">
        <f>_xlfn.IMAGE("https://edmondsonsupply.com/cdn/shop/products/D0724A_Main-Image20200218_ba34939c-8546-489a-9616-b05338ff91cc.png?v=1678971696")</f>
        <v/>
      </c>
      <c r="H3686">
        <f>_xlfn.IMAGE("https://m.media-amazon.com/images/I/61NkAJf3i9L._AC_UL320_.jpg")</f>
        <v/>
      </c>
      <c r="K3686" t="inlineStr">
        <is>
          <t>9.97</t>
        </is>
      </c>
      <c r="L3686" t="n">
        <v>36.9</v>
      </c>
      <c r="M3686" s="1" t="inlineStr">
        <is>
          <t>270.11%</t>
        </is>
      </c>
      <c r="N3686" s="7" t="n">
        <v>33.37</v>
      </c>
      <c r="O3686" t="n">
        <v>4.7</v>
      </c>
      <c r="P3686" t="n">
        <v>10</v>
      </c>
      <c r="R3686" t="inlineStr">
        <is>
          <t>InStock</t>
        </is>
      </c>
      <c r="S3686" t="inlineStr">
        <is>
          <t>16.41</t>
        </is>
      </c>
      <c r="T3686" t="inlineStr">
        <is>
          <t>7962598670552</t>
        </is>
      </c>
    </row>
    <row r="3687" ht="87" customHeight="1">
      <c r="A3687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687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687" t="inlineStr">
        <is>
          <t>Diablo Tools D0724A 7-1/4 in. x 24 Tooth Framing Saw Blade</t>
        </is>
      </c>
      <c r="D3687" t="inlineStr">
        <is>
          <t>2 Pack Diablo D0724DA 7-1/4" X 24 Tooth Framing/Deconstruction Circular Saw Blade</t>
        </is>
      </c>
      <c r="E3687" s="2">
        <f>HYPERLINK("https://www.amazon.com/Diablo-D0724DA-Framing-Deconstruction-Circular/dp/B00XT9KFVS/ref=sr_1_9?keywords=Diablo+Tools+D0724A+7-1%2F4+in.+x+24+Tooth+Framing+Saw+Blade&amp;qid=1694735310&amp;sr=8-9", "https://www.amazon.com/Diablo-D0724DA-Framing-Deconstruction-Circular/dp/B00XT9KFVS/ref=sr_1_9?keywords=Diablo+Tools+D0724A+7-1%2F4+in.+x+24+Tooth+Framing+Saw+Blade&amp;qid=1694735310&amp;sr=8-9")</f>
        <v/>
      </c>
      <c r="F3687" t="inlineStr">
        <is>
          <t>B00XT9KFVS</t>
        </is>
      </c>
      <c r="G3687">
        <f>_xlfn.IMAGE("https://edmondsonsupply.com/cdn/shop/products/D0724A_Main-Image20200218.png?v=1633030268")</f>
        <v/>
      </c>
      <c r="H3687">
        <f>_xlfn.IMAGE("https://m.media-amazon.com/images/I/61NkAJf3i9L._AC_UL320_.jpg")</f>
        <v/>
      </c>
      <c r="K3687" t="inlineStr">
        <is>
          <t>9.97</t>
        </is>
      </c>
      <c r="L3687" t="n">
        <v>36.9</v>
      </c>
      <c r="M3687" s="1" t="inlineStr">
        <is>
          <t>270.11%</t>
        </is>
      </c>
      <c r="N3687" s="7" t="n">
        <v>33.37</v>
      </c>
      <c r="O3687" t="n">
        <v>4.7</v>
      </c>
      <c r="P3687" t="n">
        <v>10</v>
      </c>
      <c r="R3687" t="inlineStr">
        <is>
          <t>InStock</t>
        </is>
      </c>
      <c r="S3687" t="inlineStr">
        <is>
          <t>15.45</t>
        </is>
      </c>
      <c r="T3687" t="inlineStr">
        <is>
          <t>4678532563044</t>
        </is>
      </c>
    </row>
    <row r="3688" ht="87" customHeight="1">
      <c r="A3688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3688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3688" t="inlineStr">
        <is>
          <t>Klein Tools JTH9E13 1/4-Inch Hex Key with Journeyman T-Handle, 9-Inch</t>
        </is>
      </c>
      <c r="D3688" t="inlineStr">
        <is>
          <t>Klein Tools JTH9E17 1/2-Inch Hex Key, Journeyman T-Handle, 9-Inch</t>
        </is>
      </c>
      <c r="E3688" s="2">
        <f>HYPERLINK("https://www.amazon.com/Journeyman-T-Handle-Klein-Tools-JTH9E17/dp/B004QV6NL4/ref=sr_1_7?keywords=Klein+Tools+JTH9E13+1%2F4-Inch+Hex+Key+with+Journeyman+T-Handle%2C+9-Inch&amp;qid=1694735245&amp;sr=8-7", "https://www.amazon.com/Journeyman-T-Handle-Klein-Tools-JTH9E17/dp/B004QV6NL4/ref=sr_1_7?keywords=Klein+Tools+JTH9E13+1%2F4-Inch+Hex+Key+with+Journeyman+T-Handle%2C+9-Inch&amp;qid=1694735245&amp;sr=8-7")</f>
        <v/>
      </c>
      <c r="F3688" t="inlineStr">
        <is>
          <t>B004QV6NL4</t>
        </is>
      </c>
      <c r="G3688">
        <f>_xlfn.IMAGE("https://edmondsonsupply.com/cdn/shop/products/jth9e12_7dcdbf9a-5acd-4824-8919-6aeb4a790072.jpg?v=1604060723")</f>
        <v/>
      </c>
      <c r="H3688">
        <f>_xlfn.IMAGE("https://m.media-amazon.com/images/I/51Yb8h41vLL._AC_UL320_.jpg")</f>
        <v/>
      </c>
      <c r="K3688" t="inlineStr">
        <is>
          <t>6.49</t>
        </is>
      </c>
      <c r="L3688" t="n">
        <v>23.99</v>
      </c>
      <c r="M3688" s="1" t="inlineStr">
        <is>
          <t>269.65%</t>
        </is>
      </c>
      <c r="N3688" s="7" t="n">
        <v>33.37</v>
      </c>
      <c r="O3688" t="n">
        <v>4.8</v>
      </c>
      <c r="P3688" t="n">
        <v>193</v>
      </c>
      <c r="R3688" t="inlineStr">
        <is>
          <t>InStock</t>
        </is>
      </c>
      <c r="S3688" t="inlineStr">
        <is>
          <t>9.84</t>
        </is>
      </c>
      <c r="T3688" t="inlineStr">
        <is>
          <t>5999069462696</t>
        </is>
      </c>
    </row>
    <row r="3689" ht="87" customHeight="1">
      <c r="A3689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3689" s="2">
        <f>HYPERLINK("https://edmondsonsupply.com/products/klein-tools-635-7-16-7-16-inch-heavy-duty-nut-driver", "https://edmondsonsupply.com/products/klein-tools-635-7-16-7-16-inch-heavy-duty-nut-driver")</f>
        <v/>
      </c>
      <c r="C3689" t="inlineStr">
        <is>
          <t>Klein Tools 635-7/16 7/16-Inch Heavy-Duty Nut Driver</t>
        </is>
      </c>
      <c r="D3689" t="inlineStr">
        <is>
          <t>Klein Tools 635-4 Tool Set, Heavy Duty Magnetic Nut Drivers Hex Sizes 1/4, 5/16, 3/8, 7/16-Inch, Full Hollow Shafts w/Color Coding, 4-Piece</t>
        </is>
      </c>
      <c r="E3689" s="2">
        <f>HYPERLINK("https://www.amazon.com/Klein-Tools-Heavy-Duty-Driver-4-Piece/dp/B01D6D08UO/ref=sr_1_6?keywords=Klein+Tools+635-7%2F16+7%2F16-Inch+Heavy-Duty+Nut+Driver&amp;qid=1694735398&amp;sr=8-6", "https://www.amazon.com/Klein-Tools-Heavy-Duty-Driver-4-Piece/dp/B01D6D08UO/ref=sr_1_6?keywords=Klein+Tools+635-7%2F16+7%2F16-Inch+Heavy-Duty+Nut+Driver&amp;qid=1694735398&amp;sr=8-6")</f>
        <v/>
      </c>
      <c r="F3689" t="inlineStr">
        <is>
          <t>B01D6D08UO</t>
        </is>
      </c>
      <c r="G3689">
        <f>_xlfn.IMAGE("https://edmondsonsupply.com/cdn/shop/products/635-7-16.jpg?v=1587145128")</f>
        <v/>
      </c>
      <c r="H3689">
        <f>_xlfn.IMAGE("https://m.media-amazon.com/images/I/51svRJU945L._AC_UL320_.jpg")</f>
        <v/>
      </c>
      <c r="K3689" t="inlineStr">
        <is>
          <t>14.49</t>
        </is>
      </c>
      <c r="L3689" t="n">
        <v>53.13</v>
      </c>
      <c r="M3689" s="1" t="inlineStr">
        <is>
          <t>266.67%</t>
        </is>
      </c>
      <c r="N3689" s="7" t="n">
        <v>33.37</v>
      </c>
      <c r="O3689" t="n">
        <v>4.7</v>
      </c>
      <c r="P3689" t="n">
        <v>943</v>
      </c>
      <c r="R3689" t="inlineStr">
        <is>
          <t>InStock</t>
        </is>
      </c>
      <c r="S3689" t="inlineStr">
        <is>
          <t>21.94</t>
        </is>
      </c>
      <c r="T3689" t="inlineStr">
        <is>
          <t>4410745978980</t>
        </is>
      </c>
    </row>
    <row r="3690" ht="87" customHeight="1">
      <c r="A3690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3690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3690" t="inlineStr">
        <is>
          <t>Diablo Tools DMARG1070 1/4 in. x 4 in. x 6 in. SPEEDemon™ Red Granite Carbide Tipped Hammer Drill Bit</t>
        </is>
      </c>
      <c r="D3690" t="inlineStr">
        <is>
          <t>Diablo 1/4" x 4"x6" SPEEDemon Red Granite Carbide Tipped Hammer Drill Bit (5Pk)</t>
        </is>
      </c>
      <c r="E3690" s="2">
        <f>HYPERLINK("https://www.amazon.com/Diablo-Freud-DMARG1070-P5-SPEEDemon-Granite/dp/B089KVGTDT/ref=sr_1_7?keywords=Diablo+Tools+DMARG1070+1%2F4+in.+x+4+in.+x+6+in.+SPEEDemon%E2%84%A2+Red+Granite+Carbide+Tipped+Hammer+Drill+Bit&amp;qid=1694735286&amp;sr=8-7", "https://www.amazon.com/Diablo-Freud-DMARG1070-P5-SPEEDemon-Granite/dp/B089KVGTDT/ref=sr_1_7?keywords=Diablo+Tools+DMARG1070+1%2F4+in.+x+4+in.+x+6+in.+SPEEDemon%E2%84%A2+Red+Granite+Carbide+Tipped+Hammer+Drill+Bit&amp;qid=1694735286&amp;sr=8-7")</f>
        <v/>
      </c>
      <c r="F3690" t="inlineStr">
        <is>
          <t>B089KVGTDT</t>
        </is>
      </c>
      <c r="G3690">
        <f>_xlfn.IMAGE("https://edmondsonsupply.com/cdn/shop/products/DMARG1070_Main-Image20200407.png?v=1633030419")</f>
        <v/>
      </c>
      <c r="H3690">
        <f>_xlfn.IMAGE("https://m.media-amazon.com/images/I/61U5ShbMSHL._AC_UL320_.jpg")</f>
        <v/>
      </c>
      <c r="K3690" t="inlineStr">
        <is>
          <t>4.97</t>
        </is>
      </c>
      <c r="L3690" t="n">
        <v>18.16</v>
      </c>
      <c r="M3690" s="1" t="inlineStr">
        <is>
          <t>265.39%</t>
        </is>
      </c>
      <c r="N3690" s="7" t="n">
        <v>33.37</v>
      </c>
      <c r="O3690" t="n">
        <v>4.6</v>
      </c>
      <c r="P3690" t="n">
        <v>36</v>
      </c>
      <c r="R3690" t="inlineStr">
        <is>
          <t>InStock</t>
        </is>
      </c>
      <c r="S3690" t="inlineStr">
        <is>
          <t>undefined</t>
        </is>
      </c>
      <c r="T3690" t="inlineStr">
        <is>
          <t>5317981700264</t>
        </is>
      </c>
    </row>
    <row r="3691" ht="87" customHeight="1">
      <c r="A3691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3691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3691" t="inlineStr">
        <is>
          <t>Klein Tools 32308 8-in-1 Multi-Bit Adjustable Length Stubby Screwdriver</t>
        </is>
      </c>
      <c r="D3691" t="inlineStr">
        <is>
          <t>Klein Tools 80083 Impact Driver Kit &amp; 32308 Multi-bit Stubby Screwdriver, Impact Rated 8-in-1 Adjustable Magnetic Tool with Phillips</t>
        </is>
      </c>
      <c r="E3691" s="2">
        <f>HYPERLINK("https://www.amazon.com/Klein-Tools-Multi-bit-Screwdriver-Adjustable/dp/B0C3BBCVZK/ref=sr_1_5?keywords=Klein+Tools+32308+8-in-1+Multi-Bit+Adjustable+Length+Stubby+Screwdriver&amp;qid=1694735167&amp;sr=8-5", "https://www.amazon.com/Klein-Tools-Multi-bit-Screwdriver-Adjustable/dp/B0C3BBCVZK/ref=sr_1_5?keywords=Klein+Tools+32308+8-in-1+Multi-Bit+Adjustable+Length+Stubby+Screwdriver&amp;qid=1694735167&amp;sr=8-5")</f>
        <v/>
      </c>
      <c r="F3691" t="inlineStr">
        <is>
          <t>B0C3BBCVZK</t>
        </is>
      </c>
      <c r="G3691">
        <f>_xlfn.IMAGE("https://edmondsonsupply.com/cdn/shop/products/32308_b.jpg?v=1647348209")</f>
        <v/>
      </c>
      <c r="H3691">
        <f>_xlfn.IMAGE("https://m.media-amazon.com/images/I/517rxwwmQ2L._AC_UL320_.jpg")</f>
        <v/>
      </c>
      <c r="K3691" t="inlineStr">
        <is>
          <t>16.97</t>
        </is>
      </c>
      <c r="L3691" t="n">
        <v>61.96</v>
      </c>
      <c r="M3691" s="1" t="inlineStr">
        <is>
          <t>265.11%</t>
        </is>
      </c>
      <c r="N3691" s="7" t="n">
        <v>33.36</v>
      </c>
      <c r="O3691" t="n">
        <v>5</v>
      </c>
      <c r="P3691" t="n">
        <v>1</v>
      </c>
      <c r="R3691" t="inlineStr">
        <is>
          <t>InStock</t>
        </is>
      </c>
      <c r="S3691" t="inlineStr">
        <is>
          <t>23.78</t>
        </is>
      </c>
      <c r="T3691" t="inlineStr">
        <is>
          <t>7637271445720</t>
        </is>
      </c>
    </row>
    <row r="3692" ht="87" customHeight="1">
      <c r="A3692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3692" s="2">
        <f>HYPERLINK("https://edmondsonsupply.com/products/klein-tools-56333-steel-fish-tape-1-8-inch-x-120-foot", "https://edmondsonsupply.com/products/klein-tools-56333-steel-fish-tape-1-8-inch-x-120-foot")</f>
        <v/>
      </c>
      <c r="C3692" t="inlineStr">
        <is>
          <t>Klein Tools 56333 Steel Fish Tape, 1/8-Inch x 120-Foot</t>
        </is>
      </c>
      <c r="D3692" t="inlineStr">
        <is>
          <t>Klein Tools 56056 Electrical Fiberglass Fish Tape, 200-Foot x 3/16-Inch Wide Multi-Groove Fish Tape with Steel Leader</t>
        </is>
      </c>
      <c r="E3692" s="2">
        <f>HYPERLINK("https://www.amazon.com/Multi-Groove-Fiberglass-200-Foot-Klein-Tools/dp/B00N6Y8RRA/ref=sr_1_18?keywords=Klein+Tools+56333+Steel+Fish+Tape%2C+1%2F8-Inch+x+120-Foot&amp;qid=1694735382&amp;sr=8-18", "https://www.amazon.com/Multi-Groove-Fiberglass-200-Foot-Klein-Tools/dp/B00N6Y8RRA/ref=sr_1_18?keywords=Klein+Tools+56333+Steel+Fish+Tape%2C+1%2F8-Inch+x+120-Foot&amp;qid=1694735382&amp;sr=8-18")</f>
        <v/>
      </c>
      <c r="F3692" t="inlineStr">
        <is>
          <t>B00N6Y8RRA</t>
        </is>
      </c>
      <c r="G3692">
        <f>_xlfn.IMAGE("https://edmondsonsupply.com/cdn/shop/products/56333.jpg?v=1587147770")</f>
        <v/>
      </c>
      <c r="H3692">
        <f>_xlfn.IMAGE("https://m.media-amazon.com/images/I/61-dcSdFpvL._AC_UL320_.jpg")</f>
        <v/>
      </c>
      <c r="K3692" t="inlineStr">
        <is>
          <t>54.97</t>
        </is>
      </c>
      <c r="L3692" t="n">
        <v>199.99</v>
      </c>
      <c r="M3692" s="1" t="inlineStr">
        <is>
          <t>263.82%</t>
        </is>
      </c>
      <c r="N3692" s="7" t="n">
        <v>33.36</v>
      </c>
      <c r="O3692" t="n">
        <v>4.4</v>
      </c>
      <c r="P3692" t="n">
        <v>86</v>
      </c>
      <c r="R3692" t="inlineStr">
        <is>
          <t>InStock</t>
        </is>
      </c>
      <c r="S3692" t="inlineStr">
        <is>
          <t>82.48</t>
        </is>
      </c>
      <c r="T3692" t="inlineStr">
        <is>
          <t>4412208578660</t>
        </is>
      </c>
    </row>
    <row r="3693" ht="87" customHeight="1">
      <c r="A3693" s="2">
        <f>HYPERLINK("https://edmondsonsupply.com/collections/electricians-tools/products/klein-tools-98002bt-beverage-tool-bottle-opener", "https://edmondsonsupply.com/collections/electricians-tools/products/klein-tools-98002bt-beverage-tool-bottle-opener")</f>
        <v/>
      </c>
      <c r="B3693" s="2">
        <f>HYPERLINK("https://edmondsonsupply.com/products/klein-tools-98002bt-beverage-tool-bottle-opener", "https://edmondsonsupply.com/products/klein-tools-98002bt-beverage-tool-bottle-opener")</f>
        <v/>
      </c>
      <c r="C3693" t="inlineStr">
        <is>
          <t>Klein Tools 98002BT Beverage Tool - Bottle Opener</t>
        </is>
      </c>
      <c r="D3693" t="inlineStr">
        <is>
          <t>Klein Tools 55580 Stainless Steel Tumbler with Flip-top Lid, Insulated 20 oz. Tradesman's Double Wall Vacuum Mug, Slip-resistant Sleeve &amp; 98002BT Klein Bottle Opener</t>
        </is>
      </c>
      <c r="E3693" s="2">
        <f>HYPERLINK("https://www.amazon.com/Klein-Tools-Stainless-Tradesmans-Slip-resistant/dp/B0BR24Z6C4/ref=sr_1_4?keywords=Klein+Tools+98002BT+Beverage+Tool+-+Bottle+Opener&amp;qid=1694735352&amp;sr=8-4", "https://www.amazon.com/Klein-Tools-Stainless-Tradesmans-Slip-resistant/dp/B0BR24Z6C4/ref=sr_1_4?keywords=Klein+Tools+98002BT+Beverage+Tool+-+Bottle+Opener&amp;qid=1694735352&amp;sr=8-4")</f>
        <v/>
      </c>
      <c r="F3693" t="inlineStr">
        <is>
          <t>B0BR24Z6C4</t>
        </is>
      </c>
      <c r="G3693">
        <f>_xlfn.IMAGE("https://edmondsonsupply.com/cdn/shop/products/98002.jpg?v=1587146514")</f>
        <v/>
      </c>
      <c r="H3693">
        <f>_xlfn.IMAGE("https://m.media-amazon.com/images/I/41j1qb4avWL._AC_UL320_.jpg")</f>
        <v/>
      </c>
      <c r="K3693" t="inlineStr">
        <is>
          <t>8.99</t>
        </is>
      </c>
      <c r="L3693" t="n">
        <v>32.67</v>
      </c>
      <c r="M3693" s="1" t="inlineStr">
        <is>
          <t>263.40%</t>
        </is>
      </c>
      <c r="N3693" s="7" t="n">
        <v>33.36</v>
      </c>
      <c r="O3693" t="n">
        <v>5</v>
      </c>
      <c r="P3693" t="n">
        <v>1</v>
      </c>
      <c r="R3693" t="inlineStr">
        <is>
          <t>InStock</t>
        </is>
      </c>
      <c r="S3693" t="inlineStr">
        <is>
          <t>13.62</t>
        </is>
      </c>
      <c r="T3693" t="inlineStr">
        <is>
          <t>4495588786276</t>
        </is>
      </c>
    </row>
    <row r="3694" ht="87" customHeight="1">
      <c r="A3694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3694" s="2">
        <f>HYPERLINK("https://edmondsonsupply.com/products/milwaukee-48-22-1521-compact-folding-knife", "https://edmondsonsupply.com/products/milwaukee-48-22-1521-compact-folding-knife")</f>
        <v/>
      </c>
      <c r="C3694" t="inlineStr">
        <is>
          <t>Milwaukee 48-22-1521 Compact Folding Knife</t>
        </is>
      </c>
      <c r="D3694" t="inlineStr">
        <is>
          <t>SHISHUVIN For Milwaukee 48-22-1540 FASTBACK 5 in 1 Folding Pocket Knife Length 8.75 in Height 1 in Width 2 in</t>
        </is>
      </c>
      <c r="E3694" s="2">
        <f>HYPERLINK("https://www.amazon.com/SHISHUVIN-Milwaukee-48-22-1540-FASTBACK-Folding/dp/B0C1RJSRPR/ref=sr_1_13?keywords=Milwaukee+48-22-1521+Compact+Folding+Knife&amp;qid=1694735039&amp;sr=8-13", "https://www.amazon.com/SHISHUVIN-Milwaukee-48-22-1540-FASTBACK-Folding/dp/B0C1RJSRPR/ref=sr_1_13?keywords=Milwaukee+48-22-1521+Compact+Folding+Knife&amp;qid=1694735039&amp;sr=8-13")</f>
        <v/>
      </c>
      <c r="F3694" t="inlineStr">
        <is>
          <t>B0C1RJSRPR</t>
        </is>
      </c>
      <c r="G3694">
        <f>_xlfn.IMAGE("https://edmondsonsupply.com/cdn/shop/products/48-22-1521_1.webp?v=1675359641")</f>
        <v/>
      </c>
      <c r="H3694">
        <f>_xlfn.IMAGE("https://m.media-amazon.com/images/I/413xL6xnD1L._AC_UL320_.jpg")</f>
        <v/>
      </c>
      <c r="K3694" t="inlineStr">
        <is>
          <t>12.97</t>
        </is>
      </c>
      <c r="L3694" t="n">
        <v>47</v>
      </c>
      <c r="M3694" s="1" t="inlineStr">
        <is>
          <t>262.37%</t>
        </is>
      </c>
      <c r="N3694" s="7" t="n">
        <v>33.36</v>
      </c>
      <c r="O3694" t="n">
        <v>5</v>
      </c>
      <c r="P3694" t="n">
        <v>1</v>
      </c>
      <c r="R3694" t="inlineStr">
        <is>
          <t>InStock</t>
        </is>
      </c>
      <c r="S3694" t="inlineStr">
        <is>
          <t>15.5</t>
        </is>
      </c>
      <c r="T3694" t="inlineStr">
        <is>
          <t>7937891827928</t>
        </is>
      </c>
    </row>
    <row r="3695" ht="87" customHeight="1">
      <c r="A3695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3695" s="2">
        <f>HYPERLINK("https://edmondsonsupply.com/products/klein-tools-jth9m5-4-mm-hex-key-journeyman-t-handle-9-inch", "https://edmondsonsupply.com/products/klein-tools-jth9m5-4-mm-hex-key-journeyman-t-handle-9-inch")</f>
        <v/>
      </c>
      <c r="C3695" t="inlineStr">
        <is>
          <t>Klein Tools JTH9M4 4 mm Hex Key, Journeyman T-Handle, 9-Inch</t>
        </is>
      </c>
      <c r="D3695" t="inlineStr">
        <is>
          <t>Klein Tools JTH9M8 8 mm Hex Key with Journeyman T-Handle, 9-Inch</t>
        </is>
      </c>
      <c r="E3695" s="2">
        <f>HYPERLINK("https://www.amazon.com/Journeyman-T-Handle-Klein-Tools-JTH9M8/dp/B005G3HJSC/ref=sr_1_13?keywords=Klein+Tools+JTH9M4+4+mm+Hex+Key%2C+Journeyman+T-Handle%2C+9-Inch&amp;qid=1694735170&amp;sr=8-13", "https://www.amazon.com/Journeyman-T-Handle-Klein-Tools-JTH9M8/dp/B005G3HJSC/ref=sr_1_13?keywords=Klein+Tools+JTH9M4+4+mm+Hex+Key%2C+Journeyman+T-Handle%2C+9-Inch&amp;qid=1694735170&amp;sr=8-13")</f>
        <v/>
      </c>
      <c r="F3695" t="inlineStr">
        <is>
          <t>B005G3HJSC</t>
        </is>
      </c>
      <c r="G3695">
        <f>_xlfn.IMAGE("https://edmondsonsupply.com/cdn/shop/products/jth9m_fa8a641d-d03f-4191-ab24-b9045963e4f7.jpg?v=1640191121")</f>
        <v/>
      </c>
      <c r="H3695">
        <f>_xlfn.IMAGE("https://m.media-amazon.com/images/I/51+1x0vz9XL._AC_UL320_.jpg")</f>
        <v/>
      </c>
      <c r="K3695" t="inlineStr">
        <is>
          <t>4.49</t>
        </is>
      </c>
      <c r="L3695" t="n">
        <v>16.27</v>
      </c>
      <c r="M3695" s="1" t="inlineStr">
        <is>
          <t>262.36%</t>
        </is>
      </c>
      <c r="N3695" s="7" t="n">
        <v>33.35</v>
      </c>
      <c r="O3695" t="n">
        <v>5</v>
      </c>
      <c r="P3695" t="n">
        <v>4</v>
      </c>
      <c r="R3695" t="inlineStr">
        <is>
          <t>InStock</t>
        </is>
      </c>
      <c r="S3695" t="inlineStr">
        <is>
          <t>6.8</t>
        </is>
      </c>
      <c r="T3695" t="inlineStr">
        <is>
          <t>7555980656856</t>
        </is>
      </c>
    </row>
    <row r="3696" ht="87" customHeight="1">
      <c r="A3696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3696" s="2">
        <f>HYPERLINK("https://edmondsonsupply.com/products/klein-tools-jth9m3-3-mm-hex-key-with-journeyman-t-handle-9-inch", "https://edmondsonsupply.com/products/klein-tools-jth9m3-3-mm-hex-key-with-journeyman-t-handle-9-inch")</f>
        <v/>
      </c>
      <c r="C3696" t="inlineStr">
        <is>
          <t>Klein Tools JTH9M3 3 mm Hex Key with Journeyman T-Handle, 9-Inch</t>
        </is>
      </c>
      <c r="D3696" t="inlineStr">
        <is>
          <t>Klein Tools JTH9M8 8 mm Hex Key with Journeyman T-Handle, 9-Inch</t>
        </is>
      </c>
      <c r="E3696" s="2">
        <f>HYPERLINK("https://www.amazon.com/Journeyman-T-Handle-Klein-Tools-JTH9M8/dp/B005G3HJSC/ref=sr_1_6?keywords=Klein+Tools+JTH9M3+3+mm+Hex+Key+with+Journeyman+T-Handle%2C+9-Inch&amp;qid=1694735249&amp;sr=8-6", "https://www.amazon.com/Journeyman-T-Handle-Klein-Tools-JTH9M8/dp/B005G3HJSC/ref=sr_1_6?keywords=Klein+Tools+JTH9M3+3+mm+Hex+Key+with+Journeyman+T-Handle%2C+9-Inch&amp;qid=1694735249&amp;sr=8-6")</f>
        <v/>
      </c>
      <c r="F3696" t="inlineStr">
        <is>
          <t>B005G3HJSC</t>
        </is>
      </c>
      <c r="G3696">
        <f>_xlfn.IMAGE("https://edmondsonsupply.com/cdn/shop/products/jth9m.jpg?v=1633030702")</f>
        <v/>
      </c>
      <c r="H3696">
        <f>_xlfn.IMAGE("https://m.media-amazon.com/images/I/51+1x0vz9XL._AC_UL320_.jpg")</f>
        <v/>
      </c>
      <c r="K3696" t="inlineStr">
        <is>
          <t>4.49</t>
        </is>
      </c>
      <c r="L3696" t="n">
        <v>16.27</v>
      </c>
      <c r="M3696" s="1" t="inlineStr">
        <is>
          <t>262.36%</t>
        </is>
      </c>
      <c r="N3696" s="7" t="n">
        <v>33.34</v>
      </c>
      <c r="O3696" t="n">
        <v>5</v>
      </c>
      <c r="P3696" t="n">
        <v>4</v>
      </c>
      <c r="R3696" t="inlineStr">
        <is>
          <t>InStock</t>
        </is>
      </c>
      <c r="S3696" t="inlineStr">
        <is>
          <t>6.82</t>
        </is>
      </c>
      <c r="T3696" t="inlineStr">
        <is>
          <t>5848344035496</t>
        </is>
      </c>
    </row>
    <row r="3697" ht="87" customHeight="1">
      <c r="A3697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3697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3697" t="inlineStr">
        <is>
          <t>Klein Tools JTH9E08 1/8-Inch Hex Key with Journeyman T-Handle, 9-Inch</t>
        </is>
      </c>
      <c r="D3697" t="inlineStr">
        <is>
          <t>Klein Tools JTH9M8 8 mm Hex Key with Journeyman T-Handle, 9-Inch</t>
        </is>
      </c>
      <c r="E3697" s="2">
        <f>HYPERLINK("https://www.amazon.com/Journeyman-T-Handle-Klein-Tools-JTH9M8/dp/B005G3HJSC/ref=sr_1_5?keywords=Klein+Tools+JTH9E08+1%2F8-Inch+Hex+Key+with+Journeyman+T-Handle%2C+9-Inch&amp;qid=1694735421&amp;sr=8-5", "https://www.amazon.com/Journeyman-T-Handle-Klein-Tools-JTH9M8/dp/B005G3HJSC/ref=sr_1_5?keywords=Klein+Tools+JTH9E08+1%2F8-Inch+Hex+Key+with+Journeyman+T-Handle%2C+9-Inch&amp;qid=1694735421&amp;sr=8-5")</f>
        <v/>
      </c>
      <c r="F3697" t="inlineStr">
        <is>
          <t>B005G3HJSC</t>
        </is>
      </c>
      <c r="G3697">
        <f>_xlfn.IMAGE("https://edmondsonsupply.com/cdn/shop/products/jth6e15_f2733d2c-ab65-41d7-8597-f1dfd8fcaabf.jpg?v=1587142807")</f>
        <v/>
      </c>
      <c r="H3697">
        <f>_xlfn.IMAGE("https://m.media-amazon.com/images/I/51+1x0vz9XL._AC_UL320_.jpg")</f>
        <v/>
      </c>
      <c r="K3697" t="inlineStr">
        <is>
          <t>4.49</t>
        </is>
      </c>
      <c r="L3697" t="n">
        <v>16.27</v>
      </c>
      <c r="M3697" s="1" t="inlineStr">
        <is>
          <t>262.36%</t>
        </is>
      </c>
      <c r="N3697" s="7" t="n">
        <v>33.34</v>
      </c>
      <c r="O3697" t="n">
        <v>5</v>
      </c>
      <c r="P3697" t="n">
        <v>4</v>
      </c>
      <c r="R3697" t="inlineStr">
        <is>
          <t>InStock</t>
        </is>
      </c>
      <c r="S3697" t="inlineStr">
        <is>
          <t>6.82</t>
        </is>
      </c>
      <c r="T3697" t="inlineStr">
        <is>
          <t>4352186810468</t>
        </is>
      </c>
    </row>
    <row r="3698" hidden="1" ht="15.75" customHeight="1">
      <c r="A3698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698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698" t="inlineStr">
        <is>
          <t>Klein Tools JTH4E09 9/64-Inch Hex Key Journeyman T-Handle 4-Inch</t>
        </is>
      </c>
      <c r="D3698" t="inlineStr">
        <is>
          <t>Klein Tools JTH9M25 2.5 mm Hex Key with Journeyman T-Handle, 9-Inch (Pack of 2)</t>
        </is>
      </c>
      <c r="E3698" s="2">
        <f>HYPERLINK("https://www.amazon.com/Klein-Tools-JTH9M25-Journeyman-T-Handle/dp/B0CFXPBXYK/ref=sr_1_11?keywords=Klein+Tools+JTH4E09+9%2F64-Inch+Hex+Key+Journeyman+T-Handle+4-Inch&amp;qid=1694735175&amp;sr=8-11", "https://www.amazon.com/Klein-Tools-JTH9M25-Journeyman-T-Handle/dp/B0CFXPBXYK/ref=sr_1_11?keywords=Klein+Tools+JTH4E09+9%2F64-Inch+Hex+Key+Journeyman+T-Handle+4-Inch&amp;qid=1694735175&amp;sr=8-11")</f>
        <v/>
      </c>
      <c r="F3698" t="inlineStr">
        <is>
          <t>B0CFXPBXYK</t>
        </is>
      </c>
      <c r="G3698">
        <f>_xludf.IMAGE("https://edmondsonsupply.com/cdn/shop/products/jth4e06_be5118a6-2e9d-44f5-81ad-c027572dd2d3.jpg?v=1635981570")</f>
        <v/>
      </c>
      <c r="H3698">
        <f>_xludf.IMAGE("https://m.media-amazon.com/images/I/41QPzTKY+AL._AC_UL320_.jpg")</f>
        <v/>
      </c>
      <c r="K3698" t="inlineStr">
        <is>
          <t>3.79</t>
        </is>
      </c>
      <c r="L3698" t="n">
        <v>13.68</v>
      </c>
      <c r="M3698" s="1" t="inlineStr">
        <is>
          <t>260.95%</t>
        </is>
      </c>
      <c r="N3698" s="1" t="n">
        <v>33.34</v>
      </c>
      <c r="O3698" t="n">
        <v>4.2</v>
      </c>
      <c r="P3698" t="n">
        <v>14</v>
      </c>
      <c r="R3698" t="inlineStr">
        <is>
          <t>InStock</t>
        </is>
      </c>
      <c r="S3698" t="inlineStr">
        <is>
          <t>5.76</t>
        </is>
      </c>
      <c r="T3698" t="inlineStr">
        <is>
          <t>7434795876568</t>
        </is>
      </c>
    </row>
    <row r="3699" ht="87" customHeight="1">
      <c r="A3699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3699" s="2">
        <f>HYPERLINK("https://edmondsonsupply.com/products/klein-tools-55470-stand-up-zipper-bags-2-pack", "https://edmondsonsupply.com/products/klein-tools-55470-stand-up-zipper-bags-2-pack")</f>
        <v/>
      </c>
      <c r="C3699" t="inlineStr">
        <is>
          <t>Klein Tools 55470 Zipper Bag, Stand-Up Tool Pouch, 2-Pack</t>
        </is>
      </c>
      <c r="D3699" t="inlineStr">
        <is>
          <t>Klein Tools 5141 Canvas Zipper Bag, 12.5 x 7-Inch, Brown/Black/Gray/Red 4-Pack &amp; 55470 Utility Bag, Stand-Up Zipper Tool Bags, Orange/Black, Gray/Black, 2-Pack</t>
        </is>
      </c>
      <c r="E3699" s="2">
        <f>HYPERLINK("https://www.amazon.com/Klein-Tools-Canvas-Utility-Stand-Up/dp/B0BD3XVWR6/ref=sr_1_8?keywords=Klein+Tools+55470+Zipper+Bag%2C+Stand-Up+Tool+Pouch%2C+2-Pack&amp;qid=1694735348&amp;sr=8-8", "https://www.amazon.com/Klein-Tools-Canvas-Utility-Stand-Up/dp/B0BD3XVWR6/ref=sr_1_8?keywords=Klein+Tools+55470+Zipper+Bag%2C+Stand-Up+Tool+Pouch%2C+2-Pack&amp;qid=1694735348&amp;sr=8-8")</f>
        <v/>
      </c>
      <c r="F3699" t="inlineStr">
        <is>
          <t>B0BD3XVWR6</t>
        </is>
      </c>
      <c r="G3699">
        <f>_xlfn.IMAGE("https://edmondsonsupply.com/cdn/shop/products/55470.jpg?v=1587149313")</f>
        <v/>
      </c>
      <c r="H3699">
        <f>_xlfn.IMAGE("https://m.media-amazon.com/images/I/51n7dZuAc6L._AC_UL320_.jpg")</f>
        <v/>
      </c>
      <c r="K3699" t="inlineStr">
        <is>
          <t>14.97</t>
        </is>
      </c>
      <c r="L3699" t="n">
        <v>53.99</v>
      </c>
      <c r="M3699" s="1" t="inlineStr">
        <is>
          <t>260.65%</t>
        </is>
      </c>
      <c r="N3699" s="7" t="n">
        <v>33.34</v>
      </c>
      <c r="O3699" t="n">
        <v>5</v>
      </c>
      <c r="P3699" t="n">
        <v>2</v>
      </c>
      <c r="R3699" t="inlineStr">
        <is>
          <t>InStock</t>
        </is>
      </c>
      <c r="S3699" t="inlineStr">
        <is>
          <t>21.5</t>
        </is>
      </c>
      <c r="T3699" t="inlineStr">
        <is>
          <t>1723696971876</t>
        </is>
      </c>
    </row>
    <row r="3700" ht="87" customHeight="1">
      <c r="A3700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700" s="2">
        <f>HYPERLINK("https://edmondsonsupply.com/products/klein-tools-56331-steel-fish-tape-1-8-inch-x-50-foot", "https://edmondsonsupply.com/products/klein-tools-56331-steel-fish-tape-1-8-inch-x-50-foot")</f>
        <v/>
      </c>
      <c r="C3700" t="inlineStr">
        <is>
          <t>Klein Tools 56331 Steel Fish Tape, 1/8-Inch x 50-Foot</t>
        </is>
      </c>
      <c r="D3700" t="inlineStr">
        <is>
          <t>Klein Tools 56382 Non-Conductive Electrical Fish Tape, Multi-Groove Fiberglass Wire Puller, Optimized Housing and Handle, 50-Foot x 3/16-Inch</t>
        </is>
      </c>
      <c r="E3700" s="2">
        <f>HYPERLINK("https://www.amazon.com/Klein-Tools-56382-Multi-Groove-Fiberglass/dp/B081ZTKDLJ/ref=sr_1_24?keywords=Klein+Tools+56331+Steel+Fish+Tape%2C+1%2F8-Inch+x+50-Foot&amp;qid=1694735384&amp;sr=8-24", "https://www.amazon.com/Klein-Tools-56382-Multi-Groove-Fiberglass/dp/B081ZTKDLJ/ref=sr_1_24?keywords=Klein+Tools+56331+Steel+Fish+Tape%2C+1%2F8-Inch+x+50-Foot&amp;qid=1694735384&amp;sr=8-24")</f>
        <v/>
      </c>
      <c r="F3700" t="inlineStr">
        <is>
          <t>B081ZTKDLJ</t>
        </is>
      </c>
      <c r="G3700">
        <f>_xlfn.IMAGE("https://edmondsonsupply.com/cdn/shop/products/56331.jpg?v=1587143350")</f>
        <v/>
      </c>
      <c r="H3700">
        <f>_xlfn.IMAGE("https://m.media-amazon.com/images/I/51ObZVU2LaL._AC_UL320_.jpg")</f>
        <v/>
      </c>
      <c r="K3700" t="inlineStr">
        <is>
          <t>24.99</t>
        </is>
      </c>
      <c r="L3700" t="n">
        <v>89.98999999999999</v>
      </c>
      <c r="M3700" s="1" t="inlineStr">
        <is>
          <t>260.10%</t>
        </is>
      </c>
      <c r="N3700" s="7" t="n">
        <v>33.31</v>
      </c>
      <c r="O3700" t="n">
        <v>4.4</v>
      </c>
      <c r="P3700" t="n">
        <v>100</v>
      </c>
      <c r="R3700" t="inlineStr">
        <is>
          <t>InStock</t>
        </is>
      </c>
      <c r="S3700" t="inlineStr">
        <is>
          <t>30.9</t>
        </is>
      </c>
      <c r="T3700" t="inlineStr">
        <is>
          <t>4412204056676</t>
        </is>
      </c>
    </row>
    <row r="3701" ht="87" customHeight="1">
      <c r="A3701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3701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3701" t="inlineStr">
        <is>
          <t>Diablo Tools DMAPL4055 3/16 in. x 10 in. x 12 in. Rebar Demon™ SDS‑Plus 4‑Cutter Full Carbide Head Hammer Bit</t>
        </is>
      </c>
      <c r="D3701" t="inlineStr">
        <is>
          <t>Diablo DMAMX1140 3/4 in. x 16 in. x 21 in. Rebar Demon™ SDS-Max 4-Cutter Full Carbide Head Hammer Bit</t>
        </is>
      </c>
      <c r="E3701" s="2">
        <f>HYPERLINK("https://www.amazon.com/Diablo-SDS-Max-4-Cutter-Carbide-Hammer/dp/B089KWP4WK/ref=sr_1_36?keywords=Diablo+Tools+DMAPL4055+3%2F16+in.+x+10+in.+x+12+in.+Rebar+Demon%E2%84%A2+SDS%E2%80%91Plus+4%E2%80%91Cutter+Full+Carbide+Head+Hammer+Bit&amp;qid=1694735287&amp;sr=8-36", "https://www.amazon.com/Diablo-SDS-Max-4-Cutter-Carbide-Hammer/dp/B089KWP4WK/ref=sr_1_36?keywords=Diablo+Tools+DMAPL4055+3%2F16+in.+x+10+in.+x+12+in.+Rebar+Demon%E2%84%A2+SDS%E2%80%91Plus+4%E2%80%91Cutter+Full+Carbide+Head+Hammer+Bit&amp;qid=1694735287&amp;sr=8-36")</f>
        <v/>
      </c>
      <c r="F3701" t="inlineStr">
        <is>
          <t>B089KWP4WK</t>
        </is>
      </c>
      <c r="G3701">
        <f>_xlfn.IMAGE("https://edmondsonsupply.com/cdn/shop/products/DMAPL4055_Main-Image20200331.png?v=1633030416")</f>
        <v/>
      </c>
      <c r="H3701">
        <f>_xlfn.IMAGE("https://m.media-amazon.com/images/I/61yWWNP1xrL._AC_UL320_.jpg")</f>
        <v/>
      </c>
      <c r="K3701" t="inlineStr">
        <is>
          <t>13.97</t>
        </is>
      </c>
      <c r="L3701" t="n">
        <v>50.26</v>
      </c>
      <c r="M3701" s="1" t="inlineStr">
        <is>
          <t>259.77%</t>
        </is>
      </c>
      <c r="N3701" s="7" t="n">
        <v>33.29</v>
      </c>
      <c r="O3701" t="n">
        <v>5</v>
      </c>
      <c r="P3701" t="n">
        <v>9</v>
      </c>
      <c r="R3701" t="inlineStr">
        <is>
          <t>InStock</t>
        </is>
      </c>
      <c r="S3701" t="inlineStr">
        <is>
          <t>19.56</t>
        </is>
      </c>
      <c r="T3701" t="inlineStr">
        <is>
          <t>5316790714536</t>
        </is>
      </c>
    </row>
    <row r="3702" ht="87" customHeight="1">
      <c r="A3702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3702" s="2">
        <f>HYPERLINK("https://edmondsonsupply.com/products/diablo-tools-dmast1050-5-8-in-x-2-1-16-x-sds-plus-2-cutter", "https://edmondsonsupply.com/products/diablo-tools-dmast1050-5-8-in-x-2-1-16-x-sds-plus-2-cutter")</f>
        <v/>
      </c>
      <c r="C3702" t="inlineStr">
        <is>
          <t>Diablo Tools DMAST1050 5/8 in. x 2-1/16 SDS-Plus 2-Cutter</t>
        </is>
      </c>
      <c r="D3702" t="inlineStr">
        <is>
          <t>Diablo DMAMX1110 5/8 in. x 24 in. x 29 in. Rebar Demon™ SDS-Max 4-Cutter Full Carbide Head Hammer Bit</t>
        </is>
      </c>
      <c r="E3702" s="2">
        <f>HYPERLINK("https://www.amazon.com/Diablo-SDS-Max-4-Cutter-Carbide-Hammer/dp/B089LJ9GHW/ref=sr_1_33?keywords=Diablo+Tools+DMAST1050+5%2F8+in.+x+2-1%2F16+SDS-Plus+2-Cutter&amp;qid=1694735304&amp;sr=8-33", "https://www.amazon.com/Diablo-SDS-Max-4-Cutter-Carbide-Hammer/dp/B089LJ9GHW/ref=sr_1_33?keywords=Diablo+Tools+DMAST1050+5%2F8+in.+x+2-1%2F16+SDS-Plus+2-Cutter&amp;qid=1694735304&amp;sr=8-33")</f>
        <v/>
      </c>
      <c r="F3702" t="inlineStr">
        <is>
          <t>B089LJ9GHW</t>
        </is>
      </c>
      <c r="G3702">
        <f>_xlfn.IMAGE("https://edmondsonsupply.com/cdn/shop/products/DMAST1050_1.jpg?v=1633030363")</f>
        <v/>
      </c>
      <c r="H3702">
        <f>_xlfn.IMAGE("https://m.media-amazon.com/images/I/61vWAd-z8eL._AC_UL320_.jpg")</f>
        <v/>
      </c>
      <c r="K3702" t="inlineStr">
        <is>
          <t>21.97</t>
        </is>
      </c>
      <c r="L3702" t="n">
        <v>78.98999999999999</v>
      </c>
      <c r="M3702" s="1" t="inlineStr">
        <is>
          <t>259.54%</t>
        </is>
      </c>
      <c r="N3702" s="7" t="n">
        <v>33.23</v>
      </c>
      <c r="O3702" t="n">
        <v>4.7</v>
      </c>
      <c r="P3702" t="n">
        <v>4</v>
      </c>
      <c r="R3702" t="inlineStr">
        <is>
          <t>InStock</t>
        </is>
      </c>
      <c r="S3702" t="inlineStr">
        <is>
          <t>29.12</t>
        </is>
      </c>
      <c r="T3702" t="inlineStr">
        <is>
          <t>5286938869928</t>
        </is>
      </c>
    </row>
    <row r="3703" ht="87" customHeight="1">
      <c r="A3703" s="2">
        <f>HYPERLINK("https://edmondsonsupply.com/collections/electricians-tools/products/klein-tools-42200-electricians-tool-apron-m-l", "https://edmondsonsupply.com/collections/electricians-tools/products/klein-tools-42200-electricians-tool-apron-m-l")</f>
        <v/>
      </c>
      <c r="B3703" s="2">
        <f>HYPERLINK("https://edmondsonsupply.com/products/klein-tools-42200-electricians-tool-apron-m-l", "https://edmondsonsupply.com/products/klein-tools-42200-electricians-tool-apron-m-l")</f>
        <v/>
      </c>
      <c r="C3703" t="inlineStr">
        <is>
          <t>Klein Tools 42200 Electrician's Tool Apron M/L</t>
        </is>
      </c>
      <c r="D3703" t="inlineStr">
        <is>
          <t>Klein Tools 55428 Tradesman Pro Electrician's Padded Tool Belt and Tool Pouch Combo for Long-wear Comfort and Durability Size Large, Black</t>
        </is>
      </c>
      <c r="E3703" s="2">
        <f>HYPERLINK("https://www.amazon.com/Klein-Tools-55428-Electricians-Durability/dp/B00BZXA376/ref=sr_1_16?keywords=Klein+Tools+42200+Electrician%27s+Tool+Apron+M%2FL&amp;qid=1694735356&amp;sr=8-16", "https://www.amazon.com/Klein-Tools-55428-Electricians-Durability/dp/B00BZXA376/ref=sr_1_16?keywords=Klein+Tools+42200+Electrician%27s+Tool+Apron+M%2FL&amp;qid=1694735356&amp;sr=8-16")</f>
        <v/>
      </c>
      <c r="F3703" t="inlineStr">
        <is>
          <t>B00BZXA376</t>
        </is>
      </c>
      <c r="G3703">
        <f>_xlfn.IMAGE("https://edmondsonsupply.com/cdn/shop/products/42200.jpg?v=1587143574")</f>
        <v/>
      </c>
      <c r="H3703">
        <f>_xlfn.IMAGE("https://m.media-amazon.com/images/I/61hBX21HbTL._AC_UL320_.jpg")</f>
        <v/>
      </c>
      <c r="K3703" t="inlineStr">
        <is>
          <t>31.99</t>
        </is>
      </c>
      <c r="L3703" t="n">
        <v>115</v>
      </c>
      <c r="M3703" s="1" t="inlineStr">
        <is>
          <t>259.49%</t>
        </is>
      </c>
      <c r="N3703" s="7" t="n">
        <v>33.22</v>
      </c>
      <c r="O3703" t="n">
        <v>4.3</v>
      </c>
      <c r="P3703" t="n">
        <v>527</v>
      </c>
      <c r="R3703" t="inlineStr">
        <is>
          <t>InStock</t>
        </is>
      </c>
      <c r="S3703" t="inlineStr">
        <is>
          <t>48.48</t>
        </is>
      </c>
      <c r="T3703" t="inlineStr">
        <is>
          <t>4432204890212</t>
        </is>
      </c>
    </row>
    <row r="3704" ht="87" customHeight="1">
      <c r="A3704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704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704" t="inlineStr">
        <is>
          <t>Diablo Tools DMARG1030 3/16 in. x 4 in. x 6 in. SPEEDemon™ Red Granite Carbide Tipped Hammer Drill Bit</t>
        </is>
      </c>
      <c r="D3704" t="inlineStr">
        <is>
          <t>Diablo by Freud DMARG1020-P5 5/32 in. x 3 in. x 6 in. SPEEDemon Red Granite Carbide Tipped Hammer Drill Bit (5-Pack)</t>
        </is>
      </c>
      <c r="E3704" s="2">
        <f>HYPERLINK("https://www.amazon.com/Diablo-SPEEDemon-Granite-Carbide-Tipped/dp/B089KX38FF/ref=sr_1_11?keywords=Diablo+Tools+DMARG1030+3%2F16+in.+x+4+in.+x+6+in.+SPEEDemon%E2%84%A2+Red+Granite+Carbide+Tipped+Hammer+Drill+Bit&amp;qid=1694735280&amp;sr=8-11", "https://www.amazon.com/Diablo-SPEEDemon-Granite-Carbide-Tipped/dp/B089KX38FF/ref=sr_1_11?keywords=Diablo+Tools+DMARG1030+3%2F16+in.+x+4+in.+x+6+in.+SPEEDemon%E2%84%A2+Red+Granite+Carbide+Tipped+Hammer+Drill+Bit&amp;qid=1694735280&amp;sr=8-11")</f>
        <v/>
      </c>
      <c r="F3704" t="inlineStr">
        <is>
          <t>B089KX38FF</t>
        </is>
      </c>
      <c r="G3704">
        <f>_xlfn.IMAGE("https://edmondsonsupply.com/cdn/shop/products/DMARG1030_Main-Image20200407.png?v=1633030509")</f>
        <v/>
      </c>
      <c r="H3704">
        <f>_xlfn.IMAGE("https://m.media-amazon.com/images/I/61BDYFEnTRL._AC_UL320_.jpg")</f>
        <v/>
      </c>
      <c r="K3704" t="inlineStr">
        <is>
          <t>4.47</t>
        </is>
      </c>
      <c r="L3704" t="n">
        <v>16.01</v>
      </c>
      <c r="M3704" s="1" t="inlineStr">
        <is>
          <t>258.17%</t>
        </is>
      </c>
      <c r="N3704" s="7" t="n">
        <v>32.98</v>
      </c>
      <c r="O3704" t="n">
        <v>4.6</v>
      </c>
      <c r="P3704" t="n">
        <v>27</v>
      </c>
      <c r="R3704" t="inlineStr">
        <is>
          <t>InStock</t>
        </is>
      </c>
      <c r="S3704" t="inlineStr">
        <is>
          <t>undefined</t>
        </is>
      </c>
      <c r="T3704" t="inlineStr">
        <is>
          <t>5386199629992</t>
        </is>
      </c>
    </row>
    <row r="3705" ht="87" customHeight="1">
      <c r="A3705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3705" s="2">
        <f>HYPERLINK("https://edmondsonsupply.com/products/klein-tools-56028-flashlight-with-worklight-led-flashlight", "https://edmondsonsupply.com/products/klein-tools-56028-flashlight-with-worklight-led-flashlight")</f>
        <v/>
      </c>
      <c r="C3705" t="inlineStr">
        <is>
          <t>Klein Tools 56028 LED Flashlight with Work Light</t>
        </is>
      </c>
      <c r="D3705" t="inlineStr">
        <is>
          <t>Klein Tools 56403 LED Light, Rechargeable Flashlight/Worklight &amp; PJSFM1 Battery Operated Rechargeable Fan with USB-C Charging Cord and Multiple Mounting Options Perfect for the Jobsite</t>
        </is>
      </c>
      <c r="E3705" s="2">
        <f>HYPERLINK("https://www.amazon.com/Klein-Tools-Rechargeable-Flashlight-Worklight/dp/B0BC85LX49/ref=sr_1_13?keywords=Klein+Tools+56028+LED+Flashlight+with+Work+Light&amp;qid=1694735208&amp;sr=8-13", "https://www.amazon.com/Klein-Tools-Rechargeable-Flashlight-Worklight/dp/B0BC85LX49/ref=sr_1_13?keywords=Klein+Tools+56028+LED+Flashlight+with+Work+Light&amp;qid=1694735208&amp;sr=8-13")</f>
        <v/>
      </c>
      <c r="F3705" t="inlineStr">
        <is>
          <t>B0BC85LX49</t>
        </is>
      </c>
      <c r="G3705">
        <f>_xlfn.IMAGE("https://edmondsonsupply.com/cdn/shop/products/56028.jpg?v=1587148656")</f>
        <v/>
      </c>
      <c r="H3705">
        <f>_xlfn.IMAGE("https://m.media-amazon.com/images/I/61HjyBviEWL._AC_UL320_.jpg")</f>
        <v/>
      </c>
      <c r="K3705" t="inlineStr">
        <is>
          <t>26.97</t>
        </is>
      </c>
      <c r="L3705" t="n">
        <v>96.47</v>
      </c>
      <c r="M3705" s="1" t="inlineStr">
        <is>
          <t>257.69%</t>
        </is>
      </c>
      <c r="N3705" s="7" t="n">
        <v>32.53</v>
      </c>
      <c r="O3705" t="n">
        <v>5</v>
      </c>
      <c r="P3705" t="n">
        <v>1</v>
      </c>
      <c r="R3705" t="inlineStr">
        <is>
          <t>InStock</t>
        </is>
      </c>
      <c r="S3705" t="inlineStr">
        <is>
          <t>41.04</t>
        </is>
      </c>
      <c r="T3705" t="inlineStr">
        <is>
          <t>1778913050724</t>
        </is>
      </c>
    </row>
    <row r="3706" ht="87" customHeight="1">
      <c r="A3706" s="2">
        <f>HYPERLINK("https://edmondsonsupply.com/collections/electricians-tools/products/diablo-tools-dmamx1040", "https://edmondsonsupply.com/collections/electricians-tools/products/diablo-tools-dmamx1040")</f>
        <v/>
      </c>
      <c r="B3706" s="2">
        <f>HYPERLINK("https://edmondsonsupply.com/products/diablo-tools-dmamx1040", "https://edmondsonsupply.com/products/diablo-tools-dmamx1040")</f>
        <v/>
      </c>
      <c r="C3706" t="inlineStr">
        <is>
          <t>Diablo Tools DMAMX1040 1/2 in. x 24 in. x 29 in. Rebar Demon SDS-Max 4-Cutter Full Carbide Head Hammer Bit</t>
        </is>
      </c>
      <c r="D3706" t="inlineStr">
        <is>
          <t>Diablo by Freud DMAMX1370 1-1/2 in. x 24 in. x 29 in. Rebar Demon SDS-Max 4-Cutter Carbide-Tipped Hammer Bit</t>
        </is>
      </c>
      <c r="E3706" s="2">
        <f>HYPERLINK("https://www.amazon.com/Diablo-SDS-Max-4-Cutter-Carbide-Tipped-Hammer/dp/B089LN938F/ref=sr_1_11?keywords=Diablo+Tools+DMAMX1040+1%2F2+in.+x+24+in.+x+29+in.+Rebar+Demon+SDS-Max+4-Cutter+Full+Carbide+Head+Hammer+Bit&amp;qid=1694735295&amp;sr=8-11", "https://www.amazon.com/Diablo-SDS-Max-4-Cutter-Carbide-Tipped-Hammer/dp/B089LN938F/ref=sr_1_11?keywords=Diablo+Tools+DMAMX1040+1%2F2+in.+x+24+in.+x+29+in.+Rebar+Demon+SDS-Max+4-Cutter+Full+Carbide+Head+Hammer+Bit&amp;qid=1694735295&amp;sr=8-11")</f>
        <v/>
      </c>
      <c r="F3706" t="inlineStr">
        <is>
          <t>B089LN938F</t>
        </is>
      </c>
      <c r="G3706">
        <f>_xlfn.IMAGE("https://edmondsonsupply.com/cdn/shop/products/DMAMX1040_Main-Image20200701.png?v=1633030363")</f>
        <v/>
      </c>
      <c r="H3706">
        <f>_xlfn.IMAGE("https://m.media-amazon.com/images/I/61V0w9ayfFL._AC_UL320_.jpg")</f>
        <v/>
      </c>
      <c r="K3706" t="inlineStr">
        <is>
          <t>47.97</t>
        </is>
      </c>
      <c r="L3706" t="n">
        <v>171.57</v>
      </c>
      <c r="M3706" s="1" t="inlineStr">
        <is>
          <t>257.66%</t>
        </is>
      </c>
      <c r="N3706" s="7" t="n">
        <v>32.51</v>
      </c>
      <c r="O3706" t="n">
        <v>5</v>
      </c>
      <c r="P3706" t="n">
        <v>2</v>
      </c>
      <c r="R3706" t="inlineStr">
        <is>
          <t>InStock</t>
        </is>
      </c>
      <c r="S3706" t="inlineStr">
        <is>
          <t>72.46</t>
        </is>
      </c>
      <c r="T3706" t="inlineStr">
        <is>
          <t>5289126527144</t>
        </is>
      </c>
    </row>
    <row r="3707" ht="87" customHeight="1">
      <c r="A3707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707" s="2">
        <f>HYPERLINK("https://edmondsonsupply.com/products/klein-tools-rt250-gfci-receptacle-tester-with-lcd", "https://edmondsonsupply.com/products/klein-tools-rt250-gfci-receptacle-tester-with-lcd")</f>
        <v/>
      </c>
      <c r="C3707" t="inlineStr">
        <is>
          <t>Klein Tools RT250 GFCI Receptacle Tester with LCD</t>
        </is>
      </c>
      <c r="D3707" t="inlineStr">
        <is>
          <t>Klein Tools CL120KIT Electrical Tester/Auto-Ranging Digital Clamp Meter Kit &amp; RT250 GFCI Outlet Tester with LCD Display, Electric Voltage Tester for Standard 3-Wire 120V Electrical Receptacles</t>
        </is>
      </c>
      <c r="E3707" s="2">
        <f>HYPERLINK("https://www.amazon.com/Klein-Tools-Electrical-Auto-Ranging-Receptacles/dp/B0C5TJMG4G/ref=sr_1_26?keywords=Klein+Tools+RT250+GFCI+Receptacle+Tester+with+LCD&amp;qid=1694735148&amp;sr=8-26", "https://www.amazon.com/Klein-Tools-Electrical-Auto-Ranging-Receptacles/dp/B0C5TJMG4G/ref=sr_1_26?keywords=Klein+Tools+RT250+GFCI+Receptacle+Tester+with+LCD&amp;qid=1694735148&amp;sr=8-26")</f>
        <v/>
      </c>
      <c r="F3707" t="inlineStr">
        <is>
          <t>B0C5TJMG4G</t>
        </is>
      </c>
      <c r="G3707">
        <f>_xlfn.IMAGE("https://edmondsonsupply.com/cdn/shop/products/rt250_photo_c.jpg?v=1661363824")</f>
        <v/>
      </c>
      <c r="H3707">
        <f>_xlfn.IMAGE("https://m.media-amazon.com/images/I/51MT2fnMnKL._AC_UL320_.jpg")</f>
        <v/>
      </c>
      <c r="K3707" t="inlineStr">
        <is>
          <t>21.97</t>
        </is>
      </c>
      <c r="L3707" t="n">
        <v>78.22</v>
      </c>
      <c r="M3707" s="1" t="inlineStr">
        <is>
          <t>256.03%</t>
        </is>
      </c>
      <c r="N3707" s="7" t="n">
        <v>32.3</v>
      </c>
      <c r="O3707" t="n">
        <v>5</v>
      </c>
      <c r="P3707" t="n">
        <v>1</v>
      </c>
      <c r="R3707" t="inlineStr">
        <is>
          <t>InStock</t>
        </is>
      </c>
      <c r="S3707" t="inlineStr">
        <is>
          <t>30.78</t>
        </is>
      </c>
      <c r="T3707" t="inlineStr">
        <is>
          <t>7793138729176</t>
        </is>
      </c>
    </row>
    <row r="3708" ht="87" customHeight="1">
      <c r="A3708" s="2">
        <f>HYPERLINK("https://edmondsonsupply.com/collections/electricians-tools/products/greenlee-7238sb-slug-buster%C2%AE-1-2-2-knockout-kit-with-ratchet", "https://edmondsonsupply.com/collections/electricians-tools/products/greenlee-7238sb-slug-buster%C2%AE-1-2-2-knockout-kit-with-ratchet")</f>
        <v/>
      </c>
      <c r="B3708" s="2">
        <f>HYPERLINK("https://edmondsonsupply.com/products/greenlee-7238sb-slug-buster%c2%ae-1-2-2-knockout-kit-with-ratchet", "https://edmondsonsupply.com/products/greenlee-7238sb-slug-buster%c2%ae-1-2-2-knockout-kit-with-ratchet")</f>
        <v/>
      </c>
      <c r="C3708" t="inlineStr">
        <is>
          <t>Greenlee 7238SB Slug-Buster® 1/2" - 2" Knockout Kit with Ratchet</t>
        </is>
      </c>
      <c r="D3708" t="inlineStr">
        <is>
          <t>Greenlee 7806SB Quick Draw 8-Ton Hydraulic Knockout Punch Kit with Slug-Buster, 1/2" - 2"</t>
        </is>
      </c>
      <c r="E3708" s="2">
        <f>HYPERLINK("https://www.amazon.com/Greenlee-7806SB-Hydraulic-Knockout-Slug-Buster/dp/B001HWHTKE/ref=sr_1_8?keywords=Greenlee+7238SB+Slug-Buster%C2%AE+1%2F2%22+-+2%22+Knockout+Kit+with+Ratchet&amp;qid=1694735389&amp;sr=8-8", "https://www.amazon.com/Greenlee-7806SB-Hydraulic-Knockout-Slug-Buster/dp/B001HWHTKE/ref=sr_1_8?keywords=Greenlee+7238SB+Slug-Buster%C2%AE+1%2F2%22+-+2%22+Knockout+Kit+with+Ratchet&amp;qid=1694735389&amp;sr=8-8")</f>
        <v/>
      </c>
      <c r="F3708" t="inlineStr">
        <is>
          <t>B001HWHTKE</t>
        </is>
      </c>
      <c r="G3708">
        <f>_xlfn.IMAGE("https://edmondsonsupply.com/cdn/shop/products/7238SB-CAT1.jpg?v=1587150226")</f>
        <v/>
      </c>
      <c r="H3708">
        <f>_xlfn.IMAGE("https://m.media-amazon.com/images/I/91rxQ32E3xL._AC_UL320_.jpg")</f>
        <v/>
      </c>
      <c r="K3708" t="inlineStr">
        <is>
          <t>376.32</t>
        </is>
      </c>
      <c r="L3708" t="n">
        <v>1339.38</v>
      </c>
      <c r="M3708" s="1" t="inlineStr">
        <is>
          <t>255.92%</t>
        </is>
      </c>
      <c r="N3708" s="7" t="n">
        <v>32.06</v>
      </c>
      <c r="O3708" t="n">
        <v>5</v>
      </c>
      <c r="P3708" t="n">
        <v>8</v>
      </c>
      <c r="R3708" t="inlineStr">
        <is>
          <t>InStock</t>
        </is>
      </c>
      <c r="S3708" t="inlineStr">
        <is>
          <t>448.0</t>
        </is>
      </c>
      <c r="T3708" t="inlineStr">
        <is>
          <t>4430553743460</t>
        </is>
      </c>
    </row>
    <row r="3709" ht="87" customHeight="1">
      <c r="A3709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3709" s="2">
        <f>HYPERLINK("https://edmondsonsupply.com/products/diablo-tools-d0704dh-7-1-4-in-x-4-tooth-fiber-cement", "https://edmondsonsupply.com/products/diablo-tools-d0704dh-7-1-4-in-x-4-tooth-fiber-cement")</f>
        <v/>
      </c>
      <c r="C3709" t="inlineStr">
        <is>
          <t>Diablo Tools D0704DH 7-1/4 in. x 4 Tooth Fiber Cement</t>
        </is>
      </c>
      <c r="D3709" t="inlineStr">
        <is>
          <t>Freud D0704DHA Diablo 7-1/4-inch x4T PCD Tip TCG Hardie Fiber Cement Saw Blade (5-Pack)</t>
        </is>
      </c>
      <c r="E3709" s="2">
        <f>HYPERLINK("https://www.amazon.com/Freud-D0704DHA-Diablo-4-inch-Hardie/dp/B00QZDV1YA/ref=sr_1_11?keywords=Diablo+Tools+D0704DH+7-1%2F4+in.+x+4+Tooth+Fiber+Cement&amp;qid=1694735024&amp;sr=8-11", "https://www.amazon.com/Freud-D0704DHA-Diablo-4-inch-Hardie/dp/B00QZDV1YA/ref=sr_1_11?keywords=Diablo+Tools+D0704DH+7-1%2F4+in.+x+4+Tooth+Fiber+Cement&amp;qid=1694735024&amp;sr=8-11")</f>
        <v/>
      </c>
      <c r="F3709" t="inlineStr">
        <is>
          <t>B00QZDV1YA</t>
        </is>
      </c>
      <c r="G3709">
        <f>_xlfn.IMAGE("https://edmondsonsupply.com/cdn/shop/products/baadnmj6vhmqufio7ofn.webp?v=1679325375")</f>
        <v/>
      </c>
      <c r="H3709">
        <f>_xlfn.IMAGE("https://m.media-amazon.com/images/I/71CNCIriatL._AC_UL320_.jpg")</f>
        <v/>
      </c>
      <c r="K3709" t="inlineStr">
        <is>
          <t>44.97</t>
        </is>
      </c>
      <c r="L3709" t="n">
        <v>160</v>
      </c>
      <c r="M3709" s="1" t="inlineStr">
        <is>
          <t>255.79%</t>
        </is>
      </c>
      <c r="N3709" s="7" t="n">
        <v>32.02</v>
      </c>
      <c r="O3709" t="n">
        <v>4.7</v>
      </c>
      <c r="P3709" t="n">
        <v>38</v>
      </c>
      <c r="R3709" t="inlineStr">
        <is>
          <t>InStock</t>
        </is>
      </c>
      <c r="S3709" t="inlineStr">
        <is>
          <t>67.99</t>
        </is>
      </c>
      <c r="T3709" t="inlineStr">
        <is>
          <t>7964908159192</t>
        </is>
      </c>
    </row>
    <row r="3710" ht="87" customHeight="1">
      <c r="A3710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710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710" t="inlineStr">
        <is>
          <t>Diablo Tools DMAPL4040 3/16 in. x 4 in. x 6 in. Rebar Demon™ SDS-Plus 4-Cutter Full Carbide Head Hammer Bit</t>
        </is>
      </c>
      <c r="D3710" t="inlineStr">
        <is>
          <t>Diablo by Freud DMAPL4270 27/32 in. x 8 in. x 10 in. Rebar Demon SDS-Plus 4-Cutter Full Carbide Head Hammer Bit</t>
        </is>
      </c>
      <c r="E3710" s="2">
        <f>HYPERLINK("https://www.amazon.com/Diablo-Freud-DMAPL4270-SDS-Plus-4-Cutter/dp/B089KXBGLM/ref=sr_1_30?keywords=Diablo+Tools+DMAPL4040+3%2F16+in.+x+4+in.+x+6+in.+Rebar+Demon%E2%84%A2+SDS-Plus+4-Cutter+Full+Carbide+Head+Hammer+Bit&amp;qid=1694735297&amp;sr=8-30", "https://www.amazon.com/Diablo-Freud-DMAPL4270-SDS-Plus-4-Cutter/dp/B089KXBGLM/ref=sr_1_30?keywords=Diablo+Tools+DMAPL4040+3%2F16+in.+x+4+in.+x+6+in.+Rebar+Demon%E2%84%A2+SDS-Plus+4-Cutter+Full+Carbide+Head+Hammer+Bit&amp;qid=1694735297&amp;sr=8-30")</f>
        <v/>
      </c>
      <c r="F3710" t="inlineStr">
        <is>
          <t>B089KXBGLM</t>
        </is>
      </c>
      <c r="G3710">
        <f>_xlfn.IMAGE("https://edmondsonsupply.com/cdn/shop/products/DMAPL4040_Main-Image20200701.png?v=1633030358")</f>
        <v/>
      </c>
      <c r="H3710">
        <f>_xlfn.IMAGE("https://m.media-amazon.com/images/I/611A6sphG9L._AC_UL320_.jpg")</f>
        <v/>
      </c>
      <c r="K3710" t="inlineStr">
        <is>
          <t>8.47</t>
        </is>
      </c>
      <c r="L3710" t="n">
        <v>30.13</v>
      </c>
      <c r="M3710" s="1" t="inlineStr">
        <is>
          <t>255.73%</t>
        </is>
      </c>
      <c r="N3710" s="7" t="n">
        <v>31.96</v>
      </c>
      <c r="O3710" t="n">
        <v>5</v>
      </c>
      <c r="P3710" t="n">
        <v>2</v>
      </c>
      <c r="R3710" t="inlineStr">
        <is>
          <t>InStock</t>
        </is>
      </c>
      <c r="S3710" t="inlineStr">
        <is>
          <t>undefined</t>
        </is>
      </c>
      <c r="T3710" t="inlineStr">
        <is>
          <t>5286740426920</t>
        </is>
      </c>
    </row>
    <row r="3711" ht="87" customHeight="1">
      <c r="A3711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711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711" t="inlineStr">
        <is>
          <t>Diablo Tools DMAPL4020 5/32 in. x 4 in. x 6 in. Rebar Demon™ SDS-Plus 4-Cutter Full Carbide Head Hammer Bit</t>
        </is>
      </c>
      <c r="D3711" t="inlineStr">
        <is>
          <t>Diablo by Freud DMAPL4200 1/2 in. x 16 in. x 18 in. Rebar Demon SDS-Plus 4-Cutter Full Carbide Head Hammer Bit</t>
        </is>
      </c>
      <c r="E3711" s="2">
        <f>HYPERLINK("https://www.amazon.com/Diablo-Freud-DMAPL4200-SDS-Plus-4-Cutter/dp/B089KW2QV1/ref=sr_1_19?keywords=Diablo+Tools+DMAPL4020+5%2F32+in.+x+4+in.+x+6+in.+Rebar+Demon%E2%84%A2+SDS-Plus+4-Cutter+Full+Carbide+Head+Hammer+Bit&amp;qid=1694735291&amp;sr=8-19", "https://www.amazon.com/Diablo-Freud-DMAPL4200-SDS-Plus-4-Cutter/dp/B089KW2QV1/ref=sr_1_19?keywords=Diablo+Tools+DMAPL4020+5%2F32+in.+x+4+in.+x+6+in.+Rebar+Demon%E2%84%A2+SDS-Plus+4-Cutter+Full+Carbide+Head+Hammer+Bit&amp;qid=1694735291&amp;sr=8-19")</f>
        <v/>
      </c>
      <c r="F3711" t="inlineStr">
        <is>
          <t>B089KW2QV1</t>
        </is>
      </c>
      <c r="G3711">
        <f>_xlfn.IMAGE("https://edmondsonsupply.com/cdn/shop/products/DMAPL4020_1.jpg?v=1633030415")</f>
        <v/>
      </c>
      <c r="H3711">
        <f>_xlfn.IMAGE("https://m.media-amazon.com/images/I/61rW+ROVmNL._AC_UL320_.jpg")</f>
        <v/>
      </c>
      <c r="K3711" t="inlineStr">
        <is>
          <t>6.47</t>
        </is>
      </c>
      <c r="L3711" t="n">
        <v>23</v>
      </c>
      <c r="M3711" s="1" t="inlineStr">
        <is>
          <t>255.49%</t>
        </is>
      </c>
      <c r="N3711" s="7" t="n">
        <v>31.92</v>
      </c>
      <c r="O3711" t="n">
        <v>4.7</v>
      </c>
      <c r="P3711" t="n">
        <v>18</v>
      </c>
      <c r="R3711" t="inlineStr">
        <is>
          <t>InStock</t>
        </is>
      </c>
      <c r="S3711" t="inlineStr">
        <is>
          <t>9.44</t>
        </is>
      </c>
      <c r="T3711" t="inlineStr">
        <is>
          <t>5313711046824</t>
        </is>
      </c>
    </row>
    <row r="3712" ht="87" customHeight="1">
      <c r="A3712" s="2">
        <f>HYPERLINK("https://edmondsonsupply.com/collections/electricians-tools/products/greenlee-0153-42c", "https://edmondsonsupply.com/collections/electricians-tools/products/greenlee-0153-42c")</f>
        <v/>
      </c>
      <c r="B3712" s="2">
        <f>HYPERLINK("https://edmondsonsupply.com/products/greenlee-0153-42c", "https://edmondsonsupply.com/products/greenlee-0153-42c")</f>
        <v/>
      </c>
      <c r="C3712" t="inlineStr">
        <is>
          <t>Greenlee 0153-42C 6-IN-1 Multi-Tool</t>
        </is>
      </c>
      <c r="D3712" t="inlineStr">
        <is>
          <t>Greenlee, 0159-LBFC, 3-Piece Electrician Tool Kit with Stainless Steel Wire Stripper and Cable Crimper, 6-in-1 Multi-Tool Screwdriver and Bonus 7-Inch Long Nose Side-Cutting Pliers</t>
        </is>
      </c>
      <c r="E3712" s="2">
        <f>HYPERLINK("https://www.amazon.com/Greenlee-0159-LBFC-3-Piece-Basic-Wiring/dp/B08P296B4Z/ref=sr_1_5?keywords=Greenlee+0153-42C+6-IN-1+Multi-Tool&amp;qid=1694735387&amp;sr=8-5", "https://www.amazon.com/Greenlee-0159-LBFC-3-Piece-Basic-Wiring/dp/B08P296B4Z/ref=sr_1_5?keywords=Greenlee+0153-42C+6-IN-1+Multi-Tool&amp;qid=1694735387&amp;sr=8-5")</f>
        <v/>
      </c>
      <c r="F3712" t="inlineStr">
        <is>
          <t>B08P296B4Z</t>
        </is>
      </c>
      <c r="G3712">
        <f>_xlfn.IMAGE("https://edmondsonsupply.com/cdn/shop/products/0153-42C.jpg?v=1587148802")</f>
        <v/>
      </c>
      <c r="H3712">
        <f>_xlfn.IMAGE("https://m.media-amazon.com/images/I/81piBl6ESsL._AC_UL320_.jpg")</f>
        <v/>
      </c>
      <c r="K3712" t="inlineStr">
        <is>
          <t>10.59</t>
        </is>
      </c>
      <c r="L3712" t="n">
        <v>37.61</v>
      </c>
      <c r="M3712" s="1" t="inlineStr">
        <is>
          <t>255.15%</t>
        </is>
      </c>
      <c r="N3712" s="7" t="n">
        <v>31.8</v>
      </c>
      <c r="O3712" t="n">
        <v>4.5</v>
      </c>
      <c r="P3712" t="n">
        <v>83</v>
      </c>
      <c r="R3712" t="inlineStr">
        <is>
          <t>InStock</t>
        </is>
      </c>
      <c r="S3712" t="inlineStr">
        <is>
          <t>11.35</t>
        </is>
      </c>
      <c r="T3712" t="inlineStr">
        <is>
          <t>4412725166180</t>
        </is>
      </c>
    </row>
    <row r="3713" ht="87" customHeight="1">
      <c r="A3713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713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713" t="inlineStr">
        <is>
          <t>Diablo Tools DMAPL4010 5/32 in. x 2 in. x 4 in. Rebar Demon™ SDS-Plus 4-Cutter Full Carbide Head Hammer Bit</t>
        </is>
      </c>
      <c r="D3713" t="inlineStr">
        <is>
          <t>Diablo by Freud DMAPL4200 1/2 in. x 16 in. x 18 in. Rebar Demon SDS-Plus 4-Cutter Full Carbide Head Hammer Bit</t>
        </is>
      </c>
      <c r="E3713" s="2">
        <f>HYPERLINK("https://www.amazon.com/Diablo-Freud-DMAPL4200-SDS-Plus-4-Cutter/dp/B089KW2QV1/ref=sr_1_22?keywords=Diablo+Tools+DMAPL4010+5%2F32+in.+x+2+in.+x+4+in.+Rebar+Demon%E2%84%A2+SDS-Plus+4-Cutter+Full+Carbide+Head+Hammer+Bit&amp;qid=1694735296&amp;sr=8-22", "https://www.amazon.com/Diablo-Freud-DMAPL4200-SDS-Plus-4-Cutter/dp/B089KW2QV1/ref=sr_1_22?keywords=Diablo+Tools+DMAPL4010+5%2F32+in.+x+2+in.+x+4+in.+Rebar+Demon%E2%84%A2+SDS-Plus+4-Cutter+Full+Carbide+Head+Hammer+Bit&amp;qid=1694735296&amp;sr=8-22")</f>
        <v/>
      </c>
      <c r="F3713" t="inlineStr">
        <is>
          <t>B089KW2QV1</t>
        </is>
      </c>
      <c r="G3713">
        <f>_xlfn.IMAGE("https://edmondsonsupply.com/cdn/shop/products/DMAPL4010.jpg?v=1633030357")</f>
        <v/>
      </c>
      <c r="H3713">
        <f>_xlfn.IMAGE("https://m.media-amazon.com/images/I/61rW+ROVmNL._AC_UL320_.jpg")</f>
        <v/>
      </c>
      <c r="K3713" t="inlineStr">
        <is>
          <t>6.48</t>
        </is>
      </c>
      <c r="L3713" t="n">
        <v>23</v>
      </c>
      <c r="M3713" s="1" t="inlineStr">
        <is>
          <t>254.94%</t>
        </is>
      </c>
      <c r="N3713" s="7" t="n">
        <v>31.65</v>
      </c>
      <c r="O3713" t="n">
        <v>4.7</v>
      </c>
      <c r="P3713" t="n">
        <v>18</v>
      </c>
      <c r="R3713" t="inlineStr">
        <is>
          <t>InStock</t>
        </is>
      </c>
      <c r="S3713" t="inlineStr">
        <is>
          <t>10.3</t>
        </is>
      </c>
      <c r="T3713" t="inlineStr">
        <is>
          <t>5286308380840</t>
        </is>
      </c>
    </row>
    <row r="3714" hidden="1" ht="15.75" customHeight="1">
      <c r="A3714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3714" s="2">
        <f>HYPERLINK("https://edmondsonsupply.com/products/diablo-tools-dmapl2360-9-16-in-x-6-in-x-8-in-sds-plus-2-cutter", "https://edmondsonsupply.com/products/diablo-tools-dmapl2360-9-16-in-x-6-in-x-8-in-sds-plus-2-cutter")</f>
        <v/>
      </c>
      <c r="C3714" t="inlineStr">
        <is>
          <t>Diablo Tools DMAPL2360 9/16 in. x 6 in. x 8 in. SDS-Plus 2-Cutter</t>
        </is>
      </c>
      <c r="D3714" t="inlineStr">
        <is>
          <t>Diablo DMAPL2270 3/8 in. x 37 in. x 39 in. SDS-Plus 2-Cutter</t>
        </is>
      </c>
      <c r="E3714" s="2">
        <f>HYPERLINK("https://www.amazon.com/Diablo-DMAPL2270-37-SDS-Plus-2-Cutter/dp/B089KWQ8CF/ref=sr_1_37?keywords=Diablo+Tools+DMAPL2360+9%2F16+in.+x+6+in.+x+8+in.+SDS-Plus+2-Cutter&amp;qid=1694735296&amp;sr=8-37", "https://www.amazon.com/Diablo-DMAPL2270-37-SDS-Plus-2-Cutter/dp/B089KWQ8CF/ref=sr_1_37?keywords=Diablo+Tools+DMAPL2360+9%2F16+in.+x+6+in.+x+8+in.+SDS-Plus+2-Cutter&amp;qid=1694735296&amp;sr=8-37")</f>
        <v/>
      </c>
      <c r="F3714" t="inlineStr">
        <is>
          <t>B089KWQ8CF</t>
        </is>
      </c>
      <c r="G3714">
        <f>_xludf.IMAGE("https://edmondsonsupply.com/cdn/shop/products/DMAPL2360_Main-Image20200701.png?v=1633697551")</f>
        <v/>
      </c>
      <c r="H3714">
        <f>_xludf.IMAGE("https://m.media-amazon.com/images/I/61V8X1ju9YL._AC_UL320_.jpg")</f>
        <v/>
      </c>
      <c r="K3714" t="inlineStr">
        <is>
          <t>8.59</t>
        </is>
      </c>
      <c r="L3714" t="n">
        <v>30.41</v>
      </c>
      <c r="M3714" s="1" t="inlineStr">
        <is>
          <t>254.02%</t>
        </is>
      </c>
      <c r="N3714" s="1" t="n">
        <v>31.6</v>
      </c>
      <c r="O3714" t="n">
        <v>3.5</v>
      </c>
      <c r="P3714" t="n">
        <v>5</v>
      </c>
      <c r="R3714" t="inlineStr">
        <is>
          <t>InStock</t>
        </is>
      </c>
      <c r="S3714" t="inlineStr">
        <is>
          <t>9.77</t>
        </is>
      </c>
      <c r="T3714" t="inlineStr">
        <is>
          <t>5286291046568</t>
        </is>
      </c>
    </row>
    <row r="3715" ht="87" customHeight="1">
      <c r="A3715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3715" s="2">
        <f>HYPERLINK("https://edmondsonsupply.com/products/klein-tools-630-5-8-nut-driver-5-8-inch-4-inch-hollow-shaft", "https://edmondsonsupply.com/products/klein-tools-630-5-8-nut-driver-5-8-inch-4-inch-hollow-shaft")</f>
        <v/>
      </c>
      <c r="C3715" t="inlineStr">
        <is>
          <t>Klein Tools 630-5/8 Nut Driver, 5/8-Inch, 4-Inch Hollow Shaft</t>
        </is>
      </c>
      <c r="D3715" t="inlineStr">
        <is>
          <t>Klein Tools 633 Tool Set, Nut Driver Set with Driver Sizes 1/4, 5/16, 3/8, 9/16-Inch on 3-Inch Full Hollow Shaft, w/Cushion Grips, 4-Piece</t>
        </is>
      </c>
      <c r="E3715" s="2">
        <f>HYPERLINK("https://www.amazon.com/Cushion-4-Piece-Klein-Tools-633/dp/B00508QS5I/ref=sr_1_18?keywords=Klein+Tools+630-5%2F8+Nut+Driver%2C+5%2F8-Inch%2C+4-Inch+Hollow+Shaft&amp;qid=1694735205&amp;sr=8-18", "https://www.amazon.com/Cushion-4-Piece-Klein-Tools-633/dp/B00508QS5I/ref=sr_1_18?keywords=Klein+Tools+630-5%2F8+Nut+Driver%2C+5%2F8-Inch%2C+4-Inch+Hollow+Shaft&amp;qid=1694735205&amp;sr=8-18")</f>
        <v/>
      </c>
      <c r="F3715" t="inlineStr">
        <is>
          <t>B00508QS5I</t>
        </is>
      </c>
      <c r="G3715">
        <f>_xlfn.IMAGE("https://edmondsonsupply.com/cdn/shop/products/630-1-2_df0ca74a-79e7-41f4-ad94-60312e01e692.jpg?v=1633031052")</f>
        <v/>
      </c>
      <c r="H3715">
        <f>_xlfn.IMAGE("https://m.media-amazon.com/images/I/61yug3exhUS._AC_UL320_.jpg")</f>
        <v/>
      </c>
      <c r="K3715" t="inlineStr">
        <is>
          <t>12.49</t>
        </is>
      </c>
      <c r="L3715" t="n">
        <v>44.05</v>
      </c>
      <c r="M3715" s="1" t="inlineStr">
        <is>
          <t>252.68%</t>
        </is>
      </c>
      <c r="N3715" s="7" t="n">
        <v>31.41</v>
      </c>
      <c r="O3715" t="n">
        <v>4.8</v>
      </c>
      <c r="P3715" t="n">
        <v>734</v>
      </c>
      <c r="R3715" t="inlineStr">
        <is>
          <t>InStock</t>
        </is>
      </c>
      <c r="S3715" t="inlineStr">
        <is>
          <t>18.92</t>
        </is>
      </c>
      <c r="T3715" t="inlineStr">
        <is>
          <t>6781025386669</t>
        </is>
      </c>
    </row>
    <row r="3716" ht="87" customHeight="1">
      <c r="A3716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716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716" t="inlineStr">
        <is>
          <t>Diablo Tools DMAPL4160 3/8 in. x 10 in. x 12 in. Rebar Demon™ SDS-Plus 4-Cutter Full Carbide Head Hammer Bit</t>
        </is>
      </c>
      <c r="D3716" t="inlineStr">
        <is>
          <t>Diablo by Freud DMAMX1090 5/8 in. x 8 in. x 13 in. Rebar Demon SDS-Max 4-Cutter Full Carbide Head Hammer Bit</t>
        </is>
      </c>
      <c r="E3716" s="2">
        <f>HYPERLINK("https://www.amazon.com/Diablo-SDS-Max-4-Cutter-Carbide-Hammer/dp/B089LGB35P/ref=sr_1_37?keywords=Diablo+Tools+DMAPL4160+3%2F8+in.+x+10+in.+x+12+in.+Rebar+Demon%E2%84%A2+SDS-Plus+4-Cutter+Full+Carbide+Head+Hammer+Bit&amp;qid=1694735304&amp;sr=8-37", "https://www.amazon.com/Diablo-SDS-Max-4-Cutter-Carbide-Hammer/dp/B089LGB35P/ref=sr_1_37?keywords=Diablo+Tools+DMAPL4160+3%2F8+in.+x+10+in.+x+12+in.+Rebar+Demon%E2%84%A2+SDS-Plus+4-Cutter+Full+Carbide+Head+Hammer+Bit&amp;qid=1694735304&amp;sr=8-37")</f>
        <v/>
      </c>
      <c r="F3716" t="inlineStr">
        <is>
          <t>B089LGB35P</t>
        </is>
      </c>
      <c r="G3716">
        <f>_xlfn.IMAGE("https://edmondsonsupply.com/cdn/shop/products/w7y3zlfom8dhrlplcmqa.webp?v=1670439058")</f>
        <v/>
      </c>
      <c r="H3716">
        <f>_xlfn.IMAGE("https://m.media-amazon.com/images/I/61Wr1t8FMOL._AC_UL320_.jpg")</f>
        <v/>
      </c>
      <c r="K3716" t="inlineStr">
        <is>
          <t>9.97</t>
        </is>
      </c>
      <c r="L3716" t="n">
        <v>35.1</v>
      </c>
      <c r="M3716" s="1" t="inlineStr">
        <is>
          <t>252.06%</t>
        </is>
      </c>
      <c r="N3716" s="7" t="n">
        <v>31.34</v>
      </c>
      <c r="O3716" t="n">
        <v>4.2</v>
      </c>
      <c r="P3716" t="n">
        <v>5</v>
      </c>
      <c r="R3716" t="inlineStr">
        <is>
          <t>InStock</t>
        </is>
      </c>
      <c r="S3716" t="inlineStr">
        <is>
          <t>15.02</t>
        </is>
      </c>
      <c r="T3716" t="inlineStr">
        <is>
          <t>5286778601640</t>
        </is>
      </c>
    </row>
    <row r="3717" ht="87" customHeight="1">
      <c r="A3717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717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717" t="inlineStr">
        <is>
          <t>Diablo Tools DMAPL4180 1/2 in. x 4 in. x 6 in. Rebar Demon™ SDS-Plus 4-Cutter Full Carbide Head Hammer Bit</t>
        </is>
      </c>
      <c r="D3717" t="inlineStr">
        <is>
          <t>Diablo by Freud DMAMX1090 5/8 in. x 8 in. x 13 in. Rebar Demon SDS-Max 4-Cutter Full Carbide Head Hammer Bit</t>
        </is>
      </c>
      <c r="E3717" s="2">
        <f>HYPERLINK("https://www.amazon.com/Diablo-SDS-Max-4-Cutter-Carbide-Hammer/dp/B089LGB35P/ref=sr_1_45?keywords=Diablo+Tools+DMAPL4180+1%2F2+in.+x+4+in.+x+6+in.+Rebar+Demon%E2%84%A2+SDS-Plus+4-Cutter+Full+Carbide+Head+Hammer+Bit&amp;qid=1694735298&amp;sr=8-45", "https://www.amazon.com/Diablo-SDS-Max-4-Cutter-Carbide-Hammer/dp/B089LGB35P/ref=sr_1_45?keywords=Diablo+Tools+DMAPL4180+1%2F2+in.+x+4+in.+x+6+in.+Rebar+Demon%E2%84%A2+SDS-Plus+4-Cutter+Full+Carbide+Head+Hammer+Bit&amp;qid=1694735298&amp;sr=8-45")</f>
        <v/>
      </c>
      <c r="F3717" t="inlineStr">
        <is>
          <t>B089LGB35P</t>
        </is>
      </c>
      <c r="G3717">
        <f>_xlfn.IMAGE("https://edmondsonsupply.com/cdn/shop/products/DMAPL4180_Main-Image20200702.png?v=1633030362")</f>
        <v/>
      </c>
      <c r="H3717">
        <f>_xlfn.IMAGE("https://m.media-amazon.com/images/I/61Wr1t8FMOL._AC_UL320_.jpg")</f>
        <v/>
      </c>
      <c r="K3717" t="inlineStr">
        <is>
          <t>9.97</t>
        </is>
      </c>
      <c r="L3717" t="n">
        <v>35.1</v>
      </c>
      <c r="M3717" s="1" t="inlineStr">
        <is>
          <t>252.06%</t>
        </is>
      </c>
      <c r="N3717" s="7" t="n">
        <v>31.32</v>
      </c>
      <c r="O3717" t="n">
        <v>4.2</v>
      </c>
      <c r="P3717" t="n">
        <v>5</v>
      </c>
      <c r="R3717" t="inlineStr">
        <is>
          <t>InStock</t>
        </is>
      </c>
      <c r="S3717" t="inlineStr">
        <is>
          <t>undefined</t>
        </is>
      </c>
      <c r="T3717" t="inlineStr">
        <is>
          <t>5286803833000</t>
        </is>
      </c>
    </row>
    <row r="3718" ht="87" customHeight="1">
      <c r="A3718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3718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3718" t="inlineStr">
        <is>
          <t>Diablo Tools DMARG1070 1/4 in. x 4 in. x 6 in. SPEEDemon™ Red Granite Carbide Tipped Hammer Drill Bit</t>
        </is>
      </c>
      <c r="D3718" t="inlineStr">
        <is>
          <t>Diablo 3/4" x 4" x 6" SPEEDemon™ Red Granite Carbide Tipped Hammer Drill Bit</t>
        </is>
      </c>
      <c r="E3718" s="2">
        <f>HYPERLINK("https://www.amazon.com/Diablo-DMARG1190-SPEEDemon-Granite-Carbide/dp/B089KWDFSV/ref=sr_1_10?keywords=Diablo+Tools+DMARG1070+1%2F4+in.+x+4+in.+x+6+in.+SPEEDemon%E2%84%A2+Red+Granite+Carbide+Tipped+Hammer+Drill+Bit&amp;qid=1694735286&amp;sr=8-10", "https://www.amazon.com/Diablo-DMARG1190-SPEEDemon-Granite-Carbide/dp/B089KWDFSV/ref=sr_1_10?keywords=Diablo+Tools+DMARG1070+1%2F4+in.+x+4+in.+x+6+in.+SPEEDemon%E2%84%A2+Red+Granite+Carbide+Tipped+Hammer+Drill+Bit&amp;qid=1694735286&amp;sr=8-10")</f>
        <v/>
      </c>
      <c r="F3718" t="inlineStr">
        <is>
          <t>B089KWDFSV</t>
        </is>
      </c>
      <c r="G3718">
        <f>_xlfn.IMAGE("https://edmondsonsupply.com/cdn/shop/products/DMARG1070_Main-Image20200407.png?v=1633030419")</f>
        <v/>
      </c>
      <c r="H3718">
        <f>_xlfn.IMAGE("https://m.media-amazon.com/images/I/614DQf6-m2L._AC_UL320_.jpg")</f>
        <v/>
      </c>
      <c r="K3718" t="inlineStr">
        <is>
          <t>4.97</t>
        </is>
      </c>
      <c r="L3718" t="n">
        <v>17.49</v>
      </c>
      <c r="M3718" s="1" t="inlineStr">
        <is>
          <t>251.91%</t>
        </is>
      </c>
      <c r="N3718" s="7" t="n">
        <v>31.17</v>
      </c>
      <c r="O3718" t="n">
        <v>4.5</v>
      </c>
      <c r="P3718" t="n">
        <v>17</v>
      </c>
      <c r="R3718" t="inlineStr">
        <is>
          <t>InStock</t>
        </is>
      </c>
      <c r="S3718" t="inlineStr">
        <is>
          <t>undefined</t>
        </is>
      </c>
      <c r="T3718" t="inlineStr">
        <is>
          <t>5317981700264</t>
        </is>
      </c>
    </row>
    <row r="3719" ht="87" customHeight="1">
      <c r="A3719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719" s="2">
        <f>HYPERLINK("https://edmondsonsupply.com/products/klein-tools-rt110-receptacle-tester", "https://edmondsonsupply.com/products/klein-tools-rt110-receptacle-tester")</f>
        <v/>
      </c>
      <c r="C3719" t="inlineStr">
        <is>
          <t>Klein Tools RT110 Receptacle Tester</t>
        </is>
      </c>
      <c r="D3719" t="inlineStr">
        <is>
          <t>Klein Tools RT250 GFCI Receptacle Tester &amp; RT210 Outlet Tester, Receptacle Tester for GFCI/Standard North American AC Electrical Outlets, Detects Common Wiring Problems</t>
        </is>
      </c>
      <c r="E3719" s="2">
        <f>HYPERLINK("https://www.amazon.com/Klein-Tools-Receptacle-Standard-Electrical/dp/B0B7NKSRX4/ref=sr_1_22?keywords=Klein+Tools+RT110+Receptacle+Tester&amp;qid=1694735205&amp;sr=8-22", "https://www.amazon.com/Klein-Tools-Receptacle-Standard-Electrical/dp/B0B7NKSRX4/ref=sr_1_22?keywords=Klein+Tools+RT110+Receptacle+Tester&amp;qid=1694735205&amp;sr=8-22")</f>
        <v/>
      </c>
      <c r="F3719" t="inlineStr">
        <is>
          <t>B0B7NKSRX4</t>
        </is>
      </c>
      <c r="G3719">
        <f>_xlfn.IMAGE("https://edmondsonsupply.com/cdn/shop/products/rt110.jpg?v=1633031036")</f>
        <v/>
      </c>
      <c r="H3719">
        <f>_xlfn.IMAGE("https://m.media-amazon.com/images/I/51lEi5BWv7L._AC_UL320_.jpg")</f>
        <v/>
      </c>
      <c r="K3719" t="inlineStr">
        <is>
          <t>9.97</t>
        </is>
      </c>
      <c r="L3719" t="n">
        <v>34.94</v>
      </c>
      <c r="M3719" s="1" t="inlineStr">
        <is>
          <t>250.45%</t>
        </is>
      </c>
      <c r="N3719" s="7" t="n">
        <v>31.06</v>
      </c>
      <c r="O3719" t="n">
        <v>5</v>
      </c>
      <c r="P3719" t="n">
        <v>7</v>
      </c>
      <c r="R3719" t="inlineStr">
        <is>
          <t>InStock</t>
        </is>
      </c>
      <c r="S3719" t="inlineStr">
        <is>
          <t>12.12</t>
        </is>
      </c>
      <c r="T3719" t="inlineStr">
        <is>
          <t>6740486619309</t>
        </is>
      </c>
    </row>
    <row r="3720" ht="87" customHeight="1">
      <c r="A3720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3720" s="2">
        <f>HYPERLINK("https://edmondsonsupply.com/products/klein-tools-32305-15-in-1-multi-bit-ratcheting-screwdriver", "https://edmondsonsupply.com/products/klein-tools-32305-15-in-1-multi-bit-ratcheting-screwdriver")</f>
        <v/>
      </c>
      <c r="C3720" t="inlineStr">
        <is>
          <t>Klein Tools 32305 15-in-1 Multi-Bit Ratcheting Screwdriver</t>
        </is>
      </c>
      <c r="D3720" t="inlineStr">
        <is>
          <t>Automatic Wire Stripper 10-24 AWG &amp; Klein Tools 32305 Multi-bit Ratcheting Screwdriver, 15-in-1 Tool with Phillips, Slotted, Square, Torx and Combo Bits and 1/4-Inch Nut Driver</t>
        </is>
      </c>
      <c r="E3720" s="2">
        <f>HYPERLINK("https://www.amazon.com/Automatic-Stripper-Multi-bit-Ratcheting-Screwdriver/dp/B0BM42HWSD/ref=sr_1_8?keywords=Klein+Tools+32305+15-in-1+Multi-Bit+Ratcheting+Screwdriver&amp;qid=1694735163&amp;sr=8-8", "https://www.amazon.com/Automatic-Stripper-Multi-bit-Ratcheting-Screwdriver/dp/B0BM42HWSD/ref=sr_1_8?keywords=Klein+Tools+32305+15-in-1+Multi-Bit+Ratcheting+Screwdriver&amp;qid=1694735163&amp;sr=8-8")</f>
        <v/>
      </c>
      <c r="F3720" t="inlineStr">
        <is>
          <t>B0BM42HWSD</t>
        </is>
      </c>
      <c r="G3720">
        <f>_xlfn.IMAGE("https://edmondsonsupply.com/cdn/shop/products/32305.jpg?v=1646965475")</f>
        <v/>
      </c>
      <c r="H3720">
        <f>_xlfn.IMAGE("https://m.media-amazon.com/images/I/41cK1PhKaLL._AC_UL320_.jpg")</f>
        <v/>
      </c>
      <c r="K3720" t="inlineStr">
        <is>
          <t>21.97</t>
        </is>
      </c>
      <c r="L3720" t="n">
        <v>76.98</v>
      </c>
      <c r="M3720" s="1" t="inlineStr">
        <is>
          <t>250.39%</t>
        </is>
      </c>
      <c r="N3720" s="7" t="n">
        <v>30.94</v>
      </c>
      <c r="O3720" t="n">
        <v>4.6</v>
      </c>
      <c r="P3720" t="n">
        <v>1240</v>
      </c>
      <c r="R3720" t="inlineStr">
        <is>
          <t>InStock</t>
        </is>
      </c>
      <c r="S3720" t="inlineStr">
        <is>
          <t>30.78</t>
        </is>
      </c>
      <c r="T3720" t="inlineStr">
        <is>
          <t>7632426598616</t>
        </is>
      </c>
    </row>
    <row r="3721" ht="87" customHeight="1">
      <c r="A3721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721" s="2">
        <f>HYPERLINK("https://edmondsonsupply.com/products/klein-tools-rt250-gfci-receptacle-tester-with-lcd", "https://edmondsonsupply.com/products/klein-tools-rt250-gfci-receptacle-tester-with-lcd")</f>
        <v/>
      </c>
      <c r="C3721" t="inlineStr">
        <is>
          <t>Klein Tools RT250 GFCI Receptacle Tester with LCD</t>
        </is>
      </c>
      <c r="D3721" t="inlineStr">
        <is>
          <t>Klein Tools 80016 Circuit Breaker Finder Tool Kit with Accessories, 2-Piece Set &amp; RT250 GFCI Receptacle Tester with LCD Display, for Standard 3-Wire 120V Electrical Outlets</t>
        </is>
      </c>
      <c r="E3721" s="2">
        <f>HYPERLINK("https://www.amazon.com/Klein-Tools-Accessories-Receptacle-Electrical/dp/B09P83ZCX5/ref=sr_1_14?keywords=Klein+Tools+RT250+GFCI+Receptacle+Tester+with+LCD&amp;qid=1694735148&amp;sr=8-14", "https://www.amazon.com/Klein-Tools-Accessories-Receptacle-Electrical/dp/B09P83ZCX5/ref=sr_1_14?keywords=Klein+Tools+RT250+GFCI+Receptacle+Tester+with+LCD&amp;qid=1694735148&amp;sr=8-14")</f>
        <v/>
      </c>
      <c r="F3721" t="inlineStr">
        <is>
          <t>B09P83ZCX5</t>
        </is>
      </c>
      <c r="G3721">
        <f>_xlfn.IMAGE("https://edmondsonsupply.com/cdn/shop/products/rt250_photo_c.jpg?v=1661363824")</f>
        <v/>
      </c>
      <c r="H3721">
        <f>_xlfn.IMAGE("https://m.media-amazon.com/images/I/51cw4Adqf8L._AC_UL320_.jpg")</f>
        <v/>
      </c>
      <c r="K3721" t="inlineStr">
        <is>
          <t>21.97</t>
        </is>
      </c>
      <c r="L3721" t="n">
        <v>76.95999999999999</v>
      </c>
      <c r="M3721" s="1" t="inlineStr">
        <is>
          <t>250.30%</t>
        </is>
      </c>
      <c r="N3721" s="7" t="n">
        <v>30.93</v>
      </c>
      <c r="O3721" t="n">
        <v>4.7</v>
      </c>
      <c r="P3721" t="n">
        <v>499</v>
      </c>
      <c r="R3721" t="inlineStr">
        <is>
          <t>InStock</t>
        </is>
      </c>
      <c r="S3721" t="inlineStr">
        <is>
          <t>30.78</t>
        </is>
      </c>
      <c r="T3721" t="inlineStr">
        <is>
          <t>7793138729176</t>
        </is>
      </c>
    </row>
    <row r="3722" ht="87" customHeight="1">
      <c r="A3722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3722" s="2">
        <f>HYPERLINK("https://edmondsonsupply.com/products/klein-tools-31870-carbide-hole-cutter-2-1-2-inch", "https://edmondsonsupply.com/products/klein-tools-31870-carbide-hole-cutter-2-1-2-inch")</f>
        <v/>
      </c>
      <c r="C3722" t="inlineStr">
        <is>
          <t>Klein Tools 31870 Carbide Hole Cutter, 2-1/2-Inch</t>
        </is>
      </c>
      <c r="D3722" t="inlineStr">
        <is>
          <t>Klein Tools 31873 Heavy Duty Hole Cutter Kit, Includes Carbide Hole Cutters and 2 Pilot Bits in Rust-Proof Molded Plastic Case, 8-Piece</t>
        </is>
      </c>
      <c r="E3722" s="2">
        <f>HYPERLINK("https://www.amazon.com/Electricians-8-Piece-Klein-Tools-31873/dp/B003CCRCM2/ref=sr_1_6?keywords=Klein+Tools+31870+Carbide+Hole+Cutter%2C+2-1%2F2-Inch&amp;qid=1694735218&amp;sr=8-6", "https://www.amazon.com/Electricians-8-Piece-Klein-Tools-31873/dp/B003CCRCM2/ref=sr_1_6?keywords=Klein+Tools+31870+Carbide+Hole+Cutter%2C+2-1%2F2-Inch&amp;qid=1694735218&amp;sr=8-6")</f>
        <v/>
      </c>
      <c r="F3722" t="inlineStr">
        <is>
          <t>B003CCRCM2</t>
        </is>
      </c>
      <c r="G3722">
        <f>_xlfn.IMAGE("https://edmondsonsupply.com/cdn/shop/products/31870_alt1.jpg?v=1633030999")</f>
        <v/>
      </c>
      <c r="H3722">
        <f>_xlfn.IMAGE("https://m.media-amazon.com/images/I/61G-oQvGZTL._AC_UL320_.jpg")</f>
        <v/>
      </c>
      <c r="K3722" t="inlineStr">
        <is>
          <t>79.99</t>
        </is>
      </c>
      <c r="L3722" t="n">
        <v>279.99</v>
      </c>
      <c r="M3722" s="1" t="inlineStr">
        <is>
          <t>250.03%</t>
        </is>
      </c>
      <c r="N3722" s="7" t="n">
        <v>30.85</v>
      </c>
      <c r="O3722" t="n">
        <v>4.6</v>
      </c>
      <c r="P3722" t="n">
        <v>64</v>
      </c>
      <c r="R3722" t="inlineStr">
        <is>
          <t>InStock</t>
        </is>
      </c>
      <c r="S3722" t="inlineStr">
        <is>
          <t>121.2</t>
        </is>
      </c>
      <c r="T3722" t="inlineStr">
        <is>
          <t>6680619974829</t>
        </is>
      </c>
    </row>
    <row r="3723" ht="87" customHeight="1">
      <c r="A3723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3723" s="2">
        <f>HYPERLINK("https://edmondsonsupply.com/products/klein-tools-ncvt1xt-non-contact-voltage-tester-70-to-1000v-ac", "https://edmondsonsupply.com/products/klein-tools-ncvt1xt-non-contact-voltage-tester-70-to-1000v-ac")</f>
        <v/>
      </c>
      <c r="C3723" t="inlineStr">
        <is>
          <t>Klein Tools NCVT1XT Non-Contact Voltage Tester, 70 to 1000V AC</t>
        </is>
      </c>
      <c r="D3723" t="inlineStr">
        <is>
          <t>Klein Tools ET310 AC Circuit Breaker Finder with Integrated GFCI Outlet Tester &amp; NCVT1P Voltage Tester, Non-Contact Voltage Detector Pen, 50V to 1000V AC, Audible and Flashing LED Alarms, Pocket Clip</t>
        </is>
      </c>
      <c r="E3723" s="2">
        <f>HYPERLINK("https://www.amazon.com/Klein-Tools-Integrated-Non-Contact-Detector/dp/B0BC84182C/ref=sr_1_22?keywords=Klein+Tools+NCVT1XT+Non-Contact+Voltage+Tester%2C+70+to+1000V+AC&amp;qid=1694735046&amp;sr=8-22", "https://www.amazon.com/Klein-Tools-Integrated-Non-Contact-Detector/dp/B0BC84182C/ref=sr_1_22?keywords=Klein+Tools+NCVT1XT+Non-Contact+Voltage+Tester%2C+70+to+1000V+AC&amp;qid=1694735046&amp;sr=8-22")</f>
        <v/>
      </c>
      <c r="F3723" t="inlineStr">
        <is>
          <t>B0BC84182C</t>
        </is>
      </c>
      <c r="G3723">
        <f>_xlfn.IMAGE("https://edmondsonsupply.com/cdn/shop/products/ncvt1xt.jpg?v=1674496568")</f>
        <v/>
      </c>
      <c r="H3723">
        <f>_xlfn.IMAGE("https://m.media-amazon.com/images/I/51TuoTYTlvL._AC_UL320_.jpg")</f>
        <v/>
      </c>
      <c r="K3723" t="inlineStr">
        <is>
          <t>19.97</t>
        </is>
      </c>
      <c r="L3723" t="n">
        <v>69.69</v>
      </c>
      <c r="M3723" s="1" t="inlineStr">
        <is>
          <t>248.97%</t>
        </is>
      </c>
      <c r="N3723" s="7" t="n">
        <v>30.76</v>
      </c>
      <c r="O3723" t="n">
        <v>4.4</v>
      </c>
      <c r="P3723" t="n">
        <v>7</v>
      </c>
      <c r="R3723" t="inlineStr">
        <is>
          <t>InStock</t>
        </is>
      </c>
      <c r="S3723" t="inlineStr">
        <is>
          <t>26.32</t>
        </is>
      </c>
      <c r="T3723" t="inlineStr">
        <is>
          <t>7931947155672</t>
        </is>
      </c>
    </row>
    <row r="3724" ht="87" customHeight="1">
      <c r="A3724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3724" s="2">
        <f>HYPERLINK("https://edmondsonsupply.com/products/klein-tools-vdv427-014-punchdown-tool-krone-blade", "https://edmondsonsupply.com/products/klein-tools-vdv427-014-punchdown-tool-krone-blade")</f>
        <v/>
      </c>
      <c r="C3724" t="inlineStr">
        <is>
          <t>Klein Tools VDV427014 Punchdown Tool Krone Blade</t>
        </is>
      </c>
      <c r="D3724" t="inlineStr">
        <is>
          <t>Jonard Tools EPD-914KR, Manual Punchdown Tool with Steel Krone Blade for Punchdown Blocks</t>
        </is>
      </c>
      <c r="E3724" s="2">
        <f>HYPERLINK("https://www.amazon.com/Jonard-Tools-EPD-914KR-Manual-Punchdown/dp/B00E1Q4A8M/ref=sr_1_12?keywords=Klein+Tools+VDV427014+Punchdown+Tool+Krone+Blade&amp;qid=1694735425&amp;sr=8-12", "https://www.amazon.com/Jonard-Tools-EPD-914KR-Manual-Punchdown/dp/B00E1Q4A8M/ref=sr_1_12?keywords=Klein+Tools+VDV427014+Punchdown+Tool+Krone+Blade&amp;qid=1694735425&amp;sr=8-12")</f>
        <v/>
      </c>
      <c r="F3724" t="inlineStr">
        <is>
          <t>B00E1Q4A8M</t>
        </is>
      </c>
      <c r="G3724">
        <f>_xlfn.IMAGE("https://edmondsonsupply.com/cdn/shop/products/vdv427-014.jpg?v=1587143002")</f>
        <v/>
      </c>
      <c r="H3724">
        <f>_xlfn.IMAGE("https://m.media-amazon.com/images/I/71X7qKkNrFL._AC_UL320_.jpg")</f>
        <v/>
      </c>
      <c r="K3724" t="inlineStr">
        <is>
          <t>11.49</t>
        </is>
      </c>
      <c r="L3724" t="n">
        <v>39.95</v>
      </c>
      <c r="M3724" s="1" t="inlineStr">
        <is>
          <t>247.69%</t>
        </is>
      </c>
      <c r="N3724" s="7" t="n">
        <v>30.74</v>
      </c>
      <c r="O3724" t="n">
        <v>4.5</v>
      </c>
      <c r="P3724" t="n">
        <v>201</v>
      </c>
      <c r="R3724" t="inlineStr">
        <is>
          <t>InStock</t>
        </is>
      </c>
      <c r="S3724" t="inlineStr">
        <is>
          <t>17.26</t>
        </is>
      </c>
      <c r="T3724" t="inlineStr">
        <is>
          <t>4359135592548</t>
        </is>
      </c>
    </row>
    <row r="3725" ht="87" customHeight="1">
      <c r="A3725" s="2">
        <f>HYPERLINK("https://edmondsonsupply.com/collections/electricians-tools/products/milwaukee-48-22-6625-compact-tape-measure-25ft", "https://edmondsonsupply.com/collections/electricians-tools/products/milwaukee-48-22-6625-compact-tape-measure-25ft")</f>
        <v/>
      </c>
      <c r="B3725" s="2">
        <f>HYPERLINK("https://edmondsonsupply.com/products/milwaukee-48-22-6625-compact-tape-measure-25ft", "https://edmondsonsupply.com/products/milwaukee-48-22-6625-compact-tape-measure-25ft")</f>
        <v/>
      </c>
      <c r="C3725" t="inlineStr">
        <is>
          <t>Milwaukee 48-22-6625 Compact Tape Measure, 25ft</t>
        </is>
      </c>
      <c r="D3725" t="inlineStr">
        <is>
          <t>Milwaukee Electric Tool 48-22-6625G Heavy Duty, Compact Measuring Tapes (2 Piece), 25'</t>
        </is>
      </c>
      <c r="E3725" s="2">
        <f>HYPERLINK("https://www.amazon.com/Milwaukee-Electric-Tool-48-22-6625G-Measuring/dp/B005NSO6TA/ref=sr_1_4?keywords=Milwaukee+48-22-6625+Compact+Tape+Measure%2C+25ft&amp;qid=1694735037&amp;sr=8-4", "https://www.amazon.com/Milwaukee-Electric-Tool-48-22-6625G-Measuring/dp/B005NSO6TA/ref=sr_1_4?keywords=Milwaukee+48-22-6625+Compact+Tape+Measure%2C+25ft&amp;qid=1694735037&amp;sr=8-4")</f>
        <v/>
      </c>
      <c r="F3725" t="inlineStr">
        <is>
          <t>B005NSO6TA</t>
        </is>
      </c>
      <c r="G3725">
        <f>_xlfn.IMAGE("https://edmondsonsupply.com/cdn/shop/products/48-22-6625_1.png?v=1675692460")</f>
        <v/>
      </c>
      <c r="H3725">
        <f>_xlfn.IMAGE("https://m.media-amazon.com/images/I/41aR2qwAuBL._AC_UL320_.jpg")</f>
        <v/>
      </c>
      <c r="K3725" t="inlineStr">
        <is>
          <t>16.97</t>
        </is>
      </c>
      <c r="L3725" t="n">
        <v>59</v>
      </c>
      <c r="M3725" s="1" t="inlineStr">
        <is>
          <t>247.67%</t>
        </is>
      </c>
      <c r="N3725" s="7" t="n">
        <v>30.56</v>
      </c>
      <c r="O3725" t="n">
        <v>4.5</v>
      </c>
      <c r="P3725" t="n">
        <v>286</v>
      </c>
      <c r="R3725" t="inlineStr">
        <is>
          <t>InStock</t>
        </is>
      </c>
      <c r="S3725" t="inlineStr">
        <is>
          <t>27.5</t>
        </is>
      </c>
      <c r="T3725" t="inlineStr">
        <is>
          <t>7940063396056</t>
        </is>
      </c>
    </row>
    <row r="3726" ht="87" customHeight="1">
      <c r="A3726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726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726" t="inlineStr">
        <is>
          <t>Diablo Tools DMAPL4010 5/32 in. x 2 in. x 4 in. Rebar Demon™ SDS-Plus 4-Cutter Full Carbide Head Hammer Bit</t>
        </is>
      </c>
      <c r="D3726" t="inlineStr">
        <is>
          <t>Diablo by Freud DMAPL4230 5/8 in. x 10 in. x 12 in. Rebar Demon SDS-Plus 4-Cutter Full Carbide Head Hammer Bit</t>
        </is>
      </c>
      <c r="E3726" s="2">
        <f>HYPERLINK("https://www.amazon.com/Diablo-Freud-DMAPL4230-SDS-Plus-4-Cutter/dp/B089LCN234/ref=sr_1_24?keywords=Diablo+Tools+DMAPL4010+5%2F32+in.+x+2+in.+x+4+in.+Rebar+Demon%E2%84%A2+SDS-Plus+4-Cutter+Full+Carbide+Head+Hammer+Bit&amp;qid=1694735296&amp;sr=8-24", "https://www.amazon.com/Diablo-Freud-DMAPL4230-SDS-Plus-4-Cutter/dp/B089LCN234/ref=sr_1_24?keywords=Diablo+Tools+DMAPL4010+5%2F32+in.+x+2+in.+x+4+in.+Rebar+Demon%E2%84%A2+SDS-Plus+4-Cutter+Full+Carbide+Head+Hammer+Bit&amp;qid=1694735296&amp;sr=8-24")</f>
        <v/>
      </c>
      <c r="F3726" t="inlineStr">
        <is>
          <t>B089LCN234</t>
        </is>
      </c>
      <c r="G3726">
        <f>_xlfn.IMAGE("https://edmondsonsupply.com/cdn/shop/products/DMAPL4010.jpg?v=1633030357")</f>
        <v/>
      </c>
      <c r="H3726">
        <f>_xlfn.IMAGE("https://m.media-amazon.com/images/I/61r649wmyhL._AC_UL320_.jpg")</f>
        <v/>
      </c>
      <c r="K3726" t="inlineStr">
        <is>
          <t>6.48</t>
        </is>
      </c>
      <c r="L3726" t="n">
        <v>22.51</v>
      </c>
      <c r="M3726" s="1" t="inlineStr">
        <is>
          <t>247.38%</t>
        </is>
      </c>
      <c r="N3726" s="7" t="n">
        <v>30.56</v>
      </c>
      <c r="O3726" t="n">
        <v>4.7</v>
      </c>
      <c r="P3726" t="n">
        <v>47</v>
      </c>
      <c r="R3726" t="inlineStr">
        <is>
          <t>InStock</t>
        </is>
      </c>
      <c r="S3726" t="inlineStr">
        <is>
          <t>10.3</t>
        </is>
      </c>
      <c r="T3726" t="inlineStr">
        <is>
          <t>5286308380840</t>
        </is>
      </c>
    </row>
    <row r="3727" hidden="1" ht="15.75" customHeight="1">
      <c r="A3727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727" s="2">
        <f>HYPERLINK("https://edmondsonsupply.com/products/diablo-tools-dsp1060-1-in-x-4-in-spade-bit", "https://edmondsonsupply.com/products/diablo-tools-dsp1060-1-in-x-4-in-spade-bit")</f>
        <v/>
      </c>
      <c r="C3727" t="inlineStr">
        <is>
          <t>Diablo Tools DSP1060 1 in. x 4 in. Spade Bit</t>
        </is>
      </c>
      <c r="D3727" t="inlineStr">
        <is>
          <t>Diablo 1-1/4 in. x 6 in. SPEEDemon Spade Bit (2-Pack)</t>
        </is>
      </c>
      <c r="E3727" s="2">
        <f>HYPERLINK("https://www.amazon.com/Diablo-1-1-SPEEDemon-Spade-2-Pack/dp/B089LG8GXW/ref=sr_1_32?keywords=Diablo+Tools+DSP1060+1+in.+x+4+in.+Spade+Bit&amp;qid=1694735068&amp;sr=8-32", "https://www.amazon.com/Diablo-1-1-SPEEDemon-Spade-2-Pack/dp/B089LG8GXW/ref=sr_1_32?keywords=Diablo+Tools+DSP1060+1+in.+x+4+in.+Spade+Bit&amp;qid=1694735068&amp;sr=8-32")</f>
        <v/>
      </c>
      <c r="F3727" t="inlineStr">
        <is>
          <t>B089LG8GXW</t>
        </is>
      </c>
      <c r="G3727">
        <f>_xludf.IMAGE("https://edmondsonsupply.com/cdn/shop/products/hanbmwlurgioczoyawta.webp?v=1670510289")</f>
        <v/>
      </c>
      <c r="H3727">
        <f>_xludf.IMAGE("https://m.media-amazon.com/images/I/61KC4haIgvL._AC_UL320_.jpg")</f>
        <v/>
      </c>
      <c r="K3727" t="inlineStr">
        <is>
          <t>2.59</t>
        </is>
      </c>
      <c r="L3727" t="n">
        <v>8.99</v>
      </c>
      <c r="M3727" s="1" t="inlineStr">
        <is>
          <t>247.10%</t>
        </is>
      </c>
      <c r="N3727" s="1" t="n">
        <v>30.56</v>
      </c>
      <c r="O3727" t="n">
        <v>4.5</v>
      </c>
      <c r="P3727" t="n">
        <v>22</v>
      </c>
      <c r="R3727" t="inlineStr">
        <is>
          <t>InStock</t>
        </is>
      </c>
      <c r="S3727" t="inlineStr">
        <is>
          <t>2.96</t>
        </is>
      </c>
      <c r="T3727" t="inlineStr">
        <is>
          <t>7901168730328</t>
        </is>
      </c>
    </row>
    <row r="3728" ht="87" customHeight="1">
      <c r="A3728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3728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3728" t="inlineStr">
        <is>
          <t>Diablo Tools DMAPL4055 3/16 in. x 10 in. x 12 in. Rebar Demon™ SDS‑Plus 4‑Cutter Full Carbide Head Hammer Bit</t>
        </is>
      </c>
      <c r="D3728" t="inlineStr">
        <is>
          <t>Diablo DMAPL4310 1 in. x 16 in. x 18 in. Rebar Demon™ SDS-Plus 4-Cutter Full Carbide Head Hammer Bit</t>
        </is>
      </c>
      <c r="E3728" s="2" t="n"/>
      <c r="F3728" t="inlineStr">
        <is>
          <t>B089KX2VKR</t>
        </is>
      </c>
      <c r="G3728">
        <f>_xlfn.IMAGE("https://edmondsonsupply.com/cdn/shop/products/DMAPL4055_Main-Image20200331.png?v=1633030416")</f>
        <v/>
      </c>
      <c r="H3728">
        <f>_xlfn.IMAGE("https://m.media-amazon.com/images/I/61iwxfqG2VL._AC_UL320_.jpg")</f>
        <v/>
      </c>
      <c r="K3728" t="inlineStr">
        <is>
          <t>13.97</t>
        </is>
      </c>
      <c r="L3728" t="n">
        <v>48.49</v>
      </c>
      <c r="M3728" s="1" t="inlineStr">
        <is>
          <t>247.10%</t>
        </is>
      </c>
      <c r="N3728" s="7" t="n">
        <v>30.51</v>
      </c>
      <c r="O3728" t="n">
        <v>4.5</v>
      </c>
      <c r="P3728" t="n">
        <v>32</v>
      </c>
      <c r="R3728" t="inlineStr">
        <is>
          <t>InStock</t>
        </is>
      </c>
      <c r="S3728" t="inlineStr">
        <is>
          <t>19.56</t>
        </is>
      </c>
      <c r="T3728" t="inlineStr">
        <is>
          <t>5316790714536</t>
        </is>
      </c>
    </row>
    <row r="3729" ht="87" customHeight="1">
      <c r="A3729" s="2">
        <f>HYPERLINK("https://edmondsonsupply.com/collections/electricians-tools/products/klein-tools-203-6-eins-long-nose-side-cutter-pliers-6-inch-slim-insulated", "https://edmondsonsupply.com/collections/electricians-tools/products/klein-tools-203-6-eins-long-nose-side-cutter-pliers-6-inch-slim-insulated")</f>
        <v/>
      </c>
      <c r="B3729" s="2">
        <f>HYPERLINK("https://edmondsonsupply.com/products/klein-tools-203-6-eins-long-nose-side-cutter-pliers-6-inch-slim-insulated", "https://edmondsonsupply.com/products/klein-tools-203-6-eins-long-nose-side-cutter-pliers-6-inch-slim-insulated")</f>
        <v/>
      </c>
      <c r="C3729" t="inlineStr">
        <is>
          <t>Klein Tools 2036EINS Long Nose Side Cutter Pliers 6-Inch Slim Insulated</t>
        </is>
      </c>
      <c r="D3729" t="inlineStr">
        <is>
          <t>Klein Tools 94130 1000V Insulated Screwdriver Tool Set &amp; 2038EINS Long Nose Side Cutter Insulated Pliers with Slim Induction Hardened Cutting Knives for Long Life, 8-Inch</t>
        </is>
      </c>
      <c r="E3729" s="2">
        <f>HYPERLINK("https://www.amazon.com/Klein-Tools-Insulated-Screwdriver-Induction/dp/B0B56XS25D/ref=sr_1_2?keywords=Klein+Tools+2036EINS+Long+Nose+Side+Cutter+Pliers+6-Inch+Slim+Insulated&amp;qid=1694735202&amp;sr=8-2", "https://www.amazon.com/Klein-Tools-Insulated-Screwdriver-Induction/dp/B0B56XS25D/ref=sr_1_2?keywords=Klein+Tools+2036EINS+Long+Nose+Side+Cutter+Pliers+6-Inch+Slim+Insulated&amp;qid=1694735202&amp;sr=8-2")</f>
        <v/>
      </c>
      <c r="F3729" t="inlineStr">
        <is>
          <t>B0B56XS25D</t>
        </is>
      </c>
      <c r="G3729">
        <f>_xlfn.IMAGE("https://edmondsonsupply.com/cdn/shop/products/2036eins.jpg?v=1633031077")</f>
        <v/>
      </c>
      <c r="H3729">
        <f>_xlfn.IMAGE("https://m.media-amazon.com/images/I/51WnIkIfzdL._AC_UL320_.jpg")</f>
        <v/>
      </c>
      <c r="K3729" t="inlineStr">
        <is>
          <t>46.99</t>
        </is>
      </c>
      <c r="L3729" t="n">
        <v>162.96</v>
      </c>
      <c r="M3729" s="1" t="inlineStr">
        <is>
          <t>246.80%</t>
        </is>
      </c>
      <c r="N3729" s="7" t="n">
        <v>30.47</v>
      </c>
      <c r="O3729" t="n">
        <v>4.9</v>
      </c>
      <c r="P3729" t="n">
        <v>11</v>
      </c>
      <c r="R3729" t="inlineStr">
        <is>
          <t>InStock</t>
        </is>
      </c>
      <c r="S3729" t="inlineStr">
        <is>
          <t>71.2</t>
        </is>
      </c>
      <c r="T3729" t="inlineStr">
        <is>
          <t>6829261029549</t>
        </is>
      </c>
    </row>
    <row r="3730" ht="87" customHeight="1">
      <c r="A3730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3730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3730" t="inlineStr">
        <is>
          <t>Diablo Tools DOU250JBW 2-1/2 in. Universal Fit Bi-Metal Oscillating Blade for Clean Wood</t>
        </is>
      </c>
      <c r="D3730" t="inlineStr">
        <is>
          <t>Norske Tools NOTP279 2 3/4 inch Flush Cut Japanese Tooth Bi-Metal Oscillating Multi Tool Accessory Blade Universal Fit for Hardwood (10pc Pack) | Oscillating Saw Blades</t>
        </is>
      </c>
      <c r="E3730" s="2">
        <f>HYPERLINK("https://www.amazon.com/Norske-NOTP279-Oscillating-Accessory-Universal/dp/B08781NZRG/ref=sr_1_42?keywords=Diablo+Tools+DOU250JBW+2-1%2F2+in.+Universal+Fit+Bi-Metal+Oscillating+Blade+for+Clean+Wood&amp;qid=1694734994&amp;sr=8-42", "https://www.amazon.com/Norske-NOTP279-Oscillating-Accessory-Universal/dp/B08781NZRG/ref=sr_1_42?keywords=Diablo+Tools+DOU250JBW+2-1%2F2+in.+Universal+Fit+Bi-Metal+Oscillating+Blade+for+Clean+Wood&amp;qid=1694734994&amp;sr=8-42")</f>
        <v/>
      </c>
      <c r="F3730" t="inlineStr">
        <is>
          <t>B08781NZRG</t>
        </is>
      </c>
      <c r="G3730">
        <f>_xlfn.IMAGE("https://edmondsonsupply.com/cdn/shop/files/pycnap4eb1urn2hxvudq.webp?v=1685718789")</f>
        <v/>
      </c>
      <c r="H3730">
        <f>_xlfn.IMAGE("https://m.media-amazon.com/images/I/61nU7wAI8eL._AC_UL320_.jpg")</f>
        <v/>
      </c>
      <c r="K3730" t="inlineStr">
        <is>
          <t>15.65</t>
        </is>
      </c>
      <c r="L3730" t="n">
        <v>54.14</v>
      </c>
      <c r="M3730" s="1" t="inlineStr">
        <is>
          <t>245.94%</t>
        </is>
      </c>
      <c r="N3730" s="7" t="n">
        <v>30.43</v>
      </c>
      <c r="O3730" t="n">
        <v>4.3</v>
      </c>
      <c r="P3730" t="n">
        <v>29</v>
      </c>
      <c r="R3730" t="inlineStr">
        <is>
          <t>InStock</t>
        </is>
      </c>
      <c r="S3730" t="inlineStr">
        <is>
          <t>24.85</t>
        </is>
      </c>
      <c r="T3730" t="inlineStr">
        <is>
          <t>7999572279512</t>
        </is>
      </c>
    </row>
    <row r="3731" ht="87" customHeight="1">
      <c r="A3731" s="2">
        <f>HYPERLINK("https://edmondsonsupply.com/collections/electricians-tools/products/klein-tools-vdv110-061-coax-cable-2-level-radial-stripper", "https://edmondsonsupply.com/collections/electricians-tools/products/klein-tools-vdv110-061-coax-cable-2-level-radial-stripper")</f>
        <v/>
      </c>
      <c r="B3731" s="2">
        <f>HYPERLINK("https://edmondsonsupply.com/products/klein-tools-vdv110-061-coax-cable-2-level-radial-stripper", "https://edmondsonsupply.com/products/klein-tools-vdv110-061-coax-cable-2-level-radial-stripper")</f>
        <v/>
      </c>
      <c r="C3731" t="inlineStr">
        <is>
          <t>Klein Tools VDV110-061 Coax Cable 2-Level Radial Stripper</t>
        </is>
      </c>
      <c r="D3731" t="inlineStr">
        <is>
          <t>Klein Tools VDV512-101 Explorer 2 Coax Tester Kit, Includes Cable Tester/Wire Tracer/Coax Mapper with Remotes to Test up to 4 Locations &amp; VDV110-061 Radial Cable Stripper, Coaxial Cable Stripper</t>
        </is>
      </c>
      <c r="E3731" s="2">
        <f>HYPERLINK("https://www.amazon.com/Klein-Tools-VDV512-101-Locations-VDV110-061/dp/B0BD3W9SYG/ref=sr_1_2?keywords=Klein+Tools+VDV110-061+Coax+Cable+2-Level+Radial+Stripper&amp;qid=1694735359&amp;sr=8-2", "https://www.amazon.com/Klein-Tools-VDV512-101-Locations-VDV110-061/dp/B0BD3W9SYG/ref=sr_1_2?keywords=Klein+Tools+VDV110-061+Coax+Cable+2-Level+Radial+Stripper&amp;qid=1694735359&amp;sr=8-2")</f>
        <v/>
      </c>
      <c r="F3731" t="inlineStr">
        <is>
          <t>B0BD3W9SYG</t>
        </is>
      </c>
      <c r="G3731">
        <f>_xlfn.IMAGE("https://edmondsonsupply.com/cdn/shop/products/vdv110-061.jpg?v=1587149207")</f>
        <v/>
      </c>
      <c r="H3731">
        <f>_xlfn.IMAGE("https://m.media-amazon.com/images/I/41opJLh2sZL._AC_UL320_.jpg")</f>
        <v/>
      </c>
      <c r="K3731" t="inlineStr">
        <is>
          <t>12.97</t>
        </is>
      </c>
      <c r="L3731" t="n">
        <v>44.83</v>
      </c>
      <c r="M3731" s="1" t="inlineStr">
        <is>
          <t>245.64%</t>
        </is>
      </c>
      <c r="N3731" s="7" t="n">
        <v>30.4</v>
      </c>
      <c r="O3731" t="n">
        <v>5</v>
      </c>
      <c r="P3731" t="n">
        <v>1</v>
      </c>
      <c r="R3731" t="inlineStr">
        <is>
          <t>InStock</t>
        </is>
      </c>
      <c r="S3731" t="inlineStr">
        <is>
          <t>19.98</t>
        </is>
      </c>
      <c r="T3731" t="inlineStr">
        <is>
          <t>4447638388836</t>
        </is>
      </c>
    </row>
    <row r="3732" ht="87" customHeight="1">
      <c r="A3732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3732" s="2">
        <f>HYPERLINK("https://edmondsonsupply.com/products/klein-tools-635-7-16-7-16-inch-heavy-duty-nut-driver", "https://edmondsonsupply.com/products/klein-tools-635-7-16-7-16-inch-heavy-duty-nut-driver")</f>
        <v/>
      </c>
      <c r="C3732" t="inlineStr">
        <is>
          <t>Klein Tools 635-7/16 7/16-Inch Heavy-Duty Nut Driver</t>
        </is>
      </c>
      <c r="D3732" t="inlineStr">
        <is>
          <t>Klein Tools 65160 Tool Set, Metric Nut Driver Set Sizes 5, 5.5, 6, 7, 8, 9, and 10 mm, 3-Inch Chrome-Plate Hollow Shafts, 7-Piece</t>
        </is>
      </c>
      <c r="E3732" s="2">
        <f>HYPERLINK("https://www.amazon.com/Driver-Metric-3-Inch-7-Piece-Klein/dp/B0009ORXQQ/ref=sr_1_7?keywords=Klein+Tools+635-7%2F16+7%2F16-Inch+Heavy-Duty+Nut+Driver&amp;qid=1694735398&amp;sr=8-7", "https://www.amazon.com/Driver-Metric-3-Inch-7-Piece-Klein/dp/B0009ORXQQ/ref=sr_1_7?keywords=Klein+Tools+635-7%2F16+7%2F16-Inch+Heavy-Duty+Nut+Driver&amp;qid=1694735398&amp;sr=8-7")</f>
        <v/>
      </c>
      <c r="F3732" t="inlineStr">
        <is>
          <t>B0009ORXQQ</t>
        </is>
      </c>
      <c r="G3732">
        <f>_xlfn.IMAGE("https://edmondsonsupply.com/cdn/shop/products/635-7-16.jpg?v=1587145128")</f>
        <v/>
      </c>
      <c r="H3732">
        <f>_xlfn.IMAGE("https://m.media-amazon.com/images/I/61CnDJJyViL._AC_UL320_.jpg")</f>
        <v/>
      </c>
      <c r="K3732" t="inlineStr">
        <is>
          <t>14.49</t>
        </is>
      </c>
      <c r="L3732" t="n">
        <v>49.99</v>
      </c>
      <c r="M3732" s="1" t="inlineStr">
        <is>
          <t>245.00%</t>
        </is>
      </c>
      <c r="N3732" s="7" t="n">
        <v>30.4</v>
      </c>
      <c r="O3732" t="n">
        <v>4.8</v>
      </c>
      <c r="P3732" t="n">
        <v>588</v>
      </c>
      <c r="R3732" t="inlineStr">
        <is>
          <t>InStock</t>
        </is>
      </c>
      <c r="S3732" t="inlineStr">
        <is>
          <t>21.94</t>
        </is>
      </c>
      <c r="T3732" t="inlineStr">
        <is>
          <t>4410745978980</t>
        </is>
      </c>
    </row>
    <row r="3733" hidden="1" ht="15.75" customHeight="1">
      <c r="A3733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733" s="2">
        <f>HYPERLINK("https://edmondsonsupply.com/products/diablo-tools-dsp2060-9-16-in-x-6-in-spade-bit", "https://edmondsonsupply.com/products/diablo-tools-dsp2060-9-16-in-x-6-in-spade-bit")</f>
        <v/>
      </c>
      <c r="C3733" t="inlineStr">
        <is>
          <t>Diablo Tools DSP2060 9/16 in. x 6 in. Spade Bit</t>
        </is>
      </c>
      <c r="D3733" t="inlineStr">
        <is>
          <t>Diablo by Freud DSP3010 3/8 in. x 16 in. SPEEDemon Spade Bit</t>
        </is>
      </c>
      <c r="E3733" s="2">
        <f>HYPERLINK("https://www.amazon.com/Diablo-16-SPEEDemon-Spade-Bit/dp/B089LKXD6Z/ref=sr_1_28?keywords=Diablo+Tools+DSP2060+9%2F16+in.+x+6+in.+Spade+Bit&amp;qid=1694735062&amp;sr=8-28", "https://www.amazon.com/Diablo-16-SPEEDemon-Spade-Bit/dp/B089LKXD6Z/ref=sr_1_28?keywords=Diablo+Tools+DSP2060+9%2F16+in.+x+6+in.+Spade+Bit&amp;qid=1694735062&amp;sr=8-28")</f>
        <v/>
      </c>
      <c r="F3733" t="inlineStr">
        <is>
          <t>B089LKXD6Z</t>
        </is>
      </c>
      <c r="G3733">
        <f>_xludf.IMAGE("https://edmondsonsupply.com/cdn/shop/products/aedhx1bor2stxnsd8b2m.webp?v=1670512947")</f>
        <v/>
      </c>
      <c r="H3733">
        <f>_xludf.IMAGE("https://m.media-amazon.com/images/I/616SIXUQ4mL._AC_UL320_.jpg")</f>
        <v/>
      </c>
      <c r="K3733" t="inlineStr">
        <is>
          <t>2.88</t>
        </is>
      </c>
      <c r="L3733" t="n">
        <v>9.93</v>
      </c>
      <c r="M3733" s="1" t="inlineStr">
        <is>
          <t>244.79%</t>
        </is>
      </c>
      <c r="N3733" s="1" t="n">
        <v>30.4</v>
      </c>
      <c r="O3733" t="n">
        <v>4.3</v>
      </c>
      <c r="P3733" t="n">
        <v>10</v>
      </c>
      <c r="R3733" t="inlineStr">
        <is>
          <t>InStock</t>
        </is>
      </c>
      <c r="S3733" t="inlineStr">
        <is>
          <t>3.21</t>
        </is>
      </c>
      <c r="T3733" t="inlineStr">
        <is>
          <t>7901216112856</t>
        </is>
      </c>
    </row>
    <row r="3734" ht="87" customHeight="1">
      <c r="A3734" s="2">
        <f>HYPERLINK("https://edmondsonsupply.com/collections/electricians-tools/products/klein-tools-vdv770-126-carrying-case-for-scout%C2%AE-pro-3-tester-and-locator-remotes", "https://edmondsonsupply.com/collections/electricians-tools/products/klein-tools-vdv770-126-carrying-case-for-scout%C2%AE-pro-3-tester-and-locator-remotes")</f>
        <v/>
      </c>
      <c r="B3734" s="2">
        <f>HYPERLINK("https://edmondsonsupply.com/products/klein-tools-vdv770-126-carrying-case-for-scout%c2%ae-pro-3-tester-and-locator-remotes", "https://edmondsonsupply.com/products/klein-tools-vdv770-126-carrying-case-for-scout%c2%ae-pro-3-tester-and-locator-remotes")</f>
        <v/>
      </c>
      <c r="C3734" t="inlineStr">
        <is>
          <t>Klein Tools VDV770-126 Carrying Case for Scout® Pro 3 Tester and Locator Remotes</t>
        </is>
      </c>
      <c r="D3734" t="inlineStr">
        <is>
          <t>Klein Tools VDV501-851 Cable Tester Kit, 5 Locator Remotes &amp; Klein Tools VDV770-126 Replacement Carrying Case for Scout Pro 3 Series Testers and Locator Remotes, Black</t>
        </is>
      </c>
      <c r="E3734" s="2">
        <f>HYPERLINK("https://www.amazon.com/Klein-Tools-VDV501-851-VDV770-126-Replacement/dp/B09T6YN1YB/ref=sr_1_2?keywords=Klein+Tools+VDV770-126+Carrying+Case+for+Scout%C2%AE+Pro+3+Tester+and+Locator+Remotes&amp;qid=1694735172&amp;sr=8-2", "https://www.amazon.com/Klein-Tools-VDV501-851-VDV770-126-Replacement/dp/B09T6YN1YB/ref=sr_1_2?keywords=Klein+Tools+VDV770-126+Carrying+Case+for+Scout%C2%AE+Pro+3+Tester+and+Locator+Remotes&amp;qid=1694735172&amp;sr=8-2")</f>
        <v/>
      </c>
      <c r="F3734" t="inlineStr">
        <is>
          <t>B09T6YN1YB</t>
        </is>
      </c>
      <c r="G3734">
        <f>_xlfn.IMAGE("https://edmondsonsupply.com/cdn/shop/products/vdv770126.jpg?v=1646011163")</f>
        <v/>
      </c>
      <c r="H3734">
        <f>_xlfn.IMAGE("https://m.media-amazon.com/images/I/51nHnWIj1JL._AC_UL320_.jpg")</f>
        <v/>
      </c>
      <c r="K3734" t="inlineStr">
        <is>
          <t>32.49</t>
        </is>
      </c>
      <c r="L3734" t="n">
        <v>111.65</v>
      </c>
      <c r="M3734" s="1" t="inlineStr">
        <is>
          <t>243.64%</t>
        </is>
      </c>
      <c r="N3734" s="7" t="n">
        <v>30.26</v>
      </c>
      <c r="O3734" t="n">
        <v>5</v>
      </c>
      <c r="P3734" t="n">
        <v>6</v>
      </c>
      <c r="R3734" t="inlineStr">
        <is>
          <t>InStock</t>
        </is>
      </c>
      <c r="S3734" t="inlineStr">
        <is>
          <t>48.14</t>
        </is>
      </c>
      <c r="T3734" t="inlineStr">
        <is>
          <t>7620077256920</t>
        </is>
      </c>
    </row>
    <row r="3735" ht="87" customHeight="1">
      <c r="A3735" s="2">
        <f>HYPERLINK("https://edmondsonsupply.com/collections/electricians-tools/products/veto-pro-pac-tp4-tool-pouch", "https://edmondsonsupply.com/collections/electricians-tools/products/veto-pro-pac-tp4-tool-pouch")</f>
        <v/>
      </c>
      <c r="B3735" s="2">
        <f>HYPERLINK("https://edmondsonsupply.com/products/veto-pro-pac-tp4-tool-pouch", "https://edmondsonsupply.com/products/veto-pro-pac-tp4-tool-pouch")</f>
        <v/>
      </c>
      <c r="C3735" t="inlineStr">
        <is>
          <t>Veto Pro Pac TP3 Tool Bag</t>
        </is>
      </c>
      <c r="D3735" t="inlineStr">
        <is>
          <t>Veto Pro Pac Model LC Tool Bag</t>
        </is>
      </c>
      <c r="E3735" s="2">
        <f>HYPERLINK("https://www.amazon.com/VETO-PRO-PAC-Model-LC/dp/B0002HC25M/ref=sr_1_25?keywords=Veto+Pro+Pac+TP3+Tool+Bag&amp;qid=1694735180&amp;sr=8-25", "https://www.amazon.com/VETO-PRO-PAC-Model-LC/dp/B0002HC25M/ref=sr_1_25?keywords=Veto+Pro+Pac+TP3+Tool+Bag&amp;qid=1694735180&amp;sr=8-25")</f>
        <v/>
      </c>
      <c r="F3735" t="inlineStr">
        <is>
          <t>B0002HC25M</t>
        </is>
      </c>
      <c r="G3735">
        <f>_xlfn.IMAGE("https://edmondsonsupply.com/cdn/shop/products/TP3_1.jpg?v=1587144391")</f>
        <v/>
      </c>
      <c r="H3735">
        <f>_xlfn.IMAGE("https://m.media-amazon.com/images/I/61yDlU4vGyL._AC_UL320_.jpg")</f>
        <v/>
      </c>
      <c r="K3735" t="inlineStr">
        <is>
          <t>59.99</t>
        </is>
      </c>
      <c r="L3735" t="n">
        <v>204.95</v>
      </c>
      <c r="M3735" s="1" t="inlineStr">
        <is>
          <t>241.64%</t>
        </is>
      </c>
      <c r="N3735" s="7" t="n">
        <v>30.15</v>
      </c>
      <c r="O3735" t="n">
        <v>4.7</v>
      </c>
      <c r="P3735" t="n">
        <v>276</v>
      </c>
      <c r="R3735" t="inlineStr">
        <is>
          <t>InStock</t>
        </is>
      </c>
      <c r="S3735" t="inlineStr">
        <is>
          <t>undefined</t>
        </is>
      </c>
      <c r="T3735" t="inlineStr">
        <is>
          <t>3561762816100</t>
        </is>
      </c>
    </row>
    <row r="3736" ht="87" customHeight="1">
      <c r="A3736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736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736" t="inlineStr">
        <is>
          <t>Diablo Tools DMAPL4180 1/2 in. x 4 in. x 6 in. Rebar Demon™ SDS-Plus 4-Cutter Full Carbide Head Hammer Bit</t>
        </is>
      </c>
      <c r="D3736" t="inlineStr">
        <is>
          <t>Diablo 5/8"x 16"x18" Rebar Demon™ SDS-Plus 4-Cutter Full Carbide Head Hammer Bit</t>
        </is>
      </c>
      <c r="E3736" s="2">
        <f>HYPERLINK("https://www.amazon.com/Diablo-SDS-Plus-4-Cutter-Carbide-Hammer/dp/B089LDNZSN/ref=sr_1_26?keywords=Diablo+Tools+DMAPL4180+1%2F2+in.+x+4+in.+x+6+in.+Rebar+Demon%E2%84%A2+SDS-Plus+4-Cutter+Full+Carbide+Head+Hammer+Bit&amp;qid=1694735298&amp;sr=8-26", "https://www.amazon.com/Diablo-SDS-Plus-4-Cutter-Carbide-Hammer/dp/B089LDNZSN/ref=sr_1_26?keywords=Diablo+Tools+DMAPL4180+1%2F2+in.+x+4+in.+x+6+in.+Rebar+Demon%E2%84%A2+SDS-Plus+4-Cutter+Full+Carbide+Head+Hammer+Bit&amp;qid=1694735298&amp;sr=8-26")</f>
        <v/>
      </c>
      <c r="F3736" t="inlineStr">
        <is>
          <t>B089LDNZSN</t>
        </is>
      </c>
      <c r="G3736">
        <f>_xlfn.IMAGE("https://edmondsonsupply.com/cdn/shop/products/DMAPL4180_Main-Image20200702.png?v=1633030362")</f>
        <v/>
      </c>
      <c r="H3736">
        <f>_xlfn.IMAGE("https://m.media-amazon.com/images/I/61Vv8Hsfp5L._AC_UL320_.jpg")</f>
        <v/>
      </c>
      <c r="K3736" t="inlineStr">
        <is>
          <t>9.97</t>
        </is>
      </c>
      <c r="L3736" t="n">
        <v>33.98</v>
      </c>
      <c r="M3736" s="1" t="inlineStr">
        <is>
          <t>240.82%</t>
        </is>
      </c>
      <c r="N3736" s="7" t="n">
        <v>30.12</v>
      </c>
      <c r="O3736" t="n">
        <v>4.6</v>
      </c>
      <c r="P3736" t="n">
        <v>10</v>
      </c>
      <c r="R3736" t="inlineStr">
        <is>
          <t>InStock</t>
        </is>
      </c>
      <c r="S3736" t="inlineStr">
        <is>
          <t>undefined</t>
        </is>
      </c>
      <c r="T3736" t="inlineStr">
        <is>
          <t>5286803833000</t>
        </is>
      </c>
    </row>
    <row r="3737" ht="87" customHeight="1">
      <c r="A3737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737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737" t="inlineStr">
        <is>
          <t>Diablo Tools DMAPL4160 3/8 in. x 10 in. x 12 in. Rebar Demon™ SDS-Plus 4-Cutter Full Carbide Head Hammer Bit</t>
        </is>
      </c>
      <c r="D3737" t="inlineStr">
        <is>
          <t>Diablo by Freud DMAPL4300 1 in. x 8 in. x 10 in. Rebar Demon™ SDS-Plus 4-Cutter Full Carbide Head Hammer Bit</t>
        </is>
      </c>
      <c r="E3737" s="2">
        <f>HYPERLINK("https://www.amazon.com/Diablo-Freud-DMAPL4300-SDS-Plus-4-Cutter/dp/B089LL8JD8/ref=sr_1_7?keywords=Diablo+Tools+DMAPL4160+3%2F8+in.+x+10+in.+x+12+in.+Rebar+Demon%E2%84%A2+SDS-Plus+4-Cutter+Full+Carbide+Head+Hammer+Bit&amp;qid=1694735304&amp;sr=8-7", "https://www.amazon.com/Diablo-Freud-DMAPL4300-SDS-Plus-4-Cutter/dp/B089LL8JD8/ref=sr_1_7?keywords=Diablo+Tools+DMAPL4160+3%2F8+in.+x+10+in.+x+12+in.+Rebar+Demon%E2%84%A2+SDS-Plus+4-Cutter+Full+Carbide+Head+Hammer+Bit&amp;qid=1694735304&amp;sr=8-7")</f>
        <v/>
      </c>
      <c r="F3737" t="inlineStr">
        <is>
          <t>B089LL8JD8</t>
        </is>
      </c>
      <c r="G3737">
        <f>_xlfn.IMAGE("https://edmondsonsupply.com/cdn/shop/products/w7y3zlfom8dhrlplcmqa.webp?v=1670439058")</f>
        <v/>
      </c>
      <c r="H3737">
        <f>_xlfn.IMAGE("https://m.media-amazon.com/images/I/616UiJGsK1L._AC_UL320_.jpg")</f>
        <v/>
      </c>
      <c r="K3737" t="inlineStr">
        <is>
          <t>9.97</t>
        </is>
      </c>
      <c r="L3737" t="n">
        <v>33.95</v>
      </c>
      <c r="M3737" s="1" t="inlineStr">
        <is>
          <t>240.52%</t>
        </is>
      </c>
      <c r="N3737" s="7" t="n">
        <v>30.1</v>
      </c>
      <c r="O3737" t="n">
        <v>4.5</v>
      </c>
      <c r="P3737" t="n">
        <v>16</v>
      </c>
      <c r="R3737" t="inlineStr">
        <is>
          <t>InStock</t>
        </is>
      </c>
      <c r="S3737" t="inlineStr">
        <is>
          <t>15.02</t>
        </is>
      </c>
      <c r="T3737" t="inlineStr">
        <is>
          <t>5286778601640</t>
        </is>
      </c>
    </row>
    <row r="3738" ht="87" customHeight="1">
      <c r="A3738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738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738" t="inlineStr">
        <is>
          <t>Diablo Tools DMAPL4180 1/2 in. x 4 in. x 6 in. Rebar Demon™ SDS-Plus 4-Cutter Full Carbide Head Hammer Bit</t>
        </is>
      </c>
      <c r="D3738" t="inlineStr">
        <is>
          <t>Diablo by Freud DMAPL4300 1 in. x 8 in. x 10 in. Rebar Demon™ SDS-Plus 4-Cutter Full Carbide Head Hammer Bit</t>
        </is>
      </c>
      <c r="E3738" s="2">
        <f>HYPERLINK("https://www.amazon.com/Diablo-Freud-DMAPL4300-SDS-Plus-4-Cutter/dp/B089LL8JD8/ref=sr_1_24?keywords=Diablo+Tools+DMAPL4180+1%2F2+in.+x+4+in.+x+6+in.+Rebar+Demon%E2%84%A2+SDS-Plus+4-Cutter+Full+Carbide+Head+Hammer+Bit&amp;qid=1694735298&amp;sr=8-24", "https://www.amazon.com/Diablo-Freud-DMAPL4300-SDS-Plus-4-Cutter/dp/B089LL8JD8/ref=sr_1_24?keywords=Diablo+Tools+DMAPL4180+1%2F2+in.+x+4+in.+x+6+in.+Rebar+Demon%E2%84%A2+SDS-Plus+4-Cutter+Full+Carbide+Head+Hammer+Bit&amp;qid=1694735298&amp;sr=8-24")</f>
        <v/>
      </c>
      <c r="F3738" t="inlineStr">
        <is>
          <t>B089LL8JD8</t>
        </is>
      </c>
      <c r="G3738">
        <f>_xlfn.IMAGE("https://edmondsonsupply.com/cdn/shop/products/DMAPL4180_Main-Image20200702.png?v=1633030362")</f>
        <v/>
      </c>
      <c r="H3738">
        <f>_xlfn.IMAGE("https://m.media-amazon.com/images/I/616UiJGsK1L._AC_UL320_.jpg")</f>
        <v/>
      </c>
      <c r="K3738" t="inlineStr">
        <is>
          <t>9.97</t>
        </is>
      </c>
      <c r="L3738" t="n">
        <v>33.95</v>
      </c>
      <c r="M3738" s="1" t="inlineStr">
        <is>
          <t>240.52%</t>
        </is>
      </c>
      <c r="N3738" s="7" t="n">
        <v>30.1</v>
      </c>
      <c r="O3738" t="n">
        <v>4.5</v>
      </c>
      <c r="P3738" t="n">
        <v>16</v>
      </c>
      <c r="R3738" t="inlineStr">
        <is>
          <t>InStock</t>
        </is>
      </c>
      <c r="S3738" t="inlineStr">
        <is>
          <t>undefined</t>
        </is>
      </c>
      <c r="T3738" t="inlineStr">
        <is>
          <t>5286803833000</t>
        </is>
      </c>
    </row>
    <row r="3739" ht="87" customHeight="1">
      <c r="A3739" s="2">
        <f>HYPERLINK("https://edmondsonsupply.com/collections/electricians-tools/products/fluke-iksc7", "https://edmondsonsupply.com/collections/electricians-tools/products/fluke-iksc7")</f>
        <v/>
      </c>
      <c r="B3739" s="2">
        <f>HYPERLINK("https://edmondsonsupply.com/products/fluke-iksc7", "https://edmondsonsupply.com/products/fluke-iksc7")</f>
        <v/>
      </c>
      <c r="C3739" t="inlineStr">
        <is>
          <t>Fluke IKSC7 7 Piece Insulated Screwdriver Kit</t>
        </is>
      </c>
      <c r="D3739" t="inlineStr">
        <is>
          <t>Fluke - IKPK7 Pack30 Insulated 5 Screwdriver + 3 Plier Kit, 1000V</t>
        </is>
      </c>
      <c r="E3739" s="2">
        <f>HYPERLINK("https://www.amazon.com/Fluke-Pack30-Insulated-Screwdriver-Plier/dp/B07SFZR4BN/ref=sr_1_2?keywords=Fluke+IKSC7+7+Piece+Insulated+Screwdriver+Kit&amp;qid=1694735316&amp;sr=8-2", "https://www.amazon.com/Fluke-Pack30-Insulated-Screwdriver-Plier/dp/B07SFZR4BN/ref=sr_1_2?keywords=Fluke+IKSC7+7+Piece+Insulated+Screwdriver+Kit&amp;qid=1694735316&amp;sr=8-2")</f>
        <v/>
      </c>
      <c r="F3739" t="inlineStr">
        <is>
          <t>B07SFZR4BN</t>
        </is>
      </c>
      <c r="G3739">
        <f>_xlfn.IMAGE("https://edmondsonsupply.com/cdn/shop/products/iksc7-1.jpg?v=1589307381")</f>
        <v/>
      </c>
      <c r="H3739">
        <f>_xlfn.IMAGE("https://m.media-amazon.com/images/I/51UGbRZRxHL._AC_UL320_.jpg")</f>
        <v/>
      </c>
      <c r="K3739" t="inlineStr">
        <is>
          <t>143.99</t>
        </is>
      </c>
      <c r="L3739" t="n">
        <v>489.99</v>
      </c>
      <c r="M3739" s="1" t="inlineStr">
        <is>
          <t>240.29%</t>
        </is>
      </c>
      <c r="N3739" s="7" t="n">
        <v>30.07</v>
      </c>
      <c r="O3739" t="n">
        <v>4.4</v>
      </c>
      <c r="P3739" t="n">
        <v>16</v>
      </c>
      <c r="R3739" t="inlineStr">
        <is>
          <t>OutOfStock</t>
        </is>
      </c>
      <c r="S3739" t="inlineStr">
        <is>
          <t>159.99</t>
        </is>
      </c>
      <c r="T3739" t="inlineStr">
        <is>
          <t>4650546888804</t>
        </is>
      </c>
    </row>
    <row r="3740" ht="87" customHeight="1">
      <c r="A3740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3740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3740" t="inlineStr">
        <is>
          <t>Klein Tools NCVT1PKIT Non-Contact Voltage and GFCI Receptacle Test Kit</t>
        </is>
      </c>
      <c r="D3740" t="inlineStr">
        <is>
          <t>Klein Tools NCVT3PKIT Electrical Test Kit, Dual-Range Non-Contact Voltage Tester with Flashlight, AC/DC Voltage Tester and Carrying Case &amp; ET310 AC Circuit Breaker Finder</t>
        </is>
      </c>
      <c r="E3740" s="2">
        <f>HYPERLINK("https://www.amazon.com/Klein-Tools-Electrical-Dual-Range-Non-Contact/dp/B0BD3WBV6W/ref=sr_1_21?keywords=Klein+Tools+NCVT1PKIT+Non-Contact+Voltage+and+GFCI+Receptacle+Test+Kit&amp;qid=1694735031&amp;sr=8-21", "https://www.amazon.com/Klein-Tools-Electrical-Dual-Range-Non-Contact/dp/B0BD3WBV6W/ref=sr_1_21?keywords=Klein+Tools+NCVT1PKIT+Non-Contact+Voltage+and+GFCI+Receptacle+Test+Kit&amp;qid=1694735031&amp;sr=8-21")</f>
        <v/>
      </c>
      <c r="F3740" t="inlineStr">
        <is>
          <t>B0BD3WBV6W</t>
        </is>
      </c>
      <c r="G3740">
        <f>_xlfn.IMAGE("https://edmondsonsupply.com/cdn/shop/products/ncvt1pkit.jpg?v=1677682920")</f>
        <v/>
      </c>
      <c r="H3740">
        <f>_xlfn.IMAGE("https://m.media-amazon.com/images/I/51Bb9uu7nIL._AC_UL320_.jpg")</f>
        <v/>
      </c>
      <c r="K3740" t="inlineStr">
        <is>
          <t>24.97</t>
        </is>
      </c>
      <c r="L3740" t="n">
        <v>84.95999999999999</v>
      </c>
      <c r="M3740" s="1" t="inlineStr">
        <is>
          <t>240.25%</t>
        </is>
      </c>
      <c r="N3740" s="7" t="n">
        <v>30.07</v>
      </c>
      <c r="O3740" t="n">
        <v>5</v>
      </c>
      <c r="P3740" t="n">
        <v>1</v>
      </c>
      <c r="R3740" t="inlineStr">
        <is>
          <t>InStock</t>
        </is>
      </c>
      <c r="S3740" t="inlineStr">
        <is>
          <t>35.38</t>
        </is>
      </c>
      <c r="T3740" t="inlineStr">
        <is>
          <t>7953960698072</t>
        </is>
      </c>
    </row>
    <row r="3741" ht="87" customHeight="1">
      <c r="A3741" s="2">
        <f>HYPERLINK("https://edmondsonsupply.com/collections/electricians-tools/products/klein-tools-19352-conduit-reamer", "https://edmondsonsupply.com/collections/electricians-tools/products/klein-tools-19352-conduit-reamer")</f>
        <v/>
      </c>
      <c r="B3741" s="2">
        <f>HYPERLINK("https://edmondsonsupply.com/products/klein-tools-19352-conduit-reamer", "https://edmondsonsupply.com/products/klein-tools-19352-conduit-reamer")</f>
        <v/>
      </c>
      <c r="C3741" t="inlineStr">
        <is>
          <t>Klein Tools 19352 Conduit Reamer</t>
        </is>
      </c>
      <c r="D3741" t="inlineStr">
        <is>
          <t>Klein Tools 85191 Screwdriver/Conduit Reamer &amp; 32807MAG 7-in-1 Nut Driver, Magnetic Driver has SAE Hex Nut Sizes 1/4 to 9/16-Inch</t>
        </is>
      </c>
      <c r="E3741" s="2">
        <f>HYPERLINK("https://www.amazon.com/Klein-Tools-Screwdriver-32807MAG-Magnetic/dp/B0BD3Z8MN7/ref=sr_1_18?keywords=Klein+Tools+19352+Conduit+Reamer&amp;qid=1694735413&amp;sr=8-18", "https://www.amazon.com/Klein-Tools-Screwdriver-32807MAG-Magnetic/dp/B0BD3Z8MN7/ref=sr_1_18?keywords=Klein+Tools+19352+Conduit+Reamer&amp;qid=1694735413&amp;sr=8-18")</f>
        <v/>
      </c>
      <c r="F3741" t="inlineStr">
        <is>
          <t>B0BD3Z8MN7</t>
        </is>
      </c>
      <c r="G3741">
        <f>_xlfn.IMAGE("https://edmondsonsupply.com/cdn/shop/products/19352.jpg?v=1587145575")</f>
        <v/>
      </c>
      <c r="H3741">
        <f>_xlfn.IMAGE("https://m.media-amazon.com/images/I/41yyZWTsWSL._AC_UL320_.jpg")</f>
        <v/>
      </c>
      <c r="K3741" t="inlineStr">
        <is>
          <t>18.49</t>
        </is>
      </c>
      <c r="L3741" t="n">
        <v>62.83</v>
      </c>
      <c r="M3741" s="1" t="inlineStr">
        <is>
          <t>239.81%</t>
        </is>
      </c>
      <c r="N3741" s="7" t="n">
        <v>29.94</v>
      </c>
      <c r="O3741" t="n">
        <v>5</v>
      </c>
      <c r="P3741" t="n">
        <v>1</v>
      </c>
      <c r="R3741" t="inlineStr">
        <is>
          <t>InStock</t>
        </is>
      </c>
      <c r="S3741" t="inlineStr">
        <is>
          <t>27.24</t>
        </is>
      </c>
      <c r="T3741" t="inlineStr">
        <is>
          <t>4385945616484</t>
        </is>
      </c>
    </row>
    <row r="3742" ht="87" customHeight="1">
      <c r="A3742" s="2">
        <f>HYPERLINK("https://edmondsonsupply.com/collections/electricians-tools/products/greenlee-611-1-1-4-foam-conduit-piston", "https://edmondsonsupply.com/collections/electricians-tools/products/greenlee-611-1-1-4-foam-conduit-piston")</f>
        <v/>
      </c>
      <c r="B3742" s="2">
        <f>HYPERLINK("https://edmondsonsupply.com/products/greenlee-611-1-1-4-foam-conduit-piston", "https://edmondsonsupply.com/products/greenlee-611-1-1-4-foam-conduit-piston")</f>
        <v/>
      </c>
      <c r="C3742" t="inlineStr">
        <is>
          <t>Greenlee 611 1-1/4" Foam Conduit Piston</t>
        </is>
      </c>
      <c r="D3742" t="inlineStr">
        <is>
          <t>Greenlee - Piston,4" Conduit, Fishing (617)</t>
        </is>
      </c>
      <c r="E3742" s="2">
        <f>HYPERLINK("https://www.amazon.com/Greenlee-617-Piston-Conduit-Rigid/dp/B000E2JVR2/ref=sr_1_4?keywords=Greenlee+611+1-1%2F4%22+Foam+Conduit+Piston&amp;qid=1694735002&amp;sr=8-4", "https://www.amazon.com/Greenlee-617-Piston-Conduit-Rigid/dp/B000E2JVR2/ref=sr_1_4?keywords=Greenlee+611+1-1%2F4%22+Foam+Conduit+Piston&amp;qid=1694735002&amp;sr=8-4")</f>
        <v/>
      </c>
      <c r="F3742" t="inlineStr">
        <is>
          <t>B000E2JVR2</t>
        </is>
      </c>
      <c r="G3742">
        <f>_xlfn.IMAGE("https://edmondsonsupply.com/cdn/shop/files/Greenlee-611_1.jpg?v=1687449194")</f>
        <v/>
      </c>
      <c r="H3742">
        <f>_xlfn.IMAGE("https://m.media-amazon.com/images/I/61MOecOeXpL._AC_UL320_.jpg")</f>
        <v/>
      </c>
      <c r="K3742" t="inlineStr">
        <is>
          <t>8.89</t>
        </is>
      </c>
      <c r="L3742" t="n">
        <v>30.19</v>
      </c>
      <c r="M3742" s="1" t="inlineStr">
        <is>
          <t>239.60%</t>
        </is>
      </c>
      <c r="N3742" s="7" t="n">
        <v>29.91</v>
      </c>
      <c r="O3742" t="n">
        <v>4.7</v>
      </c>
      <c r="P3742" t="n">
        <v>11</v>
      </c>
      <c r="R3742" t="inlineStr">
        <is>
          <t>InStock</t>
        </is>
      </c>
      <c r="S3742" t="inlineStr">
        <is>
          <t>9.25</t>
        </is>
      </c>
      <c r="T3742" t="inlineStr">
        <is>
          <t>8007992017112</t>
        </is>
      </c>
    </row>
    <row r="3743" ht="87" customHeight="1">
      <c r="A3743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3743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3743" t="inlineStr">
        <is>
          <t>Diablo Tools DMAMX1050 9/16 in. x 8 in. x 13 in. Rebar Demon™ SDS-Max 4-Cutter Full Carbide Head Hammer Drill Bit</t>
        </is>
      </c>
      <c r="D3743" t="inlineStr">
        <is>
          <t>Diablo DMAMX1360 1-1/2 in. x 16 in. x 21 in. Rebar Demon™ SDS-Max 4-Cutter Carbide-Tipped Hammer Bit</t>
        </is>
      </c>
      <c r="E3743" s="2">
        <f>HYPERLINK("https://www.amazon.com/Diablo-SDS-Max-4-Cutter-Carbide-Tipped-Hammer/dp/B089KXF4R5/ref=sr_1_45?keywords=Diablo+Tools+DMAMX1050+9%2F16+in.+x+8+in.+x+13+in.+Rebar+Demon%E2%84%A2+SDS-Max+4-Cutter+Full+Carbide+Head+Hammer+Drill+Bit&amp;qid=1694735208&amp;sr=8-45", "https://www.amazon.com/Diablo-SDS-Max-4-Cutter-Carbide-Tipped-Hammer/dp/B089KXF4R5/ref=sr_1_45?keywords=Diablo+Tools+DMAMX1050+9%2F16+in.+x+8+in.+x+13+in.+Rebar+Demon%E2%84%A2+SDS-Max+4-Cutter+Full+Carbide+Head+Hammer+Drill+Bit&amp;qid=1694735208&amp;sr=8-45")</f>
        <v/>
      </c>
      <c r="F3743" t="inlineStr">
        <is>
          <t>B089KXF4R5</t>
        </is>
      </c>
      <c r="G3743">
        <f>_xlfn.IMAGE("https://edmondsonsupply.com/cdn/shop/products/DMAMX1050_Main-Image20200701.png?v=1633031097")</f>
        <v/>
      </c>
      <c r="H3743">
        <f>_xlfn.IMAGE("https://m.media-amazon.com/images/I/61MTkJ-cWaL._AC_UL320_.jpg")</f>
        <v/>
      </c>
      <c r="K3743" t="inlineStr">
        <is>
          <t>29.19</t>
        </is>
      </c>
      <c r="L3743" t="n">
        <v>98.98999999999999</v>
      </c>
      <c r="M3743" s="1" t="inlineStr">
        <is>
          <t>239.12%</t>
        </is>
      </c>
      <c r="N3743" s="7" t="n">
        <v>29.77</v>
      </c>
      <c r="O3743" t="n">
        <v>5</v>
      </c>
      <c r="P3743" t="n">
        <v>5</v>
      </c>
      <c r="R3743" t="inlineStr">
        <is>
          <t>InStock</t>
        </is>
      </c>
      <c r="S3743" t="inlineStr">
        <is>
          <t>46.05</t>
        </is>
      </c>
      <c r="T3743" t="inlineStr">
        <is>
          <t>6842367738029</t>
        </is>
      </c>
    </row>
    <row r="3744" ht="87" customHeight="1">
      <c r="A3744" s="2">
        <f>HYPERLINK("https://edmondsonsupply.com/collections/electricians-tools/products/klein-tools-66075-flip-impact-socket-11-16-and-5-8-inch", "https://edmondsonsupply.com/collections/electricians-tools/products/klein-tools-66075-flip-impact-socket-11-16-and-5-8-inch")</f>
        <v/>
      </c>
      <c r="B3744" s="2">
        <f>HYPERLINK("https://edmondsonsupply.com/products/klein-tools-66075-flip-impact-socket-11-16-and-5-8-inch", "https://edmondsonsupply.com/products/klein-tools-66075-flip-impact-socket-11-16-and-5-8-inch")</f>
        <v/>
      </c>
      <c r="C3744" t="inlineStr">
        <is>
          <t>Klein Tools 66075 Flip Impact Socket, 11/16 and 5/8-Inch</t>
        </is>
      </c>
      <c r="D3744" t="inlineStr">
        <is>
          <t>Klein Tools 66062 2-in-1 Deep Impact Socket, 6-Point 5/8-Inch and 7/16-Inch Hex Socket, Use with Impact Wrenches BAT20-CW, BAT20-CW</t>
        </is>
      </c>
      <c r="E3744" s="2">
        <f>HYPERLINK("https://www.amazon.com/Klein-Tools-66062-Wrenches-BAT20-CW/dp/B09NDQW5HQ/ref=sr_1_13?keywords=Klein+Tools+66075+Flip+Impact+Socket%2C+11%2F16+and+5%2F8-Inch&amp;qid=1694735124&amp;sr=8-13", "https://www.amazon.com/Klein-Tools-66062-Wrenches-BAT20-CW/dp/B09NDQW5HQ/ref=sr_1_13?keywords=Klein+Tools+66075+Flip+Impact+Socket%2C+11%2F16+and+5%2F8-Inch&amp;qid=1694735124&amp;sr=8-13")</f>
        <v/>
      </c>
      <c r="F3744" t="inlineStr">
        <is>
          <t>B09NDQW5HQ</t>
        </is>
      </c>
      <c r="G3744">
        <f>_xlfn.IMAGE("https://edmondsonsupply.com/cdn/shop/products/66075.jpg?v=1663248197")</f>
        <v/>
      </c>
      <c r="H3744">
        <f>_xlfn.IMAGE("https://m.media-amazon.com/images/I/816tstt7E9L._AC_UL320_.jpg")</f>
        <v/>
      </c>
      <c r="K3744" t="inlineStr">
        <is>
          <t>12.71</t>
        </is>
      </c>
      <c r="L3744" t="n">
        <v>43.08</v>
      </c>
      <c r="M3744" s="1" t="inlineStr">
        <is>
          <t>238.95%</t>
        </is>
      </c>
      <c r="N3744" s="7" t="n">
        <v>29.76</v>
      </c>
      <c r="O3744" t="n">
        <v>5</v>
      </c>
      <c r="P3744" t="n">
        <v>1</v>
      </c>
      <c r="R3744" t="inlineStr">
        <is>
          <t>InStock</t>
        </is>
      </c>
      <c r="S3744" t="inlineStr">
        <is>
          <t>17.8</t>
        </is>
      </c>
      <c r="T3744" t="inlineStr">
        <is>
          <t>7817283862744</t>
        </is>
      </c>
    </row>
    <row r="3745" ht="87" customHeight="1">
      <c r="A3745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745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745" t="inlineStr">
        <is>
          <t>Diablo Tools DMAPL4020 5/32 in. x 4 in. x 6 in. Rebar Demon™ SDS-Plus 4-Cutter Full Carbide Head Hammer Bit</t>
        </is>
      </c>
      <c r="D3745" t="inlineStr">
        <is>
          <t>Diablo by Freud DMAPL4230 5/8 in. x 10 in. x 12 in. Rebar Demon SDS-Plus 4-Cutter Full Carbide Head Hammer Bit</t>
        </is>
      </c>
      <c r="E3745" s="2">
        <f>HYPERLINK("https://www.amazon.com/Diablo-Freud-DMAPL4230-SDS-Plus-4-Cutter/dp/B089LCN234/ref=sr_1_21?keywords=Diablo+Tools+DMAPL4020+5%2F32+in.+x+4+in.+x+6+in.+Rebar+Demon%E2%84%A2+SDS-Plus+4-Cutter+Full+Carbide+Head+Hammer+Bit&amp;qid=1694735291&amp;sr=8-21", "https://www.amazon.com/Diablo-Freud-DMAPL4230-SDS-Plus-4-Cutter/dp/B089LCN234/ref=sr_1_21?keywords=Diablo+Tools+DMAPL4020+5%2F32+in.+x+4+in.+x+6+in.+Rebar+Demon%E2%84%A2+SDS-Plus+4-Cutter+Full+Carbide+Head+Hammer+Bit&amp;qid=1694735291&amp;sr=8-21")</f>
        <v/>
      </c>
      <c r="F3745" t="inlineStr">
        <is>
          <t>B089LCN234</t>
        </is>
      </c>
      <c r="G3745">
        <f>_xlfn.IMAGE("https://edmondsonsupply.com/cdn/shop/products/DMAPL4020_1.jpg?v=1633030415")</f>
        <v/>
      </c>
      <c r="H3745">
        <f>_xlfn.IMAGE("https://m.media-amazon.com/images/I/61r649wmyhL._AC_UL320_.jpg")</f>
        <v/>
      </c>
      <c r="K3745" t="inlineStr">
        <is>
          <t>6.47</t>
        </is>
      </c>
      <c r="L3745" t="n">
        <v>21.86</v>
      </c>
      <c r="M3745" s="1" t="inlineStr">
        <is>
          <t>237.87%</t>
        </is>
      </c>
      <c r="N3745" s="7" t="n">
        <v>29.74</v>
      </c>
      <c r="O3745" t="n">
        <v>4.7</v>
      </c>
      <c r="P3745" t="n">
        <v>47</v>
      </c>
      <c r="R3745" t="inlineStr">
        <is>
          <t>InStock</t>
        </is>
      </c>
      <c r="S3745" t="inlineStr">
        <is>
          <t>9.44</t>
        </is>
      </c>
      <c r="T3745" t="inlineStr">
        <is>
          <t>5313711046824</t>
        </is>
      </c>
    </row>
    <row r="3746" ht="87" customHeight="1">
      <c r="A3746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746" s="2">
        <f>HYPERLINK("https://edmondsonsupply.com/products/klein-tools-vdv500-705-tone-probe-test-and-trace-kit", "https://edmondsonsupply.com/products/klein-tools-vdv500-705-tone-probe-test-and-trace-kit")</f>
        <v/>
      </c>
      <c r="C3746" t="inlineStr">
        <is>
          <t>Klein Tools VDV500-705 Tone &amp; Probe Test and Trace Kit</t>
        </is>
      </c>
      <c r="D3746" t="inlineStr">
        <is>
          <t>Klein Tools VDV500-820 Cable Tracer with Probe Tone Pro Kit &amp; 80016 Circuit Breaker Finder Tool Kit with Accessories, 2-Piece Set, Includes Cat. No. ET310 and Cat. No. 69411</t>
        </is>
      </c>
      <c r="E3746" s="2">
        <f>HYPERLINK("https://www.amazon.com/Klein-Tools-VDV500-820-Circuit-Accessories/dp/B0BXK8N2GP/ref=sr_1_9?keywords=Klein+Tools+VDV500-705+Tone&amp;qid=1694735386&amp;sr=8-9", "https://www.amazon.com/Klein-Tools-VDV500-820-Circuit-Accessories/dp/B0BXK8N2GP/ref=sr_1_9?keywords=Klein+Tools+VDV500-705+Tone&amp;qid=1694735386&amp;sr=8-9")</f>
        <v/>
      </c>
      <c r="F3746" t="inlineStr">
        <is>
          <t>B0BXK8N2GP</t>
        </is>
      </c>
      <c r="G3746">
        <f>_xlfn.IMAGE("https://edmondsonsupply.com/cdn/shop/products/vdv500705.jpg?v=1587144799")</f>
        <v/>
      </c>
      <c r="H3746">
        <f>_xlfn.IMAGE("https://m.media-amazon.com/images/I/51ARmG8WaXL._AC_UY218_.jpg")</f>
        <v/>
      </c>
      <c r="K3746" t="inlineStr">
        <is>
          <t>39.97</t>
        </is>
      </c>
      <c r="L3746" t="n">
        <v>134.96</v>
      </c>
      <c r="M3746" s="1" t="inlineStr">
        <is>
          <t>237.65%</t>
        </is>
      </c>
      <c r="N3746" s="7" t="n">
        <v>29.71</v>
      </c>
      <c r="O3746" t="n">
        <v>4.6</v>
      </c>
      <c r="P3746" t="n">
        <v>3</v>
      </c>
      <c r="R3746" t="inlineStr">
        <is>
          <t>InStock</t>
        </is>
      </c>
      <c r="S3746" t="inlineStr">
        <is>
          <t>55.98</t>
        </is>
      </c>
      <c r="T3746" t="inlineStr">
        <is>
          <t>4412899590244</t>
        </is>
      </c>
    </row>
    <row r="3747" ht="87" customHeight="1">
      <c r="A3747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3747" s="2">
        <f>HYPERLINK("https://edmondsonsupply.com/products/klein-tools-jth9m5-4-mm-hex-key-journeyman-t-handle-9-inch", "https://edmondsonsupply.com/products/klein-tools-jth9m5-4-mm-hex-key-journeyman-t-handle-9-inch")</f>
        <v/>
      </c>
      <c r="C3747" t="inlineStr">
        <is>
          <t>Klein Tools JTH9M4 4 mm Hex Key, Journeyman T-Handle, 9-Inch</t>
        </is>
      </c>
      <c r="D3747" t="inlineStr">
        <is>
          <t>Klein Tools JTH9M10 10 mm Hex Key with Journeyman T-Handle, 9-Inch</t>
        </is>
      </c>
      <c r="E3747" s="2">
        <f>HYPERLINK("https://www.amazon.com/Journeyman-T-Handle-Klein-Tools-JTH9M10/dp/B005G3HIA6/ref=sr_1_15?keywords=Klein+Tools+JTH9M4+4+mm+Hex+Key%2C+Journeyman+T-Handle%2C+9-Inch&amp;qid=1694735170&amp;sr=8-15", "https://www.amazon.com/Journeyman-T-Handle-Klein-Tools-JTH9M10/dp/B005G3HIA6/ref=sr_1_15?keywords=Klein+Tools+JTH9M4+4+mm+Hex+Key%2C+Journeyman+T-Handle%2C+9-Inch&amp;qid=1694735170&amp;sr=8-15")</f>
        <v/>
      </c>
      <c r="F3747" t="inlineStr">
        <is>
          <t>B005G3HIA6</t>
        </is>
      </c>
      <c r="G3747">
        <f>_xlfn.IMAGE("https://edmondsonsupply.com/cdn/shop/products/jth9m_fa8a641d-d03f-4191-ab24-b9045963e4f7.jpg?v=1640191121")</f>
        <v/>
      </c>
      <c r="H3747">
        <f>_xlfn.IMAGE("https://m.media-amazon.com/images/I/51+1x0vz9XL._AC_UL320_.jpg")</f>
        <v/>
      </c>
      <c r="K3747" t="inlineStr">
        <is>
          <t>4.49</t>
        </is>
      </c>
      <c r="L3747" t="n">
        <v>15.15</v>
      </c>
      <c r="M3747" s="1" t="inlineStr">
        <is>
          <t>237.42%</t>
        </is>
      </c>
      <c r="N3747" s="7" t="n">
        <v>29.57</v>
      </c>
      <c r="O3747" t="n">
        <v>5</v>
      </c>
      <c r="P3747" t="n">
        <v>2</v>
      </c>
      <c r="R3747" t="inlineStr">
        <is>
          <t>InStock</t>
        </is>
      </c>
      <c r="S3747" t="inlineStr">
        <is>
          <t>6.8</t>
        </is>
      </c>
      <c r="T3747" t="inlineStr">
        <is>
          <t>7555980656856</t>
        </is>
      </c>
    </row>
    <row r="3748" ht="87" customHeight="1">
      <c r="A3748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3748" s="2">
        <f>HYPERLINK("https://edmondsonsupply.com/products/klein-tools-jth9m3-3-mm-hex-key-with-journeyman-t-handle-9-inch", "https://edmondsonsupply.com/products/klein-tools-jth9m3-3-mm-hex-key-with-journeyman-t-handle-9-inch")</f>
        <v/>
      </c>
      <c r="C3748" t="inlineStr">
        <is>
          <t>Klein Tools JTH9M3 3 mm Hex Key with Journeyman T-Handle, 9-Inch</t>
        </is>
      </c>
      <c r="D3748" t="inlineStr">
        <is>
          <t>Klein Tools JTH9M10 10 mm Hex Key with Journeyman T-Handle, 9-Inch</t>
        </is>
      </c>
      <c r="E3748" s="2">
        <f>HYPERLINK("https://www.amazon.com/Journeyman-T-Handle-Klein-Tools-JTH9M10/dp/B005G3HIA6/ref=sr_1_14?keywords=Klein+Tools+JTH9M3+3+mm+Hex+Key+with+Journeyman+T-Handle%2C+9-Inch&amp;qid=1694735249&amp;sr=8-14", "https://www.amazon.com/Journeyman-T-Handle-Klein-Tools-JTH9M10/dp/B005G3HIA6/ref=sr_1_14?keywords=Klein+Tools+JTH9M3+3+mm+Hex+Key+with+Journeyman+T-Handle%2C+9-Inch&amp;qid=1694735249&amp;sr=8-14")</f>
        <v/>
      </c>
      <c r="F3748" t="inlineStr">
        <is>
          <t>B005G3HIA6</t>
        </is>
      </c>
      <c r="G3748">
        <f>_xlfn.IMAGE("https://edmondsonsupply.com/cdn/shop/products/jth9m.jpg?v=1633030702")</f>
        <v/>
      </c>
      <c r="H3748">
        <f>_xlfn.IMAGE("https://m.media-amazon.com/images/I/51+1x0vz9XL._AC_UL320_.jpg")</f>
        <v/>
      </c>
      <c r="K3748" t="inlineStr">
        <is>
          <t>4.49</t>
        </is>
      </c>
      <c r="L3748" t="n">
        <v>15.15</v>
      </c>
      <c r="M3748" s="1" t="inlineStr">
        <is>
          <t>237.42%</t>
        </is>
      </c>
      <c r="N3748" s="7" t="n">
        <v>29.24</v>
      </c>
      <c r="O3748" t="n">
        <v>5</v>
      </c>
      <c r="P3748" t="n">
        <v>2</v>
      </c>
      <c r="R3748" t="inlineStr">
        <is>
          <t>InStock</t>
        </is>
      </c>
      <c r="S3748" t="inlineStr">
        <is>
          <t>6.82</t>
        </is>
      </c>
      <c r="T3748" t="inlineStr">
        <is>
          <t>5848344035496</t>
        </is>
      </c>
    </row>
    <row r="3749" ht="87" customHeight="1">
      <c r="A3749" s="2">
        <f>HYPERLINK("https://edmondsonsupply.com/collections/electricians-tools/products/milwaukee-2880-20-m18-fuel%E2%84%A2-4-1-2-5-grinder-paddle-switch-no-lock", "https://edmondsonsupply.com/collections/electricians-tools/products/milwaukee-2880-20-m18-fuel%E2%84%A2-4-1-2-5-grinder-paddle-switch-no-lock")</f>
        <v/>
      </c>
      <c r="B3749" s="2">
        <f>HYPERLINK("https://edmondsonsupply.com/products/milwaukee-2880-20-m18-fuel%e2%84%a2-4-1-2-5-grinder-paddle-switch-no-lock", "https://edmondsonsupply.com/products/milwaukee-2880-20-m18-fuel%e2%84%a2-4-1-2-5-grinder-paddle-switch-no-lock")</f>
        <v/>
      </c>
      <c r="C3749" t="inlineStr">
        <is>
          <t>Milwaukee 2880-20 M18 FUEL™ 4-1/2" / 5" Grinder Paddle Switch, No-Lock</t>
        </is>
      </c>
      <c r="D3749" t="inlineStr">
        <is>
          <t>Milwaukee 2780-22 M18 Fuel 4-1/2" / 5" Grinder, Paddle Switch No-Lock</t>
        </is>
      </c>
      <c r="E3749" s="2">
        <f>HYPERLINK("https://www.amazon.com/Milwaukee-2780-22-Grinder-Paddle-No-Lock/dp/B01N45B1K5/ref=sr_1_4?keywords=Milwaukee+2880-20+M18+FUEL%E2%84%A2+4-1%2F2%22+%2F+5%22+Grinder+Paddle+Switch%2C+No-Lock&amp;qid=1694735131&amp;sr=8-4", "https://www.amazon.com/Milwaukee-2780-22-Grinder-Paddle-No-Lock/dp/B01N45B1K5/ref=sr_1_4?keywords=Milwaukee+2880-20+M18+FUEL%E2%84%A2+4-1%2F2%22+%2F+5%22+Grinder+Paddle+Switch%2C+No-Lock&amp;qid=1694735131&amp;sr=8-4")</f>
        <v/>
      </c>
      <c r="F3749" t="inlineStr">
        <is>
          <t>B01N45B1K5</t>
        </is>
      </c>
      <c r="G3749">
        <f>_xlfn.IMAGE("https://edmondsonsupply.com/cdn/shop/products/2880-20_1.webp?v=1661698933")</f>
        <v/>
      </c>
      <c r="H3749">
        <f>_xlfn.IMAGE("https://m.media-amazon.com/images/I/61hjyVlQ1pL._AC_UL320_.jpg")</f>
        <v/>
      </c>
      <c r="K3749" t="inlineStr">
        <is>
          <t>199.0</t>
        </is>
      </c>
      <c r="L3749" t="n">
        <v>669.99</v>
      </c>
      <c r="M3749" s="1" t="inlineStr">
        <is>
          <t>236.68%</t>
        </is>
      </c>
      <c r="N3749" s="7" t="n">
        <v>28.71</v>
      </c>
      <c r="O3749" t="n">
        <v>5</v>
      </c>
      <c r="P3749" t="n">
        <v>2</v>
      </c>
      <c r="R3749" t="inlineStr">
        <is>
          <t>InStock</t>
        </is>
      </c>
      <c r="S3749" t="inlineStr">
        <is>
          <t>330.0</t>
        </is>
      </c>
      <c r="T3749" t="inlineStr">
        <is>
          <t>7795852411096</t>
        </is>
      </c>
    </row>
    <row r="3750" ht="87" customHeight="1">
      <c r="A3750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750" s="2">
        <f>HYPERLINK("https://edmondsonsupply.com/products/klein-tools-vdv500-705-tone-probe-test-and-trace-kit", "https://edmondsonsupply.com/products/klein-tools-vdv500-705-tone-probe-test-and-trace-kit")</f>
        <v/>
      </c>
      <c r="C3750" t="inlineStr">
        <is>
          <t>Klein Tools VDV500-705 Tone &amp; Probe Test and Trace Kit</t>
        </is>
      </c>
      <c r="D3750" t="inlineStr">
        <is>
          <t>Klein Tools VDV500-820 Cable Tracer with Probe Tone Pro Kit &amp; VDV526-200 Cable Tester, LAN Scout Jr. 2 Ethernet Cable Tester for CAT 5e, CAT 6/6A Cables with RJ45 Connections</t>
        </is>
      </c>
      <c r="E3750" s="2">
        <f>HYPERLINK("https://www.amazon.com/Klein-Tools-VDV500-820-VDV526-200-Connections/dp/B09T6ZKDCM/ref=sr_1_6?keywords=Klein+Tools+VDV500-705+Tone&amp;qid=1694735386&amp;sr=8-6", "https://www.amazon.com/Klein-Tools-VDV500-820-VDV526-200-Connections/dp/B09T6ZKDCM/ref=sr_1_6?keywords=Klein+Tools+VDV500-705+Tone&amp;qid=1694735386&amp;sr=8-6")</f>
        <v/>
      </c>
      <c r="F3750" t="inlineStr">
        <is>
          <t>B09T6ZKDCM</t>
        </is>
      </c>
      <c r="G3750">
        <f>_xlfn.IMAGE("https://edmondsonsupply.com/cdn/shop/products/vdv500705.jpg?v=1587144799")</f>
        <v/>
      </c>
      <c r="H3750">
        <f>_xlfn.IMAGE("https://m.media-amazon.com/images/I/51X1EYSldCL._AC_UY218_.jpg")</f>
        <v/>
      </c>
      <c r="K3750" t="inlineStr">
        <is>
          <t>39.97</t>
        </is>
      </c>
      <c r="L3750" t="n">
        <v>134.53</v>
      </c>
      <c r="M3750" s="1" t="inlineStr">
        <is>
          <t>236.58%</t>
        </is>
      </c>
      <c r="N3750" s="7" t="n">
        <v>28.71</v>
      </c>
      <c r="O3750" t="n">
        <v>4.8</v>
      </c>
      <c r="P3750" t="n">
        <v>8</v>
      </c>
      <c r="R3750" t="inlineStr">
        <is>
          <t>InStock</t>
        </is>
      </c>
      <c r="S3750" t="inlineStr">
        <is>
          <t>55.98</t>
        </is>
      </c>
      <c r="T3750" t="inlineStr">
        <is>
          <t>4412899590244</t>
        </is>
      </c>
    </row>
    <row r="3751" ht="87" customHeight="1">
      <c r="A3751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3751" s="2">
        <f>HYPERLINK("https://edmondsonsupply.com/products/diablo-tools-dmapl2240-3-8-in-x-10-in-x-12-in-sds-plus-2-cutter", "https://edmondsonsupply.com/products/diablo-tools-dmapl2240-3-8-in-x-10-in-x-12-in-sds-plus-2-cutter")</f>
        <v/>
      </c>
      <c r="C3751" t="inlineStr">
        <is>
          <t>Diablo Tools DMAPL2240 3/8 in. x 10 in. x 12 in. SDS-Plus 2-Cutter</t>
        </is>
      </c>
      <c r="D3751" t="inlineStr">
        <is>
          <t>Diablo DMAPL2480 3/4 in. x 22 in. x 24 in. SDS-Plus 2-Cutter</t>
        </is>
      </c>
      <c r="E3751" s="2">
        <f>HYPERLINK("https://www.amazon.com/Diablo-22-24-SDS-Plus-2-Cutter/dp/B089KWB1S4/ref=sr_1_32?keywords=Diablo+Tools+DMAPL2240+3%2F8+in.+x+10+in.+x+12+in.+SDS-Plus+2-Cutter&amp;qid=1694735297&amp;sr=8-32", "https://www.amazon.com/Diablo-22-24-SDS-Plus-2-Cutter/dp/B089KWB1S4/ref=sr_1_32?keywords=Diablo+Tools+DMAPL2240+3%2F8+in.+x+10+in.+x+12+in.+SDS-Plus+2-Cutter&amp;qid=1694735297&amp;sr=8-32")</f>
        <v/>
      </c>
      <c r="F3751" t="inlineStr">
        <is>
          <t>B089KWB1S4</t>
        </is>
      </c>
      <c r="G3751">
        <f>_xlfn.IMAGE("https://edmondsonsupply.com/cdn/shop/products/DMAPL2240-P25.jpg?v=1633030355")</f>
        <v/>
      </c>
      <c r="H3751">
        <f>_xlfn.IMAGE("https://m.media-amazon.com/images/I/61zyh0h-cXL._AC_UL320_.jpg")</f>
        <v/>
      </c>
      <c r="K3751" t="inlineStr">
        <is>
          <t>10.97</t>
        </is>
      </c>
      <c r="L3751" t="n">
        <v>36.92</v>
      </c>
      <c r="M3751" s="1" t="inlineStr">
        <is>
          <t>236.55%</t>
        </is>
      </c>
      <c r="N3751" s="7" t="n">
        <v>28.33</v>
      </c>
      <c r="O3751" t="n">
        <v>5</v>
      </c>
      <c r="P3751" t="n">
        <v>3</v>
      </c>
      <c r="R3751" t="inlineStr">
        <is>
          <t>InStock</t>
        </is>
      </c>
      <c r="S3751" t="inlineStr">
        <is>
          <t>12.38</t>
        </is>
      </c>
      <c r="T3751" t="inlineStr">
        <is>
          <t>5286161252520</t>
        </is>
      </c>
    </row>
    <row r="3752" ht="87" customHeight="1">
      <c r="A3752" s="2">
        <f>HYPERLINK("https://edmondsonsupply.com/collections/electricians-tools/products/milwaukee-49-56-0023-3-4-hole-dozer%E2%84%A2-bi-metal-hole-saw", "https://edmondsonsupply.com/collections/electricians-tools/products/milwaukee-49-56-0023-3-4-hole-dozer%E2%84%A2-bi-metal-hole-saw")</f>
        <v/>
      </c>
      <c r="B3752" s="2">
        <f>HYPERLINK("https://edmondsonsupply.com/products/milwaukee-49-56-0023-3-4-hole-dozer%e2%84%a2-bi-metal-hole-saw", "https://edmondsonsupply.com/products/milwaukee-49-56-0023-3-4-hole-dozer%e2%84%a2-bi-metal-hole-saw")</f>
        <v/>
      </c>
      <c r="C3752" t="inlineStr">
        <is>
          <t>Milwaukee 49-56-0023 3/4" Hole Dozer™ Bi-Metal Hole Saw</t>
        </is>
      </c>
      <c r="D3752" t="inlineStr">
        <is>
          <t>MILWAUKEE'S Hole Saw, Bi-Metal, Black, 3-3/4 in. (49-56-9643T)</t>
        </is>
      </c>
      <c r="E3752" s="2">
        <f>HYPERLINK("https://www.amazon.com/Milwaukee-49-56-9643T-MIL-Harden-Hole-Bi-Metal/dp/B007FUN6HC/ref=sr_1_3?keywords=Milwaukee+49-56-0023+3%2F4%22+Hole+Dozer%E2%84%A2+Bi-Metal+Hole+Saw&amp;qid=1694735409&amp;sr=8-3", "https://www.amazon.com/Milwaukee-49-56-9643T-MIL-Harden-Hole-Bi-Metal/dp/B007FUN6HC/ref=sr_1_3?keywords=Milwaukee+49-56-0023+3%2F4%22+Hole+Dozer%E2%84%A2+Bi-Metal+Hole+Saw&amp;qid=1694735409&amp;sr=8-3")</f>
        <v/>
      </c>
      <c r="F3752" t="inlineStr">
        <is>
          <t>B007FUN6HC</t>
        </is>
      </c>
      <c r="G3752">
        <f>_xlfn.IMAGE("https://edmondsonsupply.com/cdn/shop/products/49-56-0023.png?v=1587142363")</f>
        <v/>
      </c>
      <c r="H3752">
        <f>_xlfn.IMAGE("https://m.media-amazon.com/images/I/51DIlWGVZ6L._AC_UL320_.jpg")</f>
        <v/>
      </c>
      <c r="K3752" t="inlineStr">
        <is>
          <t>6.05</t>
        </is>
      </c>
      <c r="L3752" t="n">
        <v>20.33</v>
      </c>
      <c r="M3752" s="1" t="inlineStr">
        <is>
          <t>236.03%</t>
        </is>
      </c>
      <c r="N3752" s="7" t="n">
        <v>28.11</v>
      </c>
      <c r="O3752" t="n">
        <v>4.6</v>
      </c>
      <c r="P3752" t="n">
        <v>13</v>
      </c>
      <c r="R3752" t="inlineStr">
        <is>
          <t>InStock</t>
        </is>
      </c>
      <c r="S3752" t="inlineStr">
        <is>
          <t>12.3</t>
        </is>
      </c>
      <c r="T3752" t="inlineStr">
        <is>
          <t>4384165232740</t>
        </is>
      </c>
    </row>
    <row r="3753" ht="87" customHeight="1">
      <c r="A3753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753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753" t="inlineStr">
        <is>
          <t>Diablo Tools DMAPL4070 1/4 in. x 4 in. x 6 in. Rebar Demon™ SDS-Plus 4-Cutter Full Carbide Head Hammer Bit</t>
        </is>
      </c>
      <c r="D3753" t="inlineStr">
        <is>
          <t>Diablo by Freud DMAPL4270 27/32 in. x 8 in. x 10 in. Rebar Demon SDS-Plus 4-Cutter Full Carbide Head Hammer Bit</t>
        </is>
      </c>
      <c r="E3753" s="2">
        <f>HYPERLINK("https://www.amazon.com/Diablo-Freud-DMAPL4270-SDS-Plus-4-Cutter/dp/B089KXBGLM/ref=sr_1_27?keywords=Diablo+Tools+DMAPL4070+1%2F4+in.+x+4+in.+x+6+in.+Rebar+Demon%E2%84%A2+SDS-Plus+4-Cutter+Full+Carbide+Head+Hammer+Bit&amp;qid=1694735303&amp;sr=8-27", "https://www.amazon.com/Diablo-Freud-DMAPL4270-SDS-Plus-4-Cutter/dp/B089KXBGLM/ref=sr_1_27?keywords=Diablo+Tools+DMAPL4070+1%2F4+in.+x+4+in.+x+6+in.+Rebar+Demon%E2%84%A2+SDS-Plus+4-Cutter+Full+Carbide+Head+Hammer+Bit&amp;qid=1694735303&amp;sr=8-27")</f>
        <v/>
      </c>
      <c r="F3753" t="inlineStr">
        <is>
          <t>B089KXBGLM</t>
        </is>
      </c>
      <c r="G3753">
        <f>_xlfn.IMAGE("https://edmondsonsupply.com/cdn/shop/products/DMAPL4070_Main-Image20200701.png?v=1633030350")</f>
        <v/>
      </c>
      <c r="H3753">
        <f>_xlfn.IMAGE("https://m.media-amazon.com/images/I/611A6sphG9L._AC_UL320_.jpg")</f>
        <v/>
      </c>
      <c r="K3753" t="inlineStr">
        <is>
          <t>8.97</t>
        </is>
      </c>
      <c r="L3753" t="n">
        <v>30.13</v>
      </c>
      <c r="M3753" s="1" t="inlineStr">
        <is>
          <t>235.90%</t>
        </is>
      </c>
      <c r="N3753" s="7" t="n">
        <v>27.95</v>
      </c>
      <c r="O3753" t="n">
        <v>5</v>
      </c>
      <c r="P3753" t="n">
        <v>2</v>
      </c>
      <c r="R3753" t="inlineStr">
        <is>
          <t>InStock</t>
        </is>
      </c>
      <c r="S3753" t="inlineStr">
        <is>
          <t>undefined</t>
        </is>
      </c>
      <c r="T3753" t="inlineStr">
        <is>
          <t>5283100197032</t>
        </is>
      </c>
    </row>
    <row r="3754" hidden="1" ht="15.75" customHeight="1">
      <c r="A3754" s="2">
        <f>HYPERLINK("https://edmondsonsupply.com/collections/electricians-tools/products/diablo-tools-dmarg1010-1-8-in-x-2-in-x-3-in-speedemon%E2%84%A2-red-granite-carbide-tipped-hammer-drill-bit", "https://edmondsonsupply.com/collections/electricians-tools/products/diablo-tools-dmarg1010-1-8-in-x-2-in-x-3-in-speedemon%E2%84%A2-red-granite-carbide-tipped-hammer-drill-bit")</f>
        <v/>
      </c>
      <c r="B3754" s="2">
        <f>HYPERLINK("https://edmondsonsupply.com/products/diablo-tools-dmarg1010-1-8-in-x-2-in-x-3-in-speedemon%e2%84%a2-red-granite-carbide-tipped-hammer-drill-bit", "https://edmondsonsupply.com/products/diablo-tools-dmarg1010-1-8-in-x-2-in-x-3-in-speedemon%e2%84%a2-red-granite-carbide-tipped-hammer-drill-bit")</f>
        <v/>
      </c>
      <c r="C3754" t="inlineStr">
        <is>
          <t>Diablo Tools DMARG1010 1/8 in. x 2 in. x 3 in. SPEEDemon™ Red Granite Carbide Tipped Hammer Drill Bit</t>
        </is>
      </c>
      <c r="D3754" t="inlineStr">
        <is>
          <t>Diablo DMARG1110 5/16 in. x 8 in. x 10 in. SPEEDemon™ Red Granite Carbide Tipped Hammer Drill Bit</t>
        </is>
      </c>
      <c r="E3754" s="2">
        <f>HYPERLINK("https://www.amazon.com/Diablo-DMARG1110-SPEEDemon-Granite-Carbide/dp/B089LN9JJL/ref=sr_1_3?keywords=Diablo+Tools+DMARG1010+1%2F8+in.+x+2+in.+x+3+in.+SPEEDemon%E2%84%A2+Red+Granite+Carbide+Tipped+Hammer+Drill+Bit&amp;qid=1694735189&amp;sr=8-3", "https://www.amazon.com/Diablo-DMARG1110-SPEEDemon-Granite-Carbide/dp/B089LN9JJL/ref=sr_1_3?keywords=Diablo+Tools+DMARG1010+1%2F8+in.+x+2+in.+x+3+in.+SPEEDemon%E2%84%A2+Red+Granite+Carbide+Tipped+Hammer+Drill+Bit&amp;qid=1694735189&amp;sr=8-3")</f>
        <v/>
      </c>
      <c r="F3754" t="inlineStr">
        <is>
          <t>B089LN9JJL</t>
        </is>
      </c>
      <c r="G3754">
        <f>_xludf.IMAGE("https://edmondsonsupply.com/cdn/shop/products/DMARG1010_Main-Image20200706.png?v=1633031180")</f>
        <v/>
      </c>
      <c r="H3754">
        <f>_xludf.IMAGE("https://m.media-amazon.com/images/I/61Qf0cC1SJL._AC_UL320_.jpg")</f>
        <v/>
      </c>
      <c r="K3754" t="inlineStr">
        <is>
          <t>2.99</t>
        </is>
      </c>
      <c r="L3754" t="n">
        <v>10.03</v>
      </c>
      <c r="M3754" s="1" t="inlineStr">
        <is>
          <t>235.45%</t>
        </is>
      </c>
      <c r="N3754" s="1" t="n">
        <v>27.87</v>
      </c>
      <c r="O3754" t="n">
        <v>4.2</v>
      </c>
      <c r="P3754" t="n">
        <v>5</v>
      </c>
      <c r="R3754" t="inlineStr">
        <is>
          <t>InStock</t>
        </is>
      </c>
      <c r="S3754" t="inlineStr">
        <is>
          <t>3.86</t>
        </is>
      </c>
      <c r="T3754" t="inlineStr">
        <is>
          <t>6917972099245</t>
        </is>
      </c>
    </row>
    <row r="3755" ht="87" customHeight="1">
      <c r="A3755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3755" s="2">
        <f>HYPERLINK("https://edmondsonsupply.com/products/klein-tools-11057-klein-kurve%c2%ae-wire-stripper-and-cutter", "https://edmondsonsupply.com/products/klein-tools-11057-klein-kurve%c2%ae-wire-stripper-and-cutter")</f>
        <v/>
      </c>
      <c r="C3755" t="inlineStr">
        <is>
          <t>Klein Tools 11057 Klein-Kurve® Wire Stripper and Cutter</t>
        </is>
      </c>
      <c r="D3755" t="inlineStr">
        <is>
          <t>Klein Tools 80043 Heavy Duty Tool Set, Includes Lineman's Side-Cutting Pliers, Diagonal Cutters and Wire Stripper, 3-Piece</t>
        </is>
      </c>
      <c r="E3755" s="2">
        <f>HYPERLINK("https://www.amazon.com/Linemans-Side-Cutting-Klein-Tools-80043/dp/B0977RM5G5/ref=sr_1_31?keywords=Klein+Tools+11057+Klein-Kurve%C2%AE+Wire+Stripper+and+Cutter&amp;qid=1694735357&amp;sr=8-31", "https://www.amazon.com/Linemans-Side-Cutting-Klein-Tools-80043/dp/B0977RM5G5/ref=sr_1_31?keywords=Klein+Tools+11057+Klein-Kurve%C2%AE+Wire+Stripper+and+Cutter&amp;qid=1694735357&amp;sr=8-31")</f>
        <v/>
      </c>
      <c r="F3755" t="inlineStr">
        <is>
          <t>B0977RM5G5</t>
        </is>
      </c>
      <c r="G3755">
        <f>_xlfn.IMAGE("https://edmondsonsupply.com/cdn/shop/products/11057.jpg?v=1587146927")</f>
        <v/>
      </c>
      <c r="H3755">
        <f>_xlfn.IMAGE("https://m.media-amazon.com/images/I/51t8JGB+SAS._AC_UL320_.jpg")</f>
        <v/>
      </c>
      <c r="K3755" t="inlineStr">
        <is>
          <t>20.97</t>
        </is>
      </c>
      <c r="L3755" t="n">
        <v>69.98999999999999</v>
      </c>
      <c r="M3755" s="1" t="inlineStr">
        <is>
          <t>233.76%</t>
        </is>
      </c>
      <c r="N3755" s="7" t="n">
        <v>27.71</v>
      </c>
      <c r="O3755" t="n">
        <v>4.8</v>
      </c>
      <c r="P3755" t="n">
        <v>1451</v>
      </c>
      <c r="R3755" t="inlineStr">
        <is>
          <t>InStock</t>
        </is>
      </c>
      <c r="S3755" t="inlineStr">
        <is>
          <t>32.72</t>
        </is>
      </c>
      <c r="T3755" t="inlineStr">
        <is>
          <t>4455254720612</t>
        </is>
      </c>
    </row>
    <row r="3756" ht="87" customHeight="1">
      <c r="A3756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3756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3756" t="inlineStr">
        <is>
          <t>Klein Tools 11055RINS Insulated Klein-Kurve® Wire Stripper and Cutter</t>
        </is>
      </c>
      <c r="D3756" t="inlineStr">
        <is>
          <t>Klein Tools 94130 1000V Insulated Screwdriver Tool Set with #2 Phillips and 1/4-Inch Cabinet Slim Tips, 2 Pliers and Wire Stripper</t>
        </is>
      </c>
      <c r="E3756" s="2">
        <f>HYPERLINK("https://www.amazon.com/Klein-Tools-94130-Insulated-Screwdriver/dp/B088V99QGG/ref=sr_1_59?keywords=Klein+Tools+11055RINS+Insulated+Klein-Kurve%C2%AE+Wire+Stripper+and+Cutter&amp;qid=1694735096&amp;sr=8-59", "https://www.amazon.com/Klein-Tools-94130-Insulated-Screwdriver/dp/B088V99QGG/ref=sr_1_59?keywords=Klein+Tools+11055RINS+Insulated+Klein-Kurve%C2%AE+Wire+Stripper+and+Cutter&amp;qid=1694735096&amp;sr=8-59")</f>
        <v/>
      </c>
      <c r="F3756" t="inlineStr">
        <is>
          <t>B088V99QGG</t>
        </is>
      </c>
      <c r="G3756">
        <f>_xlfn.IMAGE("https://edmondsonsupply.com/cdn/shop/products/11055rins.jpg?v=1667236979")</f>
        <v/>
      </c>
      <c r="H3756">
        <f>_xlfn.IMAGE("https://m.media-amazon.com/images/I/61m+izyWx1L._AC_UL320_.jpg")</f>
        <v/>
      </c>
      <c r="K3756" t="inlineStr">
        <is>
          <t>29.97</t>
        </is>
      </c>
      <c r="L3756" t="n">
        <v>99.98999999999999</v>
      </c>
      <c r="M3756" s="1" t="inlineStr">
        <is>
          <t>233.63%</t>
        </is>
      </c>
      <c r="N3756" s="7" t="n">
        <v>27.45</v>
      </c>
      <c r="O3756" t="n">
        <v>4.8</v>
      </c>
      <c r="P3756" t="n">
        <v>1518</v>
      </c>
      <c r="R3756" t="inlineStr">
        <is>
          <t>InStock</t>
        </is>
      </c>
      <c r="S3756" t="inlineStr">
        <is>
          <t>41.98</t>
        </is>
      </c>
      <c r="T3756" t="inlineStr">
        <is>
          <t>7871527813336</t>
        </is>
      </c>
    </row>
    <row r="3757" ht="87" customHeight="1">
      <c r="A3757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757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757" t="inlineStr">
        <is>
          <t>Klein Tools 630-3/8 3/8-Inch Nut Driver with 3-Inch Hollow Shaft</t>
        </is>
      </c>
      <c r="D3757" t="inlineStr">
        <is>
          <t>Klein Tools 32800 Nut Driver, 6-in-1 NutDriver Set, SAE Standard Six Point Hex Sizes with Heavy Duty Hollow Shaft</t>
        </is>
      </c>
      <c r="E3757" s="2">
        <f>HYPERLINK("https://www.amazon.com/Driver-NutDriver-Klein-Tools-32800/dp/B01I0QVP18/ref=sr_1_17?keywords=Klein+Tools+630-3%2F8+3%2F8-Inch+Nut+Driver+with+3-Inch+Hollow+Shaft&amp;qid=1694735236&amp;sr=8-17", "https://www.amazon.com/Driver-NutDriver-Klein-Tools-32800/dp/B01I0QVP18/ref=sr_1_17?keywords=Klein+Tools+630-3%2F8+3%2F8-Inch+Nut+Driver+with+3-Inch+Hollow+Shaft&amp;qid=1694735236&amp;sr=8-17")</f>
        <v/>
      </c>
      <c r="F3757" t="inlineStr">
        <is>
          <t>B01I0QVP18</t>
        </is>
      </c>
      <c r="G3757">
        <f>_xlfn.IMAGE("https://edmondsonsupply.com/cdn/shop/products/630-1-2_e23f9fbd-a282-44d7-b743-2cfe0f84edfa.jpg?v=1633030906")</f>
        <v/>
      </c>
      <c r="H3757">
        <f>_xlfn.IMAGE("https://m.media-amazon.com/images/I/51LJIaQJvaL._AC_UL320_.jpg")</f>
        <v/>
      </c>
      <c r="K3757" t="inlineStr">
        <is>
          <t>8.99</t>
        </is>
      </c>
      <c r="L3757" t="n">
        <v>29.99</v>
      </c>
      <c r="M3757" s="1" t="inlineStr">
        <is>
          <t>233.59%</t>
        </is>
      </c>
      <c r="N3757" s="7" t="n">
        <v>27.44</v>
      </c>
      <c r="O3757" t="n">
        <v>4.7</v>
      </c>
      <c r="P3757" t="n">
        <v>1822</v>
      </c>
      <c r="R3757" t="inlineStr">
        <is>
          <t>InStock</t>
        </is>
      </c>
      <c r="S3757" t="inlineStr">
        <is>
          <t>11.74</t>
        </is>
      </c>
      <c r="T3757" t="inlineStr">
        <is>
          <t>6244382376109</t>
        </is>
      </c>
    </row>
    <row r="3758" ht="87" customHeight="1">
      <c r="A3758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758" s="2">
        <f>HYPERLINK("https://edmondsonsupply.com/products/klein-tools-et45-ac-dc-voltage-tester", "https://edmondsonsupply.com/products/klein-tools-et45-ac-dc-voltage-tester")</f>
        <v/>
      </c>
      <c r="C3758" t="inlineStr">
        <is>
          <t>Klein Tools ET45 AC/DC Voltage Tester</t>
        </is>
      </c>
      <c r="D3758" t="inlineStr">
        <is>
          <t>Klein Tools RT250KIT Non-Contact Voltage Tester and GFCI Receptacle Tester with LCD and Flashlight, Voltage Electrical Test Kit</t>
        </is>
      </c>
      <c r="E3758" s="2">
        <f>HYPERLINK("https://www.amazon.com/Non-Contact-Receptacle-Klein-Tools-RT250KIT/dp/B08YDFQ2FV/ref=sr_1_26?keywords=Klein+Tools+ET45+AC%2FDC+Voltage+Tester&amp;qid=1694735227&amp;sr=8-26", "https://www.amazon.com/Non-Contact-Receptacle-Klein-Tools-RT250KIT/dp/B08YDFQ2FV/ref=sr_1_26?keywords=Klein+Tools+ET45+AC%2FDC+Voltage+Tester&amp;qid=1694735227&amp;sr=8-26")</f>
        <v/>
      </c>
      <c r="F3758" t="inlineStr">
        <is>
          <t>B08YDFQ2FV</t>
        </is>
      </c>
      <c r="G3758">
        <f>_xlfn.IMAGE("https://edmondsonsupply.com/cdn/shop/products/et45.jpg?v=1647786270")</f>
        <v/>
      </c>
      <c r="H3758">
        <f>_xlfn.IMAGE("https://m.media-amazon.com/images/I/61WaBlkJfxL._AC_UL320_.jpg")</f>
        <v/>
      </c>
      <c r="K3758" t="inlineStr">
        <is>
          <t>11.99</t>
        </is>
      </c>
      <c r="L3758" t="n">
        <v>39.99</v>
      </c>
      <c r="M3758" s="1" t="inlineStr">
        <is>
          <t>233.53%</t>
        </is>
      </c>
      <c r="N3758" s="7" t="n">
        <v>27.36</v>
      </c>
      <c r="O3758" t="n">
        <v>4.8</v>
      </c>
      <c r="P3758" t="n">
        <v>1264</v>
      </c>
      <c r="R3758" t="inlineStr">
        <is>
          <t>InStock</t>
        </is>
      </c>
      <c r="S3758" t="inlineStr">
        <is>
          <t>16.72</t>
        </is>
      </c>
      <c r="T3758" t="inlineStr">
        <is>
          <t>3688633630820</t>
        </is>
      </c>
    </row>
    <row r="3759" ht="87" customHeight="1">
      <c r="A3759" s="2">
        <f>HYPERLINK("https://edmondsonsupply.com/collections/electricians-tools/products/klein-tools-31905-hole-saw-arbor-with-adapter-3-8-inch", "https://edmondsonsupply.com/collections/electricians-tools/products/klein-tools-31905-hole-saw-arbor-with-adapter-3-8-inch")</f>
        <v/>
      </c>
      <c r="B3759" s="2">
        <f>HYPERLINK("https://edmondsonsupply.com/products/klein-tools-31905-hole-saw-arbor-with-adapter-3-8-inch", "https://edmondsonsupply.com/products/klein-tools-31905-hole-saw-arbor-with-adapter-3-8-inch")</f>
        <v/>
      </c>
      <c r="C3759" t="inlineStr">
        <is>
          <t>Klein Tools 31905 Hole Saw Arbor with Adapter, 3/8-Inch</t>
        </is>
      </c>
      <c r="D3759" t="inlineStr">
        <is>
          <t>Klein Tools 31906 Hole Saw Arbor with Pins, 7/16-Inch and 31958 Bi-Metal Hole Saw, 3-5/8 Inch - Hole Saw Kit</t>
        </is>
      </c>
      <c r="E3759" s="2">
        <f>HYPERLINK("https://www.amazon.com/Klein-Tools-31906-16-Inch-Bi-Metal/dp/B0BVGZ3GN2/ref=sr_1_6?keywords=Klein+Tools+31905+Hole+Saw+Arbor+with+Adapter%2C+3%2F8-Inch&amp;qid=1694735107&amp;sr=8-6", "https://www.amazon.com/Klein-Tools-31906-16-Inch-Bi-Metal/dp/B0BVGZ3GN2/ref=sr_1_6?keywords=Klein+Tools+31905+Hole+Saw+Arbor+with+Adapter%2C+3%2F8-Inch&amp;qid=1694735107&amp;sr=8-6")</f>
        <v/>
      </c>
      <c r="F3759" t="inlineStr">
        <is>
          <t>B0BVGZ3GN2</t>
        </is>
      </c>
      <c r="G3759">
        <f>_xlfn.IMAGE("https://edmondsonsupply.com/cdn/shop/products/31905.jpg?v=1665602746")</f>
        <v/>
      </c>
      <c r="H3759">
        <f>_xlfn.IMAGE("https://m.media-amazon.com/images/I/21IcyNq4gsL._AC_UL320_.jpg")</f>
        <v/>
      </c>
      <c r="K3759" t="inlineStr">
        <is>
          <t>8.99</t>
        </is>
      </c>
      <c r="L3759" t="n">
        <v>29.98</v>
      </c>
      <c r="M3759" s="1" t="inlineStr">
        <is>
          <t>233.48%</t>
        </is>
      </c>
      <c r="N3759" s="7" t="n">
        <v>27.28</v>
      </c>
      <c r="O3759" t="n">
        <v>4.6</v>
      </c>
      <c r="P3759" t="n">
        <v>406</v>
      </c>
      <c r="R3759" t="inlineStr">
        <is>
          <t>InStock</t>
        </is>
      </c>
      <c r="S3759" t="inlineStr">
        <is>
          <t>12.62</t>
        </is>
      </c>
      <c r="T3759" t="inlineStr">
        <is>
          <t>7850183360728</t>
        </is>
      </c>
    </row>
    <row r="3760" ht="87" customHeight="1">
      <c r="A3760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3760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3760" t="inlineStr">
        <is>
          <t>Klein Tools 630-3/8 3/8-Inch Nut Driver with 3-Inch Hollow Shaft</t>
        </is>
      </c>
      <c r="D3760" t="inlineStr">
        <is>
          <t>Klein Tools 32807MAG 7-in-1 Nut Driver, Magnetic Driver has SAE Hex Nut Sizes 1/4 to 9/16-Inch, Cushion Grip Handle for Added Torque</t>
        </is>
      </c>
      <c r="E3760" s="2">
        <f>HYPERLINK("https://www.amazon.com/Driver-Magnetic-Klein-Tools-32807MAG/dp/B07D4M51DQ/ref=sr_1_27?keywords=Klein+Tools+630-3%2F8+3%2F8-Inch+Nut+Driver+with+3-Inch+Hollow+Shaft&amp;qid=1694735236&amp;sr=8-27", "https://www.amazon.com/Driver-Magnetic-Klein-Tools-32807MAG/dp/B07D4M51DQ/ref=sr_1_27?keywords=Klein+Tools+630-3%2F8+3%2F8-Inch+Nut+Driver+with+3-Inch+Hollow+Shaft&amp;qid=1694735236&amp;sr=8-27")</f>
        <v/>
      </c>
      <c r="F3760" t="inlineStr">
        <is>
          <t>B07D4M51DQ</t>
        </is>
      </c>
      <c r="G3760">
        <f>_xlfn.IMAGE("https://edmondsonsupply.com/cdn/shop/products/630-1-2_e23f9fbd-a282-44d7-b743-2cfe0f84edfa.jpg?v=1633030906")</f>
        <v/>
      </c>
      <c r="H3760">
        <f>_xlfn.IMAGE("https://m.media-amazon.com/images/I/61gwAJBzDAL._AC_UL320_.jpg")</f>
        <v/>
      </c>
      <c r="K3760" t="inlineStr">
        <is>
          <t>8.99</t>
        </is>
      </c>
      <c r="L3760" t="n">
        <v>29.97</v>
      </c>
      <c r="M3760" s="1" t="inlineStr">
        <is>
          <t>233.37%</t>
        </is>
      </c>
      <c r="N3760" s="7" t="n">
        <v>27.22</v>
      </c>
      <c r="O3760" t="n">
        <v>4.7</v>
      </c>
      <c r="P3760" t="n">
        <v>9145</v>
      </c>
      <c r="R3760" t="inlineStr">
        <is>
          <t>InStock</t>
        </is>
      </c>
      <c r="S3760" t="inlineStr">
        <is>
          <t>11.74</t>
        </is>
      </c>
      <c r="T3760" t="inlineStr">
        <is>
          <t>6244382376109</t>
        </is>
      </c>
    </row>
    <row r="3761" ht="87" customHeight="1">
      <c r="A3761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3761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3761" t="inlineStr">
        <is>
          <t>Klein Tools 630-1/4 1/4-Inch Nut Driver 3-Inch Shaft Cushion Grip</t>
        </is>
      </c>
      <c r="D3761" t="inlineStr">
        <is>
          <t>Klein Tools 32807MAG 7-in-1 Nut Driver, Magnetic Driver has SAE Hex Nut Sizes 1/4 to 9/16-Inch, Cushion Grip Handle for Added Torque</t>
        </is>
      </c>
      <c r="E3761" s="2">
        <f>HYPERLINK("https://www.amazon.com/Driver-Magnetic-Klein-Tools-32807MAG/dp/B07D4M51DQ/ref=sr_1_21?keywords=Klein+Tools+630-1%2F4+1%2F4-Inch+Nut+Driver+3-Inch+Shaft+Cushion+Grip&amp;qid=1694735346&amp;sr=8-21", "https://www.amazon.com/Driver-Magnetic-Klein-Tools-32807MAG/dp/B07D4M51DQ/ref=sr_1_21?keywords=Klein+Tools+630-1%2F4+1%2F4-Inch+Nut+Driver+3-Inch+Shaft+Cushion+Grip&amp;qid=1694735346&amp;sr=8-21")</f>
        <v/>
      </c>
      <c r="F3761" t="inlineStr">
        <is>
          <t>B07D4M51DQ</t>
        </is>
      </c>
      <c r="G3761">
        <f>_xlfn.IMAGE("https://edmondsonsupply.com/cdn/shop/products/630-1-2_4777cf99-f2bc-4f84-bc42-7e765e2a9c37.jpg?v=1587150448")</f>
        <v/>
      </c>
      <c r="H3761">
        <f>_xlfn.IMAGE("https://m.media-amazon.com/images/I/61gwAJBzDAL._AC_UL320_.jpg")</f>
        <v/>
      </c>
      <c r="K3761" t="inlineStr">
        <is>
          <t>8.99</t>
        </is>
      </c>
      <c r="L3761" t="n">
        <v>29.97</v>
      </c>
      <c r="M3761" s="1" t="inlineStr">
        <is>
          <t>233.37%</t>
        </is>
      </c>
      <c r="N3761" s="7" t="n">
        <v>26.95</v>
      </c>
      <c r="O3761" t="n">
        <v>4.7</v>
      </c>
      <c r="P3761" t="n">
        <v>9145</v>
      </c>
      <c r="R3761" t="inlineStr">
        <is>
          <t>InStock</t>
        </is>
      </c>
      <c r="S3761" t="inlineStr">
        <is>
          <t>11.36</t>
        </is>
      </c>
      <c r="T3761" t="inlineStr">
        <is>
          <t>4490760355940</t>
        </is>
      </c>
    </row>
    <row r="3762" ht="87" customHeight="1">
      <c r="A3762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762" s="2">
        <f>HYPERLINK("https://edmondsonsupply.com/products/klein-tools-et45-ac-dc-voltage-tester", "https://edmondsonsupply.com/products/klein-tools-et45-ac-dc-voltage-tester")</f>
        <v/>
      </c>
      <c r="C3762" t="inlineStr">
        <is>
          <t>Klein Tools ET45 AC/DC Voltage Tester</t>
        </is>
      </c>
      <c r="D3762" t="inlineStr">
        <is>
          <t>Klein Tools 69149P Electrical Test Kit with Digital Multimeter, Noncontact Voltage Tester and Electrical Outlet Tester, Leads and Batteries, Green,Red</t>
        </is>
      </c>
      <c r="E3762" s="2">
        <f>HYPERLINK("https://www.amazon.com/Klein-Tools-69149P-Multimeter-Noncontact/dp/B09C6MGD7J/ref=sr_1_32?keywords=Klein+Tools+ET45+AC%2FDC+Voltage+Tester&amp;qid=1694735227&amp;sr=8-32", "https://www.amazon.com/Klein-Tools-69149P-Multimeter-Noncontact/dp/B09C6MGD7J/ref=sr_1_32?keywords=Klein+Tools+ET45+AC%2FDC+Voltage+Tester&amp;qid=1694735227&amp;sr=8-32")</f>
        <v/>
      </c>
      <c r="F3762" t="inlineStr">
        <is>
          <t>B09C6MGD7J</t>
        </is>
      </c>
      <c r="G3762">
        <f>_xlfn.IMAGE("https://edmondsonsupply.com/cdn/shop/products/et45.jpg?v=1647786270")</f>
        <v/>
      </c>
      <c r="H3762">
        <f>_xlfn.IMAGE("https://m.media-amazon.com/images/I/61+WhEXhVkL._AC_UL320_.jpg")</f>
        <v/>
      </c>
      <c r="K3762" t="inlineStr">
        <is>
          <t>11.99</t>
        </is>
      </c>
      <c r="L3762" t="n">
        <v>39.97</v>
      </c>
      <c r="M3762" s="1" t="inlineStr">
        <is>
          <t>233.36%</t>
        </is>
      </c>
      <c r="N3762" s="7" t="n">
        <v>26.93</v>
      </c>
      <c r="O3762" t="n">
        <v>4.7</v>
      </c>
      <c r="P3762" t="n">
        <v>1341</v>
      </c>
      <c r="R3762" t="inlineStr">
        <is>
          <t>InStock</t>
        </is>
      </c>
      <c r="S3762" t="inlineStr">
        <is>
          <t>16.72</t>
        </is>
      </c>
      <c r="T3762" t="inlineStr">
        <is>
          <t>3688633630820</t>
        </is>
      </c>
    </row>
    <row r="3763" ht="87" customHeight="1">
      <c r="A3763" s="2">
        <f>HYPERLINK("https://edmondsonsupply.com/collections/electricians-tools/products/veto-pro-pac-tp4-tool-pouch", "https://edmondsonsupply.com/collections/electricians-tools/products/veto-pro-pac-tp4-tool-pouch")</f>
        <v/>
      </c>
      <c r="B3763" s="2">
        <f>HYPERLINK("https://edmondsonsupply.com/products/veto-pro-pac-tp4-tool-pouch", "https://edmondsonsupply.com/products/veto-pro-pac-tp4-tool-pouch")</f>
        <v/>
      </c>
      <c r="C3763" t="inlineStr">
        <is>
          <t>Veto Pro Pac TP3 Tool Bag</t>
        </is>
      </c>
      <c r="D3763" t="inlineStr">
        <is>
          <t>Veto Pro Pac Wrencher-MC (Medium Compact, Open-Top Tool Bag)</t>
        </is>
      </c>
      <c r="E3763" s="2">
        <f>HYPERLINK("https://www.amazon.com/Veto-Wrencher-MC-Medium-Compact-Open-Top/dp/B0BBQ3R11H/ref=sr_1_36?keywords=Veto+Pro+Pac+TP3+Tool+Bag&amp;qid=1694735180&amp;sr=8-36", "https://www.amazon.com/Veto-Wrencher-MC-Medium-Compact-Open-Top/dp/B0BBQ3R11H/ref=sr_1_36?keywords=Veto+Pro+Pac+TP3+Tool+Bag&amp;qid=1694735180&amp;sr=8-36")</f>
        <v/>
      </c>
      <c r="F3763" t="inlineStr">
        <is>
          <t>B0BBQ3R11H</t>
        </is>
      </c>
      <c r="G3763">
        <f>_xlfn.IMAGE("https://edmondsonsupply.com/cdn/shop/products/TP3_1.jpg?v=1587144391")</f>
        <v/>
      </c>
      <c r="H3763">
        <f>_xlfn.IMAGE("https://m.media-amazon.com/images/I/51xcXNSndtL._AC_UL320_.jpg")</f>
        <v/>
      </c>
      <c r="K3763" t="inlineStr">
        <is>
          <t>59.99</t>
        </is>
      </c>
      <c r="L3763" t="n">
        <v>199.95</v>
      </c>
      <c r="M3763" s="1" t="inlineStr">
        <is>
          <t>233.31%</t>
        </is>
      </c>
      <c r="N3763" s="7" t="n">
        <v>26.68</v>
      </c>
      <c r="O3763" t="n">
        <v>5</v>
      </c>
      <c r="P3763" t="n">
        <v>7</v>
      </c>
      <c r="R3763" t="inlineStr">
        <is>
          <t>InStock</t>
        </is>
      </c>
      <c r="S3763" t="inlineStr">
        <is>
          <t>undefined</t>
        </is>
      </c>
      <c r="T3763" t="inlineStr">
        <is>
          <t>3561762816100</t>
        </is>
      </c>
    </row>
    <row r="3764" ht="87" customHeight="1">
      <c r="A3764" s="2">
        <f>HYPERLINK("https://edmondsonsupply.com/collections/electricians-tools/products/veto-pro-pac-tp4-tool-pouch", "https://edmondsonsupply.com/collections/electricians-tools/products/veto-pro-pac-tp4-tool-pouch")</f>
        <v/>
      </c>
      <c r="B3764" s="2">
        <f>HYPERLINK("https://edmondsonsupply.com/products/veto-pro-pac-tp4-tool-pouch", "https://edmondsonsupply.com/products/veto-pro-pac-tp4-tool-pouch")</f>
        <v/>
      </c>
      <c r="C3764" t="inlineStr">
        <is>
          <t>Veto Pro Pac TP3 Tool Bag</t>
        </is>
      </c>
      <c r="D3764" t="inlineStr">
        <is>
          <t>Veto Pro Pac MB-MCT Compact Tool Bag with Rubber Base</t>
        </is>
      </c>
      <c r="E3764" s="2">
        <f>HYPERLINK("https://www.amazon.com/Veto-MB-MCT-Compact-Tool-Rubber/dp/B07T15MWRG/ref=sr_1_41?keywords=Veto+Pro+Pac+TP3+Tool+Bag&amp;qid=1694735180&amp;sr=8-41", "https://www.amazon.com/Veto-MB-MCT-Compact-Tool-Rubber/dp/B07T15MWRG/ref=sr_1_41?keywords=Veto+Pro+Pac+TP3+Tool+Bag&amp;qid=1694735180&amp;sr=8-41")</f>
        <v/>
      </c>
      <c r="F3764" t="inlineStr">
        <is>
          <t>B07T15MWRG</t>
        </is>
      </c>
      <c r="G3764">
        <f>_xlfn.IMAGE("https://edmondsonsupply.com/cdn/shop/products/TP3_1.jpg?v=1587144391")</f>
        <v/>
      </c>
      <c r="H3764">
        <f>_xlfn.IMAGE("https://m.media-amazon.com/images/I/41+Iz8Q1qUL._AC_UL320_.jpg")</f>
        <v/>
      </c>
      <c r="K3764" t="inlineStr">
        <is>
          <t>59.99</t>
        </is>
      </c>
      <c r="L3764" t="n">
        <v>199.95</v>
      </c>
      <c r="M3764" s="1" t="inlineStr">
        <is>
          <t>233.31%</t>
        </is>
      </c>
      <c r="N3764" s="7" t="n">
        <v>26.64</v>
      </c>
      <c r="O3764" t="n">
        <v>4.9</v>
      </c>
      <c r="P3764" t="n">
        <v>31</v>
      </c>
      <c r="R3764" t="inlineStr">
        <is>
          <t>InStock</t>
        </is>
      </c>
      <c r="S3764" t="inlineStr">
        <is>
          <t>undefined</t>
        </is>
      </c>
      <c r="T3764" t="inlineStr">
        <is>
          <t>3561762816100</t>
        </is>
      </c>
    </row>
    <row r="3765" ht="87" customHeight="1">
      <c r="A3765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3765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3765" t="inlineStr">
        <is>
          <t>Diablo Tools DMARG1070 1/4 in. x 4 in. x 6 in. SPEEDemon™ Red Granite Carbide Tipped Hammer Drill Bit</t>
        </is>
      </c>
      <c r="D3765" t="inlineStr">
        <is>
          <t>Diablo by Freud DMARG1030-P5 3/16""x4""x6"" SPEEDemon Red Granite Carbide Tipped Hammer Drill Bit (5-Pk)"</t>
        </is>
      </c>
      <c r="E3765" s="2">
        <f>HYPERLINK("https://www.amazon.com/Diablo-DMARG1030-P5-SPEEDemon-Granite-Carbide/dp/B089KWB1GK/ref=sr_1_13?keywords=Diablo+Tools+DMARG1070+1%2F4+in.+x+4+in.+x+6+in.+SPEEDemon%E2%84%A2+Red+Granite+Carbide+Tipped+Hammer+Drill+Bit&amp;qid=1694735286&amp;sr=8-13", "https://www.amazon.com/Diablo-DMARG1030-P5-SPEEDemon-Granite-Carbide/dp/B089KWB1GK/ref=sr_1_13?keywords=Diablo+Tools+DMARG1070+1%2F4+in.+x+4+in.+x+6+in.+SPEEDemon%E2%84%A2+Red+Granite+Carbide+Tipped+Hammer+Drill+Bit&amp;qid=1694735286&amp;sr=8-13")</f>
        <v/>
      </c>
      <c r="F3765" t="inlineStr">
        <is>
          <t>B089KWB1GK</t>
        </is>
      </c>
      <c r="G3765">
        <f>_xlfn.IMAGE("https://edmondsonsupply.com/cdn/shop/products/DMARG1070_Main-Image20200407.png?v=1633030419")</f>
        <v/>
      </c>
      <c r="H3765">
        <f>_xlfn.IMAGE("https://m.media-amazon.com/images/I/61+BAExWexL._AC_UL320_.jpg")</f>
        <v/>
      </c>
      <c r="K3765" t="inlineStr">
        <is>
          <t>4.97</t>
        </is>
      </c>
      <c r="L3765" t="n">
        <v>16.55</v>
      </c>
      <c r="M3765" s="1" t="inlineStr">
        <is>
          <t>233.00%</t>
        </is>
      </c>
      <c r="N3765" s="7" t="n">
        <v>26.55</v>
      </c>
      <c r="O3765" t="n">
        <v>4.9</v>
      </c>
      <c r="P3765" t="n">
        <v>18</v>
      </c>
      <c r="R3765" t="inlineStr">
        <is>
          <t>InStock</t>
        </is>
      </c>
      <c r="S3765" t="inlineStr">
        <is>
          <t>undefined</t>
        </is>
      </c>
      <c r="T3765" t="inlineStr">
        <is>
          <t>5317981700264</t>
        </is>
      </c>
    </row>
    <row r="3766" ht="87" customHeight="1">
      <c r="A3766" s="2">
        <f>HYPERLINK("https://edmondsonsupply.com/collections/electricians-tools/products/milwaukee-48-22-9429-7pc-sae-flex-head-combination-wrenches", "https://edmondsonsupply.com/collections/electricians-tools/products/milwaukee-48-22-9429-7pc-sae-flex-head-combination-wrenches")</f>
        <v/>
      </c>
      <c r="B3766" s="2">
        <f>HYPERLINK("https://edmondsonsupply.com/products/milwaukee-48-22-9429-7pc-sae-flex-head-combination-wrenches", "https://edmondsonsupply.com/products/milwaukee-48-22-9429-7pc-sae-flex-head-combination-wrenches")</f>
        <v/>
      </c>
      <c r="C3766" t="inlineStr">
        <is>
          <t>Milwaukee 48-22-9429 7pc SAE Flex Head Combination Wrenches</t>
        </is>
      </c>
      <c r="D3766" t="inlineStr">
        <is>
          <t>Milwaukee Flex Head Ratcheting Combination Wrench Set Bundel - 2 Items - Metric (8mm - 22mm) - SAE (1/4" - 1") 48-22-9513 48-22-9413</t>
        </is>
      </c>
      <c r="E3766" s="2">
        <f>HYPERLINK("https://www.amazon.com/Milwaukee-Ratcheting-Combination-Wrench-Bundel/dp/B09HN752MW/ref=sr_1_7?keywords=Milwaukee+48-22-9429+7pc+SAE+Flex+Head+Combination+Wrenches&amp;qid=1694735088&amp;sr=8-7", "https://www.amazon.com/Milwaukee-Ratcheting-Combination-Wrench-Bundel/dp/B09HN752MW/ref=sr_1_7?keywords=Milwaukee+48-22-9429+7pc+SAE+Flex+Head+Combination+Wrenches&amp;qid=1694735088&amp;sr=8-7")</f>
        <v/>
      </c>
      <c r="F3766" t="inlineStr">
        <is>
          <t>B09HN752MW</t>
        </is>
      </c>
      <c r="G3766">
        <f>_xlfn.IMAGE("https://edmondsonsupply.com/cdn/shop/products/48-22-9429_1.webp?v=1668435785")</f>
        <v/>
      </c>
      <c r="H3766">
        <f>_xlfn.IMAGE("https://m.media-amazon.com/images/I/71197bqjKiL._AC_UL320_.jpg")</f>
        <v/>
      </c>
      <c r="K3766" t="inlineStr">
        <is>
          <t>179.97</t>
        </is>
      </c>
      <c r="L3766" t="n">
        <v>599</v>
      </c>
      <c r="M3766" s="1" t="inlineStr">
        <is>
          <t>232.83%</t>
        </is>
      </c>
      <c r="N3766" s="7" t="n">
        <v>26.54</v>
      </c>
      <c r="O3766" t="n">
        <v>5</v>
      </c>
      <c r="P3766" t="n">
        <v>3</v>
      </c>
      <c r="R3766" t="inlineStr">
        <is>
          <t>InStock</t>
        </is>
      </c>
      <c r="S3766" t="inlineStr">
        <is>
          <t>273.0</t>
        </is>
      </c>
      <c r="T3766" t="inlineStr">
        <is>
          <t>7884342034648</t>
        </is>
      </c>
    </row>
    <row r="3767" ht="87" customHeight="1">
      <c r="A3767" s="2">
        <f>HYPERLINK("https://edmondsonsupply.com/collections/electricians-tools/products/milwaukee-48-22-9529-7pc-metric-flex-head-ratcheting-combination-wrench", "https://edmondsonsupply.com/collections/electricians-tools/products/milwaukee-48-22-9529-7pc-metric-flex-head-ratcheting-combination-wrench")</f>
        <v/>
      </c>
      <c r="B3767" s="2">
        <f>HYPERLINK("https://edmondsonsupply.com/products/milwaukee-48-22-9529-7pc-metric-flex-head-ratcheting-combination-wrench", "https://edmondsonsupply.com/products/milwaukee-48-22-9529-7pc-metric-flex-head-ratcheting-combination-wrench")</f>
        <v/>
      </c>
      <c r="C3767" t="inlineStr">
        <is>
          <t>Milwaukee 48-22-9529 7pc Metric Flex Head Ratcheting Combination Wrench</t>
        </is>
      </c>
      <c r="D3767" t="inlineStr">
        <is>
          <t>Milwaukee Flex Head Ratcheting Combination Wrench Set Bundel - 2 Items - Metric (8mm - 22mm) - SAE (1/4" - 1") 48-22-9513 48-22-9413</t>
        </is>
      </c>
      <c r="E3767" s="2">
        <f>HYPERLINK("https://www.amazon.com/Milwaukee-Ratcheting-Combination-Wrench-Bundel/dp/B09HN752MW/ref=sr_1_2?keywords=Milwaukee+48-22-9529+7pc+Metric+Flex+Head+Ratcheting+Combination+Wrench&amp;qid=1694735086&amp;sr=8-2", "https://www.amazon.com/Milwaukee-Ratcheting-Combination-Wrench-Bundel/dp/B09HN752MW/ref=sr_1_2?keywords=Milwaukee+48-22-9529+7pc+Metric+Flex+Head+Ratcheting+Combination+Wrench&amp;qid=1694735086&amp;sr=8-2")</f>
        <v/>
      </c>
      <c r="F3767" t="inlineStr">
        <is>
          <t>B09HN752MW</t>
        </is>
      </c>
      <c r="G3767">
        <f>_xlfn.IMAGE("https://edmondsonsupply.com/cdn/shop/products/48-22-9529_1.png?v=1668437310")</f>
        <v/>
      </c>
      <c r="H3767">
        <f>_xlfn.IMAGE("https://m.media-amazon.com/images/I/71197bqjKiL._AC_UL320_.jpg")</f>
        <v/>
      </c>
      <c r="K3767" t="inlineStr">
        <is>
          <t>179.97</t>
        </is>
      </c>
      <c r="L3767" t="n">
        <v>599</v>
      </c>
      <c r="M3767" s="1" t="inlineStr">
        <is>
          <t>232.83%</t>
        </is>
      </c>
      <c r="N3767" s="7" t="n">
        <v>26.52</v>
      </c>
      <c r="O3767" t="n">
        <v>5</v>
      </c>
      <c r="P3767" t="n">
        <v>3</v>
      </c>
      <c r="R3767" t="inlineStr">
        <is>
          <t>InStock</t>
        </is>
      </c>
      <c r="S3767" t="inlineStr">
        <is>
          <t>270.4</t>
        </is>
      </c>
      <c r="T3767" t="inlineStr">
        <is>
          <t>7884351045848</t>
        </is>
      </c>
    </row>
    <row r="3768" ht="87" customHeight="1">
      <c r="A3768" s="2">
        <f>HYPERLINK("https://edmondsonsupply.com/collections/electricians-tools/products/diablo-tools-dmamx1220", "https://edmondsonsupply.com/collections/electricians-tools/products/diablo-tools-dmamx1220")</f>
        <v/>
      </c>
      <c r="B3768" s="2">
        <f>HYPERLINK("https://edmondsonsupply.com/products/diablo-tools-dmamx1220", "https://edmondsonsupply.com/products/diablo-tools-dmamx1220")</f>
        <v/>
      </c>
      <c r="C3768" t="inlineStr">
        <is>
          <t>Diablo Tools DMAMX1220 1 in. x 16 in. x 21 in. Rebar Demon™ SDS-Max 4-Cutter Full Carbide Head Hammer Drill Bit</t>
        </is>
      </c>
      <c r="D3768" t="inlineStr">
        <is>
          <t>Diablo by Freud DMAMX1400 2 in. x 16 in. x 21 in. Rebar Demon SDS-Max 4-Cutter Carbide-Tipped Hammer Bit</t>
        </is>
      </c>
      <c r="E3768" s="2">
        <f>HYPERLINK("https://www.amazon.com/Diablo-SDS-Max-4-Cutter-Carbide-Tipped-Hammer/dp/B089LHKFQ2/ref=sr_1_40?keywords=Diablo+Tools+DMAMX1220+1+in.+x+16+in.+x+21+in.+Rebar+Demon%E2%84%A2+SDS-Max+4-Cutter+Full+Carbide+Head+Hammer+Drill+Bit&amp;qid=1694735075&amp;sr=8-40", "https://www.amazon.com/Diablo-SDS-Max-4-Cutter-Carbide-Tipped-Hammer/dp/B089LHKFQ2/ref=sr_1_40?keywords=Diablo+Tools+DMAMX1220+1+in.+x+16+in.+x+21+in.+Rebar+Demon%E2%84%A2+SDS-Max+4-Cutter+Full+Carbide+Head+Hammer+Drill+Bit&amp;qid=1694735075&amp;sr=8-40")</f>
        <v/>
      </c>
      <c r="F3768" t="inlineStr">
        <is>
          <t>B089LHKFQ2</t>
        </is>
      </c>
      <c r="G3768">
        <f>_xlfn.IMAGE("https://edmondsonsupply.com/cdn/shop/products/immoyh7jjmbau4fzhuq6.webp?v=1670431066")</f>
        <v/>
      </c>
      <c r="H3768">
        <f>_xlfn.IMAGE("https://m.media-amazon.com/images/I/61p4Q032qYL._AC_UL320_.jpg")</f>
        <v/>
      </c>
      <c r="K3768" t="inlineStr">
        <is>
          <t>45.69</t>
        </is>
      </c>
      <c r="L3768" t="n">
        <v>151.99</v>
      </c>
      <c r="M3768" s="1" t="inlineStr">
        <is>
          <t>232.65%</t>
        </is>
      </c>
      <c r="N3768" s="7" t="n">
        <v>26.52</v>
      </c>
      <c r="O3768" t="n">
        <v>4.4</v>
      </c>
      <c r="P3768" t="n">
        <v>4</v>
      </c>
      <c r="R3768" t="inlineStr">
        <is>
          <t>InStock</t>
        </is>
      </c>
      <c r="S3768" t="inlineStr">
        <is>
          <t>70.58</t>
        </is>
      </c>
      <c r="T3768" t="inlineStr">
        <is>
          <t>7900195356888</t>
        </is>
      </c>
    </row>
    <row r="3769" hidden="1" ht="15.75" customHeight="1">
      <c r="A3769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769" s="2">
        <f>HYPERLINK("https://edmondsonsupply.com/products/diablo-tools-dsp2060-9-16-in-x-6-in-spade-bit", "https://edmondsonsupply.com/products/diablo-tools-dsp2060-9-16-in-x-6-in-spade-bit")</f>
        <v/>
      </c>
      <c r="C3769" t="inlineStr">
        <is>
          <t>Diablo Tools DSP2060 9/16 in. x 6 in. Spade Bit</t>
        </is>
      </c>
      <c r="D3769" t="inlineStr">
        <is>
          <t>IRWIN SPEEDBOR Spade Wood Drill Bit 9/16" X 6" (88809)</t>
        </is>
      </c>
      <c r="E3769" s="2">
        <f>HYPERLINK("https://www.amazon.com/IRWIN-SPEEDBOR-Blue-Groove-Spade/dp/B00004YOA4/ref=sr_1_11?keywords=Diablo+Tools+DSP2060+9%2F16+in.+x+6+in.+Spade+Bit&amp;qid=1694735062&amp;sr=8-11", "https://www.amazon.com/IRWIN-SPEEDBOR-Blue-Groove-Spade/dp/B00004YOA4/ref=sr_1_11?keywords=Diablo+Tools+DSP2060+9%2F16+in.+x+6+in.+Spade+Bit&amp;qid=1694735062&amp;sr=8-11")</f>
        <v/>
      </c>
      <c r="F3769" t="inlineStr">
        <is>
          <t>B00004YOA4</t>
        </is>
      </c>
      <c r="G3769">
        <f>_xludf.IMAGE("https://edmondsonsupply.com/cdn/shop/products/aedhx1bor2stxnsd8b2m.webp?v=1670512947")</f>
        <v/>
      </c>
      <c r="H3769">
        <f>_xludf.IMAGE("https://m.media-amazon.com/images/I/413KY7DLYAL._AC_UL320_.jpg")</f>
        <v/>
      </c>
      <c r="K3769" t="inlineStr">
        <is>
          <t>2.88</t>
        </is>
      </c>
      <c r="L3769" t="n">
        <v>9.529999999999999</v>
      </c>
      <c r="M3769" s="1" t="inlineStr">
        <is>
          <t>230.90%</t>
        </is>
      </c>
      <c r="N3769" s="1" t="n">
        <v>26.46</v>
      </c>
      <c r="O3769" t="n">
        <v>4.7</v>
      </c>
      <c r="P3769" t="n">
        <v>1051</v>
      </c>
      <c r="R3769" t="inlineStr">
        <is>
          <t>InStock</t>
        </is>
      </c>
      <c r="S3769" t="inlineStr">
        <is>
          <t>3.21</t>
        </is>
      </c>
      <c r="T3769" t="inlineStr">
        <is>
          <t>7901216112856</t>
        </is>
      </c>
    </row>
    <row r="3770" ht="87" customHeight="1">
      <c r="A3770" s="2">
        <f>HYPERLINK("https://edmondsonsupply.com/collections/electricians-tools/products/klein-5416tfr", "https://edmondsonsupply.com/collections/electricians-tools/products/klein-5416tfr")</f>
        <v/>
      </c>
      <c r="B3770" s="2">
        <f>HYPERLINK("https://edmondsonsupply.com/products/klein-5416tfr", "https://edmondsonsupply.com/products/klein-5416tfr")</f>
        <v/>
      </c>
      <c r="C3770" t="inlineStr">
        <is>
          <t>Klein Tools 5416TFR Tool Bag, Flame Resistant Bolt Bag, No. 4 Canvas, 5 x 10 x 9-Inch</t>
        </is>
      </c>
      <c r="D3770" t="inlineStr">
        <is>
          <t>Klein Tools 27400 Tiewire Reel, Lightweight Aluminum &amp; 5416TFR Tool Bag, Flame Resistant Canvas Bag for Bolt Storage with Double Reinforced Bottom and Tunnel Connect, 5 x 10 x 9-Inch</t>
        </is>
      </c>
      <c r="E3770" s="2">
        <f>HYPERLINK("https://www.amazon.com/Klein-Tools-Lightweight-Resistant-Reinforced/dp/B0BC81D4YX/ref=sr_1_21?keywords=Klein+Tools+5416TFR+Tool+Bag%2C+Flame+Resistant+Bolt+Bag%2C+No.+4+Canvas%2C+5+x+10+x+9-Inch&amp;qid=1694734988&amp;sr=8-21", "https://www.amazon.com/Klein-Tools-Lightweight-Resistant-Reinforced/dp/B0BC81D4YX/ref=sr_1_21?keywords=Klein+Tools+5416TFR+Tool+Bag%2C+Flame+Resistant+Bolt+Bag%2C+No.+4+Canvas%2C+5+x+10+x+9-Inch&amp;qid=1694734988&amp;sr=8-21")</f>
        <v/>
      </c>
      <c r="F3770" t="inlineStr">
        <is>
          <t>B0BC81D4YX</t>
        </is>
      </c>
      <c r="G3770">
        <f>_xlfn.IMAGE("https://edmondsonsupply.com/cdn/shop/products/5416tfr.jpg?v=1587149359")</f>
        <v/>
      </c>
      <c r="H3770">
        <f>_xlfn.IMAGE("https://m.media-amazon.com/images/I/61icEA9pjYL._AC_UL320_.jpg")</f>
        <v/>
      </c>
      <c r="K3770" t="inlineStr">
        <is>
          <t>19.99</t>
        </is>
      </c>
      <c r="L3770" t="n">
        <v>66.08</v>
      </c>
      <c r="M3770" s="1" t="inlineStr">
        <is>
          <t>230.57%</t>
        </is>
      </c>
      <c r="N3770" s="7" t="n">
        <v>26.02</v>
      </c>
      <c r="O3770" t="n">
        <v>5</v>
      </c>
      <c r="P3770" t="n">
        <v>1</v>
      </c>
      <c r="R3770" t="inlineStr">
        <is>
          <t>InStock</t>
        </is>
      </c>
      <c r="S3770" t="inlineStr">
        <is>
          <t>33.64</t>
        </is>
      </c>
      <c r="T3770" t="inlineStr">
        <is>
          <t>1490970837092</t>
        </is>
      </c>
    </row>
    <row r="3771" hidden="1" ht="15.75" customHeight="1">
      <c r="A3771" s="2">
        <f>HYPERLINK("https://edmondsonsupply.com/collections/electricians-tools/products/klein-tools-608-10-1-8-inch-cabinet-tip-mini-screwdriver-10-inch", "https://edmondsonsupply.com/collections/electricians-tools/products/klein-tools-608-10-1-8-inch-cabinet-tip-mini-screwdriver-10-inch")</f>
        <v/>
      </c>
      <c r="B3771" s="2">
        <f>HYPERLINK("https://edmondsonsupply.com/products/klein-tools-608-10-1-8-inch-cabinet-tip-mini-screwdriver-10-inch", "https://edmondsonsupply.com/products/klein-tools-608-10-1-8-inch-cabinet-tip-mini-screwdriver-10-inch")</f>
        <v/>
      </c>
      <c r="C3771" t="inlineStr">
        <is>
          <t>Klein Tools 608-10 1/8-Inch Cabinet Tip Mini Screwdriver 10-Inch</t>
        </is>
      </c>
      <c r="D3771" t="inlineStr">
        <is>
          <t>Klein Tools 602-10 3/8-Inch Keystone-Tip Screwdriver with 10-Inch Heavy-Duty Round-Shank by Klein Tools</t>
        </is>
      </c>
      <c r="E3771" s="2">
        <f>HYPERLINK("https://www.amazon.com/Keystone-Tip-Screwdriver-10-Inch-Heavy-Duty-Round-Shank/dp/B01LXTSYRV/ref=sr_1_7?keywords=Klein+Tools+608-10+1%2F8-Inch+Cabinet+Tip+Mini+Screwdriver+10-Inch&amp;qid=1694735289&amp;sr=8-7", "https://www.amazon.com/Keystone-Tip-Screwdriver-10-Inch-Heavy-Duty-Round-Shank/dp/B01LXTSYRV/ref=sr_1_7?keywords=Klein+Tools+608-10+1%2F8-Inch+Cabinet+Tip+Mini+Screwdriver+10-Inch&amp;qid=1694735289&amp;sr=8-7")</f>
        <v/>
      </c>
      <c r="F3771" t="inlineStr">
        <is>
          <t>B01LXTSYRV</t>
        </is>
      </c>
      <c r="G3771">
        <f>_xludf.IMAGE("https://edmondsonsupply.com/cdn/shop/products/608-6_3d55df43-d6b6-4261-9983-f7b4b6f422c4.jpg?v=1633030486")</f>
        <v/>
      </c>
      <c r="H3771">
        <f>_xludf.IMAGE("https://m.media-amazon.com/images/I/61PRhJ4ox0L._AC_UL320_.jpg")</f>
        <v/>
      </c>
      <c r="K3771" t="inlineStr">
        <is>
          <t>9.99</t>
        </is>
      </c>
      <c r="L3771" t="n">
        <v>32.99</v>
      </c>
      <c r="M3771" s="1" t="inlineStr">
        <is>
          <t>230.23%</t>
        </is>
      </c>
      <c r="N3771" s="1" t="n">
        <v>26.01</v>
      </c>
      <c r="O3771" t="n">
        <v>3.9</v>
      </c>
      <c r="P3771" t="n">
        <v>6</v>
      </c>
      <c r="R3771" t="inlineStr">
        <is>
          <t>InStock</t>
        </is>
      </c>
      <c r="S3771" t="inlineStr">
        <is>
          <t>15.1</t>
        </is>
      </c>
      <c r="T3771" t="inlineStr">
        <is>
          <t>5371101610152</t>
        </is>
      </c>
    </row>
    <row r="3772" ht="87" customHeight="1">
      <c r="A3772" s="2">
        <f>HYPERLINK("https://edmondsonsupply.com/collections/electricians-tools/products/diablo-tools-dmapl2300-1-2-in-x-4-in-x-6-in-sds-plus-2-cutter", "https://edmondsonsupply.com/collections/electricians-tools/products/diablo-tools-dmapl2300-1-2-in-x-4-in-x-6-in-sds-plus-2-cutter")</f>
        <v/>
      </c>
      <c r="B3772" s="2">
        <f>HYPERLINK("https://edmondsonsupply.com/products/diablo-tools-dmapl2300-1-2-in-x-4-in-x-6-in-sds-plus-2-cutter", "https://edmondsonsupply.com/products/diablo-tools-dmapl2300-1-2-in-x-4-in-x-6-in-sds-plus-2-cutter")</f>
        <v/>
      </c>
      <c r="C3772" t="inlineStr">
        <is>
          <t>Diablo Tools DMAPL2300 1/2 in. x 4 in. x 6 in. SDS‑Plus 2‑Cutter</t>
        </is>
      </c>
      <c r="D3772" t="inlineStr">
        <is>
          <t>Diablo by Freud DMAPL4200 1/2 in. x 16 in. x 18 in. Rebar Demon SDS-Plus 4-Cutter Full Carbide Head Hammer Bit</t>
        </is>
      </c>
      <c r="E3772" s="2">
        <f>HYPERLINK("https://www.amazon.com/Diablo-Freud-DMAPL4200-SDS-Plus-4-Cutter/dp/B089KW2QV1/ref=sr_1_21?keywords=Diablo+Tools+DMAPL2300+1%2F2+in.+x+4+in.+x+6+in.+SDS%E2%80%91Plus+2%E2%80%91Cutter&amp;qid=1694735256&amp;sr=8-21", "https://www.amazon.com/Diablo-Freud-DMAPL4200-SDS-Plus-4-Cutter/dp/B089KW2QV1/ref=sr_1_21?keywords=Diablo+Tools+DMAPL2300+1%2F2+in.+x+4+in.+x+6+in.+SDS%E2%80%91Plus+2%E2%80%91Cutter&amp;qid=1694735256&amp;sr=8-21")</f>
        <v/>
      </c>
      <c r="F3772" t="inlineStr">
        <is>
          <t>B089KW2QV1</t>
        </is>
      </c>
      <c r="G3772">
        <f>_xlfn.IMAGE("https://edmondsonsupply.com/cdn/shop/products/DMAPL2300-P25_Main-Image20200701_f135ab9e-1d6a-4464-ad6a-807f2f571e10.png?v=1633030655")</f>
        <v/>
      </c>
      <c r="H3772">
        <f>_xlfn.IMAGE("https://m.media-amazon.com/images/I/61rW+ROVmNL._AC_UL320_.jpg")</f>
        <v/>
      </c>
      <c r="K3772" t="inlineStr">
        <is>
          <t>6.97</t>
        </is>
      </c>
      <c r="L3772" t="n">
        <v>23</v>
      </c>
      <c r="M3772" s="1" t="inlineStr">
        <is>
          <t>229.99%</t>
        </is>
      </c>
      <c r="N3772" s="7" t="n">
        <v>25.96</v>
      </c>
      <c r="O3772" t="n">
        <v>4.7</v>
      </c>
      <c r="P3772" t="n">
        <v>18</v>
      </c>
      <c r="R3772" t="inlineStr">
        <is>
          <t>InStock</t>
        </is>
      </c>
      <c r="S3772" t="inlineStr">
        <is>
          <t>8.4</t>
        </is>
      </c>
      <c r="T3772" t="inlineStr">
        <is>
          <t>5740710887592</t>
        </is>
      </c>
    </row>
    <row r="3773" ht="87" customHeight="1">
      <c r="A3773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3773" s="2">
        <f>HYPERLINK("https://edmondsonsupply.com/products/klein-tools-ncvt1xt-non-contact-voltage-tester-70-to-1000v-ac", "https://edmondsonsupply.com/products/klein-tools-ncvt1xt-non-contact-voltage-tester-70-to-1000v-ac")</f>
        <v/>
      </c>
      <c r="C3773" t="inlineStr">
        <is>
          <t>Klein Tools NCVT1XT Non-Contact Voltage Tester, 70 to 1000V AC</t>
        </is>
      </c>
      <c r="D3773" t="inlineStr">
        <is>
          <t>Digital Multimeter Electrical Test Kit, Non-Contact Voltage Tester, Receptacle Tester, Carrying Case and Batteries Klein Tools MM320KIT &amp; 69417 Rare-Earth Magnetic Hanger, with Strap</t>
        </is>
      </c>
      <c r="E3773" s="2">
        <f>HYPERLINK("https://www.amazon.com/Multimeter-Electrical-Non-Contact-Klein-Tools/dp/B0CF2CFS1D/ref=sr_1_23?keywords=Klein+Tools+NCVT1XT+Non-Contact+Voltage+Tester%2C+70+to+1000V+AC&amp;qid=1694735046&amp;sr=8-23", "https://www.amazon.com/Multimeter-Electrical-Non-Contact-Klein-Tools/dp/B0CF2CFS1D/ref=sr_1_23?keywords=Klein+Tools+NCVT1XT+Non-Contact+Voltage+Tester%2C+70+to+1000V+AC&amp;qid=1694735046&amp;sr=8-23")</f>
        <v/>
      </c>
      <c r="F3773" t="inlineStr">
        <is>
          <t>B0CF2CFS1D</t>
        </is>
      </c>
      <c r="G3773">
        <f>_xlfn.IMAGE("https://edmondsonsupply.com/cdn/shop/products/ncvt1xt.jpg?v=1674496568")</f>
        <v/>
      </c>
      <c r="H3773">
        <f>_xlfn.IMAGE("https://m.media-amazon.com/images/I/5182bo0BHaL._AC_UL320_.jpg")</f>
        <v/>
      </c>
      <c r="K3773" t="inlineStr">
        <is>
          <t>19.97</t>
        </is>
      </c>
      <c r="L3773" t="n">
        <v>65.48999999999999</v>
      </c>
      <c r="M3773" s="1" t="inlineStr">
        <is>
          <t>227.94%</t>
        </is>
      </c>
      <c r="N3773" s="7" t="n">
        <v>25.82</v>
      </c>
      <c r="O3773" t="n">
        <v>4.8</v>
      </c>
      <c r="P3773" t="n">
        <v>1447</v>
      </c>
      <c r="R3773" t="inlineStr">
        <is>
          <t>InStock</t>
        </is>
      </c>
      <c r="S3773" t="inlineStr">
        <is>
          <t>26.32</t>
        </is>
      </c>
      <c r="T3773" t="inlineStr">
        <is>
          <t>7931947155672</t>
        </is>
      </c>
    </row>
    <row r="3774" ht="87" customHeight="1">
      <c r="A3774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774" s="2">
        <f>HYPERLINK("https://edmondsonsupply.com/products/klein-tools-rt250-gfci-receptacle-tester-with-lcd", "https://edmondsonsupply.com/products/klein-tools-rt250-gfci-receptacle-tester-with-lcd")</f>
        <v/>
      </c>
      <c r="C3774" t="inlineStr">
        <is>
          <t>Klein Tools RT250 GFCI Receptacle Tester with LCD</t>
        </is>
      </c>
      <c r="D3774" t="inlineStr">
        <is>
          <t>Klein Tools ET310 AC Circuit Breaker Finder with Integrated GFCI Outlet Tester &amp; RT250 GFCI Receptacle Tester with LCD Display, for Standard 3-Wire 120V Electrical Outlets</t>
        </is>
      </c>
      <c r="E3774" s="2">
        <f>HYPERLINK("https://www.amazon.com/Klein-Tools-Integrated-Receptacle-Electrical/dp/B09P85276K/ref=sr_1_6?keywords=Klein+Tools+RT250+GFCI+Receptacle+Tester+with+LCD&amp;qid=1694735148&amp;sr=8-6", "https://www.amazon.com/Klein-Tools-Integrated-Receptacle-Electrical/dp/B09P85276K/ref=sr_1_6?keywords=Klein+Tools+RT250+GFCI+Receptacle+Tester+with+LCD&amp;qid=1694735148&amp;sr=8-6")</f>
        <v/>
      </c>
      <c r="F3774" t="inlineStr">
        <is>
          <t>B09P85276K</t>
        </is>
      </c>
      <c r="G3774">
        <f>_xlfn.IMAGE("https://edmondsonsupply.com/cdn/shop/products/rt250_photo_c.jpg?v=1661363824")</f>
        <v/>
      </c>
      <c r="H3774">
        <f>_xlfn.IMAGE("https://m.media-amazon.com/images/I/51AwhghGlRL._AC_UL320_.jpg")</f>
        <v/>
      </c>
      <c r="K3774" t="inlineStr">
        <is>
          <t>21.97</t>
        </is>
      </c>
      <c r="L3774" t="n">
        <v>71.94</v>
      </c>
      <c r="M3774" s="1" t="inlineStr">
        <is>
          <t>227.45%</t>
        </is>
      </c>
      <c r="N3774" s="7" t="n">
        <v>25.8</v>
      </c>
      <c r="O3774" t="n">
        <v>4.8</v>
      </c>
      <c r="P3774" t="n">
        <v>233</v>
      </c>
      <c r="R3774" t="inlineStr">
        <is>
          <t>InStock</t>
        </is>
      </c>
      <c r="S3774" t="inlineStr">
        <is>
          <t>30.78</t>
        </is>
      </c>
      <c r="T3774" t="inlineStr">
        <is>
          <t>7793138729176</t>
        </is>
      </c>
    </row>
    <row r="3775" hidden="1" ht="15.75" customHeight="1">
      <c r="A3775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775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775" t="inlineStr">
        <is>
          <t>Diablo Tools DMAPL4030 3/16 in. x 2 in. x 4 in. Rebar Demon™ SDS-Plus 4-Cutter Full Carbide Head Hammer Bit</t>
        </is>
      </c>
      <c r="D3775" t="inlineStr">
        <is>
          <t>Diablo DMAPL4120 5/16 in. x 10 in. x 12 in. Rebar Demon™ SDS-Plus 4-Cutter Full Carbide Head Hammer Bit</t>
        </is>
      </c>
      <c r="E3775" s="2">
        <f>HYPERLINK("https://www.amazon.com/Diablo-SDS-Plus-4-Cutter-Carbide-Hammer/dp/B089KTHL12/ref=sr_1_22?keywords=Diablo+Tools+DMAPL4030+3%2F16+in.+x+2+in.+x+4+in.+Rebar+Demon%E2%84%A2+SDS-Plus+4-Cutter+Full+Carbide+Head+Hammer+Bit&amp;qid=1694735295&amp;sr=8-22", "https://www.amazon.com/Diablo-SDS-Plus-4-Cutter-Carbide-Hammer/dp/B089KTHL12/ref=sr_1_22?keywords=Diablo+Tools+DMAPL4030+3%2F16+in.+x+2+in.+x+4+in.+Rebar+Demon%E2%84%A2+SDS-Plus+4-Cutter+Full+Carbide+Head+Hammer+Bit&amp;qid=1694735295&amp;sr=8-22")</f>
        <v/>
      </c>
      <c r="F3775" t="inlineStr">
        <is>
          <t>B089KTHL12</t>
        </is>
      </c>
      <c r="G3775">
        <f>_xludf.IMAGE("https://edmondsonsupply.com/cdn/shop/products/DMAPL4030.jpg?v=1633030357")</f>
        <v/>
      </c>
      <c r="H3775">
        <f>_xludf.IMAGE("https://m.media-amazon.com/images/I/61P8b1v1TBL._AC_UL320_.jpg")</f>
        <v/>
      </c>
      <c r="K3775" t="inlineStr">
        <is>
          <t>3.97</t>
        </is>
      </c>
      <c r="L3775" t="n">
        <v>12.99</v>
      </c>
      <c r="M3775" s="1" t="inlineStr">
        <is>
          <t>227.20%</t>
        </is>
      </c>
      <c r="N3775" s="1" t="n">
        <v>25.74</v>
      </c>
      <c r="O3775" t="n">
        <v>5</v>
      </c>
      <c r="P3775" t="n">
        <v>6</v>
      </c>
      <c r="R3775" t="inlineStr">
        <is>
          <t>InStock</t>
        </is>
      </c>
      <c r="S3775" t="inlineStr">
        <is>
          <t>5.51</t>
        </is>
      </c>
      <c r="T3775" t="inlineStr">
        <is>
          <t>5286322012328</t>
        </is>
      </c>
    </row>
    <row r="3776" ht="87" customHeight="1">
      <c r="A3776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3776" s="2">
        <f>HYPERLINK("https://edmondsonsupply.com/products/klein-tools-vdv427-300-impact-punchdown-tool-66-110-blade", "https://edmondsonsupply.com/products/klein-tools-vdv427-300-impact-punchdown-tool-66-110-blade")</f>
        <v/>
      </c>
      <c r="C3776" t="inlineStr">
        <is>
          <t>Klein Tools VDV427-300 Impact Punchdown Tool, 66/110 Blade</t>
        </is>
      </c>
      <c r="D3776" t="inlineStr">
        <is>
          <t>Klein Tools 80072 RJ45 Cable Tester Kit with LAN Scout Jr. 2, Coax Crimper/Stripper/Cutter Tool and Pass-Thru Modular Data Plug &amp; VDV427-300 Impact Punchdown Tool, 66/110 Blade</t>
        </is>
      </c>
      <c r="E3776" s="2">
        <f>HYPERLINK("https://www.amazon.com/Klein-Tools-Pass-Thru-VDV427-300-Punchdown/dp/B0BVGDFVMZ/ref=sr_1_9?keywords=Klein+Tools+VDV427-300+Impact+Punchdown+Tool%2C+66%2F110+Blade&amp;qid=1694735168&amp;sr=8-9", "https://www.amazon.com/Klein-Tools-Pass-Thru-VDV427-300-Punchdown/dp/B0BVGDFVMZ/ref=sr_1_9?keywords=Klein+Tools+VDV427-300+Impact+Punchdown+Tool%2C+66%2F110+Blade&amp;qid=1694735168&amp;sr=8-9")</f>
        <v/>
      </c>
      <c r="F3776" t="inlineStr">
        <is>
          <t>B0BVGDFVMZ</t>
        </is>
      </c>
      <c r="G3776">
        <f>_xlfn.IMAGE("https://edmondsonsupply.com/cdn/shop/products/vdv427300.jpg?v=1646010568")</f>
        <v/>
      </c>
      <c r="H3776">
        <f>_xlfn.IMAGE("https://m.media-amazon.com/images/I/51UORY238lL._AC_UL320_.jpg")</f>
        <v/>
      </c>
      <c r="K3776" t="inlineStr">
        <is>
          <t>39.97</t>
        </is>
      </c>
      <c r="L3776" t="n">
        <v>130.77</v>
      </c>
      <c r="M3776" s="1" t="inlineStr">
        <is>
          <t>227.17%</t>
        </is>
      </c>
      <c r="N3776" s="7" t="n">
        <v>25.73</v>
      </c>
      <c r="O3776" t="n">
        <v>5</v>
      </c>
      <c r="P3776" t="n">
        <v>1</v>
      </c>
      <c r="R3776" t="inlineStr">
        <is>
          <t>InStock</t>
        </is>
      </c>
      <c r="S3776" t="inlineStr">
        <is>
          <t>55.98</t>
        </is>
      </c>
      <c r="T3776" t="inlineStr">
        <is>
          <t>7620069818584</t>
        </is>
      </c>
    </row>
    <row r="3777" ht="87" customHeight="1">
      <c r="A3777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3777" s="2">
        <f>HYPERLINK("https://edmondsonsupply.com/products/klein-tools-jth9m5-5-mm-hex-key-journeyman-t-handle-9-inch", "https://edmondsonsupply.com/products/klein-tools-jth9m5-5-mm-hex-key-journeyman-t-handle-9-inch")</f>
        <v/>
      </c>
      <c r="C3777" t="inlineStr">
        <is>
          <t>Klein Tools JTH9M5 5 mm Hex Key, Journeyman T-Handle 9-Inch</t>
        </is>
      </c>
      <c r="D3777" t="inlineStr">
        <is>
          <t>Klein Tools JTH9M8 8 mm Hex Key with Journeyman T-Handle, 9-Inch</t>
        </is>
      </c>
      <c r="E3777" s="2">
        <f>HYPERLINK("https://www.amazon.com/Journeyman-T-Handle-Klein-Tools-JTH9M8/dp/B005G3HJSC/ref=sr_1_10?keywords=Klein+Tools+JTH9M5+5+mm+Hex+Key%2C+Journeyman+T-Handle+9-Inch&amp;qid=1694735207&amp;sr=8-10", "https://www.amazon.com/Journeyman-T-Handle-Klein-Tools-JTH9M8/dp/B005G3HJSC/ref=sr_1_10?keywords=Klein+Tools+JTH9M5+5+mm+Hex+Key%2C+Journeyman+T-Handle+9-Inch&amp;qid=1694735207&amp;sr=8-10")</f>
        <v/>
      </c>
      <c r="F3777" t="inlineStr">
        <is>
          <t>B005G3HJSC</t>
        </is>
      </c>
      <c r="G3777">
        <f>_xlfn.IMAGE("https://edmondsonsupply.com/cdn/shop/products/jth9m_84ad507b-889a-4b5c-80a2-9633c898cd48.jpg?v=1633031048")</f>
        <v/>
      </c>
      <c r="H3777">
        <f>_xlfn.IMAGE("https://m.media-amazon.com/images/I/51+1x0vz9XL._AC_UL320_.jpg")</f>
        <v/>
      </c>
      <c r="K3777" t="inlineStr">
        <is>
          <t>4.99</t>
        </is>
      </c>
      <c r="L3777" t="n">
        <v>16.27</v>
      </c>
      <c r="M3777" s="1" t="inlineStr">
        <is>
          <t>226.05%</t>
        </is>
      </c>
      <c r="N3777" s="7" t="n">
        <v>25.67</v>
      </c>
      <c r="O3777" t="n">
        <v>5</v>
      </c>
      <c r="P3777" t="n">
        <v>4</v>
      </c>
      <c r="R3777" t="inlineStr">
        <is>
          <t>InStock</t>
        </is>
      </c>
      <c r="S3777" t="inlineStr">
        <is>
          <t>7.58</t>
        </is>
      </c>
      <c r="T3777" t="inlineStr">
        <is>
          <t>6772921532589</t>
        </is>
      </c>
    </row>
    <row r="3778" ht="87" customHeight="1">
      <c r="A3778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3778" s="2">
        <f>HYPERLINK("https://edmondsonsupply.com/products/klein-tools-vdv427-014-punchdown-tool-krone-blade", "https://edmondsonsupply.com/products/klein-tools-vdv427-014-punchdown-tool-krone-blade")</f>
        <v/>
      </c>
      <c r="C3778" t="inlineStr">
        <is>
          <t>Klein Tools VDV427014 Punchdown Tool Krone Blade</t>
        </is>
      </c>
      <c r="D3778" t="inlineStr">
        <is>
          <t>Klein Tools VDV427-300 Impact Punchdown Tool with 66/110 Blade, Reliable CAT Cable Connections, Adjustable Force, Includes Pick and Spudger</t>
        </is>
      </c>
      <c r="E3778" s="2">
        <f>HYPERLINK("https://www.amazon.com/Klein-Tools-KLEBE-VDV427-300-Punchdown/dp/B08J2DN6HC/ref=sr_1_2?keywords=Klein+Tools+VDV427014+Punchdown+Tool+Krone+Blade&amp;qid=1694735425&amp;sr=8-2", "https://www.amazon.com/Klein-Tools-KLEBE-VDV427-300-Punchdown/dp/B08J2DN6HC/ref=sr_1_2?keywords=Klein+Tools+VDV427014+Punchdown+Tool+Krone+Blade&amp;qid=1694735425&amp;sr=8-2")</f>
        <v/>
      </c>
      <c r="F3778" t="inlineStr">
        <is>
          <t>B08J2DN6HC</t>
        </is>
      </c>
      <c r="G3778">
        <f>_xlfn.IMAGE("https://edmondsonsupply.com/cdn/shop/products/vdv427-014.jpg?v=1587143002")</f>
        <v/>
      </c>
      <c r="H3778">
        <f>_xlfn.IMAGE("https://m.media-amazon.com/images/I/51Cdx8nwReL._AC_UL320_.jpg")</f>
        <v/>
      </c>
      <c r="K3778" t="inlineStr">
        <is>
          <t>11.49</t>
        </is>
      </c>
      <c r="L3778" t="n">
        <v>37.41</v>
      </c>
      <c r="M3778" s="1" t="inlineStr">
        <is>
          <t>225.59%</t>
        </is>
      </c>
      <c r="N3778" s="7" t="n">
        <v>25.64</v>
      </c>
      <c r="O3778" t="n">
        <v>4.8</v>
      </c>
      <c r="P3778" t="n">
        <v>840</v>
      </c>
      <c r="R3778" t="inlineStr">
        <is>
          <t>InStock</t>
        </is>
      </c>
      <c r="S3778" t="inlineStr">
        <is>
          <t>17.26</t>
        </is>
      </c>
      <c r="T3778" t="inlineStr">
        <is>
          <t>4359135592548</t>
        </is>
      </c>
    </row>
    <row r="3779" ht="87" customHeight="1">
      <c r="A3779" s="2">
        <f>HYPERLINK("https://edmondsonsupply.com/collections/electricians-tools/products/klein-tools-60-klein-koat%C2%AE-tenite-pliers-handles", "https://edmondsonsupply.com/collections/electricians-tools/products/klein-tools-60-klein-koat%C2%AE-tenite-pliers-handles")</f>
        <v/>
      </c>
      <c r="B3779" s="2">
        <f>HYPERLINK("https://edmondsonsupply.com/products/klein-tools-60-klein-koat%c2%ae-tenite-pliers-handles", "https://edmondsonsupply.com/products/klein-tools-60-klein-koat%c2%ae-tenite-pliers-handles")</f>
        <v/>
      </c>
      <c r="C3779" t="inlineStr">
        <is>
          <t>Klein Tools 60 Klein-Koat® Tenite Pliers Handles, 6-Inch</t>
        </is>
      </c>
      <c r="D3779" t="inlineStr">
        <is>
          <t>Klein Tools D203-6 Long Nose Side-Cutter Pliers, Induction-Hardened Cutting Knives and Curved Handles, 6-Inch</t>
        </is>
      </c>
      <c r="E3779" s="2">
        <f>HYPERLINK("https://www.amazon.com/Klein-Tools-D203-6-Side-Cutters-6-Inch/dp/B0000302VZ/ref=sr_1_7?keywords=Klein+Tools+60+Klein-Koat%C2%AE+Tenite+Pliers+Handles%2C+6-Inch&amp;qid=1694735266&amp;sr=8-7", "https://www.amazon.com/Klein-Tools-D203-6-Side-Cutters-6-Inch/dp/B0000302VZ/ref=sr_1_7?keywords=Klein+Tools+60+Klein-Koat%C2%AE+Tenite+Pliers+Handles%2C+6-Inch&amp;qid=1694735266&amp;sr=8-7")</f>
        <v/>
      </c>
      <c r="F3779" t="inlineStr">
        <is>
          <t>B0000302VZ</t>
        </is>
      </c>
      <c r="G3779">
        <f>_xlfn.IMAGE("https://edmondsonsupply.com/cdn/shop/products/70_3b170495-16b7-4677-bb78-38e9a88cbc73.jpg?v=1601034859")</f>
        <v/>
      </c>
      <c r="H3779">
        <f>_xlfn.IMAGE("https://m.media-amazon.com/images/I/61b15QSLDFL._AC_UL320_.jpg")</f>
        <v/>
      </c>
      <c r="K3779" t="inlineStr">
        <is>
          <t>7.99</t>
        </is>
      </c>
      <c r="L3779" t="n">
        <v>25.99</v>
      </c>
      <c r="M3779" s="1" t="inlineStr">
        <is>
          <t>225.28%</t>
        </is>
      </c>
      <c r="N3779" s="7" t="n">
        <v>25.61</v>
      </c>
      <c r="O3779" t="n">
        <v>4.8</v>
      </c>
      <c r="P3779" t="n">
        <v>582</v>
      </c>
      <c r="R3779" t="inlineStr">
        <is>
          <t>InStock</t>
        </is>
      </c>
      <c r="S3779" t="inlineStr">
        <is>
          <t>12.1</t>
        </is>
      </c>
      <c r="T3779" t="inlineStr">
        <is>
          <t>5850495287464</t>
        </is>
      </c>
    </row>
    <row r="3780" ht="87" customHeight="1">
      <c r="A3780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780" s="2">
        <f>HYPERLINK("https://edmondsonsupply.com/products/klein-tools-et45-ac-dc-voltage-tester", "https://edmondsonsupply.com/products/klein-tools-et45-ac-dc-voltage-tester")</f>
        <v/>
      </c>
      <c r="C3780" t="inlineStr">
        <is>
          <t>Klein Tools ET45 AC/DC Voltage Tester</t>
        </is>
      </c>
      <c r="D3780" t="inlineStr">
        <is>
          <t>Klein Tools NCVT-3 Voltage Tester, Non-Contact Dual Range Voltage Tester Pen for AC Testing with Integrated Flashlight</t>
        </is>
      </c>
      <c r="E3780" s="2">
        <f>HYPERLINK("https://www.amazon.com/Non-Contact-Voltage-Flashlight-Klein-Tools/dp/B00XJQ9ZE4/ref=sr_1_24?keywords=Klein+Tools+ET45+AC%2FDC+Voltage+Tester&amp;qid=1694735227&amp;sr=8-24", "https://www.amazon.com/Non-Contact-Voltage-Flashlight-Klein-Tools/dp/B00XJQ9ZE4/ref=sr_1_24?keywords=Klein+Tools+ET45+AC%2FDC+Voltage+Tester&amp;qid=1694735227&amp;sr=8-24")</f>
        <v/>
      </c>
      <c r="F3780" t="inlineStr">
        <is>
          <t>B00XJQ9ZE4</t>
        </is>
      </c>
      <c r="G3780">
        <f>_xlfn.IMAGE("https://edmondsonsupply.com/cdn/shop/products/et45.jpg?v=1647786270")</f>
        <v/>
      </c>
      <c r="H3780">
        <f>_xlfn.IMAGE("https://m.media-amazon.com/images/I/51dcyyMwUjL._AC_UL320_.jpg")</f>
        <v/>
      </c>
      <c r="K3780" t="inlineStr">
        <is>
          <t>11.99</t>
        </is>
      </c>
      <c r="L3780" t="n">
        <v>38.99</v>
      </c>
      <c r="M3780" s="1" t="inlineStr">
        <is>
          <t>225.19%</t>
        </is>
      </c>
      <c r="N3780" s="7" t="n">
        <v>25.44</v>
      </c>
      <c r="O3780" t="n">
        <v>4.5</v>
      </c>
      <c r="P3780" t="n">
        <v>1679</v>
      </c>
      <c r="R3780" t="inlineStr">
        <is>
          <t>InStock</t>
        </is>
      </c>
      <c r="S3780" t="inlineStr">
        <is>
          <t>16.72</t>
        </is>
      </c>
      <c r="T3780" t="inlineStr">
        <is>
          <t>3688633630820</t>
        </is>
      </c>
    </row>
    <row r="3781" ht="87" customHeight="1">
      <c r="A3781" s="2">
        <f>HYPERLINK("https://edmondsonsupply.com/collections/electricians-tools/products/fluke-tplus-electrical-tester", "https://edmondsonsupply.com/collections/electricians-tools/products/fluke-tplus-electrical-tester")</f>
        <v/>
      </c>
      <c r="B3781" s="2">
        <f>HYPERLINK("https://edmondsonsupply.com/products/fluke-tplus-electrical-tester", "https://edmondsonsupply.com/products/fluke-tplus-electrical-tester")</f>
        <v/>
      </c>
      <c r="C3781" t="inlineStr">
        <is>
          <t>Fluke T+ Electrical Tester</t>
        </is>
      </c>
      <c r="D3781" t="inlineStr">
        <is>
          <t>Fluke T6-1000 PRO Electrical Tester</t>
        </is>
      </c>
      <c r="E3781" s="2">
        <f>HYPERLINK("https://www.amazon.com/Fluke-T6-1000-PRO-Electrical-Tester/dp/B08H5TDG9L/ref=sr_1_14?keywords=Fluke+T+Electrical+Tester&amp;qid=1694735309&amp;sr=8-14", "https://www.amazon.com/Fluke-T6-1000-PRO-Electrical-Tester/dp/B08H5TDG9L/ref=sr_1_14?keywords=Fluke+T+Electrical+Tester&amp;qid=1694735309&amp;sr=8-14")</f>
        <v/>
      </c>
      <c r="F3781" t="inlineStr">
        <is>
          <t>B08H5TDG9L</t>
        </is>
      </c>
      <c r="G3781">
        <f>_xlfn.IMAGE("https://edmondsonsupply.com/cdn/shop/products/tplus.jpg?v=1633030280")</f>
        <v/>
      </c>
      <c r="H3781">
        <f>_xlfn.IMAGE("https://m.media-amazon.com/images/I/81t0cu-09aL._AC_UL320_.jpg")</f>
        <v/>
      </c>
      <c r="K3781" t="inlineStr">
        <is>
          <t>94.49</t>
        </is>
      </c>
      <c r="L3781" t="n">
        <v>305.69</v>
      </c>
      <c r="M3781" s="1" t="inlineStr">
        <is>
          <t>223.52%</t>
        </is>
      </c>
      <c r="N3781" s="7" t="n">
        <v>25.34</v>
      </c>
      <c r="O3781" t="n">
        <v>4.8</v>
      </c>
      <c r="P3781" t="n">
        <v>453</v>
      </c>
      <c r="R3781" t="inlineStr">
        <is>
          <t>InStock</t>
        </is>
      </c>
      <c r="S3781" t="inlineStr">
        <is>
          <t>104.99</t>
        </is>
      </c>
      <c r="T3781" t="inlineStr">
        <is>
          <t>5238397337768</t>
        </is>
      </c>
    </row>
    <row r="3782" hidden="1" ht="15.75" customHeight="1">
      <c r="A3782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3782" s="2">
        <f>HYPERLINK("https://edmondsonsupply.com/products/klein-tools-jth9m5-4-mm-hex-key-journeyman-t-handle-9-inch", "https://edmondsonsupply.com/products/klein-tools-jth9m5-4-mm-hex-key-journeyman-t-handle-9-inch")</f>
        <v/>
      </c>
      <c r="C3782" t="inlineStr">
        <is>
          <t>Klein Tools JTH9M4 4 mm Hex Key, Journeyman T-Handle, 9-Inch</t>
        </is>
      </c>
      <c r="D3782" t="inlineStr">
        <is>
          <t>Klein Tools JTH6T40 T40 TORX Hex Key, Journeyman T-Handle, 6-Inch</t>
        </is>
      </c>
      <c r="E3782" s="2">
        <f>HYPERLINK("https://www.amazon.com/Journeyman-T-Handle-Klein-Tools-JTH6T40/dp/B005G3B500/ref=sr_1_19?keywords=Klein+Tools+JTH9M4+4+mm+Hex+Key%2C+Journeyman+T-Handle%2C+9-Inch&amp;qid=1694735170&amp;sr=8-19", "https://www.amazon.com/Journeyman-T-Handle-Klein-Tools-JTH6T40/dp/B005G3B500/ref=sr_1_19?keywords=Klein+Tools+JTH9M4+4+mm+Hex+Key%2C+Journeyman+T-Handle%2C+9-Inch&amp;qid=1694735170&amp;sr=8-19")</f>
        <v/>
      </c>
      <c r="F3782" t="inlineStr">
        <is>
          <t>B005G3B500</t>
        </is>
      </c>
      <c r="G3782">
        <f>_xludf.IMAGE("https://edmondsonsupply.com/cdn/shop/products/jth9m_fa8a641d-d03f-4191-ab24-b9045963e4f7.jpg?v=1640191121")</f>
        <v/>
      </c>
      <c r="H3782">
        <f>_xludf.IMAGE("https://m.media-amazon.com/images/I/51Xj0Vsb-EL._AC_UL320_.jpg")</f>
        <v/>
      </c>
      <c r="K3782" t="inlineStr">
        <is>
          <t>4.49</t>
        </is>
      </c>
      <c r="L3782" t="n">
        <v>14.51</v>
      </c>
      <c r="M3782" s="1" t="inlineStr">
        <is>
          <t>223.16%</t>
        </is>
      </c>
      <c r="N3782" s="1" t="n">
        <v>25.16</v>
      </c>
      <c r="O3782" t="n">
        <v>4.8</v>
      </c>
      <c r="P3782" t="n">
        <v>1540</v>
      </c>
      <c r="R3782" t="inlineStr">
        <is>
          <t>InStock</t>
        </is>
      </c>
      <c r="S3782" t="inlineStr">
        <is>
          <t>6.8</t>
        </is>
      </c>
      <c r="T3782" t="inlineStr">
        <is>
          <t>7555980656856</t>
        </is>
      </c>
    </row>
    <row r="3783" ht="87" customHeight="1">
      <c r="A3783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3783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3783" t="inlineStr">
        <is>
          <t>Diablo Tools DMARG1070 1/4 in. x 4 in. x 6 in. SPEEDemon™ Red Granite Carbide Tipped Hammer Drill Bit</t>
        </is>
      </c>
      <c r="D3783" t="inlineStr">
        <is>
          <t>Diablo by Freud DMARG1020-P5 5/32 in. x 3 in. x 6 in. SPEEDemon Red Granite Carbide Tipped Hammer Drill Bit (5-Pack)</t>
        </is>
      </c>
      <c r="E3783" s="2">
        <f>HYPERLINK("https://www.amazon.com/Diablo-SPEEDemon-Granite-Carbide-Tipped/dp/B089KX38FF/ref=sr_1_12?keywords=Diablo+Tools+DMARG1070+1%2F4+in.+x+4+in.+x+6+in.+SPEEDemon%E2%84%A2+Red+Granite+Carbide+Tipped+Hammer+Drill+Bit&amp;qid=1694735286&amp;sr=8-12", "https://www.amazon.com/Diablo-SPEEDemon-Granite-Carbide-Tipped/dp/B089KX38FF/ref=sr_1_12?keywords=Diablo+Tools+DMARG1070+1%2F4+in.+x+4+in.+x+6+in.+SPEEDemon%E2%84%A2+Red+Granite+Carbide+Tipped+Hammer+Drill+Bit&amp;qid=1694735286&amp;sr=8-12")</f>
        <v/>
      </c>
      <c r="F3783" t="inlineStr">
        <is>
          <t>B089KX38FF</t>
        </is>
      </c>
      <c r="G3783">
        <f>_xlfn.IMAGE("https://edmondsonsupply.com/cdn/shop/products/DMARG1070_Main-Image20200407.png?v=1633030419")</f>
        <v/>
      </c>
      <c r="H3783">
        <f>_xlfn.IMAGE("https://m.media-amazon.com/images/I/61BDYFEnTRL._AC_UL320_.jpg")</f>
        <v/>
      </c>
      <c r="K3783" t="inlineStr">
        <is>
          <t>4.97</t>
        </is>
      </c>
      <c r="L3783" t="n">
        <v>16.01</v>
      </c>
      <c r="M3783" s="1" t="inlineStr">
        <is>
          <t>222.13%</t>
        </is>
      </c>
      <c r="N3783" s="7" t="n">
        <v>25.14</v>
      </c>
      <c r="O3783" t="n">
        <v>4.6</v>
      </c>
      <c r="P3783" t="n">
        <v>27</v>
      </c>
      <c r="R3783" t="inlineStr">
        <is>
          <t>InStock</t>
        </is>
      </c>
      <c r="S3783" t="inlineStr">
        <is>
          <t>undefined</t>
        </is>
      </c>
      <c r="T3783" t="inlineStr">
        <is>
          <t>5317981700264</t>
        </is>
      </c>
    </row>
    <row r="3784" ht="87" customHeight="1">
      <c r="A3784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3784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3784" t="inlineStr">
        <is>
          <t>Diablo Tools DMARG1020 5/32 in. x 3 in. x 6 in. SPEEDemon™ Red Granite Carbide Tipped Hammer Drill Bit</t>
        </is>
      </c>
      <c r="D3784" t="inlineStr">
        <is>
          <t>Diablo by Freud DMARG1020-P5 5/32 in. x 3 in. x 6 in. SPEEDemon Red Granite Carbide Tipped Hammer Drill Bit (5-Pack)</t>
        </is>
      </c>
      <c r="E3784" s="2">
        <f>HYPERLINK("https://www.amazon.com/Diablo-SPEEDemon-Granite-Carbide-Tipped/dp/B089KX38FF/ref=sr_1_1?keywords=Diablo+Tools+DMARG1020+5%2F32+in.+x+3+in.+x+6+in.+SPEEDemon%E2%84%A2+Red+Granite+Carbide+Tipped+Hammer+Drill+Bit&amp;qid=1694735279&amp;sr=8-1", "https://www.amazon.com/Diablo-SPEEDemon-Granite-Carbide-Tipped/dp/B089KX38FF/ref=sr_1_1?keywords=Diablo+Tools+DMARG1020+5%2F32+in.+x+3+in.+x+6+in.+SPEEDemon%E2%84%A2+Red+Granite+Carbide+Tipped+Hammer+Drill+Bit&amp;qid=1694735279&amp;sr=8-1")</f>
        <v/>
      </c>
      <c r="F3784" t="inlineStr">
        <is>
          <t>B089KX38FF</t>
        </is>
      </c>
      <c r="G3784">
        <f>_xlfn.IMAGE("https://edmondsonsupply.com/cdn/shop/products/vozy4matwskc7qc8ko6f.webp?v=1670440892")</f>
        <v/>
      </c>
      <c r="H3784">
        <f>_xlfn.IMAGE("https://m.media-amazon.com/images/I/61BDYFEnTRL._AC_UL320_.jpg")</f>
        <v/>
      </c>
      <c r="K3784" t="inlineStr">
        <is>
          <t>4.97</t>
        </is>
      </c>
      <c r="L3784" t="n">
        <v>16.01</v>
      </c>
      <c r="M3784" s="1" t="inlineStr">
        <is>
          <t>222.13%</t>
        </is>
      </c>
      <c r="N3784" s="7" t="n">
        <v>25.04</v>
      </c>
      <c r="O3784" t="n">
        <v>4.6</v>
      </c>
      <c r="P3784" t="n">
        <v>27</v>
      </c>
      <c r="R3784" t="inlineStr">
        <is>
          <t>InStock</t>
        </is>
      </c>
      <c r="S3784" t="inlineStr">
        <is>
          <t>undefined</t>
        </is>
      </c>
      <c r="T3784" t="inlineStr">
        <is>
          <t>5386082484392</t>
        </is>
      </c>
    </row>
    <row r="3785" ht="87" customHeight="1">
      <c r="A3785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3785" s="2">
        <f>HYPERLINK("https://edmondsonsupply.com/products/diablo-tools-d0624x-6-1-2-in-24-tooth-framing-saw-blade", "https://edmondsonsupply.com/products/diablo-tools-d0624x-6-1-2-in-24-tooth-framing-saw-blade")</f>
        <v/>
      </c>
      <c r="C3785" t="inlineStr">
        <is>
          <t>Diablo Tools D0624X 6-1/2 in. 24-Tooth Framing Saw Blade</t>
        </is>
      </c>
      <c r="D3785" t="inlineStr">
        <is>
          <t>Freud D0624X Diablo 6-1/2-Inch 24-Tooth ATB Framing Saw Blade 5/8-Inch Arbor (4 Pack)</t>
        </is>
      </c>
      <c r="E3785" s="2">
        <f>HYPERLINK("https://www.amazon.com/D0624X-Diablo-2-Inch-24-Tooth-Framing/dp/B0772PYWSJ/ref=sr_1_2?keywords=Diablo+Tools+D0624X+6-1%2F2+in.+24-Tooth+Framing+Saw+Blade&amp;qid=1694735025&amp;sr=8-2", "https://www.amazon.com/D0624X-Diablo-2-Inch-24-Tooth-Framing/dp/B0772PYWSJ/ref=sr_1_2?keywords=Diablo+Tools+D0624X+6-1%2F2+in.+24-Tooth+Framing+Saw+Blade&amp;qid=1694735025&amp;sr=8-2")</f>
        <v/>
      </c>
      <c r="F3785" t="inlineStr">
        <is>
          <t>B0772PYWSJ</t>
        </is>
      </c>
      <c r="G3785">
        <f>_xlfn.IMAGE("https://edmondsonsupply.com/cdn/shop/products/mfin0gl4ono6qztsnrth.webp?v=1678982694")</f>
        <v/>
      </c>
      <c r="H3785">
        <f>_xlfn.IMAGE("https://m.media-amazon.com/images/I/71s3EZsQVmL._AC_UL320_.jpg")</f>
        <v/>
      </c>
      <c r="K3785" t="inlineStr">
        <is>
          <t>11.97</t>
        </is>
      </c>
      <c r="L3785" t="n">
        <v>38.37</v>
      </c>
      <c r="M3785" s="1" t="inlineStr">
        <is>
          <t>220.55%</t>
        </is>
      </c>
      <c r="N3785" s="7" t="n">
        <v>25.04</v>
      </c>
      <c r="O3785" t="n">
        <v>4.8</v>
      </c>
      <c r="P3785" t="n">
        <v>173</v>
      </c>
      <c r="R3785" t="inlineStr">
        <is>
          <t>InStock</t>
        </is>
      </c>
      <c r="S3785" t="inlineStr">
        <is>
          <t>17.38</t>
        </is>
      </c>
      <c r="T3785" t="inlineStr">
        <is>
          <t>7962732855512</t>
        </is>
      </c>
    </row>
    <row r="3786" ht="87" customHeight="1">
      <c r="A3786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3786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3786" t="inlineStr">
        <is>
          <t>Klein Tools 646M Magnetic Nut Driver Set, 6-Inch Shafts, 2-Piece</t>
        </is>
      </c>
      <c r="D3786" t="inlineStr">
        <is>
          <t>Klein Tools 635-6 Tool Set, Heavy Duty Magnetic Nut Drivers SAE Sizes 1/4, 5/16, 3/8, 7/16, 1/2, and 9/16-Inch Hex, 6-Inch, 6-Piece</t>
        </is>
      </c>
      <c r="E3786" s="2">
        <f>HYPERLINK("https://www.amazon.com/Heavy-Duty-Driver-6-Piece-Klein-Tools/dp/B01DKNDHGM/ref=sr_1_10?keywords=Klein+Tools+646M+Magnetic+Nut+Driver+Set%2C+6-Inch+Shafts%2C+2-Piece&amp;qid=1694735354&amp;sr=8-10", "https://www.amazon.com/Heavy-Duty-Driver-6-Piece-Klein-Tools/dp/B01DKNDHGM/ref=sr_1_10?keywords=Klein+Tools+646M+Magnetic+Nut+Driver+Set%2C+6-Inch+Shafts%2C+2-Piece&amp;qid=1694735354&amp;sr=8-10")</f>
        <v/>
      </c>
      <c r="F3786" t="inlineStr">
        <is>
          <t>B01DKNDHGM</t>
        </is>
      </c>
      <c r="G3786">
        <f>_xlfn.IMAGE("https://edmondsonsupply.com/cdn/shop/products/646m.jpg?v=1587146592")</f>
        <v/>
      </c>
      <c r="H3786">
        <f>_xlfn.IMAGE("https://m.media-amazon.com/images/I/61eypCy1RLL._AC_UL320_.jpg")</f>
        <v/>
      </c>
      <c r="K3786" t="inlineStr">
        <is>
          <t>24.99</t>
        </is>
      </c>
      <c r="L3786" t="n">
        <v>79.98999999999999</v>
      </c>
      <c r="M3786" s="1" t="inlineStr">
        <is>
          <t>220.09%</t>
        </is>
      </c>
      <c r="N3786" s="7" t="n">
        <v>25.02</v>
      </c>
      <c r="O3786" t="n">
        <v>4.7</v>
      </c>
      <c r="P3786" t="n">
        <v>943</v>
      </c>
      <c r="R3786" t="inlineStr">
        <is>
          <t>InStock</t>
        </is>
      </c>
      <c r="S3786" t="inlineStr">
        <is>
          <t>31.74</t>
        </is>
      </c>
      <c r="T3786" t="inlineStr">
        <is>
          <t>4469705932900</t>
        </is>
      </c>
    </row>
    <row r="3787" ht="87" customHeight="1">
      <c r="A3787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3787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3787" t="inlineStr">
        <is>
          <t>Klein Tools 646M Magnetic Nut Driver Set, 6-Inch Shafts, 2-Piece</t>
        </is>
      </c>
      <c r="D3787" t="inlineStr">
        <is>
          <t>Klein Tools 647M Tool Set, Magnetic Nut Drivers Sizes 3/16, 1/4, 5/16, 11/32, 3/8, 7/16, 1/2-Inch, 6-Inch Hollow Shafts, 7-Piece</t>
        </is>
      </c>
      <c r="E3787" s="2">
        <f>HYPERLINK("https://www.amazon.com/Klein-Tools-647M-Magnetic-7-Piece/dp/B000MKIUYQ/ref=sr_1_9?keywords=Klein+Tools+646M+Magnetic+Nut+Driver+Set%2C+6-Inch+Shafts%2C+2-Piece&amp;qid=1694735354&amp;sr=8-9", "https://www.amazon.com/Klein-Tools-647M-Magnetic-7-Piece/dp/B000MKIUYQ/ref=sr_1_9?keywords=Klein+Tools+646M+Magnetic+Nut+Driver+Set%2C+6-Inch+Shafts%2C+2-Piece&amp;qid=1694735354&amp;sr=8-9")</f>
        <v/>
      </c>
      <c r="F3787" t="inlineStr">
        <is>
          <t>B000MKIUYQ</t>
        </is>
      </c>
      <c r="G3787">
        <f>_xlfn.IMAGE("https://edmondsonsupply.com/cdn/shop/products/646m.jpg?v=1587146592")</f>
        <v/>
      </c>
      <c r="H3787">
        <f>_xlfn.IMAGE("https://m.media-amazon.com/images/I/61PNUE211uL._AC_UL320_.jpg")</f>
        <v/>
      </c>
      <c r="K3787" t="inlineStr">
        <is>
          <t>24.99</t>
        </is>
      </c>
      <c r="L3787" t="n">
        <v>79.98999999999999</v>
      </c>
      <c r="M3787" s="1" t="inlineStr">
        <is>
          <t>220.09%</t>
        </is>
      </c>
      <c r="N3787" s="7" t="n">
        <v>25.02</v>
      </c>
      <c r="O3787" t="n">
        <v>4.8</v>
      </c>
      <c r="P3787" t="n">
        <v>985</v>
      </c>
      <c r="R3787" t="inlineStr">
        <is>
          <t>InStock</t>
        </is>
      </c>
      <c r="S3787" t="inlineStr">
        <is>
          <t>31.74</t>
        </is>
      </c>
      <c r="T3787" t="inlineStr">
        <is>
          <t>4469705932900</t>
        </is>
      </c>
    </row>
    <row r="3788" ht="87" customHeight="1">
      <c r="A378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78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788" t="inlineStr">
        <is>
          <t>Diablo Tools DMAPL4220 5/8 in. x 6 in. x 8 in. Rebar Demon™ SDS-Plus 4-Cutter Full Carbide Head Hammer Bit</t>
        </is>
      </c>
      <c r="D3788" t="inlineStr">
        <is>
          <t>Diablo by Freud DMAMX1090 5/8 in. x 8 in. x 13 in. Rebar Demon SDS-Max 4-Cutter Full Carbide Head Hammer Bit</t>
        </is>
      </c>
      <c r="E3788" s="2">
        <f>HYPERLINK("https://www.amazon.com/Diablo-SDS-Max-4-Cutter-Carbide-Hammer/dp/B089LGB35P/ref=sr_1_2?keywords=Diablo+Tools+DMAPL4220+5%2F8+in.+x+6+in.+x+8+in.+Rebar+Demon%E2%84%A2+SDS-Plus+4-Cutter+Full+Carbide+Head+Hammer+Bit&amp;qid=1694735306&amp;sr=8-2", "https://www.amazon.com/Diablo-SDS-Max-4-Cutter-Carbide-Hammer/dp/B089LGB35P/ref=sr_1_2?keywords=Diablo+Tools+DMAPL4220+5%2F8+in.+x+6+in.+x+8+in.+Rebar+Demon%E2%84%A2+SDS-Plus+4-Cutter+Full+Carbide+Head+Hammer+Bit&amp;qid=1694735306&amp;sr=8-2")</f>
        <v/>
      </c>
      <c r="F3788" t="inlineStr">
        <is>
          <t>B089LGB35P</t>
        </is>
      </c>
      <c r="G3788">
        <f>_xlfn.IMAGE("https://edmondsonsupply.com/cdn/shop/products/DMAPL4220.jpg?v=1633030355")</f>
        <v/>
      </c>
      <c r="H3788">
        <f>_xlfn.IMAGE("https://m.media-amazon.com/images/I/61Wr1t8FMOL._AC_UL320_.jpg")</f>
        <v/>
      </c>
      <c r="K3788" t="inlineStr">
        <is>
          <t>10.97</t>
        </is>
      </c>
      <c r="L3788" t="n">
        <v>35.1</v>
      </c>
      <c r="M3788" s="1" t="inlineStr">
        <is>
          <t>219.96%</t>
        </is>
      </c>
      <c r="N3788" s="7" t="n">
        <v>25.01</v>
      </c>
      <c r="O3788" t="n">
        <v>4.2</v>
      </c>
      <c r="P3788" t="n">
        <v>5</v>
      </c>
      <c r="R3788" t="inlineStr">
        <is>
          <t>InStock</t>
        </is>
      </c>
      <c r="S3788" t="inlineStr">
        <is>
          <t>17.16</t>
        </is>
      </c>
      <c r="T3788" t="inlineStr">
        <is>
          <t>5286142148776</t>
        </is>
      </c>
    </row>
    <row r="3789" hidden="1" ht="15.75" customHeight="1">
      <c r="A3789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3789" s="2">
        <f>HYPERLINK("https://edmondsonsupply.com/products/klein-tools-jth9m3-3-mm-hex-key-with-journeyman-t-handle-9-inch", "https://edmondsonsupply.com/products/klein-tools-jth9m3-3-mm-hex-key-with-journeyman-t-handle-9-inch")</f>
        <v/>
      </c>
      <c r="C3789" t="inlineStr">
        <is>
          <t>Klein Tools JTH9M3 3 mm Hex Key with Journeyman T-Handle, 9-Inch</t>
        </is>
      </c>
      <c r="D3789" t="inlineStr">
        <is>
          <t>Klein Tools JTH6E09BE 9/64-Inch Ball-End Hex Key with Journeyman T-Handle, 6-Inch (Pack of 2)</t>
        </is>
      </c>
      <c r="E3789" s="2">
        <f>HYPERLINK("https://www.amazon.com/Klein-Tools-JTH6E09BE-Ball-End-Journeyman/dp/B0CGLVC75M/ref=sr_1_32?keywords=Klein+Tools+JTH9M3+3+mm+Hex+Key+with+Journeyman+T-Handle%2C+9-Inch&amp;qid=1694735249&amp;sr=8-32", "https://www.amazon.com/Klein-Tools-JTH6E09BE-Ball-End-Journeyman/dp/B0CGLVC75M/ref=sr_1_32?keywords=Klein+Tools+JTH9M3+3+mm+Hex+Key+with+Journeyman+T-Handle%2C+9-Inch&amp;qid=1694735249&amp;sr=8-32")</f>
        <v/>
      </c>
      <c r="F3789" t="inlineStr">
        <is>
          <t>B0CGLVC75M</t>
        </is>
      </c>
      <c r="G3789">
        <f>_xludf.IMAGE("https://edmondsonsupply.com/cdn/shop/products/jth9m.jpg?v=1633030702")</f>
        <v/>
      </c>
      <c r="H3789">
        <f>_xludf.IMAGE("https://m.media-amazon.com/images/I/41bN+I19ReL._AC_UL320_.jpg")</f>
        <v/>
      </c>
      <c r="K3789" t="inlineStr">
        <is>
          <t>4.49</t>
        </is>
      </c>
      <c r="L3789" t="n">
        <v>14.36</v>
      </c>
      <c r="M3789" s="1" t="inlineStr">
        <is>
          <t>219.82%</t>
        </is>
      </c>
      <c r="N3789" s="1" t="n">
        <v>25.01</v>
      </c>
      <c r="O3789" t="n">
        <v>4.9</v>
      </c>
      <c r="P3789" t="n">
        <v>65</v>
      </c>
      <c r="R3789" t="inlineStr">
        <is>
          <t>InStock</t>
        </is>
      </c>
      <c r="S3789" t="inlineStr">
        <is>
          <t>6.82</t>
        </is>
      </c>
      <c r="T3789" t="inlineStr">
        <is>
          <t>5848344035496</t>
        </is>
      </c>
    </row>
    <row r="3790" hidden="1" ht="15.75" customHeight="1">
      <c r="A3790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3790" s="2">
        <f>HYPERLINK("https://edmondsonsupply.com/products/klein-tools-jth9m5-4-mm-hex-key-journeyman-t-handle-9-inch", "https://edmondsonsupply.com/products/klein-tools-jth9m5-4-mm-hex-key-journeyman-t-handle-9-inch")</f>
        <v/>
      </c>
      <c r="C3790" t="inlineStr">
        <is>
          <t>Klein Tools JTH9M4 4 mm Hex Key, Journeyman T-Handle, 9-Inch</t>
        </is>
      </c>
      <c r="D3790" t="inlineStr">
        <is>
          <t>Klein Tools JTH6E09BE 9/64-Inch Ball-End Hex Key with Journeyman T-Handle, 6-Inch (Pack of 2)</t>
        </is>
      </c>
      <c r="E3790" s="2">
        <f>HYPERLINK("https://www.amazon.com/Klein-Tools-JTH6E09BE-Ball-End-Journeyman/dp/B0CGLVC75M/ref=sr_1_37?keywords=Klein+Tools+JTH9M4+4+mm+Hex+Key%2C+Journeyman+T-Handle%2C+9-Inch&amp;qid=1694735170&amp;sr=8-37", "https://www.amazon.com/Klein-Tools-JTH6E09BE-Ball-End-Journeyman/dp/B0CGLVC75M/ref=sr_1_37?keywords=Klein+Tools+JTH9M4+4+mm+Hex+Key%2C+Journeyman+T-Handle%2C+9-Inch&amp;qid=1694735170&amp;sr=8-37")</f>
        <v/>
      </c>
      <c r="F3790" t="inlineStr">
        <is>
          <t>B0CGLVC75M</t>
        </is>
      </c>
      <c r="G3790">
        <f>_xludf.IMAGE("https://edmondsonsupply.com/cdn/shop/products/jth9m_fa8a641d-d03f-4191-ab24-b9045963e4f7.jpg?v=1640191121")</f>
        <v/>
      </c>
      <c r="H3790">
        <f>_xludf.IMAGE("https://m.media-amazon.com/images/I/41bN+I19ReL._AC_UL320_.jpg")</f>
        <v/>
      </c>
      <c r="K3790" t="inlineStr">
        <is>
          <t>4.49</t>
        </is>
      </c>
      <c r="L3790" t="n">
        <v>14.36</v>
      </c>
      <c r="M3790" s="1" t="inlineStr">
        <is>
          <t>219.82%</t>
        </is>
      </c>
      <c r="N3790" s="1" t="n">
        <v>25</v>
      </c>
      <c r="O3790" t="n">
        <v>4.9</v>
      </c>
      <c r="P3790" t="n">
        <v>65</v>
      </c>
      <c r="R3790" t="inlineStr">
        <is>
          <t>InStock</t>
        </is>
      </c>
      <c r="S3790" t="inlineStr">
        <is>
          <t>6.8</t>
        </is>
      </c>
      <c r="T3790" t="inlineStr">
        <is>
          <t>7555980656856</t>
        </is>
      </c>
    </row>
    <row r="3791" hidden="1" ht="15.75" customHeight="1">
      <c r="A3791" s="2">
        <f>HYPERLINK("https://edmondsonsupply.com/collections/electricians-tools/products/klein-tools-jth9e09-9-64-inch-hex-key-journeyman%E2%84%A2-t-handle-9-inch", "https://edmondsonsupply.com/collections/electricians-tools/products/klein-tools-jth9e09-9-64-inch-hex-key-journeyman%E2%84%A2-t-handle-9-inch")</f>
        <v/>
      </c>
      <c r="B3791" s="2">
        <f>HYPERLINK("https://edmondsonsupply.com/products/klein-tools-jth9e09-9-64-inch-hex-key-journeyman%e2%84%a2-t-handle-9-inch", "https://edmondsonsupply.com/products/klein-tools-jth9e09-9-64-inch-hex-key-journeyman%e2%84%a2-t-handle-9-inch")</f>
        <v/>
      </c>
      <c r="C3791" t="inlineStr">
        <is>
          <t>Klein Tools JTH9E09 9/64-Inch Hex Key, Journeyman™ T-Handle, 9-Inch</t>
        </is>
      </c>
      <c r="D3791" t="inlineStr">
        <is>
          <t>Klein Tools JTH6E09BE 9/64-Inch Ball-End Hex Key with Journeyman T-Handle, 6-Inch (Pack of 2)</t>
        </is>
      </c>
      <c r="E3791" s="2">
        <f>HYPERLINK("https://www.amazon.com/Klein-Tools-JTH6E09BE-Ball-End-Journeyman/dp/B0CGLVC75M/ref=sr_1_6?keywords=Klein+Tools+JTH9E09+9%2F64-Inch+Hex+Key%2C+Journeyman%E2%84%A2+T-Handle%2C+9-Inch&amp;qid=1694734995&amp;sr=8-6", "https://www.amazon.com/Klein-Tools-JTH6E09BE-Ball-End-Journeyman/dp/B0CGLVC75M/ref=sr_1_6?keywords=Klein+Tools+JTH9E09+9%2F64-Inch+Hex+Key%2C+Journeyman%E2%84%A2+T-Handle%2C+9-Inch&amp;qid=1694734995&amp;sr=8-6")</f>
        <v/>
      </c>
      <c r="F3791" t="inlineStr">
        <is>
          <t>B0CGLVC75M</t>
        </is>
      </c>
      <c r="G3791">
        <f>_xludf.IMAGE("https://edmondsonsupply.com/cdn/shop/files/jth6e15_a82bd56b-ad18-4460-9ae1-33c48a111839.jpg?v=1684942468")</f>
        <v/>
      </c>
      <c r="H3791">
        <f>_xludf.IMAGE("https://m.media-amazon.com/images/I/41bN+I19ReL._AC_UL320_.jpg")</f>
        <v/>
      </c>
      <c r="K3791" t="inlineStr">
        <is>
          <t>4.49</t>
        </is>
      </c>
      <c r="L3791" t="n">
        <v>14.36</v>
      </c>
      <c r="M3791" s="1" t="inlineStr">
        <is>
          <t>219.82%</t>
        </is>
      </c>
      <c r="N3791" s="1" t="n">
        <v>25</v>
      </c>
      <c r="O3791" t="n">
        <v>4.9</v>
      </c>
      <c r="P3791" t="n">
        <v>65</v>
      </c>
      <c r="R3791" t="inlineStr">
        <is>
          <t>InStock</t>
        </is>
      </c>
      <c r="S3791" t="inlineStr">
        <is>
          <t>6.8</t>
        </is>
      </c>
      <c r="T3791" t="inlineStr">
        <is>
          <t>7995440595160</t>
        </is>
      </c>
    </row>
    <row r="3792" hidden="1" ht="15.75" customHeight="1">
      <c r="A3792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3792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3792" t="inlineStr">
        <is>
          <t>Klein Tools JTH9E08 1/8-Inch Hex Key with Journeyman T-Handle, 9-Inch</t>
        </is>
      </c>
      <c r="D3792" t="inlineStr">
        <is>
          <t>Klein Tools JTH6E09BE 9/64-Inch Ball-End Hex Key with Journeyman T-Handle, 6-Inch (Pack of 2)</t>
        </is>
      </c>
      <c r="E3792" s="2">
        <f>HYPERLINK("https://www.amazon.com/Klein-Tools-JTH6E09BE-Ball-End-Journeyman/dp/B0CGLVC75M/ref=sr_1_21?keywords=Klein+Tools+JTH9E08+1%2F8-Inch+Hex+Key+with+Journeyman+T-Handle%2C+9-Inch&amp;qid=1694735421&amp;sr=8-21", "https://www.amazon.com/Klein-Tools-JTH6E09BE-Ball-End-Journeyman/dp/B0CGLVC75M/ref=sr_1_21?keywords=Klein+Tools+JTH9E08+1%2F8-Inch+Hex+Key+with+Journeyman+T-Handle%2C+9-Inch&amp;qid=1694735421&amp;sr=8-21")</f>
        <v/>
      </c>
      <c r="F3792" t="inlineStr">
        <is>
          <t>B0CGLVC75M</t>
        </is>
      </c>
      <c r="G3792">
        <f>_xludf.IMAGE("https://edmondsonsupply.com/cdn/shop/products/jth6e15_f2733d2c-ab65-41d7-8597-f1dfd8fcaabf.jpg?v=1587142807")</f>
        <v/>
      </c>
      <c r="H3792">
        <f>_xludf.IMAGE("https://m.media-amazon.com/images/I/41bN+I19ReL._AC_UL320_.jpg")</f>
        <v/>
      </c>
      <c r="K3792" t="inlineStr">
        <is>
          <t>4.49</t>
        </is>
      </c>
      <c r="L3792" t="n">
        <v>14.36</v>
      </c>
      <c r="M3792" s="1" t="inlineStr">
        <is>
          <t>219.82%</t>
        </is>
      </c>
      <c r="N3792" s="1" t="n">
        <v>25</v>
      </c>
      <c r="O3792" t="n">
        <v>4.9</v>
      </c>
      <c r="P3792" t="n">
        <v>65</v>
      </c>
      <c r="R3792" t="inlineStr">
        <is>
          <t>InStock</t>
        </is>
      </c>
      <c r="S3792" t="inlineStr">
        <is>
          <t>6.82</t>
        </is>
      </c>
      <c r="T3792" t="inlineStr">
        <is>
          <t>4352186810468</t>
        </is>
      </c>
    </row>
    <row r="3793" hidden="1" ht="15.75" customHeight="1">
      <c r="A3793" s="2">
        <f>HYPERLINK("https://edmondsonsupply.com/collections/electricians-tools/products/klein-tools-66073-flip-impact-socket-15-16-and-7-8-inch", "https://edmondsonsupply.com/collections/electricians-tools/products/klein-tools-66073-flip-impact-socket-15-16-and-7-8-inch")</f>
        <v/>
      </c>
      <c r="B3793" s="2">
        <f>HYPERLINK("https://edmondsonsupply.com/products/klein-tools-66073-flip-impact-socket-15-16-and-7-8-inch", "https://edmondsonsupply.com/products/klein-tools-66073-flip-impact-socket-15-16-and-7-8-inch")</f>
        <v/>
      </c>
      <c r="C3793" t="inlineStr">
        <is>
          <t>Klein Tools 66073 Flip Impact Socket, 15/16 and 7/8-Inch</t>
        </is>
      </c>
      <c r="D3793" t="inlineStr">
        <is>
          <t>Klein Tools 66064 2-in-1 Deep Impact Socket, 6-Point 7/8-Inch and 11/16-Inch Hex Sizes, Use with Impact Wrenches BAT20-CW, BAT20-CW</t>
        </is>
      </c>
      <c r="E3793" s="2">
        <f>HYPERLINK("https://www.amazon.com/Klein-Tools-66064-Wrenches-BAT20-CW/dp/B09NDPYXGT/ref=sr_1_15?keywords=Klein+Tools+66073+Flip+Impact+Socket%2C+15%2F16+and+7%2F8-Inch&amp;qid=1694735125&amp;sr=8-15", "https://www.amazon.com/Klein-Tools-66064-Wrenches-BAT20-CW/dp/B09NDPYXGT/ref=sr_1_15?keywords=Klein+Tools+66073+Flip+Impact+Socket%2C+15%2F16+and+7%2F8-Inch&amp;qid=1694735125&amp;sr=8-15")</f>
        <v/>
      </c>
      <c r="F3793" t="inlineStr">
        <is>
          <t>B09NDPYXGT</t>
        </is>
      </c>
      <c r="G3793">
        <f>_xludf.IMAGE("https://edmondsonsupply.com/cdn/shop/products/66073.jpg?v=1663250093")</f>
        <v/>
      </c>
      <c r="H3793">
        <f>_xludf.IMAGE("https://m.media-amazon.com/images/I/61RVGA+UoZL._AC_UL320_.jpg")</f>
        <v/>
      </c>
      <c r="K3793" t="inlineStr">
        <is>
          <t>15.0</t>
        </is>
      </c>
      <c r="L3793" t="n">
        <v>47.97</v>
      </c>
      <c r="M3793" s="1" t="inlineStr">
        <is>
          <t>219.80%</t>
        </is>
      </c>
      <c r="N3793" s="1" t="n">
        <v>25</v>
      </c>
      <c r="O3793" t="n">
        <v>1</v>
      </c>
      <c r="P3793" t="n">
        <v>1</v>
      </c>
      <c r="R3793" t="inlineStr">
        <is>
          <t>InStock</t>
        </is>
      </c>
      <c r="S3793" t="inlineStr">
        <is>
          <t>21.0</t>
        </is>
      </c>
      <c r="T3793" t="inlineStr">
        <is>
          <t>7817375547608</t>
        </is>
      </c>
    </row>
    <row r="3794" ht="87" customHeight="1">
      <c r="A3794" s="2">
        <f>HYPERLINK("https://edmondsonsupply.com/collections/electricians-tools/products/klein-tools-55918-tradesman-pro%E2%84%A2-modular-tool-belt-m", "https://edmondsonsupply.com/collections/electricians-tools/products/klein-tools-55918-tradesman-pro%E2%84%A2-modular-tool-belt-m")</f>
        <v/>
      </c>
      <c r="B3794" s="2">
        <f>HYPERLINK("https://edmondsonsupply.com/products/klein-tools-55918-tradesman-pro%e2%84%a2-modular-tool-belt-m", "https://edmondsonsupply.com/products/klein-tools-55918-tradesman-pro%e2%84%a2-modular-tool-belt-m")</f>
        <v/>
      </c>
      <c r="C3794" t="inlineStr">
        <is>
          <t>Klein Tools 55918 Tradesman Pro™ Modular Tool Belt - M</t>
        </is>
      </c>
      <c r="D3794" t="inlineStr">
        <is>
          <t>Klein Tools 55427 Tradesman Pro Electrician's Padded Tool Belt and Tool Pouch Combo for Long-wear Comfort and Durability Size Medium Black</t>
        </is>
      </c>
      <c r="E3794" s="2">
        <f>HYPERLINK("https://www.amazon.com/Tradesman-Electricians-Klein-Tools-55427/dp/B00BZXA2VI/ref=sr_1_2?keywords=Klein+Tools+55918+Tradesman+Pro%E2%84%A2+Modular+Tool+Belt+-+M&amp;qid=1694735347&amp;sr=8-2", "https://www.amazon.com/Tradesman-Electricians-Klein-Tools-55427/dp/B00BZXA2VI/ref=sr_1_2?keywords=Klein+Tools+55918+Tradesman+Pro%E2%84%A2+Modular+Tool+Belt+-+M&amp;qid=1694735347&amp;sr=8-2")</f>
        <v/>
      </c>
      <c r="F3794" t="inlineStr">
        <is>
          <t>B00BZXA2VI</t>
        </is>
      </c>
      <c r="G3794">
        <f>_xlfn.IMAGE("https://edmondsonsupply.com/cdn/shop/products/55919.jpg?v=1587146701")</f>
        <v/>
      </c>
      <c r="H3794">
        <f>_xlfn.IMAGE("https://m.media-amazon.com/images/I/61PDnocEkaL._AC_UL320_.jpg")</f>
        <v/>
      </c>
      <c r="K3794" t="inlineStr">
        <is>
          <t>35.99</t>
        </is>
      </c>
      <c r="L3794" t="n">
        <v>114.99</v>
      </c>
      <c r="M3794" s="1" t="inlineStr">
        <is>
          <t>219.51%</t>
        </is>
      </c>
      <c r="N3794" s="7" t="n">
        <v>24.98</v>
      </c>
      <c r="O3794" t="n">
        <v>4.3</v>
      </c>
      <c r="P3794" t="n">
        <v>527</v>
      </c>
      <c r="R3794" t="inlineStr">
        <is>
          <t>InStock</t>
        </is>
      </c>
      <c r="S3794" t="inlineStr">
        <is>
          <t>50.58</t>
        </is>
      </c>
      <c r="T3794" t="inlineStr">
        <is>
          <t>4498958254180</t>
        </is>
      </c>
    </row>
    <row r="3795" ht="87" customHeight="1">
      <c r="A3795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3795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3795" t="inlineStr">
        <is>
          <t>Diablo Tools DMARG1100 5/16 in. x 4 in. x 6 in. SPEEDemon™ Red Granite Carbide Tipped Hammer Drill Bit</t>
        </is>
      </c>
      <c r="D3795" t="inlineStr">
        <is>
          <t>Diablo by Freud DMARG1030-P5 3/16""x4""x6"" SPEEDemon Red Granite Carbide Tipped Hammer Drill Bit (5-Pk)"</t>
        </is>
      </c>
      <c r="E3795" s="2">
        <f>HYPERLINK("https://www.amazon.com/Diablo-DMARG1030-P5-SPEEDemon-Granite-Carbide/dp/B089KWB1GK/ref=sr_1_13?keywords=Diablo+Tools+DMARG1100+5%2F16+in.+x+4+in.+x+6+in.+SPEEDemon%E2%84%A2+Red+Granite+Carbide+Tipped+Hammer+Drill+Bit&amp;qid=1694735277&amp;sr=8-13", "https://www.amazon.com/Diablo-DMARG1030-P5-SPEEDemon-Granite-Carbide/dp/B089KWB1GK/ref=sr_1_13?keywords=Diablo+Tools+DMARG1100+5%2F16+in.+x+4+in.+x+6+in.+SPEEDemon%E2%84%A2+Red+Granite+Carbide+Tipped+Hammer+Drill+Bit&amp;qid=1694735277&amp;sr=8-13")</f>
        <v/>
      </c>
      <c r="F3795" t="inlineStr">
        <is>
          <t>B089KWB1GK</t>
        </is>
      </c>
      <c r="G3795">
        <f>_xlfn.IMAGE("https://edmondsonsupply.com/cdn/shop/products/DMARG1100_Main-Image20200702.png?v=1633030510")</f>
        <v/>
      </c>
      <c r="H3795">
        <f>_xlfn.IMAGE("https://m.media-amazon.com/images/I/61+BAExWexL._AC_UL320_.jpg")</f>
        <v/>
      </c>
      <c r="K3795" t="inlineStr">
        <is>
          <t>5.28</t>
        </is>
      </c>
      <c r="L3795" t="n">
        <v>16.86</v>
      </c>
      <c r="M3795" s="1" t="inlineStr">
        <is>
          <t>219.32%</t>
        </is>
      </c>
      <c r="N3795" s="7" t="n">
        <v>24.96</v>
      </c>
      <c r="O3795" t="n">
        <v>4.9</v>
      </c>
      <c r="P3795" t="n">
        <v>18</v>
      </c>
      <c r="R3795" t="inlineStr">
        <is>
          <t>InStock</t>
        </is>
      </c>
      <c r="S3795" t="inlineStr">
        <is>
          <t>undefined</t>
        </is>
      </c>
      <c r="T3795" t="inlineStr">
        <is>
          <t>5386452861096</t>
        </is>
      </c>
    </row>
    <row r="3796" ht="87" customHeight="1">
      <c r="A3796" s="2">
        <f>HYPERLINK("https://edmondsonsupply.com/collections/electricians-tools/products/veto-pro-pac-tp4-tool-pouch", "https://edmondsonsupply.com/collections/electricians-tools/products/veto-pro-pac-tp4-tool-pouch")</f>
        <v/>
      </c>
      <c r="B3796" s="2">
        <f>HYPERLINK("https://edmondsonsupply.com/products/veto-pro-pac-tp4-tool-pouch", "https://edmondsonsupply.com/products/veto-pro-pac-tp4-tool-pouch")</f>
        <v/>
      </c>
      <c r="C3796" t="inlineStr">
        <is>
          <t>Veto Pro Pac TP3 Tool Bag</t>
        </is>
      </c>
      <c r="D3796" t="inlineStr">
        <is>
          <t>VETO PRO PAC TECH-MCT Tool Bag (Original)</t>
        </is>
      </c>
      <c r="E3796" s="2">
        <f>HYPERLINK("https://www.amazon.com/VETO-PRO-PAC-TECH-MCT-Tool/dp/B01CENNFYS/ref=sr_1_4?keywords=Veto+Pro+Pac+TP3+Tool+Bag&amp;qid=1694735180&amp;sr=8-4", "https://www.amazon.com/VETO-PRO-PAC-TECH-MCT-Tool/dp/B01CENNFYS/ref=sr_1_4?keywords=Veto+Pro+Pac+TP3+Tool+Bag&amp;qid=1694735180&amp;sr=8-4")</f>
        <v/>
      </c>
      <c r="F3796" t="inlineStr">
        <is>
          <t>B01CENNFYS</t>
        </is>
      </c>
      <c r="G3796">
        <f>_xlfn.IMAGE("https://edmondsonsupply.com/cdn/shop/products/TP3_1.jpg?v=1587144391")</f>
        <v/>
      </c>
      <c r="H3796">
        <f>_xlfn.IMAGE("https://m.media-amazon.com/images/I/61GanfvVX6L._AC_UL320_.jpg")</f>
        <v/>
      </c>
      <c r="K3796" t="inlineStr">
        <is>
          <t>59.99</t>
        </is>
      </c>
      <c r="L3796" t="n">
        <v>189.95</v>
      </c>
      <c r="M3796" s="1" t="inlineStr">
        <is>
          <t>216.64%</t>
        </is>
      </c>
      <c r="N3796" s="7" t="n">
        <v>24.91</v>
      </c>
      <c r="O3796" t="n">
        <v>4.8</v>
      </c>
      <c r="P3796" t="n">
        <v>2081</v>
      </c>
      <c r="R3796" t="inlineStr">
        <is>
          <t>InStock</t>
        </is>
      </c>
      <c r="S3796" t="inlineStr">
        <is>
          <t>undefined</t>
        </is>
      </c>
      <c r="T3796" t="inlineStr">
        <is>
          <t>3561762816100</t>
        </is>
      </c>
    </row>
    <row r="3797" ht="87" customHeight="1">
      <c r="A3797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3797" s="2">
        <f>HYPERLINK("https://edmondsonsupply.com/products/klein-tools-ncvt1xt-non-contact-voltage-tester-70-to-1000v-ac", "https://edmondsonsupply.com/products/klein-tools-ncvt1xt-non-contact-voltage-tester-70-to-1000v-ac")</f>
        <v/>
      </c>
      <c r="C3797" t="inlineStr">
        <is>
          <t>Klein Tools NCVT1XT Non-Contact Voltage Tester, 70 to 1000V AC</t>
        </is>
      </c>
      <c r="D3797" t="inlineStr">
        <is>
          <t>Klein Tools NCVT-4IR Non-Contact Volt Tester, 12-1000V AC Pen with IR Thermometer -22 to 482 deg F, LED and Audible Alarms, Pocket Clip &amp; 14-in-1 Adjustable Screwdriver</t>
        </is>
      </c>
      <c r="E3797" s="2">
        <f>HYPERLINK("https://www.amazon.com/Klein-Tools-NCVT-4IR-Non-Contact-Tester/dp/B0BD41QXCP/ref=sr_1_6?keywords=Klein+Tools+NCVT1XT+Non-Contact+Voltage+Tester%2C+70+to+1000V+AC&amp;qid=1694735046&amp;sr=8-6", "https://www.amazon.com/Klein-Tools-NCVT-4IR-Non-Contact-Tester/dp/B0BD41QXCP/ref=sr_1_6?keywords=Klein+Tools+NCVT1XT+Non-Contact+Voltage+Tester%2C+70+to+1000V+AC&amp;qid=1694735046&amp;sr=8-6")</f>
        <v/>
      </c>
      <c r="F3797" t="inlineStr">
        <is>
          <t>B0BD41QXCP</t>
        </is>
      </c>
      <c r="G3797">
        <f>_xlfn.IMAGE("https://edmondsonsupply.com/cdn/shop/products/ncvt1xt.jpg?v=1674496568")</f>
        <v/>
      </c>
      <c r="H3797">
        <f>_xlfn.IMAGE("https://m.media-amazon.com/images/I/418deU9NDfL._AC_UL320_.jpg")</f>
        <v/>
      </c>
      <c r="K3797" t="inlineStr">
        <is>
          <t>19.97</t>
        </is>
      </c>
      <c r="L3797" t="n">
        <v>63.22</v>
      </c>
      <c r="M3797" s="1" t="inlineStr">
        <is>
          <t>216.57%</t>
        </is>
      </c>
      <c r="N3797" s="7" t="n">
        <v>24.59</v>
      </c>
      <c r="O3797" t="n">
        <v>5</v>
      </c>
      <c r="P3797" t="n">
        <v>1</v>
      </c>
      <c r="R3797" t="inlineStr">
        <is>
          <t>InStock</t>
        </is>
      </c>
      <c r="S3797" t="inlineStr">
        <is>
          <t>26.32</t>
        </is>
      </c>
      <c r="T3797" t="inlineStr">
        <is>
          <t>7931947155672</t>
        </is>
      </c>
    </row>
    <row r="3798" ht="87" customHeight="1">
      <c r="A3798" s="2">
        <f>HYPERLINK("https://edmondsonsupply.com/collections/electricians-tools/products/diablo-tools-dmapl4270-27-32-in-x-8-in-x-10-in-rebar-demon%E2%84%A2-sds-plus-4-cutter-full-carbide-head-hammer-bit", "https://edmondsonsupply.com/collections/electricians-tools/products/diablo-tools-dmapl4270-27-32-in-x-8-in-x-10-in-rebar-demon%E2%84%A2-sds-plus-4-cutter-full-carbide-head-hammer-bit")</f>
        <v/>
      </c>
      <c r="B3798" s="2">
        <f>HYPERLINK("https://edmondsonsupply.com/products/diablo-tools-dmapl4270-27-32-in-x-8-in-x-10-in-rebar-demon%e2%84%a2-sds-plus-4-cutter-full-carbide-head-hammer-bit", "https://edmondsonsupply.com/products/diablo-tools-dmapl4270-27-32-in-x-8-in-x-10-in-rebar-demon%e2%84%a2-sds-plus-4-cutter-full-carbide-head-hammer-bit")</f>
        <v/>
      </c>
      <c r="C3798" t="inlineStr">
        <is>
          <t>Diablo Tools DMAPL4270 27/32 in. x 8 in. x 10 in. Rebar Demon™ SDS‑Plus 4‑Cutter Full Carbide Head Hammer Bit</t>
        </is>
      </c>
      <c r="D3798" t="inlineStr">
        <is>
          <t>Diablo DMAMX1110 5/8 in. x 24 in. x 29 in. Rebar Demon™ SDS-Max 4-Cutter Full Carbide Head Hammer Bit</t>
        </is>
      </c>
      <c r="E3798" s="2">
        <f>HYPERLINK("https://www.amazon.com/Diablo-SDS-Max-4-Cutter-Carbide-Hammer/dp/B089LJ9GHW/ref=sr_1_29?keywords=Diablo+Tools+DMAPL4270+27%2F32+in.+x+8+in.+x+10+in.+Rebar+Demon%E2%84%A2+SDS%E2%80%91Plus+4%E2%80%91Cutter+Full+Carbide+Head+Hammer+Bit&amp;qid=1694735275&amp;sr=8-29", "https://www.amazon.com/Diablo-SDS-Max-4-Cutter-Carbide-Hammer/dp/B089LJ9GHW/ref=sr_1_29?keywords=Diablo+Tools+DMAPL4270+27%2F32+in.+x+8+in.+x+10+in.+Rebar+Demon%E2%84%A2+SDS%E2%80%91Plus+4%E2%80%91Cutter+Full+Carbide+Head+Hammer+Bit&amp;qid=1694735275&amp;sr=8-29")</f>
        <v/>
      </c>
      <c r="F3798" t="inlineStr">
        <is>
          <t>B089LJ9GHW</t>
        </is>
      </c>
      <c r="G3798">
        <f>_xlfn.IMAGE("https://edmondsonsupply.com/cdn/shop/products/DMAPL4270_Main-Image20200701.png?v=1633030522")</f>
        <v/>
      </c>
      <c r="H3798">
        <f>_xlfn.IMAGE("https://m.media-amazon.com/images/I/61vWAd-z8eL._AC_UL320_.jpg")</f>
        <v/>
      </c>
      <c r="K3798" t="inlineStr">
        <is>
          <t>24.97</t>
        </is>
      </c>
      <c r="L3798" t="n">
        <v>78.98999999999999</v>
      </c>
      <c r="M3798" s="1" t="inlineStr">
        <is>
          <t>216.34%</t>
        </is>
      </c>
      <c r="N3798" s="7" t="n">
        <v>24.43</v>
      </c>
      <c r="O3798" t="n">
        <v>4.7</v>
      </c>
      <c r="P3798" t="n">
        <v>4</v>
      </c>
      <c r="R3798" t="inlineStr">
        <is>
          <t>InStock</t>
        </is>
      </c>
      <c r="S3798" t="inlineStr">
        <is>
          <t>38.89</t>
        </is>
      </c>
      <c r="T3798" t="inlineStr">
        <is>
          <t>5401122537640</t>
        </is>
      </c>
    </row>
    <row r="3799" ht="87" customHeight="1">
      <c r="A3799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3799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3799" t="inlineStr">
        <is>
          <t>Klein Tools NCVT-2P Dual Range Non-Contact Voltage Tester 12 - 1000V AC</t>
        </is>
      </c>
      <c r="D3799" t="inlineStr">
        <is>
          <t>Klein Tools NCVT-4IR Non-Contact Volt Tester, 12-1000V AC Pen with IR Thermometer -22 to 482 deg F &amp; Klein Tools ET310 AC Circuit Breaker Finder, Electric Tester with Integrated GFCI Outlet Tester</t>
        </is>
      </c>
      <c r="E3799" s="2">
        <f>HYPERLINK("https://www.amazon.com/Klein-Tools-Non-Contact-Thermometer-Integrated/dp/B0BM3TDBXK/ref=sr_1_15?keywords=Klein+Tools+NCVT-2P+Dual+Range+Non-Contact+Voltage+Tester+12+-+1000V+AC&amp;qid=1694735236&amp;sr=8-15", "https://www.amazon.com/Klein-Tools-Non-Contact-Thermometer-Integrated/dp/B0BM3TDBXK/ref=sr_1_15?keywords=Klein+Tools+NCVT-2P+Dual+Range+Non-Contact+Voltage+Tester+12+-+1000V+AC&amp;qid=1694735236&amp;sr=8-15")</f>
        <v/>
      </c>
      <c r="F3799" t="inlineStr">
        <is>
          <t>B0BM3TDBXK</t>
        </is>
      </c>
      <c r="G3799">
        <f>_xlfn.IMAGE("https://edmondsonsupply.com/cdn/shop/products/ncvt2p.jpg?v=1633030824")</f>
        <v/>
      </c>
      <c r="H3799">
        <f>_xlfn.IMAGE("https://m.media-amazon.com/images/I/51jvhfhaE+L._AC_UL320_.jpg")</f>
        <v/>
      </c>
      <c r="K3799" t="inlineStr">
        <is>
          <t>27.97</t>
        </is>
      </c>
      <c r="L3799" t="n">
        <v>88.42</v>
      </c>
      <c r="M3799" s="1" t="inlineStr">
        <is>
          <t>216.12%</t>
        </is>
      </c>
      <c r="N3799" s="7" t="n">
        <v>24.43</v>
      </c>
      <c r="O3799" t="n">
        <v>5</v>
      </c>
      <c r="P3799" t="n">
        <v>1</v>
      </c>
      <c r="R3799" t="inlineStr">
        <is>
          <t>InStock</t>
        </is>
      </c>
      <c r="S3799" t="inlineStr">
        <is>
          <t>35.76</t>
        </is>
      </c>
      <c r="T3799" t="inlineStr">
        <is>
          <t>6080875626669</t>
        </is>
      </c>
    </row>
    <row r="3800" ht="87" customHeight="1">
      <c r="A3800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3800" s="2">
        <f>HYPERLINK("https://edmondsonsupply.com/products/klein-tools-646-7-16-7-16-inch-nut-driver-6-inch-hollow-shaft", "https://edmondsonsupply.com/products/klein-tools-646-7-16-7-16-inch-nut-driver-6-inch-hollow-shaft")</f>
        <v/>
      </c>
      <c r="C3800" t="inlineStr">
        <is>
          <t>Klein Tools 646-7/16 7/16-Inch Nut Driver, 6-Inch Hollow Shaft</t>
        </is>
      </c>
      <c r="D3800" t="inlineStr">
        <is>
          <t>Klein Tools 32807MAG 7-in-1 Nut Driver, Magnetic Driver has SAE Hex Nut Sizes 1/4 to 9/16-Inch, Cushion Grip Handle for Added Torque</t>
        </is>
      </c>
      <c r="E3800" s="2">
        <f>HYPERLINK("https://www.amazon.com/Driver-Magnetic-Klein-Tools-32807MAG/dp/B07D4M51DQ/ref=sr_1_15?keywords=Klein+Tools+646-7%2F16+7%2F16-Inch+Nut+Driver%2C+6-Inch+Hollow+Shaft&amp;qid=1694735415&amp;sr=8-15", "https://www.amazon.com/Driver-Magnetic-Klein-Tools-32807MAG/dp/B07D4M51DQ/ref=sr_1_15?keywords=Klein+Tools+646-7%2F16+7%2F16-Inch+Nut+Driver%2C+6-Inch+Hollow+Shaft&amp;qid=1694735415&amp;sr=8-15")</f>
        <v/>
      </c>
      <c r="F3800" t="inlineStr">
        <is>
          <t>B07D4M51DQ</t>
        </is>
      </c>
      <c r="G3800">
        <f>_xlfn.IMAGE("https://edmondsonsupply.com/cdn/shop/products/646-1-2_64980020-d246-4b4b-829a-c848cc375d64.jpg?v=1587148603")</f>
        <v/>
      </c>
      <c r="H3800">
        <f>_xlfn.IMAGE("https://m.media-amazon.com/images/I/61gwAJBzDAL._AC_UL320_.jpg")</f>
        <v/>
      </c>
      <c r="K3800" t="inlineStr">
        <is>
          <t>9.49</t>
        </is>
      </c>
      <c r="L3800" t="n">
        <v>29.97</v>
      </c>
      <c r="M3800" s="1" t="inlineStr">
        <is>
          <t>215.81%</t>
        </is>
      </c>
      <c r="N3800" s="7" t="n">
        <v>24.41</v>
      </c>
      <c r="O3800" t="n">
        <v>4.7</v>
      </c>
      <c r="P3800" t="n">
        <v>9145</v>
      </c>
      <c r="R3800" t="inlineStr">
        <is>
          <t>InStock</t>
        </is>
      </c>
      <c r="S3800" t="inlineStr">
        <is>
          <t>14.42</t>
        </is>
      </c>
      <c r="T3800" t="inlineStr">
        <is>
          <t>4391246889060</t>
        </is>
      </c>
    </row>
    <row r="3801" ht="87" customHeight="1">
      <c r="A3801" s="2">
        <f>HYPERLINK("https://edmondsonsupply.com/collections/electricians-tools/products/klein-tools-jth9e10-5-32-inch-hex-key-journeyman-t-handle-9-inch", "https://edmondsonsupply.com/collections/electricians-tools/products/klein-tools-jth9e10-5-32-inch-hex-key-journeyman-t-handle-9-inch")</f>
        <v/>
      </c>
      <c r="B3801" s="2">
        <f>HYPERLINK("https://edmondsonsupply.com/products/klein-tools-jth9e10-5-32-inch-hex-key-journeyman-t-handle-9-inch", "https://edmondsonsupply.com/products/klein-tools-jth9e10-5-32-inch-hex-key-journeyman-t-handle-9-inch")</f>
        <v/>
      </c>
      <c r="C3801" t="inlineStr">
        <is>
          <t>Klein Tools JTH9E10 5/32-Inch Hex Key, Journeyman T-Handle, 9-Inch</t>
        </is>
      </c>
      <c r="D3801" t="inlineStr">
        <is>
          <t>Klein Tools JTH9E17 1/2-Inch Hex Key, Journeyman T-Handle, 9-Inch</t>
        </is>
      </c>
      <c r="E3801" s="2">
        <f>HYPERLINK("https://www.amazon.com/Journeyman-T-Handle-Klein-Tools-JTH9E17/dp/B004QV6NL4/ref=sr_1_5?keywords=Klein+Tools+JTH9E10+5%2F32-Inch+Hex+Key%2C+Journeyman+T-Handle%2C+9-Inch&amp;qid=1694735165&amp;sr=8-5", "https://www.amazon.com/Journeyman-T-Handle-Klein-Tools-JTH9E17/dp/B004QV6NL4/ref=sr_1_5?keywords=Klein+Tools+JTH9E10+5%2F32-Inch+Hex+Key%2C+Journeyman+T-Handle%2C+9-Inch&amp;qid=1694735165&amp;sr=8-5")</f>
        <v/>
      </c>
      <c r="F3801" t="inlineStr">
        <is>
          <t>B004QV6NL4</t>
        </is>
      </c>
      <c r="G3801">
        <f>_xlfn.IMAGE("https://edmondsonsupply.com/cdn/shop/products/jth9e12_37b16542-2f59-465e-8bba-0a543803dfd0.jpg?v=1647892900")</f>
        <v/>
      </c>
      <c r="H3801">
        <f>_xlfn.IMAGE("https://m.media-amazon.com/images/I/51Yb8h41vLL._AC_UL320_.jpg")</f>
        <v/>
      </c>
      <c r="K3801" t="inlineStr">
        <is>
          <t>7.6</t>
        </is>
      </c>
      <c r="L3801" t="n">
        <v>23.99</v>
      </c>
      <c r="M3801" s="1" t="inlineStr">
        <is>
          <t>215.66%</t>
        </is>
      </c>
      <c r="N3801" s="7" t="n">
        <v>24.33</v>
      </c>
      <c r="O3801" t="n">
        <v>4.8</v>
      </c>
      <c r="P3801" t="n">
        <v>193</v>
      </c>
      <c r="R3801" t="inlineStr">
        <is>
          <t>OutOfStock</t>
        </is>
      </c>
      <c r="S3801" t="inlineStr">
        <is>
          <t>undefined</t>
        </is>
      </c>
      <c r="T3801" t="inlineStr">
        <is>
          <t>7640873205976</t>
        </is>
      </c>
    </row>
    <row r="3802" ht="87" customHeight="1">
      <c r="A3802" s="2">
        <f>HYPERLINK("https://edmondsonsupply.com/collections/electricians-tools/products/channellock-3017", "https://edmondsonsupply.com/collections/electricians-tools/products/channellock-3017")</f>
        <v/>
      </c>
      <c r="B3802" s="2">
        <f>HYPERLINK("https://edmondsonsupply.com/products/channellock-3017", "https://edmondsonsupply.com/products/channellock-3017")</f>
        <v/>
      </c>
      <c r="C3802" t="inlineStr">
        <is>
          <t>Channellock 3017 8-Inch Long Nose Pliers</t>
        </is>
      </c>
      <c r="D3802" t="inlineStr">
        <is>
          <t>CHANNELLOCK 318I 8-inch XLT Combination Long Nose Pliers w/ 1000V Insulated Grip | Made in USA | Forged High Carbon Steel</t>
        </is>
      </c>
      <c r="E3802" s="2">
        <f>HYPERLINK("https://www.amazon.com/CHANNELLOCK-318I-8-inch-Combination-Insulated/dp/B000VZQ2BA/ref=sr_1_4?keywords=Channellock+3017+8-Inch+Long+Nose+Pliers&amp;qid=1694735304&amp;sr=8-4", "https://www.amazon.com/CHANNELLOCK-318I-8-inch-Combination-Insulated/dp/B000VZQ2BA/ref=sr_1_4?keywords=Channellock+3017+8-Inch+Long+Nose+Pliers&amp;qid=1694735304&amp;sr=8-4")</f>
        <v/>
      </c>
      <c r="F3802" t="inlineStr">
        <is>
          <t>B000VZQ2BA</t>
        </is>
      </c>
      <c r="G3802">
        <f>_xlfn.IMAGE("https://edmondsonsupply.com/cdn/shop/products/3017-683x1024.jpg?v=1633030322")</f>
        <v/>
      </c>
      <c r="H3802">
        <f>_xlfn.IMAGE("https://m.media-amazon.com/images/I/71L0SrPYXpL._AC_UL320_.jpg")</f>
        <v/>
      </c>
      <c r="K3802" t="inlineStr">
        <is>
          <t>19.95</t>
        </is>
      </c>
      <c r="L3802" t="n">
        <v>62.95</v>
      </c>
      <c r="M3802" s="1" t="inlineStr">
        <is>
          <t>215.54%</t>
        </is>
      </c>
      <c r="N3802" s="7" t="n">
        <v>24.12</v>
      </c>
      <c r="O3802" t="n">
        <v>4.4</v>
      </c>
      <c r="P3802" t="n">
        <v>7</v>
      </c>
      <c r="R3802" t="inlineStr">
        <is>
          <t>InStock</t>
        </is>
      </c>
      <c r="S3802" t="inlineStr">
        <is>
          <t>29.97</t>
        </is>
      </c>
      <c r="T3802" t="inlineStr">
        <is>
          <t>5245817159848</t>
        </is>
      </c>
    </row>
    <row r="3803" ht="87" customHeight="1">
      <c r="A3803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803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803" t="inlineStr">
        <is>
          <t>Diablo Tools DMAPL4140 3/8 in. x 4 in. x 6 in. Rebar Demon™ SDS-Plus 4-Cutter Full Carbide Head Hammer Bit</t>
        </is>
      </c>
      <c r="D3803" t="inlineStr">
        <is>
          <t>Diablo by Freud DMAPL4200 1/2 in. x 16 in. x 18 in. Rebar Demon SDS-Plus 4-Cutter Full Carbide Head Hammer Bit</t>
        </is>
      </c>
      <c r="E3803" s="2">
        <f>HYPERLINK("https://www.amazon.com/Diablo-Freud-DMAPL4200-SDS-Plus-4-Cutter/dp/B089KW2QV1/ref=sr_1_28?keywords=Diablo+Tools+DMAPL4140+3%2F8+in.+x+4+in.+x+6+in.+Rebar+Demon%E2%84%A2+SDS-Plus+4-Cutter+Full+Carbide+Head+Hammer+Bit&amp;qid=1694735296&amp;sr=8-28", "https://www.amazon.com/Diablo-Freud-DMAPL4200-SDS-Plus-4-Cutter/dp/B089KW2QV1/ref=sr_1_28?keywords=Diablo+Tools+DMAPL4140+3%2F8+in.+x+4+in.+x+6+in.+Rebar+Demon%E2%84%A2+SDS-Plus+4-Cutter+Full+Carbide+Head+Hammer+Bit&amp;qid=1694735296&amp;sr=8-28")</f>
        <v/>
      </c>
      <c r="F3803" t="inlineStr">
        <is>
          <t>B089KW2QV1</t>
        </is>
      </c>
      <c r="G3803">
        <f>_xlfn.IMAGE("https://edmondsonsupply.com/cdn/shop/products/DMAPL4140_Main-Image20200701.png?v=1633030360")</f>
        <v/>
      </c>
      <c r="H3803">
        <f>_xlfn.IMAGE("https://m.media-amazon.com/images/I/61rW+ROVmNL._AC_UL320_.jpg")</f>
        <v/>
      </c>
      <c r="K3803" t="inlineStr">
        <is>
          <t>7.29</t>
        </is>
      </c>
      <c r="L3803" t="n">
        <v>23</v>
      </c>
      <c r="M3803" s="1" t="inlineStr">
        <is>
          <t>215.50%</t>
        </is>
      </c>
      <c r="N3803" s="7" t="n">
        <v>23.97</v>
      </c>
      <c r="O3803" t="n">
        <v>4.7</v>
      </c>
      <c r="P3803" t="n">
        <v>18</v>
      </c>
      <c r="R3803" t="inlineStr">
        <is>
          <t>InStock</t>
        </is>
      </c>
      <c r="S3803" t="inlineStr">
        <is>
          <t>undefined</t>
        </is>
      </c>
      <c r="T3803" t="inlineStr">
        <is>
          <t>5286771949736</t>
        </is>
      </c>
    </row>
    <row r="3804" ht="87" customHeight="1">
      <c r="A3804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3804" s="2">
        <f>HYPERLINK("https://edmondsonsupply.com/products/klein-tools-66074-flip-impact-socket-3-4-and-13-16-inch", "https://edmondsonsupply.com/products/klein-tools-66074-flip-impact-socket-3-4-and-13-16-inch")</f>
        <v/>
      </c>
      <c r="C3804" t="inlineStr">
        <is>
          <t>Klein Tools 66074 Flip Impact Socket, 3/4 and 13/16-Inch</t>
        </is>
      </c>
      <c r="D3804" t="inlineStr">
        <is>
          <t>Klein Tools 66001 2-in-1 Impact Socket, Socket Wrench Sizes 3/4-Inch and 9/16-Inch Hex, 12-Point Deep Socket with 1/2-Inch Drive</t>
        </is>
      </c>
      <c r="E3804" s="2">
        <f>HYPERLINK("https://www.amazon.com/Klein-Tools-66001-12-Point-16-Inch/dp/B078NHVXWK/ref=sr_1_13?keywords=Klein+Tools+66074+Flip+Impact+Socket%2C+3%2F4+and+13%2F16-Inch&amp;qid=1694735130&amp;sr=8-13", "https://www.amazon.com/Klein-Tools-66001-12-Point-16-Inch/dp/B078NHVXWK/ref=sr_1_13?keywords=Klein+Tools+66074+Flip+Impact+Socket%2C+3%2F4+and+13%2F16-Inch&amp;qid=1694735130&amp;sr=8-13")</f>
        <v/>
      </c>
      <c r="F3804" t="inlineStr">
        <is>
          <t>B078NHVXWK</t>
        </is>
      </c>
      <c r="G3804">
        <f>_xlfn.IMAGE("https://edmondsonsupply.com/cdn/shop/products/66074.jpg?v=1663249251")</f>
        <v/>
      </c>
      <c r="H3804">
        <f>_xlfn.IMAGE("https://m.media-amazon.com/images/I/31AlECG12iL._AC_UL320_.jpg")</f>
        <v/>
      </c>
      <c r="K3804" t="inlineStr">
        <is>
          <t>12.71</t>
        </is>
      </c>
      <c r="L3804" t="n">
        <v>39.99</v>
      </c>
      <c r="M3804" s="1" t="inlineStr">
        <is>
          <t>214.63%</t>
        </is>
      </c>
      <c r="N3804" s="7" t="n">
        <v>23.75</v>
      </c>
      <c r="O3804" t="n">
        <v>4.8</v>
      </c>
      <c r="P3804" t="n">
        <v>753</v>
      </c>
      <c r="R3804" t="inlineStr">
        <is>
          <t>InStock</t>
        </is>
      </c>
      <c r="S3804" t="inlineStr">
        <is>
          <t>17.8</t>
        </is>
      </c>
      <c r="T3804" t="inlineStr">
        <is>
          <t>7817341534424</t>
        </is>
      </c>
    </row>
    <row r="3805" ht="87" customHeight="1">
      <c r="A3805" s="2">
        <f>HYPERLINK("https://edmondsonsupply.com/collections/electricians-tools/products/klein-tools-19352-conduit-reamer", "https://edmondsonsupply.com/collections/electricians-tools/products/klein-tools-19352-conduit-reamer")</f>
        <v/>
      </c>
      <c r="B3805" s="2">
        <f>HYPERLINK("https://edmondsonsupply.com/products/klein-tools-19352-conduit-reamer", "https://edmondsonsupply.com/products/klein-tools-19352-conduit-reamer")</f>
        <v/>
      </c>
      <c r="C3805" t="inlineStr">
        <is>
          <t>Klein Tools 19352 Conduit Reamer</t>
        </is>
      </c>
      <c r="D3805" t="inlineStr">
        <is>
          <t>Klein Tools 85091 Power Conduit Reamer, 1/2-, 3/4- and 1-In &amp; 85191 Screwdriver/Conduit Reamer, Conduit Fitting and Reaming Screwdriver for 1/2-In, 3/4-In, and 1-In Thin-Wall Conduit</t>
        </is>
      </c>
      <c r="E3805" s="2">
        <f>HYPERLINK("https://www.amazon.com/Klein-Tools-Conduit-Screwdriver-Thin-Wall/dp/B0BGPT4RV4/ref=sr_1_16?keywords=Klein+Tools+19352+Conduit+Reamer&amp;qid=1694735413&amp;sr=8-16", "https://www.amazon.com/Klein-Tools-Conduit-Screwdriver-Thin-Wall/dp/B0BGPT4RV4/ref=sr_1_16?keywords=Klein+Tools+19352+Conduit+Reamer&amp;qid=1694735413&amp;sr=8-16")</f>
        <v/>
      </c>
      <c r="F3805" t="inlineStr">
        <is>
          <t>B0BGPT4RV4</t>
        </is>
      </c>
      <c r="G3805">
        <f>_xlfn.IMAGE("https://edmondsonsupply.com/cdn/shop/products/19352.jpg?v=1587145575")</f>
        <v/>
      </c>
      <c r="H3805">
        <f>_xlfn.IMAGE("https://m.media-amazon.com/images/I/31hKQJsNkcL._AC_UL320_.jpg")</f>
        <v/>
      </c>
      <c r="K3805" t="inlineStr">
        <is>
          <t>18.49</t>
        </is>
      </c>
      <c r="L3805" t="n">
        <v>57.83</v>
      </c>
      <c r="M3805" s="1" t="inlineStr">
        <is>
          <t>212.76%</t>
        </is>
      </c>
      <c r="N3805" s="7" t="n">
        <v>23.51</v>
      </c>
      <c r="O3805" t="n">
        <v>5</v>
      </c>
      <c r="P3805" t="n">
        <v>2</v>
      </c>
      <c r="R3805" t="inlineStr">
        <is>
          <t>InStock</t>
        </is>
      </c>
      <c r="S3805" t="inlineStr">
        <is>
          <t>27.24</t>
        </is>
      </c>
      <c r="T3805" t="inlineStr">
        <is>
          <t>4385945616484</t>
        </is>
      </c>
    </row>
    <row r="3806" ht="87" customHeight="1">
      <c r="A3806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3806" s="2">
        <f>HYPERLINK("https://edmondsonsupply.com/products/klein-tools-635-9-16-9-16-heavy-duty-nut-driver-magnetic", "https://edmondsonsupply.com/products/klein-tools-635-9-16-9-16-heavy-duty-nut-driver-magnetic")</f>
        <v/>
      </c>
      <c r="C3806" t="inlineStr">
        <is>
          <t>Klein Tools 635-9/16 9/16-Inch Heavy-Duty Nut Driver</t>
        </is>
      </c>
      <c r="D3806" t="inlineStr">
        <is>
          <t>Klein Tools 65160 Tool Set, Metric Nut Driver Set Sizes 5, 5.5, 6, 7, 8, 9, and 10 mm, 3-Inch Chrome-Plate Hollow Shafts, 7-Piece</t>
        </is>
      </c>
      <c r="E3806" s="2">
        <f>HYPERLINK("https://www.amazon.com/Driver-Metric-3-Inch-7-Piece-Klein/dp/B0009ORXQQ/ref=sr_1_6?keywords=Klein+Tools+635-9%2F16+9%2F16-Inch+Heavy-Duty+Nut+Driver&amp;qid=1694735388&amp;sr=8-6", "https://www.amazon.com/Driver-Metric-3-Inch-7-Piece-Klein/dp/B0009ORXQQ/ref=sr_1_6?keywords=Klein+Tools+635-9%2F16+9%2F16-Inch+Heavy-Duty+Nut+Driver&amp;qid=1694735388&amp;sr=8-6")</f>
        <v/>
      </c>
      <c r="F3806" t="inlineStr">
        <is>
          <t>B0009ORXQQ</t>
        </is>
      </c>
      <c r="G3806">
        <f>_xlfn.IMAGE("https://edmondsonsupply.com/cdn/shop/products/635-9-16.jpg?v=1587145126")</f>
        <v/>
      </c>
      <c r="H3806">
        <f>_xlfn.IMAGE("https://m.media-amazon.com/images/I/61CnDJJyViL._AC_UL320_.jpg")</f>
        <v/>
      </c>
      <c r="K3806" t="inlineStr">
        <is>
          <t>15.99</t>
        </is>
      </c>
      <c r="L3806" t="n">
        <v>49.99</v>
      </c>
      <c r="M3806" s="1" t="inlineStr">
        <is>
          <t>212.63%</t>
        </is>
      </c>
      <c r="N3806" s="7" t="n">
        <v>23.48</v>
      </c>
      <c r="O3806" t="n">
        <v>4.8</v>
      </c>
      <c r="P3806" t="n">
        <v>588</v>
      </c>
      <c r="R3806" t="inlineStr">
        <is>
          <t>InStock</t>
        </is>
      </c>
      <c r="S3806" t="inlineStr">
        <is>
          <t>24.22</t>
        </is>
      </c>
      <c r="T3806" t="inlineStr">
        <is>
          <t>2766897741924</t>
        </is>
      </c>
    </row>
    <row r="3807" ht="87" customHeight="1">
      <c r="A3807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3807" s="2">
        <f>HYPERLINK("https://edmondsonsupply.com/products/klein-tools-60407-hard-hat-vented-full-brim-with-headlamp", "https://edmondsonsupply.com/products/klein-tools-60407-hard-hat-vented-full-brim-with-headlamp")</f>
        <v/>
      </c>
      <c r="C3807" t="inlineStr">
        <is>
          <t>Klein Tools 60407 Hard Hat, Vented, Full Brim with Headlamp, White</t>
        </is>
      </c>
      <c r="D3807" t="inlineStr">
        <is>
          <t>Klein Tools 60407 Hard Hat, White &amp; 60347 Hard Hat, Vented Full Brim, Class C, Premium KARBN Pattern, Rechargeable Lamp, Padded Sweat-Wicking Sweatband, Top Pad</t>
        </is>
      </c>
      <c r="E3807" s="2">
        <f>HYPERLINK("https://www.amazon.com/Klein-Tools-Rechargeable-Sweat-Wicking-Sweatband/dp/B0BNL94L4X/ref=sr_1_3?keywords=Klein+Tools+60407+Hard+Hat%2C+Vented%2C+Full+Brim+with+Headlamp%2C+White&amp;qid=1694735427&amp;sr=8-3", "https://www.amazon.com/Klein-Tools-Rechargeable-Sweat-Wicking-Sweatband/dp/B0BNL94L4X/ref=sr_1_3?keywords=Klein+Tools+60407+Hard+Hat%2C+Vented%2C+Full+Brim+with+Headlamp%2C+White&amp;qid=1694735427&amp;sr=8-3")</f>
        <v/>
      </c>
      <c r="F3807" t="inlineStr">
        <is>
          <t>B0BNL94L4X</t>
        </is>
      </c>
      <c r="G3807">
        <f>_xlfn.IMAGE("https://edmondsonsupply.com/cdn/shop/products/60407.jpg?v=1587147739")</f>
        <v/>
      </c>
      <c r="H3807">
        <f>_xlfn.IMAGE("https://m.media-amazon.com/images/I/51A8iWc37VL._AC_UL320_.jpg")</f>
        <v/>
      </c>
      <c r="K3807" t="inlineStr">
        <is>
          <t>54.99</t>
        </is>
      </c>
      <c r="L3807" t="n">
        <v>171.85</v>
      </c>
      <c r="M3807" s="1" t="inlineStr">
        <is>
          <t>212.51%</t>
        </is>
      </c>
      <c r="N3807" s="7" t="n">
        <v>23.34</v>
      </c>
      <c r="O3807" t="n">
        <v>4.7</v>
      </c>
      <c r="P3807" t="n">
        <v>4</v>
      </c>
      <c r="R3807" t="inlineStr">
        <is>
          <t>OutOfStock</t>
        </is>
      </c>
      <c r="S3807" t="inlineStr">
        <is>
          <t>82.5</t>
        </is>
      </c>
      <c r="T3807" t="inlineStr">
        <is>
          <t>4357084446820</t>
        </is>
      </c>
    </row>
    <row r="3808" ht="87" customHeight="1">
      <c r="A3808" s="2">
        <f>HYPERLINK("https://edmondsonsupply.com/collections/electricians-tools/products/greenlee-7238sb-slug-buster%C2%AE-1-2-2-knockout-kit-with-ratchet", "https://edmondsonsupply.com/collections/electricians-tools/products/greenlee-7238sb-slug-buster%C2%AE-1-2-2-knockout-kit-with-ratchet")</f>
        <v/>
      </c>
      <c r="B3808" s="2">
        <f>HYPERLINK("https://edmondsonsupply.com/products/greenlee-7238sb-slug-buster%c2%ae-1-2-2-knockout-kit-with-ratchet", "https://edmondsonsupply.com/products/greenlee-7238sb-slug-buster%c2%ae-1-2-2-knockout-kit-with-ratchet")</f>
        <v/>
      </c>
      <c r="C3808" t="inlineStr">
        <is>
          <t>Greenlee 7238SB Slug-Buster® 1/2" - 2" Knockout Kit with Ratchet</t>
        </is>
      </c>
      <c r="D3808" t="inlineStr">
        <is>
          <t>Greenlee 7306SB 11-Ton Hydraulic Knockout Punch Kit with Hand Pump and Slug-Buster, 1/2" - 2"</t>
        </is>
      </c>
      <c r="E3808" s="2">
        <f>HYPERLINK("https://www.amazon.com/Greenlee-7306SB-Hydraulic-Driver-Punches/dp/B001HWHSXC/ref=sr_1_2?keywords=Greenlee+7238SB+Slug-Buster%C2%AE+1%2F2%22+-+2%22+Knockout+Kit+with+Ratchet&amp;qid=1694735389&amp;sr=8-2", "https://www.amazon.com/Greenlee-7306SB-Hydraulic-Driver-Punches/dp/B001HWHSXC/ref=sr_1_2?keywords=Greenlee+7238SB+Slug-Buster%C2%AE+1%2F2%22+-+2%22+Knockout+Kit+with+Ratchet&amp;qid=1694735389&amp;sr=8-2")</f>
        <v/>
      </c>
      <c r="F3808" t="inlineStr">
        <is>
          <t>B001HWHSXC</t>
        </is>
      </c>
      <c r="G3808">
        <f>_xlfn.IMAGE("https://edmondsonsupply.com/cdn/shop/products/7238SB-CAT1.jpg?v=1587150226")</f>
        <v/>
      </c>
      <c r="H3808">
        <f>_xlfn.IMAGE("https://m.media-amazon.com/images/I/71bdRqxUtuL._AC_UL320_.jpg")</f>
        <v/>
      </c>
      <c r="K3808" t="inlineStr">
        <is>
          <t>376.32</t>
        </is>
      </c>
      <c r="L3808" t="n">
        <v>1176</v>
      </c>
      <c r="M3808" s="1" t="inlineStr">
        <is>
          <t>212.50%</t>
        </is>
      </c>
      <c r="N3808" s="7" t="n">
        <v>23.17</v>
      </c>
      <c r="O3808" t="n">
        <v>4.9</v>
      </c>
      <c r="P3808" t="n">
        <v>15</v>
      </c>
      <c r="R3808" t="inlineStr">
        <is>
          <t>InStock</t>
        </is>
      </c>
      <c r="S3808" t="inlineStr">
        <is>
          <t>448.0</t>
        </is>
      </c>
      <c r="T3808" t="inlineStr">
        <is>
          <t>4430553743460</t>
        </is>
      </c>
    </row>
    <row r="3809" hidden="1" ht="15.75" customHeight="1">
      <c r="A3809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809" s="2">
        <f>HYPERLINK("https://edmondsonsupply.com/products/diablo-tools-dsp2060-9-16-in-x-6-in-spade-bit", "https://edmondsonsupply.com/products/diablo-tools-dsp2060-9-16-in-x-6-in-spade-bit")</f>
        <v/>
      </c>
      <c r="C3809" t="inlineStr">
        <is>
          <t>Diablo Tools DSP2060 9/16 in. x 6 in. Spade Bit</t>
        </is>
      </c>
      <c r="D3809" t="inlineStr">
        <is>
          <t>Benchmark Abrasives 9/16" x 6" Spade Drill Bit with Quick-Change Hex Shank Hole Cutter for Woodworking, Drilling, High-Speed Steel Paddle Flat Bits (9/16" x 6")</t>
        </is>
      </c>
      <c r="E3809" s="2">
        <f>HYPERLINK("https://www.amazon.com/Benchmark-Abrasives-Spade-Woodworking-Cutter/dp/B08Y94MBNZ/ref=sr_1_20?keywords=Diablo+Tools+DSP2060+9%2F16+in.+x+6+in.+Spade+Bit&amp;qid=1694735062&amp;sr=8-20", "https://www.amazon.com/Benchmark-Abrasives-Spade-Woodworking-Cutter/dp/B08Y94MBNZ/ref=sr_1_20?keywords=Diablo+Tools+DSP2060+9%2F16+in.+x+6+in.+Spade+Bit&amp;qid=1694735062&amp;sr=8-20")</f>
        <v/>
      </c>
      <c r="F3809" t="inlineStr">
        <is>
          <t>B08Y94MBNZ</t>
        </is>
      </c>
      <c r="G3809">
        <f>_xludf.IMAGE("https://edmondsonsupply.com/cdn/shop/products/aedhx1bor2stxnsd8b2m.webp?v=1670512947")</f>
        <v/>
      </c>
      <c r="H3809">
        <f>_xludf.IMAGE("https://m.media-amazon.com/images/I/41+YIaNrwdL._AC_UL320_.jpg")</f>
        <v/>
      </c>
      <c r="K3809" t="inlineStr">
        <is>
          <t>2.88</t>
        </is>
      </c>
      <c r="L3809" t="n">
        <v>8.99</v>
      </c>
      <c r="M3809" s="1" t="inlineStr">
        <is>
          <t>212.15%</t>
        </is>
      </c>
      <c r="N3809" s="1" t="n">
        <v>23.09</v>
      </c>
      <c r="O3809" t="n">
        <v>4.1</v>
      </c>
      <c r="P3809" t="n">
        <v>6</v>
      </c>
      <c r="R3809" t="inlineStr">
        <is>
          <t>InStock</t>
        </is>
      </c>
      <c r="S3809" t="inlineStr">
        <is>
          <t>3.21</t>
        </is>
      </c>
      <c r="T3809" t="inlineStr">
        <is>
          <t>7901216112856</t>
        </is>
      </c>
    </row>
    <row r="3810" ht="87" customHeight="1">
      <c r="A3810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810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810" t="inlineStr">
        <is>
          <t>Diablo Tools DMAPL4220 5/8 in. x 6 in. x 8 in. Rebar Demon™ SDS-Plus 4-Cutter Full Carbide Head Hammer Bit</t>
        </is>
      </c>
      <c r="D3810" t="inlineStr">
        <is>
          <t>Diablo 5/8"x 16"x18" Rebar Demon™ SDS-Plus 4-Cutter Full Carbide Head Hammer Bit</t>
        </is>
      </c>
      <c r="E3810" s="2">
        <f>HYPERLINK("https://www.amazon.com/Diablo-SDS-Plus-4-Cutter-Carbide-Hammer/dp/B089LDNZSN/ref=sr_1_13?keywords=Diablo+Tools+DMAPL4220+5%2F8+in.+x+6+in.+x+8+in.+Rebar+Demon%E2%84%A2+SDS-Plus+4-Cutter+Full+Carbide+Head+Hammer+Bit&amp;qid=1694735306&amp;sr=8-13", "https://www.amazon.com/Diablo-SDS-Plus-4-Cutter-Carbide-Hammer/dp/B089LDNZSN/ref=sr_1_13?keywords=Diablo+Tools+DMAPL4220+5%2F8+in.+x+6+in.+x+8+in.+Rebar+Demon%E2%84%A2+SDS-Plus+4-Cutter+Full+Carbide+Head+Hammer+Bit&amp;qid=1694735306&amp;sr=8-13")</f>
        <v/>
      </c>
      <c r="F3810" t="inlineStr">
        <is>
          <t>B089LDNZSN</t>
        </is>
      </c>
      <c r="G3810">
        <f>_xlfn.IMAGE("https://edmondsonsupply.com/cdn/shop/products/DMAPL4220.jpg?v=1633030355")</f>
        <v/>
      </c>
      <c r="H3810">
        <f>_xlfn.IMAGE("https://m.media-amazon.com/images/I/61Vv8Hsfp5L._AC_UL320_.jpg")</f>
        <v/>
      </c>
      <c r="K3810" t="inlineStr">
        <is>
          <t>10.97</t>
        </is>
      </c>
      <c r="L3810" t="n">
        <v>33.98</v>
      </c>
      <c r="M3810" s="1" t="inlineStr">
        <is>
          <t>209.75%</t>
        </is>
      </c>
      <c r="N3810" s="7" t="n">
        <v>22.84</v>
      </c>
      <c r="O3810" t="n">
        <v>4.6</v>
      </c>
      <c r="P3810" t="n">
        <v>10</v>
      </c>
      <c r="R3810" t="inlineStr">
        <is>
          <t>InStock</t>
        </is>
      </c>
      <c r="S3810" t="inlineStr">
        <is>
          <t>17.16</t>
        </is>
      </c>
      <c r="T3810" t="inlineStr">
        <is>
          <t>5286142148776</t>
        </is>
      </c>
    </row>
    <row r="3811" ht="87" customHeight="1">
      <c r="A3811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811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811" t="inlineStr">
        <is>
          <t>Diablo Tools DMAPL4220 5/8 in. x 6 in. x 8 in. Rebar Demon™ SDS-Plus 4-Cutter Full Carbide Head Hammer Bit</t>
        </is>
      </c>
      <c r="D3811" t="inlineStr">
        <is>
          <t>Diablo by Freud DMAPL4300 1 in. x 8 in. x 10 in. Rebar Demon™ SDS-Plus 4-Cutter Full Carbide Head Hammer Bit</t>
        </is>
      </c>
      <c r="E3811" s="2">
        <f>HYPERLINK("https://www.amazon.com/Diablo-Freud-DMAPL4300-SDS-Plus-4-Cutter/dp/B089LL8JD8/ref=sr_1_3?keywords=Diablo+Tools+DMAPL4220+5%2F8+in.+x+6+in.+x+8+in.+Rebar+Demon%E2%84%A2+SDS-Plus+4-Cutter+Full+Carbide+Head+Hammer+Bit&amp;qid=1694735306&amp;sr=8-3", "https://www.amazon.com/Diablo-Freud-DMAPL4300-SDS-Plus-4-Cutter/dp/B089LL8JD8/ref=sr_1_3?keywords=Diablo+Tools+DMAPL4220+5%2F8+in.+x+6+in.+x+8+in.+Rebar+Demon%E2%84%A2+SDS-Plus+4-Cutter+Full+Carbide+Head+Hammer+Bit&amp;qid=1694735306&amp;sr=8-3")</f>
        <v/>
      </c>
      <c r="F3811" t="inlineStr">
        <is>
          <t>B089LL8JD8</t>
        </is>
      </c>
      <c r="G3811">
        <f>_xlfn.IMAGE("https://edmondsonsupply.com/cdn/shop/products/DMAPL4220.jpg?v=1633030355")</f>
        <v/>
      </c>
      <c r="H3811">
        <f>_xlfn.IMAGE("https://m.media-amazon.com/images/I/616UiJGsK1L._AC_UL320_.jpg")</f>
        <v/>
      </c>
      <c r="K3811" t="inlineStr">
        <is>
          <t>10.97</t>
        </is>
      </c>
      <c r="L3811" t="n">
        <v>33.95</v>
      </c>
      <c r="M3811" s="1" t="inlineStr">
        <is>
          <t>209.48%</t>
        </is>
      </c>
      <c r="N3811" s="7" t="n">
        <v>22.77</v>
      </c>
      <c r="O3811" t="n">
        <v>4.5</v>
      </c>
      <c r="P3811" t="n">
        <v>16</v>
      </c>
      <c r="R3811" t="inlineStr">
        <is>
          <t>InStock</t>
        </is>
      </c>
      <c r="S3811" t="inlineStr">
        <is>
          <t>17.16</t>
        </is>
      </c>
      <c r="T3811" t="inlineStr">
        <is>
          <t>5286142148776</t>
        </is>
      </c>
    </row>
    <row r="3812" hidden="1" ht="15.75" customHeight="1">
      <c r="A3812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812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812" t="inlineStr">
        <is>
          <t>Diablo Tools DMAPL4100 1/4 in. x 16 in. x 18 in. Rebar Demon™ SDS‑Plus 4‑Cutter Full Carbide Head Hammer Bit</t>
        </is>
      </c>
      <c r="D3812" t="inlineStr">
        <is>
          <t>Diablo DMAMX1180 7/8 in. x 16 in. x 21 in. Rebar Demon™ SDS-Max 4-Cutter Full Carbide Head Hammer Bit</t>
        </is>
      </c>
      <c r="E3812" s="2">
        <f>HYPERLINK("https://www.amazon.com/Diablo-SDS-Max-4-Cutter-Carbide-Hammer/dp/B089KWFF8B/ref=sr_1_17?keywords=Diablo+Tools+DMAPL4100+1%2F4+in.+x+16+in.+x+18+in.+Rebar+Demon%E2%84%A2+SDS%E2%80%91Plus+4%E2%80%91Cutter+Full+Carbide+Head+Hammer+Bit&amp;qid=1694735272&amp;sr=8-17", "https://www.amazon.com/Diablo-SDS-Max-4-Cutter-Carbide-Hammer/dp/B089KWFF8B/ref=sr_1_17?keywords=Diablo+Tools+DMAPL4100+1%2F4+in.+x+16+in.+x+18+in.+Rebar+Demon%E2%84%A2+SDS%E2%80%91Plus+4%E2%80%91Cutter+Full+Carbide+Head+Hammer+Bit&amp;qid=1694735272&amp;sr=8-17")</f>
        <v/>
      </c>
      <c r="F3812" t="inlineStr">
        <is>
          <t>B089KWFF8B</t>
        </is>
      </c>
      <c r="G3812">
        <f>_xludf.IMAGE("https://edmondsonsupply.com/cdn/shop/products/DMAPL4100_Main-Image20200701.png?v=1633030520")</f>
        <v/>
      </c>
      <c r="H3812">
        <f>_xludf.IMAGE("https://m.media-amazon.com/images/I/611fTcYRNFL._AC_UL320_.jpg")</f>
        <v/>
      </c>
      <c r="K3812" t="inlineStr">
        <is>
          <t>16.97</t>
        </is>
      </c>
      <c r="L3812" t="n">
        <v>52.51</v>
      </c>
      <c r="M3812" s="1" t="inlineStr">
        <is>
          <t>209.43%</t>
        </is>
      </c>
      <c r="N3812" s="1" t="n">
        <v>22.69</v>
      </c>
      <c r="O3812" t="n">
        <v>3.5</v>
      </c>
      <c r="P3812" t="n">
        <v>3</v>
      </c>
      <c r="R3812" t="inlineStr">
        <is>
          <t>InStock</t>
        </is>
      </c>
      <c r="S3812" t="inlineStr">
        <is>
          <t>undefined</t>
        </is>
      </c>
      <c r="T3812" t="inlineStr">
        <is>
          <t>5399840882856</t>
        </is>
      </c>
    </row>
    <row r="3813" ht="87" customHeight="1">
      <c r="A3813" s="2">
        <f>HYPERLINK("https://edmondsonsupply.com/collections/electricians-tools/products/klein-tools-ir1-infrared-digital-thermometer-with-targeting-laser-10-1", "https://edmondsonsupply.com/collections/electricians-tools/products/klein-tools-ir1-infrared-digital-thermometer-with-targeting-laser-10-1")</f>
        <v/>
      </c>
      <c r="B3813" s="2">
        <f>HYPERLINK("https://edmondsonsupply.com/products/klein-tools-ir1-infrared-digital-thermometer-with-targeting-laser-10-1", "https://edmondsonsupply.com/products/klein-tools-ir1-infrared-digital-thermometer-with-targeting-laser-10-1")</f>
        <v/>
      </c>
      <c r="C3813" t="inlineStr">
        <is>
          <t>Klein Tools IR1 Infrared Digital Thermometer with Targeting Laser, 10:1</t>
        </is>
      </c>
      <c r="D3813" t="inlineStr">
        <is>
          <t>Klein Tools IR10 Infrared Thermometer, Digital Thermometer Gun with Dual Targeting Laser, 20:1</t>
        </is>
      </c>
      <c r="E3813" s="2">
        <f>HYPERLINK("https://www.amazon.com/Klein-Tools-IR10-Thermometer-Targeting/dp/B07K1JB9TQ/ref=sr_1_6?keywords=Klein+Tools+IR1+Infrared+Digital+Thermometer+with+Targeting+Laser%2C+10%3A1&amp;qid=1694735137&amp;sr=8-6", "https://www.amazon.com/Klein-Tools-IR10-Thermometer-Targeting/dp/B07K1JB9TQ/ref=sr_1_6?keywords=Klein+Tools+IR1+Infrared+Digital+Thermometer+with+Targeting+Laser%2C+10%3A1&amp;qid=1694735137&amp;sr=8-6")</f>
        <v/>
      </c>
      <c r="F3813" t="inlineStr">
        <is>
          <t>B07K1JB9TQ</t>
        </is>
      </c>
      <c r="G3813">
        <f>_xlfn.IMAGE("https://edmondsonsupply.com/cdn/shop/products/ir1.jpg?v=1659112251")</f>
        <v/>
      </c>
      <c r="H3813">
        <f>_xlfn.IMAGE("https://m.media-amazon.com/images/I/71gXtP6kZ0L._AC_UY218_.jpg")</f>
        <v/>
      </c>
      <c r="K3813" t="inlineStr">
        <is>
          <t>32.99</t>
        </is>
      </c>
      <c r="L3813" t="n">
        <v>101.99</v>
      </c>
      <c r="M3813" s="1" t="inlineStr">
        <is>
          <t>209.15%</t>
        </is>
      </c>
      <c r="N3813" s="7" t="n">
        <v>22.26</v>
      </c>
      <c r="O3813" t="n">
        <v>4.6</v>
      </c>
      <c r="P3813" t="n">
        <v>300</v>
      </c>
      <c r="R3813" t="inlineStr">
        <is>
          <t>InStock</t>
        </is>
      </c>
      <c r="S3813" t="inlineStr">
        <is>
          <t>48.5</t>
        </is>
      </c>
      <c r="T3813" t="inlineStr">
        <is>
          <t>7766524231896</t>
        </is>
      </c>
    </row>
    <row r="3814" ht="87" customHeight="1">
      <c r="A3814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3814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3814" t="inlineStr">
        <is>
          <t>Diablo Tools DMAPL4140 3/8 in. x 4 in. x 6 in. Rebar Demon™ SDS-Plus 4-Cutter Full Carbide Head Hammer Bit</t>
        </is>
      </c>
      <c r="D3814" t="inlineStr">
        <is>
          <t>Diablo by Freud DMAPL4230 5/8 in. x 10 in. x 12 in. Rebar Demon SDS-Plus 4-Cutter Full Carbide Head Hammer Bit</t>
        </is>
      </c>
      <c r="E3814" s="2">
        <f>HYPERLINK("https://www.amazon.com/Diablo-Freud-DMAPL4230-SDS-Plus-4-Cutter/dp/B089LCN234/ref=sr_1_29?keywords=Diablo+Tools+DMAPL4140+3%2F8+in.+x+4+in.+x+6+in.+Rebar+Demon%E2%84%A2+SDS-Plus+4-Cutter+Full+Carbide+Head+Hammer+Bit&amp;qid=1694735296&amp;sr=8-29", "https://www.amazon.com/Diablo-Freud-DMAPL4230-SDS-Plus-4-Cutter/dp/B089LCN234/ref=sr_1_29?keywords=Diablo+Tools+DMAPL4140+3%2F8+in.+x+4+in.+x+6+in.+Rebar+Demon%E2%84%A2+SDS-Plus+4-Cutter+Full+Carbide+Head+Hammer+Bit&amp;qid=1694735296&amp;sr=8-29")</f>
        <v/>
      </c>
      <c r="F3814" t="inlineStr">
        <is>
          <t>B089LCN234</t>
        </is>
      </c>
      <c r="G3814">
        <f>_xlfn.IMAGE("https://edmondsonsupply.com/cdn/shop/products/DMAPL4140_Main-Image20200701.png?v=1633030360")</f>
        <v/>
      </c>
      <c r="H3814">
        <f>_xlfn.IMAGE("https://m.media-amazon.com/images/I/61r649wmyhL._AC_UL320_.jpg")</f>
        <v/>
      </c>
      <c r="K3814" t="inlineStr">
        <is>
          <t>7.29</t>
        </is>
      </c>
      <c r="L3814" t="n">
        <v>22.51</v>
      </c>
      <c r="M3814" s="1" t="inlineStr">
        <is>
          <t>208.78%</t>
        </is>
      </c>
      <c r="N3814" s="7" t="n">
        <v>22.25</v>
      </c>
      <c r="O3814" t="n">
        <v>4.7</v>
      </c>
      <c r="P3814" t="n">
        <v>47</v>
      </c>
      <c r="R3814" t="inlineStr">
        <is>
          <t>InStock</t>
        </is>
      </c>
      <c r="S3814" t="inlineStr">
        <is>
          <t>undefined</t>
        </is>
      </c>
      <c r="T3814" t="inlineStr">
        <is>
          <t>5286771949736</t>
        </is>
      </c>
    </row>
    <row r="3815" ht="87" customHeight="1">
      <c r="A3815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815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815" t="inlineStr">
        <is>
          <t>Diablo Tools DMAPL4080 1/4 in. x 6 in. x 8 in. Rebar Demon™ SDS-Plus 4-Cutter Full Carbide Head Hammer Bit</t>
        </is>
      </c>
      <c r="D3815" t="inlineStr">
        <is>
          <t>Diablo by Freud DMAPL4200 1/2 in. x 16 in. x 18 in. Rebar Demon SDS-Plus 4-Cutter Full Carbide Head Hammer Bit</t>
        </is>
      </c>
      <c r="E3815" s="2">
        <f>HYPERLINK("https://www.amazon.com/Diablo-Freud-DMAPL4200-SDS-Plus-4-Cutter/dp/B089KW2QV1/ref=sr_1_10?keywords=Diablo+Tools+DMAPL4080+1%2F4+in.+x+6+in.+x+8+in.+Rebar+Demon%E2%84%A2+SDS-Plus+4-Cutter+Full+Carbide+Head+Hammer+Bit&amp;qid=1694735294&amp;sr=8-10", "https://www.amazon.com/Diablo-Freud-DMAPL4200-SDS-Plus-4-Cutter/dp/B089KW2QV1/ref=sr_1_10?keywords=Diablo+Tools+DMAPL4080+1%2F4+in.+x+6+in.+x+8+in.+Rebar+Demon%E2%84%A2+SDS-Plus+4-Cutter+Full+Carbide+Head+Hammer+Bit&amp;qid=1694735294&amp;sr=8-10")</f>
        <v/>
      </c>
      <c r="F3815" t="inlineStr">
        <is>
          <t>B089KW2QV1</t>
        </is>
      </c>
      <c r="G3815">
        <f>_xlfn.IMAGE("https://edmondsonsupply.com/cdn/shop/products/DMAPL4080_1.jpg?v=1633030359")</f>
        <v/>
      </c>
      <c r="H3815">
        <f>_xlfn.IMAGE("https://m.media-amazon.com/images/I/61rW+ROVmNL._AC_UL320_.jpg")</f>
        <v/>
      </c>
      <c r="K3815" t="inlineStr">
        <is>
          <t>7.47</t>
        </is>
      </c>
      <c r="L3815" t="n">
        <v>23</v>
      </c>
      <c r="M3815" s="1" t="inlineStr">
        <is>
          <t>207.90%</t>
        </is>
      </c>
      <c r="N3815" s="7" t="n">
        <v>21.98</v>
      </c>
      <c r="O3815" t="n">
        <v>4.7</v>
      </c>
      <c r="P3815" t="n">
        <v>18</v>
      </c>
      <c r="R3815" t="inlineStr">
        <is>
          <t>InStock</t>
        </is>
      </c>
      <c r="S3815" t="inlineStr">
        <is>
          <t>undefined</t>
        </is>
      </c>
      <c r="T3815" t="inlineStr">
        <is>
          <t>5286767919272</t>
        </is>
      </c>
    </row>
    <row r="3816" hidden="1" ht="15.75" customHeight="1">
      <c r="A3816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816" s="2">
        <f>HYPERLINK("https://edmondsonsupply.com/products/diablo-tools-dsp1060-1-in-x-4-in-spade-bit", "https://edmondsonsupply.com/products/diablo-tools-dsp1060-1-in-x-4-in-spade-bit")</f>
        <v/>
      </c>
      <c r="C3816" t="inlineStr">
        <is>
          <t>Diablo Tools DSP1060 1 in. x 4 in. Spade Bit</t>
        </is>
      </c>
      <c r="D3816" t="inlineStr">
        <is>
          <t>Diablo by Freud DSP2090-P2 3/4 in. x 6 in. SPEEDemon Spade Bit (2-Pack)</t>
        </is>
      </c>
      <c r="E3816" s="2">
        <f>HYPERLINK("https://www.amazon.com/Diablo-SPEEDemon-Spade-Bit-2-Pack/dp/B089KV8K7W/ref=sr_1_24?keywords=Diablo+Tools+DSP1060+1+in.+x+4+in.+Spade+Bit&amp;qid=1694735068&amp;sr=8-24", "https://www.amazon.com/Diablo-SPEEDemon-Spade-Bit-2-Pack/dp/B089KV8K7W/ref=sr_1_24?keywords=Diablo+Tools+DSP1060+1+in.+x+4+in.+Spade+Bit&amp;qid=1694735068&amp;sr=8-24")</f>
        <v/>
      </c>
      <c r="F3816" t="inlineStr">
        <is>
          <t>B089KV8K7W</t>
        </is>
      </c>
      <c r="G3816">
        <f>_xludf.IMAGE("https://edmondsonsupply.com/cdn/shop/products/hanbmwlurgioczoyawta.webp?v=1670510289")</f>
        <v/>
      </c>
      <c r="H3816">
        <f>_xludf.IMAGE("https://m.media-amazon.com/images/I/610FU8LQY+L._AC_UL320_.jpg")</f>
        <v/>
      </c>
      <c r="K3816" t="inlineStr">
        <is>
          <t>2.59</t>
        </is>
      </c>
      <c r="L3816" t="n">
        <v>7.88</v>
      </c>
      <c r="M3816" s="1" t="inlineStr">
        <is>
          <t>204.25%</t>
        </is>
      </c>
      <c r="N3816" s="1" t="n">
        <v>21.88</v>
      </c>
      <c r="O3816" t="n">
        <v>4.7</v>
      </c>
      <c r="P3816" t="n">
        <v>40</v>
      </c>
      <c r="R3816" t="inlineStr">
        <is>
          <t>InStock</t>
        </is>
      </c>
      <c r="S3816" t="inlineStr">
        <is>
          <t>2.96</t>
        </is>
      </c>
      <c r="T3816" t="inlineStr">
        <is>
          <t>7901168730328</t>
        </is>
      </c>
    </row>
    <row r="3817" ht="87" customHeight="1">
      <c r="A3817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3817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3817" t="inlineStr">
        <is>
          <t>Klein Tools NCVT-2P Dual Range Non-Contact Voltage Tester 12 - 1000V AC</t>
        </is>
      </c>
      <c r="D3817" t="inlineStr">
        <is>
          <t>Klein Tools NCVT3PKIT Electrical Test Kit, Dual-Range Non-Contact Voltage Tester with Flashlight, AC/DC Voltage Tester and Carrying Case &amp; ET310 AC Circuit Breaker Finder</t>
        </is>
      </c>
      <c r="E3817" s="2">
        <f>HYPERLINK("https://www.amazon.com/Klein-Tools-Electrical-Dual-Range-Non-Contact/dp/B0BD3WBV6W/ref=sr_1_19?keywords=Klein+Tools+NCVT-2P+Dual+Range+Non-Contact+Voltage+Tester+12+-+1000V+AC&amp;qid=1694735236&amp;sr=8-19", "https://www.amazon.com/Klein-Tools-Electrical-Dual-Range-Non-Contact/dp/B0BD3WBV6W/ref=sr_1_19?keywords=Klein+Tools+NCVT-2P+Dual+Range+Non-Contact+Voltage+Tester+12+-+1000V+AC&amp;qid=1694735236&amp;sr=8-19")</f>
        <v/>
      </c>
      <c r="F3817" t="inlineStr">
        <is>
          <t>B0BD3WBV6W</t>
        </is>
      </c>
      <c r="G3817">
        <f>_xlfn.IMAGE("https://edmondsonsupply.com/cdn/shop/products/ncvt2p.jpg?v=1633030824")</f>
        <v/>
      </c>
      <c r="H3817">
        <f>_xlfn.IMAGE("https://m.media-amazon.com/images/I/51Bb9uu7nIL._AC_UL320_.jpg")</f>
        <v/>
      </c>
      <c r="K3817" t="inlineStr">
        <is>
          <t>27.97</t>
        </is>
      </c>
      <c r="L3817" t="n">
        <v>84.95999999999999</v>
      </c>
      <c r="M3817" s="1" t="inlineStr">
        <is>
          <t>203.75%</t>
        </is>
      </c>
      <c r="N3817" s="7" t="n">
        <v>21.76</v>
      </c>
      <c r="O3817" t="n">
        <v>5</v>
      </c>
      <c r="P3817" t="n">
        <v>1</v>
      </c>
      <c r="R3817" t="inlineStr">
        <is>
          <t>InStock</t>
        </is>
      </c>
      <c r="S3817" t="inlineStr">
        <is>
          <t>35.76</t>
        </is>
      </c>
      <c r="T3817" t="inlineStr">
        <is>
          <t>6080875626669</t>
        </is>
      </c>
    </row>
    <row r="3818" ht="87" customHeight="1">
      <c r="A3818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3818" s="2">
        <f>HYPERLINK("https://edmondsonsupply.com/products/klein-tools-jth9m5-5-mm-hex-key-journeyman-t-handle-9-inch", "https://edmondsonsupply.com/products/klein-tools-jth9m5-5-mm-hex-key-journeyman-t-handle-9-inch")</f>
        <v/>
      </c>
      <c r="C3818" t="inlineStr">
        <is>
          <t>Klein Tools JTH9M5 5 mm Hex Key, Journeyman T-Handle 9-Inch</t>
        </is>
      </c>
      <c r="D3818" t="inlineStr">
        <is>
          <t>Klein Tools JTH9M10 10 mm Hex Key with Journeyman T-Handle, 9-Inch</t>
        </is>
      </c>
      <c r="E3818" s="2">
        <f>HYPERLINK("https://www.amazon.com/Journeyman-T-Handle-Klein-Tools-JTH9M10/dp/B005G3HIA6/ref=sr_1_12?keywords=Klein+Tools+JTH9M5+5+mm+Hex+Key%2C+Journeyman+T-Handle+9-Inch&amp;qid=1694735207&amp;sr=8-12", "https://www.amazon.com/Journeyman-T-Handle-Klein-Tools-JTH9M10/dp/B005G3HIA6/ref=sr_1_12?keywords=Klein+Tools+JTH9M5+5+mm+Hex+Key%2C+Journeyman+T-Handle+9-Inch&amp;qid=1694735207&amp;sr=8-12")</f>
        <v/>
      </c>
      <c r="F3818" t="inlineStr">
        <is>
          <t>B005G3HIA6</t>
        </is>
      </c>
      <c r="G3818">
        <f>_xlfn.IMAGE("https://edmondsonsupply.com/cdn/shop/products/jth9m_84ad507b-889a-4b5c-80a2-9633c898cd48.jpg?v=1633031048")</f>
        <v/>
      </c>
      <c r="H3818">
        <f>_xlfn.IMAGE("https://m.media-amazon.com/images/I/51+1x0vz9XL._AC_UL320_.jpg")</f>
        <v/>
      </c>
      <c r="K3818" t="inlineStr">
        <is>
          <t>4.99</t>
        </is>
      </c>
      <c r="L3818" t="n">
        <v>15.15</v>
      </c>
      <c r="M3818" s="1" t="inlineStr">
        <is>
          <t>203.61%</t>
        </is>
      </c>
      <c r="N3818" s="7" t="n">
        <v>21.65</v>
      </c>
      <c r="O3818" t="n">
        <v>5</v>
      </c>
      <c r="P3818" t="n">
        <v>2</v>
      </c>
      <c r="R3818" t="inlineStr">
        <is>
          <t>InStock</t>
        </is>
      </c>
      <c r="S3818" t="inlineStr">
        <is>
          <t>7.58</t>
        </is>
      </c>
      <c r="T3818" t="inlineStr">
        <is>
          <t>6772921532589</t>
        </is>
      </c>
    </row>
    <row r="3819" ht="87" customHeight="1">
      <c r="A3819" s="2">
        <f>HYPERLINK("https://edmondsonsupply.com/collections/electricians-tools/products/milwaukee-48-03-3015-carbide-bit-spline-to-sds-plus-adapter", "https://edmondsonsupply.com/collections/electricians-tools/products/milwaukee-48-03-3015-carbide-bit-spline-to-sds-plus-adapter")</f>
        <v/>
      </c>
      <c r="B3819" s="2">
        <f>HYPERLINK("https://edmondsonsupply.com/products/milwaukee-48-03-3015-carbide-bit-spline-to-sds-plus-adapter", "https://edmondsonsupply.com/products/milwaukee-48-03-3015-carbide-bit-spline-to-sds-plus-adapter")</f>
        <v/>
      </c>
      <c r="C3819" t="inlineStr">
        <is>
          <t>Milwaukee 48-03-3015 Spline to SDS-Plus Bit Adapter</t>
        </is>
      </c>
      <c r="D3819" t="inlineStr">
        <is>
          <t>Milwaukee 48-03-3012 SDS-Max to Spline Adapter</t>
        </is>
      </c>
      <c r="E3819" s="2">
        <f>HYPERLINK("https://www.amazon.com/Milwaukee-48-03-3012-SDS-Max-Spline-Adapter/dp/B00I3PGEOA/ref=sr_1_2?keywords=Milwaukee+48-03-3015+Spline+to+SDS-Plus+Bit+Adapter&amp;qid=1694735054&amp;sr=8-2", "https://www.amazon.com/Milwaukee-48-03-3012-SDS-Max-Spline-Adapter/dp/B00I3PGEOA/ref=sr_1_2?keywords=Milwaukee+48-03-3015+Spline+to+SDS-Plus+Bit+Adapter&amp;qid=1694735054&amp;sr=8-2")</f>
        <v/>
      </c>
      <c r="F3819" t="inlineStr">
        <is>
          <t>B00I3PGEOA</t>
        </is>
      </c>
      <c r="G3819">
        <f>_xlfn.IMAGE("https://edmondsonsupply.com/cdn/shop/products/48-03-3010_1.webp?v=1674076699")</f>
        <v/>
      </c>
      <c r="H3819">
        <f>_xlfn.IMAGE("https://m.media-amazon.com/images/I/61QrQEYLIrL._AC_UL320_.jpg")</f>
        <v/>
      </c>
      <c r="K3819" t="inlineStr">
        <is>
          <t>56.45</t>
        </is>
      </c>
      <c r="L3819" t="n">
        <v>170.97</v>
      </c>
      <c r="M3819" s="1" t="inlineStr">
        <is>
          <t>202.87%</t>
        </is>
      </c>
      <c r="N3819" s="7" t="n">
        <v>21.62</v>
      </c>
      <c r="O3819" t="n">
        <v>4.6</v>
      </c>
      <c r="P3819" t="n">
        <v>2</v>
      </c>
      <c r="R3819" t="inlineStr">
        <is>
          <t>InStock</t>
        </is>
      </c>
      <c r="S3819" t="inlineStr">
        <is>
          <t>102.3</t>
        </is>
      </c>
      <c r="T3819" t="inlineStr">
        <is>
          <t>7926202794200</t>
        </is>
      </c>
    </row>
    <row r="3820" ht="87" customHeight="1">
      <c r="A3820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3820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3820" t="inlineStr">
        <is>
          <t>Diablo Tools DMAPL4180 1/2 in. x 4 in. x 6 in. Rebar Demon™ SDS-Plus 4-Cutter Full Carbide Head Hammer Bit</t>
        </is>
      </c>
      <c r="D3820" t="inlineStr">
        <is>
          <t>Diablo by Freud DMAPL4270 27/32 in. x 8 in. x 10 in. Rebar Demon SDS-Plus 4-Cutter Full Carbide Head Hammer Bit</t>
        </is>
      </c>
      <c r="E3820" s="2">
        <f>HYPERLINK("https://www.amazon.com/Diablo-Freud-DMAPL4270-SDS-Plus-4-Cutter/dp/B089KXBGLM/ref=sr_1_8?keywords=Diablo+Tools+DMAPL4180+1%2F2+in.+x+4+in.+x+6+in.+Rebar+Demon%E2%84%A2+SDS-Plus+4-Cutter+Full+Carbide+Head+Hammer+Bit&amp;qid=1694735298&amp;sr=8-8", "https://www.amazon.com/Diablo-Freud-DMAPL4270-SDS-Plus-4-Cutter/dp/B089KXBGLM/ref=sr_1_8?keywords=Diablo+Tools+DMAPL4180+1%2F2+in.+x+4+in.+x+6+in.+Rebar+Demon%E2%84%A2+SDS-Plus+4-Cutter+Full+Carbide+Head+Hammer+Bit&amp;qid=1694735298&amp;sr=8-8")</f>
        <v/>
      </c>
      <c r="F3820" t="inlineStr">
        <is>
          <t>B089KXBGLM</t>
        </is>
      </c>
      <c r="G3820">
        <f>_xlfn.IMAGE("https://edmondsonsupply.com/cdn/shop/products/DMAPL4180_Main-Image20200702.png?v=1633030362")</f>
        <v/>
      </c>
      <c r="H3820">
        <f>_xlfn.IMAGE("https://m.media-amazon.com/images/I/611A6sphG9L._AC_UL320_.jpg")</f>
        <v/>
      </c>
      <c r="K3820" t="inlineStr">
        <is>
          <t>9.97</t>
        </is>
      </c>
      <c r="L3820" t="n">
        <v>30.13</v>
      </c>
      <c r="M3820" s="1" t="inlineStr">
        <is>
          <t>202.21%</t>
        </is>
      </c>
      <c r="N3820" s="7" t="n">
        <v>21.59</v>
      </c>
      <c r="O3820" t="n">
        <v>5</v>
      </c>
      <c r="P3820" t="n">
        <v>2</v>
      </c>
      <c r="R3820" t="inlineStr">
        <is>
          <t>InStock</t>
        </is>
      </c>
      <c r="S3820" t="inlineStr">
        <is>
          <t>undefined</t>
        </is>
      </c>
      <c r="T3820" t="inlineStr">
        <is>
          <t>5286803833000</t>
        </is>
      </c>
    </row>
    <row r="3821" ht="87" customHeight="1">
      <c r="A3821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3821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3821" t="inlineStr">
        <is>
          <t>Diablo Tools DMAPL4160 3/8 in. x 10 in. x 12 in. Rebar Demon™ SDS-Plus 4-Cutter Full Carbide Head Hammer Bit</t>
        </is>
      </c>
      <c r="D3821" t="inlineStr">
        <is>
          <t>Diablo by Freud DMAPL4270 27/32 in. x 8 in. x 10 in. Rebar Demon SDS-Plus 4-Cutter Full Carbide Head Hammer Bit</t>
        </is>
      </c>
      <c r="E3821" s="2">
        <f>HYPERLINK("https://www.amazon.com/Diablo-Freud-DMAPL4270-SDS-Plus-4-Cutter/dp/B089KXBGLM/ref=sr_1_9?keywords=Diablo+Tools+DMAPL4160+3%2F8+in.+x+10+in.+x+12+in.+Rebar+Demon%E2%84%A2+SDS-Plus+4-Cutter+Full+Carbide+Head+Hammer+Bit&amp;qid=1694735304&amp;sr=8-9", "https://www.amazon.com/Diablo-Freud-DMAPL4270-SDS-Plus-4-Cutter/dp/B089KXBGLM/ref=sr_1_9?keywords=Diablo+Tools+DMAPL4160+3%2F8+in.+x+10+in.+x+12+in.+Rebar+Demon%E2%84%A2+SDS-Plus+4-Cutter+Full+Carbide+Head+Hammer+Bit&amp;qid=1694735304&amp;sr=8-9")</f>
        <v/>
      </c>
      <c r="F3821" t="inlineStr">
        <is>
          <t>B089KXBGLM</t>
        </is>
      </c>
      <c r="G3821">
        <f>_xlfn.IMAGE("https://edmondsonsupply.com/cdn/shop/products/w7y3zlfom8dhrlplcmqa.webp?v=1670439058")</f>
        <v/>
      </c>
      <c r="H3821">
        <f>_xlfn.IMAGE("https://m.media-amazon.com/images/I/611A6sphG9L._AC_UL320_.jpg")</f>
        <v/>
      </c>
      <c r="K3821" t="inlineStr">
        <is>
          <t>9.97</t>
        </is>
      </c>
      <c r="L3821" t="n">
        <v>30.13</v>
      </c>
      <c r="M3821" s="1" t="inlineStr">
        <is>
          <t>202.21%</t>
        </is>
      </c>
      <c r="N3821" s="7" t="n">
        <v>21.47</v>
      </c>
      <c r="O3821" t="n">
        <v>5</v>
      </c>
      <c r="P3821" t="n">
        <v>2</v>
      </c>
      <c r="R3821" t="inlineStr">
        <is>
          <t>InStock</t>
        </is>
      </c>
      <c r="S3821" t="inlineStr">
        <is>
          <t>15.02</t>
        </is>
      </c>
      <c r="T3821" t="inlineStr">
        <is>
          <t>5286778601640</t>
        </is>
      </c>
    </row>
    <row r="3822" ht="87" customHeight="1">
      <c r="A3822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3822" s="2">
        <f>HYPERLINK("https://edmondsonsupply.com/products/klein-tools-vdv427-300-impact-punchdown-tool-66-110-blade", "https://edmondsonsupply.com/products/klein-tools-vdv427-300-impact-punchdown-tool-66-110-blade")</f>
        <v/>
      </c>
      <c r="C3822" t="inlineStr">
        <is>
          <t>Klein Tools VDV427-300 Impact Punchdown Tool, 66/110 Blade</t>
        </is>
      </c>
      <c r="D3822" t="inlineStr">
        <is>
          <t>Klein Tools VDV501-851 Cable Tester Kit &amp; VDV427-300 Impact Punchdown Tool, 66/110 Blade</t>
        </is>
      </c>
      <c r="E3822" s="2">
        <f>HYPERLINK("https://www.amazon.com/Klein-Tools-VDV501-851-VDV427-300-Punchdown/dp/B09Q66V8VH/ref=sr_1_10?keywords=Klein+Tools+VDV427-300+Impact+Punchdown+Tool%2C+66%2F110+Blade&amp;qid=1694735168&amp;sr=8-10", "https://www.amazon.com/Klein-Tools-VDV501-851-VDV427-300-Punchdown/dp/B09Q66V8VH/ref=sr_1_10?keywords=Klein+Tools+VDV427-300+Impact+Punchdown+Tool%2C+66%2F110+Blade&amp;qid=1694735168&amp;sr=8-10")</f>
        <v/>
      </c>
      <c r="F3822" t="inlineStr">
        <is>
          <t>B09Q66V8VH</t>
        </is>
      </c>
      <c r="G3822">
        <f>_xlfn.IMAGE("https://edmondsonsupply.com/cdn/shop/products/vdv427300.jpg?v=1646010568")</f>
        <v/>
      </c>
      <c r="H3822">
        <f>_xlfn.IMAGE("https://m.media-amazon.com/images/I/5179dKa9RLL._AC_UL320_.jpg")</f>
        <v/>
      </c>
      <c r="K3822" t="inlineStr">
        <is>
          <t>39.97</t>
        </is>
      </c>
      <c r="L3822" t="n">
        <v>120.3</v>
      </c>
      <c r="M3822" s="1" t="inlineStr">
        <is>
          <t>200.98%</t>
        </is>
      </c>
      <c r="N3822" s="7" t="n">
        <v>21.46</v>
      </c>
      <c r="O3822" t="n">
        <v>4.8</v>
      </c>
      <c r="P3822" t="n">
        <v>74</v>
      </c>
      <c r="R3822" t="inlineStr">
        <is>
          <t>InStock</t>
        </is>
      </c>
      <c r="S3822" t="inlineStr">
        <is>
          <t>55.98</t>
        </is>
      </c>
      <c r="T3822" t="inlineStr">
        <is>
          <t>7620069818584</t>
        </is>
      </c>
    </row>
    <row r="3823" hidden="1" ht="15.75" customHeight="1">
      <c r="A3823" s="2">
        <f>HYPERLINK("https://edmondsonsupply.com/collections/electricians-tools/products/diablo-tools-dmarg1010-1-8-in-x-2-in-x-3-in-speedemon%E2%84%A2-red-granite-carbide-tipped-hammer-drill-bit", "https://edmondsonsupply.com/collections/electricians-tools/products/diablo-tools-dmarg1010-1-8-in-x-2-in-x-3-in-speedemon%E2%84%A2-red-granite-carbide-tipped-hammer-drill-bit")</f>
        <v/>
      </c>
      <c r="B3823" s="2">
        <f>HYPERLINK("https://edmondsonsupply.com/products/diablo-tools-dmarg1010-1-8-in-x-2-in-x-3-in-speedemon%e2%84%a2-red-granite-carbide-tipped-hammer-drill-bit", "https://edmondsonsupply.com/products/diablo-tools-dmarg1010-1-8-in-x-2-in-x-3-in-speedemon%e2%84%a2-red-granite-carbide-tipped-hammer-drill-bit")</f>
        <v/>
      </c>
      <c r="C3823" t="inlineStr">
        <is>
          <t>Diablo Tools DMARG1010 1/8 in. x 2 in. x 3 in. SPEEDemon™ Red Granite Carbide Tipped Hammer Drill Bit</t>
        </is>
      </c>
      <c r="D3823" t="inlineStr">
        <is>
          <t>Sabre Tools 1-1/8 Inch x 12 Inch SDS Plus Rotary Hammer Drill Bit, Carbide Tipped for Brick, Stone, and Concrete Version 2 (1-1/8" x 10" x 12")</t>
        </is>
      </c>
      <c r="E3823" s="2">
        <f>HYPERLINK("https://www.amazon.com/Sabre-Tools-Carbide-Concrete-Version/dp/B09CCVY1M2/ref=sr_1_19?keywords=Diablo+Tools+DMARG1010+1%2F8+in.+x+2+in.+x+3+in.+SPEEDemon%E2%84%A2+Red+Granite+Carbide+Tipped+Hammer+Drill+Bit&amp;qid=1694735189&amp;sr=8-19", "https://www.amazon.com/Sabre-Tools-Carbide-Concrete-Version/dp/B09CCVY1M2/ref=sr_1_19?keywords=Diablo+Tools+DMARG1010+1%2F8+in.+x+2+in.+x+3+in.+SPEEDemon%E2%84%A2+Red+Granite+Carbide+Tipped+Hammer+Drill+Bit&amp;qid=1694735189&amp;sr=8-19")</f>
        <v/>
      </c>
      <c r="F3823" t="inlineStr">
        <is>
          <t>B09CCVY1M2</t>
        </is>
      </c>
      <c r="G3823">
        <f>_xludf.IMAGE("https://edmondsonsupply.com/cdn/shop/products/DMARG1010_Main-Image20200706.png?v=1633031180")</f>
        <v/>
      </c>
      <c r="H3823">
        <f>_xludf.IMAGE("https://m.media-amazon.com/images/I/61RU2gjbzEL._AC_UL320_.jpg")</f>
        <v/>
      </c>
      <c r="K3823" t="inlineStr">
        <is>
          <t>2.99</t>
        </is>
      </c>
      <c r="L3823" t="n">
        <v>8.99</v>
      </c>
      <c r="M3823" s="1" t="inlineStr">
        <is>
          <t>200.67%</t>
        </is>
      </c>
      <c r="N3823" s="1" t="n">
        <v>21.3</v>
      </c>
      <c r="O3823" t="n">
        <v>4.6</v>
      </c>
      <c r="P3823" t="n">
        <v>796</v>
      </c>
      <c r="R3823" t="inlineStr">
        <is>
          <t>InStock</t>
        </is>
      </c>
      <c r="S3823" t="inlineStr">
        <is>
          <t>3.86</t>
        </is>
      </c>
      <c r="T3823" t="inlineStr">
        <is>
          <t>6917972099245</t>
        </is>
      </c>
    </row>
    <row r="3824" ht="87" customHeight="1">
      <c r="A3824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3824" s="2">
        <f>HYPERLINK("https://edmondsonsupply.com/products/klein-tools-s8-1-4-inch-hollow-shaft-nut-driver-3-inch-shaft", "https://edmondsonsupply.com/products/klein-tools-s8-1-4-inch-hollow-shaft-nut-driver-3-inch-shaft")</f>
        <v/>
      </c>
      <c r="C3824" t="inlineStr">
        <is>
          <t>Klein Tools S8 1/4-Inch Hollow Shaft Nut Driver, 3-Inch Shaft</t>
        </is>
      </c>
      <c r="D3824" t="inlineStr">
        <is>
          <t>Klein Tools 646-1/4-INS Insulated 1/4-Inch Nut Driver with 6-Inch Hollow Shaft and Cushion Grip Handle</t>
        </is>
      </c>
      <c r="E3824" s="2">
        <f>HYPERLINK("https://www.amazon.com/Insulated-Klein-Tools-646-1-4-INS/dp/B000MKMH5O/ref=sr_1_12?keywords=Klein+Tools+S8+1%2F4-Inch+Hollow+Shaft+Nut+Driver%2C+3-Inch+Shaft&amp;qid=1694735248&amp;sr=8-12", "https://www.amazon.com/Insulated-Klein-Tools-646-1-4-INS/dp/B000MKMH5O/ref=sr_1_12?keywords=Klein+Tools+S8+1%2F4-Inch+Hollow+Shaft+Nut+Driver%2C+3-Inch+Shaft&amp;qid=1694735248&amp;sr=8-12")</f>
        <v/>
      </c>
      <c r="F3824" t="inlineStr">
        <is>
          <t>B000MKMH5O</t>
        </is>
      </c>
      <c r="G3824">
        <f>_xlfn.IMAGE("https://edmondsonsupply.com/cdn/shop/products/s10.jpg?v=1633030797")</f>
        <v/>
      </c>
      <c r="H3824">
        <f>_xlfn.IMAGE("https://m.media-amazon.com/images/I/41Nr0vSgHCL._AC_UL320_.jpg")</f>
        <v/>
      </c>
      <c r="K3824" t="inlineStr">
        <is>
          <t>7.29</t>
        </is>
      </c>
      <c r="L3824" t="n">
        <v>21.91</v>
      </c>
      <c r="M3824" s="1" t="inlineStr">
        <is>
          <t>200.55%</t>
        </is>
      </c>
      <c r="N3824" s="7" t="n">
        <v>21.2</v>
      </c>
      <c r="O3824" t="n">
        <v>4.7</v>
      </c>
      <c r="P3824" t="n">
        <v>272</v>
      </c>
      <c r="R3824" t="inlineStr">
        <is>
          <t>InStock</t>
        </is>
      </c>
      <c r="S3824" t="inlineStr">
        <is>
          <t>10.74</t>
        </is>
      </c>
      <c r="T3824" t="inlineStr">
        <is>
          <t>6000424485032</t>
        </is>
      </c>
    </row>
    <row r="3825" ht="87" customHeight="1">
      <c r="A3825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825" s="2">
        <f>HYPERLINK("https://edmondsonsupply.com/products/klein-tools-rt110-receptacle-tester", "https://edmondsonsupply.com/products/klein-tools-rt110-receptacle-tester")</f>
        <v/>
      </c>
      <c r="C3825" t="inlineStr">
        <is>
          <t>Klein Tools RT110 Receptacle Tester</t>
        </is>
      </c>
      <c r="D3825" t="inlineStr">
        <is>
          <t>Klein Tools NCVT1P Voltage Tester, 50V to 1000V AC, Audible and Flashing LED Alarms, Pocket Clip &amp; RT110 Outlet Tester, AC Electrical Receptacle Tester for North American Outlets</t>
        </is>
      </c>
      <c r="E3825" s="2">
        <f>HYPERLINK("https://www.amazon.com/Klein-Tools-Flashing-Electrical-Receptacle/dp/B0BRM9Q8SF/ref=sr_1_2?keywords=Klein+Tools+RT110+Receptacle+Tester&amp;qid=1694735205&amp;sr=8-2", "https://www.amazon.com/Klein-Tools-Flashing-Electrical-Receptacle/dp/B0BRM9Q8SF/ref=sr_1_2?keywords=Klein+Tools+RT110+Receptacle+Tester&amp;qid=1694735205&amp;sr=8-2")</f>
        <v/>
      </c>
      <c r="F3825" t="inlineStr">
        <is>
          <t>B0BRM9Q8SF</t>
        </is>
      </c>
      <c r="G3825">
        <f>_xlfn.IMAGE("https://edmondsonsupply.com/cdn/shop/products/rt110.jpg?v=1633031036")</f>
        <v/>
      </c>
      <c r="H3825">
        <f>_xlfn.IMAGE("https://m.media-amazon.com/images/I/41xqNIeskEL._AC_UL320_.jpg")</f>
        <v/>
      </c>
      <c r="K3825" t="inlineStr">
        <is>
          <t>9.97</t>
        </is>
      </c>
      <c r="L3825" t="n">
        <v>29.94</v>
      </c>
      <c r="M3825" s="1" t="inlineStr">
        <is>
          <t>200.30%</t>
        </is>
      </c>
      <c r="N3825" s="7" t="n">
        <v>21.05</v>
      </c>
      <c r="O3825" t="n">
        <v>5</v>
      </c>
      <c r="P3825" t="n">
        <v>2</v>
      </c>
      <c r="R3825" t="inlineStr">
        <is>
          <t>InStock</t>
        </is>
      </c>
      <c r="S3825" t="inlineStr">
        <is>
          <t>12.12</t>
        </is>
      </c>
      <c r="T3825" t="inlineStr">
        <is>
          <t>6740486619309</t>
        </is>
      </c>
    </row>
    <row r="3826" ht="87" customHeight="1">
      <c r="A3826" s="2">
        <f>HYPERLINK("https://edmondsonsupply.com/collections/electricians-tools/products/milwaukee-48-22-8487-packout%E2%84%A2-large-wall-plate", "https://edmondsonsupply.com/collections/electricians-tools/products/milwaukee-48-22-8487-packout%E2%84%A2-large-wall-plate")</f>
        <v/>
      </c>
      <c r="B3826" s="2">
        <f>HYPERLINK("https://edmondsonsupply.com/products/milwaukee-48-22-8487-packout%e2%84%a2-large-wall-plate", "https://edmondsonsupply.com/products/milwaukee-48-22-8487-packout%e2%84%a2-large-wall-plate")</f>
        <v/>
      </c>
      <c r="C3826" t="inlineStr">
        <is>
          <t>Milwaukee 48-22-8487 PACKOUT™ Large Wall Plate</t>
        </is>
      </c>
      <c r="D3826" t="inlineStr">
        <is>
          <t>48-22-8487 for Milwaukee Packout Large Wall Plate with 150 lbs. Capacity,Wall and Floor Mounting, Dimensions: 1.1L x 20W x 30.5H in</t>
        </is>
      </c>
      <c r="E3826" s="2">
        <f>HYPERLINK("https://www.amazon.com/48-22-8487-Milwaukee-Capacity-Mounting-Dimensions/dp/B0BLH8MR12/ref=sr_1_1?keywords=Milwaukee+48-22-8487+PACKOUT%E2%84%A2+Large+Wall+Plate&amp;qid=1694735015&amp;sr=8-1", "https://www.amazon.com/48-22-8487-Milwaukee-Capacity-Mounting-Dimensions/dp/B0BLH8MR12/ref=sr_1_1?keywords=Milwaukee+48-22-8487+PACKOUT%E2%84%A2+Large+Wall+Plate&amp;qid=1694735015&amp;sr=8-1")</f>
        <v/>
      </c>
      <c r="F3826" t="inlineStr">
        <is>
          <t>B0BLH8MR12</t>
        </is>
      </c>
      <c r="G3826">
        <f>_xlfn.IMAGE("https://edmondsonsupply.com/cdn/shop/products/48-22-8487_2.png?v=1679331695")</f>
        <v/>
      </c>
      <c r="H3826">
        <f>_xlfn.IMAGE("https://m.media-amazon.com/images/I/61e8-0MC3NL._AC_UL320_.jpg")</f>
        <v/>
      </c>
      <c r="K3826" t="inlineStr">
        <is>
          <t>39.97</t>
        </is>
      </c>
      <c r="L3826" t="n">
        <v>119.99</v>
      </c>
      <c r="M3826" s="1" t="inlineStr">
        <is>
          <t>200.20%</t>
        </is>
      </c>
      <c r="N3826" s="7" t="n">
        <v>20.97</v>
      </c>
      <c r="O3826" t="n">
        <v>5</v>
      </c>
      <c r="P3826" t="n">
        <v>1</v>
      </c>
      <c r="R3826" t="inlineStr">
        <is>
          <t>InStock</t>
        </is>
      </c>
      <c r="S3826" t="inlineStr">
        <is>
          <t>68.2</t>
        </is>
      </c>
      <c r="T3826" t="inlineStr">
        <is>
          <t>7964960096472</t>
        </is>
      </c>
    </row>
    <row r="3827" ht="87" customHeight="1">
      <c r="A3827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3827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3827" t="inlineStr">
        <is>
          <t>Klein Tools 646M Magnetic Nut Driver Set, 6-Inch Shafts, 2-Piece</t>
        </is>
      </c>
      <c r="D3827" t="inlineStr">
        <is>
          <t>Klein Tools 631M Tool Set, Magnetic Nut Drivers Sizes 3/16, 1/4, 5/16, 11/32, 3/8, 7/16 and 1/2-Inch on 3-Inch Full Hollow Shaft, 7-Piece</t>
        </is>
      </c>
      <c r="E3827" s="2">
        <f>HYPERLINK("https://www.amazon.com/Driver-Magnetic-3-Inch-Hollow-Klein/dp/B001BQ0DNG/ref=sr_1_30?keywords=Klein+Tools+646M+Magnetic+Nut+Driver+Set%2C+6-Inch+Shafts%2C+2-Piece&amp;qid=1694735354&amp;sr=8-30", "https://www.amazon.com/Driver-Magnetic-3-Inch-Hollow-Klein/dp/B001BQ0DNG/ref=sr_1_30?keywords=Klein+Tools+646M+Magnetic+Nut+Driver+Set%2C+6-Inch+Shafts%2C+2-Piece&amp;qid=1694735354&amp;sr=8-30")</f>
        <v/>
      </c>
      <c r="F3827" t="inlineStr">
        <is>
          <t>B001BQ0DNG</t>
        </is>
      </c>
      <c r="G3827">
        <f>_xlfn.IMAGE("https://edmondsonsupply.com/cdn/shop/products/646m.jpg?v=1587146592")</f>
        <v/>
      </c>
      <c r="H3827">
        <f>_xlfn.IMAGE("https://m.media-amazon.com/images/I/61pMsoh2smL._AC_UL320_.jpg")</f>
        <v/>
      </c>
      <c r="K3827" t="inlineStr">
        <is>
          <t>24.99</t>
        </is>
      </c>
      <c r="L3827" t="n">
        <v>74.98999999999999</v>
      </c>
      <c r="M3827" s="1" t="inlineStr">
        <is>
          <t>200.08%</t>
        </is>
      </c>
      <c r="N3827" s="7" t="n">
        <v>20.66</v>
      </c>
      <c r="O3827" t="n">
        <v>4.8</v>
      </c>
      <c r="P3827" t="n">
        <v>1145</v>
      </c>
      <c r="R3827" t="inlineStr">
        <is>
          <t>InStock</t>
        </is>
      </c>
      <c r="S3827" t="inlineStr">
        <is>
          <t>31.74</t>
        </is>
      </c>
      <c r="T3827" t="inlineStr">
        <is>
          <t>4469705932900</t>
        </is>
      </c>
    </row>
    <row r="3828" ht="87" customHeight="1">
      <c r="A3828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3828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3828" t="inlineStr">
        <is>
          <t>Klein Tools 32288 8-in-1 Insulated Interchangeable Screwdriver Set</t>
        </is>
      </c>
      <c r="D3828" t="inlineStr">
        <is>
          <t>Klein Tools 94130 1000V Insulated Screwdriver Tool Set &amp; 32288 Insulated Screwdriver, 8-in-1 Screwdriver Set with Interchangeable Blades, 3 Phillips, 3 Slotted and 2 Square Tips</t>
        </is>
      </c>
      <c r="E3828" s="2">
        <f>HYPERLINK("https://www.amazon.com/Klein-Tools-Insulated-Screwdriver-Interchangeable/dp/B0B56RT7PC/ref=sr_1_9?keywords=Klein+Tools+32288+8-in-1+Insulated+Interchangeable+Screwdriver+Set&amp;qid=1694734974&amp;sr=8-9", "https://www.amazon.com/Klein-Tools-Insulated-Screwdriver-Interchangeable/dp/B0B56RT7PC/ref=sr_1_9?keywords=Klein+Tools+32288+8-in-1+Insulated+Interchangeable+Screwdriver+Set&amp;qid=1694734974&amp;sr=8-9")</f>
        <v/>
      </c>
      <c r="F3828" t="inlineStr">
        <is>
          <t>B0B56RT7PC</t>
        </is>
      </c>
      <c r="G3828">
        <f>_xlfn.IMAGE("https://edmondsonsupply.com/cdn/shop/products/32288.jpg?v=1587146849")</f>
        <v/>
      </c>
      <c r="H3828">
        <f>_xlfn.IMAGE("https://m.media-amazon.com/images/I/51AO210bApL._AC_UL320_.jpg")</f>
        <v/>
      </c>
      <c r="K3828" t="inlineStr">
        <is>
          <t>49.99</t>
        </is>
      </c>
      <c r="L3828" t="n">
        <v>149.98</v>
      </c>
      <c r="M3828" s="1" t="inlineStr">
        <is>
          <t>200.02%</t>
        </is>
      </c>
      <c r="N3828" s="7" t="n">
        <v>20.53</v>
      </c>
      <c r="O3828" t="n">
        <v>4.9</v>
      </c>
      <c r="P3828" t="n">
        <v>11</v>
      </c>
      <c r="R3828" t="inlineStr">
        <is>
          <t>InStock</t>
        </is>
      </c>
      <c r="S3828" t="inlineStr">
        <is>
          <t>69.98</t>
        </is>
      </c>
      <c r="T3828" t="inlineStr">
        <is>
          <t>4094849613924</t>
        </is>
      </c>
    </row>
    <row r="3829" ht="87" customHeight="1">
      <c r="A3829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3829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3829" t="inlineStr">
        <is>
          <t>Klein Tools 630-1/2 1/2-Inch Nut Driver, 3-Inch Shaft, Cushion-Grip</t>
        </is>
      </c>
      <c r="D3829" t="inlineStr">
        <is>
          <t>Klein Tools 32807MAG 7-in-1 Nut Driver, Magnetic Driver has SAE Hex Nut Sizes 1/4 to 9/16-Inch, Cushion Grip Handle for Added Torque</t>
        </is>
      </c>
      <c r="E3829" s="2">
        <f>HYPERLINK("https://www.amazon.com/Driver-Magnetic-Klein-Tools-32807MAG/dp/B07D4M51DQ/ref=sr_1_18?keywords=Klein+Tools+630-1%2F2+1%2F2-Inch+Nut+Driver%2C+3-Inch+Shaft%2C+Cushion-Grip&amp;qid=1694735275&amp;sr=8-18", "https://www.amazon.com/Driver-Magnetic-Klein-Tools-32807MAG/dp/B07D4M51DQ/ref=sr_1_18?keywords=Klein+Tools+630-1%2F2+1%2F2-Inch+Nut+Driver%2C+3-Inch+Shaft%2C+Cushion-Grip&amp;qid=1694735275&amp;sr=8-18")</f>
        <v/>
      </c>
      <c r="F3829" t="inlineStr">
        <is>
          <t>B07D4M51DQ</t>
        </is>
      </c>
      <c r="G3829">
        <f>_xlfn.IMAGE("https://edmondsonsupply.com/cdn/shop/products/630-1-2_7cf2cc87-b92f-4b67-9777-1bad53f29a16.jpg?v=1633030528")</f>
        <v/>
      </c>
      <c r="H3829">
        <f>_xlfn.IMAGE("https://m.media-amazon.com/images/I/61gwAJBzDAL._AC_UL320_.jpg")</f>
        <v/>
      </c>
      <c r="K3829" t="inlineStr">
        <is>
          <t>9.99</t>
        </is>
      </c>
      <c r="L3829" t="n">
        <v>29.97</v>
      </c>
      <c r="M3829" s="1" t="inlineStr">
        <is>
          <t>200.00%</t>
        </is>
      </c>
      <c r="N3829" s="7" t="n">
        <v>20.5</v>
      </c>
      <c r="O3829" t="n">
        <v>4.7</v>
      </c>
      <c r="P3829" t="n">
        <v>9145</v>
      </c>
      <c r="R3829" t="inlineStr">
        <is>
          <t>InStock</t>
        </is>
      </c>
      <c r="S3829" t="inlineStr">
        <is>
          <t>14.38</t>
        </is>
      </c>
      <c r="T3829" t="inlineStr">
        <is>
          <t>5408826458280</t>
        </is>
      </c>
    </row>
    <row r="3830" ht="87" customHeight="1">
      <c r="A3830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3830" s="2">
        <f>HYPERLINK("https://edmondsonsupply.com/products/klein-tools-vaco-s10m-5-16-magnetic-nut-driver-3-hollow-shaft", "https://edmondsonsupply.com/products/klein-tools-vaco-s10m-5-16-magnetic-nut-driver-3-hollow-shaft")</f>
        <v/>
      </c>
      <c r="C3830" t="inlineStr">
        <is>
          <t>Klein Tools S10M 5/16-Inch Magnetic Nut Driver 3-Inch Shaft</t>
        </is>
      </c>
      <c r="D3830" t="inlineStr">
        <is>
          <t>Klein Tools 32807MAG 7-in-1 Nut Driver, Magnetic Driver has SAE Hex Nut Sizes 1/4 to 9/16-Inch, Cushion Grip Handle for Added Torque</t>
        </is>
      </c>
      <c r="E3830" s="2">
        <f>HYPERLINK("https://www.amazon.com/Driver-Magnetic-Klein-Tools-32807MAG/dp/B07D4M51DQ/ref=sr_1_28?keywords=Klein+Tools+S10M+5%2F16-Inch+Magnetic+Nut+Driver+3-Inch+Shaft&amp;qid=1694735002&amp;sr=8-28", "https://www.amazon.com/Driver-Magnetic-Klein-Tools-32807MAG/dp/B07D4M51DQ/ref=sr_1_28?keywords=Klein+Tools+S10M+5%2F16-Inch+Magnetic+Nut+Driver+3-Inch+Shaft&amp;qid=1694735002&amp;sr=8-28")</f>
        <v/>
      </c>
      <c r="F3830" t="inlineStr">
        <is>
          <t>B07D4M51DQ</t>
        </is>
      </c>
      <c r="G3830">
        <f>_xlfn.IMAGE("https://edmondsonsupply.com/cdn/shop/products/s10m_alt2.jpg?v=1587143022")</f>
        <v/>
      </c>
      <c r="H3830">
        <f>_xlfn.IMAGE("https://m.media-amazon.com/images/I/61gwAJBzDAL._AC_UL320_.jpg")</f>
        <v/>
      </c>
      <c r="K3830" t="inlineStr">
        <is>
          <t>9.99</t>
        </is>
      </c>
      <c r="L3830" t="n">
        <v>29.97</v>
      </c>
      <c r="M3830" s="1" t="inlineStr">
        <is>
          <t>200.00%</t>
        </is>
      </c>
      <c r="N3830" s="7" t="n">
        <v>20.4</v>
      </c>
      <c r="O3830" t="n">
        <v>4.7</v>
      </c>
      <c r="P3830" t="n">
        <v>9145</v>
      </c>
      <c r="R3830" t="inlineStr">
        <is>
          <t>InStock</t>
        </is>
      </c>
      <c r="S3830" t="inlineStr">
        <is>
          <t>15.08</t>
        </is>
      </c>
      <c r="T3830" t="inlineStr">
        <is>
          <t>2767113125988</t>
        </is>
      </c>
    </row>
    <row r="3831" ht="87" customHeight="1">
      <c r="A3831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3831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3831" t="inlineStr">
        <is>
          <t>Klein Tools 32288 8-in-1 Insulated Interchangeable Screwdriver Set</t>
        </is>
      </c>
      <c r="D3831" t="inlineStr">
        <is>
          <t>Klein Tools 55421BP-14 Tool Bag Backpack &amp; 32288 Insulated Screwdriver, 8-in-1 Screwdriver Set with Interchangeable Blades, 3 Phillips, 3 Slotted and 2 Square Tips</t>
        </is>
      </c>
      <c r="E3831" s="2">
        <f>HYPERLINK("https://www.amazon.com/Klein-Tools-55421BP-14-Screwdriver-Interchangeable/dp/B09Q673LBM/ref=sr_1_41?keywords=Klein+Tools+32288+8-in-1+Insulated+Interchangeable+Screwdriver+Set&amp;qid=1694734974&amp;sr=8-41", "https://www.amazon.com/Klein-Tools-55421BP-14-Screwdriver-Interchangeable/dp/B09Q673LBM/ref=sr_1_41?keywords=Klein+Tools+32288+8-in-1+Insulated+Interchangeable+Screwdriver+Set&amp;qid=1694734974&amp;sr=8-41")</f>
        <v/>
      </c>
      <c r="F3831" t="inlineStr">
        <is>
          <t>B09Q673LBM</t>
        </is>
      </c>
      <c r="G3831">
        <f>_xlfn.IMAGE("https://edmondsonsupply.com/cdn/shop/products/32288.jpg?v=1587146849")</f>
        <v/>
      </c>
      <c r="H3831">
        <f>_xlfn.IMAGE("https://m.media-amazon.com/images/I/51Ypt-pyKXL._AC_UL320_.jpg")</f>
        <v/>
      </c>
      <c r="K3831" t="inlineStr">
        <is>
          <t>49.99</t>
        </is>
      </c>
      <c r="L3831" t="n">
        <v>149.96</v>
      </c>
      <c r="M3831" s="1" t="inlineStr">
        <is>
          <t>199.98%</t>
        </is>
      </c>
      <c r="N3831" s="7" t="n">
        <v>20.25</v>
      </c>
      <c r="O3831" t="n">
        <v>4.8</v>
      </c>
      <c r="P3831" t="n">
        <v>9</v>
      </c>
      <c r="R3831" t="inlineStr">
        <is>
          <t>InStock</t>
        </is>
      </c>
      <c r="S3831" t="inlineStr">
        <is>
          <t>69.98</t>
        </is>
      </c>
      <c r="T3831" t="inlineStr">
        <is>
          <t>4094849613924</t>
        </is>
      </c>
    </row>
    <row r="3832" ht="87" customHeight="1">
      <c r="A3832" s="2">
        <f>HYPERLINK("https://edmondsonsupply.com/collections/electricians-tools/products/veto-pro-pac-tp4-tool-pouch", "https://edmondsonsupply.com/collections/electricians-tools/products/veto-pro-pac-tp4-tool-pouch")</f>
        <v/>
      </c>
      <c r="B3832" s="2">
        <f>HYPERLINK("https://edmondsonsupply.com/products/veto-pro-pac-tp4-tool-pouch", "https://edmondsonsupply.com/products/veto-pro-pac-tp4-tool-pouch")</f>
        <v/>
      </c>
      <c r="C3832" t="inlineStr">
        <is>
          <t>Veto Pro Pac TP3 Tool Bag</t>
        </is>
      </c>
      <c r="D3832" t="inlineStr">
        <is>
          <t>Veto Pro Pac TECH OT-SC (Sub-Compact Open Top Electrician Tool Bag)</t>
        </is>
      </c>
      <c r="E3832" s="2">
        <f>HYPERLINK("https://www.amazon.com/Veto-TECH-OT-SC-Sub-Compact-Electrician/dp/B09ZC63KFK/ref=sr_1_21?keywords=Veto+Pro+Pac+TP3+Tool+Bag&amp;qid=1694735180&amp;sr=8-21", "https://www.amazon.com/Veto-TECH-OT-SC-Sub-Compact-Electrician/dp/B09ZC63KFK/ref=sr_1_21?keywords=Veto+Pro+Pac+TP3+Tool+Bag&amp;qid=1694735180&amp;sr=8-21")</f>
        <v/>
      </c>
      <c r="F3832" t="inlineStr">
        <is>
          <t>B09ZC63KFK</t>
        </is>
      </c>
      <c r="G3832">
        <f>_xlfn.IMAGE("https://edmondsonsupply.com/cdn/shop/products/TP3_1.jpg?v=1587144391")</f>
        <v/>
      </c>
      <c r="H3832">
        <f>_xlfn.IMAGE("https://m.media-amazon.com/images/I/51LTwfYG5eL._AC_UL320_.jpg")</f>
        <v/>
      </c>
      <c r="K3832" t="inlineStr">
        <is>
          <t>59.99</t>
        </is>
      </c>
      <c r="L3832" t="n">
        <v>179.95</v>
      </c>
      <c r="M3832" s="1" t="inlineStr">
        <is>
          <t>199.97%</t>
        </is>
      </c>
      <c r="N3832" s="7" t="n">
        <v>20.25</v>
      </c>
      <c r="O3832" t="n">
        <v>4.7</v>
      </c>
      <c r="P3832" t="n">
        <v>21</v>
      </c>
      <c r="R3832" t="inlineStr">
        <is>
          <t>InStock</t>
        </is>
      </c>
      <c r="S3832" t="inlineStr">
        <is>
          <t>undefined</t>
        </is>
      </c>
      <c r="T3832" t="inlineStr">
        <is>
          <t>3561762816100</t>
        </is>
      </c>
    </row>
    <row r="3833" ht="87" customHeight="1">
      <c r="A3833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833" s="2">
        <f>HYPERLINK("https://edmondsonsupply.com/products/klein-tools-rt110-receptacle-tester", "https://edmondsonsupply.com/products/klein-tools-rt110-receptacle-tester")</f>
        <v/>
      </c>
      <c r="C3833" t="inlineStr">
        <is>
          <t>Klein Tools RT110 Receptacle Tester</t>
        </is>
      </c>
      <c r="D3833" t="inlineStr">
        <is>
          <t>Klein Tools NCVT3P Dual Range Non Contact Voltage Tester &amp; RT250 GFCI Receptacle Tester with LCD Display, for Standard 3-Wire 120V Electrical Outlets</t>
        </is>
      </c>
      <c r="E3833" s="2">
        <f>HYPERLINK("https://www.amazon.com/Klein-Tools-Receptacle-Standard-Electrical/dp/B0BC861K3W/ref=sr_1_7?keywords=Klein+Tools+RT110+Receptacle+Tester&amp;qid=1694735205&amp;sr=8-7", "https://www.amazon.com/Klein-Tools-Receptacle-Standard-Electrical/dp/B0BC861K3W/ref=sr_1_7?keywords=Klein+Tools+RT110+Receptacle+Tester&amp;qid=1694735205&amp;sr=8-7")</f>
        <v/>
      </c>
      <c r="F3833" t="inlineStr">
        <is>
          <t>B0BC861K3W</t>
        </is>
      </c>
      <c r="G3833">
        <f>_xlfn.IMAGE("https://edmondsonsupply.com/cdn/shop/products/rt110.jpg?v=1633031036")</f>
        <v/>
      </c>
      <c r="H3833">
        <f>_xlfn.IMAGE("https://m.media-amazon.com/images/I/5145pmsV9+L._AC_UL320_.jpg")</f>
        <v/>
      </c>
      <c r="K3833" t="inlineStr">
        <is>
          <t>9.97</t>
        </is>
      </c>
      <c r="L3833" t="n">
        <v>29.88</v>
      </c>
      <c r="M3833" s="1" t="inlineStr">
        <is>
          <t>199.70%</t>
        </is>
      </c>
      <c r="N3833" s="7" t="n">
        <v>20.22</v>
      </c>
      <c r="O3833" t="n">
        <v>4.4</v>
      </c>
      <c r="P3833" t="n">
        <v>12</v>
      </c>
      <c r="R3833" t="inlineStr">
        <is>
          <t>InStock</t>
        </is>
      </c>
      <c r="S3833" t="inlineStr">
        <is>
          <t>12.12</t>
        </is>
      </c>
      <c r="T3833" t="inlineStr">
        <is>
          <t>6740486619309</t>
        </is>
      </c>
    </row>
    <row r="3834" ht="87" customHeight="1">
      <c r="A3834" s="2">
        <f>HYPERLINK("https://edmondsonsupply.com/collections/electricians-tools/products/greenlee-7238sb-slug-buster%C2%AE-1-2-2-knockout-kit-with-ratchet", "https://edmondsonsupply.com/collections/electricians-tools/products/greenlee-7238sb-slug-buster%C2%AE-1-2-2-knockout-kit-with-ratchet")</f>
        <v/>
      </c>
      <c r="B3834" s="2">
        <f>HYPERLINK("https://edmondsonsupply.com/products/greenlee-7238sb-slug-buster%c2%ae-1-2-2-knockout-kit-with-ratchet", "https://edmondsonsupply.com/products/greenlee-7238sb-slug-buster%c2%ae-1-2-2-knockout-kit-with-ratchet")</f>
        <v/>
      </c>
      <c r="C3834" t="inlineStr">
        <is>
          <t>Greenlee 7238SB Slug-Buster® 1/2" - 2" Knockout Kit with Ratchet</t>
        </is>
      </c>
      <c r="D3834" t="inlineStr">
        <is>
          <t>Greenlee 7906SB Quick Draw 90 8-Ton Hydraulic Knockout Punch Kit with Slug-Buster, 1/2" - 2"</t>
        </is>
      </c>
      <c r="E3834" s="2">
        <f>HYPERLINK("https://www.amazon.com/Greenlee-7906SB-Hydraulic-Conduit-Punches/dp/B001HWGGQM/ref=sr_1_21?keywords=Greenlee+7238SB+Slug-Buster%C2%AE+1%2F2%22+-+2%22+Knockout+Kit+with+Ratchet&amp;qid=1694735389&amp;sr=8-21", "https://www.amazon.com/Greenlee-7906SB-Hydraulic-Conduit-Punches/dp/B001HWGGQM/ref=sr_1_21?keywords=Greenlee+7238SB+Slug-Buster%C2%AE+1%2F2%22+-+2%22+Knockout+Kit+with+Ratchet&amp;qid=1694735389&amp;sr=8-21")</f>
        <v/>
      </c>
      <c r="F3834" t="inlineStr">
        <is>
          <t>B001HWGGQM</t>
        </is>
      </c>
      <c r="G3834">
        <f>_xlfn.IMAGE("https://edmondsonsupply.com/cdn/shop/products/7238SB-CAT1.jpg?v=1587150226")</f>
        <v/>
      </c>
      <c r="H3834">
        <f>_xlfn.IMAGE("https://m.media-amazon.com/images/I/815eBKjwcPL._AC_UL320_.jpg")</f>
        <v/>
      </c>
      <c r="K3834" t="inlineStr">
        <is>
          <t>376.32</t>
        </is>
      </c>
      <c r="L3834" t="n">
        <v>1125.6</v>
      </c>
      <c r="M3834" s="1" t="inlineStr">
        <is>
          <t>199.11%</t>
        </is>
      </c>
      <c r="N3834" s="7" t="n">
        <v>20.17</v>
      </c>
      <c r="O3834" t="n">
        <v>4.4</v>
      </c>
      <c r="P3834" t="n">
        <v>38</v>
      </c>
      <c r="R3834" t="inlineStr">
        <is>
          <t>InStock</t>
        </is>
      </c>
      <c r="S3834" t="inlineStr">
        <is>
          <t>448.0</t>
        </is>
      </c>
      <c r="T3834" t="inlineStr">
        <is>
          <t>4430553743460</t>
        </is>
      </c>
    </row>
    <row r="3835" hidden="1" ht="15.75" customHeight="1">
      <c r="A3835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3835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3835" t="inlineStr">
        <is>
          <t>Klein Tools JTH6E10BE 5/32-Inch Ball Hex Key, Journeyman T-Handle 6-Inch</t>
        </is>
      </c>
      <c r="D3835" t="inlineStr">
        <is>
          <t>Klein Tools JTH9E14 5/16-Inch Hex Key, Journeyman T-Handle, 9-Inch (Pack of 2)</t>
        </is>
      </c>
      <c r="E3835" s="2">
        <f>HYPERLINK("https://www.amazon.com/Klein-Tools-JTH9E14-Journeyman-T-Handle/dp/B0CF2VDSX2/ref=sr_1_20?keywords=Klein+Tools+JTH6E10BE+5%2F32-Inch+Ball+Hex+Key%2C+Journeyman+T-Handle+6-Inch&amp;qid=1694735255&amp;sr=8-20", "https://www.amazon.com/Klein-Tools-JTH9E14-Journeyman-T-Handle/dp/B0CF2VDSX2/ref=sr_1_20?keywords=Klein+Tools+JTH6E10BE+5%2F32-Inch+Ball+Hex+Key%2C+Journeyman+T-Handle+6-Inch&amp;qid=1694735255&amp;sr=8-20")</f>
        <v/>
      </c>
      <c r="F3835" t="inlineStr">
        <is>
          <t>B0CF2VDSX2</t>
        </is>
      </c>
      <c r="G3835">
        <f>_xludf.IMAGE("https://edmondsonsupply.com/cdn/shop/products/jth6e13be_363de34a-e666-474d-81cd-df9068957d9f.jpg?v=1604059577")</f>
        <v/>
      </c>
      <c r="H3835">
        <f>_xludf.IMAGE("https://m.media-amazon.com/images/I/317IAARii7L._AC_UL320_.jpg")</f>
        <v/>
      </c>
      <c r="K3835" t="inlineStr">
        <is>
          <t>4.99</t>
        </is>
      </c>
      <c r="L3835" t="n">
        <v>14.88</v>
      </c>
      <c r="M3835" s="1" t="inlineStr">
        <is>
          <t>198.20%</t>
        </is>
      </c>
      <c r="N3835" s="1" t="n">
        <v>20.13</v>
      </c>
      <c r="O3835" t="n">
        <v>4.7</v>
      </c>
      <c r="P3835" t="n">
        <v>390</v>
      </c>
      <c r="R3835" t="inlineStr">
        <is>
          <t>InStock</t>
        </is>
      </c>
      <c r="S3835" t="inlineStr">
        <is>
          <t>7.52</t>
        </is>
      </c>
      <c r="T3835" t="inlineStr">
        <is>
          <t>5999019819176</t>
        </is>
      </c>
    </row>
    <row r="3836" ht="87" customHeight="1">
      <c r="A3836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836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836" t="inlineStr">
        <is>
          <t>Diablo Tools DMAPL4100 1/4 in. x 16 in. x 18 in. Rebar Demon™ SDS‑Plus 4‑Cutter Full Carbide Head Hammer Bit</t>
        </is>
      </c>
      <c r="D3836" t="inlineStr">
        <is>
          <t>Diablo DMAMX1140 3/4 in. x 16 in. x 21 in. Rebar Demon™ SDS-Max 4-Cutter Full Carbide Head Hammer Bit</t>
        </is>
      </c>
      <c r="E3836" s="2">
        <f>HYPERLINK("https://www.amazon.com/Diablo-SDS-Max-4-Cutter-Carbide-Hammer/dp/B089KWP4WK/ref=sr_1_34?keywords=Diablo+Tools+DMAPL4100+1%2F4+in.+x+16+in.+x+18+in.+Rebar+Demon%E2%84%A2+SDS%E2%80%91Plus+4%E2%80%91Cutter+Full+Carbide+Head+Hammer+Bit&amp;qid=1694735272&amp;sr=8-34", "https://www.amazon.com/Diablo-SDS-Max-4-Cutter-Carbide-Hammer/dp/B089KWP4WK/ref=sr_1_34?keywords=Diablo+Tools+DMAPL4100+1%2F4+in.+x+16+in.+x+18+in.+Rebar+Demon%E2%84%A2+SDS%E2%80%91Plus+4%E2%80%91Cutter+Full+Carbide+Head+Hammer+Bit&amp;qid=1694735272&amp;sr=8-34")</f>
        <v/>
      </c>
      <c r="F3836" t="inlineStr">
        <is>
          <t>B089KWP4WK</t>
        </is>
      </c>
      <c r="G3836">
        <f>_xlfn.IMAGE("https://edmondsonsupply.com/cdn/shop/products/DMAPL4100_Main-Image20200701.png?v=1633030520")</f>
        <v/>
      </c>
      <c r="H3836">
        <f>_xlfn.IMAGE("https://m.media-amazon.com/images/I/61yWWNP1xrL._AC_UL320_.jpg")</f>
        <v/>
      </c>
      <c r="K3836" t="inlineStr">
        <is>
          <t>16.97</t>
        </is>
      </c>
      <c r="L3836" t="n">
        <v>50.26</v>
      </c>
      <c r="M3836" s="1" t="inlineStr">
        <is>
          <t>196.17%</t>
        </is>
      </c>
      <c r="N3836" s="7" t="n">
        <v>20.13</v>
      </c>
      <c r="O3836" t="n">
        <v>5</v>
      </c>
      <c r="P3836" t="n">
        <v>9</v>
      </c>
      <c r="R3836" t="inlineStr">
        <is>
          <t>InStock</t>
        </is>
      </c>
      <c r="S3836" t="inlineStr">
        <is>
          <t>undefined</t>
        </is>
      </c>
      <c r="T3836" t="inlineStr">
        <is>
          <t>5399840882856</t>
        </is>
      </c>
    </row>
    <row r="3837" ht="87" customHeight="1">
      <c r="A3837" s="2">
        <f>HYPERLINK("https://edmondsonsupply.com/collections/electricians-tools/products/diablo-tools-dmamx1220", "https://edmondsonsupply.com/collections/electricians-tools/products/diablo-tools-dmamx1220")</f>
        <v/>
      </c>
      <c r="B3837" s="2">
        <f>HYPERLINK("https://edmondsonsupply.com/products/diablo-tools-dmamx1220", "https://edmondsonsupply.com/products/diablo-tools-dmamx1220")</f>
        <v/>
      </c>
      <c r="C3837" t="inlineStr">
        <is>
          <t>Diablo Tools DMAMX1220 1 in. x 16 in. x 21 in. Rebar Demon™ SDS-Max 4-Cutter Full Carbide Head Hammer Drill Bit</t>
        </is>
      </c>
      <c r="D3837" t="inlineStr">
        <is>
          <t>Diablo DMAMX1390 1-3/4 in. x 16 in. x 21 in. Rebar Demon™ SDS-Max 4-Cutter Carbide-Tipped Hammer Bit</t>
        </is>
      </c>
      <c r="E3837" s="2">
        <f>HYPERLINK("https://www.amazon.com/Diablo-DMAMX1390-SDS-Max-4-Cutter-Carbide-Tipped/dp/B089KW6C8V/ref=sr_1_30?keywords=Diablo+Tools+DMAMX1220+1+in.+x+16+in.+x+21+in.+Rebar+Demon%E2%84%A2+SDS-Max+4-Cutter+Full+Carbide+Head+Hammer+Drill+Bit&amp;qid=1694735075&amp;sr=8-30", "https://www.amazon.com/Diablo-DMAMX1390-SDS-Max-4-Cutter-Carbide-Tipped/dp/B089KW6C8V/ref=sr_1_30?keywords=Diablo+Tools+DMAMX1220+1+in.+x+16+in.+x+21+in.+Rebar+Demon%E2%84%A2+SDS-Max+4-Cutter+Full+Carbide+Head+Hammer+Drill+Bit&amp;qid=1694735075&amp;sr=8-30")</f>
        <v/>
      </c>
      <c r="F3837" t="inlineStr">
        <is>
          <t>B089KW6C8V</t>
        </is>
      </c>
      <c r="G3837">
        <f>_xlfn.IMAGE("https://edmondsonsupply.com/cdn/shop/products/immoyh7jjmbau4fzhuq6.webp?v=1670431066")</f>
        <v/>
      </c>
      <c r="H3837">
        <f>_xlfn.IMAGE("https://m.media-amazon.com/images/I/61J-83UaGmL._AC_UL320_.jpg")</f>
        <v/>
      </c>
      <c r="K3837" t="inlineStr">
        <is>
          <t>45.69</t>
        </is>
      </c>
      <c r="L3837" t="n">
        <v>135.21</v>
      </c>
      <c r="M3837" s="1" t="inlineStr">
        <is>
          <t>195.93%</t>
        </is>
      </c>
      <c r="N3837" s="7" t="n">
        <v>20.1</v>
      </c>
      <c r="O3837" t="n">
        <v>5</v>
      </c>
      <c r="P3837" t="n">
        <v>9</v>
      </c>
      <c r="R3837" t="inlineStr">
        <is>
          <t>InStock</t>
        </is>
      </c>
      <c r="S3837" t="inlineStr">
        <is>
          <t>70.58</t>
        </is>
      </c>
      <c r="T3837" t="inlineStr">
        <is>
          <t>7900195356888</t>
        </is>
      </c>
    </row>
    <row r="3838" ht="87" customHeight="1">
      <c r="A3838" s="2">
        <f>HYPERLINK("https://edmondsonsupply.com/collections/electricians-tools/products/klein-tools-70581-8-key-folding-hex-key-set-1-20-to-5-32-inch-sae", "https://edmondsonsupply.com/collections/electricians-tools/products/klein-tools-70581-8-key-folding-hex-key-set-1-20-to-5-32-inch-sae")</f>
        <v/>
      </c>
      <c r="B3838" s="2">
        <f>HYPERLINK("https://edmondsonsupply.com/products/klein-tools-70581-8-key-folding-hex-key-set-1-20-to-5-32-inch-sae", "https://edmondsonsupply.com/products/klein-tools-70581-8-key-folding-hex-key-set-1-20-to-5-32-inch-sae")</f>
        <v/>
      </c>
      <c r="C3838" t="inlineStr">
        <is>
          <t>Klein Tools 70581 Folding Hex Key Set, 8-Key, SAE Sizes</t>
        </is>
      </c>
      <c r="D3838" t="inlineStr">
        <is>
          <t>Klein Tools 70591 Folding Hex Key Set, 9-Key, SAE Sizes &amp; 70582 Folding Hex Key Set, 7-Key, Metric Sizes</t>
        </is>
      </c>
      <c r="E3838" s="2">
        <f>HYPERLINK("https://www.amazon.com/Klein-Tools-70591-Folding-Metric/dp/B0BGPYC631/ref=sr_1_2?keywords=Klein+Tools+70581+Folding+Hex+Key+Set%2C+8-Key%2C+SAE+Sizes&amp;qid=1694735356&amp;sr=8-2", "https://www.amazon.com/Klein-Tools-70591-Folding-Metric/dp/B0BGPYC631/ref=sr_1_2?keywords=Klein+Tools+70581+Folding+Hex+Key+Set%2C+8-Key%2C+SAE+Sizes&amp;qid=1694735356&amp;sr=8-2")</f>
        <v/>
      </c>
      <c r="F3838" t="inlineStr">
        <is>
          <t>B0BGPYC631</t>
        </is>
      </c>
      <c r="G3838">
        <f>_xlfn.IMAGE("https://edmondsonsupply.com/cdn/shop/products/70581.jpg?v=1587143189")</f>
        <v/>
      </c>
      <c r="H3838">
        <f>_xlfn.IMAGE("https://m.media-amazon.com/images/I/41F+-ZtFyRL._AC_UL320_.jpg")</f>
        <v/>
      </c>
      <c r="K3838" t="inlineStr">
        <is>
          <t>6.97</t>
        </is>
      </c>
      <c r="L3838" t="n">
        <v>20.59</v>
      </c>
      <c r="M3838" s="1" t="inlineStr">
        <is>
          <t>195.41%</t>
        </is>
      </c>
      <c r="N3838" s="7" t="n">
        <v>20.01</v>
      </c>
      <c r="O3838" t="n">
        <v>4.8</v>
      </c>
      <c r="P3838" t="n">
        <v>14</v>
      </c>
      <c r="R3838" t="inlineStr">
        <is>
          <t>InStock</t>
        </is>
      </c>
      <c r="S3838" t="inlineStr">
        <is>
          <t>10.56</t>
        </is>
      </c>
      <c r="T3838" t="inlineStr">
        <is>
          <t>4432219865188</t>
        </is>
      </c>
    </row>
    <row r="3839" ht="87" customHeight="1">
      <c r="A3839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3839" s="2">
        <f>HYPERLINK("https://edmondsonsupply.com/products/klein-tools-vdv427-300-impact-punchdown-tool-66-110-blade", "https://edmondsonsupply.com/products/klein-tools-vdv427-300-impact-punchdown-tool-66-110-blade")</f>
        <v/>
      </c>
      <c r="C3839" t="inlineStr">
        <is>
          <t>Klein Tools VDV427-300 Impact Punchdown Tool, 66/110 Blade</t>
        </is>
      </c>
      <c r="D3839" t="inlineStr">
        <is>
          <t>Klein Tools VDV500-820 Cable Tracer with Probe Tone Pro Kit for Telephone, Internet, Video, Data and Communications Cables &amp; Klein Tools VDV427-300 Impact Punchdown Tool, 66/110 Blade</t>
        </is>
      </c>
      <c r="E3839" s="2">
        <f>HYPERLINK("https://www.amazon.com/Klein-Tools-VDV500-820-Communications-VDV427-300/dp/B09Q66CDN4/ref=sr_1_5?keywords=Klein+Tools+VDV427-300+Impact+Punchdown+Tool%2C+66%2F110+Blade&amp;qid=1694735168&amp;sr=8-5", "https://www.amazon.com/Klein-Tools-VDV500-820-Communications-VDV427-300/dp/B09Q66CDN4/ref=sr_1_5?keywords=Klein+Tools+VDV427-300+Impact+Punchdown+Tool%2C+66%2F110+Blade&amp;qid=1694735168&amp;sr=8-5")</f>
        <v/>
      </c>
      <c r="F3839" t="inlineStr">
        <is>
          <t>B09Q66CDN4</t>
        </is>
      </c>
      <c r="G3839">
        <f>_xlfn.IMAGE("https://edmondsonsupply.com/cdn/shop/products/vdv427300.jpg?v=1646010568")</f>
        <v/>
      </c>
      <c r="H3839">
        <f>_xlfn.IMAGE("https://m.media-amazon.com/images/I/519Gcl6PPEL._AC_UL320_.jpg")</f>
        <v/>
      </c>
      <c r="K3839" t="inlineStr">
        <is>
          <t>39.97</t>
        </is>
      </c>
      <c r="L3839" t="n">
        <v>117.38</v>
      </c>
      <c r="M3839" s="1" t="inlineStr">
        <is>
          <t>193.67%</t>
        </is>
      </c>
      <c r="N3839" s="7" t="n">
        <v>20.01</v>
      </c>
      <c r="O3839" t="n">
        <v>4.7</v>
      </c>
      <c r="P3839" t="n">
        <v>3</v>
      </c>
      <c r="R3839" t="inlineStr">
        <is>
          <t>InStock</t>
        </is>
      </c>
      <c r="S3839" t="inlineStr">
        <is>
          <t>55.98</t>
        </is>
      </c>
      <c r="T3839" t="inlineStr">
        <is>
          <t>7620069818584</t>
        </is>
      </c>
    </row>
    <row r="3840" ht="87" customHeight="1">
      <c r="A3840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840" s="2">
        <f>HYPERLINK("https://edmondsonsupply.com/products/klein-tools-vdv500-705-tone-probe-test-and-trace-kit", "https://edmondsonsupply.com/products/klein-tools-vdv500-705-tone-probe-test-and-trace-kit")</f>
        <v/>
      </c>
      <c r="C3840" t="inlineStr">
        <is>
          <t>Klein Tools VDV500-705 Tone &amp; Probe Test and Trace Kit</t>
        </is>
      </c>
      <c r="D3840" t="inlineStr">
        <is>
          <t>Klein Tools VDV500-820 Cable Tracer with Probe Tone Pro Kit for Telephone, Internet, Video, Data and Communications Cables &amp; Klein Tools VDV427-300 Impact Punchdown Tool, 66/110 Blade</t>
        </is>
      </c>
      <c r="E3840" s="2">
        <f>HYPERLINK("https://www.amazon.com/Klein-Tools-VDV500-820-Communications-VDV427-300/dp/B09Q66CDN4/ref=sr_1_7?keywords=Klein+Tools+VDV500-705+Tone&amp;qid=1694735386&amp;sr=8-7", "https://www.amazon.com/Klein-Tools-VDV500-820-Communications-VDV427-300/dp/B09Q66CDN4/ref=sr_1_7?keywords=Klein+Tools+VDV500-705+Tone&amp;qid=1694735386&amp;sr=8-7")</f>
        <v/>
      </c>
      <c r="F3840" t="inlineStr">
        <is>
          <t>B09Q66CDN4</t>
        </is>
      </c>
      <c r="G3840">
        <f>_xlfn.IMAGE("https://edmondsonsupply.com/cdn/shop/products/vdv500705.jpg?v=1587144799")</f>
        <v/>
      </c>
      <c r="H3840">
        <f>_xlfn.IMAGE("https://m.media-amazon.com/images/I/519Gcl6PPEL._AC_UY218_.jpg")</f>
        <v/>
      </c>
      <c r="K3840" t="inlineStr">
        <is>
          <t>39.97</t>
        </is>
      </c>
      <c r="L3840" t="n">
        <v>117.38</v>
      </c>
      <c r="M3840" s="1" t="inlineStr">
        <is>
          <t>193.67%</t>
        </is>
      </c>
      <c r="N3840" s="7" t="n">
        <v>20.01</v>
      </c>
      <c r="O3840" t="n">
        <v>4.7</v>
      </c>
      <c r="P3840" t="n">
        <v>3</v>
      </c>
      <c r="R3840" t="inlineStr">
        <is>
          <t>InStock</t>
        </is>
      </c>
      <c r="S3840" t="inlineStr">
        <is>
          <t>55.98</t>
        </is>
      </c>
      <c r="T3840" t="inlineStr">
        <is>
          <t>4412899590244</t>
        </is>
      </c>
    </row>
    <row r="3841" ht="87" customHeight="1">
      <c r="A3841" s="2">
        <f>HYPERLINK("https://edmondsonsupply.com/collections/electricians-tools/products/diablo-tools-d0424x-4-1-2-in-x-24-tooth-framing-trim-saw-blade", "https://edmondsonsupply.com/collections/electricians-tools/products/diablo-tools-d0424x-4-1-2-in-x-24-tooth-framing-trim-saw-blade")</f>
        <v/>
      </c>
      <c r="B3841" s="2">
        <f>HYPERLINK("https://edmondsonsupply.com/products/diablo-tools-d0424x-4-1-2-in-x-24-tooth-framing-trim-saw-blade", "https://edmondsonsupply.com/products/diablo-tools-d0424x-4-1-2-in-x-24-tooth-framing-trim-saw-blade")</f>
        <v/>
      </c>
      <c r="C3841" t="inlineStr">
        <is>
          <t>Diablo Tools D0424X 4-1/2 in. x 24 Tooth Framing Trim Saw Blade</t>
        </is>
      </c>
      <c r="D3841" t="inlineStr">
        <is>
          <t>(4 Count) Freud Diablo D0724 7-1/4-Inch 24 Tooth ATB Carbide Framing Saw Blade with 5/8-Inch and Diamond Knockout Arbor</t>
        </is>
      </c>
      <c r="E3841" s="2">
        <f>HYPERLINK("https://www.amazon.com/Freud-Diablo-D0724-Carbide-Knockout/dp/B00OL849JA/ref=sr_1_36?keywords=Diablo+Tools+D0424X+4-1%2F2+in.+x+24+Tooth+Framing+Trim+Saw+Blade&amp;qid=1694735015&amp;sr=8-36", "https://www.amazon.com/Freud-Diablo-D0724-Carbide-Knockout/dp/B00OL849JA/ref=sr_1_36?keywords=Diablo+Tools+D0424X+4-1%2F2+in.+x+24+Tooth+Framing+Trim+Saw+Blade&amp;qid=1694735015&amp;sr=8-36")</f>
        <v/>
      </c>
      <c r="F3841" t="inlineStr">
        <is>
          <t>B00OL849JA</t>
        </is>
      </c>
      <c r="G3841">
        <f>_xlfn.IMAGE("https://edmondsonsupply.com/cdn/shop/products/kscyqpb4khjcxmaeciqc.webp?v=1679327311")</f>
        <v/>
      </c>
      <c r="H3841">
        <f>_xlfn.IMAGE("https://m.media-amazon.com/images/I/41Y-PeOXAoL._AC_UL320_.jpg")</f>
        <v/>
      </c>
      <c r="K3841" t="inlineStr">
        <is>
          <t>14.97</t>
        </is>
      </c>
      <c r="L3841" t="n">
        <v>43.95</v>
      </c>
      <c r="M3841" s="1" t="inlineStr">
        <is>
          <t>193.59%</t>
        </is>
      </c>
      <c r="N3841" s="7" t="n">
        <v>20.01</v>
      </c>
      <c r="O3841" t="n">
        <v>5</v>
      </c>
      <c r="P3841" t="n">
        <v>1</v>
      </c>
      <c r="R3841" t="inlineStr">
        <is>
          <t>InStock</t>
        </is>
      </c>
      <c r="S3841" t="inlineStr">
        <is>
          <t>18.44</t>
        </is>
      </c>
      <c r="T3841" t="inlineStr">
        <is>
          <t>7964926083288</t>
        </is>
      </c>
    </row>
    <row r="3842" ht="87" customHeight="1">
      <c r="A3842" s="2">
        <f>HYPERLINK("https://edmondsonsupply.com/collections/electricians-tools/products/diablo-tools-d0724da-7-1-4-in-24-tooth-%E2%84%A2-framing-demolition-saw-blade", "https://edmondsonsupply.com/collections/electricians-tools/products/diablo-tools-d0724da-7-1-4-in-24-tooth-%E2%84%A2-framing-demolition-saw-blade")</f>
        <v/>
      </c>
      <c r="B3842" s="2">
        <f>HYPERLINK("https://edmondsonsupply.com/products/diablo-tools-d0724da-7-1-4-in-24-tooth-%e2%84%a2-framing-demolition-saw-blade", "https://edmondsonsupply.com/products/diablo-tools-d0724da-7-1-4-in-24-tooth-%e2%84%a2-framing-demolition-saw-blade")</f>
        <v/>
      </c>
      <c r="C3842" t="inlineStr">
        <is>
          <t>Diablo Tools D0724DA 7-1/4 in. 24-Tooth ™ Framing/Demolition Saw Blade</t>
        </is>
      </c>
      <c r="D3842" t="inlineStr">
        <is>
          <t>(4 Count) Freud Diablo D0724 7-1/4-Inch 24 Tooth ATB Carbide Framing Saw Blade with 5/8-Inch and Diamond Knockout Arbor</t>
        </is>
      </c>
      <c r="E3842" s="2">
        <f>HYPERLINK("https://www.amazon.com/Freud-Diablo-D0724-Carbide-Knockout/dp/B00OL849JA/ref=sr_1_23?keywords=Diablo+Tools+D0724DA+7-1%2F4+in.+24-Tooth+%E2%84%A2+Framing%2FDemolition+Saw+Blade&amp;qid=1694735025&amp;sr=8-23", "https://www.amazon.com/Freud-Diablo-D0724-Carbide-Knockout/dp/B00OL849JA/ref=sr_1_23?keywords=Diablo+Tools+D0724DA+7-1%2F4+in.+24-Tooth+%E2%84%A2+Framing%2FDemolition+Saw+Blade&amp;qid=1694735025&amp;sr=8-23")</f>
        <v/>
      </c>
      <c r="F3842" t="inlineStr">
        <is>
          <t>B00OL849JA</t>
        </is>
      </c>
      <c r="G3842">
        <f>_xlfn.IMAGE("https://edmondsonsupply.com/cdn/shop/products/ms7ofgpqtqo0aptxxu1k.webp?v=1678973703")</f>
        <v/>
      </c>
      <c r="H3842">
        <f>_xlfn.IMAGE("https://m.media-amazon.com/images/I/41Y-PeOXAoL._AC_UL320_.jpg")</f>
        <v/>
      </c>
      <c r="K3842" t="inlineStr">
        <is>
          <t>14.97</t>
        </is>
      </c>
      <c r="L3842" t="n">
        <v>43.95</v>
      </c>
      <c r="M3842" s="1" t="inlineStr">
        <is>
          <t>193.59%</t>
        </is>
      </c>
      <c r="N3842" s="7" t="n">
        <v>20.01</v>
      </c>
      <c r="O3842" t="n">
        <v>5</v>
      </c>
      <c r="P3842" t="n">
        <v>1</v>
      </c>
      <c r="R3842" t="inlineStr">
        <is>
          <t>InStock</t>
        </is>
      </c>
      <c r="S3842" t="inlineStr">
        <is>
          <t>22.22</t>
        </is>
      </c>
      <c r="T3842" t="inlineStr">
        <is>
          <t>7962610204888</t>
        </is>
      </c>
    </row>
    <row r="3843" ht="87" customHeight="1">
      <c r="A3843" s="2">
        <f>HYPERLINK("https://edmondsonsupply.com/collections/electricians-tools/products/klein-tools-88910-mini-tube-cutter", "https://edmondsonsupply.com/collections/electricians-tools/products/klein-tools-88910-mini-tube-cutter")</f>
        <v/>
      </c>
      <c r="B3843" s="2">
        <f>HYPERLINK("https://edmondsonsupply.com/products/klein-tools-88910-mini-tube-cutter", "https://edmondsonsupply.com/products/klein-tools-88910-mini-tube-cutter")</f>
        <v/>
      </c>
      <c r="C3843" t="inlineStr">
        <is>
          <t>Klein Tools 88910 Mini Tube Cutter</t>
        </is>
      </c>
      <c r="D3843" t="inlineStr">
        <is>
          <t>Klein Tools 88904 Professional Tube Cutter, 4-Roller Tracking System, Accurate Cutting for HVAC, Reaming Tool, Includes Extra Cutting Wheel &amp; 88910 Mini Tube Cutter</t>
        </is>
      </c>
      <c r="E3843" s="2">
        <f>HYPERLINK("https://www.amazon.com/Klein-Tools-Professiol-4-Roller-Tracking/dp/B0BHVPRYWJ/ref=sr_1_2?keywords=Klein+Tools+88910+Mini+Tube+Cutter&amp;qid=1694735177&amp;sr=8-2", "https://www.amazon.com/Klein-Tools-Professiol-4-Roller-Tracking/dp/B0BHVPRYWJ/ref=sr_1_2?keywords=Klein+Tools+88910+Mini+Tube+Cutter&amp;qid=1694735177&amp;sr=8-2")</f>
        <v/>
      </c>
      <c r="F3843" t="inlineStr">
        <is>
          <t>B0BHVPRYWJ</t>
        </is>
      </c>
      <c r="G3843">
        <f>_xlfn.IMAGE("https://edmondsonsupply.com/cdn/shop/products/88910.jpg?v=1638577903")</f>
        <v/>
      </c>
      <c r="H3843">
        <f>_xlfn.IMAGE("https://m.media-amazon.com/images/I/41IGLJnFXYL._AC_UL320_.jpg")</f>
        <v/>
      </c>
      <c r="K3843" t="inlineStr">
        <is>
          <t>19.99</t>
        </is>
      </c>
      <c r="L3843" t="n">
        <v>58.59</v>
      </c>
      <c r="M3843" s="1" t="inlineStr">
        <is>
          <t>193.10%</t>
        </is>
      </c>
      <c r="N3843" s="7" t="n">
        <v>20.01</v>
      </c>
      <c r="O3843" t="n">
        <v>5</v>
      </c>
      <c r="P3843" t="n">
        <v>2</v>
      </c>
      <c r="R3843" t="inlineStr">
        <is>
          <t>InStock</t>
        </is>
      </c>
      <c r="S3843" t="inlineStr">
        <is>
          <t>27.36</t>
        </is>
      </c>
      <c r="T3843" t="inlineStr">
        <is>
          <t>7539584631000</t>
        </is>
      </c>
    </row>
    <row r="3844" hidden="1" ht="15.75" customHeight="1">
      <c r="A3844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844" s="2">
        <f>HYPERLINK("https://edmondsonsupply.com/products/diablo-tools-dsp1060-1-in-x-4-in-spade-bit", "https://edmondsonsupply.com/products/diablo-tools-dsp1060-1-in-x-4-in-spade-bit")</f>
        <v/>
      </c>
      <c r="C3844" t="inlineStr">
        <is>
          <t>Diablo Tools DSP1060 1 in. x 4 in. Spade Bit</t>
        </is>
      </c>
      <c r="D3844" t="inlineStr">
        <is>
          <t>Irwin Tools IRWIN SPEEDBOR Spade Wood Drill Bit 1"X 4" (87916)</t>
        </is>
      </c>
      <c r="E3844" s="2">
        <f>HYPERLINK("https://www.amazon.com/Speedbor-87916-Wood-Flat-Bit/dp/B00QKREJEK/ref=sr_1_8?keywords=Diablo+Tools+DSP1060+1+in.+x+4+in.+Spade+Bit&amp;qid=1694735068&amp;sr=8-8", "https://www.amazon.com/Speedbor-87916-Wood-Flat-Bit/dp/B00QKREJEK/ref=sr_1_8?keywords=Diablo+Tools+DSP1060+1+in.+x+4+in.+Spade+Bit&amp;qid=1694735068&amp;sr=8-8")</f>
        <v/>
      </c>
      <c r="F3844" t="inlineStr">
        <is>
          <t>B00QKREJEK</t>
        </is>
      </c>
      <c r="G3844">
        <f>_xludf.IMAGE("https://edmondsonsupply.com/cdn/shop/products/hanbmwlurgioczoyawta.webp?v=1670510289")</f>
        <v/>
      </c>
      <c r="H3844">
        <f>_xludf.IMAGE("https://m.media-amazon.com/images/I/41LAFNNnePL._AC_UL320_.jpg")</f>
        <v/>
      </c>
      <c r="K3844" t="inlineStr">
        <is>
          <t>2.59</t>
        </is>
      </c>
      <c r="L3844" t="n">
        <v>7.59</v>
      </c>
      <c r="M3844" s="1" t="inlineStr">
        <is>
          <t>193.05%</t>
        </is>
      </c>
      <c r="N3844" s="1" t="n">
        <v>20.01</v>
      </c>
      <c r="O3844" t="n">
        <v>4.6</v>
      </c>
      <c r="P3844" t="n">
        <v>653</v>
      </c>
      <c r="R3844" t="inlineStr">
        <is>
          <t>InStock</t>
        </is>
      </c>
      <c r="S3844" t="inlineStr">
        <is>
          <t>2.96</t>
        </is>
      </c>
      <c r="T3844" t="inlineStr">
        <is>
          <t>7901168730328</t>
        </is>
      </c>
    </row>
    <row r="3845" ht="87" customHeight="1">
      <c r="A3845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3845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3845" t="inlineStr">
        <is>
          <t>Diablo Tools DMAPL4080 1/4 in. x 6 in. x 8 in. Rebar Demon™ SDS-Plus 4-Cutter Full Carbide Head Hammer Bit</t>
        </is>
      </c>
      <c r="D3845" t="inlineStr">
        <is>
          <t>Diablo by Freud DMAPL4230 5/8 in. x 10 in. x 12 in. Rebar Demon SDS-Plus 4-Cutter Full Carbide Head Hammer Bit</t>
        </is>
      </c>
      <c r="E3845" s="2">
        <f>HYPERLINK("https://www.amazon.com/Diablo-Freud-DMAPL4230-SDS-Plus-4-Cutter/dp/B089LCN234/ref=sr_1_12?keywords=Diablo+Tools+DMAPL4080+1%2F4+in.+x+6+in.+x+8+in.+Rebar+Demon%E2%84%A2+SDS-Plus+4-Cutter+Full+Carbide+Head+Hammer+Bit&amp;qid=1694735294&amp;sr=8-12", "https://www.amazon.com/Diablo-Freud-DMAPL4230-SDS-Plus-4-Cutter/dp/B089LCN234/ref=sr_1_12?keywords=Diablo+Tools+DMAPL4080+1%2F4+in.+x+6+in.+x+8+in.+Rebar+Demon%E2%84%A2+SDS-Plus+4-Cutter+Full+Carbide+Head+Hammer+Bit&amp;qid=1694735294&amp;sr=8-12")</f>
        <v/>
      </c>
      <c r="F3845" t="inlineStr">
        <is>
          <t>B089LCN234</t>
        </is>
      </c>
      <c r="G3845">
        <f>_xlfn.IMAGE("https://edmondsonsupply.com/cdn/shop/products/DMAPL4080_1.jpg?v=1633030359")</f>
        <v/>
      </c>
      <c r="H3845">
        <f>_xlfn.IMAGE("https://m.media-amazon.com/images/I/61r649wmyhL._AC_UL320_.jpg")</f>
        <v/>
      </c>
      <c r="K3845" t="inlineStr">
        <is>
          <t>7.47</t>
        </is>
      </c>
      <c r="L3845" t="n">
        <v>21.86</v>
      </c>
      <c r="M3845" s="1" t="inlineStr">
        <is>
          <t>192.64%</t>
        </is>
      </c>
      <c r="N3845" s="7" t="n">
        <v>20.01</v>
      </c>
      <c r="O3845" t="n">
        <v>4.7</v>
      </c>
      <c r="P3845" t="n">
        <v>47</v>
      </c>
      <c r="R3845" t="inlineStr">
        <is>
          <t>InStock</t>
        </is>
      </c>
      <c r="S3845" t="inlineStr">
        <is>
          <t>undefined</t>
        </is>
      </c>
      <c r="T3845" t="inlineStr">
        <is>
          <t>5286767919272</t>
        </is>
      </c>
    </row>
    <row r="3846" hidden="1" ht="15.75" customHeight="1">
      <c r="A3846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3846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3846" t="inlineStr">
        <is>
          <t>Diablo Tools DMARG1020 5/32 in. x 3 in. x 6 in. SPEEDemon™ Red Granite Carbide Tipped Hammer Drill Bit</t>
        </is>
      </c>
      <c r="D3846" t="inlineStr">
        <is>
          <t>BOSCH HCBG0205 5 Pieces 5/32 In. x 6 In. BlueGranite Carbide Hammer Drill Bits</t>
        </is>
      </c>
      <c r="E3846" s="2">
        <f>HYPERLINK("https://www.amazon.com/Bosch-HCBG0205-Pieces-BlueGranite-Carbide/dp/B0000TZY9S/ref=sr_1_41?keywords=Diablo+Tools+DMARG1020+5%2F32+in.+x+3+in.+x+6+in.+SPEEDemon%E2%84%A2+Red+Granite+Carbide+Tipped+Hammer+Drill+Bit&amp;qid=1694735279&amp;sr=8-41", "https://www.amazon.com/Bosch-HCBG0205-Pieces-BlueGranite-Carbide/dp/B0000TZY9S/ref=sr_1_41?keywords=Diablo+Tools+DMARG1020+5%2F32+in.+x+3+in.+x+6+in.+SPEEDemon%E2%84%A2+Red+Granite+Carbide+Tipped+Hammer+Drill+Bit&amp;qid=1694735279&amp;sr=8-41")</f>
        <v/>
      </c>
      <c r="F3846" t="inlineStr">
        <is>
          <t>B0000TZY9S</t>
        </is>
      </c>
      <c r="G3846">
        <f>_xludf.IMAGE("https://edmondsonsupply.com/cdn/shop/products/vozy4matwskc7qc8ko6f.webp?v=1670440892")</f>
        <v/>
      </c>
      <c r="H3846">
        <f>_xludf.IMAGE("https://m.media-amazon.com/images/I/51hfM438MCL._AC_UL320_.jpg")</f>
        <v/>
      </c>
      <c r="K3846" t="inlineStr">
        <is>
          <t>4.97</t>
        </is>
      </c>
      <c r="L3846" t="n">
        <v>14.49</v>
      </c>
      <c r="M3846" s="1" t="inlineStr">
        <is>
          <t>191.55%</t>
        </is>
      </c>
      <c r="N3846" s="1" t="n">
        <v>20</v>
      </c>
      <c r="O3846" t="n">
        <v>3.9</v>
      </c>
      <c r="P3846" t="n">
        <v>4</v>
      </c>
      <c r="R3846" t="inlineStr">
        <is>
          <t>InStock</t>
        </is>
      </c>
      <c r="S3846" t="inlineStr">
        <is>
          <t>undefined</t>
        </is>
      </c>
      <c r="T3846" t="inlineStr">
        <is>
          <t>5386082484392</t>
        </is>
      </c>
    </row>
    <row r="3847" ht="87" customHeight="1">
      <c r="A3847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3847" s="2">
        <f>HYPERLINK("https://edmondsonsupply.com/products/klein-tools-31922-bi-metal-hole-saw-1-3-8-inch", "https://edmondsonsupply.com/products/klein-tools-31922-bi-metal-hole-saw-1-3-8-inch")</f>
        <v/>
      </c>
      <c r="C3847" t="inlineStr">
        <is>
          <t>Klein Tools 31922 Bi-Metal Hole Saw, 1-3/8-Inch</t>
        </is>
      </c>
      <c r="D3847" t="inlineStr">
        <is>
          <t>LENOX Tools Hole Saw, Bi-Metal, Speed Slot, Arbored, 2-3/8-Inch (1772953)</t>
        </is>
      </c>
      <c r="E3847" s="2">
        <f>HYPERLINK("https://www.amazon.com/LENOX-Tools-Bi-Metal-Arbored-Technology/dp/B0054SBDNQ/ref=sr_1_31?keywords=Klein+Tools+31922+Bi-Metal+Hole+Saw%2C+1-3%2F8-Inch&amp;qid=1694735176&amp;sr=8-31", "https://www.amazon.com/LENOX-Tools-Bi-Metal-Arbored-Technology/dp/B0054SBDNQ/ref=sr_1_31?keywords=Klein+Tools+31922+Bi-Metal+Hole+Saw%2C+1-3%2F8-Inch&amp;qid=1694735176&amp;sr=8-31")</f>
        <v/>
      </c>
      <c r="F3847" t="inlineStr">
        <is>
          <t>B0054SBDNQ</t>
        </is>
      </c>
      <c r="G3847">
        <f>_xlfn.IMAGE("https://edmondsonsupply.com/cdn/shop/products/31922.jpg?v=1663943738")</f>
        <v/>
      </c>
      <c r="H3847">
        <f>_xlfn.IMAGE("https://m.media-amazon.com/images/I/716edrVuxaL._AC_UL320_.jpg")</f>
        <v/>
      </c>
      <c r="K3847" t="inlineStr">
        <is>
          <t>9.99</t>
        </is>
      </c>
      <c r="L3847" t="n">
        <v>29.08</v>
      </c>
      <c r="M3847" s="1" t="inlineStr">
        <is>
          <t>191.09%</t>
        </is>
      </c>
      <c r="N3847" s="7" t="n">
        <v>19.99</v>
      </c>
      <c r="O3847" t="n">
        <v>4.6</v>
      </c>
      <c r="P3847" t="n">
        <v>366</v>
      </c>
      <c r="R3847" t="inlineStr">
        <is>
          <t>InStock</t>
        </is>
      </c>
      <c r="S3847" t="inlineStr">
        <is>
          <t>14.0</t>
        </is>
      </c>
      <c r="T3847" t="inlineStr">
        <is>
          <t>7827257819352</t>
        </is>
      </c>
    </row>
    <row r="3848" ht="87" customHeight="1">
      <c r="A3848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848" s="2">
        <f>HYPERLINK("https://edmondsonsupply.com/products/klein-tools-rt250-gfci-receptacle-tester-with-lcd", "https://edmondsonsupply.com/products/klein-tools-rt250-gfci-receptacle-tester-with-lcd")</f>
        <v/>
      </c>
      <c r="C3848" t="inlineStr">
        <is>
          <t>Klein Tools RT250 GFCI Receptacle Tester with LCD</t>
        </is>
      </c>
      <c r="D3848" t="inlineStr">
        <is>
          <t>Klein Tools ET140 Pinless Moisture Meter &amp; RT250 GFCI Receptacle Tester with LCD Display, for Standard 3-Wire 120V Electrical Outlets</t>
        </is>
      </c>
      <c r="E3848" s="2">
        <f>HYPERLINK("https://www.amazon.com/Klein-Tools-Moisture-Receptacle-Electrical/dp/B09T6X53KB/ref=sr_1_33?keywords=Klein+Tools+RT250+GFCI+Receptacle+Tester+with+LCD&amp;qid=1694735148&amp;sr=8-33", "https://www.amazon.com/Klein-Tools-Moisture-Receptacle-Electrical/dp/B09T6X53KB/ref=sr_1_33?keywords=Klein+Tools+RT250+GFCI+Receptacle+Tester+with+LCD&amp;qid=1694735148&amp;sr=8-33")</f>
        <v/>
      </c>
      <c r="F3848" t="inlineStr">
        <is>
          <t>B09T6X53KB</t>
        </is>
      </c>
      <c r="G3848">
        <f>_xlfn.IMAGE("https://edmondsonsupply.com/cdn/shop/products/rt250_photo_c.jpg?v=1661363824")</f>
        <v/>
      </c>
      <c r="H3848">
        <f>_xlfn.IMAGE("https://m.media-amazon.com/images/I/510OM9kr3YL._AC_UL320_.jpg")</f>
        <v/>
      </c>
      <c r="K3848" t="inlineStr">
        <is>
          <t>21.97</t>
        </is>
      </c>
      <c r="L3848" t="n">
        <v>63.94</v>
      </c>
      <c r="M3848" s="1" t="inlineStr">
        <is>
          <t>191.03%</t>
        </is>
      </c>
      <c r="N3848" s="7" t="n">
        <v>19.96</v>
      </c>
      <c r="O3848" t="n">
        <v>5</v>
      </c>
      <c r="P3848" t="n">
        <v>5</v>
      </c>
      <c r="R3848" t="inlineStr">
        <is>
          <t>InStock</t>
        </is>
      </c>
      <c r="S3848" t="inlineStr">
        <is>
          <t>30.78</t>
        </is>
      </c>
      <c r="T3848" t="inlineStr">
        <is>
          <t>7793138729176</t>
        </is>
      </c>
    </row>
    <row r="3849" ht="87" customHeight="1">
      <c r="A3849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3849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3849" t="inlineStr">
        <is>
          <t>Diablo Tools DMARG1100 5/16 in. x 4 in. x 6 in. SPEEDemon™ Red Granite Carbide Tipped Hammer Drill Bit</t>
        </is>
      </c>
      <c r="D3849" t="inlineStr">
        <is>
          <t>Diablo by Freud DMARG1020-P5 5/32 in. x 3 in. x 6 in. SPEEDemon Red Granite Carbide Tipped Hammer Drill Bit (5-Pack)</t>
        </is>
      </c>
      <c r="E3849" s="2">
        <f>HYPERLINK("https://www.amazon.com/Diablo-SPEEDemon-Granite-Carbide-Tipped/dp/B089KX38FF/ref=sr_1_10?keywords=Diablo+Tools+DMARG1100+5%2F16+in.+x+4+in.+x+6+in.+SPEEDemon%E2%84%A2+Red+Granite+Carbide+Tipped+Hammer+Drill+Bit&amp;qid=1694735277&amp;sr=8-10", "https://www.amazon.com/Diablo-SPEEDemon-Granite-Carbide-Tipped/dp/B089KX38FF/ref=sr_1_10?keywords=Diablo+Tools+DMARG1100+5%2F16+in.+x+4+in.+x+6+in.+SPEEDemon%E2%84%A2+Red+Granite+Carbide+Tipped+Hammer+Drill+Bit&amp;qid=1694735277&amp;sr=8-10")</f>
        <v/>
      </c>
      <c r="F3849" t="inlineStr">
        <is>
          <t>B089KX38FF</t>
        </is>
      </c>
      <c r="G3849">
        <f>_xlfn.IMAGE("https://edmondsonsupply.com/cdn/shop/products/DMARG1100_Main-Image20200702.png?v=1633030510")</f>
        <v/>
      </c>
      <c r="H3849">
        <f>_xlfn.IMAGE("https://m.media-amazon.com/images/I/61BDYFEnTRL._AC_UL320_.jpg")</f>
        <v/>
      </c>
      <c r="K3849" t="inlineStr">
        <is>
          <t>5.28</t>
        </is>
      </c>
      <c r="L3849" t="n">
        <v>15.36</v>
      </c>
      <c r="M3849" s="1" t="inlineStr">
        <is>
          <t>190.91%</t>
        </is>
      </c>
      <c r="N3849" s="7" t="n">
        <v>19.94</v>
      </c>
      <c r="O3849" t="n">
        <v>4.6</v>
      </c>
      <c r="P3849" t="n">
        <v>27</v>
      </c>
      <c r="R3849" t="inlineStr">
        <is>
          <t>InStock</t>
        </is>
      </c>
      <c r="S3849" t="inlineStr">
        <is>
          <t>undefined</t>
        </is>
      </c>
      <c r="T3849" t="inlineStr">
        <is>
          <t>5386452861096</t>
        </is>
      </c>
    </row>
    <row r="3850" ht="87" customHeight="1">
      <c r="A3850" s="2">
        <f>HYPERLINK("https://edmondsonsupply.com/collections/electricians-tools/products/channellock-3017", "https://edmondsonsupply.com/collections/electricians-tools/products/channellock-3017")</f>
        <v/>
      </c>
      <c r="B3850" s="2">
        <f>HYPERLINK("https://edmondsonsupply.com/products/channellock-3017", "https://edmondsonsupply.com/products/channellock-3017")</f>
        <v/>
      </c>
      <c r="C3850" t="inlineStr">
        <is>
          <t>Channellock 3017 8-Inch Long Nose Pliers</t>
        </is>
      </c>
      <c r="D3850" t="inlineStr">
        <is>
          <t>Channellock 318 8-Inch Long Nose Plier</t>
        </is>
      </c>
      <c r="E3850" s="2">
        <f>HYPERLINK("https://www.amazon.com/Channellock-318-8-Inch-Long-Plier/dp/B000189FGG/ref=sr_1_6?keywords=Channellock+3017+8-Inch+Long+Nose+Pliers&amp;qid=1694735304&amp;sr=8-6", "https://www.amazon.com/Channellock-318-8-Inch-Long-Plier/dp/B000189FGG/ref=sr_1_6?keywords=Channellock+3017+8-Inch+Long+Nose+Pliers&amp;qid=1694735304&amp;sr=8-6")</f>
        <v/>
      </c>
      <c r="F3850" t="inlineStr">
        <is>
          <t>B000189FGG</t>
        </is>
      </c>
      <c r="G3850">
        <f>_xlfn.IMAGE("https://edmondsonsupply.com/cdn/shop/products/3017-683x1024.jpg?v=1633030322")</f>
        <v/>
      </c>
      <c r="H3850">
        <f>_xlfn.IMAGE("https://m.media-amazon.com/images/I/61BFgl-B-vL._AC_UL320_.jpg")</f>
        <v/>
      </c>
      <c r="K3850" t="inlineStr">
        <is>
          <t>19.95</t>
        </is>
      </c>
      <c r="L3850" t="n">
        <v>57.99</v>
      </c>
      <c r="M3850" s="1" t="inlineStr">
        <is>
          <t>190.68%</t>
        </is>
      </c>
      <c r="N3850" s="7" t="n">
        <v>19.93</v>
      </c>
      <c r="O3850" t="n">
        <v>4.4</v>
      </c>
      <c r="P3850" t="n">
        <v>16</v>
      </c>
      <c r="R3850" t="inlineStr">
        <is>
          <t>InStock</t>
        </is>
      </c>
      <c r="S3850" t="inlineStr">
        <is>
          <t>29.97</t>
        </is>
      </c>
      <c r="T3850" t="inlineStr">
        <is>
          <t>5245817159848</t>
        </is>
      </c>
    </row>
    <row r="3851" ht="87" customHeight="1">
      <c r="A3851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3851" s="2">
        <f>HYPERLINK("https://edmondsonsupply.com/products/klein-tools-vdv500-123-probe-pro-tracing-probe", "https://edmondsonsupply.com/products/klein-tools-vdv500-123-probe-pro-tracing-probe")</f>
        <v/>
      </c>
      <c r="C3851" t="inlineStr">
        <is>
          <t>Klein Tools VDV500-123 Probe-PRO Tracing Probe</t>
        </is>
      </c>
      <c r="D3851" t="inlineStr">
        <is>
          <t>Klein Tools 80072 RJ45 Cable Tester Kit with LAN Scout Jr. 2, Coax Crimper/Stripper/Cutter Tool and Pass-Thru Modular Data Plug &amp; VDV500-123 Cable Tracer Probe-Pro Tracing Probe</t>
        </is>
      </c>
      <c r="E3851" s="2">
        <f>HYPERLINK("https://www.amazon.com/Klein-Tools-Pass-Thru-VDV500-123-Probe-Pro/dp/B0BVG9VVZR/ref=sr_1_11?keywords=Klein+Tools+VDV500-123+Probe-PRO+Tracing+Probe&amp;qid=1694734977&amp;sr=8-11", "https://www.amazon.com/Klein-Tools-Pass-Thru-VDV500-123-Probe-Pro/dp/B0BVG9VVZR/ref=sr_1_11?keywords=Klein+Tools+VDV500-123+Probe-PRO+Tracing+Probe&amp;qid=1694734977&amp;sr=8-11")</f>
        <v/>
      </c>
      <c r="F3851" t="inlineStr">
        <is>
          <t>B0BVG9VVZR</t>
        </is>
      </c>
      <c r="G3851">
        <f>_xlfn.IMAGE("https://edmondsonsupply.com/cdn/shop/products/vdv500123.jpg?v=1587142783")</f>
        <v/>
      </c>
      <c r="H3851">
        <f>_xlfn.IMAGE("https://m.media-amazon.com/images/I/51zx3GIQY6L._AC_UY218_.jpg")</f>
        <v/>
      </c>
      <c r="K3851" t="inlineStr">
        <is>
          <t>44.99</t>
        </is>
      </c>
      <c r="L3851" t="n">
        <v>130.77</v>
      </c>
      <c r="M3851" s="1" t="inlineStr">
        <is>
          <t>190.66%</t>
        </is>
      </c>
      <c r="N3851" s="7" t="n">
        <v>19.91</v>
      </c>
      <c r="O3851" t="n">
        <v>5</v>
      </c>
      <c r="P3851" t="n">
        <v>1</v>
      </c>
      <c r="R3851" t="inlineStr">
        <is>
          <t>InStock</t>
        </is>
      </c>
      <c r="S3851" t="inlineStr">
        <is>
          <t>63.0</t>
        </is>
      </c>
      <c r="T3851" t="inlineStr">
        <is>
          <t>4274361466980</t>
        </is>
      </c>
    </row>
    <row r="3852" hidden="1" ht="15.75" customHeight="1">
      <c r="A3852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3852" s="2">
        <f>HYPERLINK("https://edmondsonsupply.com/products/klein-tools-31737-folding-jab-saw", "https://edmondsonsupply.com/products/klein-tools-31737-folding-jab-saw")</f>
        <v/>
      </c>
      <c r="C3852" t="inlineStr">
        <is>
          <t>Klein Tools 31737 Folding Jab Saw</t>
        </is>
      </c>
      <c r="D3852" t="inlineStr">
        <is>
          <t>Klein Tools Recharge Headlamp Fabric Strap 400 Lumens All Day Runtime &amp; 31737 Folding Jab Saw/Drywall Saw, Hand Saw with Lockback at 180 and 125 Degrees and Tether Hole</t>
        </is>
      </c>
      <c r="E3852" s="2">
        <f>HYPERLINK("https://www.amazon.com/Klein-Tools-Recharge-Headlamp-Lockback/dp/B0BNL7BX2B/ref=sr_1_14?keywords=Klein+Tools+31737+Folding+Jab+Saw&amp;qid=1694735392&amp;sr=8-14", "https://www.amazon.com/Klein-Tools-Recharge-Headlamp-Lockback/dp/B0BNL7BX2B/ref=sr_1_14?keywords=Klein+Tools+31737+Folding+Jab+Saw&amp;qid=1694735392&amp;sr=8-14")</f>
        <v/>
      </c>
      <c r="F3852" t="inlineStr">
        <is>
          <t>B0BNL7BX2B</t>
        </is>
      </c>
      <c r="G3852">
        <f>_xludf.IMAGE("https://edmondsonsupply.com/cdn/shop/products/31737.jpg?v=1587149419")</f>
        <v/>
      </c>
      <c r="H3852">
        <f>_xludf.IMAGE("https://m.media-amazon.com/images/I/41jlcJ1ca9L._AC_UL320_.jpg")</f>
        <v/>
      </c>
      <c r="K3852" t="inlineStr">
        <is>
          <t>20.99</t>
        </is>
      </c>
      <c r="L3852" t="n">
        <v>60.96</v>
      </c>
      <c r="M3852" s="1" t="inlineStr">
        <is>
          <t>190.42%</t>
        </is>
      </c>
      <c r="N3852" s="1" t="n">
        <v>19.83</v>
      </c>
      <c r="O3852" t="n">
        <v>4</v>
      </c>
      <c r="P3852" t="n">
        <v>2</v>
      </c>
      <c r="R3852" t="inlineStr">
        <is>
          <t>InStock</t>
        </is>
      </c>
      <c r="S3852" t="inlineStr">
        <is>
          <t>30.06</t>
        </is>
      </c>
      <c r="T3852" t="inlineStr">
        <is>
          <t>1780079853668</t>
        </is>
      </c>
    </row>
    <row r="3853" hidden="1" ht="15.75" customHeight="1">
      <c r="A3853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3853" s="2">
        <f>HYPERLINK("https://edmondsonsupply.com/products/klein-tools-51608-1-2-inch-iron-conduit-bender-head", "https://edmondsonsupply.com/products/klein-tools-51608-1-2-inch-iron-conduit-bender-head")</f>
        <v/>
      </c>
      <c r="C3853" t="inlineStr">
        <is>
          <t>Klein Tools 51608 1/2-inch Iron Conduit Bender Head</t>
        </is>
      </c>
      <c r="D3853" t="inlineStr">
        <is>
          <t>Klein Tools 1" Iron Conduit Bender Head</t>
        </is>
      </c>
      <c r="E3853" s="2">
        <f>HYPERLINK("https://www.amazon.com/Klein-Tools-56210-Conduit-Bender/dp/B007OX1M6W/ref=sr_1_12?keywords=Klein+Tools+51608+1%2F2-inch+Iron+Conduit+Bender+Head&amp;qid=1694735173&amp;sr=8-12", "https://www.amazon.com/Klein-Tools-56210-Conduit-Bender/dp/B007OX1M6W/ref=sr_1_12?keywords=Klein+Tools+51608+1%2F2-inch+Iron+Conduit+Bender+Head&amp;qid=1694735173&amp;sr=8-12")</f>
        <v/>
      </c>
      <c r="F3853" t="inlineStr">
        <is>
          <t>B007OX1M6W</t>
        </is>
      </c>
      <c r="G3853">
        <f>_xludf.IMAGE("https://edmondsonsupply.com/cdn/shop/products/51608.jpg?v=1643679335")</f>
        <v/>
      </c>
      <c r="H3853">
        <f>_xludf.IMAGE("https://m.media-amazon.com/images/I/51s7bHmdWyL._AC_UL320_.jpg")</f>
        <v/>
      </c>
      <c r="K3853" t="inlineStr">
        <is>
          <t>39.99</t>
        </is>
      </c>
      <c r="L3853" t="n">
        <v>116.13</v>
      </c>
      <c r="M3853" s="1" t="inlineStr">
        <is>
          <t>190.40%</t>
        </is>
      </c>
      <c r="N3853" s="1" t="n">
        <v>19.53</v>
      </c>
      <c r="O3853" t="n">
        <v>4</v>
      </c>
      <c r="P3853" t="n">
        <v>1</v>
      </c>
      <c r="R3853" t="inlineStr">
        <is>
          <t>InStock</t>
        </is>
      </c>
      <c r="S3853" t="inlineStr">
        <is>
          <t>60.66</t>
        </is>
      </c>
      <c r="T3853" t="inlineStr">
        <is>
          <t>7597417693400</t>
        </is>
      </c>
    </row>
    <row r="3854" hidden="1" ht="15.75" customHeight="1">
      <c r="A3854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3854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3854" t="inlineStr">
        <is>
          <t>Diablo Tools DMAPL4030 3/16 in. x 2 in. x 4 in. Rebar Demon™ SDS-Plus 4-Cutter Full Carbide Head Hammer Bit</t>
        </is>
      </c>
      <c r="D3854" t="inlineStr">
        <is>
          <t>Diablo by Freud Diablo DMAPL4210 5/8 in. x 4 in. x 6 in. Rebar Demon SDS-Plus 4-Cutter Full Carbide Head Hammer Bit</t>
        </is>
      </c>
      <c r="E3854" s="2">
        <f>HYPERLINK("https://www.amazon.com/Diablo-Freud-DMAPL4210-SDS-Plus-4-Cutter/dp/B089LGF2KS/ref=sr_1_18?keywords=Diablo+Tools+DMAPL4030+3%2F16+in.+x+2+in.+x+4+in.+Rebar+Demon%E2%84%A2+SDS-Plus+4-Cutter+Full+Carbide+Head+Hammer+Bit&amp;qid=1694735295&amp;sr=8-18", "https://www.amazon.com/Diablo-Freud-DMAPL4210-SDS-Plus-4-Cutter/dp/B089LGF2KS/ref=sr_1_18?keywords=Diablo+Tools+DMAPL4030+3%2F16+in.+x+2+in.+x+4+in.+Rebar+Demon%E2%84%A2+SDS-Plus+4-Cutter+Full+Carbide+Head+Hammer+Bit&amp;qid=1694735295&amp;sr=8-18")</f>
        <v/>
      </c>
      <c r="F3854" t="inlineStr">
        <is>
          <t>B089LGF2KS</t>
        </is>
      </c>
      <c r="G3854">
        <f>_xludf.IMAGE("https://edmondsonsupply.com/cdn/shop/products/DMAPL4030.jpg?v=1633030357")</f>
        <v/>
      </c>
      <c r="H3854">
        <f>_xludf.IMAGE("https://m.media-amazon.com/images/I/61rU9ZgmndL._AC_UL320_.jpg")</f>
        <v/>
      </c>
      <c r="K3854" t="inlineStr">
        <is>
          <t>3.97</t>
        </is>
      </c>
      <c r="L3854" t="n">
        <v>11.49</v>
      </c>
      <c r="M3854" s="1" t="inlineStr">
        <is>
          <t>189.42%</t>
        </is>
      </c>
      <c r="N3854" s="1" t="n">
        <v>19.22</v>
      </c>
      <c r="O3854" t="n">
        <v>4.6</v>
      </c>
      <c r="P3854" t="n">
        <v>63</v>
      </c>
      <c r="R3854" t="inlineStr">
        <is>
          <t>InStock</t>
        </is>
      </c>
      <c r="S3854" t="inlineStr">
        <is>
          <t>5.51</t>
        </is>
      </c>
      <c r="T3854" t="inlineStr">
        <is>
          <t>5286322012328</t>
        </is>
      </c>
    </row>
    <row r="3855" ht="87" customHeight="1">
      <c r="A3855" s="2">
        <f>HYPERLINK("https://edmondsonsupply.com/collections/electricians-tools/products/milwaukee-49-56-0032-7-8-hole-dozer%E2%84%A2-hole-saw-bi-metal-cup", "https://edmondsonsupply.com/collections/electricians-tools/products/milwaukee-49-56-0032-7-8-hole-dozer%E2%84%A2-hole-saw-bi-metal-cup")</f>
        <v/>
      </c>
      <c r="B3855" s="2">
        <f>HYPERLINK("https://edmondsonsupply.com/products/milwaukee-49-56-0032-7-8-hole-dozer%e2%84%a2-hole-saw-bi-metal-cup", "https://edmondsonsupply.com/products/milwaukee-49-56-0032-7-8-hole-dozer%e2%84%a2-hole-saw-bi-metal-cup")</f>
        <v/>
      </c>
      <c r="C3855" t="inlineStr">
        <is>
          <t>Milwaukee 49-56-0032 7/8" HOLE DOZER™ Hole Saw Bi-Metal Cup</t>
        </is>
      </c>
      <c r="D3855" t="inlineStr">
        <is>
          <t>Milwaukee Electric Tool 49-56-0167 Electric Bi-Metal Hole Saw, 2-7/8"</t>
        </is>
      </c>
      <c r="E3855" s="2">
        <f>HYPERLINK("https://www.amazon.com/Milwaukee-49-56-0167-8-Inch-Hardened-Hole/dp/B0017WOBBO/ref=sr_1_3?keywords=Milwaukee+49-56-0032+7%2F8%22+HOLE+DOZER%E2%84%A2+Hole+Saw+Bi-Metal+Cup&amp;qid=1694735012&amp;sr=8-3", "https://www.amazon.com/Milwaukee-49-56-0167-8-Inch-Hardened-Hole/dp/B0017WOBBO/ref=sr_1_3?keywords=Milwaukee+49-56-0032+7%2F8%22+HOLE+DOZER%E2%84%A2+Hole+Saw+Bi-Metal+Cup&amp;qid=1694735012&amp;sr=8-3")</f>
        <v/>
      </c>
      <c r="F3855" t="inlineStr">
        <is>
          <t>B0017WOBBO</t>
        </is>
      </c>
      <c r="G3855">
        <f>_xlfn.IMAGE("https://edmondsonsupply.com/cdn/shop/products/49-56-0052_101_2_e2853eae-f06d-4487-a2f1-f6b9c315f028.webp?v=1679419818")</f>
        <v/>
      </c>
      <c r="H3855">
        <f>_xlfn.IMAGE("https://m.media-amazon.com/images/I/61csZT8rVjL._AC_UL320_.jpg")</f>
        <v/>
      </c>
      <c r="K3855" t="inlineStr">
        <is>
          <t>6.05</t>
        </is>
      </c>
      <c r="L3855" t="n">
        <v>17.46</v>
      </c>
      <c r="M3855" s="1" t="inlineStr">
        <is>
          <t>188.60%</t>
        </is>
      </c>
      <c r="N3855" s="7" t="n">
        <v>19.22</v>
      </c>
      <c r="O3855" t="n">
        <v>4.8</v>
      </c>
      <c r="P3855" t="n">
        <v>101</v>
      </c>
      <c r="R3855" t="inlineStr">
        <is>
          <t>InStock</t>
        </is>
      </c>
      <c r="S3855" t="inlineStr">
        <is>
          <t>12.3</t>
        </is>
      </c>
      <c r="T3855" t="inlineStr">
        <is>
          <t>7965277880536</t>
        </is>
      </c>
    </row>
    <row r="3856" ht="87" customHeight="1">
      <c r="A3856" s="2">
        <f>HYPERLINK("https://edmondsonsupply.com/collections/electricians-tools/products/channellock-317", "https://edmondsonsupply.com/collections/electricians-tools/products/channellock-317")</f>
        <v/>
      </c>
      <c r="B3856" s="2">
        <f>HYPERLINK("https://edmondsonsupply.com/products/channellock-317", "https://edmondsonsupply.com/products/channellock-317")</f>
        <v/>
      </c>
      <c r="C3856" t="inlineStr">
        <is>
          <t>Channellock 317 8-Inch Long Nose Pliers with Side Cutter</t>
        </is>
      </c>
      <c r="D3856" t="inlineStr">
        <is>
          <t>Channellock PC-2 Pro's Choice Plier Kit with Bonus Tool Tray for convenient storage,4-Piece 9-1/2 Inch Tongue&amp;Groove,8-Inch Duty Slip Joint,8-Inch Long Noseand 7-Inch High Leverage Diagonal Cutter</t>
        </is>
      </c>
      <c r="E3856" s="2">
        <f>HYPERLINK("https://www.amazon.com/Channellock-PC-2-convenient-Leverage-Diagonal/dp/B004WQZWGK/ref=sr_1_37?keywords=Channellock+317+8-Inch+Long+Nose+Pliers+with+Side+Cutter&amp;qid=1694735322&amp;sr=8-37", "https://www.amazon.com/Channellock-PC-2-convenient-Leverage-Diagonal/dp/B004WQZWGK/ref=sr_1_37?keywords=Channellock+317+8-Inch+Long+Nose+Pliers+with+Side+Cutter&amp;qid=1694735322&amp;sr=8-37")</f>
        <v/>
      </c>
      <c r="F3856" t="inlineStr">
        <is>
          <t>B004WQZWGK</t>
        </is>
      </c>
      <c r="G3856">
        <f>_xlfn.IMAGE("https://edmondsonsupply.com/cdn/shop/products/317-683x1024.jpg?v=1633030326")</f>
        <v/>
      </c>
      <c r="H3856">
        <f>_xlfn.IMAGE("https://m.media-amazon.com/images/I/81UUpvET0AL._AC_UL320_.jpg")</f>
        <v/>
      </c>
      <c r="K3856" t="inlineStr">
        <is>
          <t>24.95</t>
        </is>
      </c>
      <c r="L3856" t="n">
        <v>71.95</v>
      </c>
      <c r="M3856" s="1" t="inlineStr">
        <is>
          <t>188.38%</t>
        </is>
      </c>
      <c r="N3856" s="7" t="n">
        <v>19.17</v>
      </c>
      <c r="O3856" t="n">
        <v>4.7</v>
      </c>
      <c r="P3856" t="n">
        <v>117</v>
      </c>
      <c r="R3856" t="inlineStr">
        <is>
          <t>InStock</t>
        </is>
      </c>
      <c r="S3856" t="inlineStr">
        <is>
          <t>35.15</t>
        </is>
      </c>
      <c r="T3856" t="inlineStr">
        <is>
          <t>5247343526056</t>
        </is>
      </c>
    </row>
    <row r="3857" ht="87" customHeight="1">
      <c r="A3857" s="2">
        <f>HYPERLINK("https://edmondsonsupply.com/collections/electricians-tools/products/klein-tools-66079-flip-impact-socket-adapter-small-1-4-to-1-4-inch", "https://edmondsonsupply.com/collections/electricians-tools/products/klein-tools-66079-flip-impact-socket-adapter-small-1-4-to-1-4-inch")</f>
        <v/>
      </c>
      <c r="B3857" s="2">
        <f>HYPERLINK("https://edmondsonsupply.com/products/klein-tools-66079-flip-impact-socket-adapter-small-1-4-to-1-4-inch", "https://edmondsonsupply.com/products/klein-tools-66079-flip-impact-socket-adapter-small-1-4-to-1-4-inch")</f>
        <v/>
      </c>
      <c r="C3857" t="inlineStr">
        <is>
          <t>Klein Tools 66079 Flip Impact Socket Adapter, Small, 1/4 to 1/4-Inch</t>
        </is>
      </c>
      <c r="D3857" t="inlineStr">
        <is>
          <t>Klein Tools 32767 Impact Driver, 3-in-1 Impact Flip Socket and Bit Holder, 1/4-Inch and 5/16-Inch Hex Drivers, 5-Inch Length (Pack of 2)</t>
        </is>
      </c>
      <c r="E3857" s="2">
        <f>HYPERLINK("https://www.amazon.com/Klein-Tools-32767-16-Inch-Drivers/dp/B0CDQKP7LM/ref=sr_1_10?keywords=Klein+Tools+66079+Flip+Impact+Socket+Adapter%2C+Small%2C+1%2F4+to+1%2F4-Inch&amp;qid=1694734974&amp;sr=8-10", "https://www.amazon.com/Klein-Tools-32767-16-Inch-Drivers/dp/B0CDQKP7LM/ref=sr_1_10?keywords=Klein+Tools+66079+Flip+Impact+Socket+Adapter%2C+Small%2C+1%2F4+to+1%2F4-Inch&amp;qid=1694734974&amp;sr=8-10")</f>
        <v/>
      </c>
      <c r="F3857" t="inlineStr">
        <is>
          <t>B0CDQKP7LM</t>
        </is>
      </c>
      <c r="G3857">
        <f>_xlfn.IMAGE("https://edmondsonsupply.com/cdn/shop/products/66079.jpg?v=1669735923")</f>
        <v/>
      </c>
      <c r="H3857">
        <f>_xlfn.IMAGE("https://m.media-amazon.com/images/I/41Z456wDYpL._AC_UL320_.jpg")</f>
        <v/>
      </c>
      <c r="K3857" t="inlineStr">
        <is>
          <t>6.86</t>
        </is>
      </c>
      <c r="L3857" t="n">
        <v>19.77</v>
      </c>
      <c r="M3857" s="1" t="inlineStr">
        <is>
          <t>188.19%</t>
        </is>
      </c>
      <c r="N3857" s="7" t="n">
        <v>19.16</v>
      </c>
      <c r="O3857" t="n">
        <v>4.3</v>
      </c>
      <c r="P3857" t="n">
        <v>799</v>
      </c>
      <c r="R3857" t="inlineStr">
        <is>
          <t>InStock</t>
        </is>
      </c>
      <c r="S3857" t="inlineStr">
        <is>
          <t>9.6</t>
        </is>
      </c>
      <c r="T3857" t="inlineStr">
        <is>
          <t>7896124555480</t>
        </is>
      </c>
    </row>
    <row r="3858" hidden="1" ht="15.75" customHeight="1">
      <c r="A3858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3858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3858" t="inlineStr">
        <is>
          <t>Klein Tools JTH6E10BE 5/32-Inch Ball Hex Key, Journeyman T-Handle 6-Inch</t>
        </is>
      </c>
      <c r="D3858" t="inlineStr">
        <is>
          <t>Klein Tools JTH6E09BE 9/64-Inch Ball-End Hex Key with Journeyman T-Handle, 6-Inch (Pack of 2)</t>
        </is>
      </c>
      <c r="E3858" s="2">
        <f>HYPERLINK("https://www.amazon.com/Klein-Tools-JTH6E09BE-Ball-End-Journeyman/dp/B0CGLVC75M/ref=sr_1_10?keywords=Klein+Tools+JTH6E10BE+5%2F32-Inch+Ball+Hex+Key%2C+Journeyman+T-Handle+6-Inch&amp;qid=1694735255&amp;sr=8-10", "https://www.amazon.com/Klein-Tools-JTH6E09BE-Ball-End-Journeyman/dp/B0CGLVC75M/ref=sr_1_10?keywords=Klein+Tools+JTH6E10BE+5%2F32-Inch+Ball+Hex+Key%2C+Journeyman+T-Handle+6-Inch&amp;qid=1694735255&amp;sr=8-10")</f>
        <v/>
      </c>
      <c r="F3858" t="inlineStr">
        <is>
          <t>B0CGLVC75M</t>
        </is>
      </c>
      <c r="G3858">
        <f>_xludf.IMAGE("https://edmondsonsupply.com/cdn/shop/products/jth6e13be_363de34a-e666-474d-81cd-df9068957d9f.jpg?v=1604059577")</f>
        <v/>
      </c>
      <c r="H3858">
        <f>_xludf.IMAGE("https://m.media-amazon.com/images/I/41bN+I19ReL._AC_UL320_.jpg")</f>
        <v/>
      </c>
      <c r="K3858" t="inlineStr">
        <is>
          <t>4.99</t>
        </is>
      </c>
      <c r="L3858" t="n">
        <v>14.36</v>
      </c>
      <c r="M3858" s="1" t="inlineStr">
        <is>
          <t>187.78%</t>
        </is>
      </c>
      <c r="N3858" s="1" t="n">
        <v>19.13</v>
      </c>
      <c r="O3858" t="n">
        <v>4.9</v>
      </c>
      <c r="P3858" t="n">
        <v>65</v>
      </c>
      <c r="R3858" t="inlineStr">
        <is>
          <t>InStock</t>
        </is>
      </c>
      <c r="S3858" t="inlineStr">
        <is>
          <t>7.52</t>
        </is>
      </c>
      <c r="T3858" t="inlineStr">
        <is>
          <t>5999019819176</t>
        </is>
      </c>
    </row>
    <row r="3859" hidden="1" ht="15.75" customHeight="1">
      <c r="A3859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3859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3859" t="inlineStr">
        <is>
          <t>Klein Tools JTH6E06BE 3/32-Inch Ball End Hex Key with T-Handle, 6-Inch</t>
        </is>
      </c>
      <c r="D3859" t="inlineStr">
        <is>
          <t>Klein Tools JTH6E09BE 9/64-Inch Ball-End Hex Key with Journeyman T-Handle, 6-Inch (Pack of 2)</t>
        </is>
      </c>
      <c r="E3859" s="2">
        <f>HYPERLINK("https://www.amazon.com/Klein-Tools-JTH6E09BE-Ball-End-Journeyman/dp/B0CGLVC75M/ref=sr_1_6?keywords=Klein+Tools+JTH6E06BE+3%2F32-Inch+Ball+End+Hex+Key+with+T-Handle%2C+6-Inch&amp;qid=1694735201&amp;sr=8-6", "https://www.amazon.com/Klein-Tools-JTH6E09BE-Ball-End-Journeyman/dp/B0CGLVC75M/ref=sr_1_6?keywords=Klein+Tools+JTH6E06BE+3%2F32-Inch+Ball+End+Hex+Key+with+T-Handle%2C+6-Inch&amp;qid=1694735201&amp;sr=8-6")</f>
        <v/>
      </c>
      <c r="F3859" t="inlineStr">
        <is>
          <t>B0CGLVC75M</t>
        </is>
      </c>
      <c r="G3859">
        <f>_xludf.IMAGE("https://edmondsonsupply.com/cdn/shop/products/jth6e13be_f61308c8-99eb-44df-aac2-25c9159d6b6d.jpg?v=1633031148")</f>
        <v/>
      </c>
      <c r="H3859">
        <f>_xludf.IMAGE("https://m.media-amazon.com/images/I/41bN+I19ReL._AC_UL320_.jpg")</f>
        <v/>
      </c>
      <c r="K3859" t="inlineStr">
        <is>
          <t>4.99</t>
        </is>
      </c>
      <c r="L3859" t="n">
        <v>14.36</v>
      </c>
      <c r="M3859" s="1" t="inlineStr">
        <is>
          <t>187.78%</t>
        </is>
      </c>
      <c r="N3859" s="1" t="n">
        <v>19.07</v>
      </c>
      <c r="O3859" t="n">
        <v>4.9</v>
      </c>
      <c r="P3859" t="n">
        <v>65</v>
      </c>
      <c r="R3859" t="inlineStr">
        <is>
          <t>InStock</t>
        </is>
      </c>
      <c r="S3859" t="inlineStr">
        <is>
          <t>7.54</t>
        </is>
      </c>
      <c r="T3859" t="inlineStr">
        <is>
          <t>6895312601261</t>
        </is>
      </c>
    </row>
    <row r="3860" ht="87" customHeight="1">
      <c r="A3860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3860" s="2">
        <f>HYPERLINK("https://edmondsonsupply.com/products/klein-tools-647m-magnetic-nut-driver-set-6-inch-shafts-7-piece", "https://edmondsonsupply.com/products/klein-tools-647m-magnetic-nut-driver-set-6-inch-shafts-7-piece")</f>
        <v/>
      </c>
      <c r="C3860" t="inlineStr">
        <is>
          <t>Klein Tools 647M Magnetic Nut Driver Set, 6-Inch Shafts, 7-Piece</t>
        </is>
      </c>
      <c r="D3860" t="inlineStr">
        <is>
          <t>Klein Tools 33524 Tool Kit, 1000V Insulated Nut Driver Set, Sizes 3/16, 1/4, 5/16, 11/32, 3/8,7/16,1/2,9/16,5/8-Inch, with Case, 9-Piece</t>
        </is>
      </c>
      <c r="E3860" s="2">
        <f>HYPERLINK("https://www.amazon.com/Insulated-9-Piece-Klein-Tools-33524/dp/B000MKIR9E/ref=sr_1_39?keywords=Klein+Tools+647M+Magnetic+Nut+Driver+Set%2C+6-Inch+Shafts%2C+7-Piece&amp;qid=1694735271&amp;sr=8-39", "https://www.amazon.com/Insulated-9-Piece-Klein-Tools-33524/dp/B000MKIR9E/ref=sr_1_39?keywords=Klein+Tools+647M+Magnetic+Nut+Driver+Set%2C+6-Inch+Shafts%2C+7-Piece&amp;qid=1694735271&amp;sr=8-39")</f>
        <v/>
      </c>
      <c r="F3860" t="inlineStr">
        <is>
          <t>B000MKIR9E</t>
        </is>
      </c>
      <c r="G3860">
        <f>_xlfn.IMAGE("https://edmondsonsupply.com/cdn/shop/products/647m.jpg?v=1633030530")</f>
        <v/>
      </c>
      <c r="H3860">
        <f>_xlfn.IMAGE("https://m.media-amazon.com/images/I/71+Db525CfL._AC_UL320_.jpg")</f>
        <v/>
      </c>
      <c r="K3860" t="inlineStr">
        <is>
          <t>79.99</t>
        </is>
      </c>
      <c r="L3860" t="n">
        <v>229.99</v>
      </c>
      <c r="M3860" s="1" t="inlineStr">
        <is>
          <t>187.52%</t>
        </is>
      </c>
      <c r="N3860" s="7" t="n">
        <v>18.89</v>
      </c>
      <c r="O3860" t="n">
        <v>4.4</v>
      </c>
      <c r="P3860" t="n">
        <v>26</v>
      </c>
      <c r="R3860" t="inlineStr">
        <is>
          <t>InStock</t>
        </is>
      </c>
      <c r="S3860" t="inlineStr">
        <is>
          <t>117.72</t>
        </is>
      </c>
      <c r="T3860" t="inlineStr">
        <is>
          <t>5408872136872</t>
        </is>
      </c>
    </row>
    <row r="3861" ht="87" customHeight="1">
      <c r="A3861" s="2">
        <f>HYPERLINK("https://edmondsonsupply.com/collections/electricians-tools/products/klein-tools-66073-flip-impact-socket-15-16-and-7-8-inch", "https://edmondsonsupply.com/collections/electricians-tools/products/klein-tools-66073-flip-impact-socket-15-16-and-7-8-inch")</f>
        <v/>
      </c>
      <c r="B3861" s="2">
        <f>HYPERLINK("https://edmondsonsupply.com/products/klein-tools-66073-flip-impact-socket-15-16-and-7-8-inch", "https://edmondsonsupply.com/products/klein-tools-66073-flip-impact-socket-15-16-and-7-8-inch")</f>
        <v/>
      </c>
      <c r="C3861" t="inlineStr">
        <is>
          <t>Klein Tools 66073 Flip Impact Socket, 15/16 and 7/8-Inch</t>
        </is>
      </c>
      <c r="D3861" t="inlineStr">
        <is>
          <t>Klein Tools 66062 2-in-1 Deep Impact Socket, 6-Point 5/8-Inch and 7/16-Inch Hex Socket, Use with Impact Wrenches BAT20-CW, BAT20-CW</t>
        </is>
      </c>
      <c r="E3861" s="2">
        <f>HYPERLINK("https://www.amazon.com/Klein-Tools-66062-Wrenches-BAT20-CW/dp/B09NDQW5HQ/ref=sr_1_21?keywords=Klein+Tools+66073+Flip+Impact+Socket%2C+15%2F16+and+7%2F8-Inch&amp;qid=1694735125&amp;sr=8-21", "https://www.amazon.com/Klein-Tools-66062-Wrenches-BAT20-CW/dp/B09NDQW5HQ/ref=sr_1_21?keywords=Klein+Tools+66073+Flip+Impact+Socket%2C+15%2F16+and+7%2F8-Inch&amp;qid=1694735125&amp;sr=8-21")</f>
        <v/>
      </c>
      <c r="F3861" t="inlineStr">
        <is>
          <t>B09NDQW5HQ</t>
        </is>
      </c>
      <c r="G3861">
        <f>_xlfn.IMAGE("https://edmondsonsupply.com/cdn/shop/products/66073.jpg?v=1663250093")</f>
        <v/>
      </c>
      <c r="H3861">
        <f>_xlfn.IMAGE("https://m.media-amazon.com/images/I/816tstt7E9L._AC_UL320_.jpg")</f>
        <v/>
      </c>
      <c r="K3861" t="inlineStr">
        <is>
          <t>15.0</t>
        </is>
      </c>
      <c r="L3861" t="n">
        <v>43.08</v>
      </c>
      <c r="M3861" s="1" t="inlineStr">
        <is>
          <t>187.20%</t>
        </is>
      </c>
      <c r="N3861" s="7" t="n">
        <v>18.46</v>
      </c>
      <c r="O3861" t="n">
        <v>5</v>
      </c>
      <c r="P3861" t="n">
        <v>1</v>
      </c>
      <c r="R3861" t="inlineStr">
        <is>
          <t>InStock</t>
        </is>
      </c>
      <c r="S3861" t="inlineStr">
        <is>
          <t>21.0</t>
        </is>
      </c>
      <c r="T3861" t="inlineStr">
        <is>
          <t>7817375547608</t>
        </is>
      </c>
    </row>
    <row r="3862" ht="87" customHeight="1">
      <c r="A3862" s="2">
        <f>HYPERLINK("https://edmondsonsupply.com/collections/electricians-tools/products/klein-tools-70581-8-key-folding-hex-key-set-1-20-to-5-32-inch-sae", "https://edmondsonsupply.com/collections/electricians-tools/products/klein-tools-70581-8-key-folding-hex-key-set-1-20-to-5-32-inch-sae")</f>
        <v/>
      </c>
      <c r="B3862" s="2">
        <f>HYPERLINK("https://edmondsonsupply.com/products/klein-tools-70581-8-key-folding-hex-key-set-1-20-to-5-32-inch-sae", "https://edmondsonsupply.com/products/klein-tools-70581-8-key-folding-hex-key-set-1-20-to-5-32-inch-sae")</f>
        <v/>
      </c>
      <c r="C3862" t="inlineStr">
        <is>
          <t>Klein Tools 70581 Folding Hex Key Set, 8-Key, SAE Sizes</t>
        </is>
      </c>
      <c r="D3862" t="inlineStr">
        <is>
          <t>Klein Tools 70550 Hex Wrench Key Set, 11 SAE Sizes, Heavy Duty Folding Allen Wrench Tool with Extra Long Hex Keys</t>
        </is>
      </c>
      <c r="E3862" s="2">
        <f>HYPERLINK("https://www.amazon.com/Klein-Tools-70550-Folding-Wrench/dp/B07SR11TC4/ref=sr_1_3?keywords=Klein+Tools+70581+Folding+Hex+Key+Set%2C+8-Key%2C+SAE+Sizes&amp;qid=1694735356&amp;sr=8-3", "https://www.amazon.com/Klein-Tools-70550-Folding-Wrench/dp/B07SR11TC4/ref=sr_1_3?keywords=Klein+Tools+70581+Folding+Hex+Key+Set%2C+8-Key%2C+SAE+Sizes&amp;qid=1694735356&amp;sr=8-3")</f>
        <v/>
      </c>
      <c r="F3862" t="inlineStr">
        <is>
          <t>B07SR11TC4</t>
        </is>
      </c>
      <c r="G3862">
        <f>_xlfn.IMAGE("https://edmondsonsupply.com/cdn/shop/products/70581.jpg?v=1587143189")</f>
        <v/>
      </c>
      <c r="H3862">
        <f>_xlfn.IMAGE("https://m.media-amazon.com/images/I/51WajHtjW+L._AC_UL320_.jpg")</f>
        <v/>
      </c>
      <c r="K3862" t="inlineStr">
        <is>
          <t>6.97</t>
        </is>
      </c>
      <c r="L3862" t="n">
        <v>19.97</v>
      </c>
      <c r="M3862" s="1" t="inlineStr">
        <is>
          <t>186.51%</t>
        </is>
      </c>
      <c r="N3862" s="7" t="n">
        <v>18.43</v>
      </c>
      <c r="O3862" t="n">
        <v>4.8</v>
      </c>
      <c r="P3862" t="n">
        <v>5745</v>
      </c>
      <c r="R3862" t="inlineStr">
        <is>
          <t>InStock</t>
        </is>
      </c>
      <c r="S3862" t="inlineStr">
        <is>
          <t>10.56</t>
        </is>
      </c>
      <c r="T3862" t="inlineStr">
        <is>
          <t>4432219865188</t>
        </is>
      </c>
    </row>
    <row r="3863" ht="87" customHeight="1">
      <c r="A3863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863" s="2">
        <f>HYPERLINK("https://edmondsonsupply.com/products/klein-tools-s10-5-16-inch-nut-driver-3-inch-hollow-shaft", "https://edmondsonsupply.com/products/klein-tools-s10-5-16-inch-nut-driver-3-inch-hollow-shaft")</f>
        <v/>
      </c>
      <c r="C3863" t="inlineStr">
        <is>
          <t>Klein Tools S10 5/16-Inch Nut Driver 3-Inch Hollow Shaft</t>
        </is>
      </c>
      <c r="D3863" t="inlineStr">
        <is>
          <t>Klein Tools 618-5/16M Nut Driver, 5/16-Inch Magnetic Tip with 18-Inch Hollow Shaft</t>
        </is>
      </c>
      <c r="E3863" s="2">
        <f>HYPERLINK("https://www.amazon.com/Magnetic-Klein-Tools-618-5-16M/dp/B000TKF43E/ref=sr_1_15?keywords=Klein+Tools+S10+5%2F16-Inch+Nut+Driver+3-Inch+Hollow+Shaft&amp;qid=1694735234&amp;sr=8-15", "https://www.amazon.com/Magnetic-Klein-Tools-618-5-16M/dp/B000TKF43E/ref=sr_1_15?keywords=Klein+Tools+S10+5%2F16-Inch+Nut+Driver+3-Inch+Hollow+Shaft&amp;qid=1694735234&amp;sr=8-15")</f>
        <v/>
      </c>
      <c r="F3863" t="inlineStr">
        <is>
          <t>B000TKF43E</t>
        </is>
      </c>
      <c r="G3863">
        <f>_xlfn.IMAGE("https://edmondsonsupply.com/cdn/shop/products/s10_38acacb8-6c8e-49ef-8ed3-7160ab53875a.jpg?v=1633030893")</f>
        <v/>
      </c>
      <c r="H3863">
        <f>_xlfn.IMAGE("https://m.media-amazon.com/images/I/41mbuHhYFHL._AC_UL320_.jpg")</f>
        <v/>
      </c>
      <c r="K3863" t="inlineStr">
        <is>
          <t>7.99</t>
        </is>
      </c>
      <c r="L3863" t="n">
        <v>22.84</v>
      </c>
      <c r="M3863" s="1" t="inlineStr">
        <is>
          <t>185.86%</t>
        </is>
      </c>
      <c r="N3863" s="7" t="n">
        <v>18.4</v>
      </c>
      <c r="O3863" t="n">
        <v>4.3</v>
      </c>
      <c r="P3863" t="n">
        <v>35</v>
      </c>
      <c r="R3863" t="inlineStr">
        <is>
          <t>InStock</t>
        </is>
      </c>
      <c r="S3863" t="inlineStr">
        <is>
          <t>12.06</t>
        </is>
      </c>
      <c r="T3863" t="inlineStr">
        <is>
          <t>6223447031981</t>
        </is>
      </c>
    </row>
    <row r="3864" ht="87" customHeight="1">
      <c r="A3864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3864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3864" t="inlineStr">
        <is>
          <t>Klein Tools K11095 Klein-Kurve® Wire Stripper / Cutter, 8-20 AWG</t>
        </is>
      </c>
      <c r="D3864" t="inlineStr">
        <is>
          <t>Klein Tools 3005CR Wire Crimper Tool &amp; 11063W Wire Cutter/Wire Stripper, Heavy Duty Wire Stripper Tool for 8-20 AWG Solid and 10-22 AWG Stranded Electrical Wire</t>
        </is>
      </c>
      <c r="E3864" s="2">
        <f>HYPERLINK("https://www.amazon.com/Klein-Tools-Stripper-Stranded-Electrical/dp/B08XKMZF55/ref=sr_1_20?keywords=Klein+Tools+K11095+Klein-Kurve%C2%AE+Wire+Stripper+%2F+Cutter%2C+8-20+AWG&amp;qid=1694735132&amp;sr=8-20", "https://www.amazon.com/Klein-Tools-Stripper-Stranded-Electrical/dp/B08XKMZF55/ref=sr_1_20?keywords=Klein+Tools+K11095+Klein-Kurve%C2%AE+Wire+Stripper+%2F+Cutter%2C+8-20+AWG&amp;qid=1694735132&amp;sr=8-20")</f>
        <v/>
      </c>
      <c r="F3864" t="inlineStr">
        <is>
          <t>B08XKMZF55</t>
        </is>
      </c>
      <c r="G3864">
        <f>_xlfn.IMAGE("https://edmondsonsupply.com/cdn/shop/products/k11095_b_front_vertical.jpg?v=1661364611")</f>
        <v/>
      </c>
      <c r="H3864">
        <f>_xlfn.IMAGE("https://m.media-amazon.com/images/I/410rkxkOErL._AC_UL320_.jpg")</f>
        <v/>
      </c>
      <c r="K3864" t="inlineStr">
        <is>
          <t>20.97</t>
        </is>
      </c>
      <c r="L3864" t="n">
        <v>59.94</v>
      </c>
      <c r="M3864" s="1" t="inlineStr">
        <is>
          <t>185.84%</t>
        </is>
      </c>
      <c r="N3864" s="7" t="n">
        <v>18.34</v>
      </c>
      <c r="O3864" t="n">
        <v>4.9</v>
      </c>
      <c r="P3864" t="n">
        <v>14</v>
      </c>
      <c r="R3864" t="inlineStr">
        <is>
          <t>InStock</t>
        </is>
      </c>
      <c r="S3864" t="inlineStr">
        <is>
          <t>29.38</t>
        </is>
      </c>
      <c r="T3864" t="inlineStr">
        <is>
          <t>7793145315544</t>
        </is>
      </c>
    </row>
    <row r="3865" ht="87" customHeight="1">
      <c r="A3865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3865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3865" t="inlineStr">
        <is>
          <t>Diablo Tools DMAPL4100 1/4 in. x 16 in. x 18 in. Rebar Demon™ SDS‑Plus 4‑Cutter Full Carbide Head Hammer Bit</t>
        </is>
      </c>
      <c r="D3865" t="inlineStr">
        <is>
          <t>Diablo DMAPL4310 1 in. x 16 in. x 18 in. Rebar Demon™ SDS-Plus 4-Cutter Full Carbide Head Hammer Bit</t>
        </is>
      </c>
      <c r="E3865" s="2" t="n"/>
      <c r="F3865" t="inlineStr">
        <is>
          <t>B089KX2VKR</t>
        </is>
      </c>
      <c r="G3865">
        <f>_xlfn.IMAGE("https://edmondsonsupply.com/cdn/shop/products/DMAPL4100_Main-Image20200701.png?v=1633030520")</f>
        <v/>
      </c>
      <c r="H3865">
        <f>_xlfn.IMAGE("https://m.media-amazon.com/images/I/61iwxfqG2VL._AC_UL320_.jpg")</f>
        <v/>
      </c>
      <c r="K3865" t="inlineStr">
        <is>
          <t>16.97</t>
        </is>
      </c>
      <c r="L3865" t="n">
        <v>48.49</v>
      </c>
      <c r="M3865" s="1" t="inlineStr">
        <is>
          <t>185.74%</t>
        </is>
      </c>
      <c r="N3865" s="7" t="n">
        <v>18.3</v>
      </c>
      <c r="O3865" t="n">
        <v>4.5</v>
      </c>
      <c r="P3865" t="n">
        <v>32</v>
      </c>
      <c r="R3865" t="inlineStr">
        <is>
          <t>InStock</t>
        </is>
      </c>
      <c r="S3865" t="inlineStr">
        <is>
          <t>undefined</t>
        </is>
      </c>
      <c r="T3865" t="inlineStr">
        <is>
          <t>5399840882856</t>
        </is>
      </c>
    </row>
    <row r="3866" ht="87" customHeight="1">
      <c r="A3866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3866" s="2">
        <f>HYPERLINK("https://edmondsonsupply.com/products/klein-tools-vdv500-123-probe-pro-tracing-probe", "https://edmondsonsupply.com/products/klein-tools-vdv500-123-probe-pro-tracing-probe")</f>
        <v/>
      </c>
      <c r="C3866" t="inlineStr">
        <is>
          <t>Klein Tools VDV500-123 Probe-PRO Tracing Probe</t>
        </is>
      </c>
      <c r="D3866" t="inlineStr">
        <is>
          <t>Klein Tools VDV501-851 Cable Tester Kit &amp; VDV500-123 Cable Tracer Probe-Pro Tracing Probe with Replaceable Non-Metallic, Conductive Tip and a Light for Use in Dark Spaces</t>
        </is>
      </c>
      <c r="E3866" s="2">
        <f>HYPERLINK("https://www.amazon.com/Klein-Tools-VDV501-851-Replaceable-Non-Metallic/dp/B09H38G69B/ref=sr_1_4?keywords=Klein+Tools+VDV500-123+Probe-PRO+Tracing+Probe&amp;qid=1694734977&amp;sr=8-4", "https://www.amazon.com/Klein-Tools-VDV501-851-Replaceable-Non-Metallic/dp/B09H38G69B/ref=sr_1_4?keywords=Klein+Tools+VDV500-123+Probe-PRO+Tracing+Probe&amp;qid=1694734977&amp;sr=8-4")</f>
        <v/>
      </c>
      <c r="F3866" t="inlineStr">
        <is>
          <t>B09H38G69B</t>
        </is>
      </c>
      <c r="G3866">
        <f>_xlfn.IMAGE("https://edmondsonsupply.com/cdn/shop/products/vdv500123.jpg?v=1587142783")</f>
        <v/>
      </c>
      <c r="H3866">
        <f>_xlfn.IMAGE("https://m.media-amazon.com/images/I/51xMoR99Q8L._AC_UY218_.jpg")</f>
        <v/>
      </c>
      <c r="K3866" t="inlineStr">
        <is>
          <t>44.99</t>
        </is>
      </c>
      <c r="L3866" t="n">
        <v>127.88</v>
      </c>
      <c r="M3866" s="1" t="inlineStr">
        <is>
          <t>184.24%</t>
        </is>
      </c>
      <c r="N3866" s="7" t="n">
        <v>18.13</v>
      </c>
      <c r="O3866" t="n">
        <v>4.8</v>
      </c>
      <c r="P3866" t="n">
        <v>74</v>
      </c>
      <c r="R3866" t="inlineStr">
        <is>
          <t>InStock</t>
        </is>
      </c>
      <c r="S3866" t="inlineStr">
        <is>
          <t>63.0</t>
        </is>
      </c>
      <c r="T3866" t="inlineStr">
        <is>
          <t>4274361466980</t>
        </is>
      </c>
    </row>
    <row r="3867" ht="87" customHeight="1">
      <c r="A3867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867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867" t="inlineStr">
        <is>
          <t>Diablo Tools DMAPL4090 1/4 in. x 10 in. x 12 in. Rebar Demon™ SDS‑Plus 4‑Cutter Full Carbide Head Hammer Bit</t>
        </is>
      </c>
      <c r="D3867" t="inlineStr">
        <is>
          <t>Diablo by Freud DMAPL4300 1 in. x 8 in. x 10 in. Rebar Demon™ SDS-Plus 4-Cutter Full Carbide Head Hammer Bit</t>
        </is>
      </c>
      <c r="E3867" s="2">
        <f>HYPERLINK("https://www.amazon.com/Diablo-Freud-DMAPL4300-SDS-Plus-4-Cutter/dp/B089LL8JD8/ref=sr_1_7?keywords=Diablo+Tools+DMAPL4090+1%2F4+in.+x+10+in.+x+12+in.+Rebar+Demon%E2%84%A2+SDS%E2%80%91Plus+4%E2%80%91Cutter+Full+Carbide+Head+Hammer+Bit&amp;qid=1694735288&amp;sr=8-7", "https://www.amazon.com/Diablo-Freud-DMAPL4300-SDS-Plus-4-Cutter/dp/B089LL8JD8/ref=sr_1_7?keywords=Diablo+Tools+DMAPL4090+1%2F4+in.+x+10+in.+x+12+in.+Rebar+Demon%E2%84%A2+SDS%E2%80%91Plus+4%E2%80%91Cutter+Full+Carbide+Head+Hammer+Bit&amp;qid=1694735288&amp;sr=8-7")</f>
        <v/>
      </c>
      <c r="F3867" t="inlineStr">
        <is>
          <t>B089LL8JD8</t>
        </is>
      </c>
      <c r="G3867">
        <f>_xlfn.IMAGE("https://edmondsonsupply.com/cdn/shop/products/nf6i5llohxcmlh9huvf0.webp?v=1670438124")</f>
        <v/>
      </c>
      <c r="H3867">
        <f>_xlfn.IMAGE("https://m.media-amazon.com/images/I/616UiJGsK1L._AC_UL320_.jpg")</f>
        <v/>
      </c>
      <c r="K3867" t="inlineStr">
        <is>
          <t>11.97</t>
        </is>
      </c>
      <c r="L3867" t="n">
        <v>33.99</v>
      </c>
      <c r="M3867" s="1" t="inlineStr">
        <is>
          <t>183.96%</t>
        </is>
      </c>
      <c r="N3867" s="7" t="n">
        <v>18.13</v>
      </c>
      <c r="O3867" t="n">
        <v>4.5</v>
      </c>
      <c r="P3867" t="n">
        <v>16</v>
      </c>
      <c r="R3867" t="inlineStr">
        <is>
          <t>InStock</t>
        </is>
      </c>
      <c r="S3867" t="inlineStr">
        <is>
          <t>16.41</t>
        </is>
      </c>
      <c r="T3867" t="inlineStr">
        <is>
          <t>5317905973416</t>
        </is>
      </c>
    </row>
    <row r="3868" ht="87" customHeight="1">
      <c r="A3868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3868" s="2">
        <f>HYPERLINK("https://edmondsonsupply.com/products/klein-tools-31737-folding-jab-saw", "https://edmondsonsupply.com/products/klein-tools-31737-folding-jab-saw")</f>
        <v/>
      </c>
      <c r="C3868" t="inlineStr">
        <is>
          <t>Klein Tools 31737 Folding Jab Saw</t>
        </is>
      </c>
      <c r="D3868" t="inlineStr">
        <is>
          <t>Klein Tools 88904 Professional Tube Cutter &amp; 31737 Folding Jab Saw/Drywall Saw, Hand Saw with Lockback at 180 and 125 Degrees and Tether Hole</t>
        </is>
      </c>
      <c r="E3868" s="2">
        <f>HYPERLINK("https://www.amazon.com/Klein-Tools-Professional-Folding-Lockback/dp/B0BHVQCXPW/ref=sr_1_7?keywords=Klein+Tools+31737+Folding+Jab+Saw&amp;qid=1694735392&amp;sr=8-7", "https://www.amazon.com/Klein-Tools-Professional-Folding-Lockback/dp/B0BHVQCXPW/ref=sr_1_7?keywords=Klein+Tools+31737+Folding+Jab+Saw&amp;qid=1694735392&amp;sr=8-7")</f>
        <v/>
      </c>
      <c r="F3868" t="inlineStr">
        <is>
          <t>B0BHVQCXPW</t>
        </is>
      </c>
      <c r="G3868">
        <f>_xlfn.IMAGE("https://edmondsonsupply.com/cdn/shop/products/31737.jpg?v=1587149419")</f>
        <v/>
      </c>
      <c r="H3868">
        <f>_xlfn.IMAGE("https://m.media-amazon.com/images/I/41yWiF7b3hL._AC_UL320_.jpg")</f>
        <v/>
      </c>
      <c r="K3868" t="inlineStr">
        <is>
          <t>20.99</t>
        </is>
      </c>
      <c r="L3868" t="n">
        <v>59.59</v>
      </c>
      <c r="M3868" s="1" t="inlineStr">
        <is>
          <t>183.90%</t>
        </is>
      </c>
      <c r="N3868" s="7" t="n">
        <v>18.12</v>
      </c>
      <c r="O3868" t="n">
        <v>5</v>
      </c>
      <c r="P3868" t="n">
        <v>2</v>
      </c>
      <c r="R3868" t="inlineStr">
        <is>
          <t>InStock</t>
        </is>
      </c>
      <c r="S3868" t="inlineStr">
        <is>
          <t>30.06</t>
        </is>
      </c>
      <c r="T3868" t="inlineStr">
        <is>
          <t>1780079853668</t>
        </is>
      </c>
    </row>
    <row r="3869" ht="87" customHeight="1">
      <c r="A3869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3869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3869" t="inlineStr">
        <is>
          <t>Klein Tools NCVT-3P Dual Range Non-Contact Voltage Tester with Flashlight, 12 - 1000V AC</t>
        </is>
      </c>
      <c r="D3869" t="inlineStr">
        <is>
          <t>Klein Tools NCVT3PKIT Electrical Test Kit, Dual-Range Non-Contact Voltage Tester with Flashlight, AC/DC Voltage Tester and Carrying Case &amp; ET310 AC Circuit Breaker Finder</t>
        </is>
      </c>
      <c r="E3869" s="2">
        <f>HYPERLINK("https://www.amazon.com/Klein-Tools-Electrical-Dual-Range-Non-Contact/dp/B0BD3WBV6W/ref=sr_1_6?keywords=Klein+Tools+NCVT-3P+Dual+Range+Non-Contact+Voltage+Tester+with+Flashlight%2C+12+-+1000V+AC&amp;qid=1694735337&amp;sr=8-6", "https://www.amazon.com/Klein-Tools-Electrical-Dual-Range-Non-Contact/dp/B0BD3WBV6W/ref=sr_1_6?keywords=Klein+Tools+NCVT-3P+Dual+Range+Non-Contact+Voltage+Tester+with+Flashlight%2C+12+-+1000V+AC&amp;qid=1694735337&amp;sr=8-6")</f>
        <v/>
      </c>
      <c r="F3869" t="inlineStr">
        <is>
          <t>B0BD3WBV6W</t>
        </is>
      </c>
      <c r="G3869">
        <f>_xlfn.IMAGE("https://edmondsonsupply.com/cdn/shop/products/ncvt3p.jpg?v=1633030219")</f>
        <v/>
      </c>
      <c r="H3869">
        <f>_xlfn.IMAGE("https://m.media-amazon.com/images/I/51Bb9uu7nIL._AC_UL320_.jpg")</f>
        <v/>
      </c>
      <c r="K3869" t="inlineStr">
        <is>
          <t>29.97</t>
        </is>
      </c>
      <c r="L3869" t="n">
        <v>84.95999999999999</v>
      </c>
      <c r="M3869" s="1" t="inlineStr">
        <is>
          <t>183.48%</t>
        </is>
      </c>
      <c r="N3869" s="7" t="n">
        <v>18.09</v>
      </c>
      <c r="O3869" t="n">
        <v>5</v>
      </c>
      <c r="P3869" t="n">
        <v>1</v>
      </c>
      <c r="R3869" t="inlineStr">
        <is>
          <t>InStock</t>
        </is>
      </c>
      <c r="S3869" t="inlineStr">
        <is>
          <t>40.36</t>
        </is>
      </c>
      <c r="T3869" t="inlineStr">
        <is>
          <t>4505582174308</t>
        </is>
      </c>
    </row>
    <row r="3870" hidden="1" ht="15.75" customHeight="1">
      <c r="A3870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870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870" t="inlineStr">
        <is>
          <t>Klein Tools JTH4E09 9/64-Inch Hex Key Journeyman T-Handle 4-Inch</t>
        </is>
      </c>
      <c r="D3870" t="inlineStr">
        <is>
          <t>Klein Tools 70575 Grip-It Hex Key Set, 9-Key, 3-3/4-Inch Handle, SAE Sizes</t>
        </is>
      </c>
      <c r="E3870" s="2">
        <f>HYPERLINK("https://www.amazon.com/Grip-Square-Klein-Tools-70575/dp/B0002RI8PK/ref=sr_1_25?keywords=Klein+Tools+JTH4E09+9%2F64-Inch+Hex+Key+Journeyman+T-Handle+4-Inch&amp;qid=1694735175&amp;sr=8-25", "https://www.amazon.com/Grip-Square-Klein-Tools-70575/dp/B0002RI8PK/ref=sr_1_25?keywords=Klein+Tools+JTH4E09+9%2F64-Inch+Hex+Key+Journeyman+T-Handle+4-Inch&amp;qid=1694735175&amp;sr=8-25")</f>
        <v/>
      </c>
      <c r="F3870" t="inlineStr">
        <is>
          <t>B0002RI8PK</t>
        </is>
      </c>
      <c r="G3870">
        <f>_xludf.IMAGE("https://edmondsonsupply.com/cdn/shop/products/jth4e06_be5118a6-2e9d-44f5-81ad-c027572dd2d3.jpg?v=1635981570")</f>
        <v/>
      </c>
      <c r="H3870">
        <f>_xludf.IMAGE("https://m.media-amazon.com/images/I/51C7aw6OxTL._AC_UL320_.jpg")</f>
        <v/>
      </c>
      <c r="K3870" t="inlineStr">
        <is>
          <t>3.79</t>
        </is>
      </c>
      <c r="L3870" t="n">
        <v>10.74</v>
      </c>
      <c r="M3870" s="1" t="inlineStr">
        <is>
          <t>183.38%</t>
        </is>
      </c>
      <c r="N3870" s="1" t="n">
        <v>18.07</v>
      </c>
      <c r="O3870" t="n">
        <v>4.4</v>
      </c>
      <c r="P3870" t="n">
        <v>65</v>
      </c>
      <c r="R3870" t="inlineStr">
        <is>
          <t>InStock</t>
        </is>
      </c>
      <c r="S3870" t="inlineStr">
        <is>
          <t>5.76</t>
        </is>
      </c>
      <c r="T3870" t="inlineStr">
        <is>
          <t>7434795876568</t>
        </is>
      </c>
    </row>
    <row r="3871" hidden="1" ht="15.75" customHeight="1">
      <c r="A3871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871" s="2">
        <f>HYPERLINK("https://edmondsonsupply.com/products/diablo-tools-dsp2060-9-16-in-x-6-in-spade-bit", "https://edmondsonsupply.com/products/diablo-tools-dsp2060-9-16-in-x-6-in-spade-bit")</f>
        <v/>
      </c>
      <c r="C3871" t="inlineStr">
        <is>
          <t>Diablo Tools DSP2060 9/16 in. x 6 in. Spade Bit</t>
        </is>
      </c>
      <c r="D3871" t="inlineStr">
        <is>
          <t>IVY Classic 10709 9/16 x 6-Inch Swift Bore® Wood Spade Bit, High-Carbon Steel, 1/Card</t>
        </is>
      </c>
      <c r="E3871" s="2">
        <f>HYPERLINK("https://www.amazon.com/IVY-Classic-10709-6-Inch-High-Carbon/dp/B00065DQLY/ref=sr_1_9?keywords=Diablo+Tools+DSP2060+9%2F16+in.+x+6+in.+Spade+Bit&amp;qid=1694735062&amp;sr=8-9", "https://www.amazon.com/IVY-Classic-10709-6-Inch-High-Carbon/dp/B00065DQLY/ref=sr_1_9?keywords=Diablo+Tools+DSP2060+9%2F16+in.+x+6+in.+Spade+Bit&amp;qid=1694735062&amp;sr=8-9")</f>
        <v/>
      </c>
      <c r="F3871" t="inlineStr">
        <is>
          <t>B00065DQLY</t>
        </is>
      </c>
      <c r="G3871">
        <f>_xludf.IMAGE("https://edmondsonsupply.com/cdn/shop/products/aedhx1bor2stxnsd8b2m.webp?v=1670512947")</f>
        <v/>
      </c>
      <c r="H3871">
        <f>_xludf.IMAGE("https://m.media-amazon.com/images/I/5106VM2iHWL._AC_UL320_.jpg")</f>
        <v/>
      </c>
      <c r="K3871" t="inlineStr">
        <is>
          <t>2.88</t>
        </is>
      </c>
      <c r="L3871" t="n">
        <v>8.140000000000001</v>
      </c>
      <c r="M3871" s="1" t="inlineStr">
        <is>
          <t>182.64%</t>
        </is>
      </c>
      <c r="N3871" s="1" t="n">
        <v>18</v>
      </c>
      <c r="O3871" t="n">
        <v>4.6</v>
      </c>
      <c r="P3871" t="n">
        <v>481</v>
      </c>
      <c r="R3871" t="inlineStr">
        <is>
          <t>InStock</t>
        </is>
      </c>
      <c r="S3871" t="inlineStr">
        <is>
          <t>3.21</t>
        </is>
      </c>
      <c r="T3871" t="inlineStr">
        <is>
          <t>7901216112856</t>
        </is>
      </c>
    </row>
    <row r="3872" hidden="1" ht="15.75" customHeight="1">
      <c r="A3872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3872" s="2">
        <f>HYPERLINK("https://edmondsonsupply.com/products/klein-tools-56331-steel-fish-tape-1-8-inch-x-50-foot", "https://edmondsonsupply.com/products/klein-tools-56331-steel-fish-tape-1-8-inch-x-50-foot")</f>
        <v/>
      </c>
      <c r="C3872" t="inlineStr">
        <is>
          <t>Klein Tools 56331 Steel Fish Tape, 1/8-Inch x 50-Foot</t>
        </is>
      </c>
      <c r="D3872" t="inlineStr">
        <is>
          <t>Klein Tools SRS56037 Magnetic Wire Pulling System &amp; 56331 Fish Tape, Steel Wire Puller with Double Loop Tip, Optimized Housing and Handle, 1/8-Inch x 50-Foot</t>
        </is>
      </c>
      <c r="E3872" s="2">
        <f>HYPERLINK("https://www.amazon.com/Klein-Tools-SRS56037-Magnetic-Optimized/dp/B0C3BBBYRX/ref=sr_1_7?keywords=Klein+Tools+56331+Steel+Fish+Tape%2C+1%2F8-Inch+x+50-Foot&amp;qid=1694735384&amp;sr=8-7", "https://www.amazon.com/Klein-Tools-SRS56037-Magnetic-Optimized/dp/B0C3BBBYRX/ref=sr_1_7?keywords=Klein+Tools+56331+Steel+Fish+Tape%2C+1%2F8-Inch+x+50-Foot&amp;qid=1694735384&amp;sr=8-7")</f>
        <v/>
      </c>
      <c r="F3872" t="inlineStr">
        <is>
          <t>B0C3BBBYRX</t>
        </is>
      </c>
      <c r="G3872">
        <f>_xludf.IMAGE("https://edmondsonsupply.com/cdn/shop/products/56331.jpg?v=1587143350")</f>
        <v/>
      </c>
      <c r="H3872">
        <f>_xludf.IMAGE("https://m.media-amazon.com/images/I/51Rzt9XNWPL._AC_UL320_.jpg")</f>
        <v/>
      </c>
      <c r="K3872" t="inlineStr">
        <is>
          <t>24.99</t>
        </is>
      </c>
      <c r="L3872" t="n">
        <v>70.59999999999999</v>
      </c>
      <c r="M3872" s="1" t="inlineStr">
        <is>
          <t>182.51%</t>
        </is>
      </c>
      <c r="N3872" s="1" t="n">
        <v>17.98</v>
      </c>
      <c r="O3872" t="n">
        <v>4</v>
      </c>
      <c r="P3872" t="n">
        <v>1</v>
      </c>
      <c r="R3872" t="inlineStr">
        <is>
          <t>InStock</t>
        </is>
      </c>
      <c r="S3872" t="inlineStr">
        <is>
          <t>30.9</t>
        </is>
      </c>
      <c r="T3872" t="inlineStr">
        <is>
          <t>4412204056676</t>
        </is>
      </c>
    </row>
    <row r="3873" ht="87" customHeight="1">
      <c r="A3873" s="2">
        <f>HYPERLINK("https://edmondsonsupply.com/collections/electricians-tools/products/milwaukee-48-22-0225m-25ft-wide-blade-magnetic-tape-measure", "https://edmondsonsupply.com/collections/electricians-tools/products/milwaukee-48-22-0225m-25ft-wide-blade-magnetic-tape-measure")</f>
        <v/>
      </c>
      <c r="B3873" s="2">
        <f>HYPERLINK("https://edmondsonsupply.com/products/milwaukee-48-22-0225m-25ft-wide-blade-magnetic-tape-measure", "https://edmondsonsupply.com/products/milwaukee-48-22-0225m-25ft-wide-blade-magnetic-tape-measure")</f>
        <v/>
      </c>
      <c r="C3873" t="inlineStr">
        <is>
          <t>Milwaukee 48-22-0225M 25ft Wide Blade Magnetic Tape Measure</t>
        </is>
      </c>
      <c r="D3873" t="inlineStr">
        <is>
          <t>Milwaukee 48-22-0240 40 ft. x 1.3 in. Wide Blade Tape Measure (2 Pack)</t>
        </is>
      </c>
      <c r="E3873" s="2">
        <f>HYPERLINK("https://www.amazon.com/Milwaukee-48-22-0240-Wide-Blade-Measure/dp/B08HVP859N/ref=sr_1_28?keywords=Milwaukee+48-22-0225M+25ft+Wide+Blade+Magnetic+Tape+Measure&amp;qid=1694735418&amp;sr=8-28", "https://www.amazon.com/Milwaukee-48-22-0240-Wide-Blade-Measure/dp/B08HVP859N/ref=sr_1_28?keywords=Milwaukee+48-22-0225M+25ft+Wide+Blade+Magnetic+Tape+Measure&amp;qid=1694735418&amp;sr=8-28")</f>
        <v/>
      </c>
      <c r="F3873" t="inlineStr">
        <is>
          <t>B08HVP859N</t>
        </is>
      </c>
      <c r="G3873">
        <f>_xlfn.IMAGE("https://edmondsonsupply.com/cdn/shop/products/48-22-0225M_1.png?v=1587147399")</f>
        <v/>
      </c>
      <c r="H3873">
        <f>_xlfn.IMAGE("https://m.media-amazon.com/images/I/51lkf7M4EBL._AC_UL320_.jpg")</f>
        <v/>
      </c>
      <c r="K3873" t="inlineStr">
        <is>
          <t>27.97</t>
        </is>
      </c>
      <c r="L3873" t="n">
        <v>78.98999999999999</v>
      </c>
      <c r="M3873" s="1" t="inlineStr">
        <is>
          <t>182.41%</t>
        </is>
      </c>
      <c r="N3873" s="7" t="n">
        <v>17.86</v>
      </c>
      <c r="O3873" t="n">
        <v>4.7</v>
      </c>
      <c r="P3873" t="n">
        <v>52</v>
      </c>
      <c r="R3873" t="inlineStr">
        <is>
          <t>InStock</t>
        </is>
      </c>
      <c r="S3873" t="inlineStr">
        <is>
          <t>41.0</t>
        </is>
      </c>
      <c r="T3873" t="inlineStr">
        <is>
          <t>4377800835172</t>
        </is>
      </c>
    </row>
    <row r="3874" ht="87" customHeight="1">
      <c r="A3874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3874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3874" t="inlineStr">
        <is>
          <t>Klein Tools 614-2 1/16-Inch Slotted Electronics Screwdriver, 2-Inch</t>
        </is>
      </c>
      <c r="D3874" t="inlineStr">
        <is>
          <t>Klein Tools 85153K Slotted Screw-Holding Screwdriver Set, 3/16-Inch, 1/4-Inch Split-Blade Flat Head Driver, Positive Gripping Action, 2-Piece</t>
        </is>
      </c>
      <c r="E3874" s="2">
        <f>HYPERLINK("https://www.amazon.com/Klein-Tools-85153K-Screw-Holding-Screwdriver/dp/B0CFRP1K3L/ref=sr_1_4?keywords=Klein+Tools+614-2+1%2F16-Inch+Slotted+Electronics+Screwdriver%2C+2-Inch&amp;qid=1694735176&amp;sr=8-4", "https://www.amazon.com/Klein-Tools-85153K-Screw-Holding-Screwdriver/dp/B0CFRP1K3L/ref=sr_1_4?keywords=Klein+Tools+614-2+1%2F16-Inch+Slotted+Electronics+Screwdriver%2C+2-Inch&amp;qid=1694735176&amp;sr=8-4")</f>
        <v/>
      </c>
      <c r="F3874" t="inlineStr">
        <is>
          <t>B0CFRP1K3L</t>
        </is>
      </c>
      <c r="G3874">
        <f>_xlfn.IMAGE("https://edmondsonsupply.com/cdn/shop/products/614-2.jpg?v=1637284311")</f>
        <v/>
      </c>
      <c r="H3874">
        <f>_xlfn.IMAGE("https://m.media-amazon.com/images/I/41KoRmOkBpL._AC_UL320_.jpg")</f>
        <v/>
      </c>
      <c r="K3874" t="inlineStr">
        <is>
          <t>8.49</t>
        </is>
      </c>
      <c r="L3874" t="n">
        <v>23.97</v>
      </c>
      <c r="M3874" s="1" t="inlineStr">
        <is>
          <t>182.33%</t>
        </is>
      </c>
      <c r="N3874" s="7" t="n">
        <v>17.81</v>
      </c>
      <c r="O3874" t="n">
        <v>5</v>
      </c>
      <c r="P3874" t="n">
        <v>1</v>
      </c>
      <c r="R3874" t="inlineStr">
        <is>
          <t>InStock</t>
        </is>
      </c>
      <c r="S3874" t="inlineStr">
        <is>
          <t>12.86</t>
        </is>
      </c>
      <c r="T3874" t="inlineStr">
        <is>
          <t>7512018616536</t>
        </is>
      </c>
    </row>
    <row r="3875" ht="87" customHeight="1">
      <c r="A3875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3875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3875" t="inlineStr">
        <is>
          <t>Klein Tools NCVT-2P Dual Range Non-Contact Voltage Tester 12 - 1000V AC</t>
        </is>
      </c>
      <c r="D3875" t="inlineStr">
        <is>
          <t>Klein Tools NCVT2PKIT Non-Contact Voltage Tester &amp; ET310 AC Circuit Breaker Finder, Electric Tester with Integrated GFCI Outlet Tester</t>
        </is>
      </c>
      <c r="E3875" s="2">
        <f>HYPERLINK("https://www.amazon.com/Klein-Tools-NCVT2PKIT-Non-Contact-Integrated/dp/B0BNLB9X6D/ref=sr_1_42?keywords=Klein+Tools+NCVT-2P+Dual+Range+Non-Contact+Voltage+Tester+12+-+1000V+AC&amp;qid=1694735236&amp;sr=8-42", "https://www.amazon.com/Klein-Tools-NCVT2PKIT-Non-Contact-Integrated/dp/B0BNLB9X6D/ref=sr_1_42?keywords=Klein+Tools+NCVT-2P+Dual+Range+Non-Contact+Voltage+Tester+12+-+1000V+AC&amp;qid=1694735236&amp;sr=8-42")</f>
        <v/>
      </c>
      <c r="F3875" t="inlineStr">
        <is>
          <t>B0BNLB9X6D</t>
        </is>
      </c>
      <c r="G3875">
        <f>_xlfn.IMAGE("https://edmondsonsupply.com/cdn/shop/products/ncvt2p.jpg?v=1633030824")</f>
        <v/>
      </c>
      <c r="H3875">
        <f>_xlfn.IMAGE("https://m.media-amazon.com/images/I/515gvVp9LzL._AC_UL320_.jpg")</f>
        <v/>
      </c>
      <c r="K3875" t="inlineStr">
        <is>
          <t>27.97</t>
        </is>
      </c>
      <c r="L3875" t="n">
        <v>78.95999999999999</v>
      </c>
      <c r="M3875" s="1" t="inlineStr">
        <is>
          <t>182.30%</t>
        </is>
      </c>
      <c r="N3875" s="7" t="n">
        <v>17.68</v>
      </c>
      <c r="O3875" t="n">
        <v>5</v>
      </c>
      <c r="P3875" t="n">
        <v>4</v>
      </c>
      <c r="R3875" t="inlineStr">
        <is>
          <t>InStock</t>
        </is>
      </c>
      <c r="S3875" t="inlineStr">
        <is>
          <t>35.76</t>
        </is>
      </c>
      <c r="T3875" t="inlineStr">
        <is>
          <t>6080875626669</t>
        </is>
      </c>
    </row>
    <row r="3876" ht="87" customHeight="1">
      <c r="A3876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876" s="2">
        <f>HYPERLINK("https://edmondsonsupply.com/products/klein-tools-rt250-gfci-receptacle-tester-with-lcd", "https://edmondsonsupply.com/products/klein-tools-rt250-gfci-receptacle-tester-with-lcd")</f>
        <v/>
      </c>
      <c r="C3876" t="inlineStr">
        <is>
          <t>Klein Tools RT250 GFCI Receptacle Tester with LCD</t>
        </is>
      </c>
      <c r="D3876" t="inlineStr">
        <is>
          <t>Klein Tools RT310 Receptacle Tester, AFCI and GFCI Outlet and Device Tester &amp; Klein Tools RT250 GFCI Receptacle Tester with LCD Display, for Standard 3-Wire 120V Electrical Outlets</t>
        </is>
      </c>
      <c r="E3876" s="2">
        <f>HYPERLINK("https://www.amazon.com/Klein-Tools-Receptacle-Standard-Electrical/dp/B0BD3YZ7JV/ref=sr_1_7?keywords=Klein+Tools+RT250+GFCI+Receptacle+Tester+with+LCD&amp;qid=1694735148&amp;sr=8-7", "https://www.amazon.com/Klein-Tools-Receptacle-Standard-Electrical/dp/B0BD3YZ7JV/ref=sr_1_7?keywords=Klein+Tools+RT250+GFCI+Receptacle+Tester+with+LCD&amp;qid=1694735148&amp;sr=8-7")</f>
        <v/>
      </c>
      <c r="F3876" t="inlineStr">
        <is>
          <t>B0BD3YZ7JV</t>
        </is>
      </c>
      <c r="G3876">
        <f>_xlfn.IMAGE("https://edmondsonsupply.com/cdn/shop/products/rt250_photo_c.jpg?v=1661363824")</f>
        <v/>
      </c>
      <c r="H3876">
        <f>_xlfn.IMAGE("https://m.media-amazon.com/images/I/51iiNw5cTJL._AC_UL320_.jpg")</f>
        <v/>
      </c>
      <c r="K3876" t="inlineStr">
        <is>
          <t>21.97</t>
        </is>
      </c>
      <c r="L3876" t="n">
        <v>61.94</v>
      </c>
      <c r="M3876" s="1" t="inlineStr">
        <is>
          <t>181.93%</t>
        </is>
      </c>
      <c r="N3876" s="7" t="n">
        <v>17.62</v>
      </c>
      <c r="O3876" t="n">
        <v>4.7</v>
      </c>
      <c r="P3876" t="n">
        <v>6</v>
      </c>
      <c r="R3876" t="inlineStr">
        <is>
          <t>InStock</t>
        </is>
      </c>
      <c r="S3876" t="inlineStr">
        <is>
          <t>30.78</t>
        </is>
      </c>
      <c r="T3876" t="inlineStr">
        <is>
          <t>7793138729176</t>
        </is>
      </c>
    </row>
    <row r="3877" hidden="1" ht="15.75" customHeight="1">
      <c r="A3877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3877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3877" t="inlineStr">
        <is>
          <t>Diablo Tools DMAMX1050 9/16 in. x 8 in. x 13 in. Rebar Demon™ SDS-Max 4-Cutter Full Carbide Head Hammer Drill Bit</t>
        </is>
      </c>
      <c r="D3877" t="inlineStr">
        <is>
          <t>Diablo by Freud DMAMX1120 5/8 in. x 31 in. x 36 in. Rebar Demon SDS-Max 4-Cutter Full Carbide Head Hammer Bit</t>
        </is>
      </c>
      <c r="E3877" s="2">
        <f>HYPERLINK("https://www.amazon.com/Diablo-SDS-Max-4-Cutter-Carbide-Hammer/dp/B089LJFH3C/ref=sr_1_21?keywords=Diablo+Tools+DMAMX1050+9%2F16+in.+x+8+in.+x+13+in.+Rebar+Demon%E2%84%A2+SDS-Max+4-Cutter+Full+Carbide+Head+Hammer+Drill+Bit&amp;qid=1694735208&amp;sr=8-21", "https://www.amazon.com/Diablo-SDS-Max-4-Cutter-Carbide-Hammer/dp/B089LJFH3C/ref=sr_1_21?keywords=Diablo+Tools+DMAMX1050+9%2F16+in.+x+8+in.+x+13+in.+Rebar+Demon%E2%84%A2+SDS-Max+4-Cutter+Full+Carbide+Head+Hammer+Drill+Bit&amp;qid=1694735208&amp;sr=8-21")</f>
        <v/>
      </c>
      <c r="F3877" t="inlineStr">
        <is>
          <t>B089LJFH3C</t>
        </is>
      </c>
      <c r="G3877">
        <f>_xludf.IMAGE("https://edmondsonsupply.com/cdn/shop/products/DMAMX1050_Main-Image20200701.png?v=1633031097")</f>
        <v/>
      </c>
      <c r="H3877">
        <f>_xludf.IMAGE("https://m.media-amazon.com/images/I/615ffyRtaAL._AC_UL320_.jpg")</f>
        <v/>
      </c>
      <c r="K3877" t="inlineStr">
        <is>
          <t>29.19</t>
        </is>
      </c>
      <c r="L3877" t="n">
        <v>82.18000000000001</v>
      </c>
      <c r="M3877" s="1" t="inlineStr">
        <is>
          <t>181.53%</t>
        </is>
      </c>
      <c r="N3877" s="1" t="n">
        <v>17.56</v>
      </c>
      <c r="O3877" t="n">
        <v>3.9</v>
      </c>
      <c r="P3877" t="n">
        <v>4</v>
      </c>
      <c r="R3877" t="inlineStr">
        <is>
          <t>InStock</t>
        </is>
      </c>
      <c r="S3877" t="inlineStr">
        <is>
          <t>46.05</t>
        </is>
      </c>
      <c r="T3877" t="inlineStr">
        <is>
          <t>6842367738029</t>
        </is>
      </c>
    </row>
    <row r="3878" ht="87" customHeight="1">
      <c r="A3878" s="2">
        <f>HYPERLINK("https://edmondsonsupply.com/collections/electricians-tools/products/diablo-tools-dmapl2400-5-8-in-x-6-in-x-8-in-sds-plus-2-cutter", "https://edmondsonsupply.com/collections/electricians-tools/products/diablo-tools-dmapl2400-5-8-in-x-6-in-x-8-in-sds-plus-2-cutter")</f>
        <v/>
      </c>
      <c r="B3878" s="2">
        <f>HYPERLINK("https://edmondsonsupply.com/products/diablo-tools-dmapl2400-5-8-in-x-6-in-x-8-in-sds-plus-2-cutter", "https://edmondsonsupply.com/products/diablo-tools-dmapl2400-5-8-in-x-6-in-x-8-in-sds-plus-2-cutter")</f>
        <v/>
      </c>
      <c r="C3878" t="inlineStr">
        <is>
          <t>Diablo Tools DMAPL2400 5/8 in. x 6 in. x 8 in. SDS‑Plus 2‑Cutter</t>
        </is>
      </c>
      <c r="D3878" t="inlineStr">
        <is>
          <t>Diablo 5/8 in. x 16 in. x 18 in. SDS-Plus 2-Cutter</t>
        </is>
      </c>
      <c r="E3878" s="2">
        <f>HYPERLINK("https://www.amazon.com/Diablo-16-18-SDS-Plus-2-Cutter/dp/B089KV7MNH/ref=sr_1_6?keywords=Diablo+Tools+DMAPL2400+5%2F8+in.+x+6+in.+x+8+in.+SDS%E2%80%91Plus+2%E2%80%91Cutter&amp;qid=1694735276&amp;sr=8-6", "https://www.amazon.com/Diablo-16-18-SDS-Plus-2-Cutter/dp/B089KV7MNH/ref=sr_1_6?keywords=Diablo+Tools+DMAPL2400+5%2F8+in.+x+6+in.+x+8+in.+SDS%E2%80%91Plus+2%E2%80%91Cutter&amp;qid=1694735276&amp;sr=8-6")</f>
        <v/>
      </c>
      <c r="F3878" t="inlineStr">
        <is>
          <t>B089KV7MNH</t>
        </is>
      </c>
      <c r="G3878">
        <f>_xlfn.IMAGE("https://edmondsonsupply.com/cdn/shop/products/pn8n58bx2f87ihetrrnf_f6b67816-c0ba-4ddd-9eb9-58f843607bd5.webp?v=1676039619")</f>
        <v/>
      </c>
      <c r="H3878">
        <f>_xlfn.IMAGE("https://m.media-amazon.com/images/I/61QBGOEcYkL._AC_UL320_.jpg")</f>
        <v/>
      </c>
      <c r="K3878" t="inlineStr">
        <is>
          <t>8.88</t>
        </is>
      </c>
      <c r="L3878" t="n">
        <v>24.98</v>
      </c>
      <c r="M3878" s="1" t="inlineStr">
        <is>
          <t>181.31%</t>
        </is>
      </c>
      <c r="N3878" s="7" t="n">
        <v>17.54</v>
      </c>
      <c r="O3878" t="n">
        <v>5</v>
      </c>
      <c r="P3878" t="n">
        <v>1</v>
      </c>
      <c r="R3878" t="inlineStr">
        <is>
          <t>InStock</t>
        </is>
      </c>
      <c r="S3878" t="inlineStr">
        <is>
          <t>14.09</t>
        </is>
      </c>
      <c r="T3878" t="inlineStr">
        <is>
          <t>5418407723176</t>
        </is>
      </c>
    </row>
    <row r="3879" ht="87" customHeight="1">
      <c r="A3879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3879" s="2">
        <f>HYPERLINK("https://edmondsonsupply.com/products/klein-tools-608-6-1-8-inch-cabinet-tip-mini-screwdriver-6-inch", "https://edmondsonsupply.com/products/klein-tools-608-6-1-8-inch-cabinet-tip-mini-screwdriver-6-inch")</f>
        <v/>
      </c>
      <c r="C3879" t="inlineStr">
        <is>
          <t>Klein Tools 608-6 1/8-Inch Cabinet Tip Mini Screwdriver, 6-Inch</t>
        </is>
      </c>
      <c r="D3879" t="inlineStr">
        <is>
          <t>Klein Tools 602-7-INS Flathead Screwdriver, 5/16-Inch Cabinet Tip, Insulated, 7-Inch Shank</t>
        </is>
      </c>
      <c r="E3879" s="2">
        <f>HYPERLINK("https://www.amazon.com/Screwdriver-Insulated-Klein-Tools-602-7-INS/dp/B00CQL8UM6/ref=sr_1_36?keywords=Klein+Tools+608-6+1%2F8-Inch+Cabinet+Tip+Mini+Screwdriver%2C+6-Inch&amp;qid=1694735278&amp;sr=8-36", "https://www.amazon.com/Screwdriver-Insulated-Klein-Tools-602-7-INS/dp/B00CQL8UM6/ref=sr_1_36?keywords=Klein+Tools+608-6+1%2F8-Inch+Cabinet+Tip+Mini+Screwdriver%2C+6-Inch&amp;qid=1694735278&amp;sr=8-36")</f>
        <v/>
      </c>
      <c r="F3879" t="inlineStr">
        <is>
          <t>B00CQL8UM6</t>
        </is>
      </c>
      <c r="G3879">
        <f>_xlfn.IMAGE("https://edmondsonsupply.com/cdn/shop/products/608-6.jpg?v=1633030486")</f>
        <v/>
      </c>
      <c r="H3879">
        <f>_xlfn.IMAGE("https://m.media-amazon.com/images/I/51yWIQxCstL._AC_UL320_.jpg")</f>
        <v/>
      </c>
      <c r="K3879" t="inlineStr">
        <is>
          <t>7.99</t>
        </is>
      </c>
      <c r="L3879" t="n">
        <v>22.46</v>
      </c>
      <c r="M3879" s="1" t="inlineStr">
        <is>
          <t>181.10%</t>
        </is>
      </c>
      <c r="N3879" s="7" t="n">
        <v>17.4</v>
      </c>
      <c r="O3879" t="n">
        <v>4.8</v>
      </c>
      <c r="P3879" t="n">
        <v>1068</v>
      </c>
      <c r="R3879" t="inlineStr">
        <is>
          <t>InStock</t>
        </is>
      </c>
      <c r="S3879" t="inlineStr">
        <is>
          <t>12.1</t>
        </is>
      </c>
      <c r="T3879" t="inlineStr">
        <is>
          <t>5371087683752</t>
        </is>
      </c>
    </row>
    <row r="3880" ht="87" customHeight="1">
      <c r="A3880" s="2">
        <f>HYPERLINK("https://edmondsonsupply.com/collections/electricians-tools/products/fluke-80pk-1-bead-probe", "https://edmondsonsupply.com/collections/electricians-tools/products/fluke-80pk-1-bead-probe")</f>
        <v/>
      </c>
      <c r="B3880" s="2">
        <f>HYPERLINK("https://edmondsonsupply.com/products/fluke-80pk-1-bead-probe", "https://edmondsonsupply.com/products/fluke-80pk-1-bead-probe")</f>
        <v/>
      </c>
      <c r="C3880" t="inlineStr">
        <is>
          <t>Fluke 80PK-1 Bead Probe</t>
        </is>
      </c>
      <c r="D3880" t="inlineStr">
        <is>
          <t>Fluke - 2098691 80PK-24 SureGrip Air Temperature Probe</t>
        </is>
      </c>
      <c r="E3880" s="2">
        <f>HYPERLINK("https://www.amazon.com/Fluke-80PK-24-SureGrip-Temperature-Probe/dp/B000EA1DWU/ref=sr_1_16?keywords=Fluke+80PK-1+Bead+Probe&amp;qid=1694735184&amp;sr=8-16", "https://www.amazon.com/Fluke-80PK-24-SureGrip-Temperature-Probe/dp/B000EA1DWU/ref=sr_1_16?keywords=Fluke+80PK-1+Bead+Probe&amp;qid=1694735184&amp;sr=8-16")</f>
        <v/>
      </c>
      <c r="F3880" t="inlineStr">
        <is>
          <t>B000EA1DWU</t>
        </is>
      </c>
      <c r="G3880">
        <f>_xlfn.IMAGE("https://edmondsonsupply.com/cdn/shop/products/80pk-1a.png?v=1633466414")</f>
        <v/>
      </c>
      <c r="H3880">
        <f>_xlfn.IMAGE("https://m.media-amazon.com/images/I/41YFo1ho8ML._AC_UY218_.jpg")</f>
        <v/>
      </c>
      <c r="K3880" t="inlineStr">
        <is>
          <t>56.99</t>
        </is>
      </c>
      <c r="L3880" t="n">
        <v>159.98</v>
      </c>
      <c r="M3880" s="1" t="inlineStr">
        <is>
          <t>180.72%</t>
        </is>
      </c>
      <c r="N3880" s="7" t="n">
        <v>17.39</v>
      </c>
      <c r="O3880" t="n">
        <v>5</v>
      </c>
      <c r="P3880" t="n">
        <v>7</v>
      </c>
      <c r="R3880" t="inlineStr">
        <is>
          <t>InStock</t>
        </is>
      </c>
      <c r="S3880" t="inlineStr">
        <is>
          <t>59.99</t>
        </is>
      </c>
      <c r="T3880" t="inlineStr">
        <is>
          <t>6995087130797</t>
        </is>
      </c>
    </row>
    <row r="3881" hidden="1" ht="15.75" customHeight="1">
      <c r="A3881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881" s="2">
        <f>HYPERLINK("https://edmondsonsupply.com/products/diablo-tools-dsp2060-9-16-in-x-6-in-spade-bit", "https://edmondsonsupply.com/products/diablo-tools-dsp2060-9-16-in-x-6-in-spade-bit")</f>
        <v/>
      </c>
      <c r="C3881" t="inlineStr">
        <is>
          <t>Diablo Tools DSP2060 9/16 in. x 6 in. Spade Bit</t>
        </is>
      </c>
      <c r="D3881" t="inlineStr">
        <is>
          <t>DEWALT Drill Bit, Spade, 9/16 Inch x 6 Inch (DW1575)</t>
        </is>
      </c>
      <c r="E3881" s="2">
        <f>HYPERLINK("https://www.amazon.com/DEWALT-DW1575-16-Inch-6-Inch-Spade/dp/B0001LQYFS/ref=sr_1_4?keywords=Diablo+Tools+DSP2060+9%2F16+in.+x+6+in.+Spade+Bit&amp;qid=1694735062&amp;sr=8-4", "https://www.amazon.com/DEWALT-DW1575-16-Inch-6-Inch-Spade/dp/B0001LQYFS/ref=sr_1_4?keywords=Diablo+Tools+DSP2060+9%2F16+in.+x+6+in.+Spade+Bit&amp;qid=1694735062&amp;sr=8-4")</f>
        <v/>
      </c>
      <c r="F3881" t="inlineStr">
        <is>
          <t>B0001LQYFS</t>
        </is>
      </c>
      <c r="G3881">
        <f>_xludf.IMAGE("https://edmondsonsupply.com/cdn/shop/products/aedhx1bor2stxnsd8b2m.webp?v=1670512947")</f>
        <v/>
      </c>
      <c r="H3881">
        <f>_xludf.IMAGE("https://m.media-amazon.com/images/I/61eaUcy1beS._AC_UL320_.jpg")</f>
        <v/>
      </c>
      <c r="K3881" t="inlineStr">
        <is>
          <t>2.88</t>
        </is>
      </c>
      <c r="L3881" t="n">
        <v>8.07</v>
      </c>
      <c r="M3881" s="1" t="inlineStr">
        <is>
          <t>180.21%</t>
        </is>
      </c>
      <c r="N3881" s="1" t="n">
        <v>17.36</v>
      </c>
      <c r="O3881" t="n">
        <v>4.6</v>
      </c>
      <c r="P3881" t="n">
        <v>6812</v>
      </c>
      <c r="R3881" t="inlineStr">
        <is>
          <t>InStock</t>
        </is>
      </c>
      <c r="S3881" t="inlineStr">
        <is>
          <t>3.21</t>
        </is>
      </c>
      <c r="T3881" t="inlineStr">
        <is>
          <t>7901216112856</t>
        </is>
      </c>
    </row>
    <row r="3882" ht="87" customHeight="1">
      <c r="A3882" s="2">
        <f>HYPERLINK("https://edmondsonsupply.com/collections/electricians-tools/products/klein-tools-50611ml-magnetic-wire-puller-replacement-leader", "https://edmondsonsupply.com/collections/electricians-tools/products/klein-tools-50611ml-magnetic-wire-puller-replacement-leader")</f>
        <v/>
      </c>
      <c r="B3882" s="2">
        <f>HYPERLINK("https://edmondsonsupply.com/products/klein-tools-50611ml-magnetic-wire-puller-replacement-leader", "https://edmondsonsupply.com/products/klein-tools-50611ml-magnetic-wire-puller-replacement-leader")</f>
        <v/>
      </c>
      <c r="C3882" t="inlineStr">
        <is>
          <t>Klein Tools 50611ML Magnetic Wire Puller Replacement Leader</t>
        </is>
      </c>
      <c r="D3882" t="inlineStr">
        <is>
          <t>Klein Tools 50611 Magnetic Wire Puller, Fishes and Pulls Wire Cable Behind Walls or Tight Spaces, Stainless-Steel Leader, Rare Earth Magnet</t>
        </is>
      </c>
      <c r="E3882" s="2">
        <f>HYPERLINK("https://www.amazon.com/Magnetic-Puller-Stainless-Steel-Klein-Tools/dp/B093J6Z5QT/ref=sr_1_2?keywords=Klein+Tools+50611ML+Magnetic+Wire+Puller+Replacement+Leader&amp;qid=1694735111&amp;sr=8-2", "https://www.amazon.com/Magnetic-Puller-Stainless-Steel-Klein-Tools/dp/B093J6Z5QT/ref=sr_1_2?keywords=Klein+Tools+50611ML+Magnetic+Wire+Puller+Replacement+Leader&amp;qid=1694735111&amp;sr=8-2")</f>
        <v/>
      </c>
      <c r="F3882" t="inlineStr">
        <is>
          <t>B093J6Z5QT</t>
        </is>
      </c>
      <c r="G3882">
        <f>_xlfn.IMAGE("https://edmondsonsupply.com/cdn/shop/products/50611ml.jpg?v=1664399271")</f>
        <v/>
      </c>
      <c r="H3882">
        <f>_xlfn.IMAGE("https://m.media-amazon.com/images/I/5165nncGD9S._AC_UL320_.jpg")</f>
        <v/>
      </c>
      <c r="K3882" t="inlineStr">
        <is>
          <t>24.99</t>
        </is>
      </c>
      <c r="L3882" t="n">
        <v>69.97</v>
      </c>
      <c r="M3882" s="1" t="inlineStr">
        <is>
          <t>179.99%</t>
        </is>
      </c>
      <c r="N3882" s="7" t="n">
        <v>17.3</v>
      </c>
      <c r="O3882" t="n">
        <v>4.6</v>
      </c>
      <c r="P3882" t="n">
        <v>497</v>
      </c>
      <c r="R3882" t="inlineStr">
        <is>
          <t>InStock</t>
        </is>
      </c>
      <c r="S3882" t="inlineStr">
        <is>
          <t>36.06</t>
        </is>
      </c>
      <c r="T3882" t="inlineStr">
        <is>
          <t>7832399937752</t>
        </is>
      </c>
    </row>
    <row r="3883" ht="87" customHeight="1">
      <c r="A3883" s="2">
        <f>HYPERLINK("https://edmondsonsupply.com/collections/electricians-tools/products/klein-tools-31905-hole-saw-arbor-with-adapter-3-8-inch", "https://edmondsonsupply.com/collections/electricians-tools/products/klein-tools-31905-hole-saw-arbor-with-adapter-3-8-inch")</f>
        <v/>
      </c>
      <c r="B3883" s="2">
        <f>HYPERLINK("https://edmondsonsupply.com/products/klein-tools-31905-hole-saw-arbor-with-adapter-3-8-inch", "https://edmondsonsupply.com/products/klein-tools-31905-hole-saw-arbor-with-adapter-3-8-inch")</f>
        <v/>
      </c>
      <c r="C3883" t="inlineStr">
        <is>
          <t>Klein Tools 31905 Hole Saw Arbor with Adapter, 3/8-Inch</t>
        </is>
      </c>
      <c r="D3883" t="inlineStr">
        <is>
          <t>Lenox Tools 1779802 3L Arbor with 3-1/4-Inch Pilot Drill Bit for Hole Saws</t>
        </is>
      </c>
      <c r="E3883" s="2">
        <f>HYPERLINK("https://www.amazon.com/Lenox-Tools-1779802-Arbor-4-Inch/dp/B004C1OPJK/ref=sr_1_21?keywords=Klein+Tools+31905+Hole+Saw+Arbor+with+Adapter%2C+3%2F8-Inch&amp;qid=1694735107&amp;sr=8-21", "https://www.amazon.com/Lenox-Tools-1779802-Arbor-4-Inch/dp/B004C1OPJK/ref=sr_1_21?keywords=Klein+Tools+31905+Hole+Saw+Arbor+with+Adapter%2C+3%2F8-Inch&amp;qid=1694735107&amp;sr=8-21")</f>
        <v/>
      </c>
      <c r="F3883" t="inlineStr">
        <is>
          <t>B004C1OPJK</t>
        </is>
      </c>
      <c r="G3883">
        <f>_xlfn.IMAGE("https://edmondsonsupply.com/cdn/shop/products/31905.jpg?v=1665602746")</f>
        <v/>
      </c>
      <c r="H3883">
        <f>_xlfn.IMAGE("https://m.media-amazon.com/images/I/41r5hrOyXjL._AC_UL320_.jpg")</f>
        <v/>
      </c>
      <c r="K3883" t="inlineStr">
        <is>
          <t>8.99</t>
        </is>
      </c>
      <c r="L3883" t="n">
        <v>25.16</v>
      </c>
      <c r="M3883" s="1" t="inlineStr">
        <is>
          <t>179.87%</t>
        </is>
      </c>
      <c r="N3883" s="7" t="n">
        <v>17.19</v>
      </c>
      <c r="O3883" t="n">
        <v>4.5</v>
      </c>
      <c r="P3883" t="n">
        <v>155</v>
      </c>
      <c r="R3883" t="inlineStr">
        <is>
          <t>InStock</t>
        </is>
      </c>
      <c r="S3883" t="inlineStr">
        <is>
          <t>12.62</t>
        </is>
      </c>
      <c r="T3883" t="inlineStr">
        <is>
          <t>7850183360728</t>
        </is>
      </c>
    </row>
    <row r="3884" ht="87" customHeight="1">
      <c r="A3884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3884" s="2">
        <f>HYPERLINK("https://edmondsonsupply.com/products/klein-tools-66076-flip-impact-socket-9-16-and-1-2-inch", "https://edmondsonsupply.com/products/klein-tools-66076-flip-impact-socket-9-16-and-1-2-inch")</f>
        <v/>
      </c>
      <c r="C3884" t="inlineStr">
        <is>
          <t>Klein Tools 66076 Flip Impact Socket, 9/16 and 1/2-Inch</t>
        </is>
      </c>
      <c r="D3884" t="inlineStr">
        <is>
          <t>Klein Tools 32900 Impact Driver, 7-in-1 Impact Flip Socket Set with Handle, 6 Hex Driver Sizes plus a 1/4-Inch Bit Holder</t>
        </is>
      </c>
      <c r="E3884" s="2">
        <f>HYPERLINK("https://www.amazon.com/Klein-Tools-32900-Impact-Driver/dp/B09PZG4F8X/ref=sr_1_14?keywords=Klein+Tools+66076+Flip+Impact+Socket%2C+9%2F16+and+1%2F2-Inch&amp;qid=1694735129&amp;sr=8-14", "https://www.amazon.com/Klein-Tools-32900-Impact-Driver/dp/B09PZG4F8X/ref=sr_1_14?keywords=Klein+Tools+66076+Flip+Impact+Socket%2C+9%2F16+and+1%2F2-Inch&amp;qid=1694735129&amp;sr=8-14")</f>
        <v/>
      </c>
      <c r="F3884" t="inlineStr">
        <is>
          <t>B09PZG4F8X</t>
        </is>
      </c>
      <c r="G3884">
        <f>_xlfn.IMAGE("https://edmondsonsupply.com/cdn/shop/products/66076.jpg?v=1663083814")</f>
        <v/>
      </c>
      <c r="H3884">
        <f>_xlfn.IMAGE("https://m.media-amazon.com/images/I/51qL2uXqcTL._AC_UL320_.jpg")</f>
        <v/>
      </c>
      <c r="K3884" t="inlineStr">
        <is>
          <t>10.71</t>
        </is>
      </c>
      <c r="L3884" t="n">
        <v>29.97</v>
      </c>
      <c r="M3884" s="1" t="inlineStr">
        <is>
          <t>179.83%</t>
        </is>
      </c>
      <c r="N3884" s="7" t="n">
        <v>17.18</v>
      </c>
      <c r="O3884" t="n">
        <v>4.7</v>
      </c>
      <c r="P3884" t="n">
        <v>2468</v>
      </c>
      <c r="R3884" t="inlineStr">
        <is>
          <t>InStock</t>
        </is>
      </c>
      <c r="S3884" t="inlineStr">
        <is>
          <t>15.0</t>
        </is>
      </c>
      <c r="T3884" t="inlineStr">
        <is>
          <t>7814133874904</t>
        </is>
      </c>
    </row>
    <row r="3885" ht="87" customHeight="1">
      <c r="A3885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3885" s="2">
        <f>HYPERLINK("https://edmondsonsupply.com/products/klein-tools-s10-5-16-inch-nut-driver-3-inch-hollow-shaft", "https://edmondsonsupply.com/products/klein-tools-s10-5-16-inch-nut-driver-3-inch-hollow-shaft")</f>
        <v/>
      </c>
      <c r="C3885" t="inlineStr">
        <is>
          <t>Klein Tools S10 5/16-Inch Nut Driver 3-Inch Hollow Shaft</t>
        </is>
      </c>
      <c r="D3885" t="inlineStr">
        <is>
          <t>Klein Tools 646M Tool Set, Magnetic Nut Drivers Sizes 1/4 and 5/16-Inch, 6-Inch Shafts, 2-Piece</t>
        </is>
      </c>
      <c r="E3885" s="2">
        <f>HYPERLINK("https://www.amazon.com/Magnetic-16-Inch-Klein-Tools-646M/dp/B000936QV0/ref=sr_1_20?keywords=Klein+Tools+S10+5%2F16-Inch+Nut+Driver+3-Inch+Hollow+Shaft&amp;qid=1694735234&amp;sr=8-20", "https://www.amazon.com/Magnetic-16-Inch-Klein-Tools-646M/dp/B000936QV0/ref=sr_1_20?keywords=Klein+Tools+S10+5%2F16-Inch+Nut+Driver+3-Inch+Hollow+Shaft&amp;qid=1694735234&amp;sr=8-20")</f>
        <v/>
      </c>
      <c r="F3885" t="inlineStr">
        <is>
          <t>B000936QV0</t>
        </is>
      </c>
      <c r="G3885">
        <f>_xlfn.IMAGE("https://edmondsonsupply.com/cdn/shop/products/s10_38acacb8-6c8e-49ef-8ed3-7160ab53875a.jpg?v=1633030893")</f>
        <v/>
      </c>
      <c r="H3885">
        <f>_xlfn.IMAGE("https://m.media-amazon.com/images/I/41lkJ6KRq9L._AC_UL320_.jpg")</f>
        <v/>
      </c>
      <c r="K3885" t="inlineStr">
        <is>
          <t>7.99</t>
        </is>
      </c>
      <c r="L3885" t="n">
        <v>22.34</v>
      </c>
      <c r="M3885" s="1" t="inlineStr">
        <is>
          <t>179.60%</t>
        </is>
      </c>
      <c r="N3885" s="7" t="n">
        <v>17.17</v>
      </c>
      <c r="O3885" t="n">
        <v>4.8</v>
      </c>
      <c r="P3885" t="n">
        <v>1652</v>
      </c>
      <c r="R3885" t="inlineStr">
        <is>
          <t>InStock</t>
        </is>
      </c>
      <c r="S3885" t="inlineStr">
        <is>
          <t>12.06</t>
        </is>
      </c>
      <c r="T3885" t="inlineStr">
        <is>
          <t>6223447031981</t>
        </is>
      </c>
    </row>
    <row r="3886" ht="87" customHeight="1">
      <c r="A3886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3886" s="2">
        <f>HYPERLINK("https://edmondsonsupply.com/products/diablo-tools-dmapl2360-9-16-in-x-6-in-x-8-in-sds-plus-2-cutter", "https://edmondsonsupply.com/products/diablo-tools-dmapl2360-9-16-in-x-6-in-x-8-in-sds-plus-2-cutter")</f>
        <v/>
      </c>
      <c r="C3886" t="inlineStr">
        <is>
          <t>Diablo Tools DMAPL2360 9/16 in. x 6 in. x 8 in. SDS-Plus 2-Cutter</t>
        </is>
      </c>
      <c r="D3886" t="inlineStr">
        <is>
          <t>Diablo 9/16 in. x 16 in. x 18 in. SDS-Plus 2-Cutter</t>
        </is>
      </c>
      <c r="E3886" s="2">
        <f>HYPERLINK("https://www.amazon.com/Diablo-16-18-SDS-Plus-2-Cutter/dp/B089LCNF42/ref=sr_1_4?keywords=Diablo+Tools+DMAPL2360+9%2F16+in.+x+6+in.+x+8+in.+SDS-Plus+2-Cutter&amp;qid=1694735296&amp;sr=8-4", "https://www.amazon.com/Diablo-16-18-SDS-Plus-2-Cutter/dp/B089LCNF42/ref=sr_1_4?keywords=Diablo+Tools+DMAPL2360+9%2F16+in.+x+6+in.+x+8+in.+SDS-Plus+2-Cutter&amp;qid=1694735296&amp;sr=8-4")</f>
        <v/>
      </c>
      <c r="F3886" t="inlineStr">
        <is>
          <t>B089LCNF42</t>
        </is>
      </c>
      <c r="G3886">
        <f>_xlfn.IMAGE("https://edmondsonsupply.com/cdn/shop/products/DMAPL2360_Main-Image20200701.png?v=1633697551")</f>
        <v/>
      </c>
      <c r="H3886">
        <f>_xlfn.IMAGE("https://m.media-amazon.com/images/I/61vA5zuIT+L._AC_UL320_.jpg")</f>
        <v/>
      </c>
      <c r="K3886" t="inlineStr">
        <is>
          <t>8.59</t>
        </is>
      </c>
      <c r="L3886" t="n">
        <v>24.01</v>
      </c>
      <c r="M3886" s="1" t="inlineStr">
        <is>
          <t>179.51%</t>
        </is>
      </c>
      <c r="N3886" s="7" t="n">
        <v>16.72</v>
      </c>
      <c r="O3886" t="n">
        <v>4.5</v>
      </c>
      <c r="P3886" t="n">
        <v>2</v>
      </c>
      <c r="R3886" t="inlineStr">
        <is>
          <t>InStock</t>
        </is>
      </c>
      <c r="S3886" t="inlineStr">
        <is>
          <t>9.77</t>
        </is>
      </c>
      <c r="T3886" t="inlineStr">
        <is>
          <t>5286291046568</t>
        </is>
      </c>
    </row>
    <row r="3887" ht="87" customHeight="1">
      <c r="A3887" s="2">
        <f>HYPERLINK("https://edmondsonsupply.com/collections/electricians-tools/products/klein-tools-2100-7-electricians-scissors-nickel-plated", "https://edmondsonsupply.com/collections/electricians-tools/products/klein-tools-2100-7-electricians-scissors-nickel-plated")</f>
        <v/>
      </c>
      <c r="B3887" s="2">
        <f>HYPERLINK("https://edmondsonsupply.com/products/klein-tools-2100-7-electricians-scissors-nickel-plated", "https://edmondsonsupply.com/products/klein-tools-2100-7-electricians-scissors-nickel-plated")</f>
        <v/>
      </c>
      <c r="C3887" t="inlineStr">
        <is>
          <t>Klein Tools 2100-7 Electrician's Scissors, Nickel Plated</t>
        </is>
      </c>
      <c r="D3887" t="inlineStr">
        <is>
          <t>Klein Tools 46037 Cable Splicer's Kit,Black &amp; 2100-7 Electrician Scissors for Home Theater, Datacom, Telecom, Cuts, Crimps, Strips, Nickel Plated</t>
        </is>
      </c>
      <c r="E3887" s="2">
        <f>HYPERLINK("https://www.amazon.com/Klein-Tools-Splicers-Electrician-Scissors/dp/B0CF2BFDGL/ref=sr_1_1?keywords=Klein+Tools+2100-7+Electrician%27s+Scissors%2C+Nickel+Plated&amp;qid=1694735417&amp;sr=8-1", "https://www.amazon.com/Klein-Tools-Splicers-Electrician-Scissors/dp/B0CF2BFDGL/ref=sr_1_1?keywords=Klein+Tools+2100-7+Electrician%27s+Scissors%2C+Nickel+Plated&amp;qid=1694735417&amp;sr=8-1")</f>
        <v/>
      </c>
      <c r="F3887" t="inlineStr">
        <is>
          <t>B0CF2BFDGL</t>
        </is>
      </c>
      <c r="G3887">
        <f>_xlfn.IMAGE("https://edmondsonsupply.com/cdn/shop/products/2100-7.jpg?v=1587146906")</f>
        <v/>
      </c>
      <c r="H3887">
        <f>_xlfn.IMAGE("https://m.media-amazon.com/images/I/411VVp+L3UL._AC_UL320_.jpg")</f>
        <v/>
      </c>
      <c r="K3887" t="inlineStr">
        <is>
          <t>19.97</t>
        </is>
      </c>
      <c r="L3887" t="n">
        <v>55.76</v>
      </c>
      <c r="M3887" s="1" t="inlineStr">
        <is>
          <t>179.22%</t>
        </is>
      </c>
      <c r="N3887" s="7" t="n">
        <v>16.68</v>
      </c>
      <c r="O3887" t="n">
        <v>4.8</v>
      </c>
      <c r="P3887" t="n">
        <v>529</v>
      </c>
      <c r="R3887" t="inlineStr">
        <is>
          <t>InStock</t>
        </is>
      </c>
      <c r="S3887" t="inlineStr">
        <is>
          <t>28.18</t>
        </is>
      </c>
      <c r="T3887" t="inlineStr">
        <is>
          <t>4375641653348</t>
        </is>
      </c>
    </row>
    <row r="3888" ht="87" customHeight="1">
      <c r="A3888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3888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3888" t="inlineStr">
        <is>
          <t>Klein Tools NCVT1PKIT Non-Contact Voltage and GFCI Receptacle Test Kit</t>
        </is>
      </c>
      <c r="D3888" t="inlineStr">
        <is>
          <t>Klein Tools ET310 AC Circuit Breaker Finder with Integrated GFCI Outlet Tester &amp; NCVT1P Voltage Tester, Non-Contact Voltage Detector Pen, 50V to 1000V AC, Audible and Flashing LED Alarms, Pocket Clip</t>
        </is>
      </c>
      <c r="E3888" s="2">
        <f>HYPERLINK("https://www.amazon.com/Klein-Tools-Integrated-Non-Contact-Detector/dp/B0BC84182C/ref=sr_1_20?keywords=Klein+Tools+NCVT1PKIT+Non-Contact+Voltage+and+GFCI+Receptacle+Test+Kit&amp;qid=1694735031&amp;sr=8-20", "https://www.amazon.com/Klein-Tools-Integrated-Non-Contact-Detector/dp/B0BC84182C/ref=sr_1_20?keywords=Klein+Tools+NCVT1PKIT+Non-Contact+Voltage+and+GFCI+Receptacle+Test+Kit&amp;qid=1694735031&amp;sr=8-20")</f>
        <v/>
      </c>
      <c r="F3888" t="inlineStr">
        <is>
          <t>B0BC84182C</t>
        </is>
      </c>
      <c r="G3888">
        <f>_xlfn.IMAGE("https://edmondsonsupply.com/cdn/shop/products/ncvt1pkit.jpg?v=1677682920")</f>
        <v/>
      </c>
      <c r="H3888">
        <f>_xlfn.IMAGE("https://m.media-amazon.com/images/I/51TuoTYTlvL._AC_UL320_.jpg")</f>
        <v/>
      </c>
      <c r="K3888" t="inlineStr">
        <is>
          <t>24.97</t>
        </is>
      </c>
      <c r="L3888" t="n">
        <v>69.69</v>
      </c>
      <c r="M3888" s="1" t="inlineStr">
        <is>
          <t>179.09%</t>
        </is>
      </c>
      <c r="N3888" s="7" t="n">
        <v>16.68</v>
      </c>
      <c r="O3888" t="n">
        <v>4.4</v>
      </c>
      <c r="P3888" t="n">
        <v>7</v>
      </c>
      <c r="R3888" t="inlineStr">
        <is>
          <t>InStock</t>
        </is>
      </c>
      <c r="S3888" t="inlineStr">
        <is>
          <t>35.38</t>
        </is>
      </c>
      <c r="T3888" t="inlineStr">
        <is>
          <t>7953960698072</t>
        </is>
      </c>
    </row>
    <row r="3889" hidden="1" ht="15.75" customHeight="1">
      <c r="A3889" s="2">
        <f>HYPERLINK("https://edmondsonsupply.com/collections/electricians-tools/products/klein-tools-jth4e08-1-8-inch-hex-key-journeyman-t-handle-4-inch", "https://edmondsonsupply.com/collections/electricians-tools/products/klein-tools-jth4e08-1-8-inch-hex-key-journeyman-t-handle-4-inch")</f>
        <v/>
      </c>
      <c r="B3889" s="2">
        <f>HYPERLINK("https://edmondsonsupply.com/products/klein-tools-jth4e08-1-8-inch-hex-key-journeyman-t-handle-4-inch", "https://edmondsonsupply.com/products/klein-tools-jth4e08-1-8-inch-hex-key-journeyman-t-handle-4-inch")</f>
        <v/>
      </c>
      <c r="C3889" t="inlineStr">
        <is>
          <t>Klein Tools JTH4E08 1/8-Inch Hex Key, Journeyman T-Handle, 4-Inch</t>
        </is>
      </c>
      <c r="D3889" t="inlineStr">
        <is>
          <t>Klein Tools JTH6E13BE 1/4-Inch Ball End Hex Key with Journeyman T-Handle, 6-Inch</t>
        </is>
      </c>
      <c r="E3889" s="2">
        <f>HYPERLINK("https://www.amazon.com/Journeyman-T-Handle-Klein-Tools-JTH6E13BE/dp/B004QW52YW/ref=sr_1_7?keywords=Klein+Tools+JTH4E08+1%2F8-Inch+Hex+Key%2C+Journeyman+T-Handle%2C+4-Inch&amp;qid=1694735164&amp;sr=8-7", "https://www.amazon.com/Journeyman-T-Handle-Klein-Tools-JTH6E13BE/dp/B004QW52YW/ref=sr_1_7?keywords=Klein+Tools+JTH4E08+1%2F8-Inch+Hex+Key%2C+Journeyman+T-Handle%2C+4-Inch&amp;qid=1694735164&amp;sr=8-7")</f>
        <v/>
      </c>
      <c r="F3889" t="inlineStr">
        <is>
          <t>B004QW52YW</t>
        </is>
      </c>
      <c r="G3889">
        <f>_xludf.IMAGE("https://edmondsonsupply.com/cdn/shop/products/jth4e06_0950e3ec-22b0-4cdd-acd1-822980009e67.jpg?v=1645564818")</f>
        <v/>
      </c>
      <c r="H3889">
        <f>_xludf.IMAGE("https://m.media-amazon.com/images/I/51f9vBFVXgL._AC_UL320_.jpg")</f>
        <v/>
      </c>
      <c r="K3889" t="inlineStr">
        <is>
          <t>3.79</t>
        </is>
      </c>
      <c r="L3889" t="n">
        <v>10.55</v>
      </c>
      <c r="M3889" s="1" t="inlineStr">
        <is>
          <t>178.36%</t>
        </is>
      </c>
      <c r="N3889" s="1" t="n">
        <v>16.68</v>
      </c>
      <c r="O3889" t="n">
        <v>4.7</v>
      </c>
      <c r="P3889" t="n">
        <v>32</v>
      </c>
      <c r="R3889" t="inlineStr">
        <is>
          <t>InStock</t>
        </is>
      </c>
      <c r="S3889" t="inlineStr">
        <is>
          <t>5.74</t>
        </is>
      </c>
      <c r="T3889" t="inlineStr">
        <is>
          <t>7614347509976</t>
        </is>
      </c>
    </row>
    <row r="3890" hidden="1" ht="15.75" customHeight="1">
      <c r="A3890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890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890" t="inlineStr">
        <is>
          <t>Klein Tools JTH4E09 9/64-Inch Hex Key Journeyman T-Handle 4-Inch</t>
        </is>
      </c>
      <c r="D3890" t="inlineStr">
        <is>
          <t>Klein Tools JTH6E13BE 1/4-Inch Ball End Hex Key with Journeyman T-Handle, 6-Inch</t>
        </is>
      </c>
      <c r="E3890" s="2">
        <f>HYPERLINK("https://www.amazon.com/Journeyman-T-Handle-Klein-Tools-JTH6E13BE/dp/B004QW52YW/ref=sr_1_9?keywords=Klein+Tools+JTH4E09+9%2F64-Inch+Hex+Key+Journeyman+T-Handle+4-Inch&amp;qid=1694735175&amp;sr=8-9", "https://www.amazon.com/Journeyman-T-Handle-Klein-Tools-JTH6E13BE/dp/B004QW52YW/ref=sr_1_9?keywords=Klein+Tools+JTH4E09+9%2F64-Inch+Hex+Key+Journeyman+T-Handle+4-Inch&amp;qid=1694735175&amp;sr=8-9")</f>
        <v/>
      </c>
      <c r="F3890" t="inlineStr">
        <is>
          <t>B004QW52YW</t>
        </is>
      </c>
      <c r="G3890">
        <f>_xludf.IMAGE("https://edmondsonsupply.com/cdn/shop/products/jth4e06_be5118a6-2e9d-44f5-81ad-c027572dd2d3.jpg?v=1635981570")</f>
        <v/>
      </c>
      <c r="H3890">
        <f>_xludf.IMAGE("https://m.media-amazon.com/images/I/51f9vBFVXgL._AC_UL320_.jpg")</f>
        <v/>
      </c>
      <c r="K3890" t="inlineStr">
        <is>
          <t>3.79</t>
        </is>
      </c>
      <c r="L3890" t="n">
        <v>10.55</v>
      </c>
      <c r="M3890" s="1" t="inlineStr">
        <is>
          <t>178.36%</t>
        </is>
      </c>
      <c r="N3890" s="1" t="n">
        <v>16.68</v>
      </c>
      <c r="O3890" t="n">
        <v>4.7</v>
      </c>
      <c r="P3890" t="n">
        <v>32</v>
      </c>
      <c r="R3890" t="inlineStr">
        <is>
          <t>InStock</t>
        </is>
      </c>
      <c r="S3890" t="inlineStr">
        <is>
          <t>5.76</t>
        </is>
      </c>
      <c r="T3890" t="inlineStr">
        <is>
          <t>7434795876568</t>
        </is>
      </c>
    </row>
    <row r="3891" hidden="1" ht="15.75" customHeight="1">
      <c r="A3891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3891" s="2">
        <f>HYPERLINK("https://edmondsonsupply.com/products/diablo-tools-dmapl2240-3-8-in-x-10-in-x-12-in-sds-plus-2-cutter", "https://edmondsonsupply.com/products/diablo-tools-dmapl2240-3-8-in-x-10-in-x-12-in-sds-plus-2-cutter")</f>
        <v/>
      </c>
      <c r="C3891" t="inlineStr">
        <is>
          <t>Diablo Tools DMAPL2240 3/8 in. x 10 in. x 12 in. SDS-Plus 2-Cutter</t>
        </is>
      </c>
      <c r="D3891" t="inlineStr">
        <is>
          <t>Diablo DMAPL2270 3/8 in. x 37 in. x 39 in. SDS-Plus 2-Cutter</t>
        </is>
      </c>
      <c r="E3891" s="2">
        <f>HYPERLINK("https://www.amazon.com/Diablo-DMAPL2270-37-SDS-Plus-2-Cutter/dp/B089KWQ8CF/ref=sr_1_28?keywords=Diablo+Tools+DMAPL2240+3%2F8+in.+x+10+in.+x+12+in.+SDS-Plus+2-Cutter&amp;qid=1694735297&amp;sr=8-28", "https://www.amazon.com/Diablo-DMAPL2270-37-SDS-Plus-2-Cutter/dp/B089KWQ8CF/ref=sr_1_28?keywords=Diablo+Tools+DMAPL2240+3%2F8+in.+x+10+in.+x+12+in.+SDS-Plus+2-Cutter&amp;qid=1694735297&amp;sr=8-28")</f>
        <v/>
      </c>
      <c r="F3891" t="inlineStr">
        <is>
          <t>B089KWQ8CF</t>
        </is>
      </c>
      <c r="G3891">
        <f>_xludf.IMAGE("https://edmondsonsupply.com/cdn/shop/products/DMAPL2240-P25.jpg?v=1633030355")</f>
        <v/>
      </c>
      <c r="H3891">
        <f>_xludf.IMAGE("https://m.media-amazon.com/images/I/61V8X1ju9YL._AC_UL320_.jpg")</f>
        <v/>
      </c>
      <c r="K3891" t="inlineStr">
        <is>
          <t>10.97</t>
        </is>
      </c>
      <c r="L3891" t="n">
        <v>30.41</v>
      </c>
      <c r="M3891" s="1" t="inlineStr">
        <is>
          <t>177.21%</t>
        </is>
      </c>
      <c r="N3891" s="1" t="n">
        <v>16.68</v>
      </c>
      <c r="O3891" t="n">
        <v>3.5</v>
      </c>
      <c r="P3891" t="n">
        <v>5</v>
      </c>
      <c r="R3891" t="inlineStr">
        <is>
          <t>InStock</t>
        </is>
      </c>
      <c r="S3891" t="inlineStr">
        <is>
          <t>12.38</t>
        </is>
      </c>
      <c r="T3891" t="inlineStr">
        <is>
          <t>5286161252520</t>
        </is>
      </c>
    </row>
    <row r="3892" ht="87" customHeight="1">
      <c r="A3892" s="2">
        <f>HYPERLINK("https://edmondsonsupply.com/collections/electricians-tools/products/milwaukee-49-56-0102-1-3-4-hole-dozer%E2%84%A2-hole-saw-bi-metal-cup", "https://edmondsonsupply.com/collections/electricians-tools/products/milwaukee-49-56-0102-1-3-4-hole-dozer%E2%84%A2-hole-saw-bi-metal-cup")</f>
        <v/>
      </c>
      <c r="B3892" s="2">
        <f>HYPERLINK("https://edmondsonsupply.com/products/milwaukee-49-56-0102-1-3-4-hole-dozer%e2%84%a2-hole-saw-bi-metal-cup", "https://edmondsonsupply.com/products/milwaukee-49-56-0102-1-3-4-hole-dozer%e2%84%a2-hole-saw-bi-metal-cup")</f>
        <v/>
      </c>
      <c r="C3892" t="inlineStr">
        <is>
          <t>Milwaukee 49-56-0102 1-3/4" HOLE DOZER™ Hole Saw Bi-Metal Cup</t>
        </is>
      </c>
      <c r="D3892" t="inlineStr">
        <is>
          <t>Milwaukee 49-56-0437 Hole Saw 1-3/4" Carbide Grit W/Pilot Bit</t>
        </is>
      </c>
      <c r="E3892" s="2">
        <f>HYPERLINK("https://www.amazon.com/Milwaukee-49-56-0437-Hole-Carbide-Pilot/dp/B004VQTJQK/ref=sr_1_16?keywords=Milwaukee+49-56-0102+1-3%2F4%22+HOLE+DOZER%E2%84%A2+Hole+Saw+Bi-Metal+Cup&amp;qid=1694735012&amp;sr=8-16", "https://www.amazon.com/Milwaukee-49-56-0437-Hole-Carbide-Pilot/dp/B004VQTJQK/ref=sr_1_16?keywords=Milwaukee+49-56-0102+1-3%2F4%22+HOLE+DOZER%E2%84%A2+Hole+Saw+Bi-Metal+Cup&amp;qid=1694735012&amp;sr=8-16")</f>
        <v/>
      </c>
      <c r="F3892" t="inlineStr">
        <is>
          <t>B004VQTJQK</t>
        </is>
      </c>
      <c r="G3892">
        <f>_xlfn.IMAGE("https://edmondsonsupply.com/cdn/shop/products/49-56-0052_101_2_55097661-c4c5-426f-97e0-b4900561ad47.webp?v=1679411216")</f>
        <v/>
      </c>
      <c r="H3892">
        <f>_xlfn.IMAGE("https://m.media-amazon.com/images/I/61iHzS49W4L._AC_UL320_.jpg")</f>
        <v/>
      </c>
      <c r="K3892" t="inlineStr">
        <is>
          <t>8.99</t>
        </is>
      </c>
      <c r="L3892" t="n">
        <v>24.92</v>
      </c>
      <c r="M3892" s="1" t="inlineStr">
        <is>
          <t>177.20%</t>
        </is>
      </c>
      <c r="N3892" s="7" t="n">
        <v>16.67</v>
      </c>
      <c r="O3892" t="n">
        <v>5</v>
      </c>
      <c r="P3892" t="n">
        <v>1</v>
      </c>
      <c r="R3892" t="inlineStr">
        <is>
          <t>InStock</t>
        </is>
      </c>
      <c r="S3892" t="inlineStr">
        <is>
          <t>16.9</t>
        </is>
      </c>
      <c r="T3892" t="inlineStr">
        <is>
          <t>7965224501464</t>
        </is>
      </c>
    </row>
    <row r="3893" ht="87" customHeight="1">
      <c r="A3893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3893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3893" t="inlineStr">
        <is>
          <t>Klein Tools 32308 8-in-1 Multi-Bit Adjustable Length Stubby Screwdriver</t>
        </is>
      </c>
      <c r="D3893" t="inlineStr">
        <is>
          <t>Klein Tools 32717 Precision Screwdriver Set with Case &amp; 32308 Multi-bit Stubby Screwdriver, Impact Rated 8-in-1 Adjustable Magnetic Tool with Phillips, Slotted, Square and Nut Driver</t>
        </is>
      </c>
      <c r="E3893" s="2">
        <f>HYPERLINK("https://www.amazon.com/Klein-Tools-Precision-Screwdriver-Adjustable/dp/B0BF5LVCTQ/ref=sr_1_15?keywords=Klein+Tools+32308+8-in-1+Multi-Bit+Adjustable+Length+Stubby+Screwdriver&amp;qid=1694735167&amp;sr=8-15", "https://www.amazon.com/Klein-Tools-Precision-Screwdriver-Adjustable/dp/B0BF5LVCTQ/ref=sr_1_15?keywords=Klein+Tools+32308+8-in-1+Multi-Bit+Adjustable+Length+Stubby+Screwdriver&amp;qid=1694735167&amp;sr=8-15")</f>
        <v/>
      </c>
      <c r="F3893" t="inlineStr">
        <is>
          <t>B0BF5LVCTQ</t>
        </is>
      </c>
      <c r="G3893">
        <f>_xlfn.IMAGE("https://edmondsonsupply.com/cdn/shop/products/32308_b.jpg?v=1647348209")</f>
        <v/>
      </c>
      <c r="H3893">
        <f>_xlfn.IMAGE("https://m.media-amazon.com/images/I/51CgELiCGyL._AC_UL320_.jpg")</f>
        <v/>
      </c>
      <c r="K3893" t="inlineStr">
        <is>
          <t>16.97</t>
        </is>
      </c>
      <c r="L3893" t="n">
        <v>46.94</v>
      </c>
      <c r="M3893" s="1" t="inlineStr">
        <is>
          <t>176.61%</t>
        </is>
      </c>
      <c r="N3893" s="7" t="n">
        <v>16.67</v>
      </c>
      <c r="O3893" t="n">
        <v>5</v>
      </c>
      <c r="P3893" t="n">
        <v>5</v>
      </c>
      <c r="R3893" t="inlineStr">
        <is>
          <t>InStock</t>
        </is>
      </c>
      <c r="S3893" t="inlineStr">
        <is>
          <t>23.78</t>
        </is>
      </c>
      <c r="T3893" t="inlineStr">
        <is>
          <t>7637271445720</t>
        </is>
      </c>
    </row>
    <row r="3894" ht="87" customHeight="1">
      <c r="A3894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3894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3894" t="inlineStr">
        <is>
          <t>Klein Tools 32308 8-in-1 Multi-Bit Adjustable Length Stubby Screwdriver</t>
        </is>
      </c>
      <c r="D3894" t="inlineStr">
        <is>
          <t>Klein Tools 32807MAG 7-in-1 Nut Driver &amp; 32308 Multi-bit Stubby Screwdriver, Impact Rated 8-in-1 Adjustable Magnetic Tool with Phillips, Slotted, Square and Nut Driver</t>
        </is>
      </c>
      <c r="E3894" s="2">
        <f>HYPERLINK("https://www.amazon.com/Klein-Tools-Multi-bit-Screwdriver-Adjustable/dp/B0B2DDKN6X/ref=sr_1_29?keywords=Klein+Tools+32308+8-in-1+Multi-Bit+Adjustable+Length+Stubby+Screwdriver&amp;qid=1694735167&amp;sr=8-29", "https://www.amazon.com/Klein-Tools-Multi-bit-Screwdriver-Adjustable/dp/B0B2DDKN6X/ref=sr_1_29?keywords=Klein+Tools+32308+8-in-1+Multi-Bit+Adjustable+Length+Stubby+Screwdriver&amp;qid=1694735167&amp;sr=8-29")</f>
        <v/>
      </c>
      <c r="F3894" t="inlineStr">
        <is>
          <t>B0B2DDKN6X</t>
        </is>
      </c>
      <c r="G3894">
        <f>_xlfn.IMAGE("https://edmondsonsupply.com/cdn/shop/products/32308_b.jpg?v=1647348209")</f>
        <v/>
      </c>
      <c r="H3894">
        <f>_xlfn.IMAGE("https://m.media-amazon.com/images/I/513U9I4oXnL._AC_UL320_.jpg")</f>
        <v/>
      </c>
      <c r="K3894" t="inlineStr">
        <is>
          <t>16.97</t>
        </is>
      </c>
      <c r="L3894" t="n">
        <v>46.94</v>
      </c>
      <c r="M3894" s="1" t="inlineStr">
        <is>
          <t>176.61%</t>
        </is>
      </c>
      <c r="N3894" s="7" t="n">
        <v>16.54</v>
      </c>
      <c r="O3894" t="n">
        <v>4.9</v>
      </c>
      <c r="P3894" t="n">
        <v>14</v>
      </c>
      <c r="R3894" t="inlineStr">
        <is>
          <t>InStock</t>
        </is>
      </c>
      <c r="S3894" t="inlineStr">
        <is>
          <t>23.78</t>
        </is>
      </c>
      <c r="T3894" t="inlineStr">
        <is>
          <t>7637271445720</t>
        </is>
      </c>
    </row>
    <row r="3895" ht="87" customHeight="1">
      <c r="A3895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3895" s="2">
        <f>HYPERLINK("https://edmondsonsupply.com/products/klein-tools-605-4-1-4-inch-cabinet-tip-screwdriver-4-inch-shank", "https://edmondsonsupply.com/products/klein-tools-605-4-1-4-inch-cabinet-tip-screwdriver-4-inch-shank")</f>
        <v/>
      </c>
      <c r="C3895" t="inlineStr">
        <is>
          <t>Klein Tools 605-4 1/4-Inch Cabinet Tip Screwdriver 4-Inch Shank</t>
        </is>
      </c>
      <c r="D3895" t="inlineStr">
        <is>
          <t>Klein Tools 614-4 Flat Screwdriver, Precision Electronics Screwdriver, 1/8-Inch Cabinet Tip, 4-Inch Shank (Pack of 2)</t>
        </is>
      </c>
      <c r="E3895" s="2">
        <f>HYPERLINK("https://www.amazon.com/Klein-Tools-Screwdriver-Precision-Electronics/dp/B0CDQJLP83/ref=sr_1_15?keywords=Klein+Tools+605-4+1%2F4-Inch+Cabinet+Tip+Screwdriver+4-Inch+Shank&amp;qid=1694735099&amp;sr=8-15", "https://www.amazon.com/Klein-Tools-Screwdriver-Precision-Electronics/dp/B0CDQJLP83/ref=sr_1_15?keywords=Klein+Tools+605-4+1%2F4-Inch+Cabinet+Tip+Screwdriver+4-Inch+Shank&amp;qid=1694735099&amp;sr=8-15")</f>
        <v/>
      </c>
      <c r="F3895" t="inlineStr">
        <is>
          <t>B0CDQJLP83</t>
        </is>
      </c>
      <c r="G3895">
        <f>_xlfn.IMAGE("https://edmondsonsupply.com/cdn/shop/products/605-6_ac5e56ca-920d-4d55-842f-c7dc8361f892.jpg?v=1665688377")</f>
        <v/>
      </c>
      <c r="H3895">
        <f>_xlfn.IMAGE("https://m.media-amazon.com/images/I/31h2+ShYAnL._AC_UL320_.jpg")</f>
        <v/>
      </c>
      <c r="K3895" t="inlineStr">
        <is>
          <t>8.99</t>
        </is>
      </c>
      <c r="L3895" t="n">
        <v>24.84</v>
      </c>
      <c r="M3895" s="1" t="inlineStr">
        <is>
          <t>176.31%</t>
        </is>
      </c>
      <c r="N3895" s="7" t="n">
        <v>16.44</v>
      </c>
      <c r="O3895" t="n">
        <v>4.7</v>
      </c>
      <c r="P3895" t="n">
        <v>332</v>
      </c>
      <c r="R3895" t="inlineStr">
        <is>
          <t>InStock</t>
        </is>
      </c>
      <c r="S3895" t="inlineStr">
        <is>
          <t>13.6</t>
        </is>
      </c>
      <c r="T3895" t="inlineStr">
        <is>
          <t>7852059132120</t>
        </is>
      </c>
    </row>
    <row r="3896" ht="87" customHeight="1">
      <c r="A3896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3896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3896" t="inlineStr">
        <is>
          <t>Klein Tools 614-4 1/8-Inch Cabinet Electronics Screwdriver, 4-Inch</t>
        </is>
      </c>
      <c r="D3896" t="inlineStr">
        <is>
          <t>Klein Tools 614-4 Flat Screwdriver, Precision Electronics Screwdriver, 1/8-Inch Cabinet Tip, 4-Inch Shank (Pack of 2)</t>
        </is>
      </c>
      <c r="E3896" s="2">
        <f>HYPERLINK("https://www.amazon.com/Klein-Tools-Screwdriver-Precision-Electronics/dp/B0CDQJLP83/ref=sr_1_2?keywords=Klein+Tools+614-4+1%2F8-Inch+Cabinet+Electronics+Screwdriver%2C+4-Inch&amp;qid=1694735408&amp;sr=8-2", "https://www.amazon.com/Klein-Tools-Screwdriver-Precision-Electronics/dp/B0CDQJLP83/ref=sr_1_2?keywords=Klein+Tools+614-4+1%2F8-Inch+Cabinet+Electronics+Screwdriver%2C+4-Inch&amp;qid=1694735408&amp;sr=8-2")</f>
        <v/>
      </c>
      <c r="F3896" t="inlineStr">
        <is>
          <t>B0CDQJLP83</t>
        </is>
      </c>
      <c r="G3896">
        <f>_xlfn.IMAGE("https://edmondsonsupply.com/cdn/shop/products/614-4.jpg?v=1587145143")</f>
        <v/>
      </c>
      <c r="H3896">
        <f>_xlfn.IMAGE("https://m.media-amazon.com/images/I/31h2+ShYAnL._AC_UL320_.jpg")</f>
        <v/>
      </c>
      <c r="K3896" t="inlineStr">
        <is>
          <t>8.99</t>
        </is>
      </c>
      <c r="L3896" t="n">
        <v>24.84</v>
      </c>
      <c r="M3896" s="1" t="inlineStr">
        <is>
          <t>176.31%</t>
        </is>
      </c>
      <c r="N3896" s="7" t="n">
        <v>16.29</v>
      </c>
      <c r="O3896" t="n">
        <v>4.7</v>
      </c>
      <c r="P3896" t="n">
        <v>332</v>
      </c>
      <c r="R3896" t="inlineStr">
        <is>
          <t>InStock</t>
        </is>
      </c>
      <c r="S3896" t="inlineStr">
        <is>
          <t>13.62</t>
        </is>
      </c>
      <c r="T3896" t="inlineStr">
        <is>
          <t>4397839843428</t>
        </is>
      </c>
    </row>
    <row r="3897" ht="87" customHeight="1">
      <c r="A3897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3897" s="2">
        <f>HYPERLINK("https://edmondsonsupply.com/products/klein-tools-635-9-16-9-16-heavy-duty-nut-driver-magnetic", "https://edmondsonsupply.com/products/klein-tools-635-9-16-9-16-heavy-duty-nut-driver-magnetic")</f>
        <v/>
      </c>
      <c r="C3897" t="inlineStr">
        <is>
          <t>Klein Tools 635-9/16 9/16-Inch Heavy-Duty Nut Driver</t>
        </is>
      </c>
      <c r="D3897" t="inlineStr">
        <is>
          <t>Klein Tools 633 Tool Set, Nut Driver Set with Driver Sizes 1/4, 5/16, 3/8, 9/16-Inch on 3-Inch Full Hollow Shaft, w/Cushion Grips, 4-Piece</t>
        </is>
      </c>
      <c r="E3897" s="2">
        <f>HYPERLINK("https://www.amazon.com/Cushion-4-Piece-Klein-Tools-633/dp/B00508QS5I/ref=sr_1_12?keywords=Klein+Tools+635-9%2F16+9%2F16-Inch+Heavy-Duty+Nut+Driver&amp;qid=1694735388&amp;sr=8-12", "https://www.amazon.com/Cushion-4-Piece-Klein-Tools-633/dp/B00508QS5I/ref=sr_1_12?keywords=Klein+Tools+635-9%2F16+9%2F16-Inch+Heavy-Duty+Nut+Driver&amp;qid=1694735388&amp;sr=8-12")</f>
        <v/>
      </c>
      <c r="F3897" t="inlineStr">
        <is>
          <t>B00508QS5I</t>
        </is>
      </c>
      <c r="G3897">
        <f>_xlfn.IMAGE("https://edmondsonsupply.com/cdn/shop/products/635-9-16.jpg?v=1587145126")</f>
        <v/>
      </c>
      <c r="H3897">
        <f>_xlfn.IMAGE("https://m.media-amazon.com/images/I/61yug3exhUS._AC_UL320_.jpg")</f>
        <v/>
      </c>
      <c r="K3897" t="inlineStr">
        <is>
          <t>15.99</t>
        </is>
      </c>
      <c r="L3897" t="n">
        <v>44.05</v>
      </c>
      <c r="M3897" s="1" t="inlineStr">
        <is>
          <t>175.48%</t>
        </is>
      </c>
      <c r="N3897" s="7" t="n">
        <v>16.24</v>
      </c>
      <c r="O3897" t="n">
        <v>4.8</v>
      </c>
      <c r="P3897" t="n">
        <v>734</v>
      </c>
      <c r="R3897" t="inlineStr">
        <is>
          <t>InStock</t>
        </is>
      </c>
      <c r="S3897" t="inlineStr">
        <is>
          <t>24.22</t>
        </is>
      </c>
      <c r="T3897" t="inlineStr">
        <is>
          <t>2766897741924</t>
        </is>
      </c>
    </row>
    <row r="3898" ht="87" customHeight="1">
      <c r="A3898" s="2">
        <f>HYPERLINK("https://edmondsonsupply.com/collections/electricians-tools/products/diablo-tools-dmamx1020", "https://edmondsonsupply.com/collections/electricians-tools/products/diablo-tools-dmamx1020")</f>
        <v/>
      </c>
      <c r="B3898" s="2">
        <f>HYPERLINK("https://edmondsonsupply.com/products/diablo-tools-dmamx1020", "https://edmondsonsupply.com/products/diablo-tools-dmamx1020")</f>
        <v/>
      </c>
      <c r="C3898" t="inlineStr">
        <is>
          <t>Diablo Tools DMAMX1020 1/2 in. x 8 in. x 13 in. Rebar Demon SDS‑Max 4‑Cutter Full Carbide Head Hammer Bit</t>
        </is>
      </c>
      <c r="D3898" t="inlineStr">
        <is>
          <t>Diablo DMAMX1230 1 in. x 24 in. x 29 in. Rebar Demon™ SDS-Max 4-Cutter Full Carbide Head Hammer Bit</t>
        </is>
      </c>
      <c r="E3898" s="2">
        <f>HYPERLINK("https://www.amazon.com/Diablo-DMAMX1230-SDS-Max-4-Cutter-Carbide/dp/B089KWMBLT/ref=sr_1_35?keywords=Diablo+Tools+DMAMX1020+1%2F2+in.+x+8+in.+x+13+in.+Rebar+Demon+SDS%E2%80%91Max+4%E2%80%91Cutter+Full+Carbide+Head+Hammer+Bit&amp;qid=1694735268&amp;sr=8-35", "https://www.amazon.com/Diablo-DMAMX1230-SDS-Max-4-Cutter-Carbide/dp/B089KWMBLT/ref=sr_1_35?keywords=Diablo+Tools+DMAMX1020+1%2F2+in.+x+8+in.+x+13+in.+Rebar+Demon+SDS%E2%80%91Max+4%E2%80%91Cutter+Full+Carbide+Head+Hammer+Bit&amp;qid=1694735268&amp;sr=8-35")</f>
        <v/>
      </c>
      <c r="F3898" t="inlineStr">
        <is>
          <t>B089KWMBLT</t>
        </is>
      </c>
      <c r="G3898">
        <f>_xlfn.IMAGE("https://edmondsonsupply.com/cdn/shop/products/DMAMX1020_Main-Image20200701.png?v=1609798895")</f>
        <v/>
      </c>
      <c r="H3898">
        <f>_xlfn.IMAGE("https://m.media-amazon.com/images/I/61B-wgZVzML._AC_UL320_.jpg")</f>
        <v/>
      </c>
      <c r="K3898" t="inlineStr">
        <is>
          <t>39.97</t>
        </is>
      </c>
      <c r="L3898" t="n">
        <v>109.99</v>
      </c>
      <c r="M3898" s="1" t="inlineStr">
        <is>
          <t>175.18%</t>
        </is>
      </c>
      <c r="N3898" s="7" t="n">
        <v>16.14</v>
      </c>
      <c r="O3898" t="n">
        <v>4.6</v>
      </c>
      <c r="P3898" t="n">
        <v>3</v>
      </c>
      <c r="R3898" t="inlineStr">
        <is>
          <t>InStock</t>
        </is>
      </c>
      <c r="S3898" t="inlineStr">
        <is>
          <t>42.31</t>
        </is>
      </c>
      <c r="T3898" t="inlineStr">
        <is>
          <t>5463822598312</t>
        </is>
      </c>
    </row>
    <row r="3899" ht="87" customHeight="1">
      <c r="A3899" s="2">
        <f>HYPERLINK("https://edmondsonsupply.com/collections/electricians-tools/products/fluke-tplus-electrical-tester", "https://edmondsonsupply.com/collections/electricians-tools/products/fluke-tplus-electrical-tester")</f>
        <v/>
      </c>
      <c r="B3899" s="2">
        <f>HYPERLINK("https://edmondsonsupply.com/products/fluke-tplus-electrical-tester", "https://edmondsonsupply.com/products/fluke-tplus-electrical-tester")</f>
        <v/>
      </c>
      <c r="C3899" t="inlineStr">
        <is>
          <t>Fluke T+ Electrical Tester</t>
        </is>
      </c>
      <c r="D3899" t="inlineStr">
        <is>
          <t>Fluke T6-600 Electrical Tester</t>
        </is>
      </c>
      <c r="E3899" s="2">
        <f>HYPERLINK("https://www.amazon.com/Fluke-4910536-T6-600-Bundle-Carrying/dp/B076F49L6X/ref=sr_1_43?keywords=Fluke+T+Electrical+Tester&amp;qid=1694735309&amp;sr=8-43", "https://www.amazon.com/Fluke-4910536-T6-600-Bundle-Carrying/dp/B076F49L6X/ref=sr_1_43?keywords=Fluke+T+Electrical+Tester&amp;qid=1694735309&amp;sr=8-43")</f>
        <v/>
      </c>
      <c r="F3899" t="inlineStr">
        <is>
          <t>B076F49L6X</t>
        </is>
      </c>
      <c r="G3899">
        <f>_xlfn.IMAGE("https://edmondsonsupply.com/cdn/shop/products/tplus.jpg?v=1633030280")</f>
        <v/>
      </c>
      <c r="H3899">
        <f>_xlfn.IMAGE("https://m.media-amazon.com/images/I/61-lxkRCwIL._AC_UL320_.jpg")</f>
        <v/>
      </c>
      <c r="K3899" t="inlineStr">
        <is>
          <t>94.49</t>
        </is>
      </c>
      <c r="L3899" t="n">
        <v>259.99</v>
      </c>
      <c r="M3899" s="1" t="inlineStr">
        <is>
          <t>175.15%</t>
        </is>
      </c>
      <c r="N3899" s="7" t="n">
        <v>16.05</v>
      </c>
      <c r="O3899" t="n">
        <v>4.6</v>
      </c>
      <c r="P3899" t="n">
        <v>33</v>
      </c>
      <c r="R3899" t="inlineStr">
        <is>
          <t>InStock</t>
        </is>
      </c>
      <c r="S3899" t="inlineStr">
        <is>
          <t>104.99</t>
        </is>
      </c>
      <c r="T3899" t="inlineStr">
        <is>
          <t>5238397337768</t>
        </is>
      </c>
    </row>
    <row r="3900" hidden="1" ht="15.75" customHeight="1">
      <c r="A3900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3900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3900" t="inlineStr">
        <is>
          <t>Diablo Tools DMARG1120 3/8 in. x 4 in. x 6 in. SPEEDemon™ Red Granite Carbide Tipped Hammer Drill Bit</t>
        </is>
      </c>
      <c r="D3900" t="inlineStr">
        <is>
          <t>Diablo by Freud DMARG1200 3/4 in. x 10 in. x 12 in. SPEEDemon Red Granite Carbide Tipped Hammer Drill Bit</t>
        </is>
      </c>
      <c r="E3900" s="2">
        <f>HYPERLINK("https://www.amazon.com/Diablo-Freud-DMARG1200-SPEEDemon-Granite/dp/B089KWGLL5/ref=sr_1_16?keywords=Diablo+Tools+DMARG1120+3%2F8+in.+x+4+in.+x+6+in.+SPEEDemon%E2%84%A2+Red+Granite+Carbide+Tipped+Hammer+Drill+Bit&amp;qid=1694735289&amp;sr=8-16", "https://www.amazon.com/Diablo-Freud-DMARG1200-SPEEDemon-Granite/dp/B089KWGLL5/ref=sr_1_16?keywords=Diablo+Tools+DMARG1120+3%2F8+in.+x+4+in.+x+6+in.+SPEEDemon%E2%84%A2+Red+Granite+Carbide+Tipped+Hammer+Drill+Bit&amp;qid=1694735289&amp;sr=8-16")</f>
        <v/>
      </c>
      <c r="F3900" t="inlineStr">
        <is>
          <t>B089KWGLL5</t>
        </is>
      </c>
      <c r="G3900">
        <f>_xludf.IMAGE("https://edmondsonsupply.com/cdn/shop/products/DMARG1120_Main-Image20200513.png?v=1633030510")</f>
        <v/>
      </c>
      <c r="H3900">
        <f>_xludf.IMAGE("https://m.media-amazon.com/images/I/61fi8hhRaDL._AC_UL320_.jpg")</f>
        <v/>
      </c>
      <c r="K3900" t="inlineStr">
        <is>
          <t>7.27</t>
        </is>
      </c>
      <c r="L3900" t="n">
        <v>20</v>
      </c>
      <c r="M3900" s="1" t="inlineStr">
        <is>
          <t>175.10%</t>
        </is>
      </c>
      <c r="N3900" s="1" t="n">
        <v>15.66</v>
      </c>
      <c r="O3900" t="n">
        <v>3.9</v>
      </c>
      <c r="P3900" t="n">
        <v>13</v>
      </c>
      <c r="R3900" t="inlineStr">
        <is>
          <t>InStock</t>
        </is>
      </c>
      <c r="S3900" t="inlineStr">
        <is>
          <t>undefined</t>
        </is>
      </c>
      <c r="T3900" t="inlineStr">
        <is>
          <t>5386498834600</t>
        </is>
      </c>
    </row>
    <row r="3901" ht="87" customHeight="1">
      <c r="A3901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3901" s="2">
        <f>HYPERLINK("https://edmondsonsupply.com/products/klein-tools-32305-15-in-1-multi-bit-ratcheting-screwdriver", "https://edmondsonsupply.com/products/klein-tools-32305-15-in-1-multi-bit-ratcheting-screwdriver")</f>
        <v/>
      </c>
      <c r="C3901" t="inlineStr">
        <is>
          <t>Klein Tools 32305 15-in-1 Multi-Bit Ratcheting Screwdriver</t>
        </is>
      </c>
      <c r="D3901" t="inlineStr">
        <is>
          <t>Klein Tools NCVT-4IR Non-Contact Volt Tester, 12-1000V AC Pen with IR Thermometer &amp; 32305 Multi-bit Ratcheting Screwdriver, 15-in-1 Tool with Phillips, Slotted, Square</t>
        </is>
      </c>
      <c r="E3901" s="2">
        <f>HYPERLINK("https://www.amazon.com/Klein-Tools-Non-Contact-Thermometer-Screwdriver/dp/B0CF2BFY23/ref=sr_1_14?keywords=Klein+Tools+32305+15-in-1+Multi-Bit+Ratcheting+Screwdriver&amp;qid=1694735163&amp;sr=8-14", "https://www.amazon.com/Klein-Tools-Non-Contact-Thermometer-Screwdriver/dp/B0CF2BFY23/ref=sr_1_14?keywords=Klein+Tools+32305+15-in-1+Multi-Bit+Ratcheting+Screwdriver&amp;qid=1694735163&amp;sr=8-14")</f>
        <v/>
      </c>
      <c r="F3901" t="inlineStr">
        <is>
          <t>B0CF2BFY23</t>
        </is>
      </c>
      <c r="G3901">
        <f>_xlfn.IMAGE("https://edmondsonsupply.com/cdn/shop/products/32305.jpg?v=1646965475")</f>
        <v/>
      </c>
      <c r="H3901">
        <f>_xlfn.IMAGE("https://m.media-amazon.com/images/I/516UG--iHUL._AC_UL320_.jpg")</f>
        <v/>
      </c>
      <c r="K3901" t="inlineStr">
        <is>
          <t>21.97</t>
        </is>
      </c>
      <c r="L3901" t="n">
        <v>60.42</v>
      </c>
      <c r="M3901" s="1" t="inlineStr">
        <is>
          <t>175.01%</t>
        </is>
      </c>
      <c r="N3901" s="7" t="n">
        <v>15.63</v>
      </c>
      <c r="O3901" t="n">
        <v>4.7</v>
      </c>
      <c r="P3901" t="n">
        <v>4135</v>
      </c>
      <c r="R3901" t="inlineStr">
        <is>
          <t>InStock</t>
        </is>
      </c>
      <c r="S3901" t="inlineStr">
        <is>
          <t>30.78</t>
        </is>
      </c>
      <c r="T3901" t="inlineStr">
        <is>
          <t>7632426598616</t>
        </is>
      </c>
    </row>
    <row r="3902" ht="87" customHeight="1">
      <c r="A3902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902" s="2">
        <f>HYPERLINK("https://edmondsonsupply.com/products/klein-tools-rt250-gfci-receptacle-tester-with-lcd", "https://edmondsonsupply.com/products/klein-tools-rt250-gfci-receptacle-tester-with-lcd")</f>
        <v/>
      </c>
      <c r="C3902" t="inlineStr">
        <is>
          <t>Klein Tools RT250 GFCI Receptacle Tester with LCD</t>
        </is>
      </c>
      <c r="D3902" t="inlineStr">
        <is>
          <t>Klein Tools NCVT-4IR Non-Contact Volt Tester, 12-1000V AC Pen with IR Thermometer &amp; RT250 GFCI Receptacle Tester with LCD Display, for Standard 3-Wire 120V Electrical Outlets</t>
        </is>
      </c>
      <c r="E3902" s="2">
        <f>HYPERLINK("https://www.amazon.com/Klein-Tools-NCVT-4IR-Non-Contact-Tester/dp/B0BD3ZCRRC/ref=sr_1_34?keywords=Klein+Tools+RT250+GFCI+Receptacle+Tester+with+LCD&amp;qid=1694735148&amp;sr=8-34", "https://www.amazon.com/Klein-Tools-NCVT-4IR-Non-Contact-Tester/dp/B0BD3ZCRRC/ref=sr_1_34?keywords=Klein+Tools+RT250+GFCI+Receptacle+Tester+with+LCD&amp;qid=1694735148&amp;sr=8-34")</f>
        <v/>
      </c>
      <c r="F3902" t="inlineStr">
        <is>
          <t>B0BD3ZCRRC</t>
        </is>
      </c>
      <c r="G3902">
        <f>_xlfn.IMAGE("https://edmondsonsupply.com/cdn/shop/products/rt250_photo_c.jpg?v=1661363824")</f>
        <v/>
      </c>
      <c r="H3902">
        <f>_xlfn.IMAGE("https://m.media-amazon.com/images/I/51A8Bgv4UpL._AC_UL320_.jpg")</f>
        <v/>
      </c>
      <c r="K3902" t="inlineStr">
        <is>
          <t>21.97</t>
        </is>
      </c>
      <c r="L3902" t="n">
        <v>60.42</v>
      </c>
      <c r="M3902" s="1" t="inlineStr">
        <is>
          <t>175.01%</t>
        </is>
      </c>
      <c r="N3902" s="7" t="n">
        <v>15.48</v>
      </c>
      <c r="O3902" t="n">
        <v>5</v>
      </c>
      <c r="P3902" t="n">
        <v>1</v>
      </c>
      <c r="R3902" t="inlineStr">
        <is>
          <t>InStock</t>
        </is>
      </c>
      <c r="S3902" t="inlineStr">
        <is>
          <t>30.78</t>
        </is>
      </c>
      <c r="T3902" t="inlineStr">
        <is>
          <t>7793138729176</t>
        </is>
      </c>
    </row>
    <row r="3903" ht="87" customHeight="1">
      <c r="A3903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3903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3903" t="inlineStr">
        <is>
          <t>Diablo Tools DMARG1120 3/8 in. x 4 in. x 6 in. SPEEDemon™ Red Granite Carbide Tipped Hammer Drill Bit</t>
        </is>
      </c>
      <c r="D3903" t="inlineStr">
        <is>
          <t>VALYRIANTOOL 10-Pack 3/8 Inch x 6 Inch SDS Plus Rotary Hammer Drill Bits Set, Carbide Tipped for Brick, Masonry, Stone and Concrete (3/8" x 4" x 6")</t>
        </is>
      </c>
      <c r="E3903" s="2">
        <f>HYPERLINK("https://www.amazon.com/VALYRIANTOOL-10-Pack-Carbide-Masonry-Concrete/dp/B07WLKDC1Q/ref=sr_1_37?keywords=Diablo+Tools+DMARG1120+3%2F8+in.+x+4+in.+x+6+in.+SPEEDemon%E2%84%A2+Red+Granite+Carbide+Tipped+Hammer+Drill+Bit&amp;qid=1694735289&amp;sr=8-37", "https://www.amazon.com/VALYRIANTOOL-10-Pack-Carbide-Masonry-Concrete/dp/B07WLKDC1Q/ref=sr_1_37?keywords=Diablo+Tools+DMARG1120+3%2F8+in.+x+4+in.+x+6+in.+SPEEDemon%E2%84%A2+Red+Granite+Carbide+Tipped+Hammer+Drill+Bit&amp;qid=1694735289&amp;sr=8-37")</f>
        <v/>
      </c>
      <c r="F3903" t="inlineStr">
        <is>
          <t>B07WLKDC1Q</t>
        </is>
      </c>
      <c r="G3903">
        <f>_xlfn.IMAGE("https://edmondsonsupply.com/cdn/shop/products/DMARG1120_Main-Image20200513.png?v=1633030510")</f>
        <v/>
      </c>
      <c r="H3903">
        <f>_xlfn.IMAGE("https://m.media-amazon.com/images/I/61-27TT0fuL._AC_UL320_.jpg")</f>
        <v/>
      </c>
      <c r="K3903" t="inlineStr">
        <is>
          <t>7.27</t>
        </is>
      </c>
      <c r="L3903" t="n">
        <v>19.99</v>
      </c>
      <c r="M3903" s="1" t="inlineStr">
        <is>
          <t>174.97%</t>
        </is>
      </c>
      <c r="N3903" s="7" t="n">
        <v>15.4</v>
      </c>
      <c r="O3903" t="n">
        <v>4.3</v>
      </c>
      <c r="P3903" t="n">
        <v>47</v>
      </c>
      <c r="R3903" t="inlineStr">
        <is>
          <t>InStock</t>
        </is>
      </c>
      <c r="S3903" t="inlineStr">
        <is>
          <t>undefined</t>
        </is>
      </c>
      <c r="T3903" t="inlineStr">
        <is>
          <t>5386498834600</t>
        </is>
      </c>
    </row>
    <row r="3904" ht="87" customHeight="1">
      <c r="A3904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3904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3904" t="inlineStr">
        <is>
          <t>Diablo Tools DMAPL4220 5/8 in. x 6 in. x 8 in. Rebar Demon™ SDS-Plus 4-Cutter Full Carbide Head Hammer Bit</t>
        </is>
      </c>
      <c r="D3904" t="inlineStr">
        <is>
          <t>Diablo by Freud DMAPL4270 27/32 in. x 8 in. x 10 in. Rebar Demon SDS-Plus 4-Cutter Full Carbide Head Hammer Bit</t>
        </is>
      </c>
      <c r="E3904" s="2">
        <f>HYPERLINK("https://www.amazon.com/Diablo-Freud-DMAPL4270-SDS-Plus-4-Cutter/dp/B089KXBGLM/ref=sr_1_5?keywords=Diablo+Tools+DMAPL4220+5%2F8+in.+x+6+in.+x+8+in.+Rebar+Demon%E2%84%A2+SDS-Plus+4-Cutter+Full+Carbide+Head+Hammer+Bit&amp;qid=1694735306&amp;sr=8-5", "https://www.amazon.com/Diablo-Freud-DMAPL4270-SDS-Plus-4-Cutter/dp/B089KXBGLM/ref=sr_1_5?keywords=Diablo+Tools+DMAPL4220+5%2F8+in.+x+6+in.+x+8+in.+Rebar+Demon%E2%84%A2+SDS-Plus+4-Cutter+Full+Carbide+Head+Hammer+Bit&amp;qid=1694735306&amp;sr=8-5")</f>
        <v/>
      </c>
      <c r="F3904" t="inlineStr">
        <is>
          <t>B089KXBGLM</t>
        </is>
      </c>
      <c r="G3904">
        <f>_xlfn.IMAGE("https://edmondsonsupply.com/cdn/shop/products/DMAPL4220.jpg?v=1633030355")</f>
        <v/>
      </c>
      <c r="H3904">
        <f>_xlfn.IMAGE("https://m.media-amazon.com/images/I/611A6sphG9L._AC_UL320_.jpg")</f>
        <v/>
      </c>
      <c r="K3904" t="inlineStr">
        <is>
          <t>10.97</t>
        </is>
      </c>
      <c r="L3904" t="n">
        <v>30.13</v>
      </c>
      <c r="M3904" s="1" t="inlineStr">
        <is>
          <t>174.66%</t>
        </is>
      </c>
      <c r="N3904" s="7" t="n">
        <v>15.4</v>
      </c>
      <c r="O3904" t="n">
        <v>5</v>
      </c>
      <c r="P3904" t="n">
        <v>2</v>
      </c>
      <c r="R3904" t="inlineStr">
        <is>
          <t>InStock</t>
        </is>
      </c>
      <c r="S3904" t="inlineStr">
        <is>
          <t>17.16</t>
        </is>
      </c>
      <c r="T3904" t="inlineStr">
        <is>
          <t>5286142148776</t>
        </is>
      </c>
    </row>
    <row r="3905" ht="87" customHeight="1">
      <c r="A3905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3905" s="2">
        <f>HYPERLINK("https://edmondsonsupply.com/products/diablo-tools-dmapl2240-3-8-in-x-10-in-x-12-in-sds-plus-2-cutter", "https://edmondsonsupply.com/products/diablo-tools-dmapl2240-3-8-in-x-10-in-x-12-in-sds-plus-2-cutter")</f>
        <v/>
      </c>
      <c r="C3905" t="inlineStr">
        <is>
          <t>Diablo Tools DMAPL2240 3/8 in. x 10 in. x 12 in. SDS-Plus 2-Cutter</t>
        </is>
      </c>
      <c r="D3905" t="inlineStr">
        <is>
          <t>Diablo by Freud DMAPL4270 27/32 in. x 8 in. x 10 in. Rebar Demon SDS-Plus 4-Cutter Full Carbide Head Hammer Bit</t>
        </is>
      </c>
      <c r="E3905" s="2">
        <f>HYPERLINK("https://www.amazon.com/Diablo-Freud-DMAPL4270-SDS-Plus-4-Cutter/dp/B089KXBGLM/ref=sr_1_42?keywords=Diablo+Tools+DMAPL2240+3%2F8+in.+x+10+in.+x+12+in.+SDS-Plus+2-Cutter&amp;qid=1694735297&amp;sr=8-42", "https://www.amazon.com/Diablo-Freud-DMAPL4270-SDS-Plus-4-Cutter/dp/B089KXBGLM/ref=sr_1_42?keywords=Diablo+Tools+DMAPL2240+3%2F8+in.+x+10+in.+x+12+in.+SDS-Plus+2-Cutter&amp;qid=1694735297&amp;sr=8-42")</f>
        <v/>
      </c>
      <c r="F3905" t="inlineStr">
        <is>
          <t>B089KXBGLM</t>
        </is>
      </c>
      <c r="G3905">
        <f>_xlfn.IMAGE("https://edmondsonsupply.com/cdn/shop/products/DMAPL2240-P25.jpg?v=1633030355")</f>
        <v/>
      </c>
      <c r="H3905">
        <f>_xlfn.IMAGE("https://m.media-amazon.com/images/I/611A6sphG9L._AC_UL320_.jpg")</f>
        <v/>
      </c>
      <c r="K3905" t="inlineStr">
        <is>
          <t>10.97</t>
        </is>
      </c>
      <c r="L3905" t="n">
        <v>30.13</v>
      </c>
      <c r="M3905" s="1" t="inlineStr">
        <is>
          <t>174.66%</t>
        </is>
      </c>
      <c r="N3905" s="7" t="n">
        <v>15.4</v>
      </c>
      <c r="O3905" t="n">
        <v>5</v>
      </c>
      <c r="P3905" t="n">
        <v>2</v>
      </c>
      <c r="R3905" t="inlineStr">
        <is>
          <t>InStock</t>
        </is>
      </c>
      <c r="S3905" t="inlineStr">
        <is>
          <t>12.38</t>
        </is>
      </c>
      <c r="T3905" t="inlineStr">
        <is>
          <t>5286161252520</t>
        </is>
      </c>
    </row>
    <row r="3906" hidden="1" ht="15.75" customHeight="1">
      <c r="A3906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906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906" t="inlineStr">
        <is>
          <t>Diablo Tools DMAPL4060 1/4 in. x 2 in. x 4 in. Rebar Demon™ SDS‑Plus 4‑Cutter Full Carbide Head Hammer Bit</t>
        </is>
      </c>
      <c r="D3906" t="inlineStr">
        <is>
          <t>Diablo by Freud DMAPL4010 5/32 in. x 2 in. x 4 in. Rebar Demon SDS-Plus 4-Cutter Full Carbide Head Hammer Bit</t>
        </is>
      </c>
      <c r="E3906" s="2">
        <f>HYPERLINK("https://www.amazon.com/Diablo-SDS-Plus-4-Cutter-Carbide-Hammer/dp/B089KWVTD3/ref=sr_1_5?keywords=Diablo+Tools+DMAPL4060+1%2F4+in.+x+2+in.+x+4+in.+Rebar+Demon%E2%84%A2+SDS%E2%80%91Plus+4%E2%80%91Cutter+Full+Carbide+Head+Hammer+Bit&amp;qid=1694735165&amp;sr=8-5", "https://www.amazon.com/Diablo-SDS-Plus-4-Cutter-Carbide-Hammer/dp/B089KWVTD3/ref=sr_1_5?keywords=Diablo+Tools+DMAPL4060+1%2F4+in.+x+2+in.+x+4+in.+Rebar+Demon%E2%84%A2+SDS%E2%80%91Plus+4%E2%80%91Cutter+Full+Carbide+Head+Hammer+Bit&amp;qid=1694735165&amp;sr=8-5")</f>
        <v/>
      </c>
      <c r="F3906" t="inlineStr">
        <is>
          <t>B089KWVTD3</t>
        </is>
      </c>
      <c r="G3906">
        <f>_xludf.IMAGE("https://edmondsonsupply.com/cdn/shop/products/4060.webp?v=1647637028")</f>
        <v/>
      </c>
      <c r="H3906">
        <f>_xludf.IMAGE("https://m.media-amazon.com/images/I/61IkB-DVS1L._AC_UL320_.jpg")</f>
        <v/>
      </c>
      <c r="K3906" t="inlineStr">
        <is>
          <t>3.47</t>
        </is>
      </c>
      <c r="L3906" t="n">
        <v>9.5</v>
      </c>
      <c r="M3906" s="1" t="inlineStr">
        <is>
          <t>173.78%</t>
        </is>
      </c>
      <c r="N3906" s="1" t="n">
        <v>15.23</v>
      </c>
      <c r="O3906" t="n">
        <v>4.7</v>
      </c>
      <c r="P3906" t="n">
        <v>4</v>
      </c>
      <c r="R3906" t="inlineStr">
        <is>
          <t>InStock</t>
        </is>
      </c>
      <c r="S3906" t="inlineStr">
        <is>
          <t>6.0</t>
        </is>
      </c>
      <c r="T3906" t="inlineStr">
        <is>
          <t>7639203807448</t>
        </is>
      </c>
    </row>
    <row r="3907" hidden="1" ht="15.75" customHeight="1">
      <c r="A3907" s="2">
        <f>HYPERLINK("https://edmondsonsupply.com/collections/electricians-tools/products/diablo-tools-dsp2060-9-16-in-x-6-in-spade-bit", "https://edmondsonsupply.com/collections/electricians-tools/products/diablo-tools-dsp2060-9-16-in-x-6-in-spade-bit")</f>
        <v/>
      </c>
      <c r="B3907" s="2">
        <f>HYPERLINK("https://edmondsonsupply.com/products/diablo-tools-dsp2060-9-16-in-x-6-in-spade-bit", "https://edmondsonsupply.com/products/diablo-tools-dsp2060-9-16-in-x-6-in-spade-bit")</f>
        <v/>
      </c>
      <c r="C3907" t="inlineStr">
        <is>
          <t>Diablo Tools DSP2060 9/16 in. x 6 in. Spade Bit</t>
        </is>
      </c>
      <c r="D3907" t="inlineStr">
        <is>
          <t>Diablo by Freud DSP2090-P2 3/4 in. x 6 in. SPEEDemon Spade Bit (2-Pack)</t>
        </is>
      </c>
      <c r="E3907" s="2">
        <f>HYPERLINK("https://www.amazon.com/Diablo-SPEEDemon-Spade-Bit-2-Pack/dp/B089KV8K7W/ref=sr_1_12?keywords=Diablo+Tools+DSP2060+9%2F16+in.+x+6+in.+Spade+Bit&amp;qid=1694735062&amp;sr=8-12", "https://www.amazon.com/Diablo-SPEEDemon-Spade-Bit-2-Pack/dp/B089KV8K7W/ref=sr_1_12?keywords=Diablo+Tools+DSP2060+9%2F16+in.+x+6+in.+Spade+Bit&amp;qid=1694735062&amp;sr=8-12")</f>
        <v/>
      </c>
      <c r="F3907" t="inlineStr">
        <is>
          <t>B089KV8K7W</t>
        </is>
      </c>
      <c r="G3907">
        <f>_xludf.IMAGE("https://edmondsonsupply.com/cdn/shop/products/aedhx1bor2stxnsd8b2m.webp?v=1670512947")</f>
        <v/>
      </c>
      <c r="H3907">
        <f>_xludf.IMAGE("https://m.media-amazon.com/images/I/610FU8LQY+L._AC_UL320_.jpg")</f>
        <v/>
      </c>
      <c r="K3907" t="inlineStr">
        <is>
          <t>2.88</t>
        </is>
      </c>
      <c r="L3907" t="n">
        <v>7.88</v>
      </c>
      <c r="M3907" s="1" t="inlineStr">
        <is>
          <t>173.61%</t>
        </is>
      </c>
      <c r="N3907" s="1" t="n">
        <v>15.09</v>
      </c>
      <c r="O3907" t="n">
        <v>4.7</v>
      </c>
      <c r="P3907" t="n">
        <v>40</v>
      </c>
      <c r="R3907" t="inlineStr">
        <is>
          <t>InStock</t>
        </is>
      </c>
      <c r="S3907" t="inlineStr">
        <is>
          <t>3.21</t>
        </is>
      </c>
      <c r="T3907" t="inlineStr">
        <is>
          <t>7901216112856</t>
        </is>
      </c>
    </row>
    <row r="3908" ht="87" customHeight="1">
      <c r="A3908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3908" s="2">
        <f>HYPERLINK("https://edmondsonsupply.com/products/klein-tools-vdv500-705-tone-probe-test-and-trace-kit", "https://edmondsonsupply.com/products/klein-tools-vdv500-705-tone-probe-test-and-trace-kit")</f>
        <v/>
      </c>
      <c r="C3908" t="inlineStr">
        <is>
          <t>Klein Tools VDV500-705 Tone &amp; Probe Test and Trace Kit</t>
        </is>
      </c>
      <c r="D3908" t="inlineStr">
        <is>
          <t>Klein Tools VDV500-820 Cable Tracer with Probe Tone Pro Kit for Telephone, Internet, Video, Data and Communications Cables &amp; VDV526-100 Network LAN Cable Tester, VDV Tester, LAN Explorer with Remote</t>
        </is>
      </c>
      <c r="E3908" s="2">
        <f>HYPERLINK("https://www.amazon.com/Klein-Tools-VDV500-820-Explorer-VDV526-100/dp/B08MFYWN57/ref=sr_1_8?keywords=Klein+Tools+VDV500-705+Tone&amp;qid=1694735386&amp;sr=8-8", "https://www.amazon.com/Klein-Tools-VDV500-820-Explorer-VDV526-100/dp/B08MFYWN57/ref=sr_1_8?keywords=Klein+Tools+VDV500-705+Tone&amp;qid=1694735386&amp;sr=8-8")</f>
        <v/>
      </c>
      <c r="F3908" t="inlineStr">
        <is>
          <t>B08MFYWN57</t>
        </is>
      </c>
      <c r="G3908">
        <f>_xlfn.IMAGE("https://edmondsonsupply.com/cdn/shop/products/vdv500705.jpg?v=1587144799")</f>
        <v/>
      </c>
      <c r="H3908">
        <f>_xlfn.IMAGE("https://m.media-amazon.com/images/I/51kvC7coTXL._AC_UY218_.jpg")</f>
        <v/>
      </c>
      <c r="K3908" t="inlineStr">
        <is>
          <t>39.97</t>
        </is>
      </c>
      <c r="L3908" t="n">
        <v>109.32</v>
      </c>
      <c r="M3908" s="1" t="inlineStr">
        <is>
          <t>173.51%</t>
        </is>
      </c>
      <c r="N3908" s="7" t="n">
        <v>15.09</v>
      </c>
      <c r="O3908" t="n">
        <v>4.7</v>
      </c>
      <c r="P3908" t="n">
        <v>19</v>
      </c>
      <c r="R3908" t="inlineStr">
        <is>
          <t>InStock</t>
        </is>
      </c>
      <c r="S3908" t="inlineStr">
        <is>
          <t>55.98</t>
        </is>
      </c>
      <c r="T3908" t="inlineStr">
        <is>
          <t>4412899590244</t>
        </is>
      </c>
    </row>
    <row r="3909" ht="87" customHeight="1">
      <c r="A3909" s="2">
        <f>HYPERLINK("https://edmondsonsupply.com/collections/electricians-tools/products/milwaukee-49-56-0082-1-1-2-hole-dozer%E2%84%A2-hole-saw-bi-metal-cup", "https://edmondsonsupply.com/collections/electricians-tools/products/milwaukee-49-56-0082-1-1-2-hole-dozer%E2%84%A2-hole-saw-bi-metal-cup")</f>
        <v/>
      </c>
      <c r="B3909" s="2">
        <f>HYPERLINK("https://edmondsonsupply.com/products/milwaukee-49-56-0082-1-1-2-hole-dozer%e2%84%a2-hole-saw-bi-metal-cup", "https://edmondsonsupply.com/products/milwaukee-49-56-0082-1-1-2-hole-dozer%e2%84%a2-hole-saw-bi-metal-cup")</f>
        <v/>
      </c>
      <c r="C3909" t="inlineStr">
        <is>
          <t>Milwaukee 49-56-0082 1-1/2" HOLE DOZER™ Hole Saw Bi-Metal Cup</t>
        </is>
      </c>
      <c r="D3909" t="inlineStr">
        <is>
          <t>Milwaukee Electric Tool 49-56-0193 Bi-Metal Hole Saw, 3-1/2"</t>
        </is>
      </c>
      <c r="E3909" s="2">
        <f>HYPERLINK("https://www.amazon.com/Milwaukee-Electric-Tool-49-56-0193-Bi-Metal/dp/B0017WTULA/ref=sr_1_3?keywords=Milwaukee+49-56-0082+1-1%2F2%22+HOLE+DOZER%E2%84%A2+Hole+Saw+Bi-Metal+Cup&amp;qid=1694735018&amp;sr=8-3", "https://www.amazon.com/Milwaukee-Electric-Tool-49-56-0193-Bi-Metal/dp/B0017WTULA/ref=sr_1_3?keywords=Milwaukee+49-56-0082+1-1%2F2%22+HOLE+DOZER%E2%84%A2+Hole+Saw+Bi-Metal+Cup&amp;qid=1694735018&amp;sr=8-3")</f>
        <v/>
      </c>
      <c r="F3909" t="inlineStr">
        <is>
          <t>B0017WTULA</t>
        </is>
      </c>
      <c r="G3909">
        <f>_xlfn.IMAGE("https://edmondsonsupply.com/cdn/shop/products/49-56-0052_101_2_3e59b3b5-5134-4f73-a3fb-157d3c19d4d7.webp?v=1679416989")</f>
        <v/>
      </c>
      <c r="H3909">
        <f>_xlfn.IMAGE("https://m.media-amazon.com/images/I/51Yfl2-hbuL._AC_UL320_.jpg")</f>
        <v/>
      </c>
      <c r="K3909" t="inlineStr">
        <is>
          <t>6.99</t>
        </is>
      </c>
      <c r="L3909" t="n">
        <v>19.09</v>
      </c>
      <c r="M3909" s="1" t="inlineStr">
        <is>
          <t>173.10%</t>
        </is>
      </c>
      <c r="N3909" s="7" t="n">
        <v>15.09</v>
      </c>
      <c r="O3909" t="n">
        <v>4.6</v>
      </c>
      <c r="P3909" t="n">
        <v>249</v>
      </c>
      <c r="R3909" t="inlineStr">
        <is>
          <t>InStock</t>
        </is>
      </c>
      <c r="S3909" t="inlineStr">
        <is>
          <t>13.3</t>
        </is>
      </c>
      <c r="T3909" t="inlineStr">
        <is>
          <t>7965257498840</t>
        </is>
      </c>
    </row>
    <row r="3910" ht="87" customHeight="1">
      <c r="A3910" s="2">
        <f>HYPERLINK("https://edmondsonsupply.com/collections/electricians-tools/products/milwaukee-49-56-0072-1-3-8-hole-dozer%E2%84%A2-hole-saw-bi-metal-cup", "https://edmondsonsupply.com/collections/electricians-tools/products/milwaukee-49-56-0072-1-3-8-hole-dozer%E2%84%A2-hole-saw-bi-metal-cup")</f>
        <v/>
      </c>
      <c r="B3910" s="2">
        <f>HYPERLINK("https://edmondsonsupply.com/products/milwaukee-49-56-0072-1-3-8-hole-dozer%e2%84%a2-hole-saw-bi-metal-cup", "https://edmondsonsupply.com/products/milwaukee-49-56-0072-1-3-8-hole-dozer%e2%84%a2-hole-saw-bi-metal-cup")</f>
        <v/>
      </c>
      <c r="C3910" t="inlineStr">
        <is>
          <t>Milwaukee 49-56-0072 1-3/8" HOLE DOZER™ Hole Saw Bi-Metal Cup</t>
        </is>
      </c>
      <c r="D3910" t="inlineStr">
        <is>
          <t>Milwaukee Electric Tool 49-56-0193 Bi-Metal Hole Saw, 3-1/2"</t>
        </is>
      </c>
      <c r="E3910" s="2">
        <f>HYPERLINK("https://www.amazon.com/Milwaukee-Electric-Tool-49-56-0193-Bi-Metal/dp/B0017WTULA/ref=sr_1_6?keywords=Milwaukee+49-56-0072+1-3%2F8%22+HOLE+DOZER%E2%84%A2+Hole+Saw+Bi-Metal+Cup&amp;qid=1694735018&amp;sr=8-6", "https://www.amazon.com/Milwaukee-Electric-Tool-49-56-0193-Bi-Metal/dp/B0017WTULA/ref=sr_1_6?keywords=Milwaukee+49-56-0072+1-3%2F8%22+HOLE+DOZER%E2%84%A2+Hole+Saw+Bi-Metal+Cup&amp;qid=1694735018&amp;sr=8-6")</f>
        <v/>
      </c>
      <c r="F3910" t="inlineStr">
        <is>
          <t>B0017WTULA</t>
        </is>
      </c>
      <c r="G3910">
        <f>_xlfn.IMAGE("https://edmondsonsupply.com/cdn/shop/products/49-56-0052_101_2_442dad6a-cfd3-4167-9bee-4c5b358f3b1a.webp?v=1679417936")</f>
        <v/>
      </c>
      <c r="H3910">
        <f>_xlfn.IMAGE("https://m.media-amazon.com/images/I/51Yfl2-hbuL._AC_UL320_.jpg")</f>
        <v/>
      </c>
      <c r="K3910" t="inlineStr">
        <is>
          <t>6.99</t>
        </is>
      </c>
      <c r="L3910" t="n">
        <v>19.09</v>
      </c>
      <c r="M3910" s="1" t="inlineStr">
        <is>
          <t>173.10%</t>
        </is>
      </c>
      <c r="N3910" s="7" t="n">
        <v>15.09</v>
      </c>
      <c r="O3910" t="n">
        <v>4.6</v>
      </c>
      <c r="P3910" t="n">
        <v>249</v>
      </c>
      <c r="R3910" t="inlineStr">
        <is>
          <t>InStock</t>
        </is>
      </c>
      <c r="S3910" t="inlineStr">
        <is>
          <t>13.3</t>
        </is>
      </c>
      <c r="T3910" t="inlineStr">
        <is>
          <t>7965261791448</t>
        </is>
      </c>
    </row>
    <row r="3911" ht="87" customHeight="1">
      <c r="A3911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3911" s="2">
        <f>HYPERLINK("https://edmondsonsupply.com/products/klein-tools-630-3-8m-3-8-magnetic-tip-nut-driver-3-hollow-shank", "https://edmondsonsupply.com/products/klein-tools-630-3-8m-3-8-magnetic-tip-nut-driver-3-hollow-shank")</f>
        <v/>
      </c>
      <c r="C3911" t="inlineStr">
        <is>
          <t>Klein Tools 630-3/8M 3/8-Inch Magnetic Tip Nut Driver</t>
        </is>
      </c>
      <c r="D3911" t="inlineStr">
        <is>
          <t>Klein Tools 32807MAG 7-in-1 Nut Driver, Magnetic Driver has SAE Hex Nut Sizes 1/4 to 9/16-Inch, Cushion Grip Handle for Added Torque</t>
        </is>
      </c>
      <c r="E3911" s="2">
        <f>HYPERLINK("https://www.amazon.com/Driver-Magnetic-Klein-Tools-32807MAG/dp/B07D4M51DQ/ref=sr_1_15?keywords=Klein+Tools+630-3%2F8M+3%2F8-Inch+Magnetic+Tip+Nut+Driver&amp;qid=1694735121&amp;sr=8-15", "https://www.amazon.com/Driver-Magnetic-Klein-Tools-32807MAG/dp/B07D4M51DQ/ref=sr_1_15?keywords=Klein+Tools+630-3%2F8M+3%2F8-Inch+Magnetic+Tip+Nut+Driver&amp;qid=1694735121&amp;sr=8-15")</f>
        <v/>
      </c>
      <c r="F3911" t="inlineStr">
        <is>
          <t>B07D4M51DQ</t>
        </is>
      </c>
      <c r="G3911">
        <f>_xlfn.IMAGE("https://edmondsonsupply.com/cdn/shop/products/630-3-8m.jpg?v=1587145139")</f>
        <v/>
      </c>
      <c r="H3911">
        <f>_xlfn.IMAGE("https://m.media-amazon.com/images/I/61gwAJBzDAL._AC_UL320_.jpg")</f>
        <v/>
      </c>
      <c r="K3911" t="inlineStr">
        <is>
          <t>10.99</t>
        </is>
      </c>
      <c r="L3911" t="n">
        <v>29.97</v>
      </c>
      <c r="M3911" s="1" t="inlineStr">
        <is>
          <t>172.70%</t>
        </is>
      </c>
      <c r="N3911" s="7" t="n">
        <v>14.96</v>
      </c>
      <c r="O3911" t="n">
        <v>4.7</v>
      </c>
      <c r="P3911" t="n">
        <v>9145</v>
      </c>
      <c r="R3911" t="inlineStr">
        <is>
          <t>InStock</t>
        </is>
      </c>
      <c r="S3911" t="inlineStr">
        <is>
          <t>16.66</t>
        </is>
      </c>
      <c r="T3911" t="inlineStr">
        <is>
          <t>2766802288740</t>
        </is>
      </c>
    </row>
    <row r="3912" hidden="1" ht="15.75" customHeight="1">
      <c r="A3912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912" s="2">
        <f>HYPERLINK("https://edmondsonsupply.com/products/diablo-tools-dsp1060-1-in-x-4-in-spade-bit", "https://edmondsonsupply.com/products/diablo-tools-dsp1060-1-in-x-4-in-spade-bit")</f>
        <v/>
      </c>
      <c r="C3912" t="inlineStr">
        <is>
          <t>Diablo Tools DSP1060 1 in. x 4 in. Spade Bit</t>
        </is>
      </c>
      <c r="D3912" t="inlineStr">
        <is>
          <t>Diablo 3/8 in. x 4 in. SPEEDemon™ Spade Bit</t>
        </is>
      </c>
      <c r="E3912" s="2">
        <f>HYPERLINK("https://www.amazon.com/Diablo-DSP1010-SPEEDemon-Spade-Bit/dp/B089KW6DLZ/ref=sr_1_5?keywords=Diablo+Tools+DSP1060+1+in.+x+4+in.+Spade+Bit&amp;qid=1694735068&amp;sr=8-5", "https://www.amazon.com/Diablo-DSP1010-SPEEDemon-Spade-Bit/dp/B089KW6DLZ/ref=sr_1_5?keywords=Diablo+Tools+DSP1060+1+in.+x+4+in.+Spade+Bit&amp;qid=1694735068&amp;sr=8-5")</f>
        <v/>
      </c>
      <c r="F3912" t="inlineStr">
        <is>
          <t>B089KW6DLZ</t>
        </is>
      </c>
      <c r="G3912">
        <f>_xludf.IMAGE("https://edmondsonsupply.com/cdn/shop/products/hanbmwlurgioczoyawta.webp?v=1670510289")</f>
        <v/>
      </c>
      <c r="H3912">
        <f>_xludf.IMAGE("https://m.media-amazon.com/images/I/61hQAU148+L._AC_UL320_.jpg")</f>
        <v/>
      </c>
      <c r="K3912" t="inlineStr">
        <is>
          <t>2.59</t>
        </is>
      </c>
      <c r="L3912" t="n">
        <v>7.05</v>
      </c>
      <c r="M3912" s="1" t="inlineStr">
        <is>
          <t>172.20%</t>
        </is>
      </c>
      <c r="N3912" s="1" t="n">
        <v>14.91</v>
      </c>
      <c r="O3912" t="n">
        <v>3.8</v>
      </c>
      <c r="P3912" t="n">
        <v>3</v>
      </c>
      <c r="R3912" t="inlineStr">
        <is>
          <t>InStock</t>
        </is>
      </c>
      <c r="S3912" t="inlineStr">
        <is>
          <t>2.96</t>
        </is>
      </c>
      <c r="T3912" t="inlineStr">
        <is>
          <t>7901168730328</t>
        </is>
      </c>
    </row>
    <row r="3913" ht="87" customHeight="1">
      <c r="A3913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3913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3913" t="inlineStr">
        <is>
          <t>Klein Tools JTH9E11 3/16-Inch Hex Key with Journeyman T-Handle, 9-Inch</t>
        </is>
      </c>
      <c r="D3913" t="inlineStr">
        <is>
          <t>Klein Tools JTH9M8 8 mm Hex Key with Journeyman T-Handle, 9-Inch</t>
        </is>
      </c>
      <c r="E3913" s="2">
        <f>HYPERLINK("https://www.amazon.com/Journeyman-T-Handle-Klein-Tools-JTH9M8/dp/B005G3HJSC/ref=sr_1_11?keywords=Klein+Tools+JTH9E11+3%2F16-Inch+Hex+Key+with+Journeyman+T-Handle%2C+9-Inch&amp;qid=1694735351&amp;sr=8-11", "https://www.amazon.com/Journeyman-T-Handle-Klein-Tools-JTH9M8/dp/B005G3HJSC/ref=sr_1_11?keywords=Klein+Tools+JTH9E11+3%2F16-Inch+Hex+Key+with+Journeyman+T-Handle%2C+9-Inch&amp;qid=1694735351&amp;sr=8-11")</f>
        <v/>
      </c>
      <c r="F3913" t="inlineStr">
        <is>
          <t>B005G3HJSC</t>
        </is>
      </c>
      <c r="G3913">
        <f>_xlfn.IMAGE("https://edmondsonsupply.com/cdn/shop/products/jth9e12_5173eed3-120e-418c-a1cc-489b6dba3958.jpg?v=1587147554")</f>
        <v/>
      </c>
      <c r="H3913">
        <f>_xlfn.IMAGE("https://m.media-amazon.com/images/I/51+1x0vz9XL._AC_UL320_.jpg")</f>
        <v/>
      </c>
      <c r="K3913" t="inlineStr">
        <is>
          <t>5.99</t>
        </is>
      </c>
      <c r="L3913" t="n">
        <v>16.27</v>
      </c>
      <c r="M3913" s="1" t="inlineStr">
        <is>
          <t>171.62%</t>
        </is>
      </c>
      <c r="N3913" s="7" t="n">
        <v>14.65</v>
      </c>
      <c r="O3913" t="n">
        <v>5</v>
      </c>
      <c r="P3913" t="n">
        <v>4</v>
      </c>
      <c r="R3913" t="inlineStr">
        <is>
          <t>InStock</t>
        </is>
      </c>
      <c r="S3913" t="inlineStr">
        <is>
          <t>9.06</t>
        </is>
      </c>
      <c r="T3913" t="inlineStr">
        <is>
          <t>4455227523172</t>
        </is>
      </c>
    </row>
    <row r="3914" ht="87" customHeight="1">
      <c r="A3914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914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914" t="inlineStr">
        <is>
          <t>Diablo Tools DMAPL4040 3/16 in. x 4 in. x 6 in. Rebar Demon™ SDS-Plus 4-Cutter Full Carbide Head Hammer Bit</t>
        </is>
      </c>
      <c r="D3914" t="inlineStr">
        <is>
          <t>Diablo by Freud DMAPL4200 1/2 in. x 16 in. x 18 in. Rebar Demon SDS-Plus 4-Cutter Full Carbide Head Hammer Bit</t>
        </is>
      </c>
      <c r="E3914" s="2">
        <f>HYPERLINK("https://www.amazon.com/Diablo-Freud-DMAPL4200-SDS-Plus-4-Cutter/dp/B089KW2QV1/ref=sr_1_28?keywords=Diablo+Tools+DMAPL4040+3%2F16+in.+x+4+in.+x+6+in.+Rebar+Demon%E2%84%A2+SDS-Plus+4-Cutter+Full+Carbide+Head+Hammer+Bit&amp;qid=1694735297&amp;sr=8-28", "https://www.amazon.com/Diablo-Freud-DMAPL4200-SDS-Plus-4-Cutter/dp/B089KW2QV1/ref=sr_1_28?keywords=Diablo+Tools+DMAPL4040+3%2F16+in.+x+4+in.+x+6+in.+Rebar+Demon%E2%84%A2+SDS-Plus+4-Cutter+Full+Carbide+Head+Hammer+Bit&amp;qid=1694735297&amp;sr=8-28")</f>
        <v/>
      </c>
      <c r="F3914" t="inlineStr">
        <is>
          <t>B089KW2QV1</t>
        </is>
      </c>
      <c r="G3914">
        <f>_xlfn.IMAGE("https://edmondsonsupply.com/cdn/shop/products/DMAPL4040_Main-Image20200701.png?v=1633030358")</f>
        <v/>
      </c>
      <c r="H3914">
        <f>_xlfn.IMAGE("https://m.media-amazon.com/images/I/61rW+ROVmNL._AC_UL320_.jpg")</f>
        <v/>
      </c>
      <c r="K3914" t="inlineStr">
        <is>
          <t>8.47</t>
        </is>
      </c>
      <c r="L3914" t="n">
        <v>23</v>
      </c>
      <c r="M3914" s="1" t="inlineStr">
        <is>
          <t>171.55%</t>
        </is>
      </c>
      <c r="N3914" s="7" t="n">
        <v>14.6</v>
      </c>
      <c r="O3914" t="n">
        <v>4.7</v>
      </c>
      <c r="P3914" t="n">
        <v>18</v>
      </c>
      <c r="R3914" t="inlineStr">
        <is>
          <t>InStock</t>
        </is>
      </c>
      <c r="S3914" t="inlineStr">
        <is>
          <t>undefined</t>
        </is>
      </c>
      <c r="T3914" t="inlineStr">
        <is>
          <t>5286740426920</t>
        </is>
      </c>
    </row>
    <row r="3915" hidden="1" ht="15.75" customHeight="1">
      <c r="A3915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915" s="2">
        <f>HYPERLINK("https://edmondsonsupply.com/products/diablo-tools-dsp1060-1-in-x-4-in-spade-bit", "https://edmondsonsupply.com/products/diablo-tools-dsp1060-1-in-x-4-in-spade-bit")</f>
        <v/>
      </c>
      <c r="C3915" t="inlineStr">
        <is>
          <t>Diablo Tools DSP1060 1 in. x 4 in. Spade Bit</t>
        </is>
      </c>
      <c r="D3915" t="inlineStr">
        <is>
          <t>Irwin Tools HAN88824 1-1/2" Spade Bit, Silver metallic</t>
        </is>
      </c>
      <c r="E3915" s="2">
        <f>HYPERLINK("https://www.amazon.com/Irwin-Tools-HAN88824-1-1-Spade/dp/B000W0RYG6/ref=sr_1_41?keywords=Diablo+Tools+DSP1060+1+in.+x+4+in.+Spade+Bit&amp;qid=1694735068&amp;sr=8-41", "https://www.amazon.com/Irwin-Tools-HAN88824-1-1-Spade/dp/B000W0RYG6/ref=sr_1_41?keywords=Diablo+Tools+DSP1060+1+in.+x+4+in.+Spade+Bit&amp;qid=1694735068&amp;sr=8-41")</f>
        <v/>
      </c>
      <c r="F3915" t="inlineStr">
        <is>
          <t>B000W0RYG6</t>
        </is>
      </c>
      <c r="G3915">
        <f>_xludf.IMAGE("https://edmondsonsupply.com/cdn/shop/products/hanbmwlurgioczoyawta.webp?v=1670510289")</f>
        <v/>
      </c>
      <c r="H3915">
        <f>_xludf.IMAGE("https://m.media-amazon.com/images/I/51E-11plY3L._AC_UL320_.jpg")</f>
        <v/>
      </c>
      <c r="K3915" t="inlineStr">
        <is>
          <t>2.59</t>
        </is>
      </c>
      <c r="L3915" t="n">
        <v>7.03</v>
      </c>
      <c r="M3915" s="1" t="inlineStr">
        <is>
          <t>171.43%</t>
        </is>
      </c>
      <c r="N3915" s="1" t="n">
        <v>14.55</v>
      </c>
      <c r="O3915" t="n">
        <v>4.1</v>
      </c>
      <c r="P3915" t="n">
        <v>66</v>
      </c>
      <c r="R3915" t="inlineStr">
        <is>
          <t>InStock</t>
        </is>
      </c>
      <c r="S3915" t="inlineStr">
        <is>
          <t>2.96</t>
        </is>
      </c>
      <c r="T3915" t="inlineStr">
        <is>
          <t>7901168730328</t>
        </is>
      </c>
    </row>
    <row r="3916" ht="87" customHeight="1">
      <c r="A3916" s="2">
        <f>HYPERLINK("https://edmondsonsupply.com/collections/electricians-tools/products/klein-tools-9416r-1000v-insulated-tool-kit-3-piece", "https://edmondsonsupply.com/collections/electricians-tools/products/klein-tools-9416r-1000v-insulated-tool-kit-3-piece")</f>
        <v/>
      </c>
      <c r="B3916" s="2">
        <f>HYPERLINK("https://edmondsonsupply.com/products/klein-tools-9416r-1000v-insulated-tool-kit-3-piece", "https://edmondsonsupply.com/products/klein-tools-9416r-1000v-insulated-tool-kit-3-piece")</f>
        <v/>
      </c>
      <c r="C3916" t="inlineStr">
        <is>
          <t>Klein Tools 9416R 1000V Insulated Tool Kit, 3-Piece</t>
        </is>
      </c>
      <c r="D3916" t="inlineStr">
        <is>
          <t>Klein Tools 33524 Tool Kit, 1000V Insulated Nut Driver Set, Sizes 3/16, 1/4, 5/16, 11/32, 3/8,7/16,1/2,9/16,5/8-Inch, with Case, 9-Piece</t>
        </is>
      </c>
      <c r="E3916" s="2">
        <f>HYPERLINK("https://www.amazon.com/Insulated-9-Piece-Klein-Tools-33524/dp/B000MKIR9E/ref=sr_1_2?keywords=Klein+Tools+9416R+1000V+Insulated+Tool+Kit%2C+3-Piece&amp;qid=1694735088&amp;sr=8-2", "https://www.amazon.com/Insulated-9-Piece-Klein-Tools-33524/dp/B000MKIR9E/ref=sr_1_2?keywords=Klein+Tools+9416R+1000V+Insulated+Tool+Kit%2C+3-Piece&amp;qid=1694735088&amp;sr=8-2")</f>
        <v/>
      </c>
      <c r="F3916" t="inlineStr">
        <is>
          <t>B000MKIR9E</t>
        </is>
      </c>
      <c r="G3916">
        <f>_xlfn.IMAGE("https://edmondsonsupply.com/cdn/shop/products/9416r.jpg?v=1667327475")</f>
        <v/>
      </c>
      <c r="H3916">
        <f>_xlfn.IMAGE("https://m.media-amazon.com/images/I/71+Db525CfL._AC_UL320_.jpg")</f>
        <v/>
      </c>
      <c r="K3916" t="inlineStr">
        <is>
          <t>84.99</t>
        </is>
      </c>
      <c r="L3916" t="n">
        <v>229.99</v>
      </c>
      <c r="M3916" s="1" t="inlineStr">
        <is>
          <t>170.61%</t>
        </is>
      </c>
      <c r="N3916" s="7" t="n">
        <v>14.55</v>
      </c>
      <c r="O3916" t="n">
        <v>4.4</v>
      </c>
      <c r="P3916" t="n">
        <v>26</v>
      </c>
      <c r="R3916" t="inlineStr">
        <is>
          <t>InStock</t>
        </is>
      </c>
      <c r="S3916" t="inlineStr">
        <is>
          <t>127.48</t>
        </is>
      </c>
      <c r="T3916" t="inlineStr">
        <is>
          <t>7872648347864</t>
        </is>
      </c>
    </row>
    <row r="3917" ht="87" customHeight="1">
      <c r="A3917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3917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3917" t="inlineStr">
        <is>
          <t>Diablo Tools DMAMX1050 9/16 in. x 8 in. x 13 in. Rebar Demon™ SDS-Max 4-Cutter Full Carbide Head Hammer Drill Bit</t>
        </is>
      </c>
      <c r="D3917" t="inlineStr">
        <is>
          <t>Diablo DMAMX1110 5/8 in. x 24 in. x 29 in. Rebar Demon™ SDS-Max 4-Cutter Full Carbide Head Hammer Bit</t>
        </is>
      </c>
      <c r="E3917" s="2">
        <f>HYPERLINK("https://www.amazon.com/Diablo-SDS-Max-4-Cutter-Carbide-Hammer/dp/B089LJ9GHW/ref=sr_1_13?keywords=Diablo+Tools+DMAMX1050+9%2F16+in.+x+8+in.+x+13+in.+Rebar+Demon%E2%84%A2+SDS-Max+4-Cutter+Full+Carbide+Head+Hammer+Drill+Bit&amp;qid=1694735208&amp;sr=8-13", "https://www.amazon.com/Diablo-SDS-Max-4-Cutter-Carbide-Hammer/dp/B089LJ9GHW/ref=sr_1_13?keywords=Diablo+Tools+DMAMX1050+9%2F16+in.+x+8+in.+x+13+in.+Rebar+Demon%E2%84%A2+SDS-Max+4-Cutter+Full+Carbide+Head+Hammer+Drill+Bit&amp;qid=1694735208&amp;sr=8-13")</f>
        <v/>
      </c>
      <c r="F3917" t="inlineStr">
        <is>
          <t>B089LJ9GHW</t>
        </is>
      </c>
      <c r="G3917">
        <f>_xlfn.IMAGE("https://edmondsonsupply.com/cdn/shop/products/DMAMX1050_Main-Image20200701.png?v=1633031097")</f>
        <v/>
      </c>
      <c r="H3917">
        <f>_xlfn.IMAGE("https://m.media-amazon.com/images/I/61vWAd-z8eL._AC_UL320_.jpg")</f>
        <v/>
      </c>
      <c r="K3917" t="inlineStr">
        <is>
          <t>29.19</t>
        </is>
      </c>
      <c r="L3917" t="n">
        <v>78.98999999999999</v>
      </c>
      <c r="M3917" s="1" t="inlineStr">
        <is>
          <t>170.61%</t>
        </is>
      </c>
      <c r="N3917" s="7" t="n">
        <v>14.41</v>
      </c>
      <c r="O3917" t="n">
        <v>4.7</v>
      </c>
      <c r="P3917" t="n">
        <v>4</v>
      </c>
      <c r="R3917" t="inlineStr">
        <is>
          <t>InStock</t>
        </is>
      </c>
      <c r="S3917" t="inlineStr">
        <is>
          <t>46.05</t>
        </is>
      </c>
      <c r="T3917" t="inlineStr">
        <is>
          <t>6842367738029</t>
        </is>
      </c>
    </row>
    <row r="3918" hidden="1" ht="15.75" customHeight="1">
      <c r="A3918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918" s="2">
        <f>HYPERLINK("https://edmondsonsupply.com/products/diablo-tools-dsp1060-1-in-x-4-in-spade-bit", "https://edmondsonsupply.com/products/diablo-tools-dsp1060-1-in-x-4-in-spade-bit")</f>
        <v/>
      </c>
      <c r="C3918" t="inlineStr">
        <is>
          <t>Diablo Tools DSP1060 1 in. x 4 in. Spade Bit</t>
        </is>
      </c>
      <c r="D3918" t="inlineStr">
        <is>
          <t>Diablo 1 in. x 4 in. SPEEDemon™ Spade Bit</t>
        </is>
      </c>
      <c r="E3918" s="2">
        <f>HYPERLINK("https://www.amazon.com/Diablo-SPEEDemon-Spade-Bit/dp/B089KXW89T/ref=sr_1_1?keywords=Diablo+Tools+DSP1060+1+in.+x+4+in.+Spade+Bit&amp;qid=1694735068&amp;sr=8-1", "https://www.amazon.com/Diablo-SPEEDemon-Spade-Bit/dp/B089KXW89T/ref=sr_1_1?keywords=Diablo+Tools+DSP1060+1+in.+x+4+in.+Spade+Bit&amp;qid=1694735068&amp;sr=8-1")</f>
        <v/>
      </c>
      <c r="F3918" t="inlineStr">
        <is>
          <t>B089KXW89T</t>
        </is>
      </c>
      <c r="G3918">
        <f>_xludf.IMAGE("https://edmondsonsupply.com/cdn/shop/products/hanbmwlurgioczoyawta.webp?v=1670510289")</f>
        <v/>
      </c>
      <c r="H3918">
        <f>_xludf.IMAGE("https://m.media-amazon.com/images/I/61J14M5Q68L._AC_UL320_.jpg")</f>
        <v/>
      </c>
      <c r="K3918" t="inlineStr">
        <is>
          <t>2.59</t>
        </is>
      </c>
      <c r="L3918" t="n">
        <v>6.99</v>
      </c>
      <c r="M3918" s="1" t="inlineStr">
        <is>
          <t>169.88%</t>
        </is>
      </c>
      <c r="N3918" s="1" t="n">
        <v>14.36</v>
      </c>
      <c r="O3918" t="n">
        <v>4.3</v>
      </c>
      <c r="P3918" t="n">
        <v>14</v>
      </c>
      <c r="R3918" t="inlineStr">
        <is>
          <t>InStock</t>
        </is>
      </c>
      <c r="S3918" t="inlineStr">
        <is>
          <t>2.96</t>
        </is>
      </c>
      <c r="T3918" t="inlineStr">
        <is>
          <t>7901168730328</t>
        </is>
      </c>
    </row>
    <row r="3919" hidden="1" ht="15.75" customHeight="1">
      <c r="A3919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919" s="2">
        <f>HYPERLINK("https://edmondsonsupply.com/products/diablo-tools-dsp1060-1-in-x-4-in-spade-bit", "https://edmondsonsupply.com/products/diablo-tools-dsp1060-1-in-x-4-in-spade-bit")</f>
        <v/>
      </c>
      <c r="C3919" t="inlineStr">
        <is>
          <t>Diablo Tools DSP1060 1 in. x 4 in. Spade Bit</t>
        </is>
      </c>
      <c r="D3919" t="inlineStr">
        <is>
          <t>Diablo 1 in. x 6 in. SPEEDemon Spade Bit (2-Pack)</t>
        </is>
      </c>
      <c r="E3919" s="2">
        <f>HYPERLINK("https://www.amazon.com/Diablo-SPEEDemon-Spade-Bit-2-Pack/dp/B089KWW4Z2/ref=sr_1_28?keywords=Diablo+Tools+DSP1060+1+in.+x+4+in.+Spade+Bit&amp;qid=1694735068&amp;sr=8-28", "https://www.amazon.com/Diablo-SPEEDemon-Spade-Bit-2-Pack/dp/B089KWW4Z2/ref=sr_1_28?keywords=Diablo+Tools+DSP1060+1+in.+x+4+in.+Spade+Bit&amp;qid=1694735068&amp;sr=8-28")</f>
        <v/>
      </c>
      <c r="F3919" t="inlineStr">
        <is>
          <t>B089KWW4Z2</t>
        </is>
      </c>
      <c r="G3919">
        <f>_xludf.IMAGE("https://edmondsonsupply.com/cdn/shop/products/hanbmwlurgioczoyawta.webp?v=1670510289")</f>
        <v/>
      </c>
      <c r="H3919">
        <f>_xludf.IMAGE("https://m.media-amazon.com/images/I/61wXjms-mZL._AC_UL320_.jpg")</f>
        <v/>
      </c>
      <c r="K3919" t="inlineStr">
        <is>
          <t>2.59</t>
        </is>
      </c>
      <c r="L3919" t="n">
        <v>6.99</v>
      </c>
      <c r="M3919" s="1" t="inlineStr">
        <is>
          <t>169.88%</t>
        </is>
      </c>
      <c r="N3919" s="1" t="n">
        <v>14.3</v>
      </c>
      <c r="O3919" t="n">
        <v>4.6</v>
      </c>
      <c r="P3919" t="n">
        <v>84</v>
      </c>
      <c r="R3919" t="inlineStr">
        <is>
          <t>InStock</t>
        </is>
      </c>
      <c r="S3919" t="inlineStr">
        <is>
          <t>2.96</t>
        </is>
      </c>
      <c r="T3919" t="inlineStr">
        <is>
          <t>7901168730328</t>
        </is>
      </c>
    </row>
    <row r="3920" ht="87" customHeight="1">
      <c r="A3920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3920" s="2">
        <f>HYPERLINK("https://edmondsonsupply.com/products/klein-tools-646-7-16-7-16-inch-nut-driver-6-inch-hollow-shaft", "https://edmondsonsupply.com/products/klein-tools-646-7-16-7-16-inch-nut-driver-6-inch-hollow-shaft")</f>
        <v/>
      </c>
      <c r="C3920" t="inlineStr">
        <is>
          <t>Klein Tools 646-7/16 7/16-Inch Nut Driver, 6-Inch Hollow Shaft</t>
        </is>
      </c>
      <c r="D3920" t="inlineStr">
        <is>
          <t>Klein Tools 646-7/16-INS Insulated Nut Driver, 7/16-Inch, 6-Inch Hollow Shaft, Cushion Grip Handle</t>
        </is>
      </c>
      <c r="E3920" s="2">
        <f>HYPERLINK("https://www.amazon.com/Insulated-Klein-Tools-646-7-16-INS/dp/B000MKIUWS/ref=sr_1_5?keywords=Klein+Tools+646-7%2F16+7%2F16-Inch+Nut+Driver%2C+6-Inch+Hollow+Shaft&amp;qid=1694735415&amp;sr=8-5", "https://www.amazon.com/Insulated-Klein-Tools-646-7-16-INS/dp/B000MKIUWS/ref=sr_1_5?keywords=Klein+Tools+646-7%2F16+7%2F16-Inch+Nut+Driver%2C+6-Inch+Hollow+Shaft&amp;qid=1694735415&amp;sr=8-5")</f>
        <v/>
      </c>
      <c r="F3920" t="inlineStr">
        <is>
          <t>B000MKIUWS</t>
        </is>
      </c>
      <c r="G3920">
        <f>_xlfn.IMAGE("https://edmondsonsupply.com/cdn/shop/products/646-1-2_64980020-d246-4b4b-829a-c848cc375d64.jpg?v=1587148603")</f>
        <v/>
      </c>
      <c r="H3920">
        <f>_xlfn.IMAGE("https://m.media-amazon.com/images/I/41qYaTzmnDL._AC_UL320_.jpg")</f>
        <v/>
      </c>
      <c r="K3920" t="inlineStr">
        <is>
          <t>9.49</t>
        </is>
      </c>
      <c r="L3920" t="n">
        <v>25.61</v>
      </c>
      <c r="M3920" s="1" t="inlineStr">
        <is>
          <t>169.86%</t>
        </is>
      </c>
      <c r="N3920" s="7" t="n">
        <v>14.24</v>
      </c>
      <c r="O3920" t="n">
        <v>4.7</v>
      </c>
      <c r="P3920" t="n">
        <v>272</v>
      </c>
      <c r="R3920" t="inlineStr">
        <is>
          <t>InStock</t>
        </is>
      </c>
      <c r="S3920" t="inlineStr">
        <is>
          <t>14.42</t>
        </is>
      </c>
      <c r="T3920" t="inlineStr">
        <is>
          <t>4391246889060</t>
        </is>
      </c>
    </row>
    <row r="3921" ht="87" customHeight="1">
      <c r="A3921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3921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3921" t="inlineStr">
        <is>
          <t>Diablo Tools DMAPL4230 5/8 in. x 10 in. x 12 in. Rebar Demon™ SDS‑Plus 4‑Cutter Full Carbide Head Hammer Bit</t>
        </is>
      </c>
      <c r="D3921" t="inlineStr">
        <is>
          <t>Diablo DMAPL4310 1 in. x 16 in. x 18 in. Rebar Demon™ SDS-Plus 4-Cutter Full Carbide Head Hammer Bit</t>
        </is>
      </c>
      <c r="E3921" s="2" t="n"/>
      <c r="F3921" t="inlineStr">
        <is>
          <t>B089KX2VKR</t>
        </is>
      </c>
      <c r="G3921">
        <f>_xlfn.IMAGE("https://edmondsonsupply.com/cdn/shop/products/DMAPL4230_Main-Image20200701.png?v=1633030428")</f>
        <v/>
      </c>
      <c r="H3921">
        <f>_xlfn.IMAGE("https://m.media-amazon.com/images/I/61iwxfqG2VL._AC_UL320_.jpg")</f>
        <v/>
      </c>
      <c r="K3921" t="inlineStr">
        <is>
          <t>17.97</t>
        </is>
      </c>
      <c r="L3921" t="n">
        <v>48.49</v>
      </c>
      <c r="M3921" s="1" t="inlineStr">
        <is>
          <t>169.84%</t>
        </is>
      </c>
      <c r="N3921" s="7" t="n">
        <v>14.1</v>
      </c>
      <c r="O3921" t="n">
        <v>4.5</v>
      </c>
      <c r="P3921" t="n">
        <v>32</v>
      </c>
      <c r="R3921" t="inlineStr">
        <is>
          <t>InStock</t>
        </is>
      </c>
      <c r="S3921" t="inlineStr">
        <is>
          <t>27.18</t>
        </is>
      </c>
      <c r="T3921" t="inlineStr">
        <is>
          <t>5326959476904</t>
        </is>
      </c>
    </row>
    <row r="3922" ht="87" customHeight="1">
      <c r="A3922" s="2">
        <f>HYPERLINK("https://edmondsonsupply.com/collections/electricians-tools/products/klein-tools-5416-tool-bag-bull-pin-and-bolt-pouch-belt-strap-connect-5-x-10-x-9-inch", "https://edmondsonsupply.com/collections/electricians-tools/products/klein-tools-5416-tool-bag-bull-pin-and-bolt-pouch-belt-strap-connect-5-x-10-x-9-inch")</f>
        <v/>
      </c>
      <c r="B3922" s="2">
        <f>HYPERLINK("https://edmondsonsupply.com/products/klein-tools-5416-tool-bag-bull-pin-and-bolt-pouch-belt-strap-connect-5-x-10-x-9-inch", "https://edmondsonsupply.com/products/klein-tools-5416-tool-bag-bull-pin-and-bolt-pouch-belt-strap-connect-5-x-10-x-9-inch")</f>
        <v/>
      </c>
      <c r="C3922" t="inlineStr">
        <is>
          <t>Klein Tools 5416 Tool Bag, Bull-Pin and Bolt Pouch, Belt Strap Connect, 5 x 10 x 9-Inch</t>
        </is>
      </c>
      <c r="D3922" t="inlineStr">
        <is>
          <t>Klein Tools 5416TFR Tool Bag, Flame Resistant Canvas Bag for Bolt Storage, 5 x 10 x 9-Inch &amp; 3255 Bull Pin, Broad Head Bull Pin Resists Corrosion and Mushrooming, 1-1/4-Inch</t>
        </is>
      </c>
      <c r="E3922" s="2">
        <f>HYPERLINK("https://www.amazon.com/Klein-Tools-Resistant-Corrosion-Mushrooming/dp/B093PYTVK3/ref=sr_1_9?keywords=Klein+Tools+5416+Tool+Bag%2C+Bull-Pin+and+Bolt+Pouch%2C+Belt+Strap+Connect%2C+5+x+10+x+9-Inch&amp;qid=1694735013&amp;sr=8-9", "https://www.amazon.com/Klein-Tools-Resistant-Corrosion-Mushrooming/dp/B093PYTVK3/ref=sr_1_9?keywords=Klein+Tools+5416+Tool+Bag%2C+Bull-Pin+and+Bolt+Pouch%2C+Belt+Strap+Connect%2C+5+x+10+x+9-Inch&amp;qid=1694735013&amp;sr=8-9")</f>
        <v/>
      </c>
      <c r="F3922" t="inlineStr">
        <is>
          <t>B093PYTVK3</t>
        </is>
      </c>
      <c r="G3922">
        <f>_xlfn.IMAGE("https://edmondsonsupply.com/cdn/shop/products/5416.jpg?v=1679664980")</f>
        <v/>
      </c>
      <c r="H3922">
        <f>_xlfn.IMAGE("https://m.media-amazon.com/images/I/51QTKZXYEJS._AC_UL320_.jpg")</f>
        <v/>
      </c>
      <c r="K3922" t="inlineStr">
        <is>
          <t>17.8</t>
        </is>
      </c>
      <c r="L3922" t="n">
        <v>47.98</v>
      </c>
      <c r="M3922" s="1" t="inlineStr">
        <is>
          <t>169.55%</t>
        </is>
      </c>
      <c r="N3922" s="7" t="n">
        <v>14.03</v>
      </c>
      <c r="O3922" t="n">
        <v>4.4</v>
      </c>
      <c r="P3922" t="n">
        <v>58</v>
      </c>
      <c r="R3922" t="inlineStr">
        <is>
          <t>InStock</t>
        </is>
      </c>
      <c r="S3922" t="inlineStr">
        <is>
          <t>29.06</t>
        </is>
      </c>
      <c r="T3922" t="inlineStr">
        <is>
          <t>7966205018328</t>
        </is>
      </c>
    </row>
    <row r="3923" hidden="1" ht="15.75" customHeight="1">
      <c r="A3923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3923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3923" t="inlineStr">
        <is>
          <t>Klein Tools JTH4E06 3/32-Inch Hex Key, Journeyman T-Handle, 4-Inch</t>
        </is>
      </c>
      <c r="D3923" t="inlineStr">
        <is>
          <t>Klein Tools 70575 Grip-It Hex Key Set, 9-Key, 3-3/4-Inch Handle, SAE Sizes</t>
        </is>
      </c>
      <c r="E3923" s="2">
        <f>HYPERLINK("https://www.amazon.com/Grip-Square-Klein-Tools-70575/dp/B0002RI8PK/ref=sr_1_41?keywords=Klein+Tools+JTH4E06+3%2F32-Inch+Hex+Key%2C+Journeyman+T-Handle%2C+4-Inch&amp;qid=1694735173&amp;sr=8-41", "https://www.amazon.com/Grip-Square-Klein-Tools-70575/dp/B0002RI8PK/ref=sr_1_41?keywords=Klein+Tools+JTH4E06+3%2F32-Inch+Hex+Key%2C+Journeyman+T-Handle%2C+4-Inch&amp;qid=1694735173&amp;sr=8-41")</f>
        <v/>
      </c>
      <c r="F3923" t="inlineStr">
        <is>
          <t>B0002RI8PK</t>
        </is>
      </c>
      <c r="G3923">
        <f>_xludf.IMAGE("https://edmondsonsupply.com/cdn/shop/products/jth4e06.jpg?v=1635112029")</f>
        <v/>
      </c>
      <c r="H3923">
        <f>_xludf.IMAGE("https://m.media-amazon.com/images/I/51C7aw6OxTL._AC_UL320_.jpg")</f>
        <v/>
      </c>
      <c r="K3923" t="inlineStr">
        <is>
          <t>3.99</t>
        </is>
      </c>
      <c r="L3923" t="n">
        <v>10.74</v>
      </c>
      <c r="M3923" s="1" t="inlineStr">
        <is>
          <t>169.17%</t>
        </is>
      </c>
      <c r="N3923" s="1" t="n">
        <v>14.01</v>
      </c>
      <c r="O3923" t="n">
        <v>4.4</v>
      </c>
      <c r="P3923" t="n">
        <v>65</v>
      </c>
      <c r="R3923" t="inlineStr">
        <is>
          <t>InStock</t>
        </is>
      </c>
      <c r="S3923" t="inlineStr">
        <is>
          <t>6.04</t>
        </is>
      </c>
      <c r="T3923" t="inlineStr">
        <is>
          <t>7032648794285</t>
        </is>
      </c>
    </row>
    <row r="3924" ht="87" customHeight="1">
      <c r="A3924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3924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3924" t="inlineStr">
        <is>
          <t>Diablo Tools DMAPL4020 5/32 in. x 4 in. x 6 in. Rebar Demon™ SDS-Plus 4-Cutter Full Carbide Head Hammer Bit</t>
        </is>
      </c>
      <c r="D3924" t="inlineStr">
        <is>
          <t>Diablo by Freud Diablo DMAPL4190 1/2 in. x 10 in. x 12 in. Rebar Demon SDS-Plus 4-Cutter Full Carbide Head Hammer Bit</t>
        </is>
      </c>
      <c r="E3924" s="2">
        <f>HYPERLINK("https://www.amazon.com/Diablo-Freud-DMAPL4190-SDS-Plus-4-Cutter/dp/B089LJZ25M/ref=sr_1_16?keywords=Diablo+Tools+DMAPL4020+5%2F32+in.+x+4+in.+x+6+in.+Rebar+Demon%E2%84%A2+SDS-Plus+4-Cutter+Full+Carbide+Head+Hammer+Bit&amp;qid=1694735291&amp;sr=8-16", "https://www.amazon.com/Diablo-Freud-DMAPL4190-SDS-Plus-4-Cutter/dp/B089LJZ25M/ref=sr_1_16?keywords=Diablo+Tools+DMAPL4020+5%2F32+in.+x+4+in.+x+6+in.+Rebar+Demon%E2%84%A2+SDS-Plus+4-Cutter+Full+Carbide+Head+Hammer+Bit&amp;qid=1694735291&amp;sr=8-16")</f>
        <v/>
      </c>
      <c r="F3924" t="inlineStr">
        <is>
          <t>B089LJZ25M</t>
        </is>
      </c>
      <c r="G3924">
        <f>_xlfn.IMAGE("https://edmondsonsupply.com/cdn/shop/products/DMAPL4020_1.jpg?v=1633030415")</f>
        <v/>
      </c>
      <c r="H3924">
        <f>_xlfn.IMAGE("https://m.media-amazon.com/images/I/61dzudnwI8L._AC_UL320_.jpg")</f>
        <v/>
      </c>
      <c r="K3924" t="inlineStr">
        <is>
          <t>6.47</t>
        </is>
      </c>
      <c r="L3924" t="n">
        <v>17.41</v>
      </c>
      <c r="M3924" s="1" t="inlineStr">
        <is>
          <t>169.09%</t>
        </is>
      </c>
      <c r="N3924" s="7" t="n">
        <v>13.84</v>
      </c>
      <c r="O3924" t="n">
        <v>4.6</v>
      </c>
      <c r="P3924" t="n">
        <v>43</v>
      </c>
      <c r="R3924" t="inlineStr">
        <is>
          <t>InStock</t>
        </is>
      </c>
      <c r="S3924" t="inlineStr">
        <is>
          <t>9.44</t>
        </is>
      </c>
      <c r="T3924" t="inlineStr">
        <is>
          <t>5313711046824</t>
        </is>
      </c>
    </row>
    <row r="3925" ht="87" customHeight="1">
      <c r="A3925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3925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3925" t="inlineStr">
        <is>
          <t>Diablo Tools DMAPL4010 5/32 in. x 2 in. x 4 in. Rebar Demon™ SDS-Plus 4-Cutter Full Carbide Head Hammer Bit</t>
        </is>
      </c>
      <c r="D3925" t="inlineStr">
        <is>
          <t>Diablo by Freud Diablo DMAPL4190 1/2 in. x 10 in. x 12 in. Rebar Demon SDS-Plus 4-Cutter Full Carbide Head Hammer Bit</t>
        </is>
      </c>
      <c r="E3925" s="2">
        <f>HYPERLINK("https://www.amazon.com/Diablo-Freud-DMAPL4190-SDS-Plus-4-Cutter/dp/B089LJZ25M/ref=sr_1_16?keywords=Diablo+Tools+DMAPL4010+5%2F32+in.+x+2+in.+x+4+in.+Rebar+Demon%E2%84%A2+SDS-Plus+4-Cutter+Full+Carbide+Head+Hammer+Bit&amp;qid=1694735296&amp;sr=8-16", "https://www.amazon.com/Diablo-Freud-DMAPL4190-SDS-Plus-4-Cutter/dp/B089LJZ25M/ref=sr_1_16?keywords=Diablo+Tools+DMAPL4010+5%2F32+in.+x+2+in.+x+4+in.+Rebar+Demon%E2%84%A2+SDS-Plus+4-Cutter+Full+Carbide+Head+Hammer+Bit&amp;qid=1694735296&amp;sr=8-16")</f>
        <v/>
      </c>
      <c r="F3925" t="inlineStr">
        <is>
          <t>B089LJZ25M</t>
        </is>
      </c>
      <c r="G3925">
        <f>_xlfn.IMAGE("https://edmondsonsupply.com/cdn/shop/products/DMAPL4010.jpg?v=1633030357")</f>
        <v/>
      </c>
      <c r="H3925">
        <f>_xlfn.IMAGE("https://m.media-amazon.com/images/I/61dzudnwI8L._AC_UL320_.jpg")</f>
        <v/>
      </c>
      <c r="K3925" t="inlineStr">
        <is>
          <t>6.48</t>
        </is>
      </c>
      <c r="L3925" t="n">
        <v>17.41</v>
      </c>
      <c r="M3925" s="1" t="inlineStr">
        <is>
          <t>168.67%</t>
        </is>
      </c>
      <c r="N3925" s="7" t="n">
        <v>13.84</v>
      </c>
      <c r="O3925" t="n">
        <v>4.6</v>
      </c>
      <c r="P3925" t="n">
        <v>43</v>
      </c>
      <c r="R3925" t="inlineStr">
        <is>
          <t>InStock</t>
        </is>
      </c>
      <c r="S3925" t="inlineStr">
        <is>
          <t>10.3</t>
        </is>
      </c>
      <c r="T3925" t="inlineStr">
        <is>
          <t>5286308380840</t>
        </is>
      </c>
    </row>
    <row r="3926" hidden="1" ht="15.75" customHeight="1">
      <c r="A3926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3926" s="2">
        <f>HYPERLINK("https://edmondsonsupply.com/products/greenlee-dtap10-32-drill-tap-10-32", "https://edmondsonsupply.com/products/greenlee-dtap10-32-drill-tap-10-32")</f>
        <v/>
      </c>
      <c r="C3926" t="inlineStr">
        <is>
          <t>Greenlee DTAP10-32 Drill/Tap, 10-32</t>
        </is>
      </c>
      <c r="D3926" t="inlineStr">
        <is>
          <t>Greenlee Communications DTAP10-32 10-32NC DRILL/TAP BIT</t>
        </is>
      </c>
      <c r="E3926" s="2">
        <f>HYPERLINK("https://www.amazon.com/Greenlee-Communications-DTAP10-32-10-32NC-DRILL/dp/B00DKF5BQA/ref=sr_1_3?keywords=Greenlee+DTAP10-32+Drill%2FTap%2C+10-32&amp;qid=1694735404&amp;sr=8-3", "https://www.amazon.com/Greenlee-Communications-DTAP10-32-10-32NC-DRILL/dp/B00DKF5BQA/ref=sr_1_3?keywords=Greenlee+DTAP10-32+Drill%2FTap%2C+10-32&amp;qid=1694735404&amp;sr=8-3")</f>
        <v/>
      </c>
      <c r="F3926" t="inlineStr">
        <is>
          <t>B00DKF5BQA</t>
        </is>
      </c>
      <c r="G3926">
        <f>_xludf.IMAGE("https://edmondsonsupply.com/cdn/shop/products/DTAP10-32.jpg?v=1633030188")</f>
        <v/>
      </c>
      <c r="H3926">
        <f>_xludf.IMAGE("https://m.media-amazon.com/images/I/21i5gk86i-L._AC_UL320_.jpg")</f>
        <v/>
      </c>
      <c r="K3926" t="inlineStr">
        <is>
          <t>8.99</t>
        </is>
      </c>
      <c r="L3926" t="n">
        <v>24.14</v>
      </c>
      <c r="M3926" s="1" t="inlineStr">
        <is>
          <t>168.52%</t>
        </is>
      </c>
      <c r="N3926" s="1" t="n">
        <v>13.7</v>
      </c>
      <c r="O3926" t="n">
        <v>2.7</v>
      </c>
      <c r="P3926" t="n">
        <v>3</v>
      </c>
      <c r="R3926" t="inlineStr">
        <is>
          <t>InStock</t>
        </is>
      </c>
      <c r="S3926" t="inlineStr">
        <is>
          <t>9.7</t>
        </is>
      </c>
      <c r="T3926" t="inlineStr">
        <is>
          <t>4395883298916</t>
        </is>
      </c>
    </row>
    <row r="3927" ht="87" customHeight="1">
      <c r="A3927" s="2">
        <f>HYPERLINK("https://edmondsonsupply.com/collections/electricians-tools/products/milwaukee-48-22-1501-fastback%E2%84%A2-folding-utility-knife-wire-stripper", "https://edmondsonsupply.com/collections/electricians-tools/products/milwaukee-48-22-1501-fastback%E2%84%A2-folding-utility-knife-wire-stripper")</f>
        <v/>
      </c>
      <c r="B3927" s="2">
        <f>HYPERLINK("https://edmondsonsupply.com/products/milwaukee-48-22-1501-fastback%e2%84%a2-folding-utility-knife-wire-stripper", "https://edmondsonsupply.com/products/milwaukee-48-22-1501-fastback%e2%84%a2-folding-utility-knife-wire-stripper")</f>
        <v/>
      </c>
      <c r="C3927" t="inlineStr">
        <is>
          <t>Milwaukee 48-22-1501 FASTBACK™ Folding Utility Knife - Wire Stripper</t>
        </is>
      </c>
      <c r="D3927" t="inlineStr">
        <is>
          <t>For Milwaukee Tool 48-22-1505 Fastback™ 6In1 Folding Utility Knife</t>
        </is>
      </c>
      <c r="E3927" s="2">
        <f>HYPERLINK("https://www.amazon.com/Milwaukee-48-22-1505-FastbackTM-Folding-Utility/dp/B0C69TGH9K/ref=sr_1_2?keywords=Milwaukee+48-22-1501+FASTBACK%E2%84%A2+Folding+Utility+Knife+-+Wire+Stripper&amp;qid=1694735390&amp;sr=8-2", "https://www.amazon.com/Milwaukee-48-22-1505-FastbackTM-Folding-Utility/dp/B0C69TGH9K/ref=sr_1_2?keywords=Milwaukee+48-22-1501+FASTBACK%E2%84%A2+Folding+Utility+Knife+-+Wire+Stripper&amp;qid=1694735390&amp;sr=8-2")</f>
        <v/>
      </c>
      <c r="F3927" t="inlineStr">
        <is>
          <t>B0C69TGH9K</t>
        </is>
      </c>
      <c r="G3927">
        <f>_xlfn.IMAGE("https://edmondsonsupply.com/cdn/shop/products/48-22-1501_3.png?v=1587149055")</f>
        <v/>
      </c>
      <c r="H3927">
        <f>_xlfn.IMAGE("https://m.media-amazon.com/images/I/41ZUsUsHByL._AC_UL320_.jpg")</f>
        <v/>
      </c>
      <c r="K3927" t="inlineStr">
        <is>
          <t>11.99</t>
        </is>
      </c>
      <c r="L3927" t="n">
        <v>32.19</v>
      </c>
      <c r="M3927" s="1" t="inlineStr">
        <is>
          <t>168.47%</t>
        </is>
      </c>
      <c r="N3927" s="7" t="n">
        <v>13.68</v>
      </c>
      <c r="O3927" t="n">
        <v>4.5</v>
      </c>
      <c r="P3927" t="n">
        <v>2</v>
      </c>
      <c r="R3927" t="inlineStr">
        <is>
          <t>InStock</t>
        </is>
      </c>
      <c r="S3927" t="inlineStr">
        <is>
          <t>17.7</t>
        </is>
      </c>
      <c r="T3927" t="inlineStr">
        <is>
          <t>4399146139748</t>
        </is>
      </c>
    </row>
    <row r="3928" hidden="1" ht="15.75" customHeight="1">
      <c r="A3928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3928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3928" t="inlineStr">
        <is>
          <t>Diablo Tools DMARG1030 3/16 in. x 4 in. x 6 in. SPEEDemon™ Red Granite Carbide Tipped Hammer Drill Bit</t>
        </is>
      </c>
      <c r="D3928" t="inlineStr">
        <is>
          <t>Diablo by Freud DMARG1170 5/8 in. x 4 in. x 6 in. SPEEDemon Red Granite Carbide Tipped Hammer Drill Bit</t>
        </is>
      </c>
      <c r="E3928" s="2">
        <f>HYPERLINK("https://www.amazon.com/Diablo-Freud-DMARG1170-SPEEDemon-Granite/dp/B089LHNF2T/ref=sr_1_30?keywords=Diablo+Tools+DMARG1030+3%2F16+in.+x+4+in.+x+6+in.+SPEEDemon%E2%84%A2+Red+Granite+Carbide+Tipped+Hammer+Drill+Bit&amp;qid=1694735280&amp;sr=8-30", "https://www.amazon.com/Diablo-Freud-DMARG1170-SPEEDemon-Granite/dp/B089LHNF2T/ref=sr_1_30?keywords=Diablo+Tools+DMARG1030+3%2F16+in.+x+4+in.+x+6+in.+SPEEDemon%E2%84%A2+Red+Granite+Carbide+Tipped+Hammer+Drill+Bit&amp;qid=1694735280&amp;sr=8-30")</f>
        <v/>
      </c>
      <c r="F3928" t="inlineStr">
        <is>
          <t>B089LHNF2T</t>
        </is>
      </c>
      <c r="G3928">
        <f>_xludf.IMAGE("https://edmondsonsupply.com/cdn/shop/products/DMARG1030_Main-Image20200407.png?v=1633030509")</f>
        <v/>
      </c>
      <c r="H3928">
        <f>_xludf.IMAGE("https://m.media-amazon.com/images/I/61+aCAjnkLL._AC_UL320_.jpg")</f>
        <v/>
      </c>
      <c r="K3928" t="inlineStr">
        <is>
          <t>4.47</t>
        </is>
      </c>
      <c r="L3928" t="n">
        <v>11.99</v>
      </c>
      <c r="M3928" s="1" t="inlineStr">
        <is>
          <t>168.23%</t>
        </is>
      </c>
      <c r="N3928" s="1" t="n">
        <v>13.66</v>
      </c>
      <c r="O3928" t="n">
        <v>4.6</v>
      </c>
      <c r="P3928" t="n">
        <v>14</v>
      </c>
      <c r="R3928" t="inlineStr">
        <is>
          <t>InStock</t>
        </is>
      </c>
      <c r="S3928" t="inlineStr">
        <is>
          <t>undefined</t>
        </is>
      </c>
      <c r="T3928" t="inlineStr">
        <is>
          <t>5386199629992</t>
        </is>
      </c>
    </row>
    <row r="3929" ht="87" customHeight="1">
      <c r="A3929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3929" s="2">
        <f>HYPERLINK("https://edmondsonsupply.com/products/diablo-tools-dmapl2360-9-16-in-x-6-in-x-8-in-sds-plus-2-cutter", "https://edmondsonsupply.com/products/diablo-tools-dmapl2360-9-16-in-x-6-in-x-8-in-sds-plus-2-cutter")</f>
        <v/>
      </c>
      <c r="C3929" t="inlineStr">
        <is>
          <t>Diablo Tools DMAPL2360 9/16 in. x 6 in. x 8 in. SDS-Plus 2-Cutter</t>
        </is>
      </c>
      <c r="D3929" t="inlineStr">
        <is>
          <t>Diablo by Freud DMAPL4200 1/2 in. x 16 in. x 18 in. Rebar Demon SDS-Plus 4-Cutter Full Carbide Head Hammer Bit</t>
        </is>
      </c>
      <c r="E3929" s="2">
        <f>HYPERLINK("https://www.amazon.com/Diablo-Freud-DMAPL4200-SDS-Plus-4-Cutter/dp/B089KW2QV1/ref=sr_1_30?keywords=Diablo+Tools+DMAPL2360+9%2F16+in.+x+6+in.+x+8+in.+SDS-Plus+2-Cutter&amp;qid=1694735296&amp;sr=8-30", "https://www.amazon.com/Diablo-Freud-DMAPL4200-SDS-Plus-4-Cutter/dp/B089KW2QV1/ref=sr_1_30?keywords=Diablo+Tools+DMAPL2360+9%2F16+in.+x+6+in.+x+8+in.+SDS-Plus+2-Cutter&amp;qid=1694735296&amp;sr=8-30")</f>
        <v/>
      </c>
      <c r="F3929" t="inlineStr">
        <is>
          <t>B089KW2QV1</t>
        </is>
      </c>
      <c r="G3929">
        <f>_xlfn.IMAGE("https://edmondsonsupply.com/cdn/shop/products/DMAPL2360_Main-Image20200701.png?v=1633697551")</f>
        <v/>
      </c>
      <c r="H3929">
        <f>_xlfn.IMAGE("https://m.media-amazon.com/images/I/61rW+ROVmNL._AC_UL320_.jpg")</f>
        <v/>
      </c>
      <c r="K3929" t="inlineStr">
        <is>
          <t>8.59</t>
        </is>
      </c>
      <c r="L3929" t="n">
        <v>23</v>
      </c>
      <c r="M3929" s="1" t="inlineStr">
        <is>
          <t>167.75%</t>
        </is>
      </c>
      <c r="N3929" s="7" t="n">
        <v>13.65</v>
      </c>
      <c r="O3929" t="n">
        <v>4.7</v>
      </c>
      <c r="P3929" t="n">
        <v>18</v>
      </c>
      <c r="R3929" t="inlineStr">
        <is>
          <t>InStock</t>
        </is>
      </c>
      <c r="S3929" t="inlineStr">
        <is>
          <t>9.77</t>
        </is>
      </c>
      <c r="T3929" t="inlineStr">
        <is>
          <t>5286291046568</t>
        </is>
      </c>
    </row>
    <row r="3930" ht="87" customHeight="1">
      <c r="A3930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3930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3930" t="inlineStr">
        <is>
          <t>Milwaukee 48-39-0572 18 TPI Standard Compact Portable Band Saw Blade BULK 100</t>
        </is>
      </c>
      <c r="D3930" t="inlineStr">
        <is>
          <t>Milwaukee 48-39-0572 18 TPI Sub-Compact Portable Band Saw Blade, 3 Per Pack, 3 Pack</t>
        </is>
      </c>
      <c r="E3930" s="2">
        <f>HYPERLINK("https://www.amazon.com/Milwaukee-48-39-0572-Sub-Compact-Portable-Blade/dp/B083W3GY5W/ref=sr_1_2?keywords=Milwaukee+48-39-0572+18+TPI+Standard+Compact+Portable+Band+Saw+Blade+BULK+100&amp;qid=1694735025&amp;sr=8-2", "https://www.amazon.com/Milwaukee-48-39-0572-Sub-Compact-Portable-Blade/dp/B083W3GY5W/ref=sr_1_2?keywords=Milwaukee+48-39-0572+18+TPI+Standard+Compact+Portable+Band+Saw+Blade+BULK+100&amp;qid=1694735025&amp;sr=8-2")</f>
        <v/>
      </c>
      <c r="F3930" t="inlineStr">
        <is>
          <t>B083W3GY5W</t>
        </is>
      </c>
      <c r="G3930">
        <f>_xlfn.IMAGE("https://edmondsonsupply.com/cdn/shop/products/21432_48-39-0510.jpg?v=1678901662")</f>
        <v/>
      </c>
      <c r="H3930">
        <f>_xlfn.IMAGE("https://m.media-amazon.com/images/I/71vFJYQfiQL._AC_UL320_.jpg")</f>
        <v/>
      </c>
      <c r="K3930" t="inlineStr">
        <is>
          <t>21.97</t>
        </is>
      </c>
      <c r="L3930" t="n">
        <v>58.76</v>
      </c>
      <c r="M3930" s="1" t="inlineStr">
        <is>
          <t>167.46%</t>
        </is>
      </c>
      <c r="N3930" s="7" t="n">
        <v>13.65</v>
      </c>
      <c r="O3930" t="n">
        <v>4.5</v>
      </c>
      <c r="P3930" t="n">
        <v>45</v>
      </c>
      <c r="R3930" t="inlineStr">
        <is>
          <t>InStock</t>
        </is>
      </c>
      <c r="S3930" t="inlineStr">
        <is>
          <t>27.5</t>
        </is>
      </c>
      <c r="T3930" t="inlineStr">
        <is>
          <t>7962068549848</t>
        </is>
      </c>
    </row>
    <row r="3931" ht="87" customHeight="1">
      <c r="A3931" s="2">
        <f>HYPERLINK("https://edmondsonsupply.com/collections/electricians-tools/products/klein-tools-1011-wire-stripper-cutter-10-20-12-22-awg", "https://edmondsonsupply.com/collections/electricians-tools/products/klein-tools-1011-wire-stripper-cutter-10-20-12-22-awg")</f>
        <v/>
      </c>
      <c r="B3931" s="2">
        <f>HYPERLINK("https://edmondsonsupply.com/products/klein-tools-1011-wire-stripper-cutter-10-20-12-22-awg", "https://edmondsonsupply.com/products/klein-tools-1011-wire-stripper-cutter-10-20-12-22-awg")</f>
        <v/>
      </c>
      <c r="C3931" t="inlineStr">
        <is>
          <t>Klein Tools 1011 Wire Stripper/Cutter 10-20 Solid, 12-22 AWG Stranded</t>
        </is>
      </c>
      <c r="D3931" t="inlineStr">
        <is>
          <t>Klein Tools 2005N Wire Cutter, Stripper, Crimper Tool, Strips 10-18 AWG Stranded, Crimps 10-22 AWG Terminals, with Shear Cutter Red</t>
        </is>
      </c>
      <c r="E3931" s="2">
        <f>HYPERLINK("https://www.amazon.com/Klein-Tools-2005N-Crimper-Stripper/dp/B07WTRVZ18/ref=sr_1_18?keywords=Klein+Tools+1011+Wire+Stripper%2FCutter+10-20+Solid%2C+12-22+AWG+Stranded&amp;qid=1694735342&amp;sr=8-18", "https://www.amazon.com/Klein-Tools-2005N-Crimper-Stripper/dp/B07WTRVZ18/ref=sr_1_18?keywords=Klein+Tools+1011+Wire+Stripper%2FCutter+10-20+Solid%2C+12-22+AWG+Stranded&amp;qid=1694735342&amp;sr=8-18")</f>
        <v/>
      </c>
      <c r="F3931" t="inlineStr">
        <is>
          <t>B07WTRVZ18</t>
        </is>
      </c>
      <c r="G3931">
        <f>_xlfn.IMAGE("https://edmondsonsupply.com/cdn/shop/products/1011.jpg?v=1587146937")</f>
        <v/>
      </c>
      <c r="H3931">
        <f>_xlfn.IMAGE("https://m.media-amazon.com/images/I/51HDCyutY4L._AC_UL320_.jpg")</f>
        <v/>
      </c>
      <c r="K3931" t="inlineStr">
        <is>
          <t>14.97</t>
        </is>
      </c>
      <c r="L3931" t="n">
        <v>39.97</v>
      </c>
      <c r="M3931" s="1" t="inlineStr">
        <is>
          <t>167.00%</t>
        </is>
      </c>
      <c r="N3931" s="7" t="n">
        <v>13.64</v>
      </c>
      <c r="O3931" t="n">
        <v>4.8</v>
      </c>
      <c r="P3931" t="n">
        <v>1009</v>
      </c>
      <c r="R3931" t="inlineStr">
        <is>
          <t>InStock</t>
        </is>
      </c>
      <c r="S3931" t="inlineStr">
        <is>
          <t>19.92</t>
        </is>
      </c>
      <c r="T3931" t="inlineStr">
        <is>
          <t>4505307414628</t>
        </is>
      </c>
    </row>
    <row r="3932" ht="87" customHeight="1">
      <c r="A3932" s="2">
        <f>HYPERLINK("https://edmondsonsupply.com/collections/electricians-tools/products/klein-tools-1011-wire-stripper-cutter-10-20-12-22-awg", "https://edmondsonsupply.com/collections/electricians-tools/products/klein-tools-1011-wire-stripper-cutter-10-20-12-22-awg")</f>
        <v/>
      </c>
      <c r="B3932" s="2">
        <f>HYPERLINK("https://edmondsonsupply.com/products/klein-tools-1011-wire-stripper-cutter-10-20-12-22-awg", "https://edmondsonsupply.com/products/klein-tools-1011-wire-stripper-cutter-10-20-12-22-awg")</f>
        <v/>
      </c>
      <c r="C3932" t="inlineStr">
        <is>
          <t>Klein Tools 1011 Wire Stripper/Cutter 10-20 Solid, 12-22 AWG Stranded</t>
        </is>
      </c>
      <c r="D3932" t="inlineStr">
        <is>
          <t>Klein Tools K12065CR Wire Stripper / Cutter / Crimper Tool for Cutting, Stripping, Crimping, Twisting (8-18 AWG solid, 10-20 AWG stranded)</t>
        </is>
      </c>
      <c r="E3932" s="2">
        <f>HYPERLINK("https://www.amazon.com/Heavy-Stripper-Cutter-Crimper-Multi/dp/B08BX9RTPX/ref=sr_1_8?keywords=Klein+Tools+1011+Wire+Stripper%2FCutter+10-20+Solid%2C+12-22+AWG+Stranded&amp;qid=1694735342&amp;sr=8-8", "https://www.amazon.com/Heavy-Stripper-Cutter-Crimper-Multi/dp/B08BX9RTPX/ref=sr_1_8?keywords=Klein+Tools+1011+Wire+Stripper%2FCutter+10-20+Solid%2C+12-22+AWG+Stranded&amp;qid=1694735342&amp;sr=8-8")</f>
        <v/>
      </c>
      <c r="F3932" t="inlineStr">
        <is>
          <t>B08BX9RTPX</t>
        </is>
      </c>
      <c r="G3932">
        <f>_xlfn.IMAGE("https://edmondsonsupply.com/cdn/shop/products/1011.jpg?v=1587146937")</f>
        <v/>
      </c>
      <c r="H3932">
        <f>_xlfn.IMAGE("https://m.media-amazon.com/images/I/51Oylu1vHoL._AC_UL320_.jpg")</f>
        <v/>
      </c>
      <c r="K3932" t="inlineStr">
        <is>
          <t>14.97</t>
        </is>
      </c>
      <c r="L3932" t="n">
        <v>39.97</v>
      </c>
      <c r="M3932" s="1" t="inlineStr">
        <is>
          <t>167.00%</t>
        </is>
      </c>
      <c r="N3932" s="7" t="n">
        <v>13.57</v>
      </c>
      <c r="O3932" t="n">
        <v>4.7</v>
      </c>
      <c r="P3932" t="n">
        <v>723</v>
      </c>
      <c r="R3932" t="inlineStr">
        <is>
          <t>InStock</t>
        </is>
      </c>
      <c r="S3932" t="inlineStr">
        <is>
          <t>19.92</t>
        </is>
      </c>
      <c r="T3932" t="inlineStr">
        <is>
          <t>4505307414628</t>
        </is>
      </c>
    </row>
    <row r="3933" hidden="1" ht="15.75" customHeight="1">
      <c r="A3933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3933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3933" t="inlineStr">
        <is>
          <t>Diablo Tools DMAPL4110 5/16 in. x 4 in. x 6 in. Rebar Demon™ SDS‑Plus 4‑Cutter Full Carbide Head Hammer Bit</t>
        </is>
      </c>
      <c r="D3933" t="inlineStr">
        <is>
          <t>Diablo DMAPL4055 3/16 in. x 10 in. x 12 in. Rebar Demon™ SDS-Plus 4-Cutter Full Carbide Head Hammer Bit</t>
        </is>
      </c>
      <c r="E3933" s="2" t="n"/>
      <c r="F3933" t="inlineStr">
        <is>
          <t>B089LJCD42</t>
        </is>
      </c>
      <c r="G3933">
        <f>_xludf.IMAGE("https://edmondsonsupply.com/cdn/shop/products/DMAPL4110_Main-Image20200701.png?v=1633030426")</f>
        <v/>
      </c>
      <c r="H3933">
        <f>_xludf.IMAGE("https://m.media-amazon.com/images/I/61cDOAhkb4L._AC_UL320_.jpg")</f>
        <v/>
      </c>
      <c r="K3933" t="inlineStr">
        <is>
          <t>5.97</t>
        </is>
      </c>
      <c r="L3933" t="n">
        <v>15.93</v>
      </c>
      <c r="M3933" s="1" t="inlineStr">
        <is>
          <t>166.83%</t>
        </is>
      </c>
      <c r="N3933" s="1" t="n">
        <v>13.44</v>
      </c>
      <c r="O3933" t="n">
        <v>2</v>
      </c>
      <c r="P3933" t="n">
        <v>1</v>
      </c>
      <c r="R3933" t="inlineStr">
        <is>
          <t>InStock</t>
        </is>
      </c>
      <c r="S3933" t="inlineStr">
        <is>
          <t>8.44</t>
        </is>
      </c>
      <c r="T3933" t="inlineStr">
        <is>
          <t>5326873100456</t>
        </is>
      </c>
    </row>
    <row r="3934" ht="87" customHeight="1">
      <c r="A3934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3934" s="2">
        <f>HYPERLINK("https://edmondsonsupply.com/products/klein-tools-32900-7-in-1-impact-flip-socket-with-handle", "https://edmondsonsupply.com/products/klein-tools-32900-7-in-1-impact-flip-socket-with-handle")</f>
        <v/>
      </c>
      <c r="C3934" t="inlineStr">
        <is>
          <t>Klein Tools 32900 7-in-1 Impact Flip Socket with Handle</t>
        </is>
      </c>
      <c r="D3934" t="inlineStr">
        <is>
          <t>Klein Tools 80019 Tool Set, 28 Different Industrial Strength Bits and Sizes, 4-Piece &amp; 32900 Impact Driver, 7-in-1 Impact Flip Socket Set with Handle, 6 Hex Driver Sizes plus a 1/4-Inch Bit Holder</t>
        </is>
      </c>
      <c r="E3934" s="2">
        <f>HYPERLINK("https://www.amazon.com/Klein-Tools-Different-Industrial-Strength/dp/B0BRMLCCLG/ref=sr_1_15?keywords=Klein+Tools+32900+7-in-1+Impact+Flip+Socket+with+Handle&amp;qid=1694735103&amp;sr=8-15", "https://www.amazon.com/Klein-Tools-Different-Industrial-Strength/dp/B0BRMLCCLG/ref=sr_1_15?keywords=Klein+Tools+32900+7-in-1+Impact+Flip+Socket+with+Handle&amp;qid=1694735103&amp;sr=8-15")</f>
        <v/>
      </c>
      <c r="F3934" t="inlineStr">
        <is>
          <t>B0BRMLCCLG</t>
        </is>
      </c>
      <c r="G3934">
        <f>_xlfn.IMAGE("https://edmondsonsupply.com/cdn/shop/products/32900_b.jpg?v=1666024787")</f>
        <v/>
      </c>
      <c r="H3934">
        <f>_xlfn.IMAGE("https://m.media-amazon.com/images/I/51P68yAbyEL._AC_UL320_.jpg")</f>
        <v/>
      </c>
      <c r="K3934" t="inlineStr">
        <is>
          <t>29.97</t>
        </is>
      </c>
      <c r="L3934" t="n">
        <v>79.95999999999999</v>
      </c>
      <c r="M3934" s="1" t="inlineStr">
        <is>
          <t>166.80%</t>
        </is>
      </c>
      <c r="N3934" s="7" t="n">
        <v>13.42</v>
      </c>
      <c r="O3934" t="n">
        <v>5</v>
      </c>
      <c r="P3934" t="n">
        <v>8</v>
      </c>
      <c r="R3934" t="inlineStr">
        <is>
          <t>InStock</t>
        </is>
      </c>
      <c r="S3934" t="inlineStr">
        <is>
          <t>45.0</t>
        </is>
      </c>
      <c r="T3934" t="inlineStr">
        <is>
          <t>7856651239640</t>
        </is>
      </c>
    </row>
    <row r="3935" ht="87" customHeight="1">
      <c r="A3935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3935" s="2">
        <f>HYPERLINK("https://edmondsonsupply.com/products/klein-tools-32900-7-in-1-impact-flip-socket-with-handle", "https://edmondsonsupply.com/products/klein-tools-32900-7-in-1-impact-flip-socket-with-handle")</f>
        <v/>
      </c>
      <c r="C3935" t="inlineStr">
        <is>
          <t>Klein Tools 32900 7-in-1 Impact Flip Socket with Handle</t>
        </is>
      </c>
      <c r="D3935" t="inlineStr">
        <is>
          <t>Klein Tools 32288 Insulated Screwdriver, 8-in-1 Screwdriver Set &amp; 32900 Impact Driver, 7-in-1 Impact Flip Socket Set with Handle, 6 Hex Driver Sizes plus a 1/4-Inch Bit Holder</t>
        </is>
      </c>
      <c r="E3935" s="2">
        <f>HYPERLINK("https://www.amazon.com/Klein-Tools-Insulated-Screwdriver-Impact/dp/B0BK4LCT3J/ref=sr_1_29?keywords=Klein+Tools+32900+7-in-1+Impact+Flip+Socket+with+Handle&amp;qid=1694735103&amp;sr=8-29", "https://www.amazon.com/Klein-Tools-Insulated-Screwdriver-Impact/dp/B0BK4LCT3J/ref=sr_1_29?keywords=Klein+Tools+32900+7-in-1+Impact+Flip+Socket+with+Handle&amp;qid=1694735103&amp;sr=8-29")</f>
        <v/>
      </c>
      <c r="F3935" t="inlineStr">
        <is>
          <t>B0BK4LCT3J</t>
        </is>
      </c>
      <c r="G3935">
        <f>_xlfn.IMAGE("https://edmondsonsupply.com/cdn/shop/products/32900_b.jpg?v=1666024787")</f>
        <v/>
      </c>
      <c r="H3935">
        <f>_xlfn.IMAGE("https://m.media-amazon.com/images/I/51whjRly5bL._AC_UL320_.jpg")</f>
        <v/>
      </c>
      <c r="K3935" t="inlineStr">
        <is>
          <t>29.97</t>
        </is>
      </c>
      <c r="L3935" t="n">
        <v>79.95999999999999</v>
      </c>
      <c r="M3935" s="1" t="inlineStr">
        <is>
          <t>166.80%</t>
        </is>
      </c>
      <c r="N3935" s="7" t="n">
        <v>13.41</v>
      </c>
      <c r="O3935" t="n">
        <v>5</v>
      </c>
      <c r="P3935" t="n">
        <v>4</v>
      </c>
      <c r="R3935" t="inlineStr">
        <is>
          <t>InStock</t>
        </is>
      </c>
      <c r="S3935" t="inlineStr">
        <is>
          <t>45.0</t>
        </is>
      </c>
      <c r="T3935" t="inlineStr">
        <is>
          <t>7856651239640</t>
        </is>
      </c>
    </row>
    <row r="3936" ht="87" customHeight="1">
      <c r="A3936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3936" s="2">
        <f>HYPERLINK("https://edmondsonsupply.com/products/klein-tools-32900-7-in-1-impact-flip-socket-with-handle", "https://edmondsonsupply.com/products/klein-tools-32900-7-in-1-impact-flip-socket-with-handle")</f>
        <v/>
      </c>
      <c r="C3936" t="inlineStr">
        <is>
          <t>Klein Tools 32900 7-in-1 Impact Flip Socket with Handle</t>
        </is>
      </c>
      <c r="D3936" t="inlineStr">
        <is>
          <t>Klein Tools 85146 Screwdriver Set with Magnetizer/Demagnetizer for Magnetic Tips 3 Slotted &amp; 32900 Impact Driver, 7-in-1 Impact Flip Socket Set with Handle</t>
        </is>
      </c>
      <c r="E3936" s="2">
        <f>HYPERLINK("https://www.amazon.com/Klein-Tools-Screwdriver-Magnetizer-Demagnetizer/dp/B0CB12D8PX/ref=sr_1_6?keywords=Klein+Tools+32900+7-in-1+Impact+Flip+Socket+with+Handle&amp;qid=1694735103&amp;sr=8-6", "https://www.amazon.com/Klein-Tools-Screwdriver-Magnetizer-Demagnetizer/dp/B0CB12D8PX/ref=sr_1_6?keywords=Klein+Tools+32900+7-in-1+Impact+Flip+Socket+with+Handle&amp;qid=1694735103&amp;sr=8-6")</f>
        <v/>
      </c>
      <c r="F3936" t="inlineStr">
        <is>
          <t>B0CB12D8PX</t>
        </is>
      </c>
      <c r="G3936">
        <f>_xlfn.IMAGE("https://edmondsonsupply.com/cdn/shop/products/32900_b.jpg?v=1666024787")</f>
        <v/>
      </c>
      <c r="H3936">
        <f>_xlfn.IMAGE("https://m.media-amazon.com/images/I/51hJWLD+lXL._AC_UL320_.jpg")</f>
        <v/>
      </c>
      <c r="K3936" t="inlineStr">
        <is>
          <t>29.97</t>
        </is>
      </c>
      <c r="L3936" t="n">
        <v>79.95999999999999</v>
      </c>
      <c r="M3936" s="1" t="inlineStr">
        <is>
          <t>166.80%</t>
        </is>
      </c>
      <c r="N3936" s="7" t="n">
        <v>13.41</v>
      </c>
      <c r="O3936" t="n">
        <v>5</v>
      </c>
      <c r="P3936" t="n">
        <v>1</v>
      </c>
      <c r="R3936" t="inlineStr">
        <is>
          <t>InStock</t>
        </is>
      </c>
      <c r="S3936" t="inlineStr">
        <is>
          <t>45.0</t>
        </is>
      </c>
      <c r="T3936" t="inlineStr">
        <is>
          <t>7856651239640</t>
        </is>
      </c>
    </row>
    <row r="3937" ht="87" customHeight="1">
      <c r="A3937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3937" s="2">
        <f>HYPERLINK("https://edmondsonsupply.com/products/klein-tools-1011m-metric-wire-stripper-cutter-stranded-wire", "https://edmondsonsupply.com/products/klein-tools-1011m-metric-wire-stripper-cutter-stranded-wire")</f>
        <v/>
      </c>
      <c r="C3937" t="inlineStr">
        <is>
          <t>Klein Tools 1011M Metric Wire Stripper/Cutter Stranded Wire</t>
        </is>
      </c>
      <c r="D3937" t="inlineStr">
        <is>
          <t>Klein Tools K12065CR Wire Stripper / Cutter / Crimper Tool for Cutting, Stripping, Crimping, Twisting (8-18 AWG solid, 10-20 AWG stranded)</t>
        </is>
      </c>
      <c r="E3937" s="2">
        <f>HYPERLINK("https://www.amazon.com/Heavy-Stripper-Cutter-Crimper-Multi/dp/B08BX9RTPX/ref=sr_1_11?keywords=Klein+Tools+1011M+Metric+Wire+Stripper%2FCutter+Stranded+Wire&amp;qid=1694735312&amp;sr=8-11", "https://www.amazon.com/Heavy-Stripper-Cutter-Crimper-Multi/dp/B08BX9RTPX/ref=sr_1_11?keywords=Klein+Tools+1011M+Metric+Wire+Stripper%2FCutter+Stranded+Wire&amp;qid=1694735312&amp;sr=8-11")</f>
        <v/>
      </c>
      <c r="F3937" t="inlineStr">
        <is>
          <t>B08BX9RTPX</t>
        </is>
      </c>
      <c r="G3937">
        <f>_xlfn.IMAGE("https://edmondsonsupply.com/cdn/shop/products/1011m.jpg?v=1633030273")</f>
        <v/>
      </c>
      <c r="H3937">
        <f>_xlfn.IMAGE("https://m.media-amazon.com/images/I/51Oylu1vHoL._AC_UL320_.jpg")</f>
        <v/>
      </c>
      <c r="K3937" t="inlineStr">
        <is>
          <t>14.99</t>
        </is>
      </c>
      <c r="L3937" t="n">
        <v>39.97</v>
      </c>
      <c r="M3937" s="1" t="inlineStr">
        <is>
          <t>166.64%</t>
        </is>
      </c>
      <c r="N3937" s="7" t="n">
        <v>13.36</v>
      </c>
      <c r="O3937" t="n">
        <v>4.7</v>
      </c>
      <c r="P3937" t="n">
        <v>723</v>
      </c>
      <c r="R3937" t="inlineStr">
        <is>
          <t>InStock</t>
        </is>
      </c>
      <c r="S3937" t="inlineStr">
        <is>
          <t>22.72</t>
        </is>
      </c>
      <c r="T3937" t="inlineStr">
        <is>
          <t>5237017772200</t>
        </is>
      </c>
    </row>
    <row r="3938" ht="87" customHeight="1">
      <c r="A3938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3938" s="2">
        <f>HYPERLINK("https://edmondsonsupply.com/products/klein-tools-1011m-metric-wire-stripper-cutter-stranded-wire", "https://edmondsonsupply.com/products/klein-tools-1011m-metric-wire-stripper-cutter-stranded-wire")</f>
        <v/>
      </c>
      <c r="C3938" t="inlineStr">
        <is>
          <t>Klein Tools 1011M Metric Wire Stripper/Cutter Stranded Wire</t>
        </is>
      </c>
      <c r="D3938" t="inlineStr">
        <is>
          <t>Klein Tools 2005N Wire Cutter, Stripper, Crimper Tool, Strips 10-18 AWG Stranded, Crimps 10-22 AWG Terminals, with Shear Cutter Red</t>
        </is>
      </c>
      <c r="E3938" s="2">
        <f>HYPERLINK("https://www.amazon.com/Klein-Tools-2005N-Crimper-Stripper/dp/B07WTRVZ18/ref=sr_1_14?keywords=Klein+Tools+1011M+Metric+Wire+Stripper%2FCutter+Stranded+Wire&amp;qid=1694735312&amp;sr=8-14", "https://www.amazon.com/Klein-Tools-2005N-Crimper-Stripper/dp/B07WTRVZ18/ref=sr_1_14?keywords=Klein+Tools+1011M+Metric+Wire+Stripper%2FCutter+Stranded+Wire&amp;qid=1694735312&amp;sr=8-14")</f>
        <v/>
      </c>
      <c r="F3938" t="inlineStr">
        <is>
          <t>B07WTRVZ18</t>
        </is>
      </c>
      <c r="G3938">
        <f>_xlfn.IMAGE("https://edmondsonsupply.com/cdn/shop/products/1011m.jpg?v=1633030273")</f>
        <v/>
      </c>
      <c r="H3938">
        <f>_xlfn.IMAGE("https://m.media-amazon.com/images/I/51HDCyutY4L._AC_UL320_.jpg")</f>
        <v/>
      </c>
      <c r="K3938" t="inlineStr">
        <is>
          <t>14.99</t>
        </is>
      </c>
      <c r="L3938" t="n">
        <v>39.97</v>
      </c>
      <c r="M3938" s="1" t="inlineStr">
        <is>
          <t>166.64%</t>
        </is>
      </c>
      <c r="N3938" s="7" t="n">
        <v>13.31</v>
      </c>
      <c r="O3938" t="n">
        <v>4.8</v>
      </c>
      <c r="P3938" t="n">
        <v>1009</v>
      </c>
      <c r="R3938" t="inlineStr">
        <is>
          <t>InStock</t>
        </is>
      </c>
      <c r="S3938" t="inlineStr">
        <is>
          <t>22.72</t>
        </is>
      </c>
      <c r="T3938" t="inlineStr">
        <is>
          <t>5237017772200</t>
        </is>
      </c>
    </row>
    <row r="3939" ht="87" customHeight="1">
      <c r="A3939" s="2">
        <f>HYPERLINK("https://edmondsonsupply.com/collections/electricians-tools/products/greenlee-dtap6-32-drill-tap-6-32", "https://edmondsonsupply.com/collections/electricians-tools/products/greenlee-dtap6-32-drill-tap-6-32")</f>
        <v/>
      </c>
      <c r="B3939" s="2">
        <f>HYPERLINK("https://edmondsonsupply.com/products/greenlee-dtap6-32-drill-tap-6-32", "https://edmondsonsupply.com/products/greenlee-dtap6-32-drill-tap-6-32")</f>
        <v/>
      </c>
      <c r="C3939" t="inlineStr">
        <is>
          <t>Greenlee DTAP6-32 Drill/Tap, 6-32</t>
        </is>
      </c>
      <c r="D3939" t="inlineStr">
        <is>
          <t>Stainless Steel Drill/Tap, 6-32 (Pop)</t>
        </is>
      </c>
      <c r="E3939" s="2">
        <f>HYPERLINK("https://www.amazon.com/Stainless-Steel-Drill-Tap-6-32/dp/B07ZDRW6ZH/ref=sr_1_27?keywords=Greenlee+DTAP6-32+Drill%2FTap%2C+6-32&amp;qid=1694735395&amp;sr=8-27", "https://www.amazon.com/Stainless-Steel-Drill-Tap-6-32/dp/B07ZDRW6ZH/ref=sr_1_27?keywords=Greenlee+DTAP6-32+Drill%2FTap%2C+6-32&amp;qid=1694735395&amp;sr=8-27")</f>
        <v/>
      </c>
      <c r="F3939" t="inlineStr">
        <is>
          <t>B07ZDRW6ZH</t>
        </is>
      </c>
      <c r="G3939">
        <f>_xlfn.IMAGE("https://edmondsonsupply.com/cdn/shop/products/6-32.jpg?v=1587149860")</f>
        <v/>
      </c>
      <c r="H3939">
        <f>_xlfn.IMAGE("https://m.media-amazon.com/images/I/41stwN4M5TL._AC_UL320_.jpg")</f>
        <v/>
      </c>
      <c r="K3939" t="inlineStr">
        <is>
          <t>8.99</t>
        </is>
      </c>
      <c r="L3939" t="n">
        <v>23.97</v>
      </c>
      <c r="M3939" s="1" t="inlineStr">
        <is>
          <t>166.63%</t>
        </is>
      </c>
      <c r="N3939" s="7" t="n">
        <v>13.12</v>
      </c>
      <c r="O3939" t="n">
        <v>5</v>
      </c>
      <c r="P3939" t="n">
        <v>1</v>
      </c>
      <c r="R3939" t="inlineStr">
        <is>
          <t>OutOfStock</t>
        </is>
      </c>
      <c r="S3939" t="inlineStr">
        <is>
          <t>9.7</t>
        </is>
      </c>
      <c r="T3939" t="inlineStr">
        <is>
          <t>4395858395236</t>
        </is>
      </c>
    </row>
    <row r="3940" ht="87" customHeight="1">
      <c r="A3940" s="2">
        <f>HYPERLINK("https://edmondsonsupply.com/collections/electricians-tools/products/klein-tools-11055glw-high-visibility-klein-kurve%C2%AE-wire-stripper-cutter", "https://edmondsonsupply.com/collections/electricians-tools/products/klein-tools-11055glw-high-visibility-klein-kurve%C2%AE-wire-stripper-cutter")</f>
        <v/>
      </c>
      <c r="B3940" s="2">
        <f>HYPERLINK("https://edmondsonsupply.com/products/klein-tools-11055glw-high-visibility-klein-kurve%c2%ae-wire-stripper-cutter", "https://edmondsonsupply.com/products/klein-tools-11055glw-high-visibility-klein-kurve%c2%ae-wire-stripper-cutter")</f>
        <v/>
      </c>
      <c r="C3940" t="inlineStr">
        <is>
          <t>Klein Tools 11055GLW High-Visibility Klein-Kurve® Wire Stripper / Cutter</t>
        </is>
      </c>
      <c r="D3940" t="inlineStr">
        <is>
          <t>Klein Tools D20009NEGLW Side Cutter Linemans Pliers Cut ACSR, Screws, Nails, Hard Wire, 9-In Hi-Viz Pliers &amp; 11055GLW Wire Stripper/Cutter, Klein-Kurve Stripper/Cutter</t>
        </is>
      </c>
      <c r="E3940" s="2">
        <f>HYPERLINK("https://www.amazon.com/Klein-Tools-D20009NEGLW-Linemans-Klein-Kurve/dp/B0BGPSCC3Z/ref=sr_1_10?keywords=Klein+Tools+11055GLW+High-Visibility+Klein-Kurve%C2%AE+Wire+Stripper+%2F+Cutter&amp;qid=1694735109&amp;sr=8-10", "https://www.amazon.com/Klein-Tools-D20009NEGLW-Linemans-Klein-Kurve/dp/B0BGPSCC3Z/ref=sr_1_10?keywords=Klein+Tools+11055GLW+High-Visibility+Klein-Kurve%C2%AE+Wire+Stripper+%2F+Cutter&amp;qid=1694735109&amp;sr=8-10")</f>
        <v/>
      </c>
      <c r="F3940" t="inlineStr">
        <is>
          <t>B0BGPSCC3Z</t>
        </is>
      </c>
      <c r="G3940">
        <f>_xlfn.IMAGE("https://edmondsonsupply.com/cdn/shop/products/11055glw.jpg?v=1664801193")</f>
        <v/>
      </c>
      <c r="H3940">
        <f>_xlfn.IMAGE("https://m.media-amazon.com/images/I/41xblpfINKL._AC_UL320_.jpg")</f>
        <v/>
      </c>
      <c r="K3940" t="inlineStr">
        <is>
          <t>26.99</t>
        </is>
      </c>
      <c r="L3940" t="n">
        <v>71.95999999999999</v>
      </c>
      <c r="M3940" s="1" t="inlineStr">
        <is>
          <t>166.62%</t>
        </is>
      </c>
      <c r="N3940" s="7" t="n">
        <v>13.07</v>
      </c>
      <c r="O3940" t="n">
        <v>5</v>
      </c>
      <c r="P3940" t="n">
        <v>1</v>
      </c>
      <c r="R3940" t="inlineStr">
        <is>
          <t>InStock</t>
        </is>
      </c>
      <c r="S3940" t="inlineStr">
        <is>
          <t>39.3</t>
        </is>
      </c>
      <c r="T3940" t="inlineStr">
        <is>
          <t>7837508337880</t>
        </is>
      </c>
    </row>
    <row r="3941" ht="87" customHeight="1">
      <c r="A3941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3941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3941" t="inlineStr">
        <is>
          <t>Diablo Tools DMARG1150 1/2 in. x 4 in. x 6 in. SPEEDemon™ Red Granite Carbide Tipped Hammer Drill Bit</t>
        </is>
      </c>
      <c r="D3941" t="inlineStr">
        <is>
          <t>Diablo 1 in. x 10" x 12" SPEEDemon™ Red Granite Carbide Tipped Hammer Drill Bit</t>
        </is>
      </c>
      <c r="E3941" s="2">
        <f>HYPERLINK("https://www.amazon.com/Diablo-Freud-DMARG1210-SPEEDemon-Granite/dp/B089KW1B5V/ref=sr_1_15?keywords=Diablo+Tools+DMARG1150+1%2F2+in.+x+4+in.+x+6+in.+SPEEDemon%E2%84%A2+Red+Granite+Carbide+Tipped+Hammer+Drill+Bit&amp;qid=1694735282&amp;sr=8-15", "https://www.amazon.com/Diablo-Freud-DMARG1210-SPEEDemon-Granite/dp/B089KW1B5V/ref=sr_1_15?keywords=Diablo+Tools+DMARG1150+1%2F2+in.+x+4+in.+x+6+in.+SPEEDemon%E2%84%A2+Red+Granite+Carbide+Tipped+Hammer+Drill+Bit&amp;qid=1694735282&amp;sr=8-15")</f>
        <v/>
      </c>
      <c r="F3941" t="inlineStr">
        <is>
          <t>B089KW1B5V</t>
        </is>
      </c>
      <c r="G3941">
        <f>_xlfn.IMAGE("https://edmondsonsupply.com/cdn/shop/products/DMARG1150_Main-Image20200702.png?v=1633030510")</f>
        <v/>
      </c>
      <c r="H3941">
        <f>_xlfn.IMAGE("https://m.media-amazon.com/images/I/61+EqrM-43L._AC_UL320_.jpg")</f>
        <v/>
      </c>
      <c r="K3941" t="inlineStr">
        <is>
          <t>9.97</t>
        </is>
      </c>
      <c r="L3941" t="n">
        <v>26.49</v>
      </c>
      <c r="M3941" s="1" t="inlineStr">
        <is>
          <t>165.70%</t>
        </is>
      </c>
      <c r="N3941" s="7" t="n">
        <v>13.06</v>
      </c>
      <c r="O3941" t="n">
        <v>4.7</v>
      </c>
      <c r="P3941" t="n">
        <v>31</v>
      </c>
      <c r="R3941" t="inlineStr">
        <is>
          <t>InStock</t>
        </is>
      </c>
      <c r="S3941" t="inlineStr">
        <is>
          <t>undefined</t>
        </is>
      </c>
      <c r="T3941" t="inlineStr">
        <is>
          <t>5386513907880</t>
        </is>
      </c>
    </row>
    <row r="3942" ht="87" customHeight="1">
      <c r="A3942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3942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3942" t="inlineStr">
        <is>
          <t>Klein Tools 32768 3-in-1 Impact Flip Socket Set, 1/4-Inch, 5/16-Inch, 2-Piece</t>
        </is>
      </c>
      <c r="D3942" t="inlineStr">
        <is>
          <t>Klein Tools 32304 Screwdriver &amp; 32768 Impact Driver, 3-in-1 Impact Flip Socket and Bit Holder, 1/4 and 5/16-Inch Hex Drivers, 3 and 5-Inch Lengths, 2-Piece Set</t>
        </is>
      </c>
      <c r="E3942" s="2">
        <f>HYPERLINK("https://www.amazon.com/Klein-Tools-Screwdriver-16-Inch-Drivers/dp/B0C4H7N4GS/ref=sr_1_4?keywords=Klein+Tools+32768+3-in-1+Impact+Flip+Socket+Set%2C+1%2F4-Inch%2C+5%2F16-Inch%2C+2-Piece&amp;qid=1694735099&amp;sr=8-4", "https://www.amazon.com/Klein-Tools-Screwdriver-16-Inch-Drivers/dp/B0C4H7N4GS/ref=sr_1_4?keywords=Klein+Tools+32768+3-in-1+Impact+Flip+Socket+Set%2C+1%2F4-Inch%2C+5%2F16-Inch%2C+2-Piece&amp;qid=1694735099&amp;sr=8-4")</f>
        <v/>
      </c>
      <c r="F3942" t="inlineStr">
        <is>
          <t>B0C4H7N4GS</t>
        </is>
      </c>
      <c r="G3942">
        <f>_xlfn.IMAGE("https://edmondsonsupply.com/cdn/shop/products/32768.jpg?v=1666022946")</f>
        <v/>
      </c>
      <c r="H3942">
        <f>_xlfn.IMAGE("https://m.media-amazon.com/images/I/41GpUvTL7xL._AC_UL320_.jpg")</f>
        <v/>
      </c>
      <c r="K3942" t="inlineStr">
        <is>
          <t>14.97</t>
        </is>
      </c>
      <c r="L3942" t="n">
        <v>39.76</v>
      </c>
      <c r="M3942" s="1" t="inlineStr">
        <is>
          <t>165.60%</t>
        </is>
      </c>
      <c r="N3942" s="7" t="n">
        <v>12.99</v>
      </c>
      <c r="O3942" t="n">
        <v>5</v>
      </c>
      <c r="P3942" t="n">
        <v>1</v>
      </c>
      <c r="R3942" t="inlineStr">
        <is>
          <t>InStock</t>
        </is>
      </c>
      <c r="S3942" t="inlineStr">
        <is>
          <t>21.98</t>
        </is>
      </c>
      <c r="T3942" t="inlineStr">
        <is>
          <t>7856621977816</t>
        </is>
      </c>
    </row>
    <row r="3943" ht="87" customHeight="1">
      <c r="A3943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3943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3943" t="inlineStr">
        <is>
          <t>Klein Tools 646M Magnetic Nut Driver Set, 6-Inch Shafts, 2-Piece</t>
        </is>
      </c>
      <c r="D3943" t="inlineStr">
        <is>
          <t>Klein Tools 89904 Tool Set, Nut Drivers Sizes 3/16, 1/4, 5/16, 11/32, 3/8, 7/16, 1/2-Inch, 6-Inch Shafts, 7-Piece</t>
        </is>
      </c>
      <c r="E3943" s="2">
        <f>HYPERLINK("https://www.amazon.com/Klein-Tools-Nut-Driver-89904/dp/B000MB1JMU/ref=sr_1_46?keywords=Klein+Tools+646M+Magnetic+Nut+Driver+Set%2C+6-Inch+Shafts%2C+2-Piece&amp;qid=1694735354&amp;sr=8-46", "https://www.amazon.com/Klein-Tools-Nut-Driver-89904/dp/B000MB1JMU/ref=sr_1_46?keywords=Klein+Tools+646M+Magnetic+Nut+Driver+Set%2C+6-Inch+Shafts%2C+2-Piece&amp;qid=1694735354&amp;sr=8-46")</f>
        <v/>
      </c>
      <c r="F3943" t="inlineStr">
        <is>
          <t>B000MB1JMU</t>
        </is>
      </c>
      <c r="G3943">
        <f>_xlfn.IMAGE("https://edmondsonsupply.com/cdn/shop/products/646m.jpg?v=1587146592")</f>
        <v/>
      </c>
      <c r="H3943">
        <f>_xlfn.IMAGE("https://m.media-amazon.com/images/I/61cXQ4v0vvL._AC_UL320_.jpg")</f>
        <v/>
      </c>
      <c r="K3943" t="inlineStr">
        <is>
          <t>24.99</t>
        </is>
      </c>
      <c r="L3943" t="n">
        <v>66.23</v>
      </c>
      <c r="M3943" s="1" t="inlineStr">
        <is>
          <t>165.03%</t>
        </is>
      </c>
      <c r="N3943" s="7" t="n">
        <v>12.96</v>
      </c>
      <c r="O3943" t="n">
        <v>4.5</v>
      </c>
      <c r="P3943" t="n">
        <v>33</v>
      </c>
      <c r="R3943" t="inlineStr">
        <is>
          <t>InStock</t>
        </is>
      </c>
      <c r="S3943" t="inlineStr">
        <is>
          <t>31.74</t>
        </is>
      </c>
      <c r="T3943" t="inlineStr">
        <is>
          <t>4469705932900</t>
        </is>
      </c>
    </row>
    <row r="3944" ht="87" customHeight="1">
      <c r="A3944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3944" s="2">
        <f>HYPERLINK("https://edmondsonsupply.com/products/klein-tools-31932-bi-metal-hole-saw-2-inch", "https://edmondsonsupply.com/products/klein-tools-31932-bi-metal-hole-saw-2-inch")</f>
        <v/>
      </c>
      <c r="C3944" t="inlineStr">
        <is>
          <t>Klein Tools 31932 Bi-Metal Hole Saw, 2-Inch</t>
        </is>
      </c>
      <c r="D3944" t="inlineStr">
        <is>
          <t>LENOX Tools Hole Saw, Bi-Metal, Speed Slot, Arbored, 2-3/8-Inch (1772953)</t>
        </is>
      </c>
      <c r="E3944" s="2">
        <f>HYPERLINK("https://www.amazon.com/LENOX-Tools-Bi-Metal-Arbored-Technology/dp/B0054SBDNQ/ref=sr_1_21?keywords=Klein+Tools+31932+Bi-Metal+Hole+Saw%2C+2-Inch&amp;qid=1694735227&amp;sr=8-21", "https://www.amazon.com/LENOX-Tools-Bi-Metal-Arbored-Technology/dp/B0054SBDNQ/ref=sr_1_21?keywords=Klein+Tools+31932+Bi-Metal+Hole+Saw%2C+2-Inch&amp;qid=1694735227&amp;sr=8-21")</f>
        <v/>
      </c>
      <c r="F3944" t="inlineStr">
        <is>
          <t>B0054SBDNQ</t>
        </is>
      </c>
      <c r="G3944">
        <f>_xlfn.IMAGE("https://edmondsonsupply.com/cdn/shop/products/31932.jpg?v=1633030939")</f>
        <v/>
      </c>
      <c r="H3944">
        <f>_xlfn.IMAGE("https://m.media-amazon.com/images/I/716edrVuxaL._AC_UL320_.jpg")</f>
        <v/>
      </c>
      <c r="K3944" t="inlineStr">
        <is>
          <t>10.99</t>
        </is>
      </c>
      <c r="L3944" t="n">
        <v>29.08</v>
      </c>
      <c r="M3944" s="1" t="inlineStr">
        <is>
          <t>164.60%</t>
        </is>
      </c>
      <c r="N3944" s="7" t="n">
        <v>12.95</v>
      </c>
      <c r="O3944" t="n">
        <v>4.6</v>
      </c>
      <c r="P3944" t="n">
        <v>366</v>
      </c>
      <c r="R3944" t="inlineStr">
        <is>
          <t>InStock</t>
        </is>
      </c>
      <c r="S3944" t="inlineStr">
        <is>
          <t>15.42</t>
        </is>
      </c>
      <c r="T3944" t="inlineStr">
        <is>
          <t>6572814434477</t>
        </is>
      </c>
    </row>
    <row r="3945" hidden="1" ht="15.75" customHeight="1">
      <c r="A3945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3945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3945" t="inlineStr">
        <is>
          <t>Klein Tools JTH6E06 3/32-Inch Hex Key, Journeyman T-Handle, 6-Inch</t>
        </is>
      </c>
      <c r="D3945" t="inlineStr">
        <is>
          <t>Klein Tools JTH6E13BE 1/4-Inch Ball End Hex Key with Journeyman T-Handle, 6-Inch</t>
        </is>
      </c>
      <c r="E3945" s="2">
        <f>HYPERLINK("https://www.amazon.com/Journeyman-T-Handle-Klein-Tools-JTH6E13BE/dp/B004QW52YW/ref=sr_1_6?keywords=Klein+Tools+JTH6E06+3%2F32-Inch+Hex+Key%2C+Journeyman+T-Handle%2C+6-Inch&amp;qid=1694735341&amp;sr=8-6", "https://www.amazon.com/Journeyman-T-Handle-Klein-Tools-JTH6E13BE/dp/B004QW52YW/ref=sr_1_6?keywords=Klein+Tools+JTH6E06+3%2F32-Inch+Hex+Key%2C+Journeyman+T-Handle%2C+6-Inch&amp;qid=1694735341&amp;sr=8-6")</f>
        <v/>
      </c>
      <c r="F3945" t="inlineStr">
        <is>
          <t>B004QW52YW</t>
        </is>
      </c>
      <c r="G3945">
        <f>_xludf.IMAGE("https://edmondsonsupply.com/cdn/shop/products/jth6e15_f3f40e05-27ea-4df2-91fc-a673e8aa5e4b.jpg?v=1587150971")</f>
        <v/>
      </c>
      <c r="H3945">
        <f>_xludf.IMAGE("https://m.media-amazon.com/images/I/51f9vBFVXgL._AC_UL320_.jpg")</f>
        <v/>
      </c>
      <c r="K3945" t="inlineStr">
        <is>
          <t>3.99</t>
        </is>
      </c>
      <c r="L3945" t="n">
        <v>10.55</v>
      </c>
      <c r="M3945" s="1" t="inlineStr">
        <is>
          <t>164.41%</t>
        </is>
      </c>
      <c r="N3945" s="1" t="n">
        <v>12.89</v>
      </c>
      <c r="O3945" t="n">
        <v>4.7</v>
      </c>
      <c r="P3945" t="n">
        <v>32</v>
      </c>
      <c r="R3945" t="inlineStr">
        <is>
          <t>InStock</t>
        </is>
      </c>
      <c r="S3945" t="inlineStr">
        <is>
          <t>6.04</t>
        </is>
      </c>
      <c r="T3945" t="inlineStr">
        <is>
          <t>4512703709284</t>
        </is>
      </c>
    </row>
    <row r="3946" hidden="1" ht="15.75" customHeight="1">
      <c r="A3946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3946" s="2">
        <f>HYPERLINK("https://edmondsonsupply.com/products/klein-tools-jth6m4-4-mm-hex-with-journeyman-t-handle-6-inch", "https://edmondsonsupply.com/products/klein-tools-jth6m4-4-mm-hex-with-journeyman-t-handle-6-inch")</f>
        <v/>
      </c>
      <c r="C3946" t="inlineStr">
        <is>
          <t>Klein Tools JTH6M4 4 mm Hex with Journeyman T-Handle 6-Inch</t>
        </is>
      </c>
      <c r="D3946" t="inlineStr">
        <is>
          <t>Klein Tools JTH6E13BE 1/4-Inch Ball End Hex Key with Journeyman T-Handle, 6-Inch</t>
        </is>
      </c>
      <c r="E3946" s="2">
        <f>HYPERLINK("https://www.amazon.com/Journeyman-T-Handle-Klein-Tools-JTH6E13BE/dp/B004QW52YW/ref=sr_1_9?keywords=Klein+Tools+JTH6M4+4+mm+Hex+with+Journeyman+T-Handle+6-Inch&amp;qid=1694735242&amp;sr=8-9", "https://www.amazon.com/Journeyman-T-Handle-Klein-Tools-JTH6E13BE/dp/B004QW52YW/ref=sr_1_9?keywords=Klein+Tools+JTH6M4+4+mm+Hex+with+Journeyman+T-Handle+6-Inch&amp;qid=1694735242&amp;sr=8-9")</f>
        <v/>
      </c>
      <c r="F3946" t="inlineStr">
        <is>
          <t>B004QW52YW</t>
        </is>
      </c>
      <c r="G3946">
        <f>_xludf.IMAGE("https://edmondsonsupply.com/cdn/shop/products/jth6m8_21839492-f844-4577-89b7-6c2cb1d02f31.jpg?v=1603052109")</f>
        <v/>
      </c>
      <c r="H3946">
        <f>_xludf.IMAGE("https://m.media-amazon.com/images/I/51f9vBFVXgL._AC_UL320_.jpg")</f>
        <v/>
      </c>
      <c r="K3946" t="inlineStr">
        <is>
          <t>3.99</t>
        </is>
      </c>
      <c r="L3946" t="n">
        <v>10.55</v>
      </c>
      <c r="M3946" s="1" t="inlineStr">
        <is>
          <t>164.41%</t>
        </is>
      </c>
      <c r="N3946" s="1" t="n">
        <v>12.89</v>
      </c>
      <c r="O3946" t="n">
        <v>4.7</v>
      </c>
      <c r="P3946" t="n">
        <v>32</v>
      </c>
      <c r="R3946" t="inlineStr">
        <is>
          <t>InStock</t>
        </is>
      </c>
      <c r="S3946" t="inlineStr">
        <is>
          <t>6.04</t>
        </is>
      </c>
      <c r="T3946" t="inlineStr">
        <is>
          <t>5963077157032</t>
        </is>
      </c>
    </row>
    <row r="3947" hidden="1" ht="15.75" customHeight="1">
      <c r="A3947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3947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3947" t="inlineStr">
        <is>
          <t>Klein Tools JTH4E06 3/32-Inch Hex Key, Journeyman T-Handle, 4-Inch</t>
        </is>
      </c>
      <c r="D3947" t="inlineStr">
        <is>
          <t>Klein Tools JTH6E13BE 1/4-Inch Ball End Hex Key with Journeyman T-Handle, 6-Inch</t>
        </is>
      </c>
      <c r="E3947" s="2">
        <f>HYPERLINK("https://www.amazon.com/Journeyman-T-Handle-Klein-Tools-JTH6E13BE/dp/B004QW52YW/ref=sr_1_11?keywords=Klein+Tools+JTH4E06+3%2F32-Inch+Hex+Key%2C+Journeyman+T-Handle%2C+4-Inch&amp;qid=1694735173&amp;sr=8-11", "https://www.amazon.com/Journeyman-T-Handle-Klein-Tools-JTH6E13BE/dp/B004QW52YW/ref=sr_1_11?keywords=Klein+Tools+JTH4E06+3%2F32-Inch+Hex+Key%2C+Journeyman+T-Handle%2C+4-Inch&amp;qid=1694735173&amp;sr=8-11")</f>
        <v/>
      </c>
      <c r="F3947" t="inlineStr">
        <is>
          <t>B004QW52YW</t>
        </is>
      </c>
      <c r="G3947">
        <f>_xludf.IMAGE("https://edmondsonsupply.com/cdn/shop/products/jth4e06.jpg?v=1635112029")</f>
        <v/>
      </c>
      <c r="H3947">
        <f>_xludf.IMAGE("https://m.media-amazon.com/images/I/51f9vBFVXgL._AC_UL320_.jpg")</f>
        <v/>
      </c>
      <c r="K3947" t="inlineStr">
        <is>
          <t>3.99</t>
        </is>
      </c>
      <c r="L3947" t="n">
        <v>10.55</v>
      </c>
      <c r="M3947" s="1" t="inlineStr">
        <is>
          <t>164.41%</t>
        </is>
      </c>
      <c r="N3947" s="1" t="n">
        <v>12.61</v>
      </c>
      <c r="O3947" t="n">
        <v>4.7</v>
      </c>
      <c r="P3947" t="n">
        <v>32</v>
      </c>
      <c r="R3947" t="inlineStr">
        <is>
          <t>InStock</t>
        </is>
      </c>
      <c r="S3947" t="inlineStr">
        <is>
          <t>6.04</t>
        </is>
      </c>
      <c r="T3947" t="inlineStr">
        <is>
          <t>7032648794285</t>
        </is>
      </c>
    </row>
    <row r="3948" hidden="1" ht="15.75" customHeight="1">
      <c r="A3948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3948" s="2">
        <f>HYPERLINK("https://edmondsonsupply.com/products/klein-tools-jth6e08-1-8-inch-hex-key-journeyman-t-handle-6-inch", "https://edmondsonsupply.com/products/klein-tools-jth6e08-1-8-inch-hex-key-journeyman-t-handle-6-inch")</f>
        <v/>
      </c>
      <c r="C3948" t="inlineStr">
        <is>
          <t>Klein Tools JTH6E08 1/8-Inch Hex Key, Journeyman T-Handle, 6-Inch</t>
        </is>
      </c>
      <c r="D3948" t="inlineStr">
        <is>
          <t>Klein Tools JTH6E13BE 1/4-Inch Ball End Hex Key with Journeyman T-Handle, 6-Inch</t>
        </is>
      </c>
      <c r="E3948" s="2">
        <f>HYPERLINK("https://www.amazon.com/Journeyman-T-Handle-Klein-Tools-JTH6E13BE/dp/B004QW52YW/ref=sr_1_6?keywords=Klein+Tools+JTH6E08+1%2F8-Inch+Hex+Key%2C+Journeyman+T-Handle%2C+6-Inch&amp;qid=1694735241&amp;sr=8-6", "https://www.amazon.com/Journeyman-T-Handle-Klein-Tools-JTH6E13BE/dp/B004QW52YW/ref=sr_1_6?keywords=Klein+Tools+JTH6E08+1%2F8-Inch+Hex+Key%2C+Journeyman+T-Handle%2C+6-Inch&amp;qid=1694735241&amp;sr=8-6")</f>
        <v/>
      </c>
      <c r="F3948" t="inlineStr">
        <is>
          <t>B004QW52YW</t>
        </is>
      </c>
      <c r="G3948">
        <f>_xludf.IMAGE("https://edmondsonsupply.com/cdn/shop/products/jth6e15_e3103b57-060e-4d47-a405-4e66dc6bbb91.jpg?v=1604272072")</f>
        <v/>
      </c>
      <c r="H3948">
        <f>_xludf.IMAGE("https://m.media-amazon.com/images/I/51f9vBFVXgL._AC_UL320_.jpg")</f>
        <v/>
      </c>
      <c r="K3948" t="inlineStr">
        <is>
          <t>3.99</t>
        </is>
      </c>
      <c r="L3948" t="n">
        <v>10.55</v>
      </c>
      <c r="M3948" s="1" t="inlineStr">
        <is>
          <t>164.41%</t>
        </is>
      </c>
      <c r="N3948" s="1" t="n">
        <v>12.56</v>
      </c>
      <c r="O3948" t="n">
        <v>4.7</v>
      </c>
      <c r="P3948" t="n">
        <v>32</v>
      </c>
      <c r="R3948" t="inlineStr">
        <is>
          <t>InStock</t>
        </is>
      </c>
      <c r="S3948" t="inlineStr">
        <is>
          <t>6.04</t>
        </is>
      </c>
      <c r="T3948" t="inlineStr">
        <is>
          <t>6005767635112</t>
        </is>
      </c>
    </row>
    <row r="3949" ht="87" customHeight="1">
      <c r="A3949" s="2">
        <f>HYPERLINK("https://edmondsonsupply.com/collections/electricians-tools/products/klein-5416tfr", "https://edmondsonsupply.com/collections/electricians-tools/products/klein-5416tfr")</f>
        <v/>
      </c>
      <c r="B3949" s="2">
        <f>HYPERLINK("https://edmondsonsupply.com/products/klein-5416tfr", "https://edmondsonsupply.com/products/klein-5416tfr")</f>
        <v/>
      </c>
      <c r="C3949" t="inlineStr">
        <is>
          <t>Klein Tools 5416TFR Tool Bag, Flame Resistant Bolt Bag, No. 4 Canvas, 5 x 10 x 9-Inch</t>
        </is>
      </c>
      <c r="D3949" t="inlineStr">
        <is>
          <t>Sellstrom KneePro Knee Pads - Ultra Flex III, Grey and Orange &amp; Klein Tools 5416TFR Tool Bag, Flame Resistant Canvas Bag for Bolt Storage, 5 x 10 x 9-Inch</t>
        </is>
      </c>
      <c r="E3949" s="2">
        <f>HYPERLINK("https://www.amazon.com/Sellstrom-KneePro-Knee-Pads-Resistant/dp/B09T6SY3FL/ref=sr_1_17?keywords=Klein+Tools+5416TFR+Tool+Bag%2C+Flame+Resistant+Bolt+Bag%2C+No.+4+Canvas%2C+5+x+10+x+9-Inch&amp;qid=1694734988&amp;sr=8-17", "https://www.amazon.com/Sellstrom-KneePro-Knee-Pads-Resistant/dp/B09T6SY3FL/ref=sr_1_17?keywords=Klein+Tools+5416TFR+Tool+Bag%2C+Flame+Resistant+Bolt+Bag%2C+No.+4+Canvas%2C+5+x+10+x+9-Inch&amp;qid=1694734988&amp;sr=8-17")</f>
        <v/>
      </c>
      <c r="F3949" t="inlineStr">
        <is>
          <t>B09T6SY3FL</t>
        </is>
      </c>
      <c r="G3949">
        <f>_xlfn.IMAGE("https://edmondsonsupply.com/cdn/shop/products/5416tfr.jpg?v=1587149359")</f>
        <v/>
      </c>
      <c r="H3949">
        <f>_xlfn.IMAGE("https://m.media-amazon.com/images/I/511x1P6k86L._AC_UL320_.jpg")</f>
        <v/>
      </c>
      <c r="K3949" t="inlineStr">
        <is>
          <t>19.99</t>
        </is>
      </c>
      <c r="L3949" t="n">
        <v>52.83</v>
      </c>
      <c r="M3949" s="1" t="inlineStr">
        <is>
          <t>164.28%</t>
        </is>
      </c>
      <c r="N3949" s="7" t="n">
        <v>12.56</v>
      </c>
      <c r="O3949" t="n">
        <v>5</v>
      </c>
      <c r="P3949" t="n">
        <v>1</v>
      </c>
      <c r="R3949" t="inlineStr">
        <is>
          <t>InStock</t>
        </is>
      </c>
      <c r="S3949" t="inlineStr">
        <is>
          <t>33.64</t>
        </is>
      </c>
      <c r="T3949" t="inlineStr">
        <is>
          <t>1490970837092</t>
        </is>
      </c>
    </row>
    <row r="3950" hidden="1" ht="15.75" customHeight="1">
      <c r="A3950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3950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3950" t="inlineStr">
        <is>
          <t>Diablo Tools DMAPL4050 3/16 in. x 6 in. x 8 in. Rebar Demon™ SDS‑Plus 4‑Cutter Full Carbide Head Hammer Drill Bit</t>
        </is>
      </c>
      <c r="D3950" t="inlineStr">
        <is>
          <t>Diablo DMAPL4055 3/16 in. x 10 in. x 12 in. Rebar Demon™ SDS-Plus 4-Cutter Full Carbide Head Hammer Bit</t>
        </is>
      </c>
      <c r="E3950" s="2" t="n"/>
      <c r="F3950" t="inlineStr">
        <is>
          <t>B089LJCD42</t>
        </is>
      </c>
      <c r="G3950">
        <f>_xludf.IMAGE("https://edmondsonsupply.com/cdn/shop/products/DMAPL4050_Main-Image20200701.png?v=1633030632")</f>
        <v/>
      </c>
      <c r="H3950">
        <f>_xludf.IMAGE("https://m.media-amazon.com/images/I/61cDOAhkb4L._AC_UL320_.jpg")</f>
        <v/>
      </c>
      <c r="K3950" t="inlineStr">
        <is>
          <t>5.97</t>
        </is>
      </c>
      <c r="L3950" t="n">
        <v>15.76</v>
      </c>
      <c r="M3950" s="1" t="inlineStr">
        <is>
          <t>163.99%</t>
        </is>
      </c>
      <c r="N3950" s="1" t="n">
        <v>12.5</v>
      </c>
      <c r="O3950" t="n">
        <v>2</v>
      </c>
      <c r="P3950" t="n">
        <v>1</v>
      </c>
      <c r="R3950" t="inlineStr">
        <is>
          <t>InStock</t>
        </is>
      </c>
      <c r="S3950" t="inlineStr">
        <is>
          <t>8.82</t>
        </is>
      </c>
      <c r="T3950" t="inlineStr">
        <is>
          <t>5701590188200</t>
        </is>
      </c>
    </row>
    <row r="3951" ht="87" customHeight="1">
      <c r="A3951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3951" s="2">
        <f>HYPERLINK("https://edmondsonsupply.com/products/klein-tools-1011m-metric-wire-stripper-cutter-stranded-wire", "https://edmondsonsupply.com/products/klein-tools-1011m-metric-wire-stripper-cutter-stranded-wire")</f>
        <v/>
      </c>
      <c r="C3951" t="inlineStr">
        <is>
          <t>Klein Tools 1011M Metric Wire Stripper/Cutter Stranded Wire</t>
        </is>
      </c>
      <c r="D3951" t="inlineStr">
        <is>
          <t>Klein Tools 11054EINS Electrician's Insulated Wire Stripper / Cutter, 1000V Rated, VDE Certified, for Solid and Stranded Wires,Orange/Gray</t>
        </is>
      </c>
      <c r="E3951" s="2">
        <f>HYPERLINK("https://www.amazon.com/Klein-Tools-11054EINS-Electricians-Insulated/dp/B00JGG5VJ4/ref=sr_1_22?keywords=Klein+Tools+1011M+Metric+Wire+Stripper%2FCutter+Stranded+Wire&amp;qid=1694735312&amp;sr=8-22", "https://www.amazon.com/Klein-Tools-11054EINS-Electricians-Insulated/dp/B00JGG5VJ4/ref=sr_1_22?keywords=Klein+Tools+1011M+Metric+Wire+Stripper%2FCutter+Stranded+Wire&amp;qid=1694735312&amp;sr=8-22")</f>
        <v/>
      </c>
      <c r="F3951" t="inlineStr">
        <is>
          <t>B00JGG5VJ4</t>
        </is>
      </c>
      <c r="G3951">
        <f>_xlfn.IMAGE("https://edmondsonsupply.com/cdn/shop/products/1011m.jpg?v=1633030273")</f>
        <v/>
      </c>
      <c r="H3951">
        <f>_xlfn.IMAGE("https://m.media-amazon.com/images/I/415hBJVvvML._AC_UL320_.jpg")</f>
        <v/>
      </c>
      <c r="K3951" t="inlineStr">
        <is>
          <t>14.99</t>
        </is>
      </c>
      <c r="L3951" t="n">
        <v>39.5</v>
      </c>
      <c r="M3951" s="1" t="inlineStr">
        <is>
          <t>163.51%</t>
        </is>
      </c>
      <c r="N3951" s="7" t="n">
        <v>12.5</v>
      </c>
      <c r="O3951" t="n">
        <v>4.6</v>
      </c>
      <c r="P3951" t="n">
        <v>245</v>
      </c>
      <c r="R3951" t="inlineStr">
        <is>
          <t>InStock</t>
        </is>
      </c>
      <c r="S3951" t="inlineStr">
        <is>
          <t>22.72</t>
        </is>
      </c>
      <c r="T3951" t="inlineStr">
        <is>
          <t>5237017772200</t>
        </is>
      </c>
    </row>
    <row r="3952" ht="87" customHeight="1">
      <c r="A3952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3952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3952" t="inlineStr">
        <is>
          <t>Klein Tools NCVT1PKIT Non-Contact Voltage and GFCI Receptacle Test Kit</t>
        </is>
      </c>
      <c r="D3952" t="inlineStr">
        <is>
          <t>Digital Multimeter Electrical Test Kit, Non-Contact Voltage Tester, Receptacle Tester, Carrying Case and Batteries Klein Tools MM320KIT &amp; 69417 Rare-Earth Magnetic Hanger, with Strap</t>
        </is>
      </c>
      <c r="E3952" s="2">
        <f>HYPERLINK("https://www.amazon.com/Multimeter-Electrical-Non-Contact-Klein-Tools/dp/B0CF2CFS1D/ref=sr_1_9?keywords=Klein+Tools+NCVT1PKIT+Non-Contact+Voltage+and+GFCI+Receptacle+Test+Kit&amp;qid=1694735031&amp;sr=8-9", "https://www.amazon.com/Multimeter-Electrical-Non-Contact-Klein-Tools/dp/B0CF2CFS1D/ref=sr_1_9?keywords=Klein+Tools+NCVT1PKIT+Non-Contact+Voltage+and+GFCI+Receptacle+Test+Kit&amp;qid=1694735031&amp;sr=8-9")</f>
        <v/>
      </c>
      <c r="F3952" t="inlineStr">
        <is>
          <t>B0CF2CFS1D</t>
        </is>
      </c>
      <c r="G3952">
        <f>_xlfn.IMAGE("https://edmondsonsupply.com/cdn/shop/products/ncvt1pkit.jpg?v=1677682920")</f>
        <v/>
      </c>
      <c r="H3952">
        <f>_xlfn.IMAGE("https://m.media-amazon.com/images/I/5182bo0BHaL._AC_UL320_.jpg")</f>
        <v/>
      </c>
      <c r="K3952" t="inlineStr">
        <is>
          <t>24.97</t>
        </is>
      </c>
      <c r="L3952" t="n">
        <v>65.48999999999999</v>
      </c>
      <c r="M3952" s="1" t="inlineStr">
        <is>
          <t>162.27%</t>
        </is>
      </c>
      <c r="N3952" s="7" t="n">
        <v>12.5</v>
      </c>
      <c r="O3952" t="n">
        <v>4.8</v>
      </c>
      <c r="P3952" t="n">
        <v>1447</v>
      </c>
      <c r="R3952" t="inlineStr">
        <is>
          <t>InStock</t>
        </is>
      </c>
      <c r="S3952" t="inlineStr">
        <is>
          <t>35.38</t>
        </is>
      </c>
      <c r="T3952" t="inlineStr">
        <is>
          <t>7953960698072</t>
        </is>
      </c>
    </row>
    <row r="3953" ht="87" customHeight="1">
      <c r="A3953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3953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3953" t="inlineStr">
        <is>
          <t>Klein Tools 602-4 1/4-Inch Keystone Screwdriver, 4-Inch Round Shank</t>
        </is>
      </c>
      <c r="D3953" t="inlineStr">
        <is>
          <t>Klein Tools 614-4 Flat Screwdriver, Precision Electronics Screwdriver, 1/8-Inch Cabinet Tip, 4-Inch Shank (Pack of 2)</t>
        </is>
      </c>
      <c r="E3953" s="2">
        <f>HYPERLINK("https://www.amazon.com/Klein-Tools-Screwdriver-Precision-Electronics/dp/B0CDQJLP83/ref=sr_1_32?keywords=Klein+Tools+602-4+1%2F4-Inch+Keystone+Screwdriver%2C+4-Inch+Round+Shank&amp;qid=1694735235&amp;sr=8-32", "https://www.amazon.com/Klein-Tools-Screwdriver-Precision-Electronics/dp/B0CDQJLP83/ref=sr_1_32?keywords=Klein+Tools+602-4+1%2F4-Inch+Keystone+Screwdriver%2C+4-Inch+Round+Shank&amp;qid=1694735235&amp;sr=8-32")</f>
        <v/>
      </c>
      <c r="F3953" t="inlineStr">
        <is>
          <t>B0CDQJLP83</t>
        </is>
      </c>
      <c r="G3953">
        <f>_xlfn.IMAGE("https://edmondsonsupply.com/cdn/shop/products/602-6.jpg?v=1633030821")</f>
        <v/>
      </c>
      <c r="H3953">
        <f>_xlfn.IMAGE("https://m.media-amazon.com/images/I/31h2+ShYAnL._AC_UL320_.jpg")</f>
        <v/>
      </c>
      <c r="K3953" t="inlineStr">
        <is>
          <t>9.49</t>
        </is>
      </c>
      <c r="L3953" t="n">
        <v>24.84</v>
      </c>
      <c r="M3953" s="1" t="inlineStr">
        <is>
          <t>161.75%</t>
        </is>
      </c>
      <c r="N3953" s="7" t="n">
        <v>12.5</v>
      </c>
      <c r="O3953" t="n">
        <v>4.7</v>
      </c>
      <c r="P3953" t="n">
        <v>332</v>
      </c>
      <c r="R3953" t="inlineStr">
        <is>
          <t>InStock</t>
        </is>
      </c>
      <c r="S3953" t="inlineStr">
        <is>
          <t>14.36</t>
        </is>
      </c>
      <c r="T3953" t="inlineStr">
        <is>
          <t>6080792363181</t>
        </is>
      </c>
    </row>
    <row r="3954" hidden="1" ht="15.75" customHeight="1">
      <c r="A3954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3954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3954" t="inlineStr">
        <is>
          <t>Diablo Tools DMARG1070 1/4 in. x 4 in. x 6 in. SPEEDemon™ Red Granite Carbide Tipped Hammer Drill Bit</t>
        </is>
      </c>
      <c r="D3954" t="inlineStr">
        <is>
          <t>Sabre Tools 1/4 Inch x 6 Inch Masonry Drill Bit, Carbide Tipped 5-Pack for Concrete, Brick, Stone, 1/4” Hex Shank, Impact Performance (1/4” x 6”, 5)</t>
        </is>
      </c>
      <c r="E3954" s="2">
        <f>HYPERLINK("https://www.amazon.com/Sabre-Tools-Masonry-Concrete-Performance/dp/B08YX2TH15/ref=sr_1_29?keywords=Diablo+Tools+DMARG1070+1%2F4+in.+x+4+in.+x+6+in.+SPEEDemon%E2%84%A2+Red+Granite+Carbide+Tipped+Hammer+Drill+Bit&amp;qid=1694735286&amp;sr=8-29", "https://www.amazon.com/Sabre-Tools-Masonry-Concrete-Performance/dp/B08YX2TH15/ref=sr_1_29?keywords=Diablo+Tools+DMARG1070+1%2F4+in.+x+4+in.+x+6+in.+SPEEDemon%E2%84%A2+Red+Granite+Carbide+Tipped+Hammer+Drill+Bit&amp;qid=1694735286&amp;sr=8-29")</f>
        <v/>
      </c>
      <c r="F3954" t="inlineStr">
        <is>
          <t>B08YX2TH15</t>
        </is>
      </c>
      <c r="G3954">
        <f>_xludf.IMAGE("https://edmondsonsupply.com/cdn/shop/products/DMARG1070_Main-Image20200407.png?v=1633030419")</f>
        <v/>
      </c>
      <c r="H3954">
        <f>_xludf.IMAGE("https://m.media-amazon.com/images/I/81Z-DK8kfOL._AC_UL320_.jpg")</f>
        <v/>
      </c>
      <c r="K3954" t="inlineStr">
        <is>
          <t>4.97</t>
        </is>
      </c>
      <c r="L3954" t="n">
        <v>12.99</v>
      </c>
      <c r="M3954" s="1" t="inlineStr">
        <is>
          <t>161.37%</t>
        </is>
      </c>
      <c r="N3954" s="1" t="n">
        <v>12.5</v>
      </c>
      <c r="O3954" t="n">
        <v>4.2</v>
      </c>
      <c r="P3954" t="n">
        <v>237</v>
      </c>
      <c r="R3954" t="inlineStr">
        <is>
          <t>InStock</t>
        </is>
      </c>
      <c r="S3954" t="inlineStr">
        <is>
          <t>undefined</t>
        </is>
      </c>
      <c r="T3954" t="inlineStr">
        <is>
          <t>5317981700264</t>
        </is>
      </c>
    </row>
    <row r="3955" hidden="1" ht="15.75" customHeight="1">
      <c r="A3955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3955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3955" t="inlineStr">
        <is>
          <t>Diablo Tools DMARG1020 5/32 in. x 3 in. x 6 in. SPEEDemon™ Red Granite Carbide Tipped Hammer Drill Bit</t>
        </is>
      </c>
      <c r="D3955" t="inlineStr">
        <is>
          <t>Sabre Tools 5/32 Inch x 6 Inch Masonry Drill Bit, Carbide Tipped 5-Pack for Concrete, Brick, Stone, 1/4” Hex Shank, Impact Performance (5/32" x 6", 5)</t>
        </is>
      </c>
      <c r="E3955" s="2">
        <f>HYPERLINK("https://www.amazon.com/Sabre-Tools-Masonry-Concrete-Performance/dp/B09CCR7RVG/ref=sr_1_16?keywords=Diablo+Tools+DMARG1020+5%2F32+in.+x+3+in.+x+6+in.+SPEEDemon%E2%84%A2+Red+Granite+Carbide+Tipped+Hammer+Drill+Bit&amp;qid=1694735279&amp;sr=8-16", "https://www.amazon.com/Sabre-Tools-Masonry-Concrete-Performance/dp/B09CCR7RVG/ref=sr_1_16?keywords=Diablo+Tools+DMARG1020+5%2F32+in.+x+3+in.+x+6+in.+SPEEDemon%E2%84%A2+Red+Granite+Carbide+Tipped+Hammer+Drill+Bit&amp;qid=1694735279&amp;sr=8-16")</f>
        <v/>
      </c>
      <c r="F3955" t="inlineStr">
        <is>
          <t>B09CCR7RVG</t>
        </is>
      </c>
      <c r="G3955">
        <f>_xludf.IMAGE("https://edmondsonsupply.com/cdn/shop/products/vozy4matwskc7qc8ko6f.webp?v=1670440892")</f>
        <v/>
      </c>
      <c r="H3955">
        <f>_xludf.IMAGE("https://m.media-amazon.com/images/I/71Eg49jqP8L._AC_UL320_.jpg")</f>
        <v/>
      </c>
      <c r="K3955" t="inlineStr">
        <is>
          <t>4.97</t>
        </is>
      </c>
      <c r="L3955" t="n">
        <v>12.99</v>
      </c>
      <c r="M3955" s="1" t="inlineStr">
        <is>
          <t>161.37%</t>
        </is>
      </c>
      <c r="N3955" s="1" t="n">
        <v>12.5</v>
      </c>
      <c r="O3955" t="n">
        <v>4.2</v>
      </c>
      <c r="P3955" t="n">
        <v>237</v>
      </c>
      <c r="R3955" t="inlineStr">
        <is>
          <t>InStock</t>
        </is>
      </c>
      <c r="S3955" t="inlineStr">
        <is>
          <t>undefined</t>
        </is>
      </c>
      <c r="T3955" t="inlineStr">
        <is>
          <t>5386082484392</t>
        </is>
      </c>
    </row>
    <row r="3956" ht="87" customHeight="1">
      <c r="A3956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956" s="2">
        <f>HYPERLINK("https://edmondsonsupply.com/products/klein-tools-rt110-receptacle-tester", "https://edmondsonsupply.com/products/klein-tools-rt110-receptacle-tester")</f>
        <v/>
      </c>
      <c r="C3956" t="inlineStr">
        <is>
          <t>Klein Tools RT110 Receptacle Tester</t>
        </is>
      </c>
      <c r="D3956" t="inlineStr">
        <is>
          <t>Klein Tools 80097 Beginner Tester Kit with GFCI Outlet and Receptacle Tester, Electronic Voltage Tester, Non-Contact Voltage Tester, 3-Piece Red</t>
        </is>
      </c>
      <c r="E3956" s="2">
        <f>HYPERLINK("https://www.amazon.com/Klein-Tools-80097-Beginner-3-Piece/dp/B0B7Z178B1/ref=sr_1_11?keywords=Klein+Tools+RT110+Receptacle+Tester&amp;qid=1694735205&amp;sr=8-11", "https://www.amazon.com/Klein-Tools-80097-Beginner-3-Piece/dp/B0B7Z178B1/ref=sr_1_11?keywords=Klein+Tools+RT110+Receptacle+Tester&amp;qid=1694735205&amp;sr=8-11")</f>
        <v/>
      </c>
      <c r="F3956" t="inlineStr">
        <is>
          <t>B0B7Z178B1</t>
        </is>
      </c>
      <c r="G3956">
        <f>_xlfn.IMAGE("https://edmondsonsupply.com/cdn/shop/products/rt110.jpg?v=1633031036")</f>
        <v/>
      </c>
      <c r="H3956">
        <f>_xlfn.IMAGE("https://m.media-amazon.com/images/I/51TWbZ0INyL._AC_UL320_.jpg")</f>
        <v/>
      </c>
      <c r="K3956" t="inlineStr">
        <is>
          <t>9.97</t>
        </is>
      </c>
      <c r="L3956" t="n">
        <v>25.99</v>
      </c>
      <c r="M3956" s="1" t="inlineStr">
        <is>
          <t>160.68%</t>
        </is>
      </c>
      <c r="N3956" s="7" t="n">
        <v>12.31</v>
      </c>
      <c r="O3956" t="n">
        <v>4.7</v>
      </c>
      <c r="P3956" t="n">
        <v>118</v>
      </c>
      <c r="R3956" t="inlineStr">
        <is>
          <t>InStock</t>
        </is>
      </c>
      <c r="S3956" t="inlineStr">
        <is>
          <t>12.12</t>
        </is>
      </c>
      <c r="T3956" t="inlineStr">
        <is>
          <t>6740486619309</t>
        </is>
      </c>
    </row>
    <row r="3957" ht="87" customHeight="1">
      <c r="A3957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3957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3957" t="inlineStr">
        <is>
          <t>Diablo Tools D0724A 7-1/4 in. x 24 Tooth Framing Saw Blade</t>
        </is>
      </c>
      <c r="D3957" t="inlineStr">
        <is>
          <t>Diablo D0724P 7-1/4-Inch 24 Tooth ATB Carbide Framing Saw Blade with 5/8-Inch and Diamond Knockout Arbor (Pak of 2)</t>
        </is>
      </c>
      <c r="E3957" s="2">
        <f>HYPERLINK("https://www.amazon.com/Diablo-D0724P-Carbide-Framing-Knockout/dp/B00CLSOZ64/ref=sr_1_26?keywords=Diablo+Tools+D0724A+7-1%2F4+in.+x+24+Tooth+Framing+Saw+Blade&amp;qid=1694735310&amp;sr=8-26", "https://www.amazon.com/Diablo-D0724P-Carbide-Framing-Knockout/dp/B00CLSOZ64/ref=sr_1_26?keywords=Diablo+Tools+D0724A+7-1%2F4+in.+x+24+Tooth+Framing+Saw+Blade&amp;qid=1694735310&amp;sr=8-26")</f>
        <v/>
      </c>
      <c r="F3957" t="inlineStr">
        <is>
          <t>B00CLSOZ64</t>
        </is>
      </c>
      <c r="G3957">
        <f>_xlfn.IMAGE("https://edmondsonsupply.com/cdn/shop/products/D0724A_Main-Image20200218.png?v=1633030268")</f>
        <v/>
      </c>
      <c r="H3957">
        <f>_xlfn.IMAGE("https://m.media-amazon.com/images/I/71S1Z7toMAL._AC_UL320_.jpg")</f>
        <v/>
      </c>
      <c r="K3957" t="inlineStr">
        <is>
          <t>9.97</t>
        </is>
      </c>
      <c r="L3957" t="n">
        <v>25.99</v>
      </c>
      <c r="M3957" s="1" t="inlineStr">
        <is>
          <t>160.68%</t>
        </is>
      </c>
      <c r="N3957" s="7" t="n">
        <v>12.3</v>
      </c>
      <c r="O3957" t="n">
        <v>4.6</v>
      </c>
      <c r="P3957" t="n">
        <v>100</v>
      </c>
      <c r="R3957" t="inlineStr">
        <is>
          <t>InStock</t>
        </is>
      </c>
      <c r="S3957" t="inlineStr">
        <is>
          <t>15.45</t>
        </is>
      </c>
      <c r="T3957" t="inlineStr">
        <is>
          <t>4678532563044</t>
        </is>
      </c>
    </row>
    <row r="3958" ht="87" customHeight="1">
      <c r="A3958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3958" s="2">
        <f>HYPERLINK("https://edmondsonsupply.com/products/diablo-tools-d0724x-7-1-4-in-x-24-tooth-framing-saw-blade", "https://edmondsonsupply.com/products/diablo-tools-d0724x-7-1-4-in-x-24-tooth-framing-saw-blade")</f>
        <v/>
      </c>
      <c r="C3958" t="inlineStr">
        <is>
          <t>Diablo Tools D0724X 7-1/4 in. x 24 Tooth Framing Saw Blade</t>
        </is>
      </c>
      <c r="D3958" t="inlineStr">
        <is>
          <t>Diablo D0724P 7-1/4-Inch 24 Tooth ATB Carbide Framing Saw Blade with 5/8-Inch and Diamond Knockout Arbor (Pak of 2)</t>
        </is>
      </c>
      <c r="E3958" s="2">
        <f>HYPERLINK("https://www.amazon.com/Diablo-D0724P-Carbide-Framing-Knockout/dp/B00CLSOZ64/ref=sr_1_9?keywords=Diablo+Tools+D0724X+7-1%2F4+in.+x+24+Tooth+Framing+Saw+Blade&amp;qid=1694735022&amp;sr=8-9", "https://www.amazon.com/Diablo-D0724P-Carbide-Framing-Knockout/dp/B00CLSOZ64/ref=sr_1_9?keywords=Diablo+Tools+D0724X+7-1%2F4+in.+x+24+Tooth+Framing+Saw+Blade&amp;qid=1694735022&amp;sr=8-9")</f>
        <v/>
      </c>
      <c r="F3958" t="inlineStr">
        <is>
          <t>B00CLSOZ64</t>
        </is>
      </c>
      <c r="G3958">
        <f>_xlfn.IMAGE("https://edmondsonsupply.com/cdn/shop/products/D0724A_Main-Image20200218_ba34939c-8546-489a-9616-b05338ff91cc.png?v=1678971696")</f>
        <v/>
      </c>
      <c r="H3958">
        <f>_xlfn.IMAGE("https://m.media-amazon.com/images/I/71S1Z7toMAL._AC_UL320_.jpg")</f>
        <v/>
      </c>
      <c r="K3958" t="inlineStr">
        <is>
          <t>9.97</t>
        </is>
      </c>
      <c r="L3958" t="n">
        <v>25.99</v>
      </c>
      <c r="M3958" s="1" t="inlineStr">
        <is>
          <t>160.68%</t>
        </is>
      </c>
      <c r="N3958" s="7" t="n">
        <v>12.25</v>
      </c>
      <c r="O3958" t="n">
        <v>4.6</v>
      </c>
      <c r="P3958" t="n">
        <v>100</v>
      </c>
      <c r="R3958" t="inlineStr">
        <is>
          <t>InStock</t>
        </is>
      </c>
      <c r="S3958" t="inlineStr">
        <is>
          <t>16.41</t>
        </is>
      </c>
      <c r="T3958" t="inlineStr">
        <is>
          <t>7962598670552</t>
        </is>
      </c>
    </row>
    <row r="3959" ht="87" customHeight="1">
      <c r="A3959" s="2">
        <f>HYPERLINK("https://edmondsonsupply.com/collections/electricians-tools/products/klein-tools-rt390", "https://edmondsonsupply.com/collections/electricians-tools/products/klein-tools-rt390")</f>
        <v/>
      </c>
      <c r="B3959" s="2">
        <f>HYPERLINK("https://edmondsonsupply.com/products/klein-tools-rt390", "https://edmondsonsupply.com/products/klein-tools-rt390")</f>
        <v/>
      </c>
      <c r="C3959" t="inlineStr">
        <is>
          <t>Klein Tools RT390 Circuit Analyzer</t>
        </is>
      </c>
      <c r="D3959" t="inlineStr">
        <is>
          <t>Klein Tools ET450 Advanced Circuit Breaker Finder and Wire Tracer Kit &amp; RT390 Circuit Analyzer with Large LCD, Identifies Wiring Faults, GFCI and AFCI Tester, Voltage Drop, Displays Trip Time, Orange</t>
        </is>
      </c>
      <c r="E3959" s="2">
        <f>HYPERLINK("https://www.amazon.com/Klein-Tools-Advanced-Analyzer-Identifies/dp/B0CCS6L8DC/ref=sr_1_2?keywords=Klein+Tools+RT390+Circuit+Analyzer&amp;qid=1694734980&amp;sr=8-2", "https://www.amazon.com/Klein-Tools-Advanced-Analyzer-Identifies/dp/B0CCS6L8DC/ref=sr_1_2?keywords=Klein+Tools+RT390+Circuit+Analyzer&amp;qid=1694734980&amp;sr=8-2")</f>
        <v/>
      </c>
      <c r="F3959" t="inlineStr">
        <is>
          <t>B0CCS6L8DC</t>
        </is>
      </c>
      <c r="G3959">
        <f>_xlfn.IMAGE("https://edmondsonsupply.com/cdn/shop/products/rt390.jpg?v=1677683463")</f>
        <v/>
      </c>
      <c r="H3959">
        <f>_xlfn.IMAGE("https://m.media-amazon.com/images/I/61pWayFxCIL._AC_UL320_.jpg")</f>
        <v/>
      </c>
      <c r="K3959" t="inlineStr">
        <is>
          <t>149.99</t>
        </is>
      </c>
      <c r="L3959" t="n">
        <v>389.98</v>
      </c>
      <c r="M3959" s="1" t="inlineStr">
        <is>
          <t>160.00%</t>
        </is>
      </c>
      <c r="N3959" s="7" t="n">
        <v>12.15</v>
      </c>
      <c r="O3959" t="n">
        <v>5</v>
      </c>
      <c r="P3959" t="n">
        <v>1</v>
      </c>
      <c r="R3959" t="inlineStr">
        <is>
          <t>InStock</t>
        </is>
      </c>
      <c r="S3959" t="inlineStr">
        <is>
          <t>209.98</t>
        </is>
      </c>
      <c r="T3959" t="inlineStr">
        <is>
          <t>7953963581656</t>
        </is>
      </c>
    </row>
    <row r="3960" hidden="1" ht="15.75" customHeight="1">
      <c r="A3960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3960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3960" t="inlineStr">
        <is>
          <t>Klein Tools JTH4E09 9/64-Inch Hex Key Journeyman T-Handle 4-Inch</t>
        </is>
      </c>
      <c r="D3960" t="inlineStr">
        <is>
          <t>Klein Tools JTH9M6 6 mm Hex Key, Journeyman T-Handle, 9-Inch</t>
        </is>
      </c>
      <c r="E3960" s="2">
        <f>HYPERLINK("https://www.amazon.com/Journeyman-T-Handle-Klein-Tools-JTH9M6/dp/B005G3HJKU/ref=sr_1_15?keywords=Klein+Tools+JTH4E09+9%2F64-Inch+Hex+Key+Journeyman+T-Handle+4-Inch&amp;qid=1694735175&amp;sr=8-15", "https://www.amazon.com/Journeyman-T-Handle-Klein-Tools-JTH9M6/dp/B005G3HJKU/ref=sr_1_15?keywords=Klein+Tools+JTH4E09+9%2F64-Inch+Hex+Key+Journeyman+T-Handle+4-Inch&amp;qid=1694735175&amp;sr=8-15")</f>
        <v/>
      </c>
      <c r="F3960" t="inlineStr">
        <is>
          <t>B005G3HJKU</t>
        </is>
      </c>
      <c r="G3960">
        <f>_xludf.IMAGE("https://edmondsonsupply.com/cdn/shop/products/jth4e06_be5118a6-2e9d-44f5-81ad-c027572dd2d3.jpg?v=1635981570")</f>
        <v/>
      </c>
      <c r="H3960">
        <f>_xludf.IMAGE("https://m.media-amazon.com/images/I/51+1x0vz9XL._AC_UL320_.jpg")</f>
        <v/>
      </c>
      <c r="K3960" t="inlineStr">
        <is>
          <t>3.79</t>
        </is>
      </c>
      <c r="L3960" t="n">
        <v>9.84</v>
      </c>
      <c r="M3960" s="1" t="inlineStr">
        <is>
          <t>159.63%</t>
        </is>
      </c>
      <c r="N3960" s="1" t="n">
        <v>12.1</v>
      </c>
      <c r="O3960" t="n">
        <v>4.7</v>
      </c>
      <c r="P3960" t="n">
        <v>123</v>
      </c>
      <c r="R3960" t="inlineStr">
        <is>
          <t>InStock</t>
        </is>
      </c>
      <c r="S3960" t="inlineStr">
        <is>
          <t>5.76</t>
        </is>
      </c>
      <c r="T3960" t="inlineStr">
        <is>
          <t>7434795876568</t>
        </is>
      </c>
    </row>
    <row r="3961" ht="87" customHeight="1">
      <c r="A3961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3961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3961" t="inlineStr">
        <is>
          <t>Klein Tools 614-4 1/8-Inch Cabinet Electronics Screwdriver, 4-Inch</t>
        </is>
      </c>
      <c r="D3961" t="inlineStr">
        <is>
          <t>Klein Tools 612-4-INS Insulated 1/8-Inch Slotted Screwdriver, 4-Inch</t>
        </is>
      </c>
      <c r="E3961" s="2">
        <f>HYPERLINK("https://www.amazon.com/Insulated-Screwdriver-Klein-Tools-612-4-INS/dp/B00J9S3YR0/ref=sr_1_24?keywords=Klein+Tools+614-4+1%2F8-Inch+Cabinet+Electronics+Screwdriver%2C+4-Inch&amp;qid=1694735408&amp;sr=8-24", "https://www.amazon.com/Insulated-Screwdriver-Klein-Tools-612-4-INS/dp/B00J9S3YR0/ref=sr_1_24?keywords=Klein+Tools+614-4+1%2F8-Inch+Cabinet+Electronics+Screwdriver%2C+4-Inch&amp;qid=1694735408&amp;sr=8-24")</f>
        <v/>
      </c>
      <c r="F3961" t="inlineStr">
        <is>
          <t>B00J9S3YR0</t>
        </is>
      </c>
      <c r="G3961">
        <f>_xlfn.IMAGE("https://edmondsonsupply.com/cdn/shop/products/614-4.jpg?v=1587145143")</f>
        <v/>
      </c>
      <c r="H3961">
        <f>_xlfn.IMAGE("https://m.media-amazon.com/images/I/513EX6NxTCL._AC_UL320_.jpg")</f>
        <v/>
      </c>
      <c r="K3961" t="inlineStr">
        <is>
          <t>8.99</t>
        </is>
      </c>
      <c r="L3961" t="n">
        <v>23.31</v>
      </c>
      <c r="M3961" s="1" t="inlineStr">
        <is>
          <t>159.29%</t>
        </is>
      </c>
      <c r="N3961" s="7" t="n">
        <v>11.99</v>
      </c>
      <c r="O3961" t="n">
        <v>4.6</v>
      </c>
      <c r="P3961" t="n">
        <v>180</v>
      </c>
      <c r="R3961" t="inlineStr">
        <is>
          <t>InStock</t>
        </is>
      </c>
      <c r="S3961" t="inlineStr">
        <is>
          <t>13.62</t>
        </is>
      </c>
      <c r="T3961" t="inlineStr">
        <is>
          <t>4397839843428</t>
        </is>
      </c>
    </row>
    <row r="3962" hidden="1" ht="15.75" customHeight="1">
      <c r="A3962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962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962" t="inlineStr">
        <is>
          <t>Diablo Tools DMAPL4060 1/4 in. x 2 in. x 4 in. Rebar Demon™ SDS‑Plus 4‑Cutter Full Carbide Head Hammer Bit</t>
        </is>
      </c>
      <c r="D3962" t="inlineStr">
        <is>
          <t>Diablo by Freud DMAPL4050 3/16 in. x 6 in. x 8 in. Rebar Demon SDS-Plus 4-Cutter Full Carbide Head Hammer Bit Multi, One Size</t>
        </is>
      </c>
      <c r="E3962" s="2">
        <f>HYPERLINK("https://www.amazon.com/Diablo-SDS-Plus-4-Cutter-Carbide-Hammer/dp/B089LKWR9L/ref=sr_1_32?keywords=Diablo+Tools+DMAPL4060+1%2F4+in.+x+2+in.+x+4+in.+Rebar+Demon%E2%84%A2+SDS%E2%80%91Plus+4%E2%80%91Cutter+Full+Carbide+Head+Hammer+Bit&amp;qid=1694735165&amp;sr=8-32", "https://www.amazon.com/Diablo-SDS-Plus-4-Cutter-Carbide-Hammer/dp/B089LKWR9L/ref=sr_1_32?keywords=Diablo+Tools+DMAPL4060+1%2F4+in.+x+2+in.+x+4+in.+Rebar+Demon%E2%84%A2+SDS%E2%80%91Plus+4%E2%80%91Cutter+Full+Carbide+Head+Hammer+Bit&amp;qid=1694735165&amp;sr=8-32")</f>
        <v/>
      </c>
      <c r="F3962" t="inlineStr">
        <is>
          <t>B089LKWR9L</t>
        </is>
      </c>
      <c r="G3962">
        <f>_xludf.IMAGE("https://edmondsonsupply.com/cdn/shop/products/4060.webp?v=1647637028")</f>
        <v/>
      </c>
      <c r="H3962">
        <f>_xludf.IMAGE("https://m.media-amazon.com/images/I/61uukuKzJeL._AC_UL320_.jpg")</f>
        <v/>
      </c>
      <c r="K3962" t="inlineStr">
        <is>
          <t>3.47</t>
        </is>
      </c>
      <c r="L3962" t="n">
        <v>8.99</v>
      </c>
      <c r="M3962" s="1" t="inlineStr">
        <is>
          <t>159.08%</t>
        </is>
      </c>
      <c r="N3962" s="1" t="n">
        <v>11.86</v>
      </c>
      <c r="O3962" t="n">
        <v>3.7</v>
      </c>
      <c r="P3962" t="n">
        <v>10</v>
      </c>
      <c r="R3962" t="inlineStr">
        <is>
          <t>InStock</t>
        </is>
      </c>
      <c r="S3962" t="inlineStr">
        <is>
          <t>6.0</t>
        </is>
      </c>
      <c r="T3962" t="inlineStr">
        <is>
          <t>7639203807448</t>
        </is>
      </c>
    </row>
    <row r="3963" ht="87" customHeight="1">
      <c r="A3963" s="2">
        <f>HYPERLINK("https://edmondsonsupply.com/collections/electricians-tools/products/fluke-323-true-rms-clamp-meter", "https://edmondsonsupply.com/collections/electricians-tools/products/fluke-323-true-rms-clamp-meter")</f>
        <v/>
      </c>
      <c r="B3963" s="2">
        <f>HYPERLINK("https://edmondsonsupply.com/products/fluke-323-true-rms-clamp-meter", "https://edmondsonsupply.com/products/fluke-323-true-rms-clamp-meter")</f>
        <v/>
      </c>
      <c r="C3963" t="inlineStr">
        <is>
          <t>Fluke 323 True RMS Clamp Meter, 400A</t>
        </is>
      </c>
      <c r="D3963" t="inlineStr">
        <is>
          <t>Fluke 375 FC True-RMS AC/DC Clamp Meter, Measures AC/DC Current To 600 A and AC/DC Voltage To 1000 V, CAT III 1000 V, CAT IV 600 V Safety Rating, Includes Batteries and Soft Carrying Case</t>
        </is>
      </c>
      <c r="E3963" s="2">
        <f>HYPERLINK("https://www.amazon.com/Fluke-True-RMS-Measures-Batteries-Carrying/dp/B017OVC1U4/ref=sr_1_13?keywords=Fluke+323+True+RMS+Clamp+Meter%2C+400A&amp;qid=1694735132&amp;sr=8-13", "https://www.amazon.com/Fluke-True-RMS-Measures-Batteries-Carrying/dp/B017OVC1U4/ref=sr_1_13?keywords=Fluke+323+True+RMS+Clamp+Meter%2C+400A&amp;qid=1694735132&amp;sr=8-13")</f>
        <v/>
      </c>
      <c r="F3963" t="inlineStr">
        <is>
          <t>B017OVC1U4</t>
        </is>
      </c>
      <c r="G3963">
        <f>_xlfn.IMAGE("https://edmondsonsupply.com/cdn/shop/products/f-323-01c-1500x1000.webp?v=1662580792")</f>
        <v/>
      </c>
      <c r="H3963">
        <f>_xlfn.IMAGE("https://m.media-amazon.com/images/I/71-9RICQeuL._AC_UY218_.jpg")</f>
        <v/>
      </c>
      <c r="K3963" t="inlineStr">
        <is>
          <t>169.99</t>
        </is>
      </c>
      <c r="L3963" t="n">
        <v>440</v>
      </c>
      <c r="M3963" s="1" t="inlineStr">
        <is>
          <t>158.84%</t>
        </is>
      </c>
      <c r="N3963" s="7" t="n">
        <v>11.86</v>
      </c>
      <c r="O3963" t="n">
        <v>4.8</v>
      </c>
      <c r="P3963" t="n">
        <v>283</v>
      </c>
      <c r="R3963" t="inlineStr">
        <is>
          <t>InStock</t>
        </is>
      </c>
      <c r="S3963" t="inlineStr">
        <is>
          <t>184.99</t>
        </is>
      </c>
      <c r="T3963" t="inlineStr">
        <is>
          <t>7807599640792</t>
        </is>
      </c>
    </row>
    <row r="3964" ht="87" customHeight="1">
      <c r="A3964" s="2">
        <f>HYPERLINK("https://edmondsonsupply.com/collections/electricians-tools/products/klein-tools-70581-8-key-folding-hex-key-set-1-20-to-5-32-inch-sae", "https://edmondsonsupply.com/collections/electricians-tools/products/klein-tools-70581-8-key-folding-hex-key-set-1-20-to-5-32-inch-sae")</f>
        <v/>
      </c>
      <c r="B3964" s="2">
        <f>HYPERLINK("https://edmondsonsupply.com/products/klein-tools-70581-8-key-folding-hex-key-set-1-20-to-5-32-inch-sae", "https://edmondsonsupply.com/products/klein-tools-70581-8-key-folding-hex-key-set-1-20-to-5-32-inch-sae")</f>
        <v/>
      </c>
      <c r="C3964" t="inlineStr">
        <is>
          <t>Klein Tools 70581 Folding Hex Key Set, 8-Key, SAE Sizes</t>
        </is>
      </c>
      <c r="D3964" t="inlineStr">
        <is>
          <t>Klein Tools 70586 Folding TORX Key Set, 8-Key, SAE Sizes</t>
        </is>
      </c>
      <c r="E3964" s="2">
        <f>HYPERLINK("https://www.amazon.com/Folding-TORX-Klein-Tools-70586/dp/B0002RI8RI/ref=sr_1_4?keywords=Klein+Tools+70581+Folding+Hex+Key+Set%2C+8-Key%2C+SAE+Sizes&amp;qid=1694735356&amp;sr=8-4", "https://www.amazon.com/Folding-TORX-Klein-Tools-70586/dp/B0002RI8RI/ref=sr_1_4?keywords=Klein+Tools+70581+Folding+Hex+Key+Set%2C+8-Key%2C+SAE+Sizes&amp;qid=1694735356&amp;sr=8-4")</f>
        <v/>
      </c>
      <c r="F3964" t="inlineStr">
        <is>
          <t>B0002RI8RI</t>
        </is>
      </c>
      <c r="G3964">
        <f>_xlfn.IMAGE("https://edmondsonsupply.com/cdn/shop/products/70581.jpg?v=1587143189")</f>
        <v/>
      </c>
      <c r="H3964">
        <f>_xlfn.IMAGE("https://m.media-amazon.com/images/I/51FSDo5VcWL._AC_UL320_.jpg")</f>
        <v/>
      </c>
      <c r="K3964" t="inlineStr">
        <is>
          <t>6.97</t>
        </is>
      </c>
      <c r="L3964" t="n">
        <v>17.99</v>
      </c>
      <c r="M3964" s="1" t="inlineStr">
        <is>
          <t>158.11%</t>
        </is>
      </c>
      <c r="N3964" s="7" t="n">
        <v>11.76</v>
      </c>
      <c r="O3964" t="n">
        <v>4.8</v>
      </c>
      <c r="P3964" t="n">
        <v>163</v>
      </c>
      <c r="R3964" t="inlineStr">
        <is>
          <t>InStock</t>
        </is>
      </c>
      <c r="S3964" t="inlineStr">
        <is>
          <t>10.56</t>
        </is>
      </c>
      <c r="T3964" t="inlineStr">
        <is>
          <t>4432219865188</t>
        </is>
      </c>
    </row>
    <row r="3965" ht="87" customHeight="1">
      <c r="A3965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3965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3965" t="inlineStr">
        <is>
          <t>Diablo Tools DMAPL4040 3/16 in. x 4 in. x 6 in. Rebar Demon™ SDS-Plus 4-Cutter Full Carbide Head Hammer Bit</t>
        </is>
      </c>
      <c r="D3965" t="inlineStr">
        <is>
          <t>Diablo by Freud DMAPL4230 5/8 in. x 10 in. x 12 in. Rebar Demon SDS-Plus 4-Cutter Full Carbide Head Hammer Bit</t>
        </is>
      </c>
      <c r="E3965" s="2">
        <f>HYPERLINK("https://www.amazon.com/Diablo-Freud-DMAPL4230-SDS-Plus-4-Cutter/dp/B089LCN234/ref=sr_1_17?keywords=Diablo+Tools+DMAPL4040+3%2F16+in.+x+4+in.+x+6+in.+Rebar+Demon%E2%84%A2+SDS-Plus+4-Cutter+Full+Carbide+Head+Hammer+Bit&amp;qid=1694735297&amp;sr=8-17", "https://www.amazon.com/Diablo-Freud-DMAPL4230-SDS-Plus-4-Cutter/dp/B089LCN234/ref=sr_1_17?keywords=Diablo+Tools+DMAPL4040+3%2F16+in.+x+4+in.+x+6+in.+Rebar+Demon%E2%84%A2+SDS-Plus+4-Cutter+Full+Carbide+Head+Hammer+Bit&amp;qid=1694735297&amp;sr=8-17")</f>
        <v/>
      </c>
      <c r="F3965" t="inlineStr">
        <is>
          <t>B089LCN234</t>
        </is>
      </c>
      <c r="G3965">
        <f>_xlfn.IMAGE("https://edmondsonsupply.com/cdn/shop/products/DMAPL4040_Main-Image20200701.png?v=1633030358")</f>
        <v/>
      </c>
      <c r="H3965">
        <f>_xlfn.IMAGE("https://m.media-amazon.com/images/I/61r649wmyhL._AC_UL320_.jpg")</f>
        <v/>
      </c>
      <c r="K3965" t="inlineStr">
        <is>
          <t>8.47</t>
        </is>
      </c>
      <c r="L3965" t="n">
        <v>21.86</v>
      </c>
      <c r="M3965" s="1" t="inlineStr">
        <is>
          <t>158.09%</t>
        </is>
      </c>
      <c r="N3965" s="7" t="n">
        <v>11.75</v>
      </c>
      <c r="O3965" t="n">
        <v>4.7</v>
      </c>
      <c r="P3965" t="n">
        <v>47</v>
      </c>
      <c r="R3965" t="inlineStr">
        <is>
          <t>InStock</t>
        </is>
      </c>
      <c r="S3965" t="inlineStr">
        <is>
          <t>undefined</t>
        </is>
      </c>
      <c r="T3965" t="inlineStr">
        <is>
          <t>5286740426920</t>
        </is>
      </c>
    </row>
    <row r="3966" ht="87" customHeight="1">
      <c r="A3966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3966" s="2">
        <f>HYPERLINK("https://edmondsonsupply.com/products/klein-tools-d228-8-diagonal-cutting-pliers-high-leverage-8-inch", "https://edmondsonsupply.com/products/klein-tools-d228-8-diagonal-cutting-pliers-high-leverage-8-inch")</f>
        <v/>
      </c>
      <c r="C3966" t="inlineStr">
        <is>
          <t>Klein Tools D228-8 Diagonal Cutting Pliers, High-Leverage, 8-Inch</t>
        </is>
      </c>
      <c r="D3966" t="inlineStr">
        <is>
          <t>Klein Tools D232-8 End-Cutting Pliers, High-Leverage Wide Throat Clearance with Extended Handles for Longer Reach, 8-Inch</t>
        </is>
      </c>
      <c r="E3966" s="2">
        <f>HYPERLINK("https://www.amazon.com/End-Cutting-Pliers-Klein-Tools-D232-8/dp/B0002RI9NQ/ref=sr_1_23?keywords=Klein+Tools+D228-8+Diagonal+Cutting+Pliers%2C+High-Leverage%2C+8-Inch&amp;qid=1694735247&amp;sr=8-23", "https://www.amazon.com/End-Cutting-Pliers-Klein-Tools-D232-8/dp/B0002RI9NQ/ref=sr_1_23?keywords=Klein+Tools+D228-8+Diagonal+Cutting+Pliers%2C+High-Leverage%2C+8-Inch&amp;qid=1694735247&amp;sr=8-23")</f>
        <v/>
      </c>
      <c r="F3966" t="inlineStr">
        <is>
          <t>B0002RI9NQ</t>
        </is>
      </c>
      <c r="G3966">
        <f>_xlfn.IMAGE("https://edmondsonsupply.com/cdn/shop/products/d2288.jpg?v=1633030753")</f>
        <v/>
      </c>
      <c r="H3966">
        <f>_xlfn.IMAGE("https://m.media-amazon.com/images/I/41BnDDbBWSL._AC_UL320_.jpg")</f>
        <v/>
      </c>
      <c r="K3966" t="inlineStr">
        <is>
          <t>29.97</t>
        </is>
      </c>
      <c r="L3966" t="n">
        <v>76.94</v>
      </c>
      <c r="M3966" s="1" t="inlineStr">
        <is>
          <t>156.72%</t>
        </is>
      </c>
      <c r="N3966" s="7" t="n">
        <v>11.46</v>
      </c>
      <c r="O3966" t="n">
        <v>4.5</v>
      </c>
      <c r="P3966" t="n">
        <v>287</v>
      </c>
      <c r="R3966" t="inlineStr">
        <is>
          <t>InStock</t>
        </is>
      </c>
      <c r="S3966" t="inlineStr">
        <is>
          <t>42.78</t>
        </is>
      </c>
      <c r="T3966" t="inlineStr">
        <is>
          <t>5896908472488</t>
        </is>
      </c>
    </row>
    <row r="3967" ht="87" customHeight="1">
      <c r="A3967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967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967" t="inlineStr">
        <is>
          <t>Diablo Tools DMAPL4070 1/4 in. x 4 in. x 6 in. Rebar Demon™ SDS-Plus 4-Cutter Full Carbide Head Hammer Bit</t>
        </is>
      </c>
      <c r="D3967" t="inlineStr">
        <is>
          <t>Diablo by Freud DMAPL4200 1/2 in. x 16 in. x 18 in. Rebar Demon SDS-Plus 4-Cutter Full Carbide Head Hammer Bit</t>
        </is>
      </c>
      <c r="E3967" s="2">
        <f>HYPERLINK("https://www.amazon.com/Diablo-Freud-DMAPL4200-SDS-Plus-4-Cutter/dp/B089KW2QV1/ref=sr_1_20?keywords=Diablo+Tools+DMAPL4070+1%2F4+in.+x+4+in.+x+6+in.+Rebar+Demon%E2%84%A2+SDS-Plus+4-Cutter+Full+Carbide+Head+Hammer+Bit&amp;qid=1694735303&amp;sr=8-20", "https://www.amazon.com/Diablo-Freud-DMAPL4200-SDS-Plus-4-Cutter/dp/B089KW2QV1/ref=sr_1_20?keywords=Diablo+Tools+DMAPL4070+1%2F4+in.+x+4+in.+x+6+in.+Rebar+Demon%E2%84%A2+SDS-Plus+4-Cutter+Full+Carbide+Head+Hammer+Bit&amp;qid=1694735303&amp;sr=8-20")</f>
        <v/>
      </c>
      <c r="F3967" t="inlineStr">
        <is>
          <t>B089KW2QV1</t>
        </is>
      </c>
      <c r="G3967">
        <f>_xlfn.IMAGE("https://edmondsonsupply.com/cdn/shop/products/DMAPL4070_Main-Image20200701.png?v=1633030350")</f>
        <v/>
      </c>
      <c r="H3967">
        <f>_xlfn.IMAGE("https://m.media-amazon.com/images/I/61rW+ROVmNL._AC_UL320_.jpg")</f>
        <v/>
      </c>
      <c r="K3967" t="inlineStr">
        <is>
          <t>8.97</t>
        </is>
      </c>
      <c r="L3967" t="n">
        <v>23</v>
      </c>
      <c r="M3967" s="1" t="inlineStr">
        <is>
          <t>156.41%</t>
        </is>
      </c>
      <c r="N3967" s="7" t="n">
        <v>11.37</v>
      </c>
      <c r="O3967" t="n">
        <v>4.7</v>
      </c>
      <c r="P3967" t="n">
        <v>18</v>
      </c>
      <c r="R3967" t="inlineStr">
        <is>
          <t>InStock</t>
        </is>
      </c>
      <c r="S3967" t="inlineStr">
        <is>
          <t>undefined</t>
        </is>
      </c>
      <c r="T3967" t="inlineStr">
        <is>
          <t>5283100197032</t>
        </is>
      </c>
    </row>
    <row r="3968" ht="87" customHeight="1">
      <c r="A3968" s="2">
        <f>HYPERLINK("https://edmondsonsupply.com/collections/electricians-tools/products/diablo-tools-d0424x-4-1-2-in-x-24-tooth-framing-trim-saw-blade", "https://edmondsonsupply.com/collections/electricians-tools/products/diablo-tools-d0424x-4-1-2-in-x-24-tooth-framing-trim-saw-blade")</f>
        <v/>
      </c>
      <c r="B3968" s="2">
        <f>HYPERLINK("https://edmondsonsupply.com/products/diablo-tools-d0424x-4-1-2-in-x-24-tooth-framing-trim-saw-blade", "https://edmondsonsupply.com/products/diablo-tools-d0424x-4-1-2-in-x-24-tooth-framing-trim-saw-blade")</f>
        <v/>
      </c>
      <c r="C3968" t="inlineStr">
        <is>
          <t>Diablo Tools D0424X 4-1/2 in. x 24 Tooth Framing Trim Saw Blade</t>
        </is>
      </c>
      <c r="D3968" t="inlineStr">
        <is>
          <t>Freud D0624X Diablo 6-1/2-Inch 24-Tooth ATB Framing Saw Blade 5/8-Inch Arbor (4 Pack)</t>
        </is>
      </c>
      <c r="E3968" s="2">
        <f>HYPERLINK("https://www.amazon.com/D0624X-Diablo-2-Inch-24-Tooth-Framing/dp/B0772PYWSJ/ref=sr_1_8?keywords=Diablo+Tools+D0424X+4-1%2F2+in.+x+24+Tooth+Framing+Trim+Saw+Blade&amp;qid=1694735015&amp;sr=8-8", "https://www.amazon.com/D0624X-Diablo-2-Inch-24-Tooth-Framing/dp/B0772PYWSJ/ref=sr_1_8?keywords=Diablo+Tools+D0424X+4-1%2F2+in.+x+24+Tooth+Framing+Trim+Saw+Blade&amp;qid=1694735015&amp;sr=8-8")</f>
        <v/>
      </c>
      <c r="F3968" t="inlineStr">
        <is>
          <t>B0772PYWSJ</t>
        </is>
      </c>
      <c r="G3968">
        <f>_xlfn.IMAGE("https://edmondsonsupply.com/cdn/shop/products/kscyqpb4khjcxmaeciqc.webp?v=1679327311")</f>
        <v/>
      </c>
      <c r="H3968">
        <f>_xlfn.IMAGE("https://m.media-amazon.com/images/I/71s3EZsQVmL._AC_UL320_.jpg")</f>
        <v/>
      </c>
      <c r="K3968" t="inlineStr">
        <is>
          <t>14.97</t>
        </is>
      </c>
      <c r="L3968" t="n">
        <v>38.37</v>
      </c>
      <c r="M3968" s="1" t="inlineStr">
        <is>
          <t>156.31%</t>
        </is>
      </c>
      <c r="N3968" s="7" t="n">
        <v>11.2</v>
      </c>
      <c r="O3968" t="n">
        <v>4.8</v>
      </c>
      <c r="P3968" t="n">
        <v>173</v>
      </c>
      <c r="R3968" t="inlineStr">
        <is>
          <t>InStock</t>
        </is>
      </c>
      <c r="S3968" t="inlineStr">
        <is>
          <t>18.44</t>
        </is>
      </c>
      <c r="T3968" t="inlineStr">
        <is>
          <t>7964926083288</t>
        </is>
      </c>
    </row>
    <row r="3969" ht="87" customHeight="1">
      <c r="A3969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3969" s="2">
        <f>HYPERLINK("https://edmondsonsupply.com/products/klein-tools-ncvt1xt-non-contact-voltage-tester-70-to-1000v-ac", "https://edmondsonsupply.com/products/klein-tools-ncvt1xt-non-contact-voltage-tester-70-to-1000v-ac")</f>
        <v/>
      </c>
      <c r="C3969" t="inlineStr">
        <is>
          <t>Klein Tools NCVT1XT Non-Contact Voltage Tester, 70 to 1000V AC</t>
        </is>
      </c>
      <c r="D3969" t="inlineStr">
        <is>
          <t>Klein Tools Voltage Tester Kit with Electronic AC/DC Voltage Tester, GFCI Outlet Tester and Non-Contact Voltage Tester Pen, 3-Piece</t>
        </is>
      </c>
      <c r="E3969" s="2">
        <f>HYPERLINK("https://www.amazon.com/Klein-Tools-Voltage-Electronic-Non-Contact/dp/B0C8JZWTZY/ref=sr_1_30?keywords=Klein+Tools+NCVT1XT+Non-Contact+Voltage+Tester%2C+70+to+1000V+AC&amp;qid=1694735046&amp;sr=8-30", "https://www.amazon.com/Klein-Tools-Voltage-Electronic-Non-Contact/dp/B0C8JZWTZY/ref=sr_1_30?keywords=Klein+Tools+NCVT1XT+Non-Contact+Voltage+Tester%2C+70+to+1000V+AC&amp;qid=1694735046&amp;sr=8-30")</f>
        <v/>
      </c>
      <c r="F3969" t="inlineStr">
        <is>
          <t>B0C8JZWTZY</t>
        </is>
      </c>
      <c r="G3969">
        <f>_xlfn.IMAGE("https://edmondsonsupply.com/cdn/shop/products/ncvt1xt.jpg?v=1674496568")</f>
        <v/>
      </c>
      <c r="H3969">
        <f>_xlfn.IMAGE("https://m.media-amazon.com/images/I/31V2UrptDcL._AC_UL320_.jpg")</f>
        <v/>
      </c>
      <c r="K3969" t="inlineStr">
        <is>
          <t>19.97</t>
        </is>
      </c>
      <c r="L3969" t="n">
        <v>50.91</v>
      </c>
      <c r="M3969" s="1" t="inlineStr">
        <is>
          <t>154.93%</t>
        </is>
      </c>
      <c r="N3969" s="7" t="n">
        <v>11.15</v>
      </c>
      <c r="O3969" t="n">
        <v>4.8</v>
      </c>
      <c r="P3969" t="n">
        <v>7911</v>
      </c>
      <c r="R3969" t="inlineStr">
        <is>
          <t>InStock</t>
        </is>
      </c>
      <c r="S3969" t="inlineStr">
        <is>
          <t>26.32</t>
        </is>
      </c>
      <c r="T3969" t="inlineStr">
        <is>
          <t>7931947155672</t>
        </is>
      </c>
    </row>
    <row r="3970" hidden="1" ht="15.75" customHeight="1">
      <c r="A3970" s="2">
        <f>HYPERLINK("https://edmondsonsupply.com/collections/electricians-tools/products/diablo-tools-dmapl4060-1-4-in-x-2-in-x-4-in-rebar-demon%E2%84%A2-sds-plus-4-cutter-full-carbide-head-hammer-bit", "https://edmondsonsupply.com/collections/electricians-tools/products/diablo-tools-dmapl4060-1-4-in-x-2-in-x-4-in-rebar-demon%E2%84%A2-sds-plus-4-cutter-full-carbide-head-hammer-bit")</f>
        <v/>
      </c>
      <c r="B3970" s="2">
        <f>HYPERLINK("https://edmondsonsupply.com/products/diablo-tools-dmapl4060-1-4-in-x-2-in-x-4-in-rebar-demon%e2%84%a2-sds-plus-4-cutter-full-carbide-head-hammer-bit", "https://edmondsonsupply.com/products/diablo-tools-dmapl4060-1-4-in-x-2-in-x-4-in-rebar-demon%e2%84%a2-sds-plus-4-cutter-full-carbide-head-hammer-bit")</f>
        <v/>
      </c>
      <c r="C3970" t="inlineStr">
        <is>
          <t>Diablo Tools DMAPL4060 1/4 in. x 2 in. x 4 in. Rebar Demon™ SDS‑Plus 4‑Cutter Full Carbide Head Hammer Bit</t>
        </is>
      </c>
      <c r="D3970" t="inlineStr">
        <is>
          <t>Diablo by Freud Diablo DMAPL4070 1/4 in. x 4 in. x 6 in. Rebar Demon SDS-Plus 4-Cutter Full Carbide Head Hammer Bit</t>
        </is>
      </c>
      <c r="E3970" s="2">
        <f>HYPERLINK("https://www.amazon.com/Diablo-Freud-DMAPL4070-SDS-Plus-4-Cutter/dp/B089KVLDML/ref=sr_1_3?keywords=Diablo+Tools+DMAPL4060+1%2F4+in.+x+2+in.+x+4+in.+Rebar+Demon%E2%84%A2+SDS%E2%80%91Plus+4%E2%80%91Cutter+Full+Carbide+Head+Hammer+Bit&amp;qid=1694735165&amp;sr=8-3", "https://www.amazon.com/Diablo-Freud-DMAPL4070-SDS-Plus-4-Cutter/dp/B089KVLDML/ref=sr_1_3?keywords=Diablo+Tools+DMAPL4060+1%2F4+in.+x+2+in.+x+4+in.+Rebar+Demon%E2%84%A2+SDS%E2%80%91Plus+4%E2%80%91Cutter+Full+Carbide+Head+Hammer+Bit&amp;qid=1694735165&amp;sr=8-3")</f>
        <v/>
      </c>
      <c r="F3970" t="inlineStr">
        <is>
          <t>B089KVLDML</t>
        </is>
      </c>
      <c r="G3970">
        <f>_xludf.IMAGE("https://edmondsonsupply.com/cdn/shop/products/4060.webp?v=1647637028")</f>
        <v/>
      </c>
      <c r="H3970">
        <f>_xludf.IMAGE("https://m.media-amazon.com/images/I/61fLLQz5xPL._AC_UL320_.jpg")</f>
        <v/>
      </c>
      <c r="K3970" t="inlineStr">
        <is>
          <t>3.47</t>
        </is>
      </c>
      <c r="L3970" t="n">
        <v>8.84</v>
      </c>
      <c r="M3970" s="1" t="inlineStr">
        <is>
          <t>154.76%</t>
        </is>
      </c>
      <c r="N3970" s="1" t="n">
        <v>11.12</v>
      </c>
      <c r="O3970" t="n">
        <v>4.4</v>
      </c>
      <c r="P3970" t="n">
        <v>28</v>
      </c>
      <c r="R3970" t="inlineStr">
        <is>
          <t>InStock</t>
        </is>
      </c>
      <c r="S3970" t="inlineStr">
        <is>
          <t>6.0</t>
        </is>
      </c>
      <c r="T3970" t="inlineStr">
        <is>
          <t>7639203807448</t>
        </is>
      </c>
    </row>
    <row r="3971" hidden="1" ht="15.75" customHeight="1">
      <c r="A3971" s="2">
        <f>HYPERLINK("https://edmondsonsupply.com/collections/electricians-tools/products/channellock-528", "https://edmondsonsupply.com/collections/electricians-tools/products/channellock-528")</f>
        <v/>
      </c>
      <c r="B3971" s="2">
        <f>HYPERLINK("https://edmondsonsupply.com/products/channellock-528", "https://edmondsonsupply.com/products/channellock-528")</f>
        <v/>
      </c>
      <c r="C3971" t="inlineStr">
        <is>
          <t>Channellock 528 8-Inch Slip Joint Pliers</t>
        </is>
      </c>
      <c r="D3971" t="inlineStr">
        <is>
          <t>DURATECH Groove Slip Joint Set, Water Pump Pliers Set, V-Jaw Tongue and Quick Release Plumbing Pliers, 8-inch, 10-inch, 12-inch, CR-V Steel, Organized in Pouch</t>
        </is>
      </c>
      <c r="E3971" s="2">
        <f>HYPERLINK("https://www.amazon.com/DURATECH-Release-Plumbing-10-inch-Organized/dp/B0B24Z12GP/ref=sr_1_8?keywords=Channellock+528+8-Inch+Slip+Joint+Pliers&amp;qid=1694735315&amp;sr=8-8", "https://www.amazon.com/DURATECH-Release-Plumbing-10-inch-Organized/dp/B0B24Z12GP/ref=sr_1_8?keywords=Channellock+528+8-Inch+Slip+Joint+Pliers&amp;qid=1694735315&amp;sr=8-8")</f>
        <v/>
      </c>
      <c r="F3971" t="inlineStr">
        <is>
          <t>B0B24Z12GP</t>
        </is>
      </c>
      <c r="G3971">
        <f>_xludf.IMAGE("https://edmondsonsupply.com/cdn/shop/products/528-683x1024.jpg?v=1633030323")</f>
        <v/>
      </c>
      <c r="H3971">
        <f>_xludf.IMAGE("https://m.media-amazon.com/images/I/71P3FpU-rRL._AC_UL320_.jpg")</f>
        <v/>
      </c>
      <c r="K3971" t="inlineStr">
        <is>
          <t>12.95</t>
        </is>
      </c>
      <c r="L3971" t="n">
        <v>32.99</v>
      </c>
      <c r="M3971" s="1" t="inlineStr">
        <is>
          <t>154.75%</t>
        </is>
      </c>
      <c r="N3971" s="1" t="n">
        <v>11.12</v>
      </c>
      <c r="O3971" t="n">
        <v>3.9</v>
      </c>
      <c r="P3971" t="n">
        <v>215</v>
      </c>
      <c r="R3971" t="inlineStr">
        <is>
          <t>InStock</t>
        </is>
      </c>
      <c r="S3971" t="inlineStr">
        <is>
          <t>17.55</t>
        </is>
      </c>
      <c r="T3971" t="inlineStr">
        <is>
          <t>5245868966056</t>
        </is>
      </c>
    </row>
    <row r="3972" ht="87" customHeight="1">
      <c r="A3972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3972" s="2">
        <f>HYPERLINK("https://edmondsonsupply.com/products/diablo-tools-dmapl2530-1-in-x-16-in-x-18-in-sds-plus-2-cutter", "https://edmondsonsupply.com/products/diablo-tools-dmapl2530-1-in-x-16-in-x-18-in-sds-plus-2-cutter")</f>
        <v/>
      </c>
      <c r="C3972" t="inlineStr">
        <is>
          <t>Diablo Tools DMAPL2530 1 in. x 16 in. x 18 in. SDS-Plus 2-Cutter</t>
        </is>
      </c>
      <c r="D3972" t="inlineStr">
        <is>
          <t>Diablo DMAMX1360 1-1/2 in. x 16 in. x 21 in. Rebar Demon™ SDS-Max 4-Cutter Carbide-Tipped Hammer Bit</t>
        </is>
      </c>
      <c r="E3972" s="2">
        <f>HYPERLINK("https://www.amazon.com/Diablo-SDS-Max-4-Cutter-Carbide-Tipped-Hammer/dp/B089KXF4R5/ref=sr_1_33?keywords=Diablo+Tools+DMAPL2530+1+in.+x+16+in.+x+18+in.+SDS-Plus+2-Cutter&amp;qid=1694735204&amp;sr=8-33", "https://www.amazon.com/Diablo-SDS-Max-4-Cutter-Carbide-Tipped-Hammer/dp/B089KXF4R5/ref=sr_1_33?keywords=Diablo+Tools+DMAPL2530+1+in.+x+16+in.+x+18+in.+SDS-Plus+2-Cutter&amp;qid=1694735204&amp;sr=8-33")</f>
        <v/>
      </c>
      <c r="F3972" t="inlineStr">
        <is>
          <t>B089KXF4R5</t>
        </is>
      </c>
      <c r="G3972">
        <f>_xlfn.IMAGE("https://edmondsonsupply.com/cdn/shop/products/DMAPL2530_Main-Image20200703.png?v=1627068300")</f>
        <v/>
      </c>
      <c r="H3972">
        <f>_xlfn.IMAGE("https://m.media-amazon.com/images/I/61MTkJ-cWaL._AC_UL320_.jpg")</f>
        <v/>
      </c>
      <c r="K3972" t="inlineStr">
        <is>
          <t>38.97</t>
        </is>
      </c>
      <c r="L3972" t="n">
        <v>98.98999999999999</v>
      </c>
      <c r="M3972" s="1" t="inlineStr">
        <is>
          <t>154.02%</t>
        </is>
      </c>
      <c r="N3972" s="7" t="n">
        <v>11.11</v>
      </c>
      <c r="O3972" t="n">
        <v>5</v>
      </c>
      <c r="P3972" t="n">
        <v>5</v>
      </c>
      <c r="R3972" t="inlineStr">
        <is>
          <t>InStock</t>
        </is>
      </c>
      <c r="S3972" t="inlineStr">
        <is>
          <t>50.56</t>
        </is>
      </c>
      <c r="T3972" t="inlineStr">
        <is>
          <t>6839623778477</t>
        </is>
      </c>
    </row>
    <row r="3973" ht="87" customHeight="1">
      <c r="A3973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3973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3973" t="inlineStr">
        <is>
          <t>Klein Tools ET45VP AC/DC Voltage and GFCI Receptacle Outlet Test Kit</t>
        </is>
      </c>
      <c r="D3973" t="inlineStr">
        <is>
          <t>Klein Tools 80101 Home Tester Kit, GFCI Outlet and Receptacle Testers, Multimeter, NCVT, Circuit Breaker Finder, Leads, 6-Piece, Black</t>
        </is>
      </c>
      <c r="E3973" s="2">
        <f>HYPERLINK("https://www.amazon.com/Klein-Tools-Receptacle-Testers-Multimeter/dp/B0B7817ZG5/ref=sr_1_10?keywords=Klein+Tools+ET45VP+AC%2FDC+Voltage+and+GFCI+Receptacle+Outlet+Test+Kit&amp;qid=1694735138&amp;sr=8-10", "https://www.amazon.com/Klein-Tools-Receptacle-Testers-Multimeter/dp/B0B7817ZG5/ref=sr_1_10?keywords=Klein+Tools+ET45VP+AC%2FDC+Voltage+and+GFCI+Receptacle+Outlet+Test+Kit&amp;qid=1694735138&amp;sr=8-10")</f>
        <v/>
      </c>
      <c r="F3973" t="inlineStr">
        <is>
          <t>B0B7817ZG5</t>
        </is>
      </c>
      <c r="G3973">
        <f>_xlfn.IMAGE("https://edmondsonsupply.com/cdn/shop/products/et45vp.jpg?v=1660755922")</f>
        <v/>
      </c>
      <c r="H3973">
        <f>_xlfn.IMAGE("https://m.media-amazon.com/images/I/61wZRMpKAcL._AC_UL320_.jpg")</f>
        <v/>
      </c>
      <c r="K3973" t="inlineStr">
        <is>
          <t>17.97</t>
        </is>
      </c>
      <c r="L3973" t="n">
        <v>45.5</v>
      </c>
      <c r="M3973" s="1" t="inlineStr">
        <is>
          <t>153.20%</t>
        </is>
      </c>
      <c r="N3973" s="7" t="n">
        <v>11.06</v>
      </c>
      <c r="O3973" t="n">
        <v>4.7</v>
      </c>
      <c r="P3973" t="n">
        <v>403</v>
      </c>
      <c r="R3973" t="inlineStr">
        <is>
          <t>InStock</t>
        </is>
      </c>
      <c r="S3973" t="inlineStr">
        <is>
          <t>25.82</t>
        </is>
      </c>
      <c r="T3973" t="inlineStr">
        <is>
          <t>7783562084568</t>
        </is>
      </c>
    </row>
    <row r="3974" ht="87" customHeight="1">
      <c r="A3974" s="2">
        <f>HYPERLINK("https://edmondsonsupply.com/collections/electricians-tools/products/greenlee-k2bb-1-2-1-2-conduit-size-slug-buster%C2%AE-manual-knockout-set", "https://edmondsonsupply.com/collections/electricians-tools/products/greenlee-k2bb-1-2-1-2-conduit-size-slug-buster%C2%AE-manual-knockout-set")</f>
        <v/>
      </c>
      <c r="B3974" s="2">
        <f>HYPERLINK("https://edmondsonsupply.com/products/greenlee-k2bb-1-2-1-2-conduit-size-slug-buster%c2%ae-manual-knockout-set", "https://edmondsonsupply.com/products/greenlee-k2bb-1-2-1-2-conduit-size-slug-buster%c2%ae-manual-knockout-set")</f>
        <v/>
      </c>
      <c r="C3974" t="inlineStr">
        <is>
          <t>Greenlee K2BB-1/2 1/2" Conduit Size Slug-Buster® Manual Knockout Set</t>
        </is>
      </c>
      <c r="D3974" t="inlineStr">
        <is>
          <t>Greenlee, K2BB-2 replaces 7211BB-2, 2" Conduit Size Slug-Buster Knockout Set</t>
        </is>
      </c>
      <c r="E3974" s="2">
        <f>HYPERLINK("https://www.amazon.com/Greenlee-K2BB-2-Knockout-Set/dp/B07Y5QXV3N/ref=sr_1_6?keywords=Greenlee+K2BB-1%2F2+1%2F2%22+Conduit+Size+Slug-Buster%C2%AE+Manual+Knockout+Set&amp;qid=1694735363&amp;sr=8-6", "https://www.amazon.com/Greenlee-K2BB-2-Knockout-Set/dp/B07Y5QXV3N/ref=sr_1_6?keywords=Greenlee+K2BB-1%2F2+1%2F2%22+Conduit+Size+Slug-Buster%C2%AE+Manual+Knockout+Set&amp;qid=1694735363&amp;sr=8-6")</f>
        <v/>
      </c>
      <c r="F3974" t="inlineStr">
        <is>
          <t>B07Y5QXV3N</t>
        </is>
      </c>
      <c r="G3974">
        <f>_xlfn.IMAGE("https://edmondsonsupply.com/cdn/shop/products/K2BB-1-2-ASM.jpg?v=1587143891")</f>
        <v/>
      </c>
      <c r="H3974">
        <f>_xlfn.IMAGE("https://m.media-amazon.com/images/I/811L159og+L._AC_UL320_.jpg")</f>
        <v/>
      </c>
      <c r="K3974" t="inlineStr">
        <is>
          <t>49.8</t>
        </is>
      </c>
      <c r="L3974" t="n">
        <v>125.89</v>
      </c>
      <c r="M3974" s="1" t="inlineStr">
        <is>
          <t>152.79%</t>
        </is>
      </c>
      <c r="N3974" s="7" t="n">
        <v>11.06</v>
      </c>
      <c r="O3974" t="n">
        <v>5</v>
      </c>
      <c r="P3974" t="n">
        <v>9</v>
      </c>
      <c r="R3974" t="inlineStr">
        <is>
          <t>InStock</t>
        </is>
      </c>
      <c r="S3974" t="inlineStr">
        <is>
          <t>52.7</t>
        </is>
      </c>
      <c r="T3974" t="inlineStr">
        <is>
          <t>4431353774180</t>
        </is>
      </c>
    </row>
    <row r="3975" ht="87" customHeight="1">
      <c r="A3975" s="2">
        <f>HYPERLINK("https://edmondsonsupply.com/collections/electricians-tools/products/milwaukee-48-03-3025-sds-max-to-sds-plus-bit-adapter", "https://edmondsonsupply.com/collections/electricians-tools/products/milwaukee-48-03-3025-sds-max-to-sds-plus-bit-adapter")</f>
        <v/>
      </c>
      <c r="B3975" s="2">
        <f>HYPERLINK("https://edmondsonsupply.com/products/milwaukee-48-03-3025-sds-max-to-sds-plus-bit-adapter", "https://edmondsonsupply.com/products/milwaukee-48-03-3025-sds-max-to-sds-plus-bit-adapter")</f>
        <v/>
      </c>
      <c r="C3975" t="inlineStr">
        <is>
          <t>Milwaukee 48-03-3025 SDS Max to SDS Plus Bit Adapter</t>
        </is>
      </c>
      <c r="D3975" t="inlineStr">
        <is>
          <t>Milwaukee 48-03-3012 SDS-Max to Spline Adapter</t>
        </is>
      </c>
      <c r="E3975" s="2">
        <f>HYPERLINK("https://www.amazon.com/Milwaukee-48-03-3012-SDS-Max-Spline-Adapter/dp/B00I3PGEOA/ref=sr_1_3?keywords=Milwaukee+48-03-3025+SDS+Max+to+SDS+Plus+Bit+Adapter&amp;qid=1694735057&amp;sr=8-3", "https://www.amazon.com/Milwaukee-48-03-3012-SDS-Max-Spline-Adapter/dp/B00I3PGEOA/ref=sr_1_3?keywords=Milwaukee+48-03-3025+SDS+Max+to+SDS+Plus+Bit+Adapter&amp;qid=1694735057&amp;sr=8-3")</f>
        <v/>
      </c>
      <c r="F3975" t="inlineStr">
        <is>
          <t>B00I3PGEOA</t>
        </is>
      </c>
      <c r="G3975">
        <f>_xlfn.IMAGE("https://edmondsonsupply.com/cdn/shop/products/48-03-3025_1.png?v=1674073468")</f>
        <v/>
      </c>
      <c r="H3975">
        <f>_xlfn.IMAGE("https://m.media-amazon.com/images/I/61QrQEYLIrL._AC_UL320_.jpg")</f>
        <v/>
      </c>
      <c r="K3975" t="inlineStr">
        <is>
          <t>67.75</t>
        </is>
      </c>
      <c r="L3975" t="n">
        <v>170.97</v>
      </c>
      <c r="M3975" s="1" t="inlineStr">
        <is>
          <t>152.35%</t>
        </is>
      </c>
      <c r="N3975" s="7" t="n">
        <v>11.05</v>
      </c>
      <c r="O3975" t="n">
        <v>4.6</v>
      </c>
      <c r="P3975" t="n">
        <v>2</v>
      </c>
      <c r="R3975" t="inlineStr">
        <is>
          <t>InStock</t>
        </is>
      </c>
      <c r="S3975" t="inlineStr">
        <is>
          <t>122.6</t>
        </is>
      </c>
      <c r="T3975" t="inlineStr">
        <is>
          <t>7926094758104</t>
        </is>
      </c>
    </row>
    <row r="3976" ht="87" customHeight="1">
      <c r="A3976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3976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3976" t="inlineStr">
        <is>
          <t>Diablo Tools DMAPL4090 1/4 in. x 10 in. x 12 in. Rebar Demon™ SDS‑Plus 4‑Cutter Full Carbide Head Hammer Bit</t>
        </is>
      </c>
      <c r="D3976" t="inlineStr">
        <is>
          <t>Diablo by Freud DMAPL4270 27/32 in. x 8 in. x 10 in. Rebar Demon SDS-Plus 4-Cutter Full Carbide Head Hammer Bit</t>
        </is>
      </c>
      <c r="E3976" s="2">
        <f>HYPERLINK("https://www.amazon.com/Diablo-Freud-DMAPL4270-SDS-Plus-4-Cutter/dp/B089KXBGLM/ref=sr_1_9?keywords=Diablo+Tools+DMAPL4090+1%2F4+in.+x+10+in.+x+12+in.+Rebar+Demon%E2%84%A2+SDS%E2%80%91Plus+4%E2%80%91Cutter+Full+Carbide+Head+Hammer+Bit&amp;qid=1694735288&amp;sr=8-9", "https://www.amazon.com/Diablo-Freud-DMAPL4270-SDS-Plus-4-Cutter/dp/B089KXBGLM/ref=sr_1_9?keywords=Diablo+Tools+DMAPL4090+1%2F4+in.+x+10+in.+x+12+in.+Rebar+Demon%E2%84%A2+SDS%E2%80%91Plus+4%E2%80%91Cutter+Full+Carbide+Head+Hammer+Bit&amp;qid=1694735288&amp;sr=8-9")</f>
        <v/>
      </c>
      <c r="F3976" t="inlineStr">
        <is>
          <t>B089KXBGLM</t>
        </is>
      </c>
      <c r="G3976">
        <f>_xlfn.IMAGE("https://edmondsonsupply.com/cdn/shop/products/nf6i5llohxcmlh9huvf0.webp?v=1670438124")</f>
        <v/>
      </c>
      <c r="H3976">
        <f>_xlfn.IMAGE("https://m.media-amazon.com/images/I/611A6sphG9L._AC_UL320_.jpg")</f>
        <v/>
      </c>
      <c r="K3976" t="inlineStr">
        <is>
          <t>11.97</t>
        </is>
      </c>
      <c r="L3976" t="n">
        <v>30.13</v>
      </c>
      <c r="M3976" s="1" t="inlineStr">
        <is>
          <t>151.71%</t>
        </is>
      </c>
      <c r="N3976" s="7" t="n">
        <v>10.52</v>
      </c>
      <c r="O3976" t="n">
        <v>5</v>
      </c>
      <c r="P3976" t="n">
        <v>2</v>
      </c>
      <c r="R3976" t="inlineStr">
        <is>
          <t>InStock</t>
        </is>
      </c>
      <c r="S3976" t="inlineStr">
        <is>
          <t>16.41</t>
        </is>
      </c>
      <c r="T3976" t="inlineStr">
        <is>
          <t>5317905973416</t>
        </is>
      </c>
    </row>
    <row r="3977" hidden="1" ht="15.75" customHeight="1">
      <c r="A3977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3977" s="2">
        <f>HYPERLINK("https://edmondsonsupply.com/products/klein-tools-jth6m4-4-mm-hex-with-journeyman-t-handle-6-inch", "https://edmondsonsupply.com/products/klein-tools-jth6m4-4-mm-hex-with-journeyman-t-handle-6-inch")</f>
        <v/>
      </c>
      <c r="C3977" t="inlineStr">
        <is>
          <t>Klein Tools JTH6M4 4 mm Hex with Journeyman T-Handle 6-Inch</t>
        </is>
      </c>
      <c r="D3977" t="inlineStr">
        <is>
          <t>Klein Tools JTH9M5 5 mm Hex Key with Journeyman T-Handle, 9-Inch</t>
        </is>
      </c>
      <c r="E3977" s="2">
        <f>HYPERLINK("https://www.amazon.com/Journeyman-T-Handle-Klein-Tools-JTH9M5/dp/B005G3HJDW/ref=sr_1_10?keywords=Klein+Tools+JTH6M4+4+mm+Hex+with+Journeyman+T-Handle+6-Inch&amp;qid=1694735242&amp;sr=8-10", "https://www.amazon.com/Journeyman-T-Handle-Klein-Tools-JTH9M5/dp/B005G3HJDW/ref=sr_1_10?keywords=Klein+Tools+JTH6M4+4+mm+Hex+with+Journeyman+T-Handle+6-Inch&amp;qid=1694735242&amp;sr=8-10")</f>
        <v/>
      </c>
      <c r="F3977" t="inlineStr">
        <is>
          <t>B005G3HJDW</t>
        </is>
      </c>
      <c r="G3977">
        <f>_xludf.IMAGE("https://edmondsonsupply.com/cdn/shop/products/jth6m8_21839492-f844-4577-89b7-6c2cb1d02f31.jpg?v=1603052109")</f>
        <v/>
      </c>
      <c r="H3977">
        <f>_xludf.IMAGE("https://m.media-amazon.com/images/I/51O91N8K8wL._AC_UL320_.jpg")</f>
        <v/>
      </c>
      <c r="K3977" t="inlineStr">
        <is>
          <t>3.99</t>
        </is>
      </c>
      <c r="L3977" t="n">
        <v>10.04</v>
      </c>
      <c r="M3977" s="1" t="inlineStr">
        <is>
          <t>151.63%</t>
        </is>
      </c>
      <c r="N3977" s="1" t="n">
        <v>10.4</v>
      </c>
      <c r="O3977" t="n">
        <v>4.7</v>
      </c>
      <c r="P3977" t="n">
        <v>160</v>
      </c>
      <c r="R3977" t="inlineStr">
        <is>
          <t>InStock</t>
        </is>
      </c>
      <c r="S3977" t="inlineStr">
        <is>
          <t>6.04</t>
        </is>
      </c>
      <c r="T3977" t="inlineStr">
        <is>
          <t>5963077157032</t>
        </is>
      </c>
    </row>
    <row r="3978" hidden="1" ht="15.75" customHeight="1">
      <c r="A3978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3978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3978" t="inlineStr">
        <is>
          <t>Klein Tools JTH6M5 5 mm Hex Key, Journeyman T-Handle, 6-Inch</t>
        </is>
      </c>
      <c r="D3978" t="inlineStr">
        <is>
          <t>Klein Tools JTH9M5 5 mm Hex Key with Journeyman T-Handle, 9-Inch</t>
        </is>
      </c>
      <c r="E3978" s="2">
        <f>HYPERLINK("https://www.amazon.com/Journeyman-T-Handle-Klein-Tools-JTH9M5/dp/B005G3HJDW/ref=sr_1_4?keywords=Klein+Tools+JTH6M5+5+mm+Hex+Key%2C+Journeyman+T-Handle%2C+6-Inch&amp;qid=1694735404&amp;sr=8-4", "https://www.amazon.com/Journeyman-T-Handle-Klein-Tools-JTH9M5/dp/B005G3HJDW/ref=sr_1_4?keywords=Klein+Tools+JTH6M5+5+mm+Hex+Key%2C+Journeyman+T-Handle%2C+6-Inch&amp;qid=1694735404&amp;sr=8-4")</f>
        <v/>
      </c>
      <c r="F3978" t="inlineStr">
        <is>
          <t>B005G3HJDW</t>
        </is>
      </c>
      <c r="G3978">
        <f>_xludf.IMAGE("https://edmondsonsupply.com/cdn/shop/products/jth6m8_86ab4962-b2b5-468b-a9d8-cba525456227.jpg?v=1587150411")</f>
        <v/>
      </c>
      <c r="H3978">
        <f>_xludf.IMAGE("https://m.media-amazon.com/images/I/51O91N8K8wL._AC_UL320_.jpg")</f>
        <v/>
      </c>
      <c r="K3978" t="inlineStr">
        <is>
          <t>3.99</t>
        </is>
      </c>
      <c r="L3978" t="n">
        <v>10.04</v>
      </c>
      <c r="M3978" s="1" t="inlineStr">
        <is>
          <t>151.63%</t>
        </is>
      </c>
      <c r="N3978" s="1" t="n">
        <v>10.32</v>
      </c>
      <c r="O3978" t="n">
        <v>4.7</v>
      </c>
      <c r="P3978" t="n">
        <v>160</v>
      </c>
      <c r="R3978" t="inlineStr">
        <is>
          <t>InStock</t>
        </is>
      </c>
      <c r="S3978" t="inlineStr">
        <is>
          <t>6.04</t>
        </is>
      </c>
      <c r="T3978" t="inlineStr">
        <is>
          <t>4391573028964</t>
        </is>
      </c>
    </row>
    <row r="3979" ht="87" customHeight="1">
      <c r="A3979" s="2">
        <f>HYPERLINK("https://edmondsonsupply.com/collections/electricians-tools/products/klein-tools-et130-digital-light-meter", "https://edmondsonsupply.com/collections/electricians-tools/products/klein-tools-et130-digital-light-meter")</f>
        <v/>
      </c>
      <c r="B3979" s="2">
        <f>HYPERLINK("https://edmondsonsupply.com/products/klein-tools-et130-digital-light-meter", "https://edmondsonsupply.com/products/klein-tools-et130-digital-light-meter")</f>
        <v/>
      </c>
      <c r="C3979" t="inlineStr">
        <is>
          <t>Klein Tools ET130 Digital Light Meter</t>
        </is>
      </c>
      <c r="D3979" t="inlineStr">
        <is>
          <t>REED Instruments R8050 Dual Range Sound Level Meter &amp; Klein Tools ET130 Digital Light Meter</t>
        </is>
      </c>
      <c r="E3979" s="2">
        <f>HYPERLINK("https://www.amazon.com/REED-Instruments-R8050-Range-Digital/dp/B0BXJD2488/ref=sr_1_6?keywords=Klein+Tools+ET130+Digital+Light+Meter&amp;qid=1694734984&amp;sr=8-6", "https://www.amazon.com/REED-Instruments-R8050-Range-Digital/dp/B0BXJD2488/ref=sr_1_6?keywords=Klein+Tools+ET130+Digital+Light+Meter&amp;qid=1694734984&amp;sr=8-6")</f>
        <v/>
      </c>
      <c r="F3979" t="inlineStr">
        <is>
          <t>B0BXJD2488</t>
        </is>
      </c>
      <c r="G3979">
        <f>_xlfn.IMAGE("https://edmondsonsupply.com/cdn/shop/products/et130_alt5.jpg?v=1611263497")</f>
        <v/>
      </c>
      <c r="H3979">
        <f>_xlfn.IMAGE("https://m.media-amazon.com/images/I/51mr7eH-v1L._AC_UL320_.jpg")</f>
        <v/>
      </c>
      <c r="K3979" t="inlineStr">
        <is>
          <t>84.97</t>
        </is>
      </c>
      <c r="L3979" t="n">
        <v>213.41</v>
      </c>
      <c r="M3979" s="1" t="inlineStr">
        <is>
          <t>151.16%</t>
        </is>
      </c>
      <c r="N3979" s="7" t="n">
        <v>10.23</v>
      </c>
      <c r="O3979" t="n">
        <v>4.4</v>
      </c>
      <c r="P3979" t="n">
        <v>111</v>
      </c>
      <c r="R3979" t="inlineStr">
        <is>
          <t>InStock</t>
        </is>
      </c>
      <c r="S3979" t="inlineStr">
        <is>
          <t>107.36</t>
        </is>
      </c>
      <c r="T3979" t="inlineStr">
        <is>
          <t>4410473349220</t>
        </is>
      </c>
    </row>
    <row r="3980" ht="87" customHeight="1">
      <c r="A3980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3980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3980" t="inlineStr">
        <is>
          <t>Diablo Tools DMAPL4070 1/4 in. x 4 in. x 6 in. Rebar Demon™ SDS-Plus 4-Cutter Full Carbide Head Hammer Bit</t>
        </is>
      </c>
      <c r="D3980" t="inlineStr">
        <is>
          <t>Diablo by Freud DMAPL4230 5/8 in. x 10 in. x 12 in. Rebar Demon SDS-Plus 4-Cutter Full Carbide Head Hammer Bit</t>
        </is>
      </c>
      <c r="E3980" s="2">
        <f>HYPERLINK("https://www.amazon.com/Diablo-Freud-DMAPL4230-SDS-Plus-4-Cutter/dp/B089LCN234/ref=sr_1_26?keywords=Diablo+Tools+DMAPL4070+1%2F4+in.+x+4+in.+x+6+in.+Rebar+Demon%E2%84%A2+SDS-Plus+4-Cutter+Full+Carbide+Head+Hammer+Bit&amp;qid=1694735303&amp;sr=8-26", "https://www.amazon.com/Diablo-Freud-DMAPL4230-SDS-Plus-4-Cutter/dp/B089LCN234/ref=sr_1_26?keywords=Diablo+Tools+DMAPL4070+1%2F4+in.+x+4+in.+x+6+in.+Rebar+Demon%E2%84%A2+SDS-Plus+4-Cutter+Full+Carbide+Head+Hammer+Bit&amp;qid=1694735303&amp;sr=8-26")</f>
        <v/>
      </c>
      <c r="F3980" t="inlineStr">
        <is>
          <t>B089LCN234</t>
        </is>
      </c>
      <c r="G3980">
        <f>_xlfn.IMAGE("https://edmondsonsupply.com/cdn/shop/products/DMAPL4070_Main-Image20200701.png?v=1633030350")</f>
        <v/>
      </c>
      <c r="H3980">
        <f>_xlfn.IMAGE("https://m.media-amazon.com/images/I/61r649wmyhL._AC_UL320_.jpg")</f>
        <v/>
      </c>
      <c r="K3980" t="inlineStr">
        <is>
          <t>8.97</t>
        </is>
      </c>
      <c r="L3980" t="n">
        <v>22.51</v>
      </c>
      <c r="M3980" s="1" t="inlineStr">
        <is>
          <t>150.95%</t>
        </is>
      </c>
      <c r="N3980" s="7" t="n">
        <v>10.08</v>
      </c>
      <c r="O3980" t="n">
        <v>4.7</v>
      </c>
      <c r="P3980" t="n">
        <v>47</v>
      </c>
      <c r="R3980" t="inlineStr">
        <is>
          <t>InStock</t>
        </is>
      </c>
      <c r="S3980" t="inlineStr">
        <is>
          <t>undefined</t>
        </is>
      </c>
      <c r="T3980" t="inlineStr">
        <is>
          <t>5283100197032</t>
        </is>
      </c>
    </row>
    <row r="3981" ht="87" customHeight="1">
      <c r="A3981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3981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3981" t="inlineStr">
        <is>
          <t>Klein Tools JTH9E13 1/4-Inch Hex Key with Journeyman T-Handle, 9-Inch</t>
        </is>
      </c>
      <c r="D3981" t="inlineStr">
        <is>
          <t>Klein Tools JTH9M8 8 mm Hex Key with Journeyman T-Handle, 9-Inch</t>
        </is>
      </c>
      <c r="E3981" s="2">
        <f>HYPERLINK("https://www.amazon.com/Journeyman-T-Handle-Klein-Tools-JTH9M8/dp/B005G3HJSC/ref=sr_1_9?keywords=Klein+Tools+JTH9E13+1%2F4-Inch+Hex+Key+with+Journeyman+T-Handle%2C+9-Inch&amp;qid=1694735245&amp;sr=8-9", "https://www.amazon.com/Journeyman-T-Handle-Klein-Tools-JTH9M8/dp/B005G3HJSC/ref=sr_1_9?keywords=Klein+Tools+JTH9E13+1%2F4-Inch+Hex+Key+with+Journeyman+T-Handle%2C+9-Inch&amp;qid=1694735245&amp;sr=8-9")</f>
        <v/>
      </c>
      <c r="F3981" t="inlineStr">
        <is>
          <t>B005G3HJSC</t>
        </is>
      </c>
      <c r="G3981">
        <f>_xlfn.IMAGE("https://edmondsonsupply.com/cdn/shop/products/jth9e12_7dcdbf9a-5acd-4824-8919-6aeb4a790072.jpg?v=1604060723")</f>
        <v/>
      </c>
      <c r="H3981">
        <f>_xlfn.IMAGE("https://m.media-amazon.com/images/I/51+1x0vz9XL._AC_UL320_.jpg")</f>
        <v/>
      </c>
      <c r="K3981" t="inlineStr">
        <is>
          <t>6.49</t>
        </is>
      </c>
      <c r="L3981" t="n">
        <v>16.27</v>
      </c>
      <c r="M3981" s="1" t="inlineStr">
        <is>
          <t>150.69%</t>
        </is>
      </c>
      <c r="N3981" s="7" t="n">
        <v>10.02</v>
      </c>
      <c r="O3981" t="n">
        <v>5</v>
      </c>
      <c r="P3981" t="n">
        <v>4</v>
      </c>
      <c r="R3981" t="inlineStr">
        <is>
          <t>InStock</t>
        </is>
      </c>
      <c r="S3981" t="inlineStr">
        <is>
          <t>9.84</t>
        </is>
      </c>
      <c r="T3981" t="inlineStr">
        <is>
          <t>5999069462696</t>
        </is>
      </c>
    </row>
    <row r="3982" hidden="1" ht="15.75" customHeight="1">
      <c r="A3982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3982" s="2">
        <f>HYPERLINK("https://edmondsonsupply.com/products/diablo-tools-dsp1060-1-in-x-4-in-spade-bit", "https://edmondsonsupply.com/products/diablo-tools-dsp1060-1-in-x-4-in-spade-bit")</f>
        <v/>
      </c>
      <c r="C3982" t="inlineStr">
        <is>
          <t>Diablo Tools DSP1060 1 in. x 4 in. Spade Bit</t>
        </is>
      </c>
      <c r="D3982" t="inlineStr">
        <is>
          <t>Diablo 1-1/4 in. x 4 in. SPEEDemon Spade Bit</t>
        </is>
      </c>
      <c r="E3982" s="2">
        <f>HYPERLINK("https://www.amazon.com/Diablo-1-1-SPEEDemon-Spade-Bit/dp/B089KV1WTG/ref=sr_1_10?keywords=Diablo+Tools+DSP1060+1+in.+x+4+in.+Spade+Bit&amp;qid=1694735068&amp;sr=8-10", "https://www.amazon.com/Diablo-1-1-SPEEDemon-Spade-Bit/dp/B089KV1WTG/ref=sr_1_10?keywords=Diablo+Tools+DSP1060+1+in.+x+4+in.+Spade+Bit&amp;qid=1694735068&amp;sr=8-10")</f>
        <v/>
      </c>
      <c r="F3982" t="inlineStr">
        <is>
          <t>B089KV1WTG</t>
        </is>
      </c>
      <c r="G3982">
        <f>_xludf.IMAGE("https://edmondsonsupply.com/cdn/shop/products/hanbmwlurgioczoyawta.webp?v=1670510289")</f>
        <v/>
      </c>
      <c r="H3982">
        <f>_xludf.IMAGE("https://m.media-amazon.com/images/I/61dmt3cybhL._AC_UL320_.jpg")</f>
        <v/>
      </c>
      <c r="K3982" t="inlineStr">
        <is>
          <t>2.59</t>
        </is>
      </c>
      <c r="L3982" t="n">
        <v>6.49</v>
      </c>
      <c r="M3982" s="1" t="inlineStr">
        <is>
          <t>150.58%</t>
        </is>
      </c>
      <c r="N3982" s="1" t="n">
        <v>10.02</v>
      </c>
      <c r="O3982" t="n">
        <v>4.7</v>
      </c>
      <c r="P3982" t="n">
        <v>27</v>
      </c>
      <c r="R3982" t="inlineStr">
        <is>
          <t>InStock</t>
        </is>
      </c>
      <c r="S3982" t="inlineStr">
        <is>
          <t>2.96</t>
        </is>
      </c>
      <c r="T3982" t="inlineStr">
        <is>
          <t>7901168730328</t>
        </is>
      </c>
    </row>
    <row r="3983" ht="87" customHeight="1">
      <c r="A3983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3983" s="2">
        <f>HYPERLINK("https://edmondsonsupply.com/products/klein-tools-rt110-receptacle-tester", "https://edmondsonsupply.com/products/klein-tools-rt110-receptacle-tester")</f>
        <v/>
      </c>
      <c r="C3983" t="inlineStr">
        <is>
          <t>Klein Tools RT110 Receptacle Tester</t>
        </is>
      </c>
      <c r="D3983" t="inlineStr">
        <is>
          <t>Klein Tools NCVT1PKIT Electrical Tester Kit with Non-Contact Volt Tester, 50 to 1000V AC and GFCI Receptacle Tester, 2-Piece</t>
        </is>
      </c>
      <c r="E3983" s="2">
        <f>HYPERLINK("https://www.amazon.com/Klein-Tools-NCVT1PKIT-Electrical-Non-Contact/dp/B0BS5SCNJ1/ref=sr_1_9?keywords=Klein+Tools+RT110+Receptacle+Tester&amp;qid=1694735205&amp;sr=8-9", "https://www.amazon.com/Klein-Tools-NCVT1PKIT-Electrical-Non-Contact/dp/B0BS5SCNJ1/ref=sr_1_9?keywords=Klein+Tools+RT110+Receptacle+Tester&amp;qid=1694735205&amp;sr=8-9")</f>
        <v/>
      </c>
      <c r="F3983" t="inlineStr">
        <is>
          <t>B0BS5SCNJ1</t>
        </is>
      </c>
      <c r="G3983">
        <f>_xlfn.IMAGE("https://edmondsonsupply.com/cdn/shop/products/rt110.jpg?v=1633031036")</f>
        <v/>
      </c>
      <c r="H3983">
        <f>_xlfn.IMAGE("https://m.media-amazon.com/images/I/51CD2DGal7L._AC_UL320_.jpg")</f>
        <v/>
      </c>
      <c r="K3983" t="inlineStr">
        <is>
          <t>9.97</t>
        </is>
      </c>
      <c r="L3983" t="n">
        <v>24.97</v>
      </c>
      <c r="M3983" s="1" t="inlineStr">
        <is>
          <t>150.45%</t>
        </is>
      </c>
      <c r="N3983" s="7" t="n">
        <v>10.01</v>
      </c>
      <c r="O3983" t="n">
        <v>4.4</v>
      </c>
      <c r="P3983" t="n">
        <v>31</v>
      </c>
      <c r="R3983" t="inlineStr">
        <is>
          <t>InStock</t>
        </is>
      </c>
      <c r="S3983" t="inlineStr">
        <is>
          <t>12.12</t>
        </is>
      </c>
      <c r="T3983" t="inlineStr">
        <is>
          <t>6740486619309</t>
        </is>
      </c>
    </row>
    <row r="3984" ht="87" customHeight="1">
      <c r="A3984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3984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3984" t="inlineStr">
        <is>
          <t>Milwaukee 48-39-0572 18 TPI Standard Compact Portable Band Saw Blade BULK 100</t>
        </is>
      </c>
      <c r="D3984" t="inlineStr">
        <is>
          <t>Milwaukee 48-39-0572 Sub-Compact Portable Band Saw Blades, 27-Inch 18TPI, 3 Blades per Pack, 3 Pack (9 Blades Total)</t>
        </is>
      </c>
      <c r="E3984" s="2">
        <f>HYPERLINK("https://www.amazon.com/Milwaukee-48-39-0572-Sub-Compact-Portable-27-Inch/dp/B084GCHPC3/ref=sr_1_6?keywords=Milwaukee+48-39-0572+18+TPI+Standard+Compact+Portable+Band+Saw+Blade+BULK+100&amp;qid=1694735025&amp;sr=8-6", "https://www.amazon.com/Milwaukee-48-39-0572-Sub-Compact-Portable-27-Inch/dp/B084GCHPC3/ref=sr_1_6?keywords=Milwaukee+48-39-0572+18+TPI+Standard+Compact+Portable+Band+Saw+Blade+BULK+100&amp;qid=1694735025&amp;sr=8-6")</f>
        <v/>
      </c>
      <c r="F3984" t="inlineStr">
        <is>
          <t>B084GCHPC3</t>
        </is>
      </c>
      <c r="G3984">
        <f>_xlfn.IMAGE("https://edmondsonsupply.com/cdn/shop/products/21432_48-39-0510.jpg?v=1678901662")</f>
        <v/>
      </c>
      <c r="H3984">
        <f>_xlfn.IMAGE("https://m.media-amazon.com/images/I/71bCNL-RA5L._AC_UL320_.jpg")</f>
        <v/>
      </c>
      <c r="K3984" t="inlineStr">
        <is>
          <t>21.97</t>
        </is>
      </c>
      <c r="L3984" t="n">
        <v>54.99</v>
      </c>
      <c r="M3984" s="1" t="inlineStr">
        <is>
          <t>150.30%</t>
        </is>
      </c>
      <c r="N3984" s="7" t="n">
        <v>10.01</v>
      </c>
      <c r="O3984" t="n">
        <v>4.6</v>
      </c>
      <c r="P3984" t="n">
        <v>77</v>
      </c>
      <c r="R3984" t="inlineStr">
        <is>
          <t>InStock</t>
        </is>
      </c>
      <c r="S3984" t="inlineStr">
        <is>
          <t>27.5</t>
        </is>
      </c>
      <c r="T3984" t="inlineStr">
        <is>
          <t>7962068549848</t>
        </is>
      </c>
    </row>
    <row r="3985" ht="87" customHeight="1">
      <c r="A3985" s="2">
        <f>HYPERLINK("https://edmondsonsupply.com/collections/electricians-tools/products/klein-tools-11045-wire-stripper-cutter-10-18-awg-solid", "https://edmondsonsupply.com/collections/electricians-tools/products/klein-tools-11045-wire-stripper-cutter-10-18-awg-solid")</f>
        <v/>
      </c>
      <c r="B3985" s="2">
        <f>HYPERLINK("https://edmondsonsupply.com/products/klein-tools-11045-wire-stripper-cutter-10-18-awg-solid", "https://edmondsonsupply.com/products/klein-tools-11045-wire-stripper-cutter-10-18-awg-solid")</f>
        <v/>
      </c>
      <c r="C3985" t="inlineStr">
        <is>
          <t>Klein Tools 11045 Wire Stripper/Cutter (10-18 AWG Solid)</t>
        </is>
      </c>
      <c r="D3985" t="inlineStr">
        <is>
          <t>Klein Tools 2005N Wire Cutter, Stripper, Crimper Tool, Strips 10-18 AWG Stranded, Crimps 10-22 AWG Terminals, with Shear Cutter Red</t>
        </is>
      </c>
      <c r="E3985" s="2">
        <f>HYPERLINK("https://www.amazon.com/Klein-Tools-2005N-Crimper-Stripper/dp/B07WTRVZ18/ref=sr_1_13?keywords=Klein+Tools+11045+Wire+Stripper%2FCutter+%2810-18+AWG+Solid%29&amp;qid=1694735208&amp;sr=8-13", "https://www.amazon.com/Klein-Tools-2005N-Crimper-Stripper/dp/B07WTRVZ18/ref=sr_1_13?keywords=Klein+Tools+11045+Wire+Stripper%2FCutter+%2810-18+AWG+Solid%29&amp;qid=1694735208&amp;sr=8-13")</f>
        <v/>
      </c>
      <c r="F3985" t="inlineStr">
        <is>
          <t>B07WTRVZ18</t>
        </is>
      </c>
      <c r="G3985">
        <f>_xlfn.IMAGE("https://edmondsonsupply.com/cdn/shop/products/11045.jpg?v=1633031022")</f>
        <v/>
      </c>
      <c r="H3985">
        <f>_xlfn.IMAGE("https://m.media-amazon.com/images/I/51HDCyutY4L._AC_UL320_.jpg")</f>
        <v/>
      </c>
      <c r="K3985" t="inlineStr">
        <is>
          <t>15.97</t>
        </is>
      </c>
      <c r="L3985" t="n">
        <v>39.97</v>
      </c>
      <c r="M3985" s="1" t="inlineStr">
        <is>
          <t>150.28%</t>
        </is>
      </c>
      <c r="N3985" s="7" t="n">
        <v>10</v>
      </c>
      <c r="O3985" t="n">
        <v>4.8</v>
      </c>
      <c r="P3985" t="n">
        <v>1009</v>
      </c>
      <c r="R3985" t="inlineStr">
        <is>
          <t>InStock</t>
        </is>
      </c>
      <c r="S3985" t="inlineStr">
        <is>
          <t>22.8</t>
        </is>
      </c>
      <c r="T3985" t="inlineStr">
        <is>
          <t>6712927027373</t>
        </is>
      </c>
    </row>
    <row r="3986" ht="87" customHeight="1">
      <c r="A3986" s="2">
        <f>HYPERLINK("https://edmondsonsupply.com/collections/electricians-tools/products/klein-tools-11045-wire-stripper-cutter-10-18-awg-solid", "https://edmondsonsupply.com/collections/electricians-tools/products/klein-tools-11045-wire-stripper-cutter-10-18-awg-solid")</f>
        <v/>
      </c>
      <c r="B3986" s="2">
        <f>HYPERLINK("https://edmondsonsupply.com/products/klein-tools-11045-wire-stripper-cutter-10-18-awg-solid", "https://edmondsonsupply.com/products/klein-tools-11045-wire-stripper-cutter-10-18-awg-solid")</f>
        <v/>
      </c>
      <c r="C3986" t="inlineStr">
        <is>
          <t>Klein Tools 11045 Wire Stripper/Cutter (10-18 AWG Solid)</t>
        </is>
      </c>
      <c r="D3986" t="inlineStr">
        <is>
          <t>Klein Tools K12065CR Wire Stripper / Cutter / Crimper Tool for Cutting, Stripping, Crimping, Twisting (8-18 AWG solid, 10-20 AWG stranded)</t>
        </is>
      </c>
      <c r="E3986" s="2">
        <f>HYPERLINK("https://www.amazon.com/Heavy-Stripper-Cutter-Crimper-Multi/dp/B08BX9RTPX/ref=sr_1_3?keywords=Klein+Tools+11045+Wire+Stripper%2FCutter+%2810-18+AWG+Solid%29&amp;qid=1694735208&amp;sr=8-3", "https://www.amazon.com/Heavy-Stripper-Cutter-Crimper-Multi/dp/B08BX9RTPX/ref=sr_1_3?keywords=Klein+Tools+11045+Wire+Stripper%2FCutter+%2810-18+AWG+Solid%29&amp;qid=1694735208&amp;sr=8-3")</f>
        <v/>
      </c>
      <c r="F3986" t="inlineStr">
        <is>
          <t>B08BX9RTPX</t>
        </is>
      </c>
      <c r="G3986">
        <f>_xlfn.IMAGE("https://edmondsonsupply.com/cdn/shop/products/11045.jpg?v=1633031022")</f>
        <v/>
      </c>
      <c r="H3986">
        <f>_xlfn.IMAGE("https://m.media-amazon.com/images/I/51Oylu1vHoL._AC_UL320_.jpg")</f>
        <v/>
      </c>
      <c r="K3986" t="inlineStr">
        <is>
          <t>15.97</t>
        </is>
      </c>
      <c r="L3986" t="n">
        <v>39.97</v>
      </c>
      <c r="M3986" s="1" t="inlineStr">
        <is>
          <t>150.28%</t>
        </is>
      </c>
      <c r="N3986" s="7" t="n">
        <v>9.94</v>
      </c>
      <c r="O3986" t="n">
        <v>4.7</v>
      </c>
      <c r="P3986" t="n">
        <v>723</v>
      </c>
      <c r="R3986" t="inlineStr">
        <is>
          <t>InStock</t>
        </is>
      </c>
      <c r="S3986" t="inlineStr">
        <is>
          <t>22.8</t>
        </is>
      </c>
      <c r="T3986" t="inlineStr">
        <is>
          <t>6712927027373</t>
        </is>
      </c>
    </row>
    <row r="3987" ht="87" customHeight="1">
      <c r="A3987" s="2">
        <f>HYPERLINK("https://edmondsonsupply.com/collections/electricians-tools/products/copy-of-diablo-tools-d1040x-10-in-x-40-tooth-general-purpose-saw-blade", "https://edmondsonsupply.com/collections/electricians-tools/products/copy-of-diablo-tools-d1040x-10-in-x-40-tooth-general-purpose-saw-blade")</f>
        <v/>
      </c>
      <c r="B3987" s="2">
        <f>HYPERLINK("https://edmondsonsupply.com/products/copy-of-diablo-tools-d1040x-10-in-x-40-tooth-general-purpose-saw-blade", "https://edmondsonsupply.com/products/copy-of-diablo-tools-d1040x-10-in-x-40-tooth-general-purpose-saw-blade")</f>
        <v/>
      </c>
      <c r="C3987" t="inlineStr">
        <is>
          <t>Diablo Tools D1050X 10 in. x 50 Tooth Combination Saw Blade</t>
        </is>
      </c>
      <c r="D3987" t="inlineStr">
        <is>
          <t>Luxite Saw 10 inch 50-Tooth Carbide Tip Combination Saw Blades for General Use</t>
        </is>
      </c>
      <c r="E3987" s="2">
        <f>HYPERLINK("https://www.amazon.com/Luxite-50-Tooth-Carbide-Combination-General/dp/B07STGC2YN/ref=sr_1_42?keywords=Diablo+Tools+D1050X+10+in.+x+50+Tooth+Combination+Saw+Blade&amp;qid=1694735310&amp;sr=8-42", "https://www.amazon.com/Luxite-50-Tooth-Carbide-Combination-General/dp/B07STGC2YN/ref=sr_1_42?keywords=Diablo+Tools+D1050X+10+in.+x+50+Tooth+Combination+Saw+Blade&amp;qid=1694735310&amp;sr=8-42")</f>
        <v/>
      </c>
      <c r="F3987" t="inlineStr">
        <is>
          <t>B07STGC2YN</t>
        </is>
      </c>
      <c r="G3987">
        <f>_xlfn.IMAGE("https://edmondsonsupply.com/cdn/shop/products/D1050X_Main-Image20191112.png?v=1633030269")</f>
        <v/>
      </c>
      <c r="H3987">
        <f>_xlfn.IMAGE("https://m.media-amazon.com/images/I/41MJKe0oRsL._AC_UL320_.jpg")</f>
        <v/>
      </c>
      <c r="K3987" t="inlineStr">
        <is>
          <t>37.97</t>
        </is>
      </c>
      <c r="L3987" t="n">
        <v>95</v>
      </c>
      <c r="M3987" s="1" t="inlineStr">
        <is>
          <t>150.20%</t>
        </is>
      </c>
      <c r="N3987" s="7" t="n">
        <v>9.9</v>
      </c>
      <c r="O3987" t="n">
        <v>4.1</v>
      </c>
      <c r="P3987" t="n">
        <v>17</v>
      </c>
      <c r="R3987" t="inlineStr">
        <is>
          <t>InStock</t>
        </is>
      </c>
      <c r="S3987" t="inlineStr">
        <is>
          <t>56.46</t>
        </is>
      </c>
      <c r="T3987" t="inlineStr">
        <is>
          <t>4681639559268</t>
        </is>
      </c>
    </row>
    <row r="3988" ht="87" customHeight="1">
      <c r="A3988" s="2">
        <f>HYPERLINK("https://edmondsonsupply.com/collections/electricians-tools/products/diablo-tools-dmamx1020", "https://edmondsonsupply.com/collections/electricians-tools/products/diablo-tools-dmamx1020")</f>
        <v/>
      </c>
      <c r="B3988" s="2">
        <f>HYPERLINK("https://edmondsonsupply.com/products/diablo-tools-dmamx1020", "https://edmondsonsupply.com/products/diablo-tools-dmamx1020")</f>
        <v/>
      </c>
      <c r="C3988" t="inlineStr">
        <is>
          <t>Diablo Tools DMAMX1020 1/2 in. x 8 in. x 13 in. Rebar Demon SDS‑Max 4‑Cutter Full Carbide Head Hammer Bit</t>
        </is>
      </c>
      <c r="D3988" t="inlineStr">
        <is>
          <t>Diablo by Freud DMAMX1240 1 in. x 31 in. x 36 in. Rebar Demon SDS-Max 4-Cutter Full Carbide Head Hammer Bit</t>
        </is>
      </c>
      <c r="E3988" s="2">
        <f>HYPERLINK("https://www.amazon.com/Diablo-SDS-Max-4-Cutter-Carbide-Hammer/dp/B089KWF9R4/ref=sr_1_40?keywords=Diablo+Tools+DMAMX1020+1%2F2+in.+x+8+in.+x+13+in.+Rebar+Demon+SDS%E2%80%91Max+4%E2%80%91Cutter+Full+Carbide+Head+Hammer+Bit&amp;qid=1694735268&amp;sr=8-40", "https://www.amazon.com/Diablo-SDS-Max-4-Cutter-Carbide-Hammer/dp/B089KWF9R4/ref=sr_1_40?keywords=Diablo+Tools+DMAMX1020+1%2F2+in.+x+8+in.+x+13+in.+Rebar+Demon+SDS%E2%80%91Max+4%E2%80%91Cutter+Full+Carbide+Head+Hammer+Bit&amp;qid=1694735268&amp;sr=8-40")</f>
        <v/>
      </c>
      <c r="F3988" t="inlineStr">
        <is>
          <t>B089KWF9R4</t>
        </is>
      </c>
      <c r="G3988">
        <f>_xlfn.IMAGE("https://edmondsonsupply.com/cdn/shop/products/DMAMX1020_Main-Image20200701.png?v=1609798895")</f>
        <v/>
      </c>
      <c r="H3988">
        <f>_xlfn.IMAGE("https://m.media-amazon.com/images/I/61UhVlNC+9L._AC_UL320_.jpg")</f>
        <v/>
      </c>
      <c r="K3988" t="inlineStr">
        <is>
          <t>39.97</t>
        </is>
      </c>
      <c r="L3988" t="n">
        <v>100</v>
      </c>
      <c r="M3988" s="1" t="inlineStr">
        <is>
          <t>150.19%</t>
        </is>
      </c>
      <c r="N3988" s="7" t="n">
        <v>9.779999999999999</v>
      </c>
      <c r="O3988" t="n">
        <v>5</v>
      </c>
      <c r="P3988" t="n">
        <v>3</v>
      </c>
      <c r="R3988" t="inlineStr">
        <is>
          <t>InStock</t>
        </is>
      </c>
      <c r="S3988" t="inlineStr">
        <is>
          <t>42.31</t>
        </is>
      </c>
      <c r="T3988" t="inlineStr">
        <is>
          <t>5463822598312</t>
        </is>
      </c>
    </row>
    <row r="3989" ht="87" customHeight="1">
      <c r="A3989" s="2">
        <f>HYPERLINK("https://edmondsonsupply.com/collections/electricians-tools/products/diablo-tools-dmamx1020", "https://edmondsonsupply.com/collections/electricians-tools/products/diablo-tools-dmamx1020")</f>
        <v/>
      </c>
      <c r="B3989" s="2">
        <f>HYPERLINK("https://edmondsonsupply.com/products/diablo-tools-dmamx1020", "https://edmondsonsupply.com/products/diablo-tools-dmamx1020")</f>
        <v/>
      </c>
      <c r="C3989" t="inlineStr">
        <is>
          <t>Diablo Tools DMAMX1020 1/2 in. x 8 in. x 13 in. Rebar Demon SDS‑Max 4‑Cutter Full Carbide Head Hammer Bit</t>
        </is>
      </c>
      <c r="D3989" t="inlineStr">
        <is>
          <t>Diablo by Freud DMAPL4180-P25 1/2 in. x 4 in. x 6 in. Rebar Demon SDS-Plus 4-Cutter Full Carbide Head Hammer Bit (25-Pack) Multi, One Size</t>
        </is>
      </c>
      <c r="E3989" s="2">
        <f>HYPERLINK("https://www.amazon.com/Diablo-Rebar-4-Cutter-Carbide-Hammer/dp/B089LGWV7F/ref=sr_1_39?keywords=Diablo+Tools+DMAMX1020+1%2F2+in.+x+8+in.+x+13+in.+Rebar+Demon+SDS%E2%80%91Max+4%E2%80%91Cutter+Full+Carbide+Head+Hammer+Bit&amp;qid=1694735268&amp;sr=8-39", "https://www.amazon.com/Diablo-Rebar-4-Cutter-Carbide-Hammer/dp/B089LGWV7F/ref=sr_1_39?keywords=Diablo+Tools+DMAMX1020+1%2F2+in.+x+8+in.+x+13+in.+Rebar+Demon+SDS%E2%80%91Max+4%E2%80%91Cutter+Full+Carbide+Head+Hammer+Bit&amp;qid=1694735268&amp;sr=8-39")</f>
        <v/>
      </c>
      <c r="F3989" t="inlineStr">
        <is>
          <t>B089LGWV7F</t>
        </is>
      </c>
      <c r="G3989">
        <f>_xlfn.IMAGE("https://edmondsonsupply.com/cdn/shop/products/DMAMX1020_Main-Image20200701.png?v=1609798895")</f>
        <v/>
      </c>
      <c r="H3989">
        <f>_xlfn.IMAGE("https://m.media-amazon.com/images/I/61q9iw+mKpL._AC_UL320_.jpg")</f>
        <v/>
      </c>
      <c r="K3989" t="inlineStr">
        <is>
          <t>39.97</t>
        </is>
      </c>
      <c r="L3989" t="n">
        <v>99.98999999999999</v>
      </c>
      <c r="M3989" s="1" t="inlineStr">
        <is>
          <t>150.16%</t>
        </is>
      </c>
      <c r="N3989" s="7" t="n">
        <v>9.77</v>
      </c>
      <c r="O3989" t="n">
        <v>5</v>
      </c>
      <c r="P3989" t="n">
        <v>2</v>
      </c>
      <c r="R3989" t="inlineStr">
        <is>
          <t>InStock</t>
        </is>
      </c>
      <c r="S3989" t="inlineStr">
        <is>
          <t>42.31</t>
        </is>
      </c>
      <c r="T3989" t="inlineStr">
        <is>
          <t>5463822598312</t>
        </is>
      </c>
    </row>
    <row r="3990" ht="87" customHeight="1">
      <c r="A3990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3990" s="2">
        <f>HYPERLINK("https://edmondsonsupply.com/products/klein-tools-rt250-gfci-receptacle-tester-with-lcd", "https://edmondsonsupply.com/products/klein-tools-rt250-gfci-receptacle-tester-with-lcd")</f>
        <v/>
      </c>
      <c r="C3990" t="inlineStr">
        <is>
          <t>Klein Tools RT250 GFCI Receptacle Tester with LCD</t>
        </is>
      </c>
      <c r="D3990" t="inlineStr">
        <is>
          <t>Klein Tools IR1 Infrared Thermometer &amp; RT250 GFCI Receptacle Tester with LCD Display, for Standard 3-Wire 120V Electrical Outlets</t>
        </is>
      </c>
      <c r="E3990" s="2">
        <f>HYPERLINK("https://www.amazon.com/Klein-Tools-Thermometer-Receptacle-Electrical/dp/B0B56MWR9M/ref=sr_1_12?keywords=Klein+Tools+RT250+GFCI+Receptacle+Tester+with+LCD&amp;qid=1694735148&amp;sr=8-12", "https://www.amazon.com/Klein-Tools-Thermometer-Receptacle-Electrical/dp/B0B56MWR9M/ref=sr_1_12?keywords=Klein+Tools+RT250+GFCI+Receptacle+Tester+with+LCD&amp;qid=1694735148&amp;sr=8-12")</f>
        <v/>
      </c>
      <c r="F3990" t="inlineStr">
        <is>
          <t>B0B56MWR9M</t>
        </is>
      </c>
      <c r="G3990">
        <f>_xlfn.IMAGE("https://edmondsonsupply.com/cdn/shop/products/rt250_photo_c.jpg?v=1661363824")</f>
        <v/>
      </c>
      <c r="H3990">
        <f>_xlfn.IMAGE("https://m.media-amazon.com/images/I/51TmpoPH6dL._AC_UL320_.jpg")</f>
        <v/>
      </c>
      <c r="K3990" t="inlineStr">
        <is>
          <t>21.97</t>
        </is>
      </c>
      <c r="L3990" t="n">
        <v>54.96</v>
      </c>
      <c r="M3990" s="1" t="inlineStr">
        <is>
          <t>150.16%</t>
        </is>
      </c>
      <c r="N3990" s="7" t="n">
        <v>9.69</v>
      </c>
      <c r="O3990" t="n">
        <v>4.7</v>
      </c>
      <c r="P3990" t="n">
        <v>16</v>
      </c>
      <c r="R3990" t="inlineStr">
        <is>
          <t>InStock</t>
        </is>
      </c>
      <c r="S3990" t="inlineStr">
        <is>
          <t>30.78</t>
        </is>
      </c>
      <c r="T3990" t="inlineStr">
        <is>
          <t>7793138729176</t>
        </is>
      </c>
    </row>
    <row r="3991" hidden="1" ht="15.75" customHeight="1">
      <c r="A3991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3991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3991" t="inlineStr">
        <is>
          <t>Klein Tools JTH6E06 3/32-Inch Hex Key, Journeyman T-Handle, 6-Inch</t>
        </is>
      </c>
      <c r="D3991" t="inlineStr">
        <is>
          <t>Klein Tools JTH6M3BE 3 mm Ball End Hex Key with Journeyman T-Handle, 6-Inch (Pack of 2)</t>
        </is>
      </c>
      <c r="E3991" s="2">
        <f>HYPERLINK("https://www.amazon.com/Klein-Tools-JTH6M3BE-Journeyman-T-Handle/dp/B0CGLYY7WP/ref=sr_1_4?keywords=Klein+Tools+JTH6E06+3%2F32-Inch+Hex+Key%2C+Journeyman+T-Handle%2C+6-Inch&amp;qid=1694735341&amp;sr=8-4", "https://www.amazon.com/Klein-Tools-JTH6M3BE-Journeyman-T-Handle/dp/B0CGLYY7WP/ref=sr_1_4?keywords=Klein+Tools+JTH6E06+3%2F32-Inch+Hex+Key%2C+Journeyman+T-Handle%2C+6-Inch&amp;qid=1694735341&amp;sr=8-4")</f>
        <v/>
      </c>
      <c r="F3991" t="inlineStr">
        <is>
          <t>B0CGLYY7WP</t>
        </is>
      </c>
      <c r="G3991">
        <f>_xludf.IMAGE("https://edmondsonsupply.com/cdn/shop/products/jth6e15_f3f40e05-27ea-4df2-91fc-a673e8aa5e4b.jpg?v=1587150971")</f>
        <v/>
      </c>
      <c r="H3991">
        <f>_xludf.IMAGE("https://m.media-amazon.com/images/I/413sTNFMd7L._AC_UL320_.jpg")</f>
        <v/>
      </c>
      <c r="K3991" t="inlineStr">
        <is>
          <t>3.99</t>
        </is>
      </c>
      <c r="L3991" t="n">
        <v>9.98</v>
      </c>
      <c r="M3991" s="1" t="inlineStr">
        <is>
          <t>150.13%</t>
        </is>
      </c>
      <c r="N3991" s="1" t="n">
        <v>9.67</v>
      </c>
      <c r="O3991" t="n">
        <v>4.6</v>
      </c>
      <c r="P3991" t="n">
        <v>184</v>
      </c>
      <c r="R3991" t="inlineStr">
        <is>
          <t>InStock</t>
        </is>
      </c>
      <c r="S3991" t="inlineStr">
        <is>
          <t>6.04</t>
        </is>
      </c>
      <c r="T3991" t="inlineStr">
        <is>
          <t>4512703709284</t>
        </is>
      </c>
    </row>
    <row r="3992" hidden="1" ht="15.75" customHeight="1">
      <c r="A3992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3992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3992" t="inlineStr">
        <is>
          <t>Klein Tools JTH6M5 5 mm Hex Key, Journeyman T-Handle, 6-Inch</t>
        </is>
      </c>
      <c r="D3992" t="inlineStr">
        <is>
          <t>Klein Tools JTH6M3BE 3 mm Ball End Hex Key with Journeyman T-Handle, 6-Inch (Pack of 2)</t>
        </is>
      </c>
      <c r="E3992" s="2">
        <f>HYPERLINK("https://www.amazon.com/Klein-Tools-JTH6M3BE-Journeyman-T-Handle/dp/B0CGLYY7WP/ref=sr_1_3?keywords=Klein+Tools+JTH6M5+5+mm+Hex+Key%2C+Journeyman+T-Handle%2C+6-Inch&amp;qid=1694735404&amp;sr=8-3", "https://www.amazon.com/Klein-Tools-JTH6M3BE-Journeyman-T-Handle/dp/B0CGLYY7WP/ref=sr_1_3?keywords=Klein+Tools+JTH6M5+5+mm+Hex+Key%2C+Journeyman+T-Handle%2C+6-Inch&amp;qid=1694735404&amp;sr=8-3")</f>
        <v/>
      </c>
      <c r="F3992" t="inlineStr">
        <is>
          <t>B0CGLYY7WP</t>
        </is>
      </c>
      <c r="G3992">
        <f>_xludf.IMAGE("https://edmondsonsupply.com/cdn/shop/products/jth6m8_86ab4962-b2b5-468b-a9d8-cba525456227.jpg?v=1587150411")</f>
        <v/>
      </c>
      <c r="H3992">
        <f>_xludf.IMAGE("https://m.media-amazon.com/images/I/413sTNFMd7L._AC_UL320_.jpg")</f>
        <v/>
      </c>
      <c r="K3992" t="inlineStr">
        <is>
          <t>3.99</t>
        </is>
      </c>
      <c r="L3992" t="n">
        <v>9.98</v>
      </c>
      <c r="M3992" s="1" t="inlineStr">
        <is>
          <t>150.13%</t>
        </is>
      </c>
      <c r="N3992" s="1" t="n">
        <v>9.67</v>
      </c>
      <c r="O3992" t="n">
        <v>4.6</v>
      </c>
      <c r="P3992" t="n">
        <v>184</v>
      </c>
      <c r="R3992" t="inlineStr">
        <is>
          <t>InStock</t>
        </is>
      </c>
      <c r="S3992" t="inlineStr">
        <is>
          <t>6.04</t>
        </is>
      </c>
      <c r="T3992" t="inlineStr">
        <is>
          <t>4391573028964</t>
        </is>
      </c>
    </row>
    <row r="3993" hidden="1" ht="15.75" customHeight="1">
      <c r="A3993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3993" s="2">
        <f>HYPERLINK("https://edmondsonsupply.com/products/klein-tools-jth6m4-4-mm-hex-with-journeyman-t-handle-6-inch", "https://edmondsonsupply.com/products/klein-tools-jth6m4-4-mm-hex-with-journeyman-t-handle-6-inch")</f>
        <v/>
      </c>
      <c r="C3993" t="inlineStr">
        <is>
          <t>Klein Tools JTH6M4 4 mm Hex with Journeyman T-Handle 6-Inch</t>
        </is>
      </c>
      <c r="D3993" t="inlineStr">
        <is>
          <t>Klein Tools JTH6M3BE 3 mm Ball End Hex Key with Journeyman T-Handle, 6-Inch (Pack of 2)</t>
        </is>
      </c>
      <c r="E3993" s="2">
        <f>HYPERLINK("https://www.amazon.com/Klein-Tools-JTH6M3BE-Journeyman-T-Handle/dp/B0CGLYY7WP/ref=sr_1_7?keywords=Klein+Tools+JTH6M4+4+mm+Hex+with+Journeyman+T-Handle+6-Inch&amp;qid=1694735242&amp;sr=8-7", "https://www.amazon.com/Klein-Tools-JTH6M3BE-Journeyman-T-Handle/dp/B0CGLYY7WP/ref=sr_1_7?keywords=Klein+Tools+JTH6M4+4+mm+Hex+with+Journeyman+T-Handle+6-Inch&amp;qid=1694735242&amp;sr=8-7")</f>
        <v/>
      </c>
      <c r="F3993" t="inlineStr">
        <is>
          <t>B0CGLYY7WP</t>
        </is>
      </c>
      <c r="G3993">
        <f>_xludf.IMAGE("https://edmondsonsupply.com/cdn/shop/products/jth6m8_21839492-f844-4577-89b7-6c2cb1d02f31.jpg?v=1603052109")</f>
        <v/>
      </c>
      <c r="H3993">
        <f>_xludf.IMAGE("https://m.media-amazon.com/images/I/413sTNFMd7L._AC_UL320_.jpg")</f>
        <v/>
      </c>
      <c r="K3993" t="inlineStr">
        <is>
          <t>3.99</t>
        </is>
      </c>
      <c r="L3993" t="n">
        <v>9.98</v>
      </c>
      <c r="M3993" s="1" t="inlineStr">
        <is>
          <t>150.13%</t>
        </is>
      </c>
      <c r="N3993" s="1" t="n">
        <v>9.550000000000001</v>
      </c>
      <c r="O3993" t="n">
        <v>4.6</v>
      </c>
      <c r="P3993" t="n">
        <v>184</v>
      </c>
      <c r="R3993" t="inlineStr">
        <is>
          <t>InStock</t>
        </is>
      </c>
      <c r="S3993" t="inlineStr">
        <is>
          <t>6.04</t>
        </is>
      </c>
      <c r="T3993" t="inlineStr">
        <is>
          <t>5963077157032</t>
        </is>
      </c>
    </row>
    <row r="3994" hidden="1" ht="15.75" customHeight="1">
      <c r="A3994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3994" s="2">
        <f>HYPERLINK("https://edmondsonsupply.com/products/klein-tools-jth6m2-2-mm-hex-key-journeyman-t-handle-6-inch", "https://edmondsonsupply.com/products/klein-tools-jth6m2-2-mm-hex-key-journeyman-t-handle-6-inch")</f>
        <v/>
      </c>
      <c r="C3994" t="inlineStr">
        <is>
          <t>Klein Tools JTH6M2 2 mm Hex Key, Journeyman T-Handle, 6-Inch</t>
        </is>
      </c>
      <c r="D3994" t="inlineStr">
        <is>
          <t>Klein Tools JTH6M3BE 3 mm Ball End Hex Key with Journeyman T-Handle, 6-Inch (Pack of 2)</t>
        </is>
      </c>
      <c r="E3994" s="2">
        <f>HYPERLINK("https://www.amazon.com/Klein-Tools-JTH6M3BE-Journeyman-T-Handle/dp/B0CGLYY7WP/ref=sr_1_3?keywords=Klein+Tools+JTH6M2+2+mm+Hex+Key%2C+Journeyman+T-Handle%2C+6-Inch&amp;qid=1694735354&amp;sr=8-3", "https://www.amazon.com/Klein-Tools-JTH6M3BE-Journeyman-T-Handle/dp/B0CGLYY7WP/ref=sr_1_3?keywords=Klein+Tools+JTH6M2+2+mm+Hex+Key%2C+Journeyman+T-Handle%2C+6-Inch&amp;qid=1694735354&amp;sr=8-3")</f>
        <v/>
      </c>
      <c r="F3994" t="inlineStr">
        <is>
          <t>B0CGLYY7WP</t>
        </is>
      </c>
      <c r="G3994">
        <f>_xludf.IMAGE("https://edmondsonsupply.com/cdn/shop/products/jth6m8_a05a7009-87dd-4391-9f0b-ef31a782bd36.jpg?v=1587147558")</f>
        <v/>
      </c>
      <c r="H3994">
        <f>_xludf.IMAGE("https://m.media-amazon.com/images/I/413sTNFMd7L._AC_UL320_.jpg")</f>
        <v/>
      </c>
      <c r="K3994" t="inlineStr">
        <is>
          <t>3.99</t>
        </is>
      </c>
      <c r="L3994" t="n">
        <v>9.98</v>
      </c>
      <c r="M3994" s="1" t="inlineStr">
        <is>
          <t>150.13%</t>
        </is>
      </c>
      <c r="N3994" s="1" t="n">
        <v>9.49</v>
      </c>
      <c r="O3994" t="n">
        <v>4.6</v>
      </c>
      <c r="P3994" t="n">
        <v>184</v>
      </c>
      <c r="R3994" t="inlineStr">
        <is>
          <t>InStock</t>
        </is>
      </c>
      <c r="S3994" t="inlineStr">
        <is>
          <t>6.06</t>
        </is>
      </c>
      <c r="T3994" t="inlineStr">
        <is>
          <t>4506082738276</t>
        </is>
      </c>
    </row>
    <row r="3995" ht="87" customHeight="1">
      <c r="A399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3995" s="2">
        <f>HYPERLINK("https://edmondsonsupply.com/products/klein-tools-et45-ac-dc-voltage-tester", "https://edmondsonsupply.com/products/klein-tools-et45-ac-dc-voltage-tester")</f>
        <v/>
      </c>
      <c r="C3995" t="inlineStr">
        <is>
          <t>Klein Tools ET45 AC/DC Voltage Tester</t>
        </is>
      </c>
      <c r="D3995" t="inlineStr">
        <is>
          <t>Klein Tools 80077 Voltage Tester Kit with Electronic AC/DC GFCI Outlet Tester and Non-Contact Voltage Tester Pen, 3-Piece, Green</t>
        </is>
      </c>
      <c r="E3995" s="2">
        <f>HYPERLINK("https://www.amazon.com/Klein-Tools-80077-Electronic-Non-Contact/dp/B0B11F7Q69/ref=sr_1_5?keywords=Klein+Tools+ET45+AC%2FDC+Voltage+Tester&amp;qid=1694735227&amp;sr=8-5", "https://www.amazon.com/Klein-Tools-80077-Electronic-Non-Contact/dp/B0B11F7Q69/ref=sr_1_5?keywords=Klein+Tools+ET45+AC%2FDC+Voltage+Tester&amp;qid=1694735227&amp;sr=8-5")</f>
        <v/>
      </c>
      <c r="F3995" t="inlineStr">
        <is>
          <t>B0B11F7Q69</t>
        </is>
      </c>
      <c r="G3995">
        <f>_xlfn.IMAGE("https://edmondsonsupply.com/cdn/shop/products/et45.jpg?v=1647786270")</f>
        <v/>
      </c>
      <c r="H3995">
        <f>_xlfn.IMAGE("https://m.media-amazon.com/images/I/51cU3aEkbCL._AC_UL320_.jpg")</f>
        <v/>
      </c>
      <c r="K3995" t="inlineStr">
        <is>
          <t>11.99</t>
        </is>
      </c>
      <c r="L3995" t="n">
        <v>29.99</v>
      </c>
      <c r="M3995" s="1" t="inlineStr">
        <is>
          <t>150.13%</t>
        </is>
      </c>
      <c r="N3995" s="7" t="n">
        <v>9.460000000000001</v>
      </c>
      <c r="O3995" t="n">
        <v>4.6</v>
      </c>
      <c r="P3995" t="n">
        <v>180</v>
      </c>
      <c r="R3995" t="inlineStr">
        <is>
          <t>InStock</t>
        </is>
      </c>
      <c r="S3995" t="inlineStr">
        <is>
          <t>16.72</t>
        </is>
      </c>
      <c r="T3995" t="inlineStr">
        <is>
          <t>3688633630820</t>
        </is>
      </c>
    </row>
    <row r="3996" hidden="1" ht="15.75" customHeight="1">
      <c r="A3996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3996" s="2">
        <f>HYPERLINK("https://edmondsonsupply.com/products/klein-tools-9225-tape-measure-25-foot-magnetic-double-hook", "https://edmondsonsupply.com/products/klein-tools-9225-tape-measure-25-foot-magnetic-double-hook")</f>
        <v/>
      </c>
      <c r="C3996" t="inlineStr">
        <is>
          <t>Klein Tools 9225 Tape Measure, 25-Foot Magnetic Double-Hook</t>
        </is>
      </c>
      <c r="D3996" t="inlineStr">
        <is>
          <t>Klein Tools 80073 Reaming Driver Kit with Conduit Reamer &amp; 9225 Tape Measure, Heavy-Duty Measuring Tape with 25-Foot Double-Hook Double-Sided Nylon Reinforced Blade, with Metal Belt Clip</t>
        </is>
      </c>
      <c r="E3996" s="2">
        <f>HYPERLINK("https://www.amazon.com/Klein-Tools-Heavy-Duty-Double-Hook-Double-Sided/dp/B0BGJ3Z3HF/ref=sr_1_3?keywords=Klein+Tools+9225+Tape+Measure%2C+25-Foot+Magnetic+Double-Hook&amp;qid=1694735384&amp;sr=8-3", "https://www.amazon.com/Klein-Tools-Heavy-Duty-Double-Hook-Double-Sided/dp/B0BGJ3Z3HF/ref=sr_1_3?keywords=Klein+Tools+9225+Tape+Measure%2C+25-Foot+Magnetic+Double-Hook&amp;qid=1694735384&amp;sr=8-3")</f>
        <v/>
      </c>
      <c r="F3996" t="inlineStr">
        <is>
          <t>B0BGJ3Z3HF</t>
        </is>
      </c>
      <c r="G3996">
        <f>_xludf.IMAGE("https://edmondsonsupply.com/cdn/shop/products/9225_photo.jpg?v=1587146541")</f>
        <v/>
      </c>
      <c r="H3996">
        <f>_xludf.IMAGE("https://m.media-amazon.com/images/I/511uWjfRTRL._AC_UL320_.jpg")</f>
        <v/>
      </c>
      <c r="K3996" t="inlineStr">
        <is>
          <t>29.97</t>
        </is>
      </c>
      <c r="L3996" t="n">
        <v>74.95999999999999</v>
      </c>
      <c r="M3996" s="1" t="inlineStr">
        <is>
          <t>150.12%</t>
        </is>
      </c>
      <c r="N3996" s="1" t="n">
        <v>9.31</v>
      </c>
      <c r="O3996" t="n">
        <v>3.3</v>
      </c>
      <c r="P3996" t="n">
        <v>3</v>
      </c>
      <c r="R3996" t="inlineStr">
        <is>
          <t>InStock</t>
        </is>
      </c>
      <c r="S3996" t="inlineStr">
        <is>
          <t>37.02</t>
        </is>
      </c>
      <c r="T3996" t="inlineStr">
        <is>
          <t>4411542175844</t>
        </is>
      </c>
    </row>
    <row r="3997" ht="87" customHeight="1">
      <c r="A3997" s="2">
        <f>HYPERLINK("https://edmondsonsupply.com/collections/electricians-tools/products/klein-tools-et920-usb-digital-meter-usb-a-and-usb-c", "https://edmondsonsupply.com/collections/electricians-tools/products/klein-tools-et920-usb-digital-meter-usb-a-and-usb-c")</f>
        <v/>
      </c>
      <c r="B3997" s="2">
        <f>HYPERLINK("https://edmondsonsupply.com/products/klein-tools-et920-usb-digital-meter-usb-a-and-usb-c", "https://edmondsonsupply.com/products/klein-tools-et920-usb-digital-meter-usb-a-and-usb-c")</f>
        <v/>
      </c>
      <c r="C3997" t="inlineStr">
        <is>
          <t>Klein Tools ET920 USB Digital Meter, USB-A and USB-C</t>
        </is>
      </c>
      <c r="D3997" t="inlineStr">
        <is>
          <t>Klein Tools ET920 USB Power Meter, USB-A and USB-C Digital Meter for Voltage &amp; Klein Tools AC Circuit Breaker Kit with GFCI Digital Circuit Breaker Finder, Non-Contact Voltage Tester Pen, 3-Piece</t>
        </is>
      </c>
      <c r="E3997" s="2">
        <f>HYPERLINK("https://www.amazon.com/Klein-Tools-Digital-Voltage-Non-Contact/dp/B0BM3QKQ5G/ref=sr_1_2?keywords=Klein+Tools+ET920+USB+Digital+Meter%2C+USB-A+and+USB-C&amp;qid=1694735169&amp;sr=8-2", "https://www.amazon.com/Klein-Tools-Digital-Voltage-Non-Contact/dp/B0BM3QKQ5G/ref=sr_1_2?keywords=Klein+Tools+ET920+USB+Digital+Meter%2C+USB-A+and+USB-C&amp;qid=1694735169&amp;sr=8-2")</f>
        <v/>
      </c>
      <c r="F3997" t="inlineStr">
        <is>
          <t>B0BM3QKQ5G</t>
        </is>
      </c>
      <c r="G3997">
        <f>_xlfn.IMAGE("https://edmondsonsupply.com/cdn/shop/products/et920.jpg?v=1642643803")</f>
        <v/>
      </c>
      <c r="H3997">
        <f>_xlfn.IMAGE("https://m.media-amazon.com/images/I/51EgBu7yVDL._AC_UL320_.jpg")</f>
        <v/>
      </c>
      <c r="K3997" t="inlineStr">
        <is>
          <t>39.97</t>
        </is>
      </c>
      <c r="L3997" t="n">
        <v>99.95999999999999</v>
      </c>
      <c r="M3997" s="1" t="inlineStr">
        <is>
          <t>150.09%</t>
        </is>
      </c>
      <c r="N3997" s="7" t="n">
        <v>9.289999999999999</v>
      </c>
      <c r="O3997" t="n">
        <v>5</v>
      </c>
      <c r="P3997" t="n">
        <v>1</v>
      </c>
      <c r="R3997" t="inlineStr">
        <is>
          <t>InStock</t>
        </is>
      </c>
      <c r="S3997" t="inlineStr">
        <is>
          <t>47.98</t>
        </is>
      </c>
      <c r="T3997" t="inlineStr">
        <is>
          <t>7584862372056</t>
        </is>
      </c>
    </row>
    <row r="3998" ht="87" customHeight="1">
      <c r="A3998" s="2">
        <f>HYPERLINK("https://edmondsonsupply.com/collections/electricians-tools/products/klein-tools-607-3-mini-screwdriver-3-32-inch-cabinet-tip-3-inch", "https://edmondsonsupply.com/collections/electricians-tools/products/klein-tools-607-3-mini-screwdriver-3-32-inch-cabinet-tip-3-inch")</f>
        <v/>
      </c>
      <c r="B3998" s="2">
        <f>HYPERLINK("https://edmondsonsupply.com/products/klein-tools-607-3-mini-screwdriver-3-32-inch-cabinet-tip-3-inch", "https://edmondsonsupply.com/products/klein-tools-607-3-mini-screwdriver-3-32-inch-cabinet-tip-3-inch")</f>
        <v/>
      </c>
      <c r="C3998" t="inlineStr">
        <is>
          <t>Klein Tools 607-3 Mini Screwdriver, 3/32-Inch Cabinet Tip, 3-Inch</t>
        </is>
      </c>
      <c r="D3998" t="inlineStr">
        <is>
          <t>Klein Tools 607-3-INS Insulated Screwdriver, 3/32-Inch Cabinet Tip with 3-Inch Shank</t>
        </is>
      </c>
      <c r="E3998" s="2">
        <f>HYPERLINK("https://www.amazon.com/Insulated-Screwdriver-Klein-Tools-607-3-INS/dp/B00J9S35OW/ref=sr_1_1?keywords=Klein+Tools+607-3+Mini+Screwdriver%2C+3%2F32-Inch+Cabinet+Tip%2C+3-Inch&amp;qid=1694735237&amp;sr=8-1", "https://www.amazon.com/Insulated-Screwdriver-Klein-Tools-607-3-INS/dp/B00J9S35OW/ref=sr_1_1?keywords=Klein+Tools+607-3+Mini+Screwdriver%2C+3%2F32-Inch+Cabinet+Tip%2C+3-Inch&amp;qid=1694735237&amp;sr=8-1")</f>
        <v/>
      </c>
      <c r="F3998" t="inlineStr">
        <is>
          <t>B00J9S35OW</t>
        </is>
      </c>
      <c r="G3998">
        <f>_xlfn.IMAGE("https://edmondsonsupply.com/cdn/shop/products/607-3_5e9ac034-1968-449c-957e-7d3aa01f1413.jpg?v=1633030814")</f>
        <v/>
      </c>
      <c r="H3998">
        <f>_xlfn.IMAGE("https://m.media-amazon.com/images/I/51qSRHnYpuL._AC_UL320_.jpg")</f>
        <v/>
      </c>
      <c r="K3998" t="inlineStr">
        <is>
          <t>6.99</t>
        </is>
      </c>
      <c r="L3998" t="n">
        <v>17.48</v>
      </c>
      <c r="M3998" s="1" t="inlineStr">
        <is>
          <t>150.07%</t>
        </is>
      </c>
      <c r="N3998" s="7" t="n">
        <v>9.26</v>
      </c>
      <c r="O3998" t="n">
        <v>4.2</v>
      </c>
      <c r="P3998" t="n">
        <v>62</v>
      </c>
      <c r="R3998" t="inlineStr">
        <is>
          <t>InStock</t>
        </is>
      </c>
      <c r="S3998" t="inlineStr">
        <is>
          <t>10.58</t>
        </is>
      </c>
      <c r="T3998" t="inlineStr">
        <is>
          <t>6068127203501</t>
        </is>
      </c>
    </row>
    <row r="3999" ht="87" customHeight="1">
      <c r="A3999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3999" s="2">
        <f>HYPERLINK("https://edmondsonsupply.com/products/klein-tools-31856-1-1-8-inch-carbide-hole-cutter", "https://edmondsonsupply.com/products/klein-tools-31856-1-1-8-inch-carbide-hole-cutter")</f>
        <v/>
      </c>
      <c r="C3999" t="inlineStr">
        <is>
          <t>Klein Tools 31856 1-1/8-Inch Carbide Hole Cutter</t>
        </is>
      </c>
      <c r="D3999" t="inlineStr">
        <is>
          <t>Klein Tools 31872 Heavy Duty Hole Cutter Kit, Includes Carbide Hole Cutters and Pilot Bit in Rust-Proof Molded Plastic Case, 4-Piece</t>
        </is>
      </c>
      <c r="E3999" s="2">
        <f>HYPERLINK("https://www.amazon.com/Carbide-Cutter-Klein-Tools-31872/dp/B003CCR97A/ref=sr_1_3?keywords=Klein+Tools+31856+1-1%2F8-Inch+Carbide+Hole+Cutter&amp;qid=1694734994&amp;sr=8-3", "https://www.amazon.com/Carbide-Cutter-Klein-Tools-31872/dp/B003CCR97A/ref=sr_1_3?keywords=Klein+Tools+31856+1-1%2F8-Inch+Carbide+Hole+Cutter&amp;qid=1694734994&amp;sr=8-3")</f>
        <v/>
      </c>
      <c r="F3999" t="inlineStr">
        <is>
          <t>B003CCR97A</t>
        </is>
      </c>
      <c r="G3999">
        <f>_xlfn.IMAGE("https://edmondsonsupply.com/cdn/shop/files/31856.jpg?v=1685712345")</f>
        <v/>
      </c>
      <c r="H3999">
        <f>_xlfn.IMAGE("https://m.media-amazon.com/images/I/61oX7BDmtJL._AC_UL320_.jpg")</f>
        <v/>
      </c>
      <c r="K3999" t="inlineStr">
        <is>
          <t>35.99</t>
        </is>
      </c>
      <c r="L3999" t="n">
        <v>89.98999999999999</v>
      </c>
      <c r="M3999" s="1" t="inlineStr">
        <is>
          <t>150.04%</t>
        </is>
      </c>
      <c r="N3999" s="7" t="n">
        <v>9.23</v>
      </c>
      <c r="O3999" t="n">
        <v>4.7</v>
      </c>
      <c r="P3999" t="n">
        <v>927</v>
      </c>
      <c r="R3999" t="inlineStr">
        <is>
          <t>InStock</t>
        </is>
      </c>
      <c r="S3999" t="inlineStr">
        <is>
          <t>50.38</t>
        </is>
      </c>
      <c r="T3999" t="inlineStr">
        <is>
          <t>7999529910488</t>
        </is>
      </c>
    </row>
    <row r="4000" hidden="1" ht="15.75" customHeight="1">
      <c r="A4000" s="2">
        <f>HYPERLINK("https://edmondsonsupply.com/collections/electricians-tools/products/milwaukee-48-20-8810-1-4-in-x-2-in-x-4-in-3-flat-secure-grip%E2%84%A2-hammer-drill-bit", "https://edmondsonsupply.com/collections/electricians-tools/products/milwaukee-48-20-8810-1-4-in-x-2-in-x-4-in-3-flat-secure-grip%E2%84%A2-hammer-drill-bit")</f>
        <v/>
      </c>
      <c r="B4000" s="2">
        <f>HYPERLINK("https://edmondsonsupply.com/products/milwaukee-48-20-8810-1-4-in-x-2-in-x-4-in-3-flat-secure-grip%e2%84%a2-hammer-drill-bit", "https://edmondsonsupply.com/products/milwaukee-48-20-8810-1-4-in-x-2-in-x-4-in-3-flat-secure-grip%e2%84%a2-hammer-drill-bit")</f>
        <v/>
      </c>
      <c r="C4000" t="inlineStr">
        <is>
          <t>Milwaukee 48-20-8810 1/4 in. x 2 in. x 4 in. 3-Flat Secure-Grip™ Hammer-Drill Bit</t>
        </is>
      </c>
      <c r="D4000" t="inlineStr">
        <is>
          <t>Milwaukee 48-20-7332 SDS+ Carbide Drill Bit 1/4 x 8-Inch</t>
        </is>
      </c>
      <c r="E4000" s="2">
        <f>HYPERLINK("https://www.amazon.com/Milwaukee-48-20-7332-Carbide-Drill-8-Inch/dp/B002HM0Z9A/ref=sr_1_5?keywords=Milwaukee+48-20-8810+1%2F4+in.+x+2+in.+x+4+in.+3-Flat+Secure-Grip%E2%84%A2+Hammer-Drill+Bit&amp;qid=1694735413&amp;sr=8-5", "https://www.amazon.com/Milwaukee-48-20-7332-Carbide-Drill-8-Inch/dp/B002HM0Z9A/ref=sr_1_5?keywords=Milwaukee+48-20-8810+1%2F4+in.+x+2+in.+x+4+in.+3-Flat+Secure-Grip%E2%84%A2+Hammer-Drill+Bit&amp;qid=1694735413&amp;sr=8-5")</f>
        <v/>
      </c>
      <c r="F4000" t="inlineStr">
        <is>
          <t>B002HM0Z9A</t>
        </is>
      </c>
      <c r="G4000">
        <f>_xludf.IMAGE("https://edmondsonsupply.com/cdn/shop/products/48-20-8810.jpg?v=1587144568")</f>
        <v/>
      </c>
      <c r="H4000">
        <f>_xludf.IMAGE("https://m.media-amazon.com/images/I/31PWSWrl1uL._AC_UL320_.jpg")</f>
        <v/>
      </c>
      <c r="K4000" t="inlineStr">
        <is>
          <t>4.6</t>
        </is>
      </c>
      <c r="L4000" t="n">
        <v>11.5</v>
      </c>
      <c r="M4000" s="1" t="inlineStr">
        <is>
          <t>150.00%</t>
        </is>
      </c>
      <c r="N4000" s="1" t="n">
        <v>9.19</v>
      </c>
      <c r="O4000" t="n">
        <v>4.5</v>
      </c>
      <c r="P4000" t="n">
        <v>19</v>
      </c>
      <c r="R4000" t="inlineStr">
        <is>
          <t>InStock</t>
        </is>
      </c>
      <c r="S4000" t="inlineStr">
        <is>
          <t>undefined</t>
        </is>
      </c>
      <c r="T4000" t="inlineStr">
        <is>
          <t>4384981516388</t>
        </is>
      </c>
    </row>
    <row r="4001" ht="87" customHeight="1">
      <c r="A4001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4001" s="2">
        <f>HYPERLINK("https://edmondsonsupply.com/products/klein-tools-51608-1-2-inch-iron-conduit-bender-head", "https://edmondsonsupply.com/products/klein-tools-51608-1-2-inch-iron-conduit-bender-head")</f>
        <v/>
      </c>
      <c r="C4001" t="inlineStr">
        <is>
          <t>Klein Tools 51608 1/2-inch Iron Conduit Bender Head</t>
        </is>
      </c>
      <c r="D4001" t="inlineStr">
        <is>
          <t>Klein Tools 51605 Iron Conduit Bender Full Assembly, 1-Inch EMT and 3/4-Inch Rigid, Wide Foot Pedal, Benchmark Symbols and Angle Setter</t>
        </is>
      </c>
      <c r="E4001" s="2">
        <f>HYPERLINK("https://www.amazon.com/Conduit-Technology-Benchmark-Klein-Tools/dp/B08L3ZQCT1/ref=sr_1_17?keywords=Klein+Tools+51608+1%2F2-inch+Iron+Conduit+Bender+Head&amp;qid=1694735173&amp;sr=8-17", "https://www.amazon.com/Conduit-Technology-Benchmark-Klein-Tools/dp/B08L3ZQCT1/ref=sr_1_17?keywords=Klein+Tools+51608+1%2F2-inch+Iron+Conduit+Bender+Head&amp;qid=1694735173&amp;sr=8-17")</f>
        <v/>
      </c>
      <c r="F4001" t="inlineStr">
        <is>
          <t>B08L3ZQCT1</t>
        </is>
      </c>
      <c r="G4001">
        <f>_xlfn.IMAGE("https://edmondsonsupply.com/cdn/shop/products/51608.jpg?v=1643679335")</f>
        <v/>
      </c>
      <c r="H4001">
        <f>_xlfn.IMAGE("https://m.media-amazon.com/images/I/41stj4NcdUL._AC_UL320_.jpg")</f>
        <v/>
      </c>
      <c r="K4001" t="inlineStr">
        <is>
          <t>39.99</t>
        </is>
      </c>
      <c r="L4001" t="n">
        <v>99.97</v>
      </c>
      <c r="M4001" s="1" t="inlineStr">
        <is>
          <t>149.99%</t>
        </is>
      </c>
      <c r="N4001" s="7" t="n">
        <v>9</v>
      </c>
      <c r="O4001" t="n">
        <v>4.7</v>
      </c>
      <c r="P4001" t="n">
        <v>60</v>
      </c>
      <c r="R4001" t="inlineStr">
        <is>
          <t>InStock</t>
        </is>
      </c>
      <c r="S4001" t="inlineStr">
        <is>
          <t>60.66</t>
        </is>
      </c>
      <c r="T4001" t="inlineStr">
        <is>
          <t>7597417693400</t>
        </is>
      </c>
    </row>
    <row r="4002" ht="87" customHeight="1">
      <c r="A4002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4002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4002" t="inlineStr">
        <is>
          <t>Klein Tools 635-1/4 1/4-Inch Nut Driver, Magnetic Tip, 4-Inch Shaft</t>
        </is>
      </c>
      <c r="D4002" t="inlineStr">
        <is>
          <t>Klein Tools 32807MAG 7-in-1 Nut Driver, Magnetic Driver has SAE Hex Nut Sizes 1/4 to 9/16-Inch, Cushion Grip Handle for Added Torque</t>
        </is>
      </c>
      <c r="E4002" s="2">
        <f>HYPERLINK("https://www.amazon.com/Driver-Magnetic-Klein-Tools-32807MAG/dp/B07D4M51DQ/ref=sr_1_22?keywords=Klein+Tools+635-1%2F4+1%2F4-Inch+Nut+Driver%2C+Magnetic+Tip%2C+4-Inch+Shaft&amp;qid=1694735101&amp;sr=8-22", "https://www.amazon.com/Driver-Magnetic-Klein-Tools-32807MAG/dp/B07D4M51DQ/ref=sr_1_22?keywords=Klein+Tools+635-1%2F4+1%2F4-Inch+Nut+Driver%2C+Magnetic+Tip%2C+4-Inch+Shaft&amp;qid=1694735101&amp;sr=8-22")</f>
        <v/>
      </c>
      <c r="F4002" t="inlineStr">
        <is>
          <t>B07D4M51DQ</t>
        </is>
      </c>
      <c r="G4002">
        <f>_xlfn.IMAGE("https://edmondsonsupply.com/cdn/shop/products/635-1-4.jpg?v=1666811523")</f>
        <v/>
      </c>
      <c r="H4002">
        <f>_xlfn.IMAGE("https://m.media-amazon.com/images/I/61gwAJBzDAL._AC_UL320_.jpg")</f>
        <v/>
      </c>
      <c r="K4002" t="inlineStr">
        <is>
          <t>11.99</t>
        </is>
      </c>
      <c r="L4002" t="n">
        <v>29.97</v>
      </c>
      <c r="M4002" s="1" t="inlineStr">
        <is>
          <t>149.96%</t>
        </is>
      </c>
      <c r="N4002" s="7" t="n">
        <v>8.98</v>
      </c>
      <c r="O4002" t="n">
        <v>4.7</v>
      </c>
      <c r="P4002" t="n">
        <v>9145</v>
      </c>
      <c r="R4002" t="inlineStr">
        <is>
          <t>InStock</t>
        </is>
      </c>
      <c r="S4002" t="inlineStr">
        <is>
          <t>18.18</t>
        </is>
      </c>
      <c r="T4002" t="inlineStr">
        <is>
          <t>7866294010072</t>
        </is>
      </c>
    </row>
    <row r="4003" ht="87" customHeight="1">
      <c r="A4003" s="2">
        <f>HYPERLINK("https://edmondsonsupply.com/collections/electricians-tools/products/klein-tools-vdv110-095-coax-cable-radial-stripper", "https://edmondsonsupply.com/collections/electricians-tools/products/klein-tools-vdv110-095-coax-cable-radial-stripper")</f>
        <v/>
      </c>
      <c r="B4003" s="2">
        <f>HYPERLINK("https://edmondsonsupply.com/products/klein-tools-vdv110-095-coax-cable-radial-stripper", "https://edmondsonsupply.com/products/klein-tools-vdv110-095-coax-cable-radial-stripper")</f>
        <v/>
      </c>
      <c r="C4003" t="inlineStr">
        <is>
          <t>Klein Tools VDV110-095 Coax Cable Radial Stripper</t>
        </is>
      </c>
      <c r="D4003" t="inlineStr">
        <is>
          <t>Klein Tools VDV512-101 Explorer 2 Coax Tester Kit, Includes Cable Tester/Wire Tracer/Coax Mapper with Remotes to Test up to 4 Locations &amp; VDV110-061 Radial Cable Stripper, Coaxial Cable Stripper</t>
        </is>
      </c>
      <c r="E4003" s="2">
        <f>HYPERLINK("https://www.amazon.com/Klein-Tools-VDV512-101-Locations-VDV110-061/dp/B0BD3W9SYG/ref=sr_1_11?keywords=Klein+Tools+VDV110-095+Coax+Cable+Radial+Stripper&amp;qid=1694735276&amp;sr=8-11", "https://www.amazon.com/Klein-Tools-VDV512-101-Locations-VDV110-061/dp/B0BD3W9SYG/ref=sr_1_11?keywords=Klein+Tools+VDV110-095+Coax+Cable+Radial+Stripper&amp;qid=1694735276&amp;sr=8-11")</f>
        <v/>
      </c>
      <c r="F4003" t="inlineStr">
        <is>
          <t>B0BD3W9SYG</t>
        </is>
      </c>
      <c r="G4003">
        <f>_xlfn.IMAGE("https://edmondsonsupply.com/cdn/shop/products/vdv110-095.jpg?v=1633030592")</f>
        <v/>
      </c>
      <c r="H4003">
        <f>_xlfn.IMAGE("https://m.media-amazon.com/images/I/41opJLh2sZL._AC_UL320_.jpg")</f>
        <v/>
      </c>
      <c r="K4003" t="inlineStr">
        <is>
          <t>17.99</t>
        </is>
      </c>
      <c r="L4003" t="n">
        <v>44.83</v>
      </c>
      <c r="M4003" s="1" t="inlineStr">
        <is>
          <t>149.19%</t>
        </is>
      </c>
      <c r="N4003" s="7" t="n">
        <v>8.98</v>
      </c>
      <c r="O4003" t="n">
        <v>5</v>
      </c>
      <c r="P4003" t="n">
        <v>1</v>
      </c>
      <c r="R4003" t="inlineStr">
        <is>
          <t>InStock</t>
        </is>
      </c>
      <c r="S4003" t="inlineStr">
        <is>
          <t>25.74</t>
        </is>
      </c>
      <c r="T4003" t="inlineStr">
        <is>
          <t>5604615880872</t>
        </is>
      </c>
    </row>
    <row r="4004" ht="87" customHeight="1">
      <c r="A4004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4004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4004" t="inlineStr">
        <is>
          <t>Klein Tools 630-1/4 1/4-Inch Nut Driver 3-Inch Shaft Cushion Grip</t>
        </is>
      </c>
      <c r="D4004" t="inlineStr">
        <is>
          <t>Klein Tools 646M Tool Set, Magnetic Nut Drivers Sizes 1/4 and 5/16-Inch, 6-Inch Shafts, 2-Piece</t>
        </is>
      </c>
      <c r="E4004" s="2">
        <f>HYPERLINK("https://www.amazon.com/Magnetic-16-Inch-Klein-Tools-646M/dp/B000936QV0/ref=sr_1_19?keywords=Klein+Tools+630-1%2F4+1%2F4-Inch+Nut+Driver+3-Inch+Shaft+Cushion+Grip&amp;qid=1694735346&amp;sr=8-19", "https://www.amazon.com/Magnetic-16-Inch-Klein-Tools-646M/dp/B000936QV0/ref=sr_1_19?keywords=Klein+Tools+630-1%2F4+1%2F4-Inch+Nut+Driver+3-Inch+Shaft+Cushion+Grip&amp;qid=1694735346&amp;sr=8-19")</f>
        <v/>
      </c>
      <c r="F4004" t="inlineStr">
        <is>
          <t>B000936QV0</t>
        </is>
      </c>
      <c r="G4004">
        <f>_xlfn.IMAGE("https://edmondsonsupply.com/cdn/shop/products/630-1-2_4777cf99-f2bc-4f84-bc42-7e765e2a9c37.jpg?v=1587150448")</f>
        <v/>
      </c>
      <c r="H4004">
        <f>_xlfn.IMAGE("https://m.media-amazon.com/images/I/41lkJ6KRq9L._AC_UL320_.jpg")</f>
        <v/>
      </c>
      <c r="K4004" t="inlineStr">
        <is>
          <t>8.99</t>
        </is>
      </c>
      <c r="L4004" t="n">
        <v>22.34</v>
      </c>
      <c r="M4004" s="1" t="inlineStr">
        <is>
          <t>148.50%</t>
        </is>
      </c>
      <c r="N4004" s="7" t="n">
        <v>8.970000000000001</v>
      </c>
      <c r="O4004" t="n">
        <v>4.8</v>
      </c>
      <c r="P4004" t="n">
        <v>1652</v>
      </c>
      <c r="R4004" t="inlineStr">
        <is>
          <t>InStock</t>
        </is>
      </c>
      <c r="S4004" t="inlineStr">
        <is>
          <t>11.36</t>
        </is>
      </c>
      <c r="T4004" t="inlineStr">
        <is>
          <t>4490760355940</t>
        </is>
      </c>
    </row>
    <row r="4005" ht="87" customHeight="1">
      <c r="A4005" s="2">
        <f>HYPERLINK("https://edmondsonsupply.com/collections/electricians-tools/products/klein-tools-608-3-mini-screwdriver-1-8-inch-cabinet-3-inch-shank", "https://edmondsonsupply.com/collections/electricians-tools/products/klein-tools-608-3-mini-screwdriver-1-8-inch-cabinet-3-inch-shank")</f>
        <v/>
      </c>
      <c r="B4005" s="2">
        <f>HYPERLINK("https://edmondsonsupply.com/products/klein-tools-608-3-mini-screwdriver-1-8-inch-cabinet-3-inch-shank", "https://edmondsonsupply.com/products/klein-tools-608-3-mini-screwdriver-1-8-inch-cabinet-3-inch-shank")</f>
        <v/>
      </c>
      <c r="C4005" t="inlineStr">
        <is>
          <t>Klein Tools 608-3 Mini Screwdriver, 1/8-Inch Cabinet, 3-Inch Shank</t>
        </is>
      </c>
      <c r="D4005" t="inlineStr">
        <is>
          <t>Klein Tools BD412 3/8-Inch Flat Head Screwdriver, Keystone Tip with 12-Inch Square Shank and Comfordome Handle</t>
        </is>
      </c>
      <c r="E4005" s="2">
        <f>HYPERLINK("https://www.amazon.com/Klein-Tools-BD412-Screwdriver-Comfordome/dp/B000936OJ4/ref=sr_1_44?keywords=Klein+Tools+608-3+Mini+Screwdriver%2C+1%2F8-Inch+Cabinet%2C+3-Inch+Shank&amp;qid=1694735236&amp;sr=8-44", "https://www.amazon.com/Klein-Tools-BD412-Screwdriver-Comfordome/dp/B000936OJ4/ref=sr_1_44?keywords=Klein+Tools+608-3+Mini+Screwdriver%2C+1%2F8-Inch+Cabinet%2C+3-Inch+Shank&amp;qid=1694735236&amp;sr=8-44")</f>
        <v/>
      </c>
      <c r="F4005" t="inlineStr">
        <is>
          <t>B000936OJ4</t>
        </is>
      </c>
      <c r="G4005">
        <f>_xlfn.IMAGE("https://edmondsonsupply.com/cdn/shop/products/608-4.jpg?v=1633030872")</f>
        <v/>
      </c>
      <c r="H4005">
        <f>_xlfn.IMAGE("https://m.media-amazon.com/images/I/51UUB8V+wCL._AC_UL320_.jpg")</f>
        <v/>
      </c>
      <c r="K4005" t="inlineStr">
        <is>
          <t>6.99</t>
        </is>
      </c>
      <c r="L4005" t="n">
        <v>17.35</v>
      </c>
      <c r="M4005" s="1" t="inlineStr">
        <is>
          <t>148.21%</t>
        </is>
      </c>
      <c r="N4005" s="7" t="n">
        <v>8.83</v>
      </c>
      <c r="O4005" t="n">
        <v>4.6</v>
      </c>
      <c r="P4005" t="n">
        <v>19</v>
      </c>
      <c r="R4005" t="inlineStr">
        <is>
          <t>InStock</t>
        </is>
      </c>
      <c r="S4005" t="inlineStr">
        <is>
          <t>10.58</t>
        </is>
      </c>
      <c r="T4005" t="inlineStr">
        <is>
          <t>6137532612781</t>
        </is>
      </c>
    </row>
    <row r="4006" ht="87" customHeight="1">
      <c r="A4006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4006" s="2">
        <f>HYPERLINK("https://edmondsonsupply.com/products/milwaukee-48-22-1521-compact-folding-knife", "https://edmondsonsupply.com/products/milwaukee-48-22-1521-compact-folding-knife")</f>
        <v/>
      </c>
      <c r="C4006" t="inlineStr">
        <is>
          <t>Milwaukee 48-22-1521 Compact Folding Knife</t>
        </is>
      </c>
      <c r="D4006" t="inlineStr">
        <is>
          <t>For Milwaukee Tool 48-22-1505 Fastback™ 6In1 Folding Utility Knife</t>
        </is>
      </c>
      <c r="E4006" s="2">
        <f>HYPERLINK("https://www.amazon.com/Milwaukee-48-22-1505-FastbackTM-Folding-Utility/dp/B0C69TGH9K/ref=sr_1_2?keywords=Milwaukee+48-22-1521+Compact+Folding+Knife&amp;qid=1694735039&amp;sr=8-2", "https://www.amazon.com/Milwaukee-48-22-1505-FastbackTM-Folding-Utility/dp/B0C69TGH9K/ref=sr_1_2?keywords=Milwaukee+48-22-1521+Compact+Folding+Knife&amp;qid=1694735039&amp;sr=8-2")</f>
        <v/>
      </c>
      <c r="F4006" t="inlineStr">
        <is>
          <t>B0C69TGH9K</t>
        </is>
      </c>
      <c r="G4006">
        <f>_xlfn.IMAGE("https://edmondsonsupply.com/cdn/shop/products/48-22-1521_1.webp?v=1675359641")</f>
        <v/>
      </c>
      <c r="H4006">
        <f>_xlfn.IMAGE("https://m.media-amazon.com/images/I/41ZUsUsHByL._AC_UL320_.jpg")</f>
        <v/>
      </c>
      <c r="K4006" t="inlineStr">
        <is>
          <t>12.97</t>
        </is>
      </c>
      <c r="L4006" t="n">
        <v>32.19</v>
      </c>
      <c r="M4006" s="1" t="inlineStr">
        <is>
          <t>148.19%</t>
        </is>
      </c>
      <c r="N4006" s="7" t="n">
        <v>8.75</v>
      </c>
      <c r="O4006" t="n">
        <v>4.5</v>
      </c>
      <c r="P4006" t="n">
        <v>2</v>
      </c>
      <c r="R4006" t="inlineStr">
        <is>
          <t>InStock</t>
        </is>
      </c>
      <c r="S4006" t="inlineStr">
        <is>
          <t>15.5</t>
        </is>
      </c>
      <c r="T4006" t="inlineStr">
        <is>
          <t>7937891827928</t>
        </is>
      </c>
    </row>
    <row r="4007" hidden="1" ht="15.75" customHeight="1">
      <c r="A4007" s="2">
        <f>HYPERLINK("https://edmondsonsupply.com/collections/electricians-tools/products/diablo-tools-d0604dh-6-1-2-in-x-4-tooth-fiber-cement", "https://edmondsonsupply.com/collections/electricians-tools/products/diablo-tools-d0604dh-6-1-2-in-x-4-tooth-fiber-cement")</f>
        <v/>
      </c>
      <c r="B4007" s="2">
        <f>HYPERLINK("https://edmondsonsupply.com/products/diablo-tools-d0604dh-6-1-2-in-x-4-tooth-fiber-cement", "https://edmondsonsupply.com/products/diablo-tools-d0604dh-6-1-2-in-x-4-tooth-fiber-cement")</f>
        <v/>
      </c>
      <c r="C4007" t="inlineStr">
        <is>
          <t>Diablo Tools D0604DH 6-1/2 in. x 4 Tooth Fiber Cement</t>
        </is>
      </c>
      <c r="D4007" t="inlineStr">
        <is>
          <t>Freud-Diablo Company. 6-1/2 X 4 PCD Fiber Cement DIAB, Multi, One Size (D0604DH). Set of 3</t>
        </is>
      </c>
      <c r="E4007" s="2">
        <f>HYPERLINK("https://www.amazon.com/Freud-Diablo-Company-Fiber-Cement-D0604DH/dp/B09711QP6W/ref=sr_1_3?keywords=Diablo+Tools+D0604DH+6-1%2F2+in.+x+4+Tooth+Fiber+Cement&amp;qid=1694735029&amp;sr=8-3", "https://www.amazon.com/Freud-Diablo-Company-Fiber-Cement-D0604DH/dp/B09711QP6W/ref=sr_1_3?keywords=Diablo+Tools+D0604DH+6-1%2F2+in.+x+4+Tooth+Fiber+Cement&amp;qid=1694735029&amp;sr=8-3")</f>
        <v/>
      </c>
      <c r="F4007" t="inlineStr">
        <is>
          <t>B09711QP6W</t>
        </is>
      </c>
      <c r="G4007">
        <f>_xludf.IMAGE("https://edmondsonsupply.com/cdn/shop/products/b97gznmuns4ffl0mabzf.webp?v=1679319668")</f>
        <v/>
      </c>
      <c r="H4007">
        <f>_xludf.IMAGE("https://m.media-amazon.com/images/I/61Cy1FOFicL._AC_UL320_.jpg")</f>
        <v/>
      </c>
      <c r="K4007" t="inlineStr">
        <is>
          <t>49.97</t>
        </is>
      </c>
      <c r="L4007" t="n">
        <v>123.99</v>
      </c>
      <c r="M4007" s="1" t="inlineStr">
        <is>
          <t>148.13%</t>
        </is>
      </c>
      <c r="N4007" s="1" t="n">
        <v>8.74</v>
      </c>
      <c r="O4007" t="n">
        <v>1</v>
      </c>
      <c r="P4007" t="n">
        <v>1</v>
      </c>
      <c r="R4007" t="inlineStr">
        <is>
          <t>InStock</t>
        </is>
      </c>
      <c r="S4007" t="inlineStr">
        <is>
          <t>76.15</t>
        </is>
      </c>
      <c r="T4007" t="inlineStr">
        <is>
          <t>7964861595864</t>
        </is>
      </c>
    </row>
    <row r="4008" ht="87" customHeight="1">
      <c r="A4008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008" s="2">
        <f>HYPERLINK("https://edmondsonsupply.com/products/klein-tools-11057-klein-kurve%c2%ae-wire-stripper-and-cutter", "https://edmondsonsupply.com/products/klein-tools-11057-klein-kurve%c2%ae-wire-stripper-and-cutter")</f>
        <v/>
      </c>
      <c r="C4008" t="inlineStr">
        <is>
          <t>Klein Tools 11057 Klein-Kurve® Wire Stripper and Cutter</t>
        </is>
      </c>
      <c r="D4008" t="inlineStr">
        <is>
          <t>Klein Tools 11063W Wire Cutter/Wire Stripper, Heavy Duty Wire Stripper Tool &amp; 11061 Wire Stripper/Wire Cutter for Solid and Stranded AWG Wire, Heavy Duty Kleins are Self Adjusting</t>
        </is>
      </c>
      <c r="E4008" s="2">
        <f>HYPERLINK("https://www.amazon.com/Klein-Tools-Stripper-Stranded-Adjusting/dp/B08ZPWWTN2/ref=sr_1_48?keywords=Klein+Tools+11057+Klein-Kurve%C2%AE+Wire+Stripper+and+Cutter&amp;qid=1694735357&amp;sr=8-48", "https://www.amazon.com/Klein-Tools-Stripper-Stranded-Adjusting/dp/B08ZPWWTN2/ref=sr_1_48?keywords=Klein+Tools+11057+Klein-Kurve%C2%AE+Wire+Stripper+and+Cutter&amp;qid=1694735357&amp;sr=8-48")</f>
        <v/>
      </c>
      <c r="F4008" t="inlineStr">
        <is>
          <t>B08ZPWWTN2</t>
        </is>
      </c>
      <c r="G4008">
        <f>_xlfn.IMAGE("https://edmondsonsupply.com/cdn/shop/products/11057.jpg?v=1587146927")</f>
        <v/>
      </c>
      <c r="H4008">
        <f>_xlfn.IMAGE("https://m.media-amazon.com/images/I/41+WzGiz14L._AC_UL320_.jpg")</f>
        <v/>
      </c>
      <c r="K4008" t="inlineStr">
        <is>
          <t>20.97</t>
        </is>
      </c>
      <c r="L4008" t="n">
        <v>51.94</v>
      </c>
      <c r="M4008" s="1" t="inlineStr">
        <is>
          <t>147.69%</t>
        </is>
      </c>
      <c r="N4008" s="7" t="n">
        <v>8.699999999999999</v>
      </c>
      <c r="O4008" t="n">
        <v>4.8</v>
      </c>
      <c r="P4008" t="n">
        <v>84</v>
      </c>
      <c r="R4008" t="inlineStr">
        <is>
          <t>InStock</t>
        </is>
      </c>
      <c r="S4008" t="inlineStr">
        <is>
          <t>32.72</t>
        </is>
      </c>
      <c r="T4008" t="inlineStr">
        <is>
          <t>4455254720612</t>
        </is>
      </c>
    </row>
    <row r="4009" hidden="1" ht="15.75" customHeight="1">
      <c r="A4009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4009" s="2">
        <f>HYPERLINK("https://edmondsonsupply.com/products/klein-tools-55470-stand-up-zipper-bags-2-pack", "https://edmondsonsupply.com/products/klein-tools-55470-stand-up-zipper-bags-2-pack")</f>
        <v/>
      </c>
      <c r="C4009" t="inlineStr">
        <is>
          <t>Klein Tools 55470 Zipper Bag, Stand-Up Tool Pouch, 2-Pack</t>
        </is>
      </c>
      <c r="D4009" t="inlineStr">
        <is>
          <t>Klein Tools 5244 Tool Apron, Waist Size 32 to 53-In &amp; 55470 Utility Bag, Stand-Up Zipper Tool Bags, Tough 1680d Ballistic Weave, Reinforced Bottoms, Orange/Black, Gray/Black, 2-Pack</t>
        </is>
      </c>
      <c r="E4009" s="2">
        <f>HYPERLINK("https://www.amazon.com/Klein-Tools-Stand-Up-Ballistic-Reinforced/dp/B0BHVNB2Y7/ref=sr_1_21?keywords=Klein+Tools+55470+Zipper+Bag%2C+Stand-Up+Tool+Pouch%2C+2-Pack&amp;qid=1694735348&amp;sr=8-21", "https://www.amazon.com/Klein-Tools-Stand-Up-Ballistic-Reinforced/dp/B0BHVNB2Y7/ref=sr_1_21?keywords=Klein+Tools+55470+Zipper+Bag%2C+Stand-Up+Tool+Pouch%2C+2-Pack&amp;qid=1694735348&amp;sr=8-21")</f>
        <v/>
      </c>
      <c r="F4009" t="inlineStr">
        <is>
          <t>B0BHVNB2Y7</t>
        </is>
      </c>
      <c r="G4009">
        <f>_xludf.IMAGE("https://edmondsonsupply.com/cdn/shop/products/55470.jpg?v=1587149313")</f>
        <v/>
      </c>
      <c r="H4009">
        <f>_xludf.IMAGE("https://m.media-amazon.com/images/I/51EFa1Tz0jL._AC_UL320_.jpg")</f>
        <v/>
      </c>
      <c r="K4009" t="inlineStr">
        <is>
          <t>14.97</t>
        </is>
      </c>
      <c r="L4009" t="n">
        <v>36.98</v>
      </c>
      <c r="M4009" s="1" t="inlineStr">
        <is>
          <t>147.03%</t>
        </is>
      </c>
      <c r="N4009" s="1" t="n">
        <v>8.66</v>
      </c>
      <c r="O4009" t="n">
        <v>3</v>
      </c>
      <c r="P4009" t="n">
        <v>1</v>
      </c>
      <c r="R4009" t="inlineStr">
        <is>
          <t>InStock</t>
        </is>
      </c>
      <c r="S4009" t="inlineStr">
        <is>
          <t>21.5</t>
        </is>
      </c>
      <c r="T4009" t="inlineStr">
        <is>
          <t>1723696971876</t>
        </is>
      </c>
    </row>
    <row r="4010" ht="87" customHeight="1">
      <c r="A4010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4010" s="2">
        <f>HYPERLINK("https://edmondsonsupply.com/products/klein-tools-s8-1-4-inch-hollow-shaft-nut-driver-3-inch-shaft", "https://edmondsonsupply.com/products/klein-tools-s8-1-4-inch-hollow-shaft-nut-driver-3-inch-shaft")</f>
        <v/>
      </c>
      <c r="C4010" t="inlineStr">
        <is>
          <t>Klein Tools S8 1/4-Inch Hollow Shaft Nut Driver, 3-Inch Shaft</t>
        </is>
      </c>
      <c r="D4010" t="inlineStr">
        <is>
          <t>Klein Tools 610M Tool Set, Magnetic Nut Driver Set with Stubby Nut Driver Sizes 1/4 and 5/16-Inch, Full Hollow Shaft, 2-Piece</t>
        </is>
      </c>
      <c r="E4010" s="2">
        <f>HYPERLINK("https://www.amazon.com/Klein-Tools-610M-16-Inch-Magnetic/dp/B00093DZO6/ref=sr_1_22?keywords=Klein+Tools+S8+1%2F4-Inch+Hollow+Shaft+Nut+Driver%2C+3-Inch+Shaft&amp;qid=1694735248&amp;sr=8-22", "https://www.amazon.com/Klein-Tools-610M-16-Inch-Magnetic/dp/B00093DZO6/ref=sr_1_22?keywords=Klein+Tools+S8+1%2F4-Inch+Hollow+Shaft+Nut+Driver%2C+3-Inch+Shaft&amp;qid=1694735248&amp;sr=8-22")</f>
        <v/>
      </c>
      <c r="F4010" t="inlineStr">
        <is>
          <t>B00093DZO6</t>
        </is>
      </c>
      <c r="G4010">
        <f>_xlfn.IMAGE("https://edmondsonsupply.com/cdn/shop/products/s10.jpg?v=1633030797")</f>
        <v/>
      </c>
      <c r="H4010">
        <f>_xlfn.IMAGE("https://m.media-amazon.com/images/I/51lgiheW64L._AC_UL320_.jpg")</f>
        <v/>
      </c>
      <c r="K4010" t="inlineStr">
        <is>
          <t>7.29</t>
        </is>
      </c>
      <c r="L4010" t="n">
        <v>17.99</v>
      </c>
      <c r="M4010" s="1" t="inlineStr">
        <is>
          <t>146.78%</t>
        </is>
      </c>
      <c r="N4010" s="7" t="n">
        <v>8.609999999999999</v>
      </c>
      <c r="O4010" t="n">
        <v>4.8</v>
      </c>
      <c r="P4010" t="n">
        <v>559</v>
      </c>
      <c r="R4010" t="inlineStr">
        <is>
          <t>InStock</t>
        </is>
      </c>
      <c r="S4010" t="inlineStr">
        <is>
          <t>10.74</t>
        </is>
      </c>
      <c r="T4010" t="inlineStr">
        <is>
          <t>6000424485032</t>
        </is>
      </c>
    </row>
    <row r="4011" hidden="1" ht="15.75" customHeight="1">
      <c r="A4011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4011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4011" t="inlineStr">
        <is>
          <t>Klein Tools JTH6M5 5 mm Hex Key, Journeyman T-Handle, 6-Inch</t>
        </is>
      </c>
      <c r="D4011" t="inlineStr">
        <is>
          <t>Klein Tools JTH9M6 6 mm Hex Key, Journeyman T-Handle, 9-Inch</t>
        </is>
      </c>
      <c r="E4011" s="2">
        <f>HYPERLINK("https://www.amazon.com/Journeyman-T-Handle-Klein-Tools-JTH9M6/dp/B005G3HJKU/ref=sr_1_9?keywords=Klein+Tools+JTH6M5+5+mm+Hex+Key%2C+Journeyman+T-Handle%2C+6-Inch&amp;qid=1694735404&amp;sr=8-9", "https://www.amazon.com/Journeyman-T-Handle-Klein-Tools-JTH9M6/dp/B005G3HJKU/ref=sr_1_9?keywords=Klein+Tools+JTH6M5+5+mm+Hex+Key%2C+Journeyman+T-Handle%2C+6-Inch&amp;qid=1694735404&amp;sr=8-9")</f>
        <v/>
      </c>
      <c r="F4011" t="inlineStr">
        <is>
          <t>B005G3HJKU</t>
        </is>
      </c>
      <c r="G4011">
        <f>_xludf.IMAGE("https://edmondsonsupply.com/cdn/shop/products/jth6m8_86ab4962-b2b5-468b-a9d8-cba525456227.jpg?v=1587150411")</f>
        <v/>
      </c>
      <c r="H4011">
        <f>_xludf.IMAGE("https://m.media-amazon.com/images/I/51+1x0vz9XL._AC_UL320_.jpg")</f>
        <v/>
      </c>
      <c r="K4011" t="inlineStr">
        <is>
          <t>3.99</t>
        </is>
      </c>
      <c r="L4011" t="n">
        <v>9.84</v>
      </c>
      <c r="M4011" s="1" t="inlineStr">
        <is>
          <t>146.62%</t>
        </is>
      </c>
      <c r="N4011" s="1" t="n">
        <v>8.609999999999999</v>
      </c>
      <c r="O4011" t="n">
        <v>4.7</v>
      </c>
      <c r="P4011" t="n">
        <v>123</v>
      </c>
      <c r="R4011" t="inlineStr">
        <is>
          <t>InStock</t>
        </is>
      </c>
      <c r="S4011" t="inlineStr">
        <is>
          <t>6.04</t>
        </is>
      </c>
      <c r="T4011" t="inlineStr">
        <is>
          <t>4391573028964</t>
        </is>
      </c>
    </row>
    <row r="4012" hidden="1" ht="15.75" customHeight="1">
      <c r="A4012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4012" s="2">
        <f>HYPERLINK("https://edmondsonsupply.com/products/klein-tools-jth6m4-4-mm-hex-with-journeyman-t-handle-6-inch", "https://edmondsonsupply.com/products/klein-tools-jth6m4-4-mm-hex-with-journeyman-t-handle-6-inch")</f>
        <v/>
      </c>
      <c r="C4012" t="inlineStr">
        <is>
          <t>Klein Tools JTH6M4 4 mm Hex with Journeyman T-Handle 6-Inch</t>
        </is>
      </c>
      <c r="D4012" t="inlineStr">
        <is>
          <t>Klein Tools JTH9M6 6 mm Hex Key, Journeyman T-Handle, 9-Inch</t>
        </is>
      </c>
      <c r="E4012" s="2">
        <f>HYPERLINK("https://www.amazon.com/Journeyman-T-Handle-Klein-Tools-JTH9M6/dp/B005G3HJKU/ref=sr_1_12?keywords=Klein+Tools+JTH6M4+4+mm+Hex+with+Journeyman+T-Handle+6-Inch&amp;qid=1694735242&amp;sr=8-12", "https://www.amazon.com/Journeyman-T-Handle-Klein-Tools-JTH9M6/dp/B005G3HJKU/ref=sr_1_12?keywords=Klein+Tools+JTH6M4+4+mm+Hex+with+Journeyman+T-Handle+6-Inch&amp;qid=1694735242&amp;sr=8-12")</f>
        <v/>
      </c>
      <c r="F4012" t="inlineStr">
        <is>
          <t>B005G3HJKU</t>
        </is>
      </c>
      <c r="G4012">
        <f>_xludf.IMAGE("https://edmondsonsupply.com/cdn/shop/products/jth6m8_21839492-f844-4577-89b7-6c2cb1d02f31.jpg?v=1603052109")</f>
        <v/>
      </c>
      <c r="H4012">
        <f>_xludf.IMAGE("https://m.media-amazon.com/images/I/51+1x0vz9XL._AC_UL320_.jpg")</f>
        <v/>
      </c>
      <c r="K4012" t="inlineStr">
        <is>
          <t>3.99</t>
        </is>
      </c>
      <c r="L4012" t="n">
        <v>9.84</v>
      </c>
      <c r="M4012" s="1" t="inlineStr">
        <is>
          <t>146.62%</t>
        </is>
      </c>
      <c r="N4012" s="1" t="n">
        <v>8.56</v>
      </c>
      <c r="O4012" t="n">
        <v>4.7</v>
      </c>
      <c r="P4012" t="n">
        <v>123</v>
      </c>
      <c r="R4012" t="inlineStr">
        <is>
          <t>InStock</t>
        </is>
      </c>
      <c r="S4012" t="inlineStr">
        <is>
          <t>6.04</t>
        </is>
      </c>
      <c r="T4012" t="inlineStr">
        <is>
          <t>5963077157032</t>
        </is>
      </c>
    </row>
    <row r="4013" hidden="1" ht="15.75" customHeight="1">
      <c r="A4013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4013" s="2">
        <f>HYPERLINK("https://edmondsonsupply.com/products/klein-tools-jth6m2-2-mm-hex-key-journeyman-t-handle-6-inch", "https://edmondsonsupply.com/products/klein-tools-jth6m2-2-mm-hex-key-journeyman-t-handle-6-inch")</f>
        <v/>
      </c>
      <c r="C4013" t="inlineStr">
        <is>
          <t>Klein Tools JTH6M2 2 mm Hex Key, Journeyman T-Handle, 6-Inch</t>
        </is>
      </c>
      <c r="D4013" t="inlineStr">
        <is>
          <t>Klein Tools JTH9M6 6 mm Hex Key, Journeyman T-Handle, 9-Inch</t>
        </is>
      </c>
      <c r="E4013" s="2">
        <f>HYPERLINK("https://www.amazon.com/Journeyman-T-Handle-Klein-Tools-JTH9M6/dp/B005G3HJKU/ref=sr_1_14?keywords=Klein+Tools+JTH6M2+2+mm+Hex+Key%2C+Journeyman+T-Handle%2C+6-Inch&amp;qid=1694735354&amp;sr=8-14", "https://www.amazon.com/Journeyman-T-Handle-Klein-Tools-JTH9M6/dp/B005G3HJKU/ref=sr_1_14?keywords=Klein+Tools+JTH6M2+2+mm+Hex+Key%2C+Journeyman+T-Handle%2C+6-Inch&amp;qid=1694735354&amp;sr=8-14")</f>
        <v/>
      </c>
      <c r="F4013" t="inlineStr">
        <is>
          <t>B005G3HJKU</t>
        </is>
      </c>
      <c r="G4013">
        <f>_xludf.IMAGE("https://edmondsonsupply.com/cdn/shop/products/jth6m8_a05a7009-87dd-4391-9f0b-ef31a782bd36.jpg?v=1587147558")</f>
        <v/>
      </c>
      <c r="H4013">
        <f>_xludf.IMAGE("https://m.media-amazon.com/images/I/51+1x0vz9XL._AC_UL320_.jpg")</f>
        <v/>
      </c>
      <c r="K4013" t="inlineStr">
        <is>
          <t>3.99</t>
        </is>
      </c>
      <c r="L4013" t="n">
        <v>9.84</v>
      </c>
      <c r="M4013" s="1" t="inlineStr">
        <is>
          <t>146.62%</t>
        </is>
      </c>
      <c r="N4013" s="1" t="n">
        <v>8.56</v>
      </c>
      <c r="O4013" t="n">
        <v>4.7</v>
      </c>
      <c r="P4013" t="n">
        <v>123</v>
      </c>
      <c r="R4013" t="inlineStr">
        <is>
          <t>InStock</t>
        </is>
      </c>
      <c r="S4013" t="inlineStr">
        <is>
          <t>6.06</t>
        </is>
      </c>
      <c r="T4013" t="inlineStr">
        <is>
          <t>4506082738276</t>
        </is>
      </c>
    </row>
    <row r="4014" hidden="1" ht="15.75" customHeight="1">
      <c r="A4014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4014" s="2">
        <f>HYPERLINK("https://edmondsonsupply.com/products/klein-tools-jth6e08-1-8-inch-hex-key-journeyman-t-handle-6-inch", "https://edmondsonsupply.com/products/klein-tools-jth6e08-1-8-inch-hex-key-journeyman-t-handle-6-inch")</f>
        <v/>
      </c>
      <c r="C4014" t="inlineStr">
        <is>
          <t>Klein Tools JTH6E08 1/8-Inch Hex Key, Journeyman T-Handle, 6-Inch</t>
        </is>
      </c>
      <c r="D4014" t="inlineStr">
        <is>
          <t>Klein Tools JTH9M6 6 mm Hex Key, Journeyman T-Handle, 9-Inch</t>
        </is>
      </c>
      <c r="E4014" s="2">
        <f>HYPERLINK("https://www.amazon.com/Journeyman-T-Handle-Klein-Tools-JTH9M6/dp/B005G3HJKU/ref=sr_1_16?keywords=Klein+Tools+JTH6E08+1%2F8-Inch+Hex+Key%2C+Journeyman+T-Handle%2C+6-Inch&amp;qid=1694735241&amp;sr=8-16", "https://www.amazon.com/Journeyman-T-Handle-Klein-Tools-JTH9M6/dp/B005G3HJKU/ref=sr_1_16?keywords=Klein+Tools+JTH6E08+1%2F8-Inch+Hex+Key%2C+Journeyman+T-Handle%2C+6-Inch&amp;qid=1694735241&amp;sr=8-16")</f>
        <v/>
      </c>
      <c r="F4014" t="inlineStr">
        <is>
          <t>B005G3HJKU</t>
        </is>
      </c>
      <c r="G4014">
        <f>_xludf.IMAGE("https://edmondsonsupply.com/cdn/shop/products/jth6e15_e3103b57-060e-4d47-a405-4e66dc6bbb91.jpg?v=1604272072")</f>
        <v/>
      </c>
      <c r="H4014">
        <f>_xludf.IMAGE("https://m.media-amazon.com/images/I/51+1x0vz9XL._AC_UL320_.jpg")</f>
        <v/>
      </c>
      <c r="K4014" t="inlineStr">
        <is>
          <t>3.99</t>
        </is>
      </c>
      <c r="L4014" t="n">
        <v>9.84</v>
      </c>
      <c r="M4014" s="1" t="inlineStr">
        <is>
          <t>146.62%</t>
        </is>
      </c>
      <c r="N4014" s="1" t="n">
        <v>8.5</v>
      </c>
      <c r="O4014" t="n">
        <v>4.7</v>
      </c>
      <c r="P4014" t="n">
        <v>123</v>
      </c>
      <c r="R4014" t="inlineStr">
        <is>
          <t>InStock</t>
        </is>
      </c>
      <c r="S4014" t="inlineStr">
        <is>
          <t>6.04</t>
        </is>
      </c>
      <c r="T4014" t="inlineStr">
        <is>
          <t>6005767635112</t>
        </is>
      </c>
    </row>
    <row r="4015" hidden="1" ht="15.75" customHeight="1">
      <c r="A4015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4015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4015" t="inlineStr">
        <is>
          <t>Klein Tools JTH6E06 3/32-Inch Hex Key, Journeyman T-Handle, 6-Inch</t>
        </is>
      </c>
      <c r="D4015" t="inlineStr">
        <is>
          <t>Klein Tools JTH9M6 6 mm Hex Key, Journeyman T-Handle, 9-Inch</t>
        </is>
      </c>
      <c r="E4015" s="2">
        <f>HYPERLINK("https://www.amazon.com/Journeyman-T-Handle-Klein-Tools-JTH9M6/dp/B005G3HJKU/ref=sr_1_18?keywords=Klein+Tools+JTH6E06+3%2F32-Inch+Hex+Key%2C+Journeyman+T-Handle%2C+6-Inch&amp;qid=1694735341&amp;sr=8-18", "https://www.amazon.com/Journeyman-T-Handle-Klein-Tools-JTH9M6/dp/B005G3HJKU/ref=sr_1_18?keywords=Klein+Tools+JTH6E06+3%2F32-Inch+Hex+Key%2C+Journeyman+T-Handle%2C+6-Inch&amp;qid=1694735341&amp;sr=8-18")</f>
        <v/>
      </c>
      <c r="F4015" t="inlineStr">
        <is>
          <t>B005G3HJKU</t>
        </is>
      </c>
      <c r="G4015">
        <f>_xludf.IMAGE("https://edmondsonsupply.com/cdn/shop/products/jth6e15_f3f40e05-27ea-4df2-91fc-a673e8aa5e4b.jpg?v=1587150971")</f>
        <v/>
      </c>
      <c r="H4015">
        <f>_xludf.IMAGE("https://m.media-amazon.com/images/I/51+1x0vz9XL._AC_UL320_.jpg")</f>
        <v/>
      </c>
      <c r="K4015" t="inlineStr">
        <is>
          <t>3.99</t>
        </is>
      </c>
      <c r="L4015" t="n">
        <v>9.84</v>
      </c>
      <c r="M4015" s="1" t="inlineStr">
        <is>
          <t>146.62%</t>
        </is>
      </c>
      <c r="N4015" s="1" t="n">
        <v>8.48</v>
      </c>
      <c r="O4015" t="n">
        <v>4.7</v>
      </c>
      <c r="P4015" t="n">
        <v>123</v>
      </c>
      <c r="R4015" t="inlineStr">
        <is>
          <t>InStock</t>
        </is>
      </c>
      <c r="S4015" t="inlineStr">
        <is>
          <t>6.04</t>
        </is>
      </c>
      <c r="T4015" t="inlineStr">
        <is>
          <t>4512703709284</t>
        </is>
      </c>
    </row>
    <row r="4016" ht="87" customHeight="1">
      <c r="A4016" s="2">
        <f>HYPERLINK("https://edmondsonsupply.com/collections/electricians-tools/products/diablo-tools-d0724da-7-1-4-in-24-tooth-%E2%84%A2-framing-demolition-saw-blade", "https://edmondsonsupply.com/collections/electricians-tools/products/diablo-tools-d0724da-7-1-4-in-24-tooth-%E2%84%A2-framing-demolition-saw-blade")</f>
        <v/>
      </c>
      <c r="B4016" s="2">
        <f>HYPERLINK("https://edmondsonsupply.com/products/diablo-tools-d0724da-7-1-4-in-24-tooth-%e2%84%a2-framing-demolition-saw-blade", "https://edmondsonsupply.com/products/diablo-tools-d0724da-7-1-4-in-24-tooth-%e2%84%a2-framing-demolition-saw-blade")</f>
        <v/>
      </c>
      <c r="C4016" t="inlineStr">
        <is>
          <t>Diablo Tools D0724DA 7-1/4 in. 24-Tooth ™ Framing/Demolition Saw Blade</t>
        </is>
      </c>
      <c r="D4016" t="inlineStr">
        <is>
          <t>2 Pack Diablo D0724DA 7-1/4" X 24 Tooth Framing/Deconstruction Circular Saw Blade</t>
        </is>
      </c>
      <c r="E4016" s="2">
        <f>HYPERLINK("https://www.amazon.com/Diablo-D0724DA-Framing-Deconstruction-Circular/dp/B00XT9KFVS/ref=sr_1_2?keywords=Diablo+Tools+D0724DA+7-1%2F4+in.+24-Tooth+%E2%84%A2+Framing%2FDemolition+Saw+Blade&amp;qid=1694735025&amp;sr=8-2", "https://www.amazon.com/Diablo-D0724DA-Framing-Deconstruction-Circular/dp/B00XT9KFVS/ref=sr_1_2?keywords=Diablo+Tools+D0724DA+7-1%2F4+in.+24-Tooth+%E2%84%A2+Framing%2FDemolition+Saw+Blade&amp;qid=1694735025&amp;sr=8-2")</f>
        <v/>
      </c>
      <c r="F4016" t="inlineStr">
        <is>
          <t>B00XT9KFVS</t>
        </is>
      </c>
      <c r="G4016">
        <f>_xlfn.IMAGE("https://edmondsonsupply.com/cdn/shop/products/ms7ofgpqtqo0aptxxu1k.webp?v=1678973703")</f>
        <v/>
      </c>
      <c r="H4016">
        <f>_xlfn.IMAGE("https://m.media-amazon.com/images/I/61NkAJf3i9L._AC_UL320_.jpg")</f>
        <v/>
      </c>
      <c r="K4016" t="inlineStr">
        <is>
          <t>14.97</t>
        </is>
      </c>
      <c r="L4016" t="n">
        <v>36.9</v>
      </c>
      <c r="M4016" s="1" t="inlineStr">
        <is>
          <t>146.49%</t>
        </is>
      </c>
      <c r="N4016" s="7" t="n">
        <v>8.470000000000001</v>
      </c>
      <c r="O4016" t="n">
        <v>4.7</v>
      </c>
      <c r="P4016" t="n">
        <v>10</v>
      </c>
      <c r="R4016" t="inlineStr">
        <is>
          <t>InStock</t>
        </is>
      </c>
      <c r="S4016" t="inlineStr">
        <is>
          <t>22.22</t>
        </is>
      </c>
      <c r="T4016" t="inlineStr">
        <is>
          <t>7962610204888</t>
        </is>
      </c>
    </row>
    <row r="4017" ht="87" customHeight="1">
      <c r="A4017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017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017" t="inlineStr">
        <is>
          <t>Klein Tools 32308 8-in-1 Multi-Bit Adjustable Length Stubby Screwdriver</t>
        </is>
      </c>
      <c r="D4017" t="inlineStr">
        <is>
          <t>Screwdriver, 14-in-1 Adjustable Screwdriver with Flip Socket &amp; 32308 Multi-bit Stubby Screwdriver, Impact Rated 8-in-1 Adjustable Magnetic Tool with Phillips, Slotted, Square and Nut Driver</t>
        </is>
      </c>
      <c r="E4017" s="2">
        <f>HYPERLINK("https://www.amazon.com/Screwdriver-Adjustable-Multi-bit-Magnetic-Phillips/dp/B09YTXLJXC/ref=sr_1_2?keywords=Klein+Tools+32308+8-in-1+Multi-Bit+Adjustable+Length+Stubby+Screwdriver&amp;qid=1694735167&amp;sr=8-2", "https://www.amazon.com/Screwdriver-Adjustable-Multi-bit-Magnetic-Phillips/dp/B09YTXLJXC/ref=sr_1_2?keywords=Klein+Tools+32308+8-in-1+Multi-Bit+Adjustable+Length+Stubby+Screwdriver&amp;qid=1694735167&amp;sr=8-2")</f>
        <v/>
      </c>
      <c r="F4017" t="inlineStr">
        <is>
          <t>B09YTXLJXC</t>
        </is>
      </c>
      <c r="G4017">
        <f>_xlfn.IMAGE("https://edmondsonsupply.com/cdn/shop/products/32308_b.jpg?v=1647348209")</f>
        <v/>
      </c>
      <c r="H4017">
        <f>_xlfn.IMAGE("https://m.media-amazon.com/images/I/51RZKWZjlyL._AC_UL320_.jpg")</f>
        <v/>
      </c>
      <c r="K4017" t="inlineStr">
        <is>
          <t>16.97</t>
        </is>
      </c>
      <c r="L4017" t="n">
        <v>41.74</v>
      </c>
      <c r="M4017" s="1" t="inlineStr">
        <is>
          <t>145.96%</t>
        </is>
      </c>
      <c r="N4017" s="7" t="n">
        <v>8.43</v>
      </c>
      <c r="O4017" t="n">
        <v>4.7</v>
      </c>
      <c r="P4017" t="n">
        <v>51</v>
      </c>
      <c r="R4017" t="inlineStr">
        <is>
          <t>InStock</t>
        </is>
      </c>
      <c r="S4017" t="inlineStr">
        <is>
          <t>23.78</t>
        </is>
      </c>
      <c r="T4017" t="inlineStr">
        <is>
          <t>7637271445720</t>
        </is>
      </c>
    </row>
    <row r="4018" ht="87" customHeight="1">
      <c r="A4018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4018" s="2">
        <f>HYPERLINK("https://edmondsonsupply.com/products/klein-tools-56333-steel-fish-tape-1-8-inch-x-120-foot", "https://edmondsonsupply.com/products/klein-tools-56333-steel-fish-tape-1-8-inch-x-120-foot")</f>
        <v/>
      </c>
      <c r="C4018" t="inlineStr">
        <is>
          <t>Klein Tools 56333 Steel Fish Tape, 1/8-Inch x 120-Foot</t>
        </is>
      </c>
      <c r="D4018" t="inlineStr">
        <is>
          <t>Klein Tools 56350 Non-Conductive Electrical Fish Tape, Fiberglass Wire Puller with Steel Leader, Optimized Housing / Handle, 50-Foot x 3/16-Inch</t>
        </is>
      </c>
      <c r="E4018" s="2">
        <f>HYPERLINK("https://www.amazon.com/Klein-Tools-56350-Fiberglass-0-182-Inch/dp/B081ZTJTB5/ref=sr_1_19?keywords=Klein+Tools+56333+Steel+Fish+Tape%2C+1%2F8-Inch+x+120-Foot&amp;qid=1694735382&amp;sr=8-19", "https://www.amazon.com/Klein-Tools-56350-Fiberglass-0-182-Inch/dp/B081ZTJTB5/ref=sr_1_19?keywords=Klein+Tools+56333+Steel+Fish+Tape%2C+1%2F8-Inch+x+120-Foot&amp;qid=1694735382&amp;sr=8-19")</f>
        <v/>
      </c>
      <c r="F4018" t="inlineStr">
        <is>
          <t>B081ZTJTB5</t>
        </is>
      </c>
      <c r="G4018">
        <f>_xlfn.IMAGE("https://edmondsonsupply.com/cdn/shop/products/56333.jpg?v=1587147770")</f>
        <v/>
      </c>
      <c r="H4018">
        <f>_xlfn.IMAGE("https://m.media-amazon.com/images/I/51tGreVpcBL._AC_UL320_.jpg")</f>
        <v/>
      </c>
      <c r="K4018" t="inlineStr">
        <is>
          <t>54.97</t>
        </is>
      </c>
      <c r="L4018" t="n">
        <v>134.95</v>
      </c>
      <c r="M4018" s="1" t="inlineStr">
        <is>
          <t>145.50%</t>
        </is>
      </c>
      <c r="N4018" s="7" t="n">
        <v>8.34</v>
      </c>
      <c r="O4018" t="n">
        <v>4.9</v>
      </c>
      <c r="P4018" t="n">
        <v>14</v>
      </c>
      <c r="R4018" t="inlineStr">
        <is>
          <t>InStock</t>
        </is>
      </c>
      <c r="S4018" t="inlineStr">
        <is>
          <t>82.48</t>
        </is>
      </c>
      <c r="T4018" t="inlineStr">
        <is>
          <t>4412208578660</t>
        </is>
      </c>
    </row>
    <row r="4019" ht="87" customHeight="1">
      <c r="A4019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4019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4019" t="inlineStr">
        <is>
          <t>Klein Tools 32768 3-in-1 Impact Flip Socket Set, 1/4-Inch, 5/16-Inch, 2-Piece</t>
        </is>
      </c>
      <c r="D4019" t="inlineStr">
        <is>
          <t>Klein Tools 32768 Impact Driver, 3-in-1 Impact Flip Socket and Bit Holder, 1/4 and 5/16-Inch Hex Drivers &amp; RIDGID 40617 Model 101 Close Quarters Tubing Cutter with 1/4"-1-1/8" Cutting Capacity, Silver</t>
        </is>
      </c>
      <c r="E4019" s="2">
        <f>HYPERLINK("https://www.amazon.com/Klein-Tools-16-Inch-Quarters-Capacity/dp/B0C3B9VXDV/ref=sr_1_14?keywords=Klein+Tools+32768+3-in-1+Impact+Flip+Socket+Set%2C+1%2F4-Inch%2C+5%2F16-Inch%2C+2-Piece&amp;qid=1694735099&amp;sr=8-14", "https://www.amazon.com/Klein-Tools-16-Inch-Quarters-Capacity/dp/B0C3B9VXDV/ref=sr_1_14?keywords=Klein+Tools+32768+3-in-1+Impact+Flip+Socket+Set%2C+1%2F4-Inch%2C+5%2F16-Inch%2C+2-Piece&amp;qid=1694735099&amp;sr=8-14")</f>
        <v/>
      </c>
      <c r="F4019" t="inlineStr">
        <is>
          <t>B0C3B9VXDV</t>
        </is>
      </c>
      <c r="G4019">
        <f>_xlfn.IMAGE("https://edmondsonsupply.com/cdn/shop/products/32768.jpg?v=1666022946")</f>
        <v/>
      </c>
      <c r="H4019">
        <f>_xlfn.IMAGE("https://m.media-amazon.com/images/I/51sJRgqGE4L._AC_UL320_.jpg")</f>
        <v/>
      </c>
      <c r="K4019" t="inlineStr">
        <is>
          <t>14.97</t>
        </is>
      </c>
      <c r="L4019" t="n">
        <v>36.75</v>
      </c>
      <c r="M4019" s="1" t="inlineStr">
        <is>
          <t>145.49%</t>
        </is>
      </c>
      <c r="N4019" s="7" t="n">
        <v>8.24</v>
      </c>
      <c r="O4019" t="n">
        <v>5</v>
      </c>
      <c r="P4019" t="n">
        <v>1</v>
      </c>
      <c r="R4019" t="inlineStr">
        <is>
          <t>InStock</t>
        </is>
      </c>
      <c r="S4019" t="inlineStr">
        <is>
          <t>21.98</t>
        </is>
      </c>
      <c r="T4019" t="inlineStr">
        <is>
          <t>7856621977816</t>
        </is>
      </c>
    </row>
    <row r="4020" ht="87" customHeight="1">
      <c r="A4020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4020" s="2">
        <f>HYPERLINK("https://edmondsonsupply.com/products/klein-tools-et600-insulation-resistance-tester", "https://edmondsonsupply.com/products/klein-tools-et600-insulation-resistance-tester")</f>
        <v/>
      </c>
      <c r="C4020" t="inlineStr">
        <is>
          <t>Klein Tools ET600 Insulation Resistance Tester</t>
        </is>
      </c>
      <c r="D4020" t="inlineStr">
        <is>
          <t>Klein Tools ET600 Multimeter, Megohmmeter Insulation Tester, 4000 Ohms Resistance, 125V/250V/500V/1000V, Auto-Ranging TRMS Multimeter &amp; ET450 Advanced Circuit Breaker Finder and Wire Tracer Kit</t>
        </is>
      </c>
      <c r="E4020" s="2">
        <f>HYPERLINK("https://www.amazon.com/Klein-Tools-Megohmmeter-Insulation-Ohms-Resistance-Auto-Ranging/dp/B0C2V14DQF/ref=sr_1_6?keywords=Klein+Tools+ET600+Insulation+Resistance+Tester&amp;qid=1694734978&amp;sr=8-6", "https://www.amazon.com/Klein-Tools-Megohmmeter-Insulation-Ohms-Resistance-Auto-Ranging/dp/B0C2V14DQF/ref=sr_1_6?keywords=Klein+Tools+ET600+Insulation+Resistance+Tester&amp;qid=1694734978&amp;sr=8-6")</f>
        <v/>
      </c>
      <c r="F4020" t="inlineStr">
        <is>
          <t>B0C2V14DQF</t>
        </is>
      </c>
      <c r="G4020">
        <f>_xlfn.IMAGE("https://edmondsonsupply.com/cdn/shop/products/et600_accessories_b.jpg?v=1677685603")</f>
        <v/>
      </c>
      <c r="H4020">
        <f>_xlfn.IMAGE("https://m.media-amazon.com/images/I/61413mHKf0L._AC_UY218_.jpg")</f>
        <v/>
      </c>
      <c r="K4020" t="inlineStr">
        <is>
          <t>164.99</t>
        </is>
      </c>
      <c r="L4020" t="n">
        <v>404.98</v>
      </c>
      <c r="M4020" s="1" t="inlineStr">
        <is>
          <t>145.46%</t>
        </is>
      </c>
      <c r="N4020" s="7" t="n">
        <v>8.19</v>
      </c>
      <c r="O4020" t="n">
        <v>5</v>
      </c>
      <c r="P4020" t="n">
        <v>1</v>
      </c>
      <c r="R4020" t="inlineStr">
        <is>
          <t>InStock</t>
        </is>
      </c>
      <c r="S4020" t="inlineStr">
        <is>
          <t>231.0</t>
        </is>
      </c>
      <c r="T4020" t="inlineStr">
        <is>
          <t>4411568095332</t>
        </is>
      </c>
    </row>
    <row r="4021" ht="87" customHeight="1">
      <c r="A4021" s="2">
        <f>HYPERLINK("https://edmondsonsupply.com/collections/electricians-tools/products/klein-tools-647-nut-driver-set-6-inch-shafts-7-piece", "https://edmondsonsupply.com/collections/electricians-tools/products/klein-tools-647-nut-driver-set-6-inch-shafts-7-piece")</f>
        <v/>
      </c>
      <c r="B4021" s="2">
        <f>HYPERLINK("https://edmondsonsupply.com/products/klein-tools-647-nut-driver-set-6-inch-shafts-7-piece", "https://edmondsonsupply.com/products/klein-tools-647-nut-driver-set-6-inch-shafts-7-piece")</f>
        <v/>
      </c>
      <c r="C4021" t="inlineStr">
        <is>
          <t>Klein Tools 647 Nut Driver Set, 6-Inch Shafts, 7-Piece</t>
        </is>
      </c>
      <c r="D4021" t="inlineStr">
        <is>
          <t>Klein Tools 85148 Screwdriver Set 8pcs Includes Magnetizer/Demagnetizer &amp; 647M Tool Set, Magnetic Nut Drivers Sizes 3/16, 1/4, 5/16, 11/32, 3/8, 7/16, 1/2-Inch, 6-Inch Hollow Shafts, 7-Piece</t>
        </is>
      </c>
      <c r="E4021" s="2">
        <f>HYPERLINK("https://www.amazon.com/Klein-Tools-Screwdriver-Magnetizer-Demagnetizer/dp/B093Q1QM8B/ref=sr_1_3?keywords=Klein+Tools+647+Nut+Driver+Set%2C+6-Inch+Shafts%2C+7-Piece&amp;qid=1694735405&amp;sr=8-3", "https://www.amazon.com/Klein-Tools-Screwdriver-Magnetizer-Demagnetizer/dp/B093Q1QM8B/ref=sr_1_3?keywords=Klein+Tools+647+Nut+Driver+Set%2C+6-Inch+Shafts%2C+7-Piece&amp;qid=1694735405&amp;sr=8-3")</f>
        <v/>
      </c>
      <c r="F4021" t="inlineStr">
        <is>
          <t>B093Q1QM8B</t>
        </is>
      </c>
      <c r="G4021">
        <f>_xlfn.IMAGE("https://edmondsonsupply.com/cdn/shop/products/647.jpg?v=1587143213")</f>
        <v/>
      </c>
      <c r="H4021">
        <f>_xlfn.IMAGE("https://m.media-amazon.com/images/I/51VAsrbaSkS._AC_UL320_.jpg")</f>
        <v/>
      </c>
      <c r="K4021" t="inlineStr">
        <is>
          <t>59.99</t>
        </is>
      </c>
      <c r="L4021" t="n">
        <v>146.98</v>
      </c>
      <c r="M4021" s="1" t="inlineStr">
        <is>
          <t>145.01%</t>
        </is>
      </c>
      <c r="N4021" s="7" t="n">
        <v>8.109999999999999</v>
      </c>
      <c r="O4021" t="n">
        <v>5</v>
      </c>
      <c r="P4021" t="n">
        <v>3</v>
      </c>
      <c r="R4021" t="inlineStr">
        <is>
          <t>InStock</t>
        </is>
      </c>
      <c r="S4021" t="inlineStr">
        <is>
          <t>91.02</t>
        </is>
      </c>
      <c r="T4021" t="inlineStr">
        <is>
          <t>4391224770660</t>
        </is>
      </c>
    </row>
    <row r="4022" ht="87" customHeight="1">
      <c r="A4022" s="2">
        <f>HYPERLINK("https://edmondsonsupply.com/collections/electricians-tools/products/greenlee-612-1-1-2-foam-conduit-piston", "https://edmondsonsupply.com/collections/electricians-tools/products/greenlee-612-1-1-2-foam-conduit-piston")</f>
        <v/>
      </c>
      <c r="B4022" s="2">
        <f>HYPERLINK("https://edmondsonsupply.com/products/greenlee-612-1-1-2-foam-conduit-piston", "https://edmondsonsupply.com/products/greenlee-612-1-1-2-foam-conduit-piston")</f>
        <v/>
      </c>
      <c r="C4022" t="inlineStr">
        <is>
          <t>Greenlee 612 1-1/2" Foam Conduit Piston</t>
        </is>
      </c>
      <c r="D4022" t="inlineStr">
        <is>
          <t>Greenlee 613 Piston For 2" Conduit, 1 Pack by Greenlee</t>
        </is>
      </c>
      <c r="E4022" s="2">
        <f>HYPERLINK("https://www.amazon.com/Greenlee-613-Piston-Conduit-Pack/dp/B0184XZKN6/ref=sr_1_9?keywords=Greenlee+612+1-1%2F2%22+Foam+Conduit+Piston&amp;qid=1694734991&amp;sr=8-9", "https://www.amazon.com/Greenlee-613-Piston-Conduit-Pack/dp/B0184XZKN6/ref=sr_1_9?keywords=Greenlee+612+1-1%2F2%22+Foam+Conduit+Piston&amp;qid=1694734991&amp;sr=8-9")</f>
        <v/>
      </c>
      <c r="F4022" t="inlineStr">
        <is>
          <t>B0184XZKN6</t>
        </is>
      </c>
      <c r="G4022">
        <f>_xlfn.IMAGE("https://edmondsonsupply.com/cdn/shop/files/612.png?v=1687451101")</f>
        <v/>
      </c>
      <c r="H4022">
        <f>_xlfn.IMAGE("https://m.media-amazon.com/images/I/51w6IU+nu3L._AC_UL320_.jpg")</f>
        <v/>
      </c>
      <c r="K4022" t="inlineStr">
        <is>
          <t>11.33</t>
        </is>
      </c>
      <c r="L4022" t="n">
        <v>27.75</v>
      </c>
      <c r="M4022" s="1" t="inlineStr">
        <is>
          <t>144.92%</t>
        </is>
      </c>
      <c r="N4022" s="7" t="n">
        <v>8.050000000000001</v>
      </c>
      <c r="O4022" t="n">
        <v>5</v>
      </c>
      <c r="P4022" t="n">
        <v>5</v>
      </c>
      <c r="R4022" t="inlineStr">
        <is>
          <t>InStock</t>
        </is>
      </c>
      <c r="S4022" t="inlineStr">
        <is>
          <t>undefined</t>
        </is>
      </c>
      <c r="T4022" t="inlineStr">
        <is>
          <t>8007993032920</t>
        </is>
      </c>
    </row>
    <row r="4023" ht="87" customHeight="1">
      <c r="A4023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4023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4023" t="inlineStr">
        <is>
          <t>Klein Tools 630-7/16M 7/16-Inch Magnetic Tip Nut Driver 3-Inch Shaft</t>
        </is>
      </c>
      <c r="D4023" t="inlineStr">
        <is>
          <t>Klein Tools 32807MAG 7-in-1 Nut Driver, Magnetic Driver has SAE Hex Nut Sizes 1/4 to 9/16-Inch, Cushion Grip Handle for Added Torque</t>
        </is>
      </c>
      <c r="E4023" s="2">
        <f>HYPERLINK("https://www.amazon.com/Driver-Magnetic-Klein-Tools-32807MAG/dp/B07D4M51DQ/ref=sr_1_26?keywords=Klein+Tools+630-7%2F16M+7%2F16-Inch+Magnetic+Tip+Nut+Driver+3-Inch+Shaft&amp;qid=1694735273&amp;sr=8-26", "https://www.amazon.com/Driver-Magnetic-Klein-Tools-32807MAG/dp/B07D4M51DQ/ref=sr_1_26?keywords=Klein+Tools+630-7%2F16M+7%2F16-Inch+Magnetic+Tip+Nut+Driver+3-Inch+Shaft&amp;qid=1694735273&amp;sr=8-26")</f>
        <v/>
      </c>
      <c r="F4023" t="inlineStr">
        <is>
          <t>B07D4M51DQ</t>
        </is>
      </c>
      <c r="G4023">
        <f>_xlfn.IMAGE("https://edmondsonsupply.com/cdn/shop/products/630-7-16m.jpg?v=1633030529")</f>
        <v/>
      </c>
      <c r="H4023">
        <f>_xlfn.IMAGE("https://m.media-amazon.com/images/I/61gwAJBzDAL._AC_UL320_.jpg")</f>
        <v/>
      </c>
      <c r="K4023" t="inlineStr">
        <is>
          <t>12.24</t>
        </is>
      </c>
      <c r="L4023" t="n">
        <v>29.97</v>
      </c>
      <c r="M4023" s="1" t="inlineStr">
        <is>
          <t>144.85%</t>
        </is>
      </c>
      <c r="N4023" s="7" t="n">
        <v>8.039999999999999</v>
      </c>
      <c r="O4023" t="n">
        <v>4.7</v>
      </c>
      <c r="P4023" t="n">
        <v>9145</v>
      </c>
      <c r="R4023" t="inlineStr">
        <is>
          <t>InStock</t>
        </is>
      </c>
      <c r="S4023" t="inlineStr">
        <is>
          <t>18.54</t>
        </is>
      </c>
      <c r="T4023" t="inlineStr">
        <is>
          <t>5408853819560</t>
        </is>
      </c>
    </row>
    <row r="4024" ht="87" customHeight="1">
      <c r="A4024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024" s="2">
        <f>HYPERLINK("https://edmondsonsupply.com/products/klein-tools-vdv526-200-lan-scout-%c2%ae-jr-2-cable-tester", "https://edmondsonsupply.com/products/klein-tools-vdv526-200-lan-scout-%c2%ae-jr-2-cable-tester")</f>
        <v/>
      </c>
      <c r="C4024" t="inlineStr">
        <is>
          <t>Klein Tools VDV526-200 LAN Scout ® Jr. 2 Cable Tester</t>
        </is>
      </c>
      <c r="D4024" t="inlineStr">
        <is>
          <t>Klein Tools VDV500-820 Cable Tracer with Probe Tone Pro Kit &amp; VDV526-200 Cable Tester, LAN Scout Jr. 2 Ethernet Cable Tester for CAT 5e, CAT 6/6A Cables with RJ45 Connections</t>
        </is>
      </c>
      <c r="E4024" s="2">
        <f>HYPERLINK("https://www.amazon.com/Klein-Tools-VDV500-820-VDV526-200-Connections/dp/B09T6ZKDCM/ref=sr_1_5?keywords=Klein+Tools+VDV526-200+LAN+Scout+%C2%AE+Jr.+2+Cable+Tester&amp;qid=1694735126&amp;sr=8-5", "https://www.amazon.com/Klein-Tools-VDV500-820-VDV526-200-Connections/dp/B09T6ZKDCM/ref=sr_1_5?keywords=Klein+Tools+VDV526-200+LAN+Scout+%C2%AE+Jr.+2+Cable+Tester&amp;qid=1694735126&amp;sr=8-5")</f>
        <v/>
      </c>
      <c r="F4024" t="inlineStr">
        <is>
          <t>B09T6ZKDCM</t>
        </is>
      </c>
      <c r="G4024">
        <f>_xlfn.IMAGE("https://edmondsonsupply.com/cdn/shop/products/vdv526200.jpg?v=1663689949")</f>
        <v/>
      </c>
      <c r="H4024">
        <f>_xlfn.IMAGE("https://m.media-amazon.com/images/I/51X1EYSldCL._AC_UY218_.jpg")</f>
        <v/>
      </c>
      <c r="K4024" t="inlineStr">
        <is>
          <t>54.97</t>
        </is>
      </c>
      <c r="L4024" t="n">
        <v>134.53</v>
      </c>
      <c r="M4024" s="1" t="inlineStr">
        <is>
          <t>144.73%</t>
        </is>
      </c>
      <c r="N4024" s="7" t="n">
        <v>8</v>
      </c>
      <c r="O4024" t="n">
        <v>4.8</v>
      </c>
      <c r="P4024" t="n">
        <v>8</v>
      </c>
      <c r="R4024" t="inlineStr">
        <is>
          <t>InStock</t>
        </is>
      </c>
      <c r="S4024" t="inlineStr">
        <is>
          <t>82.5</t>
        </is>
      </c>
      <c r="T4024" t="inlineStr">
        <is>
          <t>7823726182616</t>
        </is>
      </c>
    </row>
    <row r="4025" ht="87" customHeight="1">
      <c r="A4025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4025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4025" t="inlineStr">
        <is>
          <t>Diablo Tools DMAMX1130 3/4 in. x 8 in. x 13 in. Rebar Demon™ SDS‑Max 4‑Cutter Full Carbide Head Hammer Bit</t>
        </is>
      </c>
      <c r="D4025" t="inlineStr">
        <is>
          <t>Diablo DMAMX1230 1 in. x 24 in. x 29 in. Rebar Demon™ SDS-Max 4-Cutter Full Carbide Head Hammer Bit</t>
        </is>
      </c>
      <c r="E4025" s="2">
        <f>HYPERLINK("https://www.amazon.com/Diablo-DMAMX1230-SDS-Max-4-Cutter-Carbide/dp/B089KWMBLT/ref=sr_1_24?keywords=Diablo+Tools+DMAMX1130+3%2F4+in.+x+8+in.+x+13+in.+Rebar+Demon%E2%84%A2+SDS%E2%80%91Max+4%E2%80%91Cutter+Full+Carbide+Head+Hammer+Bit&amp;qid=1694735267&amp;sr=8-24", "https://www.amazon.com/Diablo-DMAMX1230-SDS-Max-4-Cutter-Carbide/dp/B089KWMBLT/ref=sr_1_24?keywords=Diablo+Tools+DMAMX1130+3%2F4+in.+x+8+in.+x+13+in.+Rebar+Demon%E2%84%A2+SDS%E2%80%91Max+4%E2%80%91Cutter+Full+Carbide+Head+Hammer+Bit&amp;qid=1694735267&amp;sr=8-24")</f>
        <v/>
      </c>
      <c r="F4025" t="inlineStr">
        <is>
          <t>B089KWMBLT</t>
        </is>
      </c>
      <c r="G4025">
        <f>_xlfn.IMAGE("https://edmondsonsupply.com/cdn/shop/products/DMAMX1130_Main-Image20200701.png?v=1633030568")</f>
        <v/>
      </c>
      <c r="H4025">
        <f>_xlfn.IMAGE("https://m.media-amazon.com/images/I/61B-wgZVzML._AC_UL320_.jpg")</f>
        <v/>
      </c>
      <c r="K4025" t="inlineStr">
        <is>
          <t>44.97</t>
        </is>
      </c>
      <c r="L4025" t="n">
        <v>109.99</v>
      </c>
      <c r="M4025" s="1" t="inlineStr">
        <is>
          <t>144.59%</t>
        </is>
      </c>
      <c r="N4025" s="7" t="n">
        <v>7.93</v>
      </c>
      <c r="O4025" t="n">
        <v>4.6</v>
      </c>
      <c r="P4025" t="n">
        <v>3</v>
      </c>
      <c r="R4025" t="inlineStr">
        <is>
          <t>InStock</t>
        </is>
      </c>
      <c r="S4025" t="inlineStr">
        <is>
          <t>46.26</t>
        </is>
      </c>
      <c r="T4025" t="inlineStr">
        <is>
          <t>5463880925352</t>
        </is>
      </c>
    </row>
    <row r="4026" ht="87" customHeight="1">
      <c r="A4026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4026" s="2">
        <f>HYPERLINK("https://edmondsonsupply.com/products/diablo-tools-dmapl2360-9-16-in-x-6-in-x-8-in-sds-plus-2-cutter", "https://edmondsonsupply.com/products/diablo-tools-dmapl2360-9-16-in-x-6-in-x-8-in-sds-plus-2-cutter")</f>
        <v/>
      </c>
      <c r="C4026" t="inlineStr">
        <is>
          <t>Diablo Tools DMAPL2360 9/16 in. x 6 in. x 8 in. SDS-Plus 2-Cutter</t>
        </is>
      </c>
      <c r="D4026" t="inlineStr">
        <is>
          <t>BOSCH RC2094 9/16 In. x 12 In. SDS-plus Rebar Cutter</t>
        </is>
      </c>
      <c r="E4026" s="2">
        <f>HYPERLINK("https://www.amazon.com/Bosch-RC2094-SDS-plus-Rebar-Cutter/dp/B001QFYPW2/ref=sr_1_47?keywords=Diablo+Tools+DMAPL2360+9%2F16+in.+x+6+in.+x+8+in.+SDS-Plus+2-Cutter&amp;qid=1694735296&amp;sr=8-47", "https://www.amazon.com/Bosch-RC2094-SDS-plus-Rebar-Cutter/dp/B001QFYPW2/ref=sr_1_47?keywords=Diablo+Tools+DMAPL2360+9%2F16+in.+x+6+in.+x+8+in.+SDS-Plus+2-Cutter&amp;qid=1694735296&amp;sr=8-47")</f>
        <v/>
      </c>
      <c r="F4026" t="inlineStr">
        <is>
          <t>B001QFYPW2</t>
        </is>
      </c>
      <c r="G4026">
        <f>_xlfn.IMAGE("https://edmondsonsupply.com/cdn/shop/products/DMAPL2360_Main-Image20200701.png?v=1633697551")</f>
        <v/>
      </c>
      <c r="H4026">
        <f>_xlfn.IMAGE("https://m.media-amazon.com/images/I/51q4Rsn5SNL._AC_UL320_.jpg")</f>
        <v/>
      </c>
      <c r="K4026" t="inlineStr">
        <is>
          <t>8.59</t>
        </is>
      </c>
      <c r="L4026" t="n">
        <v>20.99</v>
      </c>
      <c r="M4026" s="1" t="inlineStr">
        <is>
          <t>144.35%</t>
        </is>
      </c>
      <c r="N4026" s="7" t="n">
        <v>7.88</v>
      </c>
      <c r="O4026" t="n">
        <v>4.3</v>
      </c>
      <c r="P4026" t="n">
        <v>375</v>
      </c>
      <c r="R4026" t="inlineStr">
        <is>
          <t>InStock</t>
        </is>
      </c>
      <c r="S4026" t="inlineStr">
        <is>
          <t>9.77</t>
        </is>
      </c>
      <c r="T4026" t="inlineStr">
        <is>
          <t>5286291046568</t>
        </is>
      </c>
    </row>
    <row r="4027" ht="87" customHeight="1">
      <c r="A4027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4027" s="2">
        <f>HYPERLINK("https://edmondsonsupply.com/products/diablo-tools-dmapl2360-9-16-in-x-6-in-x-8-in-sds-plus-2-cutter", "https://edmondsonsupply.com/products/diablo-tools-dmapl2360-9-16-in-x-6-in-x-8-in-sds-plus-2-cutter")</f>
        <v/>
      </c>
      <c r="C4027" t="inlineStr">
        <is>
          <t>Diablo Tools DMAPL2360 9/16 in. x 6 in. x 8 in. SDS-Plus 2-Cutter</t>
        </is>
      </c>
      <c r="D4027" t="inlineStr">
        <is>
          <t>Diablo DMAMX1050 9/16 in. x 8 in. x 13 in. Rebar Demon™ SDS-Max 4-Cutter Full Carbide Head Hammer Bit</t>
        </is>
      </c>
      <c r="E4027" s="2">
        <f>HYPERLINK("https://www.amazon.com/Diablo-SDS-Max-4-Cutter-Carbide-Hammer/dp/B089LK4F2D/ref=sr_1_29?keywords=Diablo+Tools+DMAPL2360+9%2F16+in.+x+6+in.+x+8+in.+SDS-Plus+2-Cutter&amp;qid=1694735296&amp;sr=8-29", "https://www.amazon.com/Diablo-SDS-Max-4-Cutter-Carbide-Hammer/dp/B089LK4F2D/ref=sr_1_29?keywords=Diablo+Tools+DMAPL2360+9%2F16+in.+x+6+in.+x+8+in.+SDS-Plus+2-Cutter&amp;qid=1694735296&amp;sr=8-29")</f>
        <v/>
      </c>
      <c r="F4027" t="inlineStr">
        <is>
          <t>B089LK4F2D</t>
        </is>
      </c>
      <c r="G4027">
        <f>_xlfn.IMAGE("https://edmondsonsupply.com/cdn/shop/products/DMAPL2360_Main-Image20200701.png?v=1633697551")</f>
        <v/>
      </c>
      <c r="H4027">
        <f>_xlfn.IMAGE("https://m.media-amazon.com/images/I/61jYhd4-UbL._AC_UL320_.jpg")</f>
        <v/>
      </c>
      <c r="K4027" t="inlineStr">
        <is>
          <t>8.59</t>
        </is>
      </c>
      <c r="L4027" t="n">
        <v>20.99</v>
      </c>
      <c r="M4027" s="1" t="inlineStr">
        <is>
          <t>144.35%</t>
        </is>
      </c>
      <c r="N4027" s="7" t="n">
        <v>7.73</v>
      </c>
      <c r="O4027" t="n">
        <v>5</v>
      </c>
      <c r="P4027" t="n">
        <v>1</v>
      </c>
      <c r="R4027" t="inlineStr">
        <is>
          <t>InStock</t>
        </is>
      </c>
      <c r="S4027" t="inlineStr">
        <is>
          <t>9.77</t>
        </is>
      </c>
      <c r="T4027" t="inlineStr">
        <is>
          <t>5286291046568</t>
        </is>
      </c>
    </row>
    <row r="4028" ht="87" customHeight="1">
      <c r="A4028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4028" s="2">
        <f>HYPERLINK("https://edmondsonsupply.com/products/klein-tools-j203-8-pliers-needle-nose-side-cutters-8-inch", "https://edmondsonsupply.com/products/klein-tools-j203-8-pliers-needle-nose-side-cutters-8-inch")</f>
        <v/>
      </c>
      <c r="C4028" t="inlineStr">
        <is>
          <t>Klein Tools J203-8 Pliers, Needle Nose Side-Cutters, 8-Inch</t>
        </is>
      </c>
      <c r="D4028" t="inlineStr">
        <is>
          <t>Klein Tools J2000-9NECRTP Side Cutter Linemans Pliers with Tape Pulling and Wire Crimping, High Leverage, 9-Inch &amp; J203-8 Needle Nose Pliers with Cutter, Heavy Duty 8-Inch Journeyman</t>
        </is>
      </c>
      <c r="E4028" s="2">
        <f>HYPERLINK("https://www.amazon.com/Klein-Tools-J2000-9NECRTP-Linemans-Journeyman/dp/B0BFXQNZ95/ref=sr_1_4?keywords=Klein+Tools+J203-8+Pliers%2C+Needle+Nose+Side-Cutters%2C+8-Inch&amp;qid=1694735171&amp;sr=8-4", "https://www.amazon.com/Klein-Tools-J2000-9NECRTP-Linemans-Journeyman/dp/B0BFXQNZ95/ref=sr_1_4?keywords=Klein+Tools+J203-8+Pliers%2C+Needle+Nose+Side-Cutters%2C+8-Inch&amp;qid=1694735171&amp;sr=8-4")</f>
        <v/>
      </c>
      <c r="F4028" t="inlineStr">
        <is>
          <t>B0BFXQNZ95</t>
        </is>
      </c>
      <c r="G4028">
        <f>_xlfn.IMAGE("https://edmondsonsupply.com/cdn/shop/products/j2038.jpg?v=1644709677")</f>
        <v/>
      </c>
      <c r="H4028">
        <f>_xlfn.IMAGE("https://m.media-amazon.com/images/I/31WJjr8yAWL._AC_UL320_.jpg")</f>
        <v/>
      </c>
      <c r="K4028" t="inlineStr">
        <is>
          <t>38.49</t>
        </is>
      </c>
      <c r="L4028" t="n">
        <v>93.95999999999999</v>
      </c>
      <c r="M4028" s="1" t="inlineStr">
        <is>
          <t>144.12%</t>
        </is>
      </c>
      <c r="N4028" s="7" t="n">
        <v>7.5</v>
      </c>
      <c r="O4028" t="n">
        <v>5</v>
      </c>
      <c r="P4028" t="n">
        <v>1</v>
      </c>
      <c r="R4028" t="inlineStr">
        <is>
          <t>InStock</t>
        </is>
      </c>
      <c r="S4028" t="inlineStr">
        <is>
          <t>58.32</t>
        </is>
      </c>
      <c r="T4028" t="inlineStr">
        <is>
          <t>7606180249816</t>
        </is>
      </c>
    </row>
    <row r="4029" ht="87" customHeight="1">
      <c r="A4029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4029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4029" t="inlineStr">
        <is>
          <t>Klein Tools 630-1/4 1/4-Inch Nut Driver 3-Inch Shaft Cushion Grip</t>
        </is>
      </c>
      <c r="D4029" t="inlineStr">
        <is>
          <t>Klein Tools 646-1/4-INS Insulated 1/4-Inch Nut Driver with 6-Inch Hollow Shaft and Cushion Grip Handle</t>
        </is>
      </c>
      <c r="E4029" s="2">
        <f>HYPERLINK("https://www.amazon.com/Insulated-Klein-Tools-646-1-4-INS/dp/B000MKMH5O/ref=sr_1_7?keywords=Klein+Tools+630-1%2F4+1%2F4-Inch+Nut+Driver+3-Inch+Shaft+Cushion+Grip&amp;qid=1694735346&amp;sr=8-7", "https://www.amazon.com/Insulated-Klein-Tools-646-1-4-INS/dp/B000MKMH5O/ref=sr_1_7?keywords=Klein+Tools+630-1%2F4+1%2F4-Inch+Nut+Driver+3-Inch+Shaft+Cushion+Grip&amp;qid=1694735346&amp;sr=8-7")</f>
        <v/>
      </c>
      <c r="F4029" t="inlineStr">
        <is>
          <t>B000MKMH5O</t>
        </is>
      </c>
      <c r="G4029">
        <f>_xlfn.IMAGE("https://edmondsonsupply.com/cdn/shop/products/630-1-2_4777cf99-f2bc-4f84-bc42-7e765e2a9c37.jpg?v=1587150448")</f>
        <v/>
      </c>
      <c r="H4029">
        <f>_xlfn.IMAGE("https://m.media-amazon.com/images/I/41Nr0vSgHCL._AC_UL320_.jpg")</f>
        <v/>
      </c>
      <c r="K4029" t="inlineStr">
        <is>
          <t>8.99</t>
        </is>
      </c>
      <c r="L4029" t="n">
        <v>21.91</v>
      </c>
      <c r="M4029" s="1" t="inlineStr">
        <is>
          <t>143.72%</t>
        </is>
      </c>
      <c r="N4029" s="7" t="n">
        <v>7.39</v>
      </c>
      <c r="O4029" t="n">
        <v>4.7</v>
      </c>
      <c r="P4029" t="n">
        <v>272</v>
      </c>
      <c r="R4029" t="inlineStr">
        <is>
          <t>InStock</t>
        </is>
      </c>
      <c r="S4029" t="inlineStr">
        <is>
          <t>11.36</t>
        </is>
      </c>
      <c r="T4029" t="inlineStr">
        <is>
          <t>4490760355940</t>
        </is>
      </c>
    </row>
    <row r="4030" hidden="1" ht="15.75" customHeight="1">
      <c r="A4030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4030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4030" t="inlineStr">
        <is>
          <t>Diablo Tools DMAPL4020 5/32 in. x 4 in. x 6 in. Rebar Demon™ SDS-Plus 4-Cutter Full Carbide Head Hammer Bit</t>
        </is>
      </c>
      <c r="D4030" t="inlineStr">
        <is>
          <t>Diablo DMAPL4055 3/16 in. x 10 in. x 12 in. Rebar Demon™ SDS-Plus 4-Cutter Full Carbide Head Hammer Bit</t>
        </is>
      </c>
      <c r="E4030" s="2">
        <f>HYPERLINK("https://www.amazon.com/Diablo-DMAPL4055-SDS-Plus-4-Cutter-Carbide/dp/B089LJCD42/ref=sr_1_9?keywords=Diablo+Tools+DMAPL4020+5%2F32+in.+x+4+in.+x+6+in.+Rebar+Demon%E2%84%A2+SDS-Plus+4-Cutter+Full+Carbide+Head+Hammer+Bit&amp;qid=1694735291&amp;sr=8-9", "https://www.amazon.com/Diablo-DMAPL4055-SDS-Plus-4-Cutter-Carbide/dp/B089LJCD42/ref=sr_1_9?keywords=Diablo+Tools+DMAPL4020+5%2F32+in.+x+4+in.+x+6+in.+Rebar+Demon%E2%84%A2+SDS-Plus+4-Cutter+Full+Carbide+Head+Hammer+Bit&amp;qid=1694735291&amp;sr=8-9")</f>
        <v/>
      </c>
      <c r="F4030" t="inlineStr">
        <is>
          <t>B089LJCD42</t>
        </is>
      </c>
      <c r="G4030">
        <f>_xludf.IMAGE("https://edmondsonsupply.com/cdn/shop/products/DMAPL4020_1.jpg?v=1633030415")</f>
        <v/>
      </c>
      <c r="H4030">
        <f>_xludf.IMAGE("https://m.media-amazon.com/images/I/61cDOAhkb4L._AC_UL320_.jpg")</f>
        <v/>
      </c>
      <c r="K4030" t="inlineStr">
        <is>
          <t>6.47</t>
        </is>
      </c>
      <c r="L4030" t="n">
        <v>15.76</v>
      </c>
      <c r="M4030" s="1" t="inlineStr">
        <is>
          <t>143.59%</t>
        </is>
      </c>
      <c r="N4030" s="1" t="n">
        <v>7.35</v>
      </c>
      <c r="O4030" t="n">
        <v>2</v>
      </c>
      <c r="P4030" t="n">
        <v>1</v>
      </c>
      <c r="R4030" t="inlineStr">
        <is>
          <t>InStock</t>
        </is>
      </c>
      <c r="S4030" t="inlineStr">
        <is>
          <t>9.44</t>
        </is>
      </c>
      <c r="T4030" t="inlineStr">
        <is>
          <t>5313711046824</t>
        </is>
      </c>
    </row>
    <row r="4031" hidden="1" ht="15.75" customHeight="1">
      <c r="A4031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4031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4031" t="inlineStr">
        <is>
          <t>Diablo Tools DMAPL4010 5/32 in. x 2 in. x 4 in. Rebar Demon™ SDS-Plus 4-Cutter Full Carbide Head Hammer Bit</t>
        </is>
      </c>
      <c r="D4031" t="inlineStr">
        <is>
          <t>Diablo DMAPL4055 3/16 in. x 10 in. x 12 in. Rebar Demon™ SDS-Plus 4-Cutter Full Carbide Head Hammer Bit</t>
        </is>
      </c>
      <c r="E4031" s="2">
        <f>HYPERLINK("https://www.amazon.com/Diablo-DMAPL4055-SDS-Plus-4-Cutter-Carbide/dp/B089LJCD42/ref=sr_1_13?keywords=Diablo+Tools+DMAPL4010+5%2F32+in.+x+2+in.+x+4+in.+Rebar+Demon%E2%84%A2+SDS-Plus+4-Cutter+Full+Carbide+Head+Hammer+Bit&amp;qid=1694735296&amp;sr=8-13", "https://www.amazon.com/Diablo-DMAPL4055-SDS-Plus-4-Cutter-Carbide/dp/B089LJCD42/ref=sr_1_13?keywords=Diablo+Tools+DMAPL4010+5%2F32+in.+x+2+in.+x+4+in.+Rebar+Demon%E2%84%A2+SDS-Plus+4-Cutter+Full+Carbide+Head+Hammer+Bit&amp;qid=1694735296&amp;sr=8-13")</f>
        <v/>
      </c>
      <c r="F4031" t="inlineStr">
        <is>
          <t>B089LJCD42</t>
        </is>
      </c>
      <c r="G4031">
        <f>_xludf.IMAGE("https://edmondsonsupply.com/cdn/shop/products/DMAPL4010.jpg?v=1633030357")</f>
        <v/>
      </c>
      <c r="H4031">
        <f>_xludf.IMAGE("https://m.media-amazon.com/images/I/61cDOAhkb4L._AC_UL320_.jpg")</f>
        <v/>
      </c>
      <c r="K4031" t="inlineStr">
        <is>
          <t>6.48</t>
        </is>
      </c>
      <c r="L4031" t="n">
        <v>15.76</v>
      </c>
      <c r="M4031" s="1" t="inlineStr">
        <is>
          <t>143.21%</t>
        </is>
      </c>
      <c r="N4031" s="1" t="n">
        <v>7.28</v>
      </c>
      <c r="O4031" t="n">
        <v>2</v>
      </c>
      <c r="P4031" t="n">
        <v>1</v>
      </c>
      <c r="R4031" t="inlineStr">
        <is>
          <t>InStock</t>
        </is>
      </c>
      <c r="S4031" t="inlineStr">
        <is>
          <t>10.3</t>
        </is>
      </c>
      <c r="T4031" t="inlineStr">
        <is>
          <t>5286308380840</t>
        </is>
      </c>
    </row>
    <row r="4032" ht="87" customHeight="1">
      <c r="A4032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4032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4032" t="inlineStr">
        <is>
          <t>Diablo Tools DMAPL4055 3/16 in. x 10 in. x 12 in. Rebar Demon™ SDS‑Plus 4‑Cutter Full Carbide Head Hammer Bit</t>
        </is>
      </c>
      <c r="D4032" t="inlineStr">
        <is>
          <t>Diablo by Freud DMAPL4300 1 in. x 8 in. x 10 in. Rebar Demon™ SDS-Plus 4-Cutter Full Carbide Head Hammer Bit</t>
        </is>
      </c>
      <c r="E4032" s="2" t="n"/>
      <c r="F4032" t="inlineStr">
        <is>
          <t>B089LL8JD8</t>
        </is>
      </c>
      <c r="G4032">
        <f>_xlfn.IMAGE("https://edmondsonsupply.com/cdn/shop/products/DMAPL4055_Main-Image20200331.png?v=1633030416")</f>
        <v/>
      </c>
      <c r="H4032">
        <f>_xlfn.IMAGE("https://m.media-amazon.com/images/I/616UiJGsK1L._AC_UL320_.jpg")</f>
        <v/>
      </c>
      <c r="K4032" t="inlineStr">
        <is>
          <t>13.97</t>
        </is>
      </c>
      <c r="L4032" t="n">
        <v>33.95</v>
      </c>
      <c r="M4032" s="1" t="inlineStr">
        <is>
          <t>143.02%</t>
        </is>
      </c>
      <c r="N4032" s="7" t="n">
        <v>7.18</v>
      </c>
      <c r="O4032" t="n">
        <v>4.5</v>
      </c>
      <c r="P4032" t="n">
        <v>16</v>
      </c>
      <c r="R4032" t="inlineStr">
        <is>
          <t>InStock</t>
        </is>
      </c>
      <c r="S4032" t="inlineStr">
        <is>
          <t>19.56</t>
        </is>
      </c>
      <c r="T4032" t="inlineStr">
        <is>
          <t>5316790714536</t>
        </is>
      </c>
    </row>
    <row r="4033" ht="87" customHeight="1">
      <c r="A4033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4033" s="2">
        <f>HYPERLINK("https://edmondsonsupply.com/products/klein-tools-vdv500-123-probe-pro-tracing-probe", "https://edmondsonsupply.com/products/klein-tools-vdv500-123-probe-pro-tracing-probe")</f>
        <v/>
      </c>
      <c r="C4033" t="inlineStr">
        <is>
          <t>Klein Tools VDV500-123 Probe-PRO Tracing Probe</t>
        </is>
      </c>
      <c r="D4033" t="inlineStr">
        <is>
          <t>Klein Tools VDV500-820 Cable Tracer with Probe Tone Pro Kit for Telephone, Internet, Video, Data and Communications Cables &amp; VDV526-100 Network LAN Cable Tester, VDV Tester, LAN Explorer with Remote</t>
        </is>
      </c>
      <c r="E4033" s="2">
        <f>HYPERLINK("https://www.amazon.com/Klein-Tools-VDV500-820-Explorer-VDV526-100/dp/B08MFYWN57/ref=sr_1_19?keywords=Klein+Tools+VDV500-123+Probe-PRO+Tracing+Probe&amp;qid=1694734977&amp;sr=8-19", "https://www.amazon.com/Klein-Tools-VDV500-820-Explorer-VDV526-100/dp/B08MFYWN57/ref=sr_1_19?keywords=Klein+Tools+VDV500-123+Probe-PRO+Tracing+Probe&amp;qid=1694734977&amp;sr=8-19")</f>
        <v/>
      </c>
      <c r="F4033" t="inlineStr">
        <is>
          <t>B08MFYWN57</t>
        </is>
      </c>
      <c r="G4033">
        <f>_xlfn.IMAGE("https://edmondsonsupply.com/cdn/shop/products/vdv500123.jpg?v=1587142783")</f>
        <v/>
      </c>
      <c r="H4033">
        <f>_xlfn.IMAGE("https://m.media-amazon.com/images/I/51kvC7coTXL._AC_UY218_.jpg")</f>
        <v/>
      </c>
      <c r="K4033" t="inlineStr">
        <is>
          <t>44.99</t>
        </is>
      </c>
      <c r="L4033" t="n">
        <v>109.32</v>
      </c>
      <c r="M4033" s="1" t="inlineStr">
        <is>
          <t>142.99%</t>
        </is>
      </c>
      <c r="N4033" s="7" t="n">
        <v>7.17</v>
      </c>
      <c r="O4033" t="n">
        <v>4.7</v>
      </c>
      <c r="P4033" t="n">
        <v>19</v>
      </c>
      <c r="R4033" t="inlineStr">
        <is>
          <t>InStock</t>
        </is>
      </c>
      <c r="S4033" t="inlineStr">
        <is>
          <t>63.0</t>
        </is>
      </c>
      <c r="T4033" t="inlineStr">
        <is>
          <t>4274361466980</t>
        </is>
      </c>
    </row>
    <row r="4034" ht="87" customHeight="1">
      <c r="A4034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034" s="2">
        <f>HYPERLINK("https://edmondsonsupply.com/products/klein-tools-11057-klein-kurve%c2%ae-wire-stripper-and-cutter", "https://edmondsonsupply.com/products/klein-tools-11057-klein-kurve%c2%ae-wire-stripper-and-cutter")</f>
        <v/>
      </c>
      <c r="C4034" t="inlineStr">
        <is>
          <t>Klein Tools 11057 Klein-Kurve® Wire Stripper and Cutter</t>
        </is>
      </c>
      <c r="D4034" t="inlineStr">
        <is>
          <t>Klein Tools 11057 Wire Cutter/Wire Stripper, Heavy Duty Wire Cutter Stripper &amp; Klein Tools 1005 Cutting/Crimping Tool for 10-22 AWG Terminals and Connectors</t>
        </is>
      </c>
      <c r="E4034" s="2">
        <f>HYPERLINK("https://www.amazon.com/Klein-Tools-Stripper-Terminals-Connectors/dp/B0BFXS5GMK/ref=sr_1_5?keywords=Klein+Tools+11057+Klein-Kurve%C2%AE+Wire+Stripper+and+Cutter&amp;qid=1694735357&amp;sr=8-5", "https://www.amazon.com/Klein-Tools-Stripper-Terminals-Connectors/dp/B0BFXS5GMK/ref=sr_1_5?keywords=Klein+Tools+11057+Klein-Kurve%C2%AE+Wire+Stripper+and+Cutter&amp;qid=1694735357&amp;sr=8-5")</f>
        <v/>
      </c>
      <c r="F4034" t="inlineStr">
        <is>
          <t>B0BFXS5GMK</t>
        </is>
      </c>
      <c r="G4034">
        <f>_xlfn.IMAGE("https://edmondsonsupply.com/cdn/shop/products/11057.jpg?v=1587146927")</f>
        <v/>
      </c>
      <c r="H4034">
        <f>_xlfn.IMAGE("https://m.media-amazon.com/images/I/51HvOoqh5AL._AC_UL320_.jpg")</f>
        <v/>
      </c>
      <c r="K4034" t="inlineStr">
        <is>
          <t>20.97</t>
        </is>
      </c>
      <c r="L4034" t="n">
        <v>50.94</v>
      </c>
      <c r="M4034" s="1" t="inlineStr">
        <is>
          <t>142.92%</t>
        </is>
      </c>
      <c r="N4034" s="7" t="n">
        <v>6.88</v>
      </c>
      <c r="O4034" t="n">
        <v>4.5</v>
      </c>
      <c r="P4034" t="n">
        <v>2</v>
      </c>
      <c r="R4034" t="inlineStr">
        <is>
          <t>InStock</t>
        </is>
      </c>
      <c r="S4034" t="inlineStr">
        <is>
          <t>32.72</t>
        </is>
      </c>
      <c r="T4034" t="inlineStr">
        <is>
          <t>4455254720612</t>
        </is>
      </c>
    </row>
    <row r="4035" ht="87" customHeight="1">
      <c r="A4035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4035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4035" t="inlineStr">
        <is>
          <t>Klein Tools NCVT3PKIT Dual Range NCVT and AC/DC Voltage Tester Electrical Test Kit</t>
        </is>
      </c>
      <c r="D4035" t="inlineStr">
        <is>
          <t>Klein Tools NCVT3PKIT Electrical Test Kit, Dual-Range Non-Contact Voltage Tester with Flashlight, AC/DC Voltage Tester and Carrying Case &amp; ET310 AC Circuit Breaker Finder</t>
        </is>
      </c>
      <c r="E4035" s="2">
        <f>HYPERLINK("https://www.amazon.com/Klein-Tools-Electrical-Dual-Range-Non-Contact/dp/B0BD3WBV6W/ref=sr_1_2?keywords=Klein+Tools+NCVT3PKIT+Dual+Range+NCVT+and+AC%2FDC+Voltage+Tester+Electrical+Test+Kit&amp;qid=1694735090&amp;sr=8-2", "https://www.amazon.com/Klein-Tools-Electrical-Dual-Range-Non-Contact/dp/B0BD3WBV6W/ref=sr_1_2?keywords=Klein+Tools+NCVT3PKIT+Dual+Range+NCVT+and+AC%2FDC+Voltage+Tester+Electrical+Test+Kit&amp;qid=1694735090&amp;sr=8-2")</f>
        <v/>
      </c>
      <c r="F4035" t="inlineStr">
        <is>
          <t>B0BD3WBV6W</t>
        </is>
      </c>
      <c r="G4035">
        <f>_xlfn.IMAGE("https://edmondsonsupply.com/cdn/shop/products/ncvt3pkit.jpg?v=1667228452")</f>
        <v/>
      </c>
      <c r="H4035">
        <f>_xlfn.IMAGE("https://m.media-amazon.com/images/I/51Bb9uu7nIL._AC_UL320_.jpg")</f>
        <v/>
      </c>
      <c r="K4035" t="inlineStr">
        <is>
          <t>34.99</t>
        </is>
      </c>
      <c r="L4035" t="n">
        <v>84.95999999999999</v>
      </c>
      <c r="M4035" s="1" t="inlineStr">
        <is>
          <t>142.81%</t>
        </is>
      </c>
      <c r="N4035" s="7" t="n">
        <v>6.81</v>
      </c>
      <c r="O4035" t="n">
        <v>5</v>
      </c>
      <c r="P4035" t="n">
        <v>1</v>
      </c>
      <c r="R4035" t="inlineStr">
        <is>
          <t>InStock</t>
        </is>
      </c>
      <c r="S4035" t="inlineStr">
        <is>
          <t>48.52</t>
        </is>
      </c>
      <c r="T4035" t="inlineStr">
        <is>
          <t>7871488032984</t>
        </is>
      </c>
    </row>
    <row r="4036" ht="87" customHeight="1">
      <c r="A4036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4036" s="2">
        <f>HYPERLINK("https://edmondsonsupply.com/products/klein-tools-31737-folding-jab-saw", "https://edmondsonsupply.com/products/klein-tools-31737-folding-jab-saw")</f>
        <v/>
      </c>
      <c r="C4036" t="inlineStr">
        <is>
          <t>Klein Tools 31737 Folding Jab Saw</t>
        </is>
      </c>
      <c r="D4036" t="inlineStr">
        <is>
          <t>Klein Tools 31737 Folding Jab Saw/Drywall Saw, Hand Saw with Lockback at 180 and 125 Degrees and Tether Hole &amp; 935RB Level, 8-Inch Torpedo Level with Rare Earth Magnet and Tapered Nose, High-Viz</t>
        </is>
      </c>
      <c r="E4036" s="2">
        <f>HYPERLINK("https://www.amazon.com/Klein-Tools-Folding-Lockback-High-Viz/dp/B0BFXSDR8B/ref=sr_1_3?keywords=Klein+Tools+31737+Folding+Jab+Saw&amp;qid=1694735392&amp;sr=8-3", "https://www.amazon.com/Klein-Tools-Folding-Lockback-High-Viz/dp/B0BFXSDR8B/ref=sr_1_3?keywords=Klein+Tools+31737+Folding+Jab+Saw&amp;qid=1694735392&amp;sr=8-3")</f>
        <v/>
      </c>
      <c r="F4036" t="inlineStr">
        <is>
          <t>B0BFXSDR8B</t>
        </is>
      </c>
      <c r="G4036">
        <f>_xlfn.IMAGE("https://edmondsonsupply.com/cdn/shop/products/31737.jpg?v=1587149419")</f>
        <v/>
      </c>
      <c r="H4036">
        <f>_xlfn.IMAGE("https://m.media-amazon.com/images/I/41HN-qzzJIL._AC_UL320_.jpg")</f>
        <v/>
      </c>
      <c r="K4036" t="inlineStr">
        <is>
          <t>20.99</t>
        </is>
      </c>
      <c r="L4036" t="n">
        <v>50.96</v>
      </c>
      <c r="M4036" s="1" t="inlineStr">
        <is>
          <t>142.78%</t>
        </is>
      </c>
      <c r="N4036" s="7" t="n">
        <v>6.67</v>
      </c>
      <c r="O4036" t="n">
        <v>5</v>
      </c>
      <c r="P4036" t="n">
        <v>1</v>
      </c>
      <c r="R4036" t="inlineStr">
        <is>
          <t>InStock</t>
        </is>
      </c>
      <c r="S4036" t="inlineStr">
        <is>
          <t>30.06</t>
        </is>
      </c>
      <c r="T4036" t="inlineStr">
        <is>
          <t>1780079853668</t>
        </is>
      </c>
    </row>
    <row r="4037" ht="87" customHeight="1">
      <c r="A4037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4037" s="2">
        <f>HYPERLINK("https://edmondsonsupply.com/products/klein-tools-31737-folding-jab-saw", "https://edmondsonsupply.com/products/klein-tools-31737-folding-jab-saw")</f>
        <v/>
      </c>
      <c r="C4037" t="inlineStr">
        <is>
          <t>Klein Tools 31737 Folding Jab Saw</t>
        </is>
      </c>
      <c r="D4037" t="inlineStr">
        <is>
          <t>Klein Tools 31737 Folding Jab Saw/Drywall Saw, Hand Saw &amp; 32900 Impact Driver, 7-in-1 Impact Flip Socket Set with Handle, 6 Hex Driver Sizes plus a 1/4-Inch Bit Holder</t>
        </is>
      </c>
      <c r="E4037" s="2">
        <f>HYPERLINK("https://www.amazon.com/Klein-Tools-Folding-Drywall-Impact/dp/B0BNL44CC9/ref=sr_1_4?keywords=Klein+Tools+31737+Folding+Jab+Saw&amp;qid=1694735392&amp;sr=8-4", "https://www.amazon.com/Klein-Tools-Folding-Drywall-Impact/dp/B0BNL44CC9/ref=sr_1_4?keywords=Klein+Tools+31737+Folding+Jab+Saw&amp;qid=1694735392&amp;sr=8-4")</f>
        <v/>
      </c>
      <c r="F4037" t="inlineStr">
        <is>
          <t>B0BNL44CC9</t>
        </is>
      </c>
      <c r="G4037">
        <f>_xlfn.IMAGE("https://edmondsonsupply.com/cdn/shop/products/31737.jpg?v=1587149419")</f>
        <v/>
      </c>
      <c r="H4037">
        <f>_xlfn.IMAGE("https://m.media-amazon.com/images/I/413Cy5TymIL._AC_UL320_.jpg")</f>
        <v/>
      </c>
      <c r="K4037" t="inlineStr">
        <is>
          <t>20.99</t>
        </is>
      </c>
      <c r="L4037" t="n">
        <v>50.96</v>
      </c>
      <c r="M4037" s="1" t="inlineStr">
        <is>
          <t>142.78%</t>
        </is>
      </c>
      <c r="N4037" s="7" t="n">
        <v>6.67</v>
      </c>
      <c r="O4037" t="n">
        <v>5</v>
      </c>
      <c r="P4037" t="n">
        <v>1</v>
      </c>
      <c r="R4037" t="inlineStr">
        <is>
          <t>InStock</t>
        </is>
      </c>
      <c r="S4037" t="inlineStr">
        <is>
          <t>30.06</t>
        </is>
      </c>
      <c r="T4037" t="inlineStr">
        <is>
          <t>1780079853668</t>
        </is>
      </c>
    </row>
    <row r="4038" ht="87" customHeight="1">
      <c r="A4038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4038" s="2">
        <f>HYPERLINK("https://edmondsonsupply.com/products/klein-tools-31737-folding-jab-saw", "https://edmondsonsupply.com/products/klein-tools-31737-folding-jab-saw")</f>
        <v/>
      </c>
      <c r="C4038" t="inlineStr">
        <is>
          <t>Klein Tools 31737 Folding Jab Saw</t>
        </is>
      </c>
      <c r="D4038" t="inlineStr">
        <is>
          <t>Channellock 2 Piece Tongue and Groove Pliers Set - 9.5-Inch, 6.5-Inch | Straight Jaw Groove Joint Pliers &amp; Klein Tools 31737 Folding Jab Saw/Drywall Saw</t>
        </is>
      </c>
      <c r="E4038" s="2">
        <f>HYPERLINK("https://www.amazon.com/Channellock-Piece-Tongue-Groove-Pliers/dp/B0BGJ661D3/ref=sr_1_6?keywords=Klein+Tools+31737+Folding+Jab+Saw&amp;qid=1694735392&amp;sr=8-6", "https://www.amazon.com/Channellock-Piece-Tongue-Groove-Pliers/dp/B0BGJ661D3/ref=sr_1_6?keywords=Klein+Tools+31737+Folding+Jab+Saw&amp;qid=1694735392&amp;sr=8-6")</f>
        <v/>
      </c>
      <c r="F4038" t="inlineStr">
        <is>
          <t>B0BGJ661D3</t>
        </is>
      </c>
      <c r="G4038">
        <f>_xlfn.IMAGE("https://edmondsonsupply.com/cdn/shop/products/31737.jpg?v=1587149419")</f>
        <v/>
      </c>
      <c r="H4038">
        <f>_xlfn.IMAGE("https://m.media-amazon.com/images/I/41eH-xm9lTL._AC_UL320_.jpg")</f>
        <v/>
      </c>
      <c r="K4038" t="inlineStr">
        <is>
          <t>20.99</t>
        </is>
      </c>
      <c r="L4038" t="n">
        <v>50.94</v>
      </c>
      <c r="M4038" s="1" t="inlineStr">
        <is>
          <t>142.69%</t>
        </is>
      </c>
      <c r="N4038" s="7" t="n">
        <v>6.54</v>
      </c>
      <c r="O4038" t="n">
        <v>4.8</v>
      </c>
      <c r="P4038" t="n">
        <v>5484</v>
      </c>
      <c r="R4038" t="inlineStr">
        <is>
          <t>InStock</t>
        </is>
      </c>
      <c r="S4038" t="inlineStr">
        <is>
          <t>30.06</t>
        </is>
      </c>
      <c r="T4038" t="inlineStr">
        <is>
          <t>1780079853668</t>
        </is>
      </c>
    </row>
    <row r="4039" ht="87" customHeight="1">
      <c r="A4039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4039" s="2">
        <f>HYPERLINK("https://edmondsonsupply.com/products/diablo-tools-d0824x-8-1-4-in-x-24-tooth-framing-saw-blade", "https://edmondsonsupply.com/products/diablo-tools-d0824x-8-1-4-in-x-24-tooth-framing-saw-blade")</f>
        <v/>
      </c>
      <c r="C4039" t="inlineStr">
        <is>
          <t>Diablo Tools D0824X 8-1/4 in. x 24 Tooth Framing Saw Blade</t>
        </is>
      </c>
      <c r="D4039" t="inlineStr">
        <is>
          <t>Freud D0824X Diablo 8-1/4-inch 24 Tooth ATB Thin Kerf Framing Saw Blades, 2-Pack</t>
        </is>
      </c>
      <c r="E4039" s="2">
        <f>HYPERLINK("https://www.amazon.com/Freud-D0824X-Diablo-4-inch-Framing/dp/B00W68OTLK/ref=sr_1_3?keywords=Diablo+Tools+D0824X+8-1%2F4+in.+x+24+Tooth+Framing+Saw+Blade&amp;qid=1694735018&amp;sr=8-3", "https://www.amazon.com/Freud-D0824X-Diablo-4-inch-Framing/dp/B00W68OTLK/ref=sr_1_3?keywords=Diablo+Tools+D0824X+8-1%2F4+in.+x+24+Tooth+Framing+Saw+Blade&amp;qid=1694735018&amp;sr=8-3")</f>
        <v/>
      </c>
      <c r="F4039" t="inlineStr">
        <is>
          <t>B00W68OTLK</t>
        </is>
      </c>
      <c r="G4039">
        <f>_xlfn.IMAGE("https://edmondsonsupply.com/cdn/shop/products/waqxzlwfclzed6nt6ziy.webp?v=1678979454")</f>
        <v/>
      </c>
      <c r="H4039">
        <f>_xlfn.IMAGE("https://m.media-amazon.com/images/I/71hGL+ZBRfL._AC_UL320_.jpg")</f>
        <v/>
      </c>
      <c r="K4039" t="inlineStr">
        <is>
          <t>18.97</t>
        </is>
      </c>
      <c r="L4039" t="n">
        <v>46</v>
      </c>
      <c r="M4039" s="1" t="inlineStr">
        <is>
          <t>142.49%</t>
        </is>
      </c>
      <c r="N4039" s="7" t="n">
        <v>6.53</v>
      </c>
      <c r="O4039" t="n">
        <v>4.5</v>
      </c>
      <c r="P4039" t="n">
        <v>23</v>
      </c>
      <c r="R4039" t="inlineStr">
        <is>
          <t>InStock</t>
        </is>
      </c>
      <c r="S4039" t="inlineStr">
        <is>
          <t>26.89</t>
        </is>
      </c>
      <c r="T4039" t="inlineStr">
        <is>
          <t>7962666500312</t>
        </is>
      </c>
    </row>
    <row r="4040" ht="87" customHeight="1">
      <c r="A4040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040" s="2">
        <f>HYPERLINK("https://edmondsonsupply.com/products/klein-tools-et45-ac-dc-voltage-tester", "https://edmondsonsupply.com/products/klein-tools-et45-ac-dc-voltage-tester")</f>
        <v/>
      </c>
      <c r="C4040" t="inlineStr">
        <is>
          <t>Klein Tools ET45 AC/DC Voltage Tester</t>
        </is>
      </c>
      <c r="D4040" t="inlineStr">
        <is>
          <t>Klein Tools NCVT2PKIT Non-Contact Voltage Tester with Outlet Tester, 12-48V AC or 48 - 1000V AC Dual Range for Broad Application</t>
        </is>
      </c>
      <c r="E4040" s="2">
        <f>HYPERLINK("https://www.amazon.com/Klein-Tools-NCVT2PKIT-Non-Contact-Application/dp/B08FPHS6HL/ref=sr_1_14?keywords=Klein+Tools+ET45+AC%2FDC+Voltage+Tester&amp;qid=1694735227&amp;sr=8-14", "https://www.amazon.com/Klein-Tools-NCVT2PKIT-Non-Contact-Application/dp/B08FPHS6HL/ref=sr_1_14?keywords=Klein+Tools+ET45+AC%2FDC+Voltage+Tester&amp;qid=1694735227&amp;sr=8-14")</f>
        <v/>
      </c>
      <c r="F4040" t="inlineStr">
        <is>
          <t>B08FPHS6HL</t>
        </is>
      </c>
      <c r="G4040">
        <f>_xlfn.IMAGE("https://edmondsonsupply.com/cdn/shop/products/et45.jpg?v=1647786270")</f>
        <v/>
      </c>
      <c r="H4040">
        <f>_xlfn.IMAGE("https://m.media-amazon.com/images/I/511RscwJPxL._AC_UL320_.jpg")</f>
        <v/>
      </c>
      <c r="K4040" t="inlineStr">
        <is>
          <t>11.99</t>
        </is>
      </c>
      <c r="L4040" t="n">
        <v>28.99</v>
      </c>
      <c r="M4040" s="1" t="inlineStr">
        <is>
          <t>141.78%</t>
        </is>
      </c>
      <c r="N4040" s="7" t="n">
        <v>6.41</v>
      </c>
      <c r="O4040" t="n">
        <v>4.8</v>
      </c>
      <c r="P4040" t="n">
        <v>3246</v>
      </c>
      <c r="R4040" t="inlineStr">
        <is>
          <t>InStock</t>
        </is>
      </c>
      <c r="S4040" t="inlineStr">
        <is>
          <t>16.72</t>
        </is>
      </c>
      <c r="T4040" t="inlineStr">
        <is>
          <t>3688633630820</t>
        </is>
      </c>
    </row>
    <row r="4041" ht="87" customHeight="1">
      <c r="A4041" s="2">
        <f>HYPERLINK("https://edmondsonsupply.com/collections/electricians-tools/products/veto-pro-pac-tp4-tool-pouch", "https://edmondsonsupply.com/collections/electricians-tools/products/veto-pro-pac-tp4-tool-pouch")</f>
        <v/>
      </c>
      <c r="B4041" s="2">
        <f>HYPERLINK("https://edmondsonsupply.com/products/veto-pro-pac-tp4-tool-pouch", "https://edmondsonsupply.com/products/veto-pro-pac-tp4-tool-pouch")</f>
        <v/>
      </c>
      <c r="C4041" t="inlineStr">
        <is>
          <t>Veto Pro Pac TP3 Tool Bag</t>
        </is>
      </c>
      <c r="D4041" t="inlineStr">
        <is>
          <t>Veto Pro Pac MC Tool Bag (Original)</t>
        </is>
      </c>
      <c r="E4041" s="2">
        <f>HYPERLINK("https://www.amazon.com/Veto-Pro-MC-Handling-Tools/dp/B00NLXNW3A/ref=sr_1_8?keywords=Veto+Pro+Pac+TP3+Tool+Bag&amp;qid=1694735180&amp;sr=8-8", "https://www.amazon.com/Veto-Pro-MC-Handling-Tools/dp/B00NLXNW3A/ref=sr_1_8?keywords=Veto+Pro+Pac+TP3+Tool+Bag&amp;qid=1694735180&amp;sr=8-8")</f>
        <v/>
      </c>
      <c r="F4041" t="inlineStr">
        <is>
          <t>B00NLXNW3A</t>
        </is>
      </c>
      <c r="G4041">
        <f>_xlfn.IMAGE("https://edmondsonsupply.com/cdn/shop/products/TP3_1.jpg?v=1587144391")</f>
        <v/>
      </c>
      <c r="H4041">
        <f>_xlfn.IMAGE("https://m.media-amazon.com/images/I/71emJbrVHBL._AC_UL320_.jpg")</f>
        <v/>
      </c>
      <c r="K4041" t="inlineStr">
        <is>
          <t>59.99</t>
        </is>
      </c>
      <c r="L4041" t="n">
        <v>144.95</v>
      </c>
      <c r="M4041" s="1" t="inlineStr">
        <is>
          <t>141.62%</t>
        </is>
      </c>
      <c r="N4041" s="7" t="n">
        <v>6.39</v>
      </c>
      <c r="O4041" t="n">
        <v>4.7</v>
      </c>
      <c r="P4041" t="n">
        <v>839</v>
      </c>
      <c r="R4041" t="inlineStr">
        <is>
          <t>InStock</t>
        </is>
      </c>
      <c r="S4041" t="inlineStr">
        <is>
          <t>undefined</t>
        </is>
      </c>
      <c r="T4041" t="inlineStr">
        <is>
          <t>3561762816100</t>
        </is>
      </c>
    </row>
    <row r="4042" ht="87" customHeight="1">
      <c r="A4042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042" s="2">
        <f>HYPERLINK("https://edmondsonsupply.com/products/klein-tools-vdv427-300-impact-punchdown-tool-66-110-blade", "https://edmondsonsupply.com/products/klein-tools-vdv427-300-impact-punchdown-tool-66-110-blade")</f>
        <v/>
      </c>
      <c r="C4042" t="inlineStr">
        <is>
          <t>Klein Tools VDV427-300 Impact Punchdown Tool, 66/110 Blade</t>
        </is>
      </c>
      <c r="D4042" t="inlineStr">
        <is>
          <t>Klein Tools 80024 Racheting Data Cable and CAT6 Plug 50-Pack Tool Kit, Pass Thru Installation Tool Kit, 2-Piece &amp; VDV427-300 Impact Punchdown Tool, 66/110 Blade</t>
        </is>
      </c>
      <c r="E4042" s="2">
        <f>HYPERLINK("https://www.amazon.com/Klein-Tools-Racheting-Installation-VDV427-300/dp/B09T6VY329/ref=sr_1_19?keywords=Klein+Tools+VDV427-300+Impact+Punchdown+Tool%2C+66%2F110+Blade&amp;qid=1694735168&amp;sr=8-19", "https://www.amazon.com/Klein-Tools-Racheting-Installation-VDV427-300/dp/B09T6VY329/ref=sr_1_19?keywords=Klein+Tools+VDV427-300+Impact+Punchdown+Tool%2C+66%2F110+Blade&amp;qid=1694735168&amp;sr=8-19")</f>
        <v/>
      </c>
      <c r="F4042" t="inlineStr">
        <is>
          <t>B09T6VY329</t>
        </is>
      </c>
      <c r="G4042">
        <f>_xlfn.IMAGE("https://edmondsonsupply.com/cdn/shop/products/vdv427300.jpg?v=1646010568")</f>
        <v/>
      </c>
      <c r="H4042">
        <f>_xlfn.IMAGE("https://m.media-amazon.com/images/I/51Hfklc7AUL._AC_UL320_.jpg")</f>
        <v/>
      </c>
      <c r="K4042" t="inlineStr">
        <is>
          <t>39.97</t>
        </is>
      </c>
      <c r="L4042" t="n">
        <v>96.56999999999999</v>
      </c>
      <c r="M4042" s="1" t="inlineStr">
        <is>
          <t>141.61%</t>
        </is>
      </c>
      <c r="N4042" s="7" t="n">
        <v>6.25</v>
      </c>
      <c r="O4042" t="n">
        <v>5</v>
      </c>
      <c r="P4042" t="n">
        <v>2</v>
      </c>
      <c r="R4042" t="inlineStr">
        <is>
          <t>InStock</t>
        </is>
      </c>
      <c r="S4042" t="inlineStr">
        <is>
          <t>55.98</t>
        </is>
      </c>
      <c r="T4042" t="inlineStr">
        <is>
          <t>7620069818584</t>
        </is>
      </c>
    </row>
    <row r="4043" ht="87" customHeight="1">
      <c r="A4043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4043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4043" t="inlineStr">
        <is>
          <t>Klein Tools D248-8 Diagonal Cutting Pliers, Angled Head, Short Jaw, 8-Inch</t>
        </is>
      </c>
      <c r="D4043" t="inlineStr">
        <is>
          <t>Klein Tools D201-7CSTA Linesman Pliers, Side Cutters with Spring Loaded Action &amp; D248-8 Pliers, Diagonal Cutting Multi-Purpose Pliers with Angled Head, High-Leverage Design, and Short Jaw, 8-Inch</t>
        </is>
      </c>
      <c r="E4043" s="2">
        <f>HYPERLINK("https://www.amazon.com/Klein-Tools-D201-7CSTA-Multi-Purpose-High-Leverage/dp/B093PYY2DS/ref=sr_1_4?keywords=Klein+Tools+D248-8+Diagonal+Cutting+Pliers%2C+Angled+Head%2C+Short+Jaw%2C+8-Inch&amp;qid=1694735219&amp;sr=8-4", "https://www.amazon.com/Klein-Tools-D201-7CSTA-Multi-Purpose-High-Leverage/dp/B093PYY2DS/ref=sr_1_4?keywords=Klein+Tools+D248-8+Diagonal+Cutting+Pliers%2C+Angled+Head%2C+Short+Jaw%2C+8-Inch&amp;qid=1694735219&amp;sr=8-4")</f>
        <v/>
      </c>
      <c r="F4043" t="inlineStr">
        <is>
          <t>B093PYY2DS</t>
        </is>
      </c>
      <c r="G4043">
        <f>_xlfn.IMAGE("https://edmondsonsupply.com/cdn/shop/products/d2488.jpg?v=1633030997")</f>
        <v/>
      </c>
      <c r="H4043">
        <f>_xlfn.IMAGE("https://m.media-amazon.com/images/I/41JQ0I2wH6S._AC_UL320_.jpg")</f>
        <v/>
      </c>
      <c r="K4043" t="inlineStr">
        <is>
          <t>29.97</t>
        </is>
      </c>
      <c r="L4043" t="n">
        <v>72.37</v>
      </c>
      <c r="M4043" s="1" t="inlineStr">
        <is>
          <t>141.47%</t>
        </is>
      </c>
      <c r="N4043" s="7" t="n">
        <v>6.14</v>
      </c>
      <c r="O4043" t="n">
        <v>4.8</v>
      </c>
      <c r="P4043" t="n">
        <v>5</v>
      </c>
      <c r="R4043" t="inlineStr">
        <is>
          <t>InStock</t>
        </is>
      </c>
      <c r="S4043" t="inlineStr">
        <is>
          <t>45.42</t>
        </is>
      </c>
      <c r="T4043" t="inlineStr">
        <is>
          <t>6680617091245</t>
        </is>
      </c>
    </row>
    <row r="4044" ht="87" customHeight="1">
      <c r="A4044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044" s="2">
        <f>HYPERLINK("https://edmondsonsupply.com/products/klein-tools-et45-ac-dc-voltage-tester", "https://edmondsonsupply.com/products/klein-tools-et45-ac-dc-voltage-tester")</f>
        <v/>
      </c>
      <c r="C4044" t="inlineStr">
        <is>
          <t>Klein Tools ET45 AC/DC Voltage Tester</t>
        </is>
      </c>
      <c r="D4044" t="inlineStr">
        <is>
          <t>Klein Tools NCVT-2 Voltage Tester, Non-Contact Dual Range Voltage Tester Pen for Standard and Low Voltage, with 3 m Drop Protection</t>
        </is>
      </c>
      <c r="E4044" s="2">
        <f>HYPERLINK("https://www.amazon.com/Klein-Tools-NCVT-2-Standard-Protection/dp/B004FXJOQO/ref=sr_1_31?keywords=Klein+Tools+ET45+AC%2FDC+Voltage+Tester&amp;qid=1694735227&amp;sr=8-31", "https://www.amazon.com/Klein-Tools-NCVT-2-Standard-Protection/dp/B004FXJOQO/ref=sr_1_31?keywords=Klein+Tools+ET45+AC%2FDC+Voltage+Tester&amp;qid=1694735227&amp;sr=8-31")</f>
        <v/>
      </c>
      <c r="F4044" t="inlineStr">
        <is>
          <t>B004FXJOQO</t>
        </is>
      </c>
      <c r="G4044">
        <f>_xlfn.IMAGE("https://edmondsonsupply.com/cdn/shop/products/et45.jpg?v=1647786270")</f>
        <v/>
      </c>
      <c r="H4044">
        <f>_xlfn.IMAGE("https://m.media-amazon.com/images/I/514tywDAdHL._AC_UL320_.jpg")</f>
        <v/>
      </c>
      <c r="K4044" t="inlineStr">
        <is>
          <t>11.99</t>
        </is>
      </c>
      <c r="L4044" t="n">
        <v>28.95</v>
      </c>
      <c r="M4044" s="1" t="inlineStr">
        <is>
          <t>141.45%</t>
        </is>
      </c>
      <c r="N4044" s="7" t="n">
        <v>6.13</v>
      </c>
      <c r="O4044" t="n">
        <v>4.6</v>
      </c>
      <c r="P4044" t="n">
        <v>5762</v>
      </c>
      <c r="R4044" t="inlineStr">
        <is>
          <t>InStock</t>
        </is>
      </c>
      <c r="S4044" t="inlineStr">
        <is>
          <t>16.72</t>
        </is>
      </c>
      <c r="T4044" t="inlineStr">
        <is>
          <t>3688633630820</t>
        </is>
      </c>
    </row>
    <row r="4045" ht="87" customHeight="1">
      <c r="A4045" s="2">
        <f>HYPERLINK("https://edmondsonsupply.com/collections/electricians-tools/products/klein-tools-56412-rechargeable-led-flashlight-with-worklight", "https://edmondsonsupply.com/collections/electricians-tools/products/klein-tools-56412-rechargeable-led-flashlight-with-worklight")</f>
        <v/>
      </c>
      <c r="B4045" s="2">
        <f>HYPERLINK("https://edmondsonsupply.com/products/klein-tools-56412-rechargeable-led-flashlight-with-worklight", "https://edmondsonsupply.com/products/klein-tools-56412-rechargeable-led-flashlight-with-worklight")</f>
        <v/>
      </c>
      <c r="C4045" t="inlineStr">
        <is>
          <t>Klein Tools 56412 Rechargeable LED Flashlight with Worklight</t>
        </is>
      </c>
      <c r="D4045" t="inlineStr">
        <is>
          <t>Klein Tools 56403 LED Light, Rechargeable Flashlight/Worklight &amp; PJSFM1 Battery Operated Rechargeable Fan with USB-C Charging Cord and Multiple Mounting Options Perfect for the Jobsite</t>
        </is>
      </c>
      <c r="E4045" s="2">
        <f>HYPERLINK("https://www.amazon.com/Klein-Tools-Rechargeable-Flashlight-Worklight/dp/B0BC85LX49/ref=sr_1_7?keywords=Klein+Tools+56412+Rechargeable+LED+Flashlight+with+Worklight&amp;qid=1694735114&amp;sr=8-7", "https://www.amazon.com/Klein-Tools-Rechargeable-Flashlight-Worklight/dp/B0BC85LX49/ref=sr_1_7?keywords=Klein+Tools+56412+Rechargeable+LED+Flashlight+with+Worklight&amp;qid=1694735114&amp;sr=8-7")</f>
        <v/>
      </c>
      <c r="F4045" t="inlineStr">
        <is>
          <t>B0BC85LX49</t>
        </is>
      </c>
      <c r="G4045">
        <f>_xlfn.IMAGE("https://edmondsonsupply.com/cdn/shop/products/56412.jpg?v=1663953549")</f>
        <v/>
      </c>
      <c r="H4045">
        <f>_xlfn.IMAGE("https://m.media-amazon.com/images/I/61HjyBviEWL._AC_UL320_.jpg")</f>
        <v/>
      </c>
      <c r="K4045" t="inlineStr">
        <is>
          <t>39.97</t>
        </is>
      </c>
      <c r="L4045" t="n">
        <v>96.47</v>
      </c>
      <c r="M4045" s="1" t="inlineStr">
        <is>
          <t>141.36%</t>
        </is>
      </c>
      <c r="N4045" s="7" t="n">
        <v>6.07</v>
      </c>
      <c r="O4045" t="n">
        <v>5</v>
      </c>
      <c r="P4045" t="n">
        <v>1</v>
      </c>
      <c r="R4045" t="inlineStr">
        <is>
          <t>InStock</t>
        </is>
      </c>
      <c r="S4045" t="inlineStr">
        <is>
          <t>59.64</t>
        </is>
      </c>
      <c r="T4045" t="inlineStr">
        <is>
          <t>7827358056664</t>
        </is>
      </c>
    </row>
    <row r="4046" hidden="1" ht="15.75" customHeight="1">
      <c r="A4046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4046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4046" t="inlineStr">
        <is>
          <t>Diablo Tools DMARG1070 1/4 in. x 4 in. x 6 in. SPEEDemon™ Red Granite Carbide Tipped Hammer Drill Bit</t>
        </is>
      </c>
      <c r="D4046" t="inlineStr">
        <is>
          <t>Diablo by Freud DMARG1170 5/8 in. x 4 in. x 6 in. SPEEDemon Red Granite Carbide Tipped Hammer Drill Bit</t>
        </is>
      </c>
      <c r="E4046" s="2">
        <f>HYPERLINK("https://www.amazon.com/Diablo-Freud-DMARG1170-SPEEDemon-Granite/dp/B089LHNF2T/ref=sr_1_30?keywords=Diablo+Tools+DMARG1070+1%2F4+in.+x+4+in.+x+6+in.+SPEEDemon%E2%84%A2+Red+Granite+Carbide+Tipped+Hammer+Drill+Bit&amp;qid=1694735286&amp;sr=8-30", "https://www.amazon.com/Diablo-Freud-DMARG1170-SPEEDemon-Granite/dp/B089LHNF2T/ref=sr_1_30?keywords=Diablo+Tools+DMARG1070+1%2F4+in.+x+4+in.+x+6+in.+SPEEDemon%E2%84%A2+Red+Granite+Carbide+Tipped+Hammer+Drill+Bit&amp;qid=1694735286&amp;sr=8-30")</f>
        <v/>
      </c>
      <c r="F4046" t="inlineStr">
        <is>
          <t>B089LHNF2T</t>
        </is>
      </c>
      <c r="G4046">
        <f>_xludf.IMAGE("https://edmondsonsupply.com/cdn/shop/products/DMARG1070_Main-Image20200407.png?v=1633030419")</f>
        <v/>
      </c>
      <c r="H4046">
        <f>_xludf.IMAGE("https://m.media-amazon.com/images/I/61+aCAjnkLL._AC_UL320_.jpg")</f>
        <v/>
      </c>
      <c r="K4046" t="inlineStr">
        <is>
          <t>4.97</t>
        </is>
      </c>
      <c r="L4046" t="n">
        <v>11.99</v>
      </c>
      <c r="M4046" s="1" t="inlineStr">
        <is>
          <t>141.25%</t>
        </is>
      </c>
      <c r="N4046" s="1" t="n">
        <v>6</v>
      </c>
      <c r="O4046" t="n">
        <v>4.6</v>
      </c>
      <c r="P4046" t="n">
        <v>14</v>
      </c>
      <c r="R4046" t="inlineStr">
        <is>
          <t>InStock</t>
        </is>
      </c>
      <c r="S4046" t="inlineStr">
        <is>
          <t>undefined</t>
        </is>
      </c>
      <c r="T4046" t="inlineStr">
        <is>
          <t>5317981700264</t>
        </is>
      </c>
    </row>
    <row r="4047" hidden="1" ht="15.75" customHeight="1">
      <c r="A4047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4047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4047" t="inlineStr">
        <is>
          <t>Diablo Tools DMARG1020 5/32 in. x 3 in. x 6 in. SPEEDemon™ Red Granite Carbide Tipped Hammer Drill Bit</t>
        </is>
      </c>
      <c r="D4047" t="inlineStr">
        <is>
          <t>Diablo by Freud DMARG1170 5/8 in. x 4 in. x 6 in. SPEEDemon Red Granite Carbide Tipped Hammer Drill Bit</t>
        </is>
      </c>
      <c r="E4047" s="2">
        <f>HYPERLINK("https://www.amazon.com/Diablo-Freud-DMARG1170-SPEEDemon-Granite/dp/B089LHNF2T/ref=sr_1_32?keywords=Diablo+Tools+DMARG1020+5%2F32+in.+x+3+in.+x+6+in.+SPEEDemon%E2%84%A2+Red+Granite+Carbide+Tipped+Hammer+Drill+Bit&amp;qid=1694735279&amp;sr=8-32", "https://www.amazon.com/Diablo-Freud-DMARG1170-SPEEDemon-Granite/dp/B089LHNF2T/ref=sr_1_32?keywords=Diablo+Tools+DMARG1020+5%2F32+in.+x+3+in.+x+6+in.+SPEEDemon%E2%84%A2+Red+Granite+Carbide+Tipped+Hammer+Drill+Bit&amp;qid=1694735279&amp;sr=8-32")</f>
        <v/>
      </c>
      <c r="F4047" t="inlineStr">
        <is>
          <t>B089LHNF2T</t>
        </is>
      </c>
      <c r="G4047">
        <f>_xludf.IMAGE("https://edmondsonsupply.com/cdn/shop/products/vozy4matwskc7qc8ko6f.webp?v=1670440892")</f>
        <v/>
      </c>
      <c r="H4047">
        <f>_xludf.IMAGE("https://m.media-amazon.com/images/I/61+aCAjnkLL._AC_UL320_.jpg")</f>
        <v/>
      </c>
      <c r="K4047" t="inlineStr">
        <is>
          <t>4.97</t>
        </is>
      </c>
      <c r="L4047" t="n">
        <v>11.99</v>
      </c>
      <c r="M4047" s="1" t="inlineStr">
        <is>
          <t>141.25%</t>
        </is>
      </c>
      <c r="N4047" s="1" t="n">
        <v>5.95</v>
      </c>
      <c r="O4047" t="n">
        <v>4.6</v>
      </c>
      <c r="P4047" t="n">
        <v>14</v>
      </c>
      <c r="R4047" t="inlineStr">
        <is>
          <t>InStock</t>
        </is>
      </c>
      <c r="S4047" t="inlineStr">
        <is>
          <t>undefined</t>
        </is>
      </c>
      <c r="T4047" t="inlineStr">
        <is>
          <t>5386082484392</t>
        </is>
      </c>
    </row>
    <row r="4048" ht="87" customHeight="1">
      <c r="A4048" s="2">
        <f>HYPERLINK("https://edmondsonsupply.com/collections/electricians-tools/products/diablo-tools-dmamx1220", "https://edmondsonsupply.com/collections/electricians-tools/products/diablo-tools-dmamx1220")</f>
        <v/>
      </c>
      <c r="B4048" s="2">
        <f>HYPERLINK("https://edmondsonsupply.com/products/diablo-tools-dmamx1220", "https://edmondsonsupply.com/products/diablo-tools-dmamx1220")</f>
        <v/>
      </c>
      <c r="C4048" t="inlineStr">
        <is>
          <t>Diablo Tools DMAMX1220 1 in. x 16 in. x 21 in. Rebar Demon™ SDS-Max 4-Cutter Full Carbide Head Hammer Drill Bit</t>
        </is>
      </c>
      <c r="D4048" t="inlineStr">
        <is>
          <t>Diablo DMAMX1230 1 in. x 24 in. x 29 in. Rebar Demon™ SDS-Max 4-Cutter Full Carbide Head Hammer Bit</t>
        </is>
      </c>
      <c r="E4048" s="2">
        <f>HYPERLINK("https://www.amazon.com/Diablo-DMAMX1230-SDS-Max-4-Cutter-Carbide/dp/B089KWMBLT/ref=sr_1_16?keywords=Diablo+Tools+DMAMX1220+1+in.+x+16+in.+x+21+in.+Rebar+Demon%E2%84%A2+SDS-Max+4-Cutter+Full+Carbide+Head+Hammer+Drill+Bit&amp;qid=1694735075&amp;sr=8-16", "https://www.amazon.com/Diablo-DMAMX1230-SDS-Max-4-Cutter-Carbide/dp/B089KWMBLT/ref=sr_1_16?keywords=Diablo+Tools+DMAMX1220+1+in.+x+16+in.+x+21+in.+Rebar+Demon%E2%84%A2+SDS-Max+4-Cutter+Full+Carbide+Head+Hammer+Drill+Bit&amp;qid=1694735075&amp;sr=8-16")</f>
        <v/>
      </c>
      <c r="F4048" t="inlineStr">
        <is>
          <t>B089KWMBLT</t>
        </is>
      </c>
      <c r="G4048">
        <f>_xlfn.IMAGE("https://edmondsonsupply.com/cdn/shop/products/immoyh7jjmbau4fzhuq6.webp?v=1670431066")</f>
        <v/>
      </c>
      <c r="H4048">
        <f>_xlfn.IMAGE("https://m.media-amazon.com/images/I/61B-wgZVzML._AC_UL320_.jpg")</f>
        <v/>
      </c>
      <c r="K4048" t="inlineStr">
        <is>
          <t>45.69</t>
        </is>
      </c>
      <c r="L4048" t="n">
        <v>109.99</v>
      </c>
      <c r="M4048" s="1" t="inlineStr">
        <is>
          <t>140.73%</t>
        </is>
      </c>
      <c r="N4048" s="7" t="n">
        <v>5.91</v>
      </c>
      <c r="O4048" t="n">
        <v>4.6</v>
      </c>
      <c r="P4048" t="n">
        <v>3</v>
      </c>
      <c r="R4048" t="inlineStr">
        <is>
          <t>InStock</t>
        </is>
      </c>
      <c r="S4048" t="inlineStr">
        <is>
          <t>70.58</t>
        </is>
      </c>
      <c r="T4048" t="inlineStr">
        <is>
          <t>7900195356888</t>
        </is>
      </c>
    </row>
    <row r="4049" ht="87" customHeight="1">
      <c r="A4049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4049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4049" t="inlineStr">
        <is>
          <t>Diablo Tools DMARG1120 3/8 in. x 4 in. x 6 in. SPEEDemon™ Red Granite Carbide Tipped Hammer Drill Bit</t>
        </is>
      </c>
      <c r="D4049" t="inlineStr">
        <is>
          <t>Diablo 3/4" x 4" x 6" SPEEDemon™ Red Granite Carbide Tipped Hammer Drill Bit</t>
        </is>
      </c>
      <c r="E4049" s="2">
        <f>HYPERLINK("https://www.amazon.com/Diablo-DMARG1190-SPEEDemon-Granite-Carbide/dp/B089KWDFSV/ref=sr_1_4?keywords=Diablo+Tools+DMARG1120+3%2F8+in.+x+4+in.+x+6+in.+SPEEDemon%E2%84%A2+Red+Granite+Carbide+Tipped+Hammer+Drill+Bit&amp;qid=1694735289&amp;sr=8-4", "https://www.amazon.com/Diablo-DMARG1190-SPEEDemon-Granite-Carbide/dp/B089KWDFSV/ref=sr_1_4?keywords=Diablo+Tools+DMARG1120+3%2F8+in.+x+4+in.+x+6+in.+SPEEDemon%E2%84%A2+Red+Granite+Carbide+Tipped+Hammer+Drill+Bit&amp;qid=1694735289&amp;sr=8-4")</f>
        <v/>
      </c>
      <c r="F4049" t="inlineStr">
        <is>
          <t>B089KWDFSV</t>
        </is>
      </c>
      <c r="G4049">
        <f>_xlfn.IMAGE("https://edmondsonsupply.com/cdn/shop/products/DMARG1120_Main-Image20200513.png?v=1633030510")</f>
        <v/>
      </c>
      <c r="H4049">
        <f>_xlfn.IMAGE("https://m.media-amazon.com/images/I/614DQf6-m2L._AC_UL320_.jpg")</f>
        <v/>
      </c>
      <c r="K4049" t="inlineStr">
        <is>
          <t>7.27</t>
        </is>
      </c>
      <c r="L4049" t="n">
        <v>17.49</v>
      </c>
      <c r="M4049" s="1" t="inlineStr">
        <is>
          <t>140.58%</t>
        </is>
      </c>
      <c r="N4049" s="7" t="n">
        <v>5.88</v>
      </c>
      <c r="O4049" t="n">
        <v>4.5</v>
      </c>
      <c r="P4049" t="n">
        <v>17</v>
      </c>
      <c r="R4049" t="inlineStr">
        <is>
          <t>InStock</t>
        </is>
      </c>
      <c r="S4049" t="inlineStr">
        <is>
          <t>undefined</t>
        </is>
      </c>
      <c r="T4049" t="inlineStr">
        <is>
          <t>5386498834600</t>
        </is>
      </c>
    </row>
    <row r="4050" ht="87" customHeight="1">
      <c r="A4050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4050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4050" t="inlineStr">
        <is>
          <t>Klein Tools NCVT1PKIT Non-Contact Voltage and GFCI Receptacle Test Kit</t>
        </is>
      </c>
      <c r="D4050" t="inlineStr">
        <is>
          <t>Klein Tools 80064 AC Circuit Breaker Kit with GFCI Digital Circuit Breaker Finder, Non-Contact Voltage Tester Pen and Zipper Bag, 3-Piece</t>
        </is>
      </c>
      <c r="E4050" s="2">
        <f>HYPERLINK("https://www.amazon.com/Klein-Tools-80064-Circuit-Non-Contact/dp/B09WJKKBP2/ref=sr_1_6?keywords=Klein+Tools+NCVT1PKIT+Non-Contact+Voltage+and+GFCI+Receptacle+Test+Kit&amp;qid=1694735031&amp;sr=8-6", "https://www.amazon.com/Klein-Tools-80064-Circuit-Non-Contact/dp/B09WJKKBP2/ref=sr_1_6?keywords=Klein+Tools+NCVT1PKIT+Non-Contact+Voltage+and+GFCI+Receptacle+Test+Kit&amp;qid=1694735031&amp;sr=8-6")</f>
        <v/>
      </c>
      <c r="F4050" t="inlineStr">
        <is>
          <t>B09WJKKBP2</t>
        </is>
      </c>
      <c r="G4050">
        <f>_xlfn.IMAGE("https://edmondsonsupply.com/cdn/shop/products/ncvt1pkit.jpg?v=1677682920")</f>
        <v/>
      </c>
      <c r="H4050">
        <f>_xlfn.IMAGE("https://m.media-amazon.com/images/I/717V+W-xvwL._AC_UL320_.jpg")</f>
        <v/>
      </c>
      <c r="K4050" t="inlineStr">
        <is>
          <t>24.97</t>
        </is>
      </c>
      <c r="L4050" t="n">
        <v>59.99</v>
      </c>
      <c r="M4050" s="1" t="inlineStr">
        <is>
          <t>140.25%</t>
        </is>
      </c>
      <c r="N4050" s="7" t="n">
        <v>5.86</v>
      </c>
      <c r="O4050" t="n">
        <v>4.7</v>
      </c>
      <c r="P4050" t="n">
        <v>19527</v>
      </c>
      <c r="R4050" t="inlineStr">
        <is>
          <t>InStock</t>
        </is>
      </c>
      <c r="S4050" t="inlineStr">
        <is>
          <t>35.38</t>
        </is>
      </c>
      <c r="T4050" t="inlineStr">
        <is>
          <t>7953960698072</t>
        </is>
      </c>
    </row>
    <row r="4051" hidden="1" ht="15.75" customHeight="1">
      <c r="A4051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051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051" t="inlineStr">
        <is>
          <t>Klein Tools JTH9M3 3 mm Hex Key with Journeyman T-Handle, 9-Inch</t>
        </is>
      </c>
      <c r="D4051" t="inlineStr">
        <is>
          <t>Klein Tools JTH6E15BE 3/8-Inch Hex Key with Ball End and Journeyman T-Handle, 6-Inch</t>
        </is>
      </c>
      <c r="E4051" s="2">
        <f>HYPERLINK("https://www.amazon.com/Klein-Tools-JTH6E15BE-Journeyman-T-Handle/dp/B004QW56FC/ref=sr_1_20?keywords=Klein+Tools+JTH9M3+3+mm+Hex+Key+with+Journeyman+T-Handle%2C+9-Inch&amp;qid=1694735249&amp;sr=8-20", "https://www.amazon.com/Klein-Tools-JTH6E15BE-Journeyman-T-Handle/dp/B004QW56FC/ref=sr_1_20?keywords=Klein+Tools+JTH9M3+3+mm+Hex+Key+with+Journeyman+T-Handle%2C+9-Inch&amp;qid=1694735249&amp;sr=8-20")</f>
        <v/>
      </c>
      <c r="F4051" t="inlineStr">
        <is>
          <t>B004QW56FC</t>
        </is>
      </c>
      <c r="G4051">
        <f>_xludf.IMAGE("https://edmondsonsupply.com/cdn/shop/products/jth9m.jpg?v=1633030702")</f>
        <v/>
      </c>
      <c r="H4051">
        <f>_xludf.IMAGE("https://m.media-amazon.com/images/I/51f9vBFVXgL._AC_UL320_.jpg")</f>
        <v/>
      </c>
      <c r="K4051" t="inlineStr">
        <is>
          <t>4.49</t>
        </is>
      </c>
      <c r="L4051" t="n">
        <v>10.78</v>
      </c>
      <c r="M4051" s="1" t="inlineStr">
        <is>
          <t>140.09%</t>
        </is>
      </c>
      <c r="N4051" s="1" t="n">
        <v>5.79</v>
      </c>
      <c r="O4051" t="n">
        <v>4.8</v>
      </c>
      <c r="P4051" t="n">
        <v>454</v>
      </c>
      <c r="R4051" t="inlineStr">
        <is>
          <t>InStock</t>
        </is>
      </c>
      <c r="S4051" t="inlineStr">
        <is>
          <t>6.82</t>
        </is>
      </c>
      <c r="T4051" t="inlineStr">
        <is>
          <t>5848344035496</t>
        </is>
      </c>
    </row>
    <row r="4052" ht="87" customHeight="1">
      <c r="A4052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4052" s="2">
        <f>HYPERLINK("https://edmondsonsupply.com/products/amprobe-st-102b-receptacle-tester-with-gfci", "https://edmondsonsupply.com/products/amprobe-st-102b-receptacle-tester-with-gfci")</f>
        <v/>
      </c>
      <c r="C4052" t="inlineStr">
        <is>
          <t>Amprobe ST-102B Receptacle Tester with GFCI</t>
        </is>
      </c>
      <c r="D4052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4052" s="2">
        <f>HYPERLINK("https://www.amazon.com/Klein-Tools-Receptacle-Electrical-Accessory/dp/B09P83VQDK/ref=sr_1_45?keywords=Amprobe+ST-102B+Receptacle+Tester+with+GFCI&amp;qid=1694735128&amp;sr=8-45", "https://www.amazon.com/Klein-Tools-Receptacle-Electrical-Accessory/dp/B09P83VQDK/ref=sr_1_45?keywords=Amprobe+ST-102B+Receptacle+Tester+with+GFCI&amp;qid=1694735128&amp;sr=8-45")</f>
        <v/>
      </c>
      <c r="F4052" t="inlineStr">
        <is>
          <t>B09P83VQDK</t>
        </is>
      </c>
      <c r="G4052">
        <f>_xlfn.IMAGE("https://edmondsonsupply.com/cdn/shop/products/PD_ST102B1.jpg?v=1662641155")</f>
        <v/>
      </c>
      <c r="H4052">
        <f>_xlfn.IMAGE("https://m.media-amazon.com/images/I/51Y6EmT5N-L._AC_UL320_.jpg")</f>
        <v/>
      </c>
      <c r="K4052" t="inlineStr">
        <is>
          <t>17.49</t>
        </is>
      </c>
      <c r="L4052" t="n">
        <v>41.94</v>
      </c>
      <c r="M4052" s="1" t="inlineStr">
        <is>
          <t>139.79%</t>
        </is>
      </c>
      <c r="N4052" s="7" t="n">
        <v>5.79</v>
      </c>
      <c r="O4052" t="n">
        <v>4.9</v>
      </c>
      <c r="P4052" t="n">
        <v>20</v>
      </c>
      <c r="R4052" t="inlineStr">
        <is>
          <t>InStock</t>
        </is>
      </c>
      <c r="S4052" t="inlineStr">
        <is>
          <t>19.99</t>
        </is>
      </c>
      <c r="T4052" t="inlineStr">
        <is>
          <t>7808944570584</t>
        </is>
      </c>
    </row>
    <row r="4053" hidden="1" ht="15.75" customHeight="1">
      <c r="A4053" s="2">
        <f>HYPERLINK("https://edmondsonsupply.com/collections/electricians-tools/products/klein-tools-jth6t10-t10-torx%C2%AE-hex-key-with-journeyman-t-handle-6-inch", "https://edmondsonsupply.com/collections/electricians-tools/products/klein-tools-jth6t10-t10-torx%C2%AE-hex-key-with-journeyman-t-handle-6-inch")</f>
        <v/>
      </c>
      <c r="B4053" s="2">
        <f>HYPERLINK("https://edmondsonsupply.com/products/klein-tools-jth6t10-t10-torx%c2%ae-hex-key-with-journeyman-t-handle-6-inch", "https://edmondsonsupply.com/products/klein-tools-jth6t10-t10-torx%c2%ae-hex-key-with-journeyman-t-handle-6-inch")</f>
        <v/>
      </c>
      <c r="C4053" t="inlineStr">
        <is>
          <t>Klein Tools JTH6T10 T10 Torx® Hex Key with Journeyman T-Handle, 6-Inch</t>
        </is>
      </c>
      <c r="D4053" t="inlineStr">
        <is>
          <t>Klein Tools JTH6E09BE 9/64-Inch Ball-End Hex Key with Journeyman T-Handle, 6-Inch (Pack of 2)</t>
        </is>
      </c>
      <c r="E4053" s="2">
        <f>HYPERLINK("https://www.amazon.com/Klein-Tools-JTH6E09BE-Ball-End-Journeyman/dp/B0CGLVC75M/ref=sr_1_12?keywords=Klein+Tools+JTH6T10+T10+Torx%C2%AE+Hex+Key+with+Journeyman+T-Handle%2C+6-Inch&amp;qid=1694735374&amp;sr=8-12", "https://www.amazon.com/Klein-Tools-JTH6E09BE-Ball-End-Journeyman/dp/B0CGLVC75M/ref=sr_1_12?keywords=Klein+Tools+JTH6T10+T10+Torx%C2%AE+Hex+Key+with+Journeyman+T-Handle%2C+6-Inch&amp;qid=1694735374&amp;sr=8-12")</f>
        <v/>
      </c>
      <c r="F4053" t="inlineStr">
        <is>
          <t>B0CGLVC75M</t>
        </is>
      </c>
      <c r="G4053">
        <f>_xludf.IMAGE("https://edmondsonsupply.com/cdn/shop/products/jth6t40_07247ac0-2841-478b-a043-bf58bb30dc51.jpg?v=1587149691")</f>
        <v/>
      </c>
      <c r="H4053">
        <f>_xludf.IMAGE("https://m.media-amazon.com/images/I/41bN+I19ReL._AC_UL320_.jpg")</f>
        <v/>
      </c>
      <c r="K4053" t="inlineStr">
        <is>
          <t>5.99</t>
        </is>
      </c>
      <c r="L4053" t="n">
        <v>14.36</v>
      </c>
      <c r="M4053" s="1" t="inlineStr">
        <is>
          <t>139.73%</t>
        </is>
      </c>
      <c r="N4053" s="1" t="n">
        <v>5.57</v>
      </c>
      <c r="O4053" t="n">
        <v>4.9</v>
      </c>
      <c r="P4053" t="n">
        <v>65</v>
      </c>
      <c r="R4053" t="inlineStr">
        <is>
          <t>InStock</t>
        </is>
      </c>
      <c r="S4053" t="inlineStr">
        <is>
          <t>9.1</t>
        </is>
      </c>
      <c r="T4053" t="inlineStr">
        <is>
          <t>4421660901476</t>
        </is>
      </c>
    </row>
    <row r="4054" ht="87" customHeight="1">
      <c r="A4054" s="2">
        <f>HYPERLINK("https://edmondsonsupply.com/collections/electricians-tools/products/klein-5416tfr", "https://edmondsonsupply.com/collections/electricians-tools/products/klein-5416tfr")</f>
        <v/>
      </c>
      <c r="B4054" s="2">
        <f>HYPERLINK("https://edmondsonsupply.com/products/klein-5416tfr", "https://edmondsonsupply.com/products/klein-5416tfr")</f>
        <v/>
      </c>
      <c r="C4054" t="inlineStr">
        <is>
          <t>Klein Tools 5416TFR Tool Bag, Flame Resistant Bolt Bag, No. 4 Canvas, 5 x 10 x 9-Inch</t>
        </is>
      </c>
      <c r="D4054" t="inlineStr">
        <is>
          <t>Sellstrom Ultra Flex III KneePro Knee Pads For Construction, Gardening, Flooring - Pro Protection &amp; Comfort For Men &amp; Women &amp; Klein Tools 5416TFR Tool Bag, Flame Resistant Canvas Bag for Bolt Storage</t>
        </is>
      </c>
      <c r="E4054" s="2">
        <f>HYPERLINK("https://www.amazon.com/Sellstrom-KneePro-Construction-Gardening-Flooring/dp/B0BYHRV79D/ref=sr_1_25?keywords=Klein+Tools+5416TFR+Tool+Bag%2C+Flame+Resistant+Bolt+Bag%2C+No.+4+Canvas%2C+5+x+10+x+9-Inch&amp;qid=1694734988&amp;sr=8-25", "https://www.amazon.com/Sellstrom-KneePro-Construction-Gardening-Flooring/dp/B0BYHRV79D/ref=sr_1_25?keywords=Klein+Tools+5416TFR+Tool+Bag%2C+Flame+Resistant+Bolt+Bag%2C+No.+4+Canvas%2C+5+x+10+x+9-Inch&amp;qid=1694734988&amp;sr=8-25")</f>
        <v/>
      </c>
      <c r="F4054" t="inlineStr">
        <is>
          <t>B0BYHRV79D</t>
        </is>
      </c>
      <c r="G4054">
        <f>_xlfn.IMAGE("https://edmondsonsupply.com/cdn/shop/products/5416tfr.jpg?v=1587149359")</f>
        <v/>
      </c>
      <c r="H4054">
        <f>_xlfn.IMAGE("https://m.media-amazon.com/images/I/514rFhlRcyL._AC_UL320_.jpg")</f>
        <v/>
      </c>
      <c r="K4054" t="inlineStr">
        <is>
          <t>19.99</t>
        </is>
      </c>
      <c r="L4054" t="n">
        <v>47.87</v>
      </c>
      <c r="M4054" s="1" t="inlineStr">
        <is>
          <t>139.47%</t>
        </is>
      </c>
      <c r="N4054" s="7" t="n">
        <v>5.45</v>
      </c>
      <c r="O4054" t="n">
        <v>4.6</v>
      </c>
      <c r="P4054" t="n">
        <v>3</v>
      </c>
      <c r="R4054" t="inlineStr">
        <is>
          <t>InStock</t>
        </is>
      </c>
      <c r="S4054" t="inlineStr">
        <is>
          <t>33.64</t>
        </is>
      </c>
      <c r="T4054" t="inlineStr">
        <is>
          <t>1490970837092</t>
        </is>
      </c>
    </row>
    <row r="4055" hidden="1" ht="15.75" customHeight="1">
      <c r="A4055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4055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4055" t="inlineStr">
        <is>
          <t>Diablo Tools DMAPL4030 3/16 in. x 2 in. x 4 in. Rebar Demon™ SDS-Plus 4-Cutter Full Carbide Head Hammer Bit</t>
        </is>
      </c>
      <c r="D4055" t="inlineStr">
        <is>
          <t>Diablo by Freud DMAPL4010 5/32 in. x 2 in. x 4 in. Rebar Demon SDS-Plus 4-Cutter Full Carbide Head Hammer Bit</t>
        </is>
      </c>
      <c r="E4055" s="2">
        <f>HYPERLINK("https://www.amazon.com/Diablo-SDS-Plus-4-Cutter-Carbide-Hammer/dp/B089KWVTD3/ref=sr_1_4?keywords=Diablo+Tools+DMAPL4030+3%2F16+in.+x+2+in.+x+4+in.+Rebar+Demon%E2%84%A2+SDS-Plus+4-Cutter+Full+Carbide+Head+Hammer+Bit&amp;qid=1694735295&amp;sr=8-4", "https://www.amazon.com/Diablo-SDS-Plus-4-Cutter-Carbide-Hammer/dp/B089KWVTD3/ref=sr_1_4?keywords=Diablo+Tools+DMAPL4030+3%2F16+in.+x+2+in.+x+4+in.+Rebar+Demon%E2%84%A2+SDS-Plus+4-Cutter+Full+Carbide+Head+Hammer+Bit&amp;qid=1694735295&amp;sr=8-4")</f>
        <v/>
      </c>
      <c r="F4055" t="inlineStr">
        <is>
          <t>B089KWVTD3</t>
        </is>
      </c>
      <c r="G4055">
        <f>_xludf.IMAGE("https://edmondsonsupply.com/cdn/shop/products/DMAPL4030.jpg?v=1633030357")</f>
        <v/>
      </c>
      <c r="H4055">
        <f>_xludf.IMAGE("https://m.media-amazon.com/images/I/61IkB-DVS1L._AC_UL320_.jpg")</f>
        <v/>
      </c>
      <c r="K4055" t="inlineStr">
        <is>
          <t>3.97</t>
        </is>
      </c>
      <c r="L4055" t="n">
        <v>9.5</v>
      </c>
      <c r="M4055" s="1" t="inlineStr">
        <is>
          <t>139.29%</t>
        </is>
      </c>
      <c r="N4055" s="1" t="n">
        <v>5.32</v>
      </c>
      <c r="O4055" t="n">
        <v>4.7</v>
      </c>
      <c r="P4055" t="n">
        <v>4</v>
      </c>
      <c r="R4055" t="inlineStr">
        <is>
          <t>InStock</t>
        </is>
      </c>
      <c r="S4055" t="inlineStr">
        <is>
          <t>5.51</t>
        </is>
      </c>
      <c r="T4055" t="inlineStr">
        <is>
          <t>5286322012328</t>
        </is>
      </c>
    </row>
    <row r="4056" hidden="1" ht="15.75" customHeight="1">
      <c r="A4056" s="2">
        <f>HYPERLINK("https://edmondsonsupply.com/collections/electricians-tools/products/klein-tools-jth9e06-3-32-inch-hex-key-journeyman%E2%84%A2-t-handle-9-inch", "https://edmondsonsupply.com/collections/electricians-tools/products/klein-tools-jth9e06-3-32-inch-hex-key-journeyman%E2%84%A2-t-handle-9-inch")</f>
        <v/>
      </c>
      <c r="B4056" s="2">
        <f>HYPERLINK("https://edmondsonsupply.com/products/klein-tools-jth9e06-3-32-inch-hex-key-journeyman%e2%84%a2-t-handle-9-inch", "https://edmondsonsupply.com/products/klein-tools-jth9e06-3-32-inch-hex-key-journeyman%e2%84%a2-t-handle-9-inch")</f>
        <v/>
      </c>
      <c r="C4056" t="inlineStr">
        <is>
          <t>Klein Tools JTH9E06 3/32-Inch Hex Key, Journeyman™ T-Handle, 9-Inch</t>
        </is>
      </c>
      <c r="D4056" t="inlineStr">
        <is>
          <t>Klein Tools 70575 Grip-It Hex Key Set, 9-Key, 3-3/4-Inch Handle, SAE Sizes</t>
        </is>
      </c>
      <c r="E4056" s="2">
        <f>HYPERLINK("https://www.amazon.com/Grip-Square-Klein-Tools-70575/dp/B0002RI8PK/ref=sr_1_23?keywords=Klein+Tools+JTH9E06+3%2F32-Inch+Hex+Key%2C+Journeyman%E2%84%A2+T-Handle%2C+9-Inch&amp;qid=1694735129&amp;sr=8-23", "https://www.amazon.com/Grip-Square-Klein-Tools-70575/dp/B0002RI8PK/ref=sr_1_23?keywords=Klein+Tools+JTH9E06+3%2F32-Inch+Hex+Key%2C+Journeyman%E2%84%A2+T-Handle%2C+9-Inch&amp;qid=1694735129&amp;sr=8-23")</f>
        <v/>
      </c>
      <c r="F4056" t="inlineStr">
        <is>
          <t>B0002RI8PK</t>
        </is>
      </c>
      <c r="G4056">
        <f>_xludf.IMAGE("https://edmondsonsupply.com/cdn/shop/products/jth6e15_2136116f-dcd1-4a81-ab1c-471762cb8f3e.jpg?v=1662657547")</f>
        <v/>
      </c>
      <c r="H4056">
        <f>_xludf.IMAGE("https://m.media-amazon.com/images/I/51C7aw6OxTL._AC_UL320_.jpg")</f>
        <v/>
      </c>
      <c r="K4056" t="inlineStr">
        <is>
          <t>4.49</t>
        </is>
      </c>
      <c r="L4056" t="n">
        <v>10.74</v>
      </c>
      <c r="M4056" s="1" t="inlineStr">
        <is>
          <t>139.20%</t>
        </is>
      </c>
      <c r="N4056" s="1" t="n">
        <v>5.32</v>
      </c>
      <c r="O4056" t="n">
        <v>4.4</v>
      </c>
      <c r="P4056" t="n">
        <v>65</v>
      </c>
      <c r="R4056" t="inlineStr">
        <is>
          <t>InStock</t>
        </is>
      </c>
      <c r="S4056" t="inlineStr">
        <is>
          <t>6.82</t>
        </is>
      </c>
      <c r="T4056" t="inlineStr">
        <is>
          <t>7809328808152</t>
        </is>
      </c>
    </row>
    <row r="4057" hidden="1" ht="15.75" customHeight="1">
      <c r="A4057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057" s="2">
        <f>HYPERLINK("https://edmondsonsupply.com/products/klein-tools-jth9m5-4-mm-hex-key-journeyman-t-handle-9-inch", "https://edmondsonsupply.com/products/klein-tools-jth9m5-4-mm-hex-key-journeyman-t-handle-9-inch")</f>
        <v/>
      </c>
      <c r="C4057" t="inlineStr">
        <is>
          <t>Klein Tools JTH9M4 4 mm Hex Key, Journeyman T-Handle, 9-Inch</t>
        </is>
      </c>
      <c r="D4057" t="inlineStr">
        <is>
          <t>Klein Tools 70575 Grip-It Hex Key Set, 9-Key, 3-3/4-Inch Handle, SAE Sizes</t>
        </is>
      </c>
      <c r="E4057" s="2">
        <f>HYPERLINK("https://www.amazon.com/Grip-Square-Klein-Tools-70575/dp/B0002RI8PK/ref=sr_1_46?keywords=Klein+Tools+JTH9M4+4+mm+Hex+Key%2C+Journeyman+T-Handle%2C+9-Inch&amp;qid=1694735170&amp;sr=8-46", "https://www.amazon.com/Grip-Square-Klein-Tools-70575/dp/B0002RI8PK/ref=sr_1_46?keywords=Klein+Tools+JTH9M4+4+mm+Hex+Key%2C+Journeyman+T-Handle%2C+9-Inch&amp;qid=1694735170&amp;sr=8-46")</f>
        <v/>
      </c>
      <c r="F4057" t="inlineStr">
        <is>
          <t>B0002RI8PK</t>
        </is>
      </c>
      <c r="G4057">
        <f>_xludf.IMAGE("https://edmondsonsupply.com/cdn/shop/products/jth9m_fa8a641d-d03f-4191-ab24-b9045963e4f7.jpg?v=1640191121")</f>
        <v/>
      </c>
      <c r="H4057">
        <f>_xludf.IMAGE("https://m.media-amazon.com/images/I/51C7aw6OxTL._AC_UL320_.jpg")</f>
        <v/>
      </c>
      <c r="K4057" t="inlineStr">
        <is>
          <t>4.49</t>
        </is>
      </c>
      <c r="L4057" t="n">
        <v>10.74</v>
      </c>
      <c r="M4057" s="1" t="inlineStr">
        <is>
          <t>139.20%</t>
        </is>
      </c>
      <c r="N4057" s="1" t="n">
        <v>5.22</v>
      </c>
      <c r="O4057" t="n">
        <v>4.4</v>
      </c>
      <c r="P4057" t="n">
        <v>65</v>
      </c>
      <c r="R4057" t="inlineStr">
        <is>
          <t>InStock</t>
        </is>
      </c>
      <c r="S4057" t="inlineStr">
        <is>
          <t>6.8</t>
        </is>
      </c>
      <c r="T4057" t="inlineStr">
        <is>
          <t>7555980656856</t>
        </is>
      </c>
    </row>
    <row r="4058" hidden="1" ht="15.75" customHeight="1">
      <c r="A4058" s="2">
        <f>HYPERLINK("https://edmondsonsupply.com/collections/electricians-tools/products/klein-tools-jth9e09-9-64-inch-hex-key-journeyman%E2%84%A2-t-handle-9-inch", "https://edmondsonsupply.com/collections/electricians-tools/products/klein-tools-jth9e09-9-64-inch-hex-key-journeyman%E2%84%A2-t-handle-9-inch")</f>
        <v/>
      </c>
      <c r="B4058" s="2">
        <f>HYPERLINK("https://edmondsonsupply.com/products/klein-tools-jth9e09-9-64-inch-hex-key-journeyman%e2%84%a2-t-handle-9-inch", "https://edmondsonsupply.com/products/klein-tools-jth9e09-9-64-inch-hex-key-journeyman%e2%84%a2-t-handle-9-inch")</f>
        <v/>
      </c>
      <c r="C4058" t="inlineStr">
        <is>
          <t>Klein Tools JTH9E09 9/64-Inch Hex Key, Journeyman™ T-Handle, 9-Inch</t>
        </is>
      </c>
      <c r="D4058" t="inlineStr">
        <is>
          <t>Klein Tools 70575 Grip-It Hex Key Set, 9-Key, 3-3/4-Inch Handle, SAE Sizes</t>
        </is>
      </c>
      <c r="E4058" s="2">
        <f>HYPERLINK("https://www.amazon.com/Grip-Square-Klein-Tools-70575/dp/B0002RI8PK/ref=sr_1_18?keywords=Klein+Tools+JTH9E09+9%2F64-Inch+Hex+Key%2C+Journeyman%E2%84%A2+T-Handle%2C+9-Inch&amp;qid=1694734995&amp;sr=8-18", "https://www.amazon.com/Grip-Square-Klein-Tools-70575/dp/B0002RI8PK/ref=sr_1_18?keywords=Klein+Tools+JTH9E09+9%2F64-Inch+Hex+Key%2C+Journeyman%E2%84%A2+T-Handle%2C+9-Inch&amp;qid=1694734995&amp;sr=8-18")</f>
        <v/>
      </c>
      <c r="F4058" t="inlineStr">
        <is>
          <t>B0002RI8PK</t>
        </is>
      </c>
      <c r="G4058">
        <f>_xludf.IMAGE("https://edmondsonsupply.com/cdn/shop/files/jth6e15_a82bd56b-ad18-4460-9ae1-33c48a111839.jpg?v=1684942468")</f>
        <v/>
      </c>
      <c r="H4058">
        <f>_xludf.IMAGE("https://m.media-amazon.com/images/I/51C7aw6OxTL._AC_UL320_.jpg")</f>
        <v/>
      </c>
      <c r="K4058" t="inlineStr">
        <is>
          <t>4.49</t>
        </is>
      </c>
      <c r="L4058" t="n">
        <v>10.74</v>
      </c>
      <c r="M4058" s="1" t="inlineStr">
        <is>
          <t>139.20%</t>
        </is>
      </c>
      <c r="N4058" s="1" t="n">
        <v>5.05</v>
      </c>
      <c r="O4058" t="n">
        <v>4.4</v>
      </c>
      <c r="P4058" t="n">
        <v>65</v>
      </c>
      <c r="R4058" t="inlineStr">
        <is>
          <t>InStock</t>
        </is>
      </c>
      <c r="S4058" t="inlineStr">
        <is>
          <t>6.8</t>
        </is>
      </c>
      <c r="T4058" t="inlineStr">
        <is>
          <t>7995440595160</t>
        </is>
      </c>
    </row>
    <row r="4059" ht="87" customHeight="1">
      <c r="A4059" s="2">
        <f>HYPERLINK("https://edmondsonsupply.com/collections/electricians-tools/products/milwaukee-48-22-2881-13-in-1-cushion-grip-screwdriver-with-schrader-bit", "https://edmondsonsupply.com/collections/electricians-tools/products/milwaukee-48-22-2881-13-in-1-cushion-grip-screwdriver-with-schrader-bit")</f>
        <v/>
      </c>
      <c r="B4059" s="2">
        <f>HYPERLINK("https://edmondsonsupply.com/products/milwaukee-48-22-2881-13-in-1-cushion-grip-screwdriver-with-schrader-bit", "https://edmondsonsupply.com/products/milwaukee-48-22-2881-13-in-1-cushion-grip-screwdriver-with-schrader-bit")</f>
        <v/>
      </c>
      <c r="C4059" t="inlineStr">
        <is>
          <t>Milwaukee 48-22-2881 13-in-1 Cushion Grip Screwdriver with Schrader Bit</t>
        </is>
      </c>
      <c r="D4059" t="inlineStr">
        <is>
          <t>Milwaukee 11-in-1 Multi-Tip Screwdriver with Square Drive Bits and 13-in-1 Multi-Tip Cushion Grip Screwdriver Sets (48-22-2880-2761)</t>
        </is>
      </c>
      <c r="E4059" s="2">
        <f>HYPERLINK("https://www.amazon.com/Milwaukee-Multi-Tip-Screwdriver-Cushion-48-22-2880-2761/dp/B0BS435YZ2/ref=sr_1_2?keywords=Milwaukee+48-22-2881+13-in-1+Cushion+Grip+Screwdriver+with+Schrader+Bit&amp;qid=1694735408&amp;sr=8-2", "https://www.amazon.com/Milwaukee-Multi-Tip-Screwdriver-Cushion-48-22-2880-2761/dp/B0BS435YZ2/ref=sr_1_2?keywords=Milwaukee+48-22-2881+13-in-1+Cushion+Grip+Screwdriver+with+Schrader+Bit&amp;qid=1694735408&amp;sr=8-2")</f>
        <v/>
      </c>
      <c r="F4059" t="inlineStr">
        <is>
          <t>B0BS435YZ2</t>
        </is>
      </c>
      <c r="G4059">
        <f>_xlfn.IMAGE("https://edmondsonsupply.com/cdn/shop/products/48-22-2881.png?v=1587149150")</f>
        <v/>
      </c>
      <c r="H4059">
        <f>_xlfn.IMAGE("https://m.media-amazon.com/images/I/6147KLqShzL._AC_UL320_.jpg")</f>
        <v/>
      </c>
      <c r="K4059" t="inlineStr">
        <is>
          <t>17.16</t>
        </is>
      </c>
      <c r="L4059" t="n">
        <v>40.99</v>
      </c>
      <c r="M4059" s="1" t="inlineStr">
        <is>
          <t>138.87%</t>
        </is>
      </c>
      <c r="N4059" s="7" t="n">
        <v>5.05</v>
      </c>
      <c r="O4059" t="n">
        <v>5</v>
      </c>
      <c r="P4059" t="n">
        <v>2</v>
      </c>
      <c r="R4059" t="inlineStr">
        <is>
          <t>InStock</t>
        </is>
      </c>
      <c r="S4059" t="inlineStr">
        <is>
          <t>28.5</t>
        </is>
      </c>
      <c r="T4059" t="inlineStr">
        <is>
          <t>4388807049316</t>
        </is>
      </c>
    </row>
    <row r="4060" ht="87" customHeight="1">
      <c r="A4060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4060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4060" t="inlineStr">
        <is>
          <t>Diablo Tools DMAPL4140 3/8 in. x 4 in. x 6 in. Rebar Demon™ SDS-Plus 4-Cutter Full Carbide Head Hammer Bit</t>
        </is>
      </c>
      <c r="D4060" t="inlineStr">
        <is>
          <t>Diablo by Freud Diablo DMAPL4190 1/2 in. x 10 in. x 12 in. Rebar Demon SDS-Plus 4-Cutter Full Carbide Head Hammer Bit</t>
        </is>
      </c>
      <c r="E4060" s="2">
        <f>HYPERLINK("https://www.amazon.com/Diablo-Freud-DMAPL4190-SDS-Plus-4-Cutter/dp/B089LJZ25M/ref=sr_1_21?keywords=Diablo+Tools+DMAPL4140+3%2F8+in.+x+4+in.+x+6+in.+Rebar+Demon%E2%84%A2+SDS-Plus+4-Cutter+Full+Carbide+Head+Hammer+Bit&amp;qid=1694735296&amp;sr=8-21", "https://www.amazon.com/Diablo-Freud-DMAPL4190-SDS-Plus-4-Cutter/dp/B089LJZ25M/ref=sr_1_21?keywords=Diablo+Tools+DMAPL4140+3%2F8+in.+x+4+in.+x+6+in.+Rebar+Demon%E2%84%A2+SDS-Plus+4-Cutter+Full+Carbide+Head+Hammer+Bit&amp;qid=1694735296&amp;sr=8-21")</f>
        <v/>
      </c>
      <c r="F4060" t="inlineStr">
        <is>
          <t>B089LJZ25M</t>
        </is>
      </c>
      <c r="G4060">
        <f>_xlfn.IMAGE("https://edmondsonsupply.com/cdn/shop/products/DMAPL4140_Main-Image20200701.png?v=1633030360")</f>
        <v/>
      </c>
      <c r="H4060">
        <f>_xlfn.IMAGE("https://m.media-amazon.com/images/I/61dzudnwI8L._AC_UL320_.jpg")</f>
        <v/>
      </c>
      <c r="K4060" t="inlineStr">
        <is>
          <t>7.29</t>
        </is>
      </c>
      <c r="L4060" t="n">
        <v>17.41</v>
      </c>
      <c r="M4060" s="1" t="inlineStr">
        <is>
          <t>138.82%</t>
        </is>
      </c>
      <c r="N4060" s="7" t="n">
        <v>5.01</v>
      </c>
      <c r="O4060" t="n">
        <v>4.6</v>
      </c>
      <c r="P4060" t="n">
        <v>43</v>
      </c>
      <c r="R4060" t="inlineStr">
        <is>
          <t>InStock</t>
        </is>
      </c>
      <c r="S4060" t="inlineStr">
        <is>
          <t>undefined</t>
        </is>
      </c>
      <c r="T4060" t="inlineStr">
        <is>
          <t>5286771949736</t>
        </is>
      </c>
    </row>
    <row r="4061" ht="87" customHeight="1">
      <c r="A4061" s="2">
        <f>HYPERLINK("https://edmondsonsupply.com/collections/electricians-tools/products/diablo-tools-d0536x-5-3-8-in-x-36-tooth-finish-trim-saw-blade", "https://edmondsonsupply.com/collections/electricians-tools/products/diablo-tools-d0536x-5-3-8-in-x-36-tooth-finish-trim-saw-blade")</f>
        <v/>
      </c>
      <c r="B4061" s="2">
        <f>HYPERLINK("https://edmondsonsupply.com/products/diablo-tools-d0536x-5-3-8-in-x-36-tooth-finish-trim-saw-blade", "https://edmondsonsupply.com/products/diablo-tools-d0536x-5-3-8-in-x-36-tooth-finish-trim-saw-blade")</f>
        <v/>
      </c>
      <c r="C4061" t="inlineStr">
        <is>
          <t>Diablo Tools D0536X 5-3/8 in. x 36 Tooth Finish Trim Saw Blade</t>
        </is>
      </c>
      <c r="D4061" t="inlineStr">
        <is>
          <t>Freud D0536X Diablo 5-3/8-Inch 36 Tooth ATB Finish Cordless Trim Saw Blade (2 Pack)</t>
        </is>
      </c>
      <c r="E4061" s="2">
        <f>HYPERLINK("https://www.amazon.com/Freud-D0536X-Diablo-8-Inch-Cordless/dp/B076HCJL4B/ref=sr_1_2?keywords=Diablo+Tools+D0536X+5-3%2F8+in.+x+36+Tooth+Finish+Trim+Saw+Blade&amp;qid=1694735017&amp;sr=8-2", "https://www.amazon.com/Freud-D0536X-Diablo-8-Inch-Cordless/dp/B076HCJL4B/ref=sr_1_2?keywords=Diablo+Tools+D0536X+5-3%2F8+in.+x+36+Tooth+Finish+Trim+Saw+Blade&amp;qid=1694735017&amp;sr=8-2")</f>
        <v/>
      </c>
      <c r="F4061" t="inlineStr">
        <is>
          <t>B076HCJL4B</t>
        </is>
      </c>
      <c r="G4061">
        <f>_xlfn.IMAGE("https://edmondsonsupply.com/cdn/shop/products/tlu1mfykudka2gxayxql.webp?v=1679326425")</f>
        <v/>
      </c>
      <c r="H4061">
        <f>_xlfn.IMAGE("https://m.media-amazon.com/images/I/61HBiOgAoRL._AC_UL320_.jpg")</f>
        <v/>
      </c>
      <c r="K4061" t="inlineStr">
        <is>
          <t>16.97</t>
        </is>
      </c>
      <c r="L4061" t="n">
        <v>40.48</v>
      </c>
      <c r="M4061" s="1" t="inlineStr">
        <is>
          <t>138.54%</t>
        </is>
      </c>
      <c r="N4061" s="7" t="n">
        <v>4.95</v>
      </c>
      <c r="O4061" t="n">
        <v>4.6</v>
      </c>
      <c r="P4061" t="n">
        <v>100</v>
      </c>
      <c r="R4061" t="inlineStr">
        <is>
          <t>InStock</t>
        </is>
      </c>
      <c r="S4061" t="inlineStr">
        <is>
          <t>26.04</t>
        </is>
      </c>
      <c r="T4061" t="inlineStr">
        <is>
          <t>7964916482264</t>
        </is>
      </c>
    </row>
    <row r="4062" ht="87" customHeight="1">
      <c r="A4062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4062" s="2">
        <f>HYPERLINK("https://edmondsonsupply.com/products/klein-tools-32500mag-11-in-1-magnetic-screwdriver-nut-driver", "https://edmondsonsupply.com/products/klein-tools-32500mag-11-in-1-magnetic-screwdriver-nut-driver")</f>
        <v/>
      </c>
      <c r="C4062" t="inlineStr">
        <is>
          <t>Klein Tools 32500MAG 11-in-1 Magnetic Screwdriver / Nut Driver</t>
        </is>
      </c>
      <c r="D4062" t="inlineStr">
        <is>
          <t>Klein Tools 80019 Tool Set, Multi-Bit Screwdriver and Nut Driver Tool Kit, 28 Different Industrial Strength Bits and Sizes, 4-Piece</t>
        </is>
      </c>
      <c r="E4062" s="2">
        <f>HYPERLINK("https://www.amazon.com/Klein-Tools-80019-Screwdriver-Industrial/dp/B08VW84W2G/ref=sr_1_38?keywords=Klein+Tools+32500MAG+11-in-1+Magnetic+Screwdriver+%2F+Nut+Driver&amp;qid=1694735235&amp;sr=8-38", "https://www.amazon.com/Klein-Tools-80019-Screwdriver-Industrial/dp/B08VW84W2G/ref=sr_1_38?keywords=Klein+Tools+32500MAG+11-in-1+Magnetic+Screwdriver+%2F+Nut+Driver&amp;qid=1694735235&amp;sr=8-38")</f>
        <v/>
      </c>
      <c r="F4062" t="inlineStr">
        <is>
          <t>B08VW84W2G</t>
        </is>
      </c>
      <c r="G4062">
        <f>_xlfn.IMAGE("https://edmondsonsupply.com/cdn/shop/products/32500mag.jpg?v=1633030832")</f>
        <v/>
      </c>
      <c r="H4062">
        <f>_xlfn.IMAGE("https://m.media-amazon.com/images/I/61UoMiQVT8L._AC_UL320_.jpg")</f>
        <v/>
      </c>
      <c r="K4062" t="inlineStr">
        <is>
          <t>20.97</t>
        </is>
      </c>
      <c r="L4062" t="n">
        <v>49.99</v>
      </c>
      <c r="M4062" s="1" t="inlineStr">
        <is>
          <t>138.39%</t>
        </is>
      </c>
      <c r="N4062" s="7" t="n">
        <v>4.93</v>
      </c>
      <c r="O4062" t="n">
        <v>4.8</v>
      </c>
      <c r="P4062" t="n">
        <v>1116</v>
      </c>
      <c r="R4062" t="inlineStr">
        <is>
          <t>InStock</t>
        </is>
      </c>
      <c r="S4062" t="inlineStr">
        <is>
          <t>29.38</t>
        </is>
      </c>
      <c r="T4062" t="inlineStr">
        <is>
          <t>6082199814317</t>
        </is>
      </c>
    </row>
    <row r="4063" ht="87" customHeight="1">
      <c r="A4063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063" s="2">
        <f>HYPERLINK("https://edmondsonsupply.com/products/klein-tools-vdv526-200-lan-scout-%c2%ae-jr-2-cable-tester", "https://edmondsonsupply.com/products/klein-tools-vdv526-200-lan-scout-%c2%ae-jr-2-cable-tester")</f>
        <v/>
      </c>
      <c r="C4063" t="inlineStr">
        <is>
          <t>Klein Tools VDV526-200 LAN Scout ® Jr. 2 Cable Tester</t>
        </is>
      </c>
      <c r="D4063" t="inlineStr">
        <is>
          <t>Klein Tools 80072 RJ45 Cable Tester Kit with LAN Scout Jr. 2, Coax Crimper/Stripper/Cutter Tool and Pass-Thru Modular Data Plug &amp; VDV500-123 Cable Tracer Probe-Pro Tracing Probe</t>
        </is>
      </c>
      <c r="E4063" s="2">
        <f>HYPERLINK("https://www.amazon.com/Klein-Tools-Pass-Thru-VDV500-123-Probe-Pro/dp/B0BVG9VVZR/ref=sr_1_14?keywords=Klein+Tools+VDV526-200+LAN+Scout+%C2%AE+Jr.+2+Cable+Tester&amp;qid=1694735126&amp;sr=8-14", "https://www.amazon.com/Klein-Tools-Pass-Thru-VDV500-123-Probe-Pro/dp/B0BVG9VVZR/ref=sr_1_14?keywords=Klein+Tools+VDV526-200+LAN+Scout+%C2%AE+Jr.+2+Cable+Tester&amp;qid=1694735126&amp;sr=8-14")</f>
        <v/>
      </c>
      <c r="F4063" t="inlineStr">
        <is>
          <t>B0BVG9VVZR</t>
        </is>
      </c>
      <c r="G4063">
        <f>_xlfn.IMAGE("https://edmondsonsupply.com/cdn/shop/products/vdv526200.jpg?v=1663689949")</f>
        <v/>
      </c>
      <c r="H4063">
        <f>_xlfn.IMAGE("https://m.media-amazon.com/images/I/51zx3GIQY6L._AC_UY218_.jpg")</f>
        <v/>
      </c>
      <c r="K4063" t="inlineStr">
        <is>
          <t>54.97</t>
        </is>
      </c>
      <c r="L4063" t="n">
        <v>130.77</v>
      </c>
      <c r="M4063" s="1" t="inlineStr">
        <is>
          <t>137.89%</t>
        </is>
      </c>
      <c r="N4063" s="7" t="n">
        <v>4.86</v>
      </c>
      <c r="O4063" t="n">
        <v>5</v>
      </c>
      <c r="P4063" t="n">
        <v>1</v>
      </c>
      <c r="R4063" t="inlineStr">
        <is>
          <t>InStock</t>
        </is>
      </c>
      <c r="S4063" t="inlineStr">
        <is>
          <t>82.5</t>
        </is>
      </c>
      <c r="T4063" t="inlineStr">
        <is>
          <t>7823726182616</t>
        </is>
      </c>
    </row>
    <row r="4064" ht="87" customHeight="1">
      <c r="A4064" s="2">
        <f>HYPERLINK("https://edmondsonsupply.com/collections/electricians-tools/products/klein-tools-69381-heavy-duty-alligator-clip-test-leads-3-foot", "https://edmondsonsupply.com/collections/electricians-tools/products/klein-tools-69381-heavy-duty-alligator-clip-test-leads-3-foot")</f>
        <v/>
      </c>
      <c r="B4064" s="2">
        <f>HYPERLINK("https://edmondsonsupply.com/products/klein-tools-69381-heavy-duty-alligator-clip-test-leads-3-foot", "https://edmondsonsupply.com/products/klein-tools-69381-heavy-duty-alligator-clip-test-leads-3-foot")</f>
        <v/>
      </c>
      <c r="C4064" t="inlineStr">
        <is>
          <t>Klein Tools 69381 Heavy-Duty Alligator Clip Test Leads, 3-Foot</t>
        </is>
      </c>
      <c r="D4064" t="inlineStr">
        <is>
          <t>Klein Tools 69410 Replacement Test Lead Set, Right Angle &amp; 69381 Alligator Clip Test Leads, Heavy-Duty Replacement Meter Leads, for All Meters Using Banana Plug Meter Leads, 3-Foot</t>
        </is>
      </c>
      <c r="E4064" s="2">
        <f>HYPERLINK("https://www.amazon.com/Klein-Tools-Replacement-Alligator-Heavy-Duty/dp/B0C3B9WXP6/ref=sr_1_3?keywords=Klein+Tools+69381+Heavy-Duty+Alligator+Clip+Test+Leads%2C+3-Foot&amp;qid=1694735094&amp;sr=8-3", "https://www.amazon.com/Klein-Tools-Replacement-Alligator-Heavy-Duty/dp/B0C3B9WXP6/ref=sr_1_3?keywords=Klein+Tools+69381+Heavy-Duty+Alligator+Clip+Test+Leads%2C+3-Foot&amp;qid=1694735094&amp;sr=8-3")</f>
        <v/>
      </c>
      <c r="F4064" t="inlineStr">
        <is>
          <t>B0C3B9WXP6</t>
        </is>
      </c>
      <c r="G4064">
        <f>_xlfn.IMAGE("https://edmondsonsupply.com/cdn/shop/products/69381_photo.jpg?v=1666889006")</f>
        <v/>
      </c>
      <c r="H4064">
        <f>_xlfn.IMAGE("https://m.media-amazon.com/images/I/51n7wUjxshL._AC_UY218_.jpg")</f>
        <v/>
      </c>
      <c r="K4064" t="inlineStr">
        <is>
          <t>14.99</t>
        </is>
      </c>
      <c r="L4064" t="n">
        <v>35.64</v>
      </c>
      <c r="M4064" s="1" t="inlineStr">
        <is>
          <t>137.76%</t>
        </is>
      </c>
      <c r="N4064" s="7" t="n">
        <v>4.83</v>
      </c>
      <c r="O4064" t="n">
        <v>4.5</v>
      </c>
      <c r="P4064" t="n">
        <v>10</v>
      </c>
      <c r="R4064" t="inlineStr">
        <is>
          <t>InStock</t>
        </is>
      </c>
      <c r="S4064" t="inlineStr">
        <is>
          <t>20.98</t>
        </is>
      </c>
      <c r="T4064" t="inlineStr">
        <is>
          <t>7867714371800</t>
        </is>
      </c>
    </row>
    <row r="4065" ht="87" customHeight="1">
      <c r="A4065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4065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4065" t="inlineStr">
        <is>
          <t>Klein Tools 69149P Test Kit with Multimeter, Non-Contact Volt Tester, Receptacle Tester</t>
        </is>
      </c>
      <c r="D4065" t="inlineStr">
        <is>
          <t>Klein Tools RT250KIT Non-Contact Voltage Tester and GFCI Receptacle Tester &amp; 80016 Circuit Breaker Finder Tool Kit with Accessories, 2-Piece Set, Includes Cat. No. ET310 and Cat. No. 69411</t>
        </is>
      </c>
      <c r="E4065" s="2">
        <f>HYPERLINK("https://www.amazon.com/Klein-Tools-Non-Contact-Receptacle-Accessories/dp/B0BC86DZ9N/ref=sr_1_29?keywords=Klein+Tools+69149P+Test+Kit+with+Multimeter%2C+Non-Contact+Volt+Tester%2C+Receptacle+Tester&amp;qid=1694735230&amp;sr=8-29", "https://www.amazon.com/Klein-Tools-Non-Contact-Receptacle-Accessories/dp/B0BC86DZ9N/ref=sr_1_29?keywords=Klein+Tools+69149P+Test+Kit+with+Multimeter%2C+Non-Contact+Volt+Tester%2C+Receptacle+Tester&amp;qid=1694735230&amp;sr=8-29")</f>
        <v/>
      </c>
      <c r="F4065" t="inlineStr">
        <is>
          <t>B0BC86DZ9N</t>
        </is>
      </c>
      <c r="G4065">
        <f>_xlfn.IMAGE("https://edmondsonsupply.com/cdn/shop/products/69149p.jpg?v=1664479017")</f>
        <v/>
      </c>
      <c r="H4065">
        <f>_xlfn.IMAGE("https://m.media-amazon.com/images/I/516iLL0IaEL._AC_UL320_.jpg")</f>
        <v/>
      </c>
      <c r="K4065" t="inlineStr">
        <is>
          <t>39.97</t>
        </is>
      </c>
      <c r="L4065" t="n">
        <v>94.98</v>
      </c>
      <c r="M4065" s="1" t="inlineStr">
        <is>
          <t>137.63%</t>
        </is>
      </c>
      <c r="N4065" s="7" t="n">
        <v>4.77</v>
      </c>
      <c r="O4065" t="n">
        <v>4.7</v>
      </c>
      <c r="P4065" t="n">
        <v>32</v>
      </c>
      <c r="R4065" t="inlineStr">
        <is>
          <t>InStock</t>
        </is>
      </c>
      <c r="S4065" t="inlineStr">
        <is>
          <t>63.9</t>
        </is>
      </c>
      <c r="T4065" t="inlineStr">
        <is>
          <t>6584860606637</t>
        </is>
      </c>
    </row>
    <row r="4066" ht="87" customHeight="1">
      <c r="A4066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066" s="2">
        <f>HYPERLINK("https://edmondsonsupply.com/products/klein-tools-rt310-afci-gfci-outlet-tester", "https://edmondsonsupply.com/products/klein-tools-rt310-afci-gfci-outlet-tester")</f>
        <v/>
      </c>
      <c r="C4066" t="inlineStr">
        <is>
          <t>Klein Tools RT310 AFCI / GFCI Outlet Tester</t>
        </is>
      </c>
      <c r="D4066" t="inlineStr">
        <is>
          <t>Klein Tools 80016 Circuit Breaker Finder Tool Kit &amp; RT310 Receptacle Tester, AFCI and GFCI Outlet and Device Tester for North American AC Electrical Outlet Receptacles</t>
        </is>
      </c>
      <c r="E4066" s="2">
        <f>HYPERLINK("https://www.amazon.com/Klein-Tools-Receptacle-Electrical-Receptacles/dp/B09P84542L/ref=sr_1_2?keywords=Klein+Tools+RT310+AFCI+%2F+GFCI+Outlet+Tester&amp;qid=1694734989&amp;sr=8-2", "https://www.amazon.com/Klein-Tools-Receptacle-Electrical-Receptacles/dp/B09P84542L/ref=sr_1_2?keywords=Klein+Tools+RT310+AFCI+%2F+GFCI+Outlet+Tester&amp;qid=1694734989&amp;sr=8-2")</f>
        <v/>
      </c>
      <c r="F4066" t="inlineStr">
        <is>
          <t>B09P84542L</t>
        </is>
      </c>
      <c r="G4066">
        <f>_xlfn.IMAGE("https://edmondsonsupply.com/cdn/shop/products/rt310.jpg?v=1587148552")</f>
        <v/>
      </c>
      <c r="H4066">
        <f>_xlfn.IMAGE("https://m.media-amazon.com/images/I/51JAT1Kr0DL._AC_UL320_.jpg")</f>
        <v/>
      </c>
      <c r="K4066" t="inlineStr">
        <is>
          <t>39.97</t>
        </is>
      </c>
      <c r="L4066" t="n">
        <v>94.95999999999999</v>
      </c>
      <c r="M4066" s="1" t="inlineStr">
        <is>
          <t>137.58%</t>
        </is>
      </c>
      <c r="N4066" s="7" t="n">
        <v>4.77</v>
      </c>
      <c r="O4066" t="n">
        <v>4.7</v>
      </c>
      <c r="P4066" t="n">
        <v>499</v>
      </c>
      <c r="R4066" t="inlineStr">
        <is>
          <t>InStock</t>
        </is>
      </c>
      <c r="S4066" t="inlineStr">
        <is>
          <t>57.9</t>
        </is>
      </c>
      <c r="T4066" t="inlineStr">
        <is>
          <t>3372527779940</t>
        </is>
      </c>
    </row>
    <row r="4067" hidden="1" ht="15.75" customHeight="1">
      <c r="A4067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4067" s="2">
        <f>HYPERLINK("https://edmondsonsupply.com/products/diablo-tools-dmapl2360-9-16-in-x-6-in-x-8-in-sds-plus-2-cutter", "https://edmondsonsupply.com/products/diablo-tools-dmapl2360-9-16-in-x-6-in-x-8-in-sds-plus-2-cutter")</f>
        <v/>
      </c>
      <c r="C4067" t="inlineStr">
        <is>
          <t>Diablo Tools DMAPL2360 9/16 in. x 6 in. x 8 in. SDS-Plus 2-Cutter</t>
        </is>
      </c>
      <c r="D4067" t="inlineStr">
        <is>
          <t>Diablo 1/2 in. x 1-11/16 in. x SDS-Plus 2-Cutter</t>
        </is>
      </c>
      <c r="E4067" s="2">
        <f>HYPERLINK("https://www.amazon.com/Diablo-1-11-16-SDS-Plus-2-Cutter/dp/B089KVV91N/ref=sr_1_35?keywords=Diablo+Tools+DMAPL2360+9%2F16+in.+x+6+in.+x+8+in.+SDS-Plus+2-Cutter&amp;qid=1694735296&amp;sr=8-35", "https://www.amazon.com/Diablo-1-11-16-SDS-Plus-2-Cutter/dp/B089KVV91N/ref=sr_1_35?keywords=Diablo+Tools+DMAPL2360+9%2F16+in.+x+6+in.+x+8+in.+SDS-Plus+2-Cutter&amp;qid=1694735296&amp;sr=8-35")</f>
        <v/>
      </c>
      <c r="F4067" t="inlineStr">
        <is>
          <t>B089KVV91N</t>
        </is>
      </c>
      <c r="G4067">
        <f>_xludf.IMAGE("https://edmondsonsupply.com/cdn/shop/products/DMAPL2360_Main-Image20200701.png?v=1633697551")</f>
        <v/>
      </c>
      <c r="H4067">
        <f>_xludf.IMAGE("https://m.media-amazon.com/images/I/71hFSVgA3gL._AC_UL320_.jpg")</f>
        <v/>
      </c>
      <c r="K4067" t="inlineStr">
        <is>
          <t>8.59</t>
        </is>
      </c>
      <c r="L4067" t="n">
        <v>20.4</v>
      </c>
      <c r="M4067" s="1" t="inlineStr">
        <is>
          <t>137.49%</t>
        </is>
      </c>
      <c r="N4067" s="1" t="n">
        <v>4.77</v>
      </c>
      <c r="O4067" t="n">
        <v>3.7</v>
      </c>
      <c r="P4067" t="n">
        <v>7</v>
      </c>
      <c r="R4067" t="inlineStr">
        <is>
          <t>InStock</t>
        </is>
      </c>
      <c r="S4067" t="inlineStr">
        <is>
          <t>9.77</t>
        </is>
      </c>
      <c r="T4067" t="inlineStr">
        <is>
          <t>5286291046568</t>
        </is>
      </c>
    </row>
    <row r="4068" ht="87" customHeight="1">
      <c r="A4068" s="2">
        <f>HYPERLINK("https://edmondsonsupply.com/collections/electricians-tools/products/klein-tools-46037-cable-splicers-kit", "https://edmondsonsupply.com/collections/electricians-tools/products/klein-tools-46037-cable-splicers-kit")</f>
        <v/>
      </c>
      <c r="B4068" s="2">
        <f>HYPERLINK("https://edmondsonsupply.com/products/klein-tools-46037-cable-splicers-kit", "https://edmondsonsupply.com/products/klein-tools-46037-cable-splicers-kit")</f>
        <v/>
      </c>
      <c r="C4068" t="inlineStr">
        <is>
          <t>Klein Tools 46037 Cable Splicer's Kit</t>
        </is>
      </c>
      <c r="D4068" t="inlineStr">
        <is>
          <t>Dismantling Knife-1000V Insulated &amp; Klein Tools 46039 Cable Splicer's Kit with Cable Splicer Electricians Knife and Free-Fall Snip</t>
        </is>
      </c>
      <c r="E4068" s="2">
        <f>HYPERLINK("https://www.amazon.com/Dismantling-Knife-1000V-Insulated-Electricians-Free-Fall/dp/B0BM2ZZM12/ref=sr_1_8?keywords=Klein+Tools+46037+Cable+Splicer%27s+Kit&amp;qid=1694735136&amp;sr=8-8", "https://www.amazon.com/Dismantling-Knife-1000V-Insulated-Electricians-Free-Fall/dp/B0BM2ZZM12/ref=sr_1_8?keywords=Klein+Tools+46037+Cable+Splicer%27s+Kit&amp;qid=1694735136&amp;sr=8-8")</f>
        <v/>
      </c>
      <c r="F4068" t="inlineStr">
        <is>
          <t>B0BM2ZZM12</t>
        </is>
      </c>
      <c r="G4068">
        <f>_xlfn.IMAGE("https://edmondsonsupply.com/cdn/shop/products/46037.jpg?v=1663351986")</f>
        <v/>
      </c>
      <c r="H4068">
        <f>_xlfn.IMAGE("https://m.media-amazon.com/images/I/41uZ3RjcrvL._AC_UL320_.jpg")</f>
        <v/>
      </c>
      <c r="K4068" t="inlineStr">
        <is>
          <t>39.97</t>
        </is>
      </c>
      <c r="L4068" t="n">
        <v>94.92</v>
      </c>
      <c r="M4068" s="1" t="inlineStr">
        <is>
          <t>137.48%</t>
        </is>
      </c>
      <c r="N4068" s="7" t="n">
        <v>4.77</v>
      </c>
      <c r="O4068" t="n">
        <v>4.8</v>
      </c>
      <c r="P4068" t="n">
        <v>793</v>
      </c>
      <c r="R4068" t="inlineStr">
        <is>
          <t>InStock</t>
        </is>
      </c>
      <c r="S4068" t="inlineStr">
        <is>
          <t>66.7</t>
        </is>
      </c>
      <c r="T4068" t="inlineStr">
        <is>
          <t>7819207508184</t>
        </is>
      </c>
    </row>
    <row r="4069" ht="87" customHeight="1">
      <c r="A4069" s="2">
        <f>HYPERLINK("https://edmondsonsupply.com/collections/electricians-tools/products/klein-tools-31860-carbide-hole-cutter-1-3-8-inch", "https://edmondsonsupply.com/collections/electricians-tools/products/klein-tools-31860-carbide-hole-cutter-1-3-8-inch")</f>
        <v/>
      </c>
      <c r="B4069" s="2">
        <f>HYPERLINK("https://edmondsonsupply.com/products/klein-tools-31860-carbide-hole-cutter-1-3-8-inch", "https://edmondsonsupply.com/products/klein-tools-31860-carbide-hole-cutter-1-3-8-inch")</f>
        <v/>
      </c>
      <c r="C4069" t="inlineStr">
        <is>
          <t>Klein Tools 31860 Carbide Hole Cutter, 1-3/8-Inch</t>
        </is>
      </c>
      <c r="D4069" t="inlineStr">
        <is>
          <t>Klein Tools 31872 Heavy Duty Hole Cutter Kit, Includes Carbide Hole Cutters and Pilot Bit in Rust-Proof Molded Plastic Case, 4-Piece</t>
        </is>
      </c>
      <c r="E4069" s="2">
        <f>HYPERLINK("https://www.amazon.com/Carbide-Cutter-Klein-Tools-31872/dp/B003CCR97A/ref=sr_1_2?keywords=Klein+Tools+31860+Carbide+Hole+Cutter%2C+1-3%2F8-Inch&amp;qid=1694735240&amp;sr=8-2", "https://www.amazon.com/Carbide-Cutter-Klein-Tools-31872/dp/B003CCR97A/ref=sr_1_2?keywords=Klein+Tools+31860+Carbide+Hole+Cutter%2C+1-3%2F8-Inch&amp;qid=1694735240&amp;sr=8-2")</f>
        <v/>
      </c>
      <c r="F4069" t="inlineStr">
        <is>
          <t>B003CCR97A</t>
        </is>
      </c>
      <c r="G4069">
        <f>_xlfn.IMAGE("https://edmondsonsupply.com/cdn/shop/products/31860.jpg?v=1633030790")</f>
        <v/>
      </c>
      <c r="H4069">
        <f>_xlfn.IMAGE("https://m.media-amazon.com/images/I/61oX7BDmtJL._AC_UL320_.jpg")</f>
        <v/>
      </c>
      <c r="K4069" t="inlineStr">
        <is>
          <t>37.99</t>
        </is>
      </c>
      <c r="L4069" t="n">
        <v>89.98999999999999</v>
      </c>
      <c r="M4069" s="1" t="inlineStr">
        <is>
          <t>136.88%</t>
        </is>
      </c>
      <c r="N4069" s="7" t="n">
        <v>4.69</v>
      </c>
      <c r="O4069" t="n">
        <v>4.7</v>
      </c>
      <c r="P4069" t="n">
        <v>927</v>
      </c>
      <c r="R4069" t="inlineStr">
        <is>
          <t>InStock</t>
        </is>
      </c>
      <c r="S4069" t="inlineStr">
        <is>
          <t>57.54</t>
        </is>
      </c>
      <c r="T4069" t="inlineStr">
        <is>
          <t>5987970613416</t>
        </is>
      </c>
    </row>
    <row r="4070" ht="87" customHeight="1">
      <c r="A4070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070" s="2">
        <f>HYPERLINK("https://edmondsonsupply.com/products/klein-tools-32305-15-in-1-multi-bit-ratcheting-screwdriver", "https://edmondsonsupply.com/products/klein-tools-32305-15-in-1-multi-bit-ratcheting-screwdriver")</f>
        <v/>
      </c>
      <c r="C4070" t="inlineStr">
        <is>
          <t>Klein Tools 32305 15-in-1 Multi-Bit Ratcheting Screwdriver</t>
        </is>
      </c>
      <c r="D4070" t="inlineStr">
        <is>
          <t>Klein Tools 32807MAG 7-in-1 Nut Driver &amp; 32305 Multi-bit Ratcheting Screwdriver, 15-in-1 Tool with Phillips, Slotted, Square, Torx and Combo Bits and 1/4-Inch Nut Driver</t>
        </is>
      </c>
      <c r="E4070" s="2">
        <f>HYPERLINK("https://www.amazon.com/Klein-Tools-Multi-bit-Ratcheting-Screwdriver/dp/B09Q63H3YH/ref=sr_1_15?keywords=Klein+Tools+32305+15-in-1+Multi-Bit+Ratcheting+Screwdriver&amp;qid=1694735163&amp;sr=8-15", "https://www.amazon.com/Klein-Tools-Multi-bit-Ratcheting-Screwdriver/dp/B09Q63H3YH/ref=sr_1_15?keywords=Klein+Tools+32305+15-in-1+Multi-Bit+Ratcheting+Screwdriver&amp;qid=1694735163&amp;sr=8-15")</f>
        <v/>
      </c>
      <c r="F4070" t="inlineStr">
        <is>
          <t>B09Q63H3YH</t>
        </is>
      </c>
      <c r="G4070">
        <f>_xlfn.IMAGE("https://edmondsonsupply.com/cdn/shop/products/32305.jpg?v=1646965475")</f>
        <v/>
      </c>
      <c r="H4070">
        <f>_xlfn.IMAGE("https://m.media-amazon.com/images/I/411yOltWk-L._AC_UL320_.jpg")</f>
        <v/>
      </c>
      <c r="K4070" t="inlineStr">
        <is>
          <t>21.97</t>
        </is>
      </c>
      <c r="L4070" t="n">
        <v>51.94</v>
      </c>
      <c r="M4070" s="1" t="inlineStr">
        <is>
          <t>136.41%</t>
        </is>
      </c>
      <c r="N4070" s="7" t="n">
        <v>4.67</v>
      </c>
      <c r="O4070" t="n">
        <v>4.7</v>
      </c>
      <c r="P4070" t="n">
        <v>7</v>
      </c>
      <c r="R4070" t="inlineStr">
        <is>
          <t>InStock</t>
        </is>
      </c>
      <c r="S4070" t="inlineStr">
        <is>
          <t>30.78</t>
        </is>
      </c>
      <c r="T4070" t="inlineStr">
        <is>
          <t>7632426598616</t>
        </is>
      </c>
    </row>
    <row r="4071" ht="87" customHeight="1">
      <c r="A4071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071" s="2">
        <f>HYPERLINK("https://edmondsonsupply.com/products/klein-tools-32305-15-in-1-multi-bit-ratcheting-screwdriver", "https://edmondsonsupply.com/products/klein-tools-32305-15-in-1-multi-bit-ratcheting-screwdriver")</f>
        <v/>
      </c>
      <c r="C4071" t="inlineStr">
        <is>
          <t>Klein Tools 32305 15-in-1 Multi-Bit Ratcheting Screwdriver</t>
        </is>
      </c>
      <c r="D4071" t="inlineStr">
        <is>
          <t>Klein Tools 32717 Precision Screwdriver Set with Case &amp; 32305 Multi-bit Ratcheting Screwdriver, 15-in-1 Tool with Phillips, Slotted, Square, Torx and Combo Bits and 1/4-Inch Nut Driver</t>
        </is>
      </c>
      <c r="E4071" s="2">
        <f>HYPERLINK("https://www.amazon.com/Klein-Tools-Precision-Screwdriver-Ratcheting/dp/B0BF5CXYBQ/ref=sr_1_5?keywords=Klein+Tools+32305+15-in-1+Multi-Bit+Ratcheting+Screwdriver&amp;qid=1694735163&amp;sr=8-5", "https://www.amazon.com/Klein-Tools-Precision-Screwdriver-Ratcheting/dp/B0BF5CXYBQ/ref=sr_1_5?keywords=Klein+Tools+32305+15-in-1+Multi-Bit+Ratcheting+Screwdriver&amp;qid=1694735163&amp;sr=8-5")</f>
        <v/>
      </c>
      <c r="F4071" t="inlineStr">
        <is>
          <t>B0BF5CXYBQ</t>
        </is>
      </c>
      <c r="G4071">
        <f>_xlfn.IMAGE("https://edmondsonsupply.com/cdn/shop/products/32305.jpg?v=1646965475")</f>
        <v/>
      </c>
      <c r="H4071">
        <f>_xlfn.IMAGE("https://m.media-amazon.com/images/I/51tX1mHKyTL._AC_UL320_.jpg")</f>
        <v/>
      </c>
      <c r="K4071" t="inlineStr">
        <is>
          <t>21.97</t>
        </is>
      </c>
      <c r="L4071" t="n">
        <v>51.94</v>
      </c>
      <c r="M4071" s="1" t="inlineStr">
        <is>
          <t>136.41%</t>
        </is>
      </c>
      <c r="N4071" s="7" t="n">
        <v>4.55</v>
      </c>
      <c r="O4071" t="n">
        <v>4.9</v>
      </c>
      <c r="P4071" t="n">
        <v>2759</v>
      </c>
      <c r="R4071" t="inlineStr">
        <is>
          <t>InStock</t>
        </is>
      </c>
      <c r="S4071" t="inlineStr">
        <is>
          <t>30.78</t>
        </is>
      </c>
      <c r="T4071" t="inlineStr">
        <is>
          <t>7632426598616</t>
        </is>
      </c>
    </row>
    <row r="4072" ht="87" customHeight="1">
      <c r="A4072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4072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4072" t="inlineStr">
        <is>
          <t>Klein Tools 630-3/8 3/8-Inch Nut Driver with 3-Inch Hollow Shaft</t>
        </is>
      </c>
      <c r="D4072" t="inlineStr">
        <is>
          <t>Klein Tools 646-3/8-INS 3/8-Inch Hex Insulated Nut Driver with 6-Inch Hollow Shaft and Cushion Grip Handle</t>
        </is>
      </c>
      <c r="E4072" s="2">
        <f>HYPERLINK("https://www.amazon.com/Insulated-Klein-Tools-646-3-8-INS/dp/B000MKH62I/ref=sr_1_7?keywords=Klein+Tools+630-3%2F8+3%2F8-Inch+Nut+Driver+with+3-Inch+Hollow+Shaft&amp;qid=1694735236&amp;sr=8-7", "https://www.amazon.com/Insulated-Klein-Tools-646-3-8-INS/dp/B000MKH62I/ref=sr_1_7?keywords=Klein+Tools+630-3%2F8+3%2F8-Inch+Nut+Driver+with+3-Inch+Hollow+Shaft&amp;qid=1694735236&amp;sr=8-7")</f>
        <v/>
      </c>
      <c r="F4072" t="inlineStr">
        <is>
          <t>B000MKH62I</t>
        </is>
      </c>
      <c r="G4072">
        <f>_xlfn.IMAGE("https://edmondsonsupply.com/cdn/shop/products/630-1-2_e23f9fbd-a282-44d7-b743-2cfe0f84edfa.jpg?v=1633030906")</f>
        <v/>
      </c>
      <c r="H4072">
        <f>_xlfn.IMAGE("https://m.media-amazon.com/images/I/613x9jx46fL._AC_UL320_.jpg")</f>
        <v/>
      </c>
      <c r="K4072" t="inlineStr">
        <is>
          <t>8.99</t>
        </is>
      </c>
      <c r="L4072" t="n">
        <v>21.18</v>
      </c>
      <c r="M4072" s="1" t="inlineStr">
        <is>
          <t>135.60%</t>
        </is>
      </c>
      <c r="N4072" s="7" t="n">
        <v>4.54</v>
      </c>
      <c r="O4072" t="n">
        <v>4.7</v>
      </c>
      <c r="P4072" t="n">
        <v>272</v>
      </c>
      <c r="R4072" t="inlineStr">
        <is>
          <t>InStock</t>
        </is>
      </c>
      <c r="S4072" t="inlineStr">
        <is>
          <t>11.74</t>
        </is>
      </c>
      <c r="T4072" t="inlineStr">
        <is>
          <t>6244382376109</t>
        </is>
      </c>
    </row>
    <row r="4073" ht="87" customHeight="1">
      <c r="A4073" s="2">
        <f>HYPERLINK("https://edmondsonsupply.com/collections/electricians-tools/products/klein-tools-56335-wide-steel-fish-tape-1-4-inch-x-25-foot", "https://edmondsonsupply.com/collections/electricians-tools/products/klein-tools-56335-wide-steel-fish-tape-1-4-inch-x-25-foot")</f>
        <v/>
      </c>
      <c r="B4073" s="2">
        <f>HYPERLINK("https://edmondsonsupply.com/products/klein-tools-56335-wide-steel-fish-tape-1-4-inch-x-25-foot", "https://edmondsonsupply.com/products/klein-tools-56335-wide-steel-fish-tape-1-4-inch-x-25-foot")</f>
        <v/>
      </c>
      <c r="C4073" t="inlineStr">
        <is>
          <t>Klein Tools 56335 Wide Steel Fish Tape, 1/4-Inch x 25-Foot</t>
        </is>
      </c>
      <c r="D4073" t="inlineStr">
        <is>
          <t>Klein Tools 56002 Electrical Fish Tape, 65-Foot Long x 1/8-Inch Wide Steel for Heavy Duty Wire Pulls, Laser Etched for Conduit Measuring</t>
        </is>
      </c>
      <c r="E4073" s="2">
        <f>HYPERLINK("https://www.amazon.com/65-Foot-Measuring-Klein-Tools-56002/dp/B007KFRMY0/ref=sr_1_3?keywords=Klein+Tools+56335+Wide+Steel+Fish+Tape%2C+1%2F4-Inch+x+25-Foot&amp;qid=1694735248&amp;sr=8-3", "https://www.amazon.com/65-Foot-Measuring-Klein-Tools-56002/dp/B007KFRMY0/ref=sr_1_3?keywords=Klein+Tools+56335+Wide+Steel+Fish+Tape%2C+1%2F4-Inch+x+25-Foot&amp;qid=1694735248&amp;sr=8-3")</f>
        <v/>
      </c>
      <c r="F4073" t="inlineStr">
        <is>
          <t>B007KFRMY0</t>
        </is>
      </c>
      <c r="G4073">
        <f>_xlfn.IMAGE("https://edmondsonsupply.com/cdn/shop/products/56335.jpg?v=1633030737")</f>
        <v/>
      </c>
      <c r="H4073">
        <f>_xlfn.IMAGE("https://m.media-amazon.com/images/I/51JsZKupteL._AC_UL320_.jpg")</f>
        <v/>
      </c>
      <c r="K4073" t="inlineStr">
        <is>
          <t>16.97</t>
        </is>
      </c>
      <c r="L4073" t="n">
        <v>39.97</v>
      </c>
      <c r="M4073" s="1" t="inlineStr">
        <is>
          <t>135.53%</t>
        </is>
      </c>
      <c r="N4073" s="7" t="n">
        <v>4.44</v>
      </c>
      <c r="O4073" t="n">
        <v>4.4</v>
      </c>
      <c r="P4073" t="n">
        <v>140</v>
      </c>
      <c r="R4073" t="inlineStr">
        <is>
          <t>InStock</t>
        </is>
      </c>
      <c r="S4073" t="inlineStr">
        <is>
          <t>24.84</t>
        </is>
      </c>
      <c r="T4073" t="inlineStr">
        <is>
          <t>5878323445928</t>
        </is>
      </c>
    </row>
    <row r="4074" ht="87" customHeight="1">
      <c r="A4074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4074" s="2">
        <f>HYPERLINK("https://edmondsonsupply.com/products/klein-tools-646-7-16-7-16-inch-nut-driver-6-inch-hollow-shaft", "https://edmondsonsupply.com/products/klein-tools-646-7-16-7-16-inch-nut-driver-6-inch-hollow-shaft")</f>
        <v/>
      </c>
      <c r="C4074" t="inlineStr">
        <is>
          <t>Klein Tools 646-7/16 7/16-Inch Nut Driver, 6-Inch Hollow Shaft</t>
        </is>
      </c>
      <c r="D4074" t="inlineStr">
        <is>
          <t>Klein Tools 646M Tool Set, Magnetic Nut Drivers Sizes 1/4 and 5/16-Inch, 6-Inch Shafts, 2-Piece</t>
        </is>
      </c>
      <c r="E4074" s="2">
        <f>HYPERLINK("https://www.amazon.com/Magnetic-16-Inch-Klein-Tools-646M/dp/B000936QV0/ref=sr_1_13?keywords=Klein+Tools+646-7%2F16+7%2F16-Inch+Nut+Driver%2C+6-Inch+Hollow+Shaft&amp;qid=1694735415&amp;sr=8-13", "https://www.amazon.com/Magnetic-16-Inch-Klein-Tools-646M/dp/B000936QV0/ref=sr_1_13?keywords=Klein+Tools+646-7%2F16+7%2F16-Inch+Nut+Driver%2C+6-Inch+Hollow+Shaft&amp;qid=1694735415&amp;sr=8-13")</f>
        <v/>
      </c>
      <c r="F4074" t="inlineStr">
        <is>
          <t>B000936QV0</t>
        </is>
      </c>
      <c r="G4074">
        <f>_xlfn.IMAGE("https://edmondsonsupply.com/cdn/shop/products/646-1-2_64980020-d246-4b4b-829a-c848cc375d64.jpg?v=1587148603")</f>
        <v/>
      </c>
      <c r="H4074">
        <f>_xlfn.IMAGE("https://m.media-amazon.com/images/I/41lkJ6KRq9L._AC_UL320_.jpg")</f>
        <v/>
      </c>
      <c r="K4074" t="inlineStr">
        <is>
          <t>9.49</t>
        </is>
      </c>
      <c r="L4074" t="n">
        <v>22.34</v>
      </c>
      <c r="M4074" s="1" t="inlineStr">
        <is>
          <t>135.41%</t>
        </is>
      </c>
      <c r="N4074" s="7" t="n">
        <v>4.39</v>
      </c>
      <c r="O4074" t="n">
        <v>4.8</v>
      </c>
      <c r="P4074" t="n">
        <v>1652</v>
      </c>
      <c r="R4074" t="inlineStr">
        <is>
          <t>InStock</t>
        </is>
      </c>
      <c r="S4074" t="inlineStr">
        <is>
          <t>14.42</t>
        </is>
      </c>
      <c r="T4074" t="inlineStr">
        <is>
          <t>4391246889060</t>
        </is>
      </c>
    </row>
    <row r="4075" ht="87" customHeight="1">
      <c r="A4075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4075" s="2">
        <f>HYPERLINK("https://edmondsonsupply.com/products/klein-tools-56334-steel-fish-tape-1-8-inch-x-240-foot", "https://edmondsonsupply.com/products/klein-tools-56334-steel-fish-tape-1-8-inch-x-240-foot")</f>
        <v/>
      </c>
      <c r="C4075" t="inlineStr">
        <is>
          <t>Klein Tools 56334 Steel Fish Tape, 1/8-Inch x 240-Foot</t>
        </is>
      </c>
      <c r="D4075" t="inlineStr">
        <is>
          <t>Klein Tools 56056 Electrical Fiberglass Fish Tape, 200-Foot x 3/16-Inch Wide Multi-Groove Fish Tape with Steel Leader</t>
        </is>
      </c>
      <c r="E4075" s="2">
        <f>HYPERLINK("https://www.amazon.com/Multi-Groove-Fiberglass-200-Foot-Klein-Tools/dp/B00N6Y8RRA/ref=sr_1_18?keywords=Klein+Tools+56334+Steel+Fish+Tape%2C+1%2F8-Inch+x+240-Foot&amp;qid=1694735385&amp;sr=8-18", "https://www.amazon.com/Multi-Groove-Fiberglass-200-Foot-Klein-Tools/dp/B00N6Y8RRA/ref=sr_1_18?keywords=Klein+Tools+56334+Steel+Fish+Tape%2C+1%2F8-Inch+x+240-Foot&amp;qid=1694735385&amp;sr=8-18")</f>
        <v/>
      </c>
      <c r="F4075" t="inlineStr">
        <is>
          <t>B00N6Y8RRA</t>
        </is>
      </c>
      <c r="G4075">
        <f>_xlfn.IMAGE("https://edmondsonsupply.com/cdn/shop/products/56334.jpg?v=1587147767")</f>
        <v/>
      </c>
      <c r="H4075">
        <f>_xlfn.IMAGE("https://m.media-amazon.com/images/I/61-dcSdFpvL._AC_UL320_.jpg")</f>
        <v/>
      </c>
      <c r="K4075" t="inlineStr">
        <is>
          <t>84.97</t>
        </is>
      </c>
      <c r="L4075" t="n">
        <v>199.99</v>
      </c>
      <c r="M4075" s="1" t="inlineStr">
        <is>
          <t>135.37%</t>
        </is>
      </c>
      <c r="N4075" s="7" t="n">
        <v>4.21</v>
      </c>
      <c r="O4075" t="n">
        <v>4.4</v>
      </c>
      <c r="P4075" t="n">
        <v>86</v>
      </c>
      <c r="R4075" t="inlineStr">
        <is>
          <t>InStock</t>
        </is>
      </c>
      <c r="S4075" t="inlineStr">
        <is>
          <t>115.14</t>
        </is>
      </c>
      <c r="T4075" t="inlineStr">
        <is>
          <t>4412213723236</t>
        </is>
      </c>
    </row>
    <row r="4076" ht="87" customHeight="1">
      <c r="A4076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4076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4076" t="inlineStr">
        <is>
          <t>Klein Tools 614-2 1/16-Inch Slotted Electronics Screwdriver, 2-Inch</t>
        </is>
      </c>
      <c r="D4076" t="inlineStr">
        <is>
          <t>Klein Tools 32293 Insulated Screwdriver, 2-in-1 Screwdriver Set with Flip Blade, #2 Phillips and1/4-Inch Slotted Tips, Double-Ended Blades</t>
        </is>
      </c>
      <c r="E4076" s="2">
        <f>HYPERLINK("https://www.amazon.com/Klein-Tools-32293-Screwdriver-Double-Ended/dp/B07WWZZQD2/ref=sr_1_6?keywords=Klein+Tools+614-2+1%2F16-Inch+Slotted+Electronics+Screwdriver%2C+2-Inch&amp;qid=1694735176&amp;sr=8-6", "https://www.amazon.com/Klein-Tools-32293-Screwdriver-Double-Ended/dp/B07WWZZQD2/ref=sr_1_6?keywords=Klein+Tools+614-2+1%2F16-Inch+Slotted+Electronics+Screwdriver%2C+2-Inch&amp;qid=1694735176&amp;sr=8-6")</f>
        <v/>
      </c>
      <c r="F4076" t="inlineStr">
        <is>
          <t>B07WWZZQD2</t>
        </is>
      </c>
      <c r="G4076">
        <f>_xlfn.IMAGE("https://edmondsonsupply.com/cdn/shop/products/614-2.jpg?v=1637284311")</f>
        <v/>
      </c>
      <c r="H4076">
        <f>_xlfn.IMAGE("https://m.media-amazon.com/images/I/41yk4NC2BmL._AC_UL320_.jpg")</f>
        <v/>
      </c>
      <c r="K4076" t="inlineStr">
        <is>
          <t>8.49</t>
        </is>
      </c>
      <c r="L4076" t="n">
        <v>19.98</v>
      </c>
      <c r="M4076" s="1" t="inlineStr">
        <is>
          <t>135.34%</t>
        </is>
      </c>
      <c r="N4076" s="7" t="n">
        <v>4.15</v>
      </c>
      <c r="O4076" t="n">
        <v>4.8</v>
      </c>
      <c r="P4076" t="n">
        <v>2774</v>
      </c>
      <c r="R4076" t="inlineStr">
        <is>
          <t>InStock</t>
        </is>
      </c>
      <c r="S4076" t="inlineStr">
        <is>
          <t>12.86</t>
        </is>
      </c>
      <c r="T4076" t="inlineStr">
        <is>
          <t>7512018616536</t>
        </is>
      </c>
    </row>
    <row r="4077" hidden="1" ht="15.75" customHeight="1">
      <c r="A4077" s="2">
        <f>HYPERLINK("https://edmondsonsupply.com/collections/electricians-tools/products/diablo-tools-dmamx1010", "https://edmondsonsupply.com/collections/electricians-tools/products/diablo-tools-dmamx1010")</f>
        <v/>
      </c>
      <c r="B4077" s="2">
        <f>HYPERLINK("https://edmondsonsupply.com/products/diablo-tools-dmamx1010", "https://edmondsonsupply.com/products/diablo-tools-dmamx1010")</f>
        <v/>
      </c>
      <c r="C4077" t="inlineStr">
        <is>
          <t>Diablo Tools DMAMX1010 3/8 in. x 8 in. x 13 in. Rebar Demon SDS‑Max 4‑Cutter Full Carbide Head Hammer Bit</t>
        </is>
      </c>
      <c r="D4077" t="inlineStr">
        <is>
          <t>Diablo by Freud DMAMX1120 5/8 in. x 31 in. x 36 in. Rebar Demon SDS-Max 4-Cutter Full Carbide Head Hammer Bit</t>
        </is>
      </c>
      <c r="E4077" s="2">
        <f>HYPERLINK("https://www.amazon.com/Diablo-SDS-Max-4-Cutter-Carbide-Hammer/dp/B089LJFH3C/ref=sr_1_18?keywords=Diablo+Tools+DMAMX1010+3%2F8+in.+x+8+in.+x+13+in.+Rebar+Demon+SDS%E2%80%91Max+4%E2%80%91Cutter+Full+Carbide+Head+Hammer+Bit&amp;qid=1694735277&amp;sr=8-18", "https://www.amazon.com/Diablo-SDS-Max-4-Cutter-Carbide-Hammer/dp/B089LJFH3C/ref=sr_1_18?keywords=Diablo+Tools+DMAMX1010+3%2F8+in.+x+8+in.+x+13+in.+Rebar+Demon+SDS%E2%80%91Max+4%E2%80%91Cutter+Full+Carbide+Head+Hammer+Bit&amp;qid=1694735277&amp;sr=8-18")</f>
        <v/>
      </c>
      <c r="F4077" t="inlineStr">
        <is>
          <t>B089LJFH3C</t>
        </is>
      </c>
      <c r="G4077">
        <f>_xludf.IMAGE("https://edmondsonsupply.com/cdn/shop/products/DMAMX1010_Main-Image20200701.png?v=1609797900")</f>
        <v/>
      </c>
      <c r="H4077">
        <f>_xludf.IMAGE("https://m.media-amazon.com/images/I/615ffyRtaAL._AC_UL320_.jpg")</f>
        <v/>
      </c>
      <c r="K4077" t="inlineStr">
        <is>
          <t>34.97</t>
        </is>
      </c>
      <c r="L4077" t="n">
        <v>82.18000000000001</v>
      </c>
      <c r="M4077" s="1" t="inlineStr">
        <is>
          <t>135.00%</t>
        </is>
      </c>
      <c r="N4077" s="1" t="n">
        <v>4.13</v>
      </c>
      <c r="O4077" t="n">
        <v>3.9</v>
      </c>
      <c r="P4077" t="n">
        <v>4</v>
      </c>
      <c r="R4077" t="inlineStr">
        <is>
          <t>InStock</t>
        </is>
      </c>
      <c r="S4077" t="inlineStr">
        <is>
          <t>43.11</t>
        </is>
      </c>
      <c r="T4077" t="inlineStr">
        <is>
          <t>5463785701544</t>
        </is>
      </c>
    </row>
    <row r="4078" hidden="1" ht="15.75" customHeight="1">
      <c r="A4078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078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078" t="inlineStr">
        <is>
          <t>Klein Tools JTH9M3 3 mm Hex Key with Journeyman T-Handle, 9-Inch</t>
        </is>
      </c>
      <c r="D4078" t="inlineStr">
        <is>
          <t>Klein Tools JTH6E13BE 1/4-Inch Ball End Hex Key with Journeyman T-Handle, 6-Inch</t>
        </is>
      </c>
      <c r="E4078" s="2">
        <f>HYPERLINK("https://www.amazon.com/Journeyman-T-Handle-Klein-Tools-JTH6E13BE/dp/B004QW52YW/ref=sr_1_21?keywords=Klein+Tools+JTH9M3+3+mm+Hex+Key+with+Journeyman+T-Handle%2C+9-Inch&amp;qid=1694735249&amp;sr=8-21", "https://www.amazon.com/Journeyman-T-Handle-Klein-Tools-JTH6E13BE/dp/B004QW52YW/ref=sr_1_21?keywords=Klein+Tools+JTH9M3+3+mm+Hex+Key+with+Journeyman+T-Handle%2C+9-Inch&amp;qid=1694735249&amp;sr=8-21")</f>
        <v/>
      </c>
      <c r="F4078" t="inlineStr">
        <is>
          <t>B004QW52YW</t>
        </is>
      </c>
      <c r="G4078">
        <f>_xludf.IMAGE("https://edmondsonsupply.com/cdn/shop/products/jth9m.jpg?v=1633030702")</f>
        <v/>
      </c>
      <c r="H4078">
        <f>_xludf.IMAGE("https://m.media-amazon.com/images/I/51f9vBFVXgL._AC_UL320_.jpg")</f>
        <v/>
      </c>
      <c r="K4078" t="inlineStr">
        <is>
          <t>4.49</t>
        </is>
      </c>
      <c r="L4078" t="n">
        <v>10.55</v>
      </c>
      <c r="M4078" s="1" t="inlineStr">
        <is>
          <t>134.97%</t>
        </is>
      </c>
      <c r="N4078" s="1" t="n">
        <v>4.08</v>
      </c>
      <c r="O4078" t="n">
        <v>4.7</v>
      </c>
      <c r="P4078" t="n">
        <v>32</v>
      </c>
      <c r="R4078" t="inlineStr">
        <is>
          <t>InStock</t>
        </is>
      </c>
      <c r="S4078" t="inlineStr">
        <is>
          <t>6.82</t>
        </is>
      </c>
      <c r="T4078" t="inlineStr">
        <is>
          <t>5848344035496</t>
        </is>
      </c>
    </row>
    <row r="4079" hidden="1" ht="15.75" customHeight="1">
      <c r="A4079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079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079" t="inlineStr">
        <is>
          <t>Klein Tools JTH9E08 1/8-Inch Hex Key with Journeyman T-Handle, 9-Inch</t>
        </is>
      </c>
      <c r="D4079" t="inlineStr">
        <is>
          <t>Klein Tools JTH6E13BE 1/4-Inch Ball End Hex Key with Journeyman T-Handle, 6-Inch</t>
        </is>
      </c>
      <c r="E4079" s="2">
        <f>HYPERLINK("https://www.amazon.com/Journeyman-T-Handle-Klein-Tools-JTH6E13BE/dp/B004QW52YW/ref=sr_1_13?keywords=Klein+Tools+JTH9E08+1%2F8-Inch+Hex+Key+with+Journeyman+T-Handle%2C+9-Inch&amp;qid=1694735421&amp;sr=8-13", "https://www.amazon.com/Journeyman-T-Handle-Klein-Tools-JTH6E13BE/dp/B004QW52YW/ref=sr_1_13?keywords=Klein+Tools+JTH9E08+1%2F8-Inch+Hex+Key+with+Journeyman+T-Handle%2C+9-Inch&amp;qid=1694735421&amp;sr=8-13")</f>
        <v/>
      </c>
      <c r="F4079" t="inlineStr">
        <is>
          <t>B004QW52YW</t>
        </is>
      </c>
      <c r="G4079">
        <f>_xludf.IMAGE("https://edmondsonsupply.com/cdn/shop/products/jth6e15_f2733d2c-ab65-41d7-8597-f1dfd8fcaabf.jpg?v=1587142807")</f>
        <v/>
      </c>
      <c r="H4079">
        <f>_xludf.IMAGE("https://m.media-amazon.com/images/I/51f9vBFVXgL._AC_UL320_.jpg")</f>
        <v/>
      </c>
      <c r="K4079" t="inlineStr">
        <is>
          <t>4.49</t>
        </is>
      </c>
      <c r="L4079" t="n">
        <v>10.55</v>
      </c>
      <c r="M4079" s="1" t="inlineStr">
        <is>
          <t>134.97%</t>
        </is>
      </c>
      <c r="N4079" s="1" t="n">
        <v>4</v>
      </c>
      <c r="O4079" t="n">
        <v>4.7</v>
      </c>
      <c r="P4079" t="n">
        <v>32</v>
      </c>
      <c r="R4079" t="inlineStr">
        <is>
          <t>InStock</t>
        </is>
      </c>
      <c r="S4079" t="inlineStr">
        <is>
          <t>6.82</t>
        </is>
      </c>
      <c r="T4079" t="inlineStr">
        <is>
          <t>4352186810468</t>
        </is>
      </c>
    </row>
    <row r="4080" ht="87" customHeight="1">
      <c r="A4080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4080" s="2">
        <f>HYPERLINK("https://edmondsonsupply.com/products/klein-tools-70582-seven-key-metric-folding-hex-key-set", "https://edmondsonsupply.com/products/klein-tools-70582-seven-key-metric-folding-hex-key-set")</f>
        <v/>
      </c>
      <c r="C4080" t="inlineStr">
        <is>
          <t>Klein Tools 70582 Folding Hex Key Set, 7-Key, Metric Sizes</t>
        </is>
      </c>
      <c r="D4080" t="inlineStr">
        <is>
          <t>Klein Tools 70591 Folding Hex Key Set, 9-Key, SAE Sizes &amp; 70582 Folding Hex Key Set, 7-Key, Metric Sizes</t>
        </is>
      </c>
      <c r="E4080" s="2">
        <f>HYPERLINK("https://www.amazon.com/Klein-Tools-70591-Folding-Metric/dp/B0BGPYC631/ref=sr_1_2?keywords=Klein+Tools+70582+Folding+Hex+Key+Set%2C+7-Key%2C+Metric+Sizes&amp;qid=1694735391&amp;sr=8-2", "https://www.amazon.com/Klein-Tools-70591-Folding-Metric/dp/B0BGPYC631/ref=sr_1_2?keywords=Klein+Tools+70582+Folding+Hex+Key+Set%2C+7-Key%2C+Metric+Sizes&amp;qid=1694735391&amp;sr=8-2")</f>
        <v/>
      </c>
      <c r="F4080" t="inlineStr">
        <is>
          <t>B0BGPYC631</t>
        </is>
      </c>
      <c r="G4080">
        <f>_xlfn.IMAGE("https://edmondsonsupply.com/cdn/shop/products/70582.jpg?v=1587149750")</f>
        <v/>
      </c>
      <c r="H4080">
        <f>_xlfn.IMAGE("https://m.media-amazon.com/images/I/41F+-ZtFyRL._AC_UL320_.jpg")</f>
        <v/>
      </c>
      <c r="K4080" t="inlineStr">
        <is>
          <t>8.78</t>
        </is>
      </c>
      <c r="L4080" t="n">
        <v>20.59</v>
      </c>
      <c r="M4080" s="1" t="inlineStr">
        <is>
          <t>134.51%</t>
        </is>
      </c>
      <c r="N4080" s="7" t="n">
        <v>3.95</v>
      </c>
      <c r="O4080" t="n">
        <v>4.8</v>
      </c>
      <c r="P4080" t="n">
        <v>14</v>
      </c>
      <c r="R4080" t="inlineStr">
        <is>
          <t>InStock</t>
        </is>
      </c>
      <c r="S4080" t="inlineStr">
        <is>
          <t>12.26</t>
        </is>
      </c>
      <c r="T4080" t="inlineStr">
        <is>
          <t>4409539919972</t>
        </is>
      </c>
    </row>
    <row r="4081" ht="87" customHeight="1">
      <c r="A4081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081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081" t="inlineStr">
        <is>
          <t>Diablo Tools DMAPL4080 1/4 in. x 6 in. x 8 in. Rebar Demon™ SDS-Plus 4-Cutter Full Carbide Head Hammer Bit</t>
        </is>
      </c>
      <c r="D4081" t="inlineStr">
        <is>
          <t>Diablo 7/16"x10"x12" Rebar Demon™ SDS-Plus 4-Cutter Full Carbide Head Hammer Bit</t>
        </is>
      </c>
      <c r="E4081" s="2">
        <f>HYPERLINK("https://www.amazon.com/Diablo-SDS-Plus-4-Cutter-Carbide-Hammer/dp/B089LFSQTY/ref=sr_1_13?keywords=Diablo+Tools+DMAPL4080+1%2F4+in.+x+6+in.+x+8+in.+Rebar+Demon%E2%84%A2+SDS-Plus+4-Cutter+Full+Carbide+Head+Hammer+Bit&amp;qid=1694735294&amp;sr=8-13", "https://www.amazon.com/Diablo-SDS-Plus-4-Cutter-Carbide-Hammer/dp/B089LFSQTY/ref=sr_1_13?keywords=Diablo+Tools+DMAPL4080+1%2F4+in.+x+6+in.+x+8+in.+Rebar+Demon%E2%84%A2+SDS-Plus+4-Cutter+Full+Carbide+Head+Hammer+Bit&amp;qid=1694735294&amp;sr=8-13")</f>
        <v/>
      </c>
      <c r="F4081" t="inlineStr">
        <is>
          <t>B089LFSQTY</t>
        </is>
      </c>
      <c r="G4081">
        <f>_xlfn.IMAGE("https://edmondsonsupply.com/cdn/shop/products/DMAPL4080_1.jpg?v=1633030359")</f>
        <v/>
      </c>
      <c r="H4081">
        <f>_xlfn.IMAGE("https://m.media-amazon.com/images/I/61jzOMGnS3L._AC_UL320_.jpg")</f>
        <v/>
      </c>
      <c r="K4081" t="inlineStr">
        <is>
          <t>7.47</t>
        </is>
      </c>
      <c r="L4081" t="n">
        <v>17.49</v>
      </c>
      <c r="M4081" s="1" t="inlineStr">
        <is>
          <t>134.14%</t>
        </is>
      </c>
      <c r="N4081" s="7" t="n">
        <v>3.82</v>
      </c>
      <c r="O4081" t="n">
        <v>4.6</v>
      </c>
      <c r="P4081" t="n">
        <v>7</v>
      </c>
      <c r="R4081" t="inlineStr">
        <is>
          <t>InStock</t>
        </is>
      </c>
      <c r="S4081" t="inlineStr">
        <is>
          <t>undefined</t>
        </is>
      </c>
      <c r="T4081" t="inlineStr">
        <is>
          <t>5286767919272</t>
        </is>
      </c>
    </row>
    <row r="4082" ht="87" customHeight="1">
      <c r="A4082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4082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4082" t="inlineStr">
        <is>
          <t>Klein Tools 11055RINS Insulated Klein-Kurve® Wire Stripper and Cutter</t>
        </is>
      </c>
      <c r="D4082" t="inlineStr">
        <is>
          <t>Klein Tools 80043 Heavy Duty Tool Set, Includes Lineman's Side-Cutting Pliers, Diagonal Cutters and Wire Stripper, 3-Piece</t>
        </is>
      </c>
      <c r="E4082" s="2">
        <f>HYPERLINK("https://www.amazon.com/Linemans-Side-Cutting-Klein-Tools-80043/dp/B0977RM5G5/ref=sr_1_54?keywords=Klein+Tools+11055RINS+Insulated+Klein-Kurve%C2%AE+Wire+Stripper+and+Cutter&amp;qid=1694735096&amp;sr=8-54", "https://www.amazon.com/Linemans-Side-Cutting-Klein-Tools-80043/dp/B0977RM5G5/ref=sr_1_54?keywords=Klein+Tools+11055RINS+Insulated+Klein-Kurve%C2%AE+Wire+Stripper+and+Cutter&amp;qid=1694735096&amp;sr=8-54")</f>
        <v/>
      </c>
      <c r="F4082" t="inlineStr">
        <is>
          <t>B0977RM5G5</t>
        </is>
      </c>
      <c r="G4082">
        <f>_xlfn.IMAGE("https://edmondsonsupply.com/cdn/shop/products/11055rins.jpg?v=1667236979")</f>
        <v/>
      </c>
      <c r="H4082">
        <f>_xlfn.IMAGE("https://m.media-amazon.com/images/I/51t8JGB+SAS._AC_UL320_.jpg")</f>
        <v/>
      </c>
      <c r="K4082" t="inlineStr">
        <is>
          <t>29.97</t>
        </is>
      </c>
      <c r="L4082" t="n">
        <v>69.98999999999999</v>
      </c>
      <c r="M4082" s="1" t="inlineStr">
        <is>
          <t>133.53%</t>
        </is>
      </c>
      <c r="N4082" s="7" t="n">
        <v>3.65</v>
      </c>
      <c r="O4082" t="n">
        <v>4.8</v>
      </c>
      <c r="P4082" t="n">
        <v>1451</v>
      </c>
      <c r="R4082" t="inlineStr">
        <is>
          <t>InStock</t>
        </is>
      </c>
      <c r="S4082" t="inlineStr">
        <is>
          <t>41.98</t>
        </is>
      </c>
      <c r="T4082" t="inlineStr">
        <is>
          <t>7871527813336</t>
        </is>
      </c>
    </row>
    <row r="4083" ht="87" customHeight="1">
      <c r="A4083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083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083" t="inlineStr">
        <is>
          <t>Klein Tools 605-4 1/4-Inch Cabinet Tip Screwdriver 4-Inch Shank</t>
        </is>
      </c>
      <c r="D4083" t="inlineStr">
        <is>
          <t>Klein Tools 32751 Screwdriver with Adjustable Length 4 to 8-Inch, #2 Phillips Tip and 1/4-Inch Slotted Tip</t>
        </is>
      </c>
      <c r="E4083" s="2">
        <f>HYPERLINK("https://www.amazon.com/Klein-Tools-32751-Screwdriver-Adjustable/dp/B010TNZDHW/ref=sr_1_28?keywords=Klein+Tools+605-4+1%2F4-Inch+Cabinet+Tip+Screwdriver+4-Inch+Shank&amp;qid=1694735099&amp;sr=8-28", "https://www.amazon.com/Klein-Tools-32751-Screwdriver-Adjustable/dp/B010TNZDHW/ref=sr_1_28?keywords=Klein+Tools+605-4+1%2F4-Inch+Cabinet+Tip+Screwdriver+4-Inch+Shank&amp;qid=1694735099&amp;sr=8-28")</f>
        <v/>
      </c>
      <c r="F4083" t="inlineStr">
        <is>
          <t>B010TNZDHW</t>
        </is>
      </c>
      <c r="G4083">
        <f>_xlfn.IMAGE("https://edmondsonsupply.com/cdn/shop/products/605-6_ac5e56ca-920d-4d55-842f-c7dc8361f892.jpg?v=1665688377")</f>
        <v/>
      </c>
      <c r="H4083">
        <f>_xlfn.IMAGE("https://m.media-amazon.com/images/I/415jqxJt+CL._AC_UL320_.jpg")</f>
        <v/>
      </c>
      <c r="K4083" t="inlineStr">
        <is>
          <t>8.99</t>
        </is>
      </c>
      <c r="L4083" t="n">
        <v>20.99</v>
      </c>
      <c r="M4083" s="1" t="inlineStr">
        <is>
          <t>133.48%</t>
        </is>
      </c>
      <c r="N4083" s="7" t="n">
        <v>3.53</v>
      </c>
      <c r="O4083" t="n">
        <v>4.7</v>
      </c>
      <c r="P4083" t="n">
        <v>1726</v>
      </c>
      <c r="R4083" t="inlineStr">
        <is>
          <t>InStock</t>
        </is>
      </c>
      <c r="S4083" t="inlineStr">
        <is>
          <t>13.6</t>
        </is>
      </c>
      <c r="T4083" t="inlineStr">
        <is>
          <t>7852059132120</t>
        </is>
      </c>
    </row>
    <row r="4084" ht="87" customHeight="1">
      <c r="A4084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084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084" t="inlineStr">
        <is>
          <t>Klein Tools JTH9E13 1/4-Inch Hex Key with Journeyman T-Handle, 9-Inch</t>
        </is>
      </c>
      <c r="D4084" t="inlineStr">
        <is>
          <t>Klein Tools JTH9M10 10 mm Hex Key with Journeyman T-Handle, 9-Inch</t>
        </is>
      </c>
      <c r="E4084" s="2">
        <f>HYPERLINK("https://www.amazon.com/Journeyman-T-Handle-Klein-Tools-JTH9M10/dp/B005G3HIA6/ref=sr_1_13?keywords=Klein+Tools+JTH9E13+1%2F4-Inch+Hex+Key+with+Journeyman+T-Handle%2C+9-Inch&amp;qid=1694735245&amp;sr=8-13", "https://www.amazon.com/Journeyman-T-Handle-Klein-Tools-JTH9M10/dp/B005G3HIA6/ref=sr_1_13?keywords=Klein+Tools+JTH9E13+1%2F4-Inch+Hex+Key+with+Journeyman+T-Handle%2C+9-Inch&amp;qid=1694735245&amp;sr=8-13")</f>
        <v/>
      </c>
      <c r="F4084" t="inlineStr">
        <is>
          <t>B005G3HIA6</t>
        </is>
      </c>
      <c r="G4084">
        <f>_xlfn.IMAGE("https://edmondsonsupply.com/cdn/shop/products/jth9e12_7dcdbf9a-5acd-4824-8919-6aeb4a790072.jpg?v=1604060723")</f>
        <v/>
      </c>
      <c r="H4084">
        <f>_xlfn.IMAGE("https://m.media-amazon.com/images/I/51+1x0vz9XL._AC_UL320_.jpg")</f>
        <v/>
      </c>
      <c r="K4084" t="inlineStr">
        <is>
          <t>6.49</t>
        </is>
      </c>
      <c r="L4084" t="n">
        <v>15.15</v>
      </c>
      <c r="M4084" s="1" t="inlineStr">
        <is>
          <t>133.44%</t>
        </is>
      </c>
      <c r="N4084" s="7" t="n">
        <v>3.5</v>
      </c>
      <c r="O4084" t="n">
        <v>5</v>
      </c>
      <c r="P4084" t="n">
        <v>2</v>
      </c>
      <c r="R4084" t="inlineStr">
        <is>
          <t>InStock</t>
        </is>
      </c>
      <c r="S4084" t="inlineStr">
        <is>
          <t>9.84</t>
        </is>
      </c>
      <c r="T4084" t="inlineStr">
        <is>
          <t>5999069462696</t>
        </is>
      </c>
    </row>
    <row r="4085" ht="87" customHeight="1">
      <c r="A4085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4085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4085" t="inlineStr">
        <is>
          <t>Klein Tools ET45VP AC/DC Voltage and GFCI Receptacle Outlet Test Kit</t>
        </is>
      </c>
      <c r="D4085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4085" s="2">
        <f>HYPERLINK("https://www.amazon.com/Klein-Tools-Receptacle-Electrical-Accessory/dp/B09P83VQDK/ref=sr_1_16?keywords=Klein+Tools+ET45VP+AC%2FDC+Voltage+and+GFCI+Receptacle+Outlet+Test+Kit&amp;qid=1694735138&amp;sr=8-16", "https://www.amazon.com/Klein-Tools-Receptacle-Electrical-Accessory/dp/B09P83VQDK/ref=sr_1_16?keywords=Klein+Tools+ET45VP+AC%2FDC+Voltage+and+GFCI+Receptacle+Outlet+Test+Kit&amp;qid=1694735138&amp;sr=8-16")</f>
        <v/>
      </c>
      <c r="F4085" t="inlineStr">
        <is>
          <t>B09P83VQDK</t>
        </is>
      </c>
      <c r="G4085">
        <f>_xlfn.IMAGE("https://edmondsonsupply.com/cdn/shop/products/et45vp.jpg?v=1660755922")</f>
        <v/>
      </c>
      <c r="H4085">
        <f>_xlfn.IMAGE("https://m.media-amazon.com/images/I/51Y6EmT5N-L._AC_UL320_.jpg")</f>
        <v/>
      </c>
      <c r="K4085" t="inlineStr">
        <is>
          <t>17.97</t>
        </is>
      </c>
      <c r="L4085" t="n">
        <v>41.94</v>
      </c>
      <c r="M4085" s="1" t="inlineStr">
        <is>
          <t>133.39%</t>
        </is>
      </c>
      <c r="N4085" s="7" t="n">
        <v>3.4</v>
      </c>
      <c r="O4085" t="n">
        <v>4.9</v>
      </c>
      <c r="P4085" t="n">
        <v>20</v>
      </c>
      <c r="R4085" t="inlineStr">
        <is>
          <t>InStock</t>
        </is>
      </c>
      <c r="S4085" t="inlineStr">
        <is>
          <t>25.82</t>
        </is>
      </c>
      <c r="T4085" t="inlineStr">
        <is>
          <t>7783562084568</t>
        </is>
      </c>
    </row>
    <row r="4086" hidden="1" ht="15.75" customHeight="1">
      <c r="A4086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086" s="2">
        <f>HYPERLINK("https://edmondsonsupply.com/products/klein-tools-32900-7-in-1-impact-flip-socket-with-handle", "https://edmondsonsupply.com/products/klein-tools-32900-7-in-1-impact-flip-socket-with-handle")</f>
        <v/>
      </c>
      <c r="C4086" t="inlineStr">
        <is>
          <t>Klein Tools 32900 7-in-1 Impact Flip Socket with Handle</t>
        </is>
      </c>
      <c r="D4086" t="inlineStr">
        <is>
          <t>Klein Tools J215-8CR Multitool Pliers, Twisting, Looping &amp; 32900 Impact Driver, 7-in-1 Impact Flip Socket Set with Handle, 6 Hex Driver Sizes plus a 1/4-Inch Bit Holder</t>
        </is>
      </c>
      <c r="E4086" s="2">
        <f>HYPERLINK("https://www.amazon.com/Klein-Tools-J215-8CR-Multitool-Twisting/dp/B0BNL9XZLY/ref=sr_1_5?keywords=Klein+Tools+32900+7-in-1+Impact+Flip+Socket+with+Handle&amp;qid=1694735103&amp;sr=8-5", "https://www.amazon.com/Klein-Tools-J215-8CR-Multitool-Twisting/dp/B0BNL9XZLY/ref=sr_1_5?keywords=Klein+Tools+32900+7-in-1+Impact+Flip+Socket+with+Handle&amp;qid=1694735103&amp;sr=8-5")</f>
        <v/>
      </c>
      <c r="F4086" t="inlineStr">
        <is>
          <t>B0BNL9XZLY</t>
        </is>
      </c>
      <c r="G4086">
        <f>_xludf.IMAGE("https://edmondsonsupply.com/cdn/shop/products/32900_b.jpg?v=1666024787")</f>
        <v/>
      </c>
      <c r="H4086">
        <f>_xludf.IMAGE("https://m.media-amazon.com/images/I/51OtnaqJyqL._AC_UL320_.jpg")</f>
        <v/>
      </c>
      <c r="K4086" t="inlineStr">
        <is>
          <t>29.97</t>
        </is>
      </c>
      <c r="L4086" t="n">
        <v>69.94</v>
      </c>
      <c r="M4086" s="1" t="inlineStr">
        <is>
          <t>133.37%</t>
        </is>
      </c>
      <c r="N4086" s="1" t="n">
        <v>3.4</v>
      </c>
      <c r="O4086" t="n">
        <v>4</v>
      </c>
      <c r="P4086" t="n">
        <v>3</v>
      </c>
      <c r="R4086" t="inlineStr">
        <is>
          <t>InStock</t>
        </is>
      </c>
      <c r="S4086" t="inlineStr">
        <is>
          <t>45.0</t>
        </is>
      </c>
      <c r="T4086" t="inlineStr">
        <is>
          <t>7856651239640</t>
        </is>
      </c>
    </row>
    <row r="4087" ht="87" customHeight="1">
      <c r="A4087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087" s="2">
        <f>HYPERLINK("https://edmondsonsupply.com/products/klein-tools-32900-7-in-1-impact-flip-socket-with-handle", "https://edmondsonsupply.com/products/klein-tools-32900-7-in-1-impact-flip-socket-with-handle")</f>
        <v/>
      </c>
      <c r="C4087" t="inlineStr">
        <is>
          <t>Klein Tools 32900 7-in-1 Impact Flip Socket with Handle</t>
        </is>
      </c>
      <c r="D4087" t="inlineStr">
        <is>
          <t>Klein Tools 2005N Wire Cutter, Stripper, Crimper Tool, Strips 10-18 AWG Stranded &amp; 32900 Impact Driver, 7-in-1 Impact Flip Socket Set with Handle, 6 Hex Driver Sizes</t>
        </is>
      </c>
      <c r="E4087" s="2">
        <f>HYPERLINK("https://www.amazon.com/Klein-Tools-Stripper-Crimper-Stranded/dp/B0CF2BFXPL/ref=sr_1_11?keywords=Klein+Tools+32900+7-in-1+Impact+Flip+Socket+with+Handle&amp;qid=1694735103&amp;sr=8-11", "https://www.amazon.com/Klein-Tools-Stripper-Crimper-Stranded/dp/B0CF2BFXPL/ref=sr_1_11?keywords=Klein+Tools+32900+7-in-1+Impact+Flip+Socket+with+Handle&amp;qid=1694735103&amp;sr=8-11")</f>
        <v/>
      </c>
      <c r="F4087" t="inlineStr">
        <is>
          <t>B0CF2BFXPL</t>
        </is>
      </c>
      <c r="G4087">
        <f>_xlfn.IMAGE("https://edmondsonsupply.com/cdn/shop/products/32900_b.jpg?v=1666024787")</f>
        <v/>
      </c>
      <c r="H4087">
        <f>_xlfn.IMAGE("https://m.media-amazon.com/images/I/41G9BSrynnL._AC_UL320_.jpg")</f>
        <v/>
      </c>
      <c r="K4087" t="inlineStr">
        <is>
          <t>29.97</t>
        </is>
      </c>
      <c r="L4087" t="n">
        <v>69.94</v>
      </c>
      <c r="M4087" s="1" t="inlineStr">
        <is>
          <t>133.37%</t>
        </is>
      </c>
      <c r="N4087" s="7" t="n">
        <v>3.33</v>
      </c>
      <c r="O4087" t="n">
        <v>5</v>
      </c>
      <c r="P4087" t="n">
        <v>1</v>
      </c>
      <c r="R4087" t="inlineStr">
        <is>
          <t>InStock</t>
        </is>
      </c>
      <c r="S4087" t="inlineStr">
        <is>
          <t>45.0</t>
        </is>
      </c>
      <c r="T4087" t="inlineStr">
        <is>
          <t>7856651239640</t>
        </is>
      </c>
    </row>
    <row r="4088" ht="87" customHeight="1">
      <c r="A4088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088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088" t="inlineStr">
        <is>
          <t>Diablo Tools DMAPL4080 1/4 in. x 6 in. x 8 in. Rebar Demon™ SDS-Plus 4-Cutter Full Carbide Head Hammer Bit</t>
        </is>
      </c>
      <c r="D4088" t="inlineStr">
        <is>
          <t>Diablo by Freud Diablo DMAPL4190 1/2 in. x 10 in. x 12 in. Rebar Demon SDS-Plus 4-Cutter Full Carbide Head Hammer Bit</t>
        </is>
      </c>
      <c r="E4088" s="2">
        <f>HYPERLINK("https://www.amazon.com/Diablo-Freud-DMAPL4190-SDS-Plus-4-Cutter/dp/B089LJZ25M/ref=sr_1_11?keywords=Diablo+Tools+DMAPL4080+1%2F4+in.+x+6+in.+x+8+in.+Rebar+Demon%E2%84%A2+SDS-Plus+4-Cutter+Full+Carbide+Head+Hammer+Bit&amp;qid=1694735294&amp;sr=8-11", "https://www.amazon.com/Diablo-Freud-DMAPL4190-SDS-Plus-4-Cutter/dp/B089LJZ25M/ref=sr_1_11?keywords=Diablo+Tools+DMAPL4080+1%2F4+in.+x+6+in.+x+8+in.+Rebar+Demon%E2%84%A2+SDS-Plus+4-Cutter+Full+Carbide+Head+Hammer+Bit&amp;qid=1694735294&amp;sr=8-11")</f>
        <v/>
      </c>
      <c r="F4088" t="inlineStr">
        <is>
          <t>B089LJZ25M</t>
        </is>
      </c>
      <c r="G4088">
        <f>_xlfn.IMAGE("https://edmondsonsupply.com/cdn/shop/products/DMAPL4080_1.jpg?v=1633030359")</f>
        <v/>
      </c>
      <c r="H4088">
        <f>_xlfn.IMAGE("https://m.media-amazon.com/images/I/61dzudnwI8L._AC_UL320_.jpg")</f>
        <v/>
      </c>
      <c r="K4088" t="inlineStr">
        <is>
          <t>7.47</t>
        </is>
      </c>
      <c r="L4088" t="n">
        <v>17.41</v>
      </c>
      <c r="M4088" s="1" t="inlineStr">
        <is>
          <t>133.07%</t>
        </is>
      </c>
      <c r="N4088" s="7" t="n">
        <v>3.3</v>
      </c>
      <c r="O4088" t="n">
        <v>4.6</v>
      </c>
      <c r="P4088" t="n">
        <v>43</v>
      </c>
      <c r="R4088" t="inlineStr">
        <is>
          <t>InStock</t>
        </is>
      </c>
      <c r="S4088" t="inlineStr">
        <is>
          <t>undefined</t>
        </is>
      </c>
      <c r="T4088" t="inlineStr">
        <is>
          <t>5286767919272</t>
        </is>
      </c>
    </row>
    <row r="4089" ht="87" customHeight="1">
      <c r="A4089" s="2">
        <f>HYPERLINK("https://edmondsonsupply.com/collections/electricians-tools/products/greenlee-612-1-1-2-foam-conduit-piston", "https://edmondsonsupply.com/collections/electricians-tools/products/greenlee-612-1-1-2-foam-conduit-piston")</f>
        <v/>
      </c>
      <c r="B4089" s="2">
        <f>HYPERLINK("https://edmondsonsupply.com/products/greenlee-612-1-1-2-foam-conduit-piston", "https://edmondsonsupply.com/products/greenlee-612-1-1-2-foam-conduit-piston")</f>
        <v/>
      </c>
      <c r="C4089" t="inlineStr">
        <is>
          <t>Greenlee 612 1-1/2" Foam Conduit Piston</t>
        </is>
      </c>
      <c r="D4089" t="inlineStr">
        <is>
          <t>Greenlee 612-2 Conduit Piston, 1-1/2-Inch Conduit</t>
        </is>
      </c>
      <c r="E4089" s="2">
        <f>HYPERLINK("https://www.amazon.com/Greenlee-612-2-Piston-Conduit-Pack/dp/B003STCZE4/ref=sr_1_1?keywords=Greenlee+612+1-1%2F2%22+Foam+Conduit+Piston&amp;qid=1694734991&amp;sr=8-1", "https://www.amazon.com/Greenlee-612-2-Piston-Conduit-Pack/dp/B003STCZE4/ref=sr_1_1?keywords=Greenlee+612+1-1%2F2%22+Foam+Conduit+Piston&amp;qid=1694734991&amp;sr=8-1")</f>
        <v/>
      </c>
      <c r="F4089" t="inlineStr">
        <is>
          <t>B003STCZE4</t>
        </is>
      </c>
      <c r="G4089">
        <f>_xlfn.IMAGE("https://edmondsonsupply.com/cdn/shop/files/612.png?v=1687451101")</f>
        <v/>
      </c>
      <c r="H4089">
        <f>_xlfn.IMAGE("https://m.media-amazon.com/images/I/91+NtS500CL._AC_UL320_.jpg")</f>
        <v/>
      </c>
      <c r="K4089" t="inlineStr">
        <is>
          <t>11.33</t>
        </is>
      </c>
      <c r="L4089" t="n">
        <v>26.34</v>
      </c>
      <c r="M4089" s="1" t="inlineStr">
        <is>
          <t>132.48%</t>
        </is>
      </c>
      <c r="N4089" s="7" t="n">
        <v>3.14</v>
      </c>
      <c r="O4089" t="n">
        <v>5</v>
      </c>
      <c r="P4089" t="n">
        <v>6</v>
      </c>
      <c r="R4089" t="inlineStr">
        <is>
          <t>InStock</t>
        </is>
      </c>
      <c r="S4089" t="inlineStr">
        <is>
          <t>undefined</t>
        </is>
      </c>
      <c r="T4089" t="inlineStr">
        <is>
          <t>8007993032920</t>
        </is>
      </c>
    </row>
    <row r="4090" ht="87" customHeight="1">
      <c r="A4090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4090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4090" t="inlineStr">
        <is>
          <t>Klein Tools 646M Magnetic Nut Driver Set, 6-Inch Shafts, 2-Piece</t>
        </is>
      </c>
      <c r="D4090" t="inlineStr">
        <is>
          <t>Klein Tools 647 Tool Set, Nut Drivers Sizes 3/16, 1/4, 5/16, 11/32, 3/8, 7/16, 1/2-Inch, Chrome-Plated 6-Inch Shafts, Cushion Grip, 7-Piece</t>
        </is>
      </c>
      <c r="E4090" s="2">
        <f>HYPERLINK("https://www.amazon.com/Driver-6-Inch-Klein-Tools-647/dp/B0014KRVXO/ref=sr_1_7?keywords=Klein+Tools+646M+Magnetic+Nut+Driver+Set%2C+6-Inch+Shafts%2C+2-Piece&amp;qid=1694735354&amp;sr=8-7", "https://www.amazon.com/Driver-6-Inch-Klein-Tools-647/dp/B0014KRVXO/ref=sr_1_7?keywords=Klein+Tools+646M+Magnetic+Nut+Driver+Set%2C+6-Inch+Shafts%2C+2-Piece&amp;qid=1694735354&amp;sr=8-7")</f>
        <v/>
      </c>
      <c r="F4090" t="inlineStr">
        <is>
          <t>B0014KRVXO</t>
        </is>
      </c>
      <c r="G4090">
        <f>_xlfn.IMAGE("https://edmondsonsupply.com/cdn/shop/products/646m.jpg?v=1587146592")</f>
        <v/>
      </c>
      <c r="H4090">
        <f>_xlfn.IMAGE("https://m.media-amazon.com/images/I/51usUk-EpGL._AC_UL320_.jpg")</f>
        <v/>
      </c>
      <c r="K4090" t="inlineStr">
        <is>
          <t>24.99</t>
        </is>
      </c>
      <c r="L4090" t="n">
        <v>57.99</v>
      </c>
      <c r="M4090" s="1" t="inlineStr">
        <is>
          <t>132.05%</t>
        </is>
      </c>
      <c r="N4090" s="7" t="n">
        <v>3.07</v>
      </c>
      <c r="O4090" t="n">
        <v>4.8</v>
      </c>
      <c r="P4090" t="n">
        <v>734</v>
      </c>
      <c r="R4090" t="inlineStr">
        <is>
          <t>InStock</t>
        </is>
      </c>
      <c r="S4090" t="inlineStr">
        <is>
          <t>31.74</t>
        </is>
      </c>
      <c r="T4090" t="inlineStr">
        <is>
          <t>4469705932900</t>
        </is>
      </c>
    </row>
    <row r="4091" ht="87" customHeight="1">
      <c r="A4091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091" s="2">
        <f>HYPERLINK("https://edmondsonsupply.com/products/klein-tools-vdv427-300-impact-punchdown-tool-66-110-blade", "https://edmondsonsupply.com/products/klein-tools-vdv427-300-impact-punchdown-tool-66-110-blade")</f>
        <v/>
      </c>
      <c r="C4091" t="inlineStr">
        <is>
          <t>Klein Tools VDV427-300 Impact Punchdown Tool, 66/110 Blade</t>
        </is>
      </c>
      <c r="D4091" t="inlineStr">
        <is>
          <t>RJ45 Ethernet Cable Tester and Crimper Kit, Pass-Thru Technology, Includes Connectors for Cat5e / CAT6 Data Applications Klein Tools &amp; Klein Tools VDV427-300 Impact Punchdown Tool, 66/110 Blade</t>
        </is>
      </c>
      <c r="E4091" s="2">
        <f>HYPERLINK("https://www.amazon.com/Technology-Connectors-Applications-Klein-Tools/dp/B0BM3B5HST/ref=sr_1_11?keywords=Klein+Tools+VDV427-300+Impact+Punchdown+Tool%2C+66%2F110+Blade&amp;qid=1694735168&amp;sr=8-11", "https://www.amazon.com/Technology-Connectors-Applications-Klein-Tools/dp/B0BM3B5HST/ref=sr_1_11?keywords=Klein+Tools+VDV427-300+Impact+Punchdown+Tool%2C+66%2F110+Blade&amp;qid=1694735168&amp;sr=8-11")</f>
        <v/>
      </c>
      <c r="F4091" t="inlineStr">
        <is>
          <t>B0BM3B5HST</t>
        </is>
      </c>
      <c r="G4091">
        <f>_xlfn.IMAGE("https://edmondsonsupply.com/cdn/shop/products/vdv427300.jpg?v=1646010568")</f>
        <v/>
      </c>
      <c r="H4091">
        <f>_xlfn.IMAGE("https://m.media-amazon.com/images/I/51XDsqYrc6L._AC_UL320_.jpg")</f>
        <v/>
      </c>
      <c r="K4091" t="inlineStr">
        <is>
          <t>39.97</t>
        </is>
      </c>
      <c r="L4091" t="n">
        <v>92.72</v>
      </c>
      <c r="M4091" s="1" t="inlineStr">
        <is>
          <t>131.97%</t>
        </is>
      </c>
      <c r="N4091" s="7" t="n">
        <v>3.04</v>
      </c>
      <c r="O4091" t="n">
        <v>4.7</v>
      </c>
      <c r="P4091" t="n">
        <v>311</v>
      </c>
      <c r="R4091" t="inlineStr">
        <is>
          <t>InStock</t>
        </is>
      </c>
      <c r="S4091" t="inlineStr">
        <is>
          <t>55.98</t>
        </is>
      </c>
      <c r="T4091" t="inlineStr">
        <is>
          <t>7620069818584</t>
        </is>
      </c>
    </row>
    <row r="4092" ht="87" customHeight="1">
      <c r="A4092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4092" s="2">
        <f>HYPERLINK("https://edmondsonsupply.com/products/diablo-tools-d0824x-8-1-4-in-x-24-tooth-framing-saw-blade", "https://edmondsonsupply.com/products/diablo-tools-d0824x-8-1-4-in-x-24-tooth-framing-saw-blade")</f>
        <v/>
      </c>
      <c r="C4092" t="inlineStr">
        <is>
          <t>Diablo Tools D0824X 8-1/4 in. x 24 Tooth Framing Saw Blade</t>
        </is>
      </c>
      <c r="D4092" t="inlineStr">
        <is>
          <t>(4 Count) Freud Diablo D0724 7-1/4-Inch 24 Tooth ATB Carbide Framing Saw Blade with 5/8-Inch and Diamond Knockout Arbor</t>
        </is>
      </c>
      <c r="E4092" s="2">
        <f>HYPERLINK("https://www.amazon.com/Freud-Diablo-D0724-Carbide-Knockout/dp/B00OL849JA/ref=sr_1_18?keywords=Diablo+Tools+D0824X+8-1%2F4+in.+x+24+Tooth+Framing+Saw+Blade&amp;qid=1694735018&amp;sr=8-18", "https://www.amazon.com/Freud-Diablo-D0724-Carbide-Knockout/dp/B00OL849JA/ref=sr_1_18?keywords=Diablo+Tools+D0824X+8-1%2F4+in.+x+24+Tooth+Framing+Saw+Blade&amp;qid=1694735018&amp;sr=8-18")</f>
        <v/>
      </c>
      <c r="F4092" t="inlineStr">
        <is>
          <t>B00OL849JA</t>
        </is>
      </c>
      <c r="G4092">
        <f>_xlfn.IMAGE("https://edmondsonsupply.com/cdn/shop/products/waqxzlwfclzed6nt6ziy.webp?v=1678979454")</f>
        <v/>
      </c>
      <c r="H4092">
        <f>_xlfn.IMAGE("https://m.media-amazon.com/images/I/41Y-PeOXAoL._AC_UL320_.jpg")</f>
        <v/>
      </c>
      <c r="K4092" t="inlineStr">
        <is>
          <t>18.97</t>
        </is>
      </c>
      <c r="L4092" t="n">
        <v>43.95</v>
      </c>
      <c r="M4092" s="1" t="inlineStr">
        <is>
          <t>131.68%</t>
        </is>
      </c>
      <c r="N4092" s="7" t="n">
        <v>2.94</v>
      </c>
      <c r="O4092" t="n">
        <v>5</v>
      </c>
      <c r="P4092" t="n">
        <v>1</v>
      </c>
      <c r="R4092" t="inlineStr">
        <is>
          <t>InStock</t>
        </is>
      </c>
      <c r="S4092" t="inlineStr">
        <is>
          <t>26.89</t>
        </is>
      </c>
      <c r="T4092" t="inlineStr">
        <is>
          <t>7962666500312</t>
        </is>
      </c>
    </row>
    <row r="4093" hidden="1" ht="15.75" customHeight="1">
      <c r="A4093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4093" s="2">
        <f>HYPERLINK("https://edmondsonsupply.com/products/diablo-tools-dsp1060-1-in-x-4-in-spade-bit", "https://edmondsonsupply.com/products/diablo-tools-dsp1060-1-in-x-4-in-spade-bit")</f>
        <v/>
      </c>
      <c r="C4093" t="inlineStr">
        <is>
          <t>Diablo Tools DSP1060 1 in. x 4 in. Spade Bit</t>
        </is>
      </c>
      <c r="D4093" t="inlineStr">
        <is>
          <t>Diablo by Freud DSP1090 1-1/2 in. x 4 in. SPEEDemon Spade Bit Multi, One Size</t>
        </is>
      </c>
      <c r="E4093" s="2">
        <f>HYPERLINK("https://www.amazon.com/Diablo-1-1-SPEEDemon-Spade-Bit/dp/B089KWFTKZ/ref=sr_1_3?keywords=Diablo+Tools+DSP1060+1+in.+x+4+in.+Spade+Bit&amp;qid=1694735068&amp;sr=8-3", "https://www.amazon.com/Diablo-1-1-SPEEDemon-Spade-Bit/dp/B089KWFTKZ/ref=sr_1_3?keywords=Diablo+Tools+DSP1060+1+in.+x+4+in.+Spade+Bit&amp;qid=1694735068&amp;sr=8-3")</f>
        <v/>
      </c>
      <c r="F4093" t="inlineStr">
        <is>
          <t>B089KWFTKZ</t>
        </is>
      </c>
      <c r="G4093">
        <f>_xludf.IMAGE("https://edmondsonsupply.com/cdn/shop/products/hanbmwlurgioczoyawta.webp?v=1670510289")</f>
        <v/>
      </c>
      <c r="H4093">
        <f>_xludf.IMAGE("https://m.media-amazon.com/images/I/61urRK8nv-L._AC_UL320_.jpg")</f>
        <v/>
      </c>
      <c r="K4093" t="inlineStr">
        <is>
          <t>2.59</t>
        </is>
      </c>
      <c r="L4093" t="n">
        <v>6</v>
      </c>
      <c r="M4093" s="1" t="inlineStr">
        <is>
          <t>131.66%</t>
        </is>
      </c>
      <c r="N4093" s="1" t="n">
        <v>2.72</v>
      </c>
      <c r="O4093" t="n">
        <v>4.7</v>
      </c>
      <c r="P4093" t="n">
        <v>76</v>
      </c>
      <c r="R4093" t="inlineStr">
        <is>
          <t>InStock</t>
        </is>
      </c>
      <c r="S4093" t="inlineStr">
        <is>
          <t>2.96</t>
        </is>
      </c>
      <c r="T4093" t="inlineStr">
        <is>
          <t>7901168730328</t>
        </is>
      </c>
    </row>
    <row r="4094" ht="87" customHeight="1">
      <c r="A4094" s="2">
        <f>HYPERLINK("https://edmondsonsupply.com/collections/electricians-tools/products/klein-tools-85091-power-conduit-reamer", "https://edmondsonsupply.com/collections/electricians-tools/products/klein-tools-85091-power-conduit-reamer")</f>
        <v/>
      </c>
      <c r="B4094" s="2">
        <f>HYPERLINK("https://edmondsonsupply.com/products/klein-tools-85091-power-conduit-reamer", "https://edmondsonsupply.com/products/klein-tools-85091-power-conduit-reamer")</f>
        <v/>
      </c>
      <c r="C4094" t="inlineStr">
        <is>
          <t>Klein Tools 85091 Power Conduit Reamer</t>
        </is>
      </c>
      <c r="D4094" t="inlineStr">
        <is>
          <t>Klein Tools 85091 Power Conduit Reamer, 1/2-, 3/4- and 1-In &amp; 85191 Screwdriver/Conduit Reamer, Conduit Fitting and Reaming Screwdriver for 1/2-In, 3/4-In, and 1-In Thin-Wall Conduit</t>
        </is>
      </c>
      <c r="E4094" s="2">
        <f>HYPERLINK("https://www.amazon.com/Klein-Tools-Conduit-Screwdriver-Thin-Wall/dp/B0BGPT4RV4/ref=sr_1_2?keywords=Klein+Tools+85091+Power+Conduit+Reamer&amp;qid=1694735235&amp;sr=8-2", "https://www.amazon.com/Klein-Tools-Conduit-Screwdriver-Thin-Wall/dp/B0BGPT4RV4/ref=sr_1_2?keywords=Klein+Tools+85091+Power+Conduit+Reamer&amp;qid=1694735235&amp;sr=8-2")</f>
        <v/>
      </c>
      <c r="F4094" t="inlineStr">
        <is>
          <t>B0BGPT4RV4</t>
        </is>
      </c>
      <c r="G4094">
        <f>_xlfn.IMAGE("https://edmondsonsupply.com/cdn/shop/products/85091.jpg?v=1633030889")</f>
        <v/>
      </c>
      <c r="H4094">
        <f>_xlfn.IMAGE("https://m.media-amazon.com/images/I/31hKQJsNkcL._AC_UL320_.jpg")</f>
        <v/>
      </c>
      <c r="K4094" t="inlineStr">
        <is>
          <t>24.97</t>
        </is>
      </c>
      <c r="L4094" t="n">
        <v>57.83</v>
      </c>
      <c r="M4094" s="1" t="inlineStr">
        <is>
          <t>131.60%</t>
        </is>
      </c>
      <c r="N4094" s="7" t="n">
        <v>2.6</v>
      </c>
      <c r="O4094" t="n">
        <v>5</v>
      </c>
      <c r="P4094" t="n">
        <v>2</v>
      </c>
      <c r="R4094" t="inlineStr">
        <is>
          <t>InStock</t>
        </is>
      </c>
      <c r="S4094" t="inlineStr">
        <is>
          <t>42.04</t>
        </is>
      </c>
      <c r="T4094" t="inlineStr">
        <is>
          <t>6221953269933</t>
        </is>
      </c>
    </row>
    <row r="4095" ht="87" customHeight="1">
      <c r="A4095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4095" s="2">
        <f>HYPERLINK("https://edmondsonsupply.com/products/klein-tools-31932-bi-metal-hole-saw-2-inch", "https://edmondsonsupply.com/products/klein-tools-31932-bi-metal-hole-saw-2-inch")</f>
        <v/>
      </c>
      <c r="C4095" t="inlineStr">
        <is>
          <t>Klein Tools 31932 Bi-Metal Hole Saw, 2-Inch</t>
        </is>
      </c>
      <c r="D4095" t="inlineStr">
        <is>
          <t>LENOX Tools Hole Saw, Bi-Metal, Speed Slot, Arbored, 2-1/2-Inch (1772954)</t>
        </is>
      </c>
      <c r="E4095" s="2">
        <f>HYPERLINK("https://www.amazon.com/LENOX-Tools-Bi-Metal-Arbored-Technology/dp/B004YK5DHW/ref=sr_1_12?keywords=Klein+Tools+31932+Bi-Metal+Hole+Saw%2C+2-Inch&amp;qid=1694735227&amp;sr=8-12", "https://www.amazon.com/LENOX-Tools-Bi-Metal-Arbored-Technology/dp/B004YK5DHW/ref=sr_1_12?keywords=Klein+Tools+31932+Bi-Metal+Hole+Saw%2C+2-Inch&amp;qid=1694735227&amp;sr=8-12")</f>
        <v/>
      </c>
      <c r="F4095" t="inlineStr">
        <is>
          <t>B004YK5DHW</t>
        </is>
      </c>
      <c r="G4095">
        <f>_xlfn.IMAGE("https://edmondsonsupply.com/cdn/shop/products/31932.jpg?v=1633030939")</f>
        <v/>
      </c>
      <c r="H4095">
        <f>_xlfn.IMAGE("https://m.media-amazon.com/images/I/71OOVEuCxtL._AC_UL320_.jpg")</f>
        <v/>
      </c>
      <c r="K4095" t="inlineStr">
        <is>
          <t>10.99</t>
        </is>
      </c>
      <c r="L4095" t="n">
        <v>25.44</v>
      </c>
      <c r="M4095" s="1" t="inlineStr">
        <is>
          <t>131.48%</t>
        </is>
      </c>
      <c r="N4095" s="7" t="n">
        <v>2.56</v>
      </c>
      <c r="O4095" t="n">
        <v>4.7</v>
      </c>
      <c r="P4095" t="n">
        <v>517</v>
      </c>
      <c r="R4095" t="inlineStr">
        <is>
          <t>InStock</t>
        </is>
      </c>
      <c r="S4095" t="inlineStr">
        <is>
          <t>15.42</t>
        </is>
      </c>
      <c r="T4095" t="inlineStr">
        <is>
          <t>6572814434477</t>
        </is>
      </c>
    </row>
    <row r="4096" ht="87" customHeight="1">
      <c r="A4096" s="2">
        <f>HYPERLINK("https://edmondsonsupply.com/collections/electricians-tools/products/greenlee-k2p-1-1-conduit-size-slug-buster%C2%AE-knockout-punch", "https://edmondsonsupply.com/collections/electricians-tools/products/greenlee-k2p-1-1-conduit-size-slug-buster%C2%AE-knockout-punch")</f>
        <v/>
      </c>
      <c r="B4096" s="2">
        <f>HYPERLINK("https://edmondsonsupply.com/products/greenlee-k2p-1-1-conduit-size-slug-buster%c2%ae-knockout-punch", "https://edmondsonsupply.com/products/greenlee-k2p-1-1-conduit-size-slug-buster%c2%ae-knockout-punch")</f>
        <v/>
      </c>
      <c r="C4096" t="inlineStr">
        <is>
          <t>Greenlee K2P-1 1" Conduit Size Slug-Buster® Knockout Punch</t>
        </is>
      </c>
      <c r="D4096" t="inlineStr">
        <is>
          <t>Greenlee, K2BB-1 replaces 7211BB-1, 1" Conduit Size Slug-Buster Manual Knockout Set</t>
        </is>
      </c>
      <c r="E4096" s="2">
        <f>HYPERLINK("https://www.amazon.com/Greenlee-K2BB-1-Knockout-Set/dp/B07Y5SSMDN/ref=sr_1_7?keywords=Greenlee+K2P-1+1%22+Conduit+Size+Slug-Buster%C2%AE+Knockout+Punch&amp;qid=1694735369&amp;sr=8-7", "https://www.amazon.com/Greenlee-K2BB-1-Knockout-Set/dp/B07Y5SSMDN/ref=sr_1_7?keywords=Greenlee+K2P-1+1%22+Conduit+Size+Slug-Buster%C2%AE+Knockout+Punch&amp;qid=1694735369&amp;sr=8-7")</f>
        <v/>
      </c>
      <c r="F4096" t="inlineStr">
        <is>
          <t>B07Y5SSMDN</t>
        </is>
      </c>
      <c r="G4096">
        <f>_xlfn.IMAGE("https://edmondsonsupply.com/cdn/shop/products/K2P-1-CAT1.jpg?v=1587143889")</f>
        <v/>
      </c>
      <c r="H4096">
        <f>_xlfn.IMAGE("https://m.media-amazon.com/images/I/71NhvheGucL._AC_UL320_.jpg")</f>
        <v/>
      </c>
      <c r="K4096" t="inlineStr">
        <is>
          <t>35.59</t>
        </is>
      </c>
      <c r="L4096" t="n">
        <v>82.34999999999999</v>
      </c>
      <c r="M4096" s="1" t="inlineStr">
        <is>
          <t>131.39%</t>
        </is>
      </c>
      <c r="N4096" s="7" t="n">
        <v>2.46</v>
      </c>
      <c r="O4096" t="n">
        <v>5</v>
      </c>
      <c r="P4096" t="n">
        <v>2</v>
      </c>
      <c r="R4096" t="inlineStr">
        <is>
          <t>InStock</t>
        </is>
      </c>
      <c r="S4096" t="inlineStr">
        <is>
          <t>39.12</t>
        </is>
      </c>
      <c r="T4096" t="inlineStr">
        <is>
          <t>4431406432356</t>
        </is>
      </c>
    </row>
    <row r="4097" ht="87" customHeight="1">
      <c r="A4097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4097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4097" t="inlineStr">
        <is>
          <t>Diablo Tools DMAPL4140 3/8 in. x 4 in. x 6 in. Rebar Demon™ SDS-Plus 4-Cutter Full Carbide Head Hammer Bit</t>
        </is>
      </c>
      <c r="D4097" t="inlineStr">
        <is>
          <t>Diablo 1/4"x 16"x18" Rebar Demon™ SDS-Plus 4-Cutter Full Carbide Head Hammer Bit</t>
        </is>
      </c>
      <c r="E4097" s="2">
        <f>HYPERLINK("https://www.amazon.com/Diablo-DMAPL4100-SDS-Plus-4-Cutter-Carbide/dp/B089LG82VT/ref=sr_1_27?keywords=Diablo+Tools+DMAPL4140+3%2F8+in.+x+4+in.+x+6+in.+Rebar+Demon%E2%84%A2+SDS-Plus+4-Cutter+Full+Carbide+Head+Hammer+Bit&amp;qid=1694735296&amp;sr=8-27", "https://www.amazon.com/Diablo-DMAPL4100-SDS-Plus-4-Cutter-Carbide/dp/B089LG82VT/ref=sr_1_27?keywords=Diablo+Tools+DMAPL4140+3%2F8+in.+x+4+in.+x+6+in.+Rebar+Demon%E2%84%A2+SDS-Plus+4-Cutter+Full+Carbide+Head+Hammer+Bit&amp;qid=1694735296&amp;sr=8-27")</f>
        <v/>
      </c>
      <c r="F4097" t="inlineStr">
        <is>
          <t>B089LG82VT</t>
        </is>
      </c>
      <c r="G4097">
        <f>_xlfn.IMAGE("https://edmondsonsupply.com/cdn/shop/products/DMAPL4140_Main-Image20200701.png?v=1633030360")</f>
        <v/>
      </c>
      <c r="H4097">
        <f>_xlfn.IMAGE("https://m.media-amazon.com/images/I/61feUT5pRgL._AC_UL320_.jpg")</f>
        <v/>
      </c>
      <c r="K4097" t="inlineStr">
        <is>
          <t>7.29</t>
        </is>
      </c>
      <c r="L4097" t="n">
        <v>16.85</v>
      </c>
      <c r="M4097" s="1" t="inlineStr">
        <is>
          <t>131.14%</t>
        </is>
      </c>
      <c r="N4097" s="7" t="n">
        <v>2.3</v>
      </c>
      <c r="O4097" t="n">
        <v>4.9</v>
      </c>
      <c r="P4097" t="n">
        <v>46</v>
      </c>
      <c r="R4097" t="inlineStr">
        <is>
          <t>InStock</t>
        </is>
      </c>
      <c r="S4097" t="inlineStr">
        <is>
          <t>undefined</t>
        </is>
      </c>
      <c r="T4097" t="inlineStr">
        <is>
          <t>5286771949736</t>
        </is>
      </c>
    </row>
    <row r="4098" ht="87" customHeight="1">
      <c r="A4098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4098" s="2">
        <f>HYPERLINK("https://edmondsonsupply.com/products/klein-tools-646-7-16-7-16-inch-nut-driver-6-inch-hollow-shaft", "https://edmondsonsupply.com/products/klein-tools-646-7-16-7-16-inch-nut-driver-6-inch-hollow-shaft")</f>
        <v/>
      </c>
      <c r="C4098" t="inlineStr">
        <is>
          <t>Klein Tools 646-7/16 7/16-Inch Nut Driver, 6-Inch Hollow Shaft</t>
        </is>
      </c>
      <c r="D4098" t="inlineStr">
        <is>
          <t>Klein Tools S146 7/16-Inch Nut Driver with 6-Inch Hollow Shaft and Comfordome Handle (Pack of 2)</t>
        </is>
      </c>
      <c r="E4098" s="2">
        <f>HYPERLINK("https://www.amazon.com/Klein-Tools-S146-16-Inch-Comfordome/dp/B0CDQJXXMG/ref=sr_1_2?keywords=Klein+Tools+646-7%2F16+7%2F16-Inch+Nut+Driver%2C+6-Inch+Hollow+Shaft&amp;qid=1694735415&amp;sr=8-2", "https://www.amazon.com/Klein-Tools-S146-16-Inch-Comfordome/dp/B0CDQJXXMG/ref=sr_1_2?keywords=Klein+Tools+646-7%2F16+7%2F16-Inch+Nut+Driver%2C+6-Inch+Hollow+Shaft&amp;qid=1694735415&amp;sr=8-2")</f>
        <v/>
      </c>
      <c r="F4098" t="inlineStr">
        <is>
          <t>B0CDQJXXMG</t>
        </is>
      </c>
      <c r="G4098">
        <f>_xlfn.IMAGE("https://edmondsonsupply.com/cdn/shop/products/646-1-2_64980020-d246-4b4b-829a-c848cc375d64.jpg?v=1587148603")</f>
        <v/>
      </c>
      <c r="H4098">
        <f>_xlfn.IMAGE("https://m.media-amazon.com/images/I/31MCIAroc5L._AC_UL320_.jpg")</f>
        <v/>
      </c>
      <c r="K4098" t="inlineStr">
        <is>
          <t>9.49</t>
        </is>
      </c>
      <c r="L4098" t="n">
        <v>21.92</v>
      </c>
      <c r="M4098" s="1" t="inlineStr">
        <is>
          <t>130.98%</t>
        </is>
      </c>
      <c r="N4098" s="7" t="n">
        <v>2.13</v>
      </c>
      <c r="O4098" t="n">
        <v>4.5</v>
      </c>
      <c r="P4098" t="n">
        <v>151</v>
      </c>
      <c r="R4098" t="inlineStr">
        <is>
          <t>InStock</t>
        </is>
      </c>
      <c r="S4098" t="inlineStr">
        <is>
          <t>14.42</t>
        </is>
      </c>
      <c r="T4098" t="inlineStr">
        <is>
          <t>4391246889060</t>
        </is>
      </c>
    </row>
    <row r="4099" ht="87" customHeight="1">
      <c r="A4099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4099" s="2">
        <f>HYPERLINK("https://edmondsonsupply.com/products/klein-tools-635-3-8-3-8-inch-heavy-duty-nut-driver", "https://edmondsonsupply.com/products/klein-tools-635-3-8-3-8-inch-heavy-duty-nut-driver")</f>
        <v/>
      </c>
      <c r="C4099" t="inlineStr">
        <is>
          <t>Klein Tools 635-3/8 3/8-Inch Heavy-Duty Nut Driver</t>
        </is>
      </c>
      <c r="D4099" t="inlineStr">
        <is>
          <t>Klein Tools 32800 Nut Driver, 6-in-1 NutDriver Set, SAE Standard Six Point Hex Sizes with Heavy Duty Hollow Shaft</t>
        </is>
      </c>
      <c r="E4099" s="2">
        <f>HYPERLINK("https://www.amazon.com/Driver-NutDriver-Klein-Tools-32800/dp/B01I0QVP18/ref=sr_1_3?keywords=Klein+Tools+635-3%2F8+3%2F8-Inch+Heavy-Duty+Nut+Driver&amp;qid=1694735241&amp;sr=8-3", "https://www.amazon.com/Driver-NutDriver-Klein-Tools-32800/dp/B01I0QVP18/ref=sr_1_3?keywords=Klein+Tools+635-3%2F8+3%2F8-Inch+Heavy-Duty+Nut+Driver&amp;qid=1694735241&amp;sr=8-3")</f>
        <v/>
      </c>
      <c r="F4099" t="inlineStr">
        <is>
          <t>B01I0QVP18</t>
        </is>
      </c>
      <c r="G4099">
        <f>_xlfn.IMAGE("https://edmondsonsupply.com/cdn/shop/products/635-3-8.jpg?v=1633030895")</f>
        <v/>
      </c>
      <c r="H4099">
        <f>_xlfn.IMAGE("https://m.media-amazon.com/images/I/51LJIaQJvaL._AC_UL320_.jpg")</f>
        <v/>
      </c>
      <c r="K4099" t="inlineStr">
        <is>
          <t>12.99</t>
        </is>
      </c>
      <c r="L4099" t="n">
        <v>29.99</v>
      </c>
      <c r="M4099" s="1" t="inlineStr">
        <is>
          <t>130.87%</t>
        </is>
      </c>
      <c r="N4099" s="7" t="n">
        <v>2.06</v>
      </c>
      <c r="O4099" t="n">
        <v>4.7</v>
      </c>
      <c r="P4099" t="n">
        <v>1822</v>
      </c>
      <c r="R4099" t="inlineStr">
        <is>
          <t>InStock</t>
        </is>
      </c>
      <c r="S4099" t="inlineStr">
        <is>
          <t>19.68</t>
        </is>
      </c>
      <c r="T4099" t="inlineStr">
        <is>
          <t>6228534952109</t>
        </is>
      </c>
    </row>
    <row r="4100" ht="87" customHeight="1">
      <c r="A4100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4100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4100" t="inlineStr">
        <is>
          <t>Klein Tools 646-7/16M 7/16-Inch Magnetic Tip Nut Driver 6-Inch Shaft</t>
        </is>
      </c>
      <c r="D4100" t="inlineStr">
        <is>
          <t>Klein Tools 32807MAG 7-in-1 Nut Driver, Magnetic Driver has SAE Hex Nut Sizes 1/4 to 9/16-Inch, Cushion Grip Handle for Added Torque</t>
        </is>
      </c>
      <c r="E4100" s="2">
        <f>HYPERLINK("https://www.amazon.com/Driver-Magnetic-Klein-Tools-32807MAG/dp/B07D4M51DQ/ref=sr_1_25?keywords=Klein+Tools+646-7%2F16M+7%2F16-Inch+Magnetic+Tip+Nut+Driver+6-Inch+Shaft&amp;qid=1694735353&amp;sr=8-25", "https://www.amazon.com/Driver-Magnetic-Klein-Tools-32807MAG/dp/B07D4M51DQ/ref=sr_1_25?keywords=Klein+Tools+646-7%2F16M+7%2F16-Inch+Magnetic+Tip+Nut+Driver+6-Inch+Shaft&amp;qid=1694735353&amp;sr=8-25")</f>
        <v/>
      </c>
      <c r="F4100" t="inlineStr">
        <is>
          <t>B07D4M51DQ</t>
        </is>
      </c>
      <c r="G4100">
        <f>_xlfn.IMAGE("https://edmondsonsupply.com/cdn/shop/products/646-5-16m_906faaaa-dd9e-40e4-bce3-8174c2b127b5.jpg?v=1587146594")</f>
        <v/>
      </c>
      <c r="H4100">
        <f>_xlfn.IMAGE("https://m.media-amazon.com/images/I/61gwAJBzDAL._AC_UL320_.jpg")</f>
        <v/>
      </c>
      <c r="K4100" t="inlineStr">
        <is>
          <t>12.99</t>
        </is>
      </c>
      <c r="L4100" t="n">
        <v>29.97</v>
      </c>
      <c r="M4100" s="1" t="inlineStr">
        <is>
          <t>130.72%</t>
        </is>
      </c>
      <c r="N4100" s="7" t="n">
        <v>2.05</v>
      </c>
      <c r="O4100" t="n">
        <v>4.7</v>
      </c>
      <c r="P4100" t="n">
        <v>9145</v>
      </c>
      <c r="R4100" t="inlineStr">
        <is>
          <t>InStock</t>
        </is>
      </c>
      <c r="S4100" t="inlineStr">
        <is>
          <t>19.74</t>
        </is>
      </c>
      <c r="T4100" t="inlineStr">
        <is>
          <t>4461840171108</t>
        </is>
      </c>
    </row>
    <row r="4101" ht="87" customHeight="1">
      <c r="A4101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4101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4101" t="inlineStr">
        <is>
          <t>Diablo Tools DMAPL4160 3/8 in. x 10 in. x 12 in. Rebar Demon™ SDS-Plus 4-Cutter Full Carbide Head Hammer Bit</t>
        </is>
      </c>
      <c r="D4101" t="inlineStr">
        <is>
          <t>Diablo by Freud DMAPL4200 1/2 in. x 16 in. x 18 in. Rebar Demon SDS-Plus 4-Cutter Full Carbide Head Hammer Bit</t>
        </is>
      </c>
      <c r="E4101" s="2">
        <f>HYPERLINK("https://www.amazon.com/Diablo-Freud-DMAPL4200-SDS-Plus-4-Cutter/dp/B089KW2QV1/ref=sr_1_19?keywords=Diablo+Tools+DMAPL4160+3%2F8+in.+x+10+in.+x+12+in.+Rebar+Demon%E2%84%A2+SDS-Plus+4-Cutter+Full+Carbide+Head+Hammer+Bit&amp;qid=1694735304&amp;sr=8-19", "https://www.amazon.com/Diablo-Freud-DMAPL4200-SDS-Plus-4-Cutter/dp/B089KW2QV1/ref=sr_1_19?keywords=Diablo+Tools+DMAPL4160+3%2F8+in.+x+10+in.+x+12+in.+Rebar+Demon%E2%84%A2+SDS-Plus+4-Cutter+Full+Carbide+Head+Hammer+Bit&amp;qid=1694735304&amp;sr=8-19")</f>
        <v/>
      </c>
      <c r="F4101" t="inlineStr">
        <is>
          <t>B089KW2QV1</t>
        </is>
      </c>
      <c r="G4101">
        <f>_xlfn.IMAGE("https://edmondsonsupply.com/cdn/shop/products/w7y3zlfom8dhrlplcmqa.webp?v=1670439058")</f>
        <v/>
      </c>
      <c r="H4101">
        <f>_xlfn.IMAGE("https://m.media-amazon.com/images/I/61rW+ROVmNL._AC_UL320_.jpg")</f>
        <v/>
      </c>
      <c r="K4101" t="inlineStr">
        <is>
          <t>9.97</t>
        </is>
      </c>
      <c r="L4101" t="n">
        <v>23</v>
      </c>
      <c r="M4101" s="1" t="inlineStr">
        <is>
          <t>130.69%</t>
        </is>
      </c>
      <c r="N4101" s="7" t="n">
        <v>2.04</v>
      </c>
      <c r="O4101" t="n">
        <v>4.7</v>
      </c>
      <c r="P4101" t="n">
        <v>18</v>
      </c>
      <c r="R4101" t="inlineStr">
        <is>
          <t>InStock</t>
        </is>
      </c>
      <c r="S4101" t="inlineStr">
        <is>
          <t>15.02</t>
        </is>
      </c>
      <c r="T4101" t="inlineStr">
        <is>
          <t>5286778601640</t>
        </is>
      </c>
    </row>
    <row r="4102" ht="87" customHeight="1">
      <c r="A4102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4102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4102" t="inlineStr">
        <is>
          <t>Diablo Tools DMAPL4180 1/2 in. x 4 in. x 6 in. Rebar Demon™ SDS-Plus 4-Cutter Full Carbide Head Hammer Bit</t>
        </is>
      </c>
      <c r="D4102" t="inlineStr">
        <is>
          <t>Diablo by Freud DMAPL4200 1/2 in. x 16 in. x 18 in. Rebar Demon SDS-Plus 4-Cutter Full Carbide Head Hammer Bit</t>
        </is>
      </c>
      <c r="E4102" s="2">
        <f>HYPERLINK("https://www.amazon.com/Diablo-Freud-DMAPL4200-SDS-Plus-4-Cutter/dp/B089KW2QV1/ref=sr_1_2?keywords=Diablo+Tools+DMAPL4180+1%2F2+in.+x+4+in.+x+6+in.+Rebar+Demon%E2%84%A2+SDS-Plus+4-Cutter+Full+Carbide+Head+Hammer+Bit&amp;qid=1694735298&amp;sr=8-2", "https://www.amazon.com/Diablo-Freud-DMAPL4200-SDS-Plus-4-Cutter/dp/B089KW2QV1/ref=sr_1_2?keywords=Diablo+Tools+DMAPL4180+1%2F2+in.+x+4+in.+x+6+in.+Rebar+Demon%E2%84%A2+SDS-Plus+4-Cutter+Full+Carbide+Head+Hammer+Bit&amp;qid=1694735298&amp;sr=8-2")</f>
        <v/>
      </c>
      <c r="F4102" t="inlineStr">
        <is>
          <t>B089KW2QV1</t>
        </is>
      </c>
      <c r="G4102">
        <f>_xlfn.IMAGE("https://edmondsonsupply.com/cdn/shop/products/DMAPL4180_Main-Image20200702.png?v=1633030362")</f>
        <v/>
      </c>
      <c r="H4102">
        <f>_xlfn.IMAGE("https://m.media-amazon.com/images/I/61rW+ROVmNL._AC_UL320_.jpg")</f>
        <v/>
      </c>
      <c r="K4102" t="inlineStr">
        <is>
          <t>9.97</t>
        </is>
      </c>
      <c r="L4102" t="n">
        <v>23</v>
      </c>
      <c r="M4102" s="1" t="inlineStr">
        <is>
          <t>130.69%</t>
        </is>
      </c>
      <c r="N4102" s="7" t="n">
        <v>2</v>
      </c>
      <c r="O4102" t="n">
        <v>4.7</v>
      </c>
      <c r="P4102" t="n">
        <v>18</v>
      </c>
      <c r="R4102" t="inlineStr">
        <is>
          <t>InStock</t>
        </is>
      </c>
      <c r="S4102" t="inlineStr">
        <is>
          <t>undefined</t>
        </is>
      </c>
      <c r="T4102" t="inlineStr">
        <is>
          <t>5286803833000</t>
        </is>
      </c>
    </row>
    <row r="4103" hidden="1" ht="15.75" customHeight="1">
      <c r="A4103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4103" s="2">
        <f>HYPERLINK("https://edmondsonsupply.com/products/diablo-tools-dsp1060-1-in-x-4-in-spade-bit", "https://edmondsonsupply.com/products/diablo-tools-dsp1060-1-in-x-4-in-spade-bit")</f>
        <v/>
      </c>
      <c r="C4103" t="inlineStr">
        <is>
          <t>Diablo Tools DSP1060 1 in. x 4 in. Spade Bit</t>
        </is>
      </c>
      <c r="D4103" t="inlineStr">
        <is>
          <t>Diablo 1 in. x 6 in. SPEEDemon Spade Bit</t>
        </is>
      </c>
      <c r="E4103" s="2">
        <f>HYPERLINK("https://www.amazon.com/Diablo-SPEEDemon-Spade-Bit/dp/B089LDP1TD/ref=sr_1_29?keywords=Diablo+Tools+DSP1060+1+in.+x+4+in.+Spade+Bit&amp;qid=1694735068&amp;sr=8-29", "https://www.amazon.com/Diablo-SPEEDemon-Spade-Bit/dp/B089LDP1TD/ref=sr_1_29?keywords=Diablo+Tools+DSP1060+1+in.+x+4+in.+Spade+Bit&amp;qid=1694735068&amp;sr=8-29")</f>
        <v/>
      </c>
      <c r="F4103" t="inlineStr">
        <is>
          <t>B089LDP1TD</t>
        </is>
      </c>
      <c r="G4103">
        <f>_xludf.IMAGE("https://edmondsonsupply.com/cdn/shop/products/hanbmwlurgioczoyawta.webp?v=1670510289")</f>
        <v/>
      </c>
      <c r="H4103">
        <f>_xludf.IMAGE("https://m.media-amazon.com/images/I/61wXjms-mZL._AC_UL320_.jpg")</f>
        <v/>
      </c>
      <c r="K4103" t="inlineStr">
        <is>
          <t>2.59</t>
        </is>
      </c>
      <c r="L4103" t="n">
        <v>5.97</v>
      </c>
      <c r="M4103" s="1" t="inlineStr">
        <is>
          <t>130.50%</t>
        </is>
      </c>
      <c r="N4103" s="1" t="n">
        <v>1.92</v>
      </c>
      <c r="O4103" t="n">
        <v>4.4</v>
      </c>
      <c r="P4103" t="n">
        <v>34</v>
      </c>
      <c r="R4103" t="inlineStr">
        <is>
          <t>InStock</t>
        </is>
      </c>
      <c r="S4103" t="inlineStr">
        <is>
          <t>2.96</t>
        </is>
      </c>
      <c r="T4103" t="inlineStr">
        <is>
          <t>7901168730328</t>
        </is>
      </c>
    </row>
    <row r="4104" ht="87" customHeight="1">
      <c r="A4104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4104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4104" t="inlineStr">
        <is>
          <t>Diablo Tools D0724A 7-1/4 in. x 24 Tooth Framing Saw Blade</t>
        </is>
      </c>
      <c r="D4104" t="inlineStr">
        <is>
          <t>Freud D0724A Diablo 7-1/4-inch 24T ATB Thin Kerf Framing Saw Blades, 2-Pack</t>
        </is>
      </c>
      <c r="E4104" s="2">
        <f>HYPERLINK("https://www.amazon.com/Freud-D0724A-Diablo-4-inch-Framing/dp/B00WRIP04Y/ref=sr_1_7?keywords=Diablo+Tools+D0724A+7-1%2F4+in.+x+24+Tooth+Framing+Saw+Blade&amp;qid=1694735310&amp;sr=8-7", "https://www.amazon.com/Freud-D0724A-Diablo-4-inch-Framing/dp/B00WRIP04Y/ref=sr_1_7?keywords=Diablo+Tools+D0724A+7-1%2F4+in.+x+24+Tooth+Framing+Saw+Blade&amp;qid=1694735310&amp;sr=8-7")</f>
        <v/>
      </c>
      <c r="F4104" t="inlineStr">
        <is>
          <t>B00WRIP04Y</t>
        </is>
      </c>
      <c r="G4104">
        <f>_xlfn.IMAGE("https://edmondsonsupply.com/cdn/shop/products/D0724A_Main-Image20200218.png?v=1633030268")</f>
        <v/>
      </c>
      <c r="H4104">
        <f>_xlfn.IMAGE("https://m.media-amazon.com/images/I/71OF0qsqZdL._AC_UL320_.jpg")</f>
        <v/>
      </c>
      <c r="K4104" t="inlineStr">
        <is>
          <t>9.97</t>
        </is>
      </c>
      <c r="L4104" t="n">
        <v>22.87</v>
      </c>
      <c r="M4104" s="1" t="inlineStr">
        <is>
          <t>129.39%</t>
        </is>
      </c>
      <c r="N4104" s="7" t="n">
        <v>1.87</v>
      </c>
      <c r="O4104" t="n">
        <v>4.7</v>
      </c>
      <c r="P4104" t="n">
        <v>85</v>
      </c>
      <c r="R4104" t="inlineStr">
        <is>
          <t>InStock</t>
        </is>
      </c>
      <c r="S4104" t="inlineStr">
        <is>
          <t>15.45</t>
        </is>
      </c>
      <c r="T4104" t="inlineStr">
        <is>
          <t>4678532563044</t>
        </is>
      </c>
    </row>
    <row r="4105" ht="87" customHeight="1">
      <c r="A4105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105" s="2">
        <f>HYPERLINK("https://edmondsonsupply.com/products/klein-tools-rt310-afci-gfci-outlet-tester", "https://edmondsonsupply.com/products/klein-tools-rt310-afci-gfci-outlet-tester")</f>
        <v/>
      </c>
      <c r="C4105" t="inlineStr">
        <is>
          <t>Klein Tools RT310 AFCI / GFCI Outlet Tester</t>
        </is>
      </c>
      <c r="D4105" t="inlineStr">
        <is>
          <t>Klein Tools ET310 AC Circuit Breaker Finder, Electric Tester with Integrated GFCI Outlet Tester &amp; RT250 GFCI Outlet Tester with LCD Display &amp; Klein Tools 69411 Circuit Breaker Finder Accessory Kit</t>
        </is>
      </c>
      <c r="E4105" s="2">
        <f>HYPERLINK("https://www.amazon.com/Klein-Tools-Electric-Integrated-Accessory/dp/B0C9999Y7J/ref=sr_1_17?keywords=Klein+Tools+RT310+AFCI+%2F+GFCI+Outlet+Tester&amp;qid=1694734989&amp;sr=8-17", "https://www.amazon.com/Klein-Tools-Electric-Integrated-Accessory/dp/B0C9999Y7J/ref=sr_1_17?keywords=Klein+Tools+RT310+AFCI+%2F+GFCI+Outlet+Tester&amp;qid=1694734989&amp;sr=8-17")</f>
        <v/>
      </c>
      <c r="F4105" t="inlineStr">
        <is>
          <t>B0C9999Y7J</t>
        </is>
      </c>
      <c r="G4105">
        <f>_xlfn.IMAGE("https://edmondsonsupply.com/cdn/shop/products/rt310.jpg?v=1587148552")</f>
        <v/>
      </c>
      <c r="H4105">
        <f>_xlfn.IMAGE("https://m.media-amazon.com/images/I/612+A-jAqtL._AC_UL320_.jpg")</f>
        <v/>
      </c>
      <c r="K4105" t="inlineStr">
        <is>
          <t>39.97</t>
        </is>
      </c>
      <c r="L4105" t="n">
        <v>91.66</v>
      </c>
      <c r="M4105" s="1" t="inlineStr">
        <is>
          <t>129.32%</t>
        </is>
      </c>
      <c r="N4105" s="7" t="n">
        <v>1.62</v>
      </c>
      <c r="O4105" t="n">
        <v>4.8</v>
      </c>
      <c r="P4105" t="n">
        <v>6</v>
      </c>
      <c r="R4105" t="inlineStr">
        <is>
          <t>InStock</t>
        </is>
      </c>
      <c r="S4105" t="inlineStr">
        <is>
          <t>57.9</t>
        </is>
      </c>
      <c r="T4105" t="inlineStr">
        <is>
          <t>3372527779940</t>
        </is>
      </c>
    </row>
    <row r="4106" ht="87" customHeight="1">
      <c r="A4106" s="2">
        <f>HYPERLINK("https://edmondsonsupply.com/collections/electricians-tools/products/diablo-tools-dmamx1040", "https://edmondsonsupply.com/collections/electricians-tools/products/diablo-tools-dmamx1040")</f>
        <v/>
      </c>
      <c r="B4106" s="2">
        <f>HYPERLINK("https://edmondsonsupply.com/products/diablo-tools-dmamx1040", "https://edmondsonsupply.com/products/diablo-tools-dmamx1040")</f>
        <v/>
      </c>
      <c r="C4106" t="inlineStr">
        <is>
          <t>Diablo Tools DMAMX1040 1/2 in. x 24 in. x 29 in. Rebar Demon SDS-Max 4-Cutter Full Carbide Head Hammer Bit</t>
        </is>
      </c>
      <c r="D4106" t="inlineStr">
        <is>
          <t>Diablo DMAMX1230 1 in. x 24 in. x 29 in. Rebar Demon™ SDS-Max 4-Cutter Full Carbide Head Hammer Bit</t>
        </is>
      </c>
      <c r="E4106" s="2">
        <f>HYPERLINK("https://www.amazon.com/Diablo-DMAMX1230-SDS-Max-4-Cutter-Carbide/dp/B089KWMBLT/ref=sr_1_4?keywords=Diablo+Tools+DMAMX1040+1%2F2+in.+x+24+in.+x+29+in.+Rebar+Demon+SDS-Max+4-Cutter+Full+Carbide+Head+Hammer+Bit&amp;qid=1694735295&amp;sr=8-4", "https://www.amazon.com/Diablo-DMAMX1230-SDS-Max-4-Cutter-Carbide/dp/B089KWMBLT/ref=sr_1_4?keywords=Diablo+Tools+DMAMX1040+1%2F2+in.+x+24+in.+x+29+in.+Rebar+Demon+SDS-Max+4-Cutter+Full+Carbide+Head+Hammer+Bit&amp;qid=1694735295&amp;sr=8-4")</f>
        <v/>
      </c>
      <c r="F4106" t="inlineStr">
        <is>
          <t>B089KWMBLT</t>
        </is>
      </c>
      <c r="G4106">
        <f>_xlfn.IMAGE("https://edmondsonsupply.com/cdn/shop/products/DMAMX1040_Main-Image20200701.png?v=1633030363")</f>
        <v/>
      </c>
      <c r="H4106">
        <f>_xlfn.IMAGE("https://m.media-amazon.com/images/I/61B-wgZVzML._AC_UL320_.jpg")</f>
        <v/>
      </c>
      <c r="K4106" t="inlineStr">
        <is>
          <t>47.97</t>
        </is>
      </c>
      <c r="L4106" t="n">
        <v>109.99</v>
      </c>
      <c r="M4106" s="1" t="inlineStr">
        <is>
          <t>129.29%</t>
        </is>
      </c>
      <c r="N4106" s="7" t="n">
        <v>1.3</v>
      </c>
      <c r="O4106" t="n">
        <v>4.6</v>
      </c>
      <c r="P4106" t="n">
        <v>3</v>
      </c>
      <c r="R4106" t="inlineStr">
        <is>
          <t>InStock</t>
        </is>
      </c>
      <c r="S4106" t="inlineStr">
        <is>
          <t>72.46</t>
        </is>
      </c>
      <c r="T4106" t="inlineStr">
        <is>
          <t>5289126527144</t>
        </is>
      </c>
    </row>
    <row r="4107" ht="87" customHeight="1">
      <c r="A4107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4107" s="2">
        <f>HYPERLINK("https://edmondsonsupply.com/products/amprobe-st-102b-receptacle-tester-with-gfci", "https://edmondsonsupply.com/products/amprobe-st-102b-receptacle-tester-with-gfci")</f>
        <v/>
      </c>
      <c r="C4107" t="inlineStr">
        <is>
          <t>Amprobe ST-102B Receptacle Tester with GFCI</t>
        </is>
      </c>
      <c r="D4107" t="inlineStr">
        <is>
          <t>Klein Tools RT250KIT Non-Contact Voltage Tester and GFCI Receptacle Tester with LCD and Flashlight, Voltage Electrical Test Kit</t>
        </is>
      </c>
      <c r="E4107" s="2">
        <f>HYPERLINK("https://www.amazon.com/Non-Contact-Receptacle-Klein-Tools-RT250KIT/dp/B08YDFQ2FV/ref=sr_1_28?keywords=Amprobe+ST-102B+Receptacle+Tester+with+GFCI&amp;qid=1694735128&amp;sr=8-28", "https://www.amazon.com/Non-Contact-Receptacle-Klein-Tools-RT250KIT/dp/B08YDFQ2FV/ref=sr_1_28?keywords=Amprobe+ST-102B+Receptacle+Tester+with+GFCI&amp;qid=1694735128&amp;sr=8-28")</f>
        <v/>
      </c>
      <c r="F4107" t="inlineStr">
        <is>
          <t>B08YDFQ2FV</t>
        </is>
      </c>
      <c r="G4107">
        <f>_xlfn.IMAGE("https://edmondsonsupply.com/cdn/shop/products/PD_ST102B1.jpg?v=1662641155")</f>
        <v/>
      </c>
      <c r="H4107">
        <f>_xlfn.IMAGE("https://m.media-amazon.com/images/I/61WaBlkJfxL._AC_UL320_.jpg")</f>
        <v/>
      </c>
      <c r="K4107" t="inlineStr">
        <is>
          <t>17.49</t>
        </is>
      </c>
      <c r="L4107" t="n">
        <v>39.99</v>
      </c>
      <c r="M4107" s="1" t="inlineStr">
        <is>
          <t>128.64%</t>
        </is>
      </c>
      <c r="N4107" s="7" t="n">
        <v>1.29</v>
      </c>
      <c r="O4107" t="n">
        <v>4.8</v>
      </c>
      <c r="P4107" t="n">
        <v>1264</v>
      </c>
      <c r="R4107" t="inlineStr">
        <is>
          <t>InStock</t>
        </is>
      </c>
      <c r="S4107" t="inlineStr">
        <is>
          <t>19.99</t>
        </is>
      </c>
      <c r="T4107" t="inlineStr">
        <is>
          <t>7808944570584</t>
        </is>
      </c>
    </row>
    <row r="4108" ht="87" customHeight="1">
      <c r="A4108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4108" s="2">
        <f>HYPERLINK("https://edmondsonsupply.com/products/klein-tools-vaco-s10m-5-16-magnetic-nut-driver-3-hollow-shaft", "https://edmondsonsupply.com/products/klein-tools-vaco-s10m-5-16-magnetic-nut-driver-3-hollow-shaft")</f>
        <v/>
      </c>
      <c r="C4108" t="inlineStr">
        <is>
          <t>Klein Tools S10M 5/16-Inch Magnetic Nut Driver 3-Inch Shaft</t>
        </is>
      </c>
      <c r="D4108" t="inlineStr">
        <is>
          <t>Klein Tools 618-5/16M Nut Driver, 5/16-Inch Magnetic Tip with 18-Inch Hollow Shaft</t>
        </is>
      </c>
      <c r="E4108" s="2">
        <f>HYPERLINK("https://www.amazon.com/Magnetic-Klein-Tools-618-5-16M/dp/B000TKF43E/ref=sr_1_13?keywords=Klein+Tools+S10M+5%2F16-Inch+Magnetic+Nut+Driver+3-Inch+Shaft&amp;qid=1694735002&amp;sr=8-13", "https://www.amazon.com/Magnetic-Klein-Tools-618-5-16M/dp/B000TKF43E/ref=sr_1_13?keywords=Klein+Tools+S10M+5%2F16-Inch+Magnetic+Nut+Driver+3-Inch+Shaft&amp;qid=1694735002&amp;sr=8-13")</f>
        <v/>
      </c>
      <c r="F4108" t="inlineStr">
        <is>
          <t>B000TKF43E</t>
        </is>
      </c>
      <c r="G4108">
        <f>_xlfn.IMAGE("https://edmondsonsupply.com/cdn/shop/products/s10m_alt2.jpg?v=1587143022")</f>
        <v/>
      </c>
      <c r="H4108">
        <f>_xlfn.IMAGE("https://m.media-amazon.com/images/I/41mbuHhYFHL._AC_UL320_.jpg")</f>
        <v/>
      </c>
      <c r="K4108" t="inlineStr">
        <is>
          <t>9.99</t>
        </is>
      </c>
      <c r="L4108" t="n">
        <v>22.84</v>
      </c>
      <c r="M4108" s="1" t="inlineStr">
        <is>
          <t>128.63%</t>
        </is>
      </c>
      <c r="N4108" s="7" t="n">
        <v>1.08</v>
      </c>
      <c r="O4108" t="n">
        <v>4.3</v>
      </c>
      <c r="P4108" t="n">
        <v>35</v>
      </c>
      <c r="R4108" t="inlineStr">
        <is>
          <t>InStock</t>
        </is>
      </c>
      <c r="S4108" t="inlineStr">
        <is>
          <t>15.08</t>
        </is>
      </c>
      <c r="T4108" t="inlineStr">
        <is>
          <t>2767113125988</t>
        </is>
      </c>
    </row>
    <row r="4109" ht="87" customHeight="1">
      <c r="A4109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4109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4109" t="inlineStr">
        <is>
          <t>Klein Tools 630-5/16M 5/16-Inch Magnetic Nut Driver with Hollow Shaft</t>
        </is>
      </c>
      <c r="D4109" t="inlineStr">
        <is>
          <t>Klein Tools 618-5/16M Nut Driver, 5/16-Inch Magnetic Tip with 18-Inch Hollow Shaft</t>
        </is>
      </c>
      <c r="E4109" s="2">
        <f>HYPERLINK("https://www.amazon.com/Magnetic-Klein-Tools-618-5-16M/dp/B000TKF43E/ref=sr_1_7?keywords=Klein+Tools+630-5%2F16M+5%2F16-Inch+Magnetic+Nut+Driver+with+Hollow+Shaft&amp;qid=1694735398&amp;sr=8-7", "https://www.amazon.com/Magnetic-Klein-Tools-618-5-16M/dp/B000TKF43E/ref=sr_1_7?keywords=Klein+Tools+630-5%2F16M+5%2F16-Inch+Magnetic+Nut+Driver+with+Hollow+Shaft&amp;qid=1694735398&amp;sr=8-7")</f>
        <v/>
      </c>
      <c r="F4109" t="inlineStr">
        <is>
          <t>B000TKF43E</t>
        </is>
      </c>
      <c r="G4109">
        <f>_xlfn.IMAGE("https://edmondsonsupply.com/cdn/shop/products/630-5-16m.jpg?v=1587148610")</f>
        <v/>
      </c>
      <c r="H4109">
        <f>_xlfn.IMAGE("https://m.media-amazon.com/images/I/41mbuHhYFHL._AC_UL320_.jpg")</f>
        <v/>
      </c>
      <c r="K4109" t="inlineStr">
        <is>
          <t>9.99</t>
        </is>
      </c>
      <c r="L4109" t="n">
        <v>22.84</v>
      </c>
      <c r="M4109" s="1" t="inlineStr">
        <is>
          <t>128.63%</t>
        </is>
      </c>
      <c r="N4109" s="7" t="n">
        <v>1.01</v>
      </c>
      <c r="O4109" t="n">
        <v>4.3</v>
      </c>
      <c r="P4109" t="n">
        <v>35</v>
      </c>
      <c r="R4109" t="inlineStr">
        <is>
          <t>InStock</t>
        </is>
      </c>
      <c r="S4109" t="inlineStr">
        <is>
          <t>15.12</t>
        </is>
      </c>
      <c r="T4109" t="inlineStr">
        <is>
          <t>4391884324964</t>
        </is>
      </c>
    </row>
    <row r="4110" ht="87" customHeight="1">
      <c r="A4110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4110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4110" t="inlineStr">
        <is>
          <t>Klein Tools D248-8 Diagonal Cutting Pliers, Angled Head, Short Jaw, 8-Inch</t>
        </is>
      </c>
      <c r="D4110" t="inlineStr">
        <is>
          <t>Klein Tools D213-9NE-CR Lineman's Crimping Pliers, Streamlined High-Leverage Design Made of Induction Hardened Steel, 9-Inch &amp; D248-8 Pliers, Diagonal Cutting Multi-Purpose Pliers with Angled Head</t>
        </is>
      </c>
      <c r="E4110" s="2">
        <f>HYPERLINK("https://www.amazon.com/Klein-Tools-D213-9NE-CR-High-Leverage-Multi-Purpose/dp/B0CB12FQQN/ref=sr_1_23?keywords=Klein+Tools+D248-8+Diagonal+Cutting+Pliers%2C+Angled+Head%2C+Short+Jaw%2C+8-Inch&amp;qid=1694735219&amp;sr=8-23", "https://www.amazon.com/Klein-Tools-D213-9NE-CR-High-Leverage-Multi-Purpose/dp/B0CB12FQQN/ref=sr_1_23?keywords=Klein+Tools+D248-8+Diagonal+Cutting+Pliers%2C+Angled+Head%2C+Short+Jaw%2C+8-Inch&amp;qid=1694735219&amp;sr=8-23")</f>
        <v/>
      </c>
      <c r="F4110" t="inlineStr">
        <is>
          <t>B0CB12FQQN</t>
        </is>
      </c>
      <c r="G4110">
        <f>_xlfn.IMAGE("https://edmondsonsupply.com/cdn/shop/products/d2488.jpg?v=1633030997")</f>
        <v/>
      </c>
      <c r="H4110">
        <f>_xlfn.IMAGE("https://m.media-amazon.com/images/I/31owffFwJkL._AC_UL320_.jpg")</f>
        <v/>
      </c>
      <c r="K4110" t="inlineStr">
        <is>
          <t>29.97</t>
        </is>
      </c>
      <c r="L4110" t="n">
        <v>68.39</v>
      </c>
      <c r="M4110" s="1" t="inlineStr">
        <is>
          <t>128.19%</t>
        </is>
      </c>
      <c r="N4110" s="7" t="n">
        <v>1</v>
      </c>
      <c r="O4110" t="n">
        <v>4.8</v>
      </c>
      <c r="P4110" t="n">
        <v>4116</v>
      </c>
      <c r="R4110" t="inlineStr">
        <is>
          <t>InStock</t>
        </is>
      </c>
      <c r="S4110" t="inlineStr">
        <is>
          <t>45.42</t>
        </is>
      </c>
      <c r="T4110" t="inlineStr">
        <is>
          <t>6680617091245</t>
        </is>
      </c>
    </row>
    <row r="4111" hidden="1" ht="15.75" customHeight="1">
      <c r="A4111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4111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4111" t="inlineStr">
        <is>
          <t>Diablo Tools DMARG1030 3/16 in. x 4 in. x 6 in. SPEEDemon™ Red Granite Carbide Tipped Hammer Drill Bit</t>
        </is>
      </c>
      <c r="D4111" t="inlineStr">
        <is>
          <t>Diablo by Freud DMARG1150 1/2 in. x 4 in. x 6 in. SPEEDemon Red Granite Carbide Tipped Hammer Drill Bit</t>
        </is>
      </c>
      <c r="E4111" s="2">
        <f>HYPERLINK("https://www.amazon.com/Diablo-Freud-DMARG1150-SPEEDemon-Granite/dp/B089LKXD71/ref=sr_1_3?keywords=Diablo+Tools+DMARG1030+3%2F16+in.+x+4+in.+x+6+in.+SPEEDemon%E2%84%A2+Red+Granite+Carbide+Tipped+Hammer+Drill+Bit&amp;qid=1694735280&amp;sr=8-3", "https://www.amazon.com/Diablo-Freud-DMARG1150-SPEEDemon-Granite/dp/B089LKXD71/ref=sr_1_3?keywords=Diablo+Tools+DMARG1030+3%2F16+in.+x+4+in.+x+6+in.+SPEEDemon%E2%84%A2+Red+Granite+Carbide+Tipped+Hammer+Drill+Bit&amp;qid=1694735280&amp;sr=8-3")</f>
        <v/>
      </c>
      <c r="F4111" t="inlineStr">
        <is>
          <t>B089LKXD71</t>
        </is>
      </c>
      <c r="G4111">
        <f>_xludf.IMAGE("https://edmondsonsupply.com/cdn/shop/products/DMARG1030_Main-Image20200407.png?v=1633030509")</f>
        <v/>
      </c>
      <c r="H4111">
        <f>_xludf.IMAGE("https://m.media-amazon.com/images/I/61Irr3Gr9YL._AC_UL320_.jpg")</f>
        <v/>
      </c>
      <c r="K4111" t="inlineStr">
        <is>
          <t>4.47</t>
        </is>
      </c>
      <c r="L4111" t="n">
        <v>10.19</v>
      </c>
      <c r="M4111" s="1" t="inlineStr">
        <is>
          <t>127.96%</t>
        </is>
      </c>
      <c r="N4111" s="1" t="n">
        <v>0.9399999999999999</v>
      </c>
      <c r="O4111" t="n">
        <v>4.3</v>
      </c>
      <c r="P4111" t="n">
        <v>19</v>
      </c>
      <c r="R4111" t="inlineStr">
        <is>
          <t>InStock</t>
        </is>
      </c>
      <c r="S4111" t="inlineStr">
        <is>
          <t>undefined</t>
        </is>
      </c>
      <c r="T4111" t="inlineStr">
        <is>
          <t>5386199629992</t>
        </is>
      </c>
    </row>
    <row r="4112" hidden="1" ht="15.75" customHeight="1">
      <c r="A4112" s="2">
        <f>HYPERLINK("https://edmondsonsupply.com/collections/electricians-tools/products/milwaukee-49-90-2022-air-tip%E2%84%A2-dust-collector", "https://edmondsonsupply.com/collections/electricians-tools/products/milwaukee-49-90-2022-air-tip%E2%84%A2-dust-collector")</f>
        <v/>
      </c>
      <c r="B4112" s="2">
        <f>HYPERLINK("https://edmondsonsupply.com/products/milwaukee-49-90-2022-air-tip%e2%84%a2-dust-collector", "https://edmondsonsupply.com/products/milwaukee-49-90-2022-air-tip%e2%84%a2-dust-collector")</f>
        <v/>
      </c>
      <c r="C4112" t="inlineStr">
        <is>
          <t>Milwaukee 49-90-2022 AIR-TIP™ Dust Collector</t>
        </is>
      </c>
      <c r="D4112" t="inlineStr">
        <is>
          <t>Compatible with Milwaukee Air-Tip Vacuum Dust Collector Attachment part# 49-90-2022</t>
        </is>
      </c>
      <c r="E4112" s="2">
        <f>HYPERLINK("https://www.amazon.com/Compatible-Milwaukee-49-90-2022-Collector-Attachment/dp/B0BQ3PFPND/ref=sr_1_2?keywords=Milwaukee+49-90-2022+AIR-TIP%E2%84%A2+Dust+Collector&amp;qid=1694735038&amp;sr=8-2", "https://www.amazon.com/Compatible-Milwaukee-49-90-2022-Collector-Attachment/dp/B0BQ3PFPND/ref=sr_1_2?keywords=Milwaukee+49-90-2022+AIR-TIP%E2%84%A2+Dust+Collector&amp;qid=1694735038&amp;sr=8-2")</f>
        <v/>
      </c>
      <c r="F4112" t="inlineStr">
        <is>
          <t>B0BQ3PFPND</t>
        </is>
      </c>
      <c r="G4112">
        <f>_xludf.IMAGE("https://edmondsonsupply.com/cdn/shop/products/49-90-2022_2.webp?v=1675705092")</f>
        <v/>
      </c>
      <c r="H4112">
        <f>_xludf.IMAGE("https://m.media-amazon.com/images/I/41vBnvsMxEL._AC_UL320_.jpg")</f>
        <v/>
      </c>
      <c r="K4112" t="inlineStr">
        <is>
          <t>49.99</t>
        </is>
      </c>
      <c r="L4112" t="n">
        <v>113.89</v>
      </c>
      <c r="M4112" s="1" t="inlineStr">
        <is>
          <t>127.83%</t>
        </is>
      </c>
      <c r="N4112" s="1" t="n">
        <v>0.9</v>
      </c>
      <c r="O4112" t="n">
        <v>3</v>
      </c>
      <c r="P4112" t="n">
        <v>1</v>
      </c>
      <c r="R4112" t="inlineStr">
        <is>
          <t>InStock</t>
        </is>
      </c>
      <c r="S4112" t="inlineStr">
        <is>
          <t>66.0</t>
        </is>
      </c>
      <c r="T4112" t="inlineStr">
        <is>
          <t>7940159176920</t>
        </is>
      </c>
    </row>
    <row r="4113" ht="87" customHeight="1">
      <c r="A4113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4113" s="2">
        <f>HYPERLINK("https://edmondsonsupply.com/products/klein-tools-661-screwdriver-1-square-recess-tip-4-inch-shank", "https://edmondsonsupply.com/products/klein-tools-661-screwdriver-1-square-recess-tip-4-inch-shank")</f>
        <v/>
      </c>
      <c r="C4113" t="inlineStr">
        <is>
          <t>Klein Tools 661 Screwdriver, #1 Square Recess Tip, 4-Inch Shank</t>
        </is>
      </c>
      <c r="D4113" t="inlineStr">
        <is>
          <t>Klein Tools 661-4-INS Insulated Screwdriver, #1 Square Tip with 4-Inch Shank</t>
        </is>
      </c>
      <c r="E4113" s="2">
        <f>HYPERLINK("https://www.amazon.com/Klein-Tools-661-4-INS-Insulated-Screwdriver/dp/B00CQL8VP2/ref=sr_1_2?keywords=Klein+Tools+661+Screwdriver%2C+%231+Square+Recess+Tip%2C+4-Inch+Shank&amp;qid=1694735398&amp;sr=8-2", "https://www.amazon.com/Klein-Tools-661-4-INS-Insulated-Screwdriver/dp/B00CQL8VP2/ref=sr_1_2?keywords=Klein+Tools+661+Screwdriver%2C+%231+Square+Recess+Tip%2C+4-Inch+Shank&amp;qid=1694735398&amp;sr=8-2")</f>
        <v/>
      </c>
      <c r="F4113" t="inlineStr">
        <is>
          <t>B00CQL8VP2</t>
        </is>
      </c>
      <c r="G4113">
        <f>_xlfn.IMAGE("https://edmondsonsupply.com/cdn/shop/products/660_587071df-c969-40cb-961e-3eee072c7429.jpg?v=1587149250")</f>
        <v/>
      </c>
      <c r="H4113">
        <f>_xlfn.IMAGE("https://m.media-amazon.com/images/I/51Gu62YkGxL._AC_UL320_.jpg")</f>
        <v/>
      </c>
      <c r="K4113" t="inlineStr">
        <is>
          <t>8.99</t>
        </is>
      </c>
      <c r="L4113" t="n">
        <v>20.48</v>
      </c>
      <c r="M4113" s="1" t="inlineStr">
        <is>
          <t>127.81%</t>
        </is>
      </c>
      <c r="N4113" s="7" t="n">
        <v>0.87</v>
      </c>
      <c r="O4113" t="n">
        <v>4.8</v>
      </c>
      <c r="P4113" t="n">
        <v>1068</v>
      </c>
      <c r="R4113" t="inlineStr">
        <is>
          <t>InStock</t>
        </is>
      </c>
      <c r="S4113" t="inlineStr">
        <is>
          <t>13.6</t>
        </is>
      </c>
      <c r="T4113" t="inlineStr">
        <is>
          <t>4398444118116</t>
        </is>
      </c>
    </row>
    <row r="4114" ht="87" customHeight="1">
      <c r="A4114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4114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4114" t="inlineStr">
        <is>
          <t>Milwaukee 48-59-1812 M18™ &amp; M12™ Multi-Voltage Charger</t>
        </is>
      </c>
      <c r="D4114" t="inlineStr">
        <is>
          <t>Milwaukee 48-59-1840 M18 RED LITHIUM XC 4.0 Ah Batteries (2) + 48-59-1812 M12 and M18 Multi Voltage Charger kit</t>
        </is>
      </c>
      <c r="E4114" s="2">
        <f>HYPERLINK("https://www.amazon.com/Milwaukee-48-59-1840-LITHIUM-Batteries-48-59-1812/dp/B00XAKRMK8/ref=sr_1_14?keywords=Milwaukee+48-59-1812+M18%E2%84%A2+%26+M12%E2%84%A2+Multi-Voltage+Charger&amp;qid=1694735141&amp;sr=8-14", "https://www.amazon.com/Milwaukee-48-59-1840-LITHIUM-Batteries-48-59-1812/dp/B00XAKRMK8/ref=sr_1_14?keywords=Milwaukee+48-59-1812+M18%E2%84%A2+%26+M12%E2%84%A2+Multi-Voltage+Charger&amp;qid=1694735141&amp;sr=8-14")</f>
        <v/>
      </c>
      <c r="F4114" t="inlineStr">
        <is>
          <t>B00XAKRMK8</t>
        </is>
      </c>
      <c r="G4114">
        <f>_xlfn.IMAGE("https://edmondsonsupply.com/cdn/shop/products/60113_48-59-1812_3-lg.webp?v=1656530513")</f>
        <v/>
      </c>
      <c r="H4114">
        <f>_xlfn.IMAGE("https://m.media-amazon.com/images/I/71M6Fcvnp4S._AC_UL320_.jpg")</f>
        <v/>
      </c>
      <c r="K4114" t="inlineStr">
        <is>
          <t>79.0</t>
        </is>
      </c>
      <c r="L4114" t="n">
        <v>179.95</v>
      </c>
      <c r="M4114" s="1" t="inlineStr">
        <is>
          <t>127.78%</t>
        </is>
      </c>
      <c r="N4114" s="7" t="n">
        <v>0.71</v>
      </c>
      <c r="O4114" t="n">
        <v>5</v>
      </c>
      <c r="P4114" t="n">
        <v>20</v>
      </c>
      <c r="R4114" t="inlineStr">
        <is>
          <t>InStock</t>
        </is>
      </c>
      <c r="S4114" t="inlineStr">
        <is>
          <t>126.0</t>
        </is>
      </c>
      <c r="T4114" t="inlineStr">
        <is>
          <t>7733079343320</t>
        </is>
      </c>
    </row>
    <row r="4115" ht="87" customHeight="1">
      <c r="A4115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4115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4115" t="inlineStr">
        <is>
          <t>Diablo Tools DMAPL4070-P25 1/4 in. x 4 in. x 6 in. Rebar Demon™ SDS-Plus 4-Cutter Full Carbide Head Hammer Bit (25-Pack)</t>
        </is>
      </c>
      <c r="D4115" t="inlineStr">
        <is>
          <t>Diablo by Freud DMAPL4160-P25 3/8 in. x 10 in. x 12 in. Rebar Demon SDS-Plus 4-Cutter Full Carbide Head Hammer Bit (25-Pack)</t>
        </is>
      </c>
      <c r="E4115" s="2" t="n"/>
      <c r="F4115" t="inlineStr">
        <is>
          <t>B089LKWCD1</t>
        </is>
      </c>
      <c r="G4115">
        <f>_xlfn.IMAGE("https://edmondsonsupply.com/cdn/shop/products/DMAPL4070.jpg?v=1633030350")</f>
        <v/>
      </c>
      <c r="H4115">
        <f>_xlfn.IMAGE("https://m.media-amazon.com/images/I/61MHnm3+2bL._AC_UL320_.jpg")</f>
        <v/>
      </c>
      <c r="K4115" t="inlineStr">
        <is>
          <t>79.47</t>
        </is>
      </c>
      <c r="L4115" t="n">
        <v>180.97</v>
      </c>
      <c r="M4115" s="1" t="inlineStr">
        <is>
          <t>127.72%</t>
        </is>
      </c>
      <c r="N4115" s="7" t="n">
        <v>0.61</v>
      </c>
      <c r="O4115" t="n">
        <v>5</v>
      </c>
      <c r="P4115" t="n">
        <v>1</v>
      </c>
      <c r="R4115" t="inlineStr">
        <is>
          <t>InStock</t>
        </is>
      </c>
      <c r="S4115" t="inlineStr">
        <is>
          <t>106.66</t>
        </is>
      </c>
      <c r="T4115" t="inlineStr">
        <is>
          <t>5283065069736</t>
        </is>
      </c>
    </row>
    <row r="4116" ht="87" customHeight="1">
      <c r="A4116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4116" s="2">
        <f>HYPERLINK("https://edmondsonsupply.com/products/klein-tools-70582-seven-key-metric-folding-hex-key-set", "https://edmondsonsupply.com/products/klein-tools-70582-seven-key-metric-folding-hex-key-set")</f>
        <v/>
      </c>
      <c r="C4116" t="inlineStr">
        <is>
          <t>Klein Tools 70582 Folding Hex Key Set, 7-Key, Metric Sizes</t>
        </is>
      </c>
      <c r="D4116" t="inlineStr">
        <is>
          <t>Klein Tools 70550 Hex Wrench Key Set, 11 SAE Sizes, Heavy Duty Folding Allen Wrench Tool with Extra Long Hex Keys</t>
        </is>
      </c>
      <c r="E4116" s="2">
        <f>HYPERLINK("https://www.amazon.com/Klein-Tools-70550-Folding-Wrench/dp/B07SR11TC4/ref=sr_1_5?keywords=Klein+Tools+70582+Folding+Hex+Key+Set%2C+7-Key%2C+Metric+Sizes&amp;qid=1694735391&amp;sr=8-5", "https://www.amazon.com/Klein-Tools-70550-Folding-Wrench/dp/B07SR11TC4/ref=sr_1_5?keywords=Klein+Tools+70582+Folding+Hex+Key+Set%2C+7-Key%2C+Metric+Sizes&amp;qid=1694735391&amp;sr=8-5")</f>
        <v/>
      </c>
      <c r="F4116" t="inlineStr">
        <is>
          <t>B07SR11TC4</t>
        </is>
      </c>
      <c r="G4116">
        <f>_xlfn.IMAGE("https://edmondsonsupply.com/cdn/shop/products/70582.jpg?v=1587149750")</f>
        <v/>
      </c>
      <c r="H4116">
        <f>_xlfn.IMAGE("https://m.media-amazon.com/images/I/51WajHtjW+L._AC_UL320_.jpg")</f>
        <v/>
      </c>
      <c r="K4116" t="inlineStr">
        <is>
          <t>8.78</t>
        </is>
      </c>
      <c r="L4116" t="n">
        <v>19.97</v>
      </c>
      <c r="M4116" s="1" t="inlineStr">
        <is>
          <t>127.45%</t>
        </is>
      </c>
      <c r="N4116" s="7" t="n">
        <v>0.59</v>
      </c>
      <c r="O4116" t="n">
        <v>4.8</v>
      </c>
      <c r="P4116" t="n">
        <v>5745</v>
      </c>
      <c r="R4116" t="inlineStr">
        <is>
          <t>InStock</t>
        </is>
      </c>
      <c r="S4116" t="inlineStr">
        <is>
          <t>12.26</t>
        </is>
      </c>
      <c r="T4116" t="inlineStr">
        <is>
          <t>4409539919972</t>
        </is>
      </c>
    </row>
    <row r="4117" ht="87" customHeight="1">
      <c r="A4117" s="2">
        <f>HYPERLINK("https://edmondsonsupply.com/collections/electricians-tools/products/klein-tools-66079-flip-impact-socket-adapter-small-1-4-to-1-4-inch", "https://edmondsonsupply.com/collections/electricians-tools/products/klein-tools-66079-flip-impact-socket-adapter-small-1-4-to-1-4-inch")</f>
        <v/>
      </c>
      <c r="B4117" s="2">
        <f>HYPERLINK("https://edmondsonsupply.com/products/klein-tools-66079-flip-impact-socket-adapter-small-1-4-to-1-4-inch", "https://edmondsonsupply.com/products/klein-tools-66079-flip-impact-socket-adapter-small-1-4-to-1-4-inch")</f>
        <v/>
      </c>
      <c r="C4117" t="inlineStr">
        <is>
          <t>Klein Tools 66079 Flip Impact Socket Adapter, Small, 1/4 to 1/4-Inch</t>
        </is>
      </c>
      <c r="D4117" t="inlineStr">
        <is>
          <t>Klein Tools 66078 Impact Flip Socket Adapter, Large 1/2 to 1/2 -Inch Square Adapter, Use with Klein Tools Flip Impact Socket Set 66070</t>
        </is>
      </c>
      <c r="E4117" s="2">
        <f>HYPERLINK("https://www.amazon.com/Klein-Tools-66078-Impact-Adapter/dp/B0B33T15XS/ref=sr_1_8?keywords=Klein+Tools+66079+Flip+Impact+Socket+Adapter%2C+Small%2C+1%2F4+to+1%2F4-Inch&amp;qid=1694734974&amp;sr=8-8", "https://www.amazon.com/Klein-Tools-66078-Impact-Adapter/dp/B0B33T15XS/ref=sr_1_8?keywords=Klein+Tools+66079+Flip+Impact+Socket+Adapter%2C+Small%2C+1%2F4+to+1%2F4-Inch&amp;qid=1694734974&amp;sr=8-8")</f>
        <v/>
      </c>
      <c r="F4117" t="inlineStr">
        <is>
          <t>B0B33T15XS</t>
        </is>
      </c>
      <c r="G4117">
        <f>_xlfn.IMAGE("https://edmondsonsupply.com/cdn/shop/products/66079.jpg?v=1669735923")</f>
        <v/>
      </c>
      <c r="H4117">
        <f>_xlfn.IMAGE("https://m.media-amazon.com/images/I/51cFYcsM3kL._AC_UL320_.jpg")</f>
        <v/>
      </c>
      <c r="K4117" t="inlineStr">
        <is>
          <t>6.86</t>
        </is>
      </c>
      <c r="L4117" t="n">
        <v>15.58</v>
      </c>
      <c r="M4117" s="1" t="inlineStr">
        <is>
          <t>127.11%</t>
        </is>
      </c>
      <c r="N4117" s="7" t="n">
        <v>0.58</v>
      </c>
      <c r="O4117" t="n">
        <v>5</v>
      </c>
      <c r="P4117" t="n">
        <v>1</v>
      </c>
      <c r="R4117" t="inlineStr">
        <is>
          <t>InStock</t>
        </is>
      </c>
      <c r="S4117" t="inlineStr">
        <is>
          <t>9.6</t>
        </is>
      </c>
      <c r="T4117" t="inlineStr">
        <is>
          <t>7896124555480</t>
        </is>
      </c>
    </row>
    <row r="4118" hidden="1" ht="15.75" customHeight="1">
      <c r="A4118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4118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4118" t="inlineStr">
        <is>
          <t>Diablo Tools DMARG1100 5/16 in. x 4 in. x 6 in. SPEEDemon™ Red Granite Carbide Tipped Hammer Drill Bit</t>
        </is>
      </c>
      <c r="D4118" t="inlineStr">
        <is>
          <t>Diablo by Freud DMARG1170 5/8 in. x 4 in. x 6 in. SPEEDemon Red Granite Carbide Tipped Hammer Drill Bit</t>
        </is>
      </c>
      <c r="E4118" s="2">
        <f>HYPERLINK("https://www.amazon.com/Diablo-Freud-DMARG1170-SPEEDemon-Granite/dp/B089LHNF2T/ref=sr_1_29?keywords=Diablo+Tools+DMARG1100+5%2F16+in.+x+4+in.+x+6+in.+SPEEDemon%E2%84%A2+Red+Granite+Carbide+Tipped+Hammer+Drill+Bit&amp;qid=1694735277&amp;sr=8-29", "https://www.amazon.com/Diablo-Freud-DMARG1170-SPEEDemon-Granite/dp/B089LHNF2T/ref=sr_1_29?keywords=Diablo+Tools+DMARG1100+5%2F16+in.+x+4+in.+x+6+in.+SPEEDemon%E2%84%A2+Red+Granite+Carbide+Tipped+Hammer+Drill+Bit&amp;qid=1694735277&amp;sr=8-29")</f>
        <v/>
      </c>
      <c r="F4118" t="inlineStr">
        <is>
          <t>B089LHNF2T</t>
        </is>
      </c>
      <c r="G4118">
        <f>_xludf.IMAGE("https://edmondsonsupply.com/cdn/shop/products/DMARG1100_Main-Image20200702.png?v=1633030510")</f>
        <v/>
      </c>
      <c r="H4118">
        <f>_xludf.IMAGE("https://m.media-amazon.com/images/I/61+aCAjnkLL._AC_UL320_.jpg")</f>
        <v/>
      </c>
      <c r="K4118" t="inlineStr">
        <is>
          <t>5.28</t>
        </is>
      </c>
      <c r="L4118" t="n">
        <v>11.99</v>
      </c>
      <c r="M4118" s="1" t="inlineStr">
        <is>
          <t>127.08%</t>
        </is>
      </c>
      <c r="N4118" s="1" t="n">
        <v>0.53</v>
      </c>
      <c r="O4118" t="n">
        <v>4.6</v>
      </c>
      <c r="P4118" t="n">
        <v>14</v>
      </c>
      <c r="R4118" t="inlineStr">
        <is>
          <t>InStock</t>
        </is>
      </c>
      <c r="S4118" t="inlineStr">
        <is>
          <t>undefined</t>
        </is>
      </c>
      <c r="T4118" t="inlineStr">
        <is>
          <t>5386452861096</t>
        </is>
      </c>
    </row>
    <row r="4119" ht="87" customHeight="1">
      <c r="A4119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119" s="2">
        <f>HYPERLINK("https://edmondsonsupply.com/products/klein-tools-935ab4v-accu-bend%e2%84%a2-level-4-vial-rem", "https://edmondsonsupply.com/products/klein-tools-935ab4v-accu-bend%e2%84%a2-level-4-vial-rem")</f>
        <v/>
      </c>
      <c r="C4119" t="inlineStr">
        <is>
          <t>Klein Tools 935AB4V ACCU-BEND™ Level, 4-Vial</t>
        </is>
      </c>
      <c r="D4119" t="inlineStr">
        <is>
          <t>Klein Tools 80035 Level, Digital Electronic Level and Angle Gauge Tool Kit, 2-Piece &amp; 935AB4V Level, 6.25-Inch Magnetic Torpedo Level is a Conduit Level with 4 Vials</t>
        </is>
      </c>
      <c r="E4119" s="2">
        <f>HYPERLINK("https://www.amazon.com/Klein-Tools-Electronic-6-25-Inch-Magnetic/dp/B0BNL7D16W/ref=sr_1_25?keywords=Klein+Tools+935AB4V+ACCU-BEND%E2%84%A2+Level%2C+4-Vial&amp;qid=1694735422&amp;sr=8-25", "https://www.amazon.com/Klein-Tools-Electronic-6-25-Inch-Magnetic/dp/B0BNL7D16W/ref=sr_1_25?keywords=Klein+Tools+935AB4V+ACCU-BEND%E2%84%A2+Level%2C+4-Vial&amp;qid=1694735422&amp;sr=8-25")</f>
        <v/>
      </c>
      <c r="F4119" t="inlineStr">
        <is>
          <t>B0BNL7D16W</t>
        </is>
      </c>
      <c r="G4119">
        <f>_xlfn.IMAGE("https://edmondsonsupply.com/cdn/shop/files/935ab4v_b.jpg?v=1685715011")</f>
        <v/>
      </c>
      <c r="H4119">
        <f>_xlfn.IMAGE("https://m.media-amazon.com/images/I/51dt0HVceSL._AC_UL320_.jpg")</f>
        <v/>
      </c>
      <c r="K4119" t="inlineStr">
        <is>
          <t>29.97</t>
        </is>
      </c>
      <c r="L4119" t="n">
        <v>67.95999999999999</v>
      </c>
      <c r="M4119" s="1" t="inlineStr">
        <is>
          <t>126.76%</t>
        </is>
      </c>
      <c r="N4119" s="7" t="n">
        <v>0.45</v>
      </c>
      <c r="O4119" t="n">
        <v>5</v>
      </c>
      <c r="P4119" t="n">
        <v>1</v>
      </c>
      <c r="R4119" t="inlineStr">
        <is>
          <t>InStock</t>
        </is>
      </c>
      <c r="S4119" t="inlineStr">
        <is>
          <t>42.0</t>
        </is>
      </c>
      <c r="T4119" t="inlineStr">
        <is>
          <t>2766878081124</t>
        </is>
      </c>
    </row>
    <row r="4120" hidden="1" ht="15.75" customHeight="1">
      <c r="A4120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4120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4120" t="inlineStr">
        <is>
          <t>Diablo Tools DMAPL4030 3/16 in. x 2 in. x 4 in. Rebar Demon™ SDS-Plus 4-Cutter Full Carbide Head Hammer Bit</t>
        </is>
      </c>
      <c r="D4120" t="inlineStr">
        <is>
          <t>Diablo by Freud DMAPL4050 3/16 in. x 6 in. x 8 in. Rebar Demon SDS-Plus 4-Cutter Full Carbide Head Hammer Bit Multi, One Size</t>
        </is>
      </c>
      <c r="E4120" s="2">
        <f>HYPERLINK("https://www.amazon.com/Diablo-SDS-Plus-4-Cutter-Carbide-Hammer/dp/B089LKWR9L/ref=sr_1_12?keywords=Diablo+Tools+DMAPL4030+3%2F16+in.+x+2+in.+x+4+in.+Rebar+Demon%E2%84%A2+SDS-Plus+4-Cutter+Full+Carbide+Head+Hammer+Bit&amp;qid=1694735295&amp;sr=8-12", "https://www.amazon.com/Diablo-SDS-Plus-4-Cutter-Carbide-Hammer/dp/B089LKWR9L/ref=sr_1_12?keywords=Diablo+Tools+DMAPL4030+3%2F16+in.+x+2+in.+x+4+in.+Rebar+Demon%E2%84%A2+SDS-Plus+4-Cutter+Full+Carbide+Head+Hammer+Bit&amp;qid=1694735295&amp;sr=8-12")</f>
        <v/>
      </c>
      <c r="F4120" t="inlineStr">
        <is>
          <t>B089LKWR9L</t>
        </is>
      </c>
      <c r="G4120">
        <f>_xludf.IMAGE("https://edmondsonsupply.com/cdn/shop/products/DMAPL4030.jpg?v=1633030357")</f>
        <v/>
      </c>
      <c r="H4120">
        <f>_xludf.IMAGE("https://m.media-amazon.com/images/I/61uukuKzJeL._AC_UL320_.jpg")</f>
        <v/>
      </c>
      <c r="K4120" t="inlineStr">
        <is>
          <t>3.97</t>
        </is>
      </c>
      <c r="L4120" t="n">
        <v>8.99</v>
      </c>
      <c r="M4120" s="1" t="inlineStr">
        <is>
          <t>126.45%</t>
        </is>
      </c>
      <c r="N4120" s="1" t="n">
        <v>0.25</v>
      </c>
      <c r="O4120" t="n">
        <v>3.7</v>
      </c>
      <c r="P4120" t="n">
        <v>10</v>
      </c>
      <c r="R4120" t="inlineStr">
        <is>
          <t>InStock</t>
        </is>
      </c>
      <c r="S4120" t="inlineStr">
        <is>
          <t>5.51</t>
        </is>
      </c>
      <c r="T4120" t="inlineStr">
        <is>
          <t>5286322012328</t>
        </is>
      </c>
    </row>
    <row r="4121" ht="87" customHeight="1">
      <c r="A4121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4121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4121" t="inlineStr">
        <is>
          <t>Klein Tools NCVT-2P Dual Range Non-Contact Voltage Tester 12 - 1000V AC</t>
        </is>
      </c>
      <c r="D4121" t="inlineStr">
        <is>
          <t>Klein Tools NCVT-4IR Non-Contact Volt Tester, 12-1000V AC Pen with IR Thermometer -22 to 482 deg F, LED and Audible Alarms, Pocket Clip &amp; 14-in-1 Adjustable Screwdriver</t>
        </is>
      </c>
      <c r="E4121" s="2">
        <f>HYPERLINK("https://www.amazon.com/Klein-Tools-NCVT-4IR-Non-Contact-Tester/dp/B0BD41QXCP/ref=sr_1_5?keywords=Klein+Tools+NCVT-2P+Dual+Range+Non-Contact+Voltage+Tester+12+-+1000V+AC&amp;qid=1694735236&amp;sr=8-5", "https://www.amazon.com/Klein-Tools-NCVT-4IR-Non-Contact-Tester/dp/B0BD41QXCP/ref=sr_1_5?keywords=Klein+Tools+NCVT-2P+Dual+Range+Non-Contact+Voltage+Tester+12+-+1000V+AC&amp;qid=1694735236&amp;sr=8-5")</f>
        <v/>
      </c>
      <c r="F4121" t="inlineStr">
        <is>
          <t>B0BD41QXCP</t>
        </is>
      </c>
      <c r="G4121">
        <f>_xlfn.IMAGE("https://edmondsonsupply.com/cdn/shop/products/ncvt2p.jpg?v=1633030824")</f>
        <v/>
      </c>
      <c r="H4121">
        <f>_xlfn.IMAGE("https://m.media-amazon.com/images/I/418deU9NDfL._AC_UL320_.jpg")</f>
        <v/>
      </c>
      <c r="K4121" t="inlineStr">
        <is>
          <t>27.97</t>
        </is>
      </c>
      <c r="L4121" t="n">
        <v>63.22</v>
      </c>
      <c r="M4121" s="1" t="inlineStr">
        <is>
          <t>126.03%</t>
        </is>
      </c>
      <c r="N4121" s="7" t="n">
        <v>0.25</v>
      </c>
      <c r="O4121" t="n">
        <v>5</v>
      </c>
      <c r="P4121" t="n">
        <v>1</v>
      </c>
      <c r="R4121" t="inlineStr">
        <is>
          <t>InStock</t>
        </is>
      </c>
      <c r="S4121" t="inlineStr">
        <is>
          <t>35.76</t>
        </is>
      </c>
      <c r="T4121" t="inlineStr">
        <is>
          <t>6080875626669</t>
        </is>
      </c>
    </row>
    <row r="4122" ht="87" customHeight="1">
      <c r="A4122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4122" s="2">
        <f>HYPERLINK("https://edmondsonsupply.com/products/klein-tools-vdv427-014-punchdown-tool-krone-blade", "https://edmondsonsupply.com/products/klein-tools-vdv427-014-punchdown-tool-krone-blade")</f>
        <v/>
      </c>
      <c r="C4122" t="inlineStr">
        <is>
          <t>Klein Tools VDV427014 Punchdown Tool Krone Blade</t>
        </is>
      </c>
      <c r="D4122" t="inlineStr">
        <is>
          <t>Klein Tools VDV001-081 Multi-Bit Screwdriver, Punchdown Screwdriver Bayonette-Style Multi-Tool with Heavy-Duty Blade Barrek for Bit Storage</t>
        </is>
      </c>
      <c r="E4122" s="2">
        <f>HYPERLINK("https://www.amazon.com/Screwdriver-Multi-Tool-Klein-Tools-VDV001-081/dp/B00BEZWFHQ/ref=sr_1_9?keywords=Klein+Tools+VDV427014+Punchdown+Tool+Krone+Blade&amp;qid=1694735425&amp;sr=8-9", "https://www.amazon.com/Screwdriver-Multi-Tool-Klein-Tools-VDV001-081/dp/B00BEZWFHQ/ref=sr_1_9?keywords=Klein+Tools+VDV427014+Punchdown+Tool+Krone+Blade&amp;qid=1694735425&amp;sr=8-9")</f>
        <v/>
      </c>
      <c r="F4122" t="inlineStr">
        <is>
          <t>B00BEZWFHQ</t>
        </is>
      </c>
      <c r="G4122">
        <f>_xlfn.IMAGE("https://edmondsonsupply.com/cdn/shop/products/vdv427-014.jpg?v=1587143002")</f>
        <v/>
      </c>
      <c r="H4122">
        <f>_xlfn.IMAGE("https://m.media-amazon.com/images/I/41El35zGLFL._AC_UL320_.jpg")</f>
        <v/>
      </c>
      <c r="K4122" t="inlineStr">
        <is>
          <t>11.49</t>
        </is>
      </c>
      <c r="L4122" t="n">
        <v>25.97</v>
      </c>
      <c r="M4122" s="1" t="inlineStr">
        <is>
          <t>126.02%</t>
        </is>
      </c>
      <c r="N4122" s="7" t="n">
        <v>0.21</v>
      </c>
      <c r="O4122" t="n">
        <v>4.8</v>
      </c>
      <c r="P4122" t="n">
        <v>166</v>
      </c>
      <c r="R4122" t="inlineStr">
        <is>
          <t>InStock</t>
        </is>
      </c>
      <c r="S4122" t="inlineStr">
        <is>
          <t>17.26</t>
        </is>
      </c>
      <c r="T4122" t="inlineStr">
        <is>
          <t>4359135592548</t>
        </is>
      </c>
    </row>
    <row r="4123" ht="87" customHeight="1">
      <c r="A4123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123" s="2">
        <f>HYPERLINK("https://edmondsonsupply.com/products/klein-tools-32900-7-in-1-impact-flip-socket-with-handle", "https://edmondsonsupply.com/products/klein-tools-32900-7-in-1-impact-flip-socket-with-handle")</f>
        <v/>
      </c>
      <c r="C4123" t="inlineStr">
        <is>
          <t>Klein Tools 32900 7-in-1 Impact Flip Socket with Handle</t>
        </is>
      </c>
      <c r="D4123" t="inlineStr">
        <is>
          <t>Klein Tools 85076INS Insulated Screwdriver Set features 1000V Screwdrivers, (3) Phillips and (2) Slotted and Square Tips, 6-Piece &amp; 32900 Impact Driver, 7-in-1 Impact Flip Socket Set with Handle</t>
        </is>
      </c>
      <c r="E4123" s="2">
        <f>HYPERLINK("https://www.amazon.com/Klein-Tools-Insulated-Screwdriver-Screwdrivers/dp/B0CB144FWS/ref=sr_1_13?keywords=Klein+Tools+32900+7-in-1+Impact+Flip+Socket+with+Handle&amp;qid=1694735103&amp;sr=8-13", "https://www.amazon.com/Klein-Tools-Insulated-Screwdriver-Screwdrivers/dp/B0CB144FWS/ref=sr_1_13?keywords=Klein+Tools+32900+7-in-1+Impact+Flip+Socket+with+Handle&amp;qid=1694735103&amp;sr=8-13")</f>
        <v/>
      </c>
      <c r="F4123" t="inlineStr">
        <is>
          <t>B0CB144FWS</t>
        </is>
      </c>
      <c r="G4123">
        <f>_xlfn.IMAGE("https://edmondsonsupply.com/cdn/shop/products/32900_b.jpg?v=1666024787")</f>
        <v/>
      </c>
      <c r="H4123">
        <f>_xlfn.IMAGE("https://m.media-amazon.com/images/I/51WlN256RNL._AC_UL320_.jpg")</f>
        <v/>
      </c>
      <c r="K4123" t="inlineStr">
        <is>
          <t>29.97</t>
        </is>
      </c>
      <c r="L4123" t="n">
        <v>67.70999999999999</v>
      </c>
      <c r="M4123" s="1" t="inlineStr">
        <is>
          <t>125.93%</t>
        </is>
      </c>
      <c r="N4123" s="7" t="n">
        <v>0.2</v>
      </c>
      <c r="O4123" t="n">
        <v>4.7</v>
      </c>
      <c r="P4123" t="n">
        <v>201</v>
      </c>
      <c r="R4123" t="inlineStr">
        <is>
          <t>InStock</t>
        </is>
      </c>
      <c r="S4123" t="inlineStr">
        <is>
          <t>45.0</t>
        </is>
      </c>
      <c r="T4123" t="inlineStr">
        <is>
          <t>7856651239640</t>
        </is>
      </c>
    </row>
    <row r="4124" ht="87" customHeight="1">
      <c r="A4124" s="2">
        <f>HYPERLINK("https://edmondsonsupply.com/collections/electricians-tools/products/hilmor-1839056-shsm516-magnetic-tip-stubby-nut-driver-5-16-hex-x-1-1-2-shank", "https://edmondsonsupply.com/collections/electricians-tools/products/hilmor-1839056-shsm516-magnetic-tip-stubby-nut-driver-5-16-hex-x-1-1-2-shank")</f>
        <v/>
      </c>
      <c r="B4124" s="2">
        <f>HYPERLINK("https://edmondsonsupply.com/products/hilmor-1839056-shsm516-magnetic-tip-stubby-nut-driver-5-16-hex-x-1-1-2-shank", "https://edmondsonsupply.com/products/hilmor-1839056-shsm516-magnetic-tip-stubby-nut-driver-5-16-hex-x-1-1-2-shank")</f>
        <v/>
      </c>
      <c r="C4124" t="inlineStr">
        <is>
          <t>Hilmor 1839056 5/16" x 1-1/2" Shaft Magnetic Stubby Nut-Driver</t>
        </is>
      </c>
      <c r="D4124" t="inlineStr">
        <is>
          <t>Hilmor 1-1/2" Shaft Magnetic Nut Driver 2 Piece Set, 1/4" &amp; 5/16", 1839057</t>
        </is>
      </c>
      <c r="E4124" s="2">
        <f>HYPERLINK("https://www.amazon.com/hilmor-1839057-Shaft-Magnetic-Driver/dp/B00KUURVVG/ref=sr_1_15?keywords=Hilmor+1839056+5%2F16%22+x+1-1%2F2%22+Shaft+Magnetic+Stubby+Nut-Driver&amp;qid=1694735360&amp;sr=8-15", "https://www.amazon.com/hilmor-1839057-Shaft-Magnetic-Driver/dp/B00KUURVVG/ref=sr_1_15?keywords=Hilmor+1839056+5%2F16%22+x+1-1%2F2%22+Shaft+Magnetic+Stubby+Nut-Driver&amp;qid=1694735360&amp;sr=8-15")</f>
        <v/>
      </c>
      <c r="F4124" t="inlineStr">
        <is>
          <t>B00KUURVVG</t>
        </is>
      </c>
      <c r="G4124">
        <f>_xlfn.IMAGE("https://edmondsonsupply.com/cdn/shop/products/1839056-O1.jpg?v=1587145836")</f>
        <v/>
      </c>
      <c r="H4124">
        <f>_xlfn.IMAGE("https://m.media-amazon.com/images/I/71dCfc2m6xL._AC_UL320_.jpg")</f>
        <v/>
      </c>
      <c r="K4124" t="inlineStr">
        <is>
          <t>7.88</t>
        </is>
      </c>
      <c r="L4124" t="n">
        <v>17.8</v>
      </c>
      <c r="M4124" s="1" t="inlineStr">
        <is>
          <t>125.89%</t>
        </is>
      </c>
      <c r="N4124" s="7" t="n">
        <v>0.18</v>
      </c>
      <c r="O4124" t="n">
        <v>4.9</v>
      </c>
      <c r="P4124" t="n">
        <v>15</v>
      </c>
      <c r="R4124" t="inlineStr">
        <is>
          <t>InStock</t>
        </is>
      </c>
      <c r="S4124" t="inlineStr">
        <is>
          <t>undefined</t>
        </is>
      </c>
      <c r="T4124" t="inlineStr">
        <is>
          <t>2109547741284</t>
        </is>
      </c>
    </row>
    <row r="4125" ht="87" customHeight="1">
      <c r="A4125" s="2">
        <f>HYPERLINK("https://edmondsonsupply.com/collections/electricians-tools/products/hilmor-1839055-shsm14-magnetic-tip-stubby-nut-driver-1-4-hex-x-1-1-2-shank", "https://edmondsonsupply.com/collections/electricians-tools/products/hilmor-1839055-shsm14-magnetic-tip-stubby-nut-driver-1-4-hex-x-1-1-2-shank")</f>
        <v/>
      </c>
      <c r="B4125" s="2">
        <f>HYPERLINK("https://edmondsonsupply.com/products/hilmor-1839055-shsm14-magnetic-tip-stubby-nut-driver-1-4-hex-x-1-1-2-shank", "https://edmondsonsupply.com/products/hilmor-1839055-shsm14-magnetic-tip-stubby-nut-driver-1-4-hex-x-1-1-2-shank")</f>
        <v/>
      </c>
      <c r="C4125" t="inlineStr">
        <is>
          <t>Hilmor 1839055 1/4" x 1-1/2" Shaft Magnetic Stubby Nut-Driver</t>
        </is>
      </c>
      <c r="D4125" t="inlineStr">
        <is>
          <t>Hilmor 1-1/2" Shaft Magnetic Nut Driver 2 Piece Set, 1/4" &amp; 5/16", 1839057</t>
        </is>
      </c>
      <c r="E4125" s="2">
        <f>HYPERLINK("https://www.amazon.com/hilmor-1839057-Shaft-Magnetic-Driver/dp/B00KUURVVG/ref=sr_1_10?keywords=Hilmor+1839055+1%2F4+x+1-1%2F2+Shaft+Magnetic+Stubby+Nut-Driver&amp;qid=1694735336&amp;sr=8-10", "https://www.amazon.com/hilmor-1839057-Shaft-Magnetic-Driver/dp/B00KUURVVG/ref=sr_1_10?keywords=Hilmor+1839055+1%2F4+x+1-1%2F2+Shaft+Magnetic+Stubby+Nut-Driver&amp;qid=1694735336&amp;sr=8-10")</f>
        <v/>
      </c>
      <c r="F4125" t="inlineStr">
        <is>
          <t>B00KUURVVG</t>
        </is>
      </c>
      <c r="G4125">
        <f>_xlfn.IMAGE("https://edmondsonsupply.com/cdn/shop/products/1839055-O1.jpg?v=1587147121")</f>
        <v/>
      </c>
      <c r="H4125">
        <f>_xlfn.IMAGE("https://m.media-amazon.com/images/I/71dCfc2m6xL._AC_UL320_.jpg")</f>
        <v/>
      </c>
      <c r="K4125" t="inlineStr">
        <is>
          <t>7.88</t>
        </is>
      </c>
      <c r="L4125" t="n">
        <v>17.8</v>
      </c>
      <c r="M4125" s="1" t="inlineStr">
        <is>
          <t>125.89%</t>
        </is>
      </c>
      <c r="N4125" s="7" t="n">
        <v>0.13</v>
      </c>
      <c r="O4125" t="n">
        <v>4.9</v>
      </c>
      <c r="P4125" t="n">
        <v>15</v>
      </c>
      <c r="R4125" t="inlineStr">
        <is>
          <t>InStock</t>
        </is>
      </c>
      <c r="S4125" t="inlineStr">
        <is>
          <t>undefined</t>
        </is>
      </c>
      <c r="T4125" t="inlineStr">
        <is>
          <t>2109745037412</t>
        </is>
      </c>
    </row>
    <row r="4126" ht="87" customHeight="1">
      <c r="A4126" s="2">
        <f>HYPERLINK("https://edmondsonsupply.com/collections/electricians-tools/products/diablo-tools-dmamx1010", "https://edmondsonsupply.com/collections/electricians-tools/products/diablo-tools-dmamx1010")</f>
        <v/>
      </c>
      <c r="B4126" s="2">
        <f>HYPERLINK("https://edmondsonsupply.com/products/diablo-tools-dmamx1010", "https://edmondsonsupply.com/products/diablo-tools-dmamx1010")</f>
        <v/>
      </c>
      <c r="C4126" t="inlineStr">
        <is>
          <t>Diablo Tools DMAMX1010 3/8 in. x 8 in. x 13 in. Rebar Demon SDS‑Max 4‑Cutter Full Carbide Head Hammer Bit</t>
        </is>
      </c>
      <c r="D4126" t="inlineStr">
        <is>
          <t>Diablo DMAMX1110 5/8 in. x 24 in. x 29 in. Rebar Demon™ SDS-Max 4-Cutter Full Carbide Head Hammer Bit</t>
        </is>
      </c>
      <c r="E4126" s="2">
        <f>HYPERLINK("https://www.amazon.com/Diablo-SDS-Max-4-Cutter-Carbide-Hammer/dp/B089LJ9GHW/ref=sr_1_15?keywords=Diablo+Tools+DMAMX1010+3%2F8+in.+x+8+in.+x+13+in.+Rebar+Demon+SDS%E2%80%91Max+4%E2%80%91Cutter+Full+Carbide+Head+Hammer+Bit&amp;qid=1694735277&amp;sr=8-15", "https://www.amazon.com/Diablo-SDS-Max-4-Cutter-Carbide-Hammer/dp/B089LJ9GHW/ref=sr_1_15?keywords=Diablo+Tools+DMAMX1010+3%2F8+in.+x+8+in.+x+13+in.+Rebar+Demon+SDS%E2%80%91Max+4%E2%80%91Cutter+Full+Carbide+Head+Hammer+Bit&amp;qid=1694735277&amp;sr=8-15")</f>
        <v/>
      </c>
      <c r="F4126" t="inlineStr">
        <is>
          <t>B089LJ9GHW</t>
        </is>
      </c>
      <c r="G4126">
        <f>_xlfn.IMAGE("https://edmondsonsupply.com/cdn/shop/products/DMAMX1010_Main-Image20200701.png?v=1609797900")</f>
        <v/>
      </c>
      <c r="H4126">
        <f>_xlfn.IMAGE("https://m.media-amazon.com/images/I/61vWAd-z8eL._AC_UL320_.jpg")</f>
        <v/>
      </c>
      <c r="K4126" t="inlineStr">
        <is>
          <t>34.97</t>
        </is>
      </c>
      <c r="L4126" t="n">
        <v>78.98999999999999</v>
      </c>
      <c r="M4126" s="1" t="inlineStr">
        <is>
          <t>125.88%</t>
        </is>
      </c>
      <c r="N4126" s="7" t="n">
        <v>0.1</v>
      </c>
      <c r="O4126" t="n">
        <v>4.7</v>
      </c>
      <c r="P4126" t="n">
        <v>4</v>
      </c>
      <c r="R4126" t="inlineStr">
        <is>
          <t>InStock</t>
        </is>
      </c>
      <c r="S4126" t="inlineStr">
        <is>
          <t>43.11</t>
        </is>
      </c>
      <c r="T4126" t="inlineStr">
        <is>
          <t>5463785701544</t>
        </is>
      </c>
    </row>
    <row r="4127" ht="87" customHeight="1">
      <c r="A4127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4127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4127" t="inlineStr">
        <is>
          <t>Diablo Tools DMAPL4160 3/8 in. x 10 in. x 12 in. Rebar Demon™ SDS-Plus 4-Cutter Full Carbide Head Hammer Bit</t>
        </is>
      </c>
      <c r="D4127" t="inlineStr">
        <is>
          <t>Diablo by Freud DMAPL4230 5/8 in. x 10 in. x 12 in. Rebar Demon SDS-Plus 4-Cutter Full Carbide Head Hammer Bit</t>
        </is>
      </c>
      <c r="E4127" s="2">
        <f>HYPERLINK("https://www.amazon.com/Diablo-Freud-DMAPL4230-SDS-Plus-4-Cutter/dp/B089LCN234/ref=sr_1_4?keywords=Diablo+Tools+DMAPL4160+3%2F8+in.+x+10+in.+x+12+in.+Rebar+Demon%E2%84%A2+SDS-Plus+4-Cutter+Full+Carbide+Head+Hammer+Bit&amp;qid=1694735304&amp;sr=8-4", "https://www.amazon.com/Diablo-Freud-DMAPL4230-SDS-Plus-4-Cutter/dp/B089LCN234/ref=sr_1_4?keywords=Diablo+Tools+DMAPL4160+3%2F8+in.+x+10+in.+x+12+in.+Rebar+Demon%E2%84%A2+SDS-Plus+4-Cutter+Full+Carbide+Head+Hammer+Bit&amp;qid=1694735304&amp;sr=8-4")</f>
        <v/>
      </c>
      <c r="F4127" t="inlineStr">
        <is>
          <t>B089LCN234</t>
        </is>
      </c>
      <c r="G4127">
        <f>_xlfn.IMAGE("https://edmondsonsupply.com/cdn/shop/products/w7y3zlfom8dhrlplcmqa.webp?v=1670439058")</f>
        <v/>
      </c>
      <c r="H4127">
        <f>_xlfn.IMAGE("https://m.media-amazon.com/images/I/61r649wmyhL._AC_UL320_.jpg")</f>
        <v/>
      </c>
      <c r="K4127" t="inlineStr">
        <is>
          <t>9.97</t>
        </is>
      </c>
      <c r="L4127" t="n">
        <v>22.51</v>
      </c>
      <c r="M4127" s="1" t="inlineStr">
        <is>
          <t>125.78%</t>
        </is>
      </c>
      <c r="N4127" s="7" t="n">
        <v>0.08</v>
      </c>
      <c r="O4127" t="n">
        <v>4.7</v>
      </c>
      <c r="P4127" t="n">
        <v>47</v>
      </c>
      <c r="R4127" t="inlineStr">
        <is>
          <t>InStock</t>
        </is>
      </c>
      <c r="S4127" t="inlineStr">
        <is>
          <t>15.02</t>
        </is>
      </c>
      <c r="T4127" t="inlineStr">
        <is>
          <t>5286778601640</t>
        </is>
      </c>
    </row>
    <row r="4128" ht="87" customHeight="1">
      <c r="A4128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4128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4128" t="inlineStr">
        <is>
          <t>Diablo Tools DMAPL4180 1/2 in. x 4 in. x 6 in. Rebar Demon™ SDS-Plus 4-Cutter Full Carbide Head Hammer Bit</t>
        </is>
      </c>
      <c r="D4128" t="inlineStr">
        <is>
          <t>Diablo by Freud DMAPL4230 5/8 in. x 10 in. x 12 in. Rebar Demon SDS-Plus 4-Cutter Full Carbide Head Hammer Bit</t>
        </is>
      </c>
      <c r="E4128" s="2">
        <f>HYPERLINK("https://www.amazon.com/Diablo-Freud-DMAPL4230-SDS-Plus-4-Cutter/dp/B089LCN234/ref=sr_1_29?keywords=Diablo+Tools+DMAPL4180+1%2F2+in.+x+4+in.+x+6+in.+Rebar+Demon%E2%84%A2+SDS-Plus+4-Cutter+Full+Carbide+Head+Hammer+Bit&amp;qid=1694735298&amp;sr=8-29", "https://www.amazon.com/Diablo-Freud-DMAPL4230-SDS-Plus-4-Cutter/dp/B089LCN234/ref=sr_1_29?keywords=Diablo+Tools+DMAPL4180+1%2F2+in.+x+4+in.+x+6+in.+Rebar+Demon%E2%84%A2+SDS-Plus+4-Cutter+Full+Carbide+Head+Hammer+Bit&amp;qid=1694735298&amp;sr=8-29")</f>
        <v/>
      </c>
      <c r="F4128" t="inlineStr">
        <is>
          <t>B089LCN234</t>
        </is>
      </c>
      <c r="G4128">
        <f>_xlfn.IMAGE("https://edmondsonsupply.com/cdn/shop/products/DMAPL4180_Main-Image20200702.png?v=1633030362")</f>
        <v/>
      </c>
      <c r="H4128">
        <f>_xlfn.IMAGE("https://m.media-amazon.com/images/I/61r649wmyhL._AC_UL320_.jpg")</f>
        <v/>
      </c>
      <c r="K4128" t="inlineStr">
        <is>
          <t>9.97</t>
        </is>
      </c>
      <c r="L4128" t="n">
        <v>22.51</v>
      </c>
      <c r="M4128" s="1" t="inlineStr">
        <is>
          <t>125.78%</t>
        </is>
      </c>
      <c r="N4128" s="7" t="n">
        <v>0.08</v>
      </c>
      <c r="O4128" t="n">
        <v>4.7</v>
      </c>
      <c r="P4128" t="n">
        <v>47</v>
      </c>
      <c r="R4128" t="inlineStr">
        <is>
          <t>InStock</t>
        </is>
      </c>
      <c r="S4128" t="inlineStr">
        <is>
          <t>undefined</t>
        </is>
      </c>
      <c r="T4128" t="inlineStr">
        <is>
          <t>5286803833000</t>
        </is>
      </c>
    </row>
    <row r="4129" ht="87" customHeight="1">
      <c r="A4129" s="2">
        <f>HYPERLINK("https://edmondsonsupply.com/collections/electricians-tools/products/greenlee-612-1-1-2-foam-conduit-piston", "https://edmondsonsupply.com/collections/electricians-tools/products/greenlee-612-1-1-2-foam-conduit-piston")</f>
        <v/>
      </c>
      <c r="B4129" s="2">
        <f>HYPERLINK("https://edmondsonsupply.com/products/greenlee-612-1-1-2-foam-conduit-piston", "https://edmondsonsupply.com/products/greenlee-612-1-1-2-foam-conduit-piston")</f>
        <v/>
      </c>
      <c r="C4129" t="inlineStr">
        <is>
          <t>Greenlee 612 1-1/2" Foam Conduit Piston</t>
        </is>
      </c>
      <c r="D4129" t="inlineStr">
        <is>
          <t>Greenlee - Piston,2-1/2" Conduit, Fishing (614)</t>
        </is>
      </c>
      <c r="E4129" s="2">
        <f>HYPERLINK("https://www.amazon.com/Greenlee-614-Piston-2-1-Conduit/dp/B0042T01W2/ref=sr_1_10?keywords=Greenlee+612+1-1%2F2%22+Foam+Conduit+Piston&amp;qid=1694734991&amp;sr=8-10", "https://www.amazon.com/Greenlee-614-Piston-2-1-Conduit/dp/B0042T01W2/ref=sr_1_10?keywords=Greenlee+612+1-1%2F2%22+Foam+Conduit+Piston&amp;qid=1694734991&amp;sr=8-10")</f>
        <v/>
      </c>
      <c r="F4129" t="inlineStr">
        <is>
          <t>B0042T01W2</t>
        </is>
      </c>
      <c r="G4129">
        <f>_xlfn.IMAGE("https://edmondsonsupply.com/cdn/shop/files/612.png?v=1687451101")</f>
        <v/>
      </c>
      <c r="H4129">
        <f>_xlfn.IMAGE("https://m.media-amazon.com/images/I/A1x3jV0pkfL._AC_UL320_.jpg")</f>
        <v/>
      </c>
      <c r="K4129" t="inlineStr">
        <is>
          <t>11.33</t>
        </is>
      </c>
      <c r="L4129" t="n">
        <v>25.56</v>
      </c>
      <c r="M4129" s="1" t="inlineStr">
        <is>
          <t>125.60%</t>
        </is>
      </c>
      <c r="N4129" s="7" t="n">
        <v>0.07000000000000001</v>
      </c>
      <c r="O4129" t="n">
        <v>4.3</v>
      </c>
      <c r="P4129" t="n">
        <v>11</v>
      </c>
      <c r="R4129" t="inlineStr">
        <is>
          <t>InStock</t>
        </is>
      </c>
      <c r="S4129" t="inlineStr">
        <is>
          <t>undefined</t>
        </is>
      </c>
      <c r="T4129" t="inlineStr">
        <is>
          <t>8007993032920</t>
        </is>
      </c>
    </row>
    <row r="4130" ht="87" customHeight="1">
      <c r="A4130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130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130" t="inlineStr">
        <is>
          <t>Diablo Tools DMAPL4080 1/4 in. x 6 in. x 8 in. Rebar Demon™ SDS-Plus 4-Cutter Full Carbide Head Hammer Bit</t>
        </is>
      </c>
      <c r="D4130" t="inlineStr">
        <is>
          <t>Diablo 1/4"x 16"x18" Rebar Demon™ SDS-Plus 4-Cutter Full Carbide Head Hammer Bit</t>
        </is>
      </c>
      <c r="E4130" s="2">
        <f>HYPERLINK("https://www.amazon.com/Diablo-DMAPL4100-SDS-Plus-4-Cutter-Carbide/dp/B089LG82VT/ref=sr_1_9?keywords=Diablo+Tools+DMAPL4080+1%2F4+in.+x+6+in.+x+8+in.+Rebar+Demon%E2%84%A2+SDS-Plus+4-Cutter+Full+Carbide+Head+Hammer+Bit&amp;qid=1694735294&amp;sr=8-9", "https://www.amazon.com/Diablo-DMAPL4100-SDS-Plus-4-Cutter-Carbide/dp/B089LG82VT/ref=sr_1_9?keywords=Diablo+Tools+DMAPL4080+1%2F4+in.+x+6+in.+x+8+in.+Rebar+Demon%E2%84%A2+SDS-Plus+4-Cutter+Full+Carbide+Head+Hammer+Bit&amp;qid=1694735294&amp;sr=8-9")</f>
        <v/>
      </c>
      <c r="F4130" t="inlineStr">
        <is>
          <t>B089LG82VT</t>
        </is>
      </c>
      <c r="G4130">
        <f>_xlfn.IMAGE("https://edmondsonsupply.com/cdn/shop/products/DMAPL4080_1.jpg?v=1633030359")</f>
        <v/>
      </c>
      <c r="H4130">
        <f>_xlfn.IMAGE("https://m.media-amazon.com/images/I/61feUT5pRgL._AC_UL320_.jpg")</f>
        <v/>
      </c>
      <c r="K4130" t="inlineStr">
        <is>
          <t>7.47</t>
        </is>
      </c>
      <c r="L4130" t="n">
        <v>16.85</v>
      </c>
      <c r="M4130" s="1" t="inlineStr">
        <is>
          <t>125.57%</t>
        </is>
      </c>
      <c r="N4130" s="7" t="n">
        <v>0.06</v>
      </c>
      <c r="O4130" t="n">
        <v>4.9</v>
      </c>
      <c r="P4130" t="n">
        <v>46</v>
      </c>
      <c r="R4130" t="inlineStr">
        <is>
          <t>InStock</t>
        </is>
      </c>
      <c r="S4130" t="inlineStr">
        <is>
          <t>undefined</t>
        </is>
      </c>
      <c r="T4130" t="inlineStr">
        <is>
          <t>5286767919272</t>
        </is>
      </c>
    </row>
    <row r="4131" ht="87" customHeight="1">
      <c r="A4131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4131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4131" t="inlineStr">
        <is>
          <t>Diablo Tools DMARG1160 1/2 in. x 10 in. x 12 in. SPEEDemon™ Red Granite Carbide Tipped Hammer Drill Bit</t>
        </is>
      </c>
      <c r="D4131" t="inlineStr">
        <is>
          <t>Sabre Tools 4-Piece 12 Inch SDS Plus Drill Bit Set, Carbide Tipped, Rotary Hammer Drill Bits for Brick, Stone, Concrete (5/8in x 12in, 3/4in x 12in, 7/8in x 12in, 1in x 12in)</t>
        </is>
      </c>
      <c r="E4131" s="2">
        <f>HYPERLINK("https://www.amazon.com/Sabre-Tools-4-Piece-Carbide-Concrete/dp/B08CXSQ8YY/ref=sr_1_26?keywords=Diablo+Tools+DMARG1160+1%2F2+in.+x+10+in.+x+12+in.+SPEEDemon%E2%84%A2+Red+Granite+Carbide+Tipped+Hammer+Drill+Bit&amp;qid=1694735262&amp;sr=8-26", "https://www.amazon.com/Sabre-Tools-4-Piece-Carbide-Concrete/dp/B08CXSQ8YY/ref=sr_1_26?keywords=Diablo+Tools+DMARG1160+1%2F2+in.+x+10+in.+x+12+in.+SPEEDemon%E2%84%A2+Red+Granite+Carbide+Tipped+Hammer+Drill+Bit&amp;qid=1694735262&amp;sr=8-26")</f>
        <v/>
      </c>
      <c r="F4131" t="inlineStr">
        <is>
          <t>B08CXSQ8YY</t>
        </is>
      </c>
      <c r="G4131">
        <f>_xlfn.IMAGE("https://edmondsonsupply.com/cdn/shop/products/DMARG1160_Main-Image20200513.png?v=1633030651")</f>
        <v/>
      </c>
      <c r="H4131">
        <f>_xlfn.IMAGE("https://m.media-amazon.com/images/I/81pzza-F7bL._AC_UL320_.jpg")</f>
        <v/>
      </c>
      <c r="K4131" t="inlineStr">
        <is>
          <t>15.97</t>
        </is>
      </c>
      <c r="L4131" t="n">
        <v>35.99</v>
      </c>
      <c r="M4131" s="1" t="inlineStr">
        <is>
          <t>125.36%</t>
        </is>
      </c>
      <c r="N4131" s="7" t="n">
        <v>0.05</v>
      </c>
      <c r="O4131" t="n">
        <v>4.6</v>
      </c>
      <c r="P4131" t="n">
        <v>286</v>
      </c>
      <c r="R4131" t="inlineStr">
        <is>
          <t>InStock</t>
        </is>
      </c>
      <c r="S4131" t="inlineStr">
        <is>
          <t>undefined</t>
        </is>
      </c>
      <c r="T4131" t="inlineStr">
        <is>
          <t>5740401164456</t>
        </is>
      </c>
    </row>
    <row r="4132" hidden="1" ht="15.75" customHeight="1">
      <c r="A4132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4132" s="2">
        <f>HYPERLINK("https://edmondsonsupply.com/products/klein-tools-jth6e08-1-8-inch-hex-key-journeyman-t-handle-6-inch", "https://edmondsonsupply.com/products/klein-tools-jth6e08-1-8-inch-hex-key-journeyman-t-handle-6-inch")</f>
        <v/>
      </c>
      <c r="C4132" t="inlineStr">
        <is>
          <t>Klein Tools JTH6E08 1/8-Inch Hex Key, Journeyman T-Handle, 6-Inch</t>
        </is>
      </c>
      <c r="D4132" t="inlineStr">
        <is>
          <t>Klein Tools JTH6M8BE 8 mm Ball End Hex Key with Journeyman T-Handle, 6-Inch</t>
        </is>
      </c>
      <c r="E4132" s="2">
        <f>HYPERLINK("https://www.amazon.com/Journeyman-T-Handle-Klein-Tools-JTH6M8BE/dp/B005G395RU/ref=sr_1_5?keywords=Klein+Tools+JTH6E08+1%2F8-Inch+Hex+Key%2C+Journeyman+T-Handle%2C+6-Inch&amp;qid=1694735241&amp;sr=8-5", "https://www.amazon.com/Journeyman-T-Handle-Klein-Tools-JTH6M8BE/dp/B005G395RU/ref=sr_1_5?keywords=Klein+Tools+JTH6E08+1%2F8-Inch+Hex+Key%2C+Journeyman+T-Handle%2C+6-Inch&amp;qid=1694735241&amp;sr=8-5")</f>
        <v/>
      </c>
      <c r="F4132" t="inlineStr">
        <is>
          <t>B005G395RU</t>
        </is>
      </c>
      <c r="G4132">
        <f>_xludf.IMAGE("https://edmondsonsupply.com/cdn/shop/products/jth6e15_e3103b57-060e-4d47-a405-4e66dc6bbb91.jpg?v=1604272072")</f>
        <v/>
      </c>
      <c r="H4132">
        <f>_xludf.IMAGE("https://m.media-amazon.com/images/I/51AxgtE+VvL._AC_UL320_.jpg")</f>
        <v/>
      </c>
      <c r="K4132" t="inlineStr">
        <is>
          <t>3.99</t>
        </is>
      </c>
      <c r="L4132" t="n">
        <v>8.99</v>
      </c>
      <c r="M4132" s="1" t="inlineStr">
        <is>
          <t>125.31%</t>
        </is>
      </c>
      <c r="N4132" s="1" t="n">
        <v>0.05</v>
      </c>
      <c r="O4132" t="n">
        <v>4.8</v>
      </c>
      <c r="P4132" t="n">
        <v>985</v>
      </c>
      <c r="R4132" t="inlineStr">
        <is>
          <t>InStock</t>
        </is>
      </c>
      <c r="S4132" t="inlineStr">
        <is>
          <t>6.04</t>
        </is>
      </c>
      <c r="T4132" t="inlineStr">
        <is>
          <t>6005767635112</t>
        </is>
      </c>
    </row>
    <row r="4133" ht="87" customHeight="1">
      <c r="A4133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133" s="2">
        <f>HYPERLINK("https://edmondsonsupply.com/products/klein-tools-s10-5-16-inch-nut-driver-3-inch-hollow-shaft", "https://edmondsonsupply.com/products/klein-tools-s10-5-16-inch-nut-driver-3-inch-hollow-shaft")</f>
        <v/>
      </c>
      <c r="C4133" t="inlineStr">
        <is>
          <t>Klein Tools S10 5/16-Inch Nut Driver 3-Inch Hollow Shaft</t>
        </is>
      </c>
      <c r="D4133" t="inlineStr">
        <is>
          <t>Klein Tools 610M Tool Set, Magnetic Nut Driver Set with Stubby Nut Driver Sizes 1/4 and 5/16-Inch, Full Hollow Shaft, 2-Piece</t>
        </is>
      </c>
      <c r="E4133" s="2">
        <f>HYPERLINK("https://www.amazon.com/Klein-Tools-610M-16-Inch-Magnetic/dp/B00093DZO6/ref=sr_1_21?keywords=Klein+Tools+S10+5%2F16-Inch+Nut+Driver+3-Inch+Hollow+Shaft&amp;qid=1694735234&amp;sr=8-21", "https://www.amazon.com/Klein-Tools-610M-16-Inch-Magnetic/dp/B00093DZO6/ref=sr_1_21?keywords=Klein+Tools+S10+5%2F16-Inch+Nut+Driver+3-Inch+Hollow+Shaft&amp;qid=1694735234&amp;sr=8-21")</f>
        <v/>
      </c>
      <c r="F4133" t="inlineStr">
        <is>
          <t>B00093DZO6</t>
        </is>
      </c>
      <c r="G4133">
        <f>_xlfn.IMAGE("https://edmondsonsupply.com/cdn/shop/products/s10_38acacb8-6c8e-49ef-8ed3-7160ab53875a.jpg?v=1633030893")</f>
        <v/>
      </c>
      <c r="H4133">
        <f>_xlfn.IMAGE("https://m.media-amazon.com/images/I/51lgiheW64L._AC_UL320_.jpg")</f>
        <v/>
      </c>
      <c r="K4133" t="inlineStr">
        <is>
          <t>7.99</t>
        </is>
      </c>
      <c r="L4133" t="n">
        <v>17.99</v>
      </c>
      <c r="M4133" s="1" t="inlineStr">
        <is>
          <t>125.16%</t>
        </is>
      </c>
      <c r="N4133" s="7" t="n">
        <v>0.05</v>
      </c>
      <c r="O4133" t="n">
        <v>4.8</v>
      </c>
      <c r="P4133" t="n">
        <v>559</v>
      </c>
      <c r="R4133" t="inlineStr">
        <is>
          <t>InStock</t>
        </is>
      </c>
      <c r="S4133" t="inlineStr">
        <is>
          <t>12.06</t>
        </is>
      </c>
      <c r="T4133" t="inlineStr">
        <is>
          <t>6223447031981</t>
        </is>
      </c>
    </row>
    <row r="4134" ht="87" customHeight="1">
      <c r="A4134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134" s="2">
        <f>HYPERLINK("https://edmondsonsupply.com/products/klein-tools-et45-ac-dc-voltage-tester", "https://edmondsonsupply.com/products/klein-tools-et45-ac-dc-voltage-tester")</f>
        <v/>
      </c>
      <c r="C4134" t="inlineStr">
        <is>
          <t>Klein Tools ET45 AC/DC Voltage Tester</t>
        </is>
      </c>
      <c r="D4134" t="inlineStr">
        <is>
          <t>Klein Tools ET60 Voltage Tester, Tests AC and DC Voltage and Low Voltage, No Batteries Needed, Orange/Black</t>
        </is>
      </c>
      <c r="E4134" s="2">
        <f>HYPERLINK("https://www.amazon.com/Electronic-Voltage-Klein-Tools-ET60/dp/B06WWFGHQZ/ref=sr_1_4?keywords=Klein+Tools+ET45+AC%2FDC+Voltage+Tester&amp;qid=1694735227&amp;sr=8-4", "https://www.amazon.com/Electronic-Voltage-Klein-Tools-ET60/dp/B06WWFGHQZ/ref=sr_1_4?keywords=Klein+Tools+ET45+AC%2FDC+Voltage+Tester&amp;qid=1694735227&amp;sr=8-4")</f>
        <v/>
      </c>
      <c r="F4134" t="inlineStr">
        <is>
          <t>B06WWFGHQZ</t>
        </is>
      </c>
      <c r="G4134">
        <f>_xlfn.IMAGE("https://edmondsonsupply.com/cdn/shop/products/et45.jpg?v=1647786270")</f>
        <v/>
      </c>
      <c r="H4134">
        <f>_xlfn.IMAGE("https://m.media-amazon.com/images/I/61bFp93k0pL._AC_UL320_.jpg")</f>
        <v/>
      </c>
      <c r="K4134" t="inlineStr">
        <is>
          <t>11.99</t>
        </is>
      </c>
      <c r="L4134" t="n">
        <v>26.99</v>
      </c>
      <c r="M4134" s="1" t="inlineStr">
        <is>
          <t>125.10%</t>
        </is>
      </c>
      <c r="N4134" s="7" t="n">
        <v>0.02</v>
      </c>
      <c r="O4134" t="n">
        <v>4.6</v>
      </c>
      <c r="P4134" t="n">
        <v>1111</v>
      </c>
      <c r="R4134" t="inlineStr">
        <is>
          <t>InStock</t>
        </is>
      </c>
      <c r="S4134" t="inlineStr">
        <is>
          <t>16.72</t>
        </is>
      </c>
      <c r="T4134" t="inlineStr">
        <is>
          <t>3688633630820</t>
        </is>
      </c>
    </row>
    <row r="4135" hidden="1" ht="15.75" customHeight="1">
      <c r="A4135" s="2">
        <f>HYPERLINK("https://edmondsonsupply.com/collections/electricians-tools/products/diablo-tools-dsp1060-1-in-x-4-in-spade-bit", "https://edmondsonsupply.com/collections/electricians-tools/products/diablo-tools-dsp1060-1-in-x-4-in-spade-bit")</f>
        <v/>
      </c>
      <c r="B4135" s="2">
        <f>HYPERLINK("https://edmondsonsupply.com/products/diablo-tools-dsp1060-1-in-x-4-in-spade-bit", "https://edmondsonsupply.com/products/diablo-tools-dsp1060-1-in-x-4-in-spade-bit")</f>
        <v/>
      </c>
      <c r="C4135" t="inlineStr">
        <is>
          <t>Diablo Tools DSP1060 1 in. x 4 in. Spade Bit</t>
        </is>
      </c>
      <c r="D4135" t="inlineStr">
        <is>
          <t>Diablo by Freud DSP1020 1/2 in. x 4 in. SPEEDemon Spade Bit Multi, One Size</t>
        </is>
      </c>
      <c r="E4135" s="2">
        <f>HYPERLINK("https://www.amazon.com/Diablo-DSP1020-SPEEDemon-Spade-Bit/dp/B089LMWCBQ/ref=sr_1_4?keywords=Diablo+Tools+DSP1060+1+in.+x+4+in.+Spade+Bit&amp;qid=1694735068&amp;sr=8-4", "https://www.amazon.com/Diablo-DSP1020-SPEEDemon-Spade-Bit/dp/B089LMWCBQ/ref=sr_1_4?keywords=Diablo+Tools+DSP1060+1+in.+x+4+in.+Spade+Bit&amp;qid=1694735068&amp;sr=8-4")</f>
        <v/>
      </c>
      <c r="F4135" t="inlineStr">
        <is>
          <t>B089LMWCBQ</t>
        </is>
      </c>
      <c r="G4135">
        <f>_xludf.IMAGE("https://edmondsonsupply.com/cdn/shop/products/hanbmwlurgioczoyawta.webp?v=1670510289")</f>
        <v/>
      </c>
      <c r="H4135">
        <f>_xludf.IMAGE("https://m.media-amazon.com/images/I/61Ys49qYq0L._AC_UL320_.jpg")</f>
        <v/>
      </c>
      <c r="K4135" t="inlineStr">
        <is>
          <t>2.59</t>
        </is>
      </c>
      <c r="L4135" t="n">
        <v>5.83</v>
      </c>
      <c r="M4135" s="1" t="inlineStr">
        <is>
          <t>125.10%</t>
        </is>
      </c>
      <c r="N4135" s="1" t="n">
        <v>0.02</v>
      </c>
      <c r="O4135" t="n">
        <v>4.2</v>
      </c>
      <c r="P4135" t="n">
        <v>12</v>
      </c>
      <c r="R4135" t="inlineStr">
        <is>
          <t>InStock</t>
        </is>
      </c>
      <c r="S4135" t="inlineStr">
        <is>
          <t>2.96</t>
        </is>
      </c>
      <c r="T4135" t="inlineStr">
        <is>
          <t>7901168730328</t>
        </is>
      </c>
    </row>
    <row r="4136" ht="87" customHeight="1">
      <c r="A4136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4136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4136" t="inlineStr">
        <is>
          <t>Klein Tools 630-1/2 1/2-Inch Nut Driver, 3-Inch Shaft, Cushion-Grip</t>
        </is>
      </c>
      <c r="D4136" t="inlineStr">
        <is>
          <t>Klein Tools 646-1/2-INS Insulated Nut Driver, 1/2-Inch Hex, Cushion Grip Handle, 6-Inch Round Hollow Shaft</t>
        </is>
      </c>
      <c r="E4136" s="2">
        <f>HYPERLINK("https://www.amazon.com/Insulated-Klein-Tools-646-1-2-INS/dp/B000MKH5ZG/ref=sr_1_3?keywords=Klein+Tools+630-1%2F2+1%2F2-Inch+Nut+Driver%2C+3-Inch+Shaft%2C+Cushion-Grip&amp;qid=1694735275&amp;sr=8-3", "https://www.amazon.com/Insulated-Klein-Tools-646-1-2-INS/dp/B000MKH5ZG/ref=sr_1_3?keywords=Klein+Tools+630-1%2F2+1%2F2-Inch+Nut+Driver%2C+3-Inch+Shaft%2C+Cushion-Grip&amp;qid=1694735275&amp;sr=8-3")</f>
        <v/>
      </c>
      <c r="F4136" t="inlineStr">
        <is>
          <t>B000MKH5ZG</t>
        </is>
      </c>
      <c r="G4136">
        <f>_xlfn.IMAGE("https://edmondsonsupply.com/cdn/shop/products/630-1-2_7cf2cc87-b92f-4b67-9777-1bad53f29a16.jpg?v=1633030528")</f>
        <v/>
      </c>
      <c r="H4136">
        <f>_xlfn.IMAGE("https://m.media-amazon.com/images/I/41LhqEbpChL._AC_UL320_.jpg")</f>
        <v/>
      </c>
      <c r="K4136" t="inlineStr">
        <is>
          <t>9.99</t>
        </is>
      </c>
      <c r="L4136" t="n">
        <v>22.45</v>
      </c>
      <c r="M4136" s="1" t="inlineStr">
        <is>
          <t>124.72%</t>
        </is>
      </c>
      <c r="N4136" s="7" t="n">
        <v>0</v>
      </c>
      <c r="O4136" t="n">
        <v>4.7</v>
      </c>
      <c r="P4136" t="n">
        <v>272</v>
      </c>
      <c r="R4136" t="inlineStr">
        <is>
          <t>InStock</t>
        </is>
      </c>
      <c r="S4136" t="inlineStr">
        <is>
          <t>14.38</t>
        </is>
      </c>
      <c r="T4136" t="inlineStr">
        <is>
          <t>5408826458280</t>
        </is>
      </c>
    </row>
    <row r="4137" ht="87" customHeight="1">
      <c r="A4137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137" s="2">
        <f>HYPERLINK("https://edmondsonsupply.com/products/klein-tools-rt310-afci-gfci-outlet-tester", "https://edmondsonsupply.com/products/klein-tools-rt310-afci-gfci-outlet-tester")</f>
        <v/>
      </c>
      <c r="C4137" t="inlineStr">
        <is>
          <t>Klein Tools RT310 AFCI / GFCI Outlet Tester</t>
        </is>
      </c>
      <c r="D4137" t="inlineStr">
        <is>
          <t>Klein Tools ET310 AC Circuit Breaker Finder, Electric Tester With Integrated GFCI Outlet Tester &amp; RT310 Outlet Tester, AFCI and GFCI Receptacle Tester for North American AC Electrical Outlets</t>
        </is>
      </c>
      <c r="E4137" s="2">
        <f>HYPERLINK("https://www.amazon.com/Klein-Tools-American-Electrical-Receptacles/dp/B08MFYB28G/ref=sr_1_6?keywords=Klein+Tools+RT310+AFCI+%2F+GFCI+Outlet+Tester&amp;qid=1694734989&amp;sr=8-6", "https://www.amazon.com/Klein-Tools-American-Electrical-Receptacles/dp/B08MFYB28G/ref=sr_1_6?keywords=Klein+Tools+RT310+AFCI+%2F+GFCI+Outlet+Tester&amp;qid=1694734989&amp;sr=8-6")</f>
        <v/>
      </c>
      <c r="F4137" t="inlineStr">
        <is>
          <t>B08MFYB28G</t>
        </is>
      </c>
      <c r="G4137">
        <f>_xlfn.IMAGE("https://edmondsonsupply.com/cdn/shop/products/rt310.jpg?v=1587148552")</f>
        <v/>
      </c>
      <c r="H4137">
        <f>_xlfn.IMAGE("https://m.media-amazon.com/images/I/5196xTz0FYL._AC_UL320_.jpg")</f>
        <v/>
      </c>
      <c r="K4137" t="inlineStr">
        <is>
          <t>39.97</t>
        </is>
      </c>
      <c r="L4137" t="n">
        <v>89.69</v>
      </c>
      <c r="M4137" s="1" t="inlineStr">
        <is>
          <t>124.39%</t>
        </is>
      </c>
      <c r="N4137" s="7" t="n">
        <v>0</v>
      </c>
      <c r="O4137" t="n">
        <v>4.5</v>
      </c>
      <c r="P4137" t="n">
        <v>48</v>
      </c>
      <c r="R4137" t="inlineStr">
        <is>
          <t>InStock</t>
        </is>
      </c>
      <c r="S4137" t="inlineStr">
        <is>
          <t>57.9</t>
        </is>
      </c>
      <c r="T4137" t="inlineStr">
        <is>
          <t>3372527779940</t>
        </is>
      </c>
    </row>
    <row r="4138" hidden="1" ht="15.75" customHeight="1">
      <c r="A4138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4138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4138" t="inlineStr">
        <is>
          <t>Diablo Tools DMARG1030 3/16 in. x 4 in. x 6 in. SPEEDemon™ Red Granite Carbide Tipped Hammer Drill Bit</t>
        </is>
      </c>
      <c r="D4138" t="inlineStr">
        <is>
          <t>Diablo DMARG1110 5/16 in. x 8 in. x 10 in. SPEEDemon™ Red Granite Carbide Tipped Hammer Drill Bit</t>
        </is>
      </c>
      <c r="E4138" s="2">
        <f>HYPERLINK("https://www.amazon.com/Diablo-DMARG1110-SPEEDemon-Granite-Carbide/dp/B089LN9JJL/ref=sr_1_12?keywords=Diablo+Tools+DMARG1030+3%2F16+in.+x+4+in.+x+6+in.+SPEEDemon%E2%84%A2+Red+Granite+Carbide+Tipped+Hammer+Drill+Bit&amp;qid=1694735280&amp;sr=8-12", "https://www.amazon.com/Diablo-DMARG1110-SPEEDemon-Granite-Carbide/dp/B089LN9JJL/ref=sr_1_12?keywords=Diablo+Tools+DMARG1030+3%2F16+in.+x+4+in.+x+6+in.+SPEEDemon%E2%84%A2+Red+Granite+Carbide+Tipped+Hammer+Drill+Bit&amp;qid=1694735280&amp;sr=8-12")</f>
        <v/>
      </c>
      <c r="F4138" t="inlineStr">
        <is>
          <t>B089LN9JJL</t>
        </is>
      </c>
      <c r="G4138">
        <f>_xludf.IMAGE("https://edmondsonsupply.com/cdn/shop/products/DMARG1030_Main-Image20200407.png?v=1633030509")</f>
        <v/>
      </c>
      <c r="H4138">
        <f>_xludf.IMAGE("https://m.media-amazon.com/images/I/61Qf0cC1SJL._AC_UL320_.jpg")</f>
        <v/>
      </c>
      <c r="K4138" t="inlineStr">
        <is>
          <t>4.47</t>
        </is>
      </c>
      <c r="L4138" t="n">
        <v>10.03</v>
      </c>
      <c r="M4138" s="1" t="inlineStr">
        <is>
          <t>124.38%</t>
        </is>
      </c>
      <c r="N4138" s="1" t="n">
        <v>0</v>
      </c>
      <c r="O4138" t="n">
        <v>4.2</v>
      </c>
      <c r="P4138" t="n">
        <v>5</v>
      </c>
      <c r="R4138" t="inlineStr">
        <is>
          <t>InStock</t>
        </is>
      </c>
      <c r="S4138" t="inlineStr">
        <is>
          <t>undefined</t>
        </is>
      </c>
      <c r="T4138" t="inlineStr">
        <is>
          <t>5386199629992</t>
        </is>
      </c>
    </row>
    <row r="4139" ht="87" customHeight="1">
      <c r="A4139" s="2">
        <f>HYPERLINK("https://edmondsonsupply.com/collections/electricians-tools/products/klein-tools-vdv526-052-cable-tester-lan-scout%C2%AE-jr-continuity-tester", "https://edmondsonsupply.com/collections/electricians-tools/products/klein-tools-vdv526-052-cable-tester-lan-scout%C2%AE-jr-continuity-tester")</f>
        <v/>
      </c>
      <c r="B4139" s="2">
        <f>HYPERLINK("https://edmondsonsupply.com/products/klein-tools-vdv526-052-cable-tester-lan-scout%c2%ae-jr-continuity-tester", "https://edmondsonsupply.com/products/klein-tools-vdv526-052-cable-tester-lan-scout%c2%ae-jr-continuity-tester")</f>
        <v/>
      </c>
      <c r="C4139" t="inlineStr">
        <is>
          <t>Klein Tools VDV526-052 Cable Tester, LAN Scout® Jr. Continuity Tester</t>
        </is>
      </c>
      <c r="D4139" t="inlineStr">
        <is>
          <t>Klein Tools VDV500-820 Cable Tracer with Probe Tone Pro Kit &amp; VDV526-200 Cable Tester, LAN Scout Jr. 2 Ethernet Cable Tester for CAT 5e, CAT 6/6A Cables with RJ45 Connections</t>
        </is>
      </c>
      <c r="E4139" s="2">
        <f>HYPERLINK("https://www.amazon.com/Klein-Tools-VDV500-820-VDV526-200-Connections/dp/B09T6ZKDCM/ref=sr_1_8?keywords=Klein+Tools+VDV526-052+Cable+Tester%2C+LAN+Scout%C2%AE+Jr.+Continuity+Tester&amp;qid=1694734999&amp;sr=8-8", "https://www.amazon.com/Klein-Tools-VDV500-820-VDV526-200-Connections/dp/B09T6ZKDCM/ref=sr_1_8?keywords=Klein+Tools+VDV526-052+Cable+Tester%2C+LAN+Scout%C2%AE+Jr.+Continuity+Tester&amp;qid=1694734999&amp;sr=8-8")</f>
        <v/>
      </c>
      <c r="F4139" t="inlineStr">
        <is>
          <t>B09T6ZKDCM</t>
        </is>
      </c>
      <c r="G4139">
        <f>_xlfn.IMAGE("https://edmondsonsupply.com/cdn/shop/files/vdv526-052.jpg?v=1685032494")</f>
        <v/>
      </c>
      <c r="H4139">
        <f>_xlfn.IMAGE("https://m.media-amazon.com/images/I/51X1EYSldCL._AC_UY218_.jpg")</f>
        <v/>
      </c>
      <c r="K4139" t="inlineStr">
        <is>
          <t>59.97</t>
        </is>
      </c>
      <c r="L4139" t="n">
        <v>134.53</v>
      </c>
      <c r="M4139" s="1" t="inlineStr">
        <is>
          <t>124.33%</t>
        </is>
      </c>
      <c r="N4139" s="7" t="n">
        <v>0</v>
      </c>
      <c r="O4139" t="n">
        <v>4.8</v>
      </c>
      <c r="P4139" t="n">
        <v>8</v>
      </c>
      <c r="R4139" t="inlineStr">
        <is>
          <t>InStock</t>
        </is>
      </c>
      <c r="S4139" t="inlineStr">
        <is>
          <t>96.68</t>
        </is>
      </c>
      <c r="T4139" t="inlineStr">
        <is>
          <t>7995835678936</t>
        </is>
      </c>
    </row>
    <row r="4140" ht="87" customHeight="1">
      <c r="A4140" s="2">
        <f>HYPERLINK("https://edmondsonsupply.com/collections/electricians-tools/products/fluke-tplus-electrical-tester", "https://edmondsonsupply.com/collections/electricians-tools/products/fluke-tplus-electrical-tester")</f>
        <v/>
      </c>
      <c r="B4140" s="2">
        <f>HYPERLINK("https://edmondsonsupply.com/products/fluke-tplus-electrical-tester", "https://edmondsonsupply.com/products/fluke-tplus-electrical-tester")</f>
        <v/>
      </c>
      <c r="C4140" t="inlineStr">
        <is>
          <t>Fluke T+ Electrical Tester</t>
        </is>
      </c>
      <c r="D4140" t="inlineStr">
        <is>
          <t>Fluke T6-600 Electrical Tester</t>
        </is>
      </c>
      <c r="E4140" s="2">
        <f>HYPERLINK("https://www.amazon.com/Fluke-4910331-T6-600-Electrical-Technology/dp/B076F1X29L/ref=sr_1_9?keywords=Fluke+T+Electrical+Tester&amp;qid=1694735309&amp;sr=8-9", "https://www.amazon.com/Fluke-4910331-T6-600-Electrical-Technology/dp/B076F1X29L/ref=sr_1_9?keywords=Fluke+T+Electrical+Tester&amp;qid=1694735309&amp;sr=8-9")</f>
        <v/>
      </c>
      <c r="F4140" t="inlineStr">
        <is>
          <t>B076F1X29L</t>
        </is>
      </c>
      <c r="G4140">
        <f>_xlfn.IMAGE("https://edmondsonsupply.com/cdn/shop/products/tplus.jpg?v=1633030280")</f>
        <v/>
      </c>
      <c r="H4140">
        <f>_xlfn.IMAGE("https://m.media-amazon.com/images/I/61U-IISkEOL._AC_UL320_.jpg")</f>
        <v/>
      </c>
      <c r="K4140" t="inlineStr">
        <is>
          <t>94.49</t>
        </is>
      </c>
      <c r="L4140" t="n">
        <v>211.95</v>
      </c>
      <c r="M4140" s="1" t="inlineStr">
        <is>
          <t>124.31%</t>
        </is>
      </c>
      <c r="N4140" s="7" t="n">
        <v>0</v>
      </c>
      <c r="O4140" t="n">
        <v>4.7</v>
      </c>
      <c r="P4140" t="n">
        <v>1118</v>
      </c>
      <c r="R4140" t="inlineStr">
        <is>
          <t>InStock</t>
        </is>
      </c>
      <c r="S4140" t="inlineStr">
        <is>
          <t>104.99</t>
        </is>
      </c>
      <c r="T4140" t="inlineStr">
        <is>
          <t>5238397337768</t>
        </is>
      </c>
    </row>
    <row r="4141" ht="87" customHeight="1">
      <c r="A4141" s="2">
        <f>HYPERLINK("https://edmondsonsupply.com/collections/electricians-tools/products/klein-tools-vdv512-110-remote-kit-for-coax-explorer%C2%AE-tester", "https://edmondsonsupply.com/collections/electricians-tools/products/klein-tools-vdv512-110-remote-kit-for-coax-explorer%C2%AE-tester")</f>
        <v/>
      </c>
      <c r="B4141" s="2">
        <f>HYPERLINK("https://edmondsonsupply.com/products/klein-tools-vdv512-110-remote-kit-for-coax-explorer%c2%ae-tester", "https://edmondsonsupply.com/products/klein-tools-vdv512-110-remote-kit-for-coax-explorer%c2%ae-tester")</f>
        <v/>
      </c>
      <c r="C4141" t="inlineStr">
        <is>
          <t>Klein Tools VDV512-110 Remote Kit for Coax Explorer® Tester</t>
        </is>
      </c>
      <c r="D4141" t="inlineStr">
        <is>
          <t>Klein Tools VDV512-101 Explorer 2 Coax Tester Kit, Includes Cable Tester/Wire Tracer/Coax Mapper with Remotes to Test up to 4 Locations &amp; VDV110-061 Radial Cable Stripper, Coaxial Cable Stripper</t>
        </is>
      </c>
      <c r="E4141" s="2">
        <f>HYPERLINK("https://www.amazon.com/Klein-Tools-VDV512-101-Locations-VDV110-061/dp/B0BD3W9SYG/ref=sr_1_3?keywords=Klein+Tools+VDV512-110+Remote+Kit+for+Coax+Explorer%C2%AE+Tester&amp;qid=1694735240&amp;sr=8-3", "https://www.amazon.com/Klein-Tools-VDV512-101-Locations-VDV110-061/dp/B0BD3W9SYG/ref=sr_1_3?keywords=Klein+Tools+VDV512-110+Remote+Kit+for+Coax+Explorer%C2%AE+Tester&amp;qid=1694735240&amp;sr=8-3")</f>
        <v/>
      </c>
      <c r="F4141" t="inlineStr">
        <is>
          <t>B0BD3W9SYG</t>
        </is>
      </c>
      <c r="G4141">
        <f>_xlfn.IMAGE("https://edmondsonsupply.com/cdn/shop/products/vdv512110.jpg?v=1633030792")</f>
        <v/>
      </c>
      <c r="H4141">
        <f>_xlfn.IMAGE("https://m.media-amazon.com/images/I/41opJLh2sZL._AC_UY218_.jpg")</f>
        <v/>
      </c>
      <c r="K4141" t="inlineStr">
        <is>
          <t>19.99</t>
        </is>
      </c>
      <c r="L4141" t="n">
        <v>44.83</v>
      </c>
      <c r="M4141" s="1" t="inlineStr">
        <is>
          <t>124.26%</t>
        </is>
      </c>
      <c r="N4141" s="7" t="n">
        <v>0</v>
      </c>
      <c r="O4141" t="n">
        <v>5</v>
      </c>
      <c r="P4141" t="n">
        <v>1</v>
      </c>
      <c r="R4141" t="inlineStr">
        <is>
          <t>InStock</t>
        </is>
      </c>
      <c r="S4141" t="inlineStr">
        <is>
          <t>27.26</t>
        </is>
      </c>
      <c r="T4141" t="inlineStr">
        <is>
          <t>5988016259240</t>
        </is>
      </c>
    </row>
    <row r="4142" ht="87" customHeight="1">
      <c r="A4142" s="2">
        <f>HYPERLINK("https://edmondsonsupply.com/collections/electricians-tools/products/greenlee-0153-42c", "https://edmondsonsupply.com/collections/electricians-tools/products/greenlee-0153-42c")</f>
        <v/>
      </c>
      <c r="B4142" s="2">
        <f>HYPERLINK("https://edmondsonsupply.com/products/greenlee-0153-42c", "https://edmondsonsupply.com/products/greenlee-0153-42c")</f>
        <v/>
      </c>
      <c r="C4142" t="inlineStr">
        <is>
          <t>Greenlee 0153-42C 6-IN-1 Multi-Tool</t>
        </is>
      </c>
      <c r="D4142" t="inlineStr">
        <is>
          <t>Greenlee 0153-42C Multi-Tool Screwdriver, 6 in 1 &amp; Greenlee 9953-13 6 in 1 Screwdriver Replacement Bits</t>
        </is>
      </c>
      <c r="E4142" s="2">
        <f>HYPERLINK("https://www.amazon.com/Greenlee-0153-42C-Multi-Tool-Screwdriver-Replacement/dp/B07BG2JXVY/ref=sr_1_4?keywords=Greenlee+0153-42C+6-IN-1+Multi-Tool&amp;qid=1694735387&amp;sr=8-4", "https://www.amazon.com/Greenlee-0153-42C-Multi-Tool-Screwdriver-Replacement/dp/B07BG2JXVY/ref=sr_1_4?keywords=Greenlee+0153-42C+6-IN-1+Multi-Tool&amp;qid=1694735387&amp;sr=8-4")</f>
        <v/>
      </c>
      <c r="F4142" t="inlineStr">
        <is>
          <t>B07BG2JXVY</t>
        </is>
      </c>
      <c r="G4142">
        <f>_xlfn.IMAGE("https://edmondsonsupply.com/cdn/shop/products/0153-42C.jpg?v=1587148802")</f>
        <v/>
      </c>
      <c r="H4142">
        <f>_xlfn.IMAGE("https://m.media-amazon.com/images/I/51sSelwODLL._AC_UL320_.jpg")</f>
        <v/>
      </c>
      <c r="K4142" t="inlineStr">
        <is>
          <t>10.59</t>
        </is>
      </c>
      <c r="L4142" t="n">
        <v>23.74</v>
      </c>
      <c r="M4142" s="1" t="inlineStr">
        <is>
          <t>124.17%</t>
        </is>
      </c>
      <c r="N4142" s="7" t="n">
        <v>0</v>
      </c>
      <c r="O4142" t="n">
        <v>4.6</v>
      </c>
      <c r="P4142" t="n">
        <v>18</v>
      </c>
      <c r="R4142" t="inlineStr">
        <is>
          <t>InStock</t>
        </is>
      </c>
      <c r="S4142" t="inlineStr">
        <is>
          <t>11.35</t>
        </is>
      </c>
      <c r="T4142" t="inlineStr">
        <is>
          <t>4412725166180</t>
        </is>
      </c>
    </row>
    <row r="4143" ht="87" customHeight="1">
      <c r="A4143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4143" s="2">
        <f>HYPERLINK("https://edmondsonsupply.com/products/klein-tools-31944-bi-metal-hole-saw-2-3-4-inch", "https://edmondsonsupply.com/products/klein-tools-31944-bi-metal-hole-saw-2-3-4-inch")</f>
        <v/>
      </c>
      <c r="C4143" t="inlineStr">
        <is>
          <t>Klein Tools 31944 Bi-Metal Hole Saw, 2-3/4-Inch</t>
        </is>
      </c>
      <c r="D4143" t="inlineStr">
        <is>
          <t>LENOX Tools Hole Saw, Bi-Metal, Speed Slot, Arbored, 2-3/8-Inch (1772953)</t>
        </is>
      </c>
      <c r="E4143" s="2">
        <f>HYPERLINK("https://www.amazon.com/LENOX-Tools-Bi-Metal-Arbored-Technology/dp/B0054SBDNQ/ref=sr_1_11?keywords=Klein+Tools+31944+Bi-Metal+Hole+Saw%2C+2-3%2F4-Inch&amp;qid=1694735356&amp;sr=8-11", "https://www.amazon.com/LENOX-Tools-Bi-Metal-Arbored-Technology/dp/B0054SBDNQ/ref=sr_1_11?keywords=Klein+Tools+31944+Bi-Metal+Hole+Saw%2C+2-3%2F4-Inch&amp;qid=1694735356&amp;sr=8-11")</f>
        <v/>
      </c>
      <c r="F4143" t="inlineStr">
        <is>
          <t>B0054SBDNQ</t>
        </is>
      </c>
      <c r="G4143">
        <f>_xlfn.IMAGE("https://edmondsonsupply.com/cdn/shop/products/31944.jpg?v=1587150512")</f>
        <v/>
      </c>
      <c r="H4143">
        <f>_xlfn.IMAGE("https://m.media-amazon.com/images/I/716edrVuxaL._AC_UL320_.jpg")</f>
        <v/>
      </c>
      <c r="K4143" t="inlineStr">
        <is>
          <t>12.99</t>
        </is>
      </c>
      <c r="L4143" t="n">
        <v>29.08</v>
      </c>
      <c r="M4143" s="1" t="inlineStr">
        <is>
          <t>123.86%</t>
        </is>
      </c>
      <c r="N4143" s="7" t="n">
        <v>0</v>
      </c>
      <c r="O4143" t="n">
        <v>4.6</v>
      </c>
      <c r="P4143" t="n">
        <v>366</v>
      </c>
      <c r="R4143" t="inlineStr">
        <is>
          <t>InStock</t>
        </is>
      </c>
      <c r="S4143" t="inlineStr">
        <is>
          <t>18.24</t>
        </is>
      </c>
      <c r="T4143" t="inlineStr">
        <is>
          <t>4433553326180</t>
        </is>
      </c>
    </row>
    <row r="4144" ht="87" customHeight="1">
      <c r="A4144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4144" s="2">
        <f>HYPERLINK("https://edmondsonsupply.com/products/klein-tools-vaco-s10m-5-16-magnetic-nut-driver-3-hollow-shaft", "https://edmondsonsupply.com/products/klein-tools-vaco-s10m-5-16-magnetic-nut-driver-3-hollow-shaft")</f>
        <v/>
      </c>
      <c r="C4144" t="inlineStr">
        <is>
          <t>Klein Tools S10M 5/16-Inch Magnetic Nut Driver 3-Inch Shaft</t>
        </is>
      </c>
      <c r="D4144" t="inlineStr">
        <is>
          <t>Klein Tools 646M Tool Set, Magnetic Nut Drivers Sizes 1/4 and 5/16-Inch, 6-Inch Shafts, 2-Piece</t>
        </is>
      </c>
      <c r="E4144" s="2">
        <f>HYPERLINK("https://www.amazon.com/Magnetic-16-Inch-Klein-Tools-646M/dp/B000936QV0/ref=sr_1_6?keywords=Klein+Tools+S10M+5%2F16-Inch+Magnetic+Nut+Driver+3-Inch+Shaft&amp;qid=1694735002&amp;sr=8-6", "https://www.amazon.com/Magnetic-16-Inch-Klein-Tools-646M/dp/B000936QV0/ref=sr_1_6?keywords=Klein+Tools+S10M+5%2F16-Inch+Magnetic+Nut+Driver+3-Inch+Shaft&amp;qid=1694735002&amp;sr=8-6")</f>
        <v/>
      </c>
      <c r="F4144" t="inlineStr">
        <is>
          <t>B000936QV0</t>
        </is>
      </c>
      <c r="G4144">
        <f>_xlfn.IMAGE("https://edmondsonsupply.com/cdn/shop/products/s10m_alt2.jpg?v=1587143022")</f>
        <v/>
      </c>
      <c r="H4144">
        <f>_xlfn.IMAGE("https://m.media-amazon.com/images/I/41lkJ6KRq9L._AC_UL320_.jpg")</f>
        <v/>
      </c>
      <c r="K4144" t="inlineStr">
        <is>
          <t>9.99</t>
        </is>
      </c>
      <c r="L4144" t="n">
        <v>22.34</v>
      </c>
      <c r="M4144" s="1" t="inlineStr">
        <is>
          <t>123.62%</t>
        </is>
      </c>
      <c r="N4144" s="7" t="n">
        <v>0</v>
      </c>
      <c r="O4144" t="n">
        <v>4.8</v>
      </c>
      <c r="P4144" t="n">
        <v>1652</v>
      </c>
      <c r="R4144" t="inlineStr">
        <is>
          <t>InStock</t>
        </is>
      </c>
      <c r="S4144" t="inlineStr">
        <is>
          <t>15.08</t>
        </is>
      </c>
      <c r="T4144" t="inlineStr">
        <is>
          <t>2767113125988</t>
        </is>
      </c>
    </row>
    <row r="4145" ht="87" customHeight="1">
      <c r="A4145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4145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4145" t="inlineStr">
        <is>
          <t>Klein Tools 630-5/16M 5/16-Inch Magnetic Nut Driver with Hollow Shaft</t>
        </is>
      </c>
      <c r="D4145" t="inlineStr">
        <is>
          <t>Klein Tools 646M Tool Set, Magnetic Nut Drivers Sizes 1/4 and 5/16-Inch, 6-Inch Shafts, 2-Piece</t>
        </is>
      </c>
      <c r="E4145" s="2">
        <f>HYPERLINK("https://www.amazon.com/Magnetic-16-Inch-Klein-Tools-646M/dp/B000936QV0/ref=sr_1_10?keywords=Klein+Tools+630-5%2F16M+5%2F16-Inch+Magnetic+Nut+Driver+with+Hollow+Shaft&amp;qid=1694735398&amp;sr=8-10", "https://www.amazon.com/Magnetic-16-Inch-Klein-Tools-646M/dp/B000936QV0/ref=sr_1_10?keywords=Klein+Tools+630-5%2F16M+5%2F16-Inch+Magnetic+Nut+Driver+with+Hollow+Shaft&amp;qid=1694735398&amp;sr=8-10")</f>
        <v/>
      </c>
      <c r="F4145" t="inlineStr">
        <is>
          <t>B000936QV0</t>
        </is>
      </c>
      <c r="G4145">
        <f>_xlfn.IMAGE("https://edmondsonsupply.com/cdn/shop/products/630-5-16m.jpg?v=1587148610")</f>
        <v/>
      </c>
      <c r="H4145">
        <f>_xlfn.IMAGE("https://m.media-amazon.com/images/I/41lkJ6KRq9L._AC_UL320_.jpg")</f>
        <v/>
      </c>
      <c r="K4145" t="inlineStr">
        <is>
          <t>9.99</t>
        </is>
      </c>
      <c r="L4145" t="n">
        <v>22.34</v>
      </c>
      <c r="M4145" s="1" t="inlineStr">
        <is>
          <t>123.62%</t>
        </is>
      </c>
      <c r="N4145" s="7" t="n">
        <v>0</v>
      </c>
      <c r="O4145" t="n">
        <v>4.8</v>
      </c>
      <c r="P4145" t="n">
        <v>1652</v>
      </c>
      <c r="R4145" t="inlineStr">
        <is>
          <t>InStock</t>
        </is>
      </c>
      <c r="S4145" t="inlineStr">
        <is>
          <t>15.12</t>
        </is>
      </c>
      <c r="T4145" t="inlineStr">
        <is>
          <t>4391884324964</t>
        </is>
      </c>
    </row>
    <row r="4146" hidden="1" ht="15.75" customHeight="1">
      <c r="A4146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146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146" t="inlineStr">
        <is>
          <t>Klein Tools JTH9M3 3 mm Hex Key with Journeyman T-Handle, 9-Inch</t>
        </is>
      </c>
      <c r="D4146" t="inlineStr">
        <is>
          <t>Klein Tools JTH9M5 5 mm Hex Key with Journeyman T-Handle, 9-Inch</t>
        </is>
      </c>
      <c r="E4146" s="2">
        <f>HYPERLINK("https://www.amazon.com/Journeyman-T-Handle-Klein-Tools-JTH9M5/dp/B005G3HJDW/ref=sr_1_9?keywords=Klein+Tools+JTH9M3+3+mm+Hex+Key+with+Journeyman+T-Handle%2C+9-Inch&amp;qid=1694735249&amp;sr=8-9", "https://www.amazon.com/Journeyman-T-Handle-Klein-Tools-JTH9M5/dp/B005G3HJDW/ref=sr_1_9?keywords=Klein+Tools+JTH9M3+3+mm+Hex+Key+with+Journeyman+T-Handle%2C+9-Inch&amp;qid=1694735249&amp;sr=8-9")</f>
        <v/>
      </c>
      <c r="F4146" t="inlineStr">
        <is>
          <t>B005G3HJDW</t>
        </is>
      </c>
      <c r="G4146">
        <f>_xludf.IMAGE("https://edmondsonsupply.com/cdn/shop/products/jth9m.jpg?v=1633030702")</f>
        <v/>
      </c>
      <c r="H4146">
        <f>_xludf.IMAGE("https://m.media-amazon.com/images/I/51O91N8K8wL._AC_UL320_.jpg")</f>
        <v/>
      </c>
      <c r="K4146" t="inlineStr">
        <is>
          <t>4.49</t>
        </is>
      </c>
      <c r="L4146" t="n">
        <v>10.04</v>
      </c>
      <c r="M4146" s="1" t="inlineStr">
        <is>
          <t>123.61%</t>
        </is>
      </c>
      <c r="N4146" s="1" t="n">
        <v>0</v>
      </c>
      <c r="O4146" t="n">
        <v>4.7</v>
      </c>
      <c r="P4146" t="n">
        <v>160</v>
      </c>
      <c r="R4146" t="inlineStr">
        <is>
          <t>InStock</t>
        </is>
      </c>
      <c r="S4146" t="inlineStr">
        <is>
          <t>6.82</t>
        </is>
      </c>
      <c r="T4146" t="inlineStr">
        <is>
          <t>5848344035496</t>
        </is>
      </c>
    </row>
    <row r="4147" hidden="1" ht="15.75" customHeight="1">
      <c r="A4147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147" s="2">
        <f>HYPERLINK("https://edmondsonsupply.com/products/klein-tools-jth9m5-4-mm-hex-key-journeyman-t-handle-9-inch", "https://edmondsonsupply.com/products/klein-tools-jth9m5-4-mm-hex-key-journeyman-t-handle-9-inch")</f>
        <v/>
      </c>
      <c r="C4147" t="inlineStr">
        <is>
          <t>Klein Tools JTH9M4 4 mm Hex Key, Journeyman T-Handle, 9-Inch</t>
        </is>
      </c>
      <c r="D4147" t="inlineStr">
        <is>
          <t>Klein Tools JTH9M5 5 mm Hex Key with Journeyman T-Handle, 9-Inch</t>
        </is>
      </c>
      <c r="E4147" s="2">
        <f>HYPERLINK("https://www.amazon.com/Journeyman-T-Handle-Klein-Tools-JTH9M5/dp/B005G3HJDW/ref=sr_1_10?keywords=Klein+Tools+JTH9M4+4+mm+Hex+Key%2C+Journeyman+T-Handle%2C+9-Inch&amp;qid=1694735170&amp;sr=8-10", "https://www.amazon.com/Journeyman-T-Handle-Klein-Tools-JTH9M5/dp/B005G3HJDW/ref=sr_1_10?keywords=Klein+Tools+JTH9M4+4+mm+Hex+Key%2C+Journeyman+T-Handle%2C+9-Inch&amp;qid=1694735170&amp;sr=8-10")</f>
        <v/>
      </c>
      <c r="F4147" t="inlineStr">
        <is>
          <t>B005G3HJDW</t>
        </is>
      </c>
      <c r="G4147">
        <f>_xludf.IMAGE("https://edmondsonsupply.com/cdn/shop/products/jth9m_fa8a641d-d03f-4191-ab24-b9045963e4f7.jpg?v=1640191121")</f>
        <v/>
      </c>
      <c r="H4147">
        <f>_xludf.IMAGE("https://m.media-amazon.com/images/I/51O91N8K8wL._AC_UL320_.jpg")</f>
        <v/>
      </c>
      <c r="K4147" t="inlineStr">
        <is>
          <t>4.49</t>
        </is>
      </c>
      <c r="L4147" t="n">
        <v>10.04</v>
      </c>
      <c r="M4147" s="1" t="inlineStr">
        <is>
          <t>123.61%</t>
        </is>
      </c>
      <c r="N4147" s="1" t="n">
        <v>0</v>
      </c>
      <c r="O4147" t="n">
        <v>4.7</v>
      </c>
      <c r="P4147" t="n">
        <v>160</v>
      </c>
      <c r="R4147" t="inlineStr">
        <is>
          <t>InStock</t>
        </is>
      </c>
      <c r="S4147" t="inlineStr">
        <is>
          <t>6.8</t>
        </is>
      </c>
      <c r="T4147" t="inlineStr">
        <is>
          <t>7555980656856</t>
        </is>
      </c>
    </row>
    <row r="4148" ht="87" customHeight="1">
      <c r="A4148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148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148" t="inlineStr">
        <is>
          <t>Klein Tools 32308 8-in-1 Multi-Bit Adjustable Length Stubby Screwdriver</t>
        </is>
      </c>
      <c r="D4148" t="inlineStr">
        <is>
          <t>Klein Tools 32500MAG Magnetic Multi-Bit Screwdriver/Nut Driver &amp; 32308 Multi-bit Stubby Screwdriver, Impact Rated 8-in-1 Adjustable Magnetic Tool with Phillips, Slotted, Square and Nut Driver</t>
        </is>
      </c>
      <c r="E4148" s="2">
        <f>HYPERLINK("https://www.amazon.com/Klein-Tools-Multi-Bit-Screwdriver-Adjustable/dp/B0BC84NJFW/ref=sr_1_30?keywords=Klein+Tools+32308+8-in-1+Multi-Bit+Adjustable+Length+Stubby+Screwdriver&amp;qid=1694735167&amp;sr=8-30", "https://www.amazon.com/Klein-Tools-Multi-Bit-Screwdriver-Adjustable/dp/B0BC84NJFW/ref=sr_1_30?keywords=Klein+Tools+32308+8-in-1+Multi-Bit+Adjustable+Length+Stubby+Screwdriver&amp;qid=1694735167&amp;sr=8-30")</f>
        <v/>
      </c>
      <c r="F4148" t="inlineStr">
        <is>
          <t>B0BC84NJFW</t>
        </is>
      </c>
      <c r="G4148">
        <f>_xlfn.IMAGE("https://edmondsonsupply.com/cdn/shop/products/32308_b.jpg?v=1647348209")</f>
        <v/>
      </c>
      <c r="H4148">
        <f>_xlfn.IMAGE("https://m.media-amazon.com/images/I/413seYlRLML._AC_UL320_.jpg")</f>
        <v/>
      </c>
      <c r="K4148" t="inlineStr">
        <is>
          <t>16.97</t>
        </is>
      </c>
      <c r="L4148" t="n">
        <v>37.94</v>
      </c>
      <c r="M4148" s="1" t="inlineStr">
        <is>
          <t>123.57%</t>
        </is>
      </c>
      <c r="N4148" s="7" t="n">
        <v>0</v>
      </c>
      <c r="O4148" t="n">
        <v>5</v>
      </c>
      <c r="P4148" t="n">
        <v>1</v>
      </c>
      <c r="R4148" t="inlineStr">
        <is>
          <t>InStock</t>
        </is>
      </c>
      <c r="S4148" t="inlineStr">
        <is>
          <t>23.78</t>
        </is>
      </c>
      <c r="T4148" t="inlineStr">
        <is>
          <t>7637271445720</t>
        </is>
      </c>
    </row>
    <row r="4149" ht="87" customHeight="1">
      <c r="A4149" s="2">
        <f>HYPERLINK("https://edmondsonsupply.com/collections/electricians-tools/products/fluke-iksc7", "https://edmondsonsupply.com/collections/electricians-tools/products/fluke-iksc7")</f>
        <v/>
      </c>
      <c r="B4149" s="2">
        <f>HYPERLINK("https://edmondsonsupply.com/products/fluke-iksc7", "https://edmondsonsupply.com/products/fluke-iksc7")</f>
        <v/>
      </c>
      <c r="C4149" t="inlineStr">
        <is>
          <t>Fluke IKSC7 7 Piece Insulated Screwdriver Kit</t>
        </is>
      </c>
      <c r="D4149" t="inlineStr">
        <is>
          <t>Fluke Insulated 5 Screwdriver + 3 Plier Tools Starter Kit, 1000V (IKST7)</t>
        </is>
      </c>
      <c r="E4149" s="2">
        <f>HYPERLINK("https://www.amazon.com/Insulated-Screwdriver-Plier-Tools-Starter/dp/B07SH2Z5LB/ref=sr_1_3?keywords=Fluke+IKSC7+7+Piece+Insulated+Screwdriver+Kit&amp;qid=1694735316&amp;sr=8-3", "https://www.amazon.com/Insulated-Screwdriver-Plier-Tools-Starter/dp/B07SH2Z5LB/ref=sr_1_3?keywords=Fluke+IKSC7+7+Piece+Insulated+Screwdriver+Kit&amp;qid=1694735316&amp;sr=8-3")</f>
        <v/>
      </c>
      <c r="F4149" t="inlineStr">
        <is>
          <t>B07SH2Z5LB</t>
        </is>
      </c>
      <c r="G4149">
        <f>_xlfn.IMAGE("https://edmondsonsupply.com/cdn/shop/products/iksc7-1.jpg?v=1589307381")</f>
        <v/>
      </c>
      <c r="H4149">
        <f>_xlfn.IMAGE("https://m.media-amazon.com/images/I/61V4QMu6PuL._AC_UL320_.jpg")</f>
        <v/>
      </c>
      <c r="K4149" t="inlineStr">
        <is>
          <t>143.99</t>
        </is>
      </c>
      <c r="L4149" t="n">
        <v>321.88</v>
      </c>
      <c r="M4149" s="1" t="inlineStr">
        <is>
          <t>123.54%</t>
        </is>
      </c>
      <c r="N4149" s="7" t="n">
        <v>0</v>
      </c>
      <c r="O4149" t="n">
        <v>4.5</v>
      </c>
      <c r="P4149" t="n">
        <v>42</v>
      </c>
      <c r="R4149" t="inlineStr">
        <is>
          <t>OutOfStock</t>
        </is>
      </c>
      <c r="S4149" t="inlineStr">
        <is>
          <t>159.99</t>
        </is>
      </c>
      <c r="T4149" t="inlineStr">
        <is>
          <t>4650546888804</t>
        </is>
      </c>
    </row>
    <row r="4150" hidden="1" ht="15.75" customHeight="1">
      <c r="A4150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4150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4150" t="inlineStr">
        <is>
          <t>Diablo Tools DMARG1030 3/16 in. x 4 in. x 6 in. SPEEDemon™ Red Granite Carbide Tipped Hammer Drill Bit</t>
        </is>
      </c>
      <c r="D4150" t="inlineStr">
        <is>
          <t>Sabre Tools 3/16 Inch x 12 Inch SDS Plus Rotary Hammer Drill Bit, Carbide Tipped for Brick, Stone, and Concrete (3/16" x 10" x 12")</t>
        </is>
      </c>
      <c r="E4150" s="2">
        <f>HYPERLINK("https://www.amazon.com/Sabre-Tools-Rotary-Carbide-Concrete/dp/B0BM6MTCHF/ref=sr_1_14?keywords=Diablo+Tools+DMARG1030+3%2F16+in.+x+4+in.+x+6+in.+SPEEDemon%E2%84%A2+Red+Granite+Carbide+Tipped+Hammer+Drill+Bit&amp;qid=1694735280&amp;sr=8-14", "https://www.amazon.com/Sabre-Tools-Rotary-Carbide-Concrete/dp/B0BM6MTCHF/ref=sr_1_14?keywords=Diablo+Tools+DMARG1030+3%2F16+in.+x+4+in.+x+6+in.+SPEEDemon%E2%84%A2+Red+Granite+Carbide+Tipped+Hammer+Drill+Bit&amp;qid=1694735280&amp;sr=8-14")</f>
        <v/>
      </c>
      <c r="F4150" t="inlineStr">
        <is>
          <t>B0BM6MTCHF</t>
        </is>
      </c>
      <c r="G4150">
        <f>_xludf.IMAGE("https://edmondsonsupply.com/cdn/shop/products/DMARG1030_Main-Image20200407.png?v=1633030509")</f>
        <v/>
      </c>
      <c r="H4150">
        <f>_xludf.IMAGE("https://m.media-amazon.com/images/I/51SK-lJh+mL._AC_UL320_.jpg")</f>
        <v/>
      </c>
      <c r="K4150" t="inlineStr">
        <is>
          <t>4.47</t>
        </is>
      </c>
      <c r="L4150" t="n">
        <v>9.99</v>
      </c>
      <c r="M4150" s="1" t="inlineStr">
        <is>
          <t>123.49%</t>
        </is>
      </c>
      <c r="N4150" s="1" t="n">
        <v>0</v>
      </c>
      <c r="O4150" t="n">
        <v>4.6</v>
      </c>
      <c r="P4150" t="n">
        <v>796</v>
      </c>
      <c r="R4150" t="inlineStr">
        <is>
          <t>InStock</t>
        </is>
      </c>
      <c r="S4150" t="inlineStr">
        <is>
          <t>undefined</t>
        </is>
      </c>
      <c r="T4150" t="inlineStr">
        <is>
          <t>5386199629992</t>
        </is>
      </c>
    </row>
    <row r="4151" ht="87" customHeight="1">
      <c r="A4151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151" s="2">
        <f>HYPERLINK("https://edmondsonsupply.com/products/klein-tools-32900-7-in-1-impact-flip-socket-with-handle", "https://edmondsonsupply.com/products/klein-tools-32900-7-in-1-impact-flip-socket-with-handle")</f>
        <v/>
      </c>
      <c r="C4151" t="inlineStr">
        <is>
          <t>Klein Tools 32900 7-in-1 Impact Flip Socket with Handle</t>
        </is>
      </c>
      <c r="D4151" t="inlineStr">
        <is>
          <t>Klein Tools 66070 Impact Socket Set, Impact Driver Flip Socket, Five Sockets with 1/4-Inch Hex and 1/2-Inch Square Socket Adapters, 7-Piece</t>
        </is>
      </c>
      <c r="E4151" s="2">
        <f>HYPERLINK("https://www.amazon.com/Klein-Tools-Impact-Socket-7-Piece/dp/B0BGZPR364/ref=sr_1_16?keywords=Klein+Tools+32900+7-in-1+Impact+Flip+Socket+with+Handle&amp;qid=1694735103&amp;sr=8-16", "https://www.amazon.com/Klein-Tools-Impact-Socket-7-Piece/dp/B0BGZPR364/ref=sr_1_16?keywords=Klein+Tools+32900+7-in-1+Impact+Flip+Socket+with+Handle&amp;qid=1694735103&amp;sr=8-16")</f>
        <v/>
      </c>
      <c r="F4151" t="inlineStr">
        <is>
          <t>B0BGZPR364</t>
        </is>
      </c>
      <c r="G4151">
        <f>_xlfn.IMAGE("https://edmondsonsupply.com/cdn/shop/products/32900_b.jpg?v=1666024787")</f>
        <v/>
      </c>
      <c r="H4151">
        <f>_xlfn.IMAGE("https://m.media-amazon.com/images/I/51aNTtzJ2BL._AC_UL320_.jpg")</f>
        <v/>
      </c>
      <c r="K4151" t="inlineStr">
        <is>
          <t>29.97</t>
        </is>
      </c>
      <c r="L4151" t="n">
        <v>66.94</v>
      </c>
      <c r="M4151" s="1" t="inlineStr">
        <is>
          <t>123.36%</t>
        </is>
      </c>
      <c r="N4151" s="7" t="n">
        <v>0</v>
      </c>
      <c r="O4151" t="n">
        <v>4.8</v>
      </c>
      <c r="P4151" t="n">
        <v>18</v>
      </c>
      <c r="R4151" t="inlineStr">
        <is>
          <t>InStock</t>
        </is>
      </c>
      <c r="S4151" t="inlineStr">
        <is>
          <t>45.0</t>
        </is>
      </c>
      <c r="T4151" t="inlineStr">
        <is>
          <t>7856651239640</t>
        </is>
      </c>
    </row>
    <row r="4152" ht="87" customHeight="1">
      <c r="A4152" s="2">
        <f>HYPERLINK("https://edmondsonsupply.com/collections/electricians-tools/products/greenlee-0153-47c-11-in-1-multi-tool", "https://edmondsonsupply.com/collections/electricians-tools/products/greenlee-0153-47c-11-in-1-multi-tool")</f>
        <v/>
      </c>
      <c r="B4152" s="2">
        <f>HYPERLINK("https://edmondsonsupply.com/products/greenlee-0153-47c-11-in-1-multi-tool", "https://edmondsonsupply.com/products/greenlee-0153-47c-11-in-1-multi-tool")</f>
        <v/>
      </c>
      <c r="C4152" t="inlineStr">
        <is>
          <t>Greenlee 0153-47C 11-IN-1 Multi-Tool</t>
        </is>
      </c>
      <c r="D4152" t="inlineStr">
        <is>
          <t>Greenlee, ‎0159-LBFB, 3-Piece Electrician Tool Kit with Stainless Steel Wire Stripper/Cutter/Crimper, 11-in-1 Multi-Bit Screwdriver and Bonus Stainless Steel Bottle Opener</t>
        </is>
      </c>
      <c r="E4152" s="2">
        <f>HYPERLINK("https://www.amazon.com/Greenlee-0159-LBFB-Multi-Purpose-Essentials-Electrical/dp/B08P2Q8MZS/ref=sr_1_3?keywords=Greenlee+0153-47C+11-IN-1+Multi-Tool&amp;qid=1694735406&amp;sr=8-3", "https://www.amazon.com/Greenlee-0159-LBFB-Multi-Purpose-Essentials-Electrical/dp/B08P2Q8MZS/ref=sr_1_3?keywords=Greenlee+0153-47C+11-IN-1+Multi-Tool&amp;qid=1694735406&amp;sr=8-3")</f>
        <v/>
      </c>
      <c r="F4152" t="inlineStr">
        <is>
          <t>B08P2Q8MZS</t>
        </is>
      </c>
      <c r="G4152">
        <f>_xlfn.IMAGE("https://edmondsonsupply.com/cdn/shop/products/0153-47c-cat2.jpg?v=1587146986")</f>
        <v/>
      </c>
      <c r="H4152">
        <f>_xlfn.IMAGE("https://m.media-amazon.com/images/I/81InOm0EymL._AC_UL320_.jpg")</f>
        <v/>
      </c>
      <c r="K4152" t="inlineStr">
        <is>
          <t>17.99</t>
        </is>
      </c>
      <c r="L4152" t="n">
        <v>40.18</v>
      </c>
      <c r="M4152" s="1" t="inlineStr">
        <is>
          <t>123.35%</t>
        </is>
      </c>
      <c r="N4152" s="7" t="n">
        <v>0</v>
      </c>
      <c r="O4152" t="n">
        <v>4.7</v>
      </c>
      <c r="P4152" t="n">
        <v>128</v>
      </c>
      <c r="R4152" t="inlineStr">
        <is>
          <t>InStock</t>
        </is>
      </c>
      <c r="S4152" t="inlineStr">
        <is>
          <t>18.85</t>
        </is>
      </c>
      <c r="T4152" t="inlineStr">
        <is>
          <t>4395531042916</t>
        </is>
      </c>
    </row>
    <row r="4153" hidden="1" ht="15.75" customHeight="1">
      <c r="A4153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4153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4153" t="inlineStr">
        <is>
          <t>Diablo Tools DMARG1140 7/16 in. x 4 in. x 6 in. SPEEDemon™ Red Granite Carbide Tipped Hammer Drill Bit</t>
        </is>
      </c>
      <c r="D4153" t="inlineStr">
        <is>
          <t>Diablo by Freud DMARG1200 3/4 in. x 10 in. x 12 in. SPEEDemon Red Granite Carbide Tipped Hammer Drill Bit</t>
        </is>
      </c>
      <c r="E4153" s="2">
        <f>HYPERLINK("https://www.amazon.com/Diablo-Freud-DMARG1200-SPEEDemon-Granite/dp/B089KWGLL5/ref=sr_1_13?keywords=Diablo+Tools+DMARG1140+7%2F16+in.+x+4+in.+x+6+in.+SPEEDemon%E2%84%A2+Red+Granite+Carbide+Tipped+Hammer+Drill+Bit&amp;qid=1694735250&amp;sr=8-13", "https://www.amazon.com/Diablo-Freud-DMARG1200-SPEEDemon-Granite/dp/B089KWGLL5/ref=sr_1_13?keywords=Diablo+Tools+DMARG1140+7%2F16+in.+x+4+in.+x+6+in.+SPEEDemon%E2%84%A2+Red+Granite+Carbide+Tipped+Hammer+Drill+Bit&amp;qid=1694735250&amp;sr=8-13")</f>
        <v/>
      </c>
      <c r="F4153" t="inlineStr">
        <is>
          <t>B089KWGLL5</t>
        </is>
      </c>
      <c r="G4153">
        <f>_xludf.IMAGE("https://edmondsonsupply.com/cdn/shop/products/DMARG1140_Main-Image20200513.png?v=1633030765")</f>
        <v/>
      </c>
      <c r="H4153">
        <f>_xludf.IMAGE("https://m.media-amazon.com/images/I/61fi8hhRaDL._AC_UL320_.jpg")</f>
        <v/>
      </c>
      <c r="K4153" t="inlineStr">
        <is>
          <t>8.97</t>
        </is>
      </c>
      <c r="L4153" t="n">
        <v>20</v>
      </c>
      <c r="M4153" s="1" t="inlineStr">
        <is>
          <t>122.97%</t>
        </is>
      </c>
      <c r="N4153" s="1" t="n">
        <v>0</v>
      </c>
      <c r="O4153" t="n">
        <v>3.9</v>
      </c>
      <c r="P4153" t="n">
        <v>13</v>
      </c>
      <c r="R4153" t="inlineStr">
        <is>
          <t>InStock</t>
        </is>
      </c>
      <c r="S4153" t="inlineStr">
        <is>
          <t>undefined</t>
        </is>
      </c>
      <c r="T4153" t="inlineStr">
        <is>
          <t>5919026315432</t>
        </is>
      </c>
    </row>
    <row r="4154" hidden="1" ht="15.75" customHeight="1">
      <c r="A4154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4154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4154" t="inlineStr">
        <is>
          <t>Diablo Tools DMAPL4030 3/16 in. x 2 in. x 4 in. Rebar Demon™ SDS-Plus 4-Cutter Full Carbide Head Hammer Bit</t>
        </is>
      </c>
      <c r="D4154" t="inlineStr">
        <is>
          <t>Diablo by Freud Diablo DMAPL4070 1/4 in. x 4 in. x 6 in. Rebar Demon SDS-Plus 4-Cutter Full Carbide Head Hammer Bit</t>
        </is>
      </c>
      <c r="E4154" s="2">
        <f>HYPERLINK("https://www.amazon.com/Diablo-Freud-DMAPL4070-SDS-Plus-4-Cutter/dp/B089KVLDML/ref=sr_1_6?keywords=Diablo+Tools+DMAPL4030+3%2F16+in.+x+2+in.+x+4+in.+Rebar+Demon%E2%84%A2+SDS-Plus+4-Cutter+Full+Carbide+Head+Hammer+Bit&amp;qid=1694735295&amp;sr=8-6", "https://www.amazon.com/Diablo-Freud-DMAPL4070-SDS-Plus-4-Cutter/dp/B089KVLDML/ref=sr_1_6?keywords=Diablo+Tools+DMAPL4030+3%2F16+in.+x+2+in.+x+4+in.+Rebar+Demon%E2%84%A2+SDS-Plus+4-Cutter+Full+Carbide+Head+Hammer+Bit&amp;qid=1694735295&amp;sr=8-6")</f>
        <v/>
      </c>
      <c r="F4154" t="inlineStr">
        <is>
          <t>B089KVLDML</t>
        </is>
      </c>
      <c r="G4154">
        <f>_xludf.IMAGE("https://edmondsonsupply.com/cdn/shop/products/DMAPL4030.jpg?v=1633030357")</f>
        <v/>
      </c>
      <c r="H4154">
        <f>_xludf.IMAGE("https://m.media-amazon.com/images/I/61fLLQz5xPL._AC_UL320_.jpg")</f>
        <v/>
      </c>
      <c r="K4154" t="inlineStr">
        <is>
          <t>3.97</t>
        </is>
      </c>
      <c r="L4154" t="n">
        <v>8.84</v>
      </c>
      <c r="M4154" s="1" t="inlineStr">
        <is>
          <t>122.67%</t>
        </is>
      </c>
      <c r="N4154" s="1" t="n">
        <v>0</v>
      </c>
      <c r="O4154" t="n">
        <v>4.4</v>
      </c>
      <c r="P4154" t="n">
        <v>28</v>
      </c>
      <c r="R4154" t="inlineStr">
        <is>
          <t>InStock</t>
        </is>
      </c>
      <c r="S4154" t="inlineStr">
        <is>
          <t>5.51</t>
        </is>
      </c>
      <c r="T4154" t="inlineStr">
        <is>
          <t>5286322012328</t>
        </is>
      </c>
    </row>
    <row r="4155" ht="87" customHeight="1">
      <c r="A4155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4155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4155" t="inlineStr">
        <is>
          <t>Klein Tools ET45VP AC/DC Voltage and GFCI Receptacle Outlet Test Kit</t>
        </is>
      </c>
      <c r="D4155" t="inlineStr">
        <is>
          <t>Klein Tools RT250KIT Non-Contact Voltage Tester and GFCI Receptacle Tester with LCD and Flashlight, Voltage Electrical Test Kit</t>
        </is>
      </c>
      <c r="E4155" s="2">
        <f>HYPERLINK("https://www.amazon.com/Non-Contact-Receptacle-Klein-Tools-RT250KIT/dp/B08YDFQ2FV/ref=sr_1_5?keywords=Klein+Tools+ET45VP+AC%2FDC+Voltage+and+GFCI+Receptacle+Outlet+Test+Kit&amp;qid=1694735138&amp;sr=8-5", "https://www.amazon.com/Non-Contact-Receptacle-Klein-Tools-RT250KIT/dp/B08YDFQ2FV/ref=sr_1_5?keywords=Klein+Tools+ET45VP+AC%2FDC+Voltage+and+GFCI+Receptacle+Outlet+Test+Kit&amp;qid=1694735138&amp;sr=8-5")</f>
        <v/>
      </c>
      <c r="F4155" t="inlineStr">
        <is>
          <t>B08YDFQ2FV</t>
        </is>
      </c>
      <c r="G4155">
        <f>_xlfn.IMAGE("https://edmondsonsupply.com/cdn/shop/products/et45vp.jpg?v=1660755922")</f>
        <v/>
      </c>
      <c r="H4155">
        <f>_xlfn.IMAGE("https://m.media-amazon.com/images/I/61WaBlkJfxL._AC_UL320_.jpg")</f>
        <v/>
      </c>
      <c r="K4155" t="inlineStr">
        <is>
          <t>17.97</t>
        </is>
      </c>
      <c r="L4155" t="n">
        <v>39.99</v>
      </c>
      <c r="M4155" s="1" t="inlineStr">
        <is>
          <t>122.54%</t>
        </is>
      </c>
      <c r="N4155" s="7" t="n">
        <v>0</v>
      </c>
      <c r="O4155" t="n">
        <v>4.8</v>
      </c>
      <c r="P4155" t="n">
        <v>1264</v>
      </c>
      <c r="R4155" t="inlineStr">
        <is>
          <t>InStock</t>
        </is>
      </c>
      <c r="S4155" t="inlineStr">
        <is>
          <t>25.82</t>
        </is>
      </c>
      <c r="T4155" t="inlineStr">
        <is>
          <t>7783562084568</t>
        </is>
      </c>
    </row>
    <row r="4156" hidden="1" ht="15.75" customHeight="1">
      <c r="A4156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156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156" t="inlineStr">
        <is>
          <t>Klein Tools JTH9E08 1/8-Inch Hex Key with Journeyman T-Handle, 9-Inch</t>
        </is>
      </c>
      <c r="D4156" t="inlineStr">
        <is>
          <t>Klein Tools JTH6M3BE 3 mm Ball End Hex Key with Journeyman T-Handle, 6-Inch (Pack of 2)</t>
        </is>
      </c>
      <c r="E4156" s="2">
        <f>HYPERLINK("https://www.amazon.com/Klein-Tools-JTH6M3BE-Journeyman-T-Handle/dp/B0CGLYY7WP/ref=sr_1_11?keywords=Klein+Tools+JTH9E08+1%2F8-Inch+Hex+Key+with+Journeyman+T-Handle%2C+9-Inch&amp;qid=1694735421&amp;sr=8-11", "https://www.amazon.com/Klein-Tools-JTH6M3BE-Journeyman-T-Handle/dp/B0CGLYY7WP/ref=sr_1_11?keywords=Klein+Tools+JTH9E08+1%2F8-Inch+Hex+Key+with+Journeyman+T-Handle%2C+9-Inch&amp;qid=1694735421&amp;sr=8-11")</f>
        <v/>
      </c>
      <c r="F4156" t="inlineStr">
        <is>
          <t>B0CGLYY7WP</t>
        </is>
      </c>
      <c r="G4156">
        <f>_xludf.IMAGE("https://edmondsonsupply.com/cdn/shop/products/jth6e15_f2733d2c-ab65-41d7-8597-f1dfd8fcaabf.jpg?v=1587142807")</f>
        <v/>
      </c>
      <c r="H4156">
        <f>_xludf.IMAGE("https://m.media-amazon.com/images/I/413sTNFMd7L._AC_UL320_.jpg")</f>
        <v/>
      </c>
      <c r="K4156" t="inlineStr">
        <is>
          <t>4.49</t>
        </is>
      </c>
      <c r="L4156" t="n">
        <v>9.98</v>
      </c>
      <c r="M4156" s="1" t="inlineStr">
        <is>
          <t>122.27%</t>
        </is>
      </c>
      <c r="N4156" s="1" t="n">
        <v>0</v>
      </c>
      <c r="O4156" t="n">
        <v>4.6</v>
      </c>
      <c r="P4156" t="n">
        <v>184</v>
      </c>
      <c r="R4156" t="inlineStr">
        <is>
          <t>InStock</t>
        </is>
      </c>
      <c r="S4156" t="inlineStr">
        <is>
          <t>6.82</t>
        </is>
      </c>
      <c r="T4156" t="inlineStr">
        <is>
          <t>4352186810468</t>
        </is>
      </c>
    </row>
    <row r="4157" ht="87" customHeight="1">
      <c r="A4157" s="2">
        <f>HYPERLINK("https://edmondsonsupply.com/collections/electricians-tools/products/klein-5416tfr", "https://edmondsonsupply.com/collections/electricians-tools/products/klein-5416tfr")</f>
        <v/>
      </c>
      <c r="B4157" s="2">
        <f>HYPERLINK("https://edmondsonsupply.com/products/klein-5416tfr", "https://edmondsonsupply.com/products/klein-5416tfr")</f>
        <v/>
      </c>
      <c r="C4157" t="inlineStr">
        <is>
          <t>Klein Tools 5416TFR Tool Bag, Flame Resistant Bolt Bag, No. 4 Canvas, 5 x 10 x 9-Inch</t>
        </is>
      </c>
      <c r="D4157" t="inlineStr">
        <is>
          <t>Klein Tools 5416TFR Tool Bag, Flame Resistant Canvas Bag for Bolt Storage with Double Reinforced Bottom and Tunnel Connect, 5 x 10 x 9-Inch &amp; 5471FR Flame-Resistant Electrode Bag</t>
        </is>
      </c>
      <c r="E4157" s="2">
        <f>HYPERLINK("https://www.amazon.com/Klein-Tools-Resistant-Reinforced-Flame-Resistant/dp/B0BFXQNQMY/ref=sr_1_2?keywords=Klein+Tools+5416TFR+Tool+Bag%2C+Flame+Resistant+Bolt+Bag%2C+No.+4+Canvas%2C+5+x+10+x+9-Inch&amp;qid=1694734988&amp;sr=8-2", "https://www.amazon.com/Klein-Tools-Resistant-Reinforced-Flame-Resistant/dp/B0BFXQNQMY/ref=sr_1_2?keywords=Klein+Tools+5416TFR+Tool+Bag%2C+Flame+Resistant+Bolt+Bag%2C+No.+4+Canvas%2C+5+x+10+x+9-Inch&amp;qid=1694734988&amp;sr=8-2")</f>
        <v/>
      </c>
      <c r="F4157" t="inlineStr">
        <is>
          <t>B0BFXQNQMY</t>
        </is>
      </c>
      <c r="G4157">
        <f>_xlfn.IMAGE("https://edmondsonsupply.com/cdn/shop/products/5416tfr.jpg?v=1587149359")</f>
        <v/>
      </c>
      <c r="H4157">
        <f>_xlfn.IMAGE("https://m.media-amazon.com/images/I/51j4R+keFlL._AC_UL320_.jpg")</f>
        <v/>
      </c>
      <c r="K4157" t="inlineStr">
        <is>
          <t>19.99</t>
        </is>
      </c>
      <c r="L4157" t="n">
        <v>44.43</v>
      </c>
      <c r="M4157" s="1" t="inlineStr">
        <is>
          <t>122.26%</t>
        </is>
      </c>
      <c r="N4157" s="7" t="n">
        <v>0</v>
      </c>
      <c r="O4157" t="n">
        <v>5</v>
      </c>
      <c r="P4157" t="n">
        <v>2</v>
      </c>
      <c r="R4157" t="inlineStr">
        <is>
          <t>InStock</t>
        </is>
      </c>
      <c r="S4157" t="inlineStr">
        <is>
          <t>33.64</t>
        </is>
      </c>
      <c r="T4157" t="inlineStr">
        <is>
          <t>1490970837092</t>
        </is>
      </c>
    </row>
    <row r="4158" ht="87" customHeight="1">
      <c r="A4158" s="2">
        <f>HYPERLINK("https://edmondsonsupply.com/collections/electricians-tools/products/klein-tools-51607-aluminum-conduit-bender-full-assembly-3-4-inch-emt-with-angle-setter%E2%84%A2", "https://edmondsonsupply.com/collections/electricians-tools/products/klein-tools-51607-aluminum-conduit-bender-full-assembly-3-4-inch-emt-with-angle-setter%E2%84%A2")</f>
        <v/>
      </c>
      <c r="B4158" s="2">
        <f>HYPERLINK("https://edmondsonsupply.com/products/klein-tools-51607-aluminum-conduit-bender-full-assembly-3-4-inch-emt-with-angle-setter%e2%84%a2", "https://edmondsonsupply.com/products/klein-tools-51607-aluminum-conduit-bender-full-assembly-3-4-inch-emt-with-angle-setter%e2%84%a2")</f>
        <v/>
      </c>
      <c r="C4158" t="inlineStr">
        <is>
          <t>Klein Tools 51607 Aluminum Conduit Bender Full Assembly, 3/4-Inch EMT with Angle Setter™</t>
        </is>
      </c>
      <c r="D4158" t="inlineStr">
        <is>
          <t>Klein Tools 51605 Iron Conduit Bender Full Assembly, 1-Inch EMT and 3/4-Inch Rigid, Wide Foot Pedal, Benchmark Symbols and Angle Setter</t>
        </is>
      </c>
      <c r="E4158" s="2">
        <f>HYPERLINK("https://www.amazon.com/Conduit-Technology-Benchmark-Klein-Tools/dp/B08L3ZQCT1/ref=sr_1_6?keywords=Klein+Tools+51607+Aluminum+Conduit+Bender+Full+Assembly%2C+3%2F4-Inch+EMT+with+Angle+Setter%E2%84%A2&amp;qid=1694735118&amp;sr=8-6", "https://www.amazon.com/Conduit-Technology-Benchmark-Klein-Tools/dp/B08L3ZQCT1/ref=sr_1_6?keywords=Klein+Tools+51607+Aluminum+Conduit+Bender+Full+Assembly%2C+3%2F4-Inch+EMT+with+Angle+Setter%E2%84%A2&amp;qid=1694735118&amp;sr=8-6")</f>
        <v/>
      </c>
      <c r="F4158" t="inlineStr">
        <is>
          <t>B08L3ZQCT1</t>
        </is>
      </c>
      <c r="G4158">
        <f>_xlfn.IMAGE("https://edmondsonsupply.com/cdn/shop/products/51607.jpg?v=1663942654")</f>
        <v/>
      </c>
      <c r="H4158">
        <f>_xlfn.IMAGE("https://m.media-amazon.com/images/I/41stj4NcdUL._AC_UL320_.jpg")</f>
        <v/>
      </c>
      <c r="K4158" t="inlineStr">
        <is>
          <t>44.99</t>
        </is>
      </c>
      <c r="L4158" t="n">
        <v>99.97</v>
      </c>
      <c r="M4158" s="1" t="inlineStr">
        <is>
          <t>122.20%</t>
        </is>
      </c>
      <c r="N4158" s="7" t="n">
        <v>0</v>
      </c>
      <c r="O4158" t="n">
        <v>4.7</v>
      </c>
      <c r="P4158" t="n">
        <v>60</v>
      </c>
      <c r="R4158" t="inlineStr">
        <is>
          <t>InStock</t>
        </is>
      </c>
      <c r="S4158" t="inlineStr">
        <is>
          <t>63.0</t>
        </is>
      </c>
      <c r="T4158" t="inlineStr">
        <is>
          <t>7827252216024</t>
        </is>
      </c>
    </row>
    <row r="4159" ht="87" customHeight="1">
      <c r="A4159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4159" s="2">
        <f>HYPERLINK("https://edmondsonsupply.com/products/klein-tools-s8-1-4-inch-hollow-shaft-nut-driver-3-inch-shaft", "https://edmondsonsupply.com/products/klein-tools-s8-1-4-inch-hollow-shaft-nut-driver-3-inch-shaft")</f>
        <v/>
      </c>
      <c r="C4159" t="inlineStr">
        <is>
          <t>Klein Tools S8 1/4-Inch Hollow Shaft Nut Driver, 3-Inch Shaft</t>
        </is>
      </c>
      <c r="D4159" t="inlineStr">
        <is>
          <t>Klein Tools S146 7/16-Inch Nut Driver with 6-Inch Hollow Shaft and Comfordome Handle</t>
        </is>
      </c>
      <c r="E4159" s="2">
        <f>HYPERLINK("https://www.amazon.com/16-Inch-Comfordome-Klein-Tools-S146/dp/B00093GD2C/ref=sr_1_21?keywords=Klein+Tools+S8+1%2F4-Inch+Hollow+Shaft+Nut+Driver%2C+3-Inch+Shaft&amp;qid=1694735248&amp;sr=8-21", "https://www.amazon.com/16-Inch-Comfordome-Klein-Tools-S146/dp/B00093GD2C/ref=sr_1_21?keywords=Klein+Tools+S8+1%2F4-Inch+Hollow+Shaft+Nut+Driver%2C+3-Inch+Shaft&amp;qid=1694735248&amp;sr=8-21")</f>
        <v/>
      </c>
      <c r="F4159" t="inlineStr">
        <is>
          <t>B00093GD2C</t>
        </is>
      </c>
      <c r="G4159">
        <f>_xlfn.IMAGE("https://edmondsonsupply.com/cdn/shop/products/s10.jpg?v=1633030797")</f>
        <v/>
      </c>
      <c r="H4159">
        <f>_xlfn.IMAGE("https://m.media-amazon.com/images/I/31ij31KnKpL._AC_UL320_.jpg")</f>
        <v/>
      </c>
      <c r="K4159" t="inlineStr">
        <is>
          <t>7.29</t>
        </is>
      </c>
      <c r="L4159" t="n">
        <v>16.15</v>
      </c>
      <c r="M4159" s="1" t="inlineStr">
        <is>
          <t>121.54%</t>
        </is>
      </c>
      <c r="N4159" s="7" t="n">
        <v>0</v>
      </c>
      <c r="O4159" t="n">
        <v>4.7</v>
      </c>
      <c r="P4159" t="n">
        <v>47</v>
      </c>
      <c r="R4159" t="inlineStr">
        <is>
          <t>InStock</t>
        </is>
      </c>
      <c r="S4159" t="inlineStr">
        <is>
          <t>10.74</t>
        </is>
      </c>
      <c r="T4159" t="inlineStr">
        <is>
          <t>6000424485032</t>
        </is>
      </c>
    </row>
    <row r="4160" ht="87" customHeight="1">
      <c r="A4160" s="2">
        <f>HYPERLINK("https://edmondsonsupply.com/collections/electricians-tools/products/milwaukee-49-56-0082-1-1-2-hole-dozer%E2%84%A2-hole-saw-bi-metal-cup", "https://edmondsonsupply.com/collections/electricians-tools/products/milwaukee-49-56-0082-1-1-2-hole-dozer%E2%84%A2-hole-saw-bi-metal-cup")</f>
        <v/>
      </c>
      <c r="B4160" s="2">
        <f>HYPERLINK("https://edmondsonsupply.com/products/milwaukee-49-56-0082-1-1-2-hole-dozer%e2%84%a2-hole-saw-bi-metal-cup", "https://edmondsonsupply.com/products/milwaukee-49-56-0082-1-1-2-hole-dozer%e2%84%a2-hole-saw-bi-metal-cup")</f>
        <v/>
      </c>
      <c r="C4160" t="inlineStr">
        <is>
          <t>Milwaukee 49-56-0082 1-1/2" HOLE DOZER™ Hole Saw Bi-Metal Cup</t>
        </is>
      </c>
      <c r="D4160" t="inlineStr">
        <is>
          <t>MILWAUKEE'S Hole Saw, 1-1/2 in. Saw Dia, Bi-Metal (49-56-9835)</t>
        </is>
      </c>
      <c r="E4160" s="2">
        <f>HYPERLINK("https://www.amazon.com/Milwaukee-49-56-9835-Shockwave-Impact-Hole/dp/B00NXHG6GE/ref=sr_1_5?keywords=Milwaukee+49-56-0082+1-1%2F2%22+HOLE+DOZER%E2%84%A2+Hole+Saw+Bi-Metal+Cup&amp;qid=1694735018&amp;sr=8-5", "https://www.amazon.com/Milwaukee-49-56-9835-Shockwave-Impact-Hole/dp/B00NXHG6GE/ref=sr_1_5?keywords=Milwaukee+49-56-0082+1-1%2F2%22+HOLE+DOZER%E2%84%A2+Hole+Saw+Bi-Metal+Cup&amp;qid=1694735018&amp;sr=8-5")</f>
        <v/>
      </c>
      <c r="F4160" t="inlineStr">
        <is>
          <t>B00NXHG6GE</t>
        </is>
      </c>
      <c r="G4160">
        <f>_xlfn.IMAGE("https://edmondsonsupply.com/cdn/shop/products/49-56-0052_101_2_3e59b3b5-5134-4f73-a3fb-157d3c19d4d7.webp?v=1679416989")</f>
        <v/>
      </c>
      <c r="H4160">
        <f>_xlfn.IMAGE("https://m.media-amazon.com/images/I/71ysbVAzxmL._AC_UL320_.jpg")</f>
        <v/>
      </c>
      <c r="K4160" t="inlineStr">
        <is>
          <t>6.99</t>
        </is>
      </c>
      <c r="L4160" t="n">
        <v>15.47</v>
      </c>
      <c r="M4160" s="1" t="inlineStr">
        <is>
          <t>121.32%</t>
        </is>
      </c>
      <c r="N4160" s="7" t="n">
        <v>0</v>
      </c>
      <c r="O4160" t="n">
        <v>4.6</v>
      </c>
      <c r="P4160" t="n">
        <v>2</v>
      </c>
      <c r="R4160" t="inlineStr">
        <is>
          <t>InStock</t>
        </is>
      </c>
      <c r="S4160" t="inlineStr">
        <is>
          <t>13.3</t>
        </is>
      </c>
      <c r="T4160" t="inlineStr">
        <is>
          <t>7965257498840</t>
        </is>
      </c>
    </row>
    <row r="4161" ht="87" customHeight="1">
      <c r="A4161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4161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4161" t="inlineStr">
        <is>
          <t>Diablo Tools DMARG1090 1/4 in. x 10 in. x 12 in. SPEEDemon™ Red Granite Carbide Tipped Hammer Drill Bit</t>
        </is>
      </c>
      <c r="D4161" t="inlineStr">
        <is>
          <t>Diablo 1 in. x 10" x 12" SPEEDemon™ Red Granite Carbide Tipped Hammer Drill Bit</t>
        </is>
      </c>
      <c r="E4161" s="2">
        <f>HYPERLINK("https://www.amazon.com/Diablo-Freud-DMARG1210-SPEEDemon-Granite/dp/B089KW1B5V/ref=sr_1_4?keywords=Diablo+Tools+DMARG1090+1%2F4+in.+x+10+in.+x+12+in.+SPEEDemon%E2%84%A2+Red+Granite+Carbide+Tipped+Hammer+Drill+Bit&amp;qid=1694735286&amp;sr=8-4", "https://www.amazon.com/Diablo-Freud-DMARG1210-SPEEDemon-Granite/dp/B089KW1B5V/ref=sr_1_4?keywords=Diablo+Tools+DMARG1090+1%2F4+in.+x+10+in.+x+12+in.+SPEEDemon%E2%84%A2+Red+Granite+Carbide+Tipped+Hammer+Drill+Bit&amp;qid=1694735286&amp;sr=8-4")</f>
        <v/>
      </c>
      <c r="F4161" t="inlineStr">
        <is>
          <t>B089KW1B5V</t>
        </is>
      </c>
      <c r="G4161">
        <f>_xlfn.IMAGE("https://edmondsonsupply.com/cdn/shop/products/DMARG1090_Main-Image.png?v=1633030421")</f>
        <v/>
      </c>
      <c r="H4161">
        <f>_xlfn.IMAGE("https://m.media-amazon.com/images/I/61+EqrM-43L._AC_UL320_.jpg")</f>
        <v/>
      </c>
      <c r="K4161" t="inlineStr">
        <is>
          <t>11.97</t>
        </is>
      </c>
      <c r="L4161" t="n">
        <v>26.49</v>
      </c>
      <c r="M4161" s="1" t="inlineStr">
        <is>
          <t>121.30%</t>
        </is>
      </c>
      <c r="N4161" s="7" t="n">
        <v>0</v>
      </c>
      <c r="O4161" t="n">
        <v>4.7</v>
      </c>
      <c r="P4161" t="n">
        <v>31</v>
      </c>
      <c r="R4161" t="inlineStr">
        <is>
          <t>InStock</t>
        </is>
      </c>
      <c r="S4161" t="inlineStr">
        <is>
          <t>12.5</t>
        </is>
      </c>
      <c r="T4161" t="inlineStr">
        <is>
          <t>5318039339176</t>
        </is>
      </c>
    </row>
    <row r="4162" ht="87" customHeight="1">
      <c r="A4162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4162" s="2">
        <f>HYPERLINK("https://edmondsonsupply.com/products/klein-tools-vdv500-123-probe-pro-tracing-probe", "https://edmondsonsupply.com/products/klein-tools-vdv500-123-probe-pro-tracing-probe")</f>
        <v/>
      </c>
      <c r="C4162" t="inlineStr">
        <is>
          <t>Klein Tools VDV500-123 Probe-PRO Tracing Probe</t>
        </is>
      </c>
      <c r="D4162" t="inlineStr">
        <is>
          <t>Klein Tools VDV526-200 Cable Tester, LAN Scout Jr. 2 Ethernet Cable Tester &amp; VDV500-123 Cable Tracer Probe-Pro Tracing Probe with Replaceable Non-Metallic</t>
        </is>
      </c>
      <c r="E4162" s="2">
        <f>HYPERLINK("https://www.amazon.com/Klein-Tools-VDV526-200-Replaceable-Non-Metallic/dp/B09Y84486X/ref=sr_1_14?keywords=Klein+Tools+VDV500-123+Probe-PRO+Tracing+Probe&amp;qid=1694734977&amp;sr=8-14", "https://www.amazon.com/Klein-Tools-VDV526-200-Replaceable-Non-Metallic/dp/B09Y84486X/ref=sr_1_14?keywords=Klein+Tools+VDV500-123+Probe-PRO+Tracing+Probe&amp;qid=1694734977&amp;sr=8-14")</f>
        <v/>
      </c>
      <c r="F4162" t="inlineStr">
        <is>
          <t>B09Y84486X</t>
        </is>
      </c>
      <c r="G4162">
        <f>_xlfn.IMAGE("https://edmondsonsupply.com/cdn/shop/products/vdv500123.jpg?v=1587142783")</f>
        <v/>
      </c>
      <c r="H4162">
        <f>_xlfn.IMAGE("https://m.media-amazon.com/images/I/51l43d13j-L._AC_UY218_.jpg")</f>
        <v/>
      </c>
      <c r="K4162" t="inlineStr">
        <is>
          <t>44.99</t>
        </is>
      </c>
      <c r="L4162" t="n">
        <v>99.55</v>
      </c>
      <c r="M4162" s="1" t="inlineStr">
        <is>
          <t>121.27%</t>
        </is>
      </c>
      <c r="N4162" s="7" t="n">
        <v>0</v>
      </c>
      <c r="O4162" t="n">
        <v>4.8</v>
      </c>
      <c r="P4162" t="n">
        <v>12</v>
      </c>
      <c r="R4162" t="inlineStr">
        <is>
          <t>InStock</t>
        </is>
      </c>
      <c r="S4162" t="inlineStr">
        <is>
          <t>63.0</t>
        </is>
      </c>
      <c r="T4162" t="inlineStr">
        <is>
          <t>4274361466980</t>
        </is>
      </c>
    </row>
    <row r="4163" hidden="1" ht="15.75" customHeight="1">
      <c r="A4163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163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163" t="inlineStr">
        <is>
          <t>Klein Tools JTH9E13 1/4-Inch Hex Key with Journeyman T-Handle, 9-Inch</t>
        </is>
      </c>
      <c r="D4163" t="inlineStr">
        <is>
          <t>Klein Tools JTH6E09BE 9/64-Inch Ball-End Hex Key with Journeyman T-Handle, 6-Inch (Pack of 2)</t>
        </is>
      </c>
      <c r="E4163" s="2">
        <f>HYPERLINK("https://www.amazon.com/Klein-Tools-JTH6E09BE-Ball-End-Journeyman/dp/B0CGLVC75M/ref=sr_1_22?keywords=Klein+Tools+JTH9E13+1%2F4-Inch+Hex+Key+with+Journeyman+T-Handle%2C+9-Inch&amp;qid=1694735245&amp;sr=8-22", "https://www.amazon.com/Klein-Tools-JTH6E09BE-Ball-End-Journeyman/dp/B0CGLVC75M/ref=sr_1_22?keywords=Klein+Tools+JTH9E13+1%2F4-Inch+Hex+Key+with+Journeyman+T-Handle%2C+9-Inch&amp;qid=1694735245&amp;sr=8-22")</f>
        <v/>
      </c>
      <c r="F4163" t="inlineStr">
        <is>
          <t>B0CGLVC75M</t>
        </is>
      </c>
      <c r="G4163">
        <f>_xludf.IMAGE("https://edmondsonsupply.com/cdn/shop/products/jth9e12_7dcdbf9a-5acd-4824-8919-6aeb4a790072.jpg?v=1604060723")</f>
        <v/>
      </c>
      <c r="H4163">
        <f>_xludf.IMAGE("https://m.media-amazon.com/images/I/41bN+I19ReL._AC_UL320_.jpg")</f>
        <v/>
      </c>
      <c r="K4163" t="inlineStr">
        <is>
          <t>6.49</t>
        </is>
      </c>
      <c r="L4163" t="n">
        <v>14.36</v>
      </c>
      <c r="M4163" s="1" t="inlineStr">
        <is>
          <t>121.26%</t>
        </is>
      </c>
      <c r="N4163" s="1" t="n">
        <v>0</v>
      </c>
      <c r="O4163" t="n">
        <v>4.9</v>
      </c>
      <c r="P4163" t="n">
        <v>65</v>
      </c>
      <c r="R4163" t="inlineStr">
        <is>
          <t>InStock</t>
        </is>
      </c>
      <c r="S4163" t="inlineStr">
        <is>
          <t>9.84</t>
        </is>
      </c>
      <c r="T4163" t="inlineStr">
        <is>
          <t>5999069462696</t>
        </is>
      </c>
    </row>
    <row r="4164" ht="87" customHeight="1">
      <c r="A4164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4164" s="2">
        <f>HYPERLINK("https://edmondsonsupply.com/products/klein-tools-d502-10-pump-pliers-10-inch", "https://edmondsonsupply.com/products/klein-tools-d502-10-pump-pliers-10-inch")</f>
        <v/>
      </c>
      <c r="C4164" t="inlineStr">
        <is>
          <t>Klein Tools D502-10 Pump Pliers, 10-Inch</t>
        </is>
      </c>
      <c r="D4164" t="inlineStr">
        <is>
          <t>Klein Tools D502-10-INS 10-Inch Pump Pliers, Insulated</t>
        </is>
      </c>
      <c r="E4164" s="2">
        <f>HYPERLINK("https://www.amazon.com/10-Inch-Insulated-Klein-Tools-D502-10-INS/dp/B0002RI9UO/ref=sr_1_2?keywords=Klein+Tools+D502-10+Pump+Pliers%2C+10-Inch&amp;qid=1694735235&amp;sr=8-2", "https://www.amazon.com/10-Inch-Insulated-Klein-Tools-D502-10-INS/dp/B0002RI9UO/ref=sr_1_2?keywords=Klein+Tools+D502-10+Pump+Pliers%2C+10-Inch&amp;qid=1694735235&amp;sr=8-2")</f>
        <v/>
      </c>
      <c r="F4164" t="inlineStr">
        <is>
          <t>B0002RI9UO</t>
        </is>
      </c>
      <c r="G4164">
        <f>_xlfn.IMAGE("https://edmondsonsupply.com/cdn/shop/products/d50210_alt1.jpg?v=1633030884")</f>
        <v/>
      </c>
      <c r="H4164">
        <f>_xlfn.IMAGE("https://m.media-amazon.com/images/I/51Y-f5OqBUL._AC_UL320_.jpg")</f>
        <v/>
      </c>
      <c r="K4164" t="inlineStr">
        <is>
          <t>24.99</t>
        </is>
      </c>
      <c r="L4164" t="n">
        <v>55.18</v>
      </c>
      <c r="M4164" s="1" t="inlineStr">
        <is>
          <t>120.81%</t>
        </is>
      </c>
      <c r="N4164" s="7" t="n">
        <v>0</v>
      </c>
      <c r="O4164" t="n">
        <v>4.6</v>
      </c>
      <c r="P4164" t="n">
        <v>77</v>
      </c>
      <c r="R4164" t="inlineStr">
        <is>
          <t>InStock</t>
        </is>
      </c>
      <c r="S4164" t="inlineStr">
        <is>
          <t>37.84</t>
        </is>
      </c>
      <c r="T4164" t="inlineStr">
        <is>
          <t>6203936669869</t>
        </is>
      </c>
    </row>
    <row r="4165" ht="87" customHeight="1">
      <c r="A4165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4165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4165" t="inlineStr">
        <is>
          <t>Diablo Tools DMAPL4040-P25 3/16 in. x 4 in. x 6 in. Rebar Demon™ SDS-Plus 4-Cutter Full Carbide Head Hammer Bit (25-Pack)</t>
        </is>
      </c>
      <c r="D4165" t="inlineStr">
        <is>
          <t>Diablo by Freud DMAPL4160-P25 3/8 in. x 10 in. x 12 in. Rebar Demon SDS-Plus 4-Cutter Full Carbide Head Hammer Bit (25-Pack)</t>
        </is>
      </c>
      <c r="E4165" s="2" t="n"/>
      <c r="F4165" t="inlineStr">
        <is>
          <t>B089LKWCD1</t>
        </is>
      </c>
      <c r="G4165">
        <f>_xlfn.IMAGE("https://edmondsonsupply.com/cdn/shop/products/DMAPL4040-P25.jpg?v=1633030349")</f>
        <v/>
      </c>
      <c r="H4165">
        <f>_xlfn.IMAGE("https://m.media-amazon.com/images/I/61MHnm3+2bL._AC_UL320_.jpg")</f>
        <v/>
      </c>
      <c r="K4165" t="inlineStr">
        <is>
          <t>81.97</t>
        </is>
      </c>
      <c r="L4165" t="n">
        <v>180.97</v>
      </c>
      <c r="M4165" s="1" t="inlineStr">
        <is>
          <t>120.78%</t>
        </is>
      </c>
      <c r="N4165" s="7" t="n">
        <v>0</v>
      </c>
      <c r="O4165" t="n">
        <v>5</v>
      </c>
      <c r="P4165" t="n">
        <v>1</v>
      </c>
      <c r="R4165" t="inlineStr">
        <is>
          <t>InStock</t>
        </is>
      </c>
      <c r="S4165" t="inlineStr">
        <is>
          <t>117.4</t>
        </is>
      </c>
      <c r="T4165" t="inlineStr">
        <is>
          <t>5283055206568</t>
        </is>
      </c>
    </row>
    <row r="4166" ht="87" customHeight="1">
      <c r="A4166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4166" s="2">
        <f>HYPERLINK("https://edmondsonsupply.com/products/diablo-tools-d0724x-7-1-4-in-x-24-tooth-framing-saw-blade", "https://edmondsonsupply.com/products/diablo-tools-d0724x-7-1-4-in-x-24-tooth-framing-saw-blade")</f>
        <v/>
      </c>
      <c r="C4166" t="inlineStr">
        <is>
          <t>Diablo Tools D0724X 7-1/4 in. x 24 Tooth Framing Saw Blade</t>
        </is>
      </c>
      <c r="D4166" t="inlineStr">
        <is>
          <t>Freud Diablo 7-1/4-Inch 24 Tooth Framing Circular Saw Blades (2-Pack)</t>
        </is>
      </c>
      <c r="E4166" s="2">
        <f>HYPERLINK("https://www.amazon.com/Diablo-2-Pack-Framing-Circular-Blades/dp/B09K81GP9V/ref=sr_1_4?keywords=Diablo+Tools+D0724X+7-1%2F4+in.+x+24+Tooth+Framing+Saw+Blade&amp;qid=1694735022&amp;sr=8-4", "https://www.amazon.com/Diablo-2-Pack-Framing-Circular-Blades/dp/B09K81GP9V/ref=sr_1_4?keywords=Diablo+Tools+D0724X+7-1%2F4+in.+x+24+Tooth+Framing+Saw+Blade&amp;qid=1694735022&amp;sr=8-4")</f>
        <v/>
      </c>
      <c r="F4166" t="inlineStr">
        <is>
          <t>B09K81GP9V</t>
        </is>
      </c>
      <c r="G4166">
        <f>_xlfn.IMAGE("https://edmondsonsupply.com/cdn/shop/products/D0724A_Main-Image20200218_ba34939c-8546-489a-9616-b05338ff91cc.png?v=1678971696")</f>
        <v/>
      </c>
      <c r="H4166">
        <f>_xlfn.IMAGE("https://m.media-amazon.com/images/I/61MhRzf0xyL._AC_UL320_.jpg")</f>
        <v/>
      </c>
      <c r="K4166" t="inlineStr">
        <is>
          <t>9.97</t>
        </is>
      </c>
      <c r="L4166" t="n">
        <v>21.98</v>
      </c>
      <c r="M4166" s="1" t="inlineStr">
        <is>
          <t>120.46%</t>
        </is>
      </c>
      <c r="N4166" s="7" t="n">
        <v>0</v>
      </c>
      <c r="O4166" t="n">
        <v>4.7</v>
      </c>
      <c r="P4166" t="n">
        <v>8</v>
      </c>
      <c r="R4166" t="inlineStr">
        <is>
          <t>InStock</t>
        </is>
      </c>
      <c r="S4166" t="inlineStr">
        <is>
          <t>16.41</t>
        </is>
      </c>
      <c r="T4166" t="inlineStr">
        <is>
          <t>7962598670552</t>
        </is>
      </c>
    </row>
    <row r="4167" ht="87" customHeight="1">
      <c r="A4167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4167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4167" t="inlineStr">
        <is>
          <t>Diablo Tools D0724A 7-1/4 in. x 24 Tooth Framing Saw Blade</t>
        </is>
      </c>
      <c r="D4167" t="inlineStr">
        <is>
          <t>Freud Diablo 7-1/4-Inch 24 Tooth Framing Circular Saw Blades (2-Pack)</t>
        </is>
      </c>
      <c r="E4167" s="2">
        <f>HYPERLINK("https://www.amazon.com/Diablo-2-Pack-Framing-Circular-Blades/dp/B09K81GP9V/ref=sr_1_5?keywords=Diablo+Tools+D0724A+7-1%2F4+in.+x+24+Tooth+Framing+Saw+Blade&amp;qid=1694735310&amp;sr=8-5", "https://www.amazon.com/Diablo-2-Pack-Framing-Circular-Blades/dp/B09K81GP9V/ref=sr_1_5?keywords=Diablo+Tools+D0724A+7-1%2F4+in.+x+24+Tooth+Framing+Saw+Blade&amp;qid=1694735310&amp;sr=8-5")</f>
        <v/>
      </c>
      <c r="F4167" t="inlineStr">
        <is>
          <t>B09K81GP9V</t>
        </is>
      </c>
      <c r="G4167">
        <f>_xlfn.IMAGE("https://edmondsonsupply.com/cdn/shop/products/D0724A_Main-Image20200218.png?v=1633030268")</f>
        <v/>
      </c>
      <c r="H4167">
        <f>_xlfn.IMAGE("https://m.media-amazon.com/images/I/61MhRzf0xyL._AC_UL320_.jpg")</f>
        <v/>
      </c>
      <c r="K4167" t="inlineStr">
        <is>
          <t>9.97</t>
        </is>
      </c>
      <c r="L4167" t="n">
        <v>21.98</v>
      </c>
      <c r="M4167" s="1" t="inlineStr">
        <is>
          <t>120.46%</t>
        </is>
      </c>
      <c r="N4167" s="7" t="n">
        <v>0</v>
      </c>
      <c r="O4167" t="n">
        <v>4.7</v>
      </c>
      <c r="P4167" t="n">
        <v>8</v>
      </c>
      <c r="R4167" t="inlineStr">
        <is>
          <t>InStock</t>
        </is>
      </c>
      <c r="S4167" t="inlineStr">
        <is>
          <t>15.45</t>
        </is>
      </c>
      <c r="T4167" t="inlineStr">
        <is>
          <t>4678532563044</t>
        </is>
      </c>
    </row>
    <row r="4168" ht="87" customHeight="1">
      <c r="A4168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4168" s="2">
        <f>HYPERLINK("https://edmondsonsupply.com/products/klein-tools-rt110-receptacle-tester", "https://edmondsonsupply.com/products/klein-tools-rt110-receptacle-tester")</f>
        <v/>
      </c>
      <c r="C4168" t="inlineStr">
        <is>
          <t>Klein Tools RT110 Receptacle Tester</t>
        </is>
      </c>
      <c r="D4168" t="inlineStr">
        <is>
          <t>Klein Tools RT250 GFCI Outlet Tester with LCD Display, Electric Voltage Tester for Standard 3-Wire 120V Electrical Receptacles,Green/Red</t>
        </is>
      </c>
      <c r="E4168" s="2">
        <f>HYPERLINK("https://www.amazon.com/Receptacle-Electrical-Klein-Tools-RT250/dp/B08QW7K1JJ/ref=sr_1_4?keywords=Klein+Tools+RT110+Receptacle+Tester&amp;qid=1694735205&amp;sr=8-4", "https://www.amazon.com/Receptacle-Electrical-Klein-Tools-RT250/dp/B08QW7K1JJ/ref=sr_1_4?keywords=Klein+Tools+RT110+Receptacle+Tester&amp;qid=1694735205&amp;sr=8-4")</f>
        <v/>
      </c>
      <c r="F4168" t="inlineStr">
        <is>
          <t>B08QW7K1JJ</t>
        </is>
      </c>
      <c r="G4168">
        <f>_xlfn.IMAGE("https://edmondsonsupply.com/cdn/shop/products/rt110.jpg?v=1633031036")</f>
        <v/>
      </c>
      <c r="H4168">
        <f>_xlfn.IMAGE("https://m.media-amazon.com/images/I/61j28ynJ7bL._AC_UL320_.jpg")</f>
        <v/>
      </c>
      <c r="K4168" t="inlineStr">
        <is>
          <t>9.97</t>
        </is>
      </c>
      <c r="L4168" t="n">
        <v>21.97</v>
      </c>
      <c r="M4168" s="1" t="inlineStr">
        <is>
          <t>120.36%</t>
        </is>
      </c>
      <c r="N4168" s="7" t="n">
        <v>0</v>
      </c>
      <c r="O4168" t="n">
        <v>4.8</v>
      </c>
      <c r="P4168" t="n">
        <v>7942</v>
      </c>
      <c r="R4168" t="inlineStr">
        <is>
          <t>InStock</t>
        </is>
      </c>
      <c r="S4168" t="inlineStr">
        <is>
          <t>12.12</t>
        </is>
      </c>
      <c r="T4168" t="inlineStr">
        <is>
          <t>6740486619309</t>
        </is>
      </c>
    </row>
    <row r="4169" hidden="1" ht="15.75" customHeight="1">
      <c r="A4169" s="2">
        <f>HYPERLINK("https://edmondsonsupply.com/collections/electricians-tools/products/copy-of-diablo-tools-d1244x", "https://edmondsonsupply.com/collections/electricians-tools/products/copy-of-diablo-tools-d1244x")</f>
        <v/>
      </c>
      <c r="B4169" s="2">
        <f>HYPERLINK("https://edmondsonsupply.com/products/copy-of-diablo-tools-d1244x", "https://edmondsonsupply.com/products/copy-of-diablo-tools-d1244x")</f>
        <v/>
      </c>
      <c r="C4169" t="inlineStr">
        <is>
          <t>Diablo Tools D1024X 10 in. x 24 Tooth Ripping Saw Blade</t>
        </is>
      </c>
      <c r="D4169" t="inlineStr">
        <is>
          <t>Diablo D1024X 10-Inch 24-Tooth ATB Ripping Saw Blades Bundle (2-Pack)</t>
        </is>
      </c>
      <c r="E4169" s="2">
        <f>HYPERLINK("https://www.amazon.com/Diablo-D1024X-10-Inch-24-Tooth-Ripping/dp/B076T7T3NG/ref=sr_1_2?keywords=Diablo+Tools+D1024X+10+in.+x+24+Tooth+Ripping+Saw+Blade&amp;qid=1694735311&amp;sr=8-2", "https://www.amazon.com/Diablo-D1024X-10-Inch-24-Tooth-Ripping/dp/B076T7T3NG/ref=sr_1_2?keywords=Diablo+Tools+D1024X+10+in.+x+24+Tooth+Ripping+Saw+Blade&amp;qid=1694735311&amp;sr=8-2")</f>
        <v/>
      </c>
      <c r="F4169" t="inlineStr">
        <is>
          <t>B076T7T3NG</t>
        </is>
      </c>
      <c r="G4169">
        <f>_xludf.IMAGE("https://edmondsonsupply.com/cdn/shop/products/D1024X_Main-Image20191024.png?v=1609790707")</f>
        <v/>
      </c>
      <c r="H4169">
        <f>_xludf.IMAGE("https://m.media-amazon.com/images/I/51JBXVV2CbL._AC_UL320_.jpg")</f>
        <v/>
      </c>
      <c r="K4169" t="inlineStr">
        <is>
          <t>28.59</t>
        </is>
      </c>
      <c r="L4169" t="n">
        <v>62.99</v>
      </c>
      <c r="M4169" s="1" t="inlineStr">
        <is>
          <t>120.32%</t>
        </is>
      </c>
      <c r="N4169" s="1" t="n">
        <v>0</v>
      </c>
      <c r="O4169" t="n">
        <v>3.8</v>
      </c>
      <c r="P4169" t="n">
        <v>7</v>
      </c>
      <c r="R4169" t="inlineStr">
        <is>
          <t>InStock</t>
        </is>
      </c>
      <c r="S4169" t="inlineStr">
        <is>
          <t>43.28</t>
        </is>
      </c>
      <c r="T4169" t="inlineStr">
        <is>
          <t>4683548360804</t>
        </is>
      </c>
    </row>
    <row r="4170" ht="87" customHeight="1">
      <c r="A4170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4170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4170" t="inlineStr">
        <is>
          <t>Diablo Tools DMAPL4310 1 in. x 16 in. x 18 in. Rebar Demon™ SDS-Plus 4-Cutter Full Carbide Head Hammer Drill Bit</t>
        </is>
      </c>
      <c r="D4170" t="inlineStr">
        <is>
          <t>Diablo DMAMX1230 1 in. x 24 in. x 29 in. Rebar Demon™ SDS-Max 4-Cutter Full Carbide Head Hammer Bit</t>
        </is>
      </c>
      <c r="E4170" s="2">
        <f>HYPERLINK("https://www.amazon.com/Diablo-DMAMX1230-SDS-Max-4-Cutter-Carbide/dp/B089KWMBLT/ref=sr_1_31?keywords=Diablo+Tools+DMAPL4310+1+in.+x+16+in.+x+18+in.+Rebar+Demon%E2%84%A2+SDS-Plus+4-Cutter+Full+Carbide+Head+Hammer+Drill+Bit&amp;qid=1694735204&amp;sr=8-31", "https://www.amazon.com/Diablo-DMAMX1230-SDS-Max-4-Cutter-Carbide/dp/B089KWMBLT/ref=sr_1_31?keywords=Diablo+Tools+DMAPL4310+1+in.+x+16+in.+x+18+in.+Rebar+Demon%E2%84%A2+SDS-Plus+4-Cutter+Full+Carbide+Head+Hammer+Drill+Bit&amp;qid=1694735204&amp;sr=8-31")</f>
        <v/>
      </c>
      <c r="F4170" t="inlineStr">
        <is>
          <t>B089KWMBLT</t>
        </is>
      </c>
      <c r="G4170">
        <f>_xlfn.IMAGE("https://edmondsonsupply.com/cdn/shop/products/DMAPL4310_Main-Image20200701.png?v=1633031094")</f>
        <v/>
      </c>
      <c r="H4170">
        <f>_xlfn.IMAGE("https://m.media-amazon.com/images/I/61B-wgZVzML._AC_UL320_.jpg")</f>
        <v/>
      </c>
      <c r="K4170" t="inlineStr">
        <is>
          <t>49.97</t>
        </is>
      </c>
      <c r="L4170" t="n">
        <v>109.99</v>
      </c>
      <c r="M4170" s="1" t="inlineStr">
        <is>
          <t>120.11%</t>
        </is>
      </c>
      <c r="N4170" s="7" t="n">
        <v>0</v>
      </c>
      <c r="O4170" t="n">
        <v>4.6</v>
      </c>
      <c r="P4170" t="n">
        <v>3</v>
      </c>
      <c r="R4170" t="inlineStr">
        <is>
          <t>InStock</t>
        </is>
      </c>
      <c r="S4170" t="inlineStr">
        <is>
          <t>57.56</t>
        </is>
      </c>
      <c r="T4170" t="inlineStr">
        <is>
          <t>6839830479021</t>
        </is>
      </c>
    </row>
    <row r="4171" ht="87" customHeight="1">
      <c r="A4171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4171" s="2">
        <f>HYPERLINK("https://edmondsonsupply.com/products/klein-tools-31922-bi-metal-hole-saw-1-3-8-inch", "https://edmondsonsupply.com/products/klein-tools-31922-bi-metal-hole-saw-1-3-8-inch")</f>
        <v/>
      </c>
      <c r="C4171" t="inlineStr">
        <is>
          <t>Klein Tools 31922 Bi-Metal Hole Saw, 1-3/8-Inch</t>
        </is>
      </c>
      <c r="D4171" t="inlineStr">
        <is>
          <t>Klein Tools 31932 Bi-Metal Hole Saw, 2-Inch with Easy Slug Removal (Pack of 2)</t>
        </is>
      </c>
      <c r="E4171" s="2">
        <f>HYPERLINK("https://www.amazon.com/Klein-Tools-31932-Bi-Metal-Removal/dp/B0CDQJ3GB1/ref=sr_1_8?keywords=Klein+Tools+31922+Bi-Metal+Hole+Saw%2C+1-3%2F8-Inch&amp;qid=1694735176&amp;sr=8-8", "https://www.amazon.com/Klein-Tools-31932-Bi-Metal-Removal/dp/B0CDQJ3GB1/ref=sr_1_8?keywords=Klein+Tools+31922+Bi-Metal+Hole+Saw%2C+1-3%2F8-Inch&amp;qid=1694735176&amp;sr=8-8")</f>
        <v/>
      </c>
      <c r="F4171" t="inlineStr">
        <is>
          <t>B0CDQJ3GB1</t>
        </is>
      </c>
      <c r="G4171">
        <f>_xlfn.IMAGE("https://edmondsonsupply.com/cdn/shop/products/31922.jpg?v=1663943738")</f>
        <v/>
      </c>
      <c r="H4171">
        <f>_xlfn.IMAGE("https://m.media-amazon.com/images/I/51X2q1rcRXL._AC_UL320_.jpg")</f>
        <v/>
      </c>
      <c r="K4171" t="inlineStr">
        <is>
          <t>9.99</t>
        </is>
      </c>
      <c r="L4171" t="n">
        <v>21.98</v>
      </c>
      <c r="M4171" s="1" t="inlineStr">
        <is>
          <t>120.02%</t>
        </is>
      </c>
      <c r="N4171" s="7" t="n">
        <v>0</v>
      </c>
      <c r="O4171" t="n">
        <v>4.6</v>
      </c>
      <c r="P4171" t="n">
        <v>406</v>
      </c>
      <c r="R4171" t="inlineStr">
        <is>
          <t>InStock</t>
        </is>
      </c>
      <c r="S4171" t="inlineStr">
        <is>
          <t>14.0</t>
        </is>
      </c>
      <c r="T4171" t="inlineStr">
        <is>
          <t>7827257819352</t>
        </is>
      </c>
    </row>
    <row r="4172" ht="87" customHeight="1">
      <c r="A4172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4172" s="2">
        <f>HYPERLINK("https://edmondsonsupply.com/products/klein-tools-56331-steel-fish-tape-1-8-inch-x-50-foot", "https://edmondsonsupply.com/products/klein-tools-56331-steel-fish-tape-1-8-inch-x-50-foot")</f>
        <v/>
      </c>
      <c r="C4172" t="inlineStr">
        <is>
          <t>Klein Tools 56331 Steel Fish Tape, 1/8-Inch x 50-Foot</t>
        </is>
      </c>
      <c r="D4172" t="inlineStr">
        <is>
          <t>Klein Tools 56333 Electrical Fish Tape, Steel Wire Puller with Double Loop Tip, Optimized Housing and Handle, 1/8-Inch x 120-Foot</t>
        </is>
      </c>
      <c r="E4172" s="2">
        <f>HYPERLINK("https://www.amazon.com/Klein-Tools-56333-Optimized-120-Foot/dp/B081TVVJTY/ref=sr_1_13?keywords=Klein+Tools+56331+Steel+Fish+Tape%2C+1%2F8-Inch+x+50-Foot&amp;qid=1694735384&amp;sr=8-13", "https://www.amazon.com/Klein-Tools-56333-Optimized-120-Foot/dp/B081TVVJTY/ref=sr_1_13?keywords=Klein+Tools+56331+Steel+Fish+Tape%2C+1%2F8-Inch+x+50-Foot&amp;qid=1694735384&amp;sr=8-13")</f>
        <v/>
      </c>
      <c r="F4172" t="inlineStr">
        <is>
          <t>B081TVVJTY</t>
        </is>
      </c>
      <c r="G4172">
        <f>_xlfn.IMAGE("https://edmondsonsupply.com/cdn/shop/products/56331.jpg?v=1587143350")</f>
        <v/>
      </c>
      <c r="H4172">
        <f>_xlfn.IMAGE("https://m.media-amazon.com/images/I/51qsQYpwj0L._AC_UL320_.jpg")</f>
        <v/>
      </c>
      <c r="K4172" t="inlineStr">
        <is>
          <t>24.99</t>
        </is>
      </c>
      <c r="L4172" t="n">
        <v>54.97</v>
      </c>
      <c r="M4172" s="1" t="inlineStr">
        <is>
          <t>119.97%</t>
        </is>
      </c>
      <c r="N4172" s="7" t="n">
        <v>0</v>
      </c>
      <c r="O4172" t="n">
        <v>4.6</v>
      </c>
      <c r="P4172" t="n">
        <v>334</v>
      </c>
      <c r="R4172" t="inlineStr">
        <is>
          <t>InStock</t>
        </is>
      </c>
      <c r="S4172" t="inlineStr">
        <is>
          <t>30.9</t>
        </is>
      </c>
      <c r="T4172" t="inlineStr">
        <is>
          <t>4412204056676</t>
        </is>
      </c>
    </row>
    <row r="4173" ht="87" customHeight="1">
      <c r="A4173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4173" s="2">
        <f>HYPERLINK("https://edmondsonsupply.com/products/klein-tools-56331-steel-fish-tape-1-8-inch-x-50-foot", "https://edmondsonsupply.com/products/klein-tools-56331-steel-fish-tape-1-8-inch-x-50-foot")</f>
        <v/>
      </c>
      <c r="C4173" t="inlineStr">
        <is>
          <t>Klein Tools 56331 Steel Fish Tape, 1/8-Inch x 50-Foot</t>
        </is>
      </c>
      <c r="D4173" t="inlineStr">
        <is>
          <t>Klein Tools 53731 Hole Saw, Adjustable Saw Cutter with Dust Shield for Cutting Drywall &amp; Klein Tools 56331 Fish Tape, Steel Wire Puller with Double Loop Tip, 1/8-Inch x 50-Foot</t>
        </is>
      </c>
      <c r="E4173" s="2">
        <f>HYPERLINK("https://www.amazon.com/Klein-Tools-Adjustable-Cutting-Drywall/dp/B0BM3RP6RS/ref=sr_1_29?keywords=Klein+Tools+56331+Steel+Fish+Tape%2C+1%2F8-Inch+x+50-Foot&amp;qid=1694735384&amp;sr=8-29", "https://www.amazon.com/Klein-Tools-Adjustable-Cutting-Drywall/dp/B0BM3RP6RS/ref=sr_1_29?keywords=Klein+Tools+56331+Steel+Fish+Tape%2C+1%2F8-Inch+x+50-Foot&amp;qid=1694735384&amp;sr=8-29")</f>
        <v/>
      </c>
      <c r="F4173" t="inlineStr">
        <is>
          <t>B0BM3RP6RS</t>
        </is>
      </c>
      <c r="G4173">
        <f>_xlfn.IMAGE("https://edmondsonsupply.com/cdn/shop/products/56331.jpg?v=1587143350")</f>
        <v/>
      </c>
      <c r="H4173">
        <f>_xlfn.IMAGE("https://m.media-amazon.com/images/I/51JB2IVX0IL._AC_UL320_.jpg")</f>
        <v/>
      </c>
      <c r="K4173" t="inlineStr">
        <is>
          <t>24.99</t>
        </is>
      </c>
      <c r="L4173" t="n">
        <v>54.96</v>
      </c>
      <c r="M4173" s="1" t="inlineStr">
        <is>
          <t>119.93%</t>
        </is>
      </c>
      <c r="N4173" s="7" t="n">
        <v>0</v>
      </c>
      <c r="O4173" t="n">
        <v>5</v>
      </c>
      <c r="P4173" t="n">
        <v>1</v>
      </c>
      <c r="R4173" t="inlineStr">
        <is>
          <t>InStock</t>
        </is>
      </c>
      <c r="S4173" t="inlineStr">
        <is>
          <t>30.9</t>
        </is>
      </c>
      <c r="T4173" t="inlineStr">
        <is>
          <t>4412204056676</t>
        </is>
      </c>
    </row>
    <row r="4174" hidden="1" ht="15.75" customHeight="1">
      <c r="A4174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4174" s="2">
        <f>HYPERLINK("https://edmondsonsupply.com/products/diablo-tools-dmapl2140-1-4-in-x-4-in-x-6-in-sds-plus-2-cutter", "https://edmondsonsupply.com/products/diablo-tools-dmapl2140-1-4-in-x-4-in-x-6-in-sds-plus-2-cutter")</f>
        <v/>
      </c>
      <c r="C4174" t="inlineStr">
        <is>
          <t>Diablo Tools DMAPL2140 1/4 in. x 4 in. x 6 in. SDS‑Plus 2‑Cutter</t>
        </is>
      </c>
      <c r="D4174" t="inlineStr">
        <is>
          <t>Diablo 1/4 in. x 16 in. x 18 in. SDS-Plus 2-Cutter</t>
        </is>
      </c>
      <c r="E4174" s="2">
        <f>HYPERLINK("https://www.amazon.com/Diablo-DMAPL2170-16-SDS-Plus-2-Cutter/dp/B089LGDL7F/ref=sr_1_3?keywords=Diablo+Tools+DMAPL2140+1%2F4+in.+x+4+in.+x+6+in.+SDS%E2%80%91Plus+2%E2%80%91Cutter&amp;qid=1694735261&amp;sr=8-3", "https://www.amazon.com/Diablo-DMAPL2170-16-SDS-Plus-2-Cutter/dp/B089LGDL7F/ref=sr_1_3?keywords=Diablo+Tools+DMAPL2140+1%2F4+in.+x+4+in.+x+6+in.+SDS%E2%80%91Plus+2%E2%80%91Cutter&amp;qid=1694735261&amp;sr=8-3")</f>
        <v/>
      </c>
      <c r="F4174" t="inlineStr">
        <is>
          <t>B089LGDL7F</t>
        </is>
      </c>
      <c r="G4174">
        <f>_xludf.IMAGE("https://edmondsonsupply.com/cdn/shop/products/DMAPL2140-P25_Main-Image20200701_051150e2-bdbb-41a1-87fd-df202a887b18.png?v=1633030654")</f>
        <v/>
      </c>
      <c r="H4174">
        <f>_xludf.IMAGE("https://m.media-amazon.com/images/I/61cUBcEwKHL._AC_UL320_.jpg")</f>
        <v/>
      </c>
      <c r="K4174" t="inlineStr">
        <is>
          <t>4.99</t>
        </is>
      </c>
      <c r="L4174" t="n">
        <v>10.94</v>
      </c>
      <c r="M4174" s="1" t="inlineStr">
        <is>
          <t>119.24%</t>
        </is>
      </c>
      <c r="N4174" s="1" t="n">
        <v>0</v>
      </c>
      <c r="O4174" t="n">
        <v>4.7</v>
      </c>
      <c r="P4174" t="n">
        <v>15</v>
      </c>
      <c r="R4174" t="inlineStr">
        <is>
          <t>InStock</t>
        </is>
      </c>
      <c r="S4174" t="inlineStr">
        <is>
          <t>5.04</t>
        </is>
      </c>
      <c r="T4174" t="inlineStr">
        <is>
          <t>5740655739048</t>
        </is>
      </c>
    </row>
    <row r="4175" hidden="1" ht="15.75" customHeight="1">
      <c r="A4175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175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175" t="inlineStr">
        <is>
          <t>Klein Tools JTH9E08 1/8-Inch Hex Key with Journeyman T-Handle, 9-Inch</t>
        </is>
      </c>
      <c r="D4175" t="inlineStr">
        <is>
          <t>Klein Tools JTH9M6 6 mm Hex Key, Journeyman T-Handle, 9-Inch</t>
        </is>
      </c>
      <c r="E4175" s="2">
        <f>HYPERLINK("https://www.amazon.com/Journeyman-T-Handle-Klein-Tools-JTH9M6/dp/B005G3HJKU/ref=sr_1_9?keywords=Klein+Tools+JTH9E08+1%2F8-Inch+Hex+Key+with+Journeyman+T-Handle%2C+9-Inch&amp;qid=1694735421&amp;sr=8-9", "https://www.amazon.com/Journeyman-T-Handle-Klein-Tools-JTH9M6/dp/B005G3HJKU/ref=sr_1_9?keywords=Klein+Tools+JTH9E08+1%2F8-Inch+Hex+Key+with+Journeyman+T-Handle%2C+9-Inch&amp;qid=1694735421&amp;sr=8-9")</f>
        <v/>
      </c>
      <c r="F4175" t="inlineStr">
        <is>
          <t>B005G3HJKU</t>
        </is>
      </c>
      <c r="G4175">
        <f>_xludf.IMAGE("https://edmondsonsupply.com/cdn/shop/products/jth6e15_f2733d2c-ab65-41d7-8597-f1dfd8fcaabf.jpg?v=1587142807")</f>
        <v/>
      </c>
      <c r="H4175">
        <f>_xludf.IMAGE("https://m.media-amazon.com/images/I/51+1x0vz9XL._AC_UL320_.jpg")</f>
        <v/>
      </c>
      <c r="K4175" t="inlineStr">
        <is>
          <t>4.49</t>
        </is>
      </c>
      <c r="L4175" t="n">
        <v>9.84</v>
      </c>
      <c r="M4175" s="1" t="inlineStr">
        <is>
          <t>119.15%</t>
        </is>
      </c>
      <c r="N4175" s="1" t="n">
        <v>0</v>
      </c>
      <c r="O4175" t="n">
        <v>4.7</v>
      </c>
      <c r="P4175" t="n">
        <v>123</v>
      </c>
      <c r="R4175" t="inlineStr">
        <is>
          <t>InStock</t>
        </is>
      </c>
      <c r="S4175" t="inlineStr">
        <is>
          <t>6.82</t>
        </is>
      </c>
      <c r="T4175" t="inlineStr">
        <is>
          <t>4352186810468</t>
        </is>
      </c>
    </row>
    <row r="4176" hidden="1" ht="15.75" customHeight="1">
      <c r="A4176" s="2">
        <f>HYPERLINK("https://edmondsonsupply.com/collections/electricians-tools/products/klein-tools-jth9e09-9-64-inch-hex-key-journeyman%E2%84%A2-t-handle-9-inch", "https://edmondsonsupply.com/collections/electricians-tools/products/klein-tools-jth9e09-9-64-inch-hex-key-journeyman%E2%84%A2-t-handle-9-inch")</f>
        <v/>
      </c>
      <c r="B4176" s="2">
        <f>HYPERLINK("https://edmondsonsupply.com/products/klein-tools-jth9e09-9-64-inch-hex-key-journeyman%e2%84%a2-t-handle-9-inch", "https://edmondsonsupply.com/products/klein-tools-jth9e09-9-64-inch-hex-key-journeyman%e2%84%a2-t-handle-9-inch")</f>
        <v/>
      </c>
      <c r="C4176" t="inlineStr">
        <is>
          <t>Klein Tools JTH9E09 9/64-Inch Hex Key, Journeyman™ T-Handle, 9-Inch</t>
        </is>
      </c>
      <c r="D4176" t="inlineStr">
        <is>
          <t>Klein Tools JTH9M6 6 mm Hex Key, Journeyman T-Handle, 9-Inch</t>
        </is>
      </c>
      <c r="E4176" s="2">
        <f>HYPERLINK("https://www.amazon.com/Journeyman-T-Handle-Klein-Tools-JTH9M6/dp/B005G3HJKU/ref=sr_1_7?keywords=Klein+Tools+JTH9E09+9%2F64-Inch+Hex+Key%2C+Journeyman%E2%84%A2+T-Handle%2C+9-Inch&amp;qid=1694734995&amp;sr=8-7", "https://www.amazon.com/Journeyman-T-Handle-Klein-Tools-JTH9M6/dp/B005G3HJKU/ref=sr_1_7?keywords=Klein+Tools+JTH9E09+9%2F64-Inch+Hex+Key%2C+Journeyman%E2%84%A2+T-Handle%2C+9-Inch&amp;qid=1694734995&amp;sr=8-7")</f>
        <v/>
      </c>
      <c r="F4176" t="inlineStr">
        <is>
          <t>B005G3HJKU</t>
        </is>
      </c>
      <c r="G4176">
        <f>_xludf.IMAGE("https://edmondsonsupply.com/cdn/shop/files/jth6e15_a82bd56b-ad18-4460-9ae1-33c48a111839.jpg?v=1684942468")</f>
        <v/>
      </c>
      <c r="H4176">
        <f>_xludf.IMAGE("https://m.media-amazon.com/images/I/51+1x0vz9XL._AC_UL320_.jpg")</f>
        <v/>
      </c>
      <c r="K4176" t="inlineStr">
        <is>
          <t>4.49</t>
        </is>
      </c>
      <c r="L4176" t="n">
        <v>9.84</v>
      </c>
      <c r="M4176" s="1" t="inlineStr">
        <is>
          <t>119.15%</t>
        </is>
      </c>
      <c r="N4176" s="1" t="n">
        <v>0</v>
      </c>
      <c r="O4176" t="n">
        <v>4.7</v>
      </c>
      <c r="P4176" t="n">
        <v>123</v>
      </c>
      <c r="R4176" t="inlineStr">
        <is>
          <t>InStock</t>
        </is>
      </c>
      <c r="S4176" t="inlineStr">
        <is>
          <t>6.8</t>
        </is>
      </c>
      <c r="T4176" t="inlineStr">
        <is>
          <t>7995440595160</t>
        </is>
      </c>
    </row>
    <row r="4177" hidden="1" ht="15.75" customHeight="1">
      <c r="A4177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177" s="2">
        <f>HYPERLINK("https://edmondsonsupply.com/products/klein-tools-jth9m5-4-mm-hex-key-journeyman-t-handle-9-inch", "https://edmondsonsupply.com/products/klein-tools-jth9m5-4-mm-hex-key-journeyman-t-handle-9-inch")</f>
        <v/>
      </c>
      <c r="C4177" t="inlineStr">
        <is>
          <t>Klein Tools JTH9M4 4 mm Hex Key, Journeyman T-Handle, 9-Inch</t>
        </is>
      </c>
      <c r="D4177" t="inlineStr">
        <is>
          <t>Klein Tools JTH9M6 6 mm Hex Key, Journeyman T-Handle, 9-Inch</t>
        </is>
      </c>
      <c r="E4177" s="2">
        <f>HYPERLINK("https://www.amazon.com/Journeyman-T-Handle-Klein-Tools-JTH9M6/dp/B005G3HJKU/ref=sr_1_14?keywords=Klein+Tools+JTH9M4+4+mm+Hex+Key%2C+Journeyman+T-Handle%2C+9-Inch&amp;qid=1694735170&amp;sr=8-14", "https://www.amazon.com/Journeyman-T-Handle-Klein-Tools-JTH9M6/dp/B005G3HJKU/ref=sr_1_14?keywords=Klein+Tools+JTH9M4+4+mm+Hex+Key%2C+Journeyman+T-Handle%2C+9-Inch&amp;qid=1694735170&amp;sr=8-14")</f>
        <v/>
      </c>
      <c r="F4177" t="inlineStr">
        <is>
          <t>B005G3HJKU</t>
        </is>
      </c>
      <c r="G4177">
        <f>_xludf.IMAGE("https://edmondsonsupply.com/cdn/shop/products/jth9m_fa8a641d-d03f-4191-ab24-b9045963e4f7.jpg?v=1640191121")</f>
        <v/>
      </c>
      <c r="H4177">
        <f>_xludf.IMAGE("https://m.media-amazon.com/images/I/51+1x0vz9XL._AC_UL320_.jpg")</f>
        <v/>
      </c>
      <c r="K4177" t="inlineStr">
        <is>
          <t>4.49</t>
        </is>
      </c>
      <c r="L4177" t="n">
        <v>9.84</v>
      </c>
      <c r="M4177" s="1" t="inlineStr">
        <is>
          <t>119.15%</t>
        </is>
      </c>
      <c r="N4177" s="1" t="n">
        <v>0</v>
      </c>
      <c r="O4177" t="n">
        <v>4.7</v>
      </c>
      <c r="P4177" t="n">
        <v>123</v>
      </c>
      <c r="R4177" t="inlineStr">
        <is>
          <t>InStock</t>
        </is>
      </c>
      <c r="S4177" t="inlineStr">
        <is>
          <t>6.8</t>
        </is>
      </c>
      <c r="T4177" t="inlineStr">
        <is>
          <t>7555980656856</t>
        </is>
      </c>
    </row>
    <row r="4178" hidden="1" ht="15.75" customHeight="1">
      <c r="A4178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178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178" t="inlineStr">
        <is>
          <t>Klein Tools JTH9M3 3 mm Hex Key with Journeyman T-Handle, 9-Inch</t>
        </is>
      </c>
      <c r="D4178" t="inlineStr">
        <is>
          <t>Klein Tools JTH9M6 6 mm Hex Key, Journeyman T-Handle, 9-Inch</t>
        </is>
      </c>
      <c r="E4178" s="2">
        <f>HYPERLINK("https://www.amazon.com/Journeyman-T-Handle-Klein-Tools-JTH9M6/dp/B005G3HJKU/ref=sr_1_8?keywords=Klein+Tools+JTH9M3+3+mm+Hex+Key+with+Journeyman+T-Handle%2C+9-Inch&amp;qid=1694735249&amp;sr=8-8", "https://www.amazon.com/Journeyman-T-Handle-Klein-Tools-JTH9M6/dp/B005G3HJKU/ref=sr_1_8?keywords=Klein+Tools+JTH9M3+3+mm+Hex+Key+with+Journeyman+T-Handle%2C+9-Inch&amp;qid=1694735249&amp;sr=8-8")</f>
        <v/>
      </c>
      <c r="F4178" t="inlineStr">
        <is>
          <t>B005G3HJKU</t>
        </is>
      </c>
      <c r="G4178">
        <f>_xludf.IMAGE("https://edmondsonsupply.com/cdn/shop/products/jth9m.jpg?v=1633030702")</f>
        <v/>
      </c>
      <c r="H4178">
        <f>_xludf.IMAGE("https://m.media-amazon.com/images/I/51+1x0vz9XL._AC_UL320_.jpg")</f>
        <v/>
      </c>
      <c r="K4178" t="inlineStr">
        <is>
          <t>4.49</t>
        </is>
      </c>
      <c r="L4178" t="n">
        <v>9.84</v>
      </c>
      <c r="M4178" s="1" t="inlineStr">
        <is>
          <t>119.15%</t>
        </is>
      </c>
      <c r="N4178" s="1" t="n">
        <v>0</v>
      </c>
      <c r="O4178" t="n">
        <v>4.7</v>
      </c>
      <c r="P4178" t="n">
        <v>123</v>
      </c>
      <c r="R4178" t="inlineStr">
        <is>
          <t>InStock</t>
        </is>
      </c>
      <c r="S4178" t="inlineStr">
        <is>
          <t>6.82</t>
        </is>
      </c>
      <c r="T4178" t="inlineStr">
        <is>
          <t>5848344035496</t>
        </is>
      </c>
    </row>
    <row r="4179" hidden="1" ht="15.75" customHeight="1">
      <c r="A4179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4179" s="2">
        <f>HYPERLINK("https://edmondsonsupply.com/products/klein-tools-31737-folding-jab-saw", "https://edmondsonsupply.com/products/klein-tools-31737-folding-jab-saw")</f>
        <v/>
      </c>
      <c r="C4179" t="inlineStr">
        <is>
          <t>Klein Tools 31737 Folding Jab Saw</t>
        </is>
      </c>
      <c r="D4179" t="inlineStr">
        <is>
          <t>Klein Tools 56331 Fish Tape, Steel Wire Puller &amp; 31737 Folding Jab Saw/Drywall Saw, Hand Saw with Lockback at 180 and 125 Degrees and Tether Hole</t>
        </is>
      </c>
      <c r="E4179" s="2">
        <f>HYPERLINK("https://www.amazon.com/Klein-Tools-Folding-Drywall-Lockback/dp/B09Z6MNFP8/ref=sr_1_12?keywords=Klein+Tools+31737+Folding+Jab+Saw&amp;qid=1694735392&amp;sr=8-12", "https://www.amazon.com/Klein-Tools-Folding-Drywall-Lockback/dp/B09Z6MNFP8/ref=sr_1_12?keywords=Klein+Tools+31737+Folding+Jab+Saw&amp;qid=1694735392&amp;sr=8-12")</f>
        <v/>
      </c>
      <c r="F4179" t="inlineStr">
        <is>
          <t>B09Z6MNFP8</t>
        </is>
      </c>
      <c r="G4179">
        <f>_xludf.IMAGE("https://edmondsonsupply.com/cdn/shop/products/31737.jpg?v=1587149419")</f>
        <v/>
      </c>
      <c r="H4179">
        <f>_xludf.IMAGE("https://m.media-amazon.com/images/I/41m0BGlTkkL._AC_UL320_.jpg")</f>
        <v/>
      </c>
      <c r="K4179" t="inlineStr">
        <is>
          <t>20.99</t>
        </is>
      </c>
      <c r="L4179" t="n">
        <v>45.98</v>
      </c>
      <c r="M4179" s="1" t="inlineStr">
        <is>
          <t>119.06%</t>
        </is>
      </c>
      <c r="N4179" s="1" t="n">
        <v>0</v>
      </c>
      <c r="O4179" t="n">
        <v>2.6</v>
      </c>
      <c r="P4179" t="n">
        <v>2</v>
      </c>
      <c r="R4179" t="inlineStr">
        <is>
          <t>InStock</t>
        </is>
      </c>
      <c r="S4179" t="inlineStr">
        <is>
          <t>30.06</t>
        </is>
      </c>
      <c r="T4179" t="inlineStr">
        <is>
          <t>1780079853668</t>
        </is>
      </c>
    </row>
    <row r="4180" ht="87" customHeight="1">
      <c r="A4180" s="2">
        <f>HYPERLINK("https://edmondsonsupply.com/collections/electricians-tools/products/diablo-tools-dmamx1220", "https://edmondsonsupply.com/collections/electricians-tools/products/diablo-tools-dmamx1220")</f>
        <v/>
      </c>
      <c r="B4180" s="2">
        <f>HYPERLINK("https://edmondsonsupply.com/products/diablo-tools-dmamx1220", "https://edmondsonsupply.com/products/diablo-tools-dmamx1220")</f>
        <v/>
      </c>
      <c r="C4180" t="inlineStr">
        <is>
          <t>Diablo Tools DMAMX1220 1 in. x 16 in. x 21 in. Rebar Demon™ SDS-Max 4-Cutter Full Carbide Head Hammer Drill Bit</t>
        </is>
      </c>
      <c r="D4180" t="inlineStr">
        <is>
          <t>Diablo by Freud DMAMX1240 1 in. x 31 in. x 36 in. Rebar Demon SDS-Max 4-Cutter Full Carbide Head Hammer Bit</t>
        </is>
      </c>
      <c r="E4180" s="2">
        <f>HYPERLINK("https://www.amazon.com/Diablo-SDS-Max-4-Cutter-Carbide-Hammer/dp/B089KWF9R4/ref=sr_1_6?keywords=Diablo+Tools+DMAMX1220+1+in.+x+16+in.+x+21+in.+Rebar+Demon%E2%84%A2+SDS-Max+4-Cutter+Full+Carbide+Head+Hammer+Drill+Bit&amp;qid=1694735075&amp;sr=8-6", "https://www.amazon.com/Diablo-SDS-Max-4-Cutter-Carbide-Hammer/dp/B089KWF9R4/ref=sr_1_6?keywords=Diablo+Tools+DMAMX1220+1+in.+x+16+in.+x+21+in.+Rebar+Demon%E2%84%A2+SDS-Max+4-Cutter+Full+Carbide+Head+Hammer+Drill+Bit&amp;qid=1694735075&amp;sr=8-6")</f>
        <v/>
      </c>
      <c r="F4180" t="inlineStr">
        <is>
          <t>B089KWF9R4</t>
        </is>
      </c>
      <c r="G4180">
        <f>_xlfn.IMAGE("https://edmondsonsupply.com/cdn/shop/products/immoyh7jjmbau4fzhuq6.webp?v=1670431066")</f>
        <v/>
      </c>
      <c r="H4180">
        <f>_xlfn.IMAGE("https://m.media-amazon.com/images/I/61UhVlNC+9L._AC_UL320_.jpg")</f>
        <v/>
      </c>
      <c r="K4180" t="inlineStr">
        <is>
          <t>45.69</t>
        </is>
      </c>
      <c r="L4180" t="n">
        <v>100</v>
      </c>
      <c r="M4180" s="1" t="inlineStr">
        <is>
          <t>118.87%</t>
        </is>
      </c>
      <c r="N4180" s="7" t="n">
        <v>0</v>
      </c>
      <c r="O4180" t="n">
        <v>5</v>
      </c>
      <c r="P4180" t="n">
        <v>3</v>
      </c>
      <c r="R4180" t="inlineStr">
        <is>
          <t>InStock</t>
        </is>
      </c>
      <c r="S4180" t="inlineStr">
        <is>
          <t>70.58</t>
        </is>
      </c>
      <c r="T4180" t="inlineStr">
        <is>
          <t>7900195356888</t>
        </is>
      </c>
    </row>
    <row r="4181" ht="87" customHeight="1">
      <c r="A4181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181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181" t="inlineStr">
        <is>
          <t>Klein Tools ET310 Digital Circuit Breaker Finder with GFCI Outlet Tester</t>
        </is>
      </c>
      <c r="D4181" t="inlineStr">
        <is>
          <t>Klein Tools CL120 Digital Clamp Meter, Auto-Ranging 400 Amp AC &amp; ET310 AC Circuit Breaker Finder with Integrated GFCI Outlet Tester</t>
        </is>
      </c>
      <c r="E4181" s="2">
        <f>HYPERLINK("https://www.amazon.com/Klein-Tools-Digital-Auto-Ranging-Integrated/dp/B0BD41WZM6/ref=sr_1_17?keywords=Klein+Tools+ET310+Digital+Circuit+Breaker+Finder+with+GFCI+Outlet+Tester&amp;qid=1694734974&amp;sr=8-17", "https://www.amazon.com/Klein-Tools-Digital-Auto-Ranging-Integrated/dp/B0BD41WZM6/ref=sr_1_17?keywords=Klein+Tools+ET310+Digital+Circuit+Breaker+Finder+with+GFCI+Outlet+Tester&amp;qid=1694734974&amp;sr=8-17")</f>
        <v/>
      </c>
      <c r="F4181" t="inlineStr">
        <is>
          <t>B0BD41WZM6</t>
        </is>
      </c>
      <c r="G4181">
        <f>_xlfn.IMAGE("https://edmondsonsupply.com/cdn/shop/products/et310_c.jpg?v=1646963918")</f>
        <v/>
      </c>
      <c r="H4181">
        <f>_xlfn.IMAGE("https://m.media-amazon.com/images/I/51aZ6rmfWsL._AC_UL320_.jpg")</f>
        <v/>
      </c>
      <c r="K4181" t="inlineStr">
        <is>
          <t>49.97</t>
        </is>
      </c>
      <c r="L4181" t="n">
        <v>109.34</v>
      </c>
      <c r="M4181" s="1" t="inlineStr">
        <is>
          <t>118.81%</t>
        </is>
      </c>
      <c r="N4181" s="7" t="n">
        <v>0</v>
      </c>
      <c r="O4181" t="n">
        <v>5</v>
      </c>
      <c r="P4181" t="n">
        <v>1</v>
      </c>
      <c r="R4181" t="inlineStr">
        <is>
          <t>InStock</t>
        </is>
      </c>
      <c r="S4181" t="inlineStr">
        <is>
          <t>75.1</t>
        </is>
      </c>
      <c r="T4181" t="inlineStr">
        <is>
          <t>3389551280228</t>
        </is>
      </c>
    </row>
    <row r="4182" ht="87" customHeight="1">
      <c r="A4182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182" s="2">
        <f>HYPERLINK("https://edmondsonsupply.com/products/klein-tools-vdv427-300-impact-punchdown-tool-66-110-blade", "https://edmondsonsupply.com/products/klein-tools-vdv427-300-impact-punchdown-tool-66-110-blade")</f>
        <v/>
      </c>
      <c r="C4182" t="inlineStr">
        <is>
          <t>Klein Tools VDV427-300 Impact Punchdown Tool, 66/110 Blade</t>
        </is>
      </c>
      <c r="D4182" t="inlineStr">
        <is>
          <t>Klein Tools VDV226-110 Ratcheting Modular Data Cable Crimper/Wire Stripper/Wire Cutter for RJ11/RJ12 Standard, RJ45 Pass-Thru Connectors &amp; VDV427-300 Impact Punchdown Tool, 66/110 Blade</t>
        </is>
      </c>
      <c r="E4182" s="2">
        <f>HYPERLINK("https://www.amazon.com/Klein-Tools-VDV226-110-Ratcheting-Connectors/dp/B0B56VM2HX/ref=sr_1_8?keywords=Klein+Tools+VDV427-300+Impact+Punchdown+Tool%2C+66%2F110+Blade&amp;qid=1694735168&amp;sr=8-8", "https://www.amazon.com/Klein-Tools-VDV226-110-Ratcheting-Connectors/dp/B0B56VM2HX/ref=sr_1_8?keywords=Klein+Tools+VDV427-300+Impact+Punchdown+Tool%2C+66%2F110+Blade&amp;qid=1694735168&amp;sr=8-8")</f>
        <v/>
      </c>
      <c r="F4182" t="inlineStr">
        <is>
          <t>B0B56VM2HX</t>
        </is>
      </c>
      <c r="G4182">
        <f>_xlfn.IMAGE("https://edmondsonsupply.com/cdn/shop/products/vdv427300.jpg?v=1646010568")</f>
        <v/>
      </c>
      <c r="H4182">
        <f>_xlfn.IMAGE("https://m.media-amazon.com/images/I/41ysoQQyQfL._AC_UL320_.jpg")</f>
        <v/>
      </c>
      <c r="K4182" t="inlineStr">
        <is>
          <t>39.97</t>
        </is>
      </c>
      <c r="L4182" t="n">
        <v>87.38</v>
      </c>
      <c r="M4182" s="1" t="inlineStr">
        <is>
          <t>118.61%</t>
        </is>
      </c>
      <c r="N4182" s="7" t="n">
        <v>0</v>
      </c>
      <c r="O4182" t="n">
        <v>5</v>
      </c>
      <c r="P4182" t="n">
        <v>12</v>
      </c>
      <c r="R4182" t="inlineStr">
        <is>
          <t>InStock</t>
        </is>
      </c>
      <c r="S4182" t="inlineStr">
        <is>
          <t>55.98</t>
        </is>
      </c>
      <c r="T4182" t="inlineStr">
        <is>
          <t>7620069818584</t>
        </is>
      </c>
    </row>
    <row r="4183" ht="87" customHeight="1">
      <c r="A4183" s="2">
        <f>HYPERLINK("https://edmondsonsupply.com/collections/electricians-tools/products/copy-of-diablo-tools-d1040x-10-in-x-40-tooth-general-purpose-saw-blade", "https://edmondsonsupply.com/collections/electricians-tools/products/copy-of-diablo-tools-d1040x-10-in-x-40-tooth-general-purpose-saw-blade")</f>
        <v/>
      </c>
      <c r="B4183" s="2">
        <f>HYPERLINK("https://edmondsonsupply.com/products/copy-of-diablo-tools-d1040x-10-in-x-40-tooth-general-purpose-saw-blade", "https://edmondsonsupply.com/products/copy-of-diablo-tools-d1040x-10-in-x-40-tooth-general-purpose-saw-blade")</f>
        <v/>
      </c>
      <c r="C4183" t="inlineStr">
        <is>
          <t>Diablo Tools D1050X 10 in. x 50 Tooth Combination Saw Blade</t>
        </is>
      </c>
      <c r="D4183" t="inlineStr">
        <is>
          <t>2 PACK Freud D1050X Diablo 10-Inch 50-tooth ATB Combination Saw Blade with 5/8-Inch Arbor and PermaShield Coating</t>
        </is>
      </c>
      <c r="E4183" s="2">
        <f>HYPERLINK("https://www.amazon.com/Freud-10-Inch-50-tooth-Combination-PermaShield/dp/B0146VZDZK/ref=sr_1_2?keywords=Diablo+Tools+D1050X+10+in.+x+50+Tooth+Combination+Saw+Blade&amp;qid=1694735310&amp;sr=8-2", "https://www.amazon.com/Freud-10-Inch-50-tooth-Combination-PermaShield/dp/B0146VZDZK/ref=sr_1_2?keywords=Diablo+Tools+D1050X+10+in.+x+50+Tooth+Combination+Saw+Blade&amp;qid=1694735310&amp;sr=8-2")</f>
        <v/>
      </c>
      <c r="F4183" t="inlineStr">
        <is>
          <t>B0146VZDZK</t>
        </is>
      </c>
      <c r="G4183">
        <f>_xlfn.IMAGE("https://edmondsonsupply.com/cdn/shop/products/D1050X_Main-Image20191112.png?v=1633030269")</f>
        <v/>
      </c>
      <c r="H4183">
        <f>_xlfn.IMAGE("https://m.media-amazon.com/images/I/51XuPMKurVL._AC_UL320_.jpg")</f>
        <v/>
      </c>
      <c r="K4183" t="inlineStr">
        <is>
          <t>37.97</t>
        </is>
      </c>
      <c r="L4183" t="n">
        <v>82.98999999999999</v>
      </c>
      <c r="M4183" s="1" t="inlineStr">
        <is>
          <t>118.57%</t>
        </is>
      </c>
      <c r="N4183" s="7" t="n">
        <v>0</v>
      </c>
      <c r="O4183" t="n">
        <v>4.5</v>
      </c>
      <c r="P4183" t="n">
        <v>38</v>
      </c>
      <c r="R4183" t="inlineStr">
        <is>
          <t>InStock</t>
        </is>
      </c>
      <c r="S4183" t="inlineStr">
        <is>
          <t>56.46</t>
        </is>
      </c>
      <c r="T4183" t="inlineStr">
        <is>
          <t>4681639559268</t>
        </is>
      </c>
    </row>
    <row r="4184" hidden="1" ht="15.75" customHeight="1">
      <c r="A4184" s="2">
        <f>HYPERLINK("https://edmondsonsupply.com/collections/electricians-tools/products/klein-tools-66079-flip-impact-socket-adapter-small-1-4-to-1-4-inch", "https://edmondsonsupply.com/collections/electricians-tools/products/klein-tools-66079-flip-impact-socket-adapter-small-1-4-to-1-4-inch")</f>
        <v/>
      </c>
      <c r="B4184" s="2">
        <f>HYPERLINK("https://edmondsonsupply.com/products/klein-tools-66079-flip-impact-socket-adapter-small-1-4-to-1-4-inch", "https://edmondsonsupply.com/products/klein-tools-66079-flip-impact-socket-adapter-small-1-4-to-1-4-inch")</f>
        <v/>
      </c>
      <c r="C4184" t="inlineStr">
        <is>
          <t>Klein Tools 66079 Flip Impact Socket Adapter, Small, 1/4 to 1/4-Inch</t>
        </is>
      </c>
      <c r="D4184" t="inlineStr">
        <is>
          <t>Klein Tools 32768 Impact Driver, 3-in-1 Impact Flip Socket and Bit Holder, 1/4 and 5/16-Inch Hex Drivers, 3 and 5-Inch Lengths, 2-Piece Set</t>
        </is>
      </c>
      <c r="E4184" s="2">
        <f>HYPERLINK("https://www.amazon.com/16-Inch-Drivers-Klein-Tools-32768/dp/B09Q52LQ5G/ref=sr_1_4?keywords=Klein+Tools+66079+Flip+Impact+Socket+Adapter%2C+Small%2C+1%2F4+to+1%2F4-Inch&amp;qid=1694734974&amp;sr=8-4", "https://www.amazon.com/16-Inch-Drivers-Klein-Tools-32768/dp/B09Q52LQ5G/ref=sr_1_4?keywords=Klein+Tools+66079+Flip+Impact+Socket+Adapter%2C+Small%2C+1%2F4+to+1%2F4-Inch&amp;qid=1694734974&amp;sr=8-4")</f>
        <v/>
      </c>
      <c r="F4184" t="inlineStr">
        <is>
          <t>B09Q52LQ5G</t>
        </is>
      </c>
      <c r="G4184">
        <f>_xludf.IMAGE("https://edmondsonsupply.com/cdn/shop/products/66079.jpg?v=1669735923")</f>
        <v/>
      </c>
      <c r="H4184">
        <f>_xludf.IMAGE("https://m.media-amazon.com/images/I/51WsqEdVfRL._AC_UL320_.jpg")</f>
        <v/>
      </c>
      <c r="K4184" t="inlineStr">
        <is>
          <t>6.86</t>
        </is>
      </c>
      <c r="L4184" t="n">
        <v>14.99</v>
      </c>
      <c r="M4184" s="1" t="inlineStr">
        <is>
          <t>118.51%</t>
        </is>
      </c>
      <c r="N4184" s="1" t="n">
        <v>0</v>
      </c>
      <c r="O4184" t="n">
        <v>4.4</v>
      </c>
      <c r="P4184" t="n">
        <v>1270</v>
      </c>
      <c r="R4184" t="inlineStr">
        <is>
          <t>InStock</t>
        </is>
      </c>
      <c r="S4184" t="inlineStr">
        <is>
          <t>9.6</t>
        </is>
      </c>
      <c r="T4184" t="inlineStr">
        <is>
          <t>7896124555480</t>
        </is>
      </c>
    </row>
    <row r="4185" hidden="1" ht="15.75" customHeight="1">
      <c r="A4185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4185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4185" t="inlineStr">
        <is>
          <t>Diablo Tools DMAPL4050 3/16 in. x 6 in. x 8 in. Rebar Demon™ SDS‑Plus 4‑Cutter Full Carbide Head Hammer Drill Bit</t>
        </is>
      </c>
      <c r="D4185" t="inlineStr">
        <is>
          <t>Diablo by Freud DMAPL4160 3/8 in. x 10 in. x 12 in. Rebar Demon SDS-Plus 4-Cutter Full Carbide Head Hammer Bit</t>
        </is>
      </c>
      <c r="E4185" s="2" t="n"/>
      <c r="F4185" t="inlineStr">
        <is>
          <t>B089KX25B7</t>
        </is>
      </c>
      <c r="G4185">
        <f>_xludf.IMAGE("https://edmondsonsupply.com/cdn/shop/products/DMAPL4050_Main-Image20200701.png?v=1633030632")</f>
        <v/>
      </c>
      <c r="H4185">
        <f>_xludf.IMAGE("https://m.media-amazon.com/images/I/61MHnm3+2bL._AC_UL320_.jpg")</f>
        <v/>
      </c>
      <c r="K4185" t="inlineStr">
        <is>
          <t>5.97</t>
        </is>
      </c>
      <c r="L4185" t="n">
        <v>13.01</v>
      </c>
      <c r="M4185" s="1" t="inlineStr">
        <is>
          <t>117.92%</t>
        </is>
      </c>
      <c r="N4185" s="1" t="n">
        <v>0</v>
      </c>
      <c r="O4185" t="n">
        <v>4.5</v>
      </c>
      <c r="P4185" t="n">
        <v>39</v>
      </c>
      <c r="R4185" t="inlineStr">
        <is>
          <t>InStock</t>
        </is>
      </c>
      <c r="S4185" t="inlineStr">
        <is>
          <t>8.82</t>
        </is>
      </c>
      <c r="T4185" t="inlineStr">
        <is>
          <t>5701590188200</t>
        </is>
      </c>
    </row>
    <row r="4186" ht="87" customHeight="1">
      <c r="A4186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186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186" t="inlineStr">
        <is>
          <t>Klein Tools 32308 8-in-1 Multi-Bit Adjustable Length Stubby Screwdriver</t>
        </is>
      </c>
      <c r="D4186" t="inlineStr">
        <is>
          <t>Impact Driver, 7-in-1 Impact Flip Socket Set &amp; 32308 Multi-bit Stubby Screwdriver, Impact Rated 8-in-1 Adjustable Magnetic Tool with Phillips, Slotted, Square and Nut Driver</t>
        </is>
      </c>
      <c r="E4186" s="2">
        <f>HYPERLINK("https://www.amazon.com/Multi-bit-Screwdriver-Adjustable-Magnetic-Phillips/dp/B09T6X5NT5/ref=sr_1_27?keywords=Klein+Tools+32308+8-in-1+Multi-Bit+Adjustable+Length+Stubby+Screwdriver&amp;qid=1694735167&amp;sr=8-27", "https://www.amazon.com/Multi-bit-Screwdriver-Adjustable-Magnetic-Phillips/dp/B09T6X5NT5/ref=sr_1_27?keywords=Klein+Tools+32308+8-in-1+Multi-Bit+Adjustable+Length+Stubby+Screwdriver&amp;qid=1694735167&amp;sr=8-27")</f>
        <v/>
      </c>
      <c r="F4186" t="inlineStr">
        <is>
          <t>B09T6X5NT5</t>
        </is>
      </c>
      <c r="G4186">
        <f>_xlfn.IMAGE("https://edmondsonsupply.com/cdn/shop/products/32308_b.jpg?v=1647348209")</f>
        <v/>
      </c>
      <c r="H4186">
        <f>_xlfn.IMAGE("https://m.media-amazon.com/images/I/41KHDWTOcYL._AC_UL320_.jpg")</f>
        <v/>
      </c>
      <c r="K4186" t="inlineStr">
        <is>
          <t>16.97</t>
        </is>
      </c>
      <c r="L4186" t="n">
        <v>36.96</v>
      </c>
      <c r="M4186" s="1" t="inlineStr">
        <is>
          <t>117.80%</t>
        </is>
      </c>
      <c r="N4186" s="7" t="n">
        <v>0</v>
      </c>
      <c r="O4186" t="n">
        <v>4.5</v>
      </c>
      <c r="P4186" t="n">
        <v>21</v>
      </c>
      <c r="R4186" t="inlineStr">
        <is>
          <t>InStock</t>
        </is>
      </c>
      <c r="S4186" t="inlineStr">
        <is>
          <t>23.78</t>
        </is>
      </c>
      <c r="T4186" t="inlineStr">
        <is>
          <t>7637271445720</t>
        </is>
      </c>
    </row>
    <row r="4187" ht="87" customHeight="1">
      <c r="A4187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187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187" t="inlineStr">
        <is>
          <t>Klein Tools 32308 8-in-1 Multi-Bit Adjustable Length Stubby Screwdriver</t>
        </is>
      </c>
      <c r="D4187" t="inlineStr">
        <is>
          <t>Klein Tools 32293 Insulated Screwdriver, 2-in-1 Screwdriver Set with Flip Blade &amp; Klein Tools 32308 Multi-bit Stubby Screwdriver, Impact Rated 8-in-1 Adjustable Magnetic Tool with Phillips</t>
        </is>
      </c>
      <c r="E4187" s="2">
        <f>HYPERLINK("https://www.amazon.com/Klein-Tools-Insulated-Screwdriver-Adjustable/dp/B0BM3QFGZQ/ref=sr_1_24?keywords=Klein+Tools+32308+8-in-1+Multi-Bit+Adjustable+Length+Stubby+Screwdriver&amp;qid=1694735167&amp;sr=8-24", "https://www.amazon.com/Klein-Tools-Insulated-Screwdriver-Adjustable/dp/B0BM3QFGZQ/ref=sr_1_24?keywords=Klein+Tools+32308+8-in-1+Multi-Bit+Adjustable+Length+Stubby+Screwdriver&amp;qid=1694735167&amp;sr=8-24")</f>
        <v/>
      </c>
      <c r="F4187" t="inlineStr">
        <is>
          <t>B0BM3QFGZQ</t>
        </is>
      </c>
      <c r="G4187">
        <f>_xlfn.IMAGE("https://edmondsonsupply.com/cdn/shop/products/32308_b.jpg?v=1647348209")</f>
        <v/>
      </c>
      <c r="H4187">
        <f>_xlfn.IMAGE("https://m.media-amazon.com/images/I/514Zo0UgcjL._AC_UL320_.jpg")</f>
        <v/>
      </c>
      <c r="K4187" t="inlineStr">
        <is>
          <t>16.97</t>
        </is>
      </c>
      <c r="L4187" t="n">
        <v>36.95</v>
      </c>
      <c r="M4187" s="1" t="inlineStr">
        <is>
          <t>117.74%</t>
        </is>
      </c>
      <c r="N4187" s="7" t="n">
        <v>0</v>
      </c>
      <c r="O4187" t="n">
        <v>5</v>
      </c>
      <c r="P4187" t="n">
        <v>7</v>
      </c>
      <c r="R4187" t="inlineStr">
        <is>
          <t>InStock</t>
        </is>
      </c>
      <c r="S4187" t="inlineStr">
        <is>
          <t>23.78</t>
        </is>
      </c>
      <c r="T4187" t="inlineStr">
        <is>
          <t>7637271445720</t>
        </is>
      </c>
    </row>
    <row r="4188" ht="87" customHeight="1">
      <c r="A4188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188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188" t="inlineStr">
        <is>
          <t>Klein Tools 32308 8-in-1 Multi-Bit Adjustable Length Stubby Screwdriver</t>
        </is>
      </c>
      <c r="D4188" t="inlineStr">
        <is>
          <t>Klein Tools 32328 Precision Screwdriver, 27-in-1 Multi-Bit Screwdriver &amp; 32308 Multi-bit Stubby Screwdriver, Impact Rated 8-in-1 Adjustable Magnetic Tool with Phillips, Slotted, Square and Nut Driver</t>
        </is>
      </c>
      <c r="E4188" s="2">
        <f>HYPERLINK("https://www.amazon.com/Klein-Tools-Precision-Screwdriver-Adjustable/dp/B0BXK9GNCS/ref=sr_1_26?keywords=Klein+Tools+32308+8-in-1+Multi-Bit+Adjustable+Length+Stubby+Screwdriver&amp;qid=1694735167&amp;sr=8-26", "https://www.amazon.com/Klein-Tools-Precision-Screwdriver-Adjustable/dp/B0BXK9GNCS/ref=sr_1_26?keywords=Klein+Tools+32308+8-in-1+Multi-Bit+Adjustable+Length+Stubby+Screwdriver&amp;qid=1694735167&amp;sr=8-26")</f>
        <v/>
      </c>
      <c r="F4188" t="inlineStr">
        <is>
          <t>B0BXK9GNCS</t>
        </is>
      </c>
      <c r="G4188">
        <f>_xlfn.IMAGE("https://edmondsonsupply.com/cdn/shop/products/32308_b.jpg?v=1647348209")</f>
        <v/>
      </c>
      <c r="H4188">
        <f>_xlfn.IMAGE("https://m.media-amazon.com/images/I/41Et3KFhQOL._AC_UL320_.jpg")</f>
        <v/>
      </c>
      <c r="K4188" t="inlineStr">
        <is>
          <t>16.97</t>
        </is>
      </c>
      <c r="L4188" t="n">
        <v>36.94</v>
      </c>
      <c r="M4188" s="1" t="inlineStr">
        <is>
          <t>117.68%</t>
        </is>
      </c>
      <c r="N4188" s="7" t="n">
        <v>0</v>
      </c>
      <c r="O4188" t="n">
        <v>4.8</v>
      </c>
      <c r="P4188" t="n">
        <v>9</v>
      </c>
      <c r="R4188" t="inlineStr">
        <is>
          <t>InStock</t>
        </is>
      </c>
      <c r="S4188" t="inlineStr">
        <is>
          <t>23.78</t>
        </is>
      </c>
      <c r="T4188" t="inlineStr">
        <is>
          <t>7637271445720</t>
        </is>
      </c>
    </row>
    <row r="4189" ht="87" customHeight="1">
      <c r="A4189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189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189" t="inlineStr">
        <is>
          <t>Klein Tools 32308 8-in-1 Multi-Bit Adjustable Length Stubby Screwdriver</t>
        </is>
      </c>
      <c r="D4189" t="inlineStr">
        <is>
          <t>Klein Tools 85073INS Insulated Screwdriver Set features 1000V Phillips, Slotted and Square Tips &amp; 32308 Multi-bit Stubby Screwdriver, Impact Rated 8-in-1 Adjustable Magnetic Tool</t>
        </is>
      </c>
      <c r="E4189" s="2">
        <f>HYPERLINK("https://www.amazon.com/Klein-Tools-Insulated-Screwdriver-Adjustable/dp/B0CB13M4LG/ref=sr_1_18?keywords=Klein+Tools+32308+8-in-1+Multi-Bit+Adjustable+Length+Stubby+Screwdriver&amp;qid=1694735167&amp;sr=8-18", "https://www.amazon.com/Klein-Tools-Insulated-Screwdriver-Adjustable/dp/B0CB13M4LG/ref=sr_1_18?keywords=Klein+Tools+32308+8-in-1+Multi-Bit+Adjustable+Length+Stubby+Screwdriver&amp;qid=1694735167&amp;sr=8-18")</f>
        <v/>
      </c>
      <c r="F4189" t="inlineStr">
        <is>
          <t>B0CB13M4LG</t>
        </is>
      </c>
      <c r="G4189">
        <f>_xlfn.IMAGE("https://edmondsonsupply.com/cdn/shop/products/32308_b.jpg?v=1647348209")</f>
        <v/>
      </c>
      <c r="H4189">
        <f>_xlfn.IMAGE("https://m.media-amazon.com/images/I/51uyXqcp1zL._AC_UL320_.jpg")</f>
        <v/>
      </c>
      <c r="K4189" t="inlineStr">
        <is>
          <t>16.97</t>
        </is>
      </c>
      <c r="L4189" t="n">
        <v>36.94</v>
      </c>
      <c r="M4189" s="1" t="inlineStr">
        <is>
          <t>117.68%</t>
        </is>
      </c>
      <c r="N4189" s="7" t="n">
        <v>0</v>
      </c>
      <c r="O4189" t="n">
        <v>4.9</v>
      </c>
      <c r="P4189" t="n">
        <v>202</v>
      </c>
      <c r="R4189" t="inlineStr">
        <is>
          <t>InStock</t>
        </is>
      </c>
      <c r="S4189" t="inlineStr">
        <is>
          <t>23.78</t>
        </is>
      </c>
      <c r="T4189" t="inlineStr">
        <is>
          <t>7637271445720</t>
        </is>
      </c>
    </row>
    <row r="4190" ht="87" customHeight="1">
      <c r="A4190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190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190" t="inlineStr">
        <is>
          <t>Klein Tools 32308 8-in-1 Multi-Bit Adjustable Length Stubby Screwdriver</t>
        </is>
      </c>
      <c r="D4190" t="inlineStr">
        <is>
          <t>Klein Tools 32308 Multi-bit Stubby Screwdriver, Impact Rated 8-in-1 Adjustable Magnetic Tool &amp; 32303 Multi-Bit Screwdriver/Nut Driver, Impact Rated 14-in-1 Magnetic Screwdriver Set</t>
        </is>
      </c>
      <c r="E4190" s="2">
        <f>HYPERLINK("https://www.amazon.com/Klein-Tools-Multi-bit-Screwdriver-Adjustable/dp/B0B56P6P3L/ref=sr_1_3?keywords=Klein+Tools+32308+8-in-1+Multi-Bit+Adjustable+Length+Stubby+Screwdriver&amp;qid=1694735167&amp;sr=8-3", "https://www.amazon.com/Klein-Tools-Multi-bit-Screwdriver-Adjustable/dp/B0B56P6P3L/ref=sr_1_3?keywords=Klein+Tools+32308+8-in-1+Multi-Bit+Adjustable+Length+Stubby+Screwdriver&amp;qid=1694735167&amp;sr=8-3")</f>
        <v/>
      </c>
      <c r="F4190" t="inlineStr">
        <is>
          <t>B0B56P6P3L</t>
        </is>
      </c>
      <c r="G4190">
        <f>_xlfn.IMAGE("https://edmondsonsupply.com/cdn/shop/products/32308_b.jpg?v=1647348209")</f>
        <v/>
      </c>
      <c r="H4190">
        <f>_xlfn.IMAGE("https://m.media-amazon.com/images/I/51GldL8hxaL._AC_UL320_.jpg")</f>
        <v/>
      </c>
      <c r="K4190" t="inlineStr">
        <is>
          <t>16.97</t>
        </is>
      </c>
      <c r="L4190" t="n">
        <v>36.94</v>
      </c>
      <c r="M4190" s="1" t="inlineStr">
        <is>
          <t>117.68%</t>
        </is>
      </c>
      <c r="N4190" s="7" t="n">
        <v>0</v>
      </c>
      <c r="O4190" t="n">
        <v>4.7</v>
      </c>
      <c r="P4190" t="n">
        <v>127</v>
      </c>
      <c r="R4190" t="inlineStr">
        <is>
          <t>InStock</t>
        </is>
      </c>
      <c r="S4190" t="inlineStr">
        <is>
          <t>23.78</t>
        </is>
      </c>
      <c r="T4190" t="inlineStr">
        <is>
          <t>7637271445720</t>
        </is>
      </c>
    </row>
    <row r="4191" hidden="1" ht="15.75" customHeight="1">
      <c r="A4191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4191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4191" t="inlineStr">
        <is>
          <t>Diablo Tools DMAPL4110 5/16 in. x 4 in. x 6 in. Rebar Demon™ SDS‑Plus 4‑Cutter Full Carbide Head Hammer Bit</t>
        </is>
      </c>
      <c r="D4191" t="inlineStr">
        <is>
          <t>Diablo DMAPL4120 5/16 in. x 10 in. x 12 in. Rebar Demon™ SDS-Plus 4-Cutter Full Carbide Head Hammer Bit</t>
        </is>
      </c>
      <c r="E4191" s="2">
        <f>HYPERLINK("https://www.amazon.com/Diablo-SDS-Plus-4-Cutter-Carbide-Hammer/dp/B089KTHL12/ref=sr_1_1?keywords=Diablo+Tools+DMAPL4110+5%2F16+in.+x+4+in.+x+6+in.+Rebar+Demon%E2%84%A2+SDS%E2%80%91Plus+4%E2%80%91Cutter+Full+Carbide+Head+Hammer+Bit&amp;qid=1694735288&amp;sr=8-1", "https://www.amazon.com/Diablo-SDS-Plus-4-Cutter-Carbide-Hammer/dp/B089KTHL12/ref=sr_1_1?keywords=Diablo+Tools+DMAPL4110+5%2F16+in.+x+4+in.+x+6+in.+Rebar+Demon%E2%84%A2+SDS%E2%80%91Plus+4%E2%80%91Cutter+Full+Carbide+Head+Hammer+Bit&amp;qid=1694735288&amp;sr=8-1")</f>
        <v/>
      </c>
      <c r="F4191" t="inlineStr">
        <is>
          <t>B089KTHL12</t>
        </is>
      </c>
      <c r="G4191">
        <f>_xludf.IMAGE("https://edmondsonsupply.com/cdn/shop/products/DMAPL4110_Main-Image20200701.png?v=1633030426")</f>
        <v/>
      </c>
      <c r="H4191">
        <f>_xludf.IMAGE("https://m.media-amazon.com/images/I/61P8b1v1TBL._AC_UL320_.jpg")</f>
        <v/>
      </c>
      <c r="K4191" t="inlineStr">
        <is>
          <t>5.97</t>
        </is>
      </c>
      <c r="L4191" t="n">
        <v>12.99</v>
      </c>
      <c r="M4191" s="1" t="inlineStr">
        <is>
          <t>117.59%</t>
        </is>
      </c>
      <c r="N4191" s="1" t="n">
        <v>0</v>
      </c>
      <c r="O4191" t="n">
        <v>5</v>
      </c>
      <c r="P4191" t="n">
        <v>6</v>
      </c>
      <c r="R4191" t="inlineStr">
        <is>
          <t>InStock</t>
        </is>
      </c>
      <c r="S4191" t="inlineStr">
        <is>
          <t>8.44</t>
        </is>
      </c>
      <c r="T4191" t="inlineStr">
        <is>
          <t>5326873100456</t>
        </is>
      </c>
    </row>
    <row r="4192" ht="87" customHeight="1">
      <c r="A4192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4192" s="2">
        <f>HYPERLINK("https://edmondsonsupply.com/products/diablo-tools-dmast1050-5-8-in-x-2-1-16-x-sds-plus-2-cutter", "https://edmondsonsupply.com/products/diablo-tools-dmast1050-5-8-in-x-2-1-16-x-sds-plus-2-cutter")</f>
        <v/>
      </c>
      <c r="C4192" t="inlineStr">
        <is>
          <t>Diablo Tools DMAST1050 5/8 in. x 2-1/16 SDS-Plus 2-Cutter</t>
        </is>
      </c>
      <c r="D4192" t="inlineStr">
        <is>
          <t>Diablo 5/8" x 16"x21" Rebar Demon SDS-Max 4-Cutter Full Carbide Head Hammer Bit</t>
        </is>
      </c>
      <c r="E4192" s="2">
        <f>HYPERLINK("https://www.amazon.com/Diablo-DMAMX1100-SDS-Max-4-Cutter-Carbide/dp/B089LCPW7V/ref=sr_1_11?keywords=Diablo+Tools+DMAST1050+5%2F8+in.+x+2-1%2F16+SDS-Plus+2-Cutter&amp;qid=1694735304&amp;sr=8-11", "https://www.amazon.com/Diablo-DMAMX1100-SDS-Max-4-Cutter-Carbide/dp/B089LCPW7V/ref=sr_1_11?keywords=Diablo+Tools+DMAST1050+5%2F8+in.+x+2-1%2F16+SDS-Plus+2-Cutter&amp;qid=1694735304&amp;sr=8-11")</f>
        <v/>
      </c>
      <c r="F4192" t="inlineStr">
        <is>
          <t>B089LCPW7V</t>
        </is>
      </c>
      <c r="G4192">
        <f>_xlfn.IMAGE("https://edmondsonsupply.com/cdn/shop/products/DMAST1050_1.jpg?v=1633030363")</f>
        <v/>
      </c>
      <c r="H4192">
        <f>_xlfn.IMAGE("https://m.media-amazon.com/images/I/618JNJF7eyL._AC_UL320_.jpg")</f>
        <v/>
      </c>
      <c r="K4192" t="inlineStr">
        <is>
          <t>21.97</t>
        </is>
      </c>
      <c r="L4192" t="n">
        <v>47.76</v>
      </c>
      <c r="M4192" s="1" t="inlineStr">
        <is>
          <t>117.39%</t>
        </is>
      </c>
      <c r="N4192" s="7" t="n">
        <v>0</v>
      </c>
      <c r="O4192" t="n">
        <v>4.2</v>
      </c>
      <c r="P4192" t="n">
        <v>4</v>
      </c>
      <c r="R4192" t="inlineStr">
        <is>
          <t>InStock</t>
        </is>
      </c>
      <c r="S4192" t="inlineStr">
        <is>
          <t>29.12</t>
        </is>
      </c>
      <c r="T4192" t="inlineStr">
        <is>
          <t>5286938869928</t>
        </is>
      </c>
    </row>
    <row r="4193" ht="87" customHeight="1">
      <c r="A4193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4193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4193" t="inlineStr">
        <is>
          <t>Diablo Tools DMARG1090 1/4 in. x 10 in. x 12 in. SPEEDemon™ Red Granite Carbide Tipped Hammer Drill Bit</t>
        </is>
      </c>
      <c r="D4193" t="inlineStr">
        <is>
          <t>Sabre Tools 4-Piece 12in SDS Plus Drill Bit Set, Carbide Tipped, Rotary Hammer Drill Bits for Brick, Stone, Concrete (1/4" x 12", 5/16" x 12", 3/8" x 12", 1/2" x 12")</t>
        </is>
      </c>
      <c r="E4193" s="2">
        <f>HYPERLINK("https://www.amazon.com/Sabre-Tools-4-Piece-Carbide-Concrete/dp/B08CXGVM6L/ref=sr_1_21?keywords=Diablo+Tools+DMARG1090+1%2F4+in.+x+10+in.+x+12+in.+SPEEDemon%E2%84%A2+Red+Granite+Carbide+Tipped+Hammer+Drill+Bit&amp;qid=1694735286&amp;sr=8-21", "https://www.amazon.com/Sabre-Tools-4-Piece-Carbide-Concrete/dp/B08CXGVM6L/ref=sr_1_21?keywords=Diablo+Tools+DMARG1090+1%2F4+in.+x+10+in.+x+12+in.+SPEEDemon%E2%84%A2+Red+Granite+Carbide+Tipped+Hammer+Drill+Bit&amp;qid=1694735286&amp;sr=8-21")</f>
        <v/>
      </c>
      <c r="F4193" t="inlineStr">
        <is>
          <t>B08CXGVM6L</t>
        </is>
      </c>
      <c r="G4193">
        <f>_xlfn.IMAGE("https://edmondsonsupply.com/cdn/shop/products/DMARG1090_Main-Image.png?v=1633030421")</f>
        <v/>
      </c>
      <c r="H4193">
        <f>_xlfn.IMAGE("https://m.media-amazon.com/images/I/71TpOz07s9L._AC_UL320_.jpg")</f>
        <v/>
      </c>
      <c r="K4193" t="inlineStr">
        <is>
          <t>11.97</t>
        </is>
      </c>
      <c r="L4193" t="n">
        <v>25.99</v>
      </c>
      <c r="M4193" s="1" t="inlineStr">
        <is>
          <t>117.13%</t>
        </is>
      </c>
      <c r="N4193" s="7" t="n">
        <v>0</v>
      </c>
      <c r="O4193" t="n">
        <v>4.6</v>
      </c>
      <c r="P4193" t="n">
        <v>245</v>
      </c>
      <c r="R4193" t="inlineStr">
        <is>
          <t>InStock</t>
        </is>
      </c>
      <c r="S4193" t="inlineStr">
        <is>
          <t>12.5</t>
        </is>
      </c>
      <c r="T4193" t="inlineStr">
        <is>
          <t>5318039339176</t>
        </is>
      </c>
    </row>
    <row r="4194" ht="87" customHeight="1">
      <c r="A4194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4194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4194" t="inlineStr">
        <is>
          <t>Klein Tools 11055RINS Insulated Klein-Kurve® Wire Stripper and Cutter</t>
        </is>
      </c>
      <c r="D4194" t="inlineStr">
        <is>
          <t>Klein Tools 80121 Stripper Plier Kit with Wire Strippers, Lineman Pliers and Diagonal Cutters, 3-Piece</t>
        </is>
      </c>
      <c r="E4194" s="2">
        <f>HYPERLINK("https://www.amazon.com/Klein-Tools-80121-Stripper-Strippers/dp/B0BMN726NC/ref=sr_1_46?keywords=Klein+Tools+11055RINS+Insulated+Klein-Kurve%C2%AE+Wire+Stripper+and+Cutter&amp;qid=1694735096&amp;sr=8-46", "https://www.amazon.com/Klein-Tools-80121-Stripper-Strippers/dp/B0BMN726NC/ref=sr_1_46?keywords=Klein+Tools+11055RINS+Insulated+Klein-Kurve%C2%AE+Wire+Stripper+and+Cutter&amp;qid=1694735096&amp;sr=8-46")</f>
        <v/>
      </c>
      <c r="F4194" t="inlineStr">
        <is>
          <t>B0BMN726NC</t>
        </is>
      </c>
      <c r="G4194">
        <f>_xlfn.IMAGE("https://edmondsonsupply.com/cdn/shop/products/11055rins.jpg?v=1667236979")</f>
        <v/>
      </c>
      <c r="H4194">
        <f>_xlfn.IMAGE("https://m.media-amazon.com/images/I/51BBSMLtwZL._AC_UL320_.jpg")</f>
        <v/>
      </c>
      <c r="K4194" t="inlineStr">
        <is>
          <t>29.97</t>
        </is>
      </c>
      <c r="L4194" t="n">
        <v>64.98999999999999</v>
      </c>
      <c r="M4194" s="1" t="inlineStr">
        <is>
          <t>116.85%</t>
        </is>
      </c>
      <c r="N4194" s="7" t="n">
        <v>0</v>
      </c>
      <c r="O4194" t="n">
        <v>5</v>
      </c>
      <c r="P4194" t="n">
        <v>8</v>
      </c>
      <c r="R4194" t="inlineStr">
        <is>
          <t>InStock</t>
        </is>
      </c>
      <c r="S4194" t="inlineStr">
        <is>
          <t>41.98</t>
        </is>
      </c>
      <c r="T4194" t="inlineStr">
        <is>
          <t>7871527813336</t>
        </is>
      </c>
    </row>
    <row r="4195" ht="87" customHeight="1">
      <c r="A419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195" s="2">
        <f>HYPERLINK("https://edmondsonsupply.com/products/klein-tools-et45-ac-dc-voltage-tester", "https://edmondsonsupply.com/products/klein-tools-et45-ac-dc-voltage-tester")</f>
        <v/>
      </c>
      <c r="C4195" t="inlineStr">
        <is>
          <t>Klein Tools ET45 AC/DC Voltage Tester</t>
        </is>
      </c>
      <c r="D4195" t="inlineStr">
        <is>
          <t>Klein Tools 80097 Beginner Tester Kit with GFCI Outlet and Receptacle Tester, Electronic Voltage Tester, Non-Contact Voltage Tester, 3-Piece Red</t>
        </is>
      </c>
      <c r="E4195" s="2">
        <f>HYPERLINK("https://www.amazon.com/Klein-Tools-80097-Beginner-3-Piece/dp/B0B7Z178B1/ref=sr_1_21?keywords=Klein+Tools+ET45+AC%2FDC+Voltage+Tester&amp;qid=1694735227&amp;sr=8-21", "https://www.amazon.com/Klein-Tools-80097-Beginner-3-Piece/dp/B0B7Z178B1/ref=sr_1_21?keywords=Klein+Tools+ET45+AC%2FDC+Voltage+Tester&amp;qid=1694735227&amp;sr=8-21")</f>
        <v/>
      </c>
      <c r="F4195" t="inlineStr">
        <is>
          <t>B0B7Z178B1</t>
        </is>
      </c>
      <c r="G4195">
        <f>_xlfn.IMAGE("https://edmondsonsupply.com/cdn/shop/products/et45.jpg?v=1647786270")</f>
        <v/>
      </c>
      <c r="H4195">
        <f>_xlfn.IMAGE("https://m.media-amazon.com/images/I/51TWbZ0INyL._AC_UL320_.jpg")</f>
        <v/>
      </c>
      <c r="K4195" t="inlineStr">
        <is>
          <t>11.99</t>
        </is>
      </c>
      <c r="L4195" t="n">
        <v>25.99</v>
      </c>
      <c r="M4195" s="1" t="inlineStr">
        <is>
          <t>116.76%</t>
        </is>
      </c>
      <c r="N4195" s="7" t="n">
        <v>0</v>
      </c>
      <c r="O4195" t="n">
        <v>4.7</v>
      </c>
      <c r="P4195" t="n">
        <v>118</v>
      </c>
      <c r="R4195" t="inlineStr">
        <is>
          <t>InStock</t>
        </is>
      </c>
      <c r="S4195" t="inlineStr">
        <is>
          <t>16.72</t>
        </is>
      </c>
      <c r="T4195" t="inlineStr">
        <is>
          <t>3688633630820</t>
        </is>
      </c>
    </row>
    <row r="4196" ht="87" customHeight="1">
      <c r="A4196" s="2">
        <f>HYPERLINK("https://edmondsonsupply.com/collections/electricians-tools/products/diablo-tools-dmamx1220", "https://edmondsonsupply.com/collections/electricians-tools/products/diablo-tools-dmamx1220")</f>
        <v/>
      </c>
      <c r="B4196" s="2">
        <f>HYPERLINK("https://edmondsonsupply.com/products/diablo-tools-dmamx1220", "https://edmondsonsupply.com/products/diablo-tools-dmamx1220")</f>
        <v/>
      </c>
      <c r="C4196" t="inlineStr">
        <is>
          <t>Diablo Tools DMAMX1220 1 in. x 16 in. x 21 in. Rebar Demon™ SDS-Max 4-Cutter Full Carbide Head Hammer Drill Bit</t>
        </is>
      </c>
      <c r="D4196" t="inlineStr">
        <is>
          <t>Diablo DMAMX1360 1-1/2 in. x 16 in. x 21 in. Rebar Demon™ SDS-Max 4-Cutter Carbide-Tipped Hammer Bit</t>
        </is>
      </c>
      <c r="E4196" s="2">
        <f>HYPERLINK("https://www.amazon.com/Diablo-SDS-Max-4-Cutter-Carbide-Tipped-Hammer/dp/B089KXF4R5/ref=sr_1_11?keywords=Diablo+Tools+DMAMX1220+1+in.+x+16+in.+x+21+in.+Rebar+Demon%E2%84%A2+SDS-Max+4-Cutter+Full+Carbide+Head+Hammer+Drill+Bit&amp;qid=1694735075&amp;sr=8-11", "https://www.amazon.com/Diablo-SDS-Max-4-Cutter-Carbide-Tipped-Hammer/dp/B089KXF4R5/ref=sr_1_11?keywords=Diablo+Tools+DMAMX1220+1+in.+x+16+in.+x+21+in.+Rebar+Demon%E2%84%A2+SDS-Max+4-Cutter+Full+Carbide+Head+Hammer+Drill+Bit&amp;qid=1694735075&amp;sr=8-11")</f>
        <v/>
      </c>
      <c r="F4196" t="inlineStr">
        <is>
          <t>B089KXF4R5</t>
        </is>
      </c>
      <c r="G4196">
        <f>_xlfn.IMAGE("https://edmondsonsupply.com/cdn/shop/products/immoyh7jjmbau4fzhuq6.webp?v=1670431066")</f>
        <v/>
      </c>
      <c r="H4196">
        <f>_xlfn.IMAGE("https://m.media-amazon.com/images/I/61MTkJ-cWaL._AC_UL320_.jpg")</f>
        <v/>
      </c>
      <c r="K4196" t="inlineStr">
        <is>
          <t>45.69</t>
        </is>
      </c>
      <c r="L4196" t="n">
        <v>98.98999999999999</v>
      </c>
      <c r="M4196" s="1" t="inlineStr">
        <is>
          <t>116.66%</t>
        </is>
      </c>
      <c r="N4196" s="7" t="n">
        <v>0</v>
      </c>
      <c r="O4196" t="n">
        <v>5</v>
      </c>
      <c r="P4196" t="n">
        <v>5</v>
      </c>
      <c r="R4196" t="inlineStr">
        <is>
          <t>InStock</t>
        </is>
      </c>
      <c r="S4196" t="inlineStr">
        <is>
          <t>70.58</t>
        </is>
      </c>
      <c r="T4196" t="inlineStr">
        <is>
          <t>7900195356888</t>
        </is>
      </c>
    </row>
    <row r="4197" hidden="1" ht="15.75" customHeight="1">
      <c r="A4197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4197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4197" t="inlineStr">
        <is>
          <t>Diablo Tools DMAPL4140 3/8 in. x 4 in. x 6 in. Rebar Demon™ SDS-Plus 4-Cutter Full Carbide Head Hammer Bit</t>
        </is>
      </c>
      <c r="D4197" t="inlineStr">
        <is>
          <t>Diablo DMAPL4055 3/16 in. x 10 in. x 12 in. Rebar Demon™ SDS-Plus 4-Cutter Full Carbide Head Hammer Bit</t>
        </is>
      </c>
      <c r="E4197" s="2">
        <f>HYPERLINK("https://www.amazon.com/Diablo-DMAPL4055-SDS-Plus-4-Cutter-Carbide/dp/B089LJCD42/ref=sr_1_19?keywords=Diablo+Tools+DMAPL4140+3%2F8+in.+x+4+in.+x+6+in.+Rebar+Demon%E2%84%A2+SDS-Plus+4-Cutter+Full+Carbide+Head+Hammer+Bit&amp;qid=1694735296&amp;sr=8-19", "https://www.amazon.com/Diablo-DMAPL4055-SDS-Plus-4-Cutter-Carbide/dp/B089LJCD42/ref=sr_1_19?keywords=Diablo+Tools+DMAPL4140+3%2F8+in.+x+4+in.+x+6+in.+Rebar+Demon%E2%84%A2+SDS-Plus+4-Cutter+Full+Carbide+Head+Hammer+Bit&amp;qid=1694735296&amp;sr=8-19")</f>
        <v/>
      </c>
      <c r="F4197" t="inlineStr">
        <is>
          <t>B089LJCD42</t>
        </is>
      </c>
      <c r="G4197">
        <f>_xludf.IMAGE("https://edmondsonsupply.com/cdn/shop/products/DMAPL4140_Main-Image20200701.png?v=1633030360")</f>
        <v/>
      </c>
      <c r="H4197">
        <f>_xludf.IMAGE("https://m.media-amazon.com/images/I/61cDOAhkb4L._AC_UL320_.jpg")</f>
        <v/>
      </c>
      <c r="K4197" t="inlineStr">
        <is>
          <t>7.29</t>
        </is>
      </c>
      <c r="L4197" t="n">
        <v>15.76</v>
      </c>
      <c r="M4197" s="1" t="inlineStr">
        <is>
          <t>116.19%</t>
        </is>
      </c>
      <c r="N4197" s="1" t="n">
        <v>0</v>
      </c>
      <c r="O4197" t="n">
        <v>2</v>
      </c>
      <c r="P4197" t="n">
        <v>1</v>
      </c>
      <c r="R4197" t="inlineStr">
        <is>
          <t>InStock</t>
        </is>
      </c>
      <c r="S4197" t="inlineStr">
        <is>
          <t>undefined</t>
        </is>
      </c>
      <c r="T4197" t="inlineStr">
        <is>
          <t>5286771949736</t>
        </is>
      </c>
    </row>
    <row r="4198" ht="87" customHeight="1">
      <c r="A4198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4198" s="2">
        <f>HYPERLINK("https://edmondsonsupply.com/products/klein-tools-630-5-8-nut-driver-5-8-inch-4-inch-hollow-shaft", "https://edmondsonsupply.com/products/klein-tools-630-5-8-nut-driver-5-8-inch-4-inch-hollow-shaft")</f>
        <v/>
      </c>
      <c r="C4198" t="inlineStr">
        <is>
          <t>Klein Tools 630-5/8 Nut Driver, 5/8-Inch, 4-Inch Hollow Shaft</t>
        </is>
      </c>
      <c r="D4198" t="inlineStr">
        <is>
          <t>Klein Tools 640-5/8 5/8-Inch Coated Nut Driver with 4-Inch Hollow Shaft and Cushion Grip Handle</t>
        </is>
      </c>
      <c r="E4198" s="2">
        <f>HYPERLINK("https://www.amazon.com/8-Inch-Cushion-Klein-Tools-640-5/dp/B00093D6YA/ref=sr_1_3?keywords=Klein+Tools+630-5%2F8+Nut+Driver%2C+5%2F8-Inch%2C+4-Inch+Hollow+Shaft&amp;qid=1694735205&amp;sr=8-3", "https://www.amazon.com/8-Inch-Cushion-Klein-Tools-640-5/dp/B00093D6YA/ref=sr_1_3?keywords=Klein+Tools+630-5%2F8+Nut+Driver%2C+5%2F8-Inch%2C+4-Inch+Hollow+Shaft&amp;qid=1694735205&amp;sr=8-3")</f>
        <v/>
      </c>
      <c r="F4198" t="inlineStr">
        <is>
          <t>B00093D6YA</t>
        </is>
      </c>
      <c r="G4198">
        <f>_xlfn.IMAGE("https://edmondsonsupply.com/cdn/shop/products/630-1-2_df0ca74a-79e7-41f4-ad94-60312e01e692.jpg?v=1633031052")</f>
        <v/>
      </c>
      <c r="H4198">
        <f>_xlfn.IMAGE("https://m.media-amazon.com/images/I/61gCORyBN2L._AC_UL320_.jpg")</f>
        <v/>
      </c>
      <c r="K4198" t="inlineStr">
        <is>
          <t>12.49</t>
        </is>
      </c>
      <c r="L4198" t="n">
        <v>26.99</v>
      </c>
      <c r="M4198" s="1" t="inlineStr">
        <is>
          <t>116.09%</t>
        </is>
      </c>
      <c r="N4198" s="7" t="n">
        <v>0</v>
      </c>
      <c r="O4198" t="n">
        <v>5</v>
      </c>
      <c r="P4198" t="n">
        <v>6</v>
      </c>
      <c r="R4198" t="inlineStr">
        <is>
          <t>InStock</t>
        </is>
      </c>
      <c r="S4198" t="inlineStr">
        <is>
          <t>18.92</t>
        </is>
      </c>
      <c r="T4198" t="inlineStr">
        <is>
          <t>6781025386669</t>
        </is>
      </c>
    </row>
    <row r="4199" ht="87" customHeight="1">
      <c r="A4199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4199" s="2">
        <f>HYPERLINK("https://edmondsonsupply.com/products/klein-tools-630-5-8-nut-driver-5-8-inch-4-inch-hollow-shaft", "https://edmondsonsupply.com/products/klein-tools-630-5-8-nut-driver-5-8-inch-4-inch-hollow-shaft")</f>
        <v/>
      </c>
      <c r="C4199" t="inlineStr">
        <is>
          <t>Klein Tools 630-5/8 Nut Driver, 5/8-Inch, 4-Inch Hollow Shaft</t>
        </is>
      </c>
      <c r="D4199" t="inlineStr">
        <is>
          <t>Klein Tools 646-5/8-INS 5/8-Inch Insulated Nut Driver with 6-Inch Hollow Shaft and Cushion Grip Handle</t>
        </is>
      </c>
      <c r="E4199" s="2">
        <f>HYPERLINK("https://www.amazon.com/Klein-Tools-646-5-8-INS-Insulated/dp/B000MKH632/ref=sr_1_4?keywords=Klein+Tools+630-5%2F8+Nut+Driver%2C+5%2F8-Inch%2C+4-Inch+Hollow+Shaft&amp;qid=1694735205&amp;sr=8-4", "https://www.amazon.com/Klein-Tools-646-5-8-INS-Insulated/dp/B000MKH632/ref=sr_1_4?keywords=Klein+Tools+630-5%2F8+Nut+Driver%2C+5%2F8-Inch%2C+4-Inch+Hollow+Shaft&amp;qid=1694735205&amp;sr=8-4")</f>
        <v/>
      </c>
      <c r="F4199" t="inlineStr">
        <is>
          <t>B000MKH632</t>
        </is>
      </c>
      <c r="G4199">
        <f>_xlfn.IMAGE("https://edmondsonsupply.com/cdn/shop/products/630-1-2_df0ca74a-79e7-41f4-ad94-60312e01e692.jpg?v=1633031052")</f>
        <v/>
      </c>
      <c r="H4199">
        <f>_xlfn.IMAGE("https://m.media-amazon.com/images/I/41dKI+dlEDL._AC_UL320_.jpg")</f>
        <v/>
      </c>
      <c r="K4199" t="inlineStr">
        <is>
          <t>12.49</t>
        </is>
      </c>
      <c r="L4199" t="n">
        <v>26.99</v>
      </c>
      <c r="M4199" s="1" t="inlineStr">
        <is>
          <t>116.09%</t>
        </is>
      </c>
      <c r="N4199" s="7" t="n">
        <v>0</v>
      </c>
      <c r="O4199" t="n">
        <v>4.8</v>
      </c>
      <c r="P4199" t="n">
        <v>10</v>
      </c>
      <c r="R4199" t="inlineStr">
        <is>
          <t>InStock</t>
        </is>
      </c>
      <c r="S4199" t="inlineStr">
        <is>
          <t>18.92</t>
        </is>
      </c>
      <c r="T4199" t="inlineStr">
        <is>
          <t>6781025386669</t>
        </is>
      </c>
    </row>
    <row r="4200" ht="87" customHeight="1">
      <c r="A4200" s="2">
        <f>HYPERLINK("https://edmondsonsupply.com/collections/electricians-tools/products/milwaukee-48-22-2880-13-in-1-cushion-grip-screwdriver-with-ecx%C2%AE", "https://edmondsonsupply.com/collections/electricians-tools/products/milwaukee-48-22-2880-13-in-1-cushion-grip-screwdriver-with-ecx%C2%AE")</f>
        <v/>
      </c>
      <c r="B4200" s="2">
        <f>HYPERLINK("https://edmondsonsupply.com/products/milwaukee-48-22-2880-13-in-1-cushion-grip-screwdriver-with-ecx%c2%ae", "https://edmondsonsupply.com/products/milwaukee-48-22-2880-13-in-1-cushion-grip-screwdriver-with-ecx%c2%ae")</f>
        <v/>
      </c>
      <c r="C4200" t="inlineStr">
        <is>
          <t>Milwaukee 48-22-2880 13-in-1 Cushion-Grip Screwdriver with ECX®</t>
        </is>
      </c>
      <c r="D4200" t="inlineStr">
        <is>
          <t>Milwaukee 11-in-1 Multi-Tip Screwdriver with Square Drive Bits and 13-in-1 Multi-Tip Cushion Grip Screwdriver Sets (48-22-2880-2761)</t>
        </is>
      </c>
      <c r="E4200" s="2">
        <f>HYPERLINK("https://www.amazon.com/Milwaukee-Multi-Tip-Screwdriver-Cushion-48-22-2880-2761/dp/B0BS435YZ2/ref=sr_1_2?keywords=Milwaukee+48-22-2880+13-in-1+Cushion-Grip+Screwdriver+with+ECX%C2%AE&amp;qid=1694735407&amp;sr=8-2", "https://www.amazon.com/Milwaukee-Multi-Tip-Screwdriver-Cushion-48-22-2880-2761/dp/B0BS435YZ2/ref=sr_1_2?keywords=Milwaukee+48-22-2880+13-in-1+Cushion-Grip+Screwdriver+with+ECX%C2%AE&amp;qid=1694735407&amp;sr=8-2")</f>
        <v/>
      </c>
      <c r="F4200" t="inlineStr">
        <is>
          <t>B0BS435YZ2</t>
        </is>
      </c>
      <c r="G4200">
        <f>_xlfn.IMAGE("https://edmondsonsupply.com/cdn/shop/products/48-22-2880.png?v=1587150968")</f>
        <v/>
      </c>
      <c r="H4200">
        <f>_xlfn.IMAGE("https://m.media-amazon.com/images/I/6147KLqShzL._AC_UL320_.jpg")</f>
        <v/>
      </c>
      <c r="K4200" t="inlineStr">
        <is>
          <t>18.97</t>
        </is>
      </c>
      <c r="L4200" t="n">
        <v>40.99</v>
      </c>
      <c r="M4200" s="1" t="inlineStr">
        <is>
          <t>116.08%</t>
        </is>
      </c>
      <c r="N4200" s="7" t="n">
        <v>0</v>
      </c>
      <c r="O4200" t="n">
        <v>5</v>
      </c>
      <c r="P4200" t="n">
        <v>2</v>
      </c>
      <c r="R4200" t="inlineStr">
        <is>
          <t>InStock</t>
        </is>
      </c>
      <c r="S4200" t="inlineStr">
        <is>
          <t>25.6</t>
        </is>
      </c>
      <c r="T4200" t="inlineStr">
        <is>
          <t>4388792008804</t>
        </is>
      </c>
    </row>
    <row r="4201" ht="87" customHeight="1">
      <c r="A4201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4201" s="2">
        <f>HYPERLINK("https://edmondsonsupply.com/products/klein-tools-56331-steel-fish-tape-1-8-inch-x-50-foot", "https://edmondsonsupply.com/products/klein-tools-56331-steel-fish-tape-1-8-inch-x-50-foot")</f>
        <v/>
      </c>
      <c r="C4201" t="inlineStr">
        <is>
          <t>Klein Tools 56331 Steel Fish Tape, 1/8-Inch x 50-Foot</t>
        </is>
      </c>
      <c r="D4201" t="inlineStr">
        <is>
          <t>Klein Tools 56331 Fish Tape, Steel Wire Puller, 1/8-Inch x 50-Foot &amp; NCVT2PKIT Non-Contact Voltage Tester with Receptacle Tester, 12-48V AC or 48-1000V AC Dual Range for Broad Application</t>
        </is>
      </c>
      <c r="E4201" s="2">
        <f>HYPERLINK("https://www.amazon.com/Klein-Tools-Non-Contact-Receptacle-Application/dp/B09T6Z6B4X/ref=sr_1_2?keywords=Klein+Tools+56331+Steel+Fish+Tape%2C+1%2F8-Inch+x+50-Foot&amp;qid=1694735384&amp;sr=8-2", "https://www.amazon.com/Klein-Tools-Non-Contact-Receptacle-Application/dp/B09T6Z6B4X/ref=sr_1_2?keywords=Klein+Tools+56331+Steel+Fish+Tape%2C+1%2F8-Inch+x+50-Foot&amp;qid=1694735384&amp;sr=8-2")</f>
        <v/>
      </c>
      <c r="F4201" t="inlineStr">
        <is>
          <t>B09T6Z6B4X</t>
        </is>
      </c>
      <c r="G4201">
        <f>_xlfn.IMAGE("https://edmondsonsupply.com/cdn/shop/products/56331.jpg?v=1587143350")</f>
        <v/>
      </c>
      <c r="H4201">
        <f>_xlfn.IMAGE("https://m.media-amazon.com/images/I/51OPQKLJdyL._AC_UL320_.jpg")</f>
        <v/>
      </c>
      <c r="K4201" t="inlineStr">
        <is>
          <t>24.99</t>
        </is>
      </c>
      <c r="L4201" t="n">
        <v>53.98</v>
      </c>
      <c r="M4201" s="1" t="inlineStr">
        <is>
          <t>116.01%</t>
        </is>
      </c>
      <c r="N4201" s="7" t="n">
        <v>0</v>
      </c>
      <c r="O4201" t="n">
        <v>5</v>
      </c>
      <c r="P4201" t="n">
        <v>2</v>
      </c>
      <c r="R4201" t="inlineStr">
        <is>
          <t>InStock</t>
        </is>
      </c>
      <c r="S4201" t="inlineStr">
        <is>
          <t>30.9</t>
        </is>
      </c>
      <c r="T4201" t="inlineStr">
        <is>
          <t>4412204056676</t>
        </is>
      </c>
    </row>
    <row r="4202" ht="87" customHeight="1">
      <c r="A4202" s="2">
        <f>HYPERLINK("https://edmondsonsupply.com/collections/electricians-tools/products/klein-tools-32378-screwdriver-set-combination-tip-2-piece", "https://edmondsonsupply.com/collections/electricians-tools/products/klein-tools-32378-screwdriver-set-combination-tip-2-piece")</f>
        <v/>
      </c>
      <c r="B4202" s="2">
        <f>HYPERLINK("https://edmondsonsupply.com/products/klein-tools-32378-screwdriver-set-combination-tip-2-piece", "https://edmondsonsupply.com/products/klein-tools-32378-screwdriver-set-combination-tip-2-piece")</f>
        <v/>
      </c>
      <c r="C4202" t="inlineStr">
        <is>
          <t>Klein Tools 32378 Screwdriver Set, Combination Tip, 2-Piece</t>
        </is>
      </c>
      <c r="D4202" t="inlineStr">
        <is>
          <t>Klein Tools 32378 Combination Tip Screwdriver Set, 2-Piece &amp; 32305 Multi-bit Ratcheting Screwdriver, 15-in-1 Tool with Phillips, Slotted, Square, Torx and Combo Bits and 1/4-Inch Nut Driver</t>
        </is>
      </c>
      <c r="E4202" s="2">
        <f>HYPERLINK("https://www.amazon.com/Klein-Tools-Combination-Screwdriver-Ratcheting/dp/B0BD3TVT7G/ref=sr_1_2?keywords=Klein+Tools+32378+Screwdriver+Set%2C+Combination+Tip%2C+2-Piece&amp;qid=1694735385&amp;sr=8-2", "https://www.amazon.com/Klein-Tools-Combination-Screwdriver-Ratcheting/dp/B0BD3TVT7G/ref=sr_1_2?keywords=Klein+Tools+32378+Screwdriver+Set%2C+Combination+Tip%2C+2-Piece&amp;qid=1694735385&amp;sr=8-2")</f>
        <v/>
      </c>
      <c r="F4202" t="inlineStr">
        <is>
          <t>B0BD3TVT7G</t>
        </is>
      </c>
      <c r="G4202">
        <f>_xlfn.IMAGE("https://edmondsonsupply.com/cdn/shop/products/32378.jpg?v=1587143674")</f>
        <v/>
      </c>
      <c r="H4202">
        <f>_xlfn.IMAGE("https://m.media-amazon.com/images/I/41CuVuOqA9L._AC_UL320_.jpg")</f>
        <v/>
      </c>
      <c r="K4202" t="inlineStr">
        <is>
          <t>18.99</t>
        </is>
      </c>
      <c r="L4202" t="n">
        <v>40.96</v>
      </c>
      <c r="M4202" s="1" t="inlineStr">
        <is>
          <t>115.69%</t>
        </is>
      </c>
      <c r="N4202" s="7" t="n">
        <v>0</v>
      </c>
      <c r="O4202" t="n">
        <v>4.2</v>
      </c>
      <c r="P4202" t="n">
        <v>3</v>
      </c>
      <c r="R4202" t="inlineStr">
        <is>
          <t>InStock</t>
        </is>
      </c>
      <c r="S4202" t="inlineStr">
        <is>
          <t>30.24</t>
        </is>
      </c>
      <c r="T4202" t="inlineStr">
        <is>
          <t>4427263803492</t>
        </is>
      </c>
    </row>
    <row r="4203" ht="87" customHeight="1">
      <c r="A4203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203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203" t="inlineStr">
        <is>
          <t>Klein Tools 605-4 1/4-Inch Cabinet Tip Screwdriver 4-Inch Shank</t>
        </is>
      </c>
      <c r="D4203" t="inlineStr">
        <is>
          <t>Klein Tools 603-4 Screwdriver, 2 Phillips Tip with Cushion Grip Handle, Precision Machined Electrician Screwdriver, 8-Inch &amp; 605-6 1/4-Inch Cabinet Tip Screwdriver, Heavy Duty, 6-Inch</t>
        </is>
      </c>
      <c r="E4203" s="2">
        <f>HYPERLINK("https://www.amazon.com/Klein-Tools-Screwdriver-Precision-Electrician/dp/B0BR23NNNH/ref=sr_1_26?keywords=Klein+Tools+605-4+1%2F4-Inch+Cabinet+Tip+Screwdriver+4-Inch+Shank&amp;qid=1694735099&amp;sr=8-26", "https://www.amazon.com/Klein-Tools-Screwdriver-Precision-Electrician/dp/B0BR23NNNH/ref=sr_1_26?keywords=Klein+Tools+605-4+1%2F4-Inch+Cabinet+Tip+Screwdriver+4-Inch+Shank&amp;qid=1694735099&amp;sr=8-26")</f>
        <v/>
      </c>
      <c r="F4203" t="inlineStr">
        <is>
          <t>B0BR23NNNH</t>
        </is>
      </c>
      <c r="G4203">
        <f>_xlfn.IMAGE("https://edmondsonsupply.com/cdn/shop/products/605-6_ac5e56ca-920d-4d55-842f-c7dc8361f892.jpg?v=1665688377")</f>
        <v/>
      </c>
      <c r="H4203">
        <f>_xlfn.IMAGE("https://m.media-amazon.com/images/I/316TumgEKzL._AC_UL320_.jpg")</f>
        <v/>
      </c>
      <c r="K4203" t="inlineStr">
        <is>
          <t>8.99</t>
        </is>
      </c>
      <c r="L4203" t="n">
        <v>19.38</v>
      </c>
      <c r="M4203" s="1" t="inlineStr">
        <is>
          <t>115.57%</t>
        </is>
      </c>
      <c r="N4203" s="7" t="n">
        <v>0</v>
      </c>
      <c r="O4203" t="n">
        <v>5</v>
      </c>
      <c r="P4203" t="n">
        <v>3</v>
      </c>
      <c r="R4203" t="inlineStr">
        <is>
          <t>InStock</t>
        </is>
      </c>
      <c r="S4203" t="inlineStr">
        <is>
          <t>13.6</t>
        </is>
      </c>
      <c r="T4203" t="inlineStr">
        <is>
          <t>7852059132120</t>
        </is>
      </c>
    </row>
    <row r="4204" hidden="1" ht="15.75" customHeight="1">
      <c r="A4204" s="2">
        <f>HYPERLINK("https://edmondsonsupply.com/collections/electricians-tools/products/klein-tools-jth4e12-7-32-inch-hex-key-journeyman%E2%84%A2-t-handle-4-inch", "https://edmondsonsupply.com/collections/electricians-tools/products/klein-tools-jth4e12-7-32-inch-hex-key-journeyman%E2%84%A2-t-handle-4-inch")</f>
        <v/>
      </c>
      <c r="B4204" s="2">
        <f>HYPERLINK("https://edmondsonsupply.com/products/klein-tools-jth4e12-7-32-inch-hex-key-journeyman%e2%84%a2-t-handle-4-inch", "https://edmondsonsupply.com/products/klein-tools-jth4e12-7-32-inch-hex-key-journeyman%e2%84%a2-t-handle-4-inch")</f>
        <v/>
      </c>
      <c r="C4204" t="inlineStr">
        <is>
          <t>Klein Tools JTH4E12 7/32-Inch Hex Key, Journeyman™ T-Handle, 4-Inch</t>
        </is>
      </c>
      <c r="D4204" t="inlineStr">
        <is>
          <t>Klein Tools 70575 Grip-It Hex Key Set, 9-Key, 3-3/4-Inch Handle, SAE Sizes</t>
        </is>
      </c>
      <c r="E4204" s="2">
        <f>HYPERLINK("https://www.amazon.com/Grip-Square-Klein-Tools-70575/dp/B0002RI8PK/ref=sr_1_37?keywords=Klein+Tools+JTH4E12+7%2F32-Inch+Hex+Key%2C+Journeyman%E2%84%A2+T-Handle%2C+4-Inch&amp;qid=1694735135&amp;sr=8-37", "https://www.amazon.com/Grip-Square-Klein-Tools-70575/dp/B0002RI8PK/ref=sr_1_37?keywords=Klein+Tools+JTH4E12+7%2F32-Inch+Hex+Key%2C+Journeyman%E2%84%A2+T-Handle%2C+4-Inch&amp;qid=1694735135&amp;sr=8-37")</f>
        <v/>
      </c>
      <c r="F4204" t="inlineStr">
        <is>
          <t>B0002RI8PK</t>
        </is>
      </c>
      <c r="G4204">
        <f>_xludf.IMAGE("https://edmondsonsupply.com/cdn/shop/products/jth4e12.jpg?v=1660516887")</f>
        <v/>
      </c>
      <c r="H4204">
        <f>_xludf.IMAGE("https://m.media-amazon.com/images/I/51C7aw6OxTL._AC_UL320_.jpg")</f>
        <v/>
      </c>
      <c r="K4204" t="inlineStr">
        <is>
          <t>4.99</t>
        </is>
      </c>
      <c r="L4204" t="n">
        <v>10.74</v>
      </c>
      <c r="M4204" s="1" t="inlineStr">
        <is>
          <t>115.23%</t>
        </is>
      </c>
      <c r="N4204" s="1" t="n">
        <v>0</v>
      </c>
      <c r="O4204" t="n">
        <v>4.4</v>
      </c>
      <c r="P4204" t="n">
        <v>65</v>
      </c>
      <c r="R4204" t="inlineStr">
        <is>
          <t>InStock</t>
        </is>
      </c>
      <c r="S4204" t="inlineStr">
        <is>
          <t>7.56</t>
        </is>
      </c>
      <c r="T4204" t="inlineStr">
        <is>
          <t>7780503290072</t>
        </is>
      </c>
    </row>
    <row r="4205" hidden="1" ht="15.75" customHeight="1">
      <c r="A4205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4205" s="2">
        <f>HYPERLINK("https://edmondsonsupply.com/products/klein-tools-jth9m5-5-mm-hex-key-journeyman-t-handle-9-inch", "https://edmondsonsupply.com/products/klein-tools-jth9m5-5-mm-hex-key-journeyman-t-handle-9-inch")</f>
        <v/>
      </c>
      <c r="C4205" t="inlineStr">
        <is>
          <t>Klein Tools JTH9M5 5 mm Hex Key, Journeyman T-Handle 9-Inch</t>
        </is>
      </c>
      <c r="D4205" t="inlineStr">
        <is>
          <t>Klein Tools 70575 Grip-It Hex Key Set, 9-Key, 3-3/4-Inch Handle, SAE Sizes</t>
        </is>
      </c>
      <c r="E4205" s="2">
        <f>HYPERLINK("https://www.amazon.com/Grip-Square-Klein-Tools-70575/dp/B0002RI8PK/ref=sr_1_39?keywords=Klein+Tools+JTH9M5+5+mm+Hex+Key%2C+Journeyman+T-Handle+9-Inch&amp;qid=1694735207&amp;sr=8-39", "https://www.amazon.com/Grip-Square-Klein-Tools-70575/dp/B0002RI8PK/ref=sr_1_39?keywords=Klein+Tools+JTH9M5+5+mm+Hex+Key%2C+Journeyman+T-Handle+9-Inch&amp;qid=1694735207&amp;sr=8-39")</f>
        <v/>
      </c>
      <c r="F4205" t="inlineStr">
        <is>
          <t>B0002RI8PK</t>
        </is>
      </c>
      <c r="G4205">
        <f>_xludf.IMAGE("https://edmondsonsupply.com/cdn/shop/products/jth9m_84ad507b-889a-4b5c-80a2-9633c898cd48.jpg?v=1633031048")</f>
        <v/>
      </c>
      <c r="H4205">
        <f>_xludf.IMAGE("https://m.media-amazon.com/images/I/51C7aw6OxTL._AC_UL320_.jpg")</f>
        <v/>
      </c>
      <c r="K4205" t="inlineStr">
        <is>
          <t>4.99</t>
        </is>
      </c>
      <c r="L4205" t="n">
        <v>10.74</v>
      </c>
      <c r="M4205" s="1" t="inlineStr">
        <is>
          <t>115.23%</t>
        </is>
      </c>
      <c r="N4205" s="1" t="n">
        <v>0</v>
      </c>
      <c r="O4205" t="n">
        <v>4.4</v>
      </c>
      <c r="P4205" t="n">
        <v>65</v>
      </c>
      <c r="R4205" t="inlineStr">
        <is>
          <t>InStock</t>
        </is>
      </c>
      <c r="S4205" t="inlineStr">
        <is>
          <t>7.58</t>
        </is>
      </c>
      <c r="T4205" t="inlineStr">
        <is>
          <t>6772921532589</t>
        </is>
      </c>
    </row>
    <row r="4206" ht="87" customHeight="1">
      <c r="A4206" s="2">
        <f>HYPERLINK("https://edmondsonsupply.com/collections/electricians-tools/products/milwaukee-48-22-1525-fastback%E2%84%A2-fastback%E2%84%A2-hawkbill-folding-knife", "https://edmondsonsupply.com/collections/electricians-tools/products/milwaukee-48-22-1525-fastback%E2%84%A2-fastback%E2%84%A2-hawkbill-folding-knife")</f>
        <v/>
      </c>
      <c r="B4206" s="2">
        <f>HYPERLINK("https://edmondsonsupply.com/products/milwaukee-48-22-1525-fastback%e2%84%a2-fastback%e2%84%a2-hawkbill-folding-knife", "https://edmondsonsupply.com/products/milwaukee-48-22-1525-fastback%e2%84%a2-fastback%e2%84%a2-hawkbill-folding-knife")</f>
        <v/>
      </c>
      <c r="C4206" t="inlineStr">
        <is>
          <t>Milwaukee 48-22-1525 FASTBACK™ Hawkbill Folding Knife</t>
        </is>
      </c>
      <c r="D4206" t="inlineStr">
        <is>
          <t>For Milwaukee Tool 48-22-1505 Fastback™ 6In1 Folding Utility Knife</t>
        </is>
      </c>
      <c r="E4206" s="2">
        <f>HYPERLINK("https://www.amazon.com/Milwaukee-48-22-1505-FastbackTM-Folding-Utility/dp/B0C69TGH9K/ref=sr_1_6?keywords=Milwaukee+48-22-1525+FASTBACK%E2%84%A2+Hawkbill+Folding+Knife&amp;qid=1694735369&amp;sr=8-6", "https://www.amazon.com/Milwaukee-48-22-1505-FastbackTM-Folding-Utility/dp/B0C69TGH9K/ref=sr_1_6?keywords=Milwaukee+48-22-1525+FASTBACK%E2%84%A2+Hawkbill+Folding+Knife&amp;qid=1694735369&amp;sr=8-6")</f>
        <v/>
      </c>
      <c r="F4206" t="inlineStr">
        <is>
          <t>B0C69TGH9K</t>
        </is>
      </c>
      <c r="G4206">
        <f>_xlfn.IMAGE("https://edmondsonsupply.com/cdn/shop/products/48-22-1525_1.png?v=1587142775")</f>
        <v/>
      </c>
      <c r="H4206">
        <f>_xlfn.IMAGE("https://m.media-amazon.com/images/I/41ZUsUsHByL._AC_UL320_.jpg")</f>
        <v/>
      </c>
      <c r="K4206" t="inlineStr">
        <is>
          <t>14.97</t>
        </is>
      </c>
      <c r="L4206" t="n">
        <v>32.19</v>
      </c>
      <c r="M4206" s="1" t="inlineStr">
        <is>
          <t>115.03%</t>
        </is>
      </c>
      <c r="N4206" s="7" t="n">
        <v>0</v>
      </c>
      <c r="O4206" t="n">
        <v>4.5</v>
      </c>
      <c r="P4206" t="n">
        <v>2</v>
      </c>
      <c r="R4206" t="inlineStr">
        <is>
          <t>InStock</t>
        </is>
      </c>
      <c r="S4206" t="inlineStr">
        <is>
          <t>25.0</t>
        </is>
      </c>
      <c r="T4206" t="inlineStr">
        <is>
          <t>4429672677476</t>
        </is>
      </c>
    </row>
    <row r="4207" hidden="1" ht="15.75" customHeight="1">
      <c r="A4207" s="2">
        <f>HYPERLINK("https://edmondsonsupply.com/collections/electricians-tools/products/klein-tools-86602-3-8-inch-magnetic-hex-drivers-3-pack", "https://edmondsonsupply.com/collections/electricians-tools/products/klein-tools-86602-3-8-inch-magnetic-hex-drivers-3-pack")</f>
        <v/>
      </c>
      <c r="B4207" s="2">
        <f>HYPERLINK("https://edmondsonsupply.com/products/klein-tools-86602-3-8-inch-magnetic-hex-drivers-3-pack", "https://edmondsonsupply.com/products/klein-tools-86602-3-8-inch-magnetic-hex-drivers-3-pack")</f>
        <v/>
      </c>
      <c r="C4207" t="inlineStr">
        <is>
          <t>Klein Tools 86602 3/8-Inch Magnetic Hex Drivers, 3-Pack</t>
        </is>
      </c>
      <c r="D4207" t="inlineStr">
        <is>
          <t>Klein Tools 32768 Impact Driver, 3-in-1 Impact Flip Socket and Bit Holder, 1/4 and 5/16-Inch Hex Drivers, 3 and 5-Inch Lengths, 2-Piece Set</t>
        </is>
      </c>
      <c r="E4207" s="2">
        <f>HYPERLINK("https://www.amazon.com/16-Inch-Drivers-Klein-Tools-32768/dp/B09Q52LQ5G/ref=sr_1_4?keywords=Klein+Tools+86602+3%2F8-Inch+Magnetic+Hex+Drivers%2C+3-Pack&amp;qid=1694735117&amp;sr=8-4", "https://www.amazon.com/16-Inch-Drivers-Klein-Tools-32768/dp/B09Q52LQ5G/ref=sr_1_4?keywords=Klein+Tools+86602+3%2F8-Inch+Magnetic+Hex+Drivers%2C+3-Pack&amp;qid=1694735117&amp;sr=8-4")</f>
        <v/>
      </c>
      <c r="F4207" t="inlineStr">
        <is>
          <t>B09Q52LQ5G</t>
        </is>
      </c>
      <c r="G4207">
        <f>_xludf.IMAGE("https://edmondsonsupply.com/cdn/shop/products/86602.jpg?v=1664460860")</f>
        <v/>
      </c>
      <c r="H4207">
        <f>_xludf.IMAGE("https://m.media-amazon.com/images/I/51WsqEdVfRL._AC_UL320_.jpg")</f>
        <v/>
      </c>
      <c r="K4207" t="inlineStr">
        <is>
          <t>6.99</t>
        </is>
      </c>
      <c r="L4207" t="n">
        <v>14.99</v>
      </c>
      <c r="M4207" s="1" t="inlineStr">
        <is>
          <t>114.45%</t>
        </is>
      </c>
      <c r="N4207" s="1" t="n">
        <v>0</v>
      </c>
      <c r="O4207" t="n">
        <v>4.4</v>
      </c>
      <c r="P4207" t="n">
        <v>1270</v>
      </c>
      <c r="R4207" t="inlineStr">
        <is>
          <t>InStock</t>
        </is>
      </c>
      <c r="S4207" t="inlineStr">
        <is>
          <t>10.6</t>
        </is>
      </c>
      <c r="T4207" t="inlineStr">
        <is>
          <t>7833497960664</t>
        </is>
      </c>
    </row>
    <row r="4208" hidden="1" ht="15.75" customHeight="1">
      <c r="A4208" s="2">
        <f>HYPERLINK("https://edmondsonsupply.com/collections/electricians-tools/products/klein-tools-86600-1-4-inch-magnetic-hex-drivers-3-pack", "https://edmondsonsupply.com/collections/electricians-tools/products/klein-tools-86600-1-4-inch-magnetic-hex-drivers-3-pack")</f>
        <v/>
      </c>
      <c r="B4208" s="2">
        <f>HYPERLINK("https://edmondsonsupply.com/products/klein-tools-86600-1-4-inch-magnetic-hex-drivers-3-pack", "https://edmondsonsupply.com/products/klein-tools-86600-1-4-inch-magnetic-hex-drivers-3-pack")</f>
        <v/>
      </c>
      <c r="C4208" t="inlineStr">
        <is>
          <t>Klein Tools 86600 1/4-Inch Magnetic Hex Drivers, 3-Pack</t>
        </is>
      </c>
      <c r="D4208" t="inlineStr">
        <is>
          <t>Klein Tools 32768 Impact Driver, 3-in-1 Impact Flip Socket and Bit Holder, 1/4 and 5/16-Inch Hex Drivers, 3 and 5-Inch Lengths, 2-Piece Set</t>
        </is>
      </c>
      <c r="E4208" s="2">
        <f>HYPERLINK("https://www.amazon.com/16-Inch-Drivers-Klein-Tools-32768/dp/B09Q52LQ5G/ref=sr_1_7?keywords=Klein+Tools+86600+1%2F4-Inch+Magnetic+Hex+Drivers%2C+3-Pack&amp;qid=1694735168&amp;sr=8-7", "https://www.amazon.com/16-Inch-Drivers-Klein-Tools-32768/dp/B09Q52LQ5G/ref=sr_1_7?keywords=Klein+Tools+86600+1%2F4-Inch+Magnetic+Hex+Drivers%2C+3-Pack&amp;qid=1694735168&amp;sr=8-7")</f>
        <v/>
      </c>
      <c r="F4208" t="inlineStr">
        <is>
          <t>B09Q52LQ5G</t>
        </is>
      </c>
      <c r="G4208">
        <f>_xludf.IMAGE("https://edmondsonsupply.com/cdn/shop/products/86600.png?v=1645569632")</f>
        <v/>
      </c>
      <c r="H4208">
        <f>_xludf.IMAGE("https://m.media-amazon.com/images/I/51WsqEdVfRL._AC_UL320_.jpg")</f>
        <v/>
      </c>
      <c r="K4208" t="inlineStr">
        <is>
          <t>6.99</t>
        </is>
      </c>
      <c r="L4208" t="n">
        <v>14.99</v>
      </c>
      <c r="M4208" s="1" t="inlineStr">
        <is>
          <t>114.45%</t>
        </is>
      </c>
      <c r="N4208" s="1" t="n">
        <v>0</v>
      </c>
      <c r="O4208" t="n">
        <v>4.4</v>
      </c>
      <c r="P4208" t="n">
        <v>1270</v>
      </c>
      <c r="R4208" t="inlineStr">
        <is>
          <t>InStock</t>
        </is>
      </c>
      <c r="S4208" t="inlineStr">
        <is>
          <t>10.6</t>
        </is>
      </c>
      <c r="T4208" t="inlineStr">
        <is>
          <t>7614370054360</t>
        </is>
      </c>
    </row>
    <row r="4209" ht="87" customHeight="1">
      <c r="A4209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4209" s="2">
        <f>HYPERLINK("https://edmondsonsupply.com/products/diablo-tools-d0704dh-7-1-4-in-x-4-tooth-fiber-cement", "https://edmondsonsupply.com/products/diablo-tools-d0704dh-7-1-4-in-x-4-tooth-fiber-cement")</f>
        <v/>
      </c>
      <c r="C4209" t="inlineStr">
        <is>
          <t>Diablo Tools D0704DH 7-1/4 in. x 4 Tooth Fiber Cement</t>
        </is>
      </c>
      <c r="D4209" t="inlineStr">
        <is>
          <t>Freud D0704DH Diablo 7-1/4-inch 4T PCD Tipped Fiber Cement Saw Blades, 2-Pack</t>
        </is>
      </c>
      <c r="E4209" s="2">
        <f>HYPERLINK("https://www.amazon.com/Freud-D0704DH-Diablo-4-inch-Tipped/dp/B00WA2VGRW/ref=sr_1_12?keywords=Diablo+Tools+D0704DH+7-1%2F4+in.+x+4+Tooth+Fiber+Cement&amp;qid=1694735024&amp;sr=8-12", "https://www.amazon.com/Freud-D0704DH-Diablo-4-inch-Tipped/dp/B00WA2VGRW/ref=sr_1_12?keywords=Diablo+Tools+D0704DH+7-1%2F4+in.+x+4+Tooth+Fiber+Cement&amp;qid=1694735024&amp;sr=8-12")</f>
        <v/>
      </c>
      <c r="F4209" t="inlineStr">
        <is>
          <t>B00WA2VGRW</t>
        </is>
      </c>
      <c r="G4209">
        <f>_xlfn.IMAGE("https://edmondsonsupply.com/cdn/shop/products/baadnmj6vhmqufio7ofn.webp?v=1679325375")</f>
        <v/>
      </c>
      <c r="H4209">
        <f>_xlfn.IMAGE("https://m.media-amazon.com/images/I/71Twjh0MvBL._AC_UL320_.jpg")</f>
        <v/>
      </c>
      <c r="K4209" t="inlineStr">
        <is>
          <t>44.97</t>
        </is>
      </c>
      <c r="L4209" t="n">
        <v>96.26000000000001</v>
      </c>
      <c r="M4209" s="1" t="inlineStr">
        <is>
          <t>114.05%</t>
        </is>
      </c>
      <c r="N4209" s="7" t="n">
        <v>0</v>
      </c>
      <c r="O4209" t="n">
        <v>4.7</v>
      </c>
      <c r="P4209" t="n">
        <v>35</v>
      </c>
      <c r="R4209" t="inlineStr">
        <is>
          <t>InStock</t>
        </is>
      </c>
      <c r="S4209" t="inlineStr">
        <is>
          <t>67.99</t>
        </is>
      </c>
      <c r="T4209" t="inlineStr">
        <is>
          <t>7964908159192</t>
        </is>
      </c>
    </row>
    <row r="4210" hidden="1" ht="15.75" customHeight="1">
      <c r="A4210" s="2">
        <f>HYPERLINK("https://edmondsonsupply.com/collections/electricians-tools/products/milwaukee-49-56-0052-1-1-8-hole-dozer%E2%84%A2-hole-saw-bi-metal-cup", "https://edmondsonsupply.com/collections/electricians-tools/products/milwaukee-49-56-0052-1-1-8-hole-dozer%E2%84%A2-hole-saw-bi-metal-cup")</f>
        <v/>
      </c>
      <c r="B4210" s="2">
        <f>HYPERLINK("https://edmondsonsupply.com/products/milwaukee-49-56-0052-1-1-8-hole-dozer%e2%84%a2-hole-saw-bi-metal-cup", "https://edmondsonsupply.com/products/milwaukee-49-56-0052-1-1-8-hole-dozer%e2%84%a2-hole-saw-bi-metal-cup")</f>
        <v/>
      </c>
      <c r="C4210" t="inlineStr">
        <is>
          <t>Milwaukee 49-56-0052 1-1/8" HOLE DOZER™ Hole Saw Bi-Metal Cup</t>
        </is>
      </c>
      <c r="D4210" t="inlineStr">
        <is>
          <t>Milwaukee 49-56-0426 Hole Saw 1-3/8" Carbide Grit with Pilot Bit</t>
        </is>
      </c>
      <c r="E4210" s="2">
        <f>HYPERLINK("https://www.amazon.com/Milwaukee-49-56-0426-Hole-Carbide-Pilot/dp/B004AGOTB6/ref=sr_1_48?keywords=Milwaukee+49-56-0052+1-1%2F8%22+HOLE+DOZER%E2%84%A2+Hole+Saw+Bi-Metal+Cup&amp;qid=1694735013&amp;sr=8-48", "https://www.amazon.com/Milwaukee-49-56-0426-Hole-Carbide-Pilot/dp/B004AGOTB6/ref=sr_1_48?keywords=Milwaukee+49-56-0052+1-1%2F8%22+HOLE+DOZER%E2%84%A2+Hole+Saw+Bi-Metal+Cup&amp;qid=1694735013&amp;sr=8-48")</f>
        <v/>
      </c>
      <c r="F4210" t="inlineStr">
        <is>
          <t>B004AGOTB6</t>
        </is>
      </c>
      <c r="G4210">
        <f>_xludf.IMAGE("https://edmondsonsupply.com/cdn/shop/products/49-56-0052_101_2_69862d1a-c77f-481c-bf18-860641f9883b.webp?v=1679418866")</f>
        <v/>
      </c>
      <c r="H4210">
        <f>_xludf.IMAGE("https://m.media-amazon.com/images/I/51HyOS36nPL._AC_UL320_.jpg")</f>
        <v/>
      </c>
      <c r="K4210" t="inlineStr">
        <is>
          <t>6.99</t>
        </is>
      </c>
      <c r="L4210" t="n">
        <v>14.95</v>
      </c>
      <c r="M4210" s="1" t="inlineStr">
        <is>
          <t>113.88%</t>
        </is>
      </c>
      <c r="N4210" s="1" t="n">
        <v>0</v>
      </c>
      <c r="O4210" t="n">
        <v>4</v>
      </c>
      <c r="P4210" t="n">
        <v>8</v>
      </c>
      <c r="R4210" t="inlineStr">
        <is>
          <t>InStock</t>
        </is>
      </c>
      <c r="S4210" t="inlineStr">
        <is>
          <t>12.8</t>
        </is>
      </c>
      <c r="T4210" t="inlineStr">
        <is>
          <t>7965266084056</t>
        </is>
      </c>
    </row>
    <row r="4211" hidden="1" ht="15.75" customHeight="1">
      <c r="A4211" s="2">
        <f>HYPERLINK("https://edmondsonsupply.com/collections/electricians-tools/products/milwaukee-49-56-0072-1-3-8-hole-dozer%E2%84%A2-hole-saw-bi-metal-cup", "https://edmondsonsupply.com/collections/electricians-tools/products/milwaukee-49-56-0072-1-3-8-hole-dozer%E2%84%A2-hole-saw-bi-metal-cup")</f>
        <v/>
      </c>
      <c r="B4211" s="2">
        <f>HYPERLINK("https://edmondsonsupply.com/products/milwaukee-49-56-0072-1-3-8-hole-dozer%e2%84%a2-hole-saw-bi-metal-cup", "https://edmondsonsupply.com/products/milwaukee-49-56-0072-1-3-8-hole-dozer%e2%84%a2-hole-saw-bi-metal-cup")</f>
        <v/>
      </c>
      <c r="C4211" t="inlineStr">
        <is>
          <t>Milwaukee 49-56-0072 1-3/8" HOLE DOZER™ Hole Saw Bi-Metal Cup</t>
        </is>
      </c>
      <c r="D4211" t="inlineStr">
        <is>
          <t>Milwaukee 49-56-0426 Hole Saw 1-3/8" Carbide Grit with Pilot Bit</t>
        </is>
      </c>
      <c r="E4211" s="2">
        <f>HYPERLINK("https://www.amazon.com/Milwaukee-49-56-0426-Hole-Carbide-Pilot/dp/B004AGOTB6/ref=sr_1_9?keywords=Milwaukee+49-56-0072+1-3%2F8%22+HOLE+DOZER%E2%84%A2+Hole+Saw+Bi-Metal+Cup&amp;qid=1694735018&amp;sr=8-9", "https://www.amazon.com/Milwaukee-49-56-0426-Hole-Carbide-Pilot/dp/B004AGOTB6/ref=sr_1_9?keywords=Milwaukee+49-56-0072+1-3%2F8%22+HOLE+DOZER%E2%84%A2+Hole+Saw+Bi-Metal+Cup&amp;qid=1694735018&amp;sr=8-9")</f>
        <v/>
      </c>
      <c r="F4211" t="inlineStr">
        <is>
          <t>B004AGOTB6</t>
        </is>
      </c>
      <c r="G4211">
        <f>_xludf.IMAGE("https://edmondsonsupply.com/cdn/shop/products/49-56-0052_101_2_442dad6a-cfd3-4167-9bee-4c5b358f3b1a.webp?v=1679417936")</f>
        <v/>
      </c>
      <c r="H4211">
        <f>_xludf.IMAGE("https://m.media-amazon.com/images/I/51HyOS36nPL._AC_UL320_.jpg")</f>
        <v/>
      </c>
      <c r="K4211" t="inlineStr">
        <is>
          <t>6.99</t>
        </is>
      </c>
      <c r="L4211" t="n">
        <v>14.95</v>
      </c>
      <c r="M4211" s="1" t="inlineStr">
        <is>
          <t>113.88%</t>
        </is>
      </c>
      <c r="N4211" s="1" t="n">
        <v>0</v>
      </c>
      <c r="O4211" t="n">
        <v>4</v>
      </c>
      <c r="P4211" t="n">
        <v>8</v>
      </c>
      <c r="R4211" t="inlineStr">
        <is>
          <t>InStock</t>
        </is>
      </c>
      <c r="S4211" t="inlineStr">
        <is>
          <t>13.3</t>
        </is>
      </c>
      <c r="T4211" t="inlineStr">
        <is>
          <t>7965261791448</t>
        </is>
      </c>
    </row>
    <row r="4212" ht="87" customHeight="1">
      <c r="A4212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212" s="2">
        <f>HYPERLINK("https://edmondsonsupply.com/products/klein-tools-32305-15-in-1-multi-bit-ratcheting-screwdriver", "https://edmondsonsupply.com/products/klein-tools-32305-15-in-1-multi-bit-ratcheting-screwdriver")</f>
        <v/>
      </c>
      <c r="C4212" t="inlineStr">
        <is>
          <t>Klein Tools 32305 15-in-1 Multi-Bit Ratcheting Screwdriver</t>
        </is>
      </c>
      <c r="D4212" t="inlineStr">
        <is>
          <t>Klein Tools 32305 Multi-bit Ratcheting Screwdriver &amp; 32307 Multi-bit Tamperproof Screwdriver, 27-in-1 Tool with Torx, Hex, Torq and Spanner Bits with 1/4-Inch Nut Driver</t>
        </is>
      </c>
      <c r="E4212" s="2">
        <f>HYPERLINK("https://www.amazon.com/Klein-Tools-Ratcheting-Screwdriver-Tamperproof/dp/B09Y7PBFQ1/ref=sr_1_9?keywords=Klein+Tools+32305+15-in-1+Multi-Bit+Ratcheting+Screwdriver&amp;qid=1694735163&amp;sr=8-9", "https://www.amazon.com/Klein-Tools-Ratcheting-Screwdriver-Tamperproof/dp/B09Y7PBFQ1/ref=sr_1_9?keywords=Klein+Tools+32305+15-in-1+Multi-Bit+Ratcheting+Screwdriver&amp;qid=1694735163&amp;sr=8-9")</f>
        <v/>
      </c>
      <c r="F4212" t="inlineStr">
        <is>
          <t>B09Y7PBFQ1</t>
        </is>
      </c>
      <c r="G4212">
        <f>_xlfn.IMAGE("https://edmondsonsupply.com/cdn/shop/products/32305.jpg?v=1646965475")</f>
        <v/>
      </c>
      <c r="H4212">
        <f>_xlfn.IMAGE("https://m.media-amazon.com/images/I/41T6TsQqpLL._AC_UL320_.jpg")</f>
        <v/>
      </c>
      <c r="K4212" t="inlineStr">
        <is>
          <t>21.97</t>
        </is>
      </c>
      <c r="L4212" t="n">
        <v>46.94</v>
      </c>
      <c r="M4212" s="1" t="inlineStr">
        <is>
          <t>113.65%</t>
        </is>
      </c>
      <c r="N4212" s="7" t="n">
        <v>0</v>
      </c>
      <c r="O4212" t="n">
        <v>4.7</v>
      </c>
      <c r="P4212" t="n">
        <v>22</v>
      </c>
      <c r="R4212" t="inlineStr">
        <is>
          <t>InStock</t>
        </is>
      </c>
      <c r="S4212" t="inlineStr">
        <is>
          <t>30.78</t>
        </is>
      </c>
      <c r="T4212" t="inlineStr">
        <is>
          <t>7632426598616</t>
        </is>
      </c>
    </row>
    <row r="4213" ht="87" customHeight="1">
      <c r="A4213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4213" s="2">
        <f>HYPERLINK("https://edmondsonsupply.com/products/klein-tools-32500mag-11-in-1-magnetic-screwdriver-nut-driver", "https://edmondsonsupply.com/products/klein-tools-32500mag-11-in-1-magnetic-screwdriver-nut-driver")</f>
        <v/>
      </c>
      <c r="C4213" t="inlineStr">
        <is>
          <t>Klein Tools 32500MAG 11-in-1 Magnetic Screwdriver / Nut Driver</t>
        </is>
      </c>
      <c r="D4213" t="inlineStr">
        <is>
          <t>Impact Driver, 7-in-1 Impact Flip Socket Set &amp; 14-in-1 Adjustable Screwdriver with Flip Socket, HVAC Nut Drivers and Bits, Impact Rated Klein Tools 32304</t>
        </is>
      </c>
      <c r="E4213" s="2">
        <f>HYPERLINK("https://www.amazon.com/Adjustable-Screwdriver-Drivers-Klein-Tools/dp/B09Y84RPSB/ref=sr_1_29?keywords=Klein+Tools+32500MAG+11-in-1+Magnetic+Screwdriver+%2F+Nut+Driver&amp;qid=1694735235&amp;sr=8-29", "https://www.amazon.com/Adjustable-Screwdriver-Drivers-Klein-Tools/dp/B09Y84RPSB/ref=sr_1_29?keywords=Klein+Tools+32500MAG+11-in-1+Magnetic+Screwdriver+%2F+Nut+Driver&amp;qid=1694735235&amp;sr=8-29")</f>
        <v/>
      </c>
      <c r="F4213" t="inlineStr">
        <is>
          <t>B09Y84RPSB</t>
        </is>
      </c>
      <c r="G4213">
        <f>_xlfn.IMAGE("https://edmondsonsupply.com/cdn/shop/products/32500mag.jpg?v=1633030832")</f>
        <v/>
      </c>
      <c r="H4213">
        <f>_xlfn.IMAGE("https://m.media-amazon.com/images/I/41KTNungRUL._AC_UL320_.jpg")</f>
        <v/>
      </c>
      <c r="K4213" t="inlineStr">
        <is>
          <t>20.97</t>
        </is>
      </c>
      <c r="L4213" t="n">
        <v>44.76</v>
      </c>
      <c r="M4213" s="1" t="inlineStr">
        <is>
          <t>113.45%</t>
        </is>
      </c>
      <c r="N4213" s="7" t="n">
        <v>0</v>
      </c>
      <c r="O4213" t="n">
        <v>4.8</v>
      </c>
      <c r="P4213" t="n">
        <v>87</v>
      </c>
      <c r="R4213" t="inlineStr">
        <is>
          <t>InStock</t>
        </is>
      </c>
      <c r="S4213" t="inlineStr">
        <is>
          <t>29.38</t>
        </is>
      </c>
      <c r="T4213" t="inlineStr">
        <is>
          <t>6082199814317</t>
        </is>
      </c>
    </row>
    <row r="4214" ht="87" customHeight="1">
      <c r="A4214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4214" s="2">
        <f>HYPERLINK("https://edmondsonsupply.com/products/klein-tools-56333-steel-fish-tape-1-8-inch-x-120-foot", "https://edmondsonsupply.com/products/klein-tools-56333-steel-fish-tape-1-8-inch-x-120-foot")</f>
        <v/>
      </c>
      <c r="C4214" t="inlineStr">
        <is>
          <t>Klein Tools 56333 Steel Fish Tape, 1/8-Inch x 120-Foot</t>
        </is>
      </c>
      <c r="D4214" t="inlineStr">
        <is>
          <t>Klein Tools 56004 Fish Tape, 240-Foot Long x 1/8-Inch Wide Steel Pull Line for Heavy Duty Wire Pulls, Updated Model Cat. No. 56334 Available</t>
        </is>
      </c>
      <c r="E4214" s="2">
        <f>HYPERLINK("https://www.amazon.com/240-Foot-Measuring-Klein-Tools-56004/dp/B0026TDB5Y/ref=sr_1_7?keywords=Klein+Tools+56333+Steel+Fish+Tape%2C+1%2F8-Inch+x+120-Foot&amp;qid=1694735382&amp;sr=8-7", "https://www.amazon.com/240-Foot-Measuring-Klein-Tools-56004/dp/B0026TDB5Y/ref=sr_1_7?keywords=Klein+Tools+56333+Steel+Fish+Tape%2C+1%2F8-Inch+x+120-Foot&amp;qid=1694735382&amp;sr=8-7")</f>
        <v/>
      </c>
      <c r="F4214" t="inlineStr">
        <is>
          <t>B0026TDB5Y</t>
        </is>
      </c>
      <c r="G4214">
        <f>_xlfn.IMAGE("https://edmondsonsupply.com/cdn/shop/products/56333.jpg?v=1587147770")</f>
        <v/>
      </c>
      <c r="H4214">
        <f>_xlfn.IMAGE("https://m.media-amazon.com/images/I/61YlVKsUkcL._AC_UL320_.jpg")</f>
        <v/>
      </c>
      <c r="K4214" t="inlineStr">
        <is>
          <t>54.97</t>
        </is>
      </c>
      <c r="L4214" t="n">
        <v>117.02</v>
      </c>
      <c r="M4214" s="1" t="inlineStr">
        <is>
          <t>112.88%</t>
        </is>
      </c>
      <c r="N4214" s="7" t="n">
        <v>0</v>
      </c>
      <c r="O4214" t="n">
        <v>4.1</v>
      </c>
      <c r="P4214" t="n">
        <v>81</v>
      </c>
      <c r="R4214" t="inlineStr">
        <is>
          <t>InStock</t>
        </is>
      </c>
      <c r="S4214" t="inlineStr">
        <is>
          <t>82.48</t>
        </is>
      </c>
      <c r="T4214" t="inlineStr">
        <is>
          <t>4412208578660</t>
        </is>
      </c>
    </row>
    <row r="4215" ht="87" customHeight="1">
      <c r="A4215" s="2">
        <f>HYPERLINK("https://edmondsonsupply.com/collections/electricians-tools/products/klein-tools-d2000-49-diagonal-cutting-pliers-angled-head-9-inch", "https://edmondsonsupply.com/collections/electricians-tools/products/klein-tools-d2000-49-diagonal-cutting-pliers-angled-head-9-inch")</f>
        <v/>
      </c>
      <c r="B4215" s="2">
        <f>HYPERLINK("https://edmondsonsupply.com/products/klein-tools-d2000-49-diagonal-cutting-pliers-angled-head-9-inch", "https://edmondsonsupply.com/products/klein-tools-d2000-49-diagonal-cutting-pliers-angled-head-9-inch")</f>
        <v/>
      </c>
      <c r="C4215" t="inlineStr">
        <is>
          <t>Klein Tools D2000-49 Diagonal Cutting Pliers, Angled Head, 9-Inch</t>
        </is>
      </c>
      <c r="D4215" t="inlineStr">
        <is>
          <t>Klein Tools D2000-9ST Pliers, Side Cutters are Heavy-Duty 9-Inch Ironworker Pliers &amp; D248-9ST Pliers, Ironworker's Diagonal Cutting Pliers, 9-Inch</t>
        </is>
      </c>
      <c r="E4215" s="2">
        <f>HYPERLINK("https://www.amazon.com/Klein-Tools-Heavy-Duty-Ironworker-Ironworkers/dp/B0BC83WT6M/ref=sr_1_22?keywords=Klein+Tools+D2000-49+Diagonal+Cutting+Pliers%2C+Angled+Head%2C+9-Inch&amp;qid=1694735245&amp;sr=8-22", "https://www.amazon.com/Klein-Tools-Heavy-Duty-Ironworker-Ironworkers/dp/B0BC83WT6M/ref=sr_1_22?keywords=Klein+Tools+D2000-49+Diagonal+Cutting+Pliers%2C+Angled+Head%2C+9-Inch&amp;qid=1694735245&amp;sr=8-22")</f>
        <v/>
      </c>
      <c r="F4215" t="inlineStr">
        <is>
          <t>B0BC83WT6M</t>
        </is>
      </c>
      <c r="G4215">
        <f>_xlfn.IMAGE("https://edmondsonsupply.com/cdn/shop/products/d2000-49.jpg?v=1633030811")</f>
        <v/>
      </c>
      <c r="H4215">
        <f>_xlfn.IMAGE("https://m.media-amazon.com/images/I/315V9YpGXrL._AC_UL320_.jpg")</f>
        <v/>
      </c>
      <c r="K4215" t="inlineStr">
        <is>
          <t>38.99</t>
        </is>
      </c>
      <c r="L4215" t="n">
        <v>82.95999999999999</v>
      </c>
      <c r="M4215" s="1" t="inlineStr">
        <is>
          <t>112.77%</t>
        </is>
      </c>
      <c r="N4215" s="7" t="n">
        <v>0</v>
      </c>
      <c r="O4215" t="n">
        <v>5</v>
      </c>
      <c r="P4215" t="n">
        <v>6</v>
      </c>
      <c r="R4215" t="inlineStr">
        <is>
          <t>InStock</t>
        </is>
      </c>
      <c r="S4215" t="inlineStr">
        <is>
          <t>59.06</t>
        </is>
      </c>
      <c r="T4215" t="inlineStr">
        <is>
          <t>6025094987944</t>
        </is>
      </c>
    </row>
    <row r="4216" ht="87" customHeight="1">
      <c r="A4216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216" s="2">
        <f>HYPERLINK("https://edmondsonsupply.com/products/klein-tools-32305-15-in-1-multi-bit-ratcheting-screwdriver", "https://edmondsonsupply.com/products/klein-tools-32305-15-in-1-multi-bit-ratcheting-screwdriver")</f>
        <v/>
      </c>
      <c r="C4216" t="inlineStr">
        <is>
          <t>Klein Tools 32305 15-in-1 Multi-Bit Ratcheting Screwdriver</t>
        </is>
      </c>
      <c r="D4216" t="inlineStr">
        <is>
          <t>Screwdriver, 14-in-1 Adjustable Screwdriver &amp; 32305 Multi-bit Ratcheting Screwdriver, 15-in-1 Tool with Phillips, Slotted, Square, Torx and Combo Bits and 1/4-Inch Nut Driver</t>
        </is>
      </c>
      <c r="E4216" s="2">
        <f>HYPERLINK("https://www.amazon.com/Screwdriver-Adjustable-Multi-bit-Ratcheting-Phillips/dp/B0BRM1659C/ref=sr_1_11?keywords=Klein+Tools+32305+15-in-1+Multi-Bit+Ratcheting+Screwdriver&amp;qid=1694735163&amp;sr=8-11", "https://www.amazon.com/Screwdriver-Adjustable-Multi-bit-Ratcheting-Phillips/dp/B0BRM1659C/ref=sr_1_11?keywords=Klein+Tools+32305+15-in-1+Multi-Bit+Ratcheting+Screwdriver&amp;qid=1694735163&amp;sr=8-11")</f>
        <v/>
      </c>
      <c r="F4216" t="inlineStr">
        <is>
          <t>B0BRM1659C</t>
        </is>
      </c>
      <c r="G4216">
        <f>_xlfn.IMAGE("https://edmondsonsupply.com/cdn/shop/products/32305.jpg?v=1646965475")</f>
        <v/>
      </c>
      <c r="H4216">
        <f>_xlfn.IMAGE("https://m.media-amazon.com/images/I/41majwJr+TL._AC_UL320_.jpg")</f>
        <v/>
      </c>
      <c r="K4216" t="inlineStr">
        <is>
          <t>21.97</t>
        </is>
      </c>
      <c r="L4216" t="n">
        <v>46.74</v>
      </c>
      <c r="M4216" s="1" t="inlineStr">
        <is>
          <t>112.74%</t>
        </is>
      </c>
      <c r="N4216" s="7" t="n">
        <v>0</v>
      </c>
      <c r="O4216" t="n">
        <v>5</v>
      </c>
      <c r="P4216" t="n">
        <v>1</v>
      </c>
      <c r="R4216" t="inlineStr">
        <is>
          <t>InStock</t>
        </is>
      </c>
      <c r="S4216" t="inlineStr">
        <is>
          <t>30.78</t>
        </is>
      </c>
      <c r="T4216" t="inlineStr">
        <is>
          <t>7632426598616</t>
        </is>
      </c>
    </row>
    <row r="4217" ht="87" customHeight="1">
      <c r="A4217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4217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4217" t="inlineStr">
        <is>
          <t>Klein Tools 32768 3-in-1 Impact Flip Socket Set, 1/4-Inch, 5/16-Inch, 2-Piece</t>
        </is>
      </c>
      <c r="D4217" t="inlineStr">
        <is>
          <t>Malco MSHC 1/4 &amp; 5/16 Reversible Hex Chuck Driver, 2 pack &amp; Klein Tools 32768 Impact Driver, 3-in-1 Impact Flip Socket and Bit Holder, 1/4 and 5/16-Inch Hex Drivers, 3 and 5-Inch Lengths, 2-Piece Set</t>
        </is>
      </c>
      <c r="E4217" s="2">
        <f>HYPERLINK("https://www.amazon.com/Malco-Reversible-16-Inch-Drivers-Lengths/dp/B0CB15L9TC/ref=sr_1_3?keywords=Klein+Tools+32768+3-in-1+Impact+Flip+Socket+Set%2C+1%2F4-Inch%2C+5%2F16-Inch%2C+2-Piece&amp;qid=1694735099&amp;sr=8-3", "https://www.amazon.com/Malco-Reversible-16-Inch-Drivers-Lengths/dp/B0CB15L9TC/ref=sr_1_3?keywords=Klein+Tools+32768+3-in-1+Impact+Flip+Socket+Set%2C+1%2F4-Inch%2C+5%2F16-Inch%2C+2-Piece&amp;qid=1694735099&amp;sr=8-3")</f>
        <v/>
      </c>
      <c r="F4217" t="inlineStr">
        <is>
          <t>B0CB15L9TC</t>
        </is>
      </c>
      <c r="G4217">
        <f>_xlfn.IMAGE("https://edmondsonsupply.com/cdn/shop/products/32768.jpg?v=1666022946")</f>
        <v/>
      </c>
      <c r="H4217">
        <f>_xlfn.IMAGE("https://m.media-amazon.com/images/I/51HxE5o0OlL._AC_UL320_.jpg")</f>
        <v/>
      </c>
      <c r="K4217" t="inlineStr">
        <is>
          <t>14.97</t>
        </is>
      </c>
      <c r="L4217" t="n">
        <v>31.84</v>
      </c>
      <c r="M4217" s="1" t="inlineStr">
        <is>
          <t>112.69%</t>
        </is>
      </c>
      <c r="N4217" s="7" t="n">
        <v>0</v>
      </c>
      <c r="O4217" t="n">
        <v>4.8</v>
      </c>
      <c r="P4217" t="n">
        <v>1793</v>
      </c>
      <c r="R4217" t="inlineStr">
        <is>
          <t>InStock</t>
        </is>
      </c>
      <c r="S4217" t="inlineStr">
        <is>
          <t>21.98</t>
        </is>
      </c>
      <c r="T4217" t="inlineStr">
        <is>
          <t>7856621977816</t>
        </is>
      </c>
    </row>
    <row r="4218" ht="87" customHeight="1">
      <c r="A4218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218" s="2">
        <f>HYPERLINK("https://edmondsonsupply.com/products/klein-tools-d203-8-pliers-long-nose-side-cutters-8-inch", "https://edmondsonsupply.com/products/klein-tools-d203-8-pliers-long-nose-side-cutters-8-inch")</f>
        <v/>
      </c>
      <c r="C4218" t="inlineStr">
        <is>
          <t>Klein Tools D203-8 Pliers, Needle Nose Side-Cutters, 8-Inch</t>
        </is>
      </c>
      <c r="D4218" t="inlineStr">
        <is>
          <t>Klein Tools D213-9NE Pliers, 9-Inch Side Cutters, High Leverage Linesman Pliers Cut Copper, Aluminum and other Soft Metals &amp; D203-8 Needle Nose Pliers, Long Nose Side Cutters, 8-Inch</t>
        </is>
      </c>
      <c r="E4218" s="2">
        <f>HYPERLINK("https://www.amazon.com/Klein-Tools-D213-9NE-Leverage-Linesman/dp/B0CB12WW9Z/ref=sr_1_3?keywords=Klein+Tools+D203-8+Pliers%2C+Needle+Nose+Side-Cutters%2C+8-Inch&amp;qid=1694735240&amp;sr=8-3", "https://www.amazon.com/Klein-Tools-D213-9NE-Leverage-Linesman/dp/B0CB12WW9Z/ref=sr_1_3?keywords=Klein+Tools+D203-8+Pliers%2C+Needle+Nose+Side-Cutters%2C+8-Inch&amp;qid=1694735240&amp;sr=8-3")</f>
        <v/>
      </c>
      <c r="F4218" t="inlineStr">
        <is>
          <t>B0CB12WW9Z</t>
        </is>
      </c>
      <c r="G4218">
        <f>_xlfn.IMAGE("https://edmondsonsupply.com/cdn/shop/products/d2038.jpg?v=1633030802")</f>
        <v/>
      </c>
      <c r="H4218">
        <f>_xlfn.IMAGE("https://m.media-amazon.com/images/I/31xotaf81kL._AC_UL320_.jpg")</f>
        <v/>
      </c>
      <c r="K4218" t="inlineStr">
        <is>
          <t>29.97</t>
        </is>
      </c>
      <c r="L4218" t="n">
        <v>63.71</v>
      </c>
      <c r="M4218" s="1" t="inlineStr">
        <is>
          <t>112.58%</t>
        </is>
      </c>
      <c r="N4218" s="7" t="n">
        <v>0</v>
      </c>
      <c r="O4218" t="n">
        <v>4.8</v>
      </c>
      <c r="P4218" t="n">
        <v>4116</v>
      </c>
      <c r="R4218" t="inlineStr">
        <is>
          <t>InStock</t>
        </is>
      </c>
      <c r="S4218" t="inlineStr">
        <is>
          <t>44.84</t>
        </is>
      </c>
      <c r="T4218" t="inlineStr">
        <is>
          <t>6005724577960</t>
        </is>
      </c>
    </row>
    <row r="4219" ht="87" customHeight="1">
      <c r="A4219" s="2">
        <f>HYPERLINK("https://edmondsonsupply.com/collections/electricians-tools/products/diablo-tools-dmamx1220", "https://edmondsonsupply.com/collections/electricians-tools/products/diablo-tools-dmamx1220")</f>
        <v/>
      </c>
      <c r="B4219" s="2">
        <f>HYPERLINK("https://edmondsonsupply.com/products/diablo-tools-dmamx1220", "https://edmondsonsupply.com/products/diablo-tools-dmamx1220")</f>
        <v/>
      </c>
      <c r="C4219" t="inlineStr">
        <is>
          <t>Diablo Tools DMAMX1220 1 in. x 16 in. x 21 in. Rebar Demon™ SDS-Max 4-Cutter Full Carbide Head Hammer Drill Bit</t>
        </is>
      </c>
      <c r="D4219" t="inlineStr">
        <is>
          <t>Diablo by Freud DMAMX1150 3/4 in. x 31 in. x 36 in. Rebar Demon SDS-Max 4-Cutter Full Carbide Head Hammer Bit</t>
        </is>
      </c>
      <c r="E4219" s="2">
        <f>HYPERLINK("https://www.amazon.com/Diablo-SDS-Max-4-Cutter-Carbide-Hammer/dp/B089KWVY6S/ref=sr_1_28?keywords=Diablo+Tools+DMAMX1220+1+in.+x+16+in.+x+21+in.+Rebar+Demon%E2%84%A2+SDS-Max+4-Cutter+Full+Carbide+Head+Hammer+Drill+Bit&amp;qid=1694735075&amp;sr=8-28", "https://www.amazon.com/Diablo-SDS-Max-4-Cutter-Carbide-Hammer/dp/B089KWVY6S/ref=sr_1_28?keywords=Diablo+Tools+DMAMX1220+1+in.+x+16+in.+x+21+in.+Rebar+Demon%E2%84%A2+SDS-Max+4-Cutter+Full+Carbide+Head+Hammer+Drill+Bit&amp;qid=1694735075&amp;sr=8-28")</f>
        <v/>
      </c>
      <c r="F4219" t="inlineStr">
        <is>
          <t>B089KWVY6S</t>
        </is>
      </c>
      <c r="G4219">
        <f>_xlfn.IMAGE("https://edmondsonsupply.com/cdn/shop/products/immoyh7jjmbau4fzhuq6.webp?v=1670431066")</f>
        <v/>
      </c>
      <c r="H4219">
        <f>_xlfn.IMAGE("https://m.media-amazon.com/images/I/61yjTOwPY1L._AC_UL320_.jpg")</f>
        <v/>
      </c>
      <c r="K4219" t="inlineStr">
        <is>
          <t>45.69</t>
        </is>
      </c>
      <c r="L4219" t="n">
        <v>96.95999999999999</v>
      </c>
      <c r="M4219" s="1" t="inlineStr">
        <is>
          <t>112.21%</t>
        </is>
      </c>
      <c r="N4219" s="7" t="n">
        <v>0</v>
      </c>
      <c r="O4219" t="n">
        <v>5</v>
      </c>
      <c r="P4219" t="n">
        <v>3</v>
      </c>
      <c r="R4219" t="inlineStr">
        <is>
          <t>InStock</t>
        </is>
      </c>
      <c r="S4219" t="inlineStr">
        <is>
          <t>70.58</t>
        </is>
      </c>
      <c r="T4219" t="inlineStr">
        <is>
          <t>7900195356888</t>
        </is>
      </c>
    </row>
    <row r="4220" ht="87" customHeight="1">
      <c r="A4220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4220" s="2">
        <f>HYPERLINK("https://edmondsonsupply.com/products/klein-tools-rt250-gfci-receptacle-tester-with-lcd", "https://edmondsonsupply.com/products/klein-tools-rt250-gfci-receptacle-tester-with-lcd")</f>
        <v/>
      </c>
      <c r="C4220" t="inlineStr">
        <is>
          <t>Klein Tools RT250 GFCI Receptacle Tester with LCD</t>
        </is>
      </c>
      <c r="D4220" t="inlineStr">
        <is>
          <t>Extech - 1218G94EA - CB10 Circuit Breaker Finder, Locates fuses/Breakers &amp; Klein Tools RT250 GFCI Outlet Tester with LCD Display, Electric Voltage Tester</t>
        </is>
      </c>
      <c r="E4220" s="2">
        <f>HYPERLINK("https://www.amazon.com/Extech-1218G94EA-Circuit-Breakers-Electric/dp/B0CF2CMWJG/ref=sr_1_24?keywords=Klein+Tools+RT250+GFCI+Receptacle+Tester+with+LCD&amp;qid=1694735148&amp;sr=8-24", "https://www.amazon.com/Extech-1218G94EA-Circuit-Breakers-Electric/dp/B0CF2CMWJG/ref=sr_1_24?keywords=Klein+Tools+RT250+GFCI+Receptacle+Tester+with+LCD&amp;qid=1694735148&amp;sr=8-24")</f>
        <v/>
      </c>
      <c r="F4220" t="inlineStr">
        <is>
          <t>B0CF2CMWJG</t>
        </is>
      </c>
      <c r="G4220">
        <f>_xlfn.IMAGE("https://edmondsonsupply.com/cdn/shop/products/rt250_photo_c.jpg?v=1661363824")</f>
        <v/>
      </c>
      <c r="H4220">
        <f>_xlfn.IMAGE("https://m.media-amazon.com/images/I/61CAKDJM8JL._AC_UL320_.jpg")</f>
        <v/>
      </c>
      <c r="K4220" t="inlineStr">
        <is>
          <t>21.97</t>
        </is>
      </c>
      <c r="L4220" t="n">
        <v>46.6</v>
      </c>
      <c r="M4220" s="1" t="inlineStr">
        <is>
          <t>112.11%</t>
        </is>
      </c>
      <c r="N4220" s="7" t="n">
        <v>0</v>
      </c>
      <c r="O4220" t="n">
        <v>4.4</v>
      </c>
      <c r="P4220" t="n">
        <v>2442</v>
      </c>
      <c r="R4220" t="inlineStr">
        <is>
          <t>InStock</t>
        </is>
      </c>
      <c r="S4220" t="inlineStr">
        <is>
          <t>30.78</t>
        </is>
      </c>
      <c r="T4220" t="inlineStr">
        <is>
          <t>7793138729176</t>
        </is>
      </c>
    </row>
    <row r="4221" ht="87" customHeight="1">
      <c r="A4221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4221" s="2">
        <f>HYPERLINK("https://edmondsonsupply.com/products/klein-tools-69409-line-splitter-10x", "https://edmondsonsupply.com/products/klein-tools-69409-line-splitter-10x")</f>
        <v/>
      </c>
      <c r="C4221" t="inlineStr">
        <is>
          <t>Klein Tools 69409 Line Splitter 10x</t>
        </is>
      </c>
      <c r="D4221" t="inlineStr">
        <is>
          <t>Klein Tools Replacement Test Lead Set, Right Angle &amp; Klein Tools 69409 Line Splitter 10x</t>
        </is>
      </c>
      <c r="E4221" s="2">
        <f>HYPERLINK("https://www.amazon.com/Klein-Tools-Replacement-Right-Splitter/dp/B0BM3NMKY8/ref=sr_1_4?keywords=Klein+Tools+69409+Line+Splitter+10x&amp;qid=1694735419&amp;sr=8-4", "https://www.amazon.com/Klein-Tools-Replacement-Right-Splitter/dp/B0BM3NMKY8/ref=sr_1_4?keywords=Klein+Tools+69409+Line+Splitter+10x&amp;qid=1694735419&amp;sr=8-4")</f>
        <v/>
      </c>
      <c r="F4221" t="inlineStr">
        <is>
          <t>B0BM3NMKY8</t>
        </is>
      </c>
      <c r="G4221">
        <f>_xlfn.IMAGE("https://edmondsonsupply.com/cdn/shop/products/69409.jpg?v=1587146689")</f>
        <v/>
      </c>
      <c r="H4221">
        <f>_xlfn.IMAGE("https://m.media-amazon.com/images/I/51PyLGMpteL._AC_UL320_.jpg")</f>
        <v/>
      </c>
      <c r="K4221" t="inlineStr">
        <is>
          <t>16.97</t>
        </is>
      </c>
      <c r="L4221" t="n">
        <v>35.94</v>
      </c>
      <c r="M4221" s="1" t="inlineStr">
        <is>
          <t>111.79%</t>
        </is>
      </c>
      <c r="N4221" s="7" t="n">
        <v>0</v>
      </c>
      <c r="O4221" t="n">
        <v>4.5</v>
      </c>
      <c r="P4221" t="n">
        <v>10</v>
      </c>
      <c r="R4221" t="inlineStr">
        <is>
          <t>InStock</t>
        </is>
      </c>
      <c r="S4221" t="inlineStr">
        <is>
          <t>20.48</t>
        </is>
      </c>
      <c r="T4221" t="inlineStr">
        <is>
          <t>1723598045284</t>
        </is>
      </c>
    </row>
    <row r="4222" hidden="1" ht="15.75" customHeight="1">
      <c r="A4222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4222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4222" t="inlineStr">
        <is>
          <t>Klein Tools JTH6E06BE 3/32-Inch Ball End Hex Key with T-Handle, 6-Inch</t>
        </is>
      </c>
      <c r="D4222" t="inlineStr">
        <is>
          <t>Klein Tools JTH6E13BE 1/4-Inch Ball End Hex Key with Journeyman T-Handle, 6-Inch</t>
        </is>
      </c>
      <c r="E4222" s="2">
        <f>HYPERLINK("https://www.amazon.com/Journeyman-T-Handle-Klein-Tools-JTH6E13BE/dp/B004QW52YW/ref=sr_1_4?keywords=Klein+Tools+JTH6E06BE+3%2F32-Inch+Ball+End+Hex+Key+with+T-Handle%2C+6-Inch&amp;qid=1694735201&amp;sr=8-4", "https://www.amazon.com/Journeyman-T-Handle-Klein-Tools-JTH6E13BE/dp/B004QW52YW/ref=sr_1_4?keywords=Klein+Tools+JTH6E06BE+3%2F32-Inch+Ball+End+Hex+Key+with+T-Handle%2C+6-Inch&amp;qid=1694735201&amp;sr=8-4")</f>
        <v/>
      </c>
      <c r="F4222" t="inlineStr">
        <is>
          <t>B004QW52YW</t>
        </is>
      </c>
      <c r="G4222">
        <f>_xludf.IMAGE("https://edmondsonsupply.com/cdn/shop/products/jth6e13be_f61308c8-99eb-44df-aac2-25c9159d6b6d.jpg?v=1633031148")</f>
        <v/>
      </c>
      <c r="H4222">
        <f>_xludf.IMAGE("https://m.media-amazon.com/images/I/51f9vBFVXgL._AC_UL320_.jpg")</f>
        <v/>
      </c>
      <c r="K4222" t="inlineStr">
        <is>
          <t>4.99</t>
        </is>
      </c>
      <c r="L4222" t="n">
        <v>10.55</v>
      </c>
      <c r="M4222" s="1" t="inlineStr">
        <is>
          <t>111.42%</t>
        </is>
      </c>
      <c r="N4222" s="1" t="n">
        <v>0</v>
      </c>
      <c r="O4222" t="n">
        <v>4.7</v>
      </c>
      <c r="P4222" t="n">
        <v>32</v>
      </c>
      <c r="R4222" t="inlineStr">
        <is>
          <t>InStock</t>
        </is>
      </c>
      <c r="S4222" t="inlineStr">
        <is>
          <t>7.54</t>
        </is>
      </c>
      <c r="T4222" t="inlineStr">
        <is>
          <t>6895312601261</t>
        </is>
      </c>
    </row>
    <row r="4223" hidden="1" ht="15.75" customHeight="1">
      <c r="A4223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4223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4223" t="inlineStr">
        <is>
          <t>Klein Tools JTH6M3BE 3 mm Ball Hex Key Journeyman T-Handle 6-Inch</t>
        </is>
      </c>
      <c r="D4223" t="inlineStr">
        <is>
          <t>Klein Tools JTH6E13BE 1/4-Inch Ball End Hex Key with Journeyman T-Handle, 6-Inch</t>
        </is>
      </c>
      <c r="E4223" s="2">
        <f>HYPERLINK("https://www.amazon.com/Journeyman-T-Handle-Klein-Tools-JTH6E13BE/dp/B004QW52YW/ref=sr_1_5?keywords=Klein+Tools+JTH6M3BE+3+mm+Ball+Hex+Key+Journeyman+T-Handle+6-Inch&amp;qid=1694735145&amp;sr=8-5", "https://www.amazon.com/Journeyman-T-Handle-Klein-Tools-JTH6E13BE/dp/B004QW52YW/ref=sr_1_5?keywords=Klein+Tools+JTH6M3BE+3+mm+Ball+Hex+Key+Journeyman+T-Handle+6-Inch&amp;qid=1694735145&amp;sr=8-5")</f>
        <v/>
      </c>
      <c r="F4223" t="inlineStr">
        <is>
          <t>B004QW52YW</t>
        </is>
      </c>
      <c r="G4223">
        <f>_xludf.IMAGE("https://edmondsonsupply.com/cdn/shop/products/jth6m8be_1b0aeba1-6d03-4a46-99d8-f6853368c71f.jpg?v=1655941616")</f>
        <v/>
      </c>
      <c r="H4223">
        <f>_xludf.IMAGE("https://m.media-amazon.com/images/I/51f9vBFVXgL._AC_UL320_.jpg")</f>
        <v/>
      </c>
      <c r="K4223" t="inlineStr">
        <is>
          <t>4.99</t>
        </is>
      </c>
      <c r="L4223" t="n">
        <v>10.55</v>
      </c>
      <c r="M4223" s="1" t="inlineStr">
        <is>
          <t>111.42%</t>
        </is>
      </c>
      <c r="N4223" s="1" t="n">
        <v>0</v>
      </c>
      <c r="O4223" t="n">
        <v>4.7</v>
      </c>
      <c r="P4223" t="n">
        <v>32</v>
      </c>
      <c r="R4223" t="inlineStr">
        <is>
          <t>InStock</t>
        </is>
      </c>
      <c r="S4223" t="inlineStr">
        <is>
          <t>7.56</t>
        </is>
      </c>
      <c r="T4223" t="inlineStr">
        <is>
          <t>7727600304344</t>
        </is>
      </c>
    </row>
    <row r="4224" hidden="1" ht="15.75" customHeight="1">
      <c r="A4224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4224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4224" t="inlineStr">
        <is>
          <t>Klein Tools JTH6M25BE 2.5 mm Ball Hex Key Journeyman T-Handle 6-Inch</t>
        </is>
      </c>
      <c r="D4224" t="inlineStr">
        <is>
          <t>Klein Tools JTH6E13BE 1/4-Inch Ball End Hex Key with Journeyman T-Handle, 6-Inch</t>
        </is>
      </c>
      <c r="E4224" s="2">
        <f>HYPERLINK("https://www.amazon.com/Journeyman-T-Handle-Klein-Tools-JTH6E13BE/dp/B004QW52YW/ref=sr_1_7?keywords=Klein+Tools+JTH6M25BE+2.5+mm+Ball+Hex+Key+Journeyman+T-Handle+6-Inch&amp;qid=1694735267&amp;sr=8-7", "https://www.amazon.com/Journeyman-T-Handle-Klein-Tools-JTH6E13BE/dp/B004QW52YW/ref=sr_1_7?keywords=Klein+Tools+JTH6M25BE+2.5+mm+Ball+Hex+Key+Journeyman+T-Handle+6-Inch&amp;qid=1694735267&amp;sr=8-7")</f>
        <v/>
      </c>
      <c r="F4224" t="inlineStr">
        <is>
          <t>B004QW52YW</t>
        </is>
      </c>
      <c r="G4224">
        <f>_xludf.IMAGE("https://edmondsonsupply.com/cdn/shop/products/jth6m8be_af5f0d75-5d0d-4973-9134-931620c84f2d.jpg?v=1633030574")</f>
        <v/>
      </c>
      <c r="H4224">
        <f>_xludf.IMAGE("https://m.media-amazon.com/images/I/51f9vBFVXgL._AC_UL320_.jpg")</f>
        <v/>
      </c>
      <c r="K4224" t="inlineStr">
        <is>
          <t>4.99</t>
        </is>
      </c>
      <c r="L4224" t="n">
        <v>10.55</v>
      </c>
      <c r="M4224" s="1" t="inlineStr">
        <is>
          <t>111.42%</t>
        </is>
      </c>
      <c r="N4224" s="1" t="n">
        <v>0</v>
      </c>
      <c r="O4224" t="n">
        <v>4.7</v>
      </c>
      <c r="P4224" t="n">
        <v>32</v>
      </c>
      <c r="R4224" t="inlineStr">
        <is>
          <t>InStock</t>
        </is>
      </c>
      <c r="S4224" t="inlineStr">
        <is>
          <t>7.56</t>
        </is>
      </c>
      <c r="T4224" t="inlineStr">
        <is>
          <t>5525435973800</t>
        </is>
      </c>
    </row>
    <row r="4225" hidden="1" ht="15.75" customHeight="1">
      <c r="A4225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4225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4225" t="inlineStr">
        <is>
          <t>Klein Tools JTH6E10BE 5/32-Inch Ball Hex Key, Journeyman T-Handle 6-Inch</t>
        </is>
      </c>
      <c r="D4225" t="inlineStr">
        <is>
          <t>Klein Tools JTH6E13BE 1/4-Inch Ball End Hex Key with Journeyman T-Handle, 6-Inch</t>
        </is>
      </c>
      <c r="E4225" s="2">
        <f>HYPERLINK("https://www.amazon.com/Journeyman-T-Handle-Klein-Tools-JTH6E13BE/dp/B004QW52YW/ref=sr_1_6?keywords=Klein+Tools+JTH6E10BE+5%2F32-Inch+Ball+Hex+Key%2C+Journeyman+T-Handle+6-Inch&amp;qid=1694735255&amp;sr=8-6", "https://www.amazon.com/Journeyman-T-Handle-Klein-Tools-JTH6E13BE/dp/B004QW52YW/ref=sr_1_6?keywords=Klein+Tools+JTH6E10BE+5%2F32-Inch+Ball+Hex+Key%2C+Journeyman+T-Handle+6-Inch&amp;qid=1694735255&amp;sr=8-6")</f>
        <v/>
      </c>
      <c r="F4225" t="inlineStr">
        <is>
          <t>B004QW52YW</t>
        </is>
      </c>
      <c r="G4225">
        <f>_xludf.IMAGE("https://edmondsonsupply.com/cdn/shop/products/jth6e13be_363de34a-e666-474d-81cd-df9068957d9f.jpg?v=1604059577")</f>
        <v/>
      </c>
      <c r="H4225">
        <f>_xludf.IMAGE("https://m.media-amazon.com/images/I/51f9vBFVXgL._AC_UL320_.jpg")</f>
        <v/>
      </c>
      <c r="K4225" t="inlineStr">
        <is>
          <t>4.99</t>
        </is>
      </c>
      <c r="L4225" t="n">
        <v>10.55</v>
      </c>
      <c r="M4225" s="1" t="inlineStr">
        <is>
          <t>111.42%</t>
        </is>
      </c>
      <c r="N4225" s="1" t="n">
        <v>0</v>
      </c>
      <c r="O4225" t="n">
        <v>4.7</v>
      </c>
      <c r="P4225" t="n">
        <v>32</v>
      </c>
      <c r="R4225" t="inlineStr">
        <is>
          <t>InStock</t>
        </is>
      </c>
      <c r="S4225" t="inlineStr">
        <is>
          <t>7.52</t>
        </is>
      </c>
      <c r="T4225" t="inlineStr">
        <is>
          <t>5999019819176</t>
        </is>
      </c>
    </row>
    <row r="4226" ht="87" customHeight="1">
      <c r="A4226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4226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4226" t="inlineStr">
        <is>
          <t>Diablo Tools DMARG1120 3/8 in. x 4 in. x 6 in. SPEEDemon™ Red Granite Carbide Tipped Hammer Drill Bit</t>
        </is>
      </c>
      <c r="D4226" t="inlineStr">
        <is>
          <t>Diablo by Freud DMARG1020-P5 5/32 in. x 3 in. x 6 in. SPEEDemon Red Granite Carbide Tipped Hammer Drill Bit (5-Pack)</t>
        </is>
      </c>
      <c r="E4226" s="2">
        <f>HYPERLINK("https://www.amazon.com/Diablo-SPEEDemon-Granite-Carbide-Tipped/dp/B089KX38FF/ref=sr_1_13?keywords=Diablo+Tools+DMARG1120+3%2F8+in.+x+4+in.+x+6+in.+SPEEDemon%E2%84%A2+Red+Granite+Carbide+Tipped+Hammer+Drill+Bit&amp;qid=1694735289&amp;sr=8-13", "https://www.amazon.com/Diablo-SPEEDemon-Granite-Carbide-Tipped/dp/B089KX38FF/ref=sr_1_13?keywords=Diablo+Tools+DMARG1120+3%2F8+in.+x+4+in.+x+6+in.+SPEEDemon%E2%84%A2+Red+Granite+Carbide+Tipped+Hammer+Drill+Bit&amp;qid=1694735289&amp;sr=8-13")</f>
        <v/>
      </c>
      <c r="F4226" t="inlineStr">
        <is>
          <t>B089KX38FF</t>
        </is>
      </c>
      <c r="G4226">
        <f>_xlfn.IMAGE("https://edmondsonsupply.com/cdn/shop/products/DMARG1120_Main-Image20200513.png?v=1633030510")</f>
        <v/>
      </c>
      <c r="H4226">
        <f>_xlfn.IMAGE("https://m.media-amazon.com/images/I/61BDYFEnTRL._AC_UL320_.jpg")</f>
        <v/>
      </c>
      <c r="K4226" t="inlineStr">
        <is>
          <t>7.27</t>
        </is>
      </c>
      <c r="L4226" t="n">
        <v>15.36</v>
      </c>
      <c r="M4226" s="1" t="inlineStr">
        <is>
          <t>111.28%</t>
        </is>
      </c>
      <c r="N4226" s="7" t="n">
        <v>0</v>
      </c>
      <c r="O4226" t="n">
        <v>4.6</v>
      </c>
      <c r="P4226" t="n">
        <v>27</v>
      </c>
      <c r="R4226" t="inlineStr">
        <is>
          <t>InStock</t>
        </is>
      </c>
      <c r="S4226" t="inlineStr">
        <is>
          <t>undefined</t>
        </is>
      </c>
      <c r="T4226" t="inlineStr">
        <is>
          <t>5386498834600</t>
        </is>
      </c>
    </row>
    <row r="4227" ht="87" customHeight="1">
      <c r="A4227" s="2">
        <f>HYPERLINK("https://edmondsonsupply.com/collections/electricians-tools/products/klein-tools-d248-9stt-ironworkers-diagonal-cutting-pliers-tether-ring-8-inch", "https://edmondsonsupply.com/collections/electricians-tools/products/klein-tools-d248-9stt-ironworkers-diagonal-cutting-pliers-tether-ring-8-inch")</f>
        <v/>
      </c>
      <c r="B4227" s="2">
        <f>HYPERLINK("https://edmondsonsupply.com/products/klein-tools-d248-9stt-ironworkers-diagonal-cutting-pliers-tether-ring-8-inch", "https://edmondsonsupply.com/products/klein-tools-d248-9stt-ironworkers-diagonal-cutting-pliers-tether-ring-8-inch")</f>
        <v/>
      </c>
      <c r="C4227" t="inlineStr">
        <is>
          <t>Klein Tools D248-9STT Ironworker's Diagonal-Cutting Pliers, Tether Ring, 8-Inch</t>
        </is>
      </c>
      <c r="D4227" t="inlineStr">
        <is>
          <t>Klein Tools D201-7CSTA Linesman Pliers, Side Cutters with Spring Loaded Action &amp; D248-9ST Pliers, Ironworker's Diagonal Cutting Pliers with High Leverage Design, 9-Inch</t>
        </is>
      </c>
      <c r="E4227" s="2">
        <f>HYPERLINK("https://www.amazon.com/Klein-Tools-D201-7CSTA-Linesman-Ironworkers/dp/B093PWWDTV/ref=sr_1_26?keywords=Klein+Tools+D248-9STT+Ironworker%27s+Diagonal-Cutting+Pliers%2C+Tether+Ring%2C+8-Inch&amp;qid=1694735375&amp;sr=8-26", "https://www.amazon.com/Klein-Tools-D201-7CSTA-Linesman-Ironworkers/dp/B093PWWDTV/ref=sr_1_26?keywords=Klein+Tools+D248-9STT+Ironworker%27s+Diagonal-Cutting+Pliers%2C+Tether+Ring%2C+8-Inch&amp;qid=1694735375&amp;sr=8-26")</f>
        <v/>
      </c>
      <c r="F4227" t="inlineStr">
        <is>
          <t>B093PWWDTV</t>
        </is>
      </c>
      <c r="G4227">
        <f>_xlfn.IMAGE("https://edmondsonsupply.com/cdn/shop/products/d2489stt.jpg?v=1587149713")</f>
        <v/>
      </c>
      <c r="H4227">
        <f>_xlfn.IMAGE("https://m.media-amazon.com/images/I/41035PZwXwS._AC_UL320_.jpg")</f>
        <v/>
      </c>
      <c r="K4227" t="inlineStr">
        <is>
          <t>34.99</t>
        </is>
      </c>
      <c r="L4227" t="n">
        <v>73.92</v>
      </c>
      <c r="M4227" s="1" t="inlineStr">
        <is>
          <t>111.26%</t>
        </is>
      </c>
      <c r="N4227" s="7" t="n">
        <v>0</v>
      </c>
      <c r="O4227" t="n">
        <v>4.9</v>
      </c>
      <c r="P4227" t="n">
        <v>64</v>
      </c>
      <c r="R4227" t="inlineStr">
        <is>
          <t>InStock</t>
        </is>
      </c>
      <c r="S4227" t="inlineStr">
        <is>
          <t>53.0</t>
        </is>
      </c>
      <c r="T4227" t="inlineStr">
        <is>
          <t>4414371725412</t>
        </is>
      </c>
    </row>
    <row r="4228" ht="87" customHeight="1">
      <c r="A4228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4228" s="2">
        <f>HYPERLINK("https://edmondsonsupply.com/products/klein-tools-56333-steel-fish-tape-1-8-inch-x-120-foot", "https://edmondsonsupply.com/products/klein-tools-56333-steel-fish-tape-1-8-inch-x-120-foot")</f>
        <v/>
      </c>
      <c r="C4228" t="inlineStr">
        <is>
          <t>Klein Tools 56333 Steel Fish Tape, 1/8-Inch x 120-Foot</t>
        </is>
      </c>
      <c r="D4228" t="inlineStr">
        <is>
          <t>Klein Tools 56008 Fish Tape, 1/8-Inch Stainless Steel Fish Tape , Easy-Feed Sloped Handle, 240-Foot, Updated Model Cat. No. 56341 Available</t>
        </is>
      </c>
      <c r="E4228" s="2">
        <f>HYPERLINK("https://www.amazon.com/Stainless-240-Foot-Klein-Tools-56008/dp/B002PDVHXO/ref=sr_1_10?keywords=Klein+Tools+56333+Steel+Fish+Tape%2C+1%2F8-Inch+x+120-Foot&amp;qid=1694735382&amp;sr=8-10", "https://www.amazon.com/Stainless-240-Foot-Klein-Tools-56008/dp/B002PDVHXO/ref=sr_1_10?keywords=Klein+Tools+56333+Steel+Fish+Tape%2C+1%2F8-Inch+x+120-Foot&amp;qid=1694735382&amp;sr=8-10")</f>
        <v/>
      </c>
      <c r="F4228" t="inlineStr">
        <is>
          <t>B002PDVHXO</t>
        </is>
      </c>
      <c r="G4228">
        <f>_xlfn.IMAGE("https://edmondsonsupply.com/cdn/shop/products/56333.jpg?v=1587147770")</f>
        <v/>
      </c>
      <c r="H4228">
        <f>_xlfn.IMAGE("https://m.media-amazon.com/images/I/61xbap4AX1L._AC_UL320_.jpg")</f>
        <v/>
      </c>
      <c r="K4228" t="inlineStr">
        <is>
          <t>54.97</t>
        </is>
      </c>
      <c r="L4228" t="n">
        <v>115.99</v>
      </c>
      <c r="M4228" s="1" t="inlineStr">
        <is>
          <t>111.01%</t>
        </is>
      </c>
      <c r="N4228" s="7" t="n">
        <v>0</v>
      </c>
      <c r="O4228" t="n">
        <v>4.1</v>
      </c>
      <c r="P4228" t="n">
        <v>25</v>
      </c>
      <c r="R4228" t="inlineStr">
        <is>
          <t>InStock</t>
        </is>
      </c>
      <c r="S4228" t="inlineStr">
        <is>
          <t>82.48</t>
        </is>
      </c>
      <c r="T4228" t="inlineStr">
        <is>
          <t>4412208578660</t>
        </is>
      </c>
    </row>
    <row r="4229" hidden="1" ht="15.75" customHeight="1">
      <c r="A4229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229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229" t="inlineStr">
        <is>
          <t>Diablo Tools DMAPL4080 1/4 in. x 6 in. x 8 in. Rebar Demon™ SDS-Plus 4-Cutter Full Carbide Head Hammer Bit</t>
        </is>
      </c>
      <c r="D4229" t="inlineStr">
        <is>
          <t>Diablo DMAPL4055 3/16 in. x 10 in. x 12 in. Rebar Demon™ SDS-Plus 4-Cutter Full Carbide Head Hammer Bit</t>
        </is>
      </c>
      <c r="E4229" s="2">
        <f>HYPERLINK("https://www.amazon.com/Diablo-DMAPL4055-SDS-Plus-4-Cutter-Carbide/dp/B089LJCD42/ref=sr_1_21?keywords=Diablo+Tools+DMAPL4080+1%2F4+in.+x+6+in.+x+8+in.+Rebar+Demon%E2%84%A2+SDS-Plus+4-Cutter+Full+Carbide+Head+Hammer+Bit&amp;qid=1694735294&amp;sr=8-21", "https://www.amazon.com/Diablo-DMAPL4055-SDS-Plus-4-Cutter-Carbide/dp/B089LJCD42/ref=sr_1_21?keywords=Diablo+Tools+DMAPL4080+1%2F4+in.+x+6+in.+x+8+in.+Rebar+Demon%E2%84%A2+SDS-Plus+4-Cutter+Full+Carbide+Head+Hammer+Bit&amp;qid=1694735294&amp;sr=8-21")</f>
        <v/>
      </c>
      <c r="F4229" t="inlineStr">
        <is>
          <t>B089LJCD42</t>
        </is>
      </c>
      <c r="G4229">
        <f>_xludf.IMAGE("https://edmondsonsupply.com/cdn/shop/products/DMAPL4080_1.jpg?v=1633030359")</f>
        <v/>
      </c>
      <c r="H4229">
        <f>_xludf.IMAGE("https://m.media-amazon.com/images/I/61cDOAhkb4L._AC_UL320_.jpg")</f>
        <v/>
      </c>
      <c r="K4229" t="inlineStr">
        <is>
          <t>7.47</t>
        </is>
      </c>
      <c r="L4229" t="n">
        <v>15.76</v>
      </c>
      <c r="M4229" s="1" t="inlineStr">
        <is>
          <t>110.98%</t>
        </is>
      </c>
      <c r="N4229" s="1" t="n">
        <v>0</v>
      </c>
      <c r="O4229" t="n">
        <v>2</v>
      </c>
      <c r="P4229" t="n">
        <v>1</v>
      </c>
      <c r="R4229" t="inlineStr">
        <is>
          <t>InStock</t>
        </is>
      </c>
      <c r="S4229" t="inlineStr">
        <is>
          <t>undefined</t>
        </is>
      </c>
      <c r="T4229" t="inlineStr">
        <is>
          <t>5286767919272</t>
        </is>
      </c>
    </row>
    <row r="4230" ht="87" customHeight="1">
      <c r="A4230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4230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4230" t="inlineStr">
        <is>
          <t>Klein Tools NCVT-2P Dual Range Non-Contact Voltage Tester 12 - 1000V AC</t>
        </is>
      </c>
      <c r="D4230" t="inlineStr">
        <is>
          <t>Klein Tools NCVT2PKIT Non-Contact Voltage Tester &amp; 11063W Wire Cutter/Wire Stripper, Heavy Duty Automatic Wire Stripper Tool for 8-20 AWG Solid and 10-22 AWG Stranded Electrical Wire</t>
        </is>
      </c>
      <c r="E4230" s="2">
        <f>HYPERLINK("https://www.amazon.com/Klein-Tools-NCVT2PKIT-Non-Contact-Electrical/dp/B0B68MF38S/ref=sr_1_38?keywords=Klein+Tools+NCVT-2P+Dual+Range+Non-Contact+Voltage+Tester+12+-+1000V+AC&amp;qid=1694735236&amp;sr=8-38", "https://www.amazon.com/Klein-Tools-NCVT2PKIT-Non-Contact-Electrical/dp/B0B68MF38S/ref=sr_1_38?keywords=Klein+Tools+NCVT-2P+Dual+Range+Non-Contact+Voltage+Tester+12+-+1000V+AC&amp;qid=1694735236&amp;sr=8-38")</f>
        <v/>
      </c>
      <c r="F4230" t="inlineStr">
        <is>
          <t>B0B68MF38S</t>
        </is>
      </c>
      <c r="G4230">
        <f>_xlfn.IMAGE("https://edmondsonsupply.com/cdn/shop/products/ncvt2p.jpg?v=1633030824")</f>
        <v/>
      </c>
      <c r="H4230">
        <f>_xlfn.IMAGE("https://m.media-amazon.com/images/I/41pX42hwHcL._AC_UL320_.jpg")</f>
        <v/>
      </c>
      <c r="K4230" t="inlineStr">
        <is>
          <t>27.97</t>
        </is>
      </c>
      <c r="L4230" t="n">
        <v>58.96</v>
      </c>
      <c r="M4230" s="1" t="inlineStr">
        <is>
          <t>110.80%</t>
        </is>
      </c>
      <c r="N4230" s="7" t="n">
        <v>0</v>
      </c>
      <c r="O4230" t="n">
        <v>4.5</v>
      </c>
      <c r="P4230" t="n">
        <v>3</v>
      </c>
      <c r="R4230" t="inlineStr">
        <is>
          <t>InStock</t>
        </is>
      </c>
      <c r="S4230" t="inlineStr">
        <is>
          <t>35.76</t>
        </is>
      </c>
      <c r="T4230" t="inlineStr">
        <is>
          <t>6080875626669</t>
        </is>
      </c>
    </row>
    <row r="4231" hidden="1" ht="15.75" customHeight="1">
      <c r="A4231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231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231" t="inlineStr">
        <is>
          <t>Klein Tools JTH9E13 1/4-Inch Hex Key with Journeyman T-Handle, 9-Inch</t>
        </is>
      </c>
      <c r="D4231" t="inlineStr">
        <is>
          <t>Klein Tools JTH9M25 2.5 mm Hex Key with Journeyman T-Handle, 9-Inch (Pack of 2)</t>
        </is>
      </c>
      <c r="E4231" s="2">
        <f>HYPERLINK("https://www.amazon.com/Klein-Tools-JTH9M25-Journeyman-T-Handle/dp/B0CFXPBXYK/ref=sr_1_10?keywords=Klein+Tools+JTH9E13+1%2F4-Inch+Hex+Key+with+Journeyman+T-Handle%2C+9-Inch&amp;qid=1694735245&amp;sr=8-10", "https://www.amazon.com/Klein-Tools-JTH9M25-Journeyman-T-Handle/dp/B0CFXPBXYK/ref=sr_1_10?keywords=Klein+Tools+JTH9E13+1%2F4-Inch+Hex+Key+with+Journeyman+T-Handle%2C+9-Inch&amp;qid=1694735245&amp;sr=8-10")</f>
        <v/>
      </c>
      <c r="F4231" t="inlineStr">
        <is>
          <t>B0CFXPBXYK</t>
        </is>
      </c>
      <c r="G4231">
        <f>_xludf.IMAGE("https://edmondsonsupply.com/cdn/shop/products/jth9e12_7dcdbf9a-5acd-4824-8919-6aeb4a790072.jpg?v=1604060723")</f>
        <v/>
      </c>
      <c r="H4231">
        <f>_xludf.IMAGE("https://m.media-amazon.com/images/I/41QPzTKY+AL._AC_UL320_.jpg")</f>
        <v/>
      </c>
      <c r="K4231" t="inlineStr">
        <is>
          <t>6.49</t>
        </is>
      </c>
      <c r="L4231" t="n">
        <v>13.68</v>
      </c>
      <c r="M4231" s="1" t="inlineStr">
        <is>
          <t>110.79%</t>
        </is>
      </c>
      <c r="N4231" s="1" t="n">
        <v>0</v>
      </c>
      <c r="O4231" t="n">
        <v>4.2</v>
      </c>
      <c r="P4231" t="n">
        <v>14</v>
      </c>
      <c r="R4231" t="inlineStr">
        <is>
          <t>InStock</t>
        </is>
      </c>
      <c r="S4231" t="inlineStr">
        <is>
          <t>9.84</t>
        </is>
      </c>
      <c r="T4231" t="inlineStr">
        <is>
          <t>5999069462696</t>
        </is>
      </c>
    </row>
    <row r="4232" hidden="1" ht="15.75" customHeight="1">
      <c r="A4232" s="2">
        <f>HYPERLINK("https://edmondsonsupply.com/collections/electricians-tools/products/klein-tools-70581-8-key-folding-hex-key-set-1-20-to-5-32-inch-sae", "https://edmondsonsupply.com/collections/electricians-tools/products/klein-tools-70581-8-key-folding-hex-key-set-1-20-to-5-32-inch-sae")</f>
        <v/>
      </c>
      <c r="B4232" s="2">
        <f>HYPERLINK("https://edmondsonsupply.com/products/klein-tools-70581-8-key-folding-hex-key-set-1-20-to-5-32-inch-sae", "https://edmondsonsupply.com/products/klein-tools-70581-8-key-folding-hex-key-set-1-20-to-5-32-inch-sae")</f>
        <v/>
      </c>
      <c r="C4232" t="inlineStr">
        <is>
          <t>Klein Tools 70581 Folding Hex Key Set, 8-Key, SAE Sizes</t>
        </is>
      </c>
      <c r="D4232" t="inlineStr">
        <is>
          <t>Klein Tools 70573 Grip-It Hex Key Set, 12-Key, SAE/Metric Sizes</t>
        </is>
      </c>
      <c r="E4232" s="2">
        <f>HYPERLINK("https://www.amazon.com/Grip-12-Key-Hex-Set/dp/B0002RI8PA/ref=sr_1_10?keywords=Klein+Tools+70581+Folding+Hex+Key+Set%2C+8-Key%2C+SAE+Sizes&amp;qid=1694735356&amp;sr=8-10", "https://www.amazon.com/Grip-12-Key-Hex-Set/dp/B0002RI8PA/ref=sr_1_10?keywords=Klein+Tools+70581+Folding+Hex+Key+Set%2C+8-Key%2C+SAE+Sizes&amp;qid=1694735356&amp;sr=8-10")</f>
        <v/>
      </c>
      <c r="F4232" t="inlineStr">
        <is>
          <t>B0002RI8PA</t>
        </is>
      </c>
      <c r="G4232">
        <f>_xludf.IMAGE("https://edmondsonsupply.com/cdn/shop/products/70581.jpg?v=1587143189")</f>
        <v/>
      </c>
      <c r="H4232">
        <f>_xludf.IMAGE("https://m.media-amazon.com/images/I/610klv7dq+L._AC_UL320_.jpg")</f>
        <v/>
      </c>
      <c r="K4232" t="inlineStr">
        <is>
          <t>6.97</t>
        </is>
      </c>
      <c r="L4232" t="n">
        <v>14.67</v>
      </c>
      <c r="M4232" s="1" t="inlineStr">
        <is>
          <t>110.47%</t>
        </is>
      </c>
      <c r="N4232" s="1" t="n">
        <v>0</v>
      </c>
      <c r="O4232" t="n">
        <v>4.7</v>
      </c>
      <c r="P4232" t="n">
        <v>559</v>
      </c>
      <c r="R4232" t="inlineStr">
        <is>
          <t>InStock</t>
        </is>
      </c>
      <c r="S4232" t="inlineStr">
        <is>
          <t>10.56</t>
        </is>
      </c>
      <c r="T4232" t="inlineStr">
        <is>
          <t>4432219865188</t>
        </is>
      </c>
    </row>
    <row r="4233" ht="87" customHeight="1">
      <c r="A4233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233" s="2">
        <f>HYPERLINK("https://edmondsonsupply.com/products/klein-tools-32305-15-in-1-multi-bit-ratcheting-screwdriver", "https://edmondsonsupply.com/products/klein-tools-32305-15-in-1-multi-bit-ratcheting-screwdriver")</f>
        <v/>
      </c>
      <c r="C4233" t="inlineStr">
        <is>
          <t>Klein Tools 32305 15-in-1 Multi-Bit Ratcheting Screwdriver</t>
        </is>
      </c>
      <c r="D4233" t="inlineStr">
        <is>
          <t>SATA 19-in-1 Multipurpose Ratcheting Screwdriver Set with 8 Double-Sided Bits &amp; Klein Tools 32305 Multi-bit Ratcheting Screwdriver, 15-in-1 Tool</t>
        </is>
      </c>
      <c r="E4233" s="2">
        <f>HYPERLINK("https://www.amazon.com/SATA-Multipurpose-Ratcheting-Screwdriver-Double-Sided/dp/B0CB14B5K6/ref=sr_1_6?keywords=Klein+Tools+32305+15-in-1+Multi-Bit+Ratcheting+Screwdriver&amp;qid=1694735163&amp;sr=8-6", "https://www.amazon.com/SATA-Multipurpose-Ratcheting-Screwdriver-Double-Sided/dp/B0CB14B5K6/ref=sr_1_6?keywords=Klein+Tools+32305+15-in-1+Multi-Bit+Ratcheting+Screwdriver&amp;qid=1694735163&amp;sr=8-6")</f>
        <v/>
      </c>
      <c r="F4233" t="inlineStr">
        <is>
          <t>B0CB14B5K6</t>
        </is>
      </c>
      <c r="G4233">
        <f>_xlfn.IMAGE("https://edmondsonsupply.com/cdn/shop/products/32305.jpg?v=1646965475")</f>
        <v/>
      </c>
      <c r="H4233">
        <f>_xlfn.IMAGE("https://m.media-amazon.com/images/I/41IWrP80qdL._AC_UL320_.jpg")</f>
        <v/>
      </c>
      <c r="K4233" t="inlineStr">
        <is>
          <t>21.97</t>
        </is>
      </c>
      <c r="L4233" t="n">
        <v>46.21</v>
      </c>
      <c r="M4233" s="1" t="inlineStr">
        <is>
          <t>110.33%</t>
        </is>
      </c>
      <c r="N4233" s="7" t="n">
        <v>0</v>
      </c>
      <c r="O4233" t="n">
        <v>4.6</v>
      </c>
      <c r="P4233" t="n">
        <v>2931</v>
      </c>
      <c r="R4233" t="inlineStr">
        <is>
          <t>InStock</t>
        </is>
      </c>
      <c r="S4233" t="inlineStr">
        <is>
          <t>30.78</t>
        </is>
      </c>
      <c r="T4233" t="inlineStr">
        <is>
          <t>7632426598616</t>
        </is>
      </c>
    </row>
    <row r="4234" hidden="1" ht="15.75" customHeight="1">
      <c r="A4234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234" s="2">
        <f>HYPERLINK("https://edmondsonsupply.com/products/klein-tools-ncvt1xt-non-contact-voltage-tester-70-to-1000v-ac", "https://edmondsonsupply.com/products/klein-tools-ncvt1xt-non-contact-voltage-tester-70-to-1000v-ac")</f>
        <v/>
      </c>
      <c r="C4234" t="inlineStr">
        <is>
          <t>Klein Tools NCVT1XT Non-Contact Voltage Tester, 70 to 1000V AC</t>
        </is>
      </c>
      <c r="D4234" t="inlineStr">
        <is>
          <t>Klein Tools NCVT1P Voltage Tester, Non-Contact Voltage Detector Pen &amp; RT250 GFCI Receptacle Tester with LCD Display, for Standard 3-Wire 120V Electrical Outlets</t>
        </is>
      </c>
      <c r="E4234" s="2">
        <f>HYPERLINK("https://www.amazon.com/Klein-Tools-Non-Contact-Receptacle-Electrical/dp/B09Y7XWBF8/ref=sr_1_45?keywords=Klein+Tools+NCVT1XT+Non-Contact+Voltage+Tester%2C+70+to+1000V+AC&amp;qid=1694735046&amp;sr=8-45", "https://www.amazon.com/Klein-Tools-Non-Contact-Receptacle-Electrical/dp/B09Y7XWBF8/ref=sr_1_45?keywords=Klein+Tools+NCVT1XT+Non-Contact+Voltage+Tester%2C+70+to+1000V+AC&amp;qid=1694735046&amp;sr=8-45")</f>
        <v/>
      </c>
      <c r="F4234" t="inlineStr">
        <is>
          <t>B09Y7XWBF8</t>
        </is>
      </c>
      <c r="G4234">
        <f>_xludf.IMAGE("https://edmondsonsupply.com/cdn/shop/products/ncvt1xt.jpg?v=1674496568")</f>
        <v/>
      </c>
      <c r="H4234">
        <f>_xludf.IMAGE("https://m.media-amazon.com/images/I/51LNefsL0aL._AC_UL320_.jpg")</f>
        <v/>
      </c>
      <c r="K4234" t="inlineStr">
        <is>
          <t>19.97</t>
        </is>
      </c>
      <c r="L4234" t="n">
        <v>41.94</v>
      </c>
      <c r="M4234" s="1" t="inlineStr">
        <is>
          <t>110.02%</t>
        </is>
      </c>
      <c r="N4234" s="1" t="n">
        <v>0</v>
      </c>
      <c r="O4234" t="n">
        <v>3.9</v>
      </c>
      <c r="P4234" t="n">
        <v>8</v>
      </c>
      <c r="R4234" t="inlineStr">
        <is>
          <t>InStock</t>
        </is>
      </c>
      <c r="S4234" t="inlineStr">
        <is>
          <t>26.32</t>
        </is>
      </c>
      <c r="T4234" t="inlineStr">
        <is>
          <t>7931947155672</t>
        </is>
      </c>
    </row>
    <row r="4235" ht="87" customHeight="1">
      <c r="A4235" s="2">
        <f>HYPERLINK("https://edmondsonsupply.com/collections/electricians-tools/products/diablo-tools-dmamx1040", "https://edmondsonsupply.com/collections/electricians-tools/products/diablo-tools-dmamx1040")</f>
        <v/>
      </c>
      <c r="B4235" s="2">
        <f>HYPERLINK("https://edmondsonsupply.com/products/diablo-tools-dmamx1040", "https://edmondsonsupply.com/products/diablo-tools-dmamx1040")</f>
        <v/>
      </c>
      <c r="C4235" t="inlineStr">
        <is>
          <t>Diablo Tools DMAMX1040 1/2 in. x 24 in. x 29 in. Rebar Demon SDS-Max 4-Cutter Full Carbide Head Hammer Bit</t>
        </is>
      </c>
      <c r="D4235" t="inlineStr">
        <is>
          <t>Diablo by Freud DMAMX1150 3/4 in. x 31 in. x 36 in. Rebar Demon SDS-Max 4-Cutter Full Carbide Head Hammer Bit</t>
        </is>
      </c>
      <c r="E4235" s="2">
        <f>HYPERLINK("https://www.amazon.com/Diablo-SDS-Max-4-Cutter-Carbide-Hammer/dp/B089KWVY6S/ref=sr_1_24?keywords=Diablo+Tools+DMAMX1040+1%2F2+in.+x+24+in.+x+29+in.+Rebar+Demon+SDS-Max+4-Cutter+Full+Carbide+Head+Hammer+Bit&amp;qid=1694735295&amp;sr=8-24", "https://www.amazon.com/Diablo-SDS-Max-4-Cutter-Carbide-Hammer/dp/B089KWVY6S/ref=sr_1_24?keywords=Diablo+Tools+DMAMX1040+1%2F2+in.+x+24+in.+x+29+in.+Rebar+Demon+SDS-Max+4-Cutter+Full+Carbide+Head+Hammer+Bit&amp;qid=1694735295&amp;sr=8-24")</f>
        <v/>
      </c>
      <c r="F4235" t="inlineStr">
        <is>
          <t>B089KWVY6S</t>
        </is>
      </c>
      <c r="G4235">
        <f>_xlfn.IMAGE("https://edmondsonsupply.com/cdn/shop/products/DMAMX1040_Main-Image20200701.png?v=1633030363")</f>
        <v/>
      </c>
      <c r="H4235">
        <f>_xlfn.IMAGE("https://m.media-amazon.com/images/I/61yjTOwPY1L._AC_UL320_.jpg")</f>
        <v/>
      </c>
      <c r="K4235" t="inlineStr">
        <is>
          <t>47.97</t>
        </is>
      </c>
      <c r="L4235" t="n">
        <v>100.64</v>
      </c>
      <c r="M4235" s="1" t="inlineStr">
        <is>
          <t>109.80%</t>
        </is>
      </c>
      <c r="N4235" s="7" t="n">
        <v>0</v>
      </c>
      <c r="O4235" t="n">
        <v>5</v>
      </c>
      <c r="P4235" t="n">
        <v>3</v>
      </c>
      <c r="R4235" t="inlineStr">
        <is>
          <t>InStock</t>
        </is>
      </c>
      <c r="S4235" t="inlineStr">
        <is>
          <t>72.46</t>
        </is>
      </c>
      <c r="T4235" t="inlineStr">
        <is>
          <t>5289126527144</t>
        </is>
      </c>
    </row>
    <row r="4236" ht="87" customHeight="1">
      <c r="A4236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4236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4236" t="inlineStr">
        <is>
          <t>Diablo Tools DMAPL9920-S7 7pc Rebar Demon™ SDS-Plus 4-Cutter Full Carbide Head Hammer Bit Set</t>
        </is>
      </c>
      <c r="D4236" t="inlineStr">
        <is>
          <t>Diablo by Freud DMAPL4040-P25 3/16 in. x 4 in. x 6 in. Rebar Demon™ SDS-Plus 4-Cutter Full Carbide Head Hammer Bit (25-Pack)</t>
        </is>
      </c>
      <c r="E4236" s="2">
        <f>HYPERLINK("https://www.amazon.com/Diablo-Freud-DMAPL4040-P25-SDS-Plus-4-Cutter/dp/B089LKW42D/ref=sr_1_30?keywords=Diablo+Tools+DMAPL9920-S7+7pc+Rebar+Demon%E2%84%A2+SDS-Plus+4-Cutter+Full+Carbide+Head+Hammer+Bit+Set&amp;qid=1694735019&amp;sr=8-30", "https://www.amazon.com/Diablo-Freud-DMAPL4040-P25-SDS-Plus-4-Cutter/dp/B089LKW42D/ref=sr_1_30?keywords=Diablo+Tools+DMAPL9920-S7+7pc+Rebar+Demon%E2%84%A2+SDS-Plus+4-Cutter+Full+Carbide+Head+Hammer+Bit+Set&amp;qid=1694735019&amp;sr=8-30")</f>
        <v/>
      </c>
      <c r="F4236" t="inlineStr">
        <is>
          <t>B089LKW42D</t>
        </is>
      </c>
      <c r="G4236">
        <f>_xlfn.IMAGE("https://edmondsonsupply.com/cdn/shop/products/vgtm2xrrra4yfevsszgf.webp?v=1679328619")</f>
        <v/>
      </c>
      <c r="H4236">
        <f>_xlfn.IMAGE("https://m.media-amazon.com/images/I/61WAyx865hL._AC_UL320_.jpg")</f>
        <v/>
      </c>
      <c r="K4236" t="inlineStr">
        <is>
          <t>37.97</t>
        </is>
      </c>
      <c r="L4236" t="n">
        <v>79.63</v>
      </c>
      <c r="M4236" s="1" t="inlineStr">
        <is>
          <t>109.72%</t>
        </is>
      </c>
      <c r="N4236" s="7" t="n">
        <v>0</v>
      </c>
      <c r="O4236" t="n">
        <v>5</v>
      </c>
      <c r="P4236" t="n">
        <v>2</v>
      </c>
      <c r="R4236" t="inlineStr">
        <is>
          <t>InStock</t>
        </is>
      </c>
      <c r="S4236" t="inlineStr">
        <is>
          <t>55.56</t>
        </is>
      </c>
      <c r="T4236" t="inlineStr">
        <is>
          <t>7964936995032</t>
        </is>
      </c>
    </row>
    <row r="4237" ht="87" customHeight="1">
      <c r="A4237" s="2">
        <f>HYPERLINK("https://edmondsonsupply.com/collections/electricians-tools/products/klein-tools-12098-universal-combination-pliers-8-inch", "https://edmondsonsupply.com/collections/electricians-tools/products/klein-tools-12098-universal-combination-pliers-8-inch")</f>
        <v/>
      </c>
      <c r="B4237" s="2">
        <f>HYPERLINK("https://edmondsonsupply.com/products/klein-tools-12098-universal-combination-pliers-8-inch", "https://edmondsonsupply.com/products/klein-tools-12098-universal-combination-pliers-8-inch")</f>
        <v/>
      </c>
      <c r="C4237" t="inlineStr">
        <is>
          <t>Klein Tools 12098 Universal Combination Pliers, 8-Inch</t>
        </is>
      </c>
      <c r="D4237" t="inlineStr">
        <is>
          <t>Klein Tools 12098-INS Insulated Universal Combination Pliers, Side Cutters with Crimper, 8-Inch</t>
        </is>
      </c>
      <c r="E4237" s="2">
        <f>HYPERLINK("https://www.amazon.com/Insulated-Combination-Klein-Tools-12098-INS/dp/B0002RI4V8/ref=sr_1_2?keywords=Klein+Tools+12098+Universal+Combination+Pliers%2C+8-Inch&amp;qid=1694735339&amp;sr=8-2", "https://www.amazon.com/Insulated-Combination-Klein-Tools-12098-INS/dp/B0002RI4V8/ref=sr_1_2?keywords=Klein+Tools+12098+Universal+Combination+Pliers%2C+8-Inch&amp;qid=1694735339&amp;sr=8-2")</f>
        <v/>
      </c>
      <c r="F4237" t="inlineStr">
        <is>
          <t>B0002RI4V8</t>
        </is>
      </c>
      <c r="G4237">
        <f>_xlfn.IMAGE("https://edmondsonsupply.com/cdn/shop/products/12098.jpg?v=1587149846")</f>
        <v/>
      </c>
      <c r="H4237">
        <f>_xlfn.IMAGE("https://m.media-amazon.com/images/I/51I3JjFrgcL._AC_UL320_.jpg")</f>
        <v/>
      </c>
      <c r="K4237" t="inlineStr">
        <is>
          <t>30.99</t>
        </is>
      </c>
      <c r="L4237" t="n">
        <v>64.98999999999999</v>
      </c>
      <c r="M4237" s="1" t="inlineStr">
        <is>
          <t>109.71%</t>
        </is>
      </c>
      <c r="N4237" s="7" t="n">
        <v>0</v>
      </c>
      <c r="O4237" t="n">
        <v>5</v>
      </c>
      <c r="P4237" t="n">
        <v>10</v>
      </c>
      <c r="R4237" t="inlineStr">
        <is>
          <t>InStock</t>
        </is>
      </c>
      <c r="S4237" t="inlineStr">
        <is>
          <t>44.6</t>
        </is>
      </c>
      <c r="T4237" t="inlineStr">
        <is>
          <t>4499685703780</t>
        </is>
      </c>
    </row>
    <row r="4238" ht="87" customHeight="1">
      <c r="A423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423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4238" t="inlineStr">
        <is>
          <t>Diablo Tools DMAPL4220 5/8 in. x 6 in. x 8 in. Rebar Demon™ SDS-Plus 4-Cutter Full Carbide Head Hammer Bit</t>
        </is>
      </c>
      <c r="D4238" t="inlineStr">
        <is>
          <t>Diablo by Freud DMAPL4200 1/2 in. x 16 in. x 18 in. Rebar Demon SDS-Plus 4-Cutter Full Carbide Head Hammer Bit</t>
        </is>
      </c>
      <c r="E4238" s="2">
        <f>HYPERLINK("https://www.amazon.com/Diablo-Freud-DMAPL4200-SDS-Plus-4-Cutter/dp/B089KW2QV1/ref=sr_1_22?keywords=Diablo+Tools+DMAPL4220+5%2F8+in.+x+6+in.+x+8+in.+Rebar+Demon%E2%84%A2+SDS-Plus+4-Cutter+Full+Carbide+Head+Hammer+Bit&amp;qid=1694735306&amp;sr=8-22", "https://www.amazon.com/Diablo-Freud-DMAPL4200-SDS-Plus-4-Cutter/dp/B089KW2QV1/ref=sr_1_22?keywords=Diablo+Tools+DMAPL4220+5%2F8+in.+x+6+in.+x+8+in.+Rebar+Demon%E2%84%A2+SDS-Plus+4-Cutter+Full+Carbide+Head+Hammer+Bit&amp;qid=1694735306&amp;sr=8-22")</f>
        <v/>
      </c>
      <c r="F4238" t="inlineStr">
        <is>
          <t>B089KW2QV1</t>
        </is>
      </c>
      <c r="G4238">
        <f>_xlfn.IMAGE("https://edmondsonsupply.com/cdn/shop/products/DMAPL4220.jpg?v=1633030355")</f>
        <v/>
      </c>
      <c r="H4238">
        <f>_xlfn.IMAGE("https://m.media-amazon.com/images/I/61rW+ROVmNL._AC_UL320_.jpg")</f>
        <v/>
      </c>
      <c r="K4238" t="inlineStr">
        <is>
          <t>10.97</t>
        </is>
      </c>
      <c r="L4238" t="n">
        <v>23</v>
      </c>
      <c r="M4238" s="1" t="inlineStr">
        <is>
          <t>109.66%</t>
        </is>
      </c>
      <c r="N4238" s="7" t="n">
        <v>0</v>
      </c>
      <c r="O4238" t="n">
        <v>4.7</v>
      </c>
      <c r="P4238" t="n">
        <v>18</v>
      </c>
      <c r="R4238" t="inlineStr">
        <is>
          <t>InStock</t>
        </is>
      </c>
      <c r="S4238" t="inlineStr">
        <is>
          <t>17.16</t>
        </is>
      </c>
      <c r="T4238" t="inlineStr">
        <is>
          <t>5286142148776</t>
        </is>
      </c>
    </row>
    <row r="4239" ht="87" customHeight="1">
      <c r="A4239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239" s="2">
        <f>HYPERLINK("https://edmondsonsupply.com/products/klein-tools-ncvt1xt-non-contact-voltage-tester-70-to-1000v-ac", "https://edmondsonsupply.com/products/klein-tools-ncvt1xt-non-contact-voltage-tester-70-to-1000v-ac")</f>
        <v/>
      </c>
      <c r="C4239" t="inlineStr">
        <is>
          <t>Klein Tools NCVT1XT Non-Contact Voltage Tester, 70 to 1000V AC</t>
        </is>
      </c>
      <c r="D4239" t="inlineStr">
        <is>
          <t>Klein Tools RT250 GFCI Outlet Tester with LCD Display, Electric Voltage Tester &amp; NCVT1XT Voltage Tester, Non-Contact Voltage Detector Pen, 70V to 1000V AC</t>
        </is>
      </c>
      <c r="E4239" s="2">
        <f>HYPERLINK("https://www.amazon.com/Klein-Tools-Electric-Non-Contact-Detector/dp/B0CB14H87T/ref=sr_1_2?keywords=Klein+Tools+NCVT1XT+Non-Contact+Voltage+Tester%2C+70+to+1000V+AC&amp;qid=1694735046&amp;sr=8-2", "https://www.amazon.com/Klein-Tools-Electric-Non-Contact-Detector/dp/B0CB14H87T/ref=sr_1_2?keywords=Klein+Tools+NCVT1XT+Non-Contact+Voltage+Tester%2C+70+to+1000V+AC&amp;qid=1694735046&amp;sr=8-2")</f>
        <v/>
      </c>
      <c r="F4239" t="inlineStr">
        <is>
          <t>B0CB14H87T</t>
        </is>
      </c>
      <c r="G4239">
        <f>_xlfn.IMAGE("https://edmondsonsupply.com/cdn/shop/products/ncvt1xt.jpg?v=1674496568")</f>
        <v/>
      </c>
      <c r="H4239">
        <f>_xlfn.IMAGE("https://m.media-amazon.com/images/I/51L3qoakqzL._AC_UL320_.jpg")</f>
        <v/>
      </c>
      <c r="K4239" t="inlineStr">
        <is>
          <t>19.97</t>
        </is>
      </c>
      <c r="L4239" t="n">
        <v>41.85</v>
      </c>
      <c r="M4239" s="1" t="inlineStr">
        <is>
          <t>109.56%</t>
        </is>
      </c>
      <c r="N4239" s="7" t="n">
        <v>0</v>
      </c>
      <c r="O4239" t="n">
        <v>4.8</v>
      </c>
      <c r="P4239" t="n">
        <v>7942</v>
      </c>
      <c r="R4239" t="inlineStr">
        <is>
          <t>InStock</t>
        </is>
      </c>
      <c r="S4239" t="inlineStr">
        <is>
          <t>26.32</t>
        </is>
      </c>
      <c r="T4239" t="inlineStr">
        <is>
          <t>7931947155672</t>
        </is>
      </c>
    </row>
    <row r="4240" ht="87" customHeight="1">
      <c r="A4240" s="2">
        <f>HYPERLINK("https://edmondsonsupply.com/collections/electricians-tools/products/klein-tools-5416-tool-bag-bull-pin-and-bolt-pouch-belt-strap-connect-5-x-10-x-9-inch", "https://edmondsonsupply.com/collections/electricians-tools/products/klein-tools-5416-tool-bag-bull-pin-and-bolt-pouch-belt-strap-connect-5-x-10-x-9-inch")</f>
        <v/>
      </c>
      <c r="B4240" s="2">
        <f>HYPERLINK("https://edmondsonsupply.com/products/klein-tools-5416-tool-bag-bull-pin-and-bolt-pouch-belt-strap-connect-5-x-10-x-9-inch", "https://edmondsonsupply.com/products/klein-tools-5416-tool-bag-bull-pin-and-bolt-pouch-belt-strap-connect-5-x-10-x-9-inch")</f>
        <v/>
      </c>
      <c r="C4240" t="inlineStr">
        <is>
          <t>Klein Tools 5416 Tool Bag, Bull-Pin and Bolt Pouch, Belt Strap Connect, 5 x 10 x 9-Inch</t>
        </is>
      </c>
      <c r="D4240" t="inlineStr">
        <is>
          <t>Klein Tools 5416T Tool Bag, Bull-Pin and Bolt Pouch, No. 4 Canvas with Tunnel Connection, 5 x 10 x 9-Inch &amp; 5459T Spud Wrench Holder Tunnel Connection</t>
        </is>
      </c>
      <c r="E4240" s="2">
        <f>HYPERLINK("https://www.amazon.com/Klein-Tools-Bull-Pin-Canvas-Connection/dp/B0BFXN41G3/ref=sr_1_7?keywords=Klein+Tools+5416+Tool+Bag%2C+Bull-Pin+and+Bolt+Pouch%2C+Belt+Strap+Connect%2C+5+x+10+x+9-Inch&amp;qid=1694735013&amp;sr=8-7", "https://www.amazon.com/Klein-Tools-Bull-Pin-Canvas-Connection/dp/B0BFXN41G3/ref=sr_1_7?keywords=Klein+Tools+5416+Tool+Bag%2C+Bull-Pin+and+Bolt+Pouch%2C+Belt+Strap+Connect%2C+5+x+10+x+9-Inch&amp;qid=1694735013&amp;sr=8-7")</f>
        <v/>
      </c>
      <c r="F4240" t="inlineStr">
        <is>
          <t>B0BFXN41G3</t>
        </is>
      </c>
      <c r="G4240">
        <f>_xlfn.IMAGE("https://edmondsonsupply.com/cdn/shop/products/5416.jpg?v=1679664980")</f>
        <v/>
      </c>
      <c r="H4240">
        <f>_xlfn.IMAGE("https://m.media-amazon.com/images/I/51SvuMGkytL._AC_UL320_.jpg")</f>
        <v/>
      </c>
      <c r="K4240" t="inlineStr">
        <is>
          <t>17.8</t>
        </is>
      </c>
      <c r="L4240" t="n">
        <v>37.28</v>
      </c>
      <c r="M4240" s="1" t="inlineStr">
        <is>
          <t>109.44%</t>
        </is>
      </c>
      <c r="N4240" s="7" t="n">
        <v>0</v>
      </c>
      <c r="O4240" t="n">
        <v>4.8</v>
      </c>
      <c r="P4240" t="n">
        <v>5</v>
      </c>
      <c r="R4240" t="inlineStr">
        <is>
          <t>InStock</t>
        </is>
      </c>
      <c r="S4240" t="inlineStr">
        <is>
          <t>29.06</t>
        </is>
      </c>
      <c r="T4240" t="inlineStr">
        <is>
          <t>7966205018328</t>
        </is>
      </c>
    </row>
    <row r="4241" ht="87" customHeight="1">
      <c r="A4241" s="2">
        <f>HYPERLINK("https://edmondsonsupply.com/collections/electricians-tools/products/greenlee-gt13-non-contact-voltage-detector", "https://edmondsonsupply.com/collections/electricians-tools/products/greenlee-gt13-non-contact-voltage-detector")</f>
        <v/>
      </c>
      <c r="B4241" s="2">
        <f>HYPERLINK("https://edmondsonsupply.com/products/greenlee-gt13-non-contact-voltage-detector", "https://edmondsonsupply.com/products/greenlee-gt13-non-contact-voltage-detector")</f>
        <v/>
      </c>
      <c r="C4241" t="inlineStr">
        <is>
          <t>Greenlee GT13 Non-Contact Voltage Detector</t>
        </is>
      </c>
      <c r="D4241" t="inlineStr">
        <is>
          <t>Greenlee - Detector,Voltage Non-Contact, Elec Test Instruments (GT-12A)</t>
        </is>
      </c>
      <c r="E4241" s="2">
        <f>HYPERLINK("https://www.amazon.com/Greenlee-Detector-Voltage-Non-Contact-Instruments/dp/B002JASG96/ref=sr_1_4?keywords=Greenlee+GT13+Non-Contact+Voltage+Detector&amp;qid=1694735374&amp;sr=8-4", "https://www.amazon.com/Greenlee-Detector-Voltage-Non-Contact-Instruments/dp/B002JASG96/ref=sr_1_4?keywords=Greenlee+GT13+Non-Contact+Voltage+Detector&amp;qid=1694735374&amp;sr=8-4")</f>
        <v/>
      </c>
      <c r="F4241" t="inlineStr">
        <is>
          <t>B002JASG96</t>
        </is>
      </c>
      <c r="G4241">
        <f>_xlfn.IMAGE("https://edmondsonsupply.com/cdn/shop/products/GT13_CAT2.jpg?v=1587145645")</f>
        <v/>
      </c>
      <c r="H4241">
        <f>_xlfn.IMAGE("https://m.media-amazon.com/images/I/61nC21rRJiL._AC_UL320_.jpg")</f>
        <v/>
      </c>
      <c r="K4241" t="inlineStr">
        <is>
          <t>23.89</t>
        </is>
      </c>
      <c r="L4241" t="n">
        <v>49.99</v>
      </c>
      <c r="M4241" s="1" t="inlineStr">
        <is>
          <t>109.25%</t>
        </is>
      </c>
      <c r="N4241" s="7" t="n">
        <v>0</v>
      </c>
      <c r="O4241" t="n">
        <v>4.5</v>
      </c>
      <c r="P4241" t="n">
        <v>95</v>
      </c>
      <c r="R4241" t="inlineStr">
        <is>
          <t>InStock</t>
        </is>
      </c>
      <c r="S4241" t="inlineStr">
        <is>
          <t>25.7</t>
        </is>
      </c>
      <c r="T4241" t="inlineStr">
        <is>
          <t>4417287880804</t>
        </is>
      </c>
    </row>
    <row r="4242" ht="87" customHeight="1">
      <c r="A4242" s="2">
        <f>HYPERLINK("https://edmondsonsupply.com/collections/electricians-tools/products/diablo-tools-dmamx1040", "https://edmondsonsupply.com/collections/electricians-tools/products/diablo-tools-dmamx1040")</f>
        <v/>
      </c>
      <c r="B4242" s="2">
        <f>HYPERLINK("https://edmondsonsupply.com/products/diablo-tools-dmamx1040", "https://edmondsonsupply.com/products/diablo-tools-dmamx1040")</f>
        <v/>
      </c>
      <c r="C4242" t="inlineStr">
        <is>
          <t>Diablo Tools DMAMX1040 1/2 in. x 24 in. x 29 in. Rebar Demon SDS-Max 4-Cutter Full Carbide Head Hammer Bit</t>
        </is>
      </c>
      <c r="D4242" t="inlineStr">
        <is>
          <t>Diablo by Freud DMAMX1240 1 in. x 31 in. x 36 in. Rebar Demon SDS-Max 4-Cutter Full Carbide Head Hammer Bit</t>
        </is>
      </c>
      <c r="E4242" s="2">
        <f>HYPERLINK("https://www.amazon.com/Diablo-SDS-Max-4-Cutter-Carbide-Hammer/dp/B089KWF9R4/ref=sr_1_30?keywords=Diablo+Tools+DMAMX1040+1%2F2+in.+x+24+in.+x+29+in.+Rebar+Demon+SDS-Max+4-Cutter+Full+Carbide+Head+Hammer+Bit&amp;qid=1694735295&amp;sr=8-30", "https://www.amazon.com/Diablo-SDS-Max-4-Cutter-Carbide-Hammer/dp/B089KWF9R4/ref=sr_1_30?keywords=Diablo+Tools+DMAMX1040+1%2F2+in.+x+24+in.+x+29+in.+Rebar+Demon+SDS-Max+4-Cutter+Full+Carbide+Head+Hammer+Bit&amp;qid=1694735295&amp;sr=8-30")</f>
        <v/>
      </c>
      <c r="F4242" t="inlineStr">
        <is>
          <t>B089KWF9R4</t>
        </is>
      </c>
      <c r="G4242">
        <f>_xlfn.IMAGE("https://edmondsonsupply.com/cdn/shop/products/DMAMX1040_Main-Image20200701.png?v=1633030363")</f>
        <v/>
      </c>
      <c r="H4242">
        <f>_xlfn.IMAGE("https://m.media-amazon.com/images/I/61UhVlNC+9L._AC_UL320_.jpg")</f>
        <v/>
      </c>
      <c r="K4242" t="inlineStr">
        <is>
          <t>47.97</t>
        </is>
      </c>
      <c r="L4242" t="n">
        <v>100</v>
      </c>
      <c r="M4242" s="1" t="inlineStr">
        <is>
          <t>108.46%</t>
        </is>
      </c>
      <c r="N4242" s="7" t="n">
        <v>0</v>
      </c>
      <c r="O4242" t="n">
        <v>5</v>
      </c>
      <c r="P4242" t="n">
        <v>3</v>
      </c>
      <c r="R4242" t="inlineStr">
        <is>
          <t>InStock</t>
        </is>
      </c>
      <c r="S4242" t="inlineStr">
        <is>
          <t>72.46</t>
        </is>
      </c>
      <c r="T4242" t="inlineStr">
        <is>
          <t>5289126527144</t>
        </is>
      </c>
    </row>
    <row r="4243" hidden="1" ht="15.75" customHeight="1">
      <c r="A4243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243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243" t="inlineStr">
        <is>
          <t>Klein Tools JTH9E08 1/8-Inch Hex Key with Journeyman T-Handle, 9-Inch</t>
        </is>
      </c>
      <c r="D4243" t="inlineStr">
        <is>
          <t>Klein Tools JTH6M8 8 mm Hex Key, Journeyman T-Handle, 6-Inch</t>
        </is>
      </c>
      <c r="E4243" s="2">
        <f>HYPERLINK("https://www.amazon.com/Journeyman-T-Handle-Klein-Tools-JTH6M8/dp/B005G395P2/ref=sr_1_12?keywords=Klein+Tools+JTH9E08+1%2F8-Inch+Hex+Key+with+Journeyman+T-Handle%2C+9-Inch&amp;qid=1694735421&amp;sr=8-12", "https://www.amazon.com/Journeyman-T-Handle-Klein-Tools-JTH6M8/dp/B005G395P2/ref=sr_1_12?keywords=Klein+Tools+JTH9E08+1%2F8-Inch+Hex+Key+with+Journeyman+T-Handle%2C+9-Inch&amp;qid=1694735421&amp;sr=8-12")</f>
        <v/>
      </c>
      <c r="F4243" t="inlineStr">
        <is>
          <t>B005G395P2</t>
        </is>
      </c>
      <c r="G4243">
        <f>_xludf.IMAGE("https://edmondsonsupply.com/cdn/shop/products/jth6e15_f2733d2c-ab65-41d7-8597-f1dfd8fcaabf.jpg?v=1587142807")</f>
        <v/>
      </c>
      <c r="H4243">
        <f>_xludf.IMAGE("https://m.media-amazon.com/images/I/51+1x0vz9XL._AC_UL320_.jpg")</f>
        <v/>
      </c>
      <c r="K4243" t="inlineStr">
        <is>
          <t>4.49</t>
        </is>
      </c>
      <c r="L4243" t="n">
        <v>9.359999999999999</v>
      </c>
      <c r="M4243" s="1" t="inlineStr">
        <is>
          <t>108.46%</t>
        </is>
      </c>
      <c r="N4243" s="1" t="n">
        <v>0</v>
      </c>
      <c r="O4243" t="n">
        <v>4.7</v>
      </c>
      <c r="P4243" t="n">
        <v>1530</v>
      </c>
      <c r="R4243" t="inlineStr">
        <is>
          <t>InStock</t>
        </is>
      </c>
      <c r="S4243" t="inlineStr">
        <is>
          <t>6.82</t>
        </is>
      </c>
      <c r="T4243" t="inlineStr">
        <is>
          <t>4352186810468</t>
        </is>
      </c>
    </row>
    <row r="4244" ht="87" customHeight="1">
      <c r="A4244" s="2">
        <f>HYPERLINK("https://edmondsonsupply.com/collections/electricians-tools/products/diablo-tools-dmamx1040", "https://edmondsonsupply.com/collections/electricians-tools/products/diablo-tools-dmamx1040")</f>
        <v/>
      </c>
      <c r="B4244" s="2">
        <f>HYPERLINK("https://edmondsonsupply.com/products/diablo-tools-dmamx1040", "https://edmondsonsupply.com/products/diablo-tools-dmamx1040")</f>
        <v/>
      </c>
      <c r="C4244" t="inlineStr">
        <is>
          <t>Diablo Tools DMAMX1040 1/2 in. x 24 in. x 29 in. Rebar Demon SDS-Max 4-Cutter Full Carbide Head Hammer Bit</t>
        </is>
      </c>
      <c r="D4244" t="inlineStr">
        <is>
          <t>Diablo by Freud DMAPL4180-P25 1/2 in. x 4 in. x 6 in. Rebar Demon SDS-Plus 4-Cutter Full Carbide Head Hammer Bit (25-Pack) Multi, One Size</t>
        </is>
      </c>
      <c r="E4244" s="2">
        <f>HYPERLINK("https://www.amazon.com/Diablo-Rebar-4-Cutter-Carbide-Hammer/dp/B089LGWV7F/ref=sr_1_39?keywords=Diablo+Tools+DMAMX1040+1%2F2+in.+x+24+in.+x+29+in.+Rebar+Demon+SDS-Max+4-Cutter+Full+Carbide+Head+Hammer+Bit&amp;qid=1694735295&amp;sr=8-39", "https://www.amazon.com/Diablo-Rebar-4-Cutter-Carbide-Hammer/dp/B089LGWV7F/ref=sr_1_39?keywords=Diablo+Tools+DMAMX1040+1%2F2+in.+x+24+in.+x+29+in.+Rebar+Demon+SDS-Max+4-Cutter+Full+Carbide+Head+Hammer+Bit&amp;qid=1694735295&amp;sr=8-39")</f>
        <v/>
      </c>
      <c r="F4244" t="inlineStr">
        <is>
          <t>B089LGWV7F</t>
        </is>
      </c>
      <c r="G4244">
        <f>_xlfn.IMAGE("https://edmondsonsupply.com/cdn/shop/products/DMAMX1040_Main-Image20200701.png?v=1633030363")</f>
        <v/>
      </c>
      <c r="H4244">
        <f>_xlfn.IMAGE("https://m.media-amazon.com/images/I/61q9iw+mKpL._AC_UL320_.jpg")</f>
        <v/>
      </c>
      <c r="K4244" t="inlineStr">
        <is>
          <t>47.97</t>
        </is>
      </c>
      <c r="L4244" t="n">
        <v>99.98999999999999</v>
      </c>
      <c r="M4244" s="1" t="inlineStr">
        <is>
          <t>108.44%</t>
        </is>
      </c>
      <c r="N4244" s="7" t="n">
        <v>0</v>
      </c>
      <c r="O4244" t="n">
        <v>5</v>
      </c>
      <c r="P4244" t="n">
        <v>2</v>
      </c>
      <c r="R4244" t="inlineStr">
        <is>
          <t>InStock</t>
        </is>
      </c>
      <c r="S4244" t="inlineStr">
        <is>
          <t>72.46</t>
        </is>
      </c>
      <c r="T4244" t="inlineStr">
        <is>
          <t>5289126527144</t>
        </is>
      </c>
    </row>
    <row r="4245" ht="87" customHeight="1">
      <c r="A4245" s="2">
        <f>HYPERLINK("https://edmondsonsupply.com/collections/electricians-tools/products/klein-tools-50031-ratcheting-pvc-cutter", "https://edmondsonsupply.com/collections/electricians-tools/products/klein-tools-50031-ratcheting-pvc-cutter")</f>
        <v/>
      </c>
      <c r="B4245" s="2">
        <f>HYPERLINK("https://edmondsonsupply.com/products/klein-tools-50031-ratcheting-pvc-cutter", "https://edmondsonsupply.com/products/klein-tools-50031-ratcheting-pvc-cutter")</f>
        <v/>
      </c>
      <c r="C4245" t="inlineStr">
        <is>
          <t>Klein Tools 50031 Ratcheting PVC Cutter</t>
        </is>
      </c>
      <c r="D4245" t="inlineStr">
        <is>
          <t>Klein Tools 50034 Large Capacity Ratcheting PVC Cutter</t>
        </is>
      </c>
      <c r="E4245" s="2">
        <f>HYPERLINK("https://www.amazon.com/Capacity-Ratcheting-Klein-Tools-50034/dp/B019875KC8/ref=sr_1_6?keywords=Klein+Tools+50031+Ratcheting+PVC+Cutter&amp;qid=1694735177&amp;sr=8-6", "https://www.amazon.com/Capacity-Ratcheting-Klein-Tools-50034/dp/B019875KC8/ref=sr_1_6?keywords=Klein+Tools+50031+Ratcheting+PVC+Cutter&amp;qid=1694735177&amp;sr=8-6")</f>
        <v/>
      </c>
      <c r="F4245" t="inlineStr">
        <is>
          <t>B019875KC8</t>
        </is>
      </c>
      <c r="G4245">
        <f>_xlfn.IMAGE("https://edmondsonsupply.com/cdn/shop/products/50031.jpg?v=1587145344")</f>
        <v/>
      </c>
      <c r="H4245">
        <f>_xlfn.IMAGE("https://m.media-amazon.com/images/I/51bEAgYDRXL._AC_UL320_.jpg")</f>
        <v/>
      </c>
      <c r="K4245" t="inlineStr">
        <is>
          <t>94.99</t>
        </is>
      </c>
      <c r="L4245" t="n">
        <v>197.99</v>
      </c>
      <c r="M4245" s="1" t="inlineStr">
        <is>
          <t>108.43%</t>
        </is>
      </c>
      <c r="N4245" s="7" t="n">
        <v>0</v>
      </c>
      <c r="O4245" t="n">
        <v>5</v>
      </c>
      <c r="P4245" t="n">
        <v>10</v>
      </c>
      <c r="R4245" t="inlineStr">
        <is>
          <t>InStock</t>
        </is>
      </c>
      <c r="S4245" t="inlineStr">
        <is>
          <t>143.9</t>
        </is>
      </c>
      <c r="T4245" t="inlineStr">
        <is>
          <t>4385929920612</t>
        </is>
      </c>
    </row>
    <row r="4246" ht="87" customHeight="1">
      <c r="A4246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4246" s="2">
        <f>HYPERLINK("https://edmondsonsupply.com/products/klein-tools-cl110-digital-clamp-meter-ac-auto-ranging-400-amp", "https://edmondsonsupply.com/products/klein-tools-cl110-digital-clamp-meter-ac-auto-ranging-400-amp")</f>
        <v/>
      </c>
      <c r="C4246" t="inlineStr">
        <is>
          <t>Klein Tools CL120 Digital Clamp Meter, AC Auto-Ranging 400 Amp</t>
        </is>
      </c>
      <c r="D4246" t="inlineStr">
        <is>
          <t>Klein Tools CL220 Digital Clamp Meter, Auto-Ranging 400 Amp AC, AC/DC Voltage, TRMS, Resistance, Continuity, NCVT Detection, and Temp &amp; 80016 Circuit Breaker Finder Tool Kit</t>
        </is>
      </c>
      <c r="E4246" s="2">
        <f>HYPERLINK("https://www.amazon.com/Klein-Tools-Auto-Ranging-Resistance-Continuity/dp/B0BNL6NFV7/ref=sr_1_11?keywords=Klein+Tools+CL120+Digital+Clamp+Meter%2C+AC+Auto-Ranging+400+Amp&amp;qid=1694735357&amp;sr=8-11", "https://www.amazon.com/Klein-Tools-Auto-Ranging-Resistance-Continuity/dp/B0BNL6NFV7/ref=sr_1_11?keywords=Klein+Tools+CL120+Digital+Clamp+Meter%2C+AC+Auto-Ranging+400+Amp&amp;qid=1694735357&amp;sr=8-11")</f>
        <v/>
      </c>
      <c r="F4246" t="inlineStr">
        <is>
          <t>B0BNL6NFV7</t>
        </is>
      </c>
      <c r="G4246">
        <f>_xlfn.IMAGE("https://edmondsonsupply.com/cdn/shop/products/cl120.jpg?v=1633030212")</f>
        <v/>
      </c>
      <c r="H4246">
        <f>_xlfn.IMAGE("https://m.media-amazon.com/images/I/51F5hkzephL._AC_UY218_.jpg")</f>
        <v/>
      </c>
      <c r="K4246" t="inlineStr">
        <is>
          <t>59.97</t>
        </is>
      </c>
      <c r="L4246" t="n">
        <v>124.96</v>
      </c>
      <c r="M4246" s="1" t="inlineStr">
        <is>
          <t>108.37%</t>
        </is>
      </c>
      <c r="N4246" s="7" t="n">
        <v>0</v>
      </c>
      <c r="O4246" t="n">
        <v>5</v>
      </c>
      <c r="P4246" t="n">
        <v>1</v>
      </c>
      <c r="R4246" t="inlineStr">
        <is>
          <t>InStock</t>
        </is>
      </c>
      <c r="S4246" t="inlineStr">
        <is>
          <t>85.26</t>
        </is>
      </c>
      <c r="T4246" t="inlineStr">
        <is>
          <t>4432351527012</t>
        </is>
      </c>
    </row>
    <row r="4247" ht="87" customHeight="1">
      <c r="A4247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4247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4247" t="inlineStr">
        <is>
          <t>Klein Tools NCVT1PKIT Non-Contact Voltage and GFCI Receptacle Test Kit</t>
        </is>
      </c>
      <c r="D4247" t="inlineStr">
        <is>
          <t>Klein Tools 81021 Electrical Tester Tool Kit with Multimeter, Non-Contact Voltage Pen, Receptacle Tester, Wire Stripper / Cutter, 4-Piece, Orange</t>
        </is>
      </c>
      <c r="E4247" s="2">
        <f>HYPERLINK("https://www.amazon.com/Klein-Tools-81021-Electrical-Non-Contact/dp/B09N5598J2/ref=sr_1_19?keywords=Klein+Tools+NCVT1PKIT+Non-Contact+Voltage+and+GFCI+Receptacle+Test+Kit&amp;qid=1694735031&amp;sr=8-19", "https://www.amazon.com/Klein-Tools-81021-Electrical-Non-Contact/dp/B09N5598J2/ref=sr_1_19?keywords=Klein+Tools+NCVT1PKIT+Non-Contact+Voltage+and+GFCI+Receptacle+Test+Kit&amp;qid=1694735031&amp;sr=8-19")</f>
        <v/>
      </c>
      <c r="F4247" t="inlineStr">
        <is>
          <t>B09N5598J2</t>
        </is>
      </c>
      <c r="G4247">
        <f>_xlfn.IMAGE("https://edmondsonsupply.com/cdn/shop/products/ncvt1pkit.jpg?v=1677682920")</f>
        <v/>
      </c>
      <c r="H4247">
        <f>_xlfn.IMAGE("https://m.media-amazon.com/images/I/61J5iWONbvL._AC_UL320_.jpg")</f>
        <v/>
      </c>
      <c r="K4247" t="inlineStr">
        <is>
          <t>24.97</t>
        </is>
      </c>
      <c r="L4247" t="n">
        <v>51.99</v>
      </c>
      <c r="M4247" s="1" t="inlineStr">
        <is>
          <t>108.21%</t>
        </is>
      </c>
      <c r="N4247" s="7" t="n">
        <v>0</v>
      </c>
      <c r="O4247" t="n">
        <v>4.8</v>
      </c>
      <c r="P4247" t="n">
        <v>39</v>
      </c>
      <c r="R4247" t="inlineStr">
        <is>
          <t>InStock</t>
        </is>
      </c>
      <c r="S4247" t="inlineStr">
        <is>
          <t>35.38</t>
        </is>
      </c>
      <c r="T4247" t="inlineStr">
        <is>
          <t>7953960698072</t>
        </is>
      </c>
    </row>
    <row r="4248" ht="87" customHeight="1">
      <c r="A4248" s="2">
        <f>HYPERLINK("https://edmondsonsupply.com/collections/electricians-tools/products/klein-tools-50611-magnetic-wire-puller", "https://edmondsonsupply.com/collections/electricians-tools/products/klein-tools-50611-magnetic-wire-puller")</f>
        <v/>
      </c>
      <c r="B4248" s="2">
        <f>HYPERLINK("https://edmondsonsupply.com/products/klein-tools-50611-magnetic-wire-puller", "https://edmondsonsupply.com/products/klein-tools-50611-magnetic-wire-puller")</f>
        <v/>
      </c>
      <c r="C4248" t="inlineStr">
        <is>
          <t>Klein Tools 50611 Magnetic Wire Puller</t>
        </is>
      </c>
      <c r="D4248" t="inlineStr">
        <is>
          <t>Wire Puller Kit with 30-Foot Glow Fish Rod and Magnetic Wire Puller, 2 Piece Klein Tools 80051 &amp; SRS56037 Magnetic Wire Pulling System</t>
        </is>
      </c>
      <c r="E4248" s="2">
        <f>HYPERLINK("https://www.amazon.com/30-Foot-Magnetic-Klein-Tools-SRS56037/dp/B0BGJ662K2/ref=sr_1_17?keywords=Klein+Tools+50611+Magnetic+Wire+Puller&amp;qid=1694735124&amp;sr=8-17", "https://www.amazon.com/30-Foot-Magnetic-Klein-Tools-SRS56037/dp/B0BGJ662K2/ref=sr_1_17?keywords=Klein+Tools+50611+Magnetic+Wire+Puller&amp;qid=1694735124&amp;sr=8-17")</f>
        <v/>
      </c>
      <c r="F4248" t="inlineStr">
        <is>
          <t>B0BGJ662K2</t>
        </is>
      </c>
      <c r="G4248">
        <f>_xlfn.IMAGE("https://edmondsonsupply.com/cdn/shop/products/50611.jpg?v=1663951524")</f>
        <v/>
      </c>
      <c r="H4248">
        <f>_xlfn.IMAGE("https://m.media-amazon.com/images/I/51b3+RIFa6L._AC_UL320_.jpg")</f>
        <v/>
      </c>
      <c r="K4248" t="inlineStr">
        <is>
          <t>69.97</t>
        </is>
      </c>
      <c r="L4248" t="n">
        <v>145.6</v>
      </c>
      <c r="M4248" s="1" t="inlineStr">
        <is>
          <t>108.09%</t>
        </is>
      </c>
      <c r="N4248" s="7" t="n">
        <v>0</v>
      </c>
      <c r="O4248" t="n">
        <v>5</v>
      </c>
      <c r="P4248" t="n">
        <v>2</v>
      </c>
      <c r="R4248" t="inlineStr">
        <is>
          <t>InStock</t>
        </is>
      </c>
      <c r="S4248" t="inlineStr">
        <is>
          <t>106.06</t>
        </is>
      </c>
      <c r="T4248" t="inlineStr">
        <is>
          <t>7827343999192</t>
        </is>
      </c>
    </row>
    <row r="4249" ht="87" customHeight="1">
      <c r="A4249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4249" s="2">
        <f>HYPERLINK("https://edmondsonsupply.com/products/klein-tools-d2000-9ne-linemans-pliers-9-inch", "https://edmondsonsupply.com/products/klein-tools-d2000-9ne-linemans-pliers-9-inch")</f>
        <v/>
      </c>
      <c r="C4249" t="inlineStr">
        <is>
          <t>Klein Tools D2000-9NE Lineman's Pliers, 9-Inch</t>
        </is>
      </c>
      <c r="D4249" t="inlineStr">
        <is>
          <t>Klein Tools D2000-9ST Pliers, Side Cutters are Heavy-Duty 9-Inch Ironworker Pliers &amp; D248-9ST Pliers, Ironworker's Diagonal Cutting Pliers, 9-Inch</t>
        </is>
      </c>
      <c r="E4249" s="2">
        <f>HYPERLINK("https://www.amazon.com/Klein-Tools-Heavy-Duty-Ironworker-Ironworkers/dp/B0BC83WT6M/ref=sr_1_26?keywords=Klein+Tools+D2000-9NE+Linemans+Pliers%2C+9-Inch&amp;qid=1694735236&amp;sr=8-26", "https://www.amazon.com/Klein-Tools-Heavy-Duty-Ironworker-Ironworkers/dp/B0BC83WT6M/ref=sr_1_26?keywords=Klein+Tools+D2000-9NE+Linemans+Pliers%2C+9-Inch&amp;qid=1694735236&amp;sr=8-26")</f>
        <v/>
      </c>
      <c r="F4249" t="inlineStr">
        <is>
          <t>B0BC83WT6M</t>
        </is>
      </c>
      <c r="G4249">
        <f>_xlfn.IMAGE("https://edmondsonsupply.com/cdn/shop/products/d20009ne.jpg?v=1633030816")</f>
        <v/>
      </c>
      <c r="H4249">
        <f>_xlfn.IMAGE("https://m.media-amazon.com/images/I/315V9YpGXrL._AC_UL320_.jpg")</f>
        <v/>
      </c>
      <c r="K4249" t="inlineStr">
        <is>
          <t>39.99</t>
        </is>
      </c>
      <c r="L4249" t="n">
        <v>82.95999999999999</v>
      </c>
      <c r="M4249" s="1" t="inlineStr">
        <is>
          <t>107.45%</t>
        </is>
      </c>
      <c r="N4249" s="7" t="n">
        <v>0</v>
      </c>
      <c r="O4249" t="n">
        <v>5</v>
      </c>
      <c r="P4249" t="n">
        <v>6</v>
      </c>
      <c r="R4249" t="inlineStr">
        <is>
          <t>InStock</t>
        </is>
      </c>
      <c r="S4249" t="inlineStr">
        <is>
          <t>62.04</t>
        </is>
      </c>
      <c r="T4249" t="inlineStr">
        <is>
          <t>6070895411373</t>
        </is>
      </c>
    </row>
    <row r="4250" hidden="1" ht="15.75" customHeight="1">
      <c r="A4250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4250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4250" t="inlineStr">
        <is>
          <t>Klein Tools JTH4E09 9/64-Inch Hex Key Journeyman T-Handle 4-Inch</t>
        </is>
      </c>
      <c r="D4250" t="inlineStr">
        <is>
          <t>Klein Tools JTH9M4 4 mm Hex Key with Journeyman T-Handle, 9-Inch</t>
        </is>
      </c>
      <c r="E4250" s="2">
        <f>HYPERLINK("https://www.amazon.com/Journeyman-T-Handle-Klein-Tools-JTH9M4/dp/B005G3HJ8M/ref=sr_1_16?keywords=Klein+Tools+JTH4E09+9%2F64-Inch+Hex+Key+Journeyman+T-Handle+4-Inch&amp;qid=1694735175&amp;sr=8-16", "https://www.amazon.com/Journeyman-T-Handle-Klein-Tools-JTH9M4/dp/B005G3HJ8M/ref=sr_1_16?keywords=Klein+Tools+JTH4E09+9%2F64-Inch+Hex+Key+Journeyman+T-Handle+4-Inch&amp;qid=1694735175&amp;sr=8-16")</f>
        <v/>
      </c>
      <c r="F4250" t="inlineStr">
        <is>
          <t>B005G3HJ8M</t>
        </is>
      </c>
      <c r="G4250">
        <f>_xludf.IMAGE("https://edmondsonsupply.com/cdn/shop/products/jth4e06_be5118a6-2e9d-44f5-81ad-c027572dd2d3.jpg?v=1635981570")</f>
        <v/>
      </c>
      <c r="H4250">
        <f>_xludf.IMAGE("https://m.media-amazon.com/images/I/51+1x0vz9XL._AC_UL320_.jpg")</f>
        <v/>
      </c>
      <c r="K4250" t="inlineStr">
        <is>
          <t>3.79</t>
        </is>
      </c>
      <c r="L4250" t="n">
        <v>7.84</v>
      </c>
      <c r="M4250" s="1" t="inlineStr">
        <is>
          <t>106.86%</t>
        </is>
      </c>
      <c r="N4250" s="1" t="n">
        <v>0</v>
      </c>
      <c r="O4250" t="n">
        <v>4.6</v>
      </c>
      <c r="P4250" t="n">
        <v>135</v>
      </c>
      <c r="R4250" t="inlineStr">
        <is>
          <t>InStock</t>
        </is>
      </c>
      <c r="S4250" t="inlineStr">
        <is>
          <t>5.76</t>
        </is>
      </c>
      <c r="T4250" t="inlineStr">
        <is>
          <t>7434795876568</t>
        </is>
      </c>
    </row>
    <row r="4251" ht="87" customHeight="1">
      <c r="A4251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4251" s="2">
        <f>HYPERLINK("https://edmondsonsupply.com/products/klein-tools-635-7-16-7-16-inch-heavy-duty-nut-driver", "https://edmondsonsupply.com/products/klein-tools-635-7-16-7-16-inch-heavy-duty-nut-driver")</f>
        <v/>
      </c>
      <c r="C4251" t="inlineStr">
        <is>
          <t>Klein Tools 635-7/16 7/16-Inch Heavy-Duty Nut Driver</t>
        </is>
      </c>
      <c r="D4251" t="inlineStr">
        <is>
          <t>Klein Tools 32807MAG 7-in-1 Nut Driver, Magnetic Driver has SAE Hex Nut Sizes 1/4 to 9/16-Inch, Cushion Grip Handle for Added Torque</t>
        </is>
      </c>
      <c r="E4251" s="2">
        <f>HYPERLINK("https://www.amazon.com/Driver-Magnetic-Klein-Tools-32807MAG/dp/B07D4M51DQ/ref=sr_1_14?keywords=Klein+Tools+635-7%2F16+7%2F16-Inch+Heavy-Duty+Nut+Driver&amp;qid=1694735398&amp;sr=8-14", "https://www.amazon.com/Driver-Magnetic-Klein-Tools-32807MAG/dp/B07D4M51DQ/ref=sr_1_14?keywords=Klein+Tools+635-7%2F16+7%2F16-Inch+Heavy-Duty+Nut+Driver&amp;qid=1694735398&amp;sr=8-14")</f>
        <v/>
      </c>
      <c r="F4251" t="inlineStr">
        <is>
          <t>B07D4M51DQ</t>
        </is>
      </c>
      <c r="G4251">
        <f>_xlfn.IMAGE("https://edmondsonsupply.com/cdn/shop/products/635-7-16.jpg?v=1587145128")</f>
        <v/>
      </c>
      <c r="H4251">
        <f>_xlfn.IMAGE("https://m.media-amazon.com/images/I/61gwAJBzDAL._AC_UL320_.jpg")</f>
        <v/>
      </c>
      <c r="K4251" t="inlineStr">
        <is>
          <t>14.49</t>
        </is>
      </c>
      <c r="L4251" t="n">
        <v>29.97</v>
      </c>
      <c r="M4251" s="1" t="inlineStr">
        <is>
          <t>106.83%</t>
        </is>
      </c>
      <c r="N4251" s="7" t="n">
        <v>0</v>
      </c>
      <c r="O4251" t="n">
        <v>4.7</v>
      </c>
      <c r="P4251" t="n">
        <v>9145</v>
      </c>
      <c r="R4251" t="inlineStr">
        <is>
          <t>InStock</t>
        </is>
      </c>
      <c r="S4251" t="inlineStr">
        <is>
          <t>21.94</t>
        </is>
      </c>
      <c r="T4251" t="inlineStr">
        <is>
          <t>4410745978980</t>
        </is>
      </c>
    </row>
    <row r="4252" ht="87" customHeight="1">
      <c r="A4252" s="2">
        <f>HYPERLINK("https://edmondsonsupply.com/collections/electricians-tools/products/klein-tools-jth6t40-t40-torx%C2%AE-hex-key-with-journeyman-t-handle-6-inch", "https://edmondsonsupply.com/collections/electricians-tools/products/klein-tools-jth6t40-t40-torx%C2%AE-hex-key-with-journeyman-t-handle-6-inch")</f>
        <v/>
      </c>
      <c r="B4252" s="2">
        <f>HYPERLINK("https://edmondsonsupply.com/products/klein-tools-jth6t40-t40-torx%c2%ae-hex-key-with-journeyman-t-handle-6-inch", "https://edmondsonsupply.com/products/klein-tools-jth6t40-t40-torx%c2%ae-hex-key-with-journeyman-t-handle-6-inch")</f>
        <v/>
      </c>
      <c r="C4252" t="inlineStr">
        <is>
          <t>Klein Tools JTH6T40 T40 Torx® Hex Key with Journeyman T-Handle, 6-Inch</t>
        </is>
      </c>
      <c r="D4252" t="inlineStr">
        <is>
          <t>Klein Tools JTH6E17BE 1/2-Inch Ball End Hex Key with Journeyman T-Handle, 6-Inch</t>
        </is>
      </c>
      <c r="E4252" s="2">
        <f>HYPERLINK("https://www.amazon.com/Journeyman-T-Handle-Klein-Tools-JTH6E17BE/dp/B004QW58Q4/ref=sr_1_6?keywords=Klein+Tools+JTH6T40+T40+Torx%C2%AE+Hex+Key+with+Journeyman+T-Handle%2C+6-Inch&amp;qid=1694735361&amp;sr=8-6", "https://www.amazon.com/Journeyman-T-Handle-Klein-Tools-JTH6E17BE/dp/B004QW58Q4/ref=sr_1_6?keywords=Klein+Tools+JTH6T40+T40+Torx%C2%AE+Hex+Key+with+Journeyman+T-Handle%2C+6-Inch&amp;qid=1694735361&amp;sr=8-6")</f>
        <v/>
      </c>
      <c r="F4252" t="inlineStr">
        <is>
          <t>B004QW58Q4</t>
        </is>
      </c>
      <c r="G4252">
        <f>_xlfn.IMAGE("https://edmondsonsupply.com/cdn/shop/products/jth6t40_5dae4b7a-507d-4e73-a856-e10843f13488.jpg?v=1587149691")</f>
        <v/>
      </c>
      <c r="H4252">
        <f>_xlfn.IMAGE("https://m.media-amazon.com/images/I/51f9vBFVXgL._AC_UL320_.jpg")</f>
        <v/>
      </c>
      <c r="K4252" t="inlineStr">
        <is>
          <t>10.99</t>
        </is>
      </c>
      <c r="L4252" t="n">
        <v>22.72</v>
      </c>
      <c r="M4252" s="1" t="inlineStr">
        <is>
          <t>106.73%</t>
        </is>
      </c>
      <c r="N4252" s="7" t="n">
        <v>0</v>
      </c>
      <c r="O4252" t="n">
        <v>4.8</v>
      </c>
      <c r="P4252" t="n">
        <v>454</v>
      </c>
      <c r="R4252" t="inlineStr">
        <is>
          <t>InStock</t>
        </is>
      </c>
      <c r="S4252" t="inlineStr">
        <is>
          <t>16.66</t>
        </is>
      </c>
      <c r="T4252" t="inlineStr">
        <is>
          <t>4451485352036</t>
        </is>
      </c>
    </row>
    <row r="4253" ht="87" customHeight="1">
      <c r="A4253" s="2">
        <f>HYPERLINK("https://edmondsonsupply.com/collections/electricians-tools/products/milwaukee-2553-22", "https://edmondsonsupply.com/collections/electricians-tools/products/milwaukee-2553-22")</f>
        <v/>
      </c>
      <c r="B4253" s="2">
        <f>HYPERLINK("https://edmondsonsupply.com/products/milwaukee-2553-22", "https://edmondsonsupply.com/products/milwaukee-2553-22")</f>
        <v/>
      </c>
      <c r="C4253" t="inlineStr">
        <is>
          <t>Milwaukee 2553-22 M12 FUEL™ 1/4" Hex Impact Driver Kit</t>
        </is>
      </c>
      <c r="D4253" t="inlineStr">
        <is>
          <t>Milwaukee 2853-22 M18 FUEL 1/4" Hex Impact Driver XC Kit</t>
        </is>
      </c>
      <c r="E4253" s="2">
        <f>HYPERLINK("https://www.amazon.com/Milwaukee-2853-22-FUEL-Impact-Driver/dp/B07G9H57FM/ref=sr_1_15?keywords=Milwaukee+2553-22+M12+FUEL%E2%84%A2+1%2F4%22+Hex+Impact+Driver+Kit&amp;qid=1694735083&amp;sr=8-15", "https://www.amazon.com/Milwaukee-2853-22-FUEL-Impact-Driver/dp/B07G9H57FM/ref=sr_1_15?keywords=Milwaukee+2553-22+M12+FUEL%E2%84%A2+1%2F4%22+Hex+Impact+Driver+Kit&amp;qid=1694735083&amp;sr=8-15")</f>
        <v/>
      </c>
      <c r="F4253" t="inlineStr">
        <is>
          <t>B07G9H57FM</t>
        </is>
      </c>
      <c r="G4253">
        <f>_xlfn.IMAGE("https://edmondsonsupply.com/cdn/shop/products/2553-22_Kit.webp?v=1668445129")</f>
        <v/>
      </c>
      <c r="H4253">
        <f>_xlfn.IMAGE("https://m.media-amazon.com/images/I/61U85JXP9NL._AC_UL320_.jpg")</f>
        <v/>
      </c>
      <c r="K4253" t="inlineStr">
        <is>
          <t>169.0</t>
        </is>
      </c>
      <c r="L4253" t="n">
        <v>349</v>
      </c>
      <c r="M4253" s="1" t="inlineStr">
        <is>
          <t>106.51%</t>
        </is>
      </c>
      <c r="N4253" s="7" t="n">
        <v>0</v>
      </c>
      <c r="O4253" t="n">
        <v>4.8</v>
      </c>
      <c r="P4253" t="n">
        <v>528</v>
      </c>
      <c r="R4253" t="inlineStr">
        <is>
          <t>InStock</t>
        </is>
      </c>
      <c r="S4253" t="inlineStr">
        <is>
          <t>299.0</t>
        </is>
      </c>
      <c r="T4253" t="inlineStr">
        <is>
          <t>7884423528664</t>
        </is>
      </c>
    </row>
    <row r="4254" ht="87" customHeight="1">
      <c r="A4254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4254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4254" t="inlineStr">
        <is>
          <t>Diablo Tools DMAPL4040 3/16 in. x 4 in. x 6 in. Rebar Demon™ SDS-Plus 4-Cutter Full Carbide Head Hammer Bit</t>
        </is>
      </c>
      <c r="D4254" t="inlineStr">
        <is>
          <t>Diablo 7/16"x10"x12" Rebar Demon™ SDS-Plus 4-Cutter Full Carbide Head Hammer Bit</t>
        </is>
      </c>
      <c r="E4254" s="2">
        <f>HYPERLINK("https://www.amazon.com/Diablo-SDS-Plus-4-Cutter-Carbide-Hammer/dp/B089LFSQTY/ref=sr_1_27?keywords=Diablo+Tools+DMAPL4040+3%2F16+in.+x+4+in.+x+6+in.+Rebar+Demon%E2%84%A2+SDS-Plus+4-Cutter+Full+Carbide+Head+Hammer+Bit&amp;qid=1694735297&amp;sr=8-27", "https://www.amazon.com/Diablo-SDS-Plus-4-Cutter-Carbide-Hammer/dp/B089LFSQTY/ref=sr_1_27?keywords=Diablo+Tools+DMAPL4040+3%2F16+in.+x+4+in.+x+6+in.+Rebar+Demon%E2%84%A2+SDS-Plus+4-Cutter+Full+Carbide+Head+Hammer+Bit&amp;qid=1694735297&amp;sr=8-27")</f>
        <v/>
      </c>
      <c r="F4254" t="inlineStr">
        <is>
          <t>B089LFSQTY</t>
        </is>
      </c>
      <c r="G4254">
        <f>_xlfn.IMAGE("https://edmondsonsupply.com/cdn/shop/products/DMAPL4040_Main-Image20200701.png?v=1633030358")</f>
        <v/>
      </c>
      <c r="H4254">
        <f>_xlfn.IMAGE("https://m.media-amazon.com/images/I/61jzOMGnS3L._AC_UL320_.jpg")</f>
        <v/>
      </c>
      <c r="K4254" t="inlineStr">
        <is>
          <t>8.47</t>
        </is>
      </c>
      <c r="L4254" t="n">
        <v>17.49</v>
      </c>
      <c r="M4254" s="1" t="inlineStr">
        <is>
          <t>106.49%</t>
        </is>
      </c>
      <c r="N4254" s="7" t="n">
        <v>0</v>
      </c>
      <c r="O4254" t="n">
        <v>4.6</v>
      </c>
      <c r="P4254" t="n">
        <v>7</v>
      </c>
      <c r="R4254" t="inlineStr">
        <is>
          <t>InStock</t>
        </is>
      </c>
      <c r="S4254" t="inlineStr">
        <is>
          <t>undefined</t>
        </is>
      </c>
      <c r="T4254" t="inlineStr">
        <is>
          <t>5286740426920</t>
        </is>
      </c>
    </row>
    <row r="4255" ht="87" customHeight="1">
      <c r="A4255" s="2">
        <f>HYPERLINK("https://edmondsonsupply.com/collections/electricians-tools/products/diablo-tools-dmamx1040", "https://edmondsonsupply.com/collections/electricians-tools/products/diablo-tools-dmamx1040")</f>
        <v/>
      </c>
      <c r="B4255" s="2">
        <f>HYPERLINK("https://edmondsonsupply.com/products/diablo-tools-dmamx1040", "https://edmondsonsupply.com/products/diablo-tools-dmamx1040")</f>
        <v/>
      </c>
      <c r="C4255" t="inlineStr">
        <is>
          <t>Diablo Tools DMAMX1040 1/2 in. x 24 in. x 29 in. Rebar Demon SDS-Max 4-Cutter Full Carbide Head Hammer Bit</t>
        </is>
      </c>
      <c r="D4255" t="inlineStr">
        <is>
          <t>Diablo DMAMX1360 1-1/2 in. x 16 in. x 21 in. Rebar Demon™ SDS-Max 4-Cutter Carbide-Tipped Hammer Bit</t>
        </is>
      </c>
      <c r="E4255" s="2">
        <f>HYPERLINK("https://www.amazon.com/Diablo-SDS-Max-4-Cutter-Carbide-Tipped-Hammer/dp/B089KXF4R5/ref=sr_1_41?keywords=Diablo+Tools+DMAMX1040+1%2F2+in.+x+24+in.+x+29+in.+Rebar+Demon+SDS-Max+4-Cutter+Full+Carbide+Head+Hammer+Bit&amp;qid=1694735295&amp;sr=8-41", "https://www.amazon.com/Diablo-SDS-Max-4-Cutter-Carbide-Tipped-Hammer/dp/B089KXF4R5/ref=sr_1_41?keywords=Diablo+Tools+DMAMX1040+1%2F2+in.+x+24+in.+x+29+in.+Rebar+Demon+SDS-Max+4-Cutter+Full+Carbide+Head+Hammer+Bit&amp;qid=1694735295&amp;sr=8-41")</f>
        <v/>
      </c>
      <c r="F4255" t="inlineStr">
        <is>
          <t>B089KXF4R5</t>
        </is>
      </c>
      <c r="G4255">
        <f>_xlfn.IMAGE("https://edmondsonsupply.com/cdn/shop/products/DMAMX1040_Main-Image20200701.png?v=1633030363")</f>
        <v/>
      </c>
      <c r="H4255">
        <f>_xlfn.IMAGE("https://m.media-amazon.com/images/I/61MTkJ-cWaL._AC_UL320_.jpg")</f>
        <v/>
      </c>
      <c r="K4255" t="inlineStr">
        <is>
          <t>47.97</t>
        </is>
      </c>
      <c r="L4255" t="n">
        <v>98.98999999999999</v>
      </c>
      <c r="M4255" s="1" t="inlineStr">
        <is>
          <t>106.36%</t>
        </is>
      </c>
      <c r="N4255" s="7" t="n">
        <v>0</v>
      </c>
      <c r="O4255" t="n">
        <v>5</v>
      </c>
      <c r="P4255" t="n">
        <v>5</v>
      </c>
      <c r="R4255" t="inlineStr">
        <is>
          <t>InStock</t>
        </is>
      </c>
      <c r="S4255" t="inlineStr">
        <is>
          <t>72.46</t>
        </is>
      </c>
      <c r="T4255" t="inlineStr">
        <is>
          <t>5289126527144</t>
        </is>
      </c>
    </row>
    <row r="4256" ht="87" customHeight="1">
      <c r="A4256" s="2">
        <f>HYPERLINK("https://edmondsonsupply.com/collections/electricians-tools/products/greenlee-0153-42c", "https://edmondsonsupply.com/collections/electricians-tools/products/greenlee-0153-42c")</f>
        <v/>
      </c>
      <c r="B4256" s="2">
        <f>HYPERLINK("https://edmondsonsupply.com/products/greenlee-0153-42c", "https://edmondsonsupply.com/products/greenlee-0153-42c")</f>
        <v/>
      </c>
      <c r="C4256" t="inlineStr">
        <is>
          <t>Greenlee 0153-42C 6-IN-1 Multi-Tool</t>
        </is>
      </c>
      <c r="D4256" t="inlineStr">
        <is>
          <t>Greenlee 0153-47C 11-in-1 Multi-Tool Driver</t>
        </is>
      </c>
      <c r="E4256" s="2">
        <f>HYPERLINK("https://www.amazon.com/Greenlee-0153-47C-11-in-1-Multi-Tool-Driver/dp/B07KRT84RK/ref=sr_1_22?keywords=Greenlee+0153-42C+6-IN-1+Multi-Tool&amp;qid=1694735387&amp;sr=8-22", "https://www.amazon.com/Greenlee-0153-47C-11-in-1-Multi-Tool-Driver/dp/B07KRT84RK/ref=sr_1_22?keywords=Greenlee+0153-42C+6-IN-1+Multi-Tool&amp;qid=1694735387&amp;sr=8-22")</f>
        <v/>
      </c>
      <c r="F4256" t="inlineStr">
        <is>
          <t>B07KRT84RK</t>
        </is>
      </c>
      <c r="G4256">
        <f>_xlfn.IMAGE("https://edmondsonsupply.com/cdn/shop/products/0153-42C.jpg?v=1587148802")</f>
        <v/>
      </c>
      <c r="H4256">
        <f>_xlfn.IMAGE("https://m.media-amazon.com/images/I/81uBdZ72UAL._AC_UL320_.jpg")</f>
        <v/>
      </c>
      <c r="K4256" t="inlineStr">
        <is>
          <t>10.59</t>
        </is>
      </c>
      <c r="L4256" t="n">
        <v>21.85</v>
      </c>
      <c r="M4256" s="1" t="inlineStr">
        <is>
          <t>106.33%</t>
        </is>
      </c>
      <c r="N4256" s="7" t="n">
        <v>0</v>
      </c>
      <c r="O4256" t="n">
        <v>4.6</v>
      </c>
      <c r="P4256" t="n">
        <v>207</v>
      </c>
      <c r="R4256" t="inlineStr">
        <is>
          <t>InStock</t>
        </is>
      </c>
      <c r="S4256" t="inlineStr">
        <is>
          <t>11.35</t>
        </is>
      </c>
      <c r="T4256" t="inlineStr">
        <is>
          <t>4412725166180</t>
        </is>
      </c>
    </row>
    <row r="4257" ht="87" customHeight="1">
      <c r="A4257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4257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4257" t="inlineStr">
        <is>
          <t>Klein Tools NCVT1PKIT Non-Contact Voltage and GFCI Receptacle Test Kit</t>
        </is>
      </c>
      <c r="D4257" t="inlineStr">
        <is>
          <t>Klein Tools 80041 Outlet Repair Tool Kit with GFCI Receptacle Tester, Non Contact Voltage Tester and Wire Stripper, 3-Piece,Black</t>
        </is>
      </c>
      <c r="E4257" s="2">
        <f>HYPERLINK("https://www.amazon.com/Klein-Tools-80041-Receptacle-Stripper/dp/B0977QNC3X/ref=sr_1_4?keywords=Klein+Tools+NCVT1PKIT+Non-Contact+Voltage+and+GFCI+Receptacle+Test+Kit&amp;qid=1694735031&amp;sr=8-4", "https://www.amazon.com/Klein-Tools-80041-Receptacle-Stripper/dp/B0977QNC3X/ref=sr_1_4?keywords=Klein+Tools+NCVT1PKIT+Non-Contact+Voltage+and+GFCI+Receptacle+Test+Kit&amp;qid=1694735031&amp;sr=8-4")</f>
        <v/>
      </c>
      <c r="F4257" t="inlineStr">
        <is>
          <t>B0977QNC3X</t>
        </is>
      </c>
      <c r="G4257">
        <f>_xlfn.IMAGE("https://edmondsonsupply.com/cdn/shop/products/ncvt1pkit.jpg?v=1677682920")</f>
        <v/>
      </c>
      <c r="H4257">
        <f>_xlfn.IMAGE("https://m.media-amazon.com/images/I/61swpb0jNLS._AC_UL320_.jpg")</f>
        <v/>
      </c>
      <c r="K4257" t="inlineStr">
        <is>
          <t>24.97</t>
        </is>
      </c>
      <c r="L4257" t="n">
        <v>51.49</v>
      </c>
      <c r="M4257" s="1" t="inlineStr">
        <is>
          <t>106.21%</t>
        </is>
      </c>
      <c r="N4257" s="7" t="n">
        <v>0</v>
      </c>
      <c r="O4257" t="n">
        <v>4.8</v>
      </c>
      <c r="P4257" t="n">
        <v>7942</v>
      </c>
      <c r="R4257" t="inlineStr">
        <is>
          <t>InStock</t>
        </is>
      </c>
      <c r="S4257" t="inlineStr">
        <is>
          <t>35.38</t>
        </is>
      </c>
      <c r="T4257" t="inlineStr">
        <is>
          <t>7953960698072</t>
        </is>
      </c>
    </row>
    <row r="4258" ht="87" customHeight="1">
      <c r="A4258" s="2">
        <f>HYPERLINK("https://edmondsonsupply.com/collections/electricians-tools/products/klein-tools-44201-electricians-pocket-knife", "https://edmondsonsupply.com/collections/electricians-tools/products/klein-tools-44201-electricians-pocket-knife")</f>
        <v/>
      </c>
      <c r="B4258" s="2">
        <f>HYPERLINK("https://edmondsonsupply.com/products/klein-tools-44201-electricians-pocket-knife", "https://edmondsonsupply.com/products/klein-tools-44201-electricians-pocket-knife")</f>
        <v/>
      </c>
      <c r="C4258" t="inlineStr">
        <is>
          <t>Klein Tools 44201 Electrician's Pocket Knife</t>
        </is>
      </c>
      <c r="D4258" t="inlineStr">
        <is>
          <t>Klein Tools 55580 Stainless Steel Tumbler &amp; Klein Tools 44228 Electrician's Pocket Knife with Stainless Steel Blade, Perfect for Splitting Cable, Stripping Wire and Everyday Tasks</t>
        </is>
      </c>
      <c r="E4258" s="2">
        <f>HYPERLINK("https://www.amazon.com/Klein-Tools-Stainless-Electricians-Splitting/dp/B0BNL9BF2K/ref=sr_1_21?keywords=Klein+Tools+44201+Electrician%27s+Pocket+Knife&amp;qid=1694735372&amp;sr=8-21", "https://www.amazon.com/Klein-Tools-Stainless-Electricians-Splitting/dp/B0BNL9BF2K/ref=sr_1_21?keywords=Klein+Tools+44201+Electrician%27s+Pocket+Knife&amp;qid=1694735372&amp;sr=8-21")</f>
        <v/>
      </c>
      <c r="F4258" t="inlineStr">
        <is>
          <t>B0BNL9BF2K</t>
        </is>
      </c>
      <c r="G4258">
        <f>_xlfn.IMAGE("https://edmondsonsupply.com/cdn/shop/products/44201.jpg?v=1587143552")</f>
        <v/>
      </c>
      <c r="H4258">
        <f>_xlfn.IMAGE("https://m.media-amazon.com/images/I/41iUFla+16L._AC_UL320_.jpg")</f>
        <v/>
      </c>
      <c r="K4258" t="inlineStr">
        <is>
          <t>21.99</t>
        </is>
      </c>
      <c r="L4258" t="n">
        <v>45.3</v>
      </c>
      <c r="M4258" s="1" t="inlineStr">
        <is>
          <t>106.00%</t>
        </is>
      </c>
      <c r="N4258" s="7" t="n">
        <v>0</v>
      </c>
      <c r="O4258" t="n">
        <v>5</v>
      </c>
      <c r="P4258" t="n">
        <v>1</v>
      </c>
      <c r="R4258" t="inlineStr">
        <is>
          <t>InStock</t>
        </is>
      </c>
      <c r="S4258" t="inlineStr">
        <is>
          <t>32.02</t>
        </is>
      </c>
      <c r="T4258" t="inlineStr">
        <is>
          <t>2846982471780</t>
        </is>
      </c>
    </row>
    <row r="4259" ht="87" customHeight="1">
      <c r="A4259" s="2">
        <f>HYPERLINK("https://edmondsonsupply.com/collections/electricians-tools/products/klein-tools-614-3-electronics-screwdriver-3-32-2-mm-slotted-3-76-mm-blade", "https://edmondsonsupply.com/collections/electricians-tools/products/klein-tools-614-3-electronics-screwdriver-3-32-2-mm-slotted-3-76-mm-blade")</f>
        <v/>
      </c>
      <c r="B4259" s="2">
        <f>HYPERLINK("https://edmondsonsupply.com/products/klein-tools-614-3-electronics-screwdriver-3-32-2-mm-slotted-3-76-mm-blade", "https://edmondsonsupply.com/products/klein-tools-614-3-electronics-screwdriver-3-32-2-mm-slotted-3-76-mm-blade")</f>
        <v/>
      </c>
      <c r="C4259" t="inlineStr">
        <is>
          <t>Klein Tools 614-3 3/32-Inch Slotted Electronics Screwdriver, 3-Inch</t>
        </is>
      </c>
      <c r="D4259" t="inlineStr">
        <is>
          <t>Klein Tools 607-3-INS Insulated Screwdriver, 3/32-Inch Cabinet Tip with 3-Inch Shank</t>
        </is>
      </c>
      <c r="E4259" s="2">
        <f>HYPERLINK("https://www.amazon.com/Insulated-Screwdriver-Klein-Tools-607-3-INS/dp/B00J9S35OW/ref=sr_1_13?keywords=Klein+Tools+614-3+3%2F32-Inch+Slotted+Electronics+Screwdriver%2C+3-Inch&amp;qid=1694735400&amp;sr=8-13", "https://www.amazon.com/Insulated-Screwdriver-Klein-Tools-607-3-INS/dp/B00J9S35OW/ref=sr_1_13?keywords=Klein+Tools+614-3+3%2F32-Inch+Slotted+Electronics+Screwdriver%2C+3-Inch&amp;qid=1694735400&amp;sr=8-13")</f>
        <v/>
      </c>
      <c r="F4259" t="inlineStr">
        <is>
          <t>B00J9S35OW</t>
        </is>
      </c>
      <c r="G4259">
        <f>_xlfn.IMAGE("https://edmondsonsupply.com/cdn/shop/products/614-3.jpg?v=1587143248")</f>
        <v/>
      </c>
      <c r="H4259">
        <f>_xlfn.IMAGE("https://m.media-amazon.com/images/I/51qSRHnYpuL._AC_UL320_.jpg")</f>
        <v/>
      </c>
      <c r="K4259" t="inlineStr">
        <is>
          <t>8.49</t>
        </is>
      </c>
      <c r="L4259" t="n">
        <v>17.48</v>
      </c>
      <c r="M4259" s="1" t="inlineStr">
        <is>
          <t>105.89%</t>
        </is>
      </c>
      <c r="N4259" s="7" t="n">
        <v>0</v>
      </c>
      <c r="O4259" t="n">
        <v>4.2</v>
      </c>
      <c r="P4259" t="n">
        <v>62</v>
      </c>
      <c r="R4259" t="inlineStr">
        <is>
          <t>InStock</t>
        </is>
      </c>
      <c r="S4259" t="inlineStr">
        <is>
          <t>12.86</t>
        </is>
      </c>
      <c r="T4259" t="inlineStr">
        <is>
          <t>2766956003428</t>
        </is>
      </c>
    </row>
    <row r="4260" ht="87" customHeight="1">
      <c r="A4260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260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260" t="inlineStr">
        <is>
          <t>Klein Tools 605-4 1/4-Inch Cabinet Tip Screwdriver 4-Inch Shank</t>
        </is>
      </c>
      <c r="D4260" t="inlineStr">
        <is>
          <t>Klein Tools 601-4-INS Insulated Screwdriver, 3/16-Inch Cabinet Tip with 4-Inch Shank</t>
        </is>
      </c>
      <c r="E4260" s="2">
        <f>HYPERLINK("https://www.amazon.com/Insulated-Screwdriver-Klein-Tools-601-4-INS/dp/B000LEBVIK/ref=sr_1_6?keywords=Klein+Tools+605-4+1%2F4-Inch+Cabinet+Tip+Screwdriver+4-Inch+Shank&amp;qid=1694735099&amp;sr=8-6", "https://www.amazon.com/Insulated-Screwdriver-Klein-Tools-601-4-INS/dp/B000LEBVIK/ref=sr_1_6?keywords=Klein+Tools+605-4+1%2F4-Inch+Cabinet+Tip+Screwdriver+4-Inch+Shank&amp;qid=1694735099&amp;sr=8-6")</f>
        <v/>
      </c>
      <c r="F4260" t="inlineStr">
        <is>
          <t>B000LEBVIK</t>
        </is>
      </c>
      <c r="G4260">
        <f>_xlfn.IMAGE("https://edmondsonsupply.com/cdn/shop/products/605-6_ac5e56ca-920d-4d55-842f-c7dc8361f892.jpg?v=1665688377")</f>
        <v/>
      </c>
      <c r="H4260">
        <f>_xlfn.IMAGE("https://m.media-amazon.com/images/I/41SIcZZiIAL._AC_UL320_.jpg")</f>
        <v/>
      </c>
      <c r="K4260" t="inlineStr">
        <is>
          <t>8.99</t>
        </is>
      </c>
      <c r="L4260" t="n">
        <v>18.49</v>
      </c>
      <c r="M4260" s="1" t="inlineStr">
        <is>
          <t>105.67%</t>
        </is>
      </c>
      <c r="N4260" s="7" t="n">
        <v>0</v>
      </c>
      <c r="O4260" t="n">
        <v>4.8</v>
      </c>
      <c r="P4260" t="n">
        <v>1068</v>
      </c>
      <c r="R4260" t="inlineStr">
        <is>
          <t>InStock</t>
        </is>
      </c>
      <c r="S4260" t="inlineStr">
        <is>
          <t>13.6</t>
        </is>
      </c>
      <c r="T4260" t="inlineStr">
        <is>
          <t>7852059132120</t>
        </is>
      </c>
    </row>
    <row r="4261" ht="87" customHeight="1">
      <c r="A4261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4261" s="2">
        <f>HYPERLINK("https://edmondsonsupply.com/products/diablo-tools-d0760x-7-1-4-in-x-60-tooth-ultra-finish-saw-blade", "https://edmondsonsupply.com/products/diablo-tools-d0760x-7-1-4-in-x-60-tooth-ultra-finish-saw-blade")</f>
        <v/>
      </c>
      <c r="C4261" t="inlineStr">
        <is>
          <t>Diablo Tools D0760X 7-1/4 in. x 60 Tooth Ultra Finish Saw Blade</t>
        </is>
      </c>
      <c r="D4261" t="inlineStr">
        <is>
          <t>Freud D0760A Diablo 7-1/4" x 60-Tooth Ultra Fine Finishing Circular Saw Blade With 5/8" Arbor (2 Pack)</t>
        </is>
      </c>
      <c r="E4261" s="2">
        <f>HYPERLINK("https://www.amazon.com/D0760A-Diablo-60-Tooth-Finishing-Circular/dp/B0763T4PLZ/ref=sr_1_1?keywords=Diablo+Tools+D0760X+7-1%2F4+in.+x+60+Tooth+Ultra+Finish+Saw+Blade&amp;qid=1694735024&amp;sr=8-1", "https://www.amazon.com/D0760A-Diablo-60-Tooth-Finishing-Circular/dp/B0763T4PLZ/ref=sr_1_1?keywords=Diablo+Tools+D0760X+7-1%2F4+in.+x+60+Tooth+Ultra+Finish+Saw+Blade&amp;qid=1694735024&amp;sr=8-1")</f>
        <v/>
      </c>
      <c r="F4261" t="inlineStr">
        <is>
          <t>B0763T4PLZ</t>
        </is>
      </c>
      <c r="G4261">
        <f>_xlfn.IMAGE("https://edmondsonsupply.com/cdn/shop/products/vlfiqrihhfwf5bxirasx.webp?v=1678977162")</f>
        <v/>
      </c>
      <c r="H4261">
        <f>_xlfn.IMAGE("https://m.media-amazon.com/images/I/61WSwNmsWWL._AC_UL320_.jpg")</f>
        <v/>
      </c>
      <c r="K4261" t="inlineStr">
        <is>
          <t>19.97</t>
        </is>
      </c>
      <c r="L4261" t="n">
        <v>41.07</v>
      </c>
      <c r="M4261" s="1" t="inlineStr">
        <is>
          <t>105.66%</t>
        </is>
      </c>
      <c r="N4261" s="7" t="n">
        <v>0</v>
      </c>
      <c r="O4261" t="n">
        <v>4.7</v>
      </c>
      <c r="P4261" t="n">
        <v>16</v>
      </c>
      <c r="R4261" t="inlineStr">
        <is>
          <t>InStock</t>
        </is>
      </c>
      <c r="S4261" t="inlineStr">
        <is>
          <t>30.2</t>
        </is>
      </c>
      <c r="T4261" t="inlineStr">
        <is>
          <t>7962630521048</t>
        </is>
      </c>
    </row>
    <row r="4262" hidden="1" ht="15.75" customHeight="1">
      <c r="A4262" s="2">
        <f>HYPERLINK("https://edmondsonsupply.com/collections/electricians-tools/products/diablo-tools-dmamx1020", "https://edmondsonsupply.com/collections/electricians-tools/products/diablo-tools-dmamx1020")</f>
        <v/>
      </c>
      <c r="B4262" s="2">
        <f>HYPERLINK("https://edmondsonsupply.com/products/diablo-tools-dmamx1020", "https://edmondsonsupply.com/products/diablo-tools-dmamx1020")</f>
        <v/>
      </c>
      <c r="C4262" t="inlineStr">
        <is>
          <t>Diablo Tools DMAMX1020 1/2 in. x 8 in. x 13 in. Rebar Demon SDS‑Max 4‑Cutter Full Carbide Head Hammer Bit</t>
        </is>
      </c>
      <c r="D4262" t="inlineStr">
        <is>
          <t>Diablo by Freud DMAMX1120 5/8 in. x 31 in. x 36 in. Rebar Demon SDS-Max 4-Cutter Full Carbide Head Hammer Bit</t>
        </is>
      </c>
      <c r="E4262" s="2">
        <f>HYPERLINK("https://www.amazon.com/Diablo-SDS-Max-4-Cutter-Carbide-Hammer/dp/B089LJFH3C/ref=sr_1_19?keywords=Diablo+Tools+DMAMX1020+1%2F2+in.+x+8+in.+x+13+in.+Rebar+Demon+SDS%E2%80%91Max+4%E2%80%91Cutter+Full+Carbide+Head+Hammer+Bit&amp;qid=1694735268&amp;sr=8-19", "https://www.amazon.com/Diablo-SDS-Max-4-Cutter-Carbide-Hammer/dp/B089LJFH3C/ref=sr_1_19?keywords=Diablo+Tools+DMAMX1020+1%2F2+in.+x+8+in.+x+13+in.+Rebar+Demon+SDS%E2%80%91Max+4%E2%80%91Cutter+Full+Carbide+Head+Hammer+Bit&amp;qid=1694735268&amp;sr=8-19")</f>
        <v/>
      </c>
      <c r="F4262" t="inlineStr">
        <is>
          <t>B089LJFH3C</t>
        </is>
      </c>
      <c r="G4262">
        <f>_xludf.IMAGE("https://edmondsonsupply.com/cdn/shop/products/DMAMX1020_Main-Image20200701.png?v=1609798895")</f>
        <v/>
      </c>
      <c r="H4262">
        <f>_xludf.IMAGE("https://m.media-amazon.com/images/I/615ffyRtaAL._AC_UL320_.jpg")</f>
        <v/>
      </c>
      <c r="K4262" t="inlineStr">
        <is>
          <t>39.97</t>
        </is>
      </c>
      <c r="L4262" t="n">
        <v>82.18000000000001</v>
      </c>
      <c r="M4262" s="1" t="inlineStr">
        <is>
          <t>105.60%</t>
        </is>
      </c>
      <c r="N4262" s="1" t="n">
        <v>0</v>
      </c>
      <c r="O4262" t="n">
        <v>3.9</v>
      </c>
      <c r="P4262" t="n">
        <v>4</v>
      </c>
      <c r="R4262" t="inlineStr">
        <is>
          <t>InStock</t>
        </is>
      </c>
      <c r="S4262" t="inlineStr">
        <is>
          <t>42.31</t>
        </is>
      </c>
      <c r="T4262" t="inlineStr">
        <is>
          <t>5463822598312</t>
        </is>
      </c>
    </row>
    <row r="4263" ht="87" customHeight="1">
      <c r="A4263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4263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4263" t="inlineStr">
        <is>
          <t>Diablo Tools DMAPL4040 3/16 in. x 4 in. x 6 in. Rebar Demon™ SDS-Plus 4-Cutter Full Carbide Head Hammer Bit</t>
        </is>
      </c>
      <c r="D4263" t="inlineStr">
        <is>
          <t>Diablo by Freud Diablo DMAPL4190 1/2 in. x 10 in. x 12 in. Rebar Demon SDS-Plus 4-Cutter Full Carbide Head Hammer Bit</t>
        </is>
      </c>
      <c r="E4263" s="2">
        <f>HYPERLINK("https://www.amazon.com/Diablo-Freud-DMAPL4190-SDS-Plus-4-Cutter/dp/B089LJZ25M/ref=sr_1_23?keywords=Diablo+Tools+DMAPL4040+3%2F16+in.+x+4+in.+x+6+in.+Rebar+Demon%E2%84%A2+SDS-Plus+4-Cutter+Full+Carbide+Head+Hammer+Bit&amp;qid=1694735297&amp;sr=8-23", "https://www.amazon.com/Diablo-Freud-DMAPL4190-SDS-Plus-4-Cutter/dp/B089LJZ25M/ref=sr_1_23?keywords=Diablo+Tools+DMAPL4040+3%2F16+in.+x+4+in.+x+6+in.+Rebar+Demon%E2%84%A2+SDS-Plus+4-Cutter+Full+Carbide+Head+Hammer+Bit&amp;qid=1694735297&amp;sr=8-23")</f>
        <v/>
      </c>
      <c r="F4263" t="inlineStr">
        <is>
          <t>B089LJZ25M</t>
        </is>
      </c>
      <c r="G4263">
        <f>_xlfn.IMAGE("https://edmondsonsupply.com/cdn/shop/products/DMAPL4040_Main-Image20200701.png?v=1633030358")</f>
        <v/>
      </c>
      <c r="H4263">
        <f>_xlfn.IMAGE("https://m.media-amazon.com/images/I/61dzudnwI8L._AC_UL320_.jpg")</f>
        <v/>
      </c>
      <c r="K4263" t="inlineStr">
        <is>
          <t>8.47</t>
        </is>
      </c>
      <c r="L4263" t="n">
        <v>17.41</v>
      </c>
      <c r="M4263" s="1" t="inlineStr">
        <is>
          <t>105.55%</t>
        </is>
      </c>
      <c r="N4263" s="7" t="n">
        <v>0</v>
      </c>
      <c r="O4263" t="n">
        <v>4.6</v>
      </c>
      <c r="P4263" t="n">
        <v>43</v>
      </c>
      <c r="R4263" t="inlineStr">
        <is>
          <t>InStock</t>
        </is>
      </c>
      <c r="S4263" t="inlineStr">
        <is>
          <t>undefined</t>
        </is>
      </c>
      <c r="T4263" t="inlineStr">
        <is>
          <t>5286740426920</t>
        </is>
      </c>
    </row>
    <row r="4264" ht="87" customHeight="1">
      <c r="A4264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4264" s="2">
        <f>HYPERLINK("https://edmondsonsupply.com/products/klein-tools-56333-steel-fish-tape-1-8-inch-x-120-foot", "https://edmondsonsupply.com/products/klein-tools-56333-steel-fish-tape-1-8-inch-x-120-foot")</f>
        <v/>
      </c>
      <c r="C4264" t="inlineStr">
        <is>
          <t>Klein Tools 56333 Steel Fish Tape, 1/8-Inch x 120-Foot</t>
        </is>
      </c>
      <c r="D4264" t="inlineStr">
        <is>
          <t>Klein Tools 56341 Electrical Fish Tape / Wire Puller, Stainless Steel with Double Loop Tip, Optimized Housing and Handle, 1/8-Inch x 240-Foot</t>
        </is>
      </c>
      <c r="E4264" s="2">
        <f>HYPERLINK("https://www.amazon.com/Klein-Tools-56341-Stainless-Optimized/dp/B081ZTN3MT/ref=sr_1_6?keywords=Klein+Tools+56333+Steel+Fish+Tape%2C+1%2F8-Inch+x+120-Foot&amp;qid=1694735382&amp;sr=8-6", "https://www.amazon.com/Klein-Tools-56341-Stainless-Optimized/dp/B081ZTN3MT/ref=sr_1_6?keywords=Klein+Tools+56333+Steel+Fish+Tape%2C+1%2F8-Inch+x+120-Foot&amp;qid=1694735382&amp;sr=8-6")</f>
        <v/>
      </c>
      <c r="F4264" t="inlineStr">
        <is>
          <t>B081ZTN3MT</t>
        </is>
      </c>
      <c r="G4264">
        <f>_xlfn.IMAGE("https://edmondsonsupply.com/cdn/shop/products/56333.jpg?v=1587147770")</f>
        <v/>
      </c>
      <c r="H4264">
        <f>_xlfn.IMAGE("https://m.media-amazon.com/images/I/51rJNR9x1ML._AC_UL320_.jpg")</f>
        <v/>
      </c>
      <c r="K4264" t="inlineStr">
        <is>
          <t>54.97</t>
        </is>
      </c>
      <c r="L4264" t="n">
        <v>112.99</v>
      </c>
      <c r="M4264" s="1" t="inlineStr">
        <is>
          <t>105.55%</t>
        </is>
      </c>
      <c r="N4264" s="7" t="n">
        <v>0</v>
      </c>
      <c r="O4264" t="n">
        <v>4.7</v>
      </c>
      <c r="P4264" t="n">
        <v>239</v>
      </c>
      <c r="R4264" t="inlineStr">
        <is>
          <t>InStock</t>
        </is>
      </c>
      <c r="S4264" t="inlineStr">
        <is>
          <t>82.48</t>
        </is>
      </c>
      <c r="T4264" t="inlineStr">
        <is>
          <t>4412208578660</t>
        </is>
      </c>
    </row>
    <row r="4265" hidden="1" ht="15.75" customHeight="1">
      <c r="A4265" s="2">
        <f>HYPERLINK("https://edmondsonsupply.com/collections/electricians-tools/products/klein-tools-46037-cable-splicers-kit", "https://edmondsonsupply.com/collections/electricians-tools/products/klein-tools-46037-cable-splicers-kit")</f>
        <v/>
      </c>
      <c r="B4265" s="2">
        <f>HYPERLINK("https://edmondsonsupply.com/products/klein-tools-46037-cable-splicers-kit", "https://edmondsonsupply.com/products/klein-tools-46037-cable-splicers-kit")</f>
        <v/>
      </c>
      <c r="C4265" t="inlineStr">
        <is>
          <t>Klein Tools 46037 Cable Splicer's Kit</t>
        </is>
      </c>
      <c r="D4265" t="inlineStr">
        <is>
          <t>Klein Tools 46039 Cable Splicer's Kit with Free-Fall Snip &amp; VDV427-300 Impact Punchdown Tool, 66/110 Blade</t>
        </is>
      </c>
      <c r="E4265" s="2">
        <f>HYPERLINK("https://www.amazon.com/Klein-Tools-Free-Fall-VDV427-300-Punchdown/dp/B0BD3YB2HS/ref=sr_1_10?keywords=Klein+Tools+46037+Cable+Splicer%27s+Kit&amp;qid=1694735136&amp;sr=8-10", "https://www.amazon.com/Klein-Tools-Free-Fall-VDV427-300-Punchdown/dp/B0BD3YB2HS/ref=sr_1_10?keywords=Klein+Tools+46037+Cable+Splicer%27s+Kit&amp;qid=1694735136&amp;sr=8-10")</f>
        <v/>
      </c>
      <c r="F4265" t="inlineStr">
        <is>
          <t>B0BD3YB2HS</t>
        </is>
      </c>
      <c r="G4265">
        <f>_xludf.IMAGE("https://edmondsonsupply.com/cdn/shop/products/46037.jpg?v=1663351986")</f>
        <v/>
      </c>
      <c r="H4265">
        <f>_xludf.IMAGE("https://m.media-amazon.com/images/I/51JNLLq52ZL._AC_UL320_.jpg")</f>
        <v/>
      </c>
      <c r="K4265" t="inlineStr">
        <is>
          <t>39.97</t>
        </is>
      </c>
      <c r="L4265" t="n">
        <v>82.12</v>
      </c>
      <c r="M4265" s="1" t="inlineStr">
        <is>
          <t>105.45%</t>
        </is>
      </c>
      <c r="N4265" s="1" t="n">
        <v>0</v>
      </c>
      <c r="O4265" t="n">
        <v>4</v>
      </c>
      <c r="P4265" t="n">
        <v>1</v>
      </c>
      <c r="R4265" t="inlineStr">
        <is>
          <t>InStock</t>
        </is>
      </c>
      <c r="S4265" t="inlineStr">
        <is>
          <t>66.7</t>
        </is>
      </c>
      <c r="T4265" t="inlineStr">
        <is>
          <t>7819207508184</t>
        </is>
      </c>
    </row>
    <row r="4266" hidden="1" ht="15.75" customHeight="1">
      <c r="A4266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266" s="2">
        <f>HYPERLINK("https://edmondsonsupply.com/products/klein-tools-vdv427-300-impact-punchdown-tool-66-110-blade", "https://edmondsonsupply.com/products/klein-tools-vdv427-300-impact-punchdown-tool-66-110-blade")</f>
        <v/>
      </c>
      <c r="C4266" t="inlineStr">
        <is>
          <t>Klein Tools VDV427-300 Impact Punchdown Tool, 66/110 Blade</t>
        </is>
      </c>
      <c r="D4266" t="inlineStr">
        <is>
          <t>Klein Tools 46039 Cable Splicer's Kit with Free-Fall Snip &amp; VDV427-300 Impact Punchdown Tool, 66/110 Blade</t>
        </is>
      </c>
      <c r="E4266" s="2">
        <f>HYPERLINK("https://www.amazon.com/Klein-Tools-Free-Fall-VDV427-300-Punchdown/dp/B0BD3YB2HS/ref=sr_1_7?keywords=Klein+Tools+VDV427-300+Impact+Punchdown+Tool%2C+66%2F110+Blade&amp;qid=1694735168&amp;sr=8-7", "https://www.amazon.com/Klein-Tools-Free-Fall-VDV427-300-Punchdown/dp/B0BD3YB2HS/ref=sr_1_7?keywords=Klein+Tools+VDV427-300+Impact+Punchdown+Tool%2C+66%2F110+Blade&amp;qid=1694735168&amp;sr=8-7")</f>
        <v/>
      </c>
      <c r="F4266" t="inlineStr">
        <is>
          <t>B0BD3YB2HS</t>
        </is>
      </c>
      <c r="G4266">
        <f>_xludf.IMAGE("https://edmondsonsupply.com/cdn/shop/products/vdv427300.jpg?v=1646010568")</f>
        <v/>
      </c>
      <c r="H4266">
        <f>_xludf.IMAGE("https://m.media-amazon.com/images/I/51JNLLq52ZL._AC_UL320_.jpg")</f>
        <v/>
      </c>
      <c r="K4266" t="inlineStr">
        <is>
          <t>39.97</t>
        </is>
      </c>
      <c r="L4266" t="n">
        <v>82.12</v>
      </c>
      <c r="M4266" s="1" t="inlineStr">
        <is>
          <t>105.45%</t>
        </is>
      </c>
      <c r="N4266" s="1" t="n">
        <v>0</v>
      </c>
      <c r="O4266" t="n">
        <v>4</v>
      </c>
      <c r="P4266" t="n">
        <v>1</v>
      </c>
      <c r="R4266" t="inlineStr">
        <is>
          <t>InStock</t>
        </is>
      </c>
      <c r="S4266" t="inlineStr">
        <is>
          <t>55.98</t>
        </is>
      </c>
      <c r="T4266" t="inlineStr">
        <is>
          <t>7620069818584</t>
        </is>
      </c>
    </row>
    <row r="4267" ht="87" customHeight="1">
      <c r="A4267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267" s="2">
        <f>HYPERLINK("https://edmondsonsupply.com/products/klein-tools-vdv427-300-impact-punchdown-tool-66-110-blade", "https://edmondsonsupply.com/products/klein-tools-vdv427-300-impact-punchdown-tool-66-110-blade")</f>
        <v/>
      </c>
      <c r="C4267" t="inlineStr">
        <is>
          <t>Klein Tools VDV427-300 Impact Punchdown Tool, 66/110 Blade</t>
        </is>
      </c>
      <c r="D4267" t="inlineStr">
        <is>
          <t>Klein Tools VDV501-851 Cable Tester Kit &amp; Impact Punchdown Tool with 66/110 Blade &amp; Klein Tools VDV226-110 Ratcheting Modular Data Cable Crimper/Wire Stripper/Wire Cutter</t>
        </is>
      </c>
      <c r="E4267" s="2">
        <f>HYPERLINK("https://www.amazon.com/Klein-Tools-VDV501-851-VDV226-110-Ratcheting/dp/B0C999KPF4/ref=sr_1_20?keywords=Klein+Tools+VDV427-300+Impact+Punchdown+Tool%2C+66%2F110+Blade&amp;qid=1694735168&amp;sr=8-20", "https://www.amazon.com/Klein-Tools-VDV501-851-VDV226-110-Ratcheting/dp/B0C999KPF4/ref=sr_1_20?keywords=Klein+Tools+VDV427-300+Impact+Punchdown+Tool%2C+66%2F110+Blade&amp;qid=1694735168&amp;sr=8-20")</f>
        <v/>
      </c>
      <c r="F4267" t="inlineStr">
        <is>
          <t>B0C999KPF4</t>
        </is>
      </c>
      <c r="G4267">
        <f>_xlfn.IMAGE("https://edmondsonsupply.com/cdn/shop/products/vdv427300.jpg?v=1646010568")</f>
        <v/>
      </c>
      <c r="H4267">
        <f>_xlfn.IMAGE("https://m.media-amazon.com/images/I/51VJK1r9ZuL._AC_UL320_.jpg")</f>
        <v/>
      </c>
      <c r="K4267" t="inlineStr">
        <is>
          <t>39.97</t>
        </is>
      </c>
      <c r="L4267" t="n">
        <v>82</v>
      </c>
      <c r="M4267" s="1" t="inlineStr">
        <is>
          <t>105.15%</t>
        </is>
      </c>
      <c r="N4267" s="7" t="n">
        <v>0</v>
      </c>
      <c r="O4267" t="n">
        <v>4.7</v>
      </c>
      <c r="P4267" t="n">
        <v>2175</v>
      </c>
      <c r="R4267" t="inlineStr">
        <is>
          <t>InStock</t>
        </is>
      </c>
      <c r="S4267" t="inlineStr">
        <is>
          <t>55.98</t>
        </is>
      </c>
      <c r="T4267" t="inlineStr">
        <is>
          <t>7620069818584</t>
        </is>
      </c>
    </row>
    <row r="4268" ht="87" customHeight="1">
      <c r="A4268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4268" s="2">
        <f>HYPERLINK("https://edmondsonsupply.com/products/klein-tools-1011m-metric-wire-stripper-cutter-stranded-wire", "https://edmondsonsupply.com/products/klein-tools-1011m-metric-wire-stripper-cutter-stranded-wire")</f>
        <v/>
      </c>
      <c r="C4268" t="inlineStr">
        <is>
          <t>Klein Tools 1011M Metric Wire Stripper/Cutter Stranded Wire</t>
        </is>
      </c>
      <c r="D4268" t="inlineStr">
        <is>
          <t>Klein Tools 11046 Wire Stripper/Cutter 16-26 AWG Stranded &amp; 11047 Wire Stripper/Cutter, Compact, Lightweight, Hardened Steel, Precision Ground, for Stranded and Solid Wires</t>
        </is>
      </c>
      <c r="E4268" s="2">
        <f>HYPERLINK("https://www.amazon.com/Klein-Tools-Stripper-Lightweight-Precision/dp/B0BNL5MC4G/ref=sr_1_16?keywords=Klein+Tools+1011M+Metric+Wire+Stripper%2FCutter+Stranded+Wire&amp;qid=1694735312&amp;sr=8-16", "https://www.amazon.com/Klein-Tools-Stripper-Lightweight-Precision/dp/B0BNL5MC4G/ref=sr_1_16?keywords=Klein+Tools+1011M+Metric+Wire+Stripper%2FCutter+Stranded+Wire&amp;qid=1694735312&amp;sr=8-16")</f>
        <v/>
      </c>
      <c r="F4268" t="inlineStr">
        <is>
          <t>B0BNL5MC4G</t>
        </is>
      </c>
      <c r="G4268">
        <f>_xlfn.IMAGE("https://edmondsonsupply.com/cdn/shop/products/1011m.jpg?v=1633030273")</f>
        <v/>
      </c>
      <c r="H4268">
        <f>_xlfn.IMAGE("https://m.media-amazon.com/images/I/41uWm6Rw+pL._AC_UL320_.jpg")</f>
        <v/>
      </c>
      <c r="K4268" t="inlineStr">
        <is>
          <t>14.99</t>
        </is>
      </c>
      <c r="L4268" t="n">
        <v>30.75</v>
      </c>
      <c r="M4268" s="1" t="inlineStr">
        <is>
          <t>105.14%</t>
        </is>
      </c>
      <c r="N4268" s="7" t="n">
        <v>0</v>
      </c>
      <c r="O4268" t="n">
        <v>4.6</v>
      </c>
      <c r="P4268" t="n">
        <v>7</v>
      </c>
      <c r="R4268" t="inlineStr">
        <is>
          <t>InStock</t>
        </is>
      </c>
      <c r="S4268" t="inlineStr">
        <is>
          <t>22.72</t>
        </is>
      </c>
      <c r="T4268" t="inlineStr">
        <is>
          <t>5237017772200</t>
        </is>
      </c>
    </row>
    <row r="4269" hidden="1" ht="15.75" customHeight="1">
      <c r="A4269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4269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4269" t="inlineStr">
        <is>
          <t>Diablo Tools DMARG1020 5/32 in. x 3 in. x 6 in. SPEEDemon™ Red Granite Carbide Tipped Hammer Drill Bit</t>
        </is>
      </c>
      <c r="D4269" t="inlineStr">
        <is>
          <t>Diablo by Freud DMARG1150 1/2 in. x 4 in. x 6 in. SPEEDemon Red Granite Carbide Tipped Hammer Drill Bit</t>
        </is>
      </c>
      <c r="E4269" s="2">
        <f>HYPERLINK("https://www.amazon.com/Diablo-Freud-DMARG1150-SPEEDemon-Granite/dp/B089LKXD71/ref=sr_1_6?keywords=Diablo+Tools+DMARG1020+5%2F32+in.+x+3+in.+x+6+in.+SPEEDemon%E2%84%A2+Red+Granite+Carbide+Tipped+Hammer+Drill+Bit&amp;qid=1694735279&amp;sr=8-6", "https://www.amazon.com/Diablo-Freud-DMARG1150-SPEEDemon-Granite/dp/B089LKXD71/ref=sr_1_6?keywords=Diablo+Tools+DMARG1020+5%2F32+in.+x+3+in.+x+6+in.+SPEEDemon%E2%84%A2+Red+Granite+Carbide+Tipped+Hammer+Drill+Bit&amp;qid=1694735279&amp;sr=8-6")</f>
        <v/>
      </c>
      <c r="F4269" t="inlineStr">
        <is>
          <t>B089LKXD71</t>
        </is>
      </c>
      <c r="G4269">
        <f>_xludf.IMAGE("https://edmondsonsupply.com/cdn/shop/products/vozy4matwskc7qc8ko6f.webp?v=1670440892")</f>
        <v/>
      </c>
      <c r="H4269">
        <f>_xludf.IMAGE("https://m.media-amazon.com/images/I/61Irr3Gr9YL._AC_UL320_.jpg")</f>
        <v/>
      </c>
      <c r="K4269" t="inlineStr">
        <is>
          <t>4.97</t>
        </is>
      </c>
      <c r="L4269" t="n">
        <v>10.19</v>
      </c>
      <c r="M4269" s="1" t="inlineStr">
        <is>
          <t>105.03%</t>
        </is>
      </c>
      <c r="N4269" s="1" t="n">
        <v>0</v>
      </c>
      <c r="O4269" t="n">
        <v>4.3</v>
      </c>
      <c r="P4269" t="n">
        <v>19</v>
      </c>
      <c r="R4269" t="inlineStr">
        <is>
          <t>InStock</t>
        </is>
      </c>
      <c r="S4269" t="inlineStr">
        <is>
          <t>undefined</t>
        </is>
      </c>
      <c r="T4269" t="inlineStr">
        <is>
          <t>5386082484392</t>
        </is>
      </c>
    </row>
    <row r="4270" hidden="1" ht="15.75" customHeight="1">
      <c r="A4270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4270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4270" t="inlineStr">
        <is>
          <t>Diablo Tools DMARG1070 1/4 in. x 4 in. x 6 in. SPEEDemon™ Red Granite Carbide Tipped Hammer Drill Bit</t>
        </is>
      </c>
      <c r="D4270" t="inlineStr">
        <is>
          <t>Diablo by Freud DMARG1150 1/2 in. x 4 in. x 6 in. SPEEDemon Red Granite Carbide Tipped Hammer Drill Bit</t>
        </is>
      </c>
      <c r="E4270" s="2">
        <f>HYPERLINK("https://www.amazon.com/Diablo-Freud-DMARG1150-SPEEDemon-Granite/dp/B089LKXD71/ref=sr_1_1?keywords=Diablo+Tools+DMARG1070+1%2F4+in.+x+4+in.+x+6+in.+SPEEDemon%E2%84%A2+Red+Granite+Carbide+Tipped+Hammer+Drill+Bit&amp;qid=1694735286&amp;sr=8-1", "https://www.amazon.com/Diablo-Freud-DMARG1150-SPEEDemon-Granite/dp/B089LKXD71/ref=sr_1_1?keywords=Diablo+Tools+DMARG1070+1%2F4+in.+x+4+in.+x+6+in.+SPEEDemon%E2%84%A2+Red+Granite+Carbide+Tipped+Hammer+Drill+Bit&amp;qid=1694735286&amp;sr=8-1")</f>
        <v/>
      </c>
      <c r="F4270" t="inlineStr">
        <is>
          <t>B089LKXD71</t>
        </is>
      </c>
      <c r="G4270">
        <f>_xludf.IMAGE("https://edmondsonsupply.com/cdn/shop/products/DMARG1070_Main-Image20200407.png?v=1633030419")</f>
        <v/>
      </c>
      <c r="H4270">
        <f>_xludf.IMAGE("https://m.media-amazon.com/images/I/61Irr3Gr9YL._AC_UL320_.jpg")</f>
        <v/>
      </c>
      <c r="K4270" t="inlineStr">
        <is>
          <t>4.97</t>
        </is>
      </c>
      <c r="L4270" t="n">
        <v>10.19</v>
      </c>
      <c r="M4270" s="1" t="inlineStr">
        <is>
          <t>105.03%</t>
        </is>
      </c>
      <c r="N4270" s="1" t="n">
        <v>0</v>
      </c>
      <c r="O4270" t="n">
        <v>4.3</v>
      </c>
      <c r="P4270" t="n">
        <v>19</v>
      </c>
      <c r="R4270" t="inlineStr">
        <is>
          <t>InStock</t>
        </is>
      </c>
      <c r="S4270" t="inlineStr">
        <is>
          <t>undefined</t>
        </is>
      </c>
      <c r="T4270" t="inlineStr">
        <is>
          <t>5317981700264</t>
        </is>
      </c>
    </row>
    <row r="4271" ht="87" customHeight="1">
      <c r="A4271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4271" s="2">
        <f>HYPERLINK("https://edmondsonsupply.com/products/klein-tools-70582-seven-key-metric-folding-hex-key-set", "https://edmondsonsupply.com/products/klein-tools-70582-seven-key-metric-folding-hex-key-set")</f>
        <v/>
      </c>
      <c r="C4271" t="inlineStr">
        <is>
          <t>Klein Tools 70582 Folding Hex Key Set, 7-Key, Metric Sizes</t>
        </is>
      </c>
      <c r="D4271" t="inlineStr">
        <is>
          <t>Klein Tools 70586 Folding TORX Key Set, 8-Key, SAE Sizes</t>
        </is>
      </c>
      <c r="E4271" s="2">
        <f>HYPERLINK("https://www.amazon.com/Folding-TORX-Klein-Tools-70586/dp/B0002RI8RI/ref=sr_1_23?keywords=Klein+Tools+70582+Folding+Hex+Key+Set%2C+7-Key%2C+Metric+Sizes&amp;qid=1694735391&amp;sr=8-23", "https://www.amazon.com/Folding-TORX-Klein-Tools-70586/dp/B0002RI8RI/ref=sr_1_23?keywords=Klein+Tools+70582+Folding+Hex+Key+Set%2C+7-Key%2C+Metric+Sizes&amp;qid=1694735391&amp;sr=8-23")</f>
        <v/>
      </c>
      <c r="F4271" t="inlineStr">
        <is>
          <t>B0002RI8RI</t>
        </is>
      </c>
      <c r="G4271">
        <f>_xlfn.IMAGE("https://edmondsonsupply.com/cdn/shop/products/70582.jpg?v=1587149750")</f>
        <v/>
      </c>
      <c r="H4271">
        <f>_xlfn.IMAGE("https://m.media-amazon.com/images/I/51FSDo5VcWL._AC_UL320_.jpg")</f>
        <v/>
      </c>
      <c r="K4271" t="inlineStr">
        <is>
          <t>8.78</t>
        </is>
      </c>
      <c r="L4271" t="n">
        <v>17.99</v>
      </c>
      <c r="M4271" s="1" t="inlineStr">
        <is>
          <t>104.90%</t>
        </is>
      </c>
      <c r="N4271" s="7" t="n">
        <v>0</v>
      </c>
      <c r="O4271" t="n">
        <v>4.8</v>
      </c>
      <c r="P4271" t="n">
        <v>163</v>
      </c>
      <c r="R4271" t="inlineStr">
        <is>
          <t>InStock</t>
        </is>
      </c>
      <c r="S4271" t="inlineStr">
        <is>
          <t>12.26</t>
        </is>
      </c>
      <c r="T4271" t="inlineStr">
        <is>
          <t>4409539919972</t>
        </is>
      </c>
    </row>
    <row r="4272" ht="87" customHeight="1">
      <c r="A4272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4272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4272" t="inlineStr">
        <is>
          <t>Diablo Tools DOU250JBW 2-1/2 in. Universal Fit Bi-Metal Oscillating Blade for Clean Wood</t>
        </is>
      </c>
      <c r="D4272" t="inlineStr">
        <is>
          <t>Diablo by Freud DOU125CF3 1-1/4 in. Universal Fit Carbide Oscillating Blades for Metal (3-Pack)</t>
        </is>
      </c>
      <c r="E4272" s="2">
        <f>HYPERLINK("https://www.amazon.com/Diablo-Freud-DOU125CF3-Universal-Oscillating/dp/B089LKXD7L/ref=sr_1_13?keywords=Diablo+Tools+DOU250JBW+2-1%2F2+in.+Universal+Fit+Bi-Metal+Oscillating+Blade+for+Clean+Wood&amp;qid=1694734994&amp;sr=8-13", "https://www.amazon.com/Diablo-Freud-DOU125CF3-Universal-Oscillating/dp/B089LKXD7L/ref=sr_1_13?keywords=Diablo+Tools+DOU250JBW+2-1%2F2+in.+Universal+Fit+Bi-Metal+Oscillating+Blade+for+Clean+Wood&amp;qid=1694734994&amp;sr=8-13")</f>
        <v/>
      </c>
      <c r="F4272" t="inlineStr">
        <is>
          <t>B089LKXD7L</t>
        </is>
      </c>
      <c r="G4272">
        <f>_xlfn.IMAGE("https://edmondsonsupply.com/cdn/shop/files/pycnap4eb1urn2hxvudq.webp?v=1685718789")</f>
        <v/>
      </c>
      <c r="H4272">
        <f>_xlfn.IMAGE("https://m.media-amazon.com/images/I/71izb0UUOkL._AC_UL320_.jpg")</f>
        <v/>
      </c>
      <c r="K4272" t="inlineStr">
        <is>
          <t>15.65</t>
        </is>
      </c>
      <c r="L4272" t="n">
        <v>32</v>
      </c>
      <c r="M4272" s="1" t="inlineStr">
        <is>
          <t>104.47%</t>
        </is>
      </c>
      <c r="N4272" s="7" t="n">
        <v>0</v>
      </c>
      <c r="O4272" t="n">
        <v>4.5</v>
      </c>
      <c r="P4272" t="n">
        <v>164</v>
      </c>
      <c r="R4272" t="inlineStr">
        <is>
          <t>InStock</t>
        </is>
      </c>
      <c r="S4272" t="inlineStr">
        <is>
          <t>24.85</t>
        </is>
      </c>
      <c r="T4272" t="inlineStr">
        <is>
          <t>7999572279512</t>
        </is>
      </c>
    </row>
    <row r="4273" ht="87" customHeight="1">
      <c r="A4273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273" s="2">
        <f>HYPERLINK("https://edmondsonsupply.com/products/klein-tools-vdv427-300-impact-punchdown-tool-66-110-blade", "https://edmondsonsupply.com/products/klein-tools-vdv427-300-impact-punchdown-tool-66-110-blade")</f>
        <v/>
      </c>
      <c r="C4273" t="inlineStr">
        <is>
          <t>Klein Tools VDV427-300 Impact Punchdown Tool, 66/110 Blade</t>
        </is>
      </c>
      <c r="D4273" t="inlineStr">
        <is>
          <t>Klein Tools VDV526-200 Cable Tester, LAN Scout Jr. 2 Ethernet Cable Tester &amp; VDV427-300 Impact Punchdown Tool, 66/110 Blade</t>
        </is>
      </c>
      <c r="E4273" s="2">
        <f>HYPERLINK("https://www.amazon.com/Klein-Tools-VDV526-200-VDV427-300-Punchdown/dp/B09T6Y965V/ref=sr_1_4?keywords=Klein+Tools+VDV427-300+Impact+Punchdown+Tool%2C+66%2F110+Blade&amp;qid=1694735168&amp;sr=8-4", "https://www.amazon.com/Klein-Tools-VDV526-200-VDV427-300-Punchdown/dp/B09T6Y965V/ref=sr_1_4?keywords=Klein+Tools+VDV427-300+Impact+Punchdown+Tool%2C+66%2F110+Blade&amp;qid=1694735168&amp;sr=8-4")</f>
        <v/>
      </c>
      <c r="F4273" t="inlineStr">
        <is>
          <t>B09T6Y965V</t>
        </is>
      </c>
      <c r="G4273">
        <f>_xlfn.IMAGE("https://edmondsonsupply.com/cdn/shop/products/vdv427300.jpg?v=1646010568")</f>
        <v/>
      </c>
      <c r="H4273">
        <f>_xlfn.IMAGE("https://m.media-amazon.com/images/I/411dxfFTZ6L._AC_UL320_.jpg")</f>
        <v/>
      </c>
      <c r="K4273" t="inlineStr">
        <is>
          <t>39.97</t>
        </is>
      </c>
      <c r="L4273" t="n">
        <v>81.55</v>
      </c>
      <c r="M4273" s="1" t="inlineStr">
        <is>
          <t>104.03%</t>
        </is>
      </c>
      <c r="N4273" s="7" t="n">
        <v>0</v>
      </c>
      <c r="O4273" t="n">
        <v>5</v>
      </c>
      <c r="P4273" t="n">
        <v>7</v>
      </c>
      <c r="R4273" t="inlineStr">
        <is>
          <t>InStock</t>
        </is>
      </c>
      <c r="S4273" t="inlineStr">
        <is>
          <t>55.98</t>
        </is>
      </c>
      <c r="T4273" t="inlineStr">
        <is>
          <t>7620069818584</t>
        </is>
      </c>
    </row>
    <row r="4274" ht="87" customHeight="1">
      <c r="A4274" s="2">
        <f>HYPERLINK("https://edmondsonsupply.com/collections/electricians-tools/products/klein-tools-jth9m8-8-mm-hex-key-journeyman%E2%84%A2-t-handle-9-inch", "https://edmondsonsupply.com/collections/electricians-tools/products/klein-tools-jth9m8-8-mm-hex-key-journeyman%E2%84%A2-t-handle-9-inch")</f>
        <v/>
      </c>
      <c r="B4274" s="2">
        <f>HYPERLINK("https://edmondsonsupply.com/products/klein-tools-jth9m8-8-mm-hex-key-journeyman%e2%84%a2-t-handle-9-inch", "https://edmondsonsupply.com/products/klein-tools-jth9m8-8-mm-hex-key-journeyman%e2%84%a2-t-handle-9-inch")</f>
        <v/>
      </c>
      <c r="C4274" t="inlineStr">
        <is>
          <t>Klein Tools JTH9M8 8 mm Hex Key, Journeyman™ T-Handle, 9-Inch</t>
        </is>
      </c>
      <c r="D4274" t="inlineStr">
        <is>
          <t>Klein Tools JTH9M8 8 mm Hex Key with Journeyman T-Handle, 9-Inch</t>
        </is>
      </c>
      <c r="E4274" s="2">
        <f>HYPERLINK("https://www.amazon.com/Journeyman-T-Handle-Klein-Tools-JTH9M8/dp/B005G3HJSC/ref=sr_1_1?keywords=Klein+Tools+JTH9M8+8+mm+Hex+Key%2C+Journeyman%E2%84%A2+T-Handle%2C+9-Inch&amp;qid=1694735127&amp;sr=8-1", "https://www.amazon.com/Journeyman-T-Handle-Klein-Tools-JTH9M8/dp/B005G3HJSC/ref=sr_1_1?keywords=Klein+Tools+JTH9M8+8+mm+Hex+Key%2C+Journeyman%E2%84%A2+T-Handle%2C+9-Inch&amp;qid=1694735127&amp;sr=8-1")</f>
        <v/>
      </c>
      <c r="F4274" t="inlineStr">
        <is>
          <t>B005G3HJSC</t>
        </is>
      </c>
      <c r="G4274">
        <f>_xlfn.IMAGE("https://edmondsonsupply.com/cdn/shop/products/jth6m8_03ba3d30-ff38-4b9e-93e7-b0fc6da199d0.jpg?v=1662658324")</f>
        <v/>
      </c>
      <c r="H4274">
        <f>_xlfn.IMAGE("https://m.media-amazon.com/images/I/51+1x0vz9XL._AC_UL320_.jpg")</f>
        <v/>
      </c>
      <c r="K4274" t="inlineStr">
        <is>
          <t>7.99</t>
        </is>
      </c>
      <c r="L4274" t="n">
        <v>16.27</v>
      </c>
      <c r="M4274" s="1" t="inlineStr">
        <is>
          <t>103.63%</t>
        </is>
      </c>
      <c r="N4274" s="7" t="n">
        <v>0</v>
      </c>
      <c r="O4274" t="n">
        <v>5</v>
      </c>
      <c r="P4274" t="n">
        <v>4</v>
      </c>
      <c r="R4274" t="inlineStr">
        <is>
          <t>InStock</t>
        </is>
      </c>
      <c r="S4274" t="inlineStr">
        <is>
          <t>12.1</t>
        </is>
      </c>
      <c r="T4274" t="inlineStr">
        <is>
          <t>7809334018264</t>
        </is>
      </c>
    </row>
    <row r="4275" hidden="1" ht="15.75" customHeight="1">
      <c r="A4275" s="2">
        <f>HYPERLINK("https://edmondsonsupply.com/collections/electricians-tools/products/diablo-tools-dmapl4030-3-16-in-x-2-in-x-4-in-rebar-demon%E2%84%A2-sds-plus-4-cutter-full-carbide-head-hammer-bit", "https://edmondsonsupply.com/collections/electricians-tools/products/diablo-tools-dmapl4030-3-16-in-x-2-in-x-4-in-rebar-demon%E2%84%A2-sds-plus-4-cutter-full-carbide-head-hammer-bit")</f>
        <v/>
      </c>
      <c r="B4275" s="2">
        <f>HYPERLINK("https://edmondsonsupply.com/products/diablo-tools-dmapl4030-3-16-in-x-2-in-x-4-in-rebar-demon%e2%84%a2-sds-plus-4-cutter-full-carbide-head-hammer-bit", "https://edmondsonsupply.com/products/diablo-tools-dmapl4030-3-16-in-x-2-in-x-4-in-rebar-demon%e2%84%a2-sds-plus-4-cutter-full-carbide-head-hammer-bit")</f>
        <v/>
      </c>
      <c r="C4275" t="inlineStr">
        <is>
          <t>Diablo Tools DMAPL4030 3/16 in. x 2 in. x 4 in. Rebar Demon™ SDS-Plus 4-Cutter Full Carbide Head Hammer Bit</t>
        </is>
      </c>
      <c r="D4275" t="inlineStr">
        <is>
          <t>Diablo 3/16" x 4"x6" Rebar Demon™ SDS-Plus 4-Cutter Full Carbide Head Hammer Bit</t>
        </is>
      </c>
      <c r="E4275" s="2">
        <f>HYPERLINK("https://www.amazon.com/Diablo-Freud-DMAPL4040-SDS-Plus-4-Cutter/dp/B089L9LMZX/ref=sr_1_3?keywords=Diablo+Tools+DMAPL4030+3%2F16+in.+x+2+in.+x+4+in.+Rebar+Demon%E2%84%A2+SDS-Plus+4-Cutter+Full+Carbide+Head+Hammer+Bit&amp;qid=1694735295&amp;sr=8-3", "https://www.amazon.com/Diablo-Freud-DMAPL4040-SDS-Plus-4-Cutter/dp/B089L9LMZX/ref=sr_1_3?keywords=Diablo+Tools+DMAPL4030+3%2F16+in.+x+2+in.+x+4+in.+Rebar+Demon%E2%84%A2+SDS-Plus+4-Cutter+Full+Carbide+Head+Hammer+Bit&amp;qid=1694735295&amp;sr=8-3")</f>
        <v/>
      </c>
      <c r="F4275" t="inlineStr">
        <is>
          <t>B089L9LMZX</t>
        </is>
      </c>
      <c r="G4275">
        <f>_xludf.IMAGE("https://edmondsonsupply.com/cdn/shop/products/DMAPL4030.jpg?v=1633030357")</f>
        <v/>
      </c>
      <c r="H4275">
        <f>_xludf.IMAGE("https://m.media-amazon.com/images/I/61WAyx865hL._AC_UL320_.jpg")</f>
        <v/>
      </c>
      <c r="K4275" t="inlineStr">
        <is>
          <t>3.97</t>
        </is>
      </c>
      <c r="L4275" t="n">
        <v>8.08</v>
      </c>
      <c r="M4275" s="1" t="inlineStr">
        <is>
          <t>103.53%</t>
        </is>
      </c>
      <c r="N4275" s="1" t="n">
        <v>0</v>
      </c>
      <c r="O4275" t="n">
        <v>4.6</v>
      </c>
      <c r="P4275" t="n">
        <v>58</v>
      </c>
      <c r="R4275" t="inlineStr">
        <is>
          <t>InStock</t>
        </is>
      </c>
      <c r="S4275" t="inlineStr">
        <is>
          <t>5.51</t>
        </is>
      </c>
      <c r="T4275" t="inlineStr">
        <is>
          <t>5286322012328</t>
        </is>
      </c>
    </row>
    <row r="4276" ht="87" customHeight="1">
      <c r="A4276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4276" s="2">
        <f>HYPERLINK("https://edmondsonsupply.com/products/klein-tools-d228-8-diagonal-cutting-pliers-high-leverage-8-inch", "https://edmondsonsupply.com/products/klein-tools-d228-8-diagonal-cutting-pliers-high-leverage-8-inch")</f>
        <v/>
      </c>
      <c r="C4276" t="inlineStr">
        <is>
          <t>Klein Tools D228-8 Diagonal Cutting Pliers, High-Leverage, 8-Inch</t>
        </is>
      </c>
      <c r="D4276" t="inlineStr">
        <is>
          <t>Klein Tools D248-8-INS Pliers, Insulated Diagonal Cutting Pliers with Angled Head, High-Leverage Design, and 1000V Rated Grips, 8-Inch</t>
        </is>
      </c>
      <c r="E4276" s="2">
        <f>HYPERLINK("https://www.amazon.com/Klein-Tools-D248-8-INS-Insulated-Leverage/dp/B0002RI9PO/ref=sr_1_9?keywords=Klein+Tools+D228-8+Diagonal+Cutting+Pliers%2C+High-Leverage%2C+8-Inch&amp;qid=1694735247&amp;sr=8-9", "https://www.amazon.com/Klein-Tools-D248-8-INS-Insulated-Leverage/dp/B0002RI9PO/ref=sr_1_9?keywords=Klein+Tools+D228-8+Diagonal+Cutting+Pliers%2C+High-Leverage%2C+8-Inch&amp;qid=1694735247&amp;sr=8-9")</f>
        <v/>
      </c>
      <c r="F4276" t="inlineStr">
        <is>
          <t>B0002RI9PO</t>
        </is>
      </c>
      <c r="G4276">
        <f>_xlfn.IMAGE("https://edmondsonsupply.com/cdn/shop/products/d2288.jpg?v=1633030753")</f>
        <v/>
      </c>
      <c r="H4276">
        <f>_xlfn.IMAGE("https://m.media-amazon.com/images/I/51y0fmyJPBL._AC_UL320_.jpg")</f>
        <v/>
      </c>
      <c r="K4276" t="inlineStr">
        <is>
          <t>29.97</t>
        </is>
      </c>
      <c r="L4276" t="n">
        <v>60.99</v>
      </c>
      <c r="M4276" s="1" t="inlineStr">
        <is>
          <t>103.50%</t>
        </is>
      </c>
      <c r="N4276" s="7" t="n">
        <v>0</v>
      </c>
      <c r="O4276" t="n">
        <v>4.8</v>
      </c>
      <c r="P4276" t="n">
        <v>111</v>
      </c>
      <c r="R4276" t="inlineStr">
        <is>
          <t>InStock</t>
        </is>
      </c>
      <c r="S4276" t="inlineStr">
        <is>
          <t>42.78</t>
        </is>
      </c>
      <c r="T4276" t="inlineStr">
        <is>
          <t>5896908472488</t>
        </is>
      </c>
    </row>
    <row r="4277" ht="87" customHeight="1">
      <c r="A4277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4277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4277" t="inlineStr">
        <is>
          <t>Klein Tools D248-8 Diagonal Cutting Pliers, Angled Head, Short Jaw, 8-Inch</t>
        </is>
      </c>
      <c r="D4277" t="inlineStr">
        <is>
          <t>Klein Tools D248-8-INS Pliers, Insulated Diagonal Cutting Pliers with Angled Head, High-Leverage Design, and 1000V Rated Grips, 8-Inch</t>
        </is>
      </c>
      <c r="E4277" s="2">
        <f>HYPERLINK("https://www.amazon.com/Klein-Tools-D248-8-INS-Insulated-Leverage/dp/B0002RI9PO/ref=sr_1_11?keywords=Klein+Tools+D248-8+Diagonal+Cutting+Pliers%2C+Angled+Head%2C+Short+Jaw%2C+8-Inch&amp;qid=1694735219&amp;sr=8-11", "https://www.amazon.com/Klein-Tools-D248-8-INS-Insulated-Leverage/dp/B0002RI9PO/ref=sr_1_11?keywords=Klein+Tools+D248-8+Diagonal+Cutting+Pliers%2C+Angled+Head%2C+Short+Jaw%2C+8-Inch&amp;qid=1694735219&amp;sr=8-11")</f>
        <v/>
      </c>
      <c r="F4277" t="inlineStr">
        <is>
          <t>B0002RI9PO</t>
        </is>
      </c>
      <c r="G4277">
        <f>_xlfn.IMAGE("https://edmondsonsupply.com/cdn/shop/products/d2488.jpg?v=1633030997")</f>
        <v/>
      </c>
      <c r="H4277">
        <f>_xlfn.IMAGE("https://m.media-amazon.com/images/I/51y0fmyJPBL._AC_UL320_.jpg")</f>
        <v/>
      </c>
      <c r="K4277" t="inlineStr">
        <is>
          <t>29.97</t>
        </is>
      </c>
      <c r="L4277" t="n">
        <v>60.99</v>
      </c>
      <c r="M4277" s="1" t="inlineStr">
        <is>
          <t>103.50%</t>
        </is>
      </c>
      <c r="N4277" s="7" t="n">
        <v>0</v>
      </c>
      <c r="O4277" t="n">
        <v>4.8</v>
      </c>
      <c r="P4277" t="n">
        <v>111</v>
      </c>
      <c r="R4277" t="inlineStr">
        <is>
          <t>InStock</t>
        </is>
      </c>
      <c r="S4277" t="inlineStr">
        <is>
          <t>45.42</t>
        </is>
      </c>
      <c r="T4277" t="inlineStr">
        <is>
          <t>6680617091245</t>
        </is>
      </c>
    </row>
    <row r="4278" ht="87" customHeight="1">
      <c r="A4278" s="2">
        <f>HYPERLINK("https://edmondsonsupply.com/collections/electricians-tools/products/rack-a-tiers-80050-the-nut-snugger-magnetic-locknut-holder", "https://edmondsonsupply.com/collections/electricians-tools/products/rack-a-tiers-80050-the-nut-snugger-magnetic-locknut-holder")</f>
        <v/>
      </c>
      <c r="B4278" s="2">
        <f>HYPERLINK("https://edmondsonsupply.com/products/rack-a-tiers-80050-the-nut-snugger-magnetic-locknut-holder", "https://edmondsonsupply.com/products/rack-a-tiers-80050-the-nut-snugger-magnetic-locknut-holder")</f>
        <v/>
      </c>
      <c r="C4278" t="inlineStr">
        <is>
          <t>Rack-A-Tiers 80050 The Nut Snugger - 1/2" Magnetic Locknut Holder</t>
        </is>
      </c>
      <c r="D4278" t="inlineStr">
        <is>
          <t>Rack-A-Tiers Nut Snugger Kit 1ea: 1/2" &amp; 3/4" Magnetic Locknut Holder (80090)</t>
        </is>
      </c>
      <c r="E4278" s="2">
        <f>HYPERLINK("https://www.amazon.com/Rack-Tiers-Nut-Snugger-Kit/dp/B0BX4MB59Q/ref=sr_1_1?keywords=Rack-A-Tiers+80050+The+Nut+Snugger+-+1%2F2%22+Magnetic+Locknut+Holder&amp;qid=1694734980&amp;sr=8-1", "https://www.amazon.com/Rack-Tiers-Nut-Snugger-Kit/dp/B0BX4MB59Q/ref=sr_1_1?keywords=Rack-A-Tiers+80050+The+Nut+Snugger+-+1%2F2%22+Magnetic+Locknut+Holder&amp;qid=1694734980&amp;sr=8-1")</f>
        <v/>
      </c>
      <c r="F4278" t="inlineStr">
        <is>
          <t>B0BX4MB59Q</t>
        </is>
      </c>
      <c r="G4278">
        <f>_xlfn.IMAGE("https://edmondsonsupply.com/cdn/shop/products/820XX-Nut-Snugger.png?v=1667152378")</f>
        <v/>
      </c>
      <c r="H4278">
        <f>_xlfn.IMAGE("https://m.media-amazon.com/images/I/31gF-2h5bgL._AC_UL320_.jpg")</f>
        <v/>
      </c>
      <c r="K4278" t="inlineStr">
        <is>
          <t>33.99</t>
        </is>
      </c>
      <c r="L4278" t="n">
        <v>68.98999999999999</v>
      </c>
      <c r="M4278" s="1" t="inlineStr">
        <is>
          <t>102.97%</t>
        </is>
      </c>
      <c r="N4278" s="7" t="n">
        <v>0</v>
      </c>
      <c r="O4278" t="n">
        <v>5</v>
      </c>
      <c r="P4278" t="n">
        <v>2</v>
      </c>
      <c r="R4278" t="inlineStr">
        <is>
          <t>InStock</t>
        </is>
      </c>
      <c r="S4278" t="inlineStr">
        <is>
          <t>36.49</t>
        </is>
      </c>
      <c r="T4278" t="inlineStr">
        <is>
          <t>7871146983640</t>
        </is>
      </c>
    </row>
    <row r="4279" ht="87" customHeight="1">
      <c r="A4279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4279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4279" t="inlineStr">
        <is>
          <t>Diablo Tools DMAPL4300 1 in. x 8 in. x 10 in. Rebar Demon™ SDS‑Plus 4‑Cutter Full Carbide Head Hammer Drill Bit</t>
        </is>
      </c>
      <c r="D4279" t="inlineStr">
        <is>
          <t>Diablo DMAMX1110 5/8 in. x 24 in. x 29 in. Rebar Demon™ SDS-Max 4-Cutter Full Carbide Head Hammer Bit</t>
        </is>
      </c>
      <c r="E4279" s="2">
        <f>HYPERLINK("https://www.amazon.com/Diablo-SDS-Max-4-Cutter-Carbide-Hammer/dp/B089LJ9GHW/ref=sr_1_22?keywords=Diablo+Tools+DMAPL4300+1+in.+x+8+in.+x+10+in.+Rebar+Demon%E2%84%A2+SDS%E2%80%91Plus+4%E2%80%91Cutter+Full+Carbide+Head+Hammer+Drill+Bit&amp;qid=1694735259&amp;sr=8-22", "https://www.amazon.com/Diablo-SDS-Max-4-Cutter-Carbide-Hammer/dp/B089LJ9GHW/ref=sr_1_22?keywords=Diablo+Tools+DMAPL4300+1+in.+x+8+in.+x+10+in.+Rebar+Demon%E2%84%A2+SDS%E2%80%91Plus+4%E2%80%91Cutter+Full+Carbide+Head+Hammer+Drill+Bit&amp;qid=1694735259&amp;sr=8-22")</f>
        <v/>
      </c>
      <c r="F4279" t="inlineStr">
        <is>
          <t>B089LJ9GHW</t>
        </is>
      </c>
      <c r="G4279">
        <f>_xlfn.IMAGE("https://edmondsonsupply.com/cdn/shop/products/DMAPL4300_Additional-Images_0120200225.png?v=1633030652")</f>
        <v/>
      </c>
      <c r="H4279">
        <f>_xlfn.IMAGE("https://m.media-amazon.com/images/I/61vWAd-z8eL._AC_UL320_.jpg")</f>
        <v/>
      </c>
      <c r="K4279" t="inlineStr">
        <is>
          <t>38.97</t>
        </is>
      </c>
      <c r="L4279" t="n">
        <v>78.98999999999999</v>
      </c>
      <c r="M4279" s="1" t="inlineStr">
        <is>
          <t>102.69%</t>
        </is>
      </c>
      <c r="N4279" s="7" t="n">
        <v>0</v>
      </c>
      <c r="O4279" t="n">
        <v>4.7</v>
      </c>
      <c r="P4279" t="n">
        <v>4</v>
      </c>
      <c r="R4279" t="inlineStr">
        <is>
          <t>InStock</t>
        </is>
      </c>
      <c r="S4279" t="inlineStr">
        <is>
          <t>52.66</t>
        </is>
      </c>
      <c r="T4279" t="inlineStr">
        <is>
          <t>5740518637736</t>
        </is>
      </c>
    </row>
    <row r="4280" ht="87" customHeight="1">
      <c r="A4280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280" s="2">
        <f>HYPERLINK("https://edmondsonsupply.com/products/klein-tools-d203-8-pliers-long-nose-side-cutters-8-inch", "https://edmondsonsupply.com/products/klein-tools-d203-8-pliers-long-nose-side-cutters-8-inch")</f>
        <v/>
      </c>
      <c r="C4280" t="inlineStr">
        <is>
          <t>Klein Tools D203-8 Pliers, Needle Nose Side-Cutters, 8-Inch</t>
        </is>
      </c>
      <c r="D4280" t="inlineStr">
        <is>
          <t>Klein Tools D2000-28 Pliers, Diagonal Cutting Pliers, 8-Inch &amp; D203-8 Linemans Pliers, Needle Nose Side Cutters, 8-Inch Alligator Pliers with Extended Handle</t>
        </is>
      </c>
      <c r="E4280" s="2">
        <f>HYPERLINK("https://www.amazon.com/Klein-Tools-D2000-28-Diagonal-Alligator/dp/B0BD3XFVFP/ref=sr_1_5?keywords=Klein+Tools+D203-8+Pliers%2C+Needle+Nose+Side-Cutters%2C+8-Inch&amp;qid=1694735240&amp;sr=8-5", "https://www.amazon.com/Klein-Tools-D2000-28-Diagonal-Alligator/dp/B0BD3XFVFP/ref=sr_1_5?keywords=Klein+Tools+D203-8+Pliers%2C+Needle+Nose+Side-Cutters%2C+8-Inch&amp;qid=1694735240&amp;sr=8-5")</f>
        <v/>
      </c>
      <c r="F4280" t="inlineStr">
        <is>
          <t>B0BD3XFVFP</t>
        </is>
      </c>
      <c r="G4280">
        <f>_xlfn.IMAGE("https://edmondsonsupply.com/cdn/shop/products/d2038.jpg?v=1633030802")</f>
        <v/>
      </c>
      <c r="H4280">
        <f>_xlfn.IMAGE("https://m.media-amazon.com/images/I/31JgrOVFa5L._AC_UL320_.jpg")</f>
        <v/>
      </c>
      <c r="K4280" t="inlineStr">
        <is>
          <t>29.97</t>
        </is>
      </c>
      <c r="L4280" t="n">
        <v>60.73</v>
      </c>
      <c r="M4280" s="1" t="inlineStr">
        <is>
          <t>102.64%</t>
        </is>
      </c>
      <c r="N4280" s="7" t="n">
        <v>0</v>
      </c>
      <c r="O4280" t="n">
        <v>5</v>
      </c>
      <c r="P4280" t="n">
        <v>2</v>
      </c>
      <c r="R4280" t="inlineStr">
        <is>
          <t>InStock</t>
        </is>
      </c>
      <c r="S4280" t="inlineStr">
        <is>
          <t>44.84</t>
        </is>
      </c>
      <c r="T4280" t="inlineStr">
        <is>
          <t>6005724577960</t>
        </is>
      </c>
    </row>
    <row r="4281" ht="87" customHeight="1">
      <c r="A4281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281" s="2">
        <f>HYPERLINK("https://edmondsonsupply.com/products/klein-tools-935ab4v-accu-bend%e2%84%a2-level-4-vial-rem", "https://edmondsonsupply.com/products/klein-tools-935ab4v-accu-bend%e2%84%a2-level-4-vial-rem")</f>
        <v/>
      </c>
      <c r="C4281" t="inlineStr">
        <is>
          <t>Klein Tools 935AB4V ACCU-BEND™ Level, 4-Vial</t>
        </is>
      </c>
      <c r="D4281" t="inlineStr">
        <is>
          <t>Klein Tools 80031 Screwdriver Set, 5-Piece Kit Includes 2 Slotted, 2 Phillips and 1 Square Tip &amp; 935AB4V Level, 6.25-Inch Magnetic Torpedo Level is a Conduit Level with 4 Vials</t>
        </is>
      </c>
      <c r="E4281" s="2">
        <f>HYPERLINK("https://www.amazon.com/Klein-Tools-Screwdriver-Phillips-6-25-Inch/dp/B0CF2CLG1N/ref=sr_1_12?keywords=Klein+Tools+935AB4V+ACCU-BEND%E2%84%A2+Level%2C+4-Vial&amp;qid=1694735422&amp;sr=8-12", "https://www.amazon.com/Klein-Tools-Screwdriver-Phillips-6-25-Inch/dp/B0CF2CLG1N/ref=sr_1_12?keywords=Klein+Tools+935AB4V+ACCU-BEND%E2%84%A2+Level%2C+4-Vial&amp;qid=1694735422&amp;sr=8-12")</f>
        <v/>
      </c>
      <c r="F4281" t="inlineStr">
        <is>
          <t>B0CF2CLG1N</t>
        </is>
      </c>
      <c r="G4281">
        <f>_xlfn.IMAGE("https://edmondsonsupply.com/cdn/shop/files/935ab4v_b.jpg?v=1685715011")</f>
        <v/>
      </c>
      <c r="H4281">
        <f>_xlfn.IMAGE("https://m.media-amazon.com/images/I/51kFQbJyuPL._AC_UL320_.jpg")</f>
        <v/>
      </c>
      <c r="K4281" t="inlineStr">
        <is>
          <t>29.97</t>
        </is>
      </c>
      <c r="L4281" t="n">
        <v>60.72</v>
      </c>
      <c r="M4281" s="1" t="inlineStr">
        <is>
          <t>102.60%</t>
        </is>
      </c>
      <c r="N4281" s="7" t="n">
        <v>0</v>
      </c>
      <c r="O4281" t="n">
        <v>4.9</v>
      </c>
      <c r="P4281" t="n">
        <v>2839</v>
      </c>
      <c r="R4281" t="inlineStr">
        <is>
          <t>InStock</t>
        </is>
      </c>
      <c r="S4281" t="inlineStr">
        <is>
          <t>42.0</t>
        </is>
      </c>
      <c r="T4281" t="inlineStr">
        <is>
          <t>2766878081124</t>
        </is>
      </c>
    </row>
    <row r="4282" ht="87" customHeight="1">
      <c r="A4282" s="2">
        <f>HYPERLINK("https://edmondsonsupply.com/collections/electricians-tools/products/channellock-3017", "https://edmondsonsupply.com/collections/electricians-tools/products/channellock-3017")</f>
        <v/>
      </c>
      <c r="B4282" s="2">
        <f>HYPERLINK("https://edmondsonsupply.com/products/channellock-3017", "https://edmondsonsupply.com/products/channellock-3017")</f>
        <v/>
      </c>
      <c r="C4282" t="inlineStr">
        <is>
          <t>Channellock 3017 8-Inch Long Nose Pliers</t>
        </is>
      </c>
      <c r="D4282" t="inlineStr">
        <is>
          <t>Channellock E388CB E Series Bent Long Nose Plier with XLT Joint and Code Blue Grips, 8-Inch Combination Bent Nose CODE BLUE Grip</t>
        </is>
      </c>
      <c r="E4282" s="2">
        <f>HYPERLINK("https://www.amazon.com/Channellock-E388CB-8-Inch-Plier-Joint/dp/B00D45FVUC/ref=sr_1_34?keywords=Channellock+3017+8-Inch+Long+Nose+Pliers&amp;qid=1694735304&amp;sr=8-34", "https://www.amazon.com/Channellock-E388CB-8-Inch-Plier-Joint/dp/B00D45FVUC/ref=sr_1_34?keywords=Channellock+3017+8-Inch+Long+Nose+Pliers&amp;qid=1694735304&amp;sr=8-34")</f>
        <v/>
      </c>
      <c r="F4282" t="inlineStr">
        <is>
          <t>B00D45FVUC</t>
        </is>
      </c>
      <c r="G4282">
        <f>_xlfn.IMAGE("https://edmondsonsupply.com/cdn/shop/products/3017-683x1024.jpg?v=1633030322")</f>
        <v/>
      </c>
      <c r="H4282">
        <f>_xlfn.IMAGE("https://m.media-amazon.com/images/I/71x5zAq1rCL._AC_UL320_.jpg")</f>
        <v/>
      </c>
      <c r="K4282" t="inlineStr">
        <is>
          <t>19.95</t>
        </is>
      </c>
      <c r="L4282" t="n">
        <v>40.33</v>
      </c>
      <c r="M4282" s="1" t="inlineStr">
        <is>
          <t>102.16%</t>
        </is>
      </c>
      <c r="N4282" s="7" t="n">
        <v>0</v>
      </c>
      <c r="O4282" t="n">
        <v>4.4</v>
      </c>
      <c r="P4282" t="n">
        <v>50</v>
      </c>
      <c r="R4282" t="inlineStr">
        <is>
          <t>InStock</t>
        </is>
      </c>
      <c r="S4282" t="inlineStr">
        <is>
          <t>29.97</t>
        </is>
      </c>
      <c r="T4282" t="inlineStr">
        <is>
          <t>5245817159848</t>
        </is>
      </c>
    </row>
    <row r="4283" ht="87" customHeight="1">
      <c r="A4283" s="2">
        <f>HYPERLINK("https://edmondsonsupply.com/collections/electricians-tools/products/klein-tools-69381-heavy-duty-alligator-clip-test-leads-3-foot", "https://edmondsonsupply.com/collections/electricians-tools/products/klein-tools-69381-heavy-duty-alligator-clip-test-leads-3-foot")</f>
        <v/>
      </c>
      <c r="B4283" s="2">
        <f>HYPERLINK("https://edmondsonsupply.com/products/klein-tools-69381-heavy-duty-alligator-clip-test-leads-3-foot", "https://edmondsonsupply.com/products/klein-tools-69381-heavy-duty-alligator-clip-test-leads-3-foot")</f>
        <v/>
      </c>
      <c r="C4283" t="inlineStr">
        <is>
          <t>Klein Tools 69381 Heavy-Duty Alligator Clip Test Leads, 3-Foot</t>
        </is>
      </c>
      <c r="D4283" t="inlineStr">
        <is>
          <t>Klein Tools 69367 Alligator Clip Test Leads, Heavy-Duty Replacement Meter Leads, for All Meters Using Banana Plug Meter Leads, 10-Foot</t>
        </is>
      </c>
      <c r="E4283" s="2">
        <f>HYPERLINK("https://www.amazon.com/Klein-Tools-69367-Heavy-Duty-Replacement/dp/B09YTDG6FQ/ref=sr_1_8?keywords=Klein+Tools+69381+Heavy-Duty+Alligator+Clip+Test+Leads%2C+3-Foot&amp;qid=1694735094&amp;sr=8-8", "https://www.amazon.com/Klein-Tools-69367-Heavy-Duty-Replacement/dp/B09YTDG6FQ/ref=sr_1_8?keywords=Klein+Tools+69381+Heavy-Duty+Alligator+Clip+Test+Leads%2C+3-Foot&amp;qid=1694735094&amp;sr=8-8")</f>
        <v/>
      </c>
      <c r="F4283" t="inlineStr">
        <is>
          <t>B09YTDG6FQ</t>
        </is>
      </c>
      <c r="G4283">
        <f>_xlfn.IMAGE("https://edmondsonsupply.com/cdn/shop/products/69381_photo.jpg?v=1666889006")</f>
        <v/>
      </c>
      <c r="H4283">
        <f>_xlfn.IMAGE("https://m.media-amazon.com/images/I/51hh7Ca5KIL._AC_UY218_.jpg")</f>
        <v/>
      </c>
      <c r="K4283" t="inlineStr">
        <is>
          <t>14.99</t>
        </is>
      </c>
      <c r="L4283" t="n">
        <v>30.3</v>
      </c>
      <c r="M4283" s="1" t="inlineStr">
        <is>
          <t>102.13%</t>
        </is>
      </c>
      <c r="N4283" s="7" t="n">
        <v>0</v>
      </c>
      <c r="O4283" t="n">
        <v>4.8</v>
      </c>
      <c r="P4283" t="n">
        <v>12</v>
      </c>
      <c r="R4283" t="inlineStr">
        <is>
          <t>InStock</t>
        </is>
      </c>
      <c r="S4283" t="inlineStr">
        <is>
          <t>20.98</t>
        </is>
      </c>
      <c r="T4283" t="inlineStr">
        <is>
          <t>7867714371800</t>
        </is>
      </c>
    </row>
    <row r="4284" ht="87" customHeight="1">
      <c r="A4284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284" s="2">
        <f>HYPERLINK("https://edmondsonsupply.com/products/klein-tools-s10-5-16-inch-nut-driver-3-inch-hollow-shaft", "https://edmondsonsupply.com/products/klein-tools-s10-5-16-inch-nut-driver-3-inch-hollow-shaft")</f>
        <v/>
      </c>
      <c r="C4284" t="inlineStr">
        <is>
          <t>Klein Tools S10 5/16-Inch Nut Driver 3-Inch Hollow Shaft</t>
        </is>
      </c>
      <c r="D4284" t="inlineStr">
        <is>
          <t>Klein Tools S146 7/16-Inch Nut Driver with 6-Inch Hollow Shaft and Comfordome Handle</t>
        </is>
      </c>
      <c r="E4284" s="2">
        <f>HYPERLINK("https://www.amazon.com/16-Inch-Comfordome-Klein-Tools-S146/dp/B00093GD2C/ref=sr_1_34?keywords=Klein+Tools+S10+5%2F16-Inch+Nut+Driver+3-Inch+Hollow+Shaft&amp;qid=1694735234&amp;sr=8-34", "https://www.amazon.com/16-Inch-Comfordome-Klein-Tools-S146/dp/B00093GD2C/ref=sr_1_34?keywords=Klein+Tools+S10+5%2F16-Inch+Nut+Driver+3-Inch+Hollow+Shaft&amp;qid=1694735234&amp;sr=8-34")</f>
        <v/>
      </c>
      <c r="F4284" t="inlineStr">
        <is>
          <t>B00093GD2C</t>
        </is>
      </c>
      <c r="G4284">
        <f>_xlfn.IMAGE("https://edmondsonsupply.com/cdn/shop/products/s10_38acacb8-6c8e-49ef-8ed3-7160ab53875a.jpg?v=1633030893")</f>
        <v/>
      </c>
      <c r="H4284">
        <f>_xlfn.IMAGE("https://m.media-amazon.com/images/I/31ij31KnKpL._AC_UL320_.jpg")</f>
        <v/>
      </c>
      <c r="K4284" t="inlineStr">
        <is>
          <t>7.99</t>
        </is>
      </c>
      <c r="L4284" t="n">
        <v>16.15</v>
      </c>
      <c r="M4284" s="1" t="inlineStr">
        <is>
          <t>102.13%</t>
        </is>
      </c>
      <c r="N4284" s="7" t="n">
        <v>0</v>
      </c>
      <c r="O4284" t="n">
        <v>4.7</v>
      </c>
      <c r="P4284" t="n">
        <v>47</v>
      </c>
      <c r="R4284" t="inlineStr">
        <is>
          <t>InStock</t>
        </is>
      </c>
      <c r="S4284" t="inlineStr">
        <is>
          <t>12.06</t>
        </is>
      </c>
      <c r="T4284" t="inlineStr">
        <is>
          <t>6223447031981</t>
        </is>
      </c>
    </row>
    <row r="4285" ht="87" customHeight="1">
      <c r="A4285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4285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4285" t="inlineStr">
        <is>
          <t>Diablo Tools DOU125BF 1-1/4 in. Universal Fit Bi-Metal Oscillating Blade for Metal</t>
        </is>
      </c>
      <c r="D4285" t="inlineStr">
        <is>
          <t>Diablo by Freud DOS125CF3 1-1/4 in. Starlock Carbide Oscillating Blades for Metal (3-Pack)</t>
        </is>
      </c>
      <c r="E4285" s="2">
        <f>HYPERLINK("https://www.amazon.com/Diablo-Freud-DOS125CF3-Starlock-Oscillating/dp/B089KVMBCM/ref=sr_1_20?keywords=Diablo+Tools+DOU125BF+1-1%2F4+in.+Universal+Fit+Bi-Metal+Oscillating+Blade+for+Metal&amp;qid=1694734995&amp;sr=8-20", "https://www.amazon.com/Diablo-Freud-DOS125CF3-Starlock-Oscillating/dp/B089KVMBCM/ref=sr_1_20?keywords=Diablo+Tools+DOU125BF+1-1%2F4+in.+Universal+Fit+Bi-Metal+Oscillating+Blade+for+Metal&amp;qid=1694734995&amp;sr=8-20")</f>
        <v/>
      </c>
      <c r="F4285" t="inlineStr">
        <is>
          <t>B089KVMBCM</t>
        </is>
      </c>
      <c r="G4285">
        <f>_xlfn.IMAGE("https://edmondsonsupply.com/cdn/shop/files/k1d1qiwmm4npznsdbwtg.webp?v=1685467858")</f>
        <v/>
      </c>
      <c r="H4285">
        <f>_xlfn.IMAGE("https://m.media-amazon.com/images/I/712JSswxusL._AC_UL320_.jpg")</f>
        <v/>
      </c>
      <c r="K4285" t="inlineStr">
        <is>
          <t>18.97</t>
        </is>
      </c>
      <c r="L4285" t="n">
        <v>38.32</v>
      </c>
      <c r="M4285" s="1" t="inlineStr">
        <is>
          <t>102.00%</t>
        </is>
      </c>
      <c r="N4285" s="7" t="n">
        <v>0</v>
      </c>
      <c r="O4285" t="n">
        <v>4.5</v>
      </c>
      <c r="P4285" t="n">
        <v>59</v>
      </c>
      <c r="R4285" t="inlineStr">
        <is>
          <t>InStock</t>
        </is>
      </c>
      <c r="S4285" t="inlineStr">
        <is>
          <t>22.35</t>
        </is>
      </c>
      <c r="T4285" t="inlineStr">
        <is>
          <t>7997877584088</t>
        </is>
      </c>
    </row>
    <row r="4286" hidden="1" ht="15.75" customHeight="1">
      <c r="A4286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4286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4286" t="inlineStr">
        <is>
          <t>Diablo Tools DMARG1020 5/32 in. x 3 in. x 6 in. SPEEDemon™ Red Granite Carbide Tipped Hammer Drill Bit</t>
        </is>
      </c>
      <c r="D4286" t="inlineStr">
        <is>
          <t>Diablo DMARG1110 5/16 in. x 8 in. x 10 in. SPEEDemon™ Red Granite Carbide Tipped Hammer Drill Bit</t>
        </is>
      </c>
      <c r="E4286" s="2">
        <f>HYPERLINK("https://www.amazon.com/Diablo-DMARG1110-SPEEDemon-Granite-Carbide/dp/B089LN9JJL/ref=sr_1_13?keywords=Diablo+Tools+DMARG1020+5%2F32+in.+x+3+in.+x+6+in.+SPEEDemon%E2%84%A2+Red+Granite+Carbide+Tipped+Hammer+Drill+Bit&amp;qid=1694735279&amp;sr=8-13", "https://www.amazon.com/Diablo-DMARG1110-SPEEDemon-Granite-Carbide/dp/B089LN9JJL/ref=sr_1_13?keywords=Diablo+Tools+DMARG1020+5%2F32+in.+x+3+in.+x+6+in.+SPEEDemon%E2%84%A2+Red+Granite+Carbide+Tipped+Hammer+Drill+Bit&amp;qid=1694735279&amp;sr=8-13")</f>
        <v/>
      </c>
      <c r="F4286" t="inlineStr">
        <is>
          <t>B089LN9JJL</t>
        </is>
      </c>
      <c r="G4286">
        <f>_xludf.IMAGE("https://edmondsonsupply.com/cdn/shop/products/vozy4matwskc7qc8ko6f.webp?v=1670440892")</f>
        <v/>
      </c>
      <c r="H4286">
        <f>_xludf.IMAGE("https://m.media-amazon.com/images/I/61Qf0cC1SJL._AC_UL320_.jpg")</f>
        <v/>
      </c>
      <c r="K4286" t="inlineStr">
        <is>
          <t>4.97</t>
        </is>
      </c>
      <c r="L4286" t="n">
        <v>10.03</v>
      </c>
      <c r="M4286" s="1" t="inlineStr">
        <is>
          <t>101.81%</t>
        </is>
      </c>
      <c r="N4286" s="1" t="n">
        <v>0</v>
      </c>
      <c r="O4286" t="n">
        <v>4.2</v>
      </c>
      <c r="P4286" t="n">
        <v>5</v>
      </c>
      <c r="R4286" t="inlineStr">
        <is>
          <t>InStock</t>
        </is>
      </c>
      <c r="S4286" t="inlineStr">
        <is>
          <t>undefined</t>
        </is>
      </c>
      <c r="T4286" t="inlineStr">
        <is>
          <t>5386082484392</t>
        </is>
      </c>
    </row>
    <row r="4287" hidden="1" ht="15.75" customHeight="1">
      <c r="A4287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4287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4287" t="inlineStr">
        <is>
          <t>Klein Tools JTH6E10BE 5/32-Inch Ball Hex Key, Journeyman T-Handle 6-Inch</t>
        </is>
      </c>
      <c r="D4287" t="inlineStr">
        <is>
          <t>Klein Tools JTH6T10 T10 TORX Hex Key, Journeyman T-Handle, 6-Inch</t>
        </is>
      </c>
      <c r="E4287" s="2">
        <f>HYPERLINK("https://www.amazon.com/Journeyman-T-Handle-Klein-Tools-JTH6T10/dp/B005G3B3TI/ref=sr_1_8?keywords=Klein+Tools+JTH6E10BE+5%2F32-Inch+Ball+Hex+Key%2C+Journeyman+T-Handle+6-Inch&amp;qid=1694735255&amp;sr=8-8", "https://www.amazon.com/Journeyman-T-Handle-Klein-Tools-JTH6T10/dp/B005G3B3TI/ref=sr_1_8?keywords=Klein+Tools+JTH6E10BE+5%2F32-Inch+Ball+Hex+Key%2C+Journeyman+T-Handle+6-Inch&amp;qid=1694735255&amp;sr=8-8")</f>
        <v/>
      </c>
      <c r="F4287" t="inlineStr">
        <is>
          <t>B005G3B3TI</t>
        </is>
      </c>
      <c r="G4287">
        <f>_xludf.IMAGE("https://edmondsonsupply.com/cdn/shop/products/jth6e13be_363de34a-e666-474d-81cd-df9068957d9f.jpg?v=1604059577")</f>
        <v/>
      </c>
      <c r="H4287">
        <f>_xludf.IMAGE("https://m.media-amazon.com/images/I/51Xj0Vsb-EL._AC_UL320_.jpg")</f>
        <v/>
      </c>
      <c r="K4287" t="inlineStr">
        <is>
          <t>4.99</t>
        </is>
      </c>
      <c r="L4287" t="n">
        <v>10.06</v>
      </c>
      <c r="M4287" s="1" t="inlineStr">
        <is>
          <t>101.60%</t>
        </is>
      </c>
      <c r="N4287" s="1" t="n">
        <v>0</v>
      </c>
      <c r="O4287" t="n">
        <v>4.8</v>
      </c>
      <c r="P4287" t="n">
        <v>1540</v>
      </c>
      <c r="R4287" t="inlineStr">
        <is>
          <t>InStock</t>
        </is>
      </c>
      <c r="S4287" t="inlineStr">
        <is>
          <t>7.52</t>
        </is>
      </c>
      <c r="T4287" t="inlineStr">
        <is>
          <t>5999019819176</t>
        </is>
      </c>
    </row>
    <row r="4288" hidden="1" ht="15.75" customHeight="1">
      <c r="A4288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4288" s="2">
        <f>HYPERLINK("https://edmondsonsupply.com/products/klein-tools-jth9m5-5-mm-hex-key-journeyman-t-handle-9-inch", "https://edmondsonsupply.com/products/klein-tools-jth9m5-5-mm-hex-key-journeyman-t-handle-9-inch")</f>
        <v/>
      </c>
      <c r="C4288" t="inlineStr">
        <is>
          <t>Klein Tools JTH9M5 5 mm Hex Key, Journeyman T-Handle 9-Inch</t>
        </is>
      </c>
      <c r="D4288" t="inlineStr">
        <is>
          <t>Klein Tools JTH9M5 5 mm Hex Key with Journeyman T-Handle, 9-Inch</t>
        </is>
      </c>
      <c r="E4288" s="2">
        <f>HYPERLINK("https://www.amazon.com/Journeyman-T-Handle-Klein-Tools-JTH9M5/dp/B005G3HJDW/ref=sr_1_1?keywords=Klein+Tools+JTH9M5+5+mm+Hex+Key%2C+Journeyman+T-Handle+9-Inch&amp;qid=1694735207&amp;sr=8-1", "https://www.amazon.com/Journeyman-T-Handle-Klein-Tools-JTH9M5/dp/B005G3HJDW/ref=sr_1_1?keywords=Klein+Tools+JTH9M5+5+mm+Hex+Key%2C+Journeyman+T-Handle+9-Inch&amp;qid=1694735207&amp;sr=8-1")</f>
        <v/>
      </c>
      <c r="F4288" t="inlineStr">
        <is>
          <t>B005G3HJDW</t>
        </is>
      </c>
      <c r="G4288">
        <f>_xludf.IMAGE("https://edmondsonsupply.com/cdn/shop/products/jth9m_84ad507b-889a-4b5c-80a2-9633c898cd48.jpg?v=1633031048")</f>
        <v/>
      </c>
      <c r="H4288">
        <f>_xludf.IMAGE("https://m.media-amazon.com/images/I/51O91N8K8wL._AC_UL320_.jpg")</f>
        <v/>
      </c>
      <c r="K4288" t="inlineStr">
        <is>
          <t>4.99</t>
        </is>
      </c>
      <c r="L4288" t="n">
        <v>10.04</v>
      </c>
      <c r="M4288" s="1" t="inlineStr">
        <is>
          <t>101.20%</t>
        </is>
      </c>
      <c r="N4288" s="1" t="n">
        <v>0</v>
      </c>
      <c r="O4288" t="n">
        <v>4.7</v>
      </c>
      <c r="P4288" t="n">
        <v>160</v>
      </c>
      <c r="R4288" t="inlineStr">
        <is>
          <t>InStock</t>
        </is>
      </c>
      <c r="S4288" t="inlineStr">
        <is>
          <t>7.58</t>
        </is>
      </c>
      <c r="T4288" t="inlineStr">
        <is>
          <t>6772921532589</t>
        </is>
      </c>
    </row>
    <row r="4289" hidden="1" ht="15.75" customHeight="1">
      <c r="A4289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4289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4289" t="inlineStr">
        <is>
          <t>Diablo Tools DMARG1020 5/32 in. x 3 in. x 6 in. SPEEDemon™ Red Granite Carbide Tipped Hammer Drill Bit</t>
        </is>
      </c>
      <c r="D4289" t="inlineStr">
        <is>
          <t>VALYRIANTOOL 10-Pack 5/32 Inch x 6 Inch SDS Plus Rotary Hammer Drill Bits Set, Carbide Tipped for Brick, Masonry, Stone and Concrete (5/32" x 4" x 6")</t>
        </is>
      </c>
      <c r="E4289" s="2">
        <f>HYPERLINK("https://www.amazon.com/VALYRIANTOOL-10-Pack-Carbide-Masonry-Concrete/dp/B07WBWMPPK/ref=sr_1_38?keywords=Diablo+Tools+DMARG1020+5%2F32+in.+x+3+in.+x+6+in.+SPEEDemon%E2%84%A2+Red+Granite+Carbide+Tipped+Hammer+Drill+Bit&amp;qid=1694735279&amp;sr=8-38", "https://www.amazon.com/VALYRIANTOOL-10-Pack-Carbide-Masonry-Concrete/dp/B07WBWMPPK/ref=sr_1_38?keywords=Diablo+Tools+DMARG1020+5%2F32+in.+x+3+in.+x+6+in.+SPEEDemon%E2%84%A2+Red+Granite+Carbide+Tipped+Hammer+Drill+Bit&amp;qid=1694735279&amp;sr=8-38")</f>
        <v/>
      </c>
      <c r="F4289" t="inlineStr">
        <is>
          <t>B07WBWMPPK</t>
        </is>
      </c>
      <c r="G4289">
        <f>_xludf.IMAGE("https://edmondsonsupply.com/cdn/shop/products/vozy4matwskc7qc8ko6f.webp?v=1670440892")</f>
        <v/>
      </c>
      <c r="H4289">
        <f>_xludf.IMAGE("https://m.media-amazon.com/images/I/61gzmHF8KQL._AC_UL320_.jpg")</f>
        <v/>
      </c>
      <c r="K4289" t="inlineStr">
        <is>
          <t>4.97</t>
        </is>
      </c>
      <c r="L4289" t="n">
        <v>9.99</v>
      </c>
      <c r="M4289" s="1" t="inlineStr">
        <is>
          <t>101.01%</t>
        </is>
      </c>
      <c r="N4289" s="1" t="n">
        <v>0</v>
      </c>
      <c r="O4289" t="n">
        <v>4.3</v>
      </c>
      <c r="P4289" t="n">
        <v>47</v>
      </c>
      <c r="R4289" t="inlineStr">
        <is>
          <t>InStock</t>
        </is>
      </c>
      <c r="S4289" t="inlineStr">
        <is>
          <t>undefined</t>
        </is>
      </c>
      <c r="T4289" t="inlineStr">
        <is>
          <t>5386082484392</t>
        </is>
      </c>
    </row>
    <row r="4290" hidden="1" ht="15.75" customHeight="1">
      <c r="A4290" s="2">
        <f>HYPERLINK("https://edmondsonsupply.com/collections/electricians-tools/products/diablo-tools-dmamm1010-1-8-in-x-2-in-x-3-in-multi-material-carbide-tipped-hammer-drill-bit", "https://edmondsonsupply.com/collections/electricians-tools/products/diablo-tools-dmamm1010-1-8-in-x-2-in-x-3-in-multi-material-carbide-tipped-hammer-drill-bit")</f>
        <v/>
      </c>
      <c r="B4290" s="2">
        <f>HYPERLINK("https://edmondsonsupply.com/products/diablo-tools-dmamm1010-1-8-in-x-2-in-x-3-in-multi-material-carbide-tipped-hammer-drill-bit", "https://edmondsonsupply.com/products/diablo-tools-dmamm1010-1-8-in-x-2-in-x-3-in-multi-material-carbide-tipped-hammer-drill-bit")</f>
        <v/>
      </c>
      <c r="C4290" t="inlineStr">
        <is>
          <t>Diablo Tools DMAMM1010 1/8 in. x 2 in. x 3 in. Multi-Material Carbide Tipped Hammer Drill Bit</t>
        </is>
      </c>
      <c r="D4290" t="inlineStr">
        <is>
          <t>Diablo by Freud DMAPL2920 3/16 in. x 3-1/2 in. x 6 in. SDS-Plus Full Carbide Head Concrete Anchor Hammer Drill Bit Multi, One Size</t>
        </is>
      </c>
      <c r="E4290" s="2">
        <f>HYPERLINK("https://www.amazon.com/Diablo-Carbide-Concrete-Anchor-Hammer/dp/B089KWDK51/ref=sr_1_22?keywords=Diablo+Tools+DMAMM1010+1%2F8+in.+x+2+in.+x+3+in.+Multi-Material+Carbide+Tipped+Hammer+Drill+Bit&amp;qid=1694735185&amp;sr=8-22", "https://www.amazon.com/Diablo-Carbide-Concrete-Anchor-Hammer/dp/B089KWDK51/ref=sr_1_22?keywords=Diablo+Tools+DMAMM1010+1%2F8+in.+x+2+in.+x+3+in.+Multi-Material+Carbide+Tipped+Hammer+Drill+Bit&amp;qid=1694735185&amp;sr=8-22")</f>
        <v/>
      </c>
      <c r="F4290" t="inlineStr">
        <is>
          <t>B089KWDK51</t>
        </is>
      </c>
      <c r="G4290">
        <f>_xludf.IMAGE("https://edmondsonsupply.com/cdn/shop/products/DMAMM1010_Main-Image20200702.png?v=1633031179")</f>
        <v/>
      </c>
      <c r="H4290">
        <f>_xludf.IMAGE("https://m.media-amazon.com/images/I/61VCLLn-a7L._AC_UL320_.jpg")</f>
        <v/>
      </c>
      <c r="K4290" t="inlineStr">
        <is>
          <t>4.97</t>
        </is>
      </c>
      <c r="L4290" t="n">
        <v>9.99</v>
      </c>
      <c r="M4290" s="1" t="inlineStr">
        <is>
          <t>101.01%</t>
        </is>
      </c>
      <c r="N4290" s="1" t="n">
        <v>0</v>
      </c>
      <c r="O4290" t="n">
        <v>3</v>
      </c>
      <c r="P4290" t="n">
        <v>1</v>
      </c>
      <c r="R4290" t="inlineStr">
        <is>
          <t>InStock</t>
        </is>
      </c>
      <c r="S4290" t="inlineStr">
        <is>
          <t>undefined</t>
        </is>
      </c>
      <c r="T4290" t="inlineStr">
        <is>
          <t>6917950668973</t>
        </is>
      </c>
    </row>
    <row r="4291" hidden="1" ht="15.75" customHeight="1">
      <c r="A4291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4291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4291" t="inlineStr">
        <is>
          <t>Diablo Tools DMARG1070 1/4 in. x 4 in. x 6 in. SPEEDemon™ Red Granite Carbide Tipped Hammer Drill Bit</t>
        </is>
      </c>
      <c r="D4291" t="inlineStr">
        <is>
          <t>VALYRIANTOOL 10-Pack 1/4 Inch x 6 Inch SDS Plus Rotary Hammer Drill Bits Set, Carbide Tipped for Brick, Masonry, Stone and Concrete (1/4" x 4" x 6")</t>
        </is>
      </c>
      <c r="E4291" s="2">
        <f>HYPERLINK("https://www.amazon.com/VALYRIANTOOL-10-Pack-Carbide-Masonry-Concrete/dp/B07W4FLRLP/ref=sr_1_23?keywords=Diablo+Tools+DMARG1070+1%2F4+in.+x+4+in.+x+6+in.+SPEEDemon%E2%84%A2+Red+Granite+Carbide+Tipped+Hammer+Drill+Bit&amp;qid=1694735286&amp;sr=8-23", "https://www.amazon.com/VALYRIANTOOL-10-Pack-Carbide-Masonry-Concrete/dp/B07W4FLRLP/ref=sr_1_23?keywords=Diablo+Tools+DMARG1070+1%2F4+in.+x+4+in.+x+6+in.+SPEEDemon%E2%84%A2+Red+Granite+Carbide+Tipped+Hammer+Drill+Bit&amp;qid=1694735286&amp;sr=8-23")</f>
        <v/>
      </c>
      <c r="F4291" t="inlineStr">
        <is>
          <t>B07W4FLRLP</t>
        </is>
      </c>
      <c r="G4291">
        <f>_xludf.IMAGE("https://edmondsonsupply.com/cdn/shop/products/DMARG1070_Main-Image20200407.png?v=1633030419")</f>
        <v/>
      </c>
      <c r="H4291">
        <f>_xludf.IMAGE("https://m.media-amazon.com/images/I/61gzmHF8KQL._AC_UL320_.jpg")</f>
        <v/>
      </c>
      <c r="K4291" t="inlineStr">
        <is>
          <t>4.97</t>
        </is>
      </c>
      <c r="L4291" t="n">
        <v>9.99</v>
      </c>
      <c r="M4291" s="1" t="inlineStr">
        <is>
          <t>101.01%</t>
        </is>
      </c>
      <c r="N4291" s="1" t="n">
        <v>0</v>
      </c>
      <c r="O4291" t="n">
        <v>4.3</v>
      </c>
      <c r="P4291" t="n">
        <v>47</v>
      </c>
      <c r="R4291" t="inlineStr">
        <is>
          <t>InStock</t>
        </is>
      </c>
      <c r="S4291" t="inlineStr">
        <is>
          <t>undefined</t>
        </is>
      </c>
      <c r="T4291" t="inlineStr">
        <is>
          <t>5317981700264</t>
        </is>
      </c>
    </row>
    <row r="4292" hidden="1" ht="15.75" customHeight="1">
      <c r="A4292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4292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4292" t="inlineStr">
        <is>
          <t>Diablo Tools DMAPL4020 5/32 in. x 4 in. x 6 in. Rebar Demon™ SDS-Plus 4-Cutter Full Carbide Head Hammer Bit</t>
        </is>
      </c>
      <c r="D4292" t="inlineStr">
        <is>
          <t>Diablo DMAPL4120 5/16 in. x 10 in. x 12 in. Rebar Demon™ SDS-Plus 4-Cutter Full Carbide Head Hammer Bit</t>
        </is>
      </c>
      <c r="E4292" s="2">
        <f>HYPERLINK("https://www.amazon.com/Diablo-SDS-Plus-4-Cutter-Carbide-Hammer/dp/B089KTHL12/ref=sr_1_11?keywords=Diablo+Tools+DMAPL4020+5%2F32+in.+x+4+in.+x+6+in.+Rebar+Demon%E2%84%A2+SDS-Plus+4-Cutter+Full+Carbide+Head+Hammer+Bit&amp;qid=1694735291&amp;sr=8-11", "https://www.amazon.com/Diablo-SDS-Plus-4-Cutter-Carbide-Hammer/dp/B089KTHL12/ref=sr_1_11?keywords=Diablo+Tools+DMAPL4020+5%2F32+in.+x+4+in.+x+6+in.+Rebar+Demon%E2%84%A2+SDS-Plus+4-Cutter+Full+Carbide+Head+Hammer+Bit&amp;qid=1694735291&amp;sr=8-11")</f>
        <v/>
      </c>
      <c r="F4292" t="inlineStr">
        <is>
          <t>B089KTHL12</t>
        </is>
      </c>
      <c r="G4292">
        <f>_xludf.IMAGE("https://edmondsonsupply.com/cdn/shop/products/DMAPL4020_1.jpg?v=1633030415")</f>
        <v/>
      </c>
      <c r="H4292">
        <f>_xludf.IMAGE("https://m.media-amazon.com/images/I/61P8b1v1TBL._AC_UL320_.jpg")</f>
        <v/>
      </c>
      <c r="K4292" t="inlineStr">
        <is>
          <t>6.47</t>
        </is>
      </c>
      <c r="L4292" t="n">
        <v>12.99</v>
      </c>
      <c r="M4292" s="1" t="inlineStr">
        <is>
          <t>100.77%</t>
        </is>
      </c>
      <c r="N4292" s="1" t="n">
        <v>0</v>
      </c>
      <c r="O4292" t="n">
        <v>5</v>
      </c>
      <c r="P4292" t="n">
        <v>6</v>
      </c>
      <c r="R4292" t="inlineStr">
        <is>
          <t>InStock</t>
        </is>
      </c>
      <c r="S4292" t="inlineStr">
        <is>
          <t>9.44</t>
        </is>
      </c>
      <c r="T4292" t="inlineStr">
        <is>
          <t>5313711046824</t>
        </is>
      </c>
    </row>
    <row r="4293" ht="87" customHeight="1">
      <c r="A4293" s="2">
        <f>HYPERLINK("https://edmondsonsupply.com/collections/electricians-tools/products/copy-of-diablo-tools-d1080x", "https://edmondsonsupply.com/collections/electricians-tools/products/copy-of-diablo-tools-d1080x")</f>
        <v/>
      </c>
      <c r="B4293" s="2">
        <f>HYPERLINK("https://edmondsonsupply.com/products/copy-of-diablo-tools-d1080x", "https://edmondsonsupply.com/products/copy-of-diablo-tools-d1080x")</f>
        <v/>
      </c>
      <c r="C4293" t="inlineStr">
        <is>
          <t>Diablo Tools D1040X 10 in. x 40 Tooth General Purpose Saw Blade</t>
        </is>
      </c>
      <c r="D4293" t="inlineStr">
        <is>
          <t>Freud D1040X Diablo 10-In 40-Tooth ATB General Purpose Saw Blade with 5/8-Inch Arbor and PermaShield Coating 2 PACK</t>
        </is>
      </c>
      <c r="E4293" s="2">
        <f>HYPERLINK("https://www.amazon.com/Freud-40-Tooth-General-Purpose-PermaShield/dp/B0143LJ0WA/ref=sr_1_1?keywords=Diablo+Tools+D1040X+10+in.+x+40+Tooth+General+Purpose+Saw+Blade&amp;qid=1694735312&amp;sr=8-1", "https://www.amazon.com/Freud-40-Tooth-General-Purpose-PermaShield/dp/B0143LJ0WA/ref=sr_1_1?keywords=Diablo+Tools+D1040X+10+in.+x+40+Tooth+General+Purpose+Saw+Blade&amp;qid=1694735312&amp;sr=8-1")</f>
        <v/>
      </c>
      <c r="F4293" t="inlineStr">
        <is>
          <t>B0143LJ0WA</t>
        </is>
      </c>
      <c r="G4293">
        <f>_xlfn.IMAGE("https://edmondsonsupply.com/cdn/shop/products/D1040X_Main-Image20200923.png?v=1633030269")</f>
        <v/>
      </c>
      <c r="H4293">
        <f>_xlfn.IMAGE("https://m.media-amazon.com/images/I/61N5VGy-VgL._AC_UL320_.jpg")</f>
        <v/>
      </c>
      <c r="K4293" t="inlineStr">
        <is>
          <t>32.89</t>
        </is>
      </c>
      <c r="L4293" t="n">
        <v>66</v>
      </c>
      <c r="M4293" s="1" t="inlineStr">
        <is>
          <t>100.67%</t>
        </is>
      </c>
      <c r="N4293" s="7" t="n">
        <v>0</v>
      </c>
      <c r="O4293" t="n">
        <v>4.8</v>
      </c>
      <c r="P4293" t="n">
        <v>701</v>
      </c>
      <c r="R4293" t="inlineStr">
        <is>
          <t>InStock</t>
        </is>
      </c>
      <c r="S4293" t="inlineStr">
        <is>
          <t>54.15</t>
        </is>
      </c>
      <c r="T4293" t="inlineStr">
        <is>
          <t>4681374695524</t>
        </is>
      </c>
    </row>
    <row r="4294" ht="87" customHeight="1">
      <c r="A4294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4294" s="2">
        <f>HYPERLINK("https://edmondsonsupply.com/products/diablo-tools-d0624x-6-1-2-in-24-tooth-framing-saw-blade", "https://edmondsonsupply.com/products/diablo-tools-d0624x-6-1-2-in-24-tooth-framing-saw-blade")</f>
        <v/>
      </c>
      <c r="C4294" t="inlineStr">
        <is>
          <t>Diablo Tools D0624X 6-1/2 in. 24-Tooth Framing Saw Blade</t>
        </is>
      </c>
      <c r="D4294" t="inlineStr">
        <is>
          <t>Freud D0624A Diablo 6-1/2-inch 24T ATB Perma-Shield Framing Saw Blades, 2-Pack</t>
        </is>
      </c>
      <c r="E4294" s="2">
        <f>HYPERLINK("https://www.amazon.com/Freud-D0624A-Diablo-Perma-Shield-Framing/dp/B00USC8HBO/ref=sr_1_8?keywords=Diablo+Tools+D0624X+6-1%2F2+in.+24-Tooth+Framing+Saw+Blade&amp;qid=1694735025&amp;sr=8-8", "https://www.amazon.com/Freud-D0624A-Diablo-Perma-Shield-Framing/dp/B00USC8HBO/ref=sr_1_8?keywords=Diablo+Tools+D0624X+6-1%2F2+in.+24-Tooth+Framing+Saw+Blade&amp;qid=1694735025&amp;sr=8-8")</f>
        <v/>
      </c>
      <c r="F4294" t="inlineStr">
        <is>
          <t>B00USC8HBO</t>
        </is>
      </c>
      <c r="G4294">
        <f>_xlfn.IMAGE("https://edmondsonsupply.com/cdn/shop/products/mfin0gl4ono6qztsnrth.webp?v=1678982694")</f>
        <v/>
      </c>
      <c r="H4294">
        <f>_xlfn.IMAGE("https://m.media-amazon.com/images/I/61LSrBh6xtL._AC_UL320_.jpg")</f>
        <v/>
      </c>
      <c r="K4294" t="inlineStr">
        <is>
          <t>11.97</t>
        </is>
      </c>
      <c r="L4294" t="n">
        <v>24</v>
      </c>
      <c r="M4294" s="1" t="inlineStr">
        <is>
          <t>100.50%</t>
        </is>
      </c>
      <c r="N4294" s="7" t="n">
        <v>0</v>
      </c>
      <c r="O4294" t="n">
        <v>4.7</v>
      </c>
      <c r="P4294" t="n">
        <v>407</v>
      </c>
      <c r="R4294" t="inlineStr">
        <is>
          <t>InStock</t>
        </is>
      </c>
      <c r="S4294" t="inlineStr">
        <is>
          <t>17.38</t>
        </is>
      </c>
      <c r="T4294" t="inlineStr">
        <is>
          <t>7962732855512</t>
        </is>
      </c>
    </row>
    <row r="4295" hidden="1" ht="15.75" customHeight="1">
      <c r="A4295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4295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4295" t="inlineStr">
        <is>
          <t>Diablo Tools DMAPL4010 5/32 in. x 2 in. x 4 in. Rebar Demon™ SDS-Plus 4-Cutter Full Carbide Head Hammer Bit</t>
        </is>
      </c>
      <c r="D4295" t="inlineStr">
        <is>
          <t>Diablo DMAPL4120 5/16 in. x 10 in. x 12 in. Rebar Demon™ SDS-Plus 4-Cutter Full Carbide Head Hammer Bit</t>
        </is>
      </c>
      <c r="E4295" s="2">
        <f>HYPERLINK("https://www.amazon.com/Diablo-SDS-Plus-4-Cutter-Carbide-Hammer/dp/B089KTHL12/ref=sr_1_19?keywords=Diablo+Tools+DMAPL4010+5%2F32+in.+x+2+in.+x+4+in.+Rebar+Demon%E2%84%A2+SDS-Plus+4-Cutter+Full+Carbide+Head+Hammer+Bit&amp;qid=1694735296&amp;sr=8-19", "https://www.amazon.com/Diablo-SDS-Plus-4-Cutter-Carbide-Hammer/dp/B089KTHL12/ref=sr_1_19?keywords=Diablo+Tools+DMAPL4010+5%2F32+in.+x+2+in.+x+4+in.+Rebar+Demon%E2%84%A2+SDS-Plus+4-Cutter+Full+Carbide+Head+Hammer+Bit&amp;qid=1694735296&amp;sr=8-19")</f>
        <v/>
      </c>
      <c r="F4295" t="inlineStr">
        <is>
          <t>B089KTHL12</t>
        </is>
      </c>
      <c r="G4295">
        <f>_xludf.IMAGE("https://edmondsonsupply.com/cdn/shop/products/DMAPL4010.jpg?v=1633030357")</f>
        <v/>
      </c>
      <c r="H4295">
        <f>_xludf.IMAGE("https://m.media-amazon.com/images/I/61P8b1v1TBL._AC_UL320_.jpg")</f>
        <v/>
      </c>
      <c r="K4295" t="inlineStr">
        <is>
          <t>6.48</t>
        </is>
      </c>
      <c r="L4295" t="n">
        <v>12.99</v>
      </c>
      <c r="M4295" s="1" t="inlineStr">
        <is>
          <t>100.46%</t>
        </is>
      </c>
      <c r="N4295" s="1" t="n">
        <v>0</v>
      </c>
      <c r="O4295" t="n">
        <v>5</v>
      </c>
      <c r="P4295" t="n">
        <v>6</v>
      </c>
      <c r="R4295" t="inlineStr">
        <is>
          <t>InStock</t>
        </is>
      </c>
      <c r="S4295" t="inlineStr">
        <is>
          <t>10.3</t>
        </is>
      </c>
      <c r="T4295" t="inlineStr">
        <is>
          <t>5286308380840</t>
        </is>
      </c>
    </row>
    <row r="4296" ht="87" customHeight="1">
      <c r="A4296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4296" s="2">
        <f>HYPERLINK("https://edmondsonsupply.com/products/milwaukee-48-22-1521-compact-folding-knife", "https://edmondsonsupply.com/products/milwaukee-48-22-1521-compact-folding-knife")</f>
        <v/>
      </c>
      <c r="C4296" t="inlineStr">
        <is>
          <t>Milwaukee 48-22-1521 Compact Folding Knife</t>
        </is>
      </c>
      <c r="D4296" t="inlineStr">
        <is>
          <t>Milwaukee 48-22-1990 FASTBACK Smooth Folding Knife Stainless Steel</t>
        </is>
      </c>
      <c r="E4296" s="2">
        <f>HYPERLINK("https://www.amazon.com/Milwaukee-48-22-1990-FASTBACK-Smooth-Folding/dp/B00IKVFCUO/ref=sr_1_6?keywords=Milwaukee+48-22-1521+Compact+Folding+Knife&amp;qid=1694735039&amp;sr=8-6", "https://www.amazon.com/Milwaukee-48-22-1990-FASTBACK-Smooth-Folding/dp/B00IKVFCUO/ref=sr_1_6?keywords=Milwaukee+48-22-1521+Compact+Folding+Knife&amp;qid=1694735039&amp;sr=8-6")</f>
        <v/>
      </c>
      <c r="F4296" t="inlineStr">
        <is>
          <t>B00IKVFCUO</t>
        </is>
      </c>
      <c r="G4296">
        <f>_xlfn.IMAGE("https://edmondsonsupply.com/cdn/shop/products/48-22-1521_1.webp?v=1675359641")</f>
        <v/>
      </c>
      <c r="H4296">
        <f>_xlfn.IMAGE("https://m.media-amazon.com/images/I/81wFFG5g9vL._AC_UL320_.jpg")</f>
        <v/>
      </c>
      <c r="K4296" t="inlineStr">
        <is>
          <t>12.97</t>
        </is>
      </c>
      <c r="L4296" t="n">
        <v>26</v>
      </c>
      <c r="M4296" s="1" t="inlineStr">
        <is>
          <t>100.46%</t>
        </is>
      </c>
      <c r="N4296" s="7" t="n">
        <v>0</v>
      </c>
      <c r="O4296" t="n">
        <v>4.5</v>
      </c>
      <c r="P4296" t="n">
        <v>978</v>
      </c>
      <c r="R4296" t="inlineStr">
        <is>
          <t>InStock</t>
        </is>
      </c>
      <c r="S4296" t="inlineStr">
        <is>
          <t>15.5</t>
        </is>
      </c>
      <c r="T4296" t="inlineStr">
        <is>
          <t>7937891827928</t>
        </is>
      </c>
    </row>
    <row r="4297" ht="87" customHeight="1">
      <c r="A4297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4297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4297" t="inlineStr">
        <is>
          <t>Diablo Tools DMARG1090 1/4 in. x 10 in. x 12 in. SPEEDemon™ Red Granite Carbide Tipped Hammer Drill Bit</t>
        </is>
      </c>
      <c r="D4297" t="inlineStr">
        <is>
          <t>Sabre Tools 10-Pack 1/4 Inch x 6 Inch SDS Plus Rotary Hammer Drill Bits, Carbide Tipped for Brick, Stone and Concrete (1/4” x 4" x 6")</t>
        </is>
      </c>
      <c r="E4297" s="2">
        <f>HYPERLINK("https://www.amazon.com/Sabre-Tools-10-Pack-Carbide-Concrete/dp/B08P1FKCQB/ref=sr_1_14?keywords=Diablo+Tools+DMARG1090+1%2F4+in.+x+10+in.+x+12+in.+SPEEDemon%E2%84%A2+Red+Granite+Carbide+Tipped+Hammer+Drill+Bit&amp;qid=1694735286&amp;sr=8-14", "https://www.amazon.com/Sabre-Tools-10-Pack-Carbide-Concrete/dp/B08P1FKCQB/ref=sr_1_14?keywords=Diablo+Tools+DMARG1090+1%2F4+in.+x+10+in.+x+12+in.+SPEEDemon%E2%84%A2+Red+Granite+Carbide+Tipped+Hammer+Drill+Bit&amp;qid=1694735286&amp;sr=8-14")</f>
        <v/>
      </c>
      <c r="F4297" t="inlineStr">
        <is>
          <t>B08P1FKCQB</t>
        </is>
      </c>
      <c r="G4297">
        <f>_xlfn.IMAGE("https://edmondsonsupply.com/cdn/shop/products/DMARG1090_Main-Image.png?v=1633030421")</f>
        <v/>
      </c>
      <c r="H4297">
        <f>_xlfn.IMAGE("https://m.media-amazon.com/images/I/91vqQBON8sL._AC_UL320_.jpg")</f>
        <v/>
      </c>
      <c r="K4297" t="inlineStr">
        <is>
          <t>11.97</t>
        </is>
      </c>
      <c r="L4297" t="n">
        <v>23.99</v>
      </c>
      <c r="M4297" s="1" t="inlineStr">
        <is>
          <t>100.42%</t>
        </is>
      </c>
      <c r="N4297" s="7" t="n">
        <v>0</v>
      </c>
      <c r="O4297" t="n">
        <v>4.6</v>
      </c>
      <c r="P4297" t="n">
        <v>123</v>
      </c>
      <c r="R4297" t="inlineStr">
        <is>
          <t>InStock</t>
        </is>
      </c>
      <c r="S4297" t="inlineStr">
        <is>
          <t>12.5</t>
        </is>
      </c>
      <c r="T4297" t="inlineStr">
        <is>
          <t>5318039339176</t>
        </is>
      </c>
    </row>
    <row r="4298" ht="87" customHeight="1">
      <c r="A4298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4298" s="2">
        <f>HYPERLINK("https://edmondsonsupply.com/products/klein-tools-55470-stand-up-zipper-bags-2-pack", "https://edmondsonsupply.com/products/klein-tools-55470-stand-up-zipper-bags-2-pack")</f>
        <v/>
      </c>
      <c r="C4298" t="inlineStr">
        <is>
          <t>Klein Tools 55470 Zipper Bag, Stand-Up Tool Pouch, 2-Pack</t>
        </is>
      </c>
      <c r="D4298" t="inlineStr">
        <is>
          <t>Klein Tools 55559 Stand-Up Zipper Bag Tool Pouch, 7-Inch Blue and 14-Inch Gray, 2-Pack &amp; 55470 Utility Bag, Stand-Up Zipper Tool Bags, Orange/Black, Gray/Black, 2-Pack</t>
        </is>
      </c>
      <c r="E4298" s="2">
        <f>HYPERLINK("https://www.amazon.com/Klein-Tools-Stand-Up-14-Inch-Utility/dp/B0BNL5LYJJ/ref=sr_1_2?keywords=Klein+Tools+55470+Zipper+Bag%2C+Stand-Up+Tool+Pouch%2C+2-Pack&amp;qid=1694735348&amp;sr=8-2", "https://www.amazon.com/Klein-Tools-Stand-Up-14-Inch-Utility/dp/B0BNL5LYJJ/ref=sr_1_2?keywords=Klein+Tools+55470+Zipper+Bag%2C+Stand-Up+Tool+Pouch%2C+2-Pack&amp;qid=1694735348&amp;sr=8-2")</f>
        <v/>
      </c>
      <c r="F4298" t="inlineStr">
        <is>
          <t>B0BNL5LYJJ</t>
        </is>
      </c>
      <c r="G4298">
        <f>_xlfn.IMAGE("https://edmondsonsupply.com/cdn/shop/products/55470.jpg?v=1587149313")</f>
        <v/>
      </c>
      <c r="H4298">
        <f>_xlfn.IMAGE("https://m.media-amazon.com/images/I/51YFgCm7c5L._AC_UL320_.jpg")</f>
        <v/>
      </c>
      <c r="K4298" t="inlineStr">
        <is>
          <t>14.97</t>
        </is>
      </c>
      <c r="L4298" t="n">
        <v>29.98</v>
      </c>
      <c r="M4298" s="1" t="inlineStr">
        <is>
          <t>100.27%</t>
        </is>
      </c>
      <c r="N4298" s="7" t="n">
        <v>0</v>
      </c>
      <c r="O4298" t="n">
        <v>4.5</v>
      </c>
      <c r="P4298" t="n">
        <v>2</v>
      </c>
      <c r="R4298" t="inlineStr">
        <is>
          <t>InStock</t>
        </is>
      </c>
      <c r="S4298" t="inlineStr">
        <is>
          <t>21.5</t>
        </is>
      </c>
      <c r="T4298" t="inlineStr">
        <is>
          <t>1723696971876</t>
        </is>
      </c>
    </row>
    <row r="4299" hidden="1" ht="15.75" customHeight="1">
      <c r="A4299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299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299" t="inlineStr">
        <is>
          <t>Klein Tools JTH9E08 1/8-Inch Hex Key with Journeyman T-Handle, 9-Inch</t>
        </is>
      </c>
      <c r="D4299" t="inlineStr">
        <is>
          <t>Klein Tools JTH6M8BE 8 mm Ball End Hex Key with Journeyman T-Handle, 6-Inch</t>
        </is>
      </c>
      <c r="E4299" s="2">
        <f>HYPERLINK("https://www.amazon.com/Journeyman-T-Handle-Klein-Tools-JTH6M8BE/dp/B005G395RU/ref=sr_1_14?keywords=Klein+Tools+JTH9E08+1%2F8-Inch+Hex+Key+with+Journeyman+T-Handle%2C+9-Inch&amp;qid=1694735421&amp;sr=8-14", "https://www.amazon.com/Journeyman-T-Handle-Klein-Tools-JTH6M8BE/dp/B005G395RU/ref=sr_1_14?keywords=Klein+Tools+JTH9E08+1%2F8-Inch+Hex+Key+with+Journeyman+T-Handle%2C+9-Inch&amp;qid=1694735421&amp;sr=8-14")</f>
        <v/>
      </c>
      <c r="F4299" t="inlineStr">
        <is>
          <t>B005G395RU</t>
        </is>
      </c>
      <c r="G4299">
        <f>_xludf.IMAGE("https://edmondsonsupply.com/cdn/shop/products/jth6e15_f2733d2c-ab65-41d7-8597-f1dfd8fcaabf.jpg?v=1587142807")</f>
        <v/>
      </c>
      <c r="H4299">
        <f>_xludf.IMAGE("https://m.media-amazon.com/images/I/51AxgtE+VvL._AC_UL320_.jpg")</f>
        <v/>
      </c>
      <c r="K4299" t="inlineStr">
        <is>
          <t>4.49</t>
        </is>
      </c>
      <c r="L4299" t="n">
        <v>8.99</v>
      </c>
      <c r="M4299" s="1" t="inlineStr">
        <is>
          <t>100.22%</t>
        </is>
      </c>
      <c r="N4299" s="1" t="n">
        <v>0</v>
      </c>
      <c r="O4299" t="n">
        <v>4.8</v>
      </c>
      <c r="P4299" t="n">
        <v>985</v>
      </c>
      <c r="R4299" t="inlineStr">
        <is>
          <t>InStock</t>
        </is>
      </c>
      <c r="S4299" t="inlineStr">
        <is>
          <t>6.82</t>
        </is>
      </c>
      <c r="T4299" t="inlineStr">
        <is>
          <t>4352186810468</t>
        </is>
      </c>
    </row>
    <row r="4300" ht="87" customHeight="1">
      <c r="A4300" s="2">
        <f>HYPERLINK("https://edmondsonsupply.com/collections/electricians-tools/products/klein-tools-1011-wire-stripper-cutter-10-20-12-22-awg", "https://edmondsonsupply.com/collections/electricians-tools/products/klein-tools-1011-wire-stripper-cutter-10-20-12-22-awg")</f>
        <v/>
      </c>
      <c r="B4300" s="2">
        <f>HYPERLINK("https://edmondsonsupply.com/products/klein-tools-1011-wire-stripper-cutter-10-20-12-22-awg", "https://edmondsonsupply.com/products/klein-tools-1011-wire-stripper-cutter-10-20-12-22-awg")</f>
        <v/>
      </c>
      <c r="C4300" t="inlineStr">
        <is>
          <t>Klein Tools 1011 Wire Stripper/Cutter 10-20 Solid, 12-22 AWG Stranded</t>
        </is>
      </c>
      <c r="D4300" t="inlineStr">
        <is>
          <t>Klein Tools 11063W Wire Cutter / Wire Stripper, Heavy Duty Automatic Wire Stripper Tool for 8-20 AWG Solid and 10-22 AWG Stranded Electrical Wire,Blue/Black</t>
        </is>
      </c>
      <c r="E4300" s="2">
        <f>HYPERLINK("https://www.amazon.com/Stripper-Electrical-Klein-Tools-11063W/dp/B00BC39YFQ/ref=sr_1_5?keywords=Klein+Tools+1011+Wire+Stripper%2FCutter+10-20+Solid%2C+12-22+AWG+Stranded&amp;qid=1694735342&amp;sr=8-5", "https://www.amazon.com/Stripper-Electrical-Klein-Tools-11063W/dp/B00BC39YFQ/ref=sr_1_5?keywords=Klein+Tools+1011+Wire+Stripper%2FCutter+10-20+Solid%2C+12-22+AWG+Stranded&amp;qid=1694735342&amp;sr=8-5")</f>
        <v/>
      </c>
      <c r="F4300" t="inlineStr">
        <is>
          <t>B00BC39YFQ</t>
        </is>
      </c>
      <c r="G4300">
        <f>_xlfn.IMAGE("https://edmondsonsupply.com/cdn/shop/products/1011.jpg?v=1587146937")</f>
        <v/>
      </c>
      <c r="H4300">
        <f>_xlfn.IMAGE("https://m.media-amazon.com/images/I/51cWJR-r31L._AC_UL320_.jpg")</f>
        <v/>
      </c>
      <c r="K4300" t="inlineStr">
        <is>
          <t>14.97</t>
        </is>
      </c>
      <c r="L4300" t="n">
        <v>29.97</v>
      </c>
      <c r="M4300" s="1" t="inlineStr">
        <is>
          <t>100.20%</t>
        </is>
      </c>
      <c r="N4300" s="7" t="n">
        <v>0</v>
      </c>
      <c r="O4300" t="n">
        <v>4.8</v>
      </c>
      <c r="P4300" t="n">
        <v>9108</v>
      </c>
      <c r="R4300" t="inlineStr">
        <is>
          <t>InStock</t>
        </is>
      </c>
      <c r="S4300" t="inlineStr">
        <is>
          <t>19.92</t>
        </is>
      </c>
      <c r="T4300" t="inlineStr">
        <is>
          <t>4505307414628</t>
        </is>
      </c>
    </row>
    <row r="4301" ht="87" customHeight="1">
      <c r="A4301" s="2">
        <f>HYPERLINK("https://edmondsonsupply.com/collections/electricians-tools/products/klein-tools-1011-wire-stripper-cutter-10-20-12-22-awg", "https://edmondsonsupply.com/collections/electricians-tools/products/klein-tools-1011-wire-stripper-cutter-10-20-12-22-awg")</f>
        <v/>
      </c>
      <c r="B4301" s="2">
        <f>HYPERLINK("https://edmondsonsupply.com/products/klein-tools-1011-wire-stripper-cutter-10-20-12-22-awg", "https://edmondsonsupply.com/products/klein-tools-1011-wire-stripper-cutter-10-20-12-22-awg")</f>
        <v/>
      </c>
      <c r="C4301" t="inlineStr">
        <is>
          <t>Klein Tools 1011 Wire Stripper/Cutter 10-20 Solid, 12-22 AWG Stranded</t>
        </is>
      </c>
      <c r="D4301" t="inlineStr">
        <is>
          <t>Klein Tools 11055RINS 1000V Insulated Klein Kurve Wire Stripper/Cutter Cuts and Strips 10-18 Solid and 12-20 Stranded AWG Wire, Orange</t>
        </is>
      </c>
      <c r="E4301" s="2">
        <f>HYPERLINK("https://www.amazon.com/Klein-Tools-11055RINS-Insulated-Stripper/dp/B0BFZBQ9XF/ref=sr_1_4?keywords=Klein+Tools+1011+Wire+Stripper%2FCutter+10-20+Solid%2C+12-22+AWG+Stranded&amp;qid=1694735342&amp;sr=8-4", "https://www.amazon.com/Klein-Tools-11055RINS-Insulated-Stripper/dp/B0BFZBQ9XF/ref=sr_1_4?keywords=Klein+Tools+1011+Wire+Stripper%2FCutter+10-20+Solid%2C+12-22+AWG+Stranded&amp;qid=1694735342&amp;sr=8-4")</f>
        <v/>
      </c>
      <c r="F4301" t="inlineStr">
        <is>
          <t>B0BFZBQ9XF</t>
        </is>
      </c>
      <c r="G4301">
        <f>_xlfn.IMAGE("https://edmondsonsupply.com/cdn/shop/products/1011.jpg?v=1587146937")</f>
        <v/>
      </c>
      <c r="H4301">
        <f>_xlfn.IMAGE("https://m.media-amazon.com/images/I/41Pemveg6bL._AC_UL320_.jpg")</f>
        <v/>
      </c>
      <c r="K4301" t="inlineStr">
        <is>
          <t>14.97</t>
        </is>
      </c>
      <c r="L4301" t="n">
        <v>29.97</v>
      </c>
      <c r="M4301" s="1" t="inlineStr">
        <is>
          <t>100.20%</t>
        </is>
      </c>
      <c r="N4301" s="7" t="n">
        <v>0</v>
      </c>
      <c r="O4301" t="n">
        <v>4.6</v>
      </c>
      <c r="P4301" t="n">
        <v>54</v>
      </c>
      <c r="R4301" t="inlineStr">
        <is>
          <t>InStock</t>
        </is>
      </c>
      <c r="S4301" t="inlineStr">
        <is>
          <t>19.92</t>
        </is>
      </c>
      <c r="T4301" t="inlineStr">
        <is>
          <t>4505307414628</t>
        </is>
      </c>
    </row>
    <row r="4302" ht="87" customHeight="1">
      <c r="A4302" s="2">
        <f>HYPERLINK("https://edmondsonsupply.com/collections/electricians-tools/products/klein-tools-56411-rechargeable-waterproof-led-pocket-light-with-lanyard", "https://edmondsonsupply.com/collections/electricians-tools/products/klein-tools-56411-rechargeable-waterproof-led-pocket-light-with-lanyard")</f>
        <v/>
      </c>
      <c r="B4302" s="2">
        <f>HYPERLINK("https://edmondsonsupply.com/products/klein-tools-56411-rechargeable-waterproof-led-pocket-light-with-lanyard", "https://edmondsonsupply.com/products/klein-tools-56411-rechargeable-waterproof-led-pocket-light-with-lanyard")</f>
        <v/>
      </c>
      <c r="C4302" t="inlineStr">
        <is>
          <t>Klein Tools 56411 Rechargeable Waterproof LED Pocket Light with Lanyard</t>
        </is>
      </c>
      <c r="D4302" t="inlineStr">
        <is>
          <t>Klein Tools 80079 Headlamp Kit with Rechargeable LED Headlamp, Pocket Flashlight and Bracketed Headlamp Strap, for Klein Hard Hats, 3-Piece</t>
        </is>
      </c>
      <c r="E4302" s="2">
        <f>HYPERLINK("https://www.amazon.com/Klein-Tools-80079-Rechargeable-Flashlight/dp/B0B11GSP2C/ref=sr_1_4?keywords=Klein+Tools+56411+Rechargeable+Waterproof+LED+Pocket+Light+with+Lanyard&amp;qid=1694735121&amp;sr=8-4", "https://www.amazon.com/Klein-Tools-80079-Rechargeable-Flashlight/dp/B0B11GSP2C/ref=sr_1_4?keywords=Klein+Tools+56411+Rechargeable+Waterproof+LED+Pocket+Light+with+Lanyard&amp;qid=1694735121&amp;sr=8-4")</f>
        <v/>
      </c>
      <c r="F4302" t="inlineStr">
        <is>
          <t>B0B11GSP2C</t>
        </is>
      </c>
      <c r="G4302">
        <f>_xlfn.IMAGE("https://edmondsonsupply.com/cdn/shop/products/56411.jpg?v=1663952448")</f>
        <v/>
      </c>
      <c r="H4302">
        <f>_xlfn.IMAGE("https://m.media-amazon.com/images/I/61kxSho0oaL._AC_UL320_.jpg")</f>
        <v/>
      </c>
      <c r="K4302" t="inlineStr">
        <is>
          <t>29.97</t>
        </is>
      </c>
      <c r="L4302" t="n">
        <v>59.99</v>
      </c>
      <c r="M4302" s="1" t="inlineStr">
        <is>
          <t>100.17%</t>
        </is>
      </c>
      <c r="N4302" s="7" t="n">
        <v>0</v>
      </c>
      <c r="O4302" t="n">
        <v>4.9</v>
      </c>
      <c r="P4302" t="n">
        <v>22</v>
      </c>
      <c r="R4302" t="inlineStr">
        <is>
          <t>InStock</t>
        </is>
      </c>
      <c r="S4302" t="inlineStr">
        <is>
          <t>42.0</t>
        </is>
      </c>
      <c r="T4302" t="inlineStr">
        <is>
          <t>7827354779864</t>
        </is>
      </c>
    </row>
    <row r="4303" hidden="1" ht="15.75" customHeight="1">
      <c r="A4303" s="2">
        <f>HYPERLINK("https://edmondsonsupply.com/collections/electricians-tools/products/milwaukee-48-22-9725-stud%E2%84%A2-tape-measures-25-feet", "https://edmondsonsupply.com/collections/electricians-tools/products/milwaukee-48-22-9725-stud%E2%84%A2-tape-measures-25-feet")</f>
        <v/>
      </c>
      <c r="B4303" s="2">
        <f>HYPERLINK("https://edmondsonsupply.com/products/milwaukee-48-22-9725-stud%e2%84%a2-tape-measures-25-feet", "https://edmondsonsupply.com/products/milwaukee-48-22-9725-stud%e2%84%a2-tape-measures-25-feet")</f>
        <v/>
      </c>
      <c r="C4303" t="inlineStr">
        <is>
          <t>Milwaukee 48-22-9725 25ft STUD™ Tape Measure</t>
        </is>
      </c>
      <c r="D4303" t="inlineStr">
        <is>
          <t>Milwaukee 48-22-9725M 25-Foot Stud Magnetic Tape Measure 2 Pack</t>
        </is>
      </c>
      <c r="E4303" s="2">
        <f>HYPERLINK("https://www.amazon.com/Milwaukee-48-22-9725M-25-Foot-Magnetic-Measure/dp/B08MFQRSWN/ref=sr_1_1?keywords=Milwaukee+48-22-9725+25ft+STUD%E2%84%A2+Tape+Measure&amp;qid=1694735080&amp;sr=8-1", "https://www.amazon.com/Milwaukee-48-22-9725M-25-Foot-Magnetic-Measure/dp/B08MFQRSWN/ref=sr_1_1?keywords=Milwaukee+48-22-9725+25ft+STUD%E2%84%A2+Tape+Measure&amp;qid=1694735080&amp;sr=8-1")</f>
        <v/>
      </c>
      <c r="F4303" t="inlineStr">
        <is>
          <t>B08MFQRSWN</t>
        </is>
      </c>
      <c r="G4303">
        <f>_xludf.IMAGE("https://edmondsonsupply.com/cdn/shop/products/48-22-9725_1.webp?v=1668784363")</f>
        <v/>
      </c>
      <c r="H4303">
        <f>_xludf.IMAGE("https://m.media-amazon.com/images/I/81MdZGUttgL._AC_UL320_.jpg")</f>
        <v/>
      </c>
      <c r="K4303" t="inlineStr">
        <is>
          <t>29.97</t>
        </is>
      </c>
      <c r="L4303" t="n">
        <v>59.99</v>
      </c>
      <c r="M4303" s="1" t="inlineStr">
        <is>
          <t>100.17%</t>
        </is>
      </c>
      <c r="N4303" s="1" t="n">
        <v>0</v>
      </c>
      <c r="O4303" t="n">
        <v>3</v>
      </c>
      <c r="P4303" t="n">
        <v>1</v>
      </c>
      <c r="R4303" t="inlineStr">
        <is>
          <t>InStock</t>
        </is>
      </c>
      <c r="S4303" t="inlineStr">
        <is>
          <t>43.4</t>
        </is>
      </c>
      <c r="T4303" t="inlineStr">
        <is>
          <t>7887700918488</t>
        </is>
      </c>
    </row>
    <row r="4304" ht="87" customHeight="1">
      <c r="A4304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304" s="2">
        <f>HYPERLINK("https://edmondsonsupply.com/products/klein-tools-ncvt1xt-non-contact-voltage-tester-70-to-1000v-ac", "https://edmondsonsupply.com/products/klein-tools-ncvt1xt-non-contact-voltage-tester-70-to-1000v-ac")</f>
        <v/>
      </c>
      <c r="C4304" t="inlineStr">
        <is>
          <t>Klein Tools NCVT1XT Non-Contact Voltage Tester, 70 to 1000V AC</t>
        </is>
      </c>
      <c r="D4304" t="inlineStr">
        <is>
          <t>Klein Tools 69149P Electrical Test Kit with Digital Multimeter, Noncontact Voltage Tester and Electrical Outlet Tester, Leads and Batteries, Green,Red</t>
        </is>
      </c>
      <c r="E4304" s="2">
        <f>HYPERLINK("https://www.amazon.com/Klein-Tools-69149P-Multimeter-Noncontact/dp/B09C6MGD7J/ref=sr_1_46?keywords=Klein+Tools+NCVT1XT+Non-Contact+Voltage+Tester%2C+70+to+1000V+AC&amp;qid=1694735046&amp;sr=8-46", "https://www.amazon.com/Klein-Tools-69149P-Multimeter-Noncontact/dp/B09C6MGD7J/ref=sr_1_46?keywords=Klein+Tools+NCVT1XT+Non-Contact+Voltage+Tester%2C+70+to+1000V+AC&amp;qid=1694735046&amp;sr=8-46")</f>
        <v/>
      </c>
      <c r="F4304" t="inlineStr">
        <is>
          <t>B09C6MGD7J</t>
        </is>
      </c>
      <c r="G4304">
        <f>_xlfn.IMAGE("https://edmondsonsupply.com/cdn/shop/products/ncvt1xt.jpg?v=1674496568")</f>
        <v/>
      </c>
      <c r="H4304">
        <f>_xlfn.IMAGE("https://m.media-amazon.com/images/I/61+WhEXhVkL._AC_UL320_.jpg")</f>
        <v/>
      </c>
      <c r="K4304" t="inlineStr">
        <is>
          <t>19.97</t>
        </is>
      </c>
      <c r="L4304" t="n">
        <v>39.97</v>
      </c>
      <c r="M4304" s="1" t="inlineStr">
        <is>
          <t>100.15%</t>
        </is>
      </c>
      <c r="N4304" s="7" t="n">
        <v>0</v>
      </c>
      <c r="O4304" t="n">
        <v>4.7</v>
      </c>
      <c r="P4304" t="n">
        <v>1341</v>
      </c>
      <c r="R4304" t="inlineStr">
        <is>
          <t>InStock</t>
        </is>
      </c>
      <c r="S4304" t="inlineStr">
        <is>
          <t>26.32</t>
        </is>
      </c>
      <c r="T4304" t="inlineStr">
        <is>
          <t>7931947155672</t>
        </is>
      </c>
    </row>
    <row r="4305" ht="87" customHeight="1">
      <c r="A4305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305" s="2">
        <f>HYPERLINK("https://edmondsonsupply.com/products/klein-tools-11057-klein-kurve%c2%ae-wire-stripper-and-cutter", "https://edmondsonsupply.com/products/klein-tools-11057-klein-kurve%c2%ae-wire-stripper-and-cutter")</f>
        <v/>
      </c>
      <c r="C4305" t="inlineStr">
        <is>
          <t>Klein Tools 11057 Klein-Kurve® Wire Stripper and Cutter</t>
        </is>
      </c>
      <c r="D4305" t="inlineStr">
        <is>
          <t>Klein Tools J63225N Journeyman High-Leverage Wire Cable Cutter and Stripper for Cutting Aluminum, Soft Copper and Communications Cable,Red/Black</t>
        </is>
      </c>
      <c r="E4305" s="2">
        <f>HYPERLINK("https://www.amazon.com/High-Leverage-Communications-Klein-Tools-J63225N/dp/B08R8SNQCL/ref=sr_1_27?keywords=Klein+Tools+11057+Klein-Kurve%C2%AE+Wire+Stripper+and+Cutter&amp;qid=1694735357&amp;sr=8-27", "https://www.amazon.com/High-Leverage-Communications-Klein-Tools-J63225N/dp/B08R8SNQCL/ref=sr_1_27?keywords=Klein+Tools+11057+Klein-Kurve%C2%AE+Wire+Stripper+and+Cutter&amp;qid=1694735357&amp;sr=8-27")</f>
        <v/>
      </c>
      <c r="F4305" t="inlineStr">
        <is>
          <t>B08R8SNQCL</t>
        </is>
      </c>
      <c r="G4305">
        <f>_xlfn.IMAGE("https://edmondsonsupply.com/cdn/shop/products/11057.jpg?v=1587146927")</f>
        <v/>
      </c>
      <c r="H4305">
        <f>_xlfn.IMAGE("https://m.media-amazon.com/images/I/61+P5wW4RkL._AC_UL320_.jpg")</f>
        <v/>
      </c>
      <c r="K4305" t="inlineStr">
        <is>
          <t>20.97</t>
        </is>
      </c>
      <c r="L4305" t="n">
        <v>41.97</v>
      </c>
      <c r="M4305" s="1" t="inlineStr">
        <is>
          <t>100.14%</t>
        </is>
      </c>
      <c r="N4305" s="7" t="n">
        <v>0</v>
      </c>
      <c r="O4305" t="n">
        <v>4.7</v>
      </c>
      <c r="P4305" t="n">
        <v>424</v>
      </c>
      <c r="R4305" t="inlineStr">
        <is>
          <t>InStock</t>
        </is>
      </c>
      <c r="S4305" t="inlineStr">
        <is>
          <t>32.72</t>
        </is>
      </c>
      <c r="T4305" t="inlineStr">
        <is>
          <t>4455254720612</t>
        </is>
      </c>
    </row>
    <row r="4306" ht="87" customHeight="1">
      <c r="A4306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4306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4306" t="inlineStr">
        <is>
          <t>Klein Tools 630-1/4 1/4-Inch Nut Driver 3-Inch Shaft Cushion Grip</t>
        </is>
      </c>
      <c r="D4306" t="inlineStr">
        <is>
          <t>Klein Tools 610M Tool Set, Magnetic Nut Driver Set with Stubby Nut Driver Sizes 1/4 and 5/16-Inch, Full Hollow Shaft, 2-Piece</t>
        </is>
      </c>
      <c r="E4306" s="2">
        <f>HYPERLINK("https://www.amazon.com/Klein-Tools-610M-16-Inch-Magnetic/dp/B00093DZO6/ref=sr_1_22?keywords=Klein+Tools+630-1%2F4+1%2F4-Inch+Nut+Driver+3-Inch+Shaft+Cushion+Grip&amp;qid=1694735346&amp;sr=8-22", "https://www.amazon.com/Klein-Tools-610M-16-Inch-Magnetic/dp/B00093DZO6/ref=sr_1_22?keywords=Klein+Tools+630-1%2F4+1%2F4-Inch+Nut+Driver+3-Inch+Shaft+Cushion+Grip&amp;qid=1694735346&amp;sr=8-22")</f>
        <v/>
      </c>
      <c r="F4306" t="inlineStr">
        <is>
          <t>B00093DZO6</t>
        </is>
      </c>
      <c r="G4306">
        <f>_xlfn.IMAGE("https://edmondsonsupply.com/cdn/shop/products/630-1-2_4777cf99-f2bc-4f84-bc42-7e765e2a9c37.jpg?v=1587150448")</f>
        <v/>
      </c>
      <c r="H4306">
        <f>_xlfn.IMAGE("https://m.media-amazon.com/images/I/51lgiheW64L._AC_UL320_.jpg")</f>
        <v/>
      </c>
      <c r="K4306" t="inlineStr">
        <is>
          <t>8.99</t>
        </is>
      </c>
      <c r="L4306" t="n">
        <v>17.99</v>
      </c>
      <c r="M4306" s="1" t="inlineStr">
        <is>
          <t>100.11%</t>
        </is>
      </c>
      <c r="N4306" s="7" t="n">
        <v>0</v>
      </c>
      <c r="O4306" t="n">
        <v>4.8</v>
      </c>
      <c r="P4306" t="n">
        <v>559</v>
      </c>
      <c r="R4306" t="inlineStr">
        <is>
          <t>InStock</t>
        </is>
      </c>
      <c r="S4306" t="inlineStr">
        <is>
          <t>11.36</t>
        </is>
      </c>
      <c r="T4306" t="inlineStr">
        <is>
          <t>4490760355940</t>
        </is>
      </c>
    </row>
    <row r="4307" ht="87" customHeight="1">
      <c r="A4307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4307" s="2">
        <f>HYPERLINK("https://edmondsonsupply.com/products/klein-tools-646-7-16-7-16-inch-nut-driver-6-inch-hollow-shaft", "https://edmondsonsupply.com/products/klein-tools-646-7-16-7-16-inch-nut-driver-6-inch-hollow-shaft")</f>
        <v/>
      </c>
      <c r="C4307" t="inlineStr">
        <is>
          <t>Klein Tools 646-7/16 7/16-Inch Nut Driver, 6-Inch Hollow Shaft</t>
        </is>
      </c>
      <c r="D4307" t="inlineStr">
        <is>
          <t>Klein Tools PND7165 7/16-Inch Power Nut Driver 5-Inch Out-of-Chuck</t>
        </is>
      </c>
      <c r="E4307" s="2">
        <f>HYPERLINK("https://www.amazon.com/16-Inch-Driver-Klein-Tools-PND7165/dp/B00ELGQH7O/ref=sr_1_8?keywords=Klein+Tools+646-7%2F16+7%2F16-Inch+Nut+Driver%2C+6-Inch+Hollow+Shaft&amp;qid=1694735415&amp;sr=8-8", "https://www.amazon.com/16-Inch-Driver-Klein-Tools-PND7165/dp/B00ELGQH7O/ref=sr_1_8?keywords=Klein+Tools+646-7%2F16+7%2F16-Inch+Nut+Driver%2C+6-Inch+Hollow+Shaft&amp;qid=1694735415&amp;sr=8-8")</f>
        <v/>
      </c>
      <c r="F4307" t="inlineStr">
        <is>
          <t>B00ELGQH7O</t>
        </is>
      </c>
      <c r="G4307">
        <f>_xlfn.IMAGE("https://edmondsonsupply.com/cdn/shop/products/646-1-2_64980020-d246-4b4b-829a-c848cc375d64.jpg?v=1587148603")</f>
        <v/>
      </c>
      <c r="H4307">
        <f>_xlfn.IMAGE("https://m.media-amazon.com/images/I/41SBQDDKBnL._AC_UL320_.jpg")</f>
        <v/>
      </c>
      <c r="K4307" t="inlineStr">
        <is>
          <t>9.49</t>
        </is>
      </c>
      <c r="L4307" t="n">
        <v>18.99</v>
      </c>
      <c r="M4307" s="1" t="inlineStr">
        <is>
          <t>100.11%</t>
        </is>
      </c>
      <c r="N4307" s="7" t="n">
        <v>0</v>
      </c>
      <c r="O4307" t="n">
        <v>4.6</v>
      </c>
      <c r="P4307" t="n">
        <v>1105</v>
      </c>
      <c r="R4307" t="inlineStr">
        <is>
          <t>InStock</t>
        </is>
      </c>
      <c r="S4307" t="inlineStr">
        <is>
          <t>14.42</t>
        </is>
      </c>
      <c r="T4307" t="inlineStr">
        <is>
          <t>4391246889060</t>
        </is>
      </c>
    </row>
    <row r="4308" ht="87" customHeight="1">
      <c r="A4308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4308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4308" t="inlineStr">
        <is>
          <t>Diablo Tools DMAPL4310 1 in. x 16 in. x 18 in. Rebar Demon™ SDS-Plus 4-Cutter Full Carbide Head Hammer Drill Bit</t>
        </is>
      </c>
      <c r="D4308" t="inlineStr">
        <is>
          <t>Diablo by Freud DMAPL4180-P25 1/2 in. x 4 in. x 6 in. Rebar Demon SDS-Plus 4-Cutter Full Carbide Head Hammer Bit (25-Pack) Multi, One Size</t>
        </is>
      </c>
      <c r="E4308" s="2">
        <f>HYPERLINK("https://www.amazon.com/Diablo-Rebar-4-Cutter-Carbide-Hammer/dp/B089LGWV7F/ref=sr_1_44?keywords=Diablo+Tools+DMAPL4310+1+in.+x+16+in.+x+18+in.+Rebar+Demon%E2%84%A2+SDS-Plus+4-Cutter+Full+Carbide+Head+Hammer+Drill+Bit&amp;qid=1694735204&amp;sr=8-44", "https://www.amazon.com/Diablo-Rebar-4-Cutter-Carbide-Hammer/dp/B089LGWV7F/ref=sr_1_44?keywords=Diablo+Tools+DMAPL4310+1+in.+x+16+in.+x+18+in.+Rebar+Demon%E2%84%A2+SDS-Plus+4-Cutter+Full+Carbide+Head+Hammer+Drill+Bit&amp;qid=1694735204&amp;sr=8-44")</f>
        <v/>
      </c>
      <c r="F4308" t="inlineStr">
        <is>
          <t>B089LGWV7F</t>
        </is>
      </c>
      <c r="G4308">
        <f>_xlfn.IMAGE("https://edmondsonsupply.com/cdn/shop/products/DMAPL4310_Main-Image20200701.png?v=1633031094")</f>
        <v/>
      </c>
      <c r="H4308">
        <f>_xlfn.IMAGE("https://m.media-amazon.com/images/I/61q9iw+mKpL._AC_UL320_.jpg")</f>
        <v/>
      </c>
      <c r="K4308" t="inlineStr">
        <is>
          <t>49.97</t>
        </is>
      </c>
      <c r="L4308" t="n">
        <v>99.98999999999999</v>
      </c>
      <c r="M4308" s="1" t="inlineStr">
        <is>
          <t>100.10%</t>
        </is>
      </c>
      <c r="N4308" s="7" t="n">
        <v>0</v>
      </c>
      <c r="O4308" t="n">
        <v>5</v>
      </c>
      <c r="P4308" t="n">
        <v>2</v>
      </c>
      <c r="R4308" t="inlineStr">
        <is>
          <t>InStock</t>
        </is>
      </c>
      <c r="S4308" t="inlineStr">
        <is>
          <t>57.56</t>
        </is>
      </c>
      <c r="T4308" t="inlineStr">
        <is>
          <t>6839830479021</t>
        </is>
      </c>
    </row>
    <row r="4309" ht="87" customHeight="1">
      <c r="A4309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309" s="2">
        <f>HYPERLINK("https://edmondsonsupply.com/products/klein-tools-32305-15-in-1-multi-bit-ratcheting-screwdriver", "https://edmondsonsupply.com/products/klein-tools-32305-15-in-1-multi-bit-ratcheting-screwdriver")</f>
        <v/>
      </c>
      <c r="C4309" t="inlineStr">
        <is>
          <t>Klein Tools 32305 15-in-1 Multi-Bit Ratcheting Screwdriver</t>
        </is>
      </c>
      <c r="D4309" t="inlineStr">
        <is>
          <t>Klein Tools 80027 Screwdriver Set, 11-in-1 Multi-bit Screwdriver, 6-in-1 Stubby Screwdriver &amp; 32305 Multi-bit Ratcheting Screwdriver, 15-in-1 Tool with Phillips, Slotted, Square</t>
        </is>
      </c>
      <c r="E4309" s="2">
        <f>HYPERLINK("https://www.amazon.com/Klein-Tools-Screwdriver-Multi-bit-Ratcheting/dp/B0CGZMVQLX/ref=sr_1_4?keywords=Klein+Tools+32305+15-in-1+Multi-Bit+Ratcheting+Screwdriver&amp;qid=1694735163&amp;sr=8-4", "https://www.amazon.com/Klein-Tools-Screwdriver-Multi-bit-Ratcheting/dp/B0CGZMVQLX/ref=sr_1_4?keywords=Klein+Tools+32305+15-in-1+Multi-Bit+Ratcheting+Screwdriver&amp;qid=1694735163&amp;sr=8-4")</f>
        <v/>
      </c>
      <c r="F4309" t="inlineStr">
        <is>
          <t>B0CGZMVQLX</t>
        </is>
      </c>
      <c r="G4309">
        <f>_xlfn.IMAGE("https://edmondsonsupply.com/cdn/shop/products/32305.jpg?v=1646965475")</f>
        <v/>
      </c>
      <c r="H4309">
        <f>_xlfn.IMAGE("https://m.media-amazon.com/images/I/517jUHF-i4L._AC_UL320_.jpg")</f>
        <v/>
      </c>
      <c r="K4309" t="inlineStr">
        <is>
          <t>21.97</t>
        </is>
      </c>
      <c r="L4309" t="n">
        <v>43.96</v>
      </c>
      <c r="M4309" s="1" t="inlineStr">
        <is>
          <t>100.09%</t>
        </is>
      </c>
      <c r="N4309" s="7" t="n">
        <v>0</v>
      </c>
      <c r="O4309" t="n">
        <v>4.8</v>
      </c>
      <c r="P4309" t="n">
        <v>13254</v>
      </c>
      <c r="R4309" t="inlineStr">
        <is>
          <t>InStock</t>
        </is>
      </c>
      <c r="S4309" t="inlineStr">
        <is>
          <t>30.78</t>
        </is>
      </c>
      <c r="T4309" t="inlineStr">
        <is>
          <t>7632426598616</t>
        </is>
      </c>
    </row>
    <row r="4310" ht="87" customHeight="1">
      <c r="A4310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4310" s="2">
        <f>HYPERLINK("https://edmondsonsupply.com/products/klein-tools-vdv500-705-tone-probe-test-and-trace-kit", "https://edmondsonsupply.com/products/klein-tools-vdv500-705-tone-probe-test-and-trace-kit")</f>
        <v/>
      </c>
      <c r="C4310" t="inlineStr">
        <is>
          <t>Klein Tools VDV500-705 Tone &amp; Probe Test and Trace Kit</t>
        </is>
      </c>
      <c r="D4310" t="inlineStr">
        <is>
          <t>Klein Tools VDV500-820 Cable Tracer with Probe Tone Pro Kit for Telephone, Internet, Video, Data and Communications Cables, Beige</t>
        </is>
      </c>
      <c r="E4310" s="2">
        <f>HYPERLINK("https://www.amazon.com/Klein-Tools-Tone-Probe-PRO/dp/B07VYN98QV/ref=sr_1_4?keywords=Klein+Tools+VDV500-705+Tone&amp;qid=1694735386&amp;sr=8-4", "https://www.amazon.com/Klein-Tools-Tone-Probe-PRO/dp/B07VYN98QV/ref=sr_1_4?keywords=Klein+Tools+VDV500-705+Tone&amp;qid=1694735386&amp;sr=8-4")</f>
        <v/>
      </c>
      <c r="F4310" t="inlineStr">
        <is>
          <t>B07VYN98QV</t>
        </is>
      </c>
      <c r="G4310">
        <f>_xlfn.IMAGE("https://edmondsonsupply.com/cdn/shop/products/vdv500705.jpg?v=1587144799")</f>
        <v/>
      </c>
      <c r="H4310">
        <f>_xlfn.IMAGE("https://m.media-amazon.com/images/I/612EgCjy2xL._AC_UY218_.jpg")</f>
        <v/>
      </c>
      <c r="K4310" t="inlineStr">
        <is>
          <t>39.97</t>
        </is>
      </c>
      <c r="L4310" t="n">
        <v>79.97</v>
      </c>
      <c r="M4310" s="1" t="inlineStr">
        <is>
          <t>100.08%</t>
        </is>
      </c>
      <c r="N4310" s="7" t="n">
        <v>0</v>
      </c>
      <c r="O4310" t="n">
        <v>4.7</v>
      </c>
      <c r="P4310" t="n">
        <v>3609</v>
      </c>
      <c r="R4310" t="inlineStr">
        <is>
          <t>InStock</t>
        </is>
      </c>
      <c r="S4310" t="inlineStr">
        <is>
          <t>55.98</t>
        </is>
      </c>
      <c r="T4310" t="inlineStr">
        <is>
          <t>4412899590244</t>
        </is>
      </c>
    </row>
    <row r="4311" ht="87" customHeight="1">
      <c r="A4311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311" s="2">
        <f>HYPERLINK("https://edmondsonsupply.com/products/klein-tools-32900-7-in-1-impact-flip-socket-with-handle", "https://edmondsonsupply.com/products/klein-tools-32900-7-in-1-impact-flip-socket-with-handle")</f>
        <v/>
      </c>
      <c r="C4311" t="inlineStr">
        <is>
          <t>Klein Tools 32900 7-in-1 Impact Flip Socket with Handle</t>
        </is>
      </c>
      <c r="D4311" t="inlineStr">
        <is>
          <t>Klein Tools 80045 Screwdriver and Nut Driver Tool Kit, 3-Piece &amp; 32900 Impact Driver, 7-in-1 Impact Flip Socket Set with Handle, 6 Hex Driver Sizes plus a 1/4-Inch Bit Holder</t>
        </is>
      </c>
      <c r="E4311" s="2">
        <f>HYPERLINK("https://www.amazon.com/Klein-Tools-Screwdriver-Driver-3-Piece/dp/B0BNL9KWCH/ref=sr_1_32?keywords=Klein+Tools+32900+7-in-1+Impact+Flip+Socket+with+Handle&amp;qid=1694735103&amp;sr=8-32", "https://www.amazon.com/Klein-Tools-Screwdriver-Driver-3-Piece/dp/B0BNL9KWCH/ref=sr_1_32?keywords=Klein+Tools+32900+7-in-1+Impact+Flip+Socket+with+Handle&amp;qid=1694735103&amp;sr=8-32")</f>
        <v/>
      </c>
      <c r="F4311" t="inlineStr">
        <is>
          <t>B0BNL9KWCH</t>
        </is>
      </c>
      <c r="G4311">
        <f>_xlfn.IMAGE("https://edmondsonsupply.com/cdn/shop/products/32900_b.jpg?v=1666024787")</f>
        <v/>
      </c>
      <c r="H4311">
        <f>_xlfn.IMAGE("https://m.media-amazon.com/images/I/51zDyDYLD3L._AC_UL320_.jpg")</f>
        <v/>
      </c>
      <c r="K4311" t="inlineStr">
        <is>
          <t>29.97</t>
        </is>
      </c>
      <c r="L4311" t="n">
        <v>59.96</v>
      </c>
      <c r="M4311" s="1" t="inlineStr">
        <is>
          <t>100.07%</t>
        </is>
      </c>
      <c r="N4311" s="7" t="n">
        <v>-0.01</v>
      </c>
      <c r="O4311" t="n">
        <v>5</v>
      </c>
      <c r="P4311" t="n">
        <v>6</v>
      </c>
      <c r="R4311" t="inlineStr">
        <is>
          <t>InStock</t>
        </is>
      </c>
      <c r="S4311" t="inlineStr">
        <is>
          <t>45.0</t>
        </is>
      </c>
      <c r="T4311" t="inlineStr">
        <is>
          <t>7856651239640</t>
        </is>
      </c>
    </row>
    <row r="4312" ht="87" customHeight="1">
      <c r="A4312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4312" s="2">
        <f>HYPERLINK("https://edmondsonsupply.com/products/klein-tools-635-1-2-1-2-inch-heavy-duty-nut-driver", "https://edmondsonsupply.com/products/klein-tools-635-1-2-1-2-inch-heavy-duty-nut-driver")</f>
        <v/>
      </c>
      <c r="C4312" t="inlineStr">
        <is>
          <t>Klein Tools 635-1/2 1/2-Inch Heavy-Duty Nut Driver</t>
        </is>
      </c>
      <c r="D4312" t="inlineStr">
        <is>
          <t>Klein Tools 32800 Nut Driver, 6-in-1 NutDriver Set, SAE Standard Six Point Hex Sizes with Heavy Duty Hollow Shaft</t>
        </is>
      </c>
      <c r="E4312" s="2">
        <f>HYPERLINK("https://www.amazon.com/Driver-NutDriver-Klein-Tools-32800/dp/B01I0QVP18/ref=sr_1_15?keywords=Klein+Tools+635-1%2F2+1%2F2-Inch+Heavy-Duty+Nut+Driver&amp;qid=1694735353&amp;sr=8-15", "https://www.amazon.com/Driver-NutDriver-Klein-Tools-32800/dp/B01I0QVP18/ref=sr_1_15?keywords=Klein+Tools+635-1%2F2+1%2F2-Inch+Heavy-Duty+Nut+Driver&amp;qid=1694735353&amp;sr=8-15")</f>
        <v/>
      </c>
      <c r="F4312" t="inlineStr">
        <is>
          <t>B01I0QVP18</t>
        </is>
      </c>
      <c r="G4312">
        <f>_xlfn.IMAGE("https://edmondsonsupply.com/cdn/shop/products/635-1-2.jpg?v=1587147726")</f>
        <v/>
      </c>
      <c r="H4312">
        <f>_xlfn.IMAGE("https://m.media-amazon.com/images/I/51LJIaQJvaL._AC_UL320_.jpg")</f>
        <v/>
      </c>
      <c r="K4312" t="inlineStr">
        <is>
          <t>14.99</t>
        </is>
      </c>
      <c r="L4312" t="n">
        <v>29.99</v>
      </c>
      <c r="M4312" s="1" t="inlineStr">
        <is>
          <t>100.07%</t>
        </is>
      </c>
      <c r="N4312" s="7" t="n">
        <v>-0.01</v>
      </c>
      <c r="O4312" t="n">
        <v>4.7</v>
      </c>
      <c r="P4312" t="n">
        <v>1822</v>
      </c>
      <c r="R4312" t="inlineStr">
        <is>
          <t>InStock</t>
        </is>
      </c>
      <c r="S4312" t="inlineStr">
        <is>
          <t>22.78</t>
        </is>
      </c>
      <c r="T4312" t="inlineStr">
        <is>
          <t>4473296945252</t>
        </is>
      </c>
    </row>
    <row r="4313" ht="87" customHeight="1">
      <c r="A4313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4313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4313" t="inlineStr">
        <is>
          <t>Diablo Tools DMAPL4100 1/4 in. x 16 in. x 18 in. Rebar Demon™ SDS‑Plus 4‑Cutter Full Carbide Head Hammer Bit</t>
        </is>
      </c>
      <c r="D4313" t="inlineStr">
        <is>
          <t>Diablo by Freud DMAPL4300 1 in. x 8 in. x 10 in. Rebar Demon™ SDS-Plus 4-Cutter Full Carbide Head Hammer Bit</t>
        </is>
      </c>
      <c r="E4313" s="2" t="n"/>
      <c r="F4313" t="inlineStr">
        <is>
          <t>B089LL8JD8</t>
        </is>
      </c>
      <c r="G4313">
        <f>_xlfn.IMAGE("https://edmondsonsupply.com/cdn/shop/products/DMAPL4100_Main-Image20200701.png?v=1633030520")</f>
        <v/>
      </c>
      <c r="H4313">
        <f>_xlfn.IMAGE("https://m.media-amazon.com/images/I/616UiJGsK1L._AC_UL320_.jpg")</f>
        <v/>
      </c>
      <c r="K4313" t="inlineStr">
        <is>
          <t>16.97</t>
        </is>
      </c>
      <c r="L4313" t="n">
        <v>33.95</v>
      </c>
      <c r="M4313" s="1" t="inlineStr">
        <is>
          <t>100.06%</t>
        </is>
      </c>
      <c r="N4313" s="7" t="n">
        <v>-0.02</v>
      </c>
      <c r="O4313" t="n">
        <v>4.5</v>
      </c>
      <c r="P4313" t="n">
        <v>16</v>
      </c>
      <c r="R4313" t="inlineStr">
        <is>
          <t>InStock</t>
        </is>
      </c>
      <c r="S4313" t="inlineStr">
        <is>
          <t>undefined</t>
        </is>
      </c>
      <c r="T4313" t="inlineStr">
        <is>
          <t>5399840882856</t>
        </is>
      </c>
    </row>
    <row r="4314" ht="87" customHeight="1">
      <c r="A4314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4314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4314" t="inlineStr">
        <is>
          <t>Klein Tools 646M Magnetic Nut Driver Set, 6-Inch Shafts, 2-Piece</t>
        </is>
      </c>
      <c r="D4314" t="inlineStr">
        <is>
          <t>Klein Tools 65160 Tool Set, Metric Nut Driver Set Sizes 5, 5.5, 6, 7, 8, 9, and 10 mm, 3-Inch Chrome-Plate Hollow Shafts, 7-Piece</t>
        </is>
      </c>
      <c r="E4314" s="2">
        <f>HYPERLINK("https://www.amazon.com/Driver-Metric-3-Inch-7-Piece-Klein/dp/B0009ORXQQ/ref=sr_1_26?keywords=Klein+Tools+646M+Magnetic+Nut+Driver+Set%2C+6-Inch+Shafts%2C+2-Piece&amp;qid=1694735354&amp;sr=8-26", "https://www.amazon.com/Driver-Metric-3-Inch-7-Piece-Klein/dp/B0009ORXQQ/ref=sr_1_26?keywords=Klein+Tools+646M+Magnetic+Nut+Driver+Set%2C+6-Inch+Shafts%2C+2-Piece&amp;qid=1694735354&amp;sr=8-26")</f>
        <v/>
      </c>
      <c r="F4314" t="inlineStr">
        <is>
          <t>B0009ORXQQ</t>
        </is>
      </c>
      <c r="G4314">
        <f>_xlfn.IMAGE("https://edmondsonsupply.com/cdn/shop/products/646m.jpg?v=1587146592")</f>
        <v/>
      </c>
      <c r="H4314">
        <f>_xlfn.IMAGE("https://m.media-amazon.com/images/I/61CnDJJyViL._AC_UL320_.jpg")</f>
        <v/>
      </c>
      <c r="K4314" t="inlineStr">
        <is>
          <t>24.99</t>
        </is>
      </c>
      <c r="L4314" t="n">
        <v>49.99</v>
      </c>
      <c r="M4314" s="1" t="inlineStr">
        <is>
          <t>100.04%</t>
        </is>
      </c>
      <c r="N4314" s="7" t="n">
        <v>-0.04</v>
      </c>
      <c r="O4314" t="n">
        <v>4.8</v>
      </c>
      <c r="P4314" t="n">
        <v>588</v>
      </c>
      <c r="R4314" t="inlineStr">
        <is>
          <t>InStock</t>
        </is>
      </c>
      <c r="S4314" t="inlineStr">
        <is>
          <t>31.74</t>
        </is>
      </c>
      <c r="T4314" t="inlineStr">
        <is>
          <t>4469705932900</t>
        </is>
      </c>
    </row>
    <row r="4315" ht="87" customHeight="1">
      <c r="A4315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4315" s="2">
        <f>HYPERLINK("https://edmondsonsupply.com/products/klein-tools-d507-8-adjustable-wrench-extra-capacity-8-inch", "https://edmondsonsupply.com/products/klein-tools-d507-8-adjustable-wrench-extra-capacity-8-inch")</f>
        <v/>
      </c>
      <c r="C4315" t="inlineStr">
        <is>
          <t>Klein Tools D507-8 Adjustable Wrench, Extra Capacity 8-Inch</t>
        </is>
      </c>
      <c r="D4315" t="inlineStr">
        <is>
          <t>Klein Tools S18HB Strap Wrench, Adjustable Grip-It Strap Wrench Adjusts 1-1/8 to 8-Inch, 18-Inch Handle</t>
        </is>
      </c>
      <c r="E4315" s="2">
        <f>HYPERLINK("https://www.amazon.com/Klein-Tools-S18HB-Adjustable-Adjusts/dp/B0BN4LGV19/ref=sr_1_7?keywords=Klein+Tools+D507-8+Adjustable+Wrench%2C+Extra+Capacity+8-Inch&amp;qid=1694734984&amp;sr=8-7", "https://www.amazon.com/Klein-Tools-S18HB-Adjustable-Adjusts/dp/B0BN4LGV19/ref=sr_1_7?keywords=Klein+Tools+D507-8+Adjustable+Wrench%2C+Extra+Capacity+8-Inch&amp;qid=1694734984&amp;sr=8-7")</f>
        <v/>
      </c>
      <c r="F4315" t="inlineStr">
        <is>
          <t>B0BN4LGV19</t>
        </is>
      </c>
      <c r="G4315">
        <f>_xlfn.IMAGE("https://edmondsonsupply.com/cdn/shop/products/d5078_b.jpg?v=1666010497")</f>
        <v/>
      </c>
      <c r="H4315">
        <f>_xlfn.IMAGE("https://m.media-amazon.com/images/I/51WZHZOQNPL._AC_UL320_.jpg")</f>
        <v/>
      </c>
      <c r="K4315" t="inlineStr">
        <is>
          <t>29.99</t>
        </is>
      </c>
      <c r="L4315" t="n">
        <v>59.99</v>
      </c>
      <c r="M4315" s="1" t="inlineStr">
        <is>
          <t>100.03%</t>
        </is>
      </c>
      <c r="N4315" s="7" t="n">
        <v>-0.05</v>
      </c>
      <c r="O4315" t="n">
        <v>4.2</v>
      </c>
      <c r="P4315" t="n">
        <v>7</v>
      </c>
      <c r="R4315" t="inlineStr">
        <is>
          <t>InStock</t>
        </is>
      </c>
      <c r="S4315" t="inlineStr">
        <is>
          <t>45.44</t>
        </is>
      </c>
      <c r="T4315" t="inlineStr">
        <is>
          <t>4353085014116</t>
        </is>
      </c>
    </row>
    <row r="4316" ht="87" customHeight="1">
      <c r="A4316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4316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4316" t="inlineStr">
        <is>
          <t>Klein Tools 32288 8-in-1 Insulated Interchangeable Screwdriver Set</t>
        </is>
      </c>
      <c r="D4316" t="inlineStr">
        <is>
          <t>Klein Tools 94130 1000V Insulated Screwdriver Tool Set with #2 Phillips and 1/4-Inch Cabinet Slim Tips, 2 Pliers and Wire Stripper</t>
        </is>
      </c>
      <c r="E4316" s="2">
        <f>HYPERLINK("https://www.amazon.com/Klein-Tools-94130-Insulated-Screwdriver/dp/B088V99QGG/ref=sr_1_39?keywords=Klein+Tools+32288+8-in-1+Insulated+Interchangeable+Screwdriver+Set&amp;qid=1694734974&amp;sr=8-39", "https://www.amazon.com/Klein-Tools-94130-Insulated-Screwdriver/dp/B088V99QGG/ref=sr_1_39?keywords=Klein+Tools+32288+8-in-1+Insulated+Interchangeable+Screwdriver+Set&amp;qid=1694734974&amp;sr=8-39")</f>
        <v/>
      </c>
      <c r="F4316" t="inlineStr">
        <is>
          <t>B088V99QGG</t>
        </is>
      </c>
      <c r="G4316">
        <f>_xlfn.IMAGE("https://edmondsonsupply.com/cdn/shop/products/32288.jpg?v=1587146849")</f>
        <v/>
      </c>
      <c r="H4316">
        <f>_xlfn.IMAGE("https://m.media-amazon.com/images/I/61m+izyWx1L._AC_UL320_.jpg")</f>
        <v/>
      </c>
      <c r="K4316" t="inlineStr">
        <is>
          <t>49.99</t>
        </is>
      </c>
      <c r="L4316" t="n">
        <v>99.98999999999999</v>
      </c>
      <c r="M4316" s="1" t="inlineStr">
        <is>
          <t>100.02%</t>
        </is>
      </c>
      <c r="N4316" s="7" t="n">
        <v>-0.07000000000000001</v>
      </c>
      <c r="O4316" t="n">
        <v>4.8</v>
      </c>
      <c r="P4316" t="n">
        <v>1518</v>
      </c>
      <c r="R4316" t="inlineStr">
        <is>
          <t>InStock</t>
        </is>
      </c>
      <c r="S4316" t="inlineStr">
        <is>
          <t>69.98</t>
        </is>
      </c>
      <c r="T4316" t="inlineStr">
        <is>
          <t>4094849613924</t>
        </is>
      </c>
    </row>
    <row r="4317" ht="87" customHeight="1">
      <c r="A4317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317" s="2">
        <f>HYPERLINK("https://edmondsonsupply.com/products/klein-tools-935ab4v-accu-bend%e2%84%a2-level-4-vial-rem", "https://edmondsonsupply.com/products/klein-tools-935ab4v-accu-bend%e2%84%a2-level-4-vial-rem")</f>
        <v/>
      </c>
      <c r="C4317" t="inlineStr">
        <is>
          <t>Klein Tools 935AB4V ACCU-BEND™ Level, 4-Vial</t>
        </is>
      </c>
      <c r="D4317" t="inlineStr">
        <is>
          <t>Klein Tools 935RB Level, 8-Inch Torpedo Level &amp; 935AB4V Level, 6.25-Inch Magnetic Torpedo Level is a Conduit Level with 4 Vials, V-Groove and Magnet Track, High Viz Orange</t>
        </is>
      </c>
      <c r="E4317" s="2">
        <f>HYPERLINK("https://www.amazon.com/Klein-Tools-6-25-Inch-Magnetic-V-Groove/dp/B0BD3X2F19/ref=sr_1_4?keywords=Klein+Tools+935AB4V+ACCU-BEND%E2%84%A2+Level%2C+4-Vial&amp;qid=1694735422&amp;sr=8-4", "https://www.amazon.com/Klein-Tools-6-25-Inch-Magnetic-V-Groove/dp/B0BD3X2F19/ref=sr_1_4?keywords=Klein+Tools+935AB4V+ACCU-BEND%E2%84%A2+Level%2C+4-Vial&amp;qid=1694735422&amp;sr=8-4")</f>
        <v/>
      </c>
      <c r="F4317" t="inlineStr">
        <is>
          <t>B0BD3X2F19</t>
        </is>
      </c>
      <c r="G4317">
        <f>_xlfn.IMAGE("https://edmondsonsupply.com/cdn/shop/files/935ab4v_b.jpg?v=1685715011")</f>
        <v/>
      </c>
      <c r="H4317">
        <f>_xlfn.IMAGE("https://m.media-amazon.com/images/I/51MKgQEUjgL._AC_UL320_.jpg")</f>
        <v/>
      </c>
      <c r="K4317" t="inlineStr">
        <is>
          <t>29.97</t>
        </is>
      </c>
      <c r="L4317" t="n">
        <v>59.94</v>
      </c>
      <c r="M4317" s="1" t="inlineStr">
        <is>
          <t>100.00%</t>
        </is>
      </c>
      <c r="N4317" s="7" t="n">
        <v>-0.07000000000000001</v>
      </c>
      <c r="O4317" t="n">
        <v>5</v>
      </c>
      <c r="P4317" t="n">
        <v>9</v>
      </c>
      <c r="R4317" t="inlineStr">
        <is>
          <t>InStock</t>
        </is>
      </c>
      <c r="S4317" t="inlineStr">
        <is>
          <t>42.0</t>
        </is>
      </c>
      <c r="T4317" t="inlineStr">
        <is>
          <t>2766878081124</t>
        </is>
      </c>
    </row>
    <row r="4318" ht="87" customHeight="1">
      <c r="A4318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4318" s="2">
        <f>HYPERLINK("https://edmondsonsupply.com/products/klein-tools-32510-magnetic-screwdriver-with-32-tamperproof-bits", "https://edmondsonsupply.com/products/klein-tools-32510-magnetic-screwdriver-with-32-tamperproof-bits")</f>
        <v/>
      </c>
      <c r="C4318" t="inlineStr">
        <is>
          <t>Klein Tools 32510 Magnetic Screwdriver with 32 Tamperproof Bits</t>
        </is>
      </c>
      <c r="D4318" t="inlineStr">
        <is>
          <t>Klein Tools 32510 Magnetic Multibit Screwdriver &amp; 32717 Precision Screwdriver Set with Case, All-in-One Multi-Function Repair Tool Kit Includes 39 Bits for Apple Products</t>
        </is>
      </c>
      <c r="E4318" s="2">
        <f>HYPERLINK("https://www.amazon.com/Klein-Tools-Screwdriver-Precision-Multi-Function/dp/B0BGPXB5KD/ref=sr_1_8?keywords=Klein+Tools+32510+Magnetic+Screwdriver+with+32+Tamperproof+Bits&amp;qid=1694735159&amp;sr=8-8", "https://www.amazon.com/Klein-Tools-Screwdriver-Precision-Multi-Function/dp/B0BGPXB5KD/ref=sr_1_8?keywords=Klein+Tools+32510+Magnetic+Screwdriver+with+32+Tamperproof+Bits&amp;qid=1694735159&amp;sr=8-8")</f>
        <v/>
      </c>
      <c r="F4318" t="inlineStr">
        <is>
          <t>B0BGPXB5KD</t>
        </is>
      </c>
      <c r="G4318">
        <f>_xlfn.IMAGE("https://edmondsonsupply.com/cdn/shop/products/32510_alt2.jpg?v=1653267434")</f>
        <v/>
      </c>
      <c r="H4318">
        <f>_xlfn.IMAGE("https://m.media-amazon.com/images/I/51iOtnRuEmL._AC_UL320_.jpg")</f>
        <v/>
      </c>
      <c r="K4318" t="inlineStr">
        <is>
          <t>29.97</t>
        </is>
      </c>
      <c r="L4318" t="n">
        <v>59.94</v>
      </c>
      <c r="M4318" s="1" t="inlineStr">
        <is>
          <t>100.00%</t>
        </is>
      </c>
      <c r="N4318" s="7" t="n">
        <v>-0.07000000000000001</v>
      </c>
      <c r="O4318" t="n">
        <v>4.2</v>
      </c>
      <c r="P4318" t="n">
        <v>3</v>
      </c>
      <c r="R4318" t="inlineStr">
        <is>
          <t>InStock</t>
        </is>
      </c>
      <c r="S4318" t="inlineStr">
        <is>
          <t>43.88</t>
        </is>
      </c>
      <c r="T4318" t="inlineStr">
        <is>
          <t>7696117367000</t>
        </is>
      </c>
    </row>
    <row r="4319" hidden="1" ht="15.75" customHeight="1">
      <c r="A4319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4319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4319" t="inlineStr">
        <is>
          <t>Klein Tools JTH6M25BE 2.5 mm Ball Hex Key Journeyman T-Handle 6-Inch</t>
        </is>
      </c>
      <c r="D4319" t="inlineStr">
        <is>
          <t>Klein Tools JTH6M3BE 3 mm Ball End Hex Key with Journeyman T-Handle, 6-Inch (Pack of 2)</t>
        </is>
      </c>
      <c r="E4319" s="2">
        <f>HYPERLINK("https://www.amazon.com/Klein-Tools-JTH6M3BE-Journeyman-T-Handle/dp/B0CGLYY7WP/ref=sr_1_3?keywords=Klein+Tools+JTH6M25BE+2.5+mm+Ball+Hex+Key+Journeyman+T-Handle+6-Inch&amp;qid=1694735267&amp;sr=8-3", "https://www.amazon.com/Klein-Tools-JTH6M3BE-Journeyman-T-Handle/dp/B0CGLYY7WP/ref=sr_1_3?keywords=Klein+Tools+JTH6M25BE+2.5+mm+Ball+Hex+Key+Journeyman+T-Handle+6-Inch&amp;qid=1694735267&amp;sr=8-3")</f>
        <v/>
      </c>
      <c r="F4319" t="inlineStr">
        <is>
          <t>B0CGLYY7WP</t>
        </is>
      </c>
      <c r="G4319">
        <f>_xludf.IMAGE("https://edmondsonsupply.com/cdn/shop/products/jth6m8be_af5f0d75-5d0d-4973-9134-931620c84f2d.jpg?v=1633030574")</f>
        <v/>
      </c>
      <c r="H4319">
        <f>_xludf.IMAGE("https://m.media-amazon.com/images/I/413sTNFMd7L._AC_UL320_.jpg")</f>
        <v/>
      </c>
      <c r="K4319" t="inlineStr">
        <is>
          <t>4.99</t>
        </is>
      </c>
      <c r="L4319" t="n">
        <v>9.98</v>
      </c>
      <c r="M4319" s="1" t="inlineStr">
        <is>
          <t>100.00%</t>
        </is>
      </c>
      <c r="N4319" s="1" t="n">
        <v>-0.45</v>
      </c>
      <c r="O4319" t="n">
        <v>4.6</v>
      </c>
      <c r="P4319" t="n">
        <v>184</v>
      </c>
      <c r="R4319" t="inlineStr">
        <is>
          <t>InStock</t>
        </is>
      </c>
      <c r="S4319" t="inlineStr">
        <is>
          <t>7.56</t>
        </is>
      </c>
      <c r="T4319" t="inlineStr">
        <is>
          <t>5525435973800</t>
        </is>
      </c>
    </row>
    <row r="4320" ht="87" customHeight="1">
      <c r="A4320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4320" s="2">
        <f>HYPERLINK("https://edmondsonsupply.com/products/klein-tools-32717-all-in-1-precision-screwdriver-set-with-case", "https://edmondsonsupply.com/products/klein-tools-32717-all-in-1-precision-screwdriver-set-with-case")</f>
        <v/>
      </c>
      <c r="C4320" t="inlineStr">
        <is>
          <t>Klein Tools 32717 All-in-1 Precision Screwdriver Set with Case</t>
        </is>
      </c>
      <c r="D4320" t="inlineStr">
        <is>
          <t>Klein Tools 32510 Magnetic Multibit Screwdriver &amp; 32717 Precision Screwdriver Set with Case, All-in-One Multi-Function Repair Tool Kit Includes 39 Bits for Apple Products</t>
        </is>
      </c>
      <c r="E4320" s="2">
        <f>HYPERLINK("https://www.amazon.com/Klein-Tools-Screwdriver-Precision-Multi-Function/dp/B0BGPXB5KD/ref=sr_1_2?keywords=Klein+Tools+32717+All-in-1+Precision+Screwdriver+Set+with+Case&amp;qid=1694735187&amp;sr=8-2", "https://www.amazon.com/Klein-Tools-Screwdriver-Precision-Multi-Function/dp/B0BGPXB5KD/ref=sr_1_2?keywords=Klein+Tools+32717+All-in-1+Precision+Screwdriver+Set+with+Case&amp;qid=1694735187&amp;sr=8-2")</f>
        <v/>
      </c>
      <c r="F4320" t="inlineStr">
        <is>
          <t>B0BGPXB5KD</t>
        </is>
      </c>
      <c r="G4320">
        <f>_xlfn.IMAGE("https://edmondsonsupply.com/cdn/shop/products/32717.jpg?v=1633031161")</f>
        <v/>
      </c>
      <c r="H4320">
        <f>_xlfn.IMAGE("https://m.media-amazon.com/images/I/51iOtnRuEmL._AC_UL320_.jpg")</f>
        <v/>
      </c>
      <c r="K4320" t="inlineStr">
        <is>
          <t>29.97</t>
        </is>
      </c>
      <c r="L4320" t="n">
        <v>59.94</v>
      </c>
      <c r="M4320" s="1" t="inlineStr">
        <is>
          <t>100.00%</t>
        </is>
      </c>
      <c r="N4320" s="7" t="n">
        <v>-0.45</v>
      </c>
      <c r="O4320" t="n">
        <v>4.2</v>
      </c>
      <c r="P4320" t="n">
        <v>3</v>
      </c>
      <c r="R4320" t="inlineStr">
        <is>
          <t>InStock</t>
        </is>
      </c>
      <c r="S4320" t="inlineStr">
        <is>
          <t>41.98</t>
        </is>
      </c>
      <c r="T4320" t="inlineStr">
        <is>
          <t>6897560453293</t>
        </is>
      </c>
    </row>
    <row r="4321" hidden="1" ht="15.75" customHeight="1">
      <c r="A4321" s="2">
        <f>HYPERLINK("https://edmondsonsupply.com/collections/electricians-tools/products/greenlee-609-3-4-foam-conduit-piston", "https://edmondsonsupply.com/collections/electricians-tools/products/greenlee-609-3-4-foam-conduit-piston")</f>
        <v/>
      </c>
      <c r="B4321" s="2">
        <f>HYPERLINK("https://edmondsonsupply.com/products/greenlee-609-3-4-foam-conduit-piston", "https://edmondsonsupply.com/products/greenlee-609-3-4-foam-conduit-piston")</f>
        <v/>
      </c>
      <c r="C4321" t="inlineStr">
        <is>
          <t>Greenlee 609 3/4" Foam Conduit Piston</t>
        </is>
      </c>
      <c r="D4321" t="inlineStr">
        <is>
          <t>Greenlee - Piston, Boxed-3/4", Fishing (609)</t>
        </is>
      </c>
      <c r="E4321" s="2">
        <f>HYPERLINK("https://www.amazon.com/Greenlee-609-Single-Piston-Conduit/dp/B004QNZ8GS/ref=sr_1_5?keywords=Greenlee+609+3%2F4%22+Foam+Conduit+Piston&amp;qid=1694734992&amp;sr=8-5", "https://www.amazon.com/Greenlee-609-Single-Piston-Conduit/dp/B004QNZ8GS/ref=sr_1_5?keywords=Greenlee+609+3%2F4%22+Foam+Conduit+Piston&amp;qid=1694734992&amp;sr=8-5")</f>
        <v/>
      </c>
      <c r="F4321" t="inlineStr">
        <is>
          <t>B004QNZ8GS</t>
        </is>
      </c>
      <c r="G4321">
        <f>_xludf.IMAGE("https://edmondsonsupply.com/cdn/shop/files/Greenlee-609_1.webp?v=1687448329")</f>
        <v/>
      </c>
      <c r="H4321">
        <f>_xludf.IMAGE("https://m.media-amazon.com/images/I/71LqGT4IPqL._AC_UL320_.jpg")</f>
        <v/>
      </c>
      <c r="K4321" t="inlineStr">
        <is>
          <t>6.82</t>
        </is>
      </c>
      <c r="L4321" t="n">
        <v>13.64</v>
      </c>
      <c r="M4321" s="1" t="inlineStr">
        <is>
          <t>100.00%</t>
        </is>
      </c>
      <c r="N4321" s="1" t="n">
        <v>-0.48</v>
      </c>
      <c r="O4321" t="n">
        <v>4.2</v>
      </c>
      <c r="P4321" t="n">
        <v>29</v>
      </c>
      <c r="R4321" t="inlineStr">
        <is>
          <t>InStock</t>
        </is>
      </c>
      <c r="S4321" t="inlineStr">
        <is>
          <t>undefined</t>
        </is>
      </c>
      <c r="T4321" t="inlineStr">
        <is>
          <t>8007988248792</t>
        </is>
      </c>
    </row>
    <row r="4322" ht="87" customHeight="1">
      <c r="A4322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4322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4322" t="inlineStr">
        <is>
          <t>Klein Tools 32288 8-in-1 Insulated Interchangeable Screwdriver Set</t>
        </is>
      </c>
      <c r="D4322" t="inlineStr">
        <is>
          <t>Klein Tools 80019 Tool Set, Multi-Bit Screwdriver and Nut Driver Tool Kit, 4-Piece &amp; 32288 Insulated Screwdriver, 8-in-1 Screwdriver Set with Interchangeable Blades</t>
        </is>
      </c>
      <c r="E4322" s="2">
        <f>HYPERLINK("https://www.amazon.com/Klein-Tools-Multi-Bit-Screwdriver-Interchangeable/dp/B0BCTNR7CH/ref=sr_1_16?keywords=Klein+Tools+32288+8-in-1+Insulated+Interchangeable+Screwdriver+Set&amp;qid=1694734974&amp;sr=8-16", "https://www.amazon.com/Klein-Tools-Multi-Bit-Screwdriver-Interchangeable/dp/B0BCTNR7CH/ref=sr_1_16?keywords=Klein+Tools+32288+8-in-1+Insulated+Interchangeable+Screwdriver+Set&amp;qid=1694734974&amp;sr=8-16")</f>
        <v/>
      </c>
      <c r="F4322" t="inlineStr">
        <is>
          <t>B0BCTNR7CH</t>
        </is>
      </c>
      <c r="G4322">
        <f>_xlfn.IMAGE("https://edmondsonsupply.com/cdn/shop/products/32288.jpg?v=1587146849")</f>
        <v/>
      </c>
      <c r="H4322">
        <f>_xlfn.IMAGE("https://m.media-amazon.com/images/I/51WMwcttPHL._AC_UL320_.jpg")</f>
        <v/>
      </c>
      <c r="K4322" t="inlineStr">
        <is>
          <t>49.99</t>
        </is>
      </c>
      <c r="L4322" t="n">
        <v>99.98</v>
      </c>
      <c r="M4322" s="1" t="inlineStr">
        <is>
          <t>100.00%</t>
        </is>
      </c>
      <c r="N4322" s="7" t="n">
        <v>-0.48</v>
      </c>
      <c r="O4322" t="n">
        <v>5</v>
      </c>
      <c r="P4322" t="n">
        <v>1</v>
      </c>
      <c r="R4322" t="inlineStr">
        <is>
          <t>InStock</t>
        </is>
      </c>
      <c r="S4322" t="inlineStr">
        <is>
          <t>69.98</t>
        </is>
      </c>
      <c r="T4322" t="inlineStr">
        <is>
          <t>4094849613924</t>
        </is>
      </c>
    </row>
    <row r="4323" ht="87" customHeight="1">
      <c r="A4323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4323" s="2">
        <f>HYPERLINK("https://edmondsonsupply.com/products/rack-a-tiers-11455-wire-dispenser", "https://edmondsonsupply.com/products/rack-a-tiers-11455-wire-dispenser")</f>
        <v/>
      </c>
      <c r="C4323" t="inlineStr">
        <is>
          <t>Rack-A-Tiers 11455 Wire Dispenser</t>
        </is>
      </c>
      <c r="D4323" t="inlineStr">
        <is>
          <t>2 Pack RACK-A-TIERS 11455 Multi Purpose Wire Dispenser</t>
        </is>
      </c>
      <c r="E4323" s="2">
        <f>HYPERLINK("https://www.amazon.com/RACK-TIERS-11455-Purpose-Dispenser/dp/B08LMHMJ9W/ref=sr_1_1?keywords=Rack-A-Tiers+11455+Wire+Dispenser&amp;qid=1694734977&amp;sr=8-1", "https://www.amazon.com/RACK-TIERS-11455-Purpose-Dispenser/dp/B08LMHMJ9W/ref=sr_1_1?keywords=Rack-A-Tiers+11455+Wire+Dispenser&amp;qid=1694734977&amp;sr=8-1")</f>
        <v/>
      </c>
      <c r="F4323" t="inlineStr">
        <is>
          <t>B08LMHMJ9W</t>
        </is>
      </c>
      <c r="G4323">
        <f>_xlfn.IMAGE("https://edmondsonsupply.com/cdn/shop/products/11455.png?v=1587150070")</f>
        <v/>
      </c>
      <c r="H4323">
        <f>_xlfn.IMAGE("https://m.media-amazon.com/images/I/71b3IrwXz5L._AC_UL320_.jpg")</f>
        <v/>
      </c>
      <c r="K4323" t="inlineStr">
        <is>
          <t>105.39</t>
        </is>
      </c>
      <c r="L4323" t="n">
        <v>210.78</v>
      </c>
      <c r="M4323" s="1" t="inlineStr">
        <is>
          <t>100.00%</t>
        </is>
      </c>
      <c r="N4323" s="7" t="n">
        <v>-0.55</v>
      </c>
      <c r="O4323" t="n">
        <v>5</v>
      </c>
      <c r="P4323" t="n">
        <v>1</v>
      </c>
      <c r="R4323" t="inlineStr">
        <is>
          <t>InStock</t>
        </is>
      </c>
      <c r="S4323" t="inlineStr">
        <is>
          <t>112.99</t>
        </is>
      </c>
      <c r="T4323" t="inlineStr">
        <is>
          <t>3259201126500</t>
        </is>
      </c>
    </row>
    <row r="4324" hidden="1" ht="15.75" customHeight="1">
      <c r="A4324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4324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4324" t="inlineStr">
        <is>
          <t>Klein Tools JTH6E06BE 3/32-Inch Ball End Hex Key with T-Handle, 6-Inch</t>
        </is>
      </c>
      <c r="D4324" t="inlineStr">
        <is>
          <t>Klein Tools JTH6M3BE 3 mm Ball End Hex Key with Journeyman T-Handle, 6-Inch (Pack of 2)</t>
        </is>
      </c>
      <c r="E4324" s="2">
        <f>HYPERLINK("https://www.amazon.com/Klein-Tools-JTH6M3BE-Journeyman-T-Handle/dp/B0CGLYY7WP/ref=sr_1_2?keywords=Klein+Tools+JTH6E06BE+3%2F32-Inch+Ball+End+Hex+Key+with+T-Handle%2C+6-Inch&amp;qid=1694735201&amp;sr=8-2", "https://www.amazon.com/Klein-Tools-JTH6M3BE-Journeyman-T-Handle/dp/B0CGLYY7WP/ref=sr_1_2?keywords=Klein+Tools+JTH6E06BE+3%2F32-Inch+Ball+End+Hex+Key+with+T-Handle%2C+6-Inch&amp;qid=1694735201&amp;sr=8-2")</f>
        <v/>
      </c>
      <c r="F4324" t="inlineStr">
        <is>
          <t>B0CGLYY7WP</t>
        </is>
      </c>
      <c r="G4324">
        <f>_xludf.IMAGE("https://edmondsonsupply.com/cdn/shop/products/jth6e13be_f61308c8-99eb-44df-aac2-25c9159d6b6d.jpg?v=1633031148")</f>
        <v/>
      </c>
      <c r="H4324">
        <f>_xludf.IMAGE("https://m.media-amazon.com/images/I/413sTNFMd7L._AC_UL320_.jpg")</f>
        <v/>
      </c>
      <c r="K4324" t="inlineStr">
        <is>
          <t>4.99</t>
        </is>
      </c>
      <c r="L4324" t="n">
        <v>9.98</v>
      </c>
      <c r="M4324" s="1" t="inlineStr">
        <is>
          <t>100.00%</t>
        </is>
      </c>
      <c r="N4324" s="1" t="n">
        <v>-0.6</v>
      </c>
      <c r="O4324" t="n">
        <v>4.6</v>
      </c>
      <c r="P4324" t="n">
        <v>184</v>
      </c>
      <c r="R4324" t="inlineStr">
        <is>
          <t>InStock</t>
        </is>
      </c>
      <c r="S4324" t="inlineStr">
        <is>
          <t>7.54</t>
        </is>
      </c>
      <c r="T4324" t="inlineStr">
        <is>
          <t>6895312601261</t>
        </is>
      </c>
    </row>
    <row r="4325" hidden="1" ht="15.75" customHeight="1">
      <c r="A4325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4325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4325" t="inlineStr">
        <is>
          <t>Klein Tools JTH6E10BE 5/32-Inch Ball Hex Key, Journeyman T-Handle 6-Inch</t>
        </is>
      </c>
      <c r="D4325" t="inlineStr">
        <is>
          <t>Klein Tools JTH6M3BE 3 mm Ball End Hex Key with Journeyman T-Handle, 6-Inch (Pack of 2)</t>
        </is>
      </c>
      <c r="E4325" s="2">
        <f>HYPERLINK("https://www.amazon.com/Klein-Tools-JTH6M3BE-Journeyman-T-Handle/dp/B0CGLYY7WP/ref=sr_1_4?keywords=Klein+Tools+JTH6E10BE+5%2F32-Inch+Ball+Hex+Key%2C+Journeyman+T-Handle+6-Inch&amp;qid=1694735255&amp;sr=8-4", "https://www.amazon.com/Klein-Tools-JTH6M3BE-Journeyman-T-Handle/dp/B0CGLYY7WP/ref=sr_1_4?keywords=Klein+Tools+JTH6E10BE+5%2F32-Inch+Ball+Hex+Key%2C+Journeyman+T-Handle+6-Inch&amp;qid=1694735255&amp;sr=8-4")</f>
        <v/>
      </c>
      <c r="F4325" t="inlineStr">
        <is>
          <t>B0CGLYY7WP</t>
        </is>
      </c>
      <c r="G4325">
        <f>_xludf.IMAGE("https://edmondsonsupply.com/cdn/shop/products/jth6e13be_363de34a-e666-474d-81cd-df9068957d9f.jpg?v=1604059577")</f>
        <v/>
      </c>
      <c r="H4325">
        <f>_xludf.IMAGE("https://m.media-amazon.com/images/I/413sTNFMd7L._AC_UL320_.jpg")</f>
        <v/>
      </c>
      <c r="K4325" t="inlineStr">
        <is>
          <t>4.99</t>
        </is>
      </c>
      <c r="L4325" t="n">
        <v>9.98</v>
      </c>
      <c r="M4325" s="1" t="inlineStr">
        <is>
          <t>100.00%</t>
        </is>
      </c>
      <c r="N4325" s="1" t="n">
        <v>-0.64</v>
      </c>
      <c r="O4325" t="n">
        <v>4.6</v>
      </c>
      <c r="P4325" t="n">
        <v>184</v>
      </c>
      <c r="R4325" t="inlineStr">
        <is>
          <t>InStock</t>
        </is>
      </c>
      <c r="S4325" t="inlineStr">
        <is>
          <t>7.52</t>
        </is>
      </c>
      <c r="T4325" t="inlineStr">
        <is>
          <t>5999019819176</t>
        </is>
      </c>
    </row>
    <row r="4326" ht="87" customHeight="1">
      <c r="A4326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326" s="2">
        <f>HYPERLINK("https://edmondsonsupply.com/products/klein-tools-935ab4v-accu-bend%e2%84%a2-level-4-vial-rem", "https://edmondsonsupply.com/products/klein-tools-935ab4v-accu-bend%e2%84%a2-level-4-vial-rem")</f>
        <v/>
      </c>
      <c r="C4326" t="inlineStr">
        <is>
          <t>Klein Tools 935AB4V ACCU-BEND™ Level, 4-Vial</t>
        </is>
      </c>
      <c r="D4326" t="inlineStr">
        <is>
          <t>Klein Tools 935DAG Digital Electronic Level and Angle Gauge &amp; 935AB4V Level, Torpedo Level is a Magnetic Conduit Level with 4 Vials, V-Groove and Magnet Track, High Viz Orange</t>
        </is>
      </c>
      <c r="E4326" s="2">
        <f>HYPERLINK("https://www.amazon.com/Klein-Tools-Electronic-Magnetic-V-Groove/dp/B08KHW9ZPH/ref=sr_1_10?keywords=Klein+Tools+935AB4V+ACCU-BEND%E2%84%A2+Level%2C+4-Vial&amp;qid=1694735422&amp;sr=8-10", "https://www.amazon.com/Klein-Tools-Electronic-Magnetic-V-Groove/dp/B08KHW9ZPH/ref=sr_1_10?keywords=Klein+Tools+935AB4V+ACCU-BEND%E2%84%A2+Level%2C+4-Vial&amp;qid=1694735422&amp;sr=8-10")</f>
        <v/>
      </c>
      <c r="F4326" t="inlineStr">
        <is>
          <t>B08KHW9ZPH</t>
        </is>
      </c>
      <c r="G4326">
        <f>_xlfn.IMAGE("https://edmondsonsupply.com/cdn/shop/files/935ab4v_b.jpg?v=1685715011")</f>
        <v/>
      </c>
      <c r="H4326">
        <f>_xlfn.IMAGE("https://m.media-amazon.com/images/I/51C8qUnxbUL._AC_UL320_.jpg")</f>
        <v/>
      </c>
      <c r="K4326" t="inlineStr">
        <is>
          <t>29.97</t>
        </is>
      </c>
      <c r="L4326" t="n">
        <v>59.94</v>
      </c>
      <c r="M4326" s="1" t="inlineStr">
        <is>
          <t>100.00%</t>
        </is>
      </c>
      <c r="N4326" s="7" t="n">
        <v>-0.67</v>
      </c>
      <c r="O4326" t="n">
        <v>4.8</v>
      </c>
      <c r="P4326" t="n">
        <v>64</v>
      </c>
      <c r="R4326" t="inlineStr">
        <is>
          <t>InStock</t>
        </is>
      </c>
      <c r="S4326" t="inlineStr">
        <is>
          <t>42.0</t>
        </is>
      </c>
      <c r="T4326" t="inlineStr">
        <is>
          <t>2766878081124</t>
        </is>
      </c>
    </row>
    <row r="4327" ht="87" customHeight="1">
      <c r="A4327" s="2">
        <f>HYPERLINK("https://edmondsonsupply.com/collections/electricians-tools/products/klein-tools-56221-led-clip-light", "https://edmondsonsupply.com/collections/electricians-tools/products/klein-tools-56221-led-clip-light")</f>
        <v/>
      </c>
      <c r="B4327" s="2">
        <f>HYPERLINK("https://edmondsonsupply.com/products/klein-tools-56221-led-clip-light", "https://edmondsonsupply.com/products/klein-tools-56221-led-clip-light")</f>
        <v/>
      </c>
      <c r="C4327" t="inlineStr">
        <is>
          <t>Klein Tools 56221 LED Clip Light</t>
        </is>
      </c>
      <c r="D4327" t="inlineStr">
        <is>
          <t>Klein Tools 56412 Rechargeable LED Flashlight with Worklight, 500 Lumens, USB Charging Cable, Pocket Clip, Battery Life Indicator, Magnetic</t>
        </is>
      </c>
      <c r="E4327" s="2">
        <f>HYPERLINK("https://www.amazon.com/Rechargeable-Flashlight-Worklight-Klein-Tools/dp/B0947YMH51/ref=sr_1_7?keywords=Klein+Tools+56221+LED+Clip+Light&amp;qid=1694735233&amp;sr=8-7", "https://www.amazon.com/Rechargeable-Flashlight-Worklight-Klein-Tools/dp/B0947YMH51/ref=sr_1_7?keywords=Klein+Tools+56221+LED+Clip+Light&amp;qid=1694735233&amp;sr=8-7")</f>
        <v/>
      </c>
      <c r="F4327" t="inlineStr">
        <is>
          <t>B0947YMH51</t>
        </is>
      </c>
      <c r="G4327">
        <f>_xlfn.IMAGE("https://edmondsonsupply.com/cdn/shop/products/56221.jpg?v=1633030868")</f>
        <v/>
      </c>
      <c r="H4327">
        <f>_xlfn.IMAGE("https://m.media-amazon.com/images/I/51Of8ojN4aS._AC_UL320_.jpg")</f>
        <v/>
      </c>
      <c r="K4327" t="inlineStr">
        <is>
          <t>19.99</t>
        </is>
      </c>
      <c r="L4327" t="n">
        <v>39.97</v>
      </c>
      <c r="M4327" s="1" t="inlineStr">
        <is>
          <t>99.95%</t>
        </is>
      </c>
      <c r="N4327" s="7" t="n">
        <v>-0.72</v>
      </c>
      <c r="O4327" t="n">
        <v>4.6</v>
      </c>
      <c r="P4327" t="n">
        <v>418</v>
      </c>
      <c r="R4327" t="inlineStr">
        <is>
          <t>InStock</t>
        </is>
      </c>
      <c r="S4327" t="inlineStr">
        <is>
          <t>29.96</t>
        </is>
      </c>
      <c r="T4327" t="inlineStr">
        <is>
          <t>6135824285869</t>
        </is>
      </c>
    </row>
    <row r="4328" ht="87" customHeight="1">
      <c r="A4328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4328" s="2">
        <f>HYPERLINK("https://edmondsonsupply.com/products/klein-tools-1011m-metric-wire-stripper-cutter-stranded-wire", "https://edmondsonsupply.com/products/klein-tools-1011m-metric-wire-stripper-cutter-stranded-wire")</f>
        <v/>
      </c>
      <c r="C4328" t="inlineStr">
        <is>
          <t>Klein Tools 1011M Metric Wire Stripper/Cutter Stranded Wire</t>
        </is>
      </c>
      <c r="D4328" t="inlineStr">
        <is>
          <t>Klein Tools 11063W Wire Cutter / Wire Stripper, Heavy Duty Automatic Wire Stripper Tool for 8-20 AWG Solid and 10-22 AWG Stranded Electrical Wire,Blue/Black</t>
        </is>
      </c>
      <c r="E4328" s="2">
        <f>HYPERLINK("https://www.amazon.com/Stripper-Electrical-Klein-Tools-11063W/dp/B00BC39YFQ/ref=sr_1_10?keywords=Klein+Tools+1011M+Metric+Wire+Stripper%2FCutter+Stranded+Wire&amp;qid=1694735312&amp;sr=8-10", "https://www.amazon.com/Stripper-Electrical-Klein-Tools-11063W/dp/B00BC39YFQ/ref=sr_1_10?keywords=Klein+Tools+1011M+Metric+Wire+Stripper%2FCutter+Stranded+Wire&amp;qid=1694735312&amp;sr=8-10")</f>
        <v/>
      </c>
      <c r="F4328" t="inlineStr">
        <is>
          <t>B00BC39YFQ</t>
        </is>
      </c>
      <c r="G4328">
        <f>_xlfn.IMAGE("https://edmondsonsupply.com/cdn/shop/products/1011m.jpg?v=1633030273")</f>
        <v/>
      </c>
      <c r="H4328">
        <f>_xlfn.IMAGE("https://m.media-amazon.com/images/I/51cWJR-r31L._AC_UL320_.jpg")</f>
        <v/>
      </c>
      <c r="K4328" t="inlineStr">
        <is>
          <t>14.99</t>
        </is>
      </c>
      <c r="L4328" t="n">
        <v>29.97</v>
      </c>
      <c r="M4328" s="1" t="inlineStr">
        <is>
          <t>99.93%</t>
        </is>
      </c>
      <c r="N4328" s="7" t="n">
        <v>-0.79</v>
      </c>
      <c r="O4328" t="n">
        <v>4.8</v>
      </c>
      <c r="P4328" t="n">
        <v>9108</v>
      </c>
      <c r="R4328" t="inlineStr">
        <is>
          <t>InStock</t>
        </is>
      </c>
      <c r="S4328" t="inlineStr">
        <is>
          <t>22.72</t>
        </is>
      </c>
      <c r="T4328" t="inlineStr">
        <is>
          <t>5237017772200</t>
        </is>
      </c>
    </row>
    <row r="4329" ht="87" customHeight="1">
      <c r="A4329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4329" s="2">
        <f>HYPERLINK("https://edmondsonsupply.com/products/klein-tools-635-1-2-1-2-inch-heavy-duty-nut-driver", "https://edmondsonsupply.com/products/klein-tools-635-1-2-1-2-inch-heavy-duty-nut-driver")</f>
        <v/>
      </c>
      <c r="C4329" t="inlineStr">
        <is>
          <t>Klein Tools 635-1/2 1/2-Inch Heavy-Duty Nut Driver</t>
        </is>
      </c>
      <c r="D4329" t="inlineStr">
        <is>
          <t>Klein Tools 32807MAG 7-in-1 Nut Driver, Magnetic Driver has SAE Hex Nut Sizes 1/4 to 9/16-Inch, Cushion Grip Handle for Added Torque</t>
        </is>
      </c>
      <c r="E4329" s="2">
        <f>HYPERLINK("https://www.amazon.com/Driver-Magnetic-Klein-Tools-32807MAG/dp/B07D4M51DQ/ref=sr_1_9?keywords=Klein+Tools+635-1%2F2+1%2F2-Inch+Heavy-Duty+Nut+Driver&amp;qid=1694735353&amp;sr=8-9", "https://www.amazon.com/Driver-Magnetic-Klein-Tools-32807MAG/dp/B07D4M51DQ/ref=sr_1_9?keywords=Klein+Tools+635-1%2F2+1%2F2-Inch+Heavy-Duty+Nut+Driver&amp;qid=1694735353&amp;sr=8-9")</f>
        <v/>
      </c>
      <c r="F4329" t="inlineStr">
        <is>
          <t>B07D4M51DQ</t>
        </is>
      </c>
      <c r="G4329">
        <f>_xlfn.IMAGE("https://edmondsonsupply.com/cdn/shop/products/635-1-2.jpg?v=1587147726")</f>
        <v/>
      </c>
      <c r="H4329">
        <f>_xlfn.IMAGE("https://m.media-amazon.com/images/I/61gwAJBzDAL._AC_UL320_.jpg")</f>
        <v/>
      </c>
      <c r="K4329" t="inlineStr">
        <is>
          <t>14.99</t>
        </is>
      </c>
      <c r="L4329" t="n">
        <v>29.97</v>
      </c>
      <c r="M4329" s="1" t="inlineStr">
        <is>
          <t>99.93%</t>
        </is>
      </c>
      <c r="N4329" s="7" t="n">
        <v>-0.83</v>
      </c>
      <c r="O4329" t="n">
        <v>4.7</v>
      </c>
      <c r="P4329" t="n">
        <v>9145</v>
      </c>
      <c r="R4329" t="inlineStr">
        <is>
          <t>InStock</t>
        </is>
      </c>
      <c r="S4329" t="inlineStr">
        <is>
          <t>22.78</t>
        </is>
      </c>
      <c r="T4329" t="inlineStr">
        <is>
          <t>4473296945252</t>
        </is>
      </c>
    </row>
    <row r="4330" ht="87" customHeight="1">
      <c r="A4330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4330" s="2">
        <f>HYPERLINK("https://edmondsonsupply.com/products/klein-tools-1011m-metric-wire-stripper-cutter-stranded-wire", "https://edmondsonsupply.com/products/klein-tools-1011m-metric-wire-stripper-cutter-stranded-wire")</f>
        <v/>
      </c>
      <c r="C4330" t="inlineStr">
        <is>
          <t>Klein Tools 1011M Metric Wire Stripper/Cutter Stranded Wire</t>
        </is>
      </c>
      <c r="D4330" t="inlineStr">
        <is>
          <t>Klein Tools 11055RINS 1000V Insulated Klein Kurve Wire Stripper/Cutter Cuts and Strips 10-18 Solid and 12-20 Stranded AWG Wire, Orange</t>
        </is>
      </c>
      <c r="E4330" s="2">
        <f>HYPERLINK("https://www.amazon.com/Klein-Tools-11055RINS-Insulated-Stripper/dp/B0BFZBQ9XF/ref=sr_1_7?keywords=Klein+Tools+1011M+Metric+Wire+Stripper%2FCutter+Stranded+Wire&amp;qid=1694735312&amp;sr=8-7", "https://www.amazon.com/Klein-Tools-11055RINS-Insulated-Stripper/dp/B0BFZBQ9XF/ref=sr_1_7?keywords=Klein+Tools+1011M+Metric+Wire+Stripper%2FCutter+Stranded+Wire&amp;qid=1694735312&amp;sr=8-7")</f>
        <v/>
      </c>
      <c r="F4330" t="inlineStr">
        <is>
          <t>B0BFZBQ9XF</t>
        </is>
      </c>
      <c r="G4330">
        <f>_xlfn.IMAGE("https://edmondsonsupply.com/cdn/shop/products/1011m.jpg?v=1633030273")</f>
        <v/>
      </c>
      <c r="H4330">
        <f>_xlfn.IMAGE("https://m.media-amazon.com/images/I/41Pemveg6bL._AC_UL320_.jpg")</f>
        <v/>
      </c>
      <c r="K4330" t="inlineStr">
        <is>
          <t>14.99</t>
        </is>
      </c>
      <c r="L4330" t="n">
        <v>29.97</v>
      </c>
      <c r="M4330" s="1" t="inlineStr">
        <is>
          <t>99.93%</t>
        </is>
      </c>
      <c r="N4330" s="7" t="n">
        <v>-0.84</v>
      </c>
      <c r="O4330" t="n">
        <v>4.6</v>
      </c>
      <c r="P4330" t="n">
        <v>54</v>
      </c>
      <c r="R4330" t="inlineStr">
        <is>
          <t>InStock</t>
        </is>
      </c>
      <c r="S4330" t="inlineStr">
        <is>
          <t>22.72</t>
        </is>
      </c>
      <c r="T4330" t="inlineStr">
        <is>
          <t>5237017772200</t>
        </is>
      </c>
    </row>
    <row r="4331" ht="87" customHeight="1">
      <c r="A4331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331" s="2">
        <f>HYPERLINK("https://edmondsonsupply.com/products/klein-tools-vdv427-300-impact-punchdown-tool-66-110-blade", "https://edmondsonsupply.com/products/klein-tools-vdv427-300-impact-punchdown-tool-66-110-blade")</f>
        <v/>
      </c>
      <c r="C4331" t="inlineStr">
        <is>
          <t>Klein Tools VDV427-300 Impact Punchdown Tool, 66/110 Blade</t>
        </is>
      </c>
      <c r="D4331" t="inlineStr">
        <is>
          <t>Klein Tools VDV500-820 Cable Tracer with Probe Tone Pro Kit &amp; Impact Punchdown Tool with 66/110 Blade &amp; Ratcheting Modular Data Cable Crimper/Wire Stripper/Wire Cutter</t>
        </is>
      </c>
      <c r="E4331" s="2">
        <f>HYPERLINK("https://www.amazon.com/Klein-Tools-VDV500-820-Punchdown-Ratcheting/dp/B0C999YLK9/ref=sr_1_21?keywords=Klein+Tools+VDV427-300+Impact+Punchdown+Tool%2C+66%2F110+Blade&amp;qid=1694735168&amp;sr=8-21", "https://www.amazon.com/Klein-Tools-VDV500-820-Punchdown-Ratcheting/dp/B0C999YLK9/ref=sr_1_21?keywords=Klein+Tools+VDV427-300+Impact+Punchdown+Tool%2C+66%2F110+Blade&amp;qid=1694735168&amp;sr=8-21")</f>
        <v/>
      </c>
      <c r="F4331" t="inlineStr">
        <is>
          <t>B0C999YLK9</t>
        </is>
      </c>
      <c r="G4331">
        <f>_xlfn.IMAGE("https://edmondsonsupply.com/cdn/shop/products/vdv427300.jpg?v=1646010568")</f>
        <v/>
      </c>
      <c r="H4331">
        <f>_xlfn.IMAGE("https://m.media-amazon.com/images/I/51cngigecsL._AC_UL320_.jpg")</f>
        <v/>
      </c>
      <c r="K4331" t="inlineStr">
        <is>
          <t>39.97</t>
        </is>
      </c>
      <c r="L4331" t="n">
        <v>79.90000000000001</v>
      </c>
      <c r="M4331" s="1" t="inlineStr">
        <is>
          <t>99.90%</t>
        </is>
      </c>
      <c r="N4331" s="7" t="n">
        <v>-0.85</v>
      </c>
      <c r="O4331" t="n">
        <v>4.7</v>
      </c>
      <c r="P4331" t="n">
        <v>3609</v>
      </c>
      <c r="R4331" t="inlineStr">
        <is>
          <t>InStock</t>
        </is>
      </c>
      <c r="S4331" t="inlineStr">
        <is>
          <t>55.98</t>
        </is>
      </c>
      <c r="T4331" t="inlineStr">
        <is>
          <t>7620069818584</t>
        </is>
      </c>
    </row>
    <row r="4332" ht="87" customHeight="1">
      <c r="A4332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332" s="2">
        <f>HYPERLINK("https://edmondsonsupply.com/products/klein-tools-d203-8-pliers-long-nose-side-cutters-8-inch", "https://edmondsonsupply.com/products/klein-tools-d203-8-pliers-long-nose-side-cutters-8-inch")</f>
        <v/>
      </c>
      <c r="C4332" t="inlineStr">
        <is>
          <t>Klein Tools D203-8 Pliers, Needle Nose Side-Cutters, 8-Inch</t>
        </is>
      </c>
      <c r="D4332" t="inlineStr">
        <is>
          <t>Klein Tools D203-8-INS Long Nose Side Cutter Insulated Pliers with Induction Hardened Cutting Knives for Long Life, 8-Inch</t>
        </is>
      </c>
      <c r="E4332" s="2">
        <f>HYPERLINK("https://www.amazon.com/Klein-Tools-D203-8-INS-Pliers-Insulated/dp/B000MAWKOC/ref=sr_1_4?keywords=Klein+Tools+D203-8+Pliers%2C+Needle+Nose+Side-Cutters%2C+8-Inch&amp;qid=1694735240&amp;sr=8-4", "https://www.amazon.com/Klein-Tools-D203-8-INS-Pliers-Insulated/dp/B000MAWKOC/ref=sr_1_4?keywords=Klein+Tools+D203-8+Pliers%2C+Needle+Nose+Side-Cutters%2C+8-Inch&amp;qid=1694735240&amp;sr=8-4")</f>
        <v/>
      </c>
      <c r="F4332" t="inlineStr">
        <is>
          <t>B000MAWKOC</t>
        </is>
      </c>
      <c r="G4332">
        <f>_xlfn.IMAGE("https://edmondsonsupply.com/cdn/shop/products/d2038.jpg?v=1633030802")</f>
        <v/>
      </c>
      <c r="H4332">
        <f>_xlfn.IMAGE("https://m.media-amazon.com/images/I/51kYKcbenjL._AC_UL320_.jpg")</f>
        <v/>
      </c>
      <c r="K4332" t="inlineStr">
        <is>
          <t>29.97</t>
        </is>
      </c>
      <c r="L4332" t="n">
        <v>59.87</v>
      </c>
      <c r="M4332" s="1" t="inlineStr">
        <is>
          <t>99.77%</t>
        </is>
      </c>
      <c r="N4332" s="7" t="n">
        <v>-0.86</v>
      </c>
      <c r="O4332" t="n">
        <v>4.9</v>
      </c>
      <c r="P4332" t="n">
        <v>348</v>
      </c>
      <c r="R4332" t="inlineStr">
        <is>
          <t>InStock</t>
        </is>
      </c>
      <c r="S4332" t="inlineStr">
        <is>
          <t>44.84</t>
        </is>
      </c>
      <c r="T4332" t="inlineStr">
        <is>
          <t>6005724577960</t>
        </is>
      </c>
    </row>
    <row r="4333" hidden="1" ht="15.75" customHeight="1">
      <c r="A4333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4333" s="2">
        <f>HYPERLINK("https://edmondsonsupply.com/products/diablo-tools-dmapl2320-1-2-in-x-10-in-x-12-in-sds-plus-2-cutter", "https://edmondsonsupply.com/products/diablo-tools-dmapl2320-1-2-in-x-10-in-x-12-in-sds-plus-2-cutter")</f>
        <v/>
      </c>
      <c r="C4333" t="inlineStr">
        <is>
          <t>Diablo Tools DMAPL2320 1/2 in. x 10 in. x 12 in. SDS-Plus 2-Cutter</t>
        </is>
      </c>
      <c r="D4333" t="inlineStr">
        <is>
          <t>Diablo 1/2 in. x 12 in. SDS-Plus Rebar Cutter</t>
        </is>
      </c>
      <c r="E4333" s="2">
        <f>HYPERLINK("https://www.amazon.com/Diablo-DMAPLRC1020-SDS-Plus-Rebar-Cutter/dp/B089LGB35M/ref=sr_1_11?keywords=Diablo+Tools+DMAPL2320+1%2F2+in.+x+10+in.+x+12+in.+SDS-Plus+2-Cutter&amp;qid=1694735300&amp;sr=8-11", "https://www.amazon.com/Diablo-DMAPLRC1020-SDS-Plus-Rebar-Cutter/dp/B089LGB35M/ref=sr_1_11?keywords=Diablo+Tools+DMAPL2320+1%2F2+in.+x+10+in.+x+12+in.+SDS-Plus+2-Cutter&amp;qid=1694735300&amp;sr=8-11")</f>
        <v/>
      </c>
      <c r="F4333" t="inlineStr">
        <is>
          <t>B089LGB35M</t>
        </is>
      </c>
      <c r="G4333">
        <f>_xludf.IMAGE("https://edmondsonsupply.com/cdn/shop/products/DMAPL2320.jpg?v=1633030356")</f>
        <v/>
      </c>
      <c r="H4333">
        <f>_xludf.IMAGE("https://m.media-amazon.com/images/I/61XAObvH-JL._AC_UL320_.jpg")</f>
        <v/>
      </c>
      <c r="K4333" t="inlineStr">
        <is>
          <t>12.97</t>
        </is>
      </c>
      <c r="L4333" t="n">
        <v>25.87</v>
      </c>
      <c r="M4333" s="1" t="inlineStr">
        <is>
          <t>99.46%</t>
        </is>
      </c>
      <c r="N4333" s="1" t="n">
        <v>-0.86</v>
      </c>
      <c r="O4333" t="n">
        <v>1</v>
      </c>
      <c r="P4333" t="n">
        <v>1</v>
      </c>
      <c r="R4333" t="inlineStr">
        <is>
          <t>InStock</t>
        </is>
      </c>
      <c r="S4333" t="inlineStr">
        <is>
          <t>14.25</t>
        </is>
      </c>
      <c r="T4333" t="inlineStr">
        <is>
          <t>5286282264744</t>
        </is>
      </c>
    </row>
    <row r="4334" ht="87" customHeight="1">
      <c r="A4334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4334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4334" t="inlineStr">
        <is>
          <t>Diablo Tools DMAPL4220 5/8 in. x 6 in. x 8 in. Rebar Demon™ SDS-Plus 4-Cutter Full Carbide Head Hammer Bit</t>
        </is>
      </c>
      <c r="D4334" t="inlineStr">
        <is>
          <t>Diablo by Freud DMAPL4230 5/8 in. x 10 in. x 12 in. Rebar Demon SDS-Plus 4-Cutter Full Carbide Head Hammer Bit</t>
        </is>
      </c>
      <c r="E4334" s="2">
        <f>HYPERLINK("https://www.amazon.com/Diablo-Freud-DMAPL4230-SDS-Plus-4-Cutter/dp/B089LCN234/ref=sr_1_12?keywords=Diablo+Tools+DMAPL4220+5%2F8+in.+x+6+in.+x+8+in.+Rebar+Demon%E2%84%A2+SDS-Plus+4-Cutter+Full+Carbide+Head+Hammer+Bit&amp;qid=1694735306&amp;sr=8-12", "https://www.amazon.com/Diablo-Freud-DMAPL4230-SDS-Plus-4-Cutter/dp/B089LCN234/ref=sr_1_12?keywords=Diablo+Tools+DMAPL4220+5%2F8+in.+x+6+in.+x+8+in.+Rebar+Demon%E2%84%A2+SDS-Plus+4-Cutter+Full+Carbide+Head+Hammer+Bit&amp;qid=1694735306&amp;sr=8-12")</f>
        <v/>
      </c>
      <c r="F4334" t="inlineStr">
        <is>
          <t>B089LCN234</t>
        </is>
      </c>
      <c r="G4334">
        <f>_xlfn.IMAGE("https://edmondsonsupply.com/cdn/shop/products/DMAPL4220.jpg?v=1633030355")</f>
        <v/>
      </c>
      <c r="H4334">
        <f>_xlfn.IMAGE("https://m.media-amazon.com/images/I/61r649wmyhL._AC_UL320_.jpg")</f>
        <v/>
      </c>
      <c r="K4334" t="inlineStr">
        <is>
          <t>10.97</t>
        </is>
      </c>
      <c r="L4334" t="n">
        <v>21.86</v>
      </c>
      <c r="M4334" s="1" t="inlineStr">
        <is>
          <t>99.27%</t>
        </is>
      </c>
      <c r="N4334" s="7" t="n">
        <v>-0.93</v>
      </c>
      <c r="O4334" t="n">
        <v>4.7</v>
      </c>
      <c r="P4334" t="n">
        <v>47</v>
      </c>
      <c r="R4334" t="inlineStr">
        <is>
          <t>InStock</t>
        </is>
      </c>
      <c r="S4334" t="inlineStr">
        <is>
          <t>17.16</t>
        </is>
      </c>
      <c r="T4334" t="inlineStr">
        <is>
          <t>5286142148776</t>
        </is>
      </c>
    </row>
    <row r="4335" hidden="1" ht="15.75" customHeight="1">
      <c r="A4335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4335" s="2">
        <f>HYPERLINK("https://edmondsonsupply.com/products/greenlee-dtap10-32-drill-tap-10-32", "https://edmondsonsupply.com/products/greenlee-dtap10-32-drill-tap-10-32")</f>
        <v/>
      </c>
      <c r="C4335" t="inlineStr">
        <is>
          <t>Greenlee DTAP10-32 Drill/Tap, 10-32</t>
        </is>
      </c>
      <c r="D4335" t="inlineStr">
        <is>
          <t>Greenlee Textron Drill/Tap Bit 10-32 DTAP10-32</t>
        </is>
      </c>
      <c r="E4335" s="2">
        <f>HYPERLINK("https://www.amazon.com/Greenlee-Textron-Drill-10-32-DTAP10-32/dp/B005YSMFYC/ref=sr_1_2?keywords=Greenlee+DTAP10-32+Drill%2FTap%2C+10-32&amp;qid=1694735404&amp;sr=8-2", "https://www.amazon.com/Greenlee-Textron-Drill-10-32-DTAP10-32/dp/B005YSMFYC/ref=sr_1_2?keywords=Greenlee+DTAP10-32+Drill%2FTap%2C+10-32&amp;qid=1694735404&amp;sr=8-2")</f>
        <v/>
      </c>
      <c r="F4335" t="inlineStr">
        <is>
          <t>B005YSMFYC</t>
        </is>
      </c>
      <c r="G4335">
        <f>_xludf.IMAGE("https://edmondsonsupply.com/cdn/shop/products/DTAP10-32.jpg?v=1633030188")</f>
        <v/>
      </c>
      <c r="H4335">
        <f>_xludf.IMAGE("https://m.media-amazon.com/images/I/314MWaZtxjL._AC_UL320_.jpg")</f>
        <v/>
      </c>
      <c r="K4335" t="inlineStr">
        <is>
          <t>8.99</t>
        </is>
      </c>
      <c r="L4335" t="n">
        <v>17.89</v>
      </c>
      <c r="M4335" s="1" t="inlineStr">
        <is>
          <t>99.00%</t>
        </is>
      </c>
      <c r="N4335" s="1" t="n">
        <v>-1</v>
      </c>
      <c r="O4335" t="n">
        <v>3.8</v>
      </c>
      <c r="P4335" t="n">
        <v>9</v>
      </c>
      <c r="R4335" t="inlineStr">
        <is>
          <t>InStock</t>
        </is>
      </c>
      <c r="S4335" t="inlineStr">
        <is>
          <t>9.7</t>
        </is>
      </c>
      <c r="T4335" t="inlineStr">
        <is>
          <t>4395883298916</t>
        </is>
      </c>
    </row>
    <row r="4336" ht="87" customHeight="1">
      <c r="A4336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4336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4336" t="inlineStr">
        <is>
          <t>Diablo Tools DMAPL4040 3/16 in. x 4 in. x 6 in. Rebar Demon™ SDS-Plus 4-Cutter Full Carbide Head Hammer Bit</t>
        </is>
      </c>
      <c r="D4336" t="inlineStr">
        <is>
          <t>Diablo 1/4"x 16"x18" Rebar Demon™ SDS-Plus 4-Cutter Full Carbide Head Hammer Bit</t>
        </is>
      </c>
      <c r="E4336" s="2">
        <f>HYPERLINK("https://www.amazon.com/Diablo-DMAPL4100-SDS-Plus-4-Cutter-Carbide/dp/B089LG82VT/ref=sr_1_21?keywords=Diablo+Tools+DMAPL4040+3%2F16+in.+x+4+in.+x+6+in.+Rebar+Demon%E2%84%A2+SDS-Plus+4-Cutter+Full+Carbide+Head+Hammer+Bit&amp;qid=1694735297&amp;sr=8-21", "https://www.amazon.com/Diablo-DMAPL4100-SDS-Plus-4-Cutter-Carbide/dp/B089LG82VT/ref=sr_1_21?keywords=Diablo+Tools+DMAPL4040+3%2F16+in.+x+4+in.+x+6+in.+Rebar+Demon%E2%84%A2+SDS-Plus+4-Cutter+Full+Carbide+Head+Hammer+Bit&amp;qid=1694735297&amp;sr=8-21")</f>
        <v/>
      </c>
      <c r="F4336" t="inlineStr">
        <is>
          <t>B089LG82VT</t>
        </is>
      </c>
      <c r="G4336">
        <f>_xlfn.IMAGE("https://edmondsonsupply.com/cdn/shop/products/DMAPL4040_Main-Image20200701.png?v=1633030358")</f>
        <v/>
      </c>
      <c r="H4336">
        <f>_xlfn.IMAGE("https://m.media-amazon.com/images/I/61feUT5pRgL._AC_UL320_.jpg")</f>
        <v/>
      </c>
      <c r="K4336" t="inlineStr">
        <is>
          <t>8.47</t>
        </is>
      </c>
      <c r="L4336" t="n">
        <v>16.85</v>
      </c>
      <c r="M4336" s="1" t="inlineStr">
        <is>
          <t>98.94%</t>
        </is>
      </c>
      <c r="N4336" s="7" t="n">
        <v>-1.11</v>
      </c>
      <c r="O4336" t="n">
        <v>4.9</v>
      </c>
      <c r="P4336" t="n">
        <v>46</v>
      </c>
      <c r="R4336" t="inlineStr">
        <is>
          <t>InStock</t>
        </is>
      </c>
      <c r="S4336" t="inlineStr">
        <is>
          <t>undefined</t>
        </is>
      </c>
      <c r="T4336" t="inlineStr">
        <is>
          <t>5286740426920</t>
        </is>
      </c>
    </row>
    <row r="4337" ht="87" customHeight="1">
      <c r="A4337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337" s="2">
        <f>HYPERLINK("https://edmondsonsupply.com/products/klein-tools-et45-ac-dc-voltage-tester", "https://edmondsonsupply.com/products/klein-tools-et45-ac-dc-voltage-tester")</f>
        <v/>
      </c>
      <c r="C4337" t="inlineStr">
        <is>
          <t>Klein Tools ET45 AC/DC Voltage Tester</t>
        </is>
      </c>
      <c r="D4337" t="inlineStr">
        <is>
          <t>Klein Tools NCVT2P Dual Range, Non-Contact Voltage Tester, 12-1000V AC, Visual and Audible Indicators, Auto Power Off, Green</t>
        </is>
      </c>
      <c r="E4337" s="2">
        <f>HYPERLINK("https://www.amazon.com/Klein-Tools-NCVT2P-12-1000V-Flashing/dp/B07L5N8ZWS/ref=sr_1_9?keywords=Klein+Tools+ET45+AC%2FDC+Voltage+Tester&amp;qid=1694735227&amp;sr=8-9", "https://www.amazon.com/Klein-Tools-NCVT2P-12-1000V-Flashing/dp/B07L5N8ZWS/ref=sr_1_9?keywords=Klein+Tools+ET45+AC%2FDC+Voltage+Tester&amp;qid=1694735227&amp;sr=8-9")</f>
        <v/>
      </c>
      <c r="F4337" t="inlineStr">
        <is>
          <t>B07L5N8ZWS</t>
        </is>
      </c>
      <c r="G4337">
        <f>_xlfn.IMAGE("https://edmondsonsupply.com/cdn/shop/products/et45.jpg?v=1647786270")</f>
        <v/>
      </c>
      <c r="H4337">
        <f>_xlfn.IMAGE("https://m.media-amazon.com/images/I/51GASnKpZ1L._AC_UL320_.jpg")</f>
        <v/>
      </c>
      <c r="K4337" t="inlineStr">
        <is>
          <t>11.99</t>
        </is>
      </c>
      <c r="L4337" t="n">
        <v>23.79</v>
      </c>
      <c r="M4337" s="1" t="inlineStr">
        <is>
          <t>98.42%</t>
        </is>
      </c>
      <c r="N4337" s="7" t="n">
        <v>-1.12</v>
      </c>
      <c r="O4337" t="n">
        <v>4.7</v>
      </c>
      <c r="P4337" t="n">
        <v>638</v>
      </c>
      <c r="R4337" t="inlineStr">
        <is>
          <t>InStock</t>
        </is>
      </c>
      <c r="S4337" t="inlineStr">
        <is>
          <t>16.72</t>
        </is>
      </c>
      <c r="T4337" t="inlineStr">
        <is>
          <t>3688633630820</t>
        </is>
      </c>
    </row>
    <row r="4338" hidden="1" ht="15.75" customHeight="1">
      <c r="A4338" s="2">
        <f>HYPERLINK("https://edmondsonsupply.com/collections/electricians-tools/products/klein-tools-607-3-mini-screwdriver-3-32-inch-cabinet-tip-3-inch", "https://edmondsonsupply.com/collections/electricians-tools/products/klein-tools-607-3-mini-screwdriver-3-32-inch-cabinet-tip-3-inch")</f>
        <v/>
      </c>
      <c r="B4338" s="2">
        <f>HYPERLINK("https://edmondsonsupply.com/products/klein-tools-607-3-mini-screwdriver-3-32-inch-cabinet-tip-3-inch", "https://edmondsonsupply.com/products/klein-tools-607-3-mini-screwdriver-3-32-inch-cabinet-tip-3-inch")</f>
        <v/>
      </c>
      <c r="C4338" t="inlineStr">
        <is>
          <t>Klein Tools 607-3 Mini Screwdriver, 3/32-Inch Cabinet Tip, 3-Inch</t>
        </is>
      </c>
      <c r="D4338" t="inlineStr">
        <is>
          <t>Klein Tools 6916INS 1000V Slim Tip Insulated Screwdriver, 6-Inch Round Shank, 3/16-Inch Cabinet Tip, Cushion Grip Handle</t>
        </is>
      </c>
      <c r="E4338" s="2">
        <f>HYPERLINK("https://www.amazon.com/Klein-Tools-6916INS-Insulated-Screwdriver/dp/B089DR97MJ/ref=sr_1_17?keywords=Klein+Tools+607-3+Mini+Screwdriver%2C+3%2F32-Inch+Cabinet+Tip%2C+3-Inch&amp;qid=1694735237&amp;sr=8-17", "https://www.amazon.com/Klein-Tools-6916INS-Insulated-Screwdriver/dp/B089DR97MJ/ref=sr_1_17?keywords=Klein+Tools+607-3+Mini+Screwdriver%2C+3%2F32-Inch+Cabinet+Tip%2C+3-Inch&amp;qid=1694735237&amp;sr=8-17")</f>
        <v/>
      </c>
      <c r="F4338" t="inlineStr">
        <is>
          <t>B089DR97MJ</t>
        </is>
      </c>
      <c r="G4338">
        <f>_xludf.IMAGE("https://edmondsonsupply.com/cdn/shop/products/607-3_5e9ac034-1968-449c-957e-7d3aa01f1413.jpg?v=1633030814")</f>
        <v/>
      </c>
      <c r="H4338">
        <f>_xludf.IMAGE("https://m.media-amazon.com/images/I/41JpJG+Jh0L._AC_UL320_.jpg")</f>
        <v/>
      </c>
      <c r="K4338" t="inlineStr">
        <is>
          <t>6.99</t>
        </is>
      </c>
      <c r="L4338" t="n">
        <v>13.85</v>
      </c>
      <c r="M4338" s="1" t="inlineStr">
        <is>
          <t>98.14%</t>
        </is>
      </c>
      <c r="N4338" s="1" t="n">
        <v>-1.21</v>
      </c>
      <c r="O4338" t="n">
        <v>4.8</v>
      </c>
      <c r="P4338" t="n">
        <v>1358</v>
      </c>
      <c r="R4338" t="inlineStr">
        <is>
          <t>InStock</t>
        </is>
      </c>
      <c r="S4338" t="inlineStr">
        <is>
          <t>10.58</t>
        </is>
      </c>
      <c r="T4338" t="inlineStr">
        <is>
          <t>6068127203501</t>
        </is>
      </c>
    </row>
    <row r="4339" ht="87" customHeight="1">
      <c r="A4339" s="2">
        <f>HYPERLINK("https://edmondsonsupply.com/collections/electricians-tools/products/diablo-tools-dmamx1020", "https://edmondsonsupply.com/collections/electricians-tools/products/diablo-tools-dmamx1020")</f>
        <v/>
      </c>
      <c r="B4339" s="2">
        <f>HYPERLINK("https://edmondsonsupply.com/products/diablo-tools-dmamx1020", "https://edmondsonsupply.com/products/diablo-tools-dmamx1020")</f>
        <v/>
      </c>
      <c r="C4339" t="inlineStr">
        <is>
          <t>Diablo Tools DMAMX1020 1/2 in. x 8 in. x 13 in. Rebar Demon SDS‑Max 4‑Cutter Full Carbide Head Hammer Bit</t>
        </is>
      </c>
      <c r="D4339" t="inlineStr">
        <is>
          <t>Diablo DMAMX1110 5/8 in. x 24 in. x 29 in. Rebar Demon™ SDS-Max 4-Cutter Full Carbide Head Hammer Bit</t>
        </is>
      </c>
      <c r="E4339" s="2">
        <f>HYPERLINK("https://www.amazon.com/Diablo-SDS-Max-4-Cutter-Carbide-Hammer/dp/B089LJ9GHW/ref=sr_1_16?keywords=Diablo+Tools+DMAMX1020+1%2F2+in.+x+8+in.+x+13+in.+Rebar+Demon+SDS%E2%80%91Max+4%E2%80%91Cutter+Full+Carbide+Head+Hammer+Bit&amp;qid=1694735268&amp;sr=8-16", "https://www.amazon.com/Diablo-SDS-Max-4-Cutter-Carbide-Hammer/dp/B089LJ9GHW/ref=sr_1_16?keywords=Diablo+Tools+DMAMX1020+1%2F2+in.+x+8+in.+x+13+in.+Rebar+Demon+SDS%E2%80%91Max+4%E2%80%91Cutter+Full+Carbide+Head+Hammer+Bit&amp;qid=1694735268&amp;sr=8-16")</f>
        <v/>
      </c>
      <c r="F4339" t="inlineStr">
        <is>
          <t>B089LJ9GHW</t>
        </is>
      </c>
      <c r="G4339">
        <f>_xlfn.IMAGE("https://edmondsonsupply.com/cdn/shop/products/DMAMX1020_Main-Image20200701.png?v=1609798895")</f>
        <v/>
      </c>
      <c r="H4339">
        <f>_xlfn.IMAGE("https://m.media-amazon.com/images/I/61vWAd-z8eL._AC_UL320_.jpg")</f>
        <v/>
      </c>
      <c r="K4339" t="inlineStr">
        <is>
          <t>39.97</t>
        </is>
      </c>
      <c r="L4339" t="n">
        <v>78.98999999999999</v>
      </c>
      <c r="M4339" s="1" t="inlineStr">
        <is>
          <t>97.62%</t>
        </is>
      </c>
      <c r="N4339" s="7" t="n">
        <v>-1.25</v>
      </c>
      <c r="O4339" t="n">
        <v>4.7</v>
      </c>
      <c r="P4339" t="n">
        <v>4</v>
      </c>
      <c r="R4339" t="inlineStr">
        <is>
          <t>InStock</t>
        </is>
      </c>
      <c r="S4339" t="inlineStr">
        <is>
          <t>42.31</t>
        </is>
      </c>
      <c r="T4339" t="inlineStr">
        <is>
          <t>5463822598312</t>
        </is>
      </c>
    </row>
    <row r="4340" hidden="1" ht="15.75" customHeight="1">
      <c r="A4340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4340" s="2">
        <f>HYPERLINK("https://edmondsonsupply.com/products/klein-tools-jth9m5-5-mm-hex-key-journeyman-t-handle-9-inch", "https://edmondsonsupply.com/products/klein-tools-jth9m5-5-mm-hex-key-journeyman-t-handle-9-inch")</f>
        <v/>
      </c>
      <c r="C4340" t="inlineStr">
        <is>
          <t>Klein Tools JTH9M5 5 mm Hex Key, Journeyman T-Handle 9-Inch</t>
        </is>
      </c>
      <c r="D4340" t="inlineStr">
        <is>
          <t>Klein Tools JTH9M6 6 mm Hex Key, Journeyman T-Handle, 9-Inch</t>
        </is>
      </c>
      <c r="E4340" s="2">
        <f>HYPERLINK("https://www.amazon.com/Journeyman-T-Handle-Klein-Tools-JTH9M6/dp/B005G3HJKU/ref=sr_1_6?keywords=Klein+Tools+JTH9M5+5+mm+Hex+Key%2C+Journeyman+T-Handle+9-Inch&amp;qid=1694735207&amp;sr=8-6", "https://www.amazon.com/Journeyman-T-Handle-Klein-Tools-JTH9M6/dp/B005G3HJKU/ref=sr_1_6?keywords=Klein+Tools+JTH9M5+5+mm+Hex+Key%2C+Journeyman+T-Handle+9-Inch&amp;qid=1694735207&amp;sr=8-6")</f>
        <v/>
      </c>
      <c r="F4340" t="inlineStr">
        <is>
          <t>B005G3HJKU</t>
        </is>
      </c>
      <c r="G4340">
        <f>_xludf.IMAGE("https://edmondsonsupply.com/cdn/shop/products/jth9m_84ad507b-889a-4b5c-80a2-9633c898cd48.jpg?v=1633031048")</f>
        <v/>
      </c>
      <c r="H4340">
        <f>_xludf.IMAGE("https://m.media-amazon.com/images/I/51+1x0vz9XL._AC_UL320_.jpg")</f>
        <v/>
      </c>
      <c r="K4340" t="inlineStr">
        <is>
          <t>4.99</t>
        </is>
      </c>
      <c r="L4340" t="n">
        <v>9.84</v>
      </c>
      <c r="M4340" s="1" t="inlineStr">
        <is>
          <t>97.19%</t>
        </is>
      </c>
      <c r="N4340" s="1" t="n">
        <v>-1.52</v>
      </c>
      <c r="O4340" t="n">
        <v>4.7</v>
      </c>
      <c r="P4340" t="n">
        <v>123</v>
      </c>
      <c r="R4340" t="inlineStr">
        <is>
          <t>InStock</t>
        </is>
      </c>
      <c r="S4340" t="inlineStr">
        <is>
          <t>7.58</t>
        </is>
      </c>
      <c r="T4340" t="inlineStr">
        <is>
          <t>6772921532589</t>
        </is>
      </c>
    </row>
    <row r="4341" hidden="1" ht="15.75" customHeight="1">
      <c r="A4341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4341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4341" t="inlineStr">
        <is>
          <t>Klein Tools JTH6M3BE 3 mm Ball Hex Key Journeyman T-Handle 6-Inch</t>
        </is>
      </c>
      <c r="D4341" t="inlineStr">
        <is>
          <t>Klein Tools JTH9M6 6 mm Hex Key, Journeyman T-Handle, 9-Inch</t>
        </is>
      </c>
      <c r="E4341" s="2">
        <f>HYPERLINK("https://www.amazon.com/Journeyman-T-Handle-Klein-Tools-JTH9M6/dp/B005G3HJKU/ref=sr_1_14?keywords=Klein+Tools+JTH6M3BE+3+mm+Ball+Hex+Key+Journeyman+T-Handle+6-Inch&amp;qid=1694735145&amp;sr=8-14", "https://www.amazon.com/Journeyman-T-Handle-Klein-Tools-JTH9M6/dp/B005G3HJKU/ref=sr_1_14?keywords=Klein+Tools+JTH6M3BE+3+mm+Ball+Hex+Key+Journeyman+T-Handle+6-Inch&amp;qid=1694735145&amp;sr=8-14")</f>
        <v/>
      </c>
      <c r="F4341" t="inlineStr">
        <is>
          <t>B005G3HJKU</t>
        </is>
      </c>
      <c r="G4341">
        <f>_xludf.IMAGE("https://edmondsonsupply.com/cdn/shop/products/jth6m8be_1b0aeba1-6d03-4a46-99d8-f6853368c71f.jpg?v=1655941616")</f>
        <v/>
      </c>
      <c r="H4341">
        <f>_xludf.IMAGE("https://m.media-amazon.com/images/I/51+1x0vz9XL._AC_UL320_.jpg")</f>
        <v/>
      </c>
      <c r="K4341" t="inlineStr">
        <is>
          <t>4.99</t>
        </is>
      </c>
      <c r="L4341" t="n">
        <v>9.84</v>
      </c>
      <c r="M4341" s="1" t="inlineStr">
        <is>
          <t>97.19%</t>
        </is>
      </c>
      <c r="N4341" s="1" t="n">
        <v>-1.74</v>
      </c>
      <c r="O4341" t="n">
        <v>4.7</v>
      </c>
      <c r="P4341" t="n">
        <v>123</v>
      </c>
      <c r="R4341" t="inlineStr">
        <is>
          <t>InStock</t>
        </is>
      </c>
      <c r="S4341" t="inlineStr">
        <is>
          <t>7.56</t>
        </is>
      </c>
      <c r="T4341" t="inlineStr">
        <is>
          <t>7727600304344</t>
        </is>
      </c>
    </row>
    <row r="4342" hidden="1" ht="15.75" customHeight="1">
      <c r="A4342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4342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4342" t="inlineStr">
        <is>
          <t>Klein Tools JTH6M25BE 2.5 mm Ball Hex Key Journeyman T-Handle 6-Inch</t>
        </is>
      </c>
      <c r="D4342" t="inlineStr">
        <is>
          <t>Klein Tools JTH9M6 6 mm Hex Key, Journeyman T-Handle, 9-Inch</t>
        </is>
      </c>
      <c r="E4342" s="2">
        <f>HYPERLINK("https://www.amazon.com/Journeyman-T-Handle-Klein-Tools-JTH9M6/dp/B005G3HJKU/ref=sr_1_21?keywords=Klein+Tools+JTH6M25BE+2.5+mm+Ball+Hex+Key+Journeyman+T-Handle+6-Inch&amp;qid=1694735267&amp;sr=8-21", "https://www.amazon.com/Journeyman-T-Handle-Klein-Tools-JTH9M6/dp/B005G3HJKU/ref=sr_1_21?keywords=Klein+Tools+JTH6M25BE+2.5+mm+Ball+Hex+Key+Journeyman+T-Handle+6-Inch&amp;qid=1694735267&amp;sr=8-21")</f>
        <v/>
      </c>
      <c r="F4342" t="inlineStr">
        <is>
          <t>B005G3HJKU</t>
        </is>
      </c>
      <c r="G4342">
        <f>_xludf.IMAGE("https://edmondsonsupply.com/cdn/shop/products/jth6m8be_af5f0d75-5d0d-4973-9134-931620c84f2d.jpg?v=1633030574")</f>
        <v/>
      </c>
      <c r="H4342">
        <f>_xludf.IMAGE("https://m.media-amazon.com/images/I/51+1x0vz9XL._AC_UL320_.jpg")</f>
        <v/>
      </c>
      <c r="K4342" t="inlineStr">
        <is>
          <t>4.99</t>
        </is>
      </c>
      <c r="L4342" t="n">
        <v>9.84</v>
      </c>
      <c r="M4342" s="1" t="inlineStr">
        <is>
          <t>97.19%</t>
        </is>
      </c>
      <c r="N4342" s="1" t="n">
        <v>-1.76</v>
      </c>
      <c r="O4342" t="n">
        <v>4.7</v>
      </c>
      <c r="P4342" t="n">
        <v>123</v>
      </c>
      <c r="R4342" t="inlineStr">
        <is>
          <t>InStock</t>
        </is>
      </c>
      <c r="S4342" t="inlineStr">
        <is>
          <t>7.56</t>
        </is>
      </c>
      <c r="T4342" t="inlineStr">
        <is>
          <t>5525435973800</t>
        </is>
      </c>
    </row>
    <row r="4343" hidden="1" ht="15.75" customHeight="1">
      <c r="A4343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4343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4343" t="inlineStr">
        <is>
          <t>Klein Tools JTH6E10BE 5/32-Inch Ball Hex Key, Journeyman T-Handle 6-Inch</t>
        </is>
      </c>
      <c r="D4343" t="inlineStr">
        <is>
          <t>Klein Tools JTH9M6 6 mm Hex Key, Journeyman T-Handle, 9-Inch</t>
        </is>
      </c>
      <c r="E4343" s="2">
        <f>HYPERLINK("https://www.amazon.com/Journeyman-T-Handle-Klein-Tools-JTH9M6/dp/B005G3HJKU/ref=sr_1_18?keywords=Klein+Tools+JTH6E10BE+5%2F32-Inch+Ball+Hex+Key%2C+Journeyman+T-Handle+6-Inch&amp;qid=1694735255&amp;sr=8-18", "https://www.amazon.com/Journeyman-T-Handle-Klein-Tools-JTH9M6/dp/B005G3HJKU/ref=sr_1_18?keywords=Klein+Tools+JTH6E10BE+5%2F32-Inch+Ball+Hex+Key%2C+Journeyman+T-Handle+6-Inch&amp;qid=1694735255&amp;sr=8-18")</f>
        <v/>
      </c>
      <c r="F4343" t="inlineStr">
        <is>
          <t>B005G3HJKU</t>
        </is>
      </c>
      <c r="G4343">
        <f>_xludf.IMAGE("https://edmondsonsupply.com/cdn/shop/products/jth6e13be_363de34a-e666-474d-81cd-df9068957d9f.jpg?v=1604059577")</f>
        <v/>
      </c>
      <c r="H4343">
        <f>_xludf.IMAGE("https://m.media-amazon.com/images/I/51+1x0vz9XL._AC_UL320_.jpg")</f>
        <v/>
      </c>
      <c r="K4343" t="inlineStr">
        <is>
          <t>4.99</t>
        </is>
      </c>
      <c r="L4343" t="n">
        <v>9.84</v>
      </c>
      <c r="M4343" s="1" t="inlineStr">
        <is>
          <t>97.19%</t>
        </is>
      </c>
      <c r="N4343" s="1" t="n">
        <v>-1.77</v>
      </c>
      <c r="O4343" t="n">
        <v>4.7</v>
      </c>
      <c r="P4343" t="n">
        <v>123</v>
      </c>
      <c r="R4343" t="inlineStr">
        <is>
          <t>InStock</t>
        </is>
      </c>
      <c r="S4343" t="inlineStr">
        <is>
          <t>7.52</t>
        </is>
      </c>
      <c r="T4343" t="inlineStr">
        <is>
          <t>5999019819176</t>
        </is>
      </c>
    </row>
    <row r="4344" hidden="1" ht="15.75" customHeight="1">
      <c r="A4344" s="2">
        <f>HYPERLINK("https://edmondsonsupply.com/collections/electricians-tools/products/klein-tools-jth6m2be-2-mm-hex-key-journeyman%E2%84%A2-t-handle-6-inch", "https://edmondsonsupply.com/collections/electricians-tools/products/klein-tools-jth6m2be-2-mm-hex-key-journeyman%E2%84%A2-t-handle-6-inch")</f>
        <v/>
      </c>
      <c r="B4344" s="2">
        <f>HYPERLINK("https://edmondsonsupply.com/products/klein-tools-jth6m2be-2-mm-hex-key-journeyman%e2%84%a2-t-handle-6-inch", "https://edmondsonsupply.com/products/klein-tools-jth6m2be-2-mm-hex-key-journeyman%e2%84%a2-t-handle-6-inch")</f>
        <v/>
      </c>
      <c r="C4344" t="inlineStr">
        <is>
          <t>Klein Tools JTH6M2BE 2 mm Hex Key, Journeyman™ T-Handle, 6-Inch</t>
        </is>
      </c>
      <c r="D4344" t="inlineStr">
        <is>
          <t>Klein Tools JTH9M6 6 mm Hex Key, Journeyman T-Handle, 9-Inch</t>
        </is>
      </c>
      <c r="E4344" s="2">
        <f>HYPERLINK("https://www.amazon.com/Journeyman-T-Handle-Klein-Tools-JTH9M6/dp/B005G3HJKU/ref=sr_1_15?keywords=Klein+Tools+JTH6M2BE+2+mm+Hex+Key%2C+Journeyman%E2%84%A2+T-Handle%2C+6-Inch&amp;qid=1694735007&amp;sr=8-15", "https://www.amazon.com/Journeyman-T-Handle-Klein-Tools-JTH9M6/dp/B005G3HJKU/ref=sr_1_15?keywords=Klein+Tools+JTH6M2BE+2+mm+Hex+Key%2C+Journeyman%E2%84%A2+T-Handle%2C+6-Inch&amp;qid=1694735007&amp;sr=8-15")</f>
        <v/>
      </c>
      <c r="F4344" t="inlineStr">
        <is>
          <t>B005G3HJKU</t>
        </is>
      </c>
      <c r="G4344">
        <f>_xludf.IMAGE("https://edmondsonsupply.com/cdn/shop/products/jth6m8be_dc02c4f5-6424-4dc9-9167-b95380a96ebb.jpg?v=1679428749")</f>
        <v/>
      </c>
      <c r="H4344">
        <f>_xludf.IMAGE("https://m.media-amazon.com/images/I/51+1x0vz9XL._AC_UL320_.jpg")</f>
        <v/>
      </c>
      <c r="K4344" t="inlineStr">
        <is>
          <t>4.99</t>
        </is>
      </c>
      <c r="L4344" t="n">
        <v>9.84</v>
      </c>
      <c r="M4344" s="1" t="inlineStr">
        <is>
          <t>97.19%</t>
        </is>
      </c>
      <c r="N4344" s="1" t="n">
        <v>-1.78</v>
      </c>
      <c r="O4344" t="n">
        <v>4.7</v>
      </c>
      <c r="P4344" t="n">
        <v>123</v>
      </c>
      <c r="R4344" t="inlineStr">
        <is>
          <t>InStock</t>
        </is>
      </c>
      <c r="S4344" t="inlineStr">
        <is>
          <t>7.56</t>
        </is>
      </c>
      <c r="T4344" t="inlineStr">
        <is>
          <t>7965318480088</t>
        </is>
      </c>
    </row>
    <row r="4345" ht="87" customHeight="1">
      <c r="A4345" s="2">
        <f>HYPERLINK("https://edmondsonsupply.com/collections/electricians-tools/products/rack-a-tiers-80075-the-nut-snugger-3-4-magnetic-locknut-holder", "https://edmondsonsupply.com/collections/electricians-tools/products/rack-a-tiers-80075-the-nut-snugger-3-4-magnetic-locknut-holder")</f>
        <v/>
      </c>
      <c r="B4345" s="2">
        <f>HYPERLINK("https://edmondsonsupply.com/products/rack-a-tiers-80075-the-nut-snugger-3-4-magnetic-locknut-holder", "https://edmondsonsupply.com/products/rack-a-tiers-80075-the-nut-snugger-3-4-magnetic-locknut-holder")</f>
        <v/>
      </c>
      <c r="C4345" t="inlineStr">
        <is>
          <t>Rack-A-Tiers 80075 The Nut Snugger - 3/4" Magnetic Locknut Holder</t>
        </is>
      </c>
      <c r="D4345" t="inlineStr">
        <is>
          <t>Rack-A-Tiers Nut Snugger Kit 1ea: 1/2" &amp; 3/4" Magnetic Locknut Holder (80090)</t>
        </is>
      </c>
      <c r="E4345" s="2">
        <f>HYPERLINK("https://www.amazon.com/Rack-Tiers-Nut-Snugger-Kit/dp/B0BX4MB59Q/ref=sr_1_1?keywords=Rack-A-Tiers+80075+The+Nut+Snugger+-+3%2F4%22+Magnetic+Locknut+Holder&amp;qid=1694734979&amp;sr=8-1", "https://www.amazon.com/Rack-Tiers-Nut-Snugger-Kit/dp/B0BX4MB59Q/ref=sr_1_1?keywords=Rack-A-Tiers+80075+The+Nut+Snugger+-+3%2F4%22+Magnetic+Locknut+Holder&amp;qid=1694734979&amp;sr=8-1")</f>
        <v/>
      </c>
      <c r="F4345" t="inlineStr">
        <is>
          <t>B0BX4MB59Q</t>
        </is>
      </c>
      <c r="G4345">
        <f>_xlfn.IMAGE("https://edmondsonsupply.com/cdn/shop/products/820XX-Nut-Snugger_32ac94c2-c07d-4d16-9e48-14a49a647db8.png?v=1667152999")</f>
        <v/>
      </c>
      <c r="H4345">
        <f>_xlfn.IMAGE("https://m.media-amazon.com/images/I/31gF-2h5bgL._AC_UL320_.jpg")</f>
        <v/>
      </c>
      <c r="K4345" t="inlineStr">
        <is>
          <t>34.99</t>
        </is>
      </c>
      <c r="L4345" t="n">
        <v>68.98999999999999</v>
      </c>
      <c r="M4345" s="1" t="inlineStr">
        <is>
          <t>97.17%</t>
        </is>
      </c>
      <c r="N4345" s="7" t="n">
        <v>-1.8</v>
      </c>
      <c r="O4345" t="n">
        <v>5</v>
      </c>
      <c r="P4345" t="n">
        <v>2</v>
      </c>
      <c r="R4345" t="inlineStr">
        <is>
          <t>InStock</t>
        </is>
      </c>
      <c r="S4345" t="inlineStr">
        <is>
          <t>37.99</t>
        </is>
      </c>
      <c r="T4345" t="inlineStr">
        <is>
          <t>7871152652504</t>
        </is>
      </c>
    </row>
    <row r="4346" ht="87" customHeight="1">
      <c r="A4346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4346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4346" t="inlineStr">
        <is>
          <t>Klein Tools 646-7/16M 7/16-Inch Magnetic Tip Nut Driver 6-Inch Shaft</t>
        </is>
      </c>
      <c r="D4346" t="inlineStr">
        <is>
          <t>Klein Tools 646-7/16-INS Insulated Nut Driver, 7/16-Inch, 6-Inch Hollow Shaft, Cushion Grip Handle</t>
        </is>
      </c>
      <c r="E4346" s="2">
        <f>HYPERLINK("https://www.amazon.com/Insulated-Klein-Tools-646-7-16-INS/dp/B000MKIUWS/ref=sr_1_9?keywords=Klein+Tools+646-7%2F16M+7%2F16-Inch+Magnetic+Tip+Nut+Driver+6-Inch+Shaft&amp;qid=1694735353&amp;sr=8-9", "https://www.amazon.com/Insulated-Klein-Tools-646-7-16-INS/dp/B000MKIUWS/ref=sr_1_9?keywords=Klein+Tools+646-7%2F16M+7%2F16-Inch+Magnetic+Tip+Nut+Driver+6-Inch+Shaft&amp;qid=1694735353&amp;sr=8-9")</f>
        <v/>
      </c>
      <c r="F4346" t="inlineStr">
        <is>
          <t>B000MKIUWS</t>
        </is>
      </c>
      <c r="G4346">
        <f>_xlfn.IMAGE("https://edmondsonsupply.com/cdn/shop/products/646-5-16m_906faaaa-dd9e-40e4-bce3-8174c2b127b5.jpg?v=1587146594")</f>
        <v/>
      </c>
      <c r="H4346">
        <f>_xlfn.IMAGE("https://m.media-amazon.com/images/I/41qYaTzmnDL._AC_UL320_.jpg")</f>
        <v/>
      </c>
      <c r="K4346" t="inlineStr">
        <is>
          <t>12.99</t>
        </is>
      </c>
      <c r="L4346" t="n">
        <v>25.61</v>
      </c>
      <c r="M4346" s="1" t="inlineStr">
        <is>
          <t>97.15%</t>
        </is>
      </c>
      <c r="N4346" s="7" t="n">
        <v>-1.85</v>
      </c>
      <c r="O4346" t="n">
        <v>4.7</v>
      </c>
      <c r="P4346" t="n">
        <v>272</v>
      </c>
      <c r="R4346" t="inlineStr">
        <is>
          <t>InStock</t>
        </is>
      </c>
      <c r="S4346" t="inlineStr">
        <is>
          <t>19.74</t>
        </is>
      </c>
      <c r="T4346" t="inlineStr">
        <is>
          <t>4461840171108</t>
        </is>
      </c>
    </row>
    <row r="4347" ht="87" customHeight="1">
      <c r="A4347" s="2">
        <f>HYPERLINK("https://edmondsonsupply.com/collections/electricians-tools/products/klein-tools-5416tsr-tool-bag-bolt-bag-with-drain-holes-no-4-canvas-5-x-9-x-10-inch", "https://edmondsonsupply.com/collections/electricians-tools/products/klein-tools-5416tsr-tool-bag-bolt-bag-with-drain-holes-no-4-canvas-5-x-9-x-10-inch")</f>
        <v/>
      </c>
      <c r="B4347" s="2">
        <f>HYPERLINK("https://edmondsonsupply.com/products/klein-tools-5416tsr-tool-bag-bolt-bag-with-drain-holes-no-4-canvas-5-x-9-x-10-inch", "https://edmondsonsupply.com/products/klein-tools-5416tsr-tool-bag-bolt-bag-with-drain-holes-no-4-canvas-5-x-9-x-10-inch")</f>
        <v/>
      </c>
      <c r="C4347" t="inlineStr">
        <is>
          <t>Klein Tools 5416TSR Tool Bag, Bolt Bag with Drain Holes, No. 4 Canvas, 5 x 9 x 10-Inch</t>
        </is>
      </c>
      <c r="D4347" t="inlineStr">
        <is>
          <t>Klein Tools 5416TBR Tool Pouch, Bolt Retention Tool Bag Constructed of No. 4 Canvas with Reinforced Bottom, Tunnel Connect, 5 x 10 x 9-Inch</t>
        </is>
      </c>
      <c r="E4347" s="2">
        <f>HYPERLINK("https://www.amazon.com/Retention-10-Inch-Klein-Tools-5416TBR/dp/B06XYVMGZK/ref=sr_1_2?keywords=Klein+Tools+5416TSR+Tool+Bag%2C+Bolt+Bag+with+Drain+Holes%2C+No.+4+Canvas%2C+5+x+9+x+10-Inch&amp;qid=1694735252&amp;sr=8-2", "https://www.amazon.com/Retention-10-Inch-Klein-Tools-5416TBR/dp/B06XYVMGZK/ref=sr_1_2?keywords=Klein+Tools+5416TSR+Tool+Bag%2C+Bolt+Bag+with+Drain+Holes%2C+No.+4+Canvas%2C+5+x+9+x+10-Inch&amp;qid=1694735252&amp;sr=8-2")</f>
        <v/>
      </c>
      <c r="F4347" t="inlineStr">
        <is>
          <t>B06XYVMGZK</t>
        </is>
      </c>
      <c r="G4347">
        <f>_xlfn.IMAGE("https://edmondsonsupply.com/cdn/shop/products/5416tsr.jpg?v=1633030723")</f>
        <v/>
      </c>
      <c r="H4347">
        <f>_xlfn.IMAGE("https://m.media-amazon.com/images/I/61X7uHtI2DL._AC_UL320_.jpg")</f>
        <v/>
      </c>
      <c r="K4347" t="inlineStr">
        <is>
          <t>19.94</t>
        </is>
      </c>
      <c r="L4347" t="n">
        <v>39.29</v>
      </c>
      <c r="M4347" s="1" t="inlineStr">
        <is>
          <t>97.04%</t>
        </is>
      </c>
      <c r="N4347" s="7" t="n">
        <v>-1.94</v>
      </c>
      <c r="O4347" t="n">
        <v>4.2</v>
      </c>
      <c r="P4347" t="n">
        <v>21</v>
      </c>
      <c r="R4347" t="inlineStr">
        <is>
          <t>InStock</t>
        </is>
      </c>
      <c r="S4347" t="inlineStr">
        <is>
          <t>31.64</t>
        </is>
      </c>
      <c r="T4347" t="inlineStr">
        <is>
          <t>5867208868008</t>
        </is>
      </c>
    </row>
    <row r="4348" hidden="1" ht="15.75" customHeight="1">
      <c r="A4348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4348" s="2">
        <f>HYPERLINK("https://edmondsonsupply.com/products/klein-tools-jth6m4-4-mm-hex-with-journeyman-t-handle-6-inch", "https://edmondsonsupply.com/products/klein-tools-jth6m4-4-mm-hex-with-journeyman-t-handle-6-inch")</f>
        <v/>
      </c>
      <c r="C4348" t="inlineStr">
        <is>
          <t>Klein Tools JTH6M4 4 mm Hex with Journeyman T-Handle 6-Inch</t>
        </is>
      </c>
      <c r="D4348" t="inlineStr">
        <is>
          <t>Klein Tools JTH9M4 4 mm Hex Key with Journeyman T-Handle, 9-Inch</t>
        </is>
      </c>
      <c r="E4348" s="2">
        <f>HYPERLINK("https://www.amazon.com/Journeyman-T-Handle-Klein-Tools-JTH9M4/dp/B005G3HJ8M/ref=sr_1_4?keywords=Klein+Tools+JTH6M4+4+mm+Hex+with+Journeyman+T-Handle+6-Inch&amp;qid=1694735242&amp;sr=8-4", "https://www.amazon.com/Journeyman-T-Handle-Klein-Tools-JTH9M4/dp/B005G3HJ8M/ref=sr_1_4?keywords=Klein+Tools+JTH6M4+4+mm+Hex+with+Journeyman+T-Handle+6-Inch&amp;qid=1694735242&amp;sr=8-4")</f>
        <v/>
      </c>
      <c r="F4348" t="inlineStr">
        <is>
          <t>B005G3HJ8M</t>
        </is>
      </c>
      <c r="G4348">
        <f>_xludf.IMAGE("https://edmondsonsupply.com/cdn/shop/products/jth6m8_21839492-f844-4577-89b7-6c2cb1d02f31.jpg?v=1603052109")</f>
        <v/>
      </c>
      <c r="H4348">
        <f>_xludf.IMAGE("https://m.media-amazon.com/images/I/51+1x0vz9XL._AC_UL320_.jpg")</f>
        <v/>
      </c>
      <c r="K4348" t="inlineStr">
        <is>
          <t>3.99</t>
        </is>
      </c>
      <c r="L4348" t="n">
        <v>7.84</v>
      </c>
      <c r="M4348" s="1" t="inlineStr">
        <is>
          <t>96.49%</t>
        </is>
      </c>
      <c r="N4348" s="1" t="n">
        <v>-1.98</v>
      </c>
      <c r="O4348" t="n">
        <v>4.6</v>
      </c>
      <c r="P4348" t="n">
        <v>135</v>
      </c>
      <c r="R4348" t="inlineStr">
        <is>
          <t>InStock</t>
        </is>
      </c>
      <c r="S4348" t="inlineStr">
        <is>
          <t>6.04</t>
        </is>
      </c>
      <c r="T4348" t="inlineStr">
        <is>
          <t>5963077157032</t>
        </is>
      </c>
    </row>
    <row r="4349" ht="87" customHeight="1">
      <c r="A4349" s="2">
        <f>HYPERLINK("https://edmondsonsupply.com/collections/electricians-tools/products/greenlee-0153-42c", "https://edmondsonsupply.com/collections/electricians-tools/products/greenlee-0153-42c")</f>
        <v/>
      </c>
      <c r="B4349" s="2">
        <f>HYPERLINK("https://edmondsonsupply.com/products/greenlee-0153-42c", "https://edmondsonsupply.com/products/greenlee-0153-42c")</f>
        <v/>
      </c>
      <c r="C4349" t="inlineStr">
        <is>
          <t>Greenlee 0153-42C 6-IN-1 Multi-Tool</t>
        </is>
      </c>
      <c r="D4349" t="inlineStr">
        <is>
          <t>Greenlee Textron #0153-42C 6/1MultiBit Screwdriver</t>
        </is>
      </c>
      <c r="E4349" s="2">
        <f>HYPERLINK("https://www.amazon.com/Greenlee-Textron-0153-42C-1MultiBit-Screwdriver/dp/B077GM9HKS/ref=sr_1_6?keywords=Greenlee+0153-42C+6-IN-1+Multi-Tool&amp;qid=1694735387&amp;sr=8-6", "https://www.amazon.com/Greenlee-Textron-0153-42C-1MultiBit-Screwdriver/dp/B077GM9HKS/ref=sr_1_6?keywords=Greenlee+0153-42C+6-IN-1+Multi-Tool&amp;qid=1694735387&amp;sr=8-6")</f>
        <v/>
      </c>
      <c r="F4349" t="inlineStr">
        <is>
          <t>B077GM9HKS</t>
        </is>
      </c>
      <c r="G4349">
        <f>_xlfn.IMAGE("https://edmondsonsupply.com/cdn/shop/products/0153-42C.jpg?v=1587148802")</f>
        <v/>
      </c>
      <c r="H4349">
        <f>_xlfn.IMAGE("https://m.media-amazon.com/images/I/31hUDFibiRL._AC_UL320_.jpg")</f>
        <v/>
      </c>
      <c r="K4349" t="inlineStr">
        <is>
          <t>10.59</t>
        </is>
      </c>
      <c r="L4349" t="n">
        <v>20.79</v>
      </c>
      <c r="M4349" s="1" t="inlineStr">
        <is>
          <t>96.32%</t>
        </is>
      </c>
      <c r="N4349" s="7" t="n">
        <v>-2</v>
      </c>
      <c r="O4349" t="n">
        <v>5</v>
      </c>
      <c r="P4349" t="n">
        <v>3</v>
      </c>
      <c r="R4349" t="inlineStr">
        <is>
          <t>InStock</t>
        </is>
      </c>
      <c r="S4349" t="inlineStr">
        <is>
          <t>11.35</t>
        </is>
      </c>
      <c r="T4349" t="inlineStr">
        <is>
          <t>4412725166180</t>
        </is>
      </c>
    </row>
    <row r="4350" hidden="1" ht="15.75" customHeight="1">
      <c r="A4350" s="2">
        <f>HYPERLINK("https://edmondsonsupply.com/collections/electricians-tools/products/klein-tools-jth4e08-1-8-inch-hex-key-journeyman-t-handle-4-inch", "https://edmondsonsupply.com/collections/electricians-tools/products/klein-tools-jth4e08-1-8-inch-hex-key-journeyman-t-handle-4-inch")</f>
        <v/>
      </c>
      <c r="B4350" s="2">
        <f>HYPERLINK("https://edmondsonsupply.com/products/klein-tools-jth4e08-1-8-inch-hex-key-journeyman-t-handle-4-inch", "https://edmondsonsupply.com/products/klein-tools-jth4e08-1-8-inch-hex-key-journeyman-t-handle-4-inch")</f>
        <v/>
      </c>
      <c r="C4350" t="inlineStr">
        <is>
          <t>Klein Tools JTH4E08 1/8-Inch Hex Key, Journeyman T-Handle, 4-Inch</t>
        </is>
      </c>
      <c r="D4350" t="inlineStr">
        <is>
          <t>Klein Tools JTH9E14 5/16-Inch Hex Key, Journeyman T-Handle, 9-Inch</t>
        </is>
      </c>
      <c r="E4350" s="2">
        <f>HYPERLINK("https://www.amazon.com/Journeyman-T-Handle-Klein-Tools-JTH9E14/dp/B004QVAH4I/ref=sr_1_6?keywords=Klein+Tools+JTH4E08+1%2F8-Inch+Hex+Key%2C+Journeyman+T-Handle%2C+4-Inch&amp;qid=1694735164&amp;sr=8-6", "https://www.amazon.com/Journeyman-T-Handle-Klein-Tools-JTH9E14/dp/B004QVAH4I/ref=sr_1_6?keywords=Klein+Tools+JTH4E08+1%2F8-Inch+Hex+Key%2C+Journeyman+T-Handle%2C+4-Inch&amp;qid=1694735164&amp;sr=8-6")</f>
        <v/>
      </c>
      <c r="F4350" t="inlineStr">
        <is>
          <t>B004QVAH4I</t>
        </is>
      </c>
      <c r="G4350">
        <f>_xludf.IMAGE("https://edmondsonsupply.com/cdn/shop/products/jth4e06_0950e3ec-22b0-4cdd-acd1-822980009e67.jpg?v=1645564818")</f>
        <v/>
      </c>
      <c r="H4350">
        <f>_xludf.IMAGE("https://m.media-amazon.com/images/I/51Yb8h41vLL._AC_UL320_.jpg")</f>
        <v/>
      </c>
      <c r="K4350" t="inlineStr">
        <is>
          <t>3.79</t>
        </is>
      </c>
      <c r="L4350" t="n">
        <v>7.44</v>
      </c>
      <c r="M4350" s="1" t="inlineStr">
        <is>
          <t>96.31%</t>
        </is>
      </c>
      <c r="N4350" s="1" t="n">
        <v>-2</v>
      </c>
      <c r="O4350" t="n">
        <v>4.8</v>
      </c>
      <c r="P4350" t="n">
        <v>114</v>
      </c>
      <c r="R4350" t="inlineStr">
        <is>
          <t>InStock</t>
        </is>
      </c>
      <c r="S4350" t="inlineStr">
        <is>
          <t>5.74</t>
        </is>
      </c>
      <c r="T4350" t="inlineStr">
        <is>
          <t>7614347509976</t>
        </is>
      </c>
    </row>
    <row r="4351" hidden="1" ht="15.75" customHeight="1">
      <c r="A4351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4351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4351" t="inlineStr">
        <is>
          <t>Klein Tools JTH4E09 9/64-Inch Hex Key Journeyman T-Handle 4-Inch</t>
        </is>
      </c>
      <c r="D4351" t="inlineStr">
        <is>
          <t>Klein Tools JTH9E14 5/16-Inch Hex Key, Journeyman T-Handle, 9-Inch</t>
        </is>
      </c>
      <c r="E4351" s="2">
        <f>HYPERLINK("https://www.amazon.com/Journeyman-T-Handle-Klein-Tools-JTH9E14/dp/B004QVAH4I/ref=sr_1_6?keywords=Klein+Tools+JTH4E09+9%2F64-Inch+Hex+Key+Journeyman+T-Handle+4-Inch&amp;qid=1694735175&amp;sr=8-6", "https://www.amazon.com/Journeyman-T-Handle-Klein-Tools-JTH9E14/dp/B004QVAH4I/ref=sr_1_6?keywords=Klein+Tools+JTH4E09+9%2F64-Inch+Hex+Key+Journeyman+T-Handle+4-Inch&amp;qid=1694735175&amp;sr=8-6")</f>
        <v/>
      </c>
      <c r="F4351" t="inlineStr">
        <is>
          <t>B004QVAH4I</t>
        </is>
      </c>
      <c r="G4351">
        <f>_xludf.IMAGE("https://edmondsonsupply.com/cdn/shop/products/jth4e06_be5118a6-2e9d-44f5-81ad-c027572dd2d3.jpg?v=1635981570")</f>
        <v/>
      </c>
      <c r="H4351">
        <f>_xludf.IMAGE("https://m.media-amazon.com/images/I/51Yb8h41vLL._AC_UL320_.jpg")</f>
        <v/>
      </c>
      <c r="K4351" t="inlineStr">
        <is>
          <t>3.79</t>
        </is>
      </c>
      <c r="L4351" t="n">
        <v>7.44</v>
      </c>
      <c r="M4351" s="1" t="inlineStr">
        <is>
          <t>96.31%</t>
        </is>
      </c>
      <c r="N4351" s="1" t="n">
        <v>-2</v>
      </c>
      <c r="O4351" t="n">
        <v>4.8</v>
      </c>
      <c r="P4351" t="n">
        <v>114</v>
      </c>
      <c r="R4351" t="inlineStr">
        <is>
          <t>InStock</t>
        </is>
      </c>
      <c r="S4351" t="inlineStr">
        <is>
          <t>5.76</t>
        </is>
      </c>
      <c r="T4351" t="inlineStr">
        <is>
          <t>7434795876568</t>
        </is>
      </c>
    </row>
    <row r="4352" ht="87" customHeight="1">
      <c r="A4352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4352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4352" t="inlineStr">
        <is>
          <t>Milwaukee 48-59-1812 M18™ &amp; M12™ Multi-Voltage Charger</t>
        </is>
      </c>
      <c r="D4352" t="inlineStr">
        <is>
          <t>Milwaukee 48-59-1850 M18 RED LITHIUM XC 5.0 Ah Batteries (2) + 48-59-1812 M12 and M18 Multi Voltage Charger kit</t>
        </is>
      </c>
      <c r="E4352" s="2">
        <f>HYPERLINK("https://www.amazon.com/Milwaukee-48-59-1850-LITHIUM-Batteries-48-59-1812/dp/B015GOE7B2/ref=sr_1_7?keywords=Milwaukee+48-59-1812+M18%E2%84%A2+%26+M12%E2%84%A2+Multi-Voltage+Charger&amp;qid=1694735141&amp;sr=8-7", "https://www.amazon.com/Milwaukee-48-59-1850-LITHIUM-Batteries-48-59-1812/dp/B015GOE7B2/ref=sr_1_7?keywords=Milwaukee+48-59-1812+M18%E2%84%A2+%26+M12%E2%84%A2+Multi-Voltage+Charger&amp;qid=1694735141&amp;sr=8-7")</f>
        <v/>
      </c>
      <c r="F4352" t="inlineStr">
        <is>
          <t>B015GOE7B2</t>
        </is>
      </c>
      <c r="G4352">
        <f>_xlfn.IMAGE("https://edmondsonsupply.com/cdn/shop/products/60113_48-59-1812_3-lg.webp?v=1656530513")</f>
        <v/>
      </c>
      <c r="H4352">
        <f>_xlfn.IMAGE("https://m.media-amazon.com/images/I/81vOom9f67L._AC_UL320_.jpg")</f>
        <v/>
      </c>
      <c r="K4352" t="inlineStr">
        <is>
          <t>79.0</t>
        </is>
      </c>
      <c r="L4352" t="n">
        <v>154.99</v>
      </c>
      <c r="M4352" s="1" t="inlineStr">
        <is>
          <t>96.19%</t>
        </is>
      </c>
      <c r="N4352" s="7" t="n">
        <v>-2.02</v>
      </c>
      <c r="O4352" t="n">
        <v>4.7</v>
      </c>
      <c r="P4352" t="n">
        <v>733</v>
      </c>
      <c r="R4352" t="inlineStr">
        <is>
          <t>InStock</t>
        </is>
      </c>
      <c r="S4352" t="inlineStr">
        <is>
          <t>126.0</t>
        </is>
      </c>
      <c r="T4352" t="inlineStr">
        <is>
          <t>7733079343320</t>
        </is>
      </c>
    </row>
    <row r="4353" ht="87" customHeight="1">
      <c r="A4353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353" s="2">
        <f>HYPERLINK("https://edmondsonsupply.com/products/klein-tools-d203-8-pliers-long-nose-side-cutters-8-inch", "https://edmondsonsupply.com/products/klein-tools-d203-8-pliers-long-nose-side-cutters-8-inch")</f>
        <v/>
      </c>
      <c r="C4353" t="inlineStr">
        <is>
          <t>Klein Tools D203-8 Pliers, Needle Nose Side-Cutters, 8-Inch</t>
        </is>
      </c>
      <c r="D4353" t="inlineStr">
        <is>
          <t>Klein Tools D228-8 Pliers, Diagonal Cutting Pliers with Short Jaw and Beveled Knives &amp; D203-8 Needle Nose Pliers, Long Nose Side Cutters, Alligator Pliers</t>
        </is>
      </c>
      <c r="E4353" s="2">
        <f>HYPERLINK("https://www.amazon.com/Klein-Tools-Diagonal-Cutting-Alligator/dp/B0CF2F4HDM/ref=sr_1_2?keywords=Klein+Tools+D203-8+Pliers%2C+Needle+Nose+Side-Cutters%2C+8-Inch&amp;qid=1694735240&amp;sr=8-2", "https://www.amazon.com/Klein-Tools-Diagonal-Cutting-Alligator/dp/B0CF2F4HDM/ref=sr_1_2?keywords=Klein+Tools+D203-8+Pliers%2C+Needle+Nose+Side-Cutters%2C+8-Inch&amp;qid=1694735240&amp;sr=8-2")</f>
        <v/>
      </c>
      <c r="F4353" t="inlineStr">
        <is>
          <t>B0CF2F4HDM</t>
        </is>
      </c>
      <c r="G4353">
        <f>_xlfn.IMAGE("https://edmondsonsupply.com/cdn/shop/products/d2038.jpg?v=1633030802")</f>
        <v/>
      </c>
      <c r="H4353">
        <f>_xlfn.IMAGE("https://m.media-amazon.com/images/I/41nFqMtB49L._AC_UL320_.jpg")</f>
        <v/>
      </c>
      <c r="K4353" t="inlineStr">
        <is>
          <t>29.97</t>
        </is>
      </c>
      <c r="L4353" t="n">
        <v>58.71</v>
      </c>
      <c r="M4353" s="1" t="inlineStr">
        <is>
          <t>95.90%</t>
        </is>
      </c>
      <c r="N4353" s="7" t="n">
        <v>-2.06</v>
      </c>
      <c r="O4353" t="n">
        <v>4.8</v>
      </c>
      <c r="P4353" t="n">
        <v>2872</v>
      </c>
      <c r="R4353" t="inlineStr">
        <is>
          <t>InStock</t>
        </is>
      </c>
      <c r="S4353" t="inlineStr">
        <is>
          <t>44.84</t>
        </is>
      </c>
      <c r="T4353" t="inlineStr">
        <is>
          <t>6005724577960</t>
        </is>
      </c>
    </row>
    <row r="4354" ht="87" customHeight="1">
      <c r="A4354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354" s="2">
        <f>HYPERLINK("https://edmondsonsupply.com/products/klein-tools-d203-8-pliers-long-nose-side-cutters-8-inch", "https://edmondsonsupply.com/products/klein-tools-d203-8-pliers-long-nose-side-cutters-8-inch")</f>
        <v/>
      </c>
      <c r="C4354" t="inlineStr">
        <is>
          <t>Klein Tools D203-8 Pliers, Needle Nose Side-Cutters, 8-Inch</t>
        </is>
      </c>
      <c r="D4354" t="inlineStr">
        <is>
          <t>Klein Tools 1005 Cutting/Crimping Tool for 10-22 AWG Terminals and Connectors &amp; D203-8 Needle Nose Pliers, Long Nose Side Cutters, Alligator Pliers</t>
        </is>
      </c>
      <c r="E4354" s="2">
        <f>HYPERLINK("https://www.amazon.com/Klein-Tools-Terminals-Connectors-Alligator/dp/B0CF2BV17C/ref=sr_1_12?keywords=Klein+Tools+D203-8+Pliers%2C+Needle+Nose+Side-Cutters%2C+8-Inch&amp;qid=1694735240&amp;sr=8-12", "https://www.amazon.com/Klein-Tools-Terminals-Connectors-Alligator/dp/B0CF2BV17C/ref=sr_1_12?keywords=Klein+Tools+D203-8+Pliers%2C+Needle+Nose+Side-Cutters%2C+8-Inch&amp;qid=1694735240&amp;sr=8-12")</f>
        <v/>
      </c>
      <c r="F4354" t="inlineStr">
        <is>
          <t>B0CF2BV17C</t>
        </is>
      </c>
      <c r="G4354">
        <f>_xlfn.IMAGE("https://edmondsonsupply.com/cdn/shop/products/d2038.jpg?v=1633030802")</f>
        <v/>
      </c>
      <c r="H4354">
        <f>_xlfn.IMAGE("https://m.media-amazon.com/images/I/31fubWWc9qL._AC_UL320_.jpg")</f>
        <v/>
      </c>
      <c r="K4354" t="inlineStr">
        <is>
          <t>29.97</t>
        </is>
      </c>
      <c r="L4354" t="n">
        <v>58.71</v>
      </c>
      <c r="M4354" s="1" t="inlineStr">
        <is>
          <t>95.90%</t>
        </is>
      </c>
      <c r="N4354" s="7" t="n">
        <v>-2.06</v>
      </c>
      <c r="O4354" t="n">
        <v>4.9</v>
      </c>
      <c r="P4354" t="n">
        <v>3897</v>
      </c>
      <c r="R4354" t="inlineStr">
        <is>
          <t>InStock</t>
        </is>
      </c>
      <c r="S4354" t="inlineStr">
        <is>
          <t>44.84</t>
        </is>
      </c>
      <c r="T4354" t="inlineStr">
        <is>
          <t>6005724577960</t>
        </is>
      </c>
    </row>
    <row r="4355" ht="87" customHeight="1">
      <c r="A4355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4355" s="2">
        <f>HYPERLINK("https://edmondsonsupply.com/products/klein-tools-31944-bi-metal-hole-saw-2-3-4-inch", "https://edmondsonsupply.com/products/klein-tools-31944-bi-metal-hole-saw-2-3-4-inch")</f>
        <v/>
      </c>
      <c r="C4355" t="inlineStr">
        <is>
          <t>Klein Tools 31944 Bi-Metal Hole Saw, 2-3/4-Inch</t>
        </is>
      </c>
      <c r="D4355" t="inlineStr">
        <is>
          <t>LENOX Tools Hole Saw, Bi-Metal, Speed Slot, Arbored, 2-1/2-Inch (1772954)</t>
        </is>
      </c>
      <c r="E4355" s="2">
        <f>HYPERLINK("https://www.amazon.com/LENOX-Tools-Bi-Metal-Arbored-Technology/dp/B004YK5DHW/ref=sr_1_10?keywords=Klein+Tools+31944+Bi-Metal+Hole+Saw%2C+2-3%2F4-Inch&amp;qid=1694735356&amp;sr=8-10", "https://www.amazon.com/LENOX-Tools-Bi-Metal-Arbored-Technology/dp/B004YK5DHW/ref=sr_1_10?keywords=Klein+Tools+31944+Bi-Metal+Hole+Saw%2C+2-3%2F4-Inch&amp;qid=1694735356&amp;sr=8-10")</f>
        <v/>
      </c>
      <c r="F4355" t="inlineStr">
        <is>
          <t>B004YK5DHW</t>
        </is>
      </c>
      <c r="G4355">
        <f>_xlfn.IMAGE("https://edmondsonsupply.com/cdn/shop/products/31944.jpg?v=1587150512")</f>
        <v/>
      </c>
      <c r="H4355">
        <f>_xlfn.IMAGE("https://m.media-amazon.com/images/I/71OOVEuCxtL._AC_UL320_.jpg")</f>
        <v/>
      </c>
      <c r="K4355" t="inlineStr">
        <is>
          <t>12.99</t>
        </is>
      </c>
      <c r="L4355" t="n">
        <v>25.44</v>
      </c>
      <c r="M4355" s="1" t="inlineStr">
        <is>
          <t>95.84%</t>
        </is>
      </c>
      <c r="N4355" s="7" t="n">
        <v>-2.07</v>
      </c>
      <c r="O4355" t="n">
        <v>4.7</v>
      </c>
      <c r="P4355" t="n">
        <v>517</v>
      </c>
      <c r="R4355" t="inlineStr">
        <is>
          <t>InStock</t>
        </is>
      </c>
      <c r="S4355" t="inlineStr">
        <is>
          <t>18.24</t>
        </is>
      </c>
      <c r="T4355" t="inlineStr">
        <is>
          <t>4433553326180</t>
        </is>
      </c>
    </row>
    <row r="4356" hidden="1" ht="15.75" customHeight="1">
      <c r="A4356" s="2">
        <f>HYPERLINK("https://edmondsonsupply.com/collections/electricians-tools/products/diablo-tools-dmamx1090-5-8", "https://edmondsonsupply.com/collections/electricians-tools/products/diablo-tools-dmamx1090-5-8")</f>
        <v/>
      </c>
      <c r="B4356" s="2">
        <f>HYPERLINK("https://edmondsonsupply.com/products/diablo-tools-dmamx1090-5-8", "https://edmondsonsupply.com/products/diablo-tools-dmamx1090-5-8")</f>
        <v/>
      </c>
      <c r="C4356" t="inlineStr">
        <is>
          <t>Diablo Tools DMAMX1090 5/8 in. x 8 in. x 13 in. Rebar Demon SDS‑Max 4‑Cutter Full Carbide Head Hammer Bit</t>
        </is>
      </c>
      <c r="D4356" t="inlineStr">
        <is>
          <t>Diablo by Freud DMAMX1120 5/8 in. x 31 in. x 36 in. Rebar Demon SDS-Max 4-Cutter Full Carbide Head Hammer Bit</t>
        </is>
      </c>
      <c r="E4356" s="2">
        <f>HYPERLINK("https://www.amazon.com/Diablo-SDS-Max-4-Cutter-Carbide-Hammer/dp/B089LJFH3C/ref=sr_1_6?keywords=Diablo+Tools+DMAMX1090+5%2F8+in.+x+8+in.+x+13+in.+Rebar+Demon+SDS%E2%80%91Max+4%E2%80%91Cutter+Full+Carbide+Head+Hammer+Bit&amp;qid=1694735267&amp;sr=8-6", "https://www.amazon.com/Diablo-SDS-Max-4-Cutter-Carbide-Hammer/dp/B089LJFH3C/ref=sr_1_6?keywords=Diablo+Tools+DMAMX1090+5%2F8+in.+x+8+in.+x+13+in.+Rebar+Demon+SDS%E2%80%91Max+4%E2%80%91Cutter+Full+Carbide+Head+Hammer+Bit&amp;qid=1694735267&amp;sr=8-6")</f>
        <v/>
      </c>
      <c r="F4356" t="inlineStr">
        <is>
          <t>B089LJFH3C</t>
        </is>
      </c>
      <c r="G4356">
        <f>_xludf.IMAGE("https://edmondsonsupply.com/cdn/shop/products/DMAMX1090_Main-Image20200701.png?v=1609799247")</f>
        <v/>
      </c>
      <c r="H4356">
        <f>_xludf.IMAGE("https://m.media-amazon.com/images/I/615ffyRtaAL._AC_UL320_.jpg")</f>
        <v/>
      </c>
      <c r="K4356" t="inlineStr">
        <is>
          <t>41.97</t>
        </is>
      </c>
      <c r="L4356" t="n">
        <v>82.18000000000001</v>
      </c>
      <c r="M4356" s="1" t="inlineStr">
        <is>
          <t>95.81%</t>
        </is>
      </c>
      <c r="N4356" s="1" t="n">
        <v>-2.1</v>
      </c>
      <c r="O4356" t="n">
        <v>3.9</v>
      </c>
      <c r="P4356" t="n">
        <v>4</v>
      </c>
      <c r="R4356" t="inlineStr">
        <is>
          <t>InStock</t>
        </is>
      </c>
      <c r="S4356" t="inlineStr">
        <is>
          <t>48.13</t>
        </is>
      </c>
      <c r="T4356" t="inlineStr">
        <is>
          <t>5463856447656</t>
        </is>
      </c>
    </row>
    <row r="4357" ht="87" customHeight="1">
      <c r="A4357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357" s="2">
        <f>HYPERLINK("https://edmondsonsupply.com/products/klein-tools-11057-klein-kurve%c2%ae-wire-stripper-and-cutter", "https://edmondsonsupply.com/products/klein-tools-11057-klein-kurve%c2%ae-wire-stripper-and-cutter")</f>
        <v/>
      </c>
      <c r="C4357" t="inlineStr">
        <is>
          <t>Klein Tools 11057 Klein-Kurve® Wire Stripper and Cutter</t>
        </is>
      </c>
      <c r="D4357" t="inlineStr">
        <is>
          <t>Klein Tools 11055 Wire Cutter and Wire Stripper, Stranded Wire Cutter &amp; Klein Tools 11057 Wire Cutter/Wire Stripper, Heavy Duty Wire Cutter Stripper</t>
        </is>
      </c>
      <c r="E4357" s="2">
        <f>HYPERLINK("https://www.amazon.com/Klein-Tools-Cutter-Stripper-Stranded/dp/B0B68N3C66/ref=sr_1_8?keywords=Klein+Tools+11057+Klein-Kurve%C2%AE+Wire+Stripper+and+Cutter&amp;qid=1694735357&amp;sr=8-8", "https://www.amazon.com/Klein-Tools-Cutter-Stripper-Stranded/dp/B0B68N3C66/ref=sr_1_8?keywords=Klein+Tools+11057+Klein-Kurve%C2%AE+Wire+Stripper+and+Cutter&amp;qid=1694735357&amp;sr=8-8")</f>
        <v/>
      </c>
      <c r="F4357" t="inlineStr">
        <is>
          <t>B0B68N3C66</t>
        </is>
      </c>
      <c r="G4357">
        <f>_xlfn.IMAGE("https://edmondsonsupply.com/cdn/shop/products/11057.jpg?v=1587146927")</f>
        <v/>
      </c>
      <c r="H4357">
        <f>_xlfn.IMAGE("https://m.media-amazon.com/images/I/61UHDLA7rHL._AC_UL320_.jpg")</f>
        <v/>
      </c>
      <c r="K4357" t="inlineStr">
        <is>
          <t>20.97</t>
        </is>
      </c>
      <c r="L4357" t="n">
        <v>40.96</v>
      </c>
      <c r="M4357" s="1" t="inlineStr">
        <is>
          <t>95.33%</t>
        </is>
      </c>
      <c r="N4357" s="7" t="n">
        <v>-2.16</v>
      </c>
      <c r="O4357" t="n">
        <v>5</v>
      </c>
      <c r="P4357" t="n">
        <v>14</v>
      </c>
      <c r="R4357" t="inlineStr">
        <is>
          <t>InStock</t>
        </is>
      </c>
      <c r="S4357" t="inlineStr">
        <is>
          <t>32.72</t>
        </is>
      </c>
      <c r="T4357" t="inlineStr">
        <is>
          <t>4455254720612</t>
        </is>
      </c>
    </row>
    <row r="4358" ht="87" customHeight="1">
      <c r="A4358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4358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4358" t="inlineStr">
        <is>
          <t>Klein Tools K11095 Klein-Kurve® Wire Stripper / Cutter, 8-20 AWG</t>
        </is>
      </c>
      <c r="D4358" t="inlineStr">
        <is>
          <t>Klein Tools 11053 Klein-Kurve Wire Stripper and Cutter for 6-12 AWG Stranded Wire, 7-1/8-Inch &amp; 11055 Wire Cutter and Wire Stripper, Stranded Wire Cutter, Solid Wire Cutter, Cuts Copper Wire</t>
        </is>
      </c>
      <c r="E4358" s="2">
        <f>HYPERLINK("https://www.amazon.com/Klein-Tools-Klein-Kurve-Stripper-Stranded/dp/B0BHVPT335/ref=sr_1_15?keywords=Klein+Tools+K11095+Klein-Kurve%C2%AE+Wire+Stripper+%2F+Cutter%2C+8-20+AWG&amp;qid=1694735132&amp;sr=8-15", "https://www.amazon.com/Klein-Tools-Klein-Kurve-Stripper-Stranded/dp/B0BHVPT335/ref=sr_1_15?keywords=Klein+Tools+K11095+Klein-Kurve%C2%AE+Wire+Stripper+%2F+Cutter%2C+8-20+AWG&amp;qid=1694735132&amp;sr=8-15")</f>
        <v/>
      </c>
      <c r="F4358" t="inlineStr">
        <is>
          <t>B0BHVPT335</t>
        </is>
      </c>
      <c r="G4358">
        <f>_xlfn.IMAGE("https://edmondsonsupply.com/cdn/shop/products/k11095_b_front_vertical.jpg?v=1661364611")</f>
        <v/>
      </c>
      <c r="H4358">
        <f>_xlfn.IMAGE("https://m.media-amazon.com/images/I/41+jddPUDML._AC_UL320_.jpg")</f>
        <v/>
      </c>
      <c r="K4358" t="inlineStr">
        <is>
          <t>20.97</t>
        </is>
      </c>
      <c r="L4358" t="n">
        <v>40.96</v>
      </c>
      <c r="M4358" s="1" t="inlineStr">
        <is>
          <t>95.33%</t>
        </is>
      </c>
      <c r="N4358" s="7" t="n">
        <v>-2.16</v>
      </c>
      <c r="O4358" t="n">
        <v>4.5</v>
      </c>
      <c r="P4358" t="n">
        <v>2</v>
      </c>
      <c r="R4358" t="inlineStr">
        <is>
          <t>InStock</t>
        </is>
      </c>
      <c r="S4358" t="inlineStr">
        <is>
          <t>29.38</t>
        </is>
      </c>
      <c r="T4358" t="inlineStr">
        <is>
          <t>7793145315544</t>
        </is>
      </c>
    </row>
    <row r="4359" ht="87" customHeight="1">
      <c r="A4359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4359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4359" t="inlineStr">
        <is>
          <t>Diablo Tools DMAPL4230 5/8 in. x 10 in. x 12 in. Rebar Demon™ SDS‑Plus 4‑Cutter Full Carbide Head Hammer Bit</t>
        </is>
      </c>
      <c r="D4359" t="inlineStr">
        <is>
          <t>Diablo by Freud DMAMX1090 5/8 in. x 8 in. x 13 in. Rebar Demon SDS-Max 4-Cutter Full Carbide Head Hammer Bit</t>
        </is>
      </c>
      <c r="E4359" s="2">
        <f>HYPERLINK("https://www.amazon.com/Diablo-SDS-Max-4-Cutter-Carbide-Hammer/dp/B089LGB35P/ref=sr_1_24?keywords=Diablo+Tools+DMAPL4230+5%2F8+in.+x+10+in.+x+12+in.+Rebar+Demon%E2%84%A2+SDS%E2%80%91Plus+4%E2%80%91Cutter+Full+Carbide+Head+Hammer+Bit&amp;qid=1694735289&amp;sr=8-24", "https://www.amazon.com/Diablo-SDS-Max-4-Cutter-Carbide-Hammer/dp/B089LGB35P/ref=sr_1_24?keywords=Diablo+Tools+DMAPL4230+5%2F8+in.+x+10+in.+x+12+in.+Rebar+Demon%E2%84%A2+SDS%E2%80%91Plus+4%E2%80%91Cutter+Full+Carbide+Head+Hammer+Bit&amp;qid=1694735289&amp;sr=8-24")</f>
        <v/>
      </c>
      <c r="F4359" t="inlineStr">
        <is>
          <t>B089LGB35P</t>
        </is>
      </c>
      <c r="G4359">
        <f>_xlfn.IMAGE("https://edmondsonsupply.com/cdn/shop/products/DMAPL4230_Main-Image20200701.png?v=1633030428")</f>
        <v/>
      </c>
      <c r="H4359">
        <f>_xlfn.IMAGE("https://m.media-amazon.com/images/I/61Wr1t8FMOL._AC_UL320_.jpg")</f>
        <v/>
      </c>
      <c r="K4359" t="inlineStr">
        <is>
          <t>17.97</t>
        </is>
      </c>
      <c r="L4359" t="n">
        <v>35.1</v>
      </c>
      <c r="M4359" s="1" t="inlineStr">
        <is>
          <t>95.33%</t>
        </is>
      </c>
      <c r="N4359" s="7" t="n">
        <v>-2.24</v>
      </c>
      <c r="O4359" t="n">
        <v>4.2</v>
      </c>
      <c r="P4359" t="n">
        <v>5</v>
      </c>
      <c r="R4359" t="inlineStr">
        <is>
          <t>InStock</t>
        </is>
      </c>
      <c r="S4359" t="inlineStr">
        <is>
          <t>27.18</t>
        </is>
      </c>
      <c r="T4359" t="inlineStr">
        <is>
          <t>5326959476904</t>
        </is>
      </c>
    </row>
    <row r="4360" ht="87" customHeight="1">
      <c r="A4360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360" s="2">
        <f>HYPERLINK("https://edmondsonsupply.com/products/klein-tools-ncvt1xt-non-contact-voltage-tester-70-to-1000v-ac", "https://edmondsonsupply.com/products/klein-tools-ncvt1xt-non-contact-voltage-tester-70-to-1000v-ac")</f>
        <v/>
      </c>
      <c r="C4360" t="inlineStr">
        <is>
          <t>Klein Tools NCVT1XT Non-Contact Voltage Tester, 70 to 1000V AC</t>
        </is>
      </c>
      <c r="D4360" t="inlineStr">
        <is>
          <t>Klein Tools NCVT-3 Voltage Tester, Non-Contact Dual Range Voltage Tester Pen for AC Testing with Integrated Flashlight</t>
        </is>
      </c>
      <c r="E4360" s="2">
        <f>HYPERLINK("https://www.amazon.com/Non-Contact-Voltage-Flashlight-Klein-Tools/dp/B00XJQ9ZE4/ref=sr_1_18?keywords=Klein+Tools+NCVT1XT+Non-Contact+Voltage+Tester%2C+70+to+1000V+AC&amp;qid=1694735046&amp;sr=8-18", "https://www.amazon.com/Non-Contact-Voltage-Flashlight-Klein-Tools/dp/B00XJQ9ZE4/ref=sr_1_18?keywords=Klein+Tools+NCVT1XT+Non-Contact+Voltage+Tester%2C+70+to+1000V+AC&amp;qid=1694735046&amp;sr=8-18")</f>
        <v/>
      </c>
      <c r="F4360" t="inlineStr">
        <is>
          <t>B00XJQ9ZE4</t>
        </is>
      </c>
      <c r="G4360">
        <f>_xlfn.IMAGE("https://edmondsonsupply.com/cdn/shop/products/ncvt1xt.jpg?v=1674496568")</f>
        <v/>
      </c>
      <c r="H4360">
        <f>_xlfn.IMAGE("https://m.media-amazon.com/images/I/51dcyyMwUjL._AC_UL320_.jpg")</f>
        <v/>
      </c>
      <c r="K4360" t="inlineStr">
        <is>
          <t>19.97</t>
        </is>
      </c>
      <c r="L4360" t="n">
        <v>38.99</v>
      </c>
      <c r="M4360" s="1" t="inlineStr">
        <is>
          <t>95.24%</t>
        </is>
      </c>
      <c r="N4360" s="7" t="n">
        <v>-2.26</v>
      </c>
      <c r="O4360" t="n">
        <v>4.5</v>
      </c>
      <c r="P4360" t="n">
        <v>1679</v>
      </c>
      <c r="R4360" t="inlineStr">
        <is>
          <t>InStock</t>
        </is>
      </c>
      <c r="S4360" t="inlineStr">
        <is>
          <t>26.32</t>
        </is>
      </c>
      <c r="T4360" t="inlineStr">
        <is>
          <t>7931947155672</t>
        </is>
      </c>
    </row>
    <row r="4361" hidden="1" ht="15.75" customHeight="1">
      <c r="A4361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4361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4361" t="inlineStr">
        <is>
          <t>Diablo Tools DMARG1120 3/8 in. x 4 in. x 6 in. SPEEDemon™ Red Granite Carbide Tipped Hammer Drill Bit</t>
        </is>
      </c>
      <c r="D4361" t="inlineStr">
        <is>
          <t>Diablo DMARG1130 3/8 in. x 10 in. x 12 in. SPEEDemon™ Red Granite Carbide Tipped Hammer Drill Bit</t>
        </is>
      </c>
      <c r="E4361" s="2">
        <f>HYPERLINK("https://www.amazon.com/Diablo-DMARG1130-SPEEDemon-Granite-Carbide/dp/B089LKXD73/ref=sr_1_10?keywords=Diablo+Tools+DMARG1120+3%2F8+in.+x+4+in.+x+6+in.+SPEEDemon%E2%84%A2+Red+Granite+Carbide+Tipped+Hammer+Drill+Bit&amp;qid=1694735289&amp;sr=8-10", "https://www.amazon.com/Diablo-DMARG1130-SPEEDemon-Granite-Carbide/dp/B089LKXD73/ref=sr_1_10?keywords=Diablo+Tools+DMARG1120+3%2F8+in.+x+4+in.+x+6+in.+SPEEDemon%E2%84%A2+Red+Granite+Carbide+Tipped+Hammer+Drill+Bit&amp;qid=1694735289&amp;sr=8-10")</f>
        <v/>
      </c>
      <c r="F4361" t="inlineStr">
        <is>
          <t>B089LKXD73</t>
        </is>
      </c>
      <c r="G4361">
        <f>_xludf.IMAGE("https://edmondsonsupply.com/cdn/shop/products/DMARG1120_Main-Image20200513.png?v=1633030510")</f>
        <v/>
      </c>
      <c r="H4361">
        <f>_xludf.IMAGE("https://m.media-amazon.com/images/I/61atP0vUShL._AC_UL320_.jpg")</f>
        <v/>
      </c>
      <c r="K4361" t="inlineStr">
        <is>
          <t>7.27</t>
        </is>
      </c>
      <c r="L4361" t="n">
        <v>14.19</v>
      </c>
      <c r="M4361" s="1" t="inlineStr">
        <is>
          <t>95.19%</t>
        </is>
      </c>
      <c r="N4361" s="1" t="n">
        <v>-2.32</v>
      </c>
      <c r="O4361" t="n">
        <v>4.8</v>
      </c>
      <c r="P4361" t="n">
        <v>11</v>
      </c>
      <c r="R4361" t="inlineStr">
        <is>
          <t>InStock</t>
        </is>
      </c>
      <c r="S4361" t="inlineStr">
        <is>
          <t>undefined</t>
        </is>
      </c>
      <c r="T4361" t="inlineStr">
        <is>
          <t>5386498834600</t>
        </is>
      </c>
    </row>
    <row r="4362" ht="87" customHeight="1">
      <c r="A4362" s="2">
        <f>HYPERLINK("https://edmondsonsupply.com/collections/electricians-tools/products/klein-tools-65129-2-in-1-nut-driver-hex-head-slide-drive%E2%84%A2-6-inch", "https://edmondsonsupply.com/collections/electricians-tools/products/klein-tools-65129-2-in-1-nut-driver-hex-head-slide-drive%E2%84%A2-6-inch")</f>
        <v/>
      </c>
      <c r="B4362" s="2">
        <f>HYPERLINK("https://edmondsonsupply.com/products/klein-tools-65129-2-in-1-nut-driver-hex-head-slide-drive%e2%84%a2-6-inch", "https://edmondsonsupply.com/products/klein-tools-65129-2-in-1-nut-driver-hex-head-slide-drive%e2%84%a2-6-inch")</f>
        <v/>
      </c>
      <c r="C4362" t="inlineStr">
        <is>
          <t>Klein Tools 65129 2-in-1 Nut Driver, Hex Head Slide Drive™, 6-Inch</t>
        </is>
      </c>
      <c r="D4362" t="inlineStr">
        <is>
          <t>Klein Tools 32596 Multi-Bit Screwdriver/Nut Driver, 8-in-1 HVAC Slide Drive Tool with Magnetic Hex, Phillips, Schrader Bits.</t>
        </is>
      </c>
      <c r="E4362" s="2">
        <f>HYPERLINK("https://www.amazon.com/Screwdriver-Driver-Klein-Tools-32596/dp/B073R7RT1V/ref=sr_1_5?keywords=Klein+Tools+65129+2-in-1+Nut+Driver%2C+Hex+Head+Slide+Drive%E2%84%A2%2C+6-Inch&amp;qid=1694735118&amp;sr=8-5", "https://www.amazon.com/Screwdriver-Driver-Klein-Tools-32596/dp/B073R7RT1V/ref=sr_1_5?keywords=Klein+Tools+65129+2-in-1+Nut+Driver%2C+Hex+Head+Slide+Drive%E2%84%A2%2C+6-Inch&amp;qid=1694735118&amp;sr=8-5")</f>
        <v/>
      </c>
      <c r="F4362" t="inlineStr">
        <is>
          <t>B073R7RT1V</t>
        </is>
      </c>
      <c r="G4362">
        <f>_xlfn.IMAGE("https://edmondsonsupply.com/cdn/shop/products/65129.jpg?v=1664459800")</f>
        <v/>
      </c>
      <c r="H4362">
        <f>_xlfn.IMAGE("https://m.media-amazon.com/images/I/51mrDa5uZYL._AC_UL320_.jpg")</f>
        <v/>
      </c>
      <c r="K4362" t="inlineStr">
        <is>
          <t>19.97</t>
        </is>
      </c>
      <c r="L4362" t="n">
        <v>38.96</v>
      </c>
      <c r="M4362" s="1" t="inlineStr">
        <is>
          <t>95.09%</t>
        </is>
      </c>
      <c r="N4362" s="7" t="n">
        <v>-2.4</v>
      </c>
      <c r="O4362" t="n">
        <v>4.8</v>
      </c>
      <c r="P4362" t="n">
        <v>2259</v>
      </c>
      <c r="R4362" t="inlineStr">
        <is>
          <t>InStock</t>
        </is>
      </c>
      <c r="S4362" t="inlineStr">
        <is>
          <t>31.06</t>
        </is>
      </c>
      <c r="T4362" t="inlineStr">
        <is>
          <t>7833473155288</t>
        </is>
      </c>
    </row>
    <row r="4363" ht="87" customHeight="1">
      <c r="A4363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4363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4363" t="inlineStr">
        <is>
          <t>Klein Tools 32801 5-in-1 Multi-Bit Screwdriver / Nut Driver, Heavy Duty</t>
        </is>
      </c>
      <c r="D4363" t="inlineStr">
        <is>
          <t>Klein Tools 32596 Multi-Bit Screwdriver/Nut Driver, 8-in-1 HVAC Slide Drive Tool with Magnetic Hex, Phillips, Schrader Bits.</t>
        </is>
      </c>
      <c r="E4363" s="2">
        <f>HYPERLINK("https://www.amazon.com/Screwdriver-Driver-Klein-Tools-32596/dp/B073R7RT1V/ref=sr_1_18?keywords=Klein+Tools+32801+5-in-1+Multi-Bit+Screwdriver+%2F+Nut+Driver%2C+Heavy+Duty&amp;qid=1694735265&amp;sr=8-18", "https://www.amazon.com/Screwdriver-Driver-Klein-Tools-32596/dp/B073R7RT1V/ref=sr_1_18?keywords=Klein+Tools+32801+5-in-1+Multi-Bit+Screwdriver+%2F+Nut+Driver%2C+Heavy+Duty&amp;qid=1694735265&amp;sr=8-18")</f>
        <v/>
      </c>
      <c r="F4363" t="inlineStr">
        <is>
          <t>B073R7RT1V</t>
        </is>
      </c>
      <c r="G4363">
        <f>_xlfn.IMAGE("https://edmondsonsupply.com/cdn/shop/products/32801.jpg?v=1633030677")</f>
        <v/>
      </c>
      <c r="H4363">
        <f>_xlfn.IMAGE("https://m.media-amazon.com/images/I/51mrDa5uZYL._AC_UL320_.jpg")</f>
        <v/>
      </c>
      <c r="K4363" t="inlineStr">
        <is>
          <t>19.97</t>
        </is>
      </c>
      <c r="L4363" t="n">
        <v>38.96</v>
      </c>
      <c r="M4363" s="1" t="inlineStr">
        <is>
          <t>95.09%</t>
        </is>
      </c>
      <c r="N4363" s="7" t="n">
        <v>-2.44</v>
      </c>
      <c r="O4363" t="n">
        <v>4.8</v>
      </c>
      <c r="P4363" t="n">
        <v>2259</v>
      </c>
      <c r="R4363" t="inlineStr">
        <is>
          <t>InStock</t>
        </is>
      </c>
      <c r="S4363" t="inlineStr">
        <is>
          <t>32.18</t>
        </is>
      </c>
      <c r="T4363" t="inlineStr">
        <is>
          <t>5807274819752</t>
        </is>
      </c>
    </row>
    <row r="4364" ht="87" customHeight="1">
      <c r="A4364" s="2">
        <f>HYPERLINK("https://edmondsonsupply.com/collections/electricians-tools/products/klein-5416tfr", "https://edmondsonsupply.com/collections/electricians-tools/products/klein-5416tfr")</f>
        <v/>
      </c>
      <c r="B4364" s="2">
        <f>HYPERLINK("https://edmondsonsupply.com/products/klein-5416tfr", "https://edmondsonsupply.com/products/klein-5416tfr")</f>
        <v/>
      </c>
      <c r="C4364" t="inlineStr">
        <is>
          <t>Klein Tools 5416TFR Tool Bag, Flame Resistant Bolt Bag, No. 4 Canvas, 5 x 10 x 9-Inch</t>
        </is>
      </c>
      <c r="D4364" t="inlineStr">
        <is>
          <t>Klein Tools 5416TFR Tool Bag, Flame Resistant Canvas Bag for Bolt Storage with Double Reinforced Bottom and Tunnel Connect, 5 x 10 x 9-Inch &amp; Spud Wrench Holder Tunnel Connection Klein Tools 5459T</t>
        </is>
      </c>
      <c r="E4364" s="2">
        <f>HYPERLINK("https://www.amazon.com/Klein-Tools-Resistant-Reinforced-Connection/dp/B0923CTJF5/ref=sr_1_3?keywords=Klein+Tools+5416TFR+Tool+Bag%2C+Flame+Resistant+Bolt+Bag%2C+No.+4+Canvas%2C+5+x+10+x+9-Inch&amp;qid=1694734988&amp;sr=8-3", "https://www.amazon.com/Klein-Tools-Resistant-Reinforced-Connection/dp/B0923CTJF5/ref=sr_1_3?keywords=Klein+Tools+5416TFR+Tool+Bag%2C+Flame+Resistant+Bolt+Bag%2C+No.+4+Canvas%2C+5+x+10+x+9-Inch&amp;qid=1694734988&amp;sr=8-3")</f>
        <v/>
      </c>
      <c r="F4364" t="inlineStr">
        <is>
          <t>B0923CTJF5</t>
        </is>
      </c>
      <c r="G4364">
        <f>_xlfn.IMAGE("https://edmondsonsupply.com/cdn/shop/products/5416tfr.jpg?v=1587149359")</f>
        <v/>
      </c>
      <c r="H4364">
        <f>_xlfn.IMAGE("https://m.media-amazon.com/images/I/51GTLMRwcPS._AC_UL320_.jpg")</f>
        <v/>
      </c>
      <c r="K4364" t="inlineStr">
        <is>
          <t>19.99</t>
        </is>
      </c>
      <c r="L4364" t="n">
        <v>38.98</v>
      </c>
      <c r="M4364" s="1" t="inlineStr">
        <is>
          <t>95.00%</t>
        </is>
      </c>
      <c r="N4364" s="7" t="n">
        <v>-2.45</v>
      </c>
      <c r="O4364" t="n">
        <v>4.4</v>
      </c>
      <c r="P4364" t="n">
        <v>58</v>
      </c>
      <c r="R4364" t="inlineStr">
        <is>
          <t>InStock</t>
        </is>
      </c>
      <c r="S4364" t="inlineStr">
        <is>
          <t>33.64</t>
        </is>
      </c>
      <c r="T4364" t="inlineStr">
        <is>
          <t>1490970837092</t>
        </is>
      </c>
    </row>
    <row r="4365" ht="87" customHeight="1">
      <c r="A4365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4365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4365" t="inlineStr">
        <is>
          <t>Diablo Tools DMAPL4070 1/4 in. x 4 in. x 6 in. Rebar Demon™ SDS-Plus 4-Cutter Full Carbide Head Hammer Bit</t>
        </is>
      </c>
      <c r="D4365" t="inlineStr">
        <is>
          <t>Diablo 7/16"x10"x12" Rebar Demon™ SDS-Plus 4-Cutter Full Carbide Head Hammer Bit</t>
        </is>
      </c>
      <c r="E4365" s="2">
        <f>HYPERLINK("https://www.amazon.com/Diablo-SDS-Plus-4-Cutter-Carbide-Hammer/dp/B089LFSQTY/ref=sr_1_18?keywords=Diablo+Tools+DMAPL4070+1%2F4+in.+x+4+in.+x+6+in.+Rebar+Demon%E2%84%A2+SDS-Plus+4-Cutter+Full+Carbide+Head+Hammer+Bit&amp;qid=1694735303&amp;sr=8-18", "https://www.amazon.com/Diablo-SDS-Plus-4-Cutter-Carbide-Hammer/dp/B089LFSQTY/ref=sr_1_18?keywords=Diablo+Tools+DMAPL4070+1%2F4+in.+x+4+in.+x+6+in.+Rebar+Demon%E2%84%A2+SDS-Plus+4-Cutter+Full+Carbide+Head+Hammer+Bit&amp;qid=1694735303&amp;sr=8-18")</f>
        <v/>
      </c>
      <c r="F4365" t="inlineStr">
        <is>
          <t>B089LFSQTY</t>
        </is>
      </c>
      <c r="G4365">
        <f>_xlfn.IMAGE("https://edmondsonsupply.com/cdn/shop/products/DMAPL4070_Main-Image20200701.png?v=1633030350")</f>
        <v/>
      </c>
      <c r="H4365">
        <f>_xlfn.IMAGE("https://m.media-amazon.com/images/I/61jzOMGnS3L._AC_UL320_.jpg")</f>
        <v/>
      </c>
      <c r="K4365" t="inlineStr">
        <is>
          <t>8.97</t>
        </is>
      </c>
      <c r="L4365" t="n">
        <v>17.49</v>
      </c>
      <c r="M4365" s="1" t="inlineStr">
        <is>
          <t>94.98%</t>
        </is>
      </c>
      <c r="N4365" s="7" t="n">
        <v>-2.45</v>
      </c>
      <c r="O4365" t="n">
        <v>4.6</v>
      </c>
      <c r="P4365" t="n">
        <v>7</v>
      </c>
      <c r="R4365" t="inlineStr">
        <is>
          <t>InStock</t>
        </is>
      </c>
      <c r="S4365" t="inlineStr">
        <is>
          <t>undefined</t>
        </is>
      </c>
      <c r="T4365" t="inlineStr">
        <is>
          <t>5283100197032</t>
        </is>
      </c>
    </row>
    <row r="4366" ht="87" customHeight="1">
      <c r="A4366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4366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4366" t="inlineStr">
        <is>
          <t>Klein Tools D248-8 Diagonal Cutting Pliers, Angled Head, Short Jaw, 8-Inch</t>
        </is>
      </c>
      <c r="D4366" t="inlineStr">
        <is>
          <t>Klein Tools D248-8 Pliers, Diagonal Cutting Multi-Purpose Pliers with Angled Head, High-Leverage Design, and Short Jaw, 8-Inch &amp; 1005 Cutting/Crimping Tool</t>
        </is>
      </c>
      <c r="E4366" s="2">
        <f>HYPERLINK("https://www.amazon.com/Klein-Tools-Diagonal-Multi-Purpose-High-Leverage/dp/B0BKQCRLT1/ref=sr_1_3?keywords=Klein+Tools+D248-8+Diagonal+Cutting+Pliers%2C+Angled+Head%2C+Short+Jaw%2C+8-Inch&amp;qid=1694735219&amp;sr=8-3", "https://www.amazon.com/Klein-Tools-Diagonal-Multi-Purpose-High-Leverage/dp/B0BKQCRLT1/ref=sr_1_3?keywords=Klein+Tools+D248-8+Diagonal+Cutting+Pliers%2C+Angled+Head%2C+Short+Jaw%2C+8-Inch&amp;qid=1694735219&amp;sr=8-3")</f>
        <v/>
      </c>
      <c r="F4366" t="inlineStr">
        <is>
          <t>B0BKQCRLT1</t>
        </is>
      </c>
      <c r="G4366">
        <f>_xlfn.IMAGE("https://edmondsonsupply.com/cdn/shop/products/d2488.jpg?v=1633030997")</f>
        <v/>
      </c>
      <c r="H4366">
        <f>_xlfn.IMAGE("https://m.media-amazon.com/images/I/31gN+DbPGvL._AC_UL320_.jpg")</f>
        <v/>
      </c>
      <c r="K4366" t="inlineStr">
        <is>
          <t>29.97</t>
        </is>
      </c>
      <c r="L4366" t="n">
        <v>58.39</v>
      </c>
      <c r="M4366" s="1" t="inlineStr">
        <is>
          <t>94.83%</t>
        </is>
      </c>
      <c r="N4366" s="7" t="n">
        <v>-2.45</v>
      </c>
      <c r="O4366" t="n">
        <v>5</v>
      </c>
      <c r="P4366" t="n">
        <v>1</v>
      </c>
      <c r="R4366" t="inlineStr">
        <is>
          <t>InStock</t>
        </is>
      </c>
      <c r="S4366" t="inlineStr">
        <is>
          <t>45.42</t>
        </is>
      </c>
      <c r="T4366" t="inlineStr">
        <is>
          <t>6680617091245</t>
        </is>
      </c>
    </row>
    <row r="4367" ht="87" customHeight="1">
      <c r="A4367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4367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4367" t="inlineStr">
        <is>
          <t>Klein Tools NCVT-3P Dual Range Non-Contact Voltage Tester with Flashlight, 12 - 1000V AC</t>
        </is>
      </c>
      <c r="D4367" t="inlineStr">
        <is>
          <t>Klein Tools NCVT3P Dual Range Non Contact Voltage Tester &amp; 80077 Voltage Tester Kit with Electronic AC/DC Voltage Tester, GFCI Outlet Tester and Non-Contact Voltage Tester Pen, 3-Piece</t>
        </is>
      </c>
      <c r="E4367" s="2">
        <f>HYPERLINK("https://www.amazon.com/Klein-Tools-Contact-Electronic-Non-Contact/dp/B0BRMWPLL7/ref=sr_1_47?keywords=Klein+Tools+NCVT-3P+Dual+Range+Non-Contact+Voltage+Tester+with+Flashlight%2C+12+-+1000V+AC&amp;qid=1694735337&amp;sr=8-47", "https://www.amazon.com/Klein-Tools-Contact-Electronic-Non-Contact/dp/B0BRMWPLL7/ref=sr_1_47?keywords=Klein+Tools+NCVT-3P+Dual+Range+Non-Contact+Voltage+Tester+with+Flashlight%2C+12+-+1000V+AC&amp;qid=1694735337&amp;sr=8-47")</f>
        <v/>
      </c>
      <c r="F4367" t="inlineStr">
        <is>
          <t>B0BRMWPLL7</t>
        </is>
      </c>
      <c r="G4367">
        <f>_xlfn.IMAGE("https://edmondsonsupply.com/cdn/shop/products/ncvt3p.jpg?v=1633030219")</f>
        <v/>
      </c>
      <c r="H4367">
        <f>_xlfn.IMAGE("https://m.media-amazon.com/images/I/51d6PLh2UYL._AC_UL320_.jpg")</f>
        <v/>
      </c>
      <c r="K4367" t="inlineStr">
        <is>
          <t>29.97</t>
        </is>
      </c>
      <c r="L4367" t="n">
        <v>58.33</v>
      </c>
      <c r="M4367" s="1" t="inlineStr">
        <is>
          <t>94.63%</t>
        </is>
      </c>
      <c r="N4367" s="7" t="n">
        <v>-2.5</v>
      </c>
      <c r="O4367" t="n">
        <v>5</v>
      </c>
      <c r="P4367" t="n">
        <v>3</v>
      </c>
      <c r="R4367" t="inlineStr">
        <is>
          <t>InStock</t>
        </is>
      </c>
      <c r="S4367" t="inlineStr">
        <is>
          <t>40.36</t>
        </is>
      </c>
      <c r="T4367" t="inlineStr">
        <is>
          <t>4505582174308</t>
        </is>
      </c>
    </row>
    <row r="4368" ht="87" customHeight="1">
      <c r="A4368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4368" s="2">
        <f>HYPERLINK("https://edmondsonsupply.com/products/diablo-tools-d0824x-8-1-4-in-x-24-tooth-framing-saw-blade", "https://edmondsonsupply.com/products/diablo-tools-d0824x-8-1-4-in-x-24-tooth-framing-saw-blade")</f>
        <v/>
      </c>
      <c r="C4368" t="inlineStr">
        <is>
          <t>Diablo Tools D0824X 8-1/4 in. x 24 Tooth Framing Saw Blade</t>
        </is>
      </c>
      <c r="D4368" t="inlineStr">
        <is>
          <t>2 Pack Diablo D0724DA 7-1/4" X 24 Tooth Framing/Deconstruction Circular Saw Blade</t>
        </is>
      </c>
      <c r="E4368" s="2">
        <f>HYPERLINK("https://www.amazon.com/Diablo-D0724DA-Framing-Deconstruction-Circular/dp/B00XT9KFVS/ref=sr_1_7?keywords=Diablo+Tools+D0824X+8-1%2F4+in.+x+24+Tooth+Framing+Saw+Blade&amp;qid=1694735018&amp;sr=8-7", "https://www.amazon.com/Diablo-D0724DA-Framing-Deconstruction-Circular/dp/B00XT9KFVS/ref=sr_1_7?keywords=Diablo+Tools+D0824X+8-1%2F4+in.+x+24+Tooth+Framing+Saw+Blade&amp;qid=1694735018&amp;sr=8-7")</f>
        <v/>
      </c>
      <c r="F4368" t="inlineStr">
        <is>
          <t>B00XT9KFVS</t>
        </is>
      </c>
      <c r="G4368">
        <f>_xlfn.IMAGE("https://edmondsonsupply.com/cdn/shop/products/waqxzlwfclzed6nt6ziy.webp?v=1678979454")</f>
        <v/>
      </c>
      <c r="H4368">
        <f>_xlfn.IMAGE("https://m.media-amazon.com/images/I/61NkAJf3i9L._AC_UL320_.jpg")</f>
        <v/>
      </c>
      <c r="K4368" t="inlineStr">
        <is>
          <t>18.97</t>
        </is>
      </c>
      <c r="L4368" t="n">
        <v>36.9</v>
      </c>
      <c r="M4368" s="1" t="inlineStr">
        <is>
          <t>94.52%</t>
        </is>
      </c>
      <c r="N4368" s="7" t="n">
        <v>-2.5</v>
      </c>
      <c r="O4368" t="n">
        <v>4.7</v>
      </c>
      <c r="P4368" t="n">
        <v>10</v>
      </c>
      <c r="R4368" t="inlineStr">
        <is>
          <t>InStock</t>
        </is>
      </c>
      <c r="S4368" t="inlineStr">
        <is>
          <t>26.89</t>
        </is>
      </c>
      <c r="T4368" t="inlineStr">
        <is>
          <t>7962666500312</t>
        </is>
      </c>
    </row>
    <row r="4369" ht="87" customHeight="1">
      <c r="A4369" s="2">
        <f>HYPERLINK("https://edmondsonsupply.com/collections/electricians-tools/products/milwaukee-49-56-0503-3-16-3-16-diamond-plus%E2%84%A2-hole-saw", "https://edmondsonsupply.com/collections/electricians-tools/products/milwaukee-49-56-0503-3-16-3-16-diamond-plus%E2%84%A2-hole-saw")</f>
        <v/>
      </c>
      <c r="B4369" s="2">
        <f>HYPERLINK("https://edmondsonsupply.com/products/milwaukee-49-56-0503-3-16-3-16-diamond-plus%e2%84%a2-hole-saw", "https://edmondsonsupply.com/products/milwaukee-49-56-0503-3-16-3-16-diamond-plus%e2%84%a2-hole-saw")</f>
        <v/>
      </c>
      <c r="C4369" t="inlineStr">
        <is>
          <t>Milwaukee 49-56-0503 3/16" Diamond Plus™ Hole Saw</t>
        </is>
      </c>
      <c r="D4369" t="inlineStr">
        <is>
          <t>Milwaukee 49-56-0500 Diamond Max Diamond Grit Hole Saw 3 Piece Set 49560500 0</t>
        </is>
      </c>
      <c r="E4369" s="2">
        <f>HYPERLINK("https://www.amazon.com/Milwaukee-49-56-0500-Diamond-Grit-Piece/dp/B09L5DZ2TG/ref=sr_1_2?keywords=Milwaukee+49-56-0503+3%2F16%22+Diamond+Plus%E2%84%A2+Hole+Saw&amp;qid=1694735413&amp;sr=8-2", "https://www.amazon.com/Milwaukee-49-56-0500-Diamond-Grit-Piece/dp/B09L5DZ2TG/ref=sr_1_2?keywords=Milwaukee+49-56-0503+3%2F16%22+Diamond+Plus%E2%84%A2+Hole+Saw&amp;qid=1694735413&amp;sr=8-2")</f>
        <v/>
      </c>
      <c r="F4369" t="inlineStr">
        <is>
          <t>B09L5DZ2TG</t>
        </is>
      </c>
      <c r="G4369">
        <f>_xlfn.IMAGE("https://edmondsonsupply.com/cdn/shop/products/49-56-0503.jpg?v=1587146081")</f>
        <v/>
      </c>
      <c r="H4369">
        <f>_xlfn.IMAGE("https://m.media-amazon.com/images/I/71KrmL0Rx7L._AC_UL320_.jpg")</f>
        <v/>
      </c>
      <c r="K4369" t="inlineStr">
        <is>
          <t>18.99</t>
        </is>
      </c>
      <c r="L4369" t="n">
        <v>36.88</v>
      </c>
      <c r="M4369" s="1" t="inlineStr">
        <is>
          <t>94.21%</t>
        </is>
      </c>
      <c r="N4369" s="7" t="n">
        <v>-2.56</v>
      </c>
      <c r="O4369" t="n">
        <v>4.8</v>
      </c>
      <c r="P4369" t="n">
        <v>31</v>
      </c>
      <c r="R4369" t="inlineStr">
        <is>
          <t>InStock</t>
        </is>
      </c>
      <c r="S4369" t="inlineStr">
        <is>
          <t>25.1</t>
        </is>
      </c>
      <c r="T4369" t="inlineStr">
        <is>
          <t>4385044791396</t>
        </is>
      </c>
    </row>
    <row r="4370" ht="87" customHeight="1">
      <c r="A4370" s="2">
        <f>HYPERLINK("https://edmondsonsupply.com/collections/electricians-tools/products/diablo-tools-dmapl4270-27-32-in-x-8-in-x-10-in-rebar-demon%E2%84%A2-sds-plus-4-cutter-full-carbide-head-hammer-bit", "https://edmondsonsupply.com/collections/electricians-tools/products/diablo-tools-dmapl4270-27-32-in-x-8-in-x-10-in-rebar-demon%E2%84%A2-sds-plus-4-cutter-full-carbide-head-hammer-bit")</f>
        <v/>
      </c>
      <c r="B4370" s="2">
        <f>HYPERLINK("https://edmondsonsupply.com/products/diablo-tools-dmapl4270-27-32-in-x-8-in-x-10-in-rebar-demon%e2%84%a2-sds-plus-4-cutter-full-carbide-head-hammer-bit", "https://edmondsonsupply.com/products/diablo-tools-dmapl4270-27-32-in-x-8-in-x-10-in-rebar-demon%e2%84%a2-sds-plus-4-cutter-full-carbide-head-hammer-bit")</f>
        <v/>
      </c>
      <c r="C4370" t="inlineStr">
        <is>
          <t>Diablo Tools DMAPL4270 27/32 in. x 8 in. x 10 in. Rebar Demon™ SDS‑Plus 4‑Cutter Full Carbide Head Hammer Bit</t>
        </is>
      </c>
      <c r="D4370" t="inlineStr">
        <is>
          <t>Diablo DMAPL4310 1 in. x 16 in. x 18 in. Rebar Demon™ SDS-Plus 4-Cutter Full Carbide Head Hammer Bit</t>
        </is>
      </c>
      <c r="E4370" s="2" t="n"/>
      <c r="F4370" t="inlineStr">
        <is>
          <t>B089KX2VKR</t>
        </is>
      </c>
      <c r="G4370">
        <f>_xlfn.IMAGE("https://edmondsonsupply.com/cdn/shop/products/DMAPL4270_Main-Image20200701.png?v=1633030522")</f>
        <v/>
      </c>
      <c r="H4370">
        <f>_xlfn.IMAGE("https://m.media-amazon.com/images/I/61iwxfqG2VL._AC_UL320_.jpg")</f>
        <v/>
      </c>
      <c r="K4370" t="inlineStr">
        <is>
          <t>24.97</t>
        </is>
      </c>
      <c r="L4370" t="n">
        <v>48.49</v>
      </c>
      <c r="M4370" s="1" t="inlineStr">
        <is>
          <t>94.19%</t>
        </is>
      </c>
      <c r="N4370" s="7" t="n">
        <v>-2.59</v>
      </c>
      <c r="O4370" t="n">
        <v>4.5</v>
      </c>
      <c r="P4370" t="n">
        <v>32</v>
      </c>
      <c r="R4370" t="inlineStr">
        <is>
          <t>InStock</t>
        </is>
      </c>
      <c r="S4370" t="inlineStr">
        <is>
          <t>38.89</t>
        </is>
      </c>
      <c r="T4370" t="inlineStr">
        <is>
          <t>5401122537640</t>
        </is>
      </c>
    </row>
    <row r="4371" ht="87" customHeight="1">
      <c r="A4371" s="2">
        <f>HYPERLINK("https://edmondsonsupply.com/collections/electricians-tools/products/klein-tools-32559-6-in-1-multi-bit-screwdriver-extended-reach", "https://edmondsonsupply.com/collections/electricians-tools/products/klein-tools-32559-6-in-1-multi-bit-screwdriver-extended-reach")</f>
        <v/>
      </c>
      <c r="B4371" s="2">
        <f>HYPERLINK("https://edmondsonsupply.com/products/klein-tools-32559-6-in-1-multi-bit-screwdriver-extended-reach", "https://edmondsonsupply.com/products/klein-tools-32559-6-in-1-multi-bit-screwdriver-extended-reach")</f>
        <v/>
      </c>
      <c r="C4371" t="inlineStr">
        <is>
          <t>Klein Tools 32559 Multi-Bit Screwdriver / Nut Driver, 6-in-1, Extended Reach, Ph, Sl</t>
        </is>
      </c>
      <c r="D4371" t="inlineStr">
        <is>
          <t>Klein Tools 32559 Multi-bit Screwdriver/Nut Driver, Extended Reach 6-in-1 Tool &amp; Klein Tools 32614 Multi-bit Precision Screwdriver Set, 4-in-1 Electronics Pocket Screwdriver</t>
        </is>
      </c>
      <c r="E4371" s="2">
        <f>HYPERLINK("https://www.amazon.com/Klein-Tools-Multi-bit-Screwdriver-Electronics/dp/B0BD434MZQ/ref=sr_1_6?keywords=Klein+Tools+32559+Multi-Bit+Screwdriver+%2F+Nut+Driver%2C+6-in-1%2C+Extended+Reach%2C+Ph%2C+Sl&amp;qid=1694735413&amp;sr=8-6", "https://www.amazon.com/Klein-Tools-Multi-bit-Screwdriver-Electronics/dp/B0BD434MZQ/ref=sr_1_6?keywords=Klein+Tools+32559+Multi-Bit+Screwdriver+%2F+Nut+Driver%2C+6-in-1%2C+Extended+Reach%2C+Ph%2C+Sl&amp;qid=1694735413&amp;sr=8-6")</f>
        <v/>
      </c>
      <c r="F4371" t="inlineStr">
        <is>
          <t>B0BD434MZQ</t>
        </is>
      </c>
      <c r="G4371">
        <f>_xlfn.IMAGE("https://edmondsonsupply.com/cdn/shop/products/32559_839a646b-b16e-42a3-8ec1-1e9f20c6214e.jpg?v=1587147888")</f>
        <v/>
      </c>
      <c r="H4371">
        <f>_xlfn.IMAGE("https://m.media-amazon.com/images/I/31iN0zUZPXL._AC_UL320_.jpg")</f>
        <v/>
      </c>
      <c r="K4371" t="inlineStr">
        <is>
          <t>15.97</t>
        </is>
      </c>
      <c r="L4371" t="n">
        <v>31</v>
      </c>
      <c r="M4371" s="1" t="inlineStr">
        <is>
          <t>94.11%</t>
        </is>
      </c>
      <c r="N4371" s="7" t="n">
        <v>-2.63</v>
      </c>
      <c r="O4371" t="n">
        <v>5</v>
      </c>
      <c r="P4371" t="n">
        <v>5</v>
      </c>
      <c r="R4371" t="inlineStr">
        <is>
          <t>InStock</t>
        </is>
      </c>
      <c r="S4371" t="inlineStr">
        <is>
          <t>24.12</t>
        </is>
      </c>
      <c r="T4371" t="inlineStr">
        <is>
          <t>4388476813412</t>
        </is>
      </c>
    </row>
    <row r="4372" ht="87" customHeight="1">
      <c r="A4372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4372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4372" t="inlineStr">
        <is>
          <t>Diablo Tools DMAPL4070 1/4 in. x 4 in. x 6 in. Rebar Demon™ SDS-Plus 4-Cutter Full Carbide Head Hammer Bit</t>
        </is>
      </c>
      <c r="D4372" t="inlineStr">
        <is>
          <t>Diablo by Freud Diablo DMAPL4190 1/2 in. x 10 in. x 12 in. Rebar Demon SDS-Plus 4-Cutter Full Carbide Head Hammer Bit</t>
        </is>
      </c>
      <c r="E4372" s="2">
        <f>HYPERLINK("https://www.amazon.com/Diablo-Freud-DMAPL4190-SDS-Plus-4-Cutter/dp/B089LJZ25M/ref=sr_1_14?keywords=Diablo+Tools+DMAPL4070+1%2F4+in.+x+4+in.+x+6+in.+Rebar+Demon%E2%84%A2+SDS-Plus+4-Cutter+Full+Carbide+Head+Hammer+Bit&amp;qid=1694735303&amp;sr=8-14", "https://www.amazon.com/Diablo-Freud-DMAPL4190-SDS-Plus-4-Cutter/dp/B089LJZ25M/ref=sr_1_14?keywords=Diablo+Tools+DMAPL4070+1%2F4+in.+x+4+in.+x+6+in.+Rebar+Demon%E2%84%A2+SDS-Plus+4-Cutter+Full+Carbide+Head+Hammer+Bit&amp;qid=1694735303&amp;sr=8-14")</f>
        <v/>
      </c>
      <c r="F4372" t="inlineStr">
        <is>
          <t>B089LJZ25M</t>
        </is>
      </c>
      <c r="G4372">
        <f>_xlfn.IMAGE("https://edmondsonsupply.com/cdn/shop/products/DMAPL4070_Main-Image20200701.png?v=1633030350")</f>
        <v/>
      </c>
      <c r="H4372">
        <f>_xlfn.IMAGE("https://m.media-amazon.com/images/I/61dzudnwI8L._AC_UL320_.jpg")</f>
        <v/>
      </c>
      <c r="K4372" t="inlineStr">
        <is>
          <t>8.97</t>
        </is>
      </c>
      <c r="L4372" t="n">
        <v>17.41</v>
      </c>
      <c r="M4372" s="1" t="inlineStr">
        <is>
          <t>94.09%</t>
        </is>
      </c>
      <c r="N4372" s="7" t="n">
        <v>-2.7</v>
      </c>
      <c r="O4372" t="n">
        <v>4.6</v>
      </c>
      <c r="P4372" t="n">
        <v>43</v>
      </c>
      <c r="R4372" t="inlineStr">
        <is>
          <t>InStock</t>
        </is>
      </c>
      <c r="S4372" t="inlineStr">
        <is>
          <t>undefined</t>
        </is>
      </c>
      <c r="T4372" t="inlineStr">
        <is>
          <t>5283100197032</t>
        </is>
      </c>
    </row>
    <row r="4373" ht="87" customHeight="1">
      <c r="A4373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373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373" t="inlineStr">
        <is>
          <t>Klein Tools 32308 8-in-1 Multi-Bit Adjustable Length Stubby Screwdriver</t>
        </is>
      </c>
      <c r="D4373" t="inlineStr">
        <is>
          <t>Klein Tools 65200 Ratchet Set, 5-Piece Mini Ratchet Set &amp; 32308 Multi-bit Stubby Screwdriver, Impact Rated 8-in-1 Adjustable Magnetic Tool with Phillips, Slotted, Square and Nut Driver</t>
        </is>
      </c>
      <c r="E4373" s="2">
        <f>HYPERLINK("https://www.amazon.com/Klein-Tools-Multi-bit-Screwdriver-Adjustable/dp/B0BCT97D2B/ref=sr_1_6?keywords=Klein+Tools+32308+8-in-1+Multi-Bit+Adjustable+Length+Stubby+Screwdriver&amp;qid=1694735167&amp;sr=8-6", "https://www.amazon.com/Klein-Tools-Multi-bit-Screwdriver-Adjustable/dp/B0BCT97D2B/ref=sr_1_6?keywords=Klein+Tools+32308+8-in-1+Multi-Bit+Adjustable+Length+Stubby+Screwdriver&amp;qid=1694735167&amp;sr=8-6")</f>
        <v/>
      </c>
      <c r="F4373" t="inlineStr">
        <is>
          <t>B0BCT97D2B</t>
        </is>
      </c>
      <c r="G4373">
        <f>_xlfn.IMAGE("https://edmondsonsupply.com/cdn/shop/products/32308_b.jpg?v=1647348209")</f>
        <v/>
      </c>
      <c r="H4373">
        <f>_xlfn.IMAGE("https://m.media-amazon.com/images/I/51FhukkqNXL._AC_UL320_.jpg")</f>
        <v/>
      </c>
      <c r="K4373" t="inlineStr">
        <is>
          <t>16.97</t>
        </is>
      </c>
      <c r="L4373" t="n">
        <v>32.93</v>
      </c>
      <c r="M4373" s="1" t="inlineStr">
        <is>
          <t>94.05%</t>
        </is>
      </c>
      <c r="N4373" s="7" t="n">
        <v>-2.7</v>
      </c>
      <c r="O4373" t="n">
        <v>5</v>
      </c>
      <c r="P4373" t="n">
        <v>7</v>
      </c>
      <c r="R4373" t="inlineStr">
        <is>
          <t>InStock</t>
        </is>
      </c>
      <c r="S4373" t="inlineStr">
        <is>
          <t>23.78</t>
        </is>
      </c>
      <c r="T4373" t="inlineStr">
        <is>
          <t>7637271445720</t>
        </is>
      </c>
    </row>
    <row r="4374" ht="87" customHeight="1">
      <c r="A4374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4374" s="2">
        <f>HYPERLINK("https://edmondsonsupply.com/products/klein-tools-31948-bi-metal-hole-saw-3-inch", "https://edmondsonsupply.com/products/klein-tools-31948-bi-metal-hole-saw-3-inch")</f>
        <v/>
      </c>
      <c r="C4374" t="inlineStr">
        <is>
          <t>Klein Tools 31948 Bi-Metal Hole Saw, 3-Inch</t>
        </is>
      </c>
      <c r="D4374" t="inlineStr">
        <is>
          <t>LENOX Tools Hole Saw, Bi-Metal, Speed Slot, Arbored, 2-3/8-Inch (1772953)</t>
        </is>
      </c>
      <c r="E4374" s="2">
        <f>HYPERLINK("https://www.amazon.com/LENOX-Tools-Bi-Metal-Arbored-Technology/dp/B0054SBDNQ/ref=sr_1_39?keywords=Klein+Tools+31948+Bi-Metal+Hole+Saw%2C+3-Inch&amp;qid=1694735118&amp;sr=8-39", "https://www.amazon.com/LENOX-Tools-Bi-Metal-Arbored-Technology/dp/B0054SBDNQ/ref=sr_1_39?keywords=Klein+Tools+31948+Bi-Metal+Hole+Saw%2C+3-Inch&amp;qid=1694735118&amp;sr=8-39")</f>
        <v/>
      </c>
      <c r="F4374" t="inlineStr">
        <is>
          <t>B0054SBDNQ</t>
        </is>
      </c>
      <c r="G4374">
        <f>_xlfn.IMAGE("https://edmondsonsupply.com/cdn/shop/products/31948.jpg?v=1663945105")</f>
        <v/>
      </c>
      <c r="H4374">
        <f>_xlfn.IMAGE("https://m.media-amazon.com/images/I/716edrVuxaL._AC_UL320_.jpg")</f>
        <v/>
      </c>
      <c r="K4374" t="inlineStr">
        <is>
          <t>14.99</t>
        </is>
      </c>
      <c r="L4374" t="n">
        <v>29.08</v>
      </c>
      <c r="M4374" s="1" t="inlineStr">
        <is>
          <t>94.00%</t>
        </is>
      </c>
      <c r="N4374" s="7" t="n">
        <v>-2.75</v>
      </c>
      <c r="O4374" t="n">
        <v>4.6</v>
      </c>
      <c r="P4374" t="n">
        <v>366</v>
      </c>
      <c r="R4374" t="inlineStr">
        <is>
          <t>InStock</t>
        </is>
      </c>
      <c r="S4374" t="inlineStr">
        <is>
          <t>19.62</t>
        </is>
      </c>
      <c r="T4374" t="inlineStr">
        <is>
          <t>7827277185240</t>
        </is>
      </c>
    </row>
    <row r="4375" ht="87" customHeight="1">
      <c r="A4375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4375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4375" t="inlineStr">
        <is>
          <t>Klein Tools 6826INS Insulated Screwdriver, 1/4-Inch Cabinet Tip, 6-Inch Shank</t>
        </is>
      </c>
      <c r="D4375" t="inlineStr">
        <is>
          <t>Klein Tools 605-7-INS Insulated 1/4-Inch Cabinet Tip Screwdriver, 7-Inch</t>
        </is>
      </c>
      <c r="E4375" s="2">
        <f>HYPERLINK("https://www.amazon.com/Insulated-Screwdriver-Klein-Tools-605-7-INS/dp/B00J9S1EX6/ref=sr_1_13?keywords=Klein+Tools+6826INS+Insulated+Screwdriver%2C+1%2F4-Inch+Cabinet+Tip%2C+6-Inch+Shank&amp;qid=1694735104&amp;sr=8-13", "https://www.amazon.com/Insulated-Screwdriver-Klein-Tools-605-7-INS/dp/B00J9S1EX6/ref=sr_1_13?keywords=Klein+Tools+6826INS+Insulated+Screwdriver%2C+1%2F4-Inch+Cabinet+Tip%2C+6-Inch+Shank&amp;qid=1694735104&amp;sr=8-13")</f>
        <v/>
      </c>
      <c r="F4375" t="inlineStr">
        <is>
          <t>B00J9S1EX6</t>
        </is>
      </c>
      <c r="G4375">
        <f>_xlfn.IMAGE("https://edmondsonsupply.com/cdn/shop/products/6826ins.jpg?v=1664814069")</f>
        <v/>
      </c>
      <c r="H4375">
        <f>_xlfn.IMAGE("https://m.media-amazon.com/images/I/41PbqrqWh2L._AC_UL320_.jpg")</f>
        <v/>
      </c>
      <c r="K4375" t="inlineStr">
        <is>
          <t>11.97</t>
        </is>
      </c>
      <c r="L4375" t="n">
        <v>23.22</v>
      </c>
      <c r="M4375" s="1" t="inlineStr">
        <is>
          <t>93.98%</t>
        </is>
      </c>
      <c r="N4375" s="7" t="n">
        <v>-2.76</v>
      </c>
      <c r="O4375" t="n">
        <v>4.8</v>
      </c>
      <c r="P4375" t="n">
        <v>1068</v>
      </c>
      <c r="R4375" t="inlineStr">
        <is>
          <t>InStock</t>
        </is>
      </c>
      <c r="S4375" t="inlineStr">
        <is>
          <t>17.98</t>
        </is>
      </c>
      <c r="T4375" t="inlineStr">
        <is>
          <t>7837707698392</t>
        </is>
      </c>
    </row>
    <row r="4376" ht="87" customHeight="1">
      <c r="A4376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4376" s="2">
        <f>HYPERLINK("https://edmondsonsupply.com/products/klein-tools-635-9-16-9-16-heavy-duty-nut-driver-magnetic", "https://edmondsonsupply.com/products/klein-tools-635-9-16-9-16-heavy-duty-nut-driver-magnetic")</f>
        <v/>
      </c>
      <c r="C4376" t="inlineStr">
        <is>
          <t>Klein Tools 635-9/16 9/16-Inch Heavy-Duty Nut Driver</t>
        </is>
      </c>
      <c r="D4376" t="inlineStr">
        <is>
          <t>Klein Tools 646-9/16-INS Insulated Nut Driver, 9/16-Inch Hex with 6-Inch Hollow Shaft and Cushion Grip Handle</t>
        </is>
      </c>
      <c r="E4376" s="2">
        <f>HYPERLINK("https://www.amazon.com/Insulated-Klein-Tools-646-9-16-INS/dp/B000MKH63C/ref=sr_1_11?keywords=Klein+Tools+635-9%2F16+9%2F16-Inch+Heavy-Duty+Nut+Driver&amp;qid=1694735388&amp;sr=8-11", "https://www.amazon.com/Insulated-Klein-Tools-646-9-16-INS/dp/B000MKH63C/ref=sr_1_11?keywords=Klein+Tools+635-9%2F16+9%2F16-Inch+Heavy-Duty+Nut+Driver&amp;qid=1694735388&amp;sr=8-11")</f>
        <v/>
      </c>
      <c r="F4376" t="inlineStr">
        <is>
          <t>B000MKH63C</t>
        </is>
      </c>
      <c r="G4376">
        <f>_xlfn.IMAGE("https://edmondsonsupply.com/cdn/shop/products/635-9-16.jpg?v=1587145126")</f>
        <v/>
      </c>
      <c r="H4376">
        <f>_xlfn.IMAGE("https://m.media-amazon.com/images/I/41Z--sNKhML._AC_UL320_.jpg")</f>
        <v/>
      </c>
      <c r="K4376" t="inlineStr">
        <is>
          <t>15.99</t>
        </is>
      </c>
      <c r="L4376" t="n">
        <v>30.99</v>
      </c>
      <c r="M4376" s="1" t="inlineStr">
        <is>
          <t>93.81%</t>
        </is>
      </c>
      <c r="N4376" s="7" t="n">
        <v>-2.77</v>
      </c>
      <c r="O4376" t="n">
        <v>4.7</v>
      </c>
      <c r="P4376" t="n">
        <v>272</v>
      </c>
      <c r="R4376" t="inlineStr">
        <is>
          <t>InStock</t>
        </is>
      </c>
      <c r="S4376" t="inlineStr">
        <is>
          <t>24.22</t>
        </is>
      </c>
      <c r="T4376" t="inlineStr">
        <is>
          <t>2766897741924</t>
        </is>
      </c>
    </row>
    <row r="4377" hidden="1" ht="15.75" customHeight="1">
      <c r="A4377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4377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4377" t="inlineStr">
        <is>
          <t>Diablo Tools DMARG1020 5/32 in. x 3 in. x 6 in. SPEEDemon™ Red Granite Carbide Tipped Hammer Drill Bit</t>
        </is>
      </c>
      <c r="D4377" t="inlineStr">
        <is>
          <t>BOSCH HCBG02 5/32 In. x 6 In. BlueGranite Carbide Hammer Drill Bit</t>
        </is>
      </c>
      <c r="E4377" s="2">
        <f>HYPERLINK("https://www.amazon.com/Bosch-HCBG02-BlueGranite-Carbide-Hammer/dp/B000CFJC5M/ref=sr_1_35?keywords=Diablo+Tools+DMARG1020+5%2F32+in.+x+3+in.+x+6+in.+SPEEDemon%E2%84%A2+Red+Granite+Carbide+Tipped+Hammer+Drill+Bit&amp;qid=1694735279&amp;sr=8-35", "https://www.amazon.com/Bosch-HCBG02-BlueGranite-Carbide-Hammer/dp/B000CFJC5M/ref=sr_1_35?keywords=Diablo+Tools+DMARG1020+5%2F32+in.+x+3+in.+x+6+in.+SPEEDemon%E2%84%A2+Red+Granite+Carbide+Tipped+Hammer+Drill+Bit&amp;qid=1694735279&amp;sr=8-35")</f>
        <v/>
      </c>
      <c r="F4377" t="inlineStr">
        <is>
          <t>B000CFJC5M</t>
        </is>
      </c>
      <c r="G4377">
        <f>_xludf.IMAGE("https://edmondsonsupply.com/cdn/shop/products/vozy4matwskc7qc8ko6f.webp?v=1670440892")</f>
        <v/>
      </c>
      <c r="H4377">
        <f>_xludf.IMAGE("https://m.media-amazon.com/images/I/6197ILeyIuL._AC_UL320_.jpg")</f>
        <v/>
      </c>
      <c r="K4377" t="inlineStr">
        <is>
          <t>4.97</t>
        </is>
      </c>
      <c r="L4377" t="n">
        <v>9.630000000000001</v>
      </c>
      <c r="M4377" s="1" t="inlineStr">
        <is>
          <t>93.76%</t>
        </is>
      </c>
      <c r="N4377" s="1" t="n">
        <v>-2.78</v>
      </c>
      <c r="O4377" t="n">
        <v>4.2</v>
      </c>
      <c r="P4377" t="n">
        <v>44</v>
      </c>
      <c r="R4377" t="inlineStr">
        <is>
          <t>InStock</t>
        </is>
      </c>
      <c r="S4377" t="inlineStr">
        <is>
          <t>undefined</t>
        </is>
      </c>
      <c r="T4377" t="inlineStr">
        <is>
          <t>5386082484392</t>
        </is>
      </c>
    </row>
    <row r="4378" ht="87" customHeight="1">
      <c r="A4378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4378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4378" t="inlineStr">
        <is>
          <t>Klein Tools NCVT-2P Dual Range Non-Contact Voltage Tester 12 - 1000V AC</t>
        </is>
      </c>
      <c r="D4378" t="inlineStr">
        <is>
          <t>Klein Tools 56331 Fish Tape, Steel Wire Puller, 1/8-Inch x 50-Foot &amp; NCVT2PKIT Non-Contact Voltage Tester with Receptacle Tester, 12-48V AC or 48-1000V AC Dual Range for Broad Application</t>
        </is>
      </c>
      <c r="E4378" s="2">
        <f>HYPERLINK("https://www.amazon.com/Klein-Tools-Non-Contact-Receptacle-Application/dp/B09T6Z6B4X/ref=sr_1_35?keywords=Klein+Tools+NCVT-2P+Dual+Range+Non-Contact+Voltage+Tester+12+-+1000V+AC&amp;qid=1694735236&amp;sr=8-35", "https://www.amazon.com/Klein-Tools-Non-Contact-Receptacle-Application/dp/B09T6Z6B4X/ref=sr_1_35?keywords=Klein+Tools+NCVT-2P+Dual+Range+Non-Contact+Voltage+Tester+12+-+1000V+AC&amp;qid=1694735236&amp;sr=8-35")</f>
        <v/>
      </c>
      <c r="F4378" t="inlineStr">
        <is>
          <t>B09T6Z6B4X</t>
        </is>
      </c>
      <c r="G4378">
        <f>_xlfn.IMAGE("https://edmondsonsupply.com/cdn/shop/products/ncvt2p.jpg?v=1633030824")</f>
        <v/>
      </c>
      <c r="H4378">
        <f>_xlfn.IMAGE("https://m.media-amazon.com/images/I/51OPQKLJdyL._AC_UL320_.jpg")</f>
        <v/>
      </c>
      <c r="K4378" t="inlineStr">
        <is>
          <t>27.97</t>
        </is>
      </c>
      <c r="L4378" t="n">
        <v>53.98</v>
      </c>
      <c r="M4378" s="1" t="inlineStr">
        <is>
          <t>92.99%</t>
        </is>
      </c>
      <c r="N4378" s="7" t="n">
        <v>-2.8</v>
      </c>
      <c r="O4378" t="n">
        <v>5</v>
      </c>
      <c r="P4378" t="n">
        <v>2</v>
      </c>
      <c r="R4378" t="inlineStr">
        <is>
          <t>InStock</t>
        </is>
      </c>
      <c r="S4378" t="inlineStr">
        <is>
          <t>35.76</t>
        </is>
      </c>
      <c r="T4378" t="inlineStr">
        <is>
          <t>6080875626669</t>
        </is>
      </c>
    </row>
    <row r="4379" hidden="1" ht="15.75" customHeight="1">
      <c r="A4379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4379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4379" t="inlineStr">
        <is>
          <t>Diablo Tools DMARG1100 5/16 in. x 4 in. x 6 in. SPEEDemon™ Red Granite Carbide Tipped Hammer Drill Bit</t>
        </is>
      </c>
      <c r="D4379" t="inlineStr">
        <is>
          <t>Diablo by Freud DMARG1150 1/2 in. x 4 in. x 6 in. SPEEDemon Red Granite Carbide Tipped Hammer Drill Bit</t>
        </is>
      </c>
      <c r="E4379" s="2">
        <f>HYPERLINK("https://www.amazon.com/Diablo-Freud-DMARG1150-SPEEDemon-Granite/dp/B089LKXD71/ref=sr_1_1?keywords=Diablo+Tools+DMARG1100+5%2F16+in.+x+4+in.+x+6+in.+SPEEDemon%E2%84%A2+Red+Granite+Carbide+Tipped+Hammer+Drill+Bit&amp;qid=1694735277&amp;sr=8-1", "https://www.amazon.com/Diablo-Freud-DMARG1150-SPEEDemon-Granite/dp/B089LKXD71/ref=sr_1_1?keywords=Diablo+Tools+DMARG1100+5%2F16+in.+x+4+in.+x+6+in.+SPEEDemon%E2%84%A2+Red+Granite+Carbide+Tipped+Hammer+Drill+Bit&amp;qid=1694735277&amp;sr=8-1")</f>
        <v/>
      </c>
      <c r="F4379" t="inlineStr">
        <is>
          <t>B089LKXD71</t>
        </is>
      </c>
      <c r="G4379">
        <f>_xludf.IMAGE("https://edmondsonsupply.com/cdn/shop/products/DMARG1100_Main-Image20200702.png?v=1633030510")</f>
        <v/>
      </c>
      <c r="H4379">
        <f>_xludf.IMAGE("https://m.media-amazon.com/images/I/61Irr3Gr9YL._AC_UL320_.jpg")</f>
        <v/>
      </c>
      <c r="K4379" t="inlineStr">
        <is>
          <t>5.28</t>
        </is>
      </c>
      <c r="L4379" t="n">
        <v>10.19</v>
      </c>
      <c r="M4379" s="1" t="inlineStr">
        <is>
          <t>92.99%</t>
        </is>
      </c>
      <c r="N4379" s="1" t="n">
        <v>-2.8</v>
      </c>
      <c r="O4379" t="n">
        <v>4.3</v>
      </c>
      <c r="P4379" t="n">
        <v>19</v>
      </c>
      <c r="R4379" t="inlineStr">
        <is>
          <t>InStock</t>
        </is>
      </c>
      <c r="S4379" t="inlineStr">
        <is>
          <t>undefined</t>
        </is>
      </c>
      <c r="T4379" t="inlineStr">
        <is>
          <t>5386452861096</t>
        </is>
      </c>
    </row>
    <row r="4380" ht="87" customHeight="1">
      <c r="A4380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4380" s="2">
        <f>HYPERLINK("https://edmondsonsupply.com/products/klein-tools-9225-tape-measure-25-foot-magnetic-double-hook", "https://edmondsonsupply.com/products/klein-tools-9225-tape-measure-25-foot-magnetic-double-hook")</f>
        <v/>
      </c>
      <c r="C4380" t="inlineStr">
        <is>
          <t>Klein Tools 9225 Tape Measure, 25-Foot Magnetic Double-Hook</t>
        </is>
      </c>
      <c r="D4380" t="inlineStr">
        <is>
          <t>Klein Tools 9225 Tape Measure, Heavy-Duty Measuring Tape with 25-Foot Double-Hook Double-Sided Nylon Reinforced Blade &amp; 85191 Screwdriver / Conduit Reamer</t>
        </is>
      </c>
      <c r="E4380" s="2">
        <f>HYPERLINK("https://www.amazon.com/Klein-Tools-Double-Hook-Double-Sided-Screwdriver/dp/B0BFXQWN8S/ref=sr_1_2?keywords=Klein+Tools+9225+Tape+Measure%2C+25-Foot+Magnetic+Double-Hook&amp;qid=1694735384&amp;sr=8-2", "https://www.amazon.com/Klein-Tools-Double-Hook-Double-Sided-Screwdriver/dp/B0BFXQWN8S/ref=sr_1_2?keywords=Klein+Tools+9225+Tape+Measure%2C+25-Foot+Magnetic+Double-Hook&amp;qid=1694735384&amp;sr=8-2")</f>
        <v/>
      </c>
      <c r="F4380" t="inlineStr">
        <is>
          <t>B0BFXQWN8S</t>
        </is>
      </c>
      <c r="G4380">
        <f>_xlfn.IMAGE("https://edmondsonsupply.com/cdn/shop/products/9225_photo.jpg?v=1587146541")</f>
        <v/>
      </c>
      <c r="H4380">
        <f>_xlfn.IMAGE("https://m.media-amazon.com/images/I/41p3mlWpI2L._AC_UL320_.jpg")</f>
        <v/>
      </c>
      <c r="K4380" t="inlineStr">
        <is>
          <t>29.97</t>
        </is>
      </c>
      <c r="L4380" t="n">
        <v>57.83</v>
      </c>
      <c r="M4380" s="1" t="inlineStr">
        <is>
          <t>92.96%</t>
        </is>
      </c>
      <c r="N4380" s="7" t="n">
        <v>-2.83</v>
      </c>
      <c r="O4380" t="n">
        <v>4.1</v>
      </c>
      <c r="P4380" t="n">
        <v>4</v>
      </c>
      <c r="R4380" t="inlineStr">
        <is>
          <t>InStock</t>
        </is>
      </c>
      <c r="S4380" t="inlineStr">
        <is>
          <t>37.02</t>
        </is>
      </c>
      <c r="T4380" t="inlineStr">
        <is>
          <t>4411542175844</t>
        </is>
      </c>
    </row>
    <row r="4381" ht="87" customHeight="1">
      <c r="A4381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4381" s="2">
        <f>HYPERLINK("https://edmondsonsupply.com/products/milwaukee-48-22-1521-compact-folding-knife", "https://edmondsonsupply.com/products/milwaukee-48-22-1521-compact-folding-knife")</f>
        <v/>
      </c>
      <c r="C4381" t="inlineStr">
        <is>
          <t>Milwaukee 48-22-1521 Compact Folding Knife</t>
        </is>
      </c>
      <c r="D4381" t="inlineStr">
        <is>
          <t>Milwaukee 48-22-1985 Fastback Hawk Bill Folding Knife w/Belt Clip and Lanyard Hole, Metal</t>
        </is>
      </c>
      <c r="E4381" s="2">
        <f>HYPERLINK("https://www.amazon.com/Milwaukee-48-22-1985-Fastback-Folding-Lanyard/dp/B00IQCDWIG/ref=sr_1_7?keywords=Milwaukee+48-22-1521+Compact+Folding+Knife&amp;qid=1694735039&amp;sr=8-7", "https://www.amazon.com/Milwaukee-48-22-1985-Fastback-Folding-Lanyard/dp/B00IQCDWIG/ref=sr_1_7?keywords=Milwaukee+48-22-1521+Compact+Folding+Knife&amp;qid=1694735039&amp;sr=8-7")</f>
        <v/>
      </c>
      <c r="F4381" t="inlineStr">
        <is>
          <t>B00IQCDWIG</t>
        </is>
      </c>
      <c r="G4381">
        <f>_xlfn.IMAGE("https://edmondsonsupply.com/cdn/shop/products/48-22-1521_1.webp?v=1675359641")</f>
        <v/>
      </c>
      <c r="H4381">
        <f>_xlfn.IMAGE("https://m.media-amazon.com/images/I/714SFoSX-4L._AC_UL320_.jpg")</f>
        <v/>
      </c>
      <c r="K4381" t="inlineStr">
        <is>
          <t>12.97</t>
        </is>
      </c>
      <c r="L4381" t="n">
        <v>25.01</v>
      </c>
      <c r="M4381" s="1" t="inlineStr">
        <is>
          <t>92.83%</t>
        </is>
      </c>
      <c r="N4381" s="7" t="n">
        <v>-2.85</v>
      </c>
      <c r="O4381" t="n">
        <v>4.6</v>
      </c>
      <c r="P4381" t="n">
        <v>625</v>
      </c>
      <c r="R4381" t="inlineStr">
        <is>
          <t>InStock</t>
        </is>
      </c>
      <c r="S4381" t="inlineStr">
        <is>
          <t>15.5</t>
        </is>
      </c>
      <c r="T4381" t="inlineStr">
        <is>
          <t>7937891827928</t>
        </is>
      </c>
    </row>
    <row r="4382" ht="87" customHeight="1">
      <c r="A4382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4382" s="2">
        <f>HYPERLINK("https://edmondsonsupply.com/products/klein-tools-32307-27-in-1-multi-bit-tamperproof-screwdriver", "https://edmondsonsupply.com/products/klein-tools-32307-27-in-1-multi-bit-tamperproof-screwdriver")</f>
        <v/>
      </c>
      <c r="C4382" t="inlineStr">
        <is>
          <t>Klein Tools 32307 27-in-1 Multi-Bit Tamperproof Screwdriver</t>
        </is>
      </c>
      <c r="D4382" t="inlineStr">
        <is>
          <t>Klein Tools 80019 Tool Set, Multi-Bit Screwdriver and Nut Driver Tool Kit, 28 Different Industrial Strength Bits and Sizes, 4-Piece</t>
        </is>
      </c>
      <c r="E4382" s="2">
        <f>HYPERLINK("https://www.amazon.com/Klein-Tools-80019-Screwdriver-Industrial/dp/B08VW84W2G/ref=sr_1_58?keywords=Klein+Tools+32307+27-in-1+Multi-Bit+Tamperproof+Screwdriver&amp;qid=1694735165&amp;sr=8-58", "https://www.amazon.com/Klein-Tools-80019-Screwdriver-Industrial/dp/B08VW84W2G/ref=sr_1_58?keywords=Klein+Tools+32307+27-in-1+Multi-Bit+Tamperproof+Screwdriver&amp;qid=1694735165&amp;sr=8-58")</f>
        <v/>
      </c>
      <c r="F4382" t="inlineStr">
        <is>
          <t>B08VW84W2G</t>
        </is>
      </c>
      <c r="G4382">
        <f>_xlfn.IMAGE("https://edmondsonsupply.com/cdn/shop/products/32307.jpg?v=1647347524")</f>
        <v/>
      </c>
      <c r="H4382">
        <f>_xlfn.IMAGE("https://m.media-amazon.com/images/I/61UoMiQVT8L._AC_UL320_.jpg")</f>
        <v/>
      </c>
      <c r="K4382" t="inlineStr">
        <is>
          <t>25.97</t>
        </is>
      </c>
      <c r="L4382" t="n">
        <v>49.99</v>
      </c>
      <c r="M4382" s="1" t="inlineStr">
        <is>
          <t>92.49%</t>
        </is>
      </c>
      <c r="N4382" s="7" t="n">
        <v>-2.88</v>
      </c>
      <c r="O4382" t="n">
        <v>4.8</v>
      </c>
      <c r="P4382" t="n">
        <v>1116</v>
      </c>
      <c r="R4382" t="inlineStr">
        <is>
          <t>InStock</t>
        </is>
      </c>
      <c r="S4382" t="inlineStr">
        <is>
          <t>36.38</t>
        </is>
      </c>
      <c r="T4382" t="inlineStr">
        <is>
          <t>7637266366680</t>
        </is>
      </c>
    </row>
    <row r="4383" ht="87" customHeight="1">
      <c r="A4383" s="2">
        <f>HYPERLINK("https://edmondsonsupply.com/collections/electricians-tools/products/milwaukee-48-22-0225-25ft-wide-blade-tape-measure", "https://edmondsonsupply.com/collections/electricians-tools/products/milwaukee-48-22-0225-25ft-wide-blade-tape-measure")</f>
        <v/>
      </c>
      <c r="B4383" s="2">
        <f>HYPERLINK("https://edmondsonsupply.com/products/milwaukee-48-22-0225-25ft-wide-blade-tape-measure", "https://edmondsonsupply.com/products/milwaukee-48-22-0225-25ft-wide-blade-tape-measure")</f>
        <v/>
      </c>
      <c r="C4383" t="inlineStr">
        <is>
          <t>Milwaukee 48-22-0225 25ft Wide Blade Tape Measure</t>
        </is>
      </c>
      <c r="D4383" t="inlineStr">
        <is>
          <t>Milwaukee 48-22-0240 40 ft. x 1.3 in. Wide Blade Tape Measure (2 Pack)</t>
        </is>
      </c>
      <c r="E4383" s="2">
        <f>HYPERLINK("https://www.amazon.com/Milwaukee-48-22-0240-Wide-Blade-Measure/dp/B08HVP859N/ref=sr_1_12?keywords=Milwaukee+48-22-0225+25ft+Wide+Blade+Tape+Measure&amp;qid=1694735418&amp;sr=8-12", "https://www.amazon.com/Milwaukee-48-22-0240-Wide-Blade-Measure/dp/B08HVP859N/ref=sr_1_12?keywords=Milwaukee+48-22-0225+25ft+Wide+Blade+Tape+Measure&amp;qid=1694735418&amp;sr=8-12")</f>
        <v/>
      </c>
      <c r="F4383" t="inlineStr">
        <is>
          <t>B08HVP859N</t>
        </is>
      </c>
      <c r="G4383">
        <f>_xlfn.IMAGE("https://edmondsonsupply.com/cdn/shop/products/48-22-0225_1.png?v=1587142485")</f>
        <v/>
      </c>
      <c r="H4383">
        <f>_xlfn.IMAGE("https://m.media-amazon.com/images/I/51lkf7M4EBL._AC_UL320_.jpg")</f>
        <v/>
      </c>
      <c r="K4383" t="inlineStr">
        <is>
          <t>25.97</t>
        </is>
      </c>
      <c r="L4383" t="n">
        <v>49.99</v>
      </c>
      <c r="M4383" s="1" t="inlineStr">
        <is>
          <t>92.49%</t>
        </is>
      </c>
      <c r="N4383" s="7" t="n">
        <v>-2.92</v>
      </c>
      <c r="O4383" t="n">
        <v>4.7</v>
      </c>
      <c r="P4383" t="n">
        <v>52</v>
      </c>
      <c r="R4383" t="inlineStr">
        <is>
          <t>InStock</t>
        </is>
      </c>
      <c r="S4383" t="inlineStr">
        <is>
          <t>37.6</t>
        </is>
      </c>
      <c r="T4383" t="inlineStr">
        <is>
          <t>4377710198884</t>
        </is>
      </c>
    </row>
    <row r="4384" ht="87" customHeight="1">
      <c r="A4384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4384" s="2">
        <f>HYPERLINK("https://edmondsonsupply.com/products/klein-tools-32307-27-in-1-multi-bit-tamperproof-screwdriver", "https://edmondsonsupply.com/products/klein-tools-32307-27-in-1-multi-bit-tamperproof-screwdriver")</f>
        <v/>
      </c>
      <c r="C4384" t="inlineStr">
        <is>
          <t>Klein Tools 32307 27-in-1 Multi-Bit Tamperproof Screwdriver</t>
        </is>
      </c>
      <c r="D4384" t="inlineStr">
        <is>
          <t>Klein Tools 80019 Tool Set, Multi-Bit Screwdriver and Nut Driver Tool Kit, 28 Different Industrial Strength Bits and Sizes, 4-Piece</t>
        </is>
      </c>
      <c r="E4384" s="2" t="n"/>
      <c r="F4384" t="inlineStr">
        <is>
          <t>B08VW84W2G</t>
        </is>
      </c>
      <c r="G4384">
        <f>_xlfn.IMAGE("https://edmondsonsupply.com/cdn/shop/products/32307.jpg?v=1647347524")</f>
        <v/>
      </c>
      <c r="H4384">
        <f>_xlfn.IMAGE("https://m.media-amazon.com/images/I/61UoMiQVT8L._AC_UL320_.jpg")</f>
        <v/>
      </c>
      <c r="K4384" t="inlineStr">
        <is>
          <t>25.97</t>
        </is>
      </c>
      <c r="L4384" t="n">
        <v>49.99</v>
      </c>
      <c r="M4384" s="1" t="inlineStr">
        <is>
          <t>92.49%</t>
        </is>
      </c>
      <c r="N4384" s="7" t="n">
        <v>-2.94</v>
      </c>
      <c r="O4384" t="n">
        <v>4.8</v>
      </c>
      <c r="P4384" t="n">
        <v>1116</v>
      </c>
      <c r="R4384" t="inlineStr">
        <is>
          <t>InStock</t>
        </is>
      </c>
      <c r="S4384" t="inlineStr">
        <is>
          <t>36.38</t>
        </is>
      </c>
      <c r="T4384" t="inlineStr">
        <is>
          <t>7637266366680</t>
        </is>
      </c>
    </row>
    <row r="4385" hidden="1" ht="15.75" customHeight="1">
      <c r="A4385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4385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4385" t="inlineStr">
        <is>
          <t>Diablo Tools DMAPL4110 5/16 in. x 4 in. x 6 in. Rebar Demon™ SDS‑Plus 4‑Cutter Full Carbide Head Hammer Bit</t>
        </is>
      </c>
      <c r="D4385" t="inlineStr">
        <is>
          <t>Diablo by Freud Diablo DMAPL4210 5/8 in. x 4 in. x 6 in. Rebar Demon SDS-Plus 4-Cutter Full Carbide Head Hammer Bit</t>
        </is>
      </c>
      <c r="E4385" s="2">
        <f>HYPERLINK("https://www.amazon.com/Diablo-Freud-DMAPL4210-SDS-Plus-4-Cutter/dp/B089LGF2KS/ref=sr_1_3?keywords=Diablo+Tools+DMAPL4110+5%2F16+in.+x+4+in.+x+6+in.+Rebar+Demon%E2%84%A2+SDS%E2%80%91Plus+4%E2%80%91Cutter+Full+Carbide+Head+Hammer+Bit&amp;qid=1694735288&amp;sr=8-3", "https://www.amazon.com/Diablo-Freud-DMAPL4210-SDS-Plus-4-Cutter/dp/B089LGF2KS/ref=sr_1_3?keywords=Diablo+Tools+DMAPL4110+5%2F16+in.+x+4+in.+x+6+in.+Rebar+Demon%E2%84%A2+SDS%E2%80%91Plus+4%E2%80%91Cutter+Full+Carbide+Head+Hammer+Bit&amp;qid=1694735288&amp;sr=8-3")</f>
        <v/>
      </c>
      <c r="F4385" t="inlineStr">
        <is>
          <t>B089LGF2KS</t>
        </is>
      </c>
      <c r="G4385">
        <f>_xludf.IMAGE("https://edmondsonsupply.com/cdn/shop/products/DMAPL4110_Main-Image20200701.png?v=1633030426")</f>
        <v/>
      </c>
      <c r="H4385">
        <f>_xludf.IMAGE("https://m.media-amazon.com/images/I/61rU9ZgmndL._AC_UL320_.jpg")</f>
        <v/>
      </c>
      <c r="K4385" t="inlineStr">
        <is>
          <t>5.97</t>
        </is>
      </c>
      <c r="L4385" t="n">
        <v>11.49</v>
      </c>
      <c r="M4385" s="1" t="inlineStr">
        <is>
          <t>92.46%</t>
        </is>
      </c>
      <c r="N4385" s="1" t="n">
        <v>-2.96</v>
      </c>
      <c r="O4385" t="n">
        <v>4.6</v>
      </c>
      <c r="P4385" t="n">
        <v>63</v>
      </c>
      <c r="R4385" t="inlineStr">
        <is>
          <t>InStock</t>
        </is>
      </c>
      <c r="S4385" t="inlineStr">
        <is>
          <t>8.44</t>
        </is>
      </c>
      <c r="T4385" t="inlineStr">
        <is>
          <t>5326873100456</t>
        </is>
      </c>
    </row>
    <row r="4386" ht="87" customHeight="1">
      <c r="A4386" s="2">
        <f>HYPERLINK("https://edmondsonsupply.com/collections/electricians-tools/products/copy-of-diablo-tools-d1040x-10-in-x-40-tooth-general-purpose-saw-blade", "https://edmondsonsupply.com/collections/electricians-tools/products/copy-of-diablo-tools-d1040x-10-in-x-40-tooth-general-purpose-saw-blade")</f>
        <v/>
      </c>
      <c r="B4386" s="2">
        <f>HYPERLINK("https://edmondsonsupply.com/products/copy-of-diablo-tools-d1040x-10-in-x-40-tooth-general-purpose-saw-blade", "https://edmondsonsupply.com/products/copy-of-diablo-tools-d1040x-10-in-x-40-tooth-general-purpose-saw-blade")</f>
        <v/>
      </c>
      <c r="C4386" t="inlineStr">
        <is>
          <t>Diablo Tools D1050X 10 in. x 50 Tooth Combination Saw Blade</t>
        </is>
      </c>
      <c r="D4386" t="inlineStr">
        <is>
          <t>Freud D1050X Diablo 10-Inch 50-tooth ATB Combination Saw Blade 5/8-Inch Arbor &amp; PermaShield Coating (2 Pack)</t>
        </is>
      </c>
      <c r="E4386" s="2">
        <f>HYPERLINK("https://www.amazon.com/Diablo-10-Inch-50-tooth-Combination-PermaShield/dp/B075Y2M65Y/ref=sr_1_4?keywords=Diablo+Tools+D1050X+10+in.+x+50+Tooth+Combination+Saw+Blade&amp;qid=1694735310&amp;sr=8-4", "https://www.amazon.com/Diablo-10-Inch-50-tooth-Combination-PermaShield/dp/B075Y2M65Y/ref=sr_1_4?keywords=Diablo+Tools+D1050X+10+in.+x+50+Tooth+Combination+Saw+Blade&amp;qid=1694735310&amp;sr=8-4")</f>
        <v/>
      </c>
      <c r="F4386" t="inlineStr">
        <is>
          <t>B075Y2M65Y</t>
        </is>
      </c>
      <c r="G4386">
        <f>_xlfn.IMAGE("https://edmondsonsupply.com/cdn/shop/products/D1050X_Main-Image20191112.png?v=1633030269")</f>
        <v/>
      </c>
      <c r="H4386">
        <f>_xlfn.IMAGE("https://m.media-amazon.com/images/I/61IsqGnbJcL._AC_UL320_.jpg")</f>
        <v/>
      </c>
      <c r="K4386" t="inlineStr">
        <is>
          <t>37.97</t>
        </is>
      </c>
      <c r="L4386" t="n">
        <v>73</v>
      </c>
      <c r="M4386" s="1" t="inlineStr">
        <is>
          <t>92.26%</t>
        </is>
      </c>
      <c r="N4386" s="7" t="n">
        <v>-3</v>
      </c>
      <c r="O4386" t="n">
        <v>4.7</v>
      </c>
      <c r="P4386" t="n">
        <v>23</v>
      </c>
      <c r="R4386" t="inlineStr">
        <is>
          <t>InStock</t>
        </is>
      </c>
      <c r="S4386" t="inlineStr">
        <is>
          <t>56.46</t>
        </is>
      </c>
      <c r="T4386" t="inlineStr">
        <is>
          <t>4681639559268</t>
        </is>
      </c>
    </row>
    <row r="4387" ht="87" customHeight="1">
      <c r="A4387" s="2">
        <f>HYPERLINK("https://edmondsonsupply.com/collections/electricians-tools/products/klein-tools-sl14-35-5-1-4-inch-slotted-power-drivers-3-1-2-inch-5-pack", "https://edmondsonsupply.com/collections/electricians-tools/products/klein-tools-sl14-35-5-1-4-inch-slotted-power-drivers-3-1-2-inch-5-pack")</f>
        <v/>
      </c>
      <c r="B4387" s="2">
        <f>HYPERLINK("https://edmondsonsupply.com/products/klein-tools-sl14-35-5-1-4-inch-slotted-power-drivers-3-1-2-inch-5-pack", "https://edmondsonsupply.com/products/klein-tools-sl14-35-5-1-4-inch-slotted-power-drivers-3-1-2-inch-5-pack")</f>
        <v/>
      </c>
      <c r="C4387" t="inlineStr">
        <is>
          <t>Klein Tools SL14-35-5 1/4-Inch Slotted Power Drivers, 3-1/2-Inch, 5-Pack</t>
        </is>
      </c>
      <c r="D4387" t="inlineStr">
        <is>
          <t>Klein Tools 85153K Slotted Screw-Holding Screwdriver Set, 3/16-Inch, 1/4-Inch Split-Blade Flat Head Driver, Positive Gripping Action, 2-Piece</t>
        </is>
      </c>
      <c r="E4387" s="2">
        <f>HYPERLINK("https://www.amazon.com/Klein-Tools-85153K-Screw-Holding-Screwdriver/dp/B0CFRP1K3L/ref=sr_1_5?keywords=Klein+Tools+SL14-35-5+1%2F4-Inch+Slotted+Power+Drivers%2C+3-1%2F2-Inch%2C+5-Pack&amp;qid=1694735339&amp;sr=8-5", "https://www.amazon.com/Klein-Tools-85153K-Screw-Holding-Screwdriver/dp/B0CFRP1K3L/ref=sr_1_5?keywords=Klein+Tools+SL14-35-5+1%2F4-Inch+Slotted+Power+Drivers%2C+3-1%2F2-Inch%2C+5-Pack&amp;qid=1694735339&amp;sr=8-5")</f>
        <v/>
      </c>
      <c r="F4387" t="inlineStr">
        <is>
          <t>B0CFRP1K3L</t>
        </is>
      </c>
      <c r="G4387">
        <f>_xlfn.IMAGE("https://edmondsonsupply.com/cdn/shop/products/sl14355.jpg?v=1587150431")</f>
        <v/>
      </c>
      <c r="H4387">
        <f>_xlfn.IMAGE("https://m.media-amazon.com/images/I/41KoRmOkBpL._AC_UL320_.jpg")</f>
        <v/>
      </c>
      <c r="K4387" t="inlineStr">
        <is>
          <t>12.49</t>
        </is>
      </c>
      <c r="L4387" t="n">
        <v>23.97</v>
      </c>
      <c r="M4387" s="1" t="inlineStr">
        <is>
          <t>91.91%</t>
        </is>
      </c>
      <c r="N4387" s="7" t="n">
        <v>-3</v>
      </c>
      <c r="O4387" t="n">
        <v>5</v>
      </c>
      <c r="P4387" t="n">
        <v>1</v>
      </c>
      <c r="R4387" t="inlineStr">
        <is>
          <t>InStock</t>
        </is>
      </c>
      <c r="S4387" t="inlineStr">
        <is>
          <t>18.92</t>
        </is>
      </c>
      <c r="T4387" t="inlineStr">
        <is>
          <t>4505584762980</t>
        </is>
      </c>
    </row>
    <row r="4388" ht="87" customHeight="1">
      <c r="A4388" s="2">
        <f>HYPERLINK("https://edmondsonsupply.com/collections/electricians-tools/products/klein-tools-sl316-35-5-3-16-inch-slotted-drivers-3-1-2-inch-bit-5-pack", "https://edmondsonsupply.com/collections/electricians-tools/products/klein-tools-sl316-35-5-3-16-inch-slotted-drivers-3-1-2-inch-bit-5-pack")</f>
        <v/>
      </c>
      <c r="B4388" s="2">
        <f>HYPERLINK("https://edmondsonsupply.com/products/klein-tools-sl316-35-5-3-16-inch-slotted-drivers-3-1-2-inch-bit-5-pack", "https://edmondsonsupply.com/products/klein-tools-sl316-35-5-3-16-inch-slotted-drivers-3-1-2-inch-bit-5-pack")</f>
        <v/>
      </c>
      <c r="C4388" t="inlineStr">
        <is>
          <t>Klein Tools SL316-35-5 3/16-Inch Slotted Drivers, 3-1/2-Inch Bit, 5-Pack</t>
        </is>
      </c>
      <c r="D4388" t="inlineStr">
        <is>
          <t>Klein Tools 85153K Slotted Screw-Holding Screwdriver Set, 3/16-Inch, 1/4-Inch Split-Blade Flat Head Driver, Positive Gripping Action, 2-Piece</t>
        </is>
      </c>
      <c r="E4388" s="2">
        <f>HYPERLINK("https://www.amazon.com/Klein-Tools-85153K-Screw-Holding-Screwdriver/dp/B0CFRP1K3L/ref=sr_1_26?keywords=Klein+Tools+SL316-35-5+3%2F16-Inch+Slotted+Drivers%2C+3-1%2F2-Inch+Bit%2C+5-Pack&amp;qid=1694735336&amp;sr=8-26", "https://www.amazon.com/Klein-Tools-85153K-Screw-Holding-Screwdriver/dp/B0CFRP1K3L/ref=sr_1_26?keywords=Klein+Tools+SL316-35-5+3%2F16-Inch+Slotted+Drivers%2C+3-1%2F2-Inch+Bit%2C+5-Pack&amp;qid=1694735336&amp;sr=8-26")</f>
        <v/>
      </c>
      <c r="F4388" t="inlineStr">
        <is>
          <t>B0CFRP1K3L</t>
        </is>
      </c>
      <c r="G4388">
        <f>_xlfn.IMAGE("https://edmondsonsupply.com/cdn/shop/products/sl316355.jpg?v=1587144978")</f>
        <v/>
      </c>
      <c r="H4388">
        <f>_xlfn.IMAGE("https://m.media-amazon.com/images/I/41KoRmOkBpL._AC_UL320_.jpg")</f>
        <v/>
      </c>
      <c r="K4388" t="inlineStr">
        <is>
          <t>12.49</t>
        </is>
      </c>
      <c r="L4388" t="n">
        <v>23.97</v>
      </c>
      <c r="M4388" s="1" t="inlineStr">
        <is>
          <t>91.91%</t>
        </is>
      </c>
      <c r="N4388" s="7" t="n">
        <v>-3</v>
      </c>
      <c r="O4388" t="n">
        <v>5</v>
      </c>
      <c r="P4388" t="n">
        <v>1</v>
      </c>
      <c r="R4388" t="inlineStr">
        <is>
          <t>InStock</t>
        </is>
      </c>
      <c r="S4388" t="inlineStr">
        <is>
          <t>18.92</t>
        </is>
      </c>
      <c r="T4388" t="inlineStr">
        <is>
          <t>4505586172004</t>
        </is>
      </c>
    </row>
    <row r="4389" ht="87" customHeight="1">
      <c r="A4389" s="2">
        <f>HYPERLINK("https://edmondsonsupply.com/collections/electricians-tools/products/klein-5416tfr", "https://edmondsonsupply.com/collections/electricians-tools/products/klein-5416tfr")</f>
        <v/>
      </c>
      <c r="B4389" s="2">
        <f>HYPERLINK("https://edmondsonsupply.com/products/klein-5416tfr", "https://edmondsonsupply.com/products/klein-5416tfr")</f>
        <v/>
      </c>
      <c r="C4389" t="inlineStr">
        <is>
          <t>Klein Tools 5416TFR Tool Bag, Flame Resistant Bolt Bag, No. 4 Canvas, 5 x 10 x 9-Inch</t>
        </is>
      </c>
      <c r="D4389" t="inlineStr">
        <is>
          <t>Klein Tools 5416T Tool Bag, Bull-Pin and Bolt Pouch &amp; 5416TFR Tool Bag, Flame Resistant Canvas Bag for Bolt Storage with Double Reinforced Bottom and Tunnel Connect, 5 x 10 x 9-Inch</t>
        </is>
      </c>
      <c r="E4389" s="2">
        <f>HYPERLINK("https://www.amazon.com/Klein-Tools-Bull-Pin-Resistant-Reinforced/dp/B0BFXQ5G36/ref=sr_1_9?keywords=Klein+Tools+5416TFR+Tool+Bag%2C+Flame+Resistant+Bolt+Bag%2C+No.+4+Canvas%2C+5+x+10+x+9-Inch&amp;qid=1694734988&amp;sr=8-9", "https://www.amazon.com/Klein-Tools-Bull-Pin-Resistant-Reinforced/dp/B0BFXQ5G36/ref=sr_1_9?keywords=Klein+Tools+5416TFR+Tool+Bag%2C+Flame+Resistant+Bolt+Bag%2C+No.+4+Canvas%2C+5+x+10+x+9-Inch&amp;qid=1694734988&amp;sr=8-9")</f>
        <v/>
      </c>
      <c r="F4389" t="inlineStr">
        <is>
          <t>B0BFXQ5G36</t>
        </is>
      </c>
      <c r="G4389">
        <f>_xlfn.IMAGE("https://edmondsonsupply.com/cdn/shop/products/5416tfr.jpg?v=1587149359")</f>
        <v/>
      </c>
      <c r="H4389">
        <f>_xlfn.IMAGE("https://m.media-amazon.com/images/I/614nrxyOd7L._AC_UL320_.jpg")</f>
        <v/>
      </c>
      <c r="K4389" t="inlineStr">
        <is>
          <t>19.99</t>
        </is>
      </c>
      <c r="L4389" t="n">
        <v>38.28</v>
      </c>
      <c r="M4389" s="1" t="inlineStr">
        <is>
          <t>91.50%</t>
        </is>
      </c>
      <c r="N4389" s="7" t="n">
        <v>-3</v>
      </c>
      <c r="O4389" t="n">
        <v>4.8</v>
      </c>
      <c r="P4389" t="n">
        <v>5</v>
      </c>
      <c r="R4389" t="inlineStr">
        <is>
          <t>InStock</t>
        </is>
      </c>
      <c r="S4389" t="inlineStr">
        <is>
          <t>33.64</t>
        </is>
      </c>
      <c r="T4389" t="inlineStr">
        <is>
          <t>1490970837092</t>
        </is>
      </c>
    </row>
    <row r="4390" ht="87" customHeight="1">
      <c r="A4390" s="2">
        <f>HYPERLINK("https://edmondsonsupply.com/collections/electricians-tools/products/klein-tools-69357-ac-plug-to-banana-jacks", "https://edmondsonsupply.com/collections/electricians-tools/products/klein-tools-69357-ac-plug-to-banana-jacks")</f>
        <v/>
      </c>
      <c r="B4390" s="2">
        <f>HYPERLINK("https://edmondsonsupply.com/products/klein-tools-69357-ac-plug-to-banana-jacks", "https://edmondsonsupply.com/products/klein-tools-69357-ac-plug-to-banana-jacks")</f>
        <v/>
      </c>
      <c r="C4390" t="inlineStr">
        <is>
          <t>Klein Tools 69357 AC Plug to Banana Jacks</t>
        </is>
      </c>
      <c r="D4390" t="inlineStr">
        <is>
          <t>Klein Tools 69357 AC Outlet Plug to Banana Plug, for use with with Klein Tools Cat. No. ET450 or any Meter with Banana-Type Connectors</t>
        </is>
      </c>
      <c r="E4390" s="2">
        <f>HYPERLINK("https://www.amazon.com/Klein-Tools-69357-Banana-Type-Connectors/dp/B0BN2LTKTB/ref=sr_1_1?keywords=Klein+Tools+69357+AC+Plug+to+Banana+Jacks&amp;qid=1694735049&amp;sr=8-1", "https://www.amazon.com/Klein-Tools-69357-Banana-Type-Connectors/dp/B0BN2LTKTB/ref=sr_1_1?keywords=Klein+Tools+69357+AC+Plug+to+Banana+Jacks&amp;qid=1694735049&amp;sr=8-1")</f>
        <v/>
      </c>
      <c r="F4390" t="inlineStr">
        <is>
          <t>B0BN2LTKTB</t>
        </is>
      </c>
      <c r="G4390">
        <f>_xlfn.IMAGE("https://edmondsonsupply.com/cdn/shop/products/69357.jpg?v=1674489211")</f>
        <v/>
      </c>
      <c r="H4390">
        <f>_xlfn.IMAGE("https://m.media-amazon.com/images/I/51B8PrxCL3L._AC_UY218_.jpg")</f>
        <v/>
      </c>
      <c r="K4390" t="inlineStr">
        <is>
          <t>9.99</t>
        </is>
      </c>
      <c r="L4390" t="n">
        <v>19.12</v>
      </c>
      <c r="M4390" s="1" t="inlineStr">
        <is>
          <t>91.39%</t>
        </is>
      </c>
      <c r="N4390" s="7" t="n">
        <v>-3</v>
      </c>
      <c r="O4390" t="n">
        <v>4.5</v>
      </c>
      <c r="P4390" t="n">
        <v>2</v>
      </c>
      <c r="R4390" t="inlineStr">
        <is>
          <t>InStock</t>
        </is>
      </c>
      <c r="S4390" t="inlineStr">
        <is>
          <t>14.98</t>
        </is>
      </c>
      <c r="T4390" t="inlineStr">
        <is>
          <t>7931923300568</t>
        </is>
      </c>
    </row>
    <row r="4391" ht="87" customHeight="1">
      <c r="A4391" s="2">
        <f>HYPERLINK("https://edmondsonsupply.com/collections/electricians-tools/products/klein-tools-d2000-28-diagonal-cutting-pliers-heavy-duty-high-leverage-8-inch", "https://edmondsonsupply.com/collections/electricians-tools/products/klein-tools-d2000-28-diagonal-cutting-pliers-heavy-duty-high-leverage-8-inch")</f>
        <v/>
      </c>
      <c r="B4391" s="2">
        <f>HYPERLINK("https://edmondsonsupply.com/products/klein-tools-d2000-28-diagonal-cutting-pliers-heavy-duty-high-leverage-8-inch", "https://edmondsonsupply.com/products/klein-tools-d2000-28-diagonal-cutting-pliers-heavy-duty-high-leverage-8-inch")</f>
        <v/>
      </c>
      <c r="C4391" t="inlineStr">
        <is>
          <t>Klein Tools D2000-28 Diagonal Cutting Pliers, Heavy-Duty, High-Leverage, 8-Inch</t>
        </is>
      </c>
      <c r="D4391" t="inlineStr">
        <is>
          <t>Klein Tools D2000-28 Pliers, Diagonal Cutting Pliers, 8-Inch &amp; D213-9NE Pliers, 9-Inch Side Cutters, High Leverage Linesman Pliers Cut Copper, Aluminum and other Soft Metals</t>
        </is>
      </c>
      <c r="E4391" s="2">
        <f>HYPERLINK("https://www.amazon.com/Klein-Tools-D2000-28-Diagonal-D213-9NE/dp/B0BD3WQ62S/ref=sr_1_4?keywords=Klein+Tools+D2000-28+Diagonal+Cutting+Pliers%2C+Heavy-Duty%2C+High-Leverage%2C+8-Inch&amp;qid=1694735230&amp;sr=8-4", "https://www.amazon.com/Klein-Tools-D2000-28-Diagonal-D213-9NE/dp/B0BD3WQ62S/ref=sr_1_4?keywords=Klein+Tools+D2000-28+Diagonal+Cutting+Pliers%2C+Heavy-Duty%2C+High-Leverage%2C+8-Inch&amp;qid=1694735230&amp;sr=8-4")</f>
        <v/>
      </c>
      <c r="F4391" t="inlineStr">
        <is>
          <t>B0BD3WQ62S</t>
        </is>
      </c>
      <c r="G4391">
        <f>_xlfn.IMAGE("https://edmondsonsupply.com/cdn/shop/products/d200028.jpg?v=1633030882")</f>
        <v/>
      </c>
      <c r="H4391">
        <f>_xlfn.IMAGE("https://m.media-amazon.com/images/I/31MK8zfZMnL._AC_UL320_.jpg")</f>
        <v/>
      </c>
      <c r="K4391" t="inlineStr">
        <is>
          <t>34.99</t>
        </is>
      </c>
      <c r="L4391" t="n">
        <v>66.95999999999999</v>
      </c>
      <c r="M4391" s="1" t="inlineStr">
        <is>
          <t>91.37%</t>
        </is>
      </c>
      <c r="N4391" s="7" t="n">
        <v>-3</v>
      </c>
      <c r="O4391" t="n">
        <v>5</v>
      </c>
      <c r="P4391" t="n">
        <v>2</v>
      </c>
      <c r="R4391" t="inlineStr">
        <is>
          <t>InStock</t>
        </is>
      </c>
      <c r="S4391" t="inlineStr">
        <is>
          <t>53.0</t>
        </is>
      </c>
      <c r="T4391" t="inlineStr">
        <is>
          <t>6183860568237</t>
        </is>
      </c>
    </row>
    <row r="4392" ht="87" customHeight="1">
      <c r="A4392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4392" s="2">
        <f>HYPERLINK("https://edmondsonsupply.com/products/klein-tools-66070-flip-impact-socket-set-7-piece", "https://edmondsonsupply.com/products/klein-tools-66070-flip-impact-socket-set-7-piece")</f>
        <v/>
      </c>
      <c r="C4392" t="inlineStr">
        <is>
          <t>Klein Tools 66070 Flip Impact Socket Set, 7-Piece</t>
        </is>
      </c>
      <c r="D4392" t="inlineStr">
        <is>
          <t>Wera 056490 Tool-Check Plus Bit Ratchet Set with Sockets - Metric &amp; Impact Driver, 7-in-1 Impact Flip Socket Set, 6 Hex Driver Sizes plus a 1/4-Inch Bit Holder Klein Tools 32907</t>
        </is>
      </c>
      <c r="E4392" s="2">
        <f>HYPERLINK("https://www.amazon.com/Wera-056490-Tool-Check-Ratchet-Sockets/dp/B0C3MY7J6Z/ref=sr_1_7?keywords=Klein+Tools+66070+Flip+Impact+Socket+Set%2C+7-Piece&amp;qid=1694734974&amp;sr=8-7", "https://www.amazon.com/Wera-056490-Tool-Check-Ratchet-Sockets/dp/B0C3MY7J6Z/ref=sr_1_7?keywords=Klein+Tools+66070+Flip+Impact+Socket+Set%2C+7-Piece&amp;qid=1694734974&amp;sr=8-7")</f>
        <v/>
      </c>
      <c r="F4392" t="inlineStr">
        <is>
          <t>B0C3MY7J6Z</t>
        </is>
      </c>
      <c r="G4392">
        <f>_xlfn.IMAGE("https://edmondsonsupply.com/cdn/shop/products/66070_b.jpg?v=1663251434")</f>
        <v/>
      </c>
      <c r="H4392">
        <f>_xlfn.IMAGE("https://m.media-amazon.com/images/I/51rgYJySnHL._AC_UL320_.jpg")</f>
        <v/>
      </c>
      <c r="K4392" t="inlineStr">
        <is>
          <t>49.97</t>
        </is>
      </c>
      <c r="L4392" t="n">
        <v>95.45999999999999</v>
      </c>
      <c r="M4392" s="1" t="inlineStr">
        <is>
          <t>91.03%</t>
        </is>
      </c>
      <c r="N4392" s="7" t="n">
        <v>-3.17</v>
      </c>
      <c r="O4392" t="n">
        <v>4.8</v>
      </c>
      <c r="P4392" t="n">
        <v>11894</v>
      </c>
      <c r="R4392" t="inlineStr">
        <is>
          <t>InStock</t>
        </is>
      </c>
      <c r="S4392" t="inlineStr">
        <is>
          <t>69.98</t>
        </is>
      </c>
      <c r="T4392" t="inlineStr">
        <is>
          <t>7817421127896</t>
        </is>
      </c>
    </row>
    <row r="4393" ht="87" customHeight="1">
      <c r="A4393" s="2">
        <f>HYPERLINK("https://edmondsonsupply.com/collections/electricians-tools/products/copy-of-diablo-tools-d0724a-7-1-4-in-x-24-tooth-framing-saw-blade", "https://edmondsonsupply.com/collections/electricians-tools/products/copy-of-diablo-tools-d0724a-7-1-4-in-x-24-tooth-framing-saw-blade")</f>
        <v/>
      </c>
      <c r="B4393" s="2">
        <f>HYPERLINK("https://edmondsonsupply.com/products/copy-of-diablo-tools-d0724a-7-1-4-in-x-24-tooth-framing-saw-blade", "https://edmondsonsupply.com/products/copy-of-diablo-tools-d0724a-7-1-4-in-x-24-tooth-framing-saw-blade")</f>
        <v/>
      </c>
      <c r="C4393" t="inlineStr">
        <is>
          <t>Diablo Tools D1280X 12 in. x 80 Tooth Fine Finish Saw Blade</t>
        </is>
      </c>
      <c r="D4393" t="inlineStr">
        <is>
          <t>Freud D1280X Diablo 12-Inch 80 Tooth ATB Crosscutting Saw Blade with 1-Inch Arbor (12" (2-Pack))</t>
        </is>
      </c>
      <c r="E4393" s="2">
        <f>HYPERLINK("https://www.amazon.com/D1280X-Diablo-12-Inch-Crosscutting-1-Inch/dp/B07ZDJBFH7/ref=sr_1_3?keywords=Diablo+Tools+D1280X+12+in.+x+80+Tooth+Fine+Finish+Saw+Blade&amp;qid=1694735310&amp;sr=8-3", "https://www.amazon.com/D1280X-Diablo-12-Inch-Crosscutting-1-Inch/dp/B07ZDJBFH7/ref=sr_1_3?keywords=Diablo+Tools+D1280X+12+in.+x+80+Tooth+Fine+Finish+Saw+Blade&amp;qid=1694735310&amp;sr=8-3")</f>
        <v/>
      </c>
      <c r="F4393" t="inlineStr">
        <is>
          <t>B07ZDJBFH7</t>
        </is>
      </c>
      <c r="G4393">
        <f>_xlfn.IMAGE("https://edmondsonsupply.com/cdn/shop/products/D1280X_Main-Image.png?v=1633030268")</f>
        <v/>
      </c>
      <c r="H4393">
        <f>_xlfn.IMAGE("https://m.media-amazon.com/images/I/71W-SfNRQwL._AC_UL320_.jpg")</f>
        <v/>
      </c>
      <c r="K4393" t="inlineStr">
        <is>
          <t>54.97</t>
        </is>
      </c>
      <c r="L4393" t="n">
        <v>104.99</v>
      </c>
      <c r="M4393" s="1" t="inlineStr">
        <is>
          <t>91.00%</t>
        </is>
      </c>
      <c r="N4393" s="7" t="n">
        <v>-3.21</v>
      </c>
      <c r="O4393" t="n">
        <v>5</v>
      </c>
      <c r="P4393" t="n">
        <v>4</v>
      </c>
      <c r="R4393" t="inlineStr">
        <is>
          <t>InStock</t>
        </is>
      </c>
      <c r="S4393" t="inlineStr">
        <is>
          <t>85.5</t>
        </is>
      </c>
      <c r="T4393" t="inlineStr">
        <is>
          <t>4679290224740</t>
        </is>
      </c>
    </row>
    <row r="4394" ht="87" customHeight="1">
      <c r="A4394" s="2">
        <f>HYPERLINK("https://edmondsonsupply.com/collections/electricians-tools/products/milwaukee-2880-20-m18-fuel%E2%84%A2-4-1-2-5-grinder-paddle-switch-no-lock", "https://edmondsonsupply.com/collections/electricians-tools/products/milwaukee-2880-20-m18-fuel%E2%84%A2-4-1-2-5-grinder-paddle-switch-no-lock")</f>
        <v/>
      </c>
      <c r="B4394" s="2">
        <f>HYPERLINK("https://edmondsonsupply.com/products/milwaukee-2880-20-m18-fuel%e2%84%a2-4-1-2-5-grinder-paddle-switch-no-lock", "https://edmondsonsupply.com/products/milwaukee-2880-20-m18-fuel%e2%84%a2-4-1-2-5-grinder-paddle-switch-no-lock")</f>
        <v/>
      </c>
      <c r="C4394" t="inlineStr">
        <is>
          <t>Milwaukee 2880-20 M18 FUEL™ 4-1/2" / 5" Grinder Paddle Switch, No-Lock</t>
        </is>
      </c>
      <c r="D4394" t="inlineStr">
        <is>
          <t>MilwaukeeTool Milwaukee M18 FUEL 4-1/2 / 5inch Grinder Paddle Switch, No-Lock Kit 2880-22</t>
        </is>
      </c>
      <c r="E4394" s="2">
        <f>HYPERLINK("https://www.amazon.com/MilwaukeeTool-Milwaukee-Grinder-No-Lock-2880-22/dp/B09FBJL179/ref=sr_1_3?keywords=Milwaukee+2880-20+M18+FUEL%E2%84%A2+4-1%2F2%22+%2F+5%22+Grinder+Paddle+Switch%2C+No-Lock&amp;qid=1694735131&amp;sr=8-3", "https://www.amazon.com/MilwaukeeTool-Milwaukee-Grinder-No-Lock-2880-22/dp/B09FBJL179/ref=sr_1_3?keywords=Milwaukee+2880-20+M18+FUEL%E2%84%A2+4-1%2F2%22+%2F+5%22+Grinder+Paddle+Switch%2C+No-Lock&amp;qid=1694735131&amp;sr=8-3")</f>
        <v/>
      </c>
      <c r="F4394" t="inlineStr">
        <is>
          <t>B09FBJL179</t>
        </is>
      </c>
      <c r="G4394">
        <f>_xlfn.IMAGE("https://edmondsonsupply.com/cdn/shop/products/2880-20_1.webp?v=1661698933")</f>
        <v/>
      </c>
      <c r="H4394">
        <f>_xlfn.IMAGE("https://m.media-amazon.com/images/I/61Vmp8uxgHL._AC_UL320_.jpg")</f>
        <v/>
      </c>
      <c r="K4394" t="inlineStr">
        <is>
          <t>199.0</t>
        </is>
      </c>
      <c r="L4394" t="n">
        <v>379.95</v>
      </c>
      <c r="M4394" s="1" t="inlineStr">
        <is>
          <t>90.93%</t>
        </is>
      </c>
      <c r="N4394" s="7" t="n">
        <v>-3.23</v>
      </c>
      <c r="O4394" t="n">
        <v>4.8</v>
      </c>
      <c r="P4394" t="n">
        <v>8</v>
      </c>
      <c r="R4394" t="inlineStr">
        <is>
          <t>InStock</t>
        </is>
      </c>
      <c r="S4394" t="inlineStr">
        <is>
          <t>330.0</t>
        </is>
      </c>
      <c r="T4394" t="inlineStr">
        <is>
          <t>7795852411096</t>
        </is>
      </c>
    </row>
    <row r="4395" ht="87" customHeight="1">
      <c r="A4395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4395" s="2">
        <f>HYPERLINK("https://edmondsonsupply.com/products/klein-tools-rt250-gfci-receptacle-tester-with-lcd", "https://edmondsonsupply.com/products/klein-tools-rt250-gfci-receptacle-tester-with-lcd")</f>
        <v/>
      </c>
      <c r="C4395" t="inlineStr">
        <is>
          <t>Klein Tools RT250 GFCI Receptacle Tester with LCD</t>
        </is>
      </c>
      <c r="D4395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4395" s="2">
        <f>HYPERLINK("https://www.amazon.com/Klein-Tools-Receptacle-Electrical-Accessory/dp/B09P83VQDK/ref=sr_1_3?keywords=Klein+Tools+RT250+GFCI+Receptacle+Tester+with+LCD&amp;qid=1694735148&amp;sr=8-3", "https://www.amazon.com/Klein-Tools-Receptacle-Electrical-Accessory/dp/B09P83VQDK/ref=sr_1_3?keywords=Klein+Tools+RT250+GFCI+Receptacle+Tester+with+LCD&amp;qid=1694735148&amp;sr=8-3")</f>
        <v/>
      </c>
      <c r="F4395" t="inlineStr">
        <is>
          <t>B09P83VQDK</t>
        </is>
      </c>
      <c r="G4395">
        <f>_xlfn.IMAGE("https://edmondsonsupply.com/cdn/shop/products/rt250_photo_c.jpg?v=1661363824")</f>
        <v/>
      </c>
      <c r="H4395">
        <f>_xlfn.IMAGE("https://m.media-amazon.com/images/I/51Y6EmT5N-L._AC_UL320_.jpg")</f>
        <v/>
      </c>
      <c r="K4395" t="inlineStr">
        <is>
          <t>21.97</t>
        </is>
      </c>
      <c r="L4395" t="n">
        <v>41.94</v>
      </c>
      <c r="M4395" s="1" t="inlineStr">
        <is>
          <t>90.90%</t>
        </is>
      </c>
      <c r="N4395" s="7" t="n">
        <v>-3.27</v>
      </c>
      <c r="O4395" t="n">
        <v>4.9</v>
      </c>
      <c r="P4395" t="n">
        <v>20</v>
      </c>
      <c r="R4395" t="inlineStr">
        <is>
          <t>InStock</t>
        </is>
      </c>
      <c r="S4395" t="inlineStr">
        <is>
          <t>30.78</t>
        </is>
      </c>
      <c r="T4395" t="inlineStr">
        <is>
          <t>7793138729176</t>
        </is>
      </c>
    </row>
    <row r="4396" hidden="1" ht="15.75" customHeight="1">
      <c r="A4396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4396" s="2">
        <f>HYPERLINK("https://edmondsonsupply.com/products/klein-tools-rt250-gfci-receptacle-tester-with-lcd", "https://edmondsonsupply.com/products/klein-tools-rt250-gfci-receptacle-tester-with-lcd")</f>
        <v/>
      </c>
      <c r="C4396" t="inlineStr">
        <is>
          <t>Klein Tools RT250 GFCI Receptacle Tester with LCD</t>
        </is>
      </c>
      <c r="D4396" t="inlineStr">
        <is>
          <t>Klein Tools NCVT1P Voltage Tester, Non-Contact Voltage Detector Pen &amp; RT250 GFCI Receptacle Tester with LCD Display, for Standard 3-Wire 120V Electrical Outlets</t>
        </is>
      </c>
      <c r="E4396" s="2">
        <f>HYPERLINK("https://www.amazon.com/Klein-Tools-Non-Contact-Receptacle-Electrical/dp/B09Y7XWBF8/ref=sr_1_11?keywords=Klein+Tools+RT250+GFCI+Receptacle+Tester+with+LCD&amp;qid=1694735148&amp;sr=8-11", "https://www.amazon.com/Klein-Tools-Non-Contact-Receptacle-Electrical/dp/B09Y7XWBF8/ref=sr_1_11?keywords=Klein+Tools+RT250+GFCI+Receptacle+Tester+with+LCD&amp;qid=1694735148&amp;sr=8-11")</f>
        <v/>
      </c>
      <c r="F4396" t="inlineStr">
        <is>
          <t>B09Y7XWBF8</t>
        </is>
      </c>
      <c r="G4396">
        <f>_xludf.IMAGE("https://edmondsonsupply.com/cdn/shop/products/rt250_photo_c.jpg?v=1661363824")</f>
        <v/>
      </c>
      <c r="H4396">
        <f>_xludf.IMAGE("https://m.media-amazon.com/images/I/51LNefsL0aL._AC_UL320_.jpg")</f>
        <v/>
      </c>
      <c r="K4396" t="inlineStr">
        <is>
          <t>21.97</t>
        </is>
      </c>
      <c r="L4396" t="n">
        <v>41.94</v>
      </c>
      <c r="M4396" s="1" t="inlineStr">
        <is>
          <t>90.90%</t>
        </is>
      </c>
      <c r="N4396" s="1" t="n">
        <v>-3.27</v>
      </c>
      <c r="O4396" t="n">
        <v>3.9</v>
      </c>
      <c r="P4396" t="n">
        <v>8</v>
      </c>
      <c r="R4396" t="inlineStr">
        <is>
          <t>InStock</t>
        </is>
      </c>
      <c r="S4396" t="inlineStr">
        <is>
          <t>30.78</t>
        </is>
      </c>
      <c r="T4396" t="inlineStr">
        <is>
          <t>7793138729176</t>
        </is>
      </c>
    </row>
    <row r="4397" ht="87" customHeight="1">
      <c r="A4397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397" s="2">
        <f>HYPERLINK("https://edmondsonsupply.com/products/klein-tools-32305-15-in-1-multi-bit-ratcheting-screwdriver", "https://edmondsonsupply.com/products/klein-tools-32305-15-in-1-multi-bit-ratcheting-screwdriver")</f>
        <v/>
      </c>
      <c r="C4397" t="inlineStr">
        <is>
          <t>Klein Tools 32305 15-in-1 Multi-Bit Ratcheting Screwdriver</t>
        </is>
      </c>
      <c r="D4397" t="inlineStr">
        <is>
          <t>Klein Tools 32328 Precision Screwdriver, 27-in-1 Multi-Bit Screwdriver &amp; 32305 Multi-bit Ratcheting Screwdriver, 15-in-1 Tool with Phillips, Slotted, Square, Torx and Combo Bits and 1/4-Inch</t>
        </is>
      </c>
      <c r="E4397" s="2">
        <f>HYPERLINK("https://www.amazon.com/Klein-Tools-Precision-Screwdriver-Ratcheting/dp/B0BXKBW2ZF/ref=sr_1_16?keywords=Klein+Tools+32305+15-in-1+Multi-Bit+Ratcheting+Screwdriver&amp;qid=1694735163&amp;sr=8-16", "https://www.amazon.com/Klein-Tools-Precision-Screwdriver-Ratcheting/dp/B0BXKBW2ZF/ref=sr_1_16?keywords=Klein+Tools+32305+15-in-1+Multi-Bit+Ratcheting+Screwdriver&amp;qid=1694735163&amp;sr=8-16")</f>
        <v/>
      </c>
      <c r="F4397" t="inlineStr">
        <is>
          <t>B0BXKBW2ZF</t>
        </is>
      </c>
      <c r="G4397">
        <f>_xlfn.IMAGE("https://edmondsonsupply.com/cdn/shop/products/32305.jpg?v=1646965475")</f>
        <v/>
      </c>
      <c r="H4397">
        <f>_xlfn.IMAGE("https://m.media-amazon.com/images/I/41wVHjLBx2L._AC_UL320_.jpg")</f>
        <v/>
      </c>
      <c r="K4397" t="inlineStr">
        <is>
          <t>21.97</t>
        </is>
      </c>
      <c r="L4397" t="n">
        <v>41.94</v>
      </c>
      <c r="M4397" s="1" t="inlineStr">
        <is>
          <t>90.90%</t>
        </is>
      </c>
      <c r="N4397" s="7" t="n">
        <v>-3.33</v>
      </c>
      <c r="O4397" t="n">
        <v>4.8</v>
      </c>
      <c r="P4397" t="n">
        <v>9</v>
      </c>
      <c r="R4397" t="inlineStr">
        <is>
          <t>InStock</t>
        </is>
      </c>
      <c r="S4397" t="inlineStr">
        <is>
          <t>30.78</t>
        </is>
      </c>
      <c r="T4397" t="inlineStr">
        <is>
          <t>7632426598616</t>
        </is>
      </c>
    </row>
    <row r="4398" ht="87" customHeight="1">
      <c r="A4398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398" s="2">
        <f>HYPERLINK("https://edmondsonsupply.com/products/klein-tools-32305-15-in-1-multi-bit-ratcheting-screwdriver", "https://edmondsonsupply.com/products/klein-tools-32305-15-in-1-multi-bit-ratcheting-screwdriver")</f>
        <v/>
      </c>
      <c r="C4398" t="inlineStr">
        <is>
          <t>Klein Tools 32305 15-in-1 Multi-Bit Ratcheting Screwdriver</t>
        </is>
      </c>
      <c r="D4398" t="inlineStr">
        <is>
          <t>Klein Tools 32305 Multi-bit Ratcheting Screwdriver, 15-in-1 Tool with Phillips, Slotted, Torx and Combo Bits and 1/4-Inch Nut Driver &amp; 27 in 1 Multi Bit Precision Screwdriver with Tamperproof Bit</t>
        </is>
      </c>
      <c r="E4398" s="2">
        <f>HYPERLINK("https://www.amazon.com/Klein-Tools-Ratcheting-Screwdriver-Tamperproof/dp/B0BVG436BF/ref=sr_1_3?keywords=Klein+Tools+32305+15-in-1+Multi-Bit+Ratcheting+Screwdriver&amp;qid=1694735163&amp;sr=8-3", "https://www.amazon.com/Klein-Tools-Ratcheting-Screwdriver-Tamperproof/dp/B0BVG436BF/ref=sr_1_3?keywords=Klein+Tools+32305+15-in-1+Multi-Bit+Ratcheting+Screwdriver&amp;qid=1694735163&amp;sr=8-3")</f>
        <v/>
      </c>
      <c r="F4398" t="inlineStr">
        <is>
          <t>B0BVG436BF</t>
        </is>
      </c>
      <c r="G4398">
        <f>_xlfn.IMAGE("https://edmondsonsupply.com/cdn/shop/products/32305.jpg?v=1646965475")</f>
        <v/>
      </c>
      <c r="H4398">
        <f>_xlfn.IMAGE("https://m.media-amazon.com/images/I/41WYylf-lZL._AC_UL320_.jpg")</f>
        <v/>
      </c>
      <c r="K4398" t="inlineStr">
        <is>
          <t>21.97</t>
        </is>
      </c>
      <c r="L4398" t="n">
        <v>41.94</v>
      </c>
      <c r="M4398" s="1" t="inlineStr">
        <is>
          <t>90.90%</t>
        </is>
      </c>
      <c r="N4398" s="7" t="n">
        <v>-3.33</v>
      </c>
      <c r="O4398" t="n">
        <v>4.5</v>
      </c>
      <c r="P4398" t="n">
        <v>5</v>
      </c>
      <c r="R4398" t="inlineStr">
        <is>
          <t>InStock</t>
        </is>
      </c>
      <c r="S4398" t="inlineStr">
        <is>
          <t>30.78</t>
        </is>
      </c>
      <c r="T4398" t="inlineStr">
        <is>
          <t>7632426598616</t>
        </is>
      </c>
    </row>
    <row r="4399" ht="87" customHeight="1">
      <c r="A4399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4399" s="2">
        <f>HYPERLINK("https://edmondsonsupply.com/products/klein-tools-ir5-dual-laser-infrared-thermometer", "https://edmondsonsupply.com/products/klein-tools-ir5-dual-laser-infrared-thermometer")</f>
        <v/>
      </c>
      <c r="C4399" t="inlineStr">
        <is>
          <t>Klein Tools IR5 Dual Laser Infrared Thermometer</t>
        </is>
      </c>
      <c r="D4399" t="inlineStr">
        <is>
          <t>Klein Tools IR10 Infrared Thermometer, Digital Thermometer Gun with Dual Targeting Laser, 20:1 &amp; ET10 Magnetic Digital Pocket Thermometer</t>
        </is>
      </c>
      <c r="E4399" s="2">
        <f>HYPERLINK("https://www.amazon.com/Klein-Tools-Infrared-Thermometer-Targeting/dp/B0BGJ6JX2Q/ref=sr_1_15?keywords=Klein+Tools+IR5+Dual+Laser+Infrared+Thermometer&amp;qid=1694735248&amp;sr=8-15", "https://www.amazon.com/Klein-Tools-Infrared-Thermometer-Targeting/dp/B0BGJ6JX2Q/ref=sr_1_15?keywords=Klein+Tools+IR5+Dual+Laser+Infrared+Thermometer&amp;qid=1694735248&amp;sr=8-15")</f>
        <v/>
      </c>
      <c r="F4399" t="inlineStr">
        <is>
          <t>B0BGJ6JX2Q</t>
        </is>
      </c>
      <c r="G4399">
        <f>_xlfn.IMAGE("https://edmondsonsupply.com/cdn/shop/products/ir5.jpg?v=1587148495")</f>
        <v/>
      </c>
      <c r="H4399">
        <f>_xlfn.IMAGE("https://m.media-amazon.com/images/I/51I0Gu41RPL._AC_UY218_.jpg")</f>
        <v/>
      </c>
      <c r="K4399" t="inlineStr">
        <is>
          <t>64.97</t>
        </is>
      </c>
      <c r="L4399" t="n">
        <v>123.98</v>
      </c>
      <c r="M4399" s="1" t="inlineStr">
        <is>
          <t>90.83%</t>
        </is>
      </c>
      <c r="N4399" s="7" t="n">
        <v>-3.38</v>
      </c>
      <c r="O4399" t="n">
        <v>5</v>
      </c>
      <c r="P4399" t="n">
        <v>2</v>
      </c>
      <c r="R4399" t="inlineStr">
        <is>
          <t>InStock</t>
        </is>
      </c>
      <c r="S4399" t="inlineStr">
        <is>
          <t>80.92</t>
        </is>
      </c>
      <c r="T4399" t="inlineStr">
        <is>
          <t>4385570160740</t>
        </is>
      </c>
    </row>
    <row r="4400" ht="87" customHeight="1">
      <c r="A4400" s="2">
        <f>HYPERLINK("https://edmondsonsupply.com/collections/electricians-tools/products/klein-tools-1550-44-pocket-knife-2-5-8-inch-hawkbill-slitting-blade", "https://edmondsonsupply.com/collections/electricians-tools/products/klein-tools-1550-44-pocket-knife-2-5-8-inch-hawkbill-slitting-blade")</f>
        <v/>
      </c>
      <c r="B4400" s="2">
        <f>HYPERLINK("https://edmondsonsupply.com/products/klein-tools-1550-44-pocket-knife-2-5-8-inch-hawkbill-slitting-blade", "https://edmondsonsupply.com/products/klein-tools-1550-44-pocket-knife-2-5-8-inch-hawkbill-slitting-blade")</f>
        <v/>
      </c>
      <c r="C4400" t="inlineStr">
        <is>
          <t>Klein Tools 1550-44 Pocket Knife, 2-5/8-Inch Hawkbill Slitting Blade</t>
        </is>
      </c>
      <c r="D4400" t="inlineStr">
        <is>
          <t>Klein Tools 44006 Pocket Knife, Electricians Knife with 2-5/8-Inch Hawkbill Blade and Aluminum Handle</t>
        </is>
      </c>
      <c r="E4400" s="2">
        <f>HYPERLINK("https://www.amazon.com/Lockback-8-Inch-Aluminum-Klein-Tools/dp/B009EBS4Q8/ref=sr_1_2?keywords=Klein+Tools+1550-44+Pocket+Knife%2C+2-5%2F8-Inch+Hawkbill+Slitting+Blade&amp;qid=1694735130&amp;sr=8-2", "https://www.amazon.com/Lockback-8-Inch-Aluminum-Klein-Tools/dp/B009EBS4Q8/ref=sr_1_2?keywords=Klein+Tools+1550-44+Pocket+Knife%2C+2-5%2F8-Inch+Hawkbill+Slitting+Blade&amp;qid=1694735130&amp;sr=8-2")</f>
        <v/>
      </c>
      <c r="F4400" t="inlineStr">
        <is>
          <t>B009EBS4Q8</t>
        </is>
      </c>
      <c r="G4400">
        <f>_xlfn.IMAGE("https://edmondsonsupply.com/cdn/shop/products/155044_c.jpg?v=1662662355")</f>
        <v/>
      </c>
      <c r="H4400">
        <f>_xlfn.IMAGE("https://m.media-amazon.com/images/I/41kN3c5N5jS._AC_UL320_.jpg")</f>
        <v/>
      </c>
      <c r="K4400" t="inlineStr">
        <is>
          <t>30.93</t>
        </is>
      </c>
      <c r="L4400" t="n">
        <v>59</v>
      </c>
      <c r="M4400" s="1" t="inlineStr">
        <is>
          <t>90.75%</t>
        </is>
      </c>
      <c r="N4400" s="7" t="n">
        <v>-3.4</v>
      </c>
      <c r="O4400" t="n">
        <v>4.7</v>
      </c>
      <c r="P4400" t="n">
        <v>338</v>
      </c>
      <c r="R4400" t="inlineStr">
        <is>
          <t>InStock</t>
        </is>
      </c>
      <c r="S4400" t="inlineStr">
        <is>
          <t>48.6</t>
        </is>
      </c>
      <c r="T4400" t="inlineStr">
        <is>
          <t>7809379172568</t>
        </is>
      </c>
    </row>
    <row r="4401" ht="87" customHeight="1">
      <c r="A4401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401" s="2">
        <f>HYPERLINK("https://edmondsonsupply.com/products/klein-tools-11057-klein-kurve%c2%ae-wire-stripper-and-cutter", "https://edmondsonsupply.com/products/klein-tools-11057-klein-kurve%c2%ae-wire-stripper-and-cutter")</f>
        <v/>
      </c>
      <c r="C4401" t="inlineStr">
        <is>
          <t>Klein Tools 11057 Klein-Kurve® Wire Stripper and Cutter</t>
        </is>
      </c>
      <c r="D4401" t="inlineStr">
        <is>
          <t>Klein Tools K12065CR Wire Stripper / Cutter / Crimper Tool for Cutting, Stripping, Crimping, Twisting (8-18 AWG solid, 10-20 AWG stranded)</t>
        </is>
      </c>
      <c r="E4401" s="2">
        <f>HYPERLINK("https://www.amazon.com/Heavy-Stripper-Cutter-Crimper-Multi/dp/B08BX9RTPX/ref=sr_1_17?keywords=Klein+Tools+11057+Klein-Kurve%C2%AE+Wire+Stripper+and+Cutter&amp;qid=1694735357&amp;sr=8-17", "https://www.amazon.com/Heavy-Stripper-Cutter-Crimper-Multi/dp/B08BX9RTPX/ref=sr_1_17?keywords=Klein+Tools+11057+Klein-Kurve%C2%AE+Wire+Stripper+and+Cutter&amp;qid=1694735357&amp;sr=8-17")</f>
        <v/>
      </c>
      <c r="F4401" t="inlineStr">
        <is>
          <t>B08BX9RTPX</t>
        </is>
      </c>
      <c r="G4401">
        <f>_xlfn.IMAGE("https://edmondsonsupply.com/cdn/shop/products/11057.jpg?v=1587146927")</f>
        <v/>
      </c>
      <c r="H4401">
        <f>_xlfn.IMAGE("https://m.media-amazon.com/images/I/51Oylu1vHoL._AC_UL320_.jpg")</f>
        <v/>
      </c>
      <c r="K4401" t="inlineStr">
        <is>
          <t>20.97</t>
        </is>
      </c>
      <c r="L4401" t="n">
        <v>39.97</v>
      </c>
      <c r="M4401" s="1" t="inlineStr">
        <is>
          <t>90.61%</t>
        </is>
      </c>
      <c r="N4401" s="7" t="n">
        <v>-3.46</v>
      </c>
      <c r="O4401" t="n">
        <v>4.7</v>
      </c>
      <c r="P4401" t="n">
        <v>723</v>
      </c>
      <c r="R4401" t="inlineStr">
        <is>
          <t>InStock</t>
        </is>
      </c>
      <c r="S4401" t="inlineStr">
        <is>
          <t>32.72</t>
        </is>
      </c>
      <c r="T4401" t="inlineStr">
        <is>
          <t>4455254720612</t>
        </is>
      </c>
    </row>
    <row r="4402" ht="87" customHeight="1">
      <c r="A4402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4402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4402" t="inlineStr">
        <is>
          <t>Klein Tools K11095 Klein-Kurve® Wire Stripper / Cutter, 8-20 AWG</t>
        </is>
      </c>
      <c r="D4402" t="inlineStr">
        <is>
          <t>Klein Tools 2005N Wire Cutter, Stripper, Crimper Tool, Strips 10-18 AWG Stranded, Crimps 10-22 AWG Terminals, with Shear Cutter Red</t>
        </is>
      </c>
      <c r="E4402" s="2">
        <f>HYPERLINK("https://www.amazon.com/Klein-Tools-2005N-Crimper-Stripper/dp/B07WTRVZ18/ref=sr_1_28?keywords=Klein+Tools+K11095+Klein-Kurve%C2%AE+Wire+Stripper+%2F+Cutter%2C+8-20+AWG&amp;qid=1694735132&amp;sr=8-28", "https://www.amazon.com/Klein-Tools-2005N-Crimper-Stripper/dp/B07WTRVZ18/ref=sr_1_28?keywords=Klein+Tools+K11095+Klein-Kurve%C2%AE+Wire+Stripper+%2F+Cutter%2C+8-20+AWG&amp;qid=1694735132&amp;sr=8-28")</f>
        <v/>
      </c>
      <c r="F4402" t="inlineStr">
        <is>
          <t>B07WTRVZ18</t>
        </is>
      </c>
      <c r="G4402">
        <f>_xlfn.IMAGE("https://edmondsonsupply.com/cdn/shop/products/k11095_b_front_vertical.jpg?v=1661364611")</f>
        <v/>
      </c>
      <c r="H4402">
        <f>_xlfn.IMAGE("https://m.media-amazon.com/images/I/51HDCyutY4L._AC_UL320_.jpg")</f>
        <v/>
      </c>
      <c r="K4402" t="inlineStr">
        <is>
          <t>20.97</t>
        </is>
      </c>
      <c r="L4402" t="n">
        <v>39.97</v>
      </c>
      <c r="M4402" s="1" t="inlineStr">
        <is>
          <t>90.61%</t>
        </is>
      </c>
      <c r="N4402" s="7" t="n">
        <v>-3.49</v>
      </c>
      <c r="O4402" t="n">
        <v>4.8</v>
      </c>
      <c r="P4402" t="n">
        <v>1009</v>
      </c>
      <c r="R4402" t="inlineStr">
        <is>
          <t>InStock</t>
        </is>
      </c>
      <c r="S4402" t="inlineStr">
        <is>
          <t>29.38</t>
        </is>
      </c>
      <c r="T4402" t="inlineStr">
        <is>
          <t>7793145315544</t>
        </is>
      </c>
    </row>
    <row r="4403" ht="87" customHeight="1">
      <c r="A4403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403" s="2">
        <f>HYPERLINK("https://edmondsonsupply.com/products/klein-tools-11057-klein-kurve%c2%ae-wire-stripper-and-cutter", "https://edmondsonsupply.com/products/klein-tools-11057-klein-kurve%c2%ae-wire-stripper-and-cutter")</f>
        <v/>
      </c>
      <c r="C4403" t="inlineStr">
        <is>
          <t>Klein Tools 11057 Klein-Kurve® Wire Stripper and Cutter</t>
        </is>
      </c>
      <c r="D4403" t="inlineStr">
        <is>
          <t>Klein Tools 2005N Wire Cutter, Stripper, Crimper Tool, Strips 10-18 AWG Stranded, Crimps 10-22 AWG Terminals, with Shear Cutter Red</t>
        </is>
      </c>
      <c r="E4403" s="2">
        <f>HYPERLINK("https://www.amazon.com/Klein-Tools-2005N-Crimper-Stripper/dp/B07WTRVZ18/ref=sr_1_26?keywords=Klein+Tools+11057+Klein-Kurve%C2%AE+Wire+Stripper+and+Cutter&amp;qid=1694735357&amp;sr=8-26", "https://www.amazon.com/Klein-Tools-2005N-Crimper-Stripper/dp/B07WTRVZ18/ref=sr_1_26?keywords=Klein+Tools+11057+Klein-Kurve%C2%AE+Wire+Stripper+and+Cutter&amp;qid=1694735357&amp;sr=8-26")</f>
        <v/>
      </c>
      <c r="F4403" t="inlineStr">
        <is>
          <t>B07WTRVZ18</t>
        </is>
      </c>
      <c r="G4403">
        <f>_xlfn.IMAGE("https://edmondsonsupply.com/cdn/shop/products/11057.jpg?v=1587146927")</f>
        <v/>
      </c>
      <c r="H4403">
        <f>_xlfn.IMAGE("https://m.media-amazon.com/images/I/51HDCyutY4L._AC_UL320_.jpg")</f>
        <v/>
      </c>
      <c r="K4403" t="inlineStr">
        <is>
          <t>20.97</t>
        </is>
      </c>
      <c r="L4403" t="n">
        <v>39.97</v>
      </c>
      <c r="M4403" s="1" t="inlineStr">
        <is>
          <t>90.61%</t>
        </is>
      </c>
      <c r="N4403" s="7" t="n">
        <v>-3.6</v>
      </c>
      <c r="O4403" t="n">
        <v>4.8</v>
      </c>
      <c r="P4403" t="n">
        <v>1009</v>
      </c>
      <c r="R4403" t="inlineStr">
        <is>
          <t>InStock</t>
        </is>
      </c>
      <c r="S4403" t="inlineStr">
        <is>
          <t>32.72</t>
        </is>
      </c>
      <c r="T4403" t="inlineStr">
        <is>
          <t>4455254720612</t>
        </is>
      </c>
    </row>
    <row r="4404" ht="87" customHeight="1">
      <c r="A4404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4404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4404" t="inlineStr">
        <is>
          <t>Klein Tools K11095 Klein-Kurve® Wire Stripper / Cutter, 8-20 AWG</t>
        </is>
      </c>
      <c r="D4404" t="inlineStr">
        <is>
          <t>Klein Tools K12065CR Wire Stripper / Cutter / Crimper Tool for Cutting, Stripping, Crimping, Twisting (8-18 AWG solid, 10-20 AWG stranded)</t>
        </is>
      </c>
      <c r="E4404" s="2">
        <f>HYPERLINK("https://www.amazon.com/Heavy-Stripper-Cutter-Crimper-Multi/dp/B08BX9RTPX/ref=sr_1_5?keywords=Klein+Tools+K11095+Klein-Kurve%C2%AE+Wire+Stripper+%2F+Cutter%2C+8-20+AWG&amp;qid=1694735132&amp;sr=8-5", "https://www.amazon.com/Heavy-Stripper-Cutter-Crimper-Multi/dp/B08BX9RTPX/ref=sr_1_5?keywords=Klein+Tools+K11095+Klein-Kurve%C2%AE+Wire+Stripper+%2F+Cutter%2C+8-20+AWG&amp;qid=1694735132&amp;sr=8-5")</f>
        <v/>
      </c>
      <c r="F4404" t="inlineStr">
        <is>
          <t>B08BX9RTPX</t>
        </is>
      </c>
      <c r="G4404">
        <f>_xlfn.IMAGE("https://edmondsonsupply.com/cdn/shop/products/k11095_b_front_vertical.jpg?v=1661364611")</f>
        <v/>
      </c>
      <c r="H4404">
        <f>_xlfn.IMAGE("https://m.media-amazon.com/images/I/51Oylu1vHoL._AC_UL320_.jpg")</f>
        <v/>
      </c>
      <c r="K4404" t="inlineStr">
        <is>
          <t>20.97</t>
        </is>
      </c>
      <c r="L4404" t="n">
        <v>39.97</v>
      </c>
      <c r="M4404" s="1" t="inlineStr">
        <is>
          <t>90.61%</t>
        </is>
      </c>
      <c r="N4404" s="7" t="n">
        <v>-3.71</v>
      </c>
      <c r="O4404" t="n">
        <v>4.7</v>
      </c>
      <c r="P4404" t="n">
        <v>723</v>
      </c>
      <c r="R4404" t="inlineStr">
        <is>
          <t>InStock</t>
        </is>
      </c>
      <c r="S4404" t="inlineStr">
        <is>
          <t>29.38</t>
        </is>
      </c>
      <c r="T4404" t="inlineStr">
        <is>
          <t>7793145315544</t>
        </is>
      </c>
    </row>
    <row r="4405" ht="87" customHeight="1">
      <c r="A4405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4405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4405" t="inlineStr">
        <is>
          <t>Klein Tools 602-4-INS 1/4-Inch Cabinet Tip Insulated Screwdriver, 4-Inch</t>
        </is>
      </c>
      <c r="D4405" t="inlineStr">
        <is>
          <t>Klein Tools 33532-INS Electrical Insulated Screwdriver Set of 2, 4-Inch Phillips and Cabinet Set, Made in USA</t>
        </is>
      </c>
      <c r="E4405" s="2">
        <f>HYPERLINK("https://www.amazon.com/Electrical-Insulated-Screwdriver-Klein-Tools/dp/B000MKIRBC/ref=sr_1_9?keywords=Klein+Tools+602-4-INS+1%2F4-Inch+Cabinet+Tip+Insulated+Screwdriver%2C+4-Inch&amp;qid=1694735209&amp;sr=8-9", "https://www.amazon.com/Electrical-Insulated-Screwdriver-Klein-Tools/dp/B000MKIRBC/ref=sr_1_9?keywords=Klein+Tools+602-4-INS+1%2F4-Inch+Cabinet+Tip+Insulated+Screwdriver%2C+4-Inch&amp;qid=1694735209&amp;sr=8-9")</f>
        <v/>
      </c>
      <c r="F4405" t="inlineStr">
        <is>
          <t>B000MKIRBC</t>
        </is>
      </c>
      <c r="G4405">
        <f>_xlfn.IMAGE("https://edmondsonsupply.com/cdn/shop/products/602-4-ins-photo.jpg?v=1633031051")</f>
        <v/>
      </c>
      <c r="H4405">
        <f>_xlfn.IMAGE("https://m.media-amazon.com/images/I/51qrC6b7nFL._AC_UL320_.jpg")</f>
        <v/>
      </c>
      <c r="K4405" t="inlineStr">
        <is>
          <t>20.99</t>
        </is>
      </c>
      <c r="L4405" t="n">
        <v>39.99</v>
      </c>
      <c r="M4405" s="1" t="inlineStr">
        <is>
          <t>90.52%</t>
        </is>
      </c>
      <c r="N4405" s="7" t="n">
        <v>-3.71</v>
      </c>
      <c r="O4405" t="n">
        <v>4.8</v>
      </c>
      <c r="P4405" t="n">
        <v>595</v>
      </c>
      <c r="R4405" t="inlineStr">
        <is>
          <t>InStock</t>
        </is>
      </c>
      <c r="S4405" t="inlineStr">
        <is>
          <t>31.8</t>
        </is>
      </c>
      <c r="T4405" t="inlineStr">
        <is>
          <t>6779496890541</t>
        </is>
      </c>
    </row>
    <row r="4406" ht="87" customHeight="1">
      <c r="A4406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4406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4406" t="inlineStr">
        <is>
          <t>Diablo Tools DMARG1150 1/2 in. x 4 in. x 6 in. SPEEDemon™ Red Granite Carbide Tipped Hammer Drill Bit</t>
        </is>
      </c>
      <c r="D4406" t="inlineStr">
        <is>
          <t>Sabre Tools 1/2 Inch x 18 Inch SDS Plus Rotary Hammer Drill Bit, Carbide Tipped for Brick, Stone, and Concrete (1/2" x 16" x 18")</t>
        </is>
      </c>
      <c r="E4406" s="2">
        <f>HYPERLINK("https://www.amazon.com/Sabre-Tools-Rotary-Carbide-Concrete/dp/B08CXP8DJB/ref=sr_1_36?keywords=Diablo+Tools+DMARG1150+1%2F2+in.+x+4+in.+x+6+in.+SPEEDemon%E2%84%A2+Red+Granite+Carbide+Tipped+Hammer+Drill+Bit&amp;qid=1694735282&amp;sr=8-36", "https://www.amazon.com/Sabre-Tools-Rotary-Carbide-Concrete/dp/B08CXP8DJB/ref=sr_1_36?keywords=Diablo+Tools+DMARG1150+1%2F2+in.+x+4+in.+x+6+in.+SPEEDemon%E2%84%A2+Red+Granite+Carbide+Tipped+Hammer+Drill+Bit&amp;qid=1694735282&amp;sr=8-36")</f>
        <v/>
      </c>
      <c r="F4406" t="inlineStr">
        <is>
          <t>B08CXP8DJB</t>
        </is>
      </c>
      <c r="G4406">
        <f>_xlfn.IMAGE("https://edmondsonsupply.com/cdn/shop/products/DMARG1150_Main-Image20200702.png?v=1633030510")</f>
        <v/>
      </c>
      <c r="H4406">
        <f>_xlfn.IMAGE("https://m.media-amazon.com/images/I/51RaOLnweGL._AC_UL320_.jpg")</f>
        <v/>
      </c>
      <c r="K4406" t="inlineStr">
        <is>
          <t>9.97</t>
        </is>
      </c>
      <c r="L4406" t="n">
        <v>18.99</v>
      </c>
      <c r="M4406" s="1" t="inlineStr">
        <is>
          <t>90.47%</t>
        </is>
      </c>
      <c r="N4406" s="7" t="n">
        <v>-3.85</v>
      </c>
      <c r="O4406" t="n">
        <v>4.6</v>
      </c>
      <c r="P4406" t="n">
        <v>400</v>
      </c>
      <c r="R4406" t="inlineStr">
        <is>
          <t>InStock</t>
        </is>
      </c>
      <c r="S4406" t="inlineStr">
        <is>
          <t>undefined</t>
        </is>
      </c>
      <c r="T4406" t="inlineStr">
        <is>
          <t>5386513907880</t>
        </is>
      </c>
    </row>
    <row r="4407" ht="87" customHeight="1">
      <c r="A4407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407" s="2">
        <f>HYPERLINK("https://edmondsonsupply.com/products/klein-tools-vdv526-200-lan-scout-%c2%ae-jr-2-cable-tester", "https://edmondsonsupply.com/products/klein-tools-vdv526-200-lan-scout-%c2%ae-jr-2-cable-tester")</f>
        <v/>
      </c>
      <c r="C4407" t="inlineStr">
        <is>
          <t>Klein Tools VDV526-200 LAN Scout ® Jr. 2 Cable Tester</t>
        </is>
      </c>
      <c r="D4407" t="inlineStr">
        <is>
          <t>Klein Tools VDV226-110 Ratcheting Modular Cable Crimper &amp; VDV526-200 Cable Tester, LAN Scout Jr. 2 Ethernet Cable Tester for CAT 5e, CAT 6/6A Cables with RJ45 Connections</t>
        </is>
      </c>
      <c r="E4407" s="2">
        <f>HYPERLINK("https://www.amazon.com/Klein-Tools-VDV226-110-Ratcheting-Connections/dp/B09T6YN1NB/ref=sr_1_6?keywords=Klein+Tools+VDV526-200+LAN+Scout+%C2%AE+Jr.+2+Cable+Tester&amp;qid=1694735126&amp;sr=8-6", "https://www.amazon.com/Klein-Tools-VDV226-110-Ratcheting-Connections/dp/B09T6YN1NB/ref=sr_1_6?keywords=Klein+Tools+VDV526-200+LAN+Scout+%C2%AE+Jr.+2+Cable+Tester&amp;qid=1694735126&amp;sr=8-6")</f>
        <v/>
      </c>
      <c r="F4407" t="inlineStr">
        <is>
          <t>B09T6YN1NB</t>
        </is>
      </c>
      <c r="G4407">
        <f>_xlfn.IMAGE("https://edmondsonsupply.com/cdn/shop/products/vdv526200.jpg?v=1663689949")</f>
        <v/>
      </c>
      <c r="H4407">
        <f>_xlfn.IMAGE("https://m.media-amazon.com/images/I/51-TxWp0yoL._AC_UY218_.jpg")</f>
        <v/>
      </c>
      <c r="K4407" t="inlineStr">
        <is>
          <t>54.97</t>
        </is>
      </c>
      <c r="L4407" t="n">
        <v>104.53</v>
      </c>
      <c r="M4407" s="1" t="inlineStr">
        <is>
          <t>90.16%</t>
        </is>
      </c>
      <c r="N4407" s="7" t="n">
        <v>-3.85</v>
      </c>
      <c r="O4407" t="n">
        <v>5</v>
      </c>
      <c r="P4407" t="n">
        <v>6</v>
      </c>
      <c r="R4407" t="inlineStr">
        <is>
          <t>InStock</t>
        </is>
      </c>
      <c r="S4407" t="inlineStr">
        <is>
          <t>82.5</t>
        </is>
      </c>
      <c r="T4407" t="inlineStr">
        <is>
          <t>7823726182616</t>
        </is>
      </c>
    </row>
    <row r="4408" ht="87" customHeight="1">
      <c r="A4408" s="2">
        <f>HYPERLINK("https://edmondsonsupply.com/collections/electricians-tools/products/milwaukee-48-22-7212-12-aluminum-pipe-wrench", "https://edmondsonsupply.com/collections/electricians-tools/products/milwaukee-48-22-7212-12-aluminum-pipe-wrench")</f>
        <v/>
      </c>
      <c r="B4408" s="2">
        <f>HYPERLINK("https://edmondsonsupply.com/products/milwaukee-48-22-7212-12-aluminum-pipe-wrench", "https://edmondsonsupply.com/products/milwaukee-48-22-7212-12-aluminum-pipe-wrench")</f>
        <v/>
      </c>
      <c r="C4408" t="inlineStr">
        <is>
          <t>Milwaukee 48-22-7212 12" Aluminum Pipe Wrench</t>
        </is>
      </c>
      <c r="D4408" t="inlineStr">
        <is>
          <t>MILWAUKEE ELEC TOOL 48 22 7224 Milwaukee 24 In. Aluminum Pipe Wrench</t>
        </is>
      </c>
      <c r="E4408" s="2">
        <f>HYPERLINK("https://www.amazon.com/MILWAUKEE-48-22-7224-Milwaukee/dp/B01HOXID1I/ref=sr_1_4?keywords=Milwaukee+48-22-7212+12%22+Aluminum+Pipe+Wrench&amp;qid=1694735005&amp;sr=8-4", "https://www.amazon.com/MILWAUKEE-48-22-7224-Milwaukee/dp/B01HOXID1I/ref=sr_1_4?keywords=Milwaukee+48-22-7212+12%22+Aluminum+Pipe+Wrench&amp;qid=1694735005&amp;sr=8-4")</f>
        <v/>
      </c>
      <c r="F4408" t="inlineStr">
        <is>
          <t>B01HOXID1I</t>
        </is>
      </c>
      <c r="G4408">
        <f>_xlfn.IMAGE("https://edmondsonsupply.com/cdn/shop/products/48-22-7218_2_1.png?v=1680096437")</f>
        <v/>
      </c>
      <c r="H4408">
        <f>_xlfn.IMAGE("https://m.media-amazon.com/images/I/7198DLJ590L._AC_UL320_.jpg")</f>
        <v/>
      </c>
      <c r="K4408" t="inlineStr">
        <is>
          <t>49.97</t>
        </is>
      </c>
      <c r="L4408" t="n">
        <v>94.98999999999999</v>
      </c>
      <c r="M4408" s="1" t="inlineStr">
        <is>
          <t>90.09%</t>
        </is>
      </c>
      <c r="N4408" s="7" t="n">
        <v>-3.85</v>
      </c>
      <c r="O4408" t="n">
        <v>4.6</v>
      </c>
      <c r="P4408" t="n">
        <v>44</v>
      </c>
      <c r="R4408" t="inlineStr">
        <is>
          <t>InStock</t>
        </is>
      </c>
      <c r="S4408" t="inlineStr">
        <is>
          <t>75.4</t>
        </is>
      </c>
      <c r="T4408" t="inlineStr">
        <is>
          <t>7969537458392</t>
        </is>
      </c>
    </row>
    <row r="4409" ht="87" customHeight="1">
      <c r="A4409" s="2">
        <f>HYPERLINK("https://edmondsonsupply.com/collections/electricians-tools/products/milwaukee-48-22-7214-14-aluminum-pipe-wrench", "https://edmondsonsupply.com/collections/electricians-tools/products/milwaukee-48-22-7214-14-aluminum-pipe-wrench")</f>
        <v/>
      </c>
      <c r="B4409" s="2">
        <f>HYPERLINK("https://edmondsonsupply.com/products/milwaukee-48-22-7214-14-aluminum-pipe-wrench", "https://edmondsonsupply.com/products/milwaukee-48-22-7214-14-aluminum-pipe-wrench")</f>
        <v/>
      </c>
      <c r="C4409" t="inlineStr">
        <is>
          <t>Milwaukee 48-22-7214 14" Aluminum Pipe Wrench</t>
        </is>
      </c>
      <c r="D4409" t="inlineStr">
        <is>
          <t>MILWAUKEE ELEC TOOL 48 22 7224 Milwaukee 24 In. Aluminum Pipe Wrench</t>
        </is>
      </c>
      <c r="E4409" s="2">
        <f>HYPERLINK("https://www.amazon.com/MILWAUKEE-48-22-7224-Milwaukee/dp/B01HOXID1I/ref=sr_1_6?keywords=Milwaukee+48-22-7214+14%22+Aluminum+Pipe+Wrench&amp;qid=1694735045&amp;sr=8-6", "https://www.amazon.com/MILWAUKEE-48-22-7224-Milwaukee/dp/B01HOXID1I/ref=sr_1_6?keywords=Milwaukee+48-22-7214+14%22+Aluminum+Pipe+Wrench&amp;qid=1694735045&amp;sr=8-6")</f>
        <v/>
      </c>
      <c r="F4409" t="inlineStr">
        <is>
          <t>B01HOXID1I</t>
        </is>
      </c>
      <c r="G4409">
        <f>_xlfn.IMAGE("https://edmondsonsupply.com/cdn/shop/products/48-22-7218_2.png?v=1675700722")</f>
        <v/>
      </c>
      <c r="H4409">
        <f>_xlfn.IMAGE("https://m.media-amazon.com/images/I/7198DLJ590L._AC_UL320_.jpg")</f>
        <v/>
      </c>
      <c r="K4409" t="inlineStr">
        <is>
          <t>49.97</t>
        </is>
      </c>
      <c r="L4409" t="n">
        <v>94.98999999999999</v>
      </c>
      <c r="M4409" s="1" t="inlineStr">
        <is>
          <t>90.09%</t>
        </is>
      </c>
      <c r="N4409" s="7" t="n">
        <v>-3.85</v>
      </c>
      <c r="O4409" t="n">
        <v>4.6</v>
      </c>
      <c r="P4409" t="n">
        <v>44</v>
      </c>
      <c r="R4409" t="inlineStr">
        <is>
          <t>InStock</t>
        </is>
      </c>
      <c r="S4409" t="inlineStr">
        <is>
          <t>75.5</t>
        </is>
      </c>
      <c r="T4409" t="inlineStr">
        <is>
          <t>7940127719640</t>
        </is>
      </c>
    </row>
    <row r="4410" ht="87" customHeight="1">
      <c r="A4410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410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410" t="inlineStr">
        <is>
          <t>Klein Tools ET310 Digital Circuit Breaker Finder with GFCI Outlet Tester</t>
        </is>
      </c>
      <c r="D4410" t="inlineStr">
        <is>
          <t>Klein Tools RT250KIT Non-Contact Voltage Tester and GFCI Receptacle Tester &amp; 80016 Circuit Breaker Finder Tool Kit with Accessories, 2-Piece Set, Includes Cat. No. ET310 and Cat. No. 69411</t>
        </is>
      </c>
      <c r="E4410" s="2">
        <f>HYPERLINK("https://www.amazon.com/Klein-Tools-Non-Contact-Receptacle-Accessories/dp/B0BC86DZ9N/ref=sr_1_31?keywords=Klein+Tools+ET310+Digital+Circuit+Breaker+Finder+with+GFCI+Outlet+Tester&amp;qid=1694734974&amp;sr=8-31", "https://www.amazon.com/Klein-Tools-Non-Contact-Receptacle-Accessories/dp/B0BC86DZ9N/ref=sr_1_31?keywords=Klein+Tools+ET310+Digital+Circuit+Breaker+Finder+with+GFCI+Outlet+Tester&amp;qid=1694734974&amp;sr=8-31")</f>
        <v/>
      </c>
      <c r="F4410" t="inlineStr">
        <is>
          <t>B0BC86DZ9N</t>
        </is>
      </c>
      <c r="G4410">
        <f>_xlfn.IMAGE("https://edmondsonsupply.com/cdn/shop/products/et310_c.jpg?v=1646963918")</f>
        <v/>
      </c>
      <c r="H4410">
        <f>_xlfn.IMAGE("https://m.media-amazon.com/images/I/516iLL0IaEL._AC_UL320_.jpg")</f>
        <v/>
      </c>
      <c r="K4410" t="inlineStr">
        <is>
          <t>49.97</t>
        </is>
      </c>
      <c r="L4410" t="n">
        <v>94.98</v>
      </c>
      <c r="M4410" s="1" t="inlineStr">
        <is>
          <t>90.07%</t>
        </is>
      </c>
      <c r="N4410" s="7" t="n">
        <v>-3.85</v>
      </c>
      <c r="O4410" t="n">
        <v>4.7</v>
      </c>
      <c r="P4410" t="n">
        <v>32</v>
      </c>
      <c r="R4410" t="inlineStr">
        <is>
          <t>InStock</t>
        </is>
      </c>
      <c r="S4410" t="inlineStr">
        <is>
          <t>75.1</t>
        </is>
      </c>
      <c r="T4410" t="inlineStr">
        <is>
          <t>3389551280228</t>
        </is>
      </c>
    </row>
    <row r="4411" ht="87" customHeight="1">
      <c r="A4411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411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411" t="inlineStr">
        <is>
          <t>Klein Tools ET310 Digital Circuit Breaker Finder with GFCI Outlet Tester</t>
        </is>
      </c>
      <c r="D4411" t="inlineStr">
        <is>
          <t>Klein Tools 80016 Circuit Breaker Finder Tool Kit &amp; RT310 Receptacle Tester, AFCI and GFCI Outlet and Device Tester for North American AC Electrical Outlet Receptacles</t>
        </is>
      </c>
      <c r="E4411" s="2">
        <f>HYPERLINK("https://www.amazon.com/Klein-Tools-Receptacle-Electrical-Receptacles/dp/B09P84542L/ref=sr_1_42?keywords=Klein+Tools+ET310+Digital+Circuit+Breaker+Finder+with+GFCI+Outlet+Tester&amp;qid=1694734974&amp;sr=8-42", "https://www.amazon.com/Klein-Tools-Receptacle-Electrical-Receptacles/dp/B09P84542L/ref=sr_1_42?keywords=Klein+Tools+ET310+Digital+Circuit+Breaker+Finder+with+GFCI+Outlet+Tester&amp;qid=1694734974&amp;sr=8-42")</f>
        <v/>
      </c>
      <c r="F4411" t="inlineStr">
        <is>
          <t>B09P84542L</t>
        </is>
      </c>
      <c r="G4411">
        <f>_xlfn.IMAGE("https://edmondsonsupply.com/cdn/shop/products/et310_c.jpg?v=1646963918")</f>
        <v/>
      </c>
      <c r="H4411">
        <f>_xlfn.IMAGE("https://m.media-amazon.com/images/I/51JAT1Kr0DL._AC_UL320_.jpg")</f>
        <v/>
      </c>
      <c r="K4411" t="inlineStr">
        <is>
          <t>49.97</t>
        </is>
      </c>
      <c r="L4411" t="n">
        <v>94.95999999999999</v>
      </c>
      <c r="M4411" s="1" t="inlineStr">
        <is>
          <t>90.03%</t>
        </is>
      </c>
      <c r="N4411" s="7" t="n">
        <v>-3.97</v>
      </c>
      <c r="O4411" t="n">
        <v>4.7</v>
      </c>
      <c r="P4411" t="n">
        <v>499</v>
      </c>
      <c r="R4411" t="inlineStr">
        <is>
          <t>InStock</t>
        </is>
      </c>
      <c r="S4411" t="inlineStr">
        <is>
          <t>75.1</t>
        </is>
      </c>
      <c r="T4411" t="inlineStr">
        <is>
          <t>3389551280228</t>
        </is>
      </c>
    </row>
    <row r="4412" hidden="1" ht="15.75" customHeight="1">
      <c r="A4412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4412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4412" t="inlineStr">
        <is>
          <t>Diablo Tools DMARG1100 5/16 in. x 4 in. x 6 in. SPEEDemon™ Red Granite Carbide Tipped Hammer Drill Bit</t>
        </is>
      </c>
      <c r="D4412" t="inlineStr">
        <is>
          <t>Diablo DMARG1110 5/16 in. x 8 in. x 10 in. SPEEDemon™ Red Granite Carbide Tipped Hammer Drill Bit</t>
        </is>
      </c>
      <c r="E4412" s="2">
        <f>HYPERLINK("https://www.amazon.com/Diablo-DMARG1110-SPEEDemon-Granite-Carbide/dp/B089LN9JJL/ref=sr_1_8?keywords=Diablo+Tools+DMARG1100+5%2F16+in.+x+4+in.+x+6+in.+SPEEDemon%E2%84%A2+Red+Granite+Carbide+Tipped+Hammer+Drill+Bit&amp;qid=1694735277&amp;sr=8-8", "https://www.amazon.com/Diablo-DMARG1110-SPEEDemon-Granite-Carbide/dp/B089LN9JJL/ref=sr_1_8?keywords=Diablo+Tools+DMARG1100+5%2F16+in.+x+4+in.+x+6+in.+SPEEDemon%E2%84%A2+Red+Granite+Carbide+Tipped+Hammer+Drill+Bit&amp;qid=1694735277&amp;sr=8-8")</f>
        <v/>
      </c>
      <c r="F4412" t="inlineStr">
        <is>
          <t>B089LN9JJL</t>
        </is>
      </c>
      <c r="G4412">
        <f>_xludf.IMAGE("https://edmondsonsupply.com/cdn/shop/products/DMARG1100_Main-Image20200702.png?v=1633030510")</f>
        <v/>
      </c>
      <c r="H4412">
        <f>_xludf.IMAGE("https://m.media-amazon.com/images/I/61Qf0cC1SJL._AC_UL320_.jpg")</f>
        <v/>
      </c>
      <c r="K4412" t="inlineStr">
        <is>
          <t>5.28</t>
        </is>
      </c>
      <c r="L4412" t="n">
        <v>10.03</v>
      </c>
      <c r="M4412" s="1" t="inlineStr">
        <is>
          <t>89.96%</t>
        </is>
      </c>
      <c r="N4412" s="1" t="n">
        <v>-3.98</v>
      </c>
      <c r="O4412" t="n">
        <v>4.2</v>
      </c>
      <c r="P4412" t="n">
        <v>5</v>
      </c>
      <c r="R4412" t="inlineStr">
        <is>
          <t>InStock</t>
        </is>
      </c>
      <c r="S4412" t="inlineStr">
        <is>
          <t>undefined</t>
        </is>
      </c>
      <c r="T4412" t="inlineStr">
        <is>
          <t>5386452861096</t>
        </is>
      </c>
    </row>
    <row r="4413" ht="87" customHeight="1">
      <c r="A4413" s="2">
        <f>HYPERLINK("https://edmondsonsupply.com/collections/electricians-tools/products/diablo-tools-dmamx1070", "https://edmondsonsupply.com/collections/electricians-tools/products/diablo-tools-dmamx1070")</f>
        <v/>
      </c>
      <c r="B4413" s="2">
        <f>HYPERLINK("https://edmondsonsupply.com/products/diablo-tools-dmamx1070", "https://edmondsonsupply.com/products/diablo-tools-dmamx1070")</f>
        <v/>
      </c>
      <c r="C4413" t="inlineStr">
        <is>
          <t>Diablo Tools DMAMX1070 9/16 in. x 24 in. x 29 in. Rebar Demon SDS‑Max 4‑Cutter Full Carbide Head Hammer Drill Bit</t>
        </is>
      </c>
      <c r="D4413" t="inlineStr">
        <is>
          <t>Diablo DMAMX1230 1 in. x 24 in. x 29 in. Rebar Demon™ SDS-Max 4-Cutter Full Carbide Head Hammer Bit</t>
        </is>
      </c>
      <c r="E4413" s="2">
        <f>HYPERLINK("https://www.amazon.com/Diablo-DMAMX1230-SDS-Max-4-Cutter-Carbide/dp/B089KWMBLT/ref=sr_1_8?keywords=Diablo+Tools+DMAMX1070+9%2F16+in.+x+24+in.+x+29+in.+Rebar+Demon+SDS%E2%80%91Max+4%E2%80%91Cutter+Full+Carbide+Head+Hammer+Drill+Bit&amp;qid=1694735258&amp;sr=8-8", "https://www.amazon.com/Diablo-DMAMX1230-SDS-Max-4-Cutter-Carbide/dp/B089KWMBLT/ref=sr_1_8?keywords=Diablo+Tools+DMAMX1070+9%2F16+in.+x+24+in.+x+29+in.+Rebar+Demon+SDS%E2%80%91Max+4%E2%80%91Cutter+Full+Carbide+Head+Hammer+Drill+Bit&amp;qid=1694735258&amp;sr=8-8")</f>
        <v/>
      </c>
      <c r="F4413" t="inlineStr">
        <is>
          <t>B089KWMBLT</t>
        </is>
      </c>
      <c r="G4413">
        <f>_xlfn.IMAGE("https://edmondsonsupply.com/cdn/shop/products/DMAMX1070_Main-Image20200701.png?v=1609799016")</f>
        <v/>
      </c>
      <c r="H4413">
        <f>_xlfn.IMAGE("https://m.media-amazon.com/images/I/61B-wgZVzML._AC_UL320_.jpg")</f>
        <v/>
      </c>
      <c r="K4413" t="inlineStr">
        <is>
          <t>57.97</t>
        </is>
      </c>
      <c r="L4413" t="n">
        <v>109.99</v>
      </c>
      <c r="M4413" s="1" t="inlineStr">
        <is>
          <t>89.74%</t>
        </is>
      </c>
      <c r="N4413" s="7" t="n">
        <v>-4</v>
      </c>
      <c r="O4413" t="n">
        <v>4.6</v>
      </c>
      <c r="P4413" t="n">
        <v>3</v>
      </c>
      <c r="R4413" t="inlineStr">
        <is>
          <t>InStock</t>
        </is>
      </c>
      <c r="S4413" t="inlineStr">
        <is>
          <t>70.56</t>
        </is>
      </c>
      <c r="T4413" t="inlineStr">
        <is>
          <t>5660462940328</t>
        </is>
      </c>
    </row>
    <row r="4414" ht="87" customHeight="1">
      <c r="A4414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4414" s="2">
        <f>HYPERLINK("https://edmondsonsupply.com/products/klein-tools-d2000-9ne-linemans-pliers-9-inch", "https://edmondsonsupply.com/products/klein-tools-d2000-9ne-linemans-pliers-9-inch")</f>
        <v/>
      </c>
      <c r="C4414" t="inlineStr">
        <is>
          <t>Klein Tools D2000-9NE Lineman's Pliers, 9-Inch</t>
        </is>
      </c>
      <c r="D4414" t="inlineStr">
        <is>
          <t>Klein Tools D20009NEINS Insulated Lineman's Pliers with Dual Layer Insulation Exceeding tests and Flame and Impact Resistence, 9-Inch</t>
        </is>
      </c>
      <c r="E4414" s="2">
        <f>HYPERLINK("https://www.amazon.com/Klein-Tools-D2000-9NE-INS-Insulated-Linemans/dp/B00093DXVQ/ref=sr_1_8?keywords=Klein+Tools+D2000-9NE+Linemans+Pliers%2C+9-Inch&amp;qid=1694735236&amp;sr=8-8", "https://www.amazon.com/Klein-Tools-D2000-9NE-INS-Insulated-Linemans/dp/B00093DXVQ/ref=sr_1_8?keywords=Klein+Tools+D2000-9NE+Linemans+Pliers%2C+9-Inch&amp;qid=1694735236&amp;sr=8-8")</f>
        <v/>
      </c>
      <c r="F4414" t="inlineStr">
        <is>
          <t>B00093DXVQ</t>
        </is>
      </c>
      <c r="G4414">
        <f>_xlfn.IMAGE("https://edmondsonsupply.com/cdn/shop/products/d20009ne.jpg?v=1633030816")</f>
        <v/>
      </c>
      <c r="H4414">
        <f>_xlfn.IMAGE("https://m.media-amazon.com/images/I/41k4r6WrCiL._AC_UL320_.jpg")</f>
        <v/>
      </c>
      <c r="K4414" t="inlineStr">
        <is>
          <t>39.99</t>
        </is>
      </c>
      <c r="L4414" t="n">
        <v>75.87</v>
      </c>
      <c r="M4414" s="1" t="inlineStr">
        <is>
          <t>89.72%</t>
        </is>
      </c>
      <c r="N4414" s="7" t="n">
        <v>-4.05</v>
      </c>
      <c r="O4414" t="n">
        <v>4.7</v>
      </c>
      <c r="P4414" t="n">
        <v>241</v>
      </c>
      <c r="R4414" t="inlineStr">
        <is>
          <t>InStock</t>
        </is>
      </c>
      <c r="S4414" t="inlineStr">
        <is>
          <t>62.04</t>
        </is>
      </c>
      <c r="T4414" t="inlineStr">
        <is>
          <t>6070895411373</t>
        </is>
      </c>
    </row>
    <row r="4415" ht="87" customHeight="1">
      <c r="A4415" s="2">
        <f>HYPERLINK("https://edmondsonsupply.com/collections/electricians-tools/products/diablo-tools-dmarg1180", "https://edmondsonsupply.com/collections/electricians-tools/products/diablo-tools-dmarg1180")</f>
        <v/>
      </c>
      <c r="B4415" s="2">
        <f>HYPERLINK("https://edmondsonsupply.com/products/diablo-tools-dmarg1180", "https://edmondsonsupply.com/products/diablo-tools-dmarg1180")</f>
        <v/>
      </c>
      <c r="C4415" t="inlineStr">
        <is>
          <t>Diablo Tools DMARG1180 5/8 in. x 10 in. x 12 in. SPEEDemon™ Red Granite Carbide Tipped Hammer Drill Bit</t>
        </is>
      </c>
      <c r="D4415" t="inlineStr">
        <is>
          <t>Sabre Tools 4-Piece 12 Inch SDS Plus Drill Bit Set, Carbide Tipped, Rotary Hammer Drill Bits for Brick, Stone, Concrete (5/8in x 12in, 3/4in x 12in, 7/8in x 12in, 1in x 12in)</t>
        </is>
      </c>
      <c r="E4415" s="2">
        <f>HYPERLINK("https://www.amazon.com/Sabre-Tools-4-Piece-Carbide-Concrete/dp/B08CXSQ8YY/ref=sr_1_17?keywords=Diablo+Tools+DMARG1180+5%2F8+in.+x+10+in.+x+12+in.+SPEEDemon%E2%84%A2+Red+Granite+Carbide+Tipped+Hammer+Drill+Bit&amp;qid=1694735299&amp;sr=8-17", "https://www.amazon.com/Sabre-Tools-4-Piece-Carbide-Concrete/dp/B08CXSQ8YY/ref=sr_1_17?keywords=Diablo+Tools+DMARG1180+5%2F8+in.+x+10+in.+x+12+in.+SPEEDemon%E2%84%A2+Red+Granite+Carbide+Tipped+Hammer+Drill+Bit&amp;qid=1694735299&amp;sr=8-17")</f>
        <v/>
      </c>
      <c r="F4415" t="inlineStr">
        <is>
          <t>B08CXSQ8YY</t>
        </is>
      </c>
      <c r="G4415">
        <f>_xlfn.IMAGE("https://edmondsonsupply.com/cdn/shop/products/DMARG1180_Main-Image.png?v=1633030424")</f>
        <v/>
      </c>
      <c r="H4415">
        <f>_xlfn.IMAGE("https://m.media-amazon.com/images/I/81pzza-F7bL._AC_UL320_.jpg")</f>
        <v/>
      </c>
      <c r="K4415" t="inlineStr">
        <is>
          <t>18.97</t>
        </is>
      </c>
      <c r="L4415" t="n">
        <v>35.99</v>
      </c>
      <c r="M4415" s="1" t="inlineStr">
        <is>
          <t>89.72%</t>
        </is>
      </c>
      <c r="N4415" s="7" t="n">
        <v>-4.06</v>
      </c>
      <c r="O4415" t="n">
        <v>4.6</v>
      </c>
      <c r="P4415" t="n">
        <v>286</v>
      </c>
      <c r="R4415" t="inlineStr">
        <is>
          <t>InStock</t>
        </is>
      </c>
      <c r="S4415" t="inlineStr">
        <is>
          <t>undefined</t>
        </is>
      </c>
      <c r="T4415" t="inlineStr">
        <is>
          <t>5323605278888</t>
        </is>
      </c>
    </row>
    <row r="4416" ht="87" customHeight="1">
      <c r="A4416" s="2">
        <f>HYPERLINK("https://edmondsonsupply.com/collections/electricians-tools/products/klein-tools-vdv526-052-cable-tester-lan-scout%C2%AE-jr-continuity-tester", "https://edmondsonsupply.com/collections/electricians-tools/products/klein-tools-vdv526-052-cable-tester-lan-scout%C2%AE-jr-continuity-tester")</f>
        <v/>
      </c>
      <c r="B4416" s="2">
        <f>HYPERLINK("https://edmondsonsupply.com/products/klein-tools-vdv526-052-cable-tester-lan-scout%c2%ae-jr-continuity-tester", "https://edmondsonsupply.com/products/klein-tools-vdv526-052-cable-tester-lan-scout%c2%ae-jr-continuity-tester")</f>
        <v/>
      </c>
      <c r="C4416" t="inlineStr">
        <is>
          <t>Klein Tools VDV526-052 Cable Tester, LAN Scout® Jr. Continuity Tester</t>
        </is>
      </c>
      <c r="D4416" t="inlineStr">
        <is>
          <t>Klein Tools VDV526-200 Cable Tester, LAN Scout Jr. 2 Ethernet Cable Tester &amp; 80024 Racheting Data Cable and CAT6 Plug 50-Pack Tool Kit, Pass Thru Installation Tool Kit, 2-Piece</t>
        </is>
      </c>
      <c r="E4416" s="2">
        <f>HYPERLINK("https://www.amazon.com/Klein-Tools-VDV526-200-Racheting-Installation/dp/B09T6ZR6BP/ref=sr_1_5?keywords=Klein+Tools+VDV526-052+Cable+Tester%2C+LAN+Scout%C2%AE+Jr.+Continuity+Tester&amp;qid=1694734999&amp;sr=8-5", "https://www.amazon.com/Klein-Tools-VDV526-200-Racheting-Installation/dp/B09T6ZR6BP/ref=sr_1_5?keywords=Klein+Tools+VDV526-052+Cable+Tester%2C+LAN+Scout%C2%AE+Jr.+Continuity+Tester&amp;qid=1694734999&amp;sr=8-5")</f>
        <v/>
      </c>
      <c r="F4416" t="inlineStr">
        <is>
          <t>B09T6ZR6BP</t>
        </is>
      </c>
      <c r="G4416">
        <f>_xlfn.IMAGE("https://edmondsonsupply.com/cdn/shop/files/vdv526-052.jpg?v=1685032494")</f>
        <v/>
      </c>
      <c r="H4416">
        <f>_xlfn.IMAGE("https://m.media-amazon.com/images/I/51KxuoR6hnL._AC_UY218_.jpg")</f>
        <v/>
      </c>
      <c r="K4416" t="inlineStr">
        <is>
          <t>59.97</t>
        </is>
      </c>
      <c r="L4416" t="n">
        <v>113.72</v>
      </c>
      <c r="M4416" s="1" t="inlineStr">
        <is>
          <t>89.63%</t>
        </is>
      </c>
      <c r="N4416" s="7" t="n">
        <v>-4.06</v>
      </c>
      <c r="O4416" t="n">
        <v>5</v>
      </c>
      <c r="P4416" t="n">
        <v>7</v>
      </c>
      <c r="R4416" t="inlineStr">
        <is>
          <t>InStock</t>
        </is>
      </c>
      <c r="S4416" t="inlineStr">
        <is>
          <t>96.68</t>
        </is>
      </c>
      <c r="T4416" t="inlineStr">
        <is>
          <t>7995835678936</t>
        </is>
      </c>
    </row>
    <row r="4417" ht="87" customHeight="1">
      <c r="A4417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4417" s="2">
        <f>HYPERLINK("https://edmondsonsupply.com/products/klein-tools-66077-flip-impact-socket-7-16-and-3-8-inch", "https://edmondsonsupply.com/products/klein-tools-66077-flip-impact-socket-7-16-and-3-8-inch")</f>
        <v/>
      </c>
      <c r="C4417" t="inlineStr">
        <is>
          <t>Klein Tools 66077 Flip Impact Socket, 7/16 and 3/8-Inch</t>
        </is>
      </c>
      <c r="D4417" t="inlineStr">
        <is>
          <t>Klein Tools 32767 Impact Driver, 3-in-1 Impact Flip Socket and Bit Holder, 1/4-Inch and 5/16-Inch Hex Drivers, 5-Inch Length (Pack of 2)</t>
        </is>
      </c>
      <c r="E4417" s="2">
        <f>HYPERLINK("https://www.amazon.com/Klein-Tools-32767-16-Inch-Drivers/dp/B0CDQKP7LM/ref=sr_1_12?keywords=Klein+Tools+66077+Flip+Impact+Socket%2C+7%2F16+and+3%2F8-Inch&amp;qid=1694735129&amp;sr=8-12", "https://www.amazon.com/Klein-Tools-32767-16-Inch-Drivers/dp/B0CDQKP7LM/ref=sr_1_12?keywords=Klein+Tools+66077+Flip+Impact+Socket%2C+7%2F16+and+3%2F8-Inch&amp;qid=1694735129&amp;sr=8-12")</f>
        <v/>
      </c>
      <c r="F4417" t="inlineStr">
        <is>
          <t>B0CDQKP7LM</t>
        </is>
      </c>
      <c r="G4417">
        <f>_xlfn.IMAGE("https://edmondsonsupply.com/cdn/shop/products/66077.jpg?v=1663082226")</f>
        <v/>
      </c>
      <c r="H4417">
        <f>_xlfn.IMAGE("https://m.media-amazon.com/images/I/41Z456wDYpL._AC_UL320_.jpg")</f>
        <v/>
      </c>
      <c r="K4417" t="inlineStr">
        <is>
          <t>10.43</t>
        </is>
      </c>
      <c r="L4417" t="n">
        <v>19.77</v>
      </c>
      <c r="M4417" s="1" t="inlineStr">
        <is>
          <t>89.55%</t>
        </is>
      </c>
      <c r="N4417" s="7" t="n">
        <v>-4.07</v>
      </c>
      <c r="O4417" t="n">
        <v>4.3</v>
      </c>
      <c r="P4417" t="n">
        <v>799</v>
      </c>
      <c r="R4417" t="inlineStr">
        <is>
          <t>InStock</t>
        </is>
      </c>
      <c r="S4417" t="inlineStr">
        <is>
          <t>14.6</t>
        </is>
      </c>
      <c r="T4417" t="inlineStr">
        <is>
          <t>7814113165528</t>
        </is>
      </c>
    </row>
    <row r="4418" ht="87" customHeight="1">
      <c r="A4418" s="2">
        <f>HYPERLINK("https://edmondsonsupply.com/collections/electricians-tools/products/channellock-3017", "https://edmondsonsupply.com/collections/electricians-tools/products/channellock-3017")</f>
        <v/>
      </c>
      <c r="B4418" s="2">
        <f>HYPERLINK("https://edmondsonsupply.com/products/channellock-3017", "https://edmondsonsupply.com/products/channellock-3017")</f>
        <v/>
      </c>
      <c r="C4418" t="inlineStr">
        <is>
          <t>Channellock 3017 8-Inch Long Nose Pliers</t>
        </is>
      </c>
      <c r="D4418" t="inlineStr">
        <is>
          <t>Channellock E318CB 8-Inch Long Nose Plier, E Series, XLT, Code Blue, 8-Inch Combination CODE BLUE Grip</t>
        </is>
      </c>
      <c r="E4418" s="2">
        <f>HYPERLINK("https://www.amazon.com/Channellock-E318CB-8-Inch-Long-Plier/dp/B00D3QJWT8/ref=sr_1_5?keywords=Channellock+3017+8-Inch+Long+Nose+Pliers&amp;qid=1694735304&amp;sr=8-5", "https://www.amazon.com/Channellock-E318CB-8-Inch-Long-Plier/dp/B00D3QJWT8/ref=sr_1_5?keywords=Channellock+3017+8-Inch+Long+Nose+Pliers&amp;qid=1694735304&amp;sr=8-5")</f>
        <v/>
      </c>
      <c r="F4418" t="inlineStr">
        <is>
          <t>B00D3QJWT8</t>
        </is>
      </c>
      <c r="G4418">
        <f>_xlfn.IMAGE("https://edmondsonsupply.com/cdn/shop/products/3017-683x1024.jpg?v=1633030322")</f>
        <v/>
      </c>
      <c r="H4418">
        <f>_xlfn.IMAGE("https://m.media-amazon.com/images/I/71ZvscW49WL._AC_UL320_.jpg")</f>
        <v/>
      </c>
      <c r="K4418" t="inlineStr">
        <is>
          <t>19.95</t>
        </is>
      </c>
      <c r="L4418" t="n">
        <v>37.74</v>
      </c>
      <c r="M4418" s="1" t="inlineStr">
        <is>
          <t>89.17%</t>
        </is>
      </c>
      <c r="N4418" s="7" t="n">
        <v>-4.1</v>
      </c>
      <c r="O4418" t="n">
        <v>4.5</v>
      </c>
      <c r="P4418" t="n">
        <v>106</v>
      </c>
      <c r="R4418" t="inlineStr">
        <is>
          <t>InStock</t>
        </is>
      </c>
      <c r="S4418" t="inlineStr">
        <is>
          <t>29.97</t>
        </is>
      </c>
      <c r="T4418" t="inlineStr">
        <is>
          <t>5245817159848</t>
        </is>
      </c>
    </row>
    <row r="4419" ht="87" customHeight="1">
      <c r="A4419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4419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4419" t="inlineStr">
        <is>
          <t>Diablo Tools DMAPL4230 5/8 in. x 10 in. x 12 in. Rebar Demon™ SDS‑Plus 4‑Cutter Full Carbide Head Hammer Bit</t>
        </is>
      </c>
      <c r="D4419" t="inlineStr">
        <is>
          <t>Diablo by Freud DMAPL4300 1 in. x 8 in. x 10 in. Rebar Demon™ SDS-Plus 4-Cutter Full Carbide Head Hammer Bit</t>
        </is>
      </c>
      <c r="E4419" s="2" t="n"/>
      <c r="F4419" t="inlineStr">
        <is>
          <t>B089LL8JD8</t>
        </is>
      </c>
      <c r="G4419">
        <f>_xlfn.IMAGE("https://edmondsonsupply.com/cdn/shop/products/DMAPL4230_Main-Image20200701.png?v=1633030428")</f>
        <v/>
      </c>
      <c r="H4419">
        <f>_xlfn.IMAGE("https://m.media-amazon.com/images/I/616UiJGsK1L._AC_UL320_.jpg")</f>
        <v/>
      </c>
      <c r="K4419" t="inlineStr">
        <is>
          <t>17.97</t>
        </is>
      </c>
      <c r="L4419" t="n">
        <v>33.95</v>
      </c>
      <c r="M4419" s="1" t="inlineStr">
        <is>
          <t>88.93%</t>
        </is>
      </c>
      <c r="N4419" s="7" t="n">
        <v>-4.12</v>
      </c>
      <c r="O4419" t="n">
        <v>4.5</v>
      </c>
      <c r="P4419" t="n">
        <v>16</v>
      </c>
      <c r="R4419" t="inlineStr">
        <is>
          <t>InStock</t>
        </is>
      </c>
      <c r="S4419" t="inlineStr">
        <is>
          <t>27.18</t>
        </is>
      </c>
      <c r="T4419" t="inlineStr">
        <is>
          <t>5326959476904</t>
        </is>
      </c>
    </row>
    <row r="4420" ht="87" customHeight="1">
      <c r="A4420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420" s="2">
        <f>HYPERLINK("https://edmondsonsupply.com/products/klein-tools-vdv526-200-lan-scout-%c2%ae-jr-2-cable-tester", "https://edmondsonsupply.com/products/klein-tools-vdv526-200-lan-scout-%c2%ae-jr-2-cable-tester")</f>
        <v/>
      </c>
      <c r="C4420" t="inlineStr">
        <is>
          <t>Klein Tools VDV526-200 LAN Scout ® Jr. 2 Cable Tester</t>
        </is>
      </c>
      <c r="D4420" t="inlineStr">
        <is>
          <t>Klein Tools 80072 RJ45 Cable Tester Kit with LAN Scout Jr. 2, Coax Crimper / Stripper / Cutter Tool and Pass-Thru Modular Data Plug</t>
        </is>
      </c>
      <c r="E4420" s="2">
        <f>HYPERLINK("https://www.amazon.com/Klein-Tools-80072-Stripper-Pass-Thru/dp/B09TPLNBQ2/ref=sr_1_8?keywords=Klein+Tools+VDV526-200+LAN+Scout+%C2%AE+Jr.+2+Cable+Tester&amp;qid=1694735126&amp;sr=8-8", "https://www.amazon.com/Klein-Tools-80072-Stripper-Pass-Thru/dp/B09TPLNBQ2/ref=sr_1_8?keywords=Klein+Tools+VDV526-200+LAN+Scout+%C2%AE+Jr.+2+Cable+Tester&amp;qid=1694735126&amp;sr=8-8")</f>
        <v/>
      </c>
      <c r="F4420" t="inlineStr">
        <is>
          <t>B09TPLNBQ2</t>
        </is>
      </c>
      <c r="G4420">
        <f>_xlfn.IMAGE("https://edmondsonsupply.com/cdn/shop/products/vdv526200.jpg?v=1663689949")</f>
        <v/>
      </c>
      <c r="H4420">
        <f>_xlfn.IMAGE("https://m.media-amazon.com/images/I/61uYEWe2vLL._AC_UY218_.jpg")</f>
        <v/>
      </c>
      <c r="K4420" t="inlineStr">
        <is>
          <t>54.97</t>
        </is>
      </c>
      <c r="L4420" t="n">
        <v>103.78</v>
      </c>
      <c r="M4420" s="1" t="inlineStr">
        <is>
          <t>88.79%</t>
        </is>
      </c>
      <c r="N4420" s="7" t="n">
        <v>-4.13</v>
      </c>
      <c r="O4420" t="n">
        <v>4.9</v>
      </c>
      <c r="P4420" t="n">
        <v>96</v>
      </c>
      <c r="R4420" t="inlineStr">
        <is>
          <t>InStock</t>
        </is>
      </c>
      <c r="S4420" t="inlineStr">
        <is>
          <t>82.5</t>
        </is>
      </c>
      <c r="T4420" t="inlineStr">
        <is>
          <t>7823726182616</t>
        </is>
      </c>
    </row>
    <row r="4421" hidden="1" ht="15.75" customHeight="1">
      <c r="A4421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4421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4421" t="inlineStr">
        <is>
          <t>Diablo Tools DMARG1070 1/4 in. x 4 in. x 6 in. SPEEDemon™ Red Granite Carbide Tipped Hammer Drill Bit</t>
        </is>
      </c>
      <c r="D4421" t="inlineStr">
        <is>
          <t>Diablo by Freud DMARG1140 7/16 in. x 4 in. x 6 in. SPEEDemon Red Granite Carbide Tipped Hammer Drill Bit Multi, One Size</t>
        </is>
      </c>
      <c r="E4421" s="2">
        <f>HYPERLINK("https://www.amazon.com/Diablo-SPEEDemon-Granite-Carbide-Tipped/dp/B089LJWV6X/ref=sr_1_11?keywords=Diablo+Tools+DMARG1070+1%2F4+in.+x+4+in.+x+6+in.+SPEEDemon%E2%84%A2+Red+Granite+Carbide+Tipped+Hammer+Drill+Bit&amp;qid=1694735286&amp;sr=8-11", "https://www.amazon.com/Diablo-SPEEDemon-Granite-Carbide-Tipped/dp/B089LJWV6X/ref=sr_1_11?keywords=Diablo+Tools+DMARG1070+1%2F4+in.+x+4+in.+x+6+in.+SPEEDemon%E2%84%A2+Red+Granite+Carbide+Tipped+Hammer+Drill+Bit&amp;qid=1694735286&amp;sr=8-11")</f>
        <v/>
      </c>
      <c r="F4421" t="inlineStr">
        <is>
          <t>B089LJWV6X</t>
        </is>
      </c>
      <c r="G4421">
        <f>_xludf.IMAGE("https://edmondsonsupply.com/cdn/shop/products/DMARG1070_Main-Image20200407.png?v=1633030419")</f>
        <v/>
      </c>
      <c r="H4421">
        <f>_xludf.IMAGE("https://m.media-amazon.com/images/I/61CZVnVOl-L._AC_UL320_.jpg")</f>
        <v/>
      </c>
      <c r="K4421" t="inlineStr">
        <is>
          <t>4.97</t>
        </is>
      </c>
      <c r="L4421" t="n">
        <v>9.369999999999999</v>
      </c>
      <c r="M4421" s="1" t="inlineStr">
        <is>
          <t>88.53%</t>
        </is>
      </c>
      <c r="N4421" s="1" t="n">
        <v>-4.2</v>
      </c>
      <c r="O4421" t="n">
        <v>5</v>
      </c>
      <c r="P4421" t="n">
        <v>7</v>
      </c>
      <c r="R4421" t="inlineStr">
        <is>
          <t>InStock</t>
        </is>
      </c>
      <c r="S4421" t="inlineStr">
        <is>
          <t>undefined</t>
        </is>
      </c>
      <c r="T4421" t="inlineStr">
        <is>
          <t>5317981700264</t>
        </is>
      </c>
    </row>
    <row r="4422" hidden="1" ht="15.75" customHeight="1">
      <c r="A4422" s="2">
        <f>HYPERLINK("https://edmondsonsupply.com/collections/electricians-tools/products/diablo-tools-dmarg1020-5-32-in-x-3-in-x-6-in-speedemon%E2%84%A2-red-granite-carbide-tipped-hammer-drill-bit", "https://edmondsonsupply.com/collections/electricians-tools/products/diablo-tools-dmarg1020-5-32-in-x-3-in-x-6-in-speedemon%E2%84%A2-red-granite-carbide-tipped-hammer-drill-bit")</f>
        <v/>
      </c>
      <c r="B4422" s="2">
        <f>HYPERLINK("https://edmondsonsupply.com/products/diablo-tools-dmarg1020-5-32-in-x-3-in-x-6-in-speedemon%e2%84%a2-red-granite-carbide-tipped-hammer-drill-bit", "https://edmondsonsupply.com/products/diablo-tools-dmarg1020-5-32-in-x-3-in-x-6-in-speedemon%e2%84%a2-red-granite-carbide-tipped-hammer-drill-bit")</f>
        <v/>
      </c>
      <c r="C4422" t="inlineStr">
        <is>
          <t>Diablo Tools DMARG1020 5/32 in. x 3 in. x 6 in. SPEEDemon™ Red Granite Carbide Tipped Hammer Drill Bit</t>
        </is>
      </c>
      <c r="D4422" t="inlineStr">
        <is>
          <t>Diablo by Freud DMARG1140 7/16 in. x 4 in. x 6 in. SPEEDemon Red Granite Carbide Tipped Hammer Drill Bit Multi, One Size</t>
        </is>
      </c>
      <c r="E4422" s="2">
        <f>HYPERLINK("https://www.amazon.com/Diablo-SPEEDemon-Granite-Carbide-Tipped/dp/B089LJWV6X/ref=sr_1_12?keywords=Diablo+Tools+DMARG1020+5%2F32+in.+x+3+in.+x+6+in.+SPEEDemon%E2%84%A2+Red+Granite+Carbide+Tipped+Hammer+Drill+Bit&amp;qid=1694735279&amp;sr=8-12", "https://www.amazon.com/Diablo-SPEEDemon-Granite-Carbide-Tipped/dp/B089LJWV6X/ref=sr_1_12?keywords=Diablo+Tools+DMARG1020+5%2F32+in.+x+3+in.+x+6+in.+SPEEDemon%E2%84%A2+Red+Granite+Carbide+Tipped+Hammer+Drill+Bit&amp;qid=1694735279&amp;sr=8-12")</f>
        <v/>
      </c>
      <c r="F4422" t="inlineStr">
        <is>
          <t>B089LJWV6X</t>
        </is>
      </c>
      <c r="G4422">
        <f>_xludf.IMAGE("https://edmondsonsupply.com/cdn/shop/products/vozy4matwskc7qc8ko6f.webp?v=1670440892")</f>
        <v/>
      </c>
      <c r="H4422">
        <f>_xludf.IMAGE("https://m.media-amazon.com/images/I/61CZVnVOl-L._AC_UL320_.jpg")</f>
        <v/>
      </c>
      <c r="K4422" t="inlineStr">
        <is>
          <t>4.97</t>
        </is>
      </c>
      <c r="L4422" t="n">
        <v>9.369999999999999</v>
      </c>
      <c r="M4422" s="1" t="inlineStr">
        <is>
          <t>88.53%</t>
        </is>
      </c>
      <c r="N4422" s="1" t="n">
        <v>-4.2</v>
      </c>
      <c r="O4422" t="n">
        <v>5</v>
      </c>
      <c r="P4422" t="n">
        <v>7</v>
      </c>
      <c r="R4422" t="inlineStr">
        <is>
          <t>InStock</t>
        </is>
      </c>
      <c r="S4422" t="inlineStr">
        <is>
          <t>undefined</t>
        </is>
      </c>
      <c r="T4422" t="inlineStr">
        <is>
          <t>5386082484392</t>
        </is>
      </c>
    </row>
    <row r="4423" ht="87" customHeight="1">
      <c r="A4423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4423" s="2">
        <f>HYPERLINK("https://edmondsonsupply.com/products/diablo-tools-dag1110-7-8-in-x-7-1-2-in-auger-bit", "https://edmondsonsupply.com/products/diablo-tools-dag1110-7-8-in-x-7-1-2-in-auger-bit")</f>
        <v/>
      </c>
      <c r="C4423" t="inlineStr">
        <is>
          <t>Diablo Tools DAG1110 7/8 in. x 7-1/2 in. Auger Bit</t>
        </is>
      </c>
      <c r="D4423" t="inlineStr">
        <is>
          <t>Diablo 7/8 in. x 17-1/2 in. Auger Bit</t>
        </is>
      </c>
      <c r="E4423" s="2">
        <f>HYPERLINK("https://www.amazon.com/Diablo-17-1-Auger-Bit/dp/B089LG8GYB/ref=sr_1_5?keywords=Diablo+Tools+DAG1110+7%2F8+in.+x+7-1%2F2+in.+Auger+Bit&amp;qid=1694735001&amp;sr=8-5", "https://www.amazon.com/Diablo-17-1-Auger-Bit/dp/B089LG8GYB/ref=sr_1_5?keywords=Diablo+Tools+DAG1110+7%2F8+in.+x+7-1%2F2+in.+Auger+Bit&amp;qid=1694735001&amp;sr=8-5")</f>
        <v/>
      </c>
      <c r="F4423" t="inlineStr">
        <is>
          <t>B089LG8GYB</t>
        </is>
      </c>
      <c r="G4423">
        <f>_xlfn.IMAGE("https://edmondsonsupply.com/cdn/shop/products/yel7mbaiyy08ii0assd5.webp?v=1680187136")</f>
        <v/>
      </c>
      <c r="H4423">
        <f>_xlfn.IMAGE("https://m.media-amazon.com/images/I/61QXZJGNQTL._AC_UL320_.jpg")</f>
        <v/>
      </c>
      <c r="K4423" t="inlineStr">
        <is>
          <t>16.97</t>
        </is>
      </c>
      <c r="L4423" t="n">
        <v>31.99</v>
      </c>
      <c r="M4423" s="1" t="inlineStr">
        <is>
          <t>88.51%</t>
        </is>
      </c>
      <c r="N4423" s="7" t="n">
        <v>-4.31</v>
      </c>
      <c r="O4423" t="n">
        <v>4.3</v>
      </c>
      <c r="P4423" t="n">
        <v>29</v>
      </c>
      <c r="R4423" t="inlineStr">
        <is>
          <t>InStock</t>
        </is>
      </c>
      <c r="S4423" t="inlineStr">
        <is>
          <t>23.76</t>
        </is>
      </c>
      <c r="T4423" t="inlineStr">
        <is>
          <t>7970459549912</t>
        </is>
      </c>
    </row>
    <row r="4424" ht="87" customHeight="1">
      <c r="A4424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424" s="2">
        <f>HYPERLINK("https://edmondsonsupply.com/products/klein-tools-11057-klein-kurve%c2%ae-wire-stripper-and-cutter", "https://edmondsonsupply.com/products/klein-tools-11057-klein-kurve%c2%ae-wire-stripper-and-cutter")</f>
        <v/>
      </c>
      <c r="C4424" t="inlineStr">
        <is>
          <t>Klein Tools 11057 Klein-Kurve® Wire Stripper and Cutter</t>
        </is>
      </c>
      <c r="D4424" t="inlineStr">
        <is>
          <t>Klein Tools 11054EINS Electrician's Insulated Wire Stripper / Cutter, 1000V Rated, VDE Certified, for Solid and Stranded Wires,Orange/Gray</t>
        </is>
      </c>
      <c r="E4424" s="2">
        <f>HYPERLINK("https://www.amazon.com/Klein-Tools-11054EINS-Electricians-Insulated/dp/B00JGG5VJ4/ref=sr_1_28?keywords=Klein+Tools+11057+Klein-Kurve%C2%AE+Wire+Stripper+and+Cutter&amp;qid=1694735357&amp;sr=8-28", "https://www.amazon.com/Klein-Tools-11054EINS-Electricians-Insulated/dp/B00JGG5VJ4/ref=sr_1_28?keywords=Klein+Tools+11057+Klein-Kurve%C2%AE+Wire+Stripper+and+Cutter&amp;qid=1694735357&amp;sr=8-28")</f>
        <v/>
      </c>
      <c r="F4424" t="inlineStr">
        <is>
          <t>B00JGG5VJ4</t>
        </is>
      </c>
      <c r="G4424">
        <f>_xlfn.IMAGE("https://edmondsonsupply.com/cdn/shop/products/11057.jpg?v=1587146927")</f>
        <v/>
      </c>
      <c r="H4424">
        <f>_xlfn.IMAGE("https://m.media-amazon.com/images/I/415hBJVvvML._AC_UL320_.jpg")</f>
        <v/>
      </c>
      <c r="K4424" t="inlineStr">
        <is>
          <t>20.97</t>
        </is>
      </c>
      <c r="L4424" t="n">
        <v>39.5</v>
      </c>
      <c r="M4424" s="1" t="inlineStr">
        <is>
          <t>88.36%</t>
        </is>
      </c>
      <c r="N4424" s="7" t="n">
        <v>-4.35</v>
      </c>
      <c r="O4424" t="n">
        <v>4.6</v>
      </c>
      <c r="P4424" t="n">
        <v>245</v>
      </c>
      <c r="R4424" t="inlineStr">
        <is>
          <t>InStock</t>
        </is>
      </c>
      <c r="S4424" t="inlineStr">
        <is>
          <t>32.72</t>
        </is>
      </c>
      <c r="T4424" t="inlineStr">
        <is>
          <t>4455254720612</t>
        </is>
      </c>
    </row>
    <row r="4425" ht="87" customHeight="1">
      <c r="A4425" s="2">
        <f>HYPERLINK("https://edmondsonsupply.com/collections/electricians-tools/products/fluke-tplus-electrical-tester", "https://edmondsonsupply.com/collections/electricians-tools/products/fluke-tplus-electrical-tester")</f>
        <v/>
      </c>
      <c r="B4425" s="2">
        <f>HYPERLINK("https://edmondsonsupply.com/products/fluke-tplus-electrical-tester", "https://edmondsonsupply.com/products/fluke-tplus-electrical-tester")</f>
        <v/>
      </c>
      <c r="C4425" t="inlineStr">
        <is>
          <t>Fluke T+ Electrical Tester</t>
        </is>
      </c>
      <c r="D4425" t="inlineStr">
        <is>
          <t>Fluke T5-1000 Voltage, Continuity and Current Tester, OpenJaw Design For Current Measurements Without Metallic Contact, Includes Detachable Slim Reach Probe Tips, Auto Selects AC or DC Voltage</t>
        </is>
      </c>
      <c r="E4425" s="2">
        <f>HYPERLINK("https://www.amazon.com/Fluke-T5-1000-Electrical-Tester/dp/B000LDKX62/ref=sr_1_11?keywords=Fluke+T+Electrical+Tester&amp;qid=1694735309&amp;sr=8-11", "https://www.amazon.com/Fluke-T5-1000-Electrical-Tester/dp/B000LDKX62/ref=sr_1_11?keywords=Fluke+T+Electrical+Tester&amp;qid=1694735309&amp;sr=8-11")</f>
        <v/>
      </c>
      <c r="F4425" t="inlineStr">
        <is>
          <t>B000LDKX62</t>
        </is>
      </c>
      <c r="G4425">
        <f>_xlfn.IMAGE("https://edmondsonsupply.com/cdn/shop/products/tplus.jpg?v=1633030280")</f>
        <v/>
      </c>
      <c r="H4425">
        <f>_xlfn.IMAGE("https://m.media-amazon.com/images/I/61hF9Hj61sL._AC_UL320_.jpg")</f>
        <v/>
      </c>
      <c r="K4425" t="inlineStr">
        <is>
          <t>94.49</t>
        </is>
      </c>
      <c r="L4425" t="n">
        <v>177.98</v>
      </c>
      <c r="M4425" s="1" t="inlineStr">
        <is>
          <t>88.36%</t>
        </is>
      </c>
      <c r="N4425" s="7" t="n">
        <v>-4.38</v>
      </c>
      <c r="O4425" t="n">
        <v>4.8</v>
      </c>
      <c r="P4425" t="n">
        <v>1278</v>
      </c>
      <c r="R4425" t="inlineStr">
        <is>
          <t>InStock</t>
        </is>
      </c>
      <c r="S4425" t="inlineStr">
        <is>
          <t>104.99</t>
        </is>
      </c>
      <c r="T4425" t="inlineStr">
        <is>
          <t>5238397337768</t>
        </is>
      </c>
    </row>
    <row r="4426" ht="87" customHeight="1">
      <c r="A4426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426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426" t="inlineStr">
        <is>
          <t>Klein Tools 32308 8-in-1 Multi-Bit Adjustable Length Stubby Screwdriver</t>
        </is>
      </c>
      <c r="D4426" t="inlineStr">
        <is>
          <t>Klein Tools 32314 Electronic Screwdriver, 14-in-1 &amp; 32308 Multi-bit Stubby Screwdriver, Impact Rated 8-in-1 Adjustable Magnetic Tool with Phillips, Slotted, Square and Nut Driver</t>
        </is>
      </c>
      <c r="E4426" s="2">
        <f>HYPERLINK("https://www.amazon.com/Klein-Tools-Electronic-Screwdriver-Adjustable/dp/B0BCTN3W3H/ref=sr_1_28?keywords=Klein+Tools+32308+8-in-1+Multi-Bit+Adjustable+Length+Stubby+Screwdriver&amp;qid=1694735167&amp;sr=8-28", "https://www.amazon.com/Klein-Tools-Electronic-Screwdriver-Adjustable/dp/B0BCTN3W3H/ref=sr_1_28?keywords=Klein+Tools+32308+8-in-1+Multi-Bit+Adjustable+Length+Stubby+Screwdriver&amp;qid=1694735167&amp;sr=8-28")</f>
        <v/>
      </c>
      <c r="F4426" t="inlineStr">
        <is>
          <t>B0BCTN3W3H</t>
        </is>
      </c>
      <c r="G4426">
        <f>_xlfn.IMAGE("https://edmondsonsupply.com/cdn/shop/products/32308_b.jpg?v=1647348209")</f>
        <v/>
      </c>
      <c r="H4426">
        <f>_xlfn.IMAGE("https://m.media-amazon.com/images/I/41CVorCDf9L._AC_UL320_.jpg")</f>
        <v/>
      </c>
      <c r="K4426" t="inlineStr">
        <is>
          <t>16.97</t>
        </is>
      </c>
      <c r="L4426" t="n">
        <v>31.94</v>
      </c>
      <c r="M4426" s="1" t="inlineStr">
        <is>
          <t>88.21%</t>
        </is>
      </c>
      <c r="N4426" s="7" t="n">
        <v>-4.38</v>
      </c>
      <c r="O4426" t="n">
        <v>4.5</v>
      </c>
      <c r="P4426" t="n">
        <v>2</v>
      </c>
      <c r="R4426" t="inlineStr">
        <is>
          <t>InStock</t>
        </is>
      </c>
      <c r="S4426" t="inlineStr">
        <is>
          <t>23.78</t>
        </is>
      </c>
      <c r="T4426" t="inlineStr">
        <is>
          <t>7637271445720</t>
        </is>
      </c>
    </row>
    <row r="4427" ht="87" customHeight="1">
      <c r="A4427" s="2">
        <f>HYPERLINK("https://edmondsonsupply.com/collections/electricians-tools/products/diablo-tools-dmamx1090-5-8", "https://edmondsonsupply.com/collections/electricians-tools/products/diablo-tools-dmamx1090-5-8")</f>
        <v/>
      </c>
      <c r="B4427" s="2">
        <f>HYPERLINK("https://edmondsonsupply.com/products/diablo-tools-dmamx1090-5-8", "https://edmondsonsupply.com/products/diablo-tools-dmamx1090-5-8")</f>
        <v/>
      </c>
      <c r="C4427" t="inlineStr">
        <is>
          <t>Diablo Tools DMAMX1090 5/8 in. x 8 in. x 13 in. Rebar Demon SDS‑Max 4‑Cutter Full Carbide Head Hammer Bit</t>
        </is>
      </c>
      <c r="D4427" t="inlineStr">
        <is>
          <t>Diablo DMAMX1110 5/8 in. x 24 in. x 29 in. Rebar Demon™ SDS-Max 4-Cutter Full Carbide Head Hammer Bit</t>
        </is>
      </c>
      <c r="E4427" s="2">
        <f>HYPERLINK("https://www.amazon.com/Diablo-SDS-Max-4-Cutter-Carbide-Hammer/dp/B089LJ9GHW/ref=sr_1_3?keywords=Diablo+Tools+DMAMX1090+5%2F8+in.+x+8+in.+x+13+in.+Rebar+Demon+SDS%E2%80%91Max+4%E2%80%91Cutter+Full+Carbide+Head+Hammer+Bit&amp;qid=1694735267&amp;sr=8-3", "https://www.amazon.com/Diablo-SDS-Max-4-Cutter-Carbide-Hammer/dp/B089LJ9GHW/ref=sr_1_3?keywords=Diablo+Tools+DMAMX1090+5%2F8+in.+x+8+in.+x+13+in.+Rebar+Demon+SDS%E2%80%91Max+4%E2%80%91Cutter+Full+Carbide+Head+Hammer+Bit&amp;qid=1694735267&amp;sr=8-3")</f>
        <v/>
      </c>
      <c r="F4427" t="inlineStr">
        <is>
          <t>B089LJ9GHW</t>
        </is>
      </c>
      <c r="G4427">
        <f>_xlfn.IMAGE("https://edmondsonsupply.com/cdn/shop/products/DMAMX1090_Main-Image20200701.png?v=1609799247")</f>
        <v/>
      </c>
      <c r="H4427">
        <f>_xlfn.IMAGE("https://m.media-amazon.com/images/I/61vWAd-z8eL._AC_UL320_.jpg")</f>
        <v/>
      </c>
      <c r="K4427" t="inlineStr">
        <is>
          <t>41.97</t>
        </is>
      </c>
      <c r="L4427" t="n">
        <v>78.98999999999999</v>
      </c>
      <c r="M4427" s="1" t="inlineStr">
        <is>
          <t>88.21%</t>
        </is>
      </c>
      <c r="N4427" s="7" t="n">
        <v>-4.4</v>
      </c>
      <c r="O4427" t="n">
        <v>4.7</v>
      </c>
      <c r="P4427" t="n">
        <v>4</v>
      </c>
      <c r="R4427" t="inlineStr">
        <is>
          <t>InStock</t>
        </is>
      </c>
      <c r="S4427" t="inlineStr">
        <is>
          <t>48.13</t>
        </is>
      </c>
      <c r="T4427" t="inlineStr">
        <is>
          <t>5463856447656</t>
        </is>
      </c>
    </row>
    <row r="4428" ht="87" customHeight="1">
      <c r="A4428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4428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4428" t="inlineStr">
        <is>
          <t>Diablo Tools DMAPL4070 1/4 in. x 4 in. x 6 in. Rebar Demon™ SDS-Plus 4-Cutter Full Carbide Head Hammer Bit</t>
        </is>
      </c>
      <c r="D4428" t="inlineStr">
        <is>
          <t>Diablo 1/4"x 16"x18" Rebar Demon™ SDS-Plus 4-Cutter Full Carbide Head Hammer Bit</t>
        </is>
      </c>
      <c r="E4428" s="2">
        <f>HYPERLINK("https://www.amazon.com/Diablo-DMAPL4100-SDS-Plus-4-Cutter-Carbide/dp/B089LG82VT/ref=sr_1_8?keywords=Diablo+Tools+DMAPL4070+1%2F4+in.+x+4+in.+x+6+in.+Rebar+Demon%E2%84%A2+SDS-Plus+4-Cutter+Full+Carbide+Head+Hammer+Bit&amp;qid=1694735303&amp;sr=8-8", "https://www.amazon.com/Diablo-DMAPL4100-SDS-Plus-4-Cutter-Carbide/dp/B089LG82VT/ref=sr_1_8?keywords=Diablo+Tools+DMAPL4070+1%2F4+in.+x+4+in.+x+6+in.+Rebar+Demon%E2%84%A2+SDS-Plus+4-Cutter+Full+Carbide+Head+Hammer+Bit&amp;qid=1694735303&amp;sr=8-8")</f>
        <v/>
      </c>
      <c r="F4428" t="inlineStr">
        <is>
          <t>B089LG82VT</t>
        </is>
      </c>
      <c r="G4428">
        <f>_xlfn.IMAGE("https://edmondsonsupply.com/cdn/shop/products/DMAPL4070_Main-Image20200701.png?v=1633030350")</f>
        <v/>
      </c>
      <c r="H4428">
        <f>_xlfn.IMAGE("https://m.media-amazon.com/images/I/61feUT5pRgL._AC_UL320_.jpg")</f>
        <v/>
      </c>
      <c r="K4428" t="inlineStr">
        <is>
          <t>8.97</t>
        </is>
      </c>
      <c r="L4428" t="n">
        <v>16.85</v>
      </c>
      <c r="M4428" s="1" t="inlineStr">
        <is>
          <t>87.85%</t>
        </is>
      </c>
      <c r="N4428" s="7" t="n">
        <v>-4.43</v>
      </c>
      <c r="O4428" t="n">
        <v>4.9</v>
      </c>
      <c r="P4428" t="n">
        <v>46</v>
      </c>
      <c r="R4428" t="inlineStr">
        <is>
          <t>InStock</t>
        </is>
      </c>
      <c r="S4428" t="inlineStr">
        <is>
          <t>undefined</t>
        </is>
      </c>
      <c r="T4428" t="inlineStr">
        <is>
          <t>5283100197032</t>
        </is>
      </c>
    </row>
    <row r="4429" ht="87" customHeight="1">
      <c r="A4429" s="2">
        <f>HYPERLINK("https://edmondsonsupply.com/collections/electricians-tools/products/klein-tools-11045-wire-stripper-cutter-10-18-awg-solid", "https://edmondsonsupply.com/collections/electricians-tools/products/klein-tools-11045-wire-stripper-cutter-10-18-awg-solid")</f>
        <v/>
      </c>
      <c r="B4429" s="2">
        <f>HYPERLINK("https://edmondsonsupply.com/products/klein-tools-11045-wire-stripper-cutter-10-18-awg-solid", "https://edmondsonsupply.com/products/klein-tools-11045-wire-stripper-cutter-10-18-awg-solid")</f>
        <v/>
      </c>
      <c r="C4429" t="inlineStr">
        <is>
          <t>Klein Tools 11045 Wire Stripper/Cutter (10-18 AWG Solid)</t>
        </is>
      </c>
      <c r="D4429" t="inlineStr">
        <is>
          <t>Klein Tools 11055RINS 1000V Insulated Klein Kurve Wire Stripper/Cutter Cuts and Strips 10-18 Solid and 12-20 Stranded AWG Wire, Orange</t>
        </is>
      </c>
      <c r="E4429" s="2">
        <f>HYPERLINK("https://www.amazon.com/Klein-Tools-11055RINS-Insulated-Stripper/dp/B0BFZBQ9XF/ref=sr_1_6?keywords=Klein+Tools+11045+Wire+Stripper%2FCutter+%2810-18+AWG+Solid%29&amp;qid=1694735208&amp;sr=8-6", "https://www.amazon.com/Klein-Tools-11055RINS-Insulated-Stripper/dp/B0BFZBQ9XF/ref=sr_1_6?keywords=Klein+Tools+11045+Wire+Stripper%2FCutter+%2810-18+AWG+Solid%29&amp;qid=1694735208&amp;sr=8-6")</f>
        <v/>
      </c>
      <c r="F4429" t="inlineStr">
        <is>
          <t>B0BFZBQ9XF</t>
        </is>
      </c>
      <c r="G4429">
        <f>_xlfn.IMAGE("https://edmondsonsupply.com/cdn/shop/products/11045.jpg?v=1633031022")</f>
        <v/>
      </c>
      <c r="H4429">
        <f>_xlfn.IMAGE("https://m.media-amazon.com/images/I/41Pemveg6bL._AC_UL320_.jpg")</f>
        <v/>
      </c>
      <c r="K4429" t="inlineStr">
        <is>
          <t>15.97</t>
        </is>
      </c>
      <c r="L4429" t="n">
        <v>29.97</v>
      </c>
      <c r="M4429" s="1" t="inlineStr">
        <is>
          <t>87.66%</t>
        </is>
      </c>
      <c r="N4429" s="7" t="n">
        <v>-4.48</v>
      </c>
      <c r="O4429" t="n">
        <v>4.6</v>
      </c>
      <c r="P4429" t="n">
        <v>54</v>
      </c>
      <c r="R4429" t="inlineStr">
        <is>
          <t>InStock</t>
        </is>
      </c>
      <c r="S4429" t="inlineStr">
        <is>
          <t>22.8</t>
        </is>
      </c>
      <c r="T4429" t="inlineStr">
        <is>
          <t>6712927027373</t>
        </is>
      </c>
    </row>
    <row r="4430" ht="87" customHeight="1">
      <c r="A4430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4430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4430" t="inlineStr">
        <is>
          <t>Klein Tools 6866INS Insulated Screwdriver, 5/16-Inch Cabinet Tip, 6-Inch Shank</t>
        </is>
      </c>
      <c r="D4430" t="inlineStr">
        <is>
          <t>Klein Tools 602-7-INS Flathead Screwdriver, 5/16-Inch Cabinet Tip, Insulated, 7-Inch Shank</t>
        </is>
      </c>
      <c r="E4430" s="2">
        <f>HYPERLINK("https://www.amazon.com/Screwdriver-Insulated-Klein-Tools-602-7-INS/dp/B00CQL8UM6/ref=sr_1_4?keywords=Klein+Tools+6866INS+Insulated+Screwdriver%2C+5%2F16-Inch+Cabinet+Tip%2C+6-Inch+Shank&amp;qid=1694735117&amp;sr=8-4", "https://www.amazon.com/Screwdriver-Insulated-Klein-Tools-602-7-INS/dp/B00CQL8UM6/ref=sr_1_4?keywords=Klein+Tools+6866INS+Insulated+Screwdriver%2C+5%2F16-Inch+Cabinet+Tip%2C+6-Inch+Shank&amp;qid=1694735117&amp;sr=8-4")</f>
        <v/>
      </c>
      <c r="F4430" t="inlineStr">
        <is>
          <t>B00CQL8UM6</t>
        </is>
      </c>
      <c r="G4430">
        <f>_xlfn.IMAGE("https://edmondsonsupply.com/cdn/shop/products/6866ins.jpg?v=1664818689")</f>
        <v/>
      </c>
      <c r="H4430">
        <f>_xlfn.IMAGE("https://m.media-amazon.com/images/I/51yWIQxCstL._AC_UL320_.jpg")</f>
        <v/>
      </c>
      <c r="K4430" t="inlineStr">
        <is>
          <t>11.97</t>
        </is>
      </c>
      <c r="L4430" t="n">
        <v>22.46</v>
      </c>
      <c r="M4430" s="1" t="inlineStr">
        <is>
          <t>87.64%</t>
        </is>
      </c>
      <c r="N4430" s="7" t="n">
        <v>-4.55</v>
      </c>
      <c r="O4430" t="n">
        <v>4.8</v>
      </c>
      <c r="P4430" t="n">
        <v>1068</v>
      </c>
      <c r="R4430" t="inlineStr">
        <is>
          <t>InStock</t>
        </is>
      </c>
      <c r="S4430" t="inlineStr">
        <is>
          <t>17.98</t>
        </is>
      </c>
      <c r="T4430" t="inlineStr">
        <is>
          <t>7837748068568</t>
        </is>
      </c>
    </row>
    <row r="4431" ht="87" customHeight="1">
      <c r="A4431" s="2">
        <f>HYPERLINK("https://edmondsonsupply.com/collections/electricians-tools/products/klein-tools-51606", "https://edmondsonsupply.com/collections/electricians-tools/products/klein-tools-51606")</f>
        <v/>
      </c>
      <c r="B4431" s="2">
        <f>HYPERLINK("https://edmondsonsupply.com/products/klein-tools-51606", "https://edmondsonsupply.com/products/klein-tools-51606")</f>
        <v/>
      </c>
      <c r="C4431" t="inlineStr">
        <is>
          <t>Klein Tools 51606 Aluminum Conduit Bender Full Assembly, 1/2-Inch EMT with Angle Setter™</t>
        </is>
      </c>
      <c r="D4431" t="inlineStr">
        <is>
          <t>Klein Tools 51604 Iron Conduit Bender Full Assembly, 3/4-Inch EMT and 1/2-Inch Rigid, Wide Foot Pedal, Benchmark Symbols and Angle Setter</t>
        </is>
      </c>
      <c r="E4431" s="2">
        <f>HYPERLINK("https://www.amazon.com/Conduit-Features-Klein-Tools-51604/dp/B08V8YVWH1/ref=sr_1_6?keywords=Klein+Tools+51606+Aluminum+Conduit+Bender+Full+Assembly%2C+1%2F2-Inch+EMT+with+Angle+Setter%E2%84%A2&amp;qid=1694735120&amp;sr=8-6", "https://www.amazon.com/Conduit-Features-Klein-Tools-51604/dp/B08V8YVWH1/ref=sr_1_6?keywords=Klein+Tools+51606+Aluminum+Conduit+Bender+Full+Assembly%2C+1%2F2-Inch+EMT+with+Angle+Setter%E2%84%A2&amp;qid=1694735120&amp;sr=8-6")</f>
        <v/>
      </c>
      <c r="F4431" t="inlineStr">
        <is>
          <t>B08V8YVWH1</t>
        </is>
      </c>
      <c r="G4431">
        <f>_xlfn.IMAGE("https://edmondsonsupply.com/cdn/shop/products/51606.jpg?v=1663942126")</f>
        <v/>
      </c>
      <c r="H4431">
        <f>_xlfn.IMAGE("https://m.media-amazon.com/images/I/41DkDVmyczL._AC_UL320_.jpg")</f>
        <v/>
      </c>
      <c r="K4431" t="inlineStr">
        <is>
          <t>39.97</t>
        </is>
      </c>
      <c r="L4431" t="n">
        <v>74.98999999999999</v>
      </c>
      <c r="M4431" s="1" t="inlineStr">
        <is>
          <t>87.62%</t>
        </is>
      </c>
      <c r="N4431" s="7" t="n">
        <v>-4.57</v>
      </c>
      <c r="O4431" t="n">
        <v>4.8</v>
      </c>
      <c r="P4431" t="n">
        <v>44</v>
      </c>
      <c r="R4431" t="inlineStr">
        <is>
          <t>InStock</t>
        </is>
      </c>
      <c r="S4431" t="inlineStr">
        <is>
          <t>55.98</t>
        </is>
      </c>
      <c r="T4431" t="inlineStr">
        <is>
          <t>7827248447704</t>
        </is>
      </c>
    </row>
    <row r="4432" hidden="1" ht="15.75" customHeight="1">
      <c r="A4432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432" s="2">
        <f>HYPERLINK("https://edmondsonsupply.com/products/klein-tools-608-6-1-8-inch-cabinet-tip-mini-screwdriver-6-inch", "https://edmondsonsupply.com/products/klein-tools-608-6-1-8-inch-cabinet-tip-mini-screwdriver-6-inch")</f>
        <v/>
      </c>
      <c r="C4432" t="inlineStr">
        <is>
          <t>Klein Tools 608-6 1/8-Inch Cabinet Tip Mini Screwdriver, 6-Inch</t>
        </is>
      </c>
      <c r="D4432" t="inlineStr">
        <is>
          <t>Klein Tools 6926INS Insulated Screwdriver, 1000V Slim Profile Tip, 1/4-Inch Cabinet Screwdriver with 6-Inch Shank, Cushion-Grip Handle</t>
        </is>
      </c>
      <c r="E4432" s="2">
        <f>HYPERLINK("https://www.amazon.com/Klein-Tools-6926INS-Screwdriver-Cushion-Grip/dp/B09GL1X5SZ/ref=sr_1_19?keywords=Klein+Tools+608-6+1%2F8-Inch+Cabinet+Tip+Mini+Screwdriver%2C+6-Inch&amp;qid=1694735278&amp;sr=8-19", "https://www.amazon.com/Klein-Tools-6926INS-Screwdriver-Cushion-Grip/dp/B09GL1X5SZ/ref=sr_1_19?keywords=Klein+Tools+608-6+1%2F8-Inch+Cabinet+Tip+Mini+Screwdriver%2C+6-Inch&amp;qid=1694735278&amp;sr=8-19")</f>
        <v/>
      </c>
      <c r="F4432" t="inlineStr">
        <is>
          <t>B09GL1X5SZ</t>
        </is>
      </c>
      <c r="G4432">
        <f>_xludf.IMAGE("https://edmondsonsupply.com/cdn/shop/products/608-6.jpg?v=1633030486")</f>
        <v/>
      </c>
      <c r="H4432">
        <f>_xludf.IMAGE("https://m.media-amazon.com/images/I/41JbepP5oGL._AC_UL320_.jpg")</f>
        <v/>
      </c>
      <c r="K4432" t="inlineStr">
        <is>
          <t>7.99</t>
        </is>
      </c>
      <c r="L4432" t="n">
        <v>14.99</v>
      </c>
      <c r="M4432" s="1" t="inlineStr">
        <is>
          <t>87.61%</t>
        </is>
      </c>
      <c r="N4432" s="1" t="n">
        <v>-4.67</v>
      </c>
      <c r="O4432" t="n">
        <v>4.8</v>
      </c>
      <c r="P4432" t="n">
        <v>85</v>
      </c>
      <c r="R4432" t="inlineStr">
        <is>
          <t>InStock</t>
        </is>
      </c>
      <c r="S4432" t="inlineStr">
        <is>
          <t>12.1</t>
        </is>
      </c>
      <c r="T4432" t="inlineStr">
        <is>
          <t>5371087683752</t>
        </is>
      </c>
    </row>
    <row r="4433" hidden="1" ht="15.75" customHeight="1">
      <c r="A4433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433" s="2">
        <f>HYPERLINK("https://edmondsonsupply.com/products/klein-tools-608-6-1-8-inch-cabinet-tip-mini-screwdriver-6-inch", "https://edmondsonsupply.com/products/klein-tools-608-6-1-8-inch-cabinet-tip-mini-screwdriver-6-inch")</f>
        <v/>
      </c>
      <c r="C4433" t="inlineStr">
        <is>
          <t>Klein Tools 608-6 1/8-Inch Cabinet Tip Mini Screwdriver, 6-Inch</t>
        </is>
      </c>
      <c r="D4433" t="inlineStr">
        <is>
          <t>Klein Tools 6986INS Insulated Screwdriver, 1000V Slim Profile Tip, #1 Square with 6-Inch Shank, Cushion-Grip Handle</t>
        </is>
      </c>
      <c r="E4433" s="2">
        <f>HYPERLINK("https://www.amazon.com/Klein-Tools-6986INS-Screwdriver-Cushion-Grip/dp/B09GPYQ7DM/ref=sr_1_24?keywords=Klein+Tools+608-6+1%2F8-Inch+Cabinet+Tip+Mini+Screwdriver%2C+6-Inch&amp;qid=1694735278&amp;sr=8-24", "https://www.amazon.com/Klein-Tools-6986INS-Screwdriver-Cushion-Grip/dp/B09GPYQ7DM/ref=sr_1_24?keywords=Klein+Tools+608-6+1%2F8-Inch+Cabinet+Tip+Mini+Screwdriver%2C+6-Inch&amp;qid=1694735278&amp;sr=8-24")</f>
        <v/>
      </c>
      <c r="F4433" t="inlineStr">
        <is>
          <t>B09GPYQ7DM</t>
        </is>
      </c>
      <c r="G4433">
        <f>_xludf.IMAGE("https://edmondsonsupply.com/cdn/shop/products/608-6.jpg?v=1633030486")</f>
        <v/>
      </c>
      <c r="H4433">
        <f>_xludf.IMAGE("https://m.media-amazon.com/images/I/41d5Ic37xZL._AC_UL320_.jpg")</f>
        <v/>
      </c>
      <c r="K4433" t="inlineStr">
        <is>
          <t>7.99</t>
        </is>
      </c>
      <c r="L4433" t="n">
        <v>14.99</v>
      </c>
      <c r="M4433" s="1" t="inlineStr">
        <is>
          <t>87.61%</t>
        </is>
      </c>
      <c r="N4433" s="1" t="n">
        <v>-4.67</v>
      </c>
      <c r="O4433" t="n">
        <v>4.8</v>
      </c>
      <c r="P4433" t="n">
        <v>29</v>
      </c>
      <c r="R4433" t="inlineStr">
        <is>
          <t>InStock</t>
        </is>
      </c>
      <c r="S4433" t="inlineStr">
        <is>
          <t>12.1</t>
        </is>
      </c>
      <c r="T4433" t="inlineStr">
        <is>
          <t>5371087683752</t>
        </is>
      </c>
    </row>
    <row r="4434" hidden="1" ht="15.75" customHeight="1">
      <c r="A4434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434" s="2">
        <f>HYPERLINK("https://edmondsonsupply.com/products/klein-tools-608-6-1-8-inch-cabinet-tip-mini-screwdriver-6-inch", "https://edmondsonsupply.com/products/klein-tools-608-6-1-8-inch-cabinet-tip-mini-screwdriver-6-inch")</f>
        <v/>
      </c>
      <c r="C4434" t="inlineStr">
        <is>
          <t>Klein Tools 608-6 1/8-Inch Cabinet Tip Mini Screwdriver, 6-Inch</t>
        </is>
      </c>
      <c r="D4434" t="inlineStr">
        <is>
          <t>Klein Tools 85071 Stubby Slotted and Phillips Screwdriver Set with 5/16-Inch Cabinet-Tips and #2 Phillips-Tip, 2-Piece</t>
        </is>
      </c>
      <c r="E4434" s="2">
        <f>HYPERLINK("https://www.amazon.com/Klein-Tools-85071-Screwdriver-Cushion/dp/B000F9CP1S/ref=sr_1_46?keywords=Klein+Tools+608-6+1%2F8-Inch+Cabinet+Tip+Mini+Screwdriver%2C+6-Inch&amp;qid=1694735278&amp;sr=8-46", "https://www.amazon.com/Klein-Tools-85071-Screwdriver-Cushion/dp/B000F9CP1S/ref=sr_1_46?keywords=Klein+Tools+608-6+1%2F8-Inch+Cabinet+Tip+Mini+Screwdriver%2C+6-Inch&amp;qid=1694735278&amp;sr=8-46")</f>
        <v/>
      </c>
      <c r="F4434" t="inlineStr">
        <is>
          <t>B000F9CP1S</t>
        </is>
      </c>
      <c r="G4434">
        <f>_xludf.IMAGE("https://edmondsonsupply.com/cdn/shop/products/608-6.jpg?v=1633030486")</f>
        <v/>
      </c>
      <c r="H4434">
        <f>_xludf.IMAGE("https://m.media-amazon.com/images/I/71CBuPImq7L._AC_UL320_.jpg")</f>
        <v/>
      </c>
      <c r="K4434" t="inlineStr">
        <is>
          <t>7.99</t>
        </is>
      </c>
      <c r="L4434" t="n">
        <v>14.99</v>
      </c>
      <c r="M4434" s="1" t="inlineStr">
        <is>
          <t>87.61%</t>
        </is>
      </c>
      <c r="N4434" s="1" t="n">
        <v>-4.73</v>
      </c>
      <c r="O4434" t="n">
        <v>4.8</v>
      </c>
      <c r="P4434" t="n">
        <v>531</v>
      </c>
      <c r="R4434" t="inlineStr">
        <is>
          <t>InStock</t>
        </is>
      </c>
      <c r="S4434" t="inlineStr">
        <is>
          <t>12.1</t>
        </is>
      </c>
      <c r="T4434" t="inlineStr">
        <is>
          <t>5371087683752</t>
        </is>
      </c>
    </row>
    <row r="4435" hidden="1" ht="15.75" customHeight="1">
      <c r="A4435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4435" s="2">
        <f>HYPERLINK("https://edmondsonsupply.com/products/klein-tools-31918-bi-metal-hole-saw-1-1-8-inch", "https://edmondsonsupply.com/products/klein-tools-31918-bi-metal-hole-saw-1-1-8-inch")</f>
        <v/>
      </c>
      <c r="C4435" t="inlineStr">
        <is>
          <t>Klein Tools 31918 Bi-Metal Hole Saw, 1-1/8-Inch</t>
        </is>
      </c>
      <c r="D4435" t="inlineStr">
        <is>
          <t>Klein Tools 31534 Bi-Metal Hole Saw, 2-1/8-Inch</t>
        </is>
      </c>
      <c r="E4435" s="2">
        <f>HYPERLINK("https://www.amazon.com/Klein-Tools-31534-Bi-Metal-8-Inch/dp/B0009OIJFA/ref=sr_1_11?keywords=Klein+Tools+31918+Bi-Metal+Hole+Saw%2C+1-1%2F8-Inch&amp;qid=1694735078&amp;sr=8-11", "https://www.amazon.com/Klein-Tools-31534-Bi-Metal-8-Inch/dp/B0009OIJFA/ref=sr_1_11?keywords=Klein+Tools+31918+Bi-Metal+Hole+Saw%2C+1-1%2F8-Inch&amp;qid=1694735078&amp;sr=8-11")</f>
        <v/>
      </c>
      <c r="F4435" t="inlineStr">
        <is>
          <t>B0009OIJFA</t>
        </is>
      </c>
      <c r="G4435">
        <f>_xludf.IMAGE("https://edmondsonsupply.com/cdn/shop/products/31918.jpg?v=1669739998")</f>
        <v/>
      </c>
      <c r="H4435">
        <f>_xludf.IMAGE("https://m.media-amazon.com/images/I/31Wk-f8wwaL._AC_UL320_.jpg")</f>
        <v/>
      </c>
      <c r="K4435" t="inlineStr">
        <is>
          <t>7.99</t>
        </is>
      </c>
      <c r="L4435" t="n">
        <v>14.99</v>
      </c>
      <c r="M4435" s="1" t="inlineStr">
        <is>
          <t>87.61%</t>
        </is>
      </c>
      <c r="N4435" s="1" t="n">
        <v>-4.77</v>
      </c>
      <c r="O4435" t="n">
        <v>5</v>
      </c>
      <c r="P4435" t="n">
        <v>5</v>
      </c>
      <c r="R4435" t="inlineStr">
        <is>
          <t>InStock</t>
        </is>
      </c>
      <c r="S4435" t="inlineStr">
        <is>
          <t>11.2</t>
        </is>
      </c>
      <c r="T4435" t="inlineStr">
        <is>
          <t>7896138678488</t>
        </is>
      </c>
    </row>
    <row r="4436" ht="87" customHeight="1">
      <c r="A4436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4436" s="2">
        <f>HYPERLINK("https://edmondsonsupply.com/products/klein-tools-51608-1-2-inch-iron-conduit-bender-head", "https://edmondsonsupply.com/products/klein-tools-51608-1-2-inch-iron-conduit-bender-head")</f>
        <v/>
      </c>
      <c r="C4436" t="inlineStr">
        <is>
          <t>Klein Tools 51608 1/2-inch Iron Conduit Bender Head</t>
        </is>
      </c>
      <c r="D4436" t="inlineStr">
        <is>
          <t>Klein Tools 51604 Iron Conduit Bender Full Assembly, 3/4-Inch EMT and 1/2-Inch Rigid, Wide Foot Pedal, Benchmark Symbols and Angle Setter</t>
        </is>
      </c>
      <c r="E4436" s="2">
        <f>HYPERLINK("https://www.amazon.com/Conduit-Features-Klein-Tools-51604/dp/B08V8YVWH1/ref=sr_1_6?keywords=Klein+Tools+51608+1%2F2-inch+Iron+Conduit+Bender+Head&amp;qid=1694735173&amp;sr=8-6", "https://www.amazon.com/Conduit-Features-Klein-Tools-51604/dp/B08V8YVWH1/ref=sr_1_6?keywords=Klein+Tools+51608+1%2F2-inch+Iron+Conduit+Bender+Head&amp;qid=1694735173&amp;sr=8-6")</f>
        <v/>
      </c>
      <c r="F4436" t="inlineStr">
        <is>
          <t>B08V8YVWH1</t>
        </is>
      </c>
      <c r="G4436">
        <f>_xlfn.IMAGE("https://edmondsonsupply.com/cdn/shop/products/51608.jpg?v=1643679335")</f>
        <v/>
      </c>
      <c r="H4436">
        <f>_xlfn.IMAGE("https://m.media-amazon.com/images/I/41DkDVmyczL._AC_UL320_.jpg")</f>
        <v/>
      </c>
      <c r="K4436" t="inlineStr">
        <is>
          <t>39.99</t>
        </is>
      </c>
      <c r="L4436" t="n">
        <v>74.98999999999999</v>
      </c>
      <c r="M4436" s="1" t="inlineStr">
        <is>
          <t>87.52%</t>
        </is>
      </c>
      <c r="N4436" s="7" t="n">
        <v>-4.77</v>
      </c>
      <c r="O4436" t="n">
        <v>4.8</v>
      </c>
      <c r="P4436" t="n">
        <v>44</v>
      </c>
      <c r="R4436" t="inlineStr">
        <is>
          <t>InStock</t>
        </is>
      </c>
      <c r="S4436" t="inlineStr">
        <is>
          <t>60.66</t>
        </is>
      </c>
      <c r="T4436" t="inlineStr">
        <is>
          <t>7597417693400</t>
        </is>
      </c>
    </row>
    <row r="4437" ht="87" customHeight="1">
      <c r="A4437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4437" s="2">
        <f>HYPERLINK("https://edmondsonsupply.com/products/klein-tools-51608-1-2-inch-iron-conduit-bender-head", "https://edmondsonsupply.com/products/klein-tools-51608-1-2-inch-iron-conduit-bender-head")</f>
        <v/>
      </c>
      <c r="C4437" t="inlineStr">
        <is>
          <t>Klein Tools 51608 1/2-inch Iron Conduit Bender Head</t>
        </is>
      </c>
      <c r="D4437" t="inlineStr">
        <is>
          <t>Klein Tools 51610 Iron Conduit Bender Head, for 1-Inch EMT or 3/4-Inch Rigid IMC, use with Klein Tools Angle Setter (Cat. No. 51613)</t>
        </is>
      </c>
      <c r="E4437" s="2">
        <f>HYPERLINK("https://www.amazon.com/Conduit-Bender-Klein-Tools-51610/dp/B08V8J5CX4/ref=sr_1_7?keywords=Klein+Tools+51608+1%2F2-inch+Iron+Conduit+Bender+Head&amp;qid=1694735173&amp;sr=8-7", "https://www.amazon.com/Conduit-Bender-Klein-Tools-51610/dp/B08V8J5CX4/ref=sr_1_7?keywords=Klein+Tools+51608+1%2F2-inch+Iron+Conduit+Bender+Head&amp;qid=1694735173&amp;sr=8-7")</f>
        <v/>
      </c>
      <c r="F4437" t="inlineStr">
        <is>
          <t>B08V8J5CX4</t>
        </is>
      </c>
      <c r="G4437">
        <f>_xlfn.IMAGE("https://edmondsonsupply.com/cdn/shop/products/51608.jpg?v=1643679335")</f>
        <v/>
      </c>
      <c r="H4437">
        <f>_xlfn.IMAGE("https://m.media-amazon.com/images/I/61jmGqozuVL._AC_UL320_.jpg")</f>
        <v/>
      </c>
      <c r="K4437" t="inlineStr">
        <is>
          <t>39.99</t>
        </is>
      </c>
      <c r="L4437" t="n">
        <v>74.98999999999999</v>
      </c>
      <c r="M4437" s="1" t="inlineStr">
        <is>
          <t>87.52%</t>
        </is>
      </c>
      <c r="N4437" s="7" t="n">
        <v>-4.77</v>
      </c>
      <c r="O4437" t="n">
        <v>4.8</v>
      </c>
      <c r="P4437" t="n">
        <v>11</v>
      </c>
      <c r="R4437" t="inlineStr">
        <is>
          <t>InStock</t>
        </is>
      </c>
      <c r="S4437" t="inlineStr">
        <is>
          <t>60.66</t>
        </is>
      </c>
      <c r="T4437" t="inlineStr">
        <is>
          <t>7597417693400</t>
        </is>
      </c>
    </row>
    <row r="4438" ht="87" customHeight="1">
      <c r="A4438" s="2">
        <f>HYPERLINK("https://edmondsonsupply.com/collections/electricians-tools/products/klein-tools-31906-hole-saw-arbor-with-pins-7-16-inch", "https://edmondsonsupply.com/collections/electricians-tools/products/klein-tools-31906-hole-saw-arbor-with-pins-7-16-inch")</f>
        <v/>
      </c>
      <c r="B4438" s="2">
        <f>HYPERLINK("https://edmondsonsupply.com/products/klein-tools-31906-hole-saw-arbor-with-pins-7-16-inch", "https://edmondsonsupply.com/products/klein-tools-31906-hole-saw-arbor-with-pins-7-16-inch")</f>
        <v/>
      </c>
      <c r="C4438" t="inlineStr">
        <is>
          <t>Klein Tools 31906 Hole Saw Arbor With Pins, 7/16-Inch</t>
        </is>
      </c>
      <c r="D4438" t="inlineStr">
        <is>
          <t>Klein Tools 31906 Hole Saw Arbor with Pins, 7/16-Inch and 31958 Bi-Metal Hole Saw, 3-5/8 Inch - Hole Saw Kit</t>
        </is>
      </c>
      <c r="E4438" s="2">
        <f>HYPERLINK("https://www.amazon.com/Klein-Tools-31906-16-Inch-Bi-Metal/dp/B0BVGZ3GN2/ref=sr_1_2?keywords=Klein+Tools+31906+Hole+Saw+Arbor+With+Pins%2C+7%2F16-Inch&amp;qid=1694735099&amp;sr=8-2", "https://www.amazon.com/Klein-Tools-31906-16-Inch-Bi-Metal/dp/B0BVGZ3GN2/ref=sr_1_2?keywords=Klein+Tools+31906+Hole+Saw+Arbor+With+Pins%2C+7%2F16-Inch&amp;qid=1694735099&amp;sr=8-2")</f>
        <v/>
      </c>
      <c r="F4438" t="inlineStr">
        <is>
          <t>B0BVGZ3GN2</t>
        </is>
      </c>
      <c r="G4438">
        <f>_xlfn.IMAGE("https://edmondsonsupply.com/cdn/shop/products/31906.jpg?v=1665670390")</f>
        <v/>
      </c>
      <c r="H4438">
        <f>_xlfn.IMAGE("https://m.media-amazon.com/images/I/21IcyNq4gsL._AC_UL320_.jpg")</f>
        <v/>
      </c>
      <c r="K4438" t="inlineStr">
        <is>
          <t>15.99</t>
        </is>
      </c>
      <c r="L4438" t="n">
        <v>29.98</v>
      </c>
      <c r="M4438" s="1" t="inlineStr">
        <is>
          <t>87.49%</t>
        </is>
      </c>
      <c r="N4438" s="7" t="n">
        <v>-4.79</v>
      </c>
      <c r="O4438" t="n">
        <v>4.6</v>
      </c>
      <c r="P4438" t="n">
        <v>406</v>
      </c>
      <c r="R4438" t="inlineStr">
        <is>
          <t>InStock</t>
        </is>
      </c>
      <c r="S4438" t="inlineStr">
        <is>
          <t>22.44</t>
        </is>
      </c>
      <c r="T4438" t="inlineStr">
        <is>
          <t>7851715494104</t>
        </is>
      </c>
    </row>
    <row r="4439" ht="87" customHeight="1">
      <c r="A4439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4439" s="2">
        <f>HYPERLINK("https://edmondsonsupply.com/products/klein-tools-635-9-16-9-16-heavy-duty-nut-driver-magnetic", "https://edmondsonsupply.com/products/klein-tools-635-9-16-9-16-heavy-duty-nut-driver-magnetic")</f>
        <v/>
      </c>
      <c r="C4439" t="inlineStr">
        <is>
          <t>Klein Tools 635-9/16 9/16-Inch Heavy-Duty Nut Driver</t>
        </is>
      </c>
      <c r="D4439" t="inlineStr">
        <is>
          <t>Klein Tools 32807MAG 7-in-1 Nut Driver, Magnetic Driver has SAE Hex Nut Sizes 1/4 to 9/16-Inch, Cushion Grip Handle for Added Torque</t>
        </is>
      </c>
      <c r="E4439" s="2">
        <f>HYPERLINK("https://www.amazon.com/Driver-Magnetic-Klein-Tools-32807MAG/dp/B07D4M51DQ/ref=sr_1_2?keywords=Klein+Tools+635-9%2F16+9%2F16-Inch+Heavy-Duty+Nut+Driver&amp;qid=1694735388&amp;sr=8-2", "https://www.amazon.com/Driver-Magnetic-Klein-Tools-32807MAG/dp/B07D4M51DQ/ref=sr_1_2?keywords=Klein+Tools+635-9%2F16+9%2F16-Inch+Heavy-Duty+Nut+Driver&amp;qid=1694735388&amp;sr=8-2")</f>
        <v/>
      </c>
      <c r="F4439" t="inlineStr">
        <is>
          <t>B07D4M51DQ</t>
        </is>
      </c>
      <c r="G4439">
        <f>_xlfn.IMAGE("https://edmondsonsupply.com/cdn/shop/products/635-9-16.jpg?v=1587145126")</f>
        <v/>
      </c>
      <c r="H4439">
        <f>_xlfn.IMAGE("https://m.media-amazon.com/images/I/61gwAJBzDAL._AC_UL320_.jpg")</f>
        <v/>
      </c>
      <c r="K4439" t="inlineStr">
        <is>
          <t>15.99</t>
        </is>
      </c>
      <c r="L4439" t="n">
        <v>29.97</v>
      </c>
      <c r="M4439" s="1" t="inlineStr">
        <is>
          <t>87.43%</t>
        </is>
      </c>
      <c r="N4439" s="7" t="n">
        <v>-4.81</v>
      </c>
      <c r="O4439" t="n">
        <v>4.7</v>
      </c>
      <c r="P4439" t="n">
        <v>9145</v>
      </c>
      <c r="R4439" t="inlineStr">
        <is>
          <t>InStock</t>
        </is>
      </c>
      <c r="S4439" t="inlineStr">
        <is>
          <t>24.22</t>
        </is>
      </c>
      <c r="T4439" t="inlineStr">
        <is>
          <t>2766897741924</t>
        </is>
      </c>
    </row>
    <row r="4440" ht="87" customHeight="1">
      <c r="A4440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4440" s="2">
        <f>HYPERLINK("https://edmondsonsupply.com/products/klein-tools-rt110-receptacle-tester", "https://edmondsonsupply.com/products/klein-tools-rt110-receptacle-tester")</f>
        <v/>
      </c>
      <c r="C4440" t="inlineStr">
        <is>
          <t>Klein Tools RT110 Receptacle Tester</t>
        </is>
      </c>
      <c r="D4440" t="inlineStr">
        <is>
          <t>CaseSack case for Klein Tools ET310 AC Circuit Breaker Finder, Integrated GFCI Outlet Tester, RT310 Receptacle and Accessory Kit, 80016</t>
        </is>
      </c>
      <c r="E4440" s="2">
        <f>HYPERLINK("https://www.amazon.com/CaseSack-Consolidation-Integrated-Receptacle-Accessory/dp/B08TPHYW37/ref=sr_1_43?keywords=Klein+Tools+RT110+Receptacle+Tester&amp;qid=1694735205&amp;sr=8-43", "https://www.amazon.com/CaseSack-Consolidation-Integrated-Receptacle-Accessory/dp/B08TPHYW37/ref=sr_1_43?keywords=Klein+Tools+RT110+Receptacle+Tester&amp;qid=1694735205&amp;sr=8-43")</f>
        <v/>
      </c>
      <c r="F4440" t="inlineStr">
        <is>
          <t>B08TPHYW37</t>
        </is>
      </c>
      <c r="G4440">
        <f>_xlfn.IMAGE("https://edmondsonsupply.com/cdn/shop/products/rt110.jpg?v=1633031036")</f>
        <v/>
      </c>
      <c r="H4440">
        <f>_xlfn.IMAGE("https://m.media-amazon.com/images/I/91QJZ0WaD3L._AC_UL320_.jpg")</f>
        <v/>
      </c>
      <c r="K4440" t="inlineStr">
        <is>
          <t>9.97</t>
        </is>
      </c>
      <c r="L4440" t="n">
        <v>18.68</v>
      </c>
      <c r="M4440" s="1" t="inlineStr">
        <is>
          <t>87.36%</t>
        </is>
      </c>
      <c r="N4440" s="7" t="n">
        <v>-4.81</v>
      </c>
      <c r="O4440" t="n">
        <v>4.1</v>
      </c>
      <c r="P4440" t="n">
        <v>826</v>
      </c>
      <c r="R4440" t="inlineStr">
        <is>
          <t>InStock</t>
        </is>
      </c>
      <c r="S4440" t="inlineStr">
        <is>
          <t>12.12</t>
        </is>
      </c>
      <c r="T4440" t="inlineStr">
        <is>
          <t>6740486619309</t>
        </is>
      </c>
    </row>
    <row r="4441" ht="87" customHeight="1">
      <c r="A4441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4441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4441" t="inlineStr">
        <is>
          <t>Klein Tools 602-6 5/16-Inch Keystone Tip Screwdriver, Cushion Grip, 6-Inch</t>
        </is>
      </c>
      <c r="D4441" t="inlineStr">
        <is>
          <t>Klein Tools 602-7-INS Flathead Screwdriver, 5/16-Inch Cabinet Tip, Insulated, 7-Inch Shank</t>
        </is>
      </c>
      <c r="E4441" s="2">
        <f>HYPERLINK("https://www.amazon.com/Screwdriver-Insulated-Klein-Tools-602-7-INS/dp/B00CQL8UM6/ref=sr_1_24?keywords=Klein+Tools+602-6+5%2F16-Inch+Keystone+Tip+Screwdriver%2C+Cushion+Grip%2C+6-Inch&amp;qid=1694735231&amp;sr=8-24", "https://www.amazon.com/Screwdriver-Insulated-Klein-Tools-602-7-INS/dp/B00CQL8UM6/ref=sr_1_24?keywords=Klein+Tools+602-6+5%2F16-Inch+Keystone+Tip+Screwdriver%2C+Cushion+Grip%2C+6-Inch&amp;qid=1694735231&amp;sr=8-24")</f>
        <v/>
      </c>
      <c r="F4441" t="inlineStr">
        <is>
          <t>B00CQL8UM6</t>
        </is>
      </c>
      <c r="G4441">
        <f>_xlfn.IMAGE("https://edmondsonsupply.com/cdn/shop/products/602-6_162e3283-acea-47de-aecf-2a25f009fdcb.jpg?v=1633030880")</f>
        <v/>
      </c>
      <c r="H4441">
        <f>_xlfn.IMAGE("https://m.media-amazon.com/images/I/51yWIQxCstL._AC_UL320_.jpg")</f>
        <v/>
      </c>
      <c r="K4441" t="inlineStr">
        <is>
          <t>11.99</t>
        </is>
      </c>
      <c r="L4441" t="n">
        <v>22.46</v>
      </c>
      <c r="M4441" s="1" t="inlineStr">
        <is>
          <t>87.32%</t>
        </is>
      </c>
      <c r="N4441" s="7" t="n">
        <v>-4.83</v>
      </c>
      <c r="O4441" t="n">
        <v>4.8</v>
      </c>
      <c r="P4441" t="n">
        <v>1068</v>
      </c>
      <c r="R4441" t="inlineStr">
        <is>
          <t>InStock</t>
        </is>
      </c>
      <c r="S4441" t="inlineStr">
        <is>
          <t>18.18</t>
        </is>
      </c>
      <c r="T4441" t="inlineStr">
        <is>
          <t>6169213501613</t>
        </is>
      </c>
    </row>
    <row r="4442" ht="87" customHeight="1">
      <c r="A4442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442" s="2">
        <f>HYPERLINK("https://edmondsonsupply.com/products/klein-tools-d203-8-pliers-long-nose-side-cutters-8-inch", "https://edmondsonsupply.com/products/klein-tools-d203-8-pliers-long-nose-side-cutters-8-inch")</f>
        <v/>
      </c>
      <c r="C4442" t="inlineStr">
        <is>
          <t>Klein Tools D203-8 Pliers, Needle Nose Side-Cutters, 8-Inch</t>
        </is>
      </c>
      <c r="D4442" t="inlineStr">
        <is>
          <t>Klein Tools J20008 Pliers, 8-Inch Side Cutters, High Leverage Lineman's Pliers Cut ACSR, Screws, Nails, Hard Wire</t>
        </is>
      </c>
      <c r="E4442" s="2">
        <f>HYPERLINK("https://www.amazon.com/Journeyman-Cutters-High-Leverage-Klein-Tools/dp/B002LPZLSI/ref=sr_1_26?keywords=Klein+Tools+D203-8+Pliers%2C+Needle+Nose+Side-Cutters%2C+8-Inch&amp;qid=1694735240&amp;sr=8-26", "https://www.amazon.com/Journeyman-Cutters-High-Leverage-Klein-Tools/dp/B002LPZLSI/ref=sr_1_26?keywords=Klein+Tools+D203-8+Pliers%2C+Needle+Nose+Side-Cutters%2C+8-Inch&amp;qid=1694735240&amp;sr=8-26")</f>
        <v/>
      </c>
      <c r="F4442" t="inlineStr">
        <is>
          <t>B002LPZLSI</t>
        </is>
      </c>
      <c r="G4442">
        <f>_xlfn.IMAGE("https://edmondsonsupply.com/cdn/shop/products/d2038.jpg?v=1633030802")</f>
        <v/>
      </c>
      <c r="H4442">
        <f>_xlfn.IMAGE("https://m.media-amazon.com/images/I/61eewofIaVL._AC_UL320_.jpg")</f>
        <v/>
      </c>
      <c r="K4442" t="inlineStr">
        <is>
          <t>29.97</t>
        </is>
      </c>
      <c r="L4442" t="n">
        <v>55.99</v>
      </c>
      <c r="M4442" s="1" t="inlineStr">
        <is>
          <t>86.82%</t>
        </is>
      </c>
      <c r="N4442" s="7" t="n">
        <v>-4.96</v>
      </c>
      <c r="O4442" t="n">
        <v>4.3</v>
      </c>
      <c r="P4442" t="n">
        <v>21</v>
      </c>
      <c r="R4442" t="inlineStr">
        <is>
          <t>InStock</t>
        </is>
      </c>
      <c r="S4442" t="inlineStr">
        <is>
          <t>44.84</t>
        </is>
      </c>
      <c r="T4442" t="inlineStr">
        <is>
          <t>6005724577960</t>
        </is>
      </c>
    </row>
    <row r="4443" ht="87" customHeight="1">
      <c r="A4443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4443" s="2">
        <f>HYPERLINK("https://edmondsonsupply.com/products/klein-tools-d2000-48-diagonal-cutting-pliers-angled-head-8-inch", "https://edmondsonsupply.com/products/klein-tools-d2000-48-diagonal-cutting-pliers-angled-head-8-inch")</f>
        <v/>
      </c>
      <c r="C4443" t="inlineStr">
        <is>
          <t>Klein Tools D2000-48 Diagonal Cutting Pliers, Angled Head, 8-Inch</t>
        </is>
      </c>
      <c r="D4443" t="inlineStr">
        <is>
          <t>Klein Tools D2000-48-INS Pliers, Insulated Heavy-Duty Diagonal Cutting Pliers with Angled Head and 1000V Rated Insulated Grips, 8-Inch</t>
        </is>
      </c>
      <c r="E4443" s="2">
        <f>HYPERLINK("https://www.amazon.com/Klein-Tools-D2000-48-INS-Insulated-Leverage/dp/B000LDFIVC/ref=sr_1_4?keywords=Klein+Tools+D2000-48+Diagonal+Cutting+Pliers%2C+Angled+Head%2C+8-Inch&amp;qid=1694735135&amp;sr=8-4", "https://www.amazon.com/Klein-Tools-D2000-48-INS-Insulated-Leverage/dp/B000LDFIVC/ref=sr_1_4?keywords=Klein+Tools+D2000-48+Diagonal+Cutting+Pliers%2C+Angled+Head%2C+8-Inch&amp;qid=1694735135&amp;sr=8-4")</f>
        <v/>
      </c>
      <c r="F4443" t="inlineStr">
        <is>
          <t>B000LDFIVC</t>
        </is>
      </c>
      <c r="G4443">
        <f>_xlfn.IMAGE("https://edmondsonsupply.com/cdn/shop/products/d200048.jpg?v=1660920588")</f>
        <v/>
      </c>
      <c r="H4443">
        <f>_xlfn.IMAGE("https://m.media-amazon.com/images/I/51D7A8E7ncL._AC_UL320_.jpg")</f>
        <v/>
      </c>
      <c r="K4443" t="inlineStr">
        <is>
          <t>34.97</t>
        </is>
      </c>
      <c r="L4443" t="n">
        <v>65.28</v>
      </c>
      <c r="M4443" s="1" t="inlineStr">
        <is>
          <t>86.67%</t>
        </is>
      </c>
      <c r="N4443" s="7" t="n">
        <v>-4.97</v>
      </c>
      <c r="O4443" t="n">
        <v>4.8</v>
      </c>
      <c r="P4443" t="n">
        <v>111</v>
      </c>
      <c r="R4443" t="inlineStr">
        <is>
          <t>InStock</t>
        </is>
      </c>
      <c r="S4443" t="inlineStr">
        <is>
          <t>49.78</t>
        </is>
      </c>
      <c r="T4443" t="inlineStr">
        <is>
          <t>7786125164760</t>
        </is>
      </c>
    </row>
    <row r="4444" hidden="1" ht="15.75" customHeight="1">
      <c r="A4444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4444" s="2">
        <f>HYPERLINK("https://edmondsonsupply.com/products/klein-tools-jth6m2-2-mm-hex-key-journeyman-t-handle-6-inch", "https://edmondsonsupply.com/products/klein-tools-jth6m2-2-mm-hex-key-journeyman-t-handle-6-inch")</f>
        <v/>
      </c>
      <c r="C4444" t="inlineStr">
        <is>
          <t>Klein Tools JTH6M2 2 mm Hex Key, Journeyman T-Handle, 6-Inch</t>
        </is>
      </c>
      <c r="D4444" t="inlineStr">
        <is>
          <t>Klein Tools JTH9E14 5/16-Inch Hex Key, Journeyman T-Handle, 9-Inch</t>
        </is>
      </c>
      <c r="E4444" s="2">
        <f>HYPERLINK("https://www.amazon.com/Journeyman-T-Handle-Klein-Tools-JTH9E14/dp/B004QVAH4I/ref=sr_1_12?keywords=Klein+Tools+JTH6M2+2+mm+Hex+Key%2C+Journeyman+T-Handle%2C+6-Inch&amp;qid=1694735354&amp;sr=8-12", "https://www.amazon.com/Journeyman-T-Handle-Klein-Tools-JTH9E14/dp/B004QVAH4I/ref=sr_1_12?keywords=Klein+Tools+JTH6M2+2+mm+Hex+Key%2C+Journeyman+T-Handle%2C+6-Inch&amp;qid=1694735354&amp;sr=8-12")</f>
        <v/>
      </c>
      <c r="F4444" t="inlineStr">
        <is>
          <t>B004QVAH4I</t>
        </is>
      </c>
      <c r="G4444">
        <f>_xludf.IMAGE("https://edmondsonsupply.com/cdn/shop/products/jth6m8_a05a7009-87dd-4391-9f0b-ef31a782bd36.jpg?v=1587147558")</f>
        <v/>
      </c>
      <c r="H4444">
        <f>_xludf.IMAGE("https://m.media-amazon.com/images/I/51Yb8h41vLL._AC_UL320_.jpg")</f>
        <v/>
      </c>
      <c r="K4444" t="inlineStr">
        <is>
          <t>3.99</t>
        </is>
      </c>
      <c r="L4444" t="n">
        <v>7.44</v>
      </c>
      <c r="M4444" s="1" t="inlineStr">
        <is>
          <t>86.47%</t>
        </is>
      </c>
      <c r="N4444" s="1" t="n">
        <v>-5</v>
      </c>
      <c r="O4444" t="n">
        <v>4.8</v>
      </c>
      <c r="P4444" t="n">
        <v>114</v>
      </c>
      <c r="R4444" t="inlineStr">
        <is>
          <t>InStock</t>
        </is>
      </c>
      <c r="S4444" t="inlineStr">
        <is>
          <t>6.06</t>
        </is>
      </c>
      <c r="T4444" t="inlineStr">
        <is>
          <t>4506082738276</t>
        </is>
      </c>
    </row>
    <row r="4445" hidden="1" ht="15.75" customHeight="1">
      <c r="A4445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4445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4445" t="inlineStr">
        <is>
          <t>Klein Tools JTH4E06 3/32-Inch Hex Key, Journeyman T-Handle, 4-Inch</t>
        </is>
      </c>
      <c r="D4445" t="inlineStr">
        <is>
          <t>Klein Tools JTH9E14 5/16-Inch Hex Key, Journeyman T-Handle, 9-Inch</t>
        </is>
      </c>
      <c r="E4445" s="2">
        <f>HYPERLINK("https://www.amazon.com/Journeyman-T-Handle-Klein-Tools-JTH9E14/dp/B004QVAH4I/ref=sr_1_7?keywords=Klein+Tools+JTH4E06+3%2F32-Inch+Hex+Key%2C+Journeyman+T-Handle%2C+4-Inch&amp;qid=1694735173&amp;sr=8-7", "https://www.amazon.com/Journeyman-T-Handle-Klein-Tools-JTH9E14/dp/B004QVAH4I/ref=sr_1_7?keywords=Klein+Tools+JTH4E06+3%2F32-Inch+Hex+Key%2C+Journeyman+T-Handle%2C+4-Inch&amp;qid=1694735173&amp;sr=8-7")</f>
        <v/>
      </c>
      <c r="F4445" t="inlineStr">
        <is>
          <t>B004QVAH4I</t>
        </is>
      </c>
      <c r="G4445">
        <f>_xludf.IMAGE("https://edmondsonsupply.com/cdn/shop/products/jth4e06.jpg?v=1635112029")</f>
        <v/>
      </c>
      <c r="H4445">
        <f>_xludf.IMAGE("https://m.media-amazon.com/images/I/51Yb8h41vLL._AC_UL320_.jpg")</f>
        <v/>
      </c>
      <c r="K4445" t="inlineStr">
        <is>
          <t>3.99</t>
        </is>
      </c>
      <c r="L4445" t="n">
        <v>7.44</v>
      </c>
      <c r="M4445" s="1" t="inlineStr">
        <is>
          <t>86.47%</t>
        </is>
      </c>
      <c r="N4445" s="1" t="n">
        <v>-5</v>
      </c>
      <c r="O4445" t="n">
        <v>4.8</v>
      </c>
      <c r="P4445" t="n">
        <v>114</v>
      </c>
      <c r="R4445" t="inlineStr">
        <is>
          <t>InStock</t>
        </is>
      </c>
      <c r="S4445" t="inlineStr">
        <is>
          <t>6.04</t>
        </is>
      </c>
      <c r="T4445" t="inlineStr">
        <is>
          <t>7032648794285</t>
        </is>
      </c>
    </row>
    <row r="4446" hidden="1" ht="15.75" customHeight="1">
      <c r="A4446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4446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4446" t="inlineStr">
        <is>
          <t>Klein Tools JTH6M5 5 mm Hex Key, Journeyman T-Handle, 6-Inch</t>
        </is>
      </c>
      <c r="D4446" t="inlineStr">
        <is>
          <t>Klein Tools JTH9E14 5/16-Inch Hex Key, Journeyman T-Handle, 9-Inch</t>
        </is>
      </c>
      <c r="E4446" s="2">
        <f>HYPERLINK("https://www.amazon.com/Journeyman-T-Handle-Klein-Tools-JTH9E14/dp/B004QVAH4I/ref=sr_1_10?keywords=Klein+Tools+JTH6M5+5+mm+Hex+Key%2C+Journeyman+T-Handle%2C+6-Inch&amp;qid=1694735404&amp;sr=8-10", "https://www.amazon.com/Journeyman-T-Handle-Klein-Tools-JTH9E14/dp/B004QVAH4I/ref=sr_1_10?keywords=Klein+Tools+JTH6M5+5+mm+Hex+Key%2C+Journeyman+T-Handle%2C+6-Inch&amp;qid=1694735404&amp;sr=8-10")</f>
        <v/>
      </c>
      <c r="F4446" t="inlineStr">
        <is>
          <t>B004QVAH4I</t>
        </is>
      </c>
      <c r="G4446">
        <f>_xludf.IMAGE("https://edmondsonsupply.com/cdn/shop/products/jth6m8_86ab4962-b2b5-468b-a9d8-cba525456227.jpg?v=1587150411")</f>
        <v/>
      </c>
      <c r="H4446">
        <f>_xludf.IMAGE("https://m.media-amazon.com/images/I/51Yb8h41vLL._AC_UL320_.jpg")</f>
        <v/>
      </c>
      <c r="K4446" t="inlineStr">
        <is>
          <t>3.99</t>
        </is>
      </c>
      <c r="L4446" t="n">
        <v>7.44</v>
      </c>
      <c r="M4446" s="1" t="inlineStr">
        <is>
          <t>86.47%</t>
        </is>
      </c>
      <c r="N4446" s="1" t="n">
        <v>-5.01</v>
      </c>
      <c r="O4446" t="n">
        <v>4.8</v>
      </c>
      <c r="P4446" t="n">
        <v>114</v>
      </c>
      <c r="R4446" t="inlineStr">
        <is>
          <t>InStock</t>
        </is>
      </c>
      <c r="S4446" t="inlineStr">
        <is>
          <t>6.04</t>
        </is>
      </c>
      <c r="T4446" t="inlineStr">
        <is>
          <t>4391573028964</t>
        </is>
      </c>
    </row>
    <row r="4447" hidden="1" ht="15.75" customHeight="1">
      <c r="A4447" s="2">
        <f>HYPERLINK("https://edmondsonsupply.com/collections/electricians-tools/products/klein-tools-jth4e10-5-32-inch-hex-key-journeyman-t-handle-4-inch", "https://edmondsonsupply.com/collections/electricians-tools/products/klein-tools-jth4e10-5-32-inch-hex-key-journeyman-t-handle-4-inch")</f>
        <v/>
      </c>
      <c r="B4447" s="2">
        <f>HYPERLINK("https://edmondsonsupply.com/products/klein-tools-jth4e10-5-32-inch-hex-key-journeyman-t-handle-4-inch", "https://edmondsonsupply.com/products/klein-tools-jth4e10-5-32-inch-hex-key-journeyman-t-handle-4-inch")</f>
        <v/>
      </c>
      <c r="C4447" t="inlineStr">
        <is>
          <t>Klein Tools JTH4E10 5/32-Inch Hex Key, Journeyman T-Handle, 4-Inch</t>
        </is>
      </c>
      <c r="D4447" t="inlineStr">
        <is>
          <t>Klein Tools JTH9E14 5/16-Inch Hex Key, Journeyman T-Handle, 9-Inch</t>
        </is>
      </c>
      <c r="E4447" s="2">
        <f>HYPERLINK("https://www.amazon.com/Journeyman-T-Handle-Klein-Tools-JTH9E14/dp/B004QVAH4I/ref=sr_1_6?keywords=Klein+Tools+JTH4E10+5%2F32-Inch+Hex+Key%2C+Journeyman+T-Handle%2C+4-Inch&amp;qid=1694735166&amp;sr=8-6", "https://www.amazon.com/Journeyman-T-Handle-Klein-Tools-JTH9E14/dp/B004QVAH4I/ref=sr_1_6?keywords=Klein+Tools+JTH4E10+5%2F32-Inch+Hex+Key%2C+Journeyman+T-Handle%2C+4-Inch&amp;qid=1694735166&amp;sr=8-6")</f>
        <v/>
      </c>
      <c r="F4447" t="inlineStr">
        <is>
          <t>B004QVAH4I</t>
        </is>
      </c>
      <c r="G4447">
        <f>_xludf.IMAGE("https://edmondsonsupply.com/cdn/shop/products/jth4e17_ce261606-f524-49c5-9cd5-8c9f52dd1e03.jpg?v=1645565342")</f>
        <v/>
      </c>
      <c r="H4447">
        <f>_xludf.IMAGE("https://m.media-amazon.com/images/I/51Yb8h41vLL._AC_UL320_.jpg")</f>
        <v/>
      </c>
      <c r="K4447" t="inlineStr">
        <is>
          <t>3.99</t>
        </is>
      </c>
      <c r="L4447" t="n">
        <v>7.44</v>
      </c>
      <c r="M4447" s="1" t="inlineStr">
        <is>
          <t>86.47%</t>
        </is>
      </c>
      <c r="N4447" s="1" t="n">
        <v>-5.04</v>
      </c>
      <c r="O4447" t="n">
        <v>4.8</v>
      </c>
      <c r="P4447" t="n">
        <v>114</v>
      </c>
      <c r="R4447" t="inlineStr">
        <is>
          <t>InStock</t>
        </is>
      </c>
      <c r="S4447" t="inlineStr">
        <is>
          <t>6.04</t>
        </is>
      </c>
      <c r="T4447" t="inlineStr">
        <is>
          <t>7614353015000</t>
        </is>
      </c>
    </row>
    <row r="4448" hidden="1" ht="15.75" customHeight="1">
      <c r="A4448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4448" s="2">
        <f>HYPERLINK("https://edmondsonsupply.com/products/klein-tools-jth6e08-1-8-inch-hex-key-journeyman-t-handle-6-inch", "https://edmondsonsupply.com/products/klein-tools-jth6e08-1-8-inch-hex-key-journeyman-t-handle-6-inch")</f>
        <v/>
      </c>
      <c r="C4448" t="inlineStr">
        <is>
          <t>Klein Tools JTH6E08 1/8-Inch Hex Key, Journeyman T-Handle, 6-Inch</t>
        </is>
      </c>
      <c r="D4448" t="inlineStr">
        <is>
          <t>Klein Tools JTH9E14 5/16-Inch Hex Key, Journeyman T-Handle, 9-Inch</t>
        </is>
      </c>
      <c r="E4448" s="2">
        <f>HYPERLINK("https://www.amazon.com/Journeyman-T-Handle-Klein-Tools-JTH9E14/dp/B004QVAH4I/ref=sr_1_12?keywords=Klein+Tools+JTH6E08+1%2F8-Inch+Hex+Key%2C+Journeyman+T-Handle%2C+6-Inch&amp;qid=1694735241&amp;sr=8-12", "https://www.amazon.com/Journeyman-T-Handle-Klein-Tools-JTH9E14/dp/B004QVAH4I/ref=sr_1_12?keywords=Klein+Tools+JTH6E08+1%2F8-Inch+Hex+Key%2C+Journeyman+T-Handle%2C+6-Inch&amp;qid=1694735241&amp;sr=8-12")</f>
        <v/>
      </c>
      <c r="F4448" t="inlineStr">
        <is>
          <t>B004QVAH4I</t>
        </is>
      </c>
      <c r="G4448">
        <f>_xludf.IMAGE("https://edmondsonsupply.com/cdn/shop/products/jth6e15_e3103b57-060e-4d47-a405-4e66dc6bbb91.jpg?v=1604272072")</f>
        <v/>
      </c>
      <c r="H4448">
        <f>_xludf.IMAGE("https://m.media-amazon.com/images/I/51Yb8h41vLL._AC_UL320_.jpg")</f>
        <v/>
      </c>
      <c r="K4448" t="inlineStr">
        <is>
          <t>3.99</t>
        </is>
      </c>
      <c r="L4448" t="n">
        <v>7.44</v>
      </c>
      <c r="M4448" s="1" t="inlineStr">
        <is>
          <t>86.47%</t>
        </is>
      </c>
      <c r="N4448" s="1" t="n">
        <v>-5.1</v>
      </c>
      <c r="O4448" t="n">
        <v>4.8</v>
      </c>
      <c r="P4448" t="n">
        <v>114</v>
      </c>
      <c r="R4448" t="inlineStr">
        <is>
          <t>InStock</t>
        </is>
      </c>
      <c r="S4448" t="inlineStr">
        <is>
          <t>6.04</t>
        </is>
      </c>
      <c r="T4448" t="inlineStr">
        <is>
          <t>6005767635112</t>
        </is>
      </c>
    </row>
    <row r="4449" hidden="1" ht="15.75" customHeight="1">
      <c r="A4449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4449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4449" t="inlineStr">
        <is>
          <t>Klein Tools JTH6E06 3/32-Inch Hex Key, Journeyman T-Handle, 6-Inch</t>
        </is>
      </c>
      <c r="D4449" t="inlineStr">
        <is>
          <t>Klein Tools JTH9E14 5/16-Inch Hex Key, Journeyman T-Handle, 9-Inch</t>
        </is>
      </c>
      <c r="E4449" s="2">
        <f>HYPERLINK("https://www.amazon.com/Journeyman-T-Handle-Klein-Tools-JTH9E14/dp/B004QVAH4I/ref=sr_1_9?keywords=Klein+Tools+JTH6E06+3%2F32-Inch+Hex+Key%2C+Journeyman+T-Handle%2C+6-Inch&amp;qid=1694735341&amp;sr=8-9", "https://www.amazon.com/Journeyman-T-Handle-Klein-Tools-JTH9E14/dp/B004QVAH4I/ref=sr_1_9?keywords=Klein+Tools+JTH6E06+3%2F32-Inch+Hex+Key%2C+Journeyman+T-Handle%2C+6-Inch&amp;qid=1694735341&amp;sr=8-9")</f>
        <v/>
      </c>
      <c r="F4449" t="inlineStr">
        <is>
          <t>B004QVAH4I</t>
        </is>
      </c>
      <c r="G4449">
        <f>_xludf.IMAGE("https://edmondsonsupply.com/cdn/shop/products/jth6e15_f3f40e05-27ea-4df2-91fc-a673e8aa5e4b.jpg?v=1587150971")</f>
        <v/>
      </c>
      <c r="H4449">
        <f>_xludf.IMAGE("https://m.media-amazon.com/images/I/51Yb8h41vLL._AC_UL320_.jpg")</f>
        <v/>
      </c>
      <c r="K4449" t="inlineStr">
        <is>
          <t>3.99</t>
        </is>
      </c>
      <c r="L4449" t="n">
        <v>7.44</v>
      </c>
      <c r="M4449" s="1" t="inlineStr">
        <is>
          <t>86.47%</t>
        </is>
      </c>
      <c r="N4449" s="1" t="n">
        <v>-5.17</v>
      </c>
      <c r="O4449" t="n">
        <v>4.8</v>
      </c>
      <c r="P4449" t="n">
        <v>114</v>
      </c>
      <c r="R4449" t="inlineStr">
        <is>
          <t>InStock</t>
        </is>
      </c>
      <c r="S4449" t="inlineStr">
        <is>
          <t>6.04</t>
        </is>
      </c>
      <c r="T4449" t="inlineStr">
        <is>
          <t>4512703709284</t>
        </is>
      </c>
    </row>
    <row r="4450" ht="87" customHeight="1">
      <c r="A4450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450" s="2">
        <f>HYPERLINK("https://edmondsonsupply.com/products/klein-tools-32305-15-in-1-multi-bit-ratcheting-screwdriver", "https://edmondsonsupply.com/products/klein-tools-32305-15-in-1-multi-bit-ratcheting-screwdriver")</f>
        <v/>
      </c>
      <c r="C4450" t="inlineStr">
        <is>
          <t>Klein Tools 32305 15-in-1 Multi-Bit Ratcheting Screwdriver</t>
        </is>
      </c>
      <c r="D4450" t="inlineStr">
        <is>
          <t>Klein Tools 32378 Combination Tip Screwdriver Set, 2-Piece &amp; 32305 Multi-bit Ratcheting Screwdriver, 15-in-1 Tool with Phillips, Slotted, Square, Torx and Combo Bits and 1/4-Inch Nut Driver</t>
        </is>
      </c>
      <c r="E4450" s="2">
        <f>HYPERLINK("https://www.amazon.com/Klein-Tools-Combination-Screwdriver-Ratcheting/dp/B0BD3TVT7G/ref=sr_1_10?keywords=Klein+Tools+32305+15-in-1+Multi-Bit+Ratcheting+Screwdriver&amp;qid=1694735163&amp;sr=8-10", "https://www.amazon.com/Klein-Tools-Combination-Screwdriver-Ratcheting/dp/B0BD3TVT7G/ref=sr_1_10?keywords=Klein+Tools+32305+15-in-1+Multi-Bit+Ratcheting+Screwdriver&amp;qid=1694735163&amp;sr=8-10")</f>
        <v/>
      </c>
      <c r="F4450" t="inlineStr">
        <is>
          <t>B0BD3TVT7G</t>
        </is>
      </c>
      <c r="G4450">
        <f>_xlfn.IMAGE("https://edmondsonsupply.com/cdn/shop/products/32305.jpg?v=1646965475")</f>
        <v/>
      </c>
      <c r="H4450">
        <f>_xlfn.IMAGE("https://m.media-amazon.com/images/I/41CuVuOqA9L._AC_UL320_.jpg")</f>
        <v/>
      </c>
      <c r="K4450" t="inlineStr">
        <is>
          <t>21.97</t>
        </is>
      </c>
      <c r="L4450" t="n">
        <v>40.96</v>
      </c>
      <c r="M4450" s="1" t="inlineStr">
        <is>
          <t>86.44%</t>
        </is>
      </c>
      <c r="N4450" s="7" t="n">
        <v>-5.17</v>
      </c>
      <c r="O4450" t="n">
        <v>4.2</v>
      </c>
      <c r="P4450" t="n">
        <v>3</v>
      </c>
      <c r="R4450" t="inlineStr">
        <is>
          <t>InStock</t>
        </is>
      </c>
      <c r="S4450" t="inlineStr">
        <is>
          <t>30.78</t>
        </is>
      </c>
      <c r="T4450" t="inlineStr">
        <is>
          <t>7632426598616</t>
        </is>
      </c>
    </row>
    <row r="4451" hidden="1" ht="15.75" customHeight="1">
      <c r="A4451" s="2">
        <f>HYPERLINK("https://edmondsonsupply.com/collections/electricians-tools/products/diablo-tools-dmamm1030-3-16-in-x-4-in-x-6-in-multi-material-carbide-tipped-hammer-drill-bit", "https://edmondsonsupply.com/collections/electricians-tools/products/diablo-tools-dmamm1030-3-16-in-x-4-in-x-6-in-multi-material-carbide-tipped-hammer-drill-bit")</f>
        <v/>
      </c>
      <c r="B4451" s="2">
        <f>HYPERLINK("https://edmondsonsupply.com/products/diablo-tools-dmamm1030-3-16-in-x-4-in-x-6-in-multi-material-carbide-tipped-hammer-drill-bit", "https://edmondsonsupply.com/products/diablo-tools-dmamm1030-3-16-in-x-4-in-x-6-in-multi-material-carbide-tipped-hammer-drill-bit")</f>
        <v/>
      </c>
      <c r="C4451" t="inlineStr">
        <is>
          <t>Diablo Tools DMAMM1030 3/16 in. x 4 in. x 6 in. Multi-Material Carbide Tipped Hammer Drill Bit</t>
        </is>
      </c>
      <c r="D4451" t="inlineStr">
        <is>
          <t>Sabre Tools 3/16 Inch x 6 Inch Masonry Drill Bit, Carbide Tipped 10-Pack for Concrete, Brick, Stone, 1/4” Hex Shank, Impact Performance (3/16” x 6”, 10)</t>
        </is>
      </c>
      <c r="E4451" s="2">
        <f>HYPERLINK("https://www.amazon.com/Sabre-Tools-Masonry-Concrete-Performance/dp/B08YWW3549/ref=sr_1_16?keywords=Diablo+Tools+DMAMM1030+3%2F16+in.+x+4+in.+x+6+in.+Multi-Material+Carbide+Tipped+Hammer+Drill+Bit&amp;qid=1694735000&amp;sr=8-16", "https://www.amazon.com/Sabre-Tools-Masonry-Concrete-Performance/dp/B08YWW3549/ref=sr_1_16?keywords=Diablo+Tools+DMAMM1030+3%2F16+in.+x+4+in.+x+6+in.+Multi-Material+Carbide+Tipped+Hammer+Drill+Bit&amp;qid=1694735000&amp;sr=8-16")</f>
        <v/>
      </c>
      <c r="F4451" t="inlineStr">
        <is>
          <t>B08YWW3549</t>
        </is>
      </c>
      <c r="G4451">
        <f>_xludf.IMAGE("https://edmondsonsupply.com/cdn/shop/products/o0c0wf8feit5uxkyh0x8.webp?v=1680186241")</f>
        <v/>
      </c>
      <c r="H4451">
        <f>_xludf.IMAGE("https://m.media-amazon.com/images/I/911A6fsX3NL._AC_UL320_.jpg")</f>
        <v/>
      </c>
      <c r="K4451" t="inlineStr">
        <is>
          <t>6.97</t>
        </is>
      </c>
      <c r="L4451" t="n">
        <v>12.99</v>
      </c>
      <c r="M4451" s="1" t="inlineStr">
        <is>
          <t>86.37%</t>
        </is>
      </c>
      <c r="N4451" s="1" t="n">
        <v>-5.23</v>
      </c>
      <c r="O4451" t="n">
        <v>4.2</v>
      </c>
      <c r="P4451" t="n">
        <v>237</v>
      </c>
      <c r="R4451" t="inlineStr">
        <is>
          <t>InStock</t>
        </is>
      </c>
      <c r="S4451" t="inlineStr">
        <is>
          <t>undefined</t>
        </is>
      </c>
      <c r="T4451" t="inlineStr">
        <is>
          <t>7970452766936</t>
        </is>
      </c>
    </row>
    <row r="4452" ht="87" customHeight="1">
      <c r="A4452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4452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4452" t="inlineStr">
        <is>
          <t>Klein Tools 635-1/4 1/4-Inch Nut Driver, Magnetic Tip, 4-Inch Shaft</t>
        </is>
      </c>
      <c r="D4452" t="inlineStr">
        <is>
          <t>Klein Tools 646M Tool Set, Magnetic Nut Drivers Sizes 1/4 and 5/16-Inch, 6-Inch Shafts, 2-Piece</t>
        </is>
      </c>
      <c r="E4452" s="2">
        <f>HYPERLINK("https://www.amazon.com/Magnetic-16-Inch-Klein-Tools-646M/dp/B000936QV0/ref=sr_1_11?keywords=Klein+Tools+635-1%2F4+1%2F4-Inch+Nut+Driver%2C+Magnetic+Tip%2C+4-Inch+Shaft&amp;qid=1694735101&amp;sr=8-11", "https://www.amazon.com/Magnetic-16-Inch-Klein-Tools-646M/dp/B000936QV0/ref=sr_1_11?keywords=Klein+Tools+635-1%2F4+1%2F4-Inch+Nut+Driver%2C+Magnetic+Tip%2C+4-Inch+Shaft&amp;qid=1694735101&amp;sr=8-11")</f>
        <v/>
      </c>
      <c r="F4452" t="inlineStr">
        <is>
          <t>B000936QV0</t>
        </is>
      </c>
      <c r="G4452">
        <f>_xlfn.IMAGE("https://edmondsonsupply.com/cdn/shop/products/635-1-4.jpg?v=1666811523")</f>
        <v/>
      </c>
      <c r="H4452">
        <f>_xlfn.IMAGE("https://m.media-amazon.com/images/I/41lkJ6KRq9L._AC_UL320_.jpg")</f>
        <v/>
      </c>
      <c r="K4452" t="inlineStr">
        <is>
          <t>11.99</t>
        </is>
      </c>
      <c r="L4452" t="n">
        <v>22.34</v>
      </c>
      <c r="M4452" s="1" t="inlineStr">
        <is>
          <t>86.32%</t>
        </is>
      </c>
      <c r="N4452" s="7" t="n">
        <v>-5.29</v>
      </c>
      <c r="O4452" t="n">
        <v>4.8</v>
      </c>
      <c r="P4452" t="n">
        <v>1652</v>
      </c>
      <c r="R4452" t="inlineStr">
        <is>
          <t>InStock</t>
        </is>
      </c>
      <c r="S4452" t="inlineStr">
        <is>
          <t>18.18</t>
        </is>
      </c>
      <c r="T4452" t="inlineStr">
        <is>
          <t>7866294010072</t>
        </is>
      </c>
    </row>
    <row r="4453" hidden="1" ht="15.75" customHeight="1">
      <c r="A4453" s="2">
        <f>HYPERLINK("https://edmondsonsupply.com/collections/electricians-tools/products/klein-tools-jth9e14-5-16-inch-hex-key-journeyman%E2%84%A2-t-handle-9-inch", "https://edmondsonsupply.com/collections/electricians-tools/products/klein-tools-jth9e14-5-16-inch-hex-key-journeyman%E2%84%A2-t-handle-9-inch")</f>
        <v/>
      </c>
      <c r="B4453" s="2">
        <f>HYPERLINK("https://edmondsonsupply.com/products/klein-tools-jth9e14-5-16-inch-hex-key-journeyman%e2%84%a2-t-handle-9-inch", "https://edmondsonsupply.com/products/klein-tools-jth9e14-5-16-inch-hex-key-journeyman%e2%84%a2-t-handle-9-inch")</f>
        <v/>
      </c>
      <c r="C4453" t="inlineStr">
        <is>
          <t>Klein Tools JTH9E14 5/16-Inch Hex Key, Journeyman™ T-Handle, 9-Inch</t>
        </is>
      </c>
      <c r="D4453" t="inlineStr">
        <is>
          <t>Klein Tools JTH9E14 5/16-Inch Hex Key, Journeyman T-Handle, 9-Inch (Pack of 2)</t>
        </is>
      </c>
      <c r="E4453" s="2">
        <f>HYPERLINK("https://www.amazon.com/Klein-Tools-JTH9E14-Journeyman-T-Handle/dp/B0CF2VDSX2/ref=sr_1_2?keywords=Klein+Tools+JTH9E14+5%2F16-Inch+Hex+Key%2C+Journeyman%E2%84%A2+T-Handle%2C+9-Inch&amp;qid=1694735101&amp;sr=8-2", "https://www.amazon.com/Klein-Tools-JTH9E14-Journeyman-T-Handle/dp/B0CF2VDSX2/ref=sr_1_2?keywords=Klein+Tools+JTH9E14+5%2F16-Inch+Hex+Key%2C+Journeyman%E2%84%A2+T-Handle%2C+9-Inch&amp;qid=1694735101&amp;sr=8-2")</f>
        <v/>
      </c>
      <c r="F4453" t="inlineStr">
        <is>
          <t>B0CF2VDSX2</t>
        </is>
      </c>
      <c r="G4453">
        <f>_xludf.IMAGE("https://edmondsonsupply.com/cdn/shop/products/jth6e15_f4984146-222a-4a1f-9fb4-94d2ee6d0a9d.jpg?v=1665597420")</f>
        <v/>
      </c>
      <c r="H4453">
        <f>_xludf.IMAGE("https://m.media-amazon.com/images/I/317IAARii7L._AC_UL320_.jpg")</f>
        <v/>
      </c>
      <c r="K4453" t="inlineStr">
        <is>
          <t>7.99</t>
        </is>
      </c>
      <c r="L4453" t="n">
        <v>14.88</v>
      </c>
      <c r="M4453" s="1" t="inlineStr">
        <is>
          <t>86.23%</t>
        </is>
      </c>
      <c r="N4453" s="1" t="n">
        <v>-5.33</v>
      </c>
      <c r="O4453" t="n">
        <v>4.7</v>
      </c>
      <c r="P4453" t="n">
        <v>390</v>
      </c>
      <c r="R4453" t="inlineStr">
        <is>
          <t>InStock</t>
        </is>
      </c>
      <c r="S4453" t="inlineStr">
        <is>
          <t>12.12</t>
        </is>
      </c>
      <c r="T4453" t="inlineStr">
        <is>
          <t>7850142204120</t>
        </is>
      </c>
    </row>
    <row r="4454" hidden="1" ht="15.75" customHeight="1">
      <c r="A4454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4454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4454" t="inlineStr">
        <is>
          <t>Klein Tools JTH6M5 5 mm Hex Key, Journeyman T-Handle, 6-Inch</t>
        </is>
      </c>
      <c r="D4454" t="inlineStr">
        <is>
          <t>Klein Tools JTH6M5BE 5 mm Ball-End Hex Key, Journeyman T-Handle, 6-Inch</t>
        </is>
      </c>
      <c r="E4454" s="2">
        <f>HYPERLINK("https://www.amazon.com/Journeyman-T-Handle-Klein-Tools-JTH6M5BE/dp/B005G3959S/ref=sr_1_2?keywords=Klein+Tools+JTH6M5+5+mm+Hex+Key%2C+Journeyman+T-Handle%2C+6-Inch&amp;qid=1694735404&amp;sr=8-2", "https://www.amazon.com/Journeyman-T-Handle-Klein-Tools-JTH6M5BE/dp/B005G3959S/ref=sr_1_2?keywords=Klein+Tools+JTH6M5+5+mm+Hex+Key%2C+Journeyman+T-Handle%2C+6-Inch&amp;qid=1694735404&amp;sr=8-2")</f>
        <v/>
      </c>
      <c r="F4454" t="inlineStr">
        <is>
          <t>B005G3959S</t>
        </is>
      </c>
      <c r="G4454">
        <f>_xludf.IMAGE("https://edmondsonsupply.com/cdn/shop/products/jth6m8_86ab4962-b2b5-468b-a9d8-cba525456227.jpg?v=1587150411")</f>
        <v/>
      </c>
      <c r="H4454">
        <f>_xludf.IMAGE("https://m.media-amazon.com/images/I/51huXA+ij8L._AC_UL320_.jpg")</f>
        <v/>
      </c>
      <c r="K4454" t="inlineStr">
        <is>
          <t>3.99</t>
        </is>
      </c>
      <c r="L4454" t="n">
        <v>7.43</v>
      </c>
      <c r="M4454" s="1" t="inlineStr">
        <is>
          <t>86.22%</t>
        </is>
      </c>
      <c r="N4454" s="1" t="n">
        <v>-5.36</v>
      </c>
      <c r="O4454" t="n">
        <v>4.8</v>
      </c>
      <c r="P4454" t="n">
        <v>985</v>
      </c>
      <c r="R4454" t="inlineStr">
        <is>
          <t>InStock</t>
        </is>
      </c>
      <c r="S4454" t="inlineStr">
        <is>
          <t>6.04</t>
        </is>
      </c>
      <c r="T4454" t="inlineStr">
        <is>
          <t>4391573028964</t>
        </is>
      </c>
    </row>
    <row r="4455" hidden="1" ht="15.75" customHeight="1">
      <c r="A4455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4455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4455" t="inlineStr">
        <is>
          <t>Diablo Tools DMAPL4040 3/16 in. x 4 in. x 6 in. Rebar Demon™ SDS-Plus 4-Cutter Full Carbide Head Hammer Bit</t>
        </is>
      </c>
      <c r="D4455" t="inlineStr">
        <is>
          <t>Diablo DMAPL4055 3/16 in. x 10 in. x 12 in. Rebar Demon™ SDS-Plus 4-Cutter Full Carbide Head Hammer Bit</t>
        </is>
      </c>
      <c r="E4455" s="2">
        <f>HYPERLINK("https://www.amazon.com/Diablo-DMAPL4055-SDS-Plus-4-Cutter-Carbide/dp/B089LJCD42/ref=sr_1_3?keywords=Diablo+Tools+DMAPL4040+3%2F16+in.+x+4+in.+x+6+in.+Rebar+Demon%E2%84%A2+SDS-Plus+4-Cutter+Full+Carbide+Head+Hammer+Bit&amp;qid=1694735297&amp;sr=8-3", "https://www.amazon.com/Diablo-DMAPL4055-SDS-Plus-4-Cutter-Carbide/dp/B089LJCD42/ref=sr_1_3?keywords=Diablo+Tools+DMAPL4040+3%2F16+in.+x+4+in.+x+6+in.+Rebar+Demon%E2%84%A2+SDS-Plus+4-Cutter+Full+Carbide+Head+Hammer+Bit&amp;qid=1694735297&amp;sr=8-3")</f>
        <v/>
      </c>
      <c r="F4455" t="inlineStr">
        <is>
          <t>B089LJCD42</t>
        </is>
      </c>
      <c r="G4455">
        <f>_xludf.IMAGE("https://edmondsonsupply.com/cdn/shop/products/DMAPL4040_Main-Image20200701.png?v=1633030358")</f>
        <v/>
      </c>
      <c r="H4455">
        <f>_xludf.IMAGE("https://m.media-amazon.com/images/I/61cDOAhkb4L._AC_UL320_.jpg")</f>
        <v/>
      </c>
      <c r="K4455" t="inlineStr">
        <is>
          <t>8.47</t>
        </is>
      </c>
      <c r="L4455" t="n">
        <v>15.76</v>
      </c>
      <c r="M4455" s="1" t="inlineStr">
        <is>
          <t>86.07%</t>
        </is>
      </c>
      <c r="N4455" s="1" t="n">
        <v>-5.36</v>
      </c>
      <c r="O4455" t="n">
        <v>2</v>
      </c>
      <c r="P4455" t="n">
        <v>1</v>
      </c>
      <c r="R4455" t="inlineStr">
        <is>
          <t>InStock</t>
        </is>
      </c>
      <c r="S4455" t="inlineStr">
        <is>
          <t>undefined</t>
        </is>
      </c>
      <c r="T4455" t="inlineStr">
        <is>
          <t>5286740426920</t>
        </is>
      </c>
    </row>
    <row r="4456" ht="87" customHeight="1">
      <c r="A4456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4456" s="2">
        <f>HYPERLINK("https://edmondsonsupply.com/products/klein-tools-32500mag-11-in-1-magnetic-screwdriver-nut-driver", "https://edmondsonsupply.com/products/klein-tools-32500mag-11-in-1-magnetic-screwdriver-nut-driver")</f>
        <v/>
      </c>
      <c r="C4456" t="inlineStr">
        <is>
          <t>Klein Tools 32500MAG 11-in-1 Magnetic Screwdriver / Nut Driver</t>
        </is>
      </c>
      <c r="D4456" t="inlineStr">
        <is>
          <t>Klein Tools 32596 Multi-Bit Screwdriver/Nut Driver, 8-in-1 HVAC Slide Drive Tool with Magnetic Hex, Phillips, Schrader Bits.</t>
        </is>
      </c>
      <c r="E4456" s="2">
        <f>HYPERLINK("https://www.amazon.com/Screwdriver-Driver-Klein-Tools-32596/dp/B073R7RT1V/ref=sr_1_15?keywords=Klein+Tools+32500MAG+11-in-1+Magnetic+Screwdriver+%2F+Nut+Driver&amp;qid=1694735235&amp;sr=8-15", "https://www.amazon.com/Screwdriver-Driver-Klein-Tools-32596/dp/B073R7RT1V/ref=sr_1_15?keywords=Klein+Tools+32500MAG+11-in-1+Magnetic+Screwdriver+%2F+Nut+Driver&amp;qid=1694735235&amp;sr=8-15")</f>
        <v/>
      </c>
      <c r="F4456" t="inlineStr">
        <is>
          <t>B073R7RT1V</t>
        </is>
      </c>
      <c r="G4456">
        <f>_xlfn.IMAGE("https://edmondsonsupply.com/cdn/shop/products/32500mag.jpg?v=1633030832")</f>
        <v/>
      </c>
      <c r="H4456">
        <f>_xlfn.IMAGE("https://m.media-amazon.com/images/I/51mrDa5uZYL._AC_UL320_.jpg")</f>
        <v/>
      </c>
      <c r="K4456" t="inlineStr">
        <is>
          <t>20.97</t>
        </is>
      </c>
      <c r="L4456" t="n">
        <v>38.96</v>
      </c>
      <c r="M4456" s="1" t="inlineStr">
        <is>
          <t>85.79%</t>
        </is>
      </c>
      <c r="N4456" s="7" t="n">
        <v>-5.4</v>
      </c>
      <c r="O4456" t="n">
        <v>4.8</v>
      </c>
      <c r="P4456" t="n">
        <v>2259</v>
      </c>
      <c r="R4456" t="inlineStr">
        <is>
          <t>InStock</t>
        </is>
      </c>
      <c r="S4456" t="inlineStr">
        <is>
          <t>29.38</t>
        </is>
      </c>
      <c r="T4456" t="inlineStr">
        <is>
          <t>6082199814317</t>
        </is>
      </c>
    </row>
    <row r="4457" ht="87" customHeight="1">
      <c r="A4457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4457" s="2">
        <f>HYPERLINK("https://edmondsonsupply.com/products/klein-tools-32717-all-in-1-precision-screwdriver-set-with-case", "https://edmondsonsupply.com/products/klein-tools-32717-all-in-1-precision-screwdriver-set-with-case")</f>
        <v/>
      </c>
      <c r="C4457" t="inlineStr">
        <is>
          <t>Klein Tools 32717 All-in-1 Precision Screwdriver Set with Case</t>
        </is>
      </c>
      <c r="D4457" t="inlineStr">
        <is>
          <t>Klein Tools 85614 Precision Screwdriver Set, Electronics Slotted and Phillips Screwdrivers with Rotating Caps and Color-Coded Rings, 5-Piece</t>
        </is>
      </c>
      <c r="E4457" s="2">
        <f>HYPERLINK("https://www.amazon.com/Klein-Tools-85614-Electronic-Screwdriver/dp/B0076RWZMQ/ref=sr_1_26?keywords=Klein+Tools+32717+All-in-1+Precision+Screwdriver+Set+with+Case&amp;qid=1694735187&amp;sr=8-26", "https://www.amazon.com/Klein-Tools-85614-Electronic-Screwdriver/dp/B0076RWZMQ/ref=sr_1_26?keywords=Klein+Tools+32717+All-in-1+Precision+Screwdriver+Set+with+Case&amp;qid=1694735187&amp;sr=8-26")</f>
        <v/>
      </c>
      <c r="F4457" t="inlineStr">
        <is>
          <t>B0076RWZMQ</t>
        </is>
      </c>
      <c r="G4457">
        <f>_xlfn.IMAGE("https://edmondsonsupply.com/cdn/shop/products/32717.jpg?v=1633031161")</f>
        <v/>
      </c>
      <c r="H4457">
        <f>_xlfn.IMAGE("https://m.media-amazon.com/images/I/510TMeDdIiL._AC_UL320_.jpg")</f>
        <v/>
      </c>
      <c r="K4457" t="inlineStr">
        <is>
          <t>29.97</t>
        </is>
      </c>
      <c r="L4457" t="n">
        <v>55.67</v>
      </c>
      <c r="M4457" s="1" t="inlineStr">
        <is>
          <t>85.75%</t>
        </is>
      </c>
      <c r="N4457" s="7" t="n">
        <v>-5.45</v>
      </c>
      <c r="O4457" t="n">
        <v>4.8</v>
      </c>
      <c r="P4457" t="n">
        <v>590</v>
      </c>
      <c r="R4457" t="inlineStr">
        <is>
          <t>InStock</t>
        </is>
      </c>
      <c r="S4457" t="inlineStr">
        <is>
          <t>41.98</t>
        </is>
      </c>
      <c r="T4457" t="inlineStr">
        <is>
          <t>6897560453293</t>
        </is>
      </c>
    </row>
    <row r="4458" ht="87" customHeight="1">
      <c r="A4458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4458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4458" t="inlineStr">
        <is>
          <t>Klein Tools NCVT3PKIT Dual Range NCVT and AC/DC Voltage Tester Electrical Test Kit</t>
        </is>
      </c>
      <c r="D4458" t="inlineStr">
        <is>
          <t>Klein Tools NCVT3PKIT Electrical Test Kit, Dual-Range Non-Contact Voltage Tester &amp; 80077 Voltage Tester Kit with Electronic AC/DC Voltage Tester, 3-Piece</t>
        </is>
      </c>
      <c r="E4458" s="2">
        <f>HYPERLINK("https://www.amazon.com/Klein-Tools-Electrical-Dual-Range-Non-Contact/dp/B0BNL8GVPW/ref=sr_1_3?keywords=Klein+Tools+NCVT3PKIT+Dual+Range+NCVT+and+AC%2FDC+Voltage+Tester+Electrical+Test+Kit&amp;qid=1694735090&amp;sr=8-3", "https://www.amazon.com/Klein-Tools-Electrical-Dual-Range-Non-Contact/dp/B0BNL8GVPW/ref=sr_1_3?keywords=Klein+Tools+NCVT3PKIT+Dual+Range+NCVT+and+AC%2FDC+Voltage+Tester+Electrical+Test+Kit&amp;qid=1694735090&amp;sr=8-3")</f>
        <v/>
      </c>
      <c r="F4458" t="inlineStr">
        <is>
          <t>B0BNL8GVPW</t>
        </is>
      </c>
      <c r="G4458">
        <f>_xlfn.IMAGE("https://edmondsonsupply.com/cdn/shop/products/ncvt3pkit.jpg?v=1667228452")</f>
        <v/>
      </c>
      <c r="H4458">
        <f>_xlfn.IMAGE("https://m.media-amazon.com/images/I/51YZJ-zkhPL._AC_UL320_.jpg")</f>
        <v/>
      </c>
      <c r="K4458" t="inlineStr">
        <is>
          <t>34.99</t>
        </is>
      </c>
      <c r="L4458" t="n">
        <v>64.98</v>
      </c>
      <c r="M4458" s="1" t="inlineStr">
        <is>
          <t>85.71%</t>
        </is>
      </c>
      <c r="N4458" s="7" t="n">
        <v>-5.45</v>
      </c>
      <c r="O4458" t="n">
        <v>4.6</v>
      </c>
      <c r="P4458" t="n">
        <v>3</v>
      </c>
      <c r="R4458" t="inlineStr">
        <is>
          <t>InStock</t>
        </is>
      </c>
      <c r="S4458" t="inlineStr">
        <is>
          <t>48.52</t>
        </is>
      </c>
      <c r="T4458" t="inlineStr">
        <is>
          <t>7871488032984</t>
        </is>
      </c>
    </row>
    <row r="4459" ht="87" customHeight="1">
      <c r="A4459" s="2">
        <f>HYPERLINK("https://edmondsonsupply.com/collections/electricians-tools/products/crescent-tools-cx6dbs2-2-pc-x6%E2%84%A2-4-in-1-black-oxide-spline-ratcheting-sae-wrench-set", "https://edmondsonsupply.com/collections/electricians-tools/products/crescent-tools-cx6dbs2-2-pc-x6%E2%84%A2-4-in-1-black-oxide-spline-ratcheting-sae-wrench-set")</f>
        <v/>
      </c>
      <c r="B4459" s="2">
        <f>HYPERLINK("https://edmondsonsupply.com/products/crescent-tools-cx6dbs2-2-pc-x6%e2%84%a2-4-in-1-black-oxide-spline-ratcheting-sae-wrench-set", "https://edmondsonsupply.com/products/crescent-tools-cx6dbs2-2-pc-x6%e2%84%a2-4-in-1-black-oxide-spline-ratcheting-sae-wrench-set")</f>
        <v/>
      </c>
      <c r="C4459" t="inlineStr">
        <is>
          <t>Crescent Tools CX6DBS2 2 Pc. X6™ 4-in-1 Black Oxide Spline Ratcheting SAE Wrench Set</t>
        </is>
      </c>
      <c r="D4459" t="inlineStr">
        <is>
          <t>Crescent 2 Pc. X6™ 4-in-1 Black Oxide Spline Ratcheting SAE Wrench Set - CX6DBS2 and Crescent 7 Pc. X6™ Black Oxide Spline Open End Ratcheting Combination SAE Wrench Set - CX6RWS7</t>
        </is>
      </c>
      <c r="E4459" s="2">
        <f>HYPERLINK("https://www.amazon.com/Crescent-Black-Spline-Ratcheting-Wrench/dp/B0886TQZTW/ref=sr_1_3?keywords=Crescent+Tools+CX6DBS2+2+Pc.+X6%E2%84%A2+4-in-1+Black+Oxide+Spline+Ratcheting+SAE+Wrench+Set&amp;qid=1694734997&amp;sr=8-3", "https://www.amazon.com/Crescent-Black-Spline-Ratcheting-Wrench/dp/B0886TQZTW/ref=sr_1_3?keywords=Crescent+Tools+CX6DBS2+2+Pc.+X6%E2%84%A2+4-in-1+Black+Oxide+Spline+Ratcheting+SAE+Wrench+Set&amp;qid=1694734997&amp;sr=8-3")</f>
        <v/>
      </c>
      <c r="F4459" t="inlineStr">
        <is>
          <t>B0886TQZTW</t>
        </is>
      </c>
      <c r="G4459">
        <f>_xlfn.IMAGE("https://edmondsonsupply.com/cdn/shop/products/CRS_CX6DBS2_FRNT_MAIN.jpg?v=1681319485")</f>
        <v/>
      </c>
      <c r="H4459">
        <f>_xlfn.IMAGE("https://m.media-amazon.com/images/I/61StFxPJl+L._AC_UL320_.jpg")</f>
        <v/>
      </c>
      <c r="K4459" t="inlineStr">
        <is>
          <t>33.98</t>
        </is>
      </c>
      <c r="L4459" t="n">
        <v>63.08</v>
      </c>
      <c r="M4459" s="1" t="inlineStr">
        <is>
          <t>85.64%</t>
        </is>
      </c>
      <c r="N4459" s="7" t="n">
        <v>-5.45</v>
      </c>
      <c r="O4459" t="n">
        <v>4.5</v>
      </c>
      <c r="P4459" t="n">
        <v>7</v>
      </c>
      <c r="R4459" t="inlineStr">
        <is>
          <t>InStock</t>
        </is>
      </c>
      <c r="S4459" t="inlineStr">
        <is>
          <t>60.67</t>
        </is>
      </c>
      <c r="T4459" t="inlineStr">
        <is>
          <t>7977587376344</t>
        </is>
      </c>
    </row>
    <row r="4460" hidden="1" ht="15.75" customHeight="1">
      <c r="A4460" s="2">
        <f>HYPERLINK("https://edmondsonsupply.com/collections/electricians-tools/products/milwaukee-48-20-7431-1-4-in-x-4-in-x-6-in-sds-plus-m2-2-cutter-hammer-drill-bit", "https://edmondsonsupply.com/collections/electricians-tools/products/milwaukee-48-20-7431-1-4-in-x-4-in-x-6-in-sds-plus-m2-2-cutter-hammer-drill-bit")</f>
        <v/>
      </c>
      <c r="B4460" s="2">
        <f>HYPERLINK("https://edmondsonsupply.com/products/milwaukee-48-20-7431-1-4-in-x-4-in-x-6-in-sds-plus-m2-2-cutter-hammer-drill-bit", "https://edmondsonsupply.com/products/milwaukee-48-20-7431-1-4-in-x-4-in-x-6-in-sds-plus-m2-2-cutter-hammer-drill-bit")</f>
        <v/>
      </c>
      <c r="C4460" t="inlineStr">
        <is>
          <t>Milwaukee 48-20-7431 1/4 in. x 4 in. x 6 in. SDS Plus M2 2-Cutter Hammer Drill Bit</t>
        </is>
      </c>
      <c r="D4460" t="inlineStr">
        <is>
          <t>Milwaukee 48-20-7330 SDS+ Carbide Drill Bit 1/4 x 4-Inch</t>
        </is>
      </c>
      <c r="E4460" s="2">
        <f>HYPERLINK("https://www.amazon.com/Milwaukee-48-20-7330-Carbide-Drill-4-Inch/dp/B002HM2WO6/ref=sr_1_12?keywords=Milwaukee+48-20-7431+1%2F4+in.+x+4+in.+x+6+in.+SDS+Plus+M2+2-Cutter+Hammer+Drill+Bit&amp;qid=1694735415&amp;sr=8-12", "https://www.amazon.com/Milwaukee-48-20-7330-Carbide-Drill-4-Inch/dp/B002HM2WO6/ref=sr_1_12?keywords=Milwaukee+48-20-7431+1%2F4+in.+x+4+in.+x+6+in.+SDS+Plus+M2+2-Cutter+Hammer+Drill+Bit&amp;qid=1694735415&amp;sr=8-12")</f>
        <v/>
      </c>
      <c r="F4460" t="inlineStr">
        <is>
          <t>B002HM2WO6</t>
        </is>
      </c>
      <c r="G4460">
        <f>_xludf.IMAGE("https://edmondsonsupply.com/cdn/shop/products/48-20-7431.png?v=1587147395")</f>
        <v/>
      </c>
      <c r="H4460">
        <f>_xludf.IMAGE("https://m.media-amazon.com/images/I/31PWSWrl1uL._AC_UL320_.jpg")</f>
        <v/>
      </c>
      <c r="K4460" t="inlineStr">
        <is>
          <t>3.58</t>
        </is>
      </c>
      <c r="L4460" t="n">
        <v>6.64</v>
      </c>
      <c r="M4460" s="1" t="inlineStr">
        <is>
          <t>85.47%</t>
        </is>
      </c>
      <c r="N4460" s="1" t="n">
        <v>-5.45</v>
      </c>
      <c r="O4460" t="n">
        <v>4.5</v>
      </c>
      <c r="P4460" t="n">
        <v>19</v>
      </c>
      <c r="R4460" t="inlineStr">
        <is>
          <t>OutOfStock</t>
        </is>
      </c>
      <c r="S4460" t="inlineStr">
        <is>
          <t>7.4</t>
        </is>
      </c>
      <c r="T4460" t="inlineStr">
        <is>
          <t>4384186302564</t>
        </is>
      </c>
    </row>
    <row r="4461" ht="87" customHeight="1">
      <c r="A4461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4461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4461" t="inlineStr">
        <is>
          <t>Klein Tools 6824INS Insulated Screwdriver, 1/4-Inch Cabinet Tip, 4-Inch Round Shank</t>
        </is>
      </c>
      <c r="D4461" t="inlineStr">
        <is>
          <t>Klein Tools 601-4-INS Insulated Screwdriver, 3/16-Inch Cabinet Tip with 4-Inch Shank</t>
        </is>
      </c>
      <c r="E4461" s="2">
        <f>HYPERLINK("https://www.amazon.com/Insulated-Screwdriver-Klein-Tools-601-4-INS/dp/B000LEBVIK/ref=sr_1_3?keywords=Klein+Tools+6824INS+Insulated+Screwdriver%2C+1%2F4-Inch+Cabinet+Tip%2C+4-Inch+Round+Shank&amp;qid=1694735115&amp;sr=8-3", "https://www.amazon.com/Insulated-Screwdriver-Klein-Tools-601-4-INS/dp/B000LEBVIK/ref=sr_1_3?keywords=Klein+Tools+6824INS+Insulated+Screwdriver%2C+1%2F4-Inch+Cabinet+Tip%2C+4-Inch+Round+Shank&amp;qid=1694735115&amp;sr=8-3")</f>
        <v/>
      </c>
      <c r="F4461" t="inlineStr">
        <is>
          <t>B000LEBVIK</t>
        </is>
      </c>
      <c r="G4461">
        <f>_xlfn.IMAGE("https://edmondsonsupply.com/cdn/shop/products/6824ins.jpg?v=1664813487")</f>
        <v/>
      </c>
      <c r="H4461">
        <f>_xlfn.IMAGE("https://m.media-amazon.com/images/I/41SIcZZiIAL._AC_UL320_.jpg")</f>
        <v/>
      </c>
      <c r="K4461" t="inlineStr">
        <is>
          <t>9.97</t>
        </is>
      </c>
      <c r="L4461" t="n">
        <v>18.49</v>
      </c>
      <c r="M4461" s="1" t="inlineStr">
        <is>
          <t>85.46%</t>
        </is>
      </c>
      <c r="N4461" s="7" t="n">
        <v>-5.46</v>
      </c>
      <c r="O4461" t="n">
        <v>4.8</v>
      </c>
      <c r="P4461" t="n">
        <v>1068</v>
      </c>
      <c r="R4461" t="inlineStr">
        <is>
          <t>InStock</t>
        </is>
      </c>
      <c r="S4461" t="inlineStr">
        <is>
          <t>15.72</t>
        </is>
      </c>
      <c r="T4461" t="inlineStr">
        <is>
          <t>7837703471320</t>
        </is>
      </c>
    </row>
    <row r="4462" ht="87" customHeight="1">
      <c r="A4462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462" s="2">
        <f>HYPERLINK("https://edmondsonsupply.com/products/klein-tools-11057-klein-kurve%c2%ae-wire-stripper-and-cutter", "https://edmondsonsupply.com/products/klein-tools-11057-klein-kurve%c2%ae-wire-stripper-and-cutter")</f>
        <v/>
      </c>
      <c r="C4462" t="inlineStr">
        <is>
          <t>Klein Tools 11057 Klein-Kurve® Wire Stripper and Cutter</t>
        </is>
      </c>
      <c r="D4462" t="inlineStr">
        <is>
          <t>Klein Tools 11045-INS Insulated Wire Stripper and Cutter,Orange</t>
        </is>
      </c>
      <c r="E4462" s="2">
        <f>HYPERLINK("https://www.amazon.com/Insulated-Stripper-Klein-Tools-11045-INS/dp/B0002RI4TK/ref=sr_1_34?keywords=Klein+Tools+11057+Klein-Kurve%C2%AE+Wire+Stripper+and+Cutter&amp;qid=1694735357&amp;sr=8-34", "https://www.amazon.com/Insulated-Stripper-Klein-Tools-11045-INS/dp/B0002RI4TK/ref=sr_1_34?keywords=Klein+Tools+11057+Klein-Kurve%C2%AE+Wire+Stripper+and+Cutter&amp;qid=1694735357&amp;sr=8-34")</f>
        <v/>
      </c>
      <c r="F4462" t="inlineStr">
        <is>
          <t>B0002RI4TK</t>
        </is>
      </c>
      <c r="G4462">
        <f>_xlfn.IMAGE("https://edmondsonsupply.com/cdn/shop/products/11057.jpg?v=1587146927")</f>
        <v/>
      </c>
      <c r="H4462">
        <f>_xlfn.IMAGE("https://m.media-amazon.com/images/I/51BhVtwSsVL._AC_UL320_.jpg")</f>
        <v/>
      </c>
      <c r="K4462" t="inlineStr">
        <is>
          <t>20.97</t>
        </is>
      </c>
      <c r="L4462" t="n">
        <v>38.89</v>
      </c>
      <c r="M4462" s="1" t="inlineStr">
        <is>
          <t>85.46%</t>
        </is>
      </c>
      <c r="N4462" s="7" t="n">
        <v>-5.56</v>
      </c>
      <c r="O4462" t="n">
        <v>4.5</v>
      </c>
      <c r="P4462" t="n">
        <v>35</v>
      </c>
      <c r="R4462" t="inlineStr">
        <is>
          <t>InStock</t>
        </is>
      </c>
      <c r="S4462" t="inlineStr">
        <is>
          <t>32.72</t>
        </is>
      </c>
      <c r="T4462" t="inlineStr">
        <is>
          <t>4455254720612</t>
        </is>
      </c>
    </row>
    <row r="4463" ht="87" customHeight="1">
      <c r="A4463" s="2">
        <f>HYPERLINK("https://edmondsonsupply.com/collections/electricians-tools/products/milwaukee-48-22-3079-comfort-grip-6-in-1-pliers", "https://edmondsonsupply.com/collections/electricians-tools/products/milwaukee-48-22-3079-comfort-grip-6-in-1-pliers")</f>
        <v/>
      </c>
      <c r="B4463" s="2">
        <f>HYPERLINK("https://edmondsonsupply.com/products/milwaukee-48-22-3079-comfort-grip-6-in-1-pliers", "https://edmondsonsupply.com/products/milwaukee-48-22-3079-comfort-grip-6-in-1-pliers")</f>
        <v/>
      </c>
      <c r="C4463" t="inlineStr">
        <is>
          <t>Milwaukee 48-22-3079 Comfort Grip 6 in 1 Pliers</t>
        </is>
      </c>
      <c r="D4463" t="inlineStr">
        <is>
          <t>Milwaukee 48-22-4106 6 in 1 Diagonal Pliers, 6-Inch</t>
        </is>
      </c>
      <c r="E4463" s="2">
        <f>HYPERLINK("https://www.amazon.com/Milwaukee-48-22-4106-Diagonal-Pliers-6-Inch/dp/B005G111PG/ref=sr_1_32?keywords=Milwaukee+48-22-3079+Comfort+Grip+6+in+1+Pliers&amp;qid=1694735354&amp;sr=8-32", "https://www.amazon.com/Milwaukee-48-22-4106-Diagonal-Pliers-6-Inch/dp/B005G111PG/ref=sr_1_32?keywords=Milwaukee+48-22-3079+Comfort+Grip+6+in+1+Pliers&amp;qid=1694735354&amp;sr=8-32")</f>
        <v/>
      </c>
      <c r="F4463" t="inlineStr">
        <is>
          <t>B005G111PG</t>
        </is>
      </c>
      <c r="G4463">
        <f>_xlfn.IMAGE("https://edmondsonsupply.com/cdn/shop/products/48-22-3079_2.png?v=1587149676")</f>
        <v/>
      </c>
      <c r="H4463">
        <f>_xlfn.IMAGE("https://m.media-amazon.com/images/I/51DVx4tzBEL._AC_UL320_.jpg")</f>
        <v/>
      </c>
      <c r="K4463" t="inlineStr">
        <is>
          <t>19.97</t>
        </is>
      </c>
      <c r="L4463" t="n">
        <v>36.99</v>
      </c>
      <c r="M4463" s="1" t="inlineStr">
        <is>
          <t>85.23%</t>
        </is>
      </c>
      <c r="N4463" s="7" t="n">
        <v>-5.62</v>
      </c>
      <c r="O4463" t="n">
        <v>4.4</v>
      </c>
      <c r="P4463" t="n">
        <v>54</v>
      </c>
      <c r="R4463" t="inlineStr">
        <is>
          <t>InStock</t>
        </is>
      </c>
      <c r="S4463" t="inlineStr">
        <is>
          <t>31.7</t>
        </is>
      </c>
      <c r="T4463" t="inlineStr">
        <is>
          <t>4474508148836</t>
        </is>
      </c>
    </row>
    <row r="4464" ht="87" customHeight="1">
      <c r="A4464" s="2">
        <f>HYPERLINK("https://edmondsonsupply.com/collections/electricians-tools/products/channellock-gs-1x-2pc-speedgrip%E2%84%A2-tongue-groove-pliers-set", "https://edmondsonsupply.com/collections/electricians-tools/products/channellock-gs-1x-2pc-speedgrip%E2%84%A2-tongue-groove-pliers-set")</f>
        <v/>
      </c>
      <c r="B4464" s="2">
        <f>HYPERLINK("https://edmondsonsupply.com/products/channellock-gs-1x-2pc-speedgrip%e2%84%a2-tongue-groove-pliers-set", "https://edmondsonsupply.com/products/channellock-gs-1x-2pc-speedgrip%e2%84%a2-tongue-groove-pliers-set")</f>
        <v/>
      </c>
      <c r="C4464" t="inlineStr">
        <is>
          <t>Channellock GS-1X 2PC SPEEDGRIP™ Tongue &amp; Groove Pliers Set</t>
        </is>
      </c>
      <c r="D4464" t="inlineStr">
        <is>
          <t>CHANNELLOCK GS-50 5pc Pliers Set | Made in USA | Forged High Carbon Steel | Includes Tongue &amp; Groove, Linemen's, Long Nose and Cutting Pliers</t>
        </is>
      </c>
      <c r="E4464" s="2">
        <f>HYPERLINK("https://www.amazon.com/Channellock-GS-50-Plier-Set-5-Piece/dp/B0099FEW1K/ref=sr_1_13?keywords=Channellock+GS-1X+2PC+SPEEDGRIP%E2%84%A2+Tongue+%26+Groove+Pliers+Set&amp;qid=1694735166&amp;sr=8-13", "https://www.amazon.com/Channellock-GS-50-Plier-Set-5-Piece/dp/B0099FEW1K/ref=sr_1_13?keywords=Channellock+GS-1X+2PC+SPEEDGRIP%E2%84%A2+Tongue+%26+Groove+Pliers+Set&amp;qid=1694735166&amp;sr=8-13")</f>
        <v/>
      </c>
      <c r="F4464" t="inlineStr">
        <is>
          <t>B0099FEW1K</t>
        </is>
      </c>
      <c r="G4464">
        <f>_xlfn.IMAGE("https://edmondsonsupply.com/cdn/shop/products/GS1X.jpg?v=1647106166")</f>
        <v/>
      </c>
      <c r="H4464">
        <f>_xlfn.IMAGE("https://m.media-amazon.com/images/I/71CgsWculbL._AC_UL320_.jpg")</f>
        <v/>
      </c>
      <c r="K4464" t="inlineStr">
        <is>
          <t>49.95</t>
        </is>
      </c>
      <c r="L4464" t="n">
        <v>92.45</v>
      </c>
      <c r="M4464" s="1" t="inlineStr">
        <is>
          <t>85.09%</t>
        </is>
      </c>
      <c r="N4464" s="7" t="n">
        <v>-5.63</v>
      </c>
      <c r="O4464" t="n">
        <v>4.6</v>
      </c>
      <c r="P4464" t="n">
        <v>144</v>
      </c>
      <c r="R4464" t="inlineStr">
        <is>
          <t>InStock</t>
        </is>
      </c>
      <c r="S4464" t="inlineStr">
        <is>
          <t>77.87</t>
        </is>
      </c>
      <c r="T4464" t="inlineStr">
        <is>
          <t>7633810227416</t>
        </is>
      </c>
    </row>
    <row r="4465" ht="87" customHeight="1">
      <c r="A4465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4465" s="2">
        <f>HYPERLINK("https://edmondsonsupply.com/products/diablo-tools-dmapl2240-3-8-in-x-10-in-x-12-in-sds-plus-2-cutter", "https://edmondsonsupply.com/products/diablo-tools-dmapl2240-3-8-in-x-10-in-x-12-in-sds-plus-2-cutter")</f>
        <v/>
      </c>
      <c r="C4465" t="inlineStr">
        <is>
          <t>Diablo Tools DMAPL2240 3/8 in. x 10 in. x 12 in. SDS-Plus 2-Cutter</t>
        </is>
      </c>
      <c r="D4465" t="inlineStr">
        <is>
          <t>DEWALT 3/8IN X 10IN X 12IN SDS + 2 Cutter</t>
        </is>
      </c>
      <c r="E4465" s="2">
        <f>HYPERLINK("https://www.amazon.com/DEWALT-DWAF5430-10In-12In-Cutter/dp/B01GLYTB3K/ref=sr_1_38?keywords=Diablo+Tools+DMAPL2240+3%2F8+in.+x+10+in.+x+12+in.+SDS-Plus+2-Cutter&amp;qid=1694735297&amp;sr=8-38", "https://www.amazon.com/DEWALT-DWAF5430-10In-12In-Cutter/dp/B01GLYTB3K/ref=sr_1_38?keywords=Diablo+Tools+DMAPL2240+3%2F8+in.+x+10+in.+x+12+in.+SDS-Plus+2-Cutter&amp;qid=1694735297&amp;sr=8-38")</f>
        <v/>
      </c>
      <c r="F4465" t="inlineStr">
        <is>
          <t>B01GLYTB3K</t>
        </is>
      </c>
      <c r="G4465">
        <f>_xlfn.IMAGE("https://edmondsonsupply.com/cdn/shop/products/DMAPL2240-P25.jpg?v=1633030355")</f>
        <v/>
      </c>
      <c r="H4465">
        <f>_xlfn.IMAGE("https://m.media-amazon.com/images/I/51Eh6JC0CEL._AC_UL320_.jpg")</f>
        <v/>
      </c>
      <c r="K4465" t="inlineStr">
        <is>
          <t>10.97</t>
        </is>
      </c>
      <c r="L4465" t="n">
        <v>20.29</v>
      </c>
      <c r="M4465" s="1" t="inlineStr">
        <is>
          <t>84.96%</t>
        </is>
      </c>
      <c r="N4465" s="7" t="n">
        <v>-5.64</v>
      </c>
      <c r="O4465" t="n">
        <v>5</v>
      </c>
      <c r="P4465" t="n">
        <v>1</v>
      </c>
      <c r="R4465" t="inlineStr">
        <is>
          <t>InStock</t>
        </is>
      </c>
      <c r="S4465" t="inlineStr">
        <is>
          <t>12.38</t>
        </is>
      </c>
      <c r="T4465" t="inlineStr">
        <is>
          <t>5286161252520</t>
        </is>
      </c>
    </row>
    <row r="4466" ht="87" customHeight="1">
      <c r="A4466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4466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4466" t="inlineStr">
        <is>
          <t>Klein Tools 600-6 5/16-Inch Keystone Screwdriver 6-Inch SQ Shank</t>
        </is>
      </c>
      <c r="D4466" t="inlineStr">
        <is>
          <t>Klein Tools BD286 Square-Shank Keystone-Tip Bull Driver Screwdriver, 1/4-Inch by 6-Inch</t>
        </is>
      </c>
      <c r="E4466" s="2">
        <f>HYPERLINK("https://www.amazon.com/Klein-Tools-BD286-Square-Shank-Keystone-Tip/dp/B000936OIK/ref=sr_1_14?keywords=Klein+Tools+600-6+5%2F16-Inch+Keystone+Screwdriver+6-Inch+SQ+Shank&amp;qid=1694735292&amp;sr=8-14", "https://www.amazon.com/Klein-Tools-BD286-Square-Shank-Keystone-Tip/dp/B000936OIK/ref=sr_1_14?keywords=Klein+Tools+600-6+5%2F16-Inch+Keystone+Screwdriver+6-Inch+SQ+Shank&amp;qid=1694735292&amp;sr=8-14")</f>
        <v/>
      </c>
      <c r="F4466" t="inlineStr">
        <is>
          <t>B000936OIK</t>
        </is>
      </c>
      <c r="G4466">
        <f>_xlfn.IMAGE("https://edmondsonsupply.com/cdn/shop/products/600-6.jpg?v=1633030381")</f>
        <v/>
      </c>
      <c r="H4466">
        <f>_xlfn.IMAGE("https://m.media-amazon.com/images/I/51UUB8V+wCL._AC_UL320_.jpg")</f>
        <v/>
      </c>
      <c r="K4466" t="inlineStr">
        <is>
          <t>13.97</t>
        </is>
      </c>
      <c r="L4466" t="n">
        <v>25.83</v>
      </c>
      <c r="M4466" s="1" t="inlineStr">
        <is>
          <t>84.90%</t>
        </is>
      </c>
      <c r="N4466" s="7" t="n">
        <v>-5.71</v>
      </c>
      <c r="O4466" t="n">
        <v>5</v>
      </c>
      <c r="P4466" t="n">
        <v>1</v>
      </c>
      <c r="R4466" t="inlineStr">
        <is>
          <t>InStock</t>
        </is>
      </c>
      <c r="S4466" t="inlineStr">
        <is>
          <t>18.5</t>
        </is>
      </c>
      <c r="T4466" t="inlineStr">
        <is>
          <t>5296722542760</t>
        </is>
      </c>
    </row>
    <row r="4467" ht="87" customHeight="1">
      <c r="A4467" s="2">
        <f>HYPERLINK("https://edmondsonsupply.com/collections/electricians-tools/products/diablo-tools-dmapl2220-p25-3-8-in-x-4-in-x-6-in-sds-plus-2-cutter", "https://edmondsonsupply.com/collections/electricians-tools/products/diablo-tools-dmapl2220-p25-3-8-in-x-4-in-x-6-in-sds-plus-2-cutter")</f>
        <v/>
      </c>
      <c r="B4467" s="2">
        <f>HYPERLINK("https://edmondsonsupply.com/products/diablo-tools-dmapl2220-p25-3-8-in-x-4-in-x-6-in-sds-plus-2-cutter", "https://edmondsonsupply.com/products/diablo-tools-dmapl2220-p25-3-8-in-x-4-in-x-6-in-sds-plus-2-cutter")</f>
        <v/>
      </c>
      <c r="C4467" t="inlineStr">
        <is>
          <t>Diablo Tools DMAPL2220-P25 3/8 in. x 4 in. x 6 in. SDS-Plus 2-Cutter (25 pack)</t>
        </is>
      </c>
      <c r="D4467" t="inlineStr">
        <is>
          <t>Diablo by Freud DMAPL4160-P25 3/8 in. x 10 in. x 12 in. Rebar Demon SDS-Plus 4-Cutter Full Carbide Head Hammer Bit (25-Pack)</t>
        </is>
      </c>
      <c r="E4467" s="2">
        <f>HYPERLINK("https://www.amazon.com/Diablo-Freud-DMAPL4160-P25-SDS-Plus-4-Cutter/dp/B089LKWCD1/ref=sr_1_8?keywords=Diablo+Tools+DMAPL2220-P25+3%2F8+in.+x+4+in.+x+6+in.+SDS-Plus+2-Cutter+%2825+pack%29&amp;qid=1694735313&amp;sr=8-8", "https://www.amazon.com/Diablo-Freud-DMAPL4160-P25-SDS-Plus-4-Cutter/dp/B089LKWCD1/ref=sr_1_8?keywords=Diablo+Tools+DMAPL2220-P25+3%2F8+in.+x+4+in.+x+6+in.+SDS-Plus+2-Cutter+%2825+pack%29&amp;qid=1694735313&amp;sr=8-8")</f>
        <v/>
      </c>
      <c r="F4467" t="inlineStr">
        <is>
          <t>B089LKWCD1</t>
        </is>
      </c>
      <c r="G4467">
        <f>_xlfn.IMAGE("https://edmondsonsupply.com/cdn/shop/products/DMAPL2220.jpg?v=1633030349")</f>
        <v/>
      </c>
      <c r="H4467">
        <f>_xlfn.IMAGE("https://m.media-amazon.com/images/I/61MHnm3+2bL._AC_UL320_.jpg")</f>
        <v/>
      </c>
      <c r="K4467" t="inlineStr">
        <is>
          <t>97.97</t>
        </is>
      </c>
      <c r="L4467" t="n">
        <v>180.97</v>
      </c>
      <c r="M4467" s="1" t="inlineStr">
        <is>
          <t>84.72%</t>
        </is>
      </c>
      <c r="N4467" s="7" t="n">
        <v>-5.72</v>
      </c>
      <c r="O4467" t="n">
        <v>5</v>
      </c>
      <c r="P4467" t="n">
        <v>1</v>
      </c>
      <c r="R4467" t="inlineStr">
        <is>
          <t>InStock</t>
        </is>
      </c>
      <c r="S4467" t="inlineStr">
        <is>
          <t>140.84</t>
        </is>
      </c>
      <c r="T4467" t="inlineStr">
        <is>
          <t>5283050061992</t>
        </is>
      </c>
    </row>
    <row r="4468" ht="87" customHeight="1">
      <c r="A4468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4468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4468" t="inlineStr">
        <is>
          <t>Diablo Tools DOU250JBW 2-1/2 in. Universal Fit Bi-Metal Oscillating Blade for Clean Wood</t>
        </is>
      </c>
      <c r="D4468" t="inlineStr">
        <is>
          <t>Diablo by Freud DOU125JBW3 1-1/4 in. Universal Fit Bi-Metal Oscillating Blades for Clean Wood (3-Pack)</t>
        </is>
      </c>
      <c r="E4468" s="2">
        <f>HYPERLINK("https://www.amazon.com/Diablo-Freud-DOU125JBW3-Universal-Oscillating/dp/B089KX3SWM/ref=sr_1_2?keywords=Diablo+Tools+DOU250JBW+2-1%2F2+in.+Universal+Fit+Bi-Metal+Oscillating+Blade+for+Clean+Wood&amp;qid=1694734994&amp;sr=8-2", "https://www.amazon.com/Diablo-Freud-DOU125JBW3-Universal-Oscillating/dp/B089KX3SWM/ref=sr_1_2?keywords=Diablo+Tools+DOU250JBW+2-1%2F2+in.+Universal+Fit+Bi-Metal+Oscillating+Blade+for+Clean+Wood&amp;qid=1694734994&amp;sr=8-2")</f>
        <v/>
      </c>
      <c r="F4468" t="inlineStr">
        <is>
          <t>B089KX3SWM</t>
        </is>
      </c>
      <c r="G4468">
        <f>_xlfn.IMAGE("https://edmondsonsupply.com/cdn/shop/files/pycnap4eb1urn2hxvudq.webp?v=1685718789")</f>
        <v/>
      </c>
      <c r="H4468">
        <f>_xlfn.IMAGE("https://m.media-amazon.com/images/I/61wFHtmEH5L._AC_UL320_.jpg")</f>
        <v/>
      </c>
      <c r="K4468" t="inlineStr">
        <is>
          <t>15.65</t>
        </is>
      </c>
      <c r="L4468" t="n">
        <v>28.89</v>
      </c>
      <c r="M4468" s="1" t="inlineStr">
        <is>
          <t>84.60%</t>
        </is>
      </c>
      <c r="N4468" s="7" t="n">
        <v>-5.74</v>
      </c>
      <c r="O4468" t="n">
        <v>4.5</v>
      </c>
      <c r="P4468" t="n">
        <v>48</v>
      </c>
      <c r="R4468" t="inlineStr">
        <is>
          <t>InStock</t>
        </is>
      </c>
      <c r="S4468" t="inlineStr">
        <is>
          <t>24.85</t>
        </is>
      </c>
      <c r="T4468" t="inlineStr">
        <is>
          <t>7999572279512</t>
        </is>
      </c>
    </row>
    <row r="4469" ht="87" customHeight="1">
      <c r="A4469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4469" s="2">
        <f>HYPERLINK("https://edmondsonsupply.com/products/klein-tools-66076-flip-impact-socket-9-16-and-1-2-inch", "https://edmondsonsupply.com/products/klein-tools-66076-flip-impact-socket-9-16-and-1-2-inch")</f>
        <v/>
      </c>
      <c r="C4469" t="inlineStr">
        <is>
          <t>Klein Tools 66076 Flip Impact Socket, 9/16 and 1/2-Inch</t>
        </is>
      </c>
      <c r="D4469" t="inlineStr">
        <is>
          <t>Klein Tools 32767 Impact Driver, 3-in-1 Impact Flip Socket and Bit Holder, 1/4-Inch and 5/16-Inch Hex Drivers, 5-Inch Length (Pack of 2)</t>
        </is>
      </c>
      <c r="E4469" s="2">
        <f>HYPERLINK("https://www.amazon.com/Klein-Tools-32767-16-Inch-Drivers/dp/B0CDQKP7LM/ref=sr_1_12?keywords=Klein+Tools+66076+Flip+Impact+Socket%2C+9%2F16+and+1%2F2-Inch&amp;qid=1694735129&amp;sr=8-12", "https://www.amazon.com/Klein-Tools-32767-16-Inch-Drivers/dp/B0CDQKP7LM/ref=sr_1_12?keywords=Klein+Tools+66076+Flip+Impact+Socket%2C+9%2F16+and+1%2F2-Inch&amp;qid=1694735129&amp;sr=8-12")</f>
        <v/>
      </c>
      <c r="F4469" t="inlineStr">
        <is>
          <t>B0CDQKP7LM</t>
        </is>
      </c>
      <c r="G4469">
        <f>_xlfn.IMAGE("https://edmondsonsupply.com/cdn/shop/products/66076.jpg?v=1663083814")</f>
        <v/>
      </c>
      <c r="H4469">
        <f>_xlfn.IMAGE("https://m.media-amazon.com/images/I/41Z456wDYpL._AC_UL320_.jpg")</f>
        <v/>
      </c>
      <c r="K4469" t="inlineStr">
        <is>
          <t>10.71</t>
        </is>
      </c>
      <c r="L4469" t="n">
        <v>19.77</v>
      </c>
      <c r="M4469" s="1" t="inlineStr">
        <is>
          <t>84.59%</t>
        </is>
      </c>
      <c r="N4469" s="7" t="n">
        <v>-5.75</v>
      </c>
      <c r="O4469" t="n">
        <v>4.3</v>
      </c>
      <c r="P4469" t="n">
        <v>799</v>
      </c>
      <c r="R4469" t="inlineStr">
        <is>
          <t>InStock</t>
        </is>
      </c>
      <c r="S4469" t="inlineStr">
        <is>
          <t>15.0</t>
        </is>
      </c>
      <c r="T4469" t="inlineStr">
        <is>
          <t>7814133874904</t>
        </is>
      </c>
    </row>
    <row r="4470" ht="87" customHeight="1">
      <c r="A4470" s="2">
        <f>HYPERLINK("https://edmondsonsupply.com/collections/electricians-tools/products/milwaukee-49-56-0509-diamond-max%E2%84%A2-hole-saws", "https://edmondsonsupply.com/collections/electricians-tools/products/milwaukee-49-56-0509-diamond-max%E2%84%A2-hole-saws")</f>
        <v/>
      </c>
      <c r="B4470" s="2">
        <f>HYPERLINK("https://edmondsonsupply.com/products/milwaukee-49-56-0509-diamond-max%e2%84%a2-hole-saws", "https://edmondsonsupply.com/products/milwaukee-49-56-0509-diamond-max%e2%84%a2-hole-saws")</f>
        <v/>
      </c>
      <c r="C4470" t="inlineStr">
        <is>
          <t>Milwaukee 49-56-0509 3/8" Diamond MAX™ Hole Saw</t>
        </is>
      </c>
      <c r="D4470" t="inlineStr">
        <is>
          <t>Milwaukee 49-56-0500 Diamond Max Diamond Grit Hole Saw 3 Piece Set 49560500 0</t>
        </is>
      </c>
      <c r="E4470" s="2">
        <f>HYPERLINK("https://www.amazon.com/Milwaukee-49-56-0500-Diamond-Grit-Piece/dp/B09L5DZ2TG/ref=sr_1_2?keywords=Milwaukee+49-56-0509+3%2F8%22+Diamond+MAX%E2%84%A2+Hole+Saw&amp;qid=1694735061&amp;sr=8-2", "https://www.amazon.com/Milwaukee-49-56-0500-Diamond-Grit-Piece/dp/B09L5DZ2TG/ref=sr_1_2?keywords=Milwaukee+49-56-0509+3%2F8%22+Diamond+MAX%E2%84%A2+Hole+Saw&amp;qid=1694735061&amp;sr=8-2")</f>
        <v/>
      </c>
      <c r="F4470" t="inlineStr">
        <is>
          <t>B09L5DZ2TG</t>
        </is>
      </c>
      <c r="G4470">
        <f>_xlfn.IMAGE("https://edmondsonsupply.com/cdn/shop/products/images.jpg?v=1678461630")</f>
        <v/>
      </c>
      <c r="H4470">
        <f>_xlfn.IMAGE("https://m.media-amazon.com/images/I/71KrmL0Rx7L._AC_UL320_.jpg")</f>
        <v/>
      </c>
      <c r="K4470" t="inlineStr">
        <is>
          <t>19.98</t>
        </is>
      </c>
      <c r="L4470" t="n">
        <v>36.88</v>
      </c>
      <c r="M4470" s="1" t="inlineStr">
        <is>
          <t>84.58%</t>
        </is>
      </c>
      <c r="N4470" s="7" t="n">
        <v>-5.77</v>
      </c>
      <c r="O4470" t="n">
        <v>4.8</v>
      </c>
      <c r="P4470" t="n">
        <v>31</v>
      </c>
      <c r="R4470" t="inlineStr">
        <is>
          <t>InStock</t>
        </is>
      </c>
      <c r="S4470" t="inlineStr">
        <is>
          <t>30.9</t>
        </is>
      </c>
      <c r="T4470" t="inlineStr">
        <is>
          <t>7910281019608</t>
        </is>
      </c>
    </row>
    <row r="4471" hidden="1" ht="15.75" customHeight="1">
      <c r="A4471" s="2">
        <f>HYPERLINK("https://edmondsonsupply.com/collections/electricians-tools/products/greenlee-k2p-1-2-1-2-conduit-size-slug-buster%C2%AE-knockout-punch", "https://edmondsonsupply.com/collections/electricians-tools/products/greenlee-k2p-1-2-1-2-conduit-size-slug-buster%C2%AE-knockout-punch")</f>
        <v/>
      </c>
      <c r="B4471" s="2">
        <f>HYPERLINK("https://edmondsonsupply.com/products/greenlee-k2p-1-2-1-2-conduit-size-slug-buster%c2%ae-knockout-punch", "https://edmondsonsupply.com/products/greenlee-k2p-1-2-1-2-conduit-size-slug-buster%c2%ae-knockout-punch")</f>
        <v/>
      </c>
      <c r="C4471" t="inlineStr">
        <is>
          <t>Greenlee K2P-1/2 1/2" Conduit Size Slug-Buster® Knockout Punch</t>
        </is>
      </c>
      <c r="D4471" t="inlineStr">
        <is>
          <t>Greenlee, K2BB-1/2 replaces 60246, 1/2" Conduit Size Slug-Buster Manual Knockout Set</t>
        </is>
      </c>
      <c r="E4471" s="2">
        <f>HYPERLINK("https://www.amazon.com/Greenlee-K2BB-1-2-KNOCKOUT-SET/dp/B07Y5TWM7M/ref=sr_1_2?keywords=Greenlee+K2P-1%2F2+1%2F2%22+Conduit+Size+Slug-Buster%C2%AE+Knockout+Punch&amp;qid=1694735371&amp;sr=8-2", "https://www.amazon.com/Greenlee-K2BB-1-2-KNOCKOUT-SET/dp/B07Y5TWM7M/ref=sr_1_2?keywords=Greenlee+K2P-1%2F2+1%2F2%22+Conduit+Size+Slug-Buster%C2%AE+Knockout+Punch&amp;qid=1694735371&amp;sr=8-2")</f>
        <v/>
      </c>
      <c r="F4471" t="inlineStr">
        <is>
          <t>B07Y5TWM7M</t>
        </is>
      </c>
      <c r="G4471">
        <f>_xludf.IMAGE("https://edmondsonsupply.com/cdn/shop/products/K2P-1-2-CAT1.jpg?v=1587145640")</f>
        <v/>
      </c>
      <c r="H4471">
        <f>_xludf.IMAGE("https://m.media-amazon.com/images/I/51TtbjBnjXL._AC_UL320_.jpg")</f>
        <v/>
      </c>
      <c r="K4471" t="inlineStr">
        <is>
          <t>30.87</t>
        </is>
      </c>
      <c r="L4471" t="n">
        <v>56.97</v>
      </c>
      <c r="M4471" s="1" t="inlineStr">
        <is>
          <t>84.55%</t>
        </is>
      </c>
      <c r="N4471" s="1" t="n">
        <v>-5.79</v>
      </c>
      <c r="O4471" t="n">
        <v>3.7</v>
      </c>
      <c r="P4471" t="n">
        <v>6</v>
      </c>
      <c r="R4471" t="inlineStr">
        <is>
          <t>InStock</t>
        </is>
      </c>
      <c r="S4471" t="inlineStr">
        <is>
          <t>31.5</t>
        </is>
      </c>
      <c r="T4471" t="inlineStr">
        <is>
          <t>4431351414884</t>
        </is>
      </c>
    </row>
    <row r="4472" hidden="1" ht="15.75" customHeight="1">
      <c r="A4472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4472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4472" t="inlineStr">
        <is>
          <t>Diablo Tools DMARG1070 1/4 in. x 4 in. x 6 in. SPEEDemon™ Red Granite Carbide Tipped Hammer Drill Bit</t>
        </is>
      </c>
      <c r="D4472" t="inlineStr">
        <is>
          <t>BOSCH HCBG06 1/4 In. x 6 In. BlueGranite Carbide Hammer Drill Bit</t>
        </is>
      </c>
      <c r="E4472" s="2">
        <f>HYPERLINK("https://www.amazon.com/Bosch-HCBG06-BlueGranite-Carbide-Hammer/dp/B000VR9968/ref=sr_1_24?keywords=Diablo+Tools+DMARG1070+1%2F4+in.+x+4+in.+x+6+in.+SPEEDemon%E2%84%A2+Red+Granite+Carbide+Tipped+Hammer+Drill+Bit&amp;qid=1694735286&amp;sr=8-24", "https://www.amazon.com/Bosch-HCBG06-BlueGranite-Carbide-Hammer/dp/B000VR9968/ref=sr_1_24?keywords=Diablo+Tools+DMARG1070+1%2F4+in.+x+4+in.+x+6+in.+SPEEDemon%E2%84%A2+Red+Granite+Carbide+Tipped+Hammer+Drill+Bit&amp;qid=1694735286&amp;sr=8-24")</f>
        <v/>
      </c>
      <c r="F4472" t="inlineStr">
        <is>
          <t>B000VR9968</t>
        </is>
      </c>
      <c r="G4472">
        <f>_xludf.IMAGE("https://edmondsonsupply.com/cdn/shop/products/DMARG1070_Main-Image20200407.png?v=1633030419")</f>
        <v/>
      </c>
      <c r="H4472">
        <f>_xludf.IMAGE("https://m.media-amazon.com/images/I/51MNxKQDpzL._AC_UL320_.jpg")</f>
        <v/>
      </c>
      <c r="K4472" t="inlineStr">
        <is>
          <t>4.97</t>
        </is>
      </c>
      <c r="L4472" t="n">
        <v>9.140000000000001</v>
      </c>
      <c r="M4472" s="1" t="inlineStr">
        <is>
          <t>83.90%</t>
        </is>
      </c>
      <c r="N4472" s="1" t="n">
        <v>-5.8</v>
      </c>
      <c r="O4472" t="n">
        <v>4.2</v>
      </c>
      <c r="P4472" t="n">
        <v>59</v>
      </c>
      <c r="R4472" t="inlineStr">
        <is>
          <t>InStock</t>
        </is>
      </c>
      <c r="S4472" t="inlineStr">
        <is>
          <t>undefined</t>
        </is>
      </c>
      <c r="T4472" t="inlineStr">
        <is>
          <t>5317981700264</t>
        </is>
      </c>
    </row>
    <row r="4473" ht="87" customHeight="1">
      <c r="A4473" s="2">
        <f>HYPERLINK("https://edmondsonsupply.com/collections/electricians-tools/products/klein-tools-vdv501-852-scout%C2%AE-pro-3-tester-with-locator-remote-kit", "https://edmondsonsupply.com/collections/electricians-tools/products/klein-tools-vdv501-852-scout%C2%AE-pro-3-tester-with-locator-remote-kit")</f>
        <v/>
      </c>
      <c r="B4473" s="2">
        <f>HYPERLINK("https://edmondsonsupply.com/products/klein-tools-vdv501-852-scout%c2%ae-pro-3-tester-with-locator-remote-kit", "https://edmondsonsupply.com/products/klein-tools-vdv501-852-scout%c2%ae-pro-3-tester-with-locator-remote-kit")</f>
        <v/>
      </c>
      <c r="C4473" t="inlineStr">
        <is>
          <t>Klein Tools VDV501-852 Scout® Pro 3 Tester with Locator Remote Kit</t>
        </is>
      </c>
      <c r="D4473" t="inlineStr">
        <is>
          <t>Klein Tools VDV501-853 CoaxialCable Tester, Scout Pro 3 with Test-n-Map Remote, Includes Remotes #2 - #6, Tests Voice, Data and Video Cable &amp; VDV500-820 Cable Tracer with Probe Tone Pro Kit</t>
        </is>
      </c>
      <c r="E4473" s="2">
        <f>HYPERLINK("https://www.amazon.com/Klein-Tools-VDV501-853-CoaxialCable-Test-n-Map/dp/B09T6Y7S3V/ref=sr_1_9?keywords=Klein+Tools+VDV501-852+Scout%C2%AE+Pro+3+Tester+with+Locator+Remote+Kit&amp;qid=1694735261&amp;sr=8-9", "https://www.amazon.com/Klein-Tools-VDV501-853-CoaxialCable-Test-n-Map/dp/B09T6Y7S3V/ref=sr_1_9?keywords=Klein+Tools+VDV501-852+Scout%C2%AE+Pro+3+Tester+with+Locator+Remote+Kit&amp;qid=1694735261&amp;sr=8-9")</f>
        <v/>
      </c>
      <c r="F4473" t="inlineStr">
        <is>
          <t>B09T6Y7S3V</t>
        </is>
      </c>
      <c r="G4473">
        <f>_xlfn.IMAGE("https://edmondsonsupply.com/cdn/shop/products/vdv501852_c.jpg?v=1633030670")</f>
        <v/>
      </c>
      <c r="H4473">
        <f>_xlfn.IMAGE("https://m.media-amazon.com/images/I/51NRzF8o5EL._AC_UY218_.jpg")</f>
        <v/>
      </c>
      <c r="K4473" t="inlineStr">
        <is>
          <t>184.99</t>
        </is>
      </c>
      <c r="L4473" t="n">
        <v>339.96</v>
      </c>
      <c r="M4473" s="1" t="inlineStr">
        <is>
          <t>83.77%</t>
        </is>
      </c>
      <c r="N4473" s="7" t="n">
        <v>-5.83</v>
      </c>
      <c r="O4473" t="n">
        <v>5</v>
      </c>
      <c r="P4473" t="n">
        <v>3</v>
      </c>
      <c r="R4473" t="inlineStr">
        <is>
          <t>InStock</t>
        </is>
      </c>
      <c r="S4473" t="inlineStr">
        <is>
          <t>279.46</t>
        </is>
      </c>
      <c r="T4473" t="inlineStr">
        <is>
          <t>5799776157864</t>
        </is>
      </c>
    </row>
    <row r="4474" ht="87" customHeight="1">
      <c r="A4474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4474" s="2">
        <f>HYPERLINK("https://edmondsonsupply.com/products/klein-tools-647m-magnetic-nut-driver-set-6-inch-shafts-7-piece", "https://edmondsonsupply.com/products/klein-tools-647m-magnetic-nut-driver-set-6-inch-shafts-7-piece")</f>
        <v/>
      </c>
      <c r="C4474" t="inlineStr">
        <is>
          <t>Klein Tools 647M Magnetic Nut Driver Set, 6-Inch Shafts, 7-Piece</t>
        </is>
      </c>
      <c r="D4474" t="inlineStr">
        <is>
          <t>Klein Tools 85148 Screwdriver Set 8pcs Includes Magnetizer/Demagnetizer &amp; 647M Tool Set, Magnetic Nut Drivers Sizes 3/16, 1/4, 5/16, 11/32, 3/8, 7/16, 1/2-Inch, 6-Inch Hollow Shafts, 7-Piece</t>
        </is>
      </c>
      <c r="E4474" s="2">
        <f>HYPERLINK("https://www.amazon.com/Klein-Tools-Screwdriver-Magnetizer-Demagnetizer/dp/B093Q1QM8B/ref=sr_1_3?keywords=Klein+Tools+647M+Magnetic+Nut+Driver+Set%2C+6-Inch+Shafts%2C+7-Piece&amp;qid=1694735271&amp;sr=8-3", "https://www.amazon.com/Klein-Tools-Screwdriver-Magnetizer-Demagnetizer/dp/B093Q1QM8B/ref=sr_1_3?keywords=Klein+Tools+647M+Magnetic+Nut+Driver+Set%2C+6-Inch+Shafts%2C+7-Piece&amp;qid=1694735271&amp;sr=8-3")</f>
        <v/>
      </c>
      <c r="F4474" t="inlineStr">
        <is>
          <t>B093Q1QM8B</t>
        </is>
      </c>
      <c r="G4474">
        <f>_xlfn.IMAGE("https://edmondsonsupply.com/cdn/shop/products/647m.jpg?v=1633030530")</f>
        <v/>
      </c>
      <c r="H4474">
        <f>_xlfn.IMAGE("https://m.media-amazon.com/images/I/51VAsrbaSkS._AC_UL320_.jpg")</f>
        <v/>
      </c>
      <c r="K4474" t="inlineStr">
        <is>
          <t>79.99</t>
        </is>
      </c>
      <c r="L4474" t="n">
        <v>146.98</v>
      </c>
      <c r="M4474" s="1" t="inlineStr">
        <is>
          <t>83.75%</t>
        </is>
      </c>
      <c r="N4474" s="7" t="n">
        <v>-5.88</v>
      </c>
      <c r="O4474" t="n">
        <v>5</v>
      </c>
      <c r="P4474" t="n">
        <v>3</v>
      </c>
      <c r="R4474" t="inlineStr">
        <is>
          <t>InStock</t>
        </is>
      </c>
      <c r="S4474" t="inlineStr">
        <is>
          <t>117.72</t>
        </is>
      </c>
      <c r="T4474" t="inlineStr">
        <is>
          <t>5408872136872</t>
        </is>
      </c>
    </row>
    <row r="4475" ht="87" customHeight="1">
      <c r="A4475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4475" s="2">
        <f>HYPERLINK("https://edmondsonsupply.com/products/klein-tools-d228-8-diagonal-cutting-pliers-high-leverage-8-inch", "https://edmondsonsupply.com/products/klein-tools-d228-8-diagonal-cutting-pliers-high-leverage-8-inch")</f>
        <v/>
      </c>
      <c r="C4475" t="inlineStr">
        <is>
          <t>Klein Tools D228-8 Diagonal Cutting Pliers, High-Leverage, 8-Inch</t>
        </is>
      </c>
      <c r="D4475" t="inlineStr">
        <is>
          <t>Klein Tools D228-8-INS Pliers, Insulated Diagonal Cutting Pliers with 1000V Rated Dual-Layer Grips and High-Leverage Design, 8-Inch</t>
        </is>
      </c>
      <c r="E4475" s="2">
        <f>HYPERLINK("https://www.amazon.com/Insulated-Leverage-Klein-Tools-D228-8-INS/dp/B000MAWKN8/ref=sr_1_3?keywords=Klein+Tools+D228-8+Diagonal+Cutting+Pliers%2C+High-Leverage%2C+8-Inch&amp;qid=1694735247&amp;sr=8-3", "https://www.amazon.com/Insulated-Leverage-Klein-Tools-D228-8-INS/dp/B000MAWKN8/ref=sr_1_3?keywords=Klein+Tools+D228-8+Diagonal+Cutting+Pliers%2C+High-Leverage%2C+8-Inch&amp;qid=1694735247&amp;sr=8-3")</f>
        <v/>
      </c>
      <c r="F4475" t="inlineStr">
        <is>
          <t>B000MAWKN8</t>
        </is>
      </c>
      <c r="G4475">
        <f>_xlfn.IMAGE("https://edmondsonsupply.com/cdn/shop/products/d2288.jpg?v=1633030753")</f>
        <v/>
      </c>
      <c r="H4475">
        <f>_xlfn.IMAGE("https://m.media-amazon.com/images/I/41b4ykuTkcL._AC_UL320_.jpg")</f>
        <v/>
      </c>
      <c r="K4475" t="inlineStr">
        <is>
          <t>29.97</t>
        </is>
      </c>
      <c r="L4475" t="n">
        <v>55.05</v>
      </c>
      <c r="M4475" s="1" t="inlineStr">
        <is>
          <t>83.68%</t>
        </is>
      </c>
      <c r="N4475" s="7" t="n">
        <v>-5.89</v>
      </c>
      <c r="O4475" t="n">
        <v>4.4</v>
      </c>
      <c r="P4475" t="n">
        <v>68</v>
      </c>
      <c r="R4475" t="inlineStr">
        <is>
          <t>InStock</t>
        </is>
      </c>
      <c r="S4475" t="inlineStr">
        <is>
          <t>42.78</t>
        </is>
      </c>
      <c r="T4475" t="inlineStr">
        <is>
          <t>5896908472488</t>
        </is>
      </c>
    </row>
    <row r="4476" ht="87" customHeight="1">
      <c r="A4476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4476" s="2">
        <f>HYPERLINK("https://edmondsonsupply.com/products/diablo-tools-d0624x-6-1-2-in-24-tooth-framing-saw-blade", "https://edmondsonsupply.com/products/diablo-tools-d0624x-6-1-2-in-24-tooth-framing-saw-blade")</f>
        <v/>
      </c>
      <c r="C4476" t="inlineStr">
        <is>
          <t>Diablo Tools D0624X 6-1/2 in. 24-Tooth Framing Saw Blade</t>
        </is>
      </c>
      <c r="D4476" t="inlineStr">
        <is>
          <t>Freud Diablo 7-1/4-Inch 24 Tooth Framing Circular Saw Blades (2-Pack)</t>
        </is>
      </c>
      <c r="E4476" s="2">
        <f>HYPERLINK("https://www.amazon.com/Diablo-2-Pack-Framing-Circular-Blades/dp/B09K81GP9V/ref=sr_1_20?keywords=Diablo+Tools+D0624X+6-1%2F2+in.+24-Tooth+Framing+Saw+Blade&amp;qid=1694735025&amp;sr=8-20", "https://www.amazon.com/Diablo-2-Pack-Framing-Circular-Blades/dp/B09K81GP9V/ref=sr_1_20?keywords=Diablo+Tools+D0624X+6-1%2F2+in.+24-Tooth+Framing+Saw+Blade&amp;qid=1694735025&amp;sr=8-20")</f>
        <v/>
      </c>
      <c r="F4476" t="inlineStr">
        <is>
          <t>B09K81GP9V</t>
        </is>
      </c>
      <c r="G4476">
        <f>_xlfn.IMAGE("https://edmondsonsupply.com/cdn/shop/products/mfin0gl4ono6qztsnrth.webp?v=1678982694")</f>
        <v/>
      </c>
      <c r="H4476">
        <f>_xlfn.IMAGE("https://m.media-amazon.com/images/I/61MhRzf0xyL._AC_UL320_.jpg")</f>
        <v/>
      </c>
      <c r="K4476" t="inlineStr">
        <is>
          <t>11.97</t>
        </is>
      </c>
      <c r="L4476" t="n">
        <v>21.98</v>
      </c>
      <c r="M4476" s="1" t="inlineStr">
        <is>
          <t>83.63%</t>
        </is>
      </c>
      <c r="N4476" s="7" t="n">
        <v>-6.03</v>
      </c>
      <c r="O4476" t="n">
        <v>4.7</v>
      </c>
      <c r="P4476" t="n">
        <v>8</v>
      </c>
      <c r="R4476" t="inlineStr">
        <is>
          <t>InStock</t>
        </is>
      </c>
      <c r="S4476" t="inlineStr">
        <is>
          <t>17.38</t>
        </is>
      </c>
      <c r="T4476" t="inlineStr">
        <is>
          <t>7962732855512</t>
        </is>
      </c>
    </row>
    <row r="4477" hidden="1" ht="15.75" customHeight="1">
      <c r="A4477" s="2">
        <f>HYPERLINK("https://edmondsonsupply.com/collections/electricians-tools/products/klein-tools-jth6t10-t10-torx%C2%AE-hex-key-with-journeyman-t-handle-6-inch", "https://edmondsonsupply.com/collections/electricians-tools/products/klein-tools-jth6t10-t10-torx%C2%AE-hex-key-with-journeyman-t-handle-6-inch")</f>
        <v/>
      </c>
      <c r="B4477" s="2">
        <f>HYPERLINK("https://edmondsonsupply.com/products/klein-tools-jth6t10-t10-torx%c2%ae-hex-key-with-journeyman-t-handle-6-inch", "https://edmondsonsupply.com/products/klein-tools-jth6t10-t10-torx%c2%ae-hex-key-with-journeyman-t-handle-6-inch")</f>
        <v/>
      </c>
      <c r="C4477" t="inlineStr">
        <is>
          <t>Klein Tools JTH6T10 T10 Torx® Hex Key with Journeyman T-Handle, 6-Inch</t>
        </is>
      </c>
      <c r="D4477" t="inlineStr">
        <is>
          <t>Klein Tools JTH6M10BE 10 mm Ball End Hex Key with Journeyman T-Handle, 6-Inch</t>
        </is>
      </c>
      <c r="E4477" s="2">
        <f>HYPERLINK("https://www.amazon.com/Journeyman-T-Handle-Klein-Tools-JTH6M10BE/dp/B007FZ4F3G/ref=sr_1_30?keywords=Klein+Tools+JTH6T10+T10+Torx%C2%AE+Hex+Key+with+Journeyman+T-Handle%2C+6-Inch&amp;qid=1694735374&amp;sr=8-30", "https://www.amazon.com/Journeyman-T-Handle-Klein-Tools-JTH6M10BE/dp/B007FZ4F3G/ref=sr_1_30?keywords=Klein+Tools+JTH6T10+T10+Torx%C2%AE+Hex+Key+with+Journeyman+T-Handle%2C+6-Inch&amp;qid=1694735374&amp;sr=8-30")</f>
        <v/>
      </c>
      <c r="F4477" t="inlineStr">
        <is>
          <t>B007FZ4F3G</t>
        </is>
      </c>
      <c r="G4477">
        <f>_xludf.IMAGE("https://edmondsonsupply.com/cdn/shop/products/jth6t40_07247ac0-2841-478b-a043-bf58bb30dc51.jpg?v=1587149691")</f>
        <v/>
      </c>
      <c r="H4477">
        <f>_xludf.IMAGE("https://m.media-amazon.com/images/I/51huXA+ij8L._AC_UL320_.jpg")</f>
        <v/>
      </c>
      <c r="K4477" t="inlineStr">
        <is>
          <t>5.99</t>
        </is>
      </c>
      <c r="L4477" t="n">
        <v>10.99</v>
      </c>
      <c r="M4477" s="1" t="inlineStr">
        <is>
          <t>83.47%</t>
        </is>
      </c>
      <c r="N4477" s="1" t="n">
        <v>-6.11</v>
      </c>
      <c r="O4477" t="n">
        <v>4.8</v>
      </c>
      <c r="P4477" t="n">
        <v>985</v>
      </c>
      <c r="R4477" t="inlineStr">
        <is>
          <t>InStock</t>
        </is>
      </c>
      <c r="S4477" t="inlineStr">
        <is>
          <t>9.1</t>
        </is>
      </c>
      <c r="T4477" t="inlineStr">
        <is>
          <t>4421660901476</t>
        </is>
      </c>
    </row>
    <row r="4478" hidden="1" ht="15.75" customHeight="1">
      <c r="A4478" s="2">
        <f>HYPERLINK("https://edmondsonsupply.com/collections/electricians-tools/products/klein-tools-jth6t10-t10-torx%C2%AE-hex-key-with-journeyman-t-handle-6-inch", "https://edmondsonsupply.com/collections/electricians-tools/products/klein-tools-jth6t10-t10-torx%C2%AE-hex-key-with-journeyman-t-handle-6-inch")</f>
        <v/>
      </c>
      <c r="B4478" s="2">
        <f>HYPERLINK("https://edmondsonsupply.com/products/klein-tools-jth6t10-t10-torx%c2%ae-hex-key-with-journeyman-t-handle-6-inch", "https://edmondsonsupply.com/products/klein-tools-jth6t10-t10-torx%c2%ae-hex-key-with-journeyman-t-handle-6-inch")</f>
        <v/>
      </c>
      <c r="C4478" t="inlineStr">
        <is>
          <t>Klein Tools JTH6T10 T10 Torx® Hex Key with Journeyman T-Handle, 6-Inch</t>
        </is>
      </c>
      <c r="D4478" t="inlineStr">
        <is>
          <t>Klein Tools JTH6M10 10 mm Hex Key with Journeyman T-Handle, 6-Inch</t>
        </is>
      </c>
      <c r="E4478" s="2">
        <f>HYPERLINK("https://www.amazon.com/Journeyman-T-Handle-Klein-Tools-JTH6M10/dp/B007GOWC1S/ref=sr_1_3?keywords=Klein+Tools+JTH6T10+T10+Torx%C2%AE+Hex+Key+with+Journeyman+T-Handle%2C+6-Inch&amp;qid=1694735374&amp;sr=8-3", "https://www.amazon.com/Journeyman-T-Handle-Klein-Tools-JTH6M10/dp/B007GOWC1S/ref=sr_1_3?keywords=Klein+Tools+JTH6T10+T10+Torx%C2%AE+Hex+Key+with+Journeyman+T-Handle%2C+6-Inch&amp;qid=1694735374&amp;sr=8-3")</f>
        <v/>
      </c>
      <c r="F4478" t="inlineStr">
        <is>
          <t>B007GOWC1S</t>
        </is>
      </c>
      <c r="G4478">
        <f>_xludf.IMAGE("https://edmondsonsupply.com/cdn/shop/products/jth6t40_07247ac0-2841-478b-a043-bf58bb30dc51.jpg?v=1587149691")</f>
        <v/>
      </c>
      <c r="H4478">
        <f>_xludf.IMAGE("https://m.media-amazon.com/images/I/51+1x0vz9XL._AC_UL320_.jpg")</f>
        <v/>
      </c>
      <c r="K4478" t="inlineStr">
        <is>
          <t>5.99</t>
        </is>
      </c>
      <c r="L4478" t="n">
        <v>10.99</v>
      </c>
      <c r="M4478" s="1" t="inlineStr">
        <is>
          <t>83.47%</t>
        </is>
      </c>
      <c r="N4478" s="1" t="n">
        <v>-6.21</v>
      </c>
      <c r="O4478" t="n">
        <v>4.7</v>
      </c>
      <c r="P4478" t="n">
        <v>1530</v>
      </c>
      <c r="R4478" t="inlineStr">
        <is>
          <t>InStock</t>
        </is>
      </c>
      <c r="S4478" t="inlineStr">
        <is>
          <t>9.1</t>
        </is>
      </c>
      <c r="T4478" t="inlineStr">
        <is>
          <t>4421660901476</t>
        </is>
      </c>
    </row>
    <row r="4479" hidden="1" ht="15.75" customHeight="1">
      <c r="A4479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4479" s="2">
        <f>HYPERLINK("https://edmondsonsupply.com/products/diablo-tools-dmapl2360-9-16-in-x-6-in-x-8-in-sds-plus-2-cutter", "https://edmondsonsupply.com/products/diablo-tools-dmapl2360-9-16-in-x-6-in-x-8-in-sds-plus-2-cutter")</f>
        <v/>
      </c>
      <c r="C4479" t="inlineStr">
        <is>
          <t>Diablo Tools DMAPL2360 9/16 in. x 6 in. x 8 in. SDS-Plus 2-Cutter</t>
        </is>
      </c>
      <c r="D4479" t="inlineStr">
        <is>
          <t>Diablo DMAPL4055 3/16 in. x 10 in. x 12 in. Rebar Demon™ SDS-Plus 4-Cutter Full Carbide Head Hammer Bit</t>
        </is>
      </c>
      <c r="E4479" s="2">
        <f>HYPERLINK("https://www.amazon.com/Diablo-DMAPL4055-SDS-Plus-4-Cutter-Carbide/dp/B089LJCD42/ref=sr_1_46?keywords=Diablo+Tools+DMAPL2360+9%2F16+in.+x+6+in.+x+8+in.+SDS-Plus+2-Cutter&amp;qid=1694735296&amp;sr=8-46", "https://www.amazon.com/Diablo-DMAPL4055-SDS-Plus-4-Cutter-Carbide/dp/B089LJCD42/ref=sr_1_46?keywords=Diablo+Tools+DMAPL2360+9%2F16+in.+x+6+in.+x+8+in.+SDS-Plus+2-Cutter&amp;qid=1694735296&amp;sr=8-46")</f>
        <v/>
      </c>
      <c r="F4479" t="inlineStr">
        <is>
          <t>B089LJCD42</t>
        </is>
      </c>
      <c r="G4479">
        <f>_xludf.IMAGE("https://edmondsonsupply.com/cdn/shop/products/DMAPL2360_Main-Image20200701.png?v=1633697551")</f>
        <v/>
      </c>
      <c r="H4479">
        <f>_xludf.IMAGE("https://m.media-amazon.com/images/I/61cDOAhkb4L._AC_UL320_.jpg")</f>
        <v/>
      </c>
      <c r="K4479" t="inlineStr">
        <is>
          <t>8.59</t>
        </is>
      </c>
      <c r="L4479" t="n">
        <v>15.76</v>
      </c>
      <c r="M4479" s="1" t="inlineStr">
        <is>
          <t>83.47%</t>
        </is>
      </c>
      <c r="N4479" s="1" t="n">
        <v>-6.23</v>
      </c>
      <c r="O4479" t="n">
        <v>2</v>
      </c>
      <c r="P4479" t="n">
        <v>1</v>
      </c>
      <c r="R4479" t="inlineStr">
        <is>
          <t>InStock</t>
        </is>
      </c>
      <c r="S4479" t="inlineStr">
        <is>
          <t>9.77</t>
        </is>
      </c>
      <c r="T4479" t="inlineStr">
        <is>
          <t>5286291046568</t>
        </is>
      </c>
    </row>
    <row r="4480" ht="87" customHeight="1">
      <c r="A4480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480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480" t="inlineStr">
        <is>
          <t>Klein Tools ET310 Digital Circuit Breaker Finder with GFCI Outlet Tester</t>
        </is>
      </c>
      <c r="D4480" t="inlineStr">
        <is>
          <t>Klein Tools ET310 AC Circuit Breaker Finder, Electric Tester with Integrated GFCI Outlet Tester &amp; RT250 GFCI Outlet Tester with LCD Display &amp; Klein Tools 69411 Circuit Breaker Finder Accessory Kit</t>
        </is>
      </c>
      <c r="E4480" s="2">
        <f>HYPERLINK("https://www.amazon.com/Klein-Tools-Electric-Integrated-Accessory/dp/B0C9999Y7J/ref=sr_1_5?keywords=Klein+Tools+ET310+Digital+Circuit+Breaker+Finder+with+GFCI+Outlet+Tester&amp;qid=1694734974&amp;sr=8-5", "https://www.amazon.com/Klein-Tools-Electric-Integrated-Accessory/dp/B0C9999Y7J/ref=sr_1_5?keywords=Klein+Tools+ET310+Digital+Circuit+Breaker+Finder+with+GFCI+Outlet+Tester&amp;qid=1694734974&amp;sr=8-5")</f>
        <v/>
      </c>
      <c r="F4480" t="inlineStr">
        <is>
          <t>B0C9999Y7J</t>
        </is>
      </c>
      <c r="G4480">
        <f>_xlfn.IMAGE("https://edmondsonsupply.com/cdn/shop/products/et310_c.jpg?v=1646963918")</f>
        <v/>
      </c>
      <c r="H4480">
        <f>_xlfn.IMAGE("https://m.media-amazon.com/images/I/612+A-jAqtL._AC_UL320_.jpg")</f>
        <v/>
      </c>
      <c r="K4480" t="inlineStr">
        <is>
          <t>49.97</t>
        </is>
      </c>
      <c r="L4480" t="n">
        <v>91.66</v>
      </c>
      <c r="M4480" s="1" t="inlineStr">
        <is>
          <t>83.43%</t>
        </is>
      </c>
      <c r="N4480" s="7" t="n">
        <v>-6.25</v>
      </c>
      <c r="O4480" t="n">
        <v>4.8</v>
      </c>
      <c r="P4480" t="n">
        <v>6</v>
      </c>
      <c r="R4480" t="inlineStr">
        <is>
          <t>InStock</t>
        </is>
      </c>
      <c r="S4480" t="inlineStr">
        <is>
          <t>75.1</t>
        </is>
      </c>
      <c r="T4480" t="inlineStr">
        <is>
          <t>3389551280228</t>
        </is>
      </c>
    </row>
    <row r="4481" ht="87" customHeight="1">
      <c r="A4481" s="2">
        <f>HYPERLINK("https://edmondsonsupply.com/collections/electricians-tools/products/klein-tools-631-nut-driver-set-3-inch-shafts-cushion-grip-7-piece", "https://edmondsonsupply.com/collections/electricians-tools/products/klein-tools-631-nut-driver-set-3-inch-shafts-cushion-grip-7-piece")</f>
        <v/>
      </c>
      <c r="B4481" s="2">
        <f>HYPERLINK("https://edmondsonsupply.com/products/klein-tools-631-nut-driver-set-3-inch-shafts-cushion-grip-7-piece", "https://edmondsonsupply.com/products/klein-tools-631-nut-driver-set-3-inch-shafts-cushion-grip-7-piece")</f>
        <v/>
      </c>
      <c r="C4481" t="inlineStr">
        <is>
          <t>Klein Tools 631 Nut Driver Set, 3-Inch Shafts, Cushion Grip, 7-Piece</t>
        </is>
      </c>
      <c r="D4481" t="inlineStr">
        <is>
          <t>Klein Tools 631 Tool Set, Nut Driver Set w/Hex Nut Sizes, 7-Piece &amp; Klein Tools 65160 Tool Set, Metric Nut Driver Set Sizes 5, 5.5, 6, 7, 8, 9, and 10 mm, 3-Inch Chrome-Plate Hollow Shafts, 7-Piece</t>
        </is>
      </c>
      <c r="E4481" s="2">
        <f>HYPERLINK("https://www.amazon.com/Klein-Tools-Driver-7-Piece-Chrome-Plate/dp/B0BM2ZZYVQ/ref=sr_1_15?keywords=Klein+Tools+631+Nut+Driver+Set%2C+3-Inch+Shafts%2C+Cushion+Grip%2C+7-Piece&amp;qid=1694735184&amp;sr=8-15", "https://www.amazon.com/Klein-Tools-Driver-7-Piece-Chrome-Plate/dp/B0BM2ZZYVQ/ref=sr_1_15?keywords=Klein+Tools+631+Nut+Driver+Set%2C+3-Inch+Shafts%2C+Cushion+Grip%2C+7-Piece&amp;qid=1694735184&amp;sr=8-15")</f>
        <v/>
      </c>
      <c r="F4481" t="inlineStr">
        <is>
          <t>B0BM2ZZYVQ</t>
        </is>
      </c>
      <c r="G4481">
        <f>_xlfn.IMAGE("https://edmondsonsupply.com/cdn/shop/products/631.jpg?v=1632441079")</f>
        <v/>
      </c>
      <c r="H4481">
        <f>_xlfn.IMAGE("https://m.media-amazon.com/images/I/51+3inATD4L._AC_UL320_.jpg")</f>
        <v/>
      </c>
      <c r="K4481" t="inlineStr">
        <is>
          <t>59.99</t>
        </is>
      </c>
      <c r="L4481" t="n">
        <v>109.98</v>
      </c>
      <c r="M4481" s="1" t="inlineStr">
        <is>
          <t>83.33%</t>
        </is>
      </c>
      <c r="N4481" s="7" t="n">
        <v>-6.4</v>
      </c>
      <c r="O4481" t="n">
        <v>5</v>
      </c>
      <c r="P4481" t="n">
        <v>1</v>
      </c>
      <c r="R4481" t="inlineStr">
        <is>
          <t>InStock</t>
        </is>
      </c>
      <c r="S4481" t="inlineStr">
        <is>
          <t>82.2</t>
        </is>
      </c>
      <c r="T4481" t="inlineStr">
        <is>
          <t>6961446420653</t>
        </is>
      </c>
    </row>
    <row r="4482" ht="87" customHeight="1">
      <c r="A4482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482" s="2">
        <f>HYPERLINK("https://edmondsonsupply.com/products/klein-tools-935ab4v-accu-bend%e2%84%a2-level-4-vial-rem", "https://edmondsonsupply.com/products/klein-tools-935ab4v-accu-bend%e2%84%a2-level-4-vial-rem")</f>
        <v/>
      </c>
      <c r="C4482" t="inlineStr">
        <is>
          <t>Klein Tools 935AB4V ACCU-BEND™ Level, 4-Vial</t>
        </is>
      </c>
      <c r="D4482" t="inlineStr">
        <is>
          <t>Klein Tools 85091 Power Conduit Reamer, 1/2-, 3/4- and 1-In &amp; 935AB4V Level, 6.25-In Magnetic Torpedo Level is a Conduit Level with 4 Vials, V-Groove and Magnet Track, High Viz Orange</t>
        </is>
      </c>
      <c r="E4482" s="2">
        <f>HYPERLINK("https://www.amazon.com/Klein-Tools-Conduit-Magnetic-V-Groove/dp/B0BGQ1FNSQ/ref=sr_1_23?keywords=Klein+Tools+935AB4V+ACCU-BEND%E2%84%A2+Level%2C+4-Vial&amp;qid=1694735422&amp;sr=8-23", "https://www.amazon.com/Klein-Tools-Conduit-Magnetic-V-Groove/dp/B0BGQ1FNSQ/ref=sr_1_23?keywords=Klein+Tools+935AB4V+ACCU-BEND%E2%84%A2+Level%2C+4-Vial&amp;qid=1694735422&amp;sr=8-23")</f>
        <v/>
      </c>
      <c r="F4482" t="inlineStr">
        <is>
          <t>B0BGQ1FNSQ</t>
        </is>
      </c>
      <c r="G4482">
        <f>_xlfn.IMAGE("https://edmondsonsupply.com/cdn/shop/files/935ab4v_b.jpg?v=1685715011")</f>
        <v/>
      </c>
      <c r="H4482">
        <f>_xlfn.IMAGE("https://m.media-amazon.com/images/I/41PD2Wzx4WL._AC_UL320_.jpg")</f>
        <v/>
      </c>
      <c r="K4482" t="inlineStr">
        <is>
          <t>29.97</t>
        </is>
      </c>
      <c r="L4482" t="n">
        <v>54.94</v>
      </c>
      <c r="M4482" s="1" t="inlineStr">
        <is>
          <t>83.32%</t>
        </is>
      </c>
      <c r="N4482" s="7" t="n">
        <v>-6.56</v>
      </c>
      <c r="O4482" t="n">
        <v>5</v>
      </c>
      <c r="P4482" t="n">
        <v>3</v>
      </c>
      <c r="R4482" t="inlineStr">
        <is>
          <t>InStock</t>
        </is>
      </c>
      <c r="S4482" t="inlineStr">
        <is>
          <t>42.0</t>
        </is>
      </c>
      <c r="T4482" t="inlineStr">
        <is>
          <t>2766878081124</t>
        </is>
      </c>
    </row>
    <row r="4483" ht="87" customHeight="1">
      <c r="A4483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4483" s="2">
        <f>HYPERLINK("https://edmondsonsupply.com/products/klein-tools-9225-tape-measure-25-foot-magnetic-double-hook", "https://edmondsonsupply.com/products/klein-tools-9225-tape-measure-25-foot-magnetic-double-hook")</f>
        <v/>
      </c>
      <c r="C4483" t="inlineStr">
        <is>
          <t>Klein Tools 9225 Tape Measure, 25-Foot Magnetic Double-Hook</t>
        </is>
      </c>
      <c r="D4483" t="inlineStr">
        <is>
          <t>Klein Tools 935RB Level, 8-Inch Torpedo Level &amp; 9225 Tape Measure, Heavy-Duty Measuring Tape with 25-Foot Double-Hook Double-Sided Nylon Reinforced Blade, with Metal Belt Clip</t>
        </is>
      </c>
      <c r="E4483" s="2">
        <f>HYPERLINK("https://www.amazon.com/Klein-Tools-Heavy-Duty-Double-Hook-Double-Sided/dp/B0BD41QLHB/ref=sr_1_4?keywords=Klein+Tools+9225+Tape+Measure%2C+25-Foot+Magnetic+Double-Hook&amp;qid=1694735384&amp;sr=8-4", "https://www.amazon.com/Klein-Tools-Heavy-Duty-Double-Hook-Double-Sided/dp/B0BD41QLHB/ref=sr_1_4?keywords=Klein+Tools+9225+Tape+Measure%2C+25-Foot+Magnetic+Double-Hook&amp;qid=1694735384&amp;sr=8-4")</f>
        <v/>
      </c>
      <c r="F4483" t="inlineStr">
        <is>
          <t>B0BD41QLHB</t>
        </is>
      </c>
      <c r="G4483">
        <f>_xlfn.IMAGE("https://edmondsonsupply.com/cdn/shop/products/9225_photo.jpg?v=1587146541")</f>
        <v/>
      </c>
      <c r="H4483">
        <f>_xlfn.IMAGE("https://m.media-amazon.com/images/I/51IvcYBSX9L._AC_UL320_.jpg")</f>
        <v/>
      </c>
      <c r="K4483" t="inlineStr">
        <is>
          <t>29.97</t>
        </is>
      </c>
      <c r="L4483" t="n">
        <v>54.94</v>
      </c>
      <c r="M4483" s="1" t="inlineStr">
        <is>
          <t>83.32%</t>
        </is>
      </c>
      <c r="N4483" s="7" t="n">
        <v>-6.56</v>
      </c>
      <c r="O4483" t="n">
        <v>5</v>
      </c>
      <c r="P4483" t="n">
        <v>9</v>
      </c>
      <c r="R4483" t="inlineStr">
        <is>
          <t>InStock</t>
        </is>
      </c>
      <c r="S4483" t="inlineStr">
        <is>
          <t>37.02</t>
        </is>
      </c>
      <c r="T4483" t="inlineStr">
        <is>
          <t>4411542175844</t>
        </is>
      </c>
    </row>
    <row r="4484" ht="87" customHeight="1">
      <c r="A4484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484" s="2">
        <f>HYPERLINK("https://edmondsonsupply.com/products/klein-tools-935ab4v-accu-bend%e2%84%a2-level-4-vial-rem", "https://edmondsonsupply.com/products/klein-tools-935ab4v-accu-bend%e2%84%a2-level-4-vial-rem")</f>
        <v/>
      </c>
      <c r="C4484" t="inlineStr">
        <is>
          <t>Klein Tools 935AB4V ACCU-BEND™ Level, 4-Vial</t>
        </is>
      </c>
      <c r="D4484" t="inlineStr">
        <is>
          <t>Klein Tools 9225 Tape Measure, Heavy-Duty Measuring Tape &amp; 935AB4V Level, 6.25-Inch Magnetic Torpedo Level is a Conduit Level with 4 Vials, V-Groove and Magnet Track, High Viz Orange</t>
        </is>
      </c>
      <c r="E4484" s="2">
        <f>HYPERLINK("https://www.amazon.com/Klein-Tools-Heavy-Duty-Measuring-6-25-Inch/dp/B0BD3V8WBF/ref=sr_1_13?keywords=Klein+Tools+935AB4V+ACCU-BEND%E2%84%A2+Level%2C+4-Vial&amp;qid=1694735422&amp;sr=8-13", "https://www.amazon.com/Klein-Tools-Heavy-Duty-Measuring-6-25-Inch/dp/B0BD3V8WBF/ref=sr_1_13?keywords=Klein+Tools+935AB4V+ACCU-BEND%E2%84%A2+Level%2C+4-Vial&amp;qid=1694735422&amp;sr=8-13")</f>
        <v/>
      </c>
      <c r="F4484" t="inlineStr">
        <is>
          <t>B0BD3V8WBF</t>
        </is>
      </c>
      <c r="G4484">
        <f>_xlfn.IMAGE("https://edmondsonsupply.com/cdn/shop/files/935ab4v_b.jpg?v=1685715011")</f>
        <v/>
      </c>
      <c r="H4484">
        <f>_xlfn.IMAGE("https://m.media-amazon.com/images/I/51PAhmjEfQL._AC_UL320_.jpg")</f>
        <v/>
      </c>
      <c r="K4484" t="inlineStr">
        <is>
          <t>29.97</t>
        </is>
      </c>
      <c r="L4484" t="n">
        <v>54.94</v>
      </c>
      <c r="M4484" s="1" t="inlineStr">
        <is>
          <t>83.32%</t>
        </is>
      </c>
      <c r="N4484" s="7" t="n">
        <v>-6.61</v>
      </c>
      <c r="O4484" t="n">
        <v>5</v>
      </c>
      <c r="P4484" t="n">
        <v>1</v>
      </c>
      <c r="R4484" t="inlineStr">
        <is>
          <t>InStock</t>
        </is>
      </c>
      <c r="S4484" t="inlineStr">
        <is>
          <t>42.0</t>
        </is>
      </c>
      <c r="T4484" t="inlineStr">
        <is>
          <t>2766878081124</t>
        </is>
      </c>
    </row>
    <row r="4485" ht="87" customHeight="1">
      <c r="A4485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485" s="2">
        <f>HYPERLINK("https://edmondsonsupply.com/products/klein-tools-et45-ac-dc-voltage-tester", "https://edmondsonsupply.com/products/klein-tools-et45-ac-dc-voltage-tester")</f>
        <v/>
      </c>
      <c r="C4485" t="inlineStr">
        <is>
          <t>Klein Tools ET45 AC/DC Voltage Tester</t>
        </is>
      </c>
      <c r="D4485" t="inlineStr">
        <is>
          <t>Klein Tools RT250 GFCI Outlet Tester with LCD Display, Electric Voltage Tester for Standard 3-Wire 120V Electrical Receptacles,Green/Red</t>
        </is>
      </c>
      <c r="E4485" s="2">
        <f>HYPERLINK("https://www.amazon.com/Receptacle-Electrical-Klein-Tools-RT250/dp/B08QW7K1JJ/ref=sr_1_25?keywords=Klein+Tools+ET45+AC%2FDC+Voltage+Tester&amp;qid=1694735227&amp;sr=8-25", "https://www.amazon.com/Receptacle-Electrical-Klein-Tools-RT250/dp/B08QW7K1JJ/ref=sr_1_25?keywords=Klein+Tools+ET45+AC%2FDC+Voltage+Tester&amp;qid=1694735227&amp;sr=8-25")</f>
        <v/>
      </c>
      <c r="F4485" t="inlineStr">
        <is>
          <t>B08QW7K1JJ</t>
        </is>
      </c>
      <c r="G4485">
        <f>_xlfn.IMAGE("https://edmondsonsupply.com/cdn/shop/products/et45.jpg?v=1647786270")</f>
        <v/>
      </c>
      <c r="H4485">
        <f>_xlfn.IMAGE("https://m.media-amazon.com/images/I/61j28ynJ7bL._AC_UL320_.jpg")</f>
        <v/>
      </c>
      <c r="K4485" t="inlineStr">
        <is>
          <t>11.99</t>
        </is>
      </c>
      <c r="L4485" t="n">
        <v>21.97</v>
      </c>
      <c r="M4485" s="1" t="inlineStr">
        <is>
          <t>83.24%</t>
        </is>
      </c>
      <c r="N4485" s="7" t="n">
        <v>-6.61</v>
      </c>
      <c r="O4485" t="n">
        <v>4.8</v>
      </c>
      <c r="P4485" t="n">
        <v>7942</v>
      </c>
      <c r="R4485" t="inlineStr">
        <is>
          <t>InStock</t>
        </is>
      </c>
      <c r="S4485" t="inlineStr">
        <is>
          <t>16.72</t>
        </is>
      </c>
      <c r="T4485" t="inlineStr">
        <is>
          <t>3688633630820</t>
        </is>
      </c>
    </row>
    <row r="4486" ht="87" customHeight="1">
      <c r="A4486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4486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4486" t="inlineStr">
        <is>
          <t>Diablo Tools DMAMX1360 1-1/2 in. x 16 in. x 21 in. Rebar Demon™ SDS-Max 4-Cutter Carbide-Tipped Hammer Drill Bit</t>
        </is>
      </c>
      <c r="D4486" t="inlineStr">
        <is>
          <t>Diablo by Freud DMAMX1370 1-1/2 in. x 24 in. x 29 in. Rebar Demon SDS-Max 4-Cutter Carbide-Tipped Hammer Bit</t>
        </is>
      </c>
      <c r="E4486" s="2">
        <f>HYPERLINK("https://www.amazon.com/Diablo-SDS-Max-4-Cutter-Carbide-Tipped-Hammer/dp/B089LN938F/ref=sr_1_6?keywords=Diablo+Tools+DMAMX1360+1-1%2F2+in.+x+16+in.+x+21+in.+Rebar+Demon%E2%84%A2+SDS-Max+4-Cutter+Carbide-Tipped+Hammer+Drill+Bit&amp;qid=1694735042&amp;sr=8-6", "https://www.amazon.com/Diablo-SDS-Max-4-Cutter-Carbide-Tipped-Hammer/dp/B089LN938F/ref=sr_1_6?keywords=Diablo+Tools+DMAMX1360+1-1%2F2+in.+x+16+in.+x+21+in.+Rebar+Demon%E2%84%A2+SDS-Max+4-Cutter+Carbide-Tipped+Hammer+Drill+Bit&amp;qid=1694735042&amp;sr=8-6")</f>
        <v/>
      </c>
      <c r="F4486" t="inlineStr">
        <is>
          <t>B089LN938F</t>
        </is>
      </c>
      <c r="G4486">
        <f>_xlfn.IMAGE("https://edmondsonsupply.com/cdn/shop/products/z2umcsdaj3y4uvsfnxoh.webp?v=1677257156")</f>
        <v/>
      </c>
      <c r="H4486">
        <f>_xlfn.IMAGE("https://m.media-amazon.com/images/I/61V0w9ayfFL._AC_UL320_.jpg")</f>
        <v/>
      </c>
      <c r="K4486" t="inlineStr">
        <is>
          <t>93.87</t>
        </is>
      </c>
      <c r="L4486" t="n">
        <v>171.99</v>
      </c>
      <c r="M4486" s="1" t="inlineStr">
        <is>
          <t>83.22%</t>
        </is>
      </c>
      <c r="N4486" s="7" t="n">
        <v>-6.64</v>
      </c>
      <c r="O4486" t="n">
        <v>5</v>
      </c>
      <c r="P4486" t="n">
        <v>2</v>
      </c>
      <c r="R4486" t="inlineStr">
        <is>
          <t>InStock</t>
        </is>
      </c>
      <c r="S4486" t="inlineStr">
        <is>
          <t>149.01</t>
        </is>
      </c>
      <c r="T4486" t="inlineStr">
        <is>
          <t>7950786855128</t>
        </is>
      </c>
    </row>
    <row r="4487" ht="87" customHeight="1">
      <c r="A4487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4487" s="2">
        <f>HYPERLINK("https://edmondsonsupply.com/products/klein-tools-vdv427-014-punchdown-tool-krone-blade", "https://edmondsonsupply.com/products/klein-tools-vdv427-014-punchdown-tool-krone-blade")</f>
        <v/>
      </c>
      <c r="C4487" t="inlineStr">
        <is>
          <t>Klein Tools VDV427014 Punchdown Tool Krone Blade</t>
        </is>
      </c>
      <c r="D4487" t="inlineStr">
        <is>
          <t>Klein Tools VDV427-015-SEN 110 Punchdown Blade</t>
        </is>
      </c>
      <c r="E4487" s="2">
        <f>HYPERLINK("https://www.amazon.com/Punchdown-Blade-Klein-Tools-VDV427-015-SEN/dp/B0078S1L78/ref=sr_1_8?keywords=Klein+Tools+VDV427014+Punchdown+Tool+Krone+Blade&amp;qid=1694735425&amp;sr=8-8", "https://www.amazon.com/Punchdown-Blade-Klein-Tools-VDV427-015-SEN/dp/B0078S1L78/ref=sr_1_8?keywords=Klein+Tools+VDV427014+Punchdown+Tool+Krone+Blade&amp;qid=1694735425&amp;sr=8-8")</f>
        <v/>
      </c>
      <c r="F4487" t="inlineStr">
        <is>
          <t>B0078S1L78</t>
        </is>
      </c>
      <c r="G4487">
        <f>_xlfn.IMAGE("https://edmondsonsupply.com/cdn/shop/products/vdv427-014.jpg?v=1587143002")</f>
        <v/>
      </c>
      <c r="H4487">
        <f>_xlfn.IMAGE("https://m.media-amazon.com/images/I/41eC+r8TsCL._AC_UL320_.jpg")</f>
        <v/>
      </c>
      <c r="K4487" t="inlineStr">
        <is>
          <t>11.49</t>
        </is>
      </c>
      <c r="L4487" t="n">
        <v>21.03</v>
      </c>
      <c r="M4487" s="1" t="inlineStr">
        <is>
          <t>83.03%</t>
        </is>
      </c>
      <c r="N4487" s="7" t="n">
        <v>-6.65</v>
      </c>
      <c r="O4487" t="n">
        <v>4.6</v>
      </c>
      <c r="P4487" t="n">
        <v>329</v>
      </c>
      <c r="R4487" t="inlineStr">
        <is>
          <t>InStock</t>
        </is>
      </c>
      <c r="S4487" t="inlineStr">
        <is>
          <t>17.26</t>
        </is>
      </c>
      <c r="T4487" t="inlineStr">
        <is>
          <t>4359135592548</t>
        </is>
      </c>
    </row>
    <row r="4488" ht="87" customHeight="1">
      <c r="A4488" s="2">
        <f>HYPERLINK("https://edmondsonsupply.com/collections/electricians-tools/products/copy-of-diablo-tools-d0748cfx", "https://edmondsonsupply.com/collections/electricians-tools/products/copy-of-diablo-tools-d0748cfx")</f>
        <v/>
      </c>
      <c r="B4488" s="2">
        <f>HYPERLINK("https://edmondsonsupply.com/products/copy-of-diablo-tools-d0748cfx", "https://edmondsonsupply.com/products/copy-of-diablo-tools-d0748cfx")</f>
        <v/>
      </c>
      <c r="C4488" t="inlineStr">
        <is>
          <t>Diablo Tools D0648F 6-1/2 in. x 48 Tooth Steel Demon Metal Cutting Saw Blade</t>
        </is>
      </c>
      <c r="D4488" t="inlineStr">
        <is>
          <t>Diablo Steel Demon 6-1/2" x 48-Tooth TCG Metal Cutting Saw Blade (2-Pack)</t>
        </is>
      </c>
      <c r="E4488" s="2">
        <f>HYPERLINK("https://www.amazon.com/Diablo-Steel-48-Tooth-Cutting-2-Pack/dp/B00USDO6IG/ref=sr_1_2?keywords=Diablo+Tools+D0648F+6-1%2F2+in.+x+48+Tooth+Steel+Demon+Metal+Cutting+Saw+Blade&amp;qid=1694735326&amp;sr=8-2", "https://www.amazon.com/Diablo-Steel-48-Tooth-Cutting-2-Pack/dp/B00USDO6IG/ref=sr_1_2?keywords=Diablo+Tools+D0648F+6-1%2F2+in.+x+48+Tooth+Steel+Demon+Metal+Cutting+Saw+Blade&amp;qid=1694735326&amp;sr=8-2")</f>
        <v/>
      </c>
      <c r="F4488" t="inlineStr">
        <is>
          <t>B00USDO6IG</t>
        </is>
      </c>
      <c r="G4488">
        <f>_xlfn.IMAGE("https://edmondsonsupply.com/cdn/shop/products/D0648F_Main-Image20191203.png?v=1609790629")</f>
        <v/>
      </c>
      <c r="H4488">
        <f>_xlfn.IMAGE("https://m.media-amazon.com/images/I/71p2i4RtpSL._AC_UL320_.jpg")</f>
        <v/>
      </c>
      <c r="K4488" t="inlineStr">
        <is>
          <t>34.97</t>
        </is>
      </c>
      <c r="L4488" t="n">
        <v>63.99</v>
      </c>
      <c r="M4488" s="1" t="inlineStr">
        <is>
          <t>82.99%</t>
        </is>
      </c>
      <c r="N4488" s="7" t="n">
        <v>-6.67</v>
      </c>
      <c r="O4488" t="n">
        <v>4.3</v>
      </c>
      <c r="P4488" t="n">
        <v>29</v>
      </c>
      <c r="R4488" t="inlineStr">
        <is>
          <t>InStock</t>
        </is>
      </c>
      <c r="S4488" t="inlineStr">
        <is>
          <t>45.74</t>
        </is>
      </c>
      <c r="T4488" t="inlineStr">
        <is>
          <t>4642514403428</t>
        </is>
      </c>
    </row>
    <row r="4489" hidden="1" ht="15.75" customHeight="1">
      <c r="A4489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4489" s="2">
        <f>HYPERLINK("https://edmondsonsupply.com/products/klein-tools-jth6m4-4-mm-hex-with-journeyman-t-handle-6-inch", "https://edmondsonsupply.com/products/klein-tools-jth6m4-4-mm-hex-with-journeyman-t-handle-6-inch")</f>
        <v/>
      </c>
      <c r="C4489" t="inlineStr">
        <is>
          <t>Klein Tools JTH6M4 4 mm Hex with Journeyman T-Handle 6-Inch</t>
        </is>
      </c>
      <c r="D4489" t="inlineStr">
        <is>
          <t>Klein Tools JTH4E13 1/4-Inch Hex Key with Journeyman T-Handle, 4-Inch</t>
        </is>
      </c>
      <c r="E4489" s="2">
        <f>HYPERLINK("https://www.amazon.com/Klein-Tools-JTH4E13-Journeyman-T-Handle/dp/B007GH2CDS/ref=sr_1_3?keywords=Klein+Tools+JTH6M4+4+mm+Hex+with+Journeyman+T-Handle+6-Inch&amp;qid=1694735242&amp;sr=8-3", "https://www.amazon.com/Klein-Tools-JTH4E13-Journeyman-T-Handle/dp/B007GH2CDS/ref=sr_1_3?keywords=Klein+Tools+JTH6M4+4+mm+Hex+with+Journeyman+T-Handle+6-Inch&amp;qid=1694735242&amp;sr=8-3")</f>
        <v/>
      </c>
      <c r="F4489" t="inlineStr">
        <is>
          <t>B007GH2CDS</t>
        </is>
      </c>
      <c r="G4489">
        <f>_xludf.IMAGE("https://edmondsonsupply.com/cdn/shop/products/jth6m8_21839492-f844-4577-89b7-6c2cb1d02f31.jpg?v=1603052109")</f>
        <v/>
      </c>
      <c r="H4489">
        <f>_xludf.IMAGE("https://m.media-amazon.com/images/I/41ERRKlO36L._AC_UL320_.jpg")</f>
        <v/>
      </c>
      <c r="K4489" t="inlineStr">
        <is>
          <t>3.99</t>
        </is>
      </c>
      <c r="L4489" t="n">
        <v>7.3</v>
      </c>
      <c r="M4489" s="1" t="inlineStr">
        <is>
          <t>82.96%</t>
        </is>
      </c>
      <c r="N4489" s="1" t="n">
        <v>-6.68</v>
      </c>
      <c r="O4489" t="n">
        <v>4.8</v>
      </c>
      <c r="P4489" t="n">
        <v>2477</v>
      </c>
      <c r="R4489" t="inlineStr">
        <is>
          <t>InStock</t>
        </is>
      </c>
      <c r="S4489" t="inlineStr">
        <is>
          <t>6.04</t>
        </is>
      </c>
      <c r="T4489" t="inlineStr">
        <is>
          <t>5963077157032</t>
        </is>
      </c>
    </row>
    <row r="4490" hidden="1" ht="15.75" customHeight="1">
      <c r="A4490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4490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4490" t="inlineStr">
        <is>
          <t>Diablo Tools DMAMX1130 3/4 in. x 8 in. x 13 in. Rebar Demon™ SDS‑Max 4‑Cutter Full Carbide Head Hammer Bit</t>
        </is>
      </c>
      <c r="D4490" t="inlineStr">
        <is>
          <t>Diablo by Freud DMAMX1120 5/8 in. x 31 in. x 36 in. Rebar Demon SDS-Max 4-Cutter Full Carbide Head Hammer Bit</t>
        </is>
      </c>
      <c r="E4490" s="2">
        <f>HYPERLINK("https://www.amazon.com/Diablo-SDS-Max-4-Cutter-Carbide-Hammer/dp/B089LJFH3C/ref=sr_1_26?keywords=Diablo+Tools+DMAMX1130+3%2F4+in.+x+8+in.+x+13+in.+Rebar+Demon%E2%84%A2+SDS%E2%80%91Max+4%E2%80%91Cutter+Full+Carbide+Head+Hammer+Bit&amp;qid=1694735267&amp;sr=8-26", "https://www.amazon.com/Diablo-SDS-Max-4-Cutter-Carbide-Hammer/dp/B089LJFH3C/ref=sr_1_26?keywords=Diablo+Tools+DMAMX1130+3%2F4+in.+x+8+in.+x+13+in.+Rebar+Demon%E2%84%A2+SDS%E2%80%91Max+4%E2%80%91Cutter+Full+Carbide+Head+Hammer+Bit&amp;qid=1694735267&amp;sr=8-26")</f>
        <v/>
      </c>
      <c r="F4490" t="inlineStr">
        <is>
          <t>B089LJFH3C</t>
        </is>
      </c>
      <c r="G4490">
        <f>_xludf.IMAGE("https://edmondsonsupply.com/cdn/shop/products/DMAMX1130_Main-Image20200701.png?v=1633030568")</f>
        <v/>
      </c>
      <c r="H4490">
        <f>_xludf.IMAGE("https://m.media-amazon.com/images/I/615ffyRtaAL._AC_UL320_.jpg")</f>
        <v/>
      </c>
      <c r="K4490" t="inlineStr">
        <is>
          <t>44.97</t>
        </is>
      </c>
      <c r="L4490" t="n">
        <v>82.18000000000001</v>
      </c>
      <c r="M4490" s="1" t="inlineStr">
        <is>
          <t>82.74%</t>
        </is>
      </c>
      <c r="N4490" s="1" t="n">
        <v>-6.68</v>
      </c>
      <c r="O4490" t="n">
        <v>3.9</v>
      </c>
      <c r="P4490" t="n">
        <v>4</v>
      </c>
      <c r="R4490" t="inlineStr">
        <is>
          <t>InStock</t>
        </is>
      </c>
      <c r="S4490" t="inlineStr">
        <is>
          <t>46.26</t>
        </is>
      </c>
      <c r="T4490" t="inlineStr">
        <is>
          <t>5463880925352</t>
        </is>
      </c>
    </row>
    <row r="4491" ht="87" customHeight="1">
      <c r="A4491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4491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4491" t="inlineStr">
        <is>
          <t>Klein Tools 635-1/4 1/4-Inch Nut Driver, Magnetic Tip, 4-Inch Shaft</t>
        </is>
      </c>
      <c r="D4491" t="inlineStr">
        <is>
          <t>Klein Tools 646-1/4-INS Insulated 1/4-Inch Nut Driver with 6-Inch Hollow Shaft and Cushion Grip Handle</t>
        </is>
      </c>
      <c r="E4491" s="2">
        <f>HYPERLINK("https://www.amazon.com/Insulated-Klein-Tools-646-1-4-INS/dp/B000MKMH5O/ref=sr_1_6?keywords=Klein+Tools+635-1%2F4+1%2F4-Inch+Nut+Driver%2C+Magnetic+Tip%2C+4-Inch+Shaft&amp;qid=1694735101&amp;sr=8-6", "https://www.amazon.com/Insulated-Klein-Tools-646-1-4-INS/dp/B000MKMH5O/ref=sr_1_6?keywords=Klein+Tools+635-1%2F4+1%2F4-Inch+Nut+Driver%2C+Magnetic+Tip%2C+4-Inch+Shaft&amp;qid=1694735101&amp;sr=8-6")</f>
        <v/>
      </c>
      <c r="F4491" t="inlineStr">
        <is>
          <t>B000MKMH5O</t>
        </is>
      </c>
      <c r="G4491">
        <f>_xlfn.IMAGE("https://edmondsonsupply.com/cdn/shop/products/635-1-4.jpg?v=1666811523")</f>
        <v/>
      </c>
      <c r="H4491">
        <f>_xlfn.IMAGE("https://m.media-amazon.com/images/I/41Nr0vSgHCL._AC_UL320_.jpg")</f>
        <v/>
      </c>
      <c r="K4491" t="inlineStr">
        <is>
          <t>11.99</t>
        </is>
      </c>
      <c r="L4491" t="n">
        <v>21.91</v>
      </c>
      <c r="M4491" s="1" t="inlineStr">
        <is>
          <t>82.74%</t>
        </is>
      </c>
      <c r="N4491" s="7" t="n">
        <v>-6.7</v>
      </c>
      <c r="O4491" t="n">
        <v>4.7</v>
      </c>
      <c r="P4491" t="n">
        <v>272</v>
      </c>
      <c r="R4491" t="inlineStr">
        <is>
          <t>InStock</t>
        </is>
      </c>
      <c r="S4491" t="inlineStr">
        <is>
          <t>18.18</t>
        </is>
      </c>
      <c r="T4491" t="inlineStr">
        <is>
          <t>7866294010072</t>
        </is>
      </c>
    </row>
    <row r="4492" ht="87" customHeight="1">
      <c r="A4492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4492" s="2">
        <f>HYPERLINK("https://edmondsonsupply.com/products/klein-tools-32717-all-in-1-precision-screwdriver-set-with-case", "https://edmondsonsupply.com/products/klein-tools-32717-all-in-1-precision-screwdriver-set-with-case")</f>
        <v/>
      </c>
      <c r="C4492" t="inlineStr">
        <is>
          <t>Klein Tools 32717 All-in-1 Precision Screwdriver Set with Case</t>
        </is>
      </c>
      <c r="D4492" t="inlineStr">
        <is>
          <t>Klein Tools 32717 Precision Screwdriver Set &amp; 14-in-1 Adjustable Screwdriver with Flip Socket, HVAC Nut Drivers and Bits, Impact Rated Klein Tools 32304</t>
        </is>
      </c>
      <c r="E4492" s="2">
        <f>HYPERLINK("https://www.amazon.com/Klein-Tools-Precision-Screwdriver-Adjustable/dp/B0BRM3HJY8/ref=sr_1_39?keywords=Klein+Tools+32717+All-in-1+Precision+Screwdriver+Set+with+Case&amp;qid=1694735187&amp;sr=8-39", "https://www.amazon.com/Klein-Tools-Precision-Screwdriver-Adjustable/dp/B0BRM3HJY8/ref=sr_1_39?keywords=Klein+Tools+32717+All-in-1+Precision+Screwdriver+Set+with+Case&amp;qid=1694735187&amp;sr=8-39")</f>
        <v/>
      </c>
      <c r="F4492" t="inlineStr">
        <is>
          <t>B0BRM3HJY8</t>
        </is>
      </c>
      <c r="G4492">
        <f>_xlfn.IMAGE("https://edmondsonsupply.com/cdn/shop/products/32717.jpg?v=1633031161")</f>
        <v/>
      </c>
      <c r="H4492">
        <f>_xlfn.IMAGE("https://m.media-amazon.com/images/I/513WrxifIfL._AC_UL320_.jpg")</f>
        <v/>
      </c>
      <c r="K4492" t="inlineStr">
        <is>
          <t>29.97</t>
        </is>
      </c>
      <c r="L4492" t="n">
        <v>54.74</v>
      </c>
      <c r="M4492" s="1" t="inlineStr">
        <is>
          <t>82.65%</t>
        </is>
      </c>
      <c r="N4492" s="7" t="n">
        <v>-6.72</v>
      </c>
      <c r="O4492" t="n">
        <v>4.9</v>
      </c>
      <c r="P4492" t="n">
        <v>9</v>
      </c>
      <c r="R4492" t="inlineStr">
        <is>
          <t>InStock</t>
        </is>
      </c>
      <c r="S4492" t="inlineStr">
        <is>
          <t>41.98</t>
        </is>
      </c>
      <c r="T4492" t="inlineStr">
        <is>
          <t>6897560453293</t>
        </is>
      </c>
    </row>
    <row r="4493" ht="87" customHeight="1">
      <c r="A4493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493" s="2">
        <f>HYPERLINK("https://edmondsonsupply.com/products/klein-tools-32900-7-in-1-impact-flip-socket-with-handle", "https://edmondsonsupply.com/products/klein-tools-32900-7-in-1-impact-flip-socket-with-handle")</f>
        <v/>
      </c>
      <c r="C4493" t="inlineStr">
        <is>
          <t>Klein Tools 32900 7-in-1 Impact Flip Socket with Handle</t>
        </is>
      </c>
      <c r="D4493" t="inlineStr">
        <is>
          <t>Klein Tools 32900 Impact Driver, 7-in-1 Impact Flip Socket Set, 6 Hex Driver Sizes plus a 1/4-Inch Bit Holder &amp; 14-in-1 Adjustable Screwdriver</t>
        </is>
      </c>
      <c r="E4493" s="2">
        <f>HYPERLINK("https://www.amazon.com/Klein-Tools-Impact-Adjustable-Screwdriver/dp/B0BGZPZCPF/ref=sr_1_2?keywords=Klein+Tools+32900+7-in-1+Impact+Flip+Socket+with+Handle&amp;qid=1694735103&amp;sr=8-2", "https://www.amazon.com/Klein-Tools-Impact-Adjustable-Screwdriver/dp/B0BGZPZCPF/ref=sr_1_2?keywords=Klein+Tools+32900+7-in-1+Impact+Flip+Socket+with+Handle&amp;qid=1694735103&amp;sr=8-2")</f>
        <v/>
      </c>
      <c r="F4493" t="inlineStr">
        <is>
          <t>B0BGZPZCPF</t>
        </is>
      </c>
      <c r="G4493">
        <f>_xlfn.IMAGE("https://edmondsonsupply.com/cdn/shop/products/32900_b.jpg?v=1666024787")</f>
        <v/>
      </c>
      <c r="H4493">
        <f>_xlfn.IMAGE("https://m.media-amazon.com/images/I/417x0MgjU7L._AC_UL320_.jpg")</f>
        <v/>
      </c>
      <c r="K4493" t="inlineStr">
        <is>
          <t>29.97</t>
        </is>
      </c>
      <c r="L4493" t="n">
        <v>54.74</v>
      </c>
      <c r="M4493" s="1" t="inlineStr">
        <is>
          <t>82.65%</t>
        </is>
      </c>
      <c r="N4493" s="7" t="n">
        <v>-6.8</v>
      </c>
      <c r="O4493" t="n">
        <v>4.8</v>
      </c>
      <c r="P4493" t="n">
        <v>9</v>
      </c>
      <c r="R4493" t="inlineStr">
        <is>
          <t>InStock</t>
        </is>
      </c>
      <c r="S4493" t="inlineStr">
        <is>
          <t>45.0</t>
        </is>
      </c>
      <c r="T4493" t="inlineStr">
        <is>
          <t>7856651239640</t>
        </is>
      </c>
    </row>
    <row r="4494" ht="87" customHeight="1">
      <c r="A4494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4494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4494" t="inlineStr">
        <is>
          <t>Diablo Tools DMAPL4090 1/4 in. x 10 in. x 12 in. Rebar Demon™ SDS‑Plus 4‑Cutter Full Carbide Head Hammer Bit</t>
        </is>
      </c>
      <c r="D4494" t="inlineStr">
        <is>
          <t>Diablo by Freud DMAPL4230 5/8 in. x 10 in. x 12 in. Rebar Demon SDS-Plus 4-Cutter Full Carbide Head Hammer Bit</t>
        </is>
      </c>
      <c r="E4494" s="2">
        <f>HYPERLINK("https://www.amazon.com/Diablo-Freud-DMAPL4230-SDS-Plus-4-Cutter/dp/B089LCN234/ref=sr_1_3?keywords=Diablo+Tools+DMAPL4090+1%2F4+in.+x+10+in.+x+12+in.+Rebar+Demon%E2%84%A2+SDS%E2%80%91Plus+4%E2%80%91Cutter+Full+Carbide+Head+Hammer+Bit&amp;qid=1694735288&amp;sr=8-3", "https://www.amazon.com/Diablo-Freud-DMAPL4230-SDS-Plus-4-Cutter/dp/B089LCN234/ref=sr_1_3?keywords=Diablo+Tools+DMAPL4090+1%2F4+in.+x+10+in.+x+12+in.+Rebar+Demon%E2%84%A2+SDS%E2%80%91Plus+4%E2%80%91Cutter+Full+Carbide+Head+Hammer+Bit&amp;qid=1694735288&amp;sr=8-3")</f>
        <v/>
      </c>
      <c r="F4494" t="inlineStr">
        <is>
          <t>B089LCN234</t>
        </is>
      </c>
      <c r="G4494">
        <f>_xlfn.IMAGE("https://edmondsonsupply.com/cdn/shop/products/nf6i5llohxcmlh9huvf0.webp?v=1670438124")</f>
        <v/>
      </c>
      <c r="H4494">
        <f>_xlfn.IMAGE("https://m.media-amazon.com/images/I/61r649wmyhL._AC_UL320_.jpg")</f>
        <v/>
      </c>
      <c r="K4494" t="inlineStr">
        <is>
          <t>11.97</t>
        </is>
      </c>
      <c r="L4494" t="n">
        <v>21.86</v>
      </c>
      <c r="M4494" s="1" t="inlineStr">
        <is>
          <t>82.62%</t>
        </is>
      </c>
      <c r="N4494" s="7" t="n">
        <v>-6.8</v>
      </c>
      <c r="O4494" t="n">
        <v>4.7</v>
      </c>
      <c r="P4494" t="n">
        <v>47</v>
      </c>
      <c r="R4494" t="inlineStr">
        <is>
          <t>InStock</t>
        </is>
      </c>
      <c r="S4494" t="inlineStr">
        <is>
          <t>16.41</t>
        </is>
      </c>
      <c r="T4494" t="inlineStr">
        <is>
          <t>5317905973416</t>
        </is>
      </c>
    </row>
    <row r="4495" ht="87" customHeight="1">
      <c r="A4495" s="2">
        <f>HYPERLINK("https://edmondsonsupply.com/collections/electricians-tools/products/milwaukee-48-22-6625-compact-tape-measure-25ft", "https://edmondsonsupply.com/collections/electricians-tools/products/milwaukee-48-22-6625-compact-tape-measure-25ft")</f>
        <v/>
      </c>
      <c r="B4495" s="2">
        <f>HYPERLINK("https://edmondsonsupply.com/products/milwaukee-48-22-6625-compact-tape-measure-25ft", "https://edmondsonsupply.com/products/milwaukee-48-22-6625-compact-tape-measure-25ft")</f>
        <v/>
      </c>
      <c r="C4495" t="inlineStr">
        <is>
          <t>Milwaukee 48-22-6625 Compact Tape Measure, 25ft</t>
        </is>
      </c>
      <c r="D4495" t="inlineStr">
        <is>
          <t>Milwaukee 48-22-6625 25' Heavy Duty Compact Tape Measure, 2-Pack</t>
        </is>
      </c>
      <c r="E4495" s="2">
        <f>HYPERLINK("https://www.amazon.com/Milwaukee-48-22-6625-Compact-Measure-2-Pack/dp/B07KQG1WW2/ref=sr_1_2?keywords=Milwaukee+48-22-6625+Compact+Tape+Measure%2C+25ft&amp;qid=1694735037&amp;sr=8-2", "https://www.amazon.com/Milwaukee-48-22-6625-Compact-Measure-2-Pack/dp/B07KQG1WW2/ref=sr_1_2?keywords=Milwaukee+48-22-6625+Compact+Tape+Measure%2C+25ft&amp;qid=1694735037&amp;sr=8-2")</f>
        <v/>
      </c>
      <c r="F4495" t="inlineStr">
        <is>
          <t>B07KQG1WW2</t>
        </is>
      </c>
      <c r="G4495">
        <f>_xlfn.IMAGE("https://edmondsonsupply.com/cdn/shop/products/48-22-6625_1.png?v=1675692460")</f>
        <v/>
      </c>
      <c r="H4495">
        <f>_xlfn.IMAGE("https://m.media-amazon.com/images/I/51+MaY-77gL._AC_UL320_.jpg")</f>
        <v/>
      </c>
      <c r="K4495" t="inlineStr">
        <is>
          <t>16.97</t>
        </is>
      </c>
      <c r="L4495" t="n">
        <v>30.97</v>
      </c>
      <c r="M4495" s="1" t="inlineStr">
        <is>
          <t>82.50%</t>
        </is>
      </c>
      <c r="N4495" s="7" t="n">
        <v>-7</v>
      </c>
      <c r="O4495" t="n">
        <v>4.2</v>
      </c>
      <c r="P4495" t="n">
        <v>48</v>
      </c>
      <c r="R4495" t="inlineStr">
        <is>
          <t>InStock</t>
        </is>
      </c>
      <c r="S4495" t="inlineStr">
        <is>
          <t>27.5</t>
        </is>
      </c>
      <c r="T4495" t="inlineStr">
        <is>
          <t>7940063396056</t>
        </is>
      </c>
    </row>
    <row r="4496" hidden="1" ht="15.75" customHeight="1">
      <c r="A4496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4496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4496" t="inlineStr">
        <is>
          <t>Klein Tools JTH4E09 9/64-Inch Hex Key Journeyman T-Handle 4-Inch</t>
        </is>
      </c>
      <c r="D4496" t="inlineStr">
        <is>
          <t>Klein Tools JTH6M4BE 4 mm Ball End Hex Key with Journeyman T-Handle, 6-Inch</t>
        </is>
      </c>
      <c r="E4496" s="2">
        <f>HYPERLINK("https://www.amazon.com/Journeyman-T-Handle-Klein-Tools-JTH6M4BE/dp/B005G3951G/ref=sr_1_8?keywords=Klein+Tools+JTH4E09+9%2F64-Inch+Hex+Key+Journeyman+T-Handle+4-Inch&amp;qid=1694735175&amp;sr=8-8", "https://www.amazon.com/Journeyman-T-Handle-Klein-Tools-JTH6M4BE/dp/B005G3951G/ref=sr_1_8?keywords=Klein+Tools+JTH4E09+9%2F64-Inch+Hex+Key+Journeyman+T-Handle+4-Inch&amp;qid=1694735175&amp;sr=8-8")</f>
        <v/>
      </c>
      <c r="F4496" t="inlineStr">
        <is>
          <t>B005G3951G</t>
        </is>
      </c>
      <c r="G4496">
        <f>_xludf.IMAGE("https://edmondsonsupply.com/cdn/shop/products/jth4e06_be5118a6-2e9d-44f5-81ad-c027572dd2d3.jpg?v=1635981570")</f>
        <v/>
      </c>
      <c r="H4496">
        <f>_xludf.IMAGE("https://m.media-amazon.com/images/I/51huXA+ij8L._AC_UL320_.jpg")</f>
        <v/>
      </c>
      <c r="K4496" t="inlineStr">
        <is>
          <t>3.79</t>
        </is>
      </c>
      <c r="L4496" t="n">
        <v>6.91</v>
      </c>
      <c r="M4496" s="1" t="inlineStr">
        <is>
          <t>82.32%</t>
        </is>
      </c>
      <c r="N4496" s="1" t="n">
        <v>-7.21</v>
      </c>
      <c r="O4496" t="n">
        <v>4.8</v>
      </c>
      <c r="P4496" t="n">
        <v>985</v>
      </c>
      <c r="R4496" t="inlineStr">
        <is>
          <t>InStock</t>
        </is>
      </c>
      <c r="S4496" t="inlineStr">
        <is>
          <t>5.76</t>
        </is>
      </c>
      <c r="T4496" t="inlineStr">
        <is>
          <t>7434795876568</t>
        </is>
      </c>
    </row>
    <row r="4497" ht="87" customHeight="1">
      <c r="A4497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4497" s="2">
        <f>HYPERLINK("https://edmondsonsupply.com/products/klein-tools-vdv500-123-probe-pro-tracing-probe", "https://edmondsonsupply.com/products/klein-tools-vdv500-123-probe-pro-tracing-probe")</f>
        <v/>
      </c>
      <c r="C4497" t="inlineStr">
        <is>
          <t>Klein Tools VDV500-123 Probe-PRO Tracing Probe</t>
        </is>
      </c>
      <c r="D4497" t="inlineStr">
        <is>
          <t>Klein Tools VDV501-853 Coaxial Cable Tester &amp; Klein Tools VDV427-300 Impact Punchdown Tool &amp; Klein Tools VDV500-123 Cable Tracer Probe-Pro Tracing Probe with Replaceable Non-Metallic</t>
        </is>
      </c>
      <c r="E4497" s="2">
        <f>HYPERLINK("https://www.amazon.com/Klein-Tools-VDV501-853-Replaceable-Non-Metallic/dp/B0C99819ZJ/ref=sr_1_5?keywords=Klein+Tools+VDV500-123+Probe-PRO+Tracing+Probe&amp;qid=1694734977&amp;sr=8-5", "https://www.amazon.com/Klein-Tools-VDV501-853-Replaceable-Non-Metallic/dp/B0C99819ZJ/ref=sr_1_5?keywords=Klein+Tools+VDV500-123+Probe-PRO+Tracing+Probe&amp;qid=1694734977&amp;sr=8-5")</f>
        <v/>
      </c>
      <c r="F4497" t="inlineStr">
        <is>
          <t>B0C99819ZJ</t>
        </is>
      </c>
      <c r="G4497">
        <f>_xlfn.IMAGE("https://edmondsonsupply.com/cdn/shop/products/vdv500123.jpg?v=1587142783")</f>
        <v/>
      </c>
      <c r="H4497">
        <f>_xlfn.IMAGE("https://m.media-amazon.com/images/I/5146EoOn5-L._AC_UY218_.jpg")</f>
        <v/>
      </c>
      <c r="K4497" t="inlineStr">
        <is>
          <t>44.99</t>
        </is>
      </c>
      <c r="L4497" t="n">
        <v>82</v>
      </c>
      <c r="M4497" s="1" t="inlineStr">
        <is>
          <t>82.26%</t>
        </is>
      </c>
      <c r="N4497" s="7" t="n">
        <v>-7.26</v>
      </c>
      <c r="O4497" t="n">
        <v>4.7</v>
      </c>
      <c r="P4497" t="n">
        <v>2175</v>
      </c>
      <c r="R4497" t="inlineStr">
        <is>
          <t>InStock</t>
        </is>
      </c>
      <c r="S4497" t="inlineStr">
        <is>
          <t>63.0</t>
        </is>
      </c>
      <c r="T4497" t="inlineStr">
        <is>
          <t>4274361466980</t>
        </is>
      </c>
    </row>
    <row r="4498" ht="87" customHeight="1">
      <c r="A4498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4498" s="2">
        <f>HYPERLINK("https://edmondsonsupply.com/products/diablo-tools-dmapl2240-3-8-in-x-10-in-x-12-in-sds-plus-2-cutter", "https://edmondsonsupply.com/products/diablo-tools-dmapl2240-3-8-in-x-10-in-x-12-in-sds-plus-2-cutter")</f>
        <v/>
      </c>
      <c r="C4498" t="inlineStr">
        <is>
          <t>Diablo Tools DMAPL2240 3/8 in. x 10 in. x 12 in. SDS-Plus 2-Cutter</t>
        </is>
      </c>
      <c r="D4498" t="inlineStr">
        <is>
          <t>Diablo 3/8 in. x 16 in. x 18 in. SDS-Plus 2-Cutter</t>
        </is>
      </c>
      <c r="E4498" s="2">
        <f>HYPERLINK("https://www.amazon.com/Diablo-DMAPL2250-16-SDS-Plus-2-Cutter/dp/B089KW3B6T/ref=sr_1_12?keywords=Diablo+Tools+DMAPL2240+3%2F8+in.+x+10+in.+x+12+in.+SDS-Plus+2-Cutter&amp;qid=1694735297&amp;sr=8-12", "https://www.amazon.com/Diablo-DMAPL2250-16-SDS-Plus-2-Cutter/dp/B089KW3B6T/ref=sr_1_12?keywords=Diablo+Tools+DMAPL2240+3%2F8+in.+x+10+in.+x+12+in.+SDS-Plus+2-Cutter&amp;qid=1694735297&amp;sr=8-12")</f>
        <v/>
      </c>
      <c r="F4498" t="inlineStr">
        <is>
          <t>B089KW3B6T</t>
        </is>
      </c>
      <c r="G4498">
        <f>_xlfn.IMAGE("https://edmondsonsupply.com/cdn/shop/products/DMAPL2240-P25.jpg?v=1633030355")</f>
        <v/>
      </c>
      <c r="H4498">
        <f>_xlfn.IMAGE("https://m.media-amazon.com/images/I/61JRNqT4IHL._AC_UL320_.jpg")</f>
        <v/>
      </c>
      <c r="K4498" t="inlineStr">
        <is>
          <t>10.97</t>
        </is>
      </c>
      <c r="L4498" t="n">
        <v>19.99</v>
      </c>
      <c r="M4498" s="1" t="inlineStr">
        <is>
          <t>82.22%</t>
        </is>
      </c>
      <c r="N4498" s="7" t="n">
        <v>-7.48</v>
      </c>
      <c r="O4498" t="n">
        <v>4.9</v>
      </c>
      <c r="P4498" t="n">
        <v>8</v>
      </c>
      <c r="R4498" t="inlineStr">
        <is>
          <t>InStock</t>
        </is>
      </c>
      <c r="S4498" t="inlineStr">
        <is>
          <t>12.38</t>
        </is>
      </c>
      <c r="T4498" t="inlineStr">
        <is>
          <t>5286161252520</t>
        </is>
      </c>
    </row>
    <row r="4499" ht="87" customHeight="1">
      <c r="A4499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4499" s="2">
        <f>HYPERLINK("https://edmondsonsupply.com/products/diablo-tools-dmapl2240-3-8-in-x-10-in-x-12-in-sds-plus-2-cutter", "https://edmondsonsupply.com/products/diablo-tools-dmapl2240-3-8-in-x-10-in-x-12-in-sds-plus-2-cutter")</f>
        <v/>
      </c>
      <c r="C4499" t="inlineStr">
        <is>
          <t>Diablo Tools DMAPL2240 3/8 in. x 10 in. x 12 in. SDS-Plus 2-Cutter</t>
        </is>
      </c>
      <c r="D4499" t="inlineStr">
        <is>
          <t>Diablo DMAPLRC1010 3/8 in. x 12 in. SDS-Plus Rebar Cutter</t>
        </is>
      </c>
      <c r="E4499" s="2">
        <f>HYPERLINK("https://www.amazon.com/Diablo-DMAPLRC1010-SDS-Plus-Rebar-Cutter/dp/B089LHKHQM/ref=sr_1_19?keywords=Diablo+Tools+DMAPL2240+3%2F8+in.+x+10+in.+x+12+in.+SDS-Plus+2-Cutter&amp;qid=1694735297&amp;sr=8-19", "https://www.amazon.com/Diablo-DMAPLRC1010-SDS-Plus-Rebar-Cutter/dp/B089LHKHQM/ref=sr_1_19?keywords=Diablo+Tools+DMAPL2240+3%2F8+in.+x+10+in.+x+12+in.+SDS-Plus+2-Cutter&amp;qid=1694735297&amp;sr=8-19")</f>
        <v/>
      </c>
      <c r="F4499" t="inlineStr">
        <is>
          <t>B089LHKHQM</t>
        </is>
      </c>
      <c r="G4499">
        <f>_xlfn.IMAGE("https://edmondsonsupply.com/cdn/shop/products/DMAPL2240-P25.jpg?v=1633030355")</f>
        <v/>
      </c>
      <c r="H4499">
        <f>_xlfn.IMAGE("https://m.media-amazon.com/images/I/61k3fU39jvL._AC_UL320_.jpg")</f>
        <v/>
      </c>
      <c r="K4499" t="inlineStr">
        <is>
          <t>10.97</t>
        </is>
      </c>
      <c r="L4499" t="n">
        <v>19.99</v>
      </c>
      <c r="M4499" s="1" t="inlineStr">
        <is>
          <t>82.22%</t>
        </is>
      </c>
      <c r="N4499" s="7" t="n">
        <v>-7.5</v>
      </c>
      <c r="O4499" t="n">
        <v>5</v>
      </c>
      <c r="P4499" t="n">
        <v>1</v>
      </c>
      <c r="R4499" t="inlineStr">
        <is>
          <t>InStock</t>
        </is>
      </c>
      <c r="S4499" t="inlineStr">
        <is>
          <t>12.38</t>
        </is>
      </c>
      <c r="T4499" t="inlineStr">
        <is>
          <t>5286161252520</t>
        </is>
      </c>
    </row>
    <row r="4500" ht="87" customHeight="1">
      <c r="A4500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4500" s="2">
        <f>HYPERLINK("https://edmondsonsupply.com/products/klein-tools-rt250-gfci-receptacle-tester-with-lcd", "https://edmondsonsupply.com/products/klein-tools-rt250-gfci-receptacle-tester-with-lcd")</f>
        <v/>
      </c>
      <c r="C4500" t="inlineStr">
        <is>
          <t>Klein Tools RT250 GFCI Receptacle Tester with LCD</t>
        </is>
      </c>
      <c r="D4500" t="inlineStr">
        <is>
          <t>Klein Tools RT250KIT Non-Contact Voltage Tester and GFCI Receptacle Tester with LCD and Flashlight, Voltage Electrical Test Kit</t>
        </is>
      </c>
      <c r="E4500" s="2">
        <f>HYPERLINK("https://www.amazon.com/Non-Contact-Receptacle-Klein-Tools-RT250KIT/dp/B08YDFQ2FV/ref=sr_1_4?keywords=Klein+Tools+RT250+GFCI+Receptacle+Tester+with+LCD&amp;qid=1694735148&amp;sr=8-4", "https://www.amazon.com/Non-Contact-Receptacle-Klein-Tools-RT250KIT/dp/B08YDFQ2FV/ref=sr_1_4?keywords=Klein+Tools+RT250+GFCI+Receptacle+Tester+with+LCD&amp;qid=1694735148&amp;sr=8-4")</f>
        <v/>
      </c>
      <c r="F4500" t="inlineStr">
        <is>
          <t>B08YDFQ2FV</t>
        </is>
      </c>
      <c r="G4500">
        <f>_xlfn.IMAGE("https://edmondsonsupply.com/cdn/shop/products/rt250_photo_c.jpg?v=1661363824")</f>
        <v/>
      </c>
      <c r="H4500">
        <f>_xlfn.IMAGE("https://m.media-amazon.com/images/I/61WaBlkJfxL._AC_UL320_.jpg")</f>
        <v/>
      </c>
      <c r="K4500" t="inlineStr">
        <is>
          <t>21.97</t>
        </is>
      </c>
      <c r="L4500" t="n">
        <v>39.99</v>
      </c>
      <c r="M4500" s="1" t="inlineStr">
        <is>
          <t>82.02%</t>
        </is>
      </c>
      <c r="N4500" s="7" t="n">
        <v>-7.65</v>
      </c>
      <c r="O4500" t="n">
        <v>4.8</v>
      </c>
      <c r="P4500" t="n">
        <v>1264</v>
      </c>
      <c r="R4500" t="inlineStr">
        <is>
          <t>InStock</t>
        </is>
      </c>
      <c r="S4500" t="inlineStr">
        <is>
          <t>30.78</t>
        </is>
      </c>
      <c r="T4500" t="inlineStr">
        <is>
          <t>7793138729176</t>
        </is>
      </c>
    </row>
    <row r="4501" ht="87" customHeight="1">
      <c r="A4501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4501" s="2">
        <f>HYPERLINK("https://edmondsonsupply.com/products/klein-tools-31940-bi-metal-hole-saw-2-1-2-inch", "https://edmondsonsupply.com/products/klein-tools-31940-bi-metal-hole-saw-2-1-2-inch")</f>
        <v/>
      </c>
      <c r="C4501" t="inlineStr">
        <is>
          <t>Klein Tools 31940 Bi-Metal Hole Saw, 2-1/2-Inch</t>
        </is>
      </c>
      <c r="D4501" t="inlineStr">
        <is>
          <t>LENOX Tools Hole Saw, Bi-Metal, Speed Slot, Arbored, 2-1/2-Inch (1772954)</t>
        </is>
      </c>
      <c r="E4501" s="2">
        <f>HYPERLINK("https://www.amazon.com/LENOX-Tools-Bi-Metal-Arbored-Technology/dp/B004YK5DHW/ref=sr_1_2?keywords=Klein+Tools+31940+Bi-Metal+Hole+Saw%2C+2-1%2F2-Inch&amp;qid=1694735159&amp;sr=8-2", "https://www.amazon.com/LENOX-Tools-Bi-Metal-Arbored-Technology/dp/B004YK5DHW/ref=sr_1_2?keywords=Klein+Tools+31940+Bi-Metal+Hole+Saw%2C+2-1%2F2-Inch&amp;qid=1694735159&amp;sr=8-2")</f>
        <v/>
      </c>
      <c r="F4501" t="inlineStr">
        <is>
          <t>B004YK5DHW</t>
        </is>
      </c>
      <c r="G4501">
        <f>_xlfn.IMAGE("https://edmondsonsupply.com/cdn/shop/products/31940.jpg?v=1649380086")</f>
        <v/>
      </c>
      <c r="H4501">
        <f>_xlfn.IMAGE("https://m.media-amazon.com/images/I/71OOVEuCxtL._AC_UL320_.jpg")</f>
        <v/>
      </c>
      <c r="K4501" t="inlineStr">
        <is>
          <t>13.99</t>
        </is>
      </c>
      <c r="L4501" t="n">
        <v>25.44</v>
      </c>
      <c r="M4501" s="1" t="inlineStr">
        <is>
          <t>81.84%</t>
        </is>
      </c>
      <c r="N4501" s="7" t="n">
        <v>-7.73</v>
      </c>
      <c r="O4501" t="n">
        <v>4.7</v>
      </c>
      <c r="P4501" t="n">
        <v>517</v>
      </c>
      <c r="R4501" t="inlineStr">
        <is>
          <t>InStock</t>
        </is>
      </c>
      <c r="S4501" t="inlineStr">
        <is>
          <t>18.22</t>
        </is>
      </c>
      <c r="T4501" t="inlineStr">
        <is>
          <t>7657257074904</t>
        </is>
      </c>
    </row>
    <row r="4502" ht="87" customHeight="1">
      <c r="A4502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4502" s="2">
        <f>HYPERLINK("https://edmondsonsupply.com/products/amprobe-st-102b-receptacle-tester-with-gfci", "https://edmondsonsupply.com/products/amprobe-st-102b-receptacle-tester-with-gfci")</f>
        <v/>
      </c>
      <c r="C4502" t="inlineStr">
        <is>
          <t>Amprobe ST-102B Receptacle Tester with GFCI</t>
        </is>
      </c>
      <c r="D4502" t="inlineStr">
        <is>
          <t>IDEAL INDUSTRIES INC. 61-501 Receptacle Tester with GFCI</t>
        </is>
      </c>
      <c r="E4502" s="2">
        <f>HYPERLINK("https://www.amazon.com/IDEAL-INDUSTRIES-61-501-Receptacle-Tester/dp/B000NB85LC/ref=sr_1_16?keywords=Amprobe+ST-102B+Receptacle+Tester+with+GFCI&amp;qid=1694735128&amp;sr=8-16", "https://www.amazon.com/IDEAL-INDUSTRIES-61-501-Receptacle-Tester/dp/B000NB85LC/ref=sr_1_16?keywords=Amprobe+ST-102B+Receptacle+Tester+with+GFCI&amp;qid=1694735128&amp;sr=8-16")</f>
        <v/>
      </c>
      <c r="F4502" t="inlineStr">
        <is>
          <t>B000NB85LC</t>
        </is>
      </c>
      <c r="G4502">
        <f>_xlfn.IMAGE("https://edmondsonsupply.com/cdn/shop/products/PD_ST102B1.jpg?v=1662641155")</f>
        <v/>
      </c>
      <c r="H4502">
        <f>_xlfn.IMAGE("https://m.media-amazon.com/images/I/61j8MhttA3L._AC_UL320_.jpg")</f>
        <v/>
      </c>
      <c r="K4502" t="inlineStr">
        <is>
          <t>17.49</t>
        </is>
      </c>
      <c r="L4502" t="n">
        <v>31.8</v>
      </c>
      <c r="M4502" s="1" t="inlineStr">
        <is>
          <t>81.82%</t>
        </is>
      </c>
      <c r="N4502" s="7" t="n">
        <v>-7.87</v>
      </c>
      <c r="O4502" t="n">
        <v>4.7</v>
      </c>
      <c r="P4502" t="n">
        <v>375</v>
      </c>
      <c r="R4502" t="inlineStr">
        <is>
          <t>InStock</t>
        </is>
      </c>
      <c r="S4502" t="inlineStr">
        <is>
          <t>19.99</t>
        </is>
      </c>
      <c r="T4502" t="inlineStr">
        <is>
          <t>7808944570584</t>
        </is>
      </c>
    </row>
    <row r="4503" hidden="1" ht="15.75" customHeight="1">
      <c r="A4503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4503" s="2">
        <f>HYPERLINK("https://edmondsonsupply.com/products/klein-tools-51608-1-2-inch-iron-conduit-bender-head", "https://edmondsonsupply.com/products/klein-tools-51608-1-2-inch-iron-conduit-bender-head")</f>
        <v/>
      </c>
      <c r="C4503" t="inlineStr">
        <is>
          <t>Klein Tools 51608 1/2-inch Iron Conduit Bender Head</t>
        </is>
      </c>
      <c r="D4503" t="inlineStr">
        <is>
          <t>Southwire Tools MCB1 Ductile Iron Head 1-inch Conduit Bender W/ Handle</t>
        </is>
      </c>
      <c r="E4503" s="2">
        <f>HYPERLINK("https://www.amazon.com/Southwire-MCB1-Ductile-1-inch-Conduit/dp/B013S3HRBK/ref=sr_1_27?keywords=Klein+Tools+51608+1%2F2-inch+Iron+Conduit+Bender+Head&amp;qid=1694735173&amp;sr=8-27", "https://www.amazon.com/Southwire-MCB1-Ductile-1-inch-Conduit/dp/B013S3HRBK/ref=sr_1_27?keywords=Klein+Tools+51608+1%2F2-inch+Iron+Conduit+Bender+Head&amp;qid=1694735173&amp;sr=8-27")</f>
        <v/>
      </c>
      <c r="F4503" t="inlineStr">
        <is>
          <t>B013S3HRBK</t>
        </is>
      </c>
      <c r="G4503">
        <f>_xludf.IMAGE("https://edmondsonsupply.com/cdn/shop/products/51608.jpg?v=1643679335")</f>
        <v/>
      </c>
      <c r="H4503">
        <f>_xludf.IMAGE("https://m.media-amazon.com/images/I/61pF0SIjOqL._AC_UL320_.jpg")</f>
        <v/>
      </c>
      <c r="K4503" t="inlineStr">
        <is>
          <t>39.99</t>
        </is>
      </c>
      <c r="L4503" t="n">
        <v>72.64</v>
      </c>
      <c r="M4503" s="1" t="inlineStr">
        <is>
          <t>81.65%</t>
        </is>
      </c>
      <c r="N4503" s="1" t="n">
        <v>-8</v>
      </c>
      <c r="O4503" t="n">
        <v>4</v>
      </c>
      <c r="P4503" t="n">
        <v>7</v>
      </c>
      <c r="R4503" t="inlineStr">
        <is>
          <t>InStock</t>
        </is>
      </c>
      <c r="S4503" t="inlineStr">
        <is>
          <t>60.66</t>
        </is>
      </c>
      <c r="T4503" t="inlineStr">
        <is>
          <t>7597417693400</t>
        </is>
      </c>
    </row>
    <row r="4504" ht="87" customHeight="1">
      <c r="A4504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4504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4504" t="inlineStr">
        <is>
          <t>Klein Tools 69149P Test Kit with Multimeter, Non-Contact Volt Tester, Receptacle Tester</t>
        </is>
      </c>
      <c r="D4504" t="inlineStr">
        <is>
          <t>Digital Multimeter Electrical Test Kit, Non-Contact Voltage Tester, Receptacle Tester, Carrying Case and Batteries Klein Tools MM320KIT &amp; 44228 Electrician's Pocket Knife with Stainless Steel Blade</t>
        </is>
      </c>
      <c r="E4504" s="2">
        <f>HYPERLINK("https://www.amazon.com/Multimeter-Non-Contact-Klein-Tools-Electricians/dp/B0BVGB1TXZ/ref=sr_1_19?keywords=Klein+Tools+69149P+Test+Kit+with+Multimeter%2C+Non-Contact+Volt+Tester%2C+Receptacle+Tester&amp;qid=1694735230&amp;sr=8-19", "https://www.amazon.com/Multimeter-Non-Contact-Klein-Tools-Electricians/dp/B0BVGB1TXZ/ref=sr_1_19?keywords=Klein+Tools+69149P+Test+Kit+with+Multimeter%2C+Non-Contact+Volt+Tester%2C+Receptacle+Tester&amp;qid=1694735230&amp;sr=8-19")</f>
        <v/>
      </c>
      <c r="F4504" t="inlineStr">
        <is>
          <t>B0BVGB1TXZ</t>
        </is>
      </c>
      <c r="G4504">
        <f>_xlfn.IMAGE("https://edmondsonsupply.com/cdn/shop/products/69149p.jpg?v=1664479017")</f>
        <v/>
      </c>
      <c r="H4504">
        <f>_xlfn.IMAGE("https://m.media-amazon.com/images/I/5187WRo8ulL._AC_UL320_.jpg")</f>
        <v/>
      </c>
      <c r="K4504" t="inlineStr">
        <is>
          <t>39.97</t>
        </is>
      </c>
      <c r="L4504" t="n">
        <v>72.45999999999999</v>
      </c>
      <c r="M4504" s="1" t="inlineStr">
        <is>
          <t>81.29%</t>
        </is>
      </c>
      <c r="N4504" s="7" t="n">
        <v>-8.06</v>
      </c>
      <c r="O4504" t="n">
        <v>5</v>
      </c>
      <c r="P4504" t="n">
        <v>1</v>
      </c>
      <c r="R4504" t="inlineStr">
        <is>
          <t>InStock</t>
        </is>
      </c>
      <c r="S4504" t="inlineStr">
        <is>
          <t>63.9</t>
        </is>
      </c>
      <c r="T4504" t="inlineStr">
        <is>
          <t>6584860606637</t>
        </is>
      </c>
    </row>
    <row r="4505" hidden="1" ht="15.75" customHeight="1">
      <c r="A4505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4505" s="2">
        <f>HYPERLINK("https://edmondsonsupply.com/products/diablo-tools-dmapl2500-7-8-in-x-8-in-x-10-in-sds-plus-2-cutter", "https://edmondsonsupply.com/products/diablo-tools-dmapl2500-7-8-in-x-8-in-x-10-in-sds-plus-2-cutter")</f>
        <v/>
      </c>
      <c r="C4505" t="inlineStr">
        <is>
          <t>Diablo Tools DMAPL2500 7/8 in. x 8 in. x 10 in. SDS-Plus 2-Cutter</t>
        </is>
      </c>
      <c r="D4505" t="inlineStr">
        <is>
          <t>Diablo DMAMX1180 7/8 in. x 16 in. x 21 in. Rebar Demon™ SDS-Max 4-Cutter Full Carbide Head Hammer Bit</t>
        </is>
      </c>
      <c r="E4505" s="2">
        <f>HYPERLINK("https://www.amazon.com/Diablo-SDS-Max-4-Cutter-Carbide-Hammer/dp/B089KWFF8B/ref=sr_1_12?keywords=Diablo+Tools+DMAPL2500+7%2F8+in.+x+8+in.+x+10+in.+SDS-Plus+2-Cutter&amp;qid=1694735171&amp;sr=8-12", "https://www.amazon.com/Diablo-SDS-Max-4-Cutter-Carbide-Hammer/dp/B089KWFF8B/ref=sr_1_12?keywords=Diablo+Tools+DMAPL2500+7%2F8+in.+x+8+in.+x+10+in.+SDS-Plus+2-Cutter&amp;qid=1694735171&amp;sr=8-12")</f>
        <v/>
      </c>
      <c r="F4505" t="inlineStr">
        <is>
          <t>B089KWFF8B</t>
        </is>
      </c>
      <c r="G4505">
        <f>_xludf.IMAGE("https://edmondsonsupply.com/cdn/shop/products/2500.webp?v=1647636219")</f>
        <v/>
      </c>
      <c r="H4505">
        <f>_xludf.IMAGE("https://m.media-amazon.com/images/I/611fTcYRNFL._AC_UL320_.jpg")</f>
        <v/>
      </c>
      <c r="K4505" t="inlineStr">
        <is>
          <t>28.97</t>
        </is>
      </c>
      <c r="L4505" t="n">
        <v>52.51</v>
      </c>
      <c r="M4505" s="1" t="inlineStr">
        <is>
          <t>81.26%</t>
        </is>
      </c>
      <c r="N4505" s="1" t="n">
        <v>-8.07</v>
      </c>
      <c r="O4505" t="n">
        <v>3.5</v>
      </c>
      <c r="P4505" t="n">
        <v>3</v>
      </c>
      <c r="R4505" t="inlineStr">
        <is>
          <t>InStock</t>
        </is>
      </c>
      <c r="S4505" t="inlineStr">
        <is>
          <t>33.98</t>
        </is>
      </c>
      <c r="T4505" t="inlineStr">
        <is>
          <t>7639201317080</t>
        </is>
      </c>
    </row>
    <row r="4506" ht="87" customHeight="1">
      <c r="A4506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4506" s="2">
        <f>HYPERLINK("https://edmondsonsupply.com/products/greenlee-dtap10-32-drill-tap-10-32", "https://edmondsonsupply.com/products/greenlee-dtap10-32-drill-tap-10-32")</f>
        <v/>
      </c>
      <c r="C4506" t="inlineStr">
        <is>
          <t>Greenlee DTAP10-32 Drill/Tap, 10-32</t>
        </is>
      </c>
      <c r="D4506" t="inlineStr">
        <is>
          <t>Drill America #10-32 x 6" High Speed Steel Pulley Tap, DWT Series</t>
        </is>
      </c>
      <c r="E4506" s="2">
        <f>HYPERLINK("https://www.amazon.com/Drill-America-Qualtech-High-Speed-Extension/dp/B00FXKAIIG/ref=sr_1_47?keywords=Greenlee+DTAP10-32+Drill%2FTap%2C+10-32&amp;qid=1694735404&amp;sr=8-47", "https://www.amazon.com/Drill-America-Qualtech-High-Speed-Extension/dp/B00FXKAIIG/ref=sr_1_47?keywords=Greenlee+DTAP10-32+Drill%2FTap%2C+10-32&amp;qid=1694735404&amp;sr=8-47")</f>
        <v/>
      </c>
      <c r="F4506" t="inlineStr">
        <is>
          <t>B00FXKAIIG</t>
        </is>
      </c>
      <c r="G4506">
        <f>_xlfn.IMAGE("https://edmondsonsupply.com/cdn/shop/products/DTAP10-32.jpg?v=1633030188")</f>
        <v/>
      </c>
      <c r="H4506">
        <f>_xlfn.IMAGE("https://m.media-amazon.com/images/I/61-NzPnpqtL._AC_UL320_.jpg")</f>
        <v/>
      </c>
      <c r="K4506" t="inlineStr">
        <is>
          <t>8.99</t>
        </is>
      </c>
      <c r="L4506" t="n">
        <v>16.29</v>
      </c>
      <c r="M4506" s="1" t="inlineStr">
        <is>
          <t>81.20%</t>
        </is>
      </c>
      <c r="N4506" s="7" t="n">
        <v>-8.09</v>
      </c>
      <c r="O4506" t="n">
        <v>4.5</v>
      </c>
      <c r="P4506" t="n">
        <v>174</v>
      </c>
      <c r="R4506" t="inlineStr">
        <is>
          <t>InStock</t>
        </is>
      </c>
      <c r="S4506" t="inlineStr">
        <is>
          <t>9.7</t>
        </is>
      </c>
      <c r="T4506" t="inlineStr">
        <is>
          <t>4395883298916</t>
        </is>
      </c>
    </row>
    <row r="4507" ht="87" customHeight="1">
      <c r="A4507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507" s="2">
        <f>HYPERLINK("https://edmondsonsupply.com/products/klein-tools-vdv526-200-lan-scout-%c2%ae-jr-2-cable-tester", "https://edmondsonsupply.com/products/klein-tools-vdv526-200-lan-scout-%c2%ae-jr-2-cable-tester")</f>
        <v/>
      </c>
      <c r="C4507" t="inlineStr">
        <is>
          <t>Klein Tools VDV526-200 LAN Scout ® Jr. 2 Cable Tester</t>
        </is>
      </c>
      <c r="D4507" t="inlineStr">
        <is>
          <t>Klein Tools VDV526-200 Cable Tester, LAN Scout Jr. 2 Ethernet Cable Tester &amp; VDV500-123 Cable Tracer Probe-Pro Tracing Probe with Replaceable Non-Metallic</t>
        </is>
      </c>
      <c r="E4507" s="2">
        <f>HYPERLINK("https://www.amazon.com/Klein-Tools-VDV526-200-Replaceable-Non-Metallic/dp/B09Y84486X/ref=sr_1_3?keywords=Klein+Tools+VDV526-200+LAN+Scout+%C2%AE+Jr.+2+Cable+Tester&amp;qid=1694735126&amp;sr=8-3", "https://www.amazon.com/Klein-Tools-VDV526-200-Replaceable-Non-Metallic/dp/B09Y84486X/ref=sr_1_3?keywords=Klein+Tools+VDV526-200+LAN+Scout+%C2%AE+Jr.+2+Cable+Tester&amp;qid=1694735126&amp;sr=8-3")</f>
        <v/>
      </c>
      <c r="F4507" t="inlineStr">
        <is>
          <t>B09Y84486X</t>
        </is>
      </c>
      <c r="G4507">
        <f>_xlfn.IMAGE("https://edmondsonsupply.com/cdn/shop/products/vdv526200.jpg?v=1663689949")</f>
        <v/>
      </c>
      <c r="H4507">
        <f>_xlfn.IMAGE("https://m.media-amazon.com/images/I/51l43d13j-L._AC_UY218_.jpg")</f>
        <v/>
      </c>
      <c r="K4507" t="inlineStr">
        <is>
          <t>54.97</t>
        </is>
      </c>
      <c r="L4507" t="n">
        <v>99.55</v>
      </c>
      <c r="M4507" s="1" t="inlineStr">
        <is>
          <t>81.10%</t>
        </is>
      </c>
      <c r="N4507" s="7" t="n">
        <v>-8.26</v>
      </c>
      <c r="O4507" t="n">
        <v>4.8</v>
      </c>
      <c r="P4507" t="n">
        <v>12</v>
      </c>
      <c r="R4507" t="inlineStr">
        <is>
          <t>InStock</t>
        </is>
      </c>
      <c r="S4507" t="inlineStr">
        <is>
          <t>82.5</t>
        </is>
      </c>
      <c r="T4507" t="inlineStr">
        <is>
          <t>7823726182616</t>
        </is>
      </c>
    </row>
    <row r="4508" ht="87" customHeight="1">
      <c r="A4508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4508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4508" t="inlineStr">
        <is>
          <t>Diablo Tools DMAPL4080-P25 1/4 in. x 6 in. x 8 in. Rebar Demon™ SDS-Plus 4-Cutter Full Carbide Head Hammer Bit (25 Pack)</t>
        </is>
      </c>
      <c r="D4508" t="inlineStr">
        <is>
          <t>Diablo by Freud DMAPL4160-P25 3/8 in. x 10 in. x 12 in. Rebar Demon SDS-Plus 4-Cutter Full Carbide Head Hammer Bit (25-Pack)</t>
        </is>
      </c>
      <c r="E4508" s="2" t="n"/>
      <c r="F4508" t="inlineStr">
        <is>
          <t>B089LKWCD1</t>
        </is>
      </c>
      <c r="G4508">
        <f>_xlfn.IMAGE("https://edmondsonsupply.com/cdn/shop/products/DMAPL4080-P25_Main-Image20200701.png?v=1633030623")</f>
        <v/>
      </c>
      <c r="H4508">
        <f>_xlfn.IMAGE("https://m.media-amazon.com/images/I/61MHnm3+2bL._AC_UL320_.jpg")</f>
        <v/>
      </c>
      <c r="K4508" t="inlineStr">
        <is>
          <t>99.97</t>
        </is>
      </c>
      <c r="L4508" t="n">
        <v>180.97</v>
      </c>
      <c r="M4508" s="1" t="inlineStr">
        <is>
          <t>81.02%</t>
        </is>
      </c>
      <c r="N4508" s="7" t="n">
        <v>-8.48</v>
      </c>
      <c r="O4508" t="n">
        <v>5</v>
      </c>
      <c r="P4508" t="n">
        <v>1</v>
      </c>
      <c r="R4508" t="inlineStr">
        <is>
          <t>InStock</t>
        </is>
      </c>
      <c r="S4508" t="inlineStr">
        <is>
          <t>144.22</t>
        </is>
      </c>
      <c r="T4508" t="inlineStr">
        <is>
          <t>5660158918824</t>
        </is>
      </c>
    </row>
    <row r="4509" ht="87" customHeight="1">
      <c r="A4509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4509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4509" t="inlineStr">
        <is>
          <t>Klein Tools JTH6E15 3/8-Inch Hex Key with Journeyman T-Handle, 6-Inch</t>
        </is>
      </c>
      <c r="D4509" t="inlineStr">
        <is>
          <t>Klein Tools JTH9M8 8 mm Hex Key with Journeyman T-Handle, 9-Inch</t>
        </is>
      </c>
      <c r="E4509" s="2">
        <f>HYPERLINK("https://www.amazon.com/Journeyman-T-Handle-Klein-Tools-JTH9M8/dp/B005G3HJSC/ref=sr_1_19?keywords=Klein+Tools+JTH6E15+3%2F8-Inch+Hex+Key+with+Journeyman+T-Handle%2C+6-Inch&amp;qid=1694735343&amp;sr=8-19", "https://www.amazon.com/Journeyman-T-Handle-Klein-Tools-JTH9M8/dp/B005G3HJSC/ref=sr_1_19?keywords=Klein+Tools+JTH6E15+3%2F8-Inch+Hex+Key+with+Journeyman+T-Handle%2C+6-Inch&amp;qid=1694735343&amp;sr=8-19")</f>
        <v/>
      </c>
      <c r="F4509" t="inlineStr">
        <is>
          <t>B005G3HJSC</t>
        </is>
      </c>
      <c r="G4509">
        <f>_xlfn.IMAGE("https://edmondsonsupply.com/cdn/shop/products/jth6e15_c4dd65ba-86a8-4743-882c-88cf44faafdc.jpg?v=1587142819")</f>
        <v/>
      </c>
      <c r="H4509">
        <f>_xlfn.IMAGE("https://m.media-amazon.com/images/I/51+1x0vz9XL._AC_UL320_.jpg")</f>
        <v/>
      </c>
      <c r="K4509" t="inlineStr">
        <is>
          <t>8.99</t>
        </is>
      </c>
      <c r="L4509" t="n">
        <v>16.27</v>
      </c>
      <c r="M4509" s="1" t="inlineStr">
        <is>
          <t>80.98%</t>
        </is>
      </c>
      <c r="N4509" s="7" t="n">
        <v>-8.49</v>
      </c>
      <c r="O4509" t="n">
        <v>5</v>
      </c>
      <c r="P4509" t="n">
        <v>4</v>
      </c>
      <c r="R4509" t="inlineStr">
        <is>
          <t>InStock</t>
        </is>
      </c>
      <c r="S4509" t="inlineStr">
        <is>
          <t>13.56</t>
        </is>
      </c>
      <c r="T4509" t="inlineStr">
        <is>
          <t>4512705970276</t>
        </is>
      </c>
    </row>
    <row r="4510" hidden="1" ht="15.75" customHeight="1">
      <c r="A4510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4510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4510" t="inlineStr">
        <is>
          <t>Diablo Tools DMARG1070 1/4 in. x 4 in. x 6 in. SPEEDemon™ Red Granite Carbide Tipped Hammer Drill Bit</t>
        </is>
      </c>
      <c r="D4510" t="inlineStr">
        <is>
          <t>Sabre Tools 1/4 Inch x 12 Inch SDS Plus Rotary Hammer Drill Bit, Carbide Tipped for Brick, Stone, and Concrete Version 2 (1/4" x 10" x 12")</t>
        </is>
      </c>
      <c r="E4510" s="2">
        <f>HYPERLINK("https://www.amazon.com/Sabre-Tools-Carbide-Concrete-Version/dp/B096NNN1LT/ref=sr_1_21?keywords=Diablo+Tools+DMARG1070+1%2F4+in.+x+4+in.+x+6+in.+SPEEDemon%E2%84%A2+Red+Granite+Carbide+Tipped+Hammer+Drill+Bit&amp;qid=1694735286&amp;sr=8-21", "https://www.amazon.com/Sabre-Tools-Carbide-Concrete-Version/dp/B096NNN1LT/ref=sr_1_21?keywords=Diablo+Tools+DMARG1070+1%2F4+in.+x+4+in.+x+6+in.+SPEEDemon%E2%84%A2+Red+Granite+Carbide+Tipped+Hammer+Drill+Bit&amp;qid=1694735286&amp;sr=8-21")</f>
        <v/>
      </c>
      <c r="F4510" t="inlineStr">
        <is>
          <t>B096NNN1LT</t>
        </is>
      </c>
      <c r="G4510">
        <f>_xludf.IMAGE("https://edmondsonsupply.com/cdn/shop/products/DMARG1070_Main-Image20200407.png?v=1633030419")</f>
        <v/>
      </c>
      <c r="H4510">
        <f>_xludf.IMAGE("https://m.media-amazon.com/images/I/51lCoJCq3nL._AC_UL320_.jpg")</f>
        <v/>
      </c>
      <c r="K4510" t="inlineStr">
        <is>
          <t>4.97</t>
        </is>
      </c>
      <c r="L4510" t="n">
        <v>8.99</v>
      </c>
      <c r="M4510" s="1" t="inlineStr">
        <is>
          <t>80.89%</t>
        </is>
      </c>
      <c r="N4510" s="1" t="n">
        <v>-8.49</v>
      </c>
      <c r="O4510" t="n">
        <v>4.6</v>
      </c>
      <c r="P4510" t="n">
        <v>796</v>
      </c>
      <c r="R4510" t="inlineStr">
        <is>
          <t>InStock</t>
        </is>
      </c>
      <c r="S4510" t="inlineStr">
        <is>
          <t>undefined</t>
        </is>
      </c>
      <c r="T4510" t="inlineStr">
        <is>
          <t>5317981700264</t>
        </is>
      </c>
    </row>
    <row r="4511" ht="87" customHeight="1">
      <c r="A4511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511" s="2">
        <f>HYPERLINK("https://edmondsonsupply.com/products/klein-tools-935ab4v-accu-bend%e2%84%a2-level-4-vial-rem", "https://edmondsonsupply.com/products/klein-tools-935ab4v-accu-bend%e2%84%a2-level-4-vial-rem")</f>
        <v/>
      </c>
      <c r="C4511" t="inlineStr">
        <is>
          <t>Klein Tools 935AB4V ACCU-BEND™ Level, 4-Vial</t>
        </is>
      </c>
      <c r="D4511" t="inlineStr">
        <is>
          <t>Southwire Tools &amp; Equipment SDCFR Conduit Fitting Reaming Screwdriver &amp; Klein Tools 935AB4V Level, 6.25-Inch Magnetic Torpedo Level is a Conduit Level with 4 Vials, V-Groove and Magnet Track</t>
        </is>
      </c>
      <c r="E4511" s="2">
        <f>HYPERLINK("https://www.amazon.com/Southwire-Equipment-Screwdriver-6-25-Inch-Magnetic/dp/B0BGJ62CS3/ref=sr_1_11?keywords=Klein+Tools+935AB4V+ACCU-BEND%E2%84%A2+Level%2C+4-Vial&amp;qid=1694735422&amp;sr=8-11", "https://www.amazon.com/Southwire-Equipment-Screwdriver-6-25-Inch-Magnetic/dp/B0BGJ62CS3/ref=sr_1_11?keywords=Klein+Tools+935AB4V+ACCU-BEND%E2%84%A2+Level%2C+4-Vial&amp;qid=1694735422&amp;sr=8-11")</f>
        <v/>
      </c>
      <c r="F4511" t="inlineStr">
        <is>
          <t>B0BGJ62CS3</t>
        </is>
      </c>
      <c r="G4511">
        <f>_xlfn.IMAGE("https://edmondsonsupply.com/cdn/shop/files/935ab4v_b.jpg?v=1685715011")</f>
        <v/>
      </c>
      <c r="H4511">
        <f>_xlfn.IMAGE("https://m.media-amazon.com/images/I/51Ympka-5jL._AC_UL320_.jpg")</f>
        <v/>
      </c>
      <c r="K4511" t="inlineStr">
        <is>
          <t>29.97</t>
        </is>
      </c>
      <c r="L4511" t="n">
        <v>54.18</v>
      </c>
      <c r="M4511" s="1" t="inlineStr">
        <is>
          <t>80.78%</t>
        </is>
      </c>
      <c r="N4511" s="7" t="n">
        <v>-8.49</v>
      </c>
      <c r="O4511" t="n">
        <v>4.5</v>
      </c>
      <c r="P4511" t="n">
        <v>1572</v>
      </c>
      <c r="R4511" t="inlineStr">
        <is>
          <t>InStock</t>
        </is>
      </c>
      <c r="S4511" t="inlineStr">
        <is>
          <t>42.0</t>
        </is>
      </c>
      <c r="T4511" t="inlineStr">
        <is>
          <t>2766878081124</t>
        </is>
      </c>
    </row>
    <row r="4512" ht="87" customHeight="1">
      <c r="A4512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4512" s="2">
        <f>HYPERLINK("https://edmondsonsupply.com/products/klein-tools-32307-27-in-1-multi-bit-tamperproof-screwdriver", "https://edmondsonsupply.com/products/klein-tools-32307-27-in-1-multi-bit-tamperproof-screwdriver")</f>
        <v/>
      </c>
      <c r="C4512" t="inlineStr">
        <is>
          <t>Klein Tools 32307 27-in-1 Multi-Bit Tamperproof Screwdriver</t>
        </is>
      </c>
      <c r="D4512" t="inlineStr">
        <is>
          <t>Klein Tools 32305 Multi-bit Ratcheting Screwdriver &amp; 32307 Multi-bit Tamperproof Screwdriver, 27-in-1 Tool with Torx, Hex, Torq and Spanner Bits with 1/4-Inch Nut Driver</t>
        </is>
      </c>
      <c r="E4512" s="2">
        <f>HYPERLINK("https://www.amazon.com/Klein-Tools-Ratcheting-Screwdriver-Tamperproof/dp/B09Y7PBFQ1/ref=sr_1_6?keywords=Klein+Tools+32307+27-in-1+Multi-Bit+Tamperproof+Screwdriver&amp;qid=1694735165&amp;sr=8-6", "https://www.amazon.com/Klein-Tools-Ratcheting-Screwdriver-Tamperproof/dp/B09Y7PBFQ1/ref=sr_1_6?keywords=Klein+Tools+32307+27-in-1+Multi-Bit+Tamperproof+Screwdriver&amp;qid=1694735165&amp;sr=8-6")</f>
        <v/>
      </c>
      <c r="F4512" t="inlineStr">
        <is>
          <t>B09Y7PBFQ1</t>
        </is>
      </c>
      <c r="G4512">
        <f>_xlfn.IMAGE("https://edmondsonsupply.com/cdn/shop/products/32307.jpg?v=1647347524")</f>
        <v/>
      </c>
      <c r="H4512">
        <f>_xlfn.IMAGE("https://m.media-amazon.com/images/I/41T6TsQqpLL._AC_UL320_.jpg")</f>
        <v/>
      </c>
      <c r="K4512" t="inlineStr">
        <is>
          <t>25.97</t>
        </is>
      </c>
      <c r="L4512" t="n">
        <v>46.94</v>
      </c>
      <c r="M4512" s="1" t="inlineStr">
        <is>
          <t>80.75%</t>
        </is>
      </c>
      <c r="N4512" s="7" t="n">
        <v>-8.52</v>
      </c>
      <c r="O4512" t="n">
        <v>4.7</v>
      </c>
      <c r="P4512" t="n">
        <v>22</v>
      </c>
      <c r="R4512" t="inlineStr">
        <is>
          <t>InStock</t>
        </is>
      </c>
      <c r="S4512" t="inlineStr">
        <is>
          <t>36.38</t>
        </is>
      </c>
      <c r="T4512" t="inlineStr">
        <is>
          <t>7637266366680</t>
        </is>
      </c>
    </row>
    <row r="4513" ht="87" customHeight="1">
      <c r="A4513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4513" s="2">
        <f>HYPERLINK("https://edmondsonsupply.com/products/klein-tools-rt110-receptacle-tester", "https://edmondsonsupply.com/products/klein-tools-rt110-receptacle-tester")</f>
        <v/>
      </c>
      <c r="C4513" t="inlineStr">
        <is>
          <t>Klein Tools RT110 Receptacle Tester</t>
        </is>
      </c>
      <c r="D4513" t="inlineStr">
        <is>
          <t>Case Compatible with Klein Tools ET310 AC Circuit Breaker Finder &amp; 80041 Outlet Repair Tool Kit &amp; RT250 GFCI Receptacle Tester. Electrical Tools Storage Organizer Holder Bag for Accessories (Box Only)</t>
        </is>
      </c>
      <c r="E4513" s="2">
        <f>HYPERLINK("https://www.amazon.com/Compatible-Integrated-Electrical-Organizer-Accessories/dp/B09JBWLH2B/ref=sr_1_13?keywords=Klein+Tools+RT110+Receptacle+Tester&amp;qid=1694735205&amp;sr=8-13", "https://www.amazon.com/Compatible-Integrated-Electrical-Organizer-Accessories/dp/B09JBWLH2B/ref=sr_1_13?keywords=Klein+Tools+RT110+Receptacle+Tester&amp;qid=1694735205&amp;sr=8-13")</f>
        <v/>
      </c>
      <c r="F4513" t="inlineStr">
        <is>
          <t>B09JBWLH2B</t>
        </is>
      </c>
      <c r="G4513">
        <f>_xlfn.IMAGE("https://edmondsonsupply.com/cdn/shop/products/rt110.jpg?v=1633031036")</f>
        <v/>
      </c>
      <c r="H4513">
        <f>_xlfn.IMAGE("https://m.media-amazon.com/images/I/81yJafHL1vL._AC_UL320_.jpg")</f>
        <v/>
      </c>
      <c r="K4513" t="inlineStr">
        <is>
          <t>9.97</t>
        </is>
      </c>
      <c r="L4513" t="n">
        <v>17.99</v>
      </c>
      <c r="M4513" s="1" t="inlineStr">
        <is>
          <t>80.44%</t>
        </is>
      </c>
      <c r="N4513" s="7" t="n">
        <v>-8.6</v>
      </c>
      <c r="O4513" t="n">
        <v>4.5</v>
      </c>
      <c r="P4513" t="n">
        <v>1705</v>
      </c>
      <c r="R4513" t="inlineStr">
        <is>
          <t>InStock</t>
        </is>
      </c>
      <c r="S4513" t="inlineStr">
        <is>
          <t>12.12</t>
        </is>
      </c>
      <c r="T4513" t="inlineStr">
        <is>
          <t>6740486619309</t>
        </is>
      </c>
    </row>
    <row r="4514" ht="87" customHeight="1">
      <c r="A4514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4514" s="2">
        <f>HYPERLINK("https://edmondsonsupply.com/products/diablo-tools-d0760x-7-1-4-in-x-60-tooth-ultra-finish-saw-blade", "https://edmondsonsupply.com/products/diablo-tools-d0760x-7-1-4-in-x-60-tooth-ultra-finish-saw-blade")</f>
        <v/>
      </c>
      <c r="C4514" t="inlineStr">
        <is>
          <t>Diablo Tools D0760X 7-1/4 in. x 60 Tooth Ultra Finish Saw Blade</t>
        </is>
      </c>
      <c r="D4514" t="inlineStr">
        <is>
          <t>Freud D0760X Diablo Ultra Finish Saw Blade ATB 7-1/4-Inch by 60t 5/8-Inch Arbor, 2-Pack</t>
        </is>
      </c>
      <c r="E4514" s="2">
        <f>HYPERLINK("https://www.amazon.com/Diablo-D0760A-Ultra-Finish-Circular/dp/B0148SH5ZC/ref=sr_1_4?keywords=Diablo+Tools+D0760X+7-1%2F4+in.+x+60+Tooth+Ultra+Finish+Saw+Blade&amp;qid=1694735024&amp;sr=8-4", "https://www.amazon.com/Diablo-D0760A-Ultra-Finish-Circular/dp/B0148SH5ZC/ref=sr_1_4?keywords=Diablo+Tools+D0760X+7-1%2F4+in.+x+60+Tooth+Ultra+Finish+Saw+Blade&amp;qid=1694735024&amp;sr=8-4")</f>
        <v/>
      </c>
      <c r="F4514" t="inlineStr">
        <is>
          <t>B0148SH5ZC</t>
        </is>
      </c>
      <c r="G4514">
        <f>_xlfn.IMAGE("https://edmondsonsupply.com/cdn/shop/products/vlfiqrihhfwf5bxirasx.webp?v=1678977162")</f>
        <v/>
      </c>
      <c r="H4514">
        <f>_xlfn.IMAGE("https://m.media-amazon.com/images/I/61nNgTt0u4L._AC_UL320_.jpg")</f>
        <v/>
      </c>
      <c r="K4514" t="inlineStr">
        <is>
          <t>19.97</t>
        </is>
      </c>
      <c r="L4514" t="n">
        <v>36</v>
      </c>
      <c r="M4514" s="1" t="inlineStr">
        <is>
          <t>80.27%</t>
        </is>
      </c>
      <c r="N4514" s="7" t="n">
        <v>-8.609999999999999</v>
      </c>
      <c r="O4514" t="n">
        <v>4.8</v>
      </c>
      <c r="P4514" t="n">
        <v>2920</v>
      </c>
      <c r="R4514" t="inlineStr">
        <is>
          <t>InStock</t>
        </is>
      </c>
      <c r="S4514" t="inlineStr">
        <is>
          <t>30.2</t>
        </is>
      </c>
      <c r="T4514" t="inlineStr">
        <is>
          <t>7962630521048</t>
        </is>
      </c>
    </row>
    <row r="4515" hidden="1" ht="15.75" customHeight="1">
      <c r="A4515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4515" s="2">
        <f>HYPERLINK("https://edmondsonsupply.com/products/diablo-tools-dmapl2140-1-4-in-x-4-in-x-6-in-sds-plus-2-cutter", "https://edmondsonsupply.com/products/diablo-tools-dmapl2140-1-4-in-x-4-in-x-6-in-sds-plus-2-cutter")</f>
        <v/>
      </c>
      <c r="C4515" t="inlineStr">
        <is>
          <t>Diablo Tools DMAPL2140 1/4 in. x 4 in. x 6 in. SDS‑Plus 2‑Cutter</t>
        </is>
      </c>
      <c r="D4515" t="inlineStr">
        <is>
          <t>Diablo by Freud DMAPL4050 3/16 in. x 6 in. x 8 in. Rebar Demon SDS-Plus 4-Cutter Full Carbide Head Hammer Bit Multi, One Size</t>
        </is>
      </c>
      <c r="E4515" s="2">
        <f>HYPERLINK("https://www.amazon.com/Diablo-SDS-Plus-4-Cutter-Carbide-Hammer/dp/B089LKWR9L/ref=sr_1_40?keywords=Diablo+Tools+DMAPL2140+1%2F4+in.+x+4+in.+x+6+in.+SDS%E2%80%91Plus+2%E2%80%91Cutter&amp;qid=1694735261&amp;sr=8-40", "https://www.amazon.com/Diablo-SDS-Plus-4-Cutter-Carbide-Hammer/dp/B089LKWR9L/ref=sr_1_40?keywords=Diablo+Tools+DMAPL2140+1%2F4+in.+x+4+in.+x+6+in.+SDS%E2%80%91Plus+2%E2%80%91Cutter&amp;qid=1694735261&amp;sr=8-40")</f>
        <v/>
      </c>
      <c r="F4515" t="inlineStr">
        <is>
          <t>B089LKWR9L</t>
        </is>
      </c>
      <c r="G4515">
        <f>_xludf.IMAGE("https://edmondsonsupply.com/cdn/shop/products/DMAPL2140-P25_Main-Image20200701_051150e2-bdbb-41a1-87fd-df202a887b18.png?v=1633030654")</f>
        <v/>
      </c>
      <c r="H4515">
        <f>_xludf.IMAGE("https://m.media-amazon.com/images/I/61uukuKzJeL._AC_UL320_.jpg")</f>
        <v/>
      </c>
      <c r="K4515" t="inlineStr">
        <is>
          <t>4.99</t>
        </is>
      </c>
      <c r="L4515" t="n">
        <v>8.99</v>
      </c>
      <c r="M4515" s="1" t="inlineStr">
        <is>
          <t>80.16%</t>
        </is>
      </c>
      <c r="N4515" s="1" t="n">
        <v>-8.65</v>
      </c>
      <c r="O4515" t="n">
        <v>3.7</v>
      </c>
      <c r="P4515" t="n">
        <v>10</v>
      </c>
      <c r="R4515" t="inlineStr">
        <is>
          <t>InStock</t>
        </is>
      </c>
      <c r="S4515" t="inlineStr">
        <is>
          <t>5.04</t>
        </is>
      </c>
      <c r="T4515" t="inlineStr">
        <is>
          <t>5740655739048</t>
        </is>
      </c>
    </row>
    <row r="4516" hidden="1" ht="15.75" customHeight="1">
      <c r="A4516" s="2">
        <f>HYPERLINK("https://edmondsonsupply.com/collections/electricians-tools/products/klein-tools-31907-replacement-pilot-bit-1-4-x-3-1-2-inch", "https://edmondsonsupply.com/collections/electricians-tools/products/klein-tools-31907-replacement-pilot-bit-1-4-x-3-1-2-inch")</f>
        <v/>
      </c>
      <c r="B4516" s="2">
        <f>HYPERLINK("https://edmondsonsupply.com/products/klein-tools-31907-replacement-pilot-bit-1-4-x-3-1-2-inch", "https://edmondsonsupply.com/products/klein-tools-31907-replacement-pilot-bit-1-4-x-3-1-2-inch")</f>
        <v/>
      </c>
      <c r="C4516" t="inlineStr">
        <is>
          <t>Klein Tools 31907 Replacement Pilot Bit, 1/4 x 3-1/2-Inch</t>
        </is>
      </c>
      <c r="D4516" t="inlineStr">
        <is>
          <t>Klein Tools 32744 Replacement Bits SQ2/SL316 - 1/4 inch Hex, Pack of 3</t>
        </is>
      </c>
      <c r="E4516" s="2">
        <f>HYPERLINK("https://www.amazon.com/Klein-Tools-32744-Replacement-SL316/dp/B00EKHU6IA/ref=sr_1_10?keywords=Klein+Tools+31907+Replacement+Pilot+Bit%2C+1%2F4+x+3-1%2F2-Inch&amp;qid=1694735214&amp;sr=8-10", "https://www.amazon.com/Klein-Tools-32744-Replacement-SL316/dp/B00EKHU6IA/ref=sr_1_10?keywords=Klein+Tools+31907+Replacement+Pilot+Bit%2C+1%2F4+x+3-1%2F2-Inch&amp;qid=1694735214&amp;sr=8-10")</f>
        <v/>
      </c>
      <c r="F4516" t="inlineStr">
        <is>
          <t>B00EKHU6IA</t>
        </is>
      </c>
      <c r="G4516">
        <f>_xludf.IMAGE("https://edmondsonsupply.com/cdn/shop/products/31907.jpg?v=1633031111")</f>
        <v/>
      </c>
      <c r="H4516">
        <f>_xludf.IMAGE("https://m.media-amazon.com/images/I/51k5d93mcIL._AC_UL320_.jpg")</f>
        <v/>
      </c>
      <c r="K4516" t="inlineStr">
        <is>
          <t>4.99</t>
        </is>
      </c>
      <c r="L4516" t="n">
        <v>8.99</v>
      </c>
      <c r="M4516" s="1" t="inlineStr">
        <is>
          <t>80.16%</t>
        </is>
      </c>
      <c r="N4516" s="1" t="n">
        <v>-8.859999999999999</v>
      </c>
      <c r="O4516" t="n">
        <v>4.5</v>
      </c>
      <c r="P4516" t="n">
        <v>28</v>
      </c>
      <c r="R4516" t="inlineStr">
        <is>
          <t>InStock</t>
        </is>
      </c>
      <c r="S4516" t="inlineStr">
        <is>
          <t>5.6</t>
        </is>
      </c>
      <c r="T4516" t="inlineStr">
        <is>
          <t>6851948445869</t>
        </is>
      </c>
    </row>
    <row r="4517" ht="87" customHeight="1">
      <c r="A4517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4517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4517" t="inlineStr">
        <is>
          <t>Klein Tools 630-1/2 1/2-Inch Nut Driver, 3-Inch Shaft, Cushion-Grip</t>
        </is>
      </c>
      <c r="D4517" t="inlineStr">
        <is>
          <t>Klein Tools 65131 2-in-1 Nut Driver, Hex Head Slide Drive, 1-1/2-Inch</t>
        </is>
      </c>
      <c r="E4517" s="2">
        <f>HYPERLINK("https://www.amazon.com/Driver-2-Inch-Klein-Tools-65131/dp/B071LCCGT1/ref=sr_1_29?keywords=Klein+Tools+630-1%2F2+1%2F2-Inch+Nut+Driver%2C+3-Inch+Shaft%2C+Cushion-Grip&amp;qid=1694735275&amp;sr=8-29", "https://www.amazon.com/Driver-2-Inch-Klein-Tools-65131/dp/B071LCCGT1/ref=sr_1_29?keywords=Klein+Tools+630-1%2F2+1%2F2-Inch+Nut+Driver%2C+3-Inch+Shaft%2C+Cushion-Grip&amp;qid=1694735275&amp;sr=8-29")</f>
        <v/>
      </c>
      <c r="F4517" t="inlineStr">
        <is>
          <t>B071LCCGT1</t>
        </is>
      </c>
      <c r="G4517">
        <f>_xlfn.IMAGE("https://edmondsonsupply.com/cdn/shop/products/630-1-2_7cf2cc87-b92f-4b67-9777-1bad53f29a16.jpg?v=1633030528")</f>
        <v/>
      </c>
      <c r="H4517">
        <f>_xlfn.IMAGE("https://m.media-amazon.com/images/I/51SI9ktOe4L._AC_UL320_.jpg")</f>
        <v/>
      </c>
      <c r="K4517" t="inlineStr">
        <is>
          <t>9.99</t>
        </is>
      </c>
      <c r="L4517" t="n">
        <v>17.99</v>
      </c>
      <c r="M4517" s="1" t="inlineStr">
        <is>
          <t>80.08%</t>
        </is>
      </c>
      <c r="N4517" s="7" t="n">
        <v>-9</v>
      </c>
      <c r="O4517" t="n">
        <v>4.8</v>
      </c>
      <c r="P4517" t="n">
        <v>908</v>
      </c>
      <c r="R4517" t="inlineStr">
        <is>
          <t>InStock</t>
        </is>
      </c>
      <c r="S4517" t="inlineStr">
        <is>
          <t>14.38</t>
        </is>
      </c>
      <c r="T4517" t="inlineStr">
        <is>
          <t>5408826458280</t>
        </is>
      </c>
    </row>
    <row r="4518" ht="87" customHeight="1">
      <c r="A4518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4518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4518" t="inlineStr">
        <is>
          <t>Klein Tools 630-5/16M 5/16-Inch Magnetic Nut Driver with Hollow Shaft</t>
        </is>
      </c>
      <c r="D4518" t="inlineStr">
        <is>
          <t>Klein Tools 610M Tool Set, Magnetic Nut Driver Set with Stubby Nut Driver Sizes 1/4 and 5/16-Inch, Full Hollow Shaft, 2-Piece</t>
        </is>
      </c>
      <c r="E4518" s="2">
        <f>HYPERLINK("https://www.amazon.com/Klein-Tools-610M-16-Inch-Magnetic/dp/B00093DZO6/ref=sr_1_12?keywords=Klein+Tools+630-5%2F16M+5%2F16-Inch+Magnetic+Nut+Driver+with+Hollow+Shaft&amp;qid=1694735398&amp;sr=8-12", "https://www.amazon.com/Klein-Tools-610M-16-Inch-Magnetic/dp/B00093DZO6/ref=sr_1_12?keywords=Klein+Tools+630-5%2F16M+5%2F16-Inch+Magnetic+Nut+Driver+with+Hollow+Shaft&amp;qid=1694735398&amp;sr=8-12")</f>
        <v/>
      </c>
      <c r="F4518" t="inlineStr">
        <is>
          <t>B00093DZO6</t>
        </is>
      </c>
      <c r="G4518">
        <f>_xlfn.IMAGE("https://edmondsonsupply.com/cdn/shop/products/630-5-16m.jpg?v=1587148610")</f>
        <v/>
      </c>
      <c r="H4518">
        <f>_xlfn.IMAGE("https://m.media-amazon.com/images/I/51lgiheW64L._AC_UL320_.jpg")</f>
        <v/>
      </c>
      <c r="K4518" t="inlineStr">
        <is>
          <t>9.99</t>
        </is>
      </c>
      <c r="L4518" t="n">
        <v>17.99</v>
      </c>
      <c r="M4518" s="1" t="inlineStr">
        <is>
          <t>80.08%</t>
        </is>
      </c>
      <c r="N4518" s="7" t="n">
        <v>-9.01</v>
      </c>
      <c r="O4518" t="n">
        <v>4.8</v>
      </c>
      <c r="P4518" t="n">
        <v>559</v>
      </c>
      <c r="R4518" t="inlineStr">
        <is>
          <t>InStock</t>
        </is>
      </c>
      <c r="S4518" t="inlineStr">
        <is>
          <t>15.12</t>
        </is>
      </c>
      <c r="T4518" t="inlineStr">
        <is>
          <t>4391884324964</t>
        </is>
      </c>
    </row>
    <row r="4519" ht="87" customHeight="1">
      <c r="A4519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4519" s="2">
        <f>HYPERLINK("https://edmondsonsupply.com/products/klein-tools-vaco-s10m-5-16-magnetic-nut-driver-3-hollow-shaft", "https://edmondsonsupply.com/products/klein-tools-vaco-s10m-5-16-magnetic-nut-driver-3-hollow-shaft")</f>
        <v/>
      </c>
      <c r="C4519" t="inlineStr">
        <is>
          <t>Klein Tools S10M 5/16-Inch Magnetic Nut Driver 3-Inch Shaft</t>
        </is>
      </c>
      <c r="D4519" t="inlineStr">
        <is>
          <t>Klein Tools 610M Tool Set, Magnetic Nut Driver Set with Stubby Nut Driver Sizes 1/4 and 5/16-Inch, Full Hollow Shaft, 2-Piece</t>
        </is>
      </c>
      <c r="E4519" s="2">
        <f>HYPERLINK("https://www.amazon.com/Klein-Tools-610M-16-Inch-Magnetic/dp/B00093DZO6/ref=sr_1_11?keywords=Klein+Tools+S10M+5%2F16-Inch+Magnetic+Nut+Driver+3-Inch+Shaft&amp;qid=1694735002&amp;sr=8-11", "https://www.amazon.com/Klein-Tools-610M-16-Inch-Magnetic/dp/B00093DZO6/ref=sr_1_11?keywords=Klein+Tools+S10M+5%2F16-Inch+Magnetic+Nut+Driver+3-Inch+Shaft&amp;qid=1694735002&amp;sr=8-11")</f>
        <v/>
      </c>
      <c r="F4519" t="inlineStr">
        <is>
          <t>B00093DZO6</t>
        </is>
      </c>
      <c r="G4519">
        <f>_xlfn.IMAGE("https://edmondsonsupply.com/cdn/shop/products/s10m_alt2.jpg?v=1587143022")</f>
        <v/>
      </c>
      <c r="H4519">
        <f>_xlfn.IMAGE("https://m.media-amazon.com/images/I/51lgiheW64L._AC_UL320_.jpg")</f>
        <v/>
      </c>
      <c r="K4519" t="inlineStr">
        <is>
          <t>9.99</t>
        </is>
      </c>
      <c r="L4519" t="n">
        <v>17.99</v>
      </c>
      <c r="M4519" s="1" t="inlineStr">
        <is>
          <t>80.08%</t>
        </is>
      </c>
      <c r="N4519" s="7" t="n">
        <v>-9.02</v>
      </c>
      <c r="O4519" t="n">
        <v>4.8</v>
      </c>
      <c r="P4519" t="n">
        <v>559</v>
      </c>
      <c r="R4519" t="inlineStr">
        <is>
          <t>InStock</t>
        </is>
      </c>
      <c r="S4519" t="inlineStr">
        <is>
          <t>15.08</t>
        </is>
      </c>
      <c r="T4519" t="inlineStr">
        <is>
          <t>2767113125988</t>
        </is>
      </c>
    </row>
    <row r="4520" ht="87" customHeight="1">
      <c r="A4520" s="2">
        <f>HYPERLINK("https://edmondsonsupply.com/collections/electricians-tools/products/klein-tools-608-10-1-8-inch-cabinet-tip-mini-screwdriver-10-inch", "https://edmondsonsupply.com/collections/electricians-tools/products/klein-tools-608-10-1-8-inch-cabinet-tip-mini-screwdriver-10-inch")</f>
        <v/>
      </c>
      <c r="B4520" s="2">
        <f>HYPERLINK("https://edmondsonsupply.com/products/klein-tools-608-10-1-8-inch-cabinet-tip-mini-screwdriver-10-inch", "https://edmondsonsupply.com/products/klein-tools-608-10-1-8-inch-cabinet-tip-mini-screwdriver-10-inch")</f>
        <v/>
      </c>
      <c r="C4520" t="inlineStr">
        <is>
          <t>Klein Tools 608-10 1/8-Inch Cabinet Tip Mini Screwdriver 10-Inch</t>
        </is>
      </c>
      <c r="D4520" t="inlineStr">
        <is>
          <t>Klein Tools 602-10 Flathead Screwdriver with 3/8-Inch Keystone Tip, 10-Inch Heavy Duty Round Shank</t>
        </is>
      </c>
      <c r="E4520" s="2">
        <f>HYPERLINK("https://www.amazon.com/Flathead-Screwdriver-Klein-Tools-602-10/dp/B000G6CCN6/ref=sr_1_9?keywords=Klein+Tools+608-10+1%2F8-Inch+Cabinet+Tip+Mini+Screwdriver+10-Inch&amp;qid=1694735289&amp;sr=8-9", "https://www.amazon.com/Flathead-Screwdriver-Klein-Tools-602-10/dp/B000G6CCN6/ref=sr_1_9?keywords=Klein+Tools+608-10+1%2F8-Inch+Cabinet+Tip+Mini+Screwdriver+10-Inch&amp;qid=1694735289&amp;sr=8-9")</f>
        <v/>
      </c>
      <c r="F4520" t="inlineStr">
        <is>
          <t>B000G6CCN6</t>
        </is>
      </c>
      <c r="G4520">
        <f>_xlfn.IMAGE("https://edmondsonsupply.com/cdn/shop/products/608-6_3d55df43-d6b6-4261-9983-f7b4b6f422c4.jpg?v=1633030486")</f>
        <v/>
      </c>
      <c r="H4520">
        <f>_xlfn.IMAGE("https://m.media-amazon.com/images/I/310B64xXzJL._AC_UL320_.jpg")</f>
        <v/>
      </c>
      <c r="K4520" t="inlineStr">
        <is>
          <t>9.99</t>
        </is>
      </c>
      <c r="L4520" t="n">
        <v>17.99</v>
      </c>
      <c r="M4520" s="1" t="inlineStr">
        <is>
          <t>80.08%</t>
        </is>
      </c>
      <c r="N4520" s="7" t="n">
        <v>-9.07</v>
      </c>
      <c r="O4520" t="n">
        <v>4.8</v>
      </c>
      <c r="P4520" t="n">
        <v>879</v>
      </c>
      <c r="R4520" t="inlineStr">
        <is>
          <t>InStock</t>
        </is>
      </c>
      <c r="S4520" t="inlineStr">
        <is>
          <t>15.1</t>
        </is>
      </c>
      <c r="T4520" t="inlineStr">
        <is>
          <t>5371101610152</t>
        </is>
      </c>
    </row>
    <row r="4521" ht="87" customHeight="1">
      <c r="A4521" s="2">
        <f>HYPERLINK("https://edmondsonsupply.com/collections/electricians-tools/products/milwaukee-48-22-8452", "https://edmondsonsupply.com/collections/electricians-tools/products/milwaukee-48-22-8452")</f>
        <v/>
      </c>
      <c r="B4521" s="2">
        <f>HYPERLINK("https://edmondsonsupply.com/products/milwaukee-48-22-8452", "https://edmondsonsupply.com/products/milwaukee-48-22-8452")</f>
        <v/>
      </c>
      <c r="C4521" t="inlineStr">
        <is>
          <t>Milwaukee 48-22-8452 Customizable Foam Insert for PACKOUT™ Drawer Tool Boxes</t>
        </is>
      </c>
      <c r="D4521" t="inlineStr">
        <is>
          <t>Fortool 48-22-8451 Tool Case Customizable Foam Insert Fits For Milwaukee Tool Boxes And Tool Case (48-22-8424, 48-22-8425, 48-22-8450)</t>
        </is>
      </c>
      <c r="E4521" s="2">
        <f>HYPERLINK("https://www.amazon.com/Fortool-48-22-8451-Customizable-48-22-8424-48-22-8425/dp/B09Y45V22G/ref=sr_1_48?keywords=Milwaukee+48-22-8452+Customizable+Foam+Insert+for+PACKOUT%E2%84%A2+Drawer+Tool+Boxes&amp;qid=1694735128&amp;sr=8-48", "https://www.amazon.com/Fortool-48-22-8451-Customizable-48-22-8424-48-22-8425/dp/B09Y45V22G/ref=sr_1_48?keywords=Milwaukee+48-22-8452+Customizable+Foam+Insert+for+PACKOUT%E2%84%A2+Drawer+Tool+Boxes&amp;qid=1694735128&amp;sr=8-48")</f>
        <v/>
      </c>
      <c r="F4521" t="inlineStr">
        <is>
          <t>B09Y45V22G</t>
        </is>
      </c>
      <c r="G4521">
        <f>_xlfn.IMAGE("https://edmondsonsupply.com/cdn/shop/products/48-22-8452_4.png?v=1663605573")</f>
        <v/>
      </c>
      <c r="H4521">
        <f>_xlfn.IMAGE("https://m.media-amazon.com/images/I/81q0Ti0bjLL._AC_UL320_.jpg")</f>
        <v/>
      </c>
      <c r="K4521" t="inlineStr">
        <is>
          <t>24.99</t>
        </is>
      </c>
      <c r="L4521" t="n">
        <v>44.99</v>
      </c>
      <c r="M4521" s="1" t="inlineStr">
        <is>
          <t>80.03%</t>
        </is>
      </c>
      <c r="N4521" s="7" t="n">
        <v>-9.08</v>
      </c>
      <c r="O4521" t="n">
        <v>5</v>
      </c>
      <c r="P4521" t="n">
        <v>1</v>
      </c>
      <c r="R4521" t="inlineStr">
        <is>
          <t>InStock</t>
        </is>
      </c>
      <c r="S4521" t="inlineStr">
        <is>
          <t>40.7</t>
        </is>
      </c>
      <c r="T4521" t="inlineStr">
        <is>
          <t>7822974058712</t>
        </is>
      </c>
    </row>
    <row r="4522" ht="87" customHeight="1">
      <c r="A4522" s="2">
        <f>HYPERLINK("https://edmondsonsupply.com/collections/electricians-tools/products/klein-tools-31866-carbide-hole-cutter-1-3-4-inch", "https://edmondsonsupply.com/collections/electricians-tools/products/klein-tools-31866-carbide-hole-cutter-1-3-4-inch")</f>
        <v/>
      </c>
      <c r="B4522" s="2">
        <f>HYPERLINK("https://edmondsonsupply.com/products/klein-tools-31866-carbide-hole-cutter-1-3-4-inch", "https://edmondsonsupply.com/products/klein-tools-31866-carbide-hole-cutter-1-3-4-inch")</f>
        <v/>
      </c>
      <c r="C4522" t="inlineStr">
        <is>
          <t>Klein Tools 31866 Carbide Hole Cutter, 1-3/4-Inch</t>
        </is>
      </c>
      <c r="D4522" t="inlineStr">
        <is>
          <t>Klein Tools 31872 Heavy Duty Hole Cutter Kit, Includes Carbide Hole Cutters and Pilot Bit in Rust-Proof Molded Plastic Case, 4-Piece</t>
        </is>
      </c>
      <c r="E4522" s="2">
        <f>HYPERLINK("https://www.amazon.com/Carbide-Cutter-Klein-Tools-31872/dp/B003CCR97A/ref=sr_1_3?keywords=Klein+Tools+31866+Carbide+Hole+Cutter%2C+1-3%2F4-Inch&amp;qid=1694735334&amp;sr=8-3", "https://www.amazon.com/Carbide-Cutter-Klein-Tools-31872/dp/B003CCR97A/ref=sr_1_3?keywords=Klein+Tools+31866+Carbide+Hole+Cutter%2C+1-3%2F4-Inch&amp;qid=1694735334&amp;sr=8-3")</f>
        <v/>
      </c>
      <c r="F4522" t="inlineStr">
        <is>
          <t>B003CCR97A</t>
        </is>
      </c>
      <c r="G4522">
        <f>_xlfn.IMAGE("https://edmondsonsupply.com/cdn/shop/products/31866_alt3.jpg?v=1587143976")</f>
        <v/>
      </c>
      <c r="H4522">
        <f>_xlfn.IMAGE("https://m.media-amazon.com/images/I/61oX7BDmtJL._AC_UL320_.jpg")</f>
        <v/>
      </c>
      <c r="K4522" t="inlineStr">
        <is>
          <t>49.99</t>
        </is>
      </c>
      <c r="L4522" t="n">
        <v>89.98999999999999</v>
      </c>
      <c r="M4522" s="1" t="inlineStr">
        <is>
          <t>80.02%</t>
        </is>
      </c>
      <c r="N4522" s="7" t="n">
        <v>-9.09</v>
      </c>
      <c r="O4522" t="n">
        <v>4.7</v>
      </c>
      <c r="P4522" t="n">
        <v>927</v>
      </c>
      <c r="R4522" t="inlineStr">
        <is>
          <t>InStock</t>
        </is>
      </c>
      <c r="S4522" t="inlineStr">
        <is>
          <t>70.84</t>
        </is>
      </c>
      <c r="T4522" t="inlineStr">
        <is>
          <t>4512241582180</t>
        </is>
      </c>
    </row>
    <row r="4523" ht="87" customHeight="1">
      <c r="A4523" s="2">
        <f>HYPERLINK("https://edmondsonsupply.com/collections/electricians-tools/products/klein-tools-56413-rechargeable-2-color-led-flashlight-with-holster", "https://edmondsonsupply.com/collections/electricians-tools/products/klein-tools-56413-rechargeable-2-color-led-flashlight-with-holster")</f>
        <v/>
      </c>
      <c r="B4523" s="2">
        <f>HYPERLINK("https://edmondsonsupply.com/products/klein-tools-56413-rechargeable-2-color-led-flashlight-with-holster", "https://edmondsonsupply.com/products/klein-tools-56413-rechargeable-2-color-led-flashlight-with-holster")</f>
        <v/>
      </c>
      <c r="C4523" t="inlineStr">
        <is>
          <t>Klein Tools 56413 Rechargeable 2-Color LED Flashlight with Holster</t>
        </is>
      </c>
      <c r="D4523" t="inlineStr">
        <is>
          <t>Klein Tools 56040 LED Rechargeable Flashlight &amp; 56413 Rechargeable 2-Color LED Flashlight, Holster, Spotlight, Floodlight, Red LED, 1000 Lumens, USB Cable, Camping, Hunting</t>
        </is>
      </c>
      <c r="E4523" s="2">
        <f>HYPERLINK("https://www.amazon.com/Klein-Tools-Rechargeable-Flashlight-Floodlight/dp/B0BXKC43LR/ref=sr_1_3?keywords=Klein+Tools+56413+Rechargeable+2-Color+LED+Flashlight+with+Holster&amp;qid=1694735115&amp;sr=8-3", "https://www.amazon.com/Klein-Tools-Rechargeable-Flashlight-Floodlight/dp/B0BXKC43LR/ref=sr_1_3?keywords=Klein+Tools+56413+Rechargeable+2-Color+LED+Flashlight+with+Holster&amp;qid=1694735115&amp;sr=8-3")</f>
        <v/>
      </c>
      <c r="F4523" t="inlineStr">
        <is>
          <t>B0BXKC43LR</t>
        </is>
      </c>
      <c r="G4523">
        <f>_xlfn.IMAGE("https://edmondsonsupply.com/cdn/shop/products/56413.jpg?v=1663954210")</f>
        <v/>
      </c>
      <c r="H4523">
        <f>_xlfn.IMAGE("https://m.media-amazon.com/images/I/51VA0R00+KL._AC_UL320_.jpg")</f>
        <v/>
      </c>
      <c r="K4523" t="inlineStr">
        <is>
          <t>49.97</t>
        </is>
      </c>
      <c r="L4523" t="n">
        <v>89.94</v>
      </c>
      <c r="M4523" s="1" t="inlineStr">
        <is>
          <t>79.99%</t>
        </is>
      </c>
      <c r="N4523" s="7" t="n">
        <v>-9.09</v>
      </c>
      <c r="O4523" t="n">
        <v>5</v>
      </c>
      <c r="P4523" t="n">
        <v>1</v>
      </c>
      <c r="R4523" t="inlineStr">
        <is>
          <t>InStock</t>
        </is>
      </c>
      <c r="S4523" t="inlineStr">
        <is>
          <t>72.0</t>
        </is>
      </c>
      <c r="T4523" t="inlineStr">
        <is>
          <t>7827366215896</t>
        </is>
      </c>
    </row>
    <row r="4524" ht="87" customHeight="1">
      <c r="A4524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524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524" t="inlineStr">
        <is>
          <t>Klein Tools ET310 Digital Circuit Breaker Finder with GFCI Outlet Tester</t>
        </is>
      </c>
      <c r="D4524" t="inlineStr">
        <is>
          <t>Klein Tools 69149P Electrical Test Kit with Digital Multimeter &amp; ET310 AC Circuit Breaker Finder, Electric Tester with Integrated GFCI Outlet Tester</t>
        </is>
      </c>
      <c r="E4524" s="2">
        <f>HYPERLINK("https://www.amazon.com/Klein-Tools-Electrical-Multimeter-Integrated/dp/B0BXK9J5KD/ref=sr_1_11?keywords=Klein+Tools+ET310+Digital+Circuit+Breaker+Finder+with+GFCI+Outlet+Tester&amp;qid=1694734974&amp;sr=8-11", "https://www.amazon.com/Klein-Tools-Electrical-Multimeter-Integrated/dp/B0BXK9J5KD/ref=sr_1_11?keywords=Klein+Tools+ET310+Digital+Circuit+Breaker+Finder+with+GFCI+Outlet+Tester&amp;qid=1694734974&amp;sr=8-11")</f>
        <v/>
      </c>
      <c r="F4524" t="inlineStr">
        <is>
          <t>B0BXK9J5KD</t>
        </is>
      </c>
      <c r="G4524">
        <f>_xlfn.IMAGE("https://edmondsonsupply.com/cdn/shop/products/et310_c.jpg?v=1646963918")</f>
        <v/>
      </c>
      <c r="H4524">
        <f>_xlfn.IMAGE("https://m.media-amazon.com/images/I/519RU+M3-AL._AC_UL320_.jpg")</f>
        <v/>
      </c>
      <c r="K4524" t="inlineStr">
        <is>
          <t>49.97</t>
        </is>
      </c>
      <c r="L4524" t="n">
        <v>89.94</v>
      </c>
      <c r="M4524" s="1" t="inlineStr">
        <is>
          <t>79.99%</t>
        </is>
      </c>
      <c r="N4524" s="7" t="n">
        <v>-9.1</v>
      </c>
      <c r="O4524" t="n">
        <v>5</v>
      </c>
      <c r="P4524" t="n">
        <v>3</v>
      </c>
      <c r="R4524" t="inlineStr">
        <is>
          <t>InStock</t>
        </is>
      </c>
      <c r="S4524" t="inlineStr">
        <is>
          <t>75.1</t>
        </is>
      </c>
      <c r="T4524" t="inlineStr">
        <is>
          <t>3389551280228</t>
        </is>
      </c>
    </row>
    <row r="4525" ht="87" customHeight="1">
      <c r="A4525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525" s="2">
        <f>HYPERLINK("https://edmondsonsupply.com/products/klein-tools-rt310-afci-gfci-outlet-tester", "https://edmondsonsupply.com/products/klein-tools-rt310-afci-gfci-outlet-tester")</f>
        <v/>
      </c>
      <c r="C4525" t="inlineStr">
        <is>
          <t>Klein Tools RT310 AFCI / GFCI Outlet Tester</t>
        </is>
      </c>
      <c r="D4525" t="inlineStr">
        <is>
          <t>Klein Tools ET310 AC Circuit Breaker Finder with Integrated GFCI Outlet Tester &amp; RT250 GFCI Receptacle Tester with LCD Display, for Standard 3-Wire 120V Electrical Outlets</t>
        </is>
      </c>
      <c r="E4525" s="2">
        <f>HYPERLINK("https://www.amazon.com/Klein-Tools-Integrated-Receptacle-Electrical/dp/B09P85276K/ref=sr_1_19?keywords=Klein+Tools+RT310+AFCI+%2F+GFCI+Outlet+Tester&amp;qid=1694734989&amp;sr=8-19", "https://www.amazon.com/Klein-Tools-Integrated-Receptacle-Electrical/dp/B09P85276K/ref=sr_1_19?keywords=Klein+Tools+RT310+AFCI+%2F+GFCI+Outlet+Tester&amp;qid=1694734989&amp;sr=8-19")</f>
        <v/>
      </c>
      <c r="F4525" t="inlineStr">
        <is>
          <t>B09P85276K</t>
        </is>
      </c>
      <c r="G4525">
        <f>_xlfn.IMAGE("https://edmondsonsupply.com/cdn/shop/products/rt310.jpg?v=1587148552")</f>
        <v/>
      </c>
      <c r="H4525">
        <f>_xlfn.IMAGE("https://m.media-amazon.com/images/I/51AwhghGlRL._AC_UL320_.jpg")</f>
        <v/>
      </c>
      <c r="K4525" t="inlineStr">
        <is>
          <t>39.97</t>
        </is>
      </c>
      <c r="L4525" t="n">
        <v>71.94</v>
      </c>
      <c r="M4525" s="1" t="inlineStr">
        <is>
          <t>79.98%</t>
        </is>
      </c>
      <c r="N4525" s="7" t="n">
        <v>-9.1</v>
      </c>
      <c r="O4525" t="n">
        <v>4.8</v>
      </c>
      <c r="P4525" t="n">
        <v>233</v>
      </c>
      <c r="R4525" t="inlineStr">
        <is>
          <t>InStock</t>
        </is>
      </c>
      <c r="S4525" t="inlineStr">
        <is>
          <t>57.9</t>
        </is>
      </c>
      <c r="T4525" t="inlineStr">
        <is>
          <t>3372527779940</t>
        </is>
      </c>
    </row>
    <row r="4526" hidden="1" ht="15.75" customHeight="1">
      <c r="A4526" s="2">
        <f>HYPERLINK("https://edmondsonsupply.com/collections/electricians-tools/products/klein-tools-jth6t10-t10-torx%C2%AE-hex-key-with-journeyman-t-handle-6-inch", "https://edmondsonsupply.com/collections/electricians-tools/products/klein-tools-jth6t10-t10-torx%C2%AE-hex-key-with-journeyman-t-handle-6-inch")</f>
        <v/>
      </c>
      <c r="B4526" s="2">
        <f>HYPERLINK("https://edmondsonsupply.com/products/klein-tools-jth6t10-t10-torx%c2%ae-hex-key-with-journeyman-t-handle-6-inch", "https://edmondsonsupply.com/products/klein-tools-jth6t10-t10-torx%c2%ae-hex-key-with-journeyman-t-handle-6-inch")</f>
        <v/>
      </c>
      <c r="C4526" t="inlineStr">
        <is>
          <t>Klein Tools JTH6T10 T10 Torx® Hex Key with Journeyman T-Handle, 6-Inch</t>
        </is>
      </c>
      <c r="D4526" t="inlineStr">
        <is>
          <t>Klein Tools JTH6E15BE 3/8-Inch Hex Key with Ball End and Journeyman T-Handle, 6-Inch</t>
        </is>
      </c>
      <c r="E4526" s="2">
        <f>HYPERLINK("https://www.amazon.com/Klein-Tools-JTH6E15BE-Journeyman-T-Handle/dp/B004QW56FC/ref=sr_1_7?keywords=Klein+Tools+JTH6T10+T10+Torx%C2%AE+Hex+Key+with+Journeyman+T-Handle%2C+6-Inch&amp;qid=1694735374&amp;sr=8-7", "https://www.amazon.com/Klein-Tools-JTH6E15BE-Journeyman-T-Handle/dp/B004QW56FC/ref=sr_1_7?keywords=Klein+Tools+JTH6T10+T10+Torx%C2%AE+Hex+Key+with+Journeyman+T-Handle%2C+6-Inch&amp;qid=1694735374&amp;sr=8-7")</f>
        <v/>
      </c>
      <c r="F4526" t="inlineStr">
        <is>
          <t>B004QW56FC</t>
        </is>
      </c>
      <c r="G4526">
        <f>_xludf.IMAGE("https://edmondsonsupply.com/cdn/shop/products/jth6t40_07247ac0-2841-478b-a043-bf58bb30dc51.jpg?v=1587149691")</f>
        <v/>
      </c>
      <c r="H4526">
        <f>_xludf.IMAGE("https://m.media-amazon.com/images/I/51f9vBFVXgL._AC_UL320_.jpg")</f>
        <v/>
      </c>
      <c r="K4526" t="inlineStr">
        <is>
          <t>5.99</t>
        </is>
      </c>
      <c r="L4526" t="n">
        <v>10.78</v>
      </c>
      <c r="M4526" s="1" t="inlineStr">
        <is>
          <t>79.97%</t>
        </is>
      </c>
      <c r="N4526" s="1" t="n">
        <v>-9.1</v>
      </c>
      <c r="O4526" t="n">
        <v>4.8</v>
      </c>
      <c r="P4526" t="n">
        <v>454</v>
      </c>
      <c r="R4526" t="inlineStr">
        <is>
          <t>InStock</t>
        </is>
      </c>
      <c r="S4526" t="inlineStr">
        <is>
          <t>9.1</t>
        </is>
      </c>
      <c r="T4526" t="inlineStr">
        <is>
          <t>4421660901476</t>
        </is>
      </c>
    </row>
    <row r="4527" hidden="1" ht="15.75" customHeight="1">
      <c r="A4527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4527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4527" t="inlineStr">
        <is>
          <t>Diablo Tools DMAMX1050 9/16 in. x 8 in. x 13 in. Rebar Demon™ SDS-Max 4-Cutter Full Carbide Head Hammer Drill Bit</t>
        </is>
      </c>
      <c r="D4527" t="inlineStr">
        <is>
          <t>Diablo DMAMX1180 7/8 in. x 16 in. x 21 in. Rebar Demon™ SDS-Max 4-Cutter Full Carbide Head Hammer Bit</t>
        </is>
      </c>
      <c r="E4527" s="2">
        <f>HYPERLINK("https://www.amazon.com/Diablo-SDS-Max-4-Cutter-Carbide-Hammer/dp/B089KWFF8B/ref=sr_1_18?keywords=Diablo+Tools+DMAMX1050+9%2F16+in.+x+8+in.+x+13+in.+Rebar+Demon%E2%84%A2+SDS-Max+4-Cutter+Full+Carbide+Head+Hammer+Drill+Bit&amp;qid=1694735208&amp;sr=8-18", "https://www.amazon.com/Diablo-SDS-Max-4-Cutter-Carbide-Hammer/dp/B089KWFF8B/ref=sr_1_18?keywords=Diablo+Tools+DMAMX1050+9%2F16+in.+x+8+in.+x+13+in.+Rebar+Demon%E2%84%A2+SDS-Max+4-Cutter+Full+Carbide+Head+Hammer+Drill+Bit&amp;qid=1694735208&amp;sr=8-18")</f>
        <v/>
      </c>
      <c r="F4527" t="inlineStr">
        <is>
          <t>B089KWFF8B</t>
        </is>
      </c>
      <c r="G4527">
        <f>_xludf.IMAGE("https://edmondsonsupply.com/cdn/shop/products/DMAMX1050_Main-Image20200701.png?v=1633031097")</f>
        <v/>
      </c>
      <c r="H4527">
        <f>_xludf.IMAGE("https://m.media-amazon.com/images/I/611fTcYRNFL._AC_UL320_.jpg")</f>
        <v/>
      </c>
      <c r="K4527" t="inlineStr">
        <is>
          <t>29.19</t>
        </is>
      </c>
      <c r="L4527" t="n">
        <v>52.51</v>
      </c>
      <c r="M4527" s="1" t="inlineStr">
        <is>
          <t>79.89%</t>
        </is>
      </c>
      <c r="N4527" s="1" t="n">
        <v>-9.1</v>
      </c>
      <c r="O4527" t="n">
        <v>3.5</v>
      </c>
      <c r="P4527" t="n">
        <v>3</v>
      </c>
      <c r="R4527" t="inlineStr">
        <is>
          <t>InStock</t>
        </is>
      </c>
      <c r="S4527" t="inlineStr">
        <is>
          <t>46.05</t>
        </is>
      </c>
      <c r="T4527" t="inlineStr">
        <is>
          <t>6842367738029</t>
        </is>
      </c>
    </row>
    <row r="4528" hidden="1" ht="15.75" customHeight="1">
      <c r="A4528" s="2">
        <f>HYPERLINK("https://edmondsonsupply.com/collections/electricians-tools/products/diablo-tools-dmamx1220", "https://edmondsonsupply.com/collections/electricians-tools/products/diablo-tools-dmamx1220")</f>
        <v/>
      </c>
      <c r="B4528" s="2">
        <f>HYPERLINK("https://edmondsonsupply.com/products/diablo-tools-dmamx1220", "https://edmondsonsupply.com/products/diablo-tools-dmamx1220")</f>
        <v/>
      </c>
      <c r="C4528" t="inlineStr">
        <is>
          <t>Diablo Tools DMAMX1220 1 in. x 16 in. x 21 in. Rebar Demon™ SDS-Max 4-Cutter Full Carbide Head Hammer Drill Bit</t>
        </is>
      </c>
      <c r="D4528" t="inlineStr">
        <is>
          <t>Diablo by Freud DMAMX1120 5/8 in. x 31 in. x 36 in. Rebar Demon SDS-Max 4-Cutter Full Carbide Head Hammer Bit</t>
        </is>
      </c>
      <c r="E4528" s="2">
        <f>HYPERLINK("https://www.amazon.com/Diablo-SDS-Max-4-Cutter-Carbide-Hammer/dp/B089LJFH3C/ref=sr_1_19?keywords=Diablo+Tools+DMAMX1220+1+in.+x+16+in.+x+21+in.+Rebar+Demon%E2%84%A2+SDS-Max+4-Cutter+Full+Carbide+Head+Hammer+Drill+Bit&amp;qid=1694735075&amp;sr=8-19", "https://www.amazon.com/Diablo-SDS-Max-4-Cutter-Carbide-Hammer/dp/B089LJFH3C/ref=sr_1_19?keywords=Diablo+Tools+DMAMX1220+1+in.+x+16+in.+x+21+in.+Rebar+Demon%E2%84%A2+SDS-Max+4-Cutter+Full+Carbide+Head+Hammer+Drill+Bit&amp;qid=1694735075&amp;sr=8-19")</f>
        <v/>
      </c>
      <c r="F4528" t="inlineStr">
        <is>
          <t>B089LJFH3C</t>
        </is>
      </c>
      <c r="G4528">
        <f>_xludf.IMAGE("https://edmondsonsupply.com/cdn/shop/products/immoyh7jjmbau4fzhuq6.webp?v=1670431066")</f>
        <v/>
      </c>
      <c r="H4528">
        <f>_xludf.IMAGE("https://m.media-amazon.com/images/I/615ffyRtaAL._AC_UL320_.jpg")</f>
        <v/>
      </c>
      <c r="K4528" t="inlineStr">
        <is>
          <t>45.69</t>
        </is>
      </c>
      <c r="L4528" t="n">
        <v>82.18000000000001</v>
      </c>
      <c r="M4528" s="1" t="inlineStr">
        <is>
          <t>79.86%</t>
        </is>
      </c>
      <c r="N4528" s="1" t="n">
        <v>-9.15</v>
      </c>
      <c r="O4528" t="n">
        <v>3.9</v>
      </c>
      <c r="P4528" t="n">
        <v>4</v>
      </c>
      <c r="R4528" t="inlineStr">
        <is>
          <t>InStock</t>
        </is>
      </c>
      <c r="S4528" t="inlineStr">
        <is>
          <t>70.58</t>
        </is>
      </c>
      <c r="T4528" t="inlineStr">
        <is>
          <t>7900195356888</t>
        </is>
      </c>
    </row>
    <row r="4529" hidden="1" ht="15.75" customHeight="1">
      <c r="A4529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4529" s="2">
        <f>HYPERLINK("https://edmondsonsupply.com/products/rack-a-tiers-11455-wire-dispenser", "https://edmondsonsupply.com/products/rack-a-tiers-11455-wire-dispenser")</f>
        <v/>
      </c>
      <c r="C4529" t="inlineStr">
        <is>
          <t>Rack-A-Tiers 11455 Wire Dispenser</t>
        </is>
      </c>
      <c r="D4529" t="inlineStr">
        <is>
          <t>Rack-A-Tiers The Big E-Z - Wire Dispenser Rack on Wheels (55632)</t>
        </is>
      </c>
      <c r="E4529" s="2">
        <f>HYPERLINK("https://www.amazon.com/Rack-Tiers-55632-Big-Z/dp/B0179VK4DK/ref=sr_1_7?keywords=Rack-A-Tiers+11455+Wire+Dispenser&amp;qid=1694734977&amp;sr=8-7", "https://www.amazon.com/Rack-Tiers-55632-Big-Z/dp/B0179VK4DK/ref=sr_1_7?keywords=Rack-A-Tiers+11455+Wire+Dispenser&amp;qid=1694734977&amp;sr=8-7")</f>
        <v/>
      </c>
      <c r="F4529" t="inlineStr">
        <is>
          <t>B0179VK4DK</t>
        </is>
      </c>
      <c r="G4529">
        <f>_xludf.IMAGE("https://edmondsonsupply.com/cdn/shop/products/11455.png?v=1587150070")</f>
        <v/>
      </c>
      <c r="H4529">
        <f>_xludf.IMAGE("https://m.media-amazon.com/images/I/51c16LYKqnL._AC_UL320_.jpg")</f>
        <v/>
      </c>
      <c r="K4529" t="inlineStr">
        <is>
          <t>105.39</t>
        </is>
      </c>
      <c r="L4529" t="n">
        <v>189.47</v>
      </c>
      <c r="M4529" s="1" t="inlineStr">
        <is>
          <t>79.78%</t>
        </is>
      </c>
      <c r="N4529" s="1" t="n">
        <v>-9.19</v>
      </c>
      <c r="O4529" t="n">
        <v>3.7</v>
      </c>
      <c r="P4529" t="n">
        <v>29</v>
      </c>
      <c r="R4529" t="inlineStr">
        <is>
          <t>InStock</t>
        </is>
      </c>
      <c r="S4529" t="inlineStr">
        <is>
          <t>112.99</t>
        </is>
      </c>
      <c r="T4529" t="inlineStr">
        <is>
          <t>3259201126500</t>
        </is>
      </c>
    </row>
    <row r="4530" ht="87" customHeight="1">
      <c r="A4530" s="2">
        <f>HYPERLINK("https://edmondsonsupply.com/collections/electricians-tools/products/klein-tools-85191-conduit-fitting-and-reaming-screwdriver", "https://edmondsonsupply.com/collections/electricians-tools/products/klein-tools-85191-conduit-fitting-and-reaming-screwdriver")</f>
        <v/>
      </c>
      <c r="B4530" s="2">
        <f>HYPERLINK("https://edmondsonsupply.com/products/klein-tools-85191-conduit-fitting-and-reaming-screwdriver", "https://edmondsonsupply.com/products/klein-tools-85191-conduit-fitting-and-reaming-screwdriver")</f>
        <v/>
      </c>
      <c r="C4530" t="inlineStr">
        <is>
          <t>Klein Tools 85191 Conduit-Fitting and Reaming Screwdriver</t>
        </is>
      </c>
      <c r="D4530" t="inlineStr">
        <is>
          <t>Klein Tools 85191 Screwdriver/Conduit Reamer, Conduit Fitting and Reaming Screwdriver &amp; Klein Tools 935DAG Digital Electronic Level and Angle Gauge, Measures 0-90 and 0-180 Degree Ranges</t>
        </is>
      </c>
      <c r="E4530" s="2">
        <f>HYPERLINK("https://www.amazon.com/Klein-Tools-Screwdriver-Electronic-Measures/dp/B0BM3HH1C7/ref=sr_1_2?keywords=Klein+Tools+85191+Conduit-Fitting+and+Reaming+Screwdriver&amp;qid=1694735413&amp;sr=8-2", "https://www.amazon.com/Klein-Tools-Screwdriver-Electronic-Measures/dp/B0BM3HH1C7/ref=sr_1_2?keywords=Klein+Tools+85191+Conduit-Fitting+and+Reaming+Screwdriver&amp;qid=1694735413&amp;sr=8-2")</f>
        <v/>
      </c>
      <c r="F4530" t="inlineStr">
        <is>
          <t>B0BM3HH1C7</t>
        </is>
      </c>
      <c r="G4530">
        <f>_xlfn.IMAGE("https://edmondsonsupply.com/cdn/shop/products/85191.jpg?v=1587147694")</f>
        <v/>
      </c>
      <c r="H4530">
        <f>_xlfn.IMAGE("https://m.media-amazon.com/images/I/51LnwkPnKdL._AC_UL320_.jpg")</f>
        <v/>
      </c>
      <c r="K4530" t="inlineStr">
        <is>
          <t>34.97</t>
        </is>
      </c>
      <c r="L4530" t="n">
        <v>62.83</v>
      </c>
      <c r="M4530" s="1" t="inlineStr">
        <is>
          <t>79.67%</t>
        </is>
      </c>
      <c r="N4530" s="7" t="n">
        <v>-9.19</v>
      </c>
      <c r="O4530" t="n">
        <v>5</v>
      </c>
      <c r="P4530" t="n">
        <v>1</v>
      </c>
      <c r="R4530" t="inlineStr">
        <is>
          <t>InStock</t>
        </is>
      </c>
      <c r="S4530" t="inlineStr">
        <is>
          <t>51.04</t>
        </is>
      </c>
      <c r="T4530" t="inlineStr">
        <is>
          <t>4391711277156</t>
        </is>
      </c>
    </row>
    <row r="4531" ht="87" customHeight="1">
      <c r="A4531" s="2">
        <f>HYPERLINK("https://edmondsonsupply.com/collections/electricians-tools/products/klein-tools-85191-conduit-fitting-and-reaming-screwdriver", "https://edmondsonsupply.com/collections/electricians-tools/products/klein-tools-85191-conduit-fitting-and-reaming-screwdriver")</f>
        <v/>
      </c>
      <c r="B4531" s="2">
        <f>HYPERLINK("https://edmondsonsupply.com/products/klein-tools-85191-conduit-fitting-and-reaming-screwdriver", "https://edmondsonsupply.com/products/klein-tools-85191-conduit-fitting-and-reaming-screwdriver")</f>
        <v/>
      </c>
      <c r="C4531" t="inlineStr">
        <is>
          <t>Klein Tools 85191 Conduit-Fitting and Reaming Screwdriver</t>
        </is>
      </c>
      <c r="D4531" t="inlineStr">
        <is>
          <t>Klein Tools 935RB Level, 8-Inch Torpedo Level &amp; 85191 Screwdriver/Conduit Reamer, Conduit Fitting and Reaming Screwdriver for 1/2-Inch, 3/4-Inch, and 1-Inch Thin-Wall Conduit</t>
        </is>
      </c>
      <c r="E4531" s="2">
        <f>HYPERLINK("https://www.amazon.com/Klein-Tools-Torpedo-Screwdriver-Thin-Wall/dp/B0BD3X2BH6/ref=sr_1_4?keywords=Klein+Tools+85191+Conduit-Fitting+and+Reaming+Screwdriver&amp;qid=1694735413&amp;sr=8-4", "https://www.amazon.com/Klein-Tools-Torpedo-Screwdriver-Thin-Wall/dp/B0BD3X2BH6/ref=sr_1_4?keywords=Klein+Tools+85191+Conduit-Fitting+and+Reaming+Screwdriver&amp;qid=1694735413&amp;sr=8-4")</f>
        <v/>
      </c>
      <c r="F4531" t="inlineStr">
        <is>
          <t>B0BD3X2BH6</t>
        </is>
      </c>
      <c r="G4531">
        <f>_xlfn.IMAGE("https://edmondsonsupply.com/cdn/shop/products/85191.jpg?v=1587147694")</f>
        <v/>
      </c>
      <c r="H4531">
        <f>_xlfn.IMAGE("https://m.media-amazon.com/images/I/41kDdzg-M0L._AC_UL320_.jpg")</f>
        <v/>
      </c>
      <c r="K4531" t="inlineStr">
        <is>
          <t>34.97</t>
        </is>
      </c>
      <c r="L4531" t="n">
        <v>62.83</v>
      </c>
      <c r="M4531" s="1" t="inlineStr">
        <is>
          <t>79.67%</t>
        </is>
      </c>
      <c r="N4531" s="7" t="n">
        <v>-9.65</v>
      </c>
      <c r="O4531" t="n">
        <v>5</v>
      </c>
      <c r="P4531" t="n">
        <v>9</v>
      </c>
      <c r="R4531" t="inlineStr">
        <is>
          <t>InStock</t>
        </is>
      </c>
      <c r="S4531" t="inlineStr">
        <is>
          <t>51.04</t>
        </is>
      </c>
      <c r="T4531" t="inlineStr">
        <is>
          <t>4391711277156</t>
        </is>
      </c>
    </row>
    <row r="4532" hidden="1" ht="15.75" customHeight="1">
      <c r="A4532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4532" s="2">
        <f>HYPERLINK("https://edmondsonsupply.com/products/diablo-tools-dsp2130-p2-1-in-x-6-in-spade-bit", "https://edmondsonsupply.com/products/diablo-tools-dsp2130-p2-1-in-x-6-in-spade-bit")</f>
        <v/>
      </c>
      <c r="C4532" t="inlineStr">
        <is>
          <t>Diablo Tools DSP2130-P2 1 in. x 6 in. Spade Bit</t>
        </is>
      </c>
      <c r="D4532" t="inlineStr">
        <is>
          <t>Irwin Tools SPEEDBOR Spade Wood Drill Bit 1 X 16 (88716)</t>
        </is>
      </c>
      <c r="E4532" s="2">
        <f>HYPERLINK("https://www.amazon.com/Speedbor-88716-2000-Shank-Boring/dp/B00004YOAM/ref=sr_1_22?keywords=Diablo+Tools+DSP2130-P2+1+in.+x+6+in.+Spade+Bit&amp;qid=1694735066&amp;sr=8-22", "https://www.amazon.com/Speedbor-88716-2000-Shank-Boring/dp/B00004YOAM/ref=sr_1_22?keywords=Diablo+Tools+DSP2130-P2+1+in.+x+6+in.+Spade+Bit&amp;qid=1694735066&amp;sr=8-22")</f>
        <v/>
      </c>
      <c r="F4532" t="inlineStr">
        <is>
          <t>B00004YOAM</t>
        </is>
      </c>
      <c r="G4532">
        <f>_xludf.IMAGE("https://edmondsonsupply.com/cdn/shop/products/peyjwqlntvnioikkr5be.webp?v=1670515689")</f>
        <v/>
      </c>
      <c r="H4532">
        <f>_xludf.IMAGE("https://m.media-amazon.com/images/I/31b6SGIwAyL._AC_UL320_.jpg")</f>
        <v/>
      </c>
      <c r="K4532" t="inlineStr">
        <is>
          <t>6.39</t>
        </is>
      </c>
      <c r="L4532" t="n">
        <v>11.48</v>
      </c>
      <c r="M4532" s="1" t="inlineStr">
        <is>
          <t>79.66%</t>
        </is>
      </c>
      <c r="N4532" s="1" t="n">
        <v>-9.789999999999999</v>
      </c>
      <c r="O4532" t="n">
        <v>4.5</v>
      </c>
      <c r="P4532" t="n">
        <v>780</v>
      </c>
      <c r="R4532" t="inlineStr">
        <is>
          <t>InStock</t>
        </is>
      </c>
      <c r="S4532" t="inlineStr">
        <is>
          <t>undefined</t>
        </is>
      </c>
      <c r="T4532" t="inlineStr">
        <is>
          <t>7901272047832</t>
        </is>
      </c>
    </row>
    <row r="4533" ht="87" customHeight="1">
      <c r="A4533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533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533" t="inlineStr">
        <is>
          <t>Klein Tools ET310 Digital Circuit Breaker Finder with GFCI Outlet Tester</t>
        </is>
      </c>
      <c r="D4533" t="inlineStr">
        <is>
          <t>Klein Tools ET310 AC Circuit Breaker Finder, Electric Tester With Integrated GFCI Outlet Tester &amp; RT310 Outlet Tester, AFCI and GFCI Receptacle Tester for North American AC Electrical Outlets</t>
        </is>
      </c>
      <c r="E4533" s="2">
        <f>HYPERLINK("https://www.amazon.com/Klein-Tools-American-Electrical-Receptacles/dp/B08MFYB28G/ref=sr_1_15?keywords=Klein+Tools+ET310+Digital+Circuit+Breaker+Finder+with+GFCI+Outlet+Tester&amp;qid=1694734974&amp;sr=8-15", "https://www.amazon.com/Klein-Tools-American-Electrical-Receptacles/dp/B08MFYB28G/ref=sr_1_15?keywords=Klein+Tools+ET310+Digital+Circuit+Breaker+Finder+with+GFCI+Outlet+Tester&amp;qid=1694734974&amp;sr=8-15")</f>
        <v/>
      </c>
      <c r="F4533" t="inlineStr">
        <is>
          <t>B08MFYB28G</t>
        </is>
      </c>
      <c r="G4533">
        <f>_xlfn.IMAGE("https://edmondsonsupply.com/cdn/shop/products/et310_c.jpg?v=1646963918")</f>
        <v/>
      </c>
      <c r="H4533">
        <f>_xlfn.IMAGE("https://m.media-amazon.com/images/I/5196xTz0FYL._AC_UL320_.jpg")</f>
        <v/>
      </c>
      <c r="K4533" t="inlineStr">
        <is>
          <t>49.97</t>
        </is>
      </c>
      <c r="L4533" t="n">
        <v>89.69</v>
      </c>
      <c r="M4533" s="1" t="inlineStr">
        <is>
          <t>79.49%</t>
        </is>
      </c>
      <c r="N4533" s="7" t="n">
        <v>-9.83</v>
      </c>
      <c r="O4533" t="n">
        <v>4.5</v>
      </c>
      <c r="P4533" t="n">
        <v>48</v>
      </c>
      <c r="R4533" t="inlineStr">
        <is>
          <t>InStock</t>
        </is>
      </c>
      <c r="S4533" t="inlineStr">
        <is>
          <t>75.1</t>
        </is>
      </c>
      <c r="T4533" t="inlineStr">
        <is>
          <t>3389551280228</t>
        </is>
      </c>
    </row>
    <row r="4534" hidden="1" ht="15.75" customHeight="1">
      <c r="A4534" s="2">
        <f>HYPERLINK("https://edmondsonsupply.com/collections/electricians-tools/products/klein-tools-jth4e13-1-4-inch-hex-key-journeyman%E2%84%A2-t-handle-4-inch", "https://edmondsonsupply.com/collections/electricians-tools/products/klein-tools-jth4e13-1-4-inch-hex-key-journeyman%E2%84%A2-t-handle-4-inch")</f>
        <v/>
      </c>
      <c r="B4534" s="2">
        <f>HYPERLINK("https://edmondsonsupply.com/products/klein-tools-jth4e13-1-4-inch-hex-key-journeyman%e2%84%a2-t-handle-4-inch", "https://edmondsonsupply.com/products/klein-tools-jth4e13-1-4-inch-hex-key-journeyman%e2%84%a2-t-handle-4-inch")</f>
        <v/>
      </c>
      <c r="C4534" t="inlineStr">
        <is>
          <t>Klein Tools JTH4E13 1/4-Inch Hex Key, Journeyman™ T-Handle, 4-Inch</t>
        </is>
      </c>
      <c r="D4534" t="inlineStr">
        <is>
          <t>Klein Tools 70575 Grip-It Hex Key Set, 9-Key, 3-3/4-Inch Handle, SAE Sizes</t>
        </is>
      </c>
      <c r="E4534" s="2">
        <f>HYPERLINK("https://www.amazon.com/Grip-Square-Klein-Tools-70575/dp/B0002RI8PK/ref=sr_1_21?keywords=Klein+Tools+JTH4E13+1%2F4-Inch+Hex+Key%2C+Journeyman%E2%84%A2+T-Handle%2C+4-Inch&amp;qid=1694735134&amp;sr=8-21", "https://www.amazon.com/Grip-Square-Klein-Tools-70575/dp/B0002RI8PK/ref=sr_1_21?keywords=Klein+Tools+JTH4E13+1%2F4-Inch+Hex+Key%2C+Journeyman%E2%84%A2+T-Handle%2C+4-Inch&amp;qid=1694735134&amp;sr=8-21")</f>
        <v/>
      </c>
      <c r="F4534" t="inlineStr">
        <is>
          <t>B0002RI8PK</t>
        </is>
      </c>
      <c r="G4534">
        <f>_xludf.IMAGE("https://edmondsonsupply.com/cdn/shop/products/jth4e13.jpg?v=1660919816")</f>
        <v/>
      </c>
      <c r="H4534">
        <f>_xludf.IMAGE("https://m.media-amazon.com/images/I/51C7aw6OxTL._AC_UL320_.jpg")</f>
        <v/>
      </c>
      <c r="K4534" t="inlineStr">
        <is>
          <t>5.99</t>
        </is>
      </c>
      <c r="L4534" t="n">
        <v>10.74</v>
      </c>
      <c r="M4534" s="1" t="inlineStr">
        <is>
          <t>79.30%</t>
        </is>
      </c>
      <c r="N4534" s="1" t="n">
        <v>-9.84</v>
      </c>
      <c r="O4534" t="n">
        <v>4.4</v>
      </c>
      <c r="P4534" t="n">
        <v>65</v>
      </c>
      <c r="R4534" t="inlineStr">
        <is>
          <t>InStock</t>
        </is>
      </c>
      <c r="S4534" t="inlineStr">
        <is>
          <t>9.08</t>
        </is>
      </c>
      <c r="T4534" t="inlineStr">
        <is>
          <t>7786113728728</t>
        </is>
      </c>
    </row>
    <row r="4535" hidden="1" ht="15.75" customHeight="1">
      <c r="A4535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4535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4535" t="inlineStr">
        <is>
          <t>Klein Tools JTH9E11 3/16-Inch Hex Key with Journeyman T-Handle, 9-Inch</t>
        </is>
      </c>
      <c r="D4535" t="inlineStr">
        <is>
          <t>Klein Tools 70575 Grip-It Hex Key Set, 9-Key, 3-3/4-Inch Handle, SAE Sizes</t>
        </is>
      </c>
      <c r="E4535" s="2">
        <f>HYPERLINK("https://www.amazon.com/Grip-Square-Klein-Tools-70575/dp/B0002RI8PK/ref=sr_1_33?keywords=Klein+Tools+JTH9E11+3%2F16-Inch+Hex+Key+with+Journeyman+T-Handle%2C+9-Inch&amp;qid=1694735351&amp;sr=8-33", "https://www.amazon.com/Grip-Square-Klein-Tools-70575/dp/B0002RI8PK/ref=sr_1_33?keywords=Klein+Tools+JTH9E11+3%2F16-Inch+Hex+Key+with+Journeyman+T-Handle%2C+9-Inch&amp;qid=1694735351&amp;sr=8-33")</f>
        <v/>
      </c>
      <c r="F4535" t="inlineStr">
        <is>
          <t>B0002RI8PK</t>
        </is>
      </c>
      <c r="G4535">
        <f>_xludf.IMAGE("https://edmondsonsupply.com/cdn/shop/products/jth9e12_5173eed3-120e-418c-a1cc-489b6dba3958.jpg?v=1587147554")</f>
        <v/>
      </c>
      <c r="H4535">
        <f>_xludf.IMAGE("https://m.media-amazon.com/images/I/51C7aw6OxTL._AC_UL320_.jpg")</f>
        <v/>
      </c>
      <c r="K4535" t="inlineStr">
        <is>
          <t>5.99</t>
        </is>
      </c>
      <c r="L4535" t="n">
        <v>10.74</v>
      </c>
      <c r="M4535" s="1" t="inlineStr">
        <is>
          <t>79.30%</t>
        </is>
      </c>
      <c r="N4535" s="1" t="n">
        <v>-9.91</v>
      </c>
      <c r="O4535" t="n">
        <v>4.4</v>
      </c>
      <c r="P4535" t="n">
        <v>65</v>
      </c>
      <c r="R4535" t="inlineStr">
        <is>
          <t>InStock</t>
        </is>
      </c>
      <c r="S4535" t="inlineStr">
        <is>
          <t>9.06</t>
        </is>
      </c>
      <c r="T4535" t="inlineStr">
        <is>
          <t>4455227523172</t>
        </is>
      </c>
    </row>
    <row r="4536" hidden="1" ht="15.75" customHeight="1">
      <c r="A4536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536" s="2">
        <f>HYPERLINK("https://edmondsonsupply.com/products/klein-tools-608-6-1-8-inch-cabinet-tip-mini-screwdriver-6-inch", "https://edmondsonsupply.com/products/klein-tools-608-6-1-8-inch-cabinet-tip-mini-screwdriver-6-inch")</f>
        <v/>
      </c>
      <c r="C4536" t="inlineStr">
        <is>
          <t>Klein Tools 608-6 1/8-Inch Cabinet Tip Mini Screwdriver, 6-Inch</t>
        </is>
      </c>
      <c r="D4536" t="inlineStr">
        <is>
          <t>Klein Tools 614-4 Flat Screwdriver, Precision Electronics Screwdriver, 1/8-Inch Cabinet Tip, 4-Inch Shank</t>
        </is>
      </c>
      <c r="E4536" s="2">
        <f>HYPERLINK("https://www.amazon.com/Klein-Tools-614-4-Screwdriver-Electronics/dp/B00B9HICKS/ref=sr_1_7?keywords=Klein+Tools+608-6+1%2F8-Inch+Cabinet+Tip+Mini+Screwdriver%2C+6-Inch&amp;qid=1694735278&amp;sr=8-7", "https://www.amazon.com/Klein-Tools-614-4-Screwdriver-Electronics/dp/B00B9HICKS/ref=sr_1_7?keywords=Klein+Tools+608-6+1%2F8-Inch+Cabinet+Tip+Mini+Screwdriver%2C+6-Inch&amp;qid=1694735278&amp;sr=8-7")</f>
        <v/>
      </c>
      <c r="F4536" t="inlineStr">
        <is>
          <t>B00B9HICKS</t>
        </is>
      </c>
      <c r="G4536">
        <f>_xludf.IMAGE("https://edmondsonsupply.com/cdn/shop/products/608-6.jpg?v=1633030486")</f>
        <v/>
      </c>
      <c r="H4536">
        <f>_xludf.IMAGE("https://m.media-amazon.com/images/I/41hS1hfEVDS._AC_UL320_.jpg")</f>
        <v/>
      </c>
      <c r="K4536" t="inlineStr">
        <is>
          <t>7.99</t>
        </is>
      </c>
      <c r="L4536" t="n">
        <v>14.32</v>
      </c>
      <c r="M4536" s="1" t="inlineStr">
        <is>
          <t>79.22%</t>
        </is>
      </c>
      <c r="N4536" s="1" t="n">
        <v>-9.93</v>
      </c>
      <c r="O4536" t="n">
        <v>4.8</v>
      </c>
      <c r="P4536" t="n">
        <v>999</v>
      </c>
      <c r="R4536" t="inlineStr">
        <is>
          <t>InStock</t>
        </is>
      </c>
      <c r="S4536" t="inlineStr">
        <is>
          <t>12.1</t>
        </is>
      </c>
      <c r="T4536" t="inlineStr">
        <is>
          <t>5371087683752</t>
        </is>
      </c>
    </row>
    <row r="4537" ht="87" customHeight="1">
      <c r="A4537" s="2">
        <f>HYPERLINK("https://edmondsonsupply.com/collections/electricians-tools/products/komelon-7325-25-x-1-maggrip%E2%84%A2-speedmark%E2%84%A2-magnetic-tape-measure", "https://edmondsonsupply.com/collections/electricians-tools/products/komelon-7325-25-x-1-maggrip%E2%84%A2-speedmark%E2%84%A2-magnetic-tape-measure")</f>
        <v/>
      </c>
      <c r="B4537" s="2">
        <f>HYPERLINK("https://edmondsonsupply.com/products/komelon-7325-25-x-1-maggrip%e2%84%a2-speedmark%e2%84%a2-magnetic-tape-measure", "https://edmondsonsupply.com/products/komelon-7325-25-x-1-maggrip%e2%84%a2-speedmark%e2%84%a2-magnetic-tape-measure")</f>
        <v/>
      </c>
      <c r="C4537" t="inlineStr">
        <is>
          <t>Komelon 7325 25' X 1" MagGrip™ SpeedMark™, Magnetic Tape Measure</t>
        </is>
      </c>
      <c r="D4537" t="inlineStr">
        <is>
          <t>Komelon 7425; 25' x 1" Magnetic MagGrip Tape Measure, Black/Yellow</t>
        </is>
      </c>
      <c r="E4537" s="2">
        <f>HYPERLINK("https://www.amazon.com/Komelon-7425-MagGrip-25-FootMeasuring-Magnetic/dp/B0000DD5GR/ref=sr_1_2?keywords=Komelon+7325+25%27+X+1%22+MagGrip%E2%84%A2+SpeedMark%E2%84%A2%2C+Magnetic+Tape+Measure&amp;qid=1694735220&amp;sr=8-2", "https://www.amazon.com/Komelon-7425-MagGrip-25-FootMeasuring-Magnetic/dp/B0000DD5GR/ref=sr_1_2?keywords=Komelon+7325+25%27+X+1%22+MagGrip%E2%84%A2+SpeedMark%E2%84%A2%2C+Magnetic+Tape+Measure&amp;qid=1694735220&amp;sr=8-2")</f>
        <v/>
      </c>
      <c r="F4537" t="inlineStr">
        <is>
          <t>B0000DD5GR</t>
        </is>
      </c>
      <c r="G4537">
        <f>_xlfn.IMAGE("https://edmondsonsupply.com/cdn/shop/products/7325_angleExtended.jpg?v=1633030981")</f>
        <v/>
      </c>
      <c r="H4537">
        <f>_xlfn.IMAGE("https://m.media-amazon.com/images/I/71-NeT37yWL._AC_UL320_.jpg")</f>
        <v/>
      </c>
      <c r="K4537" t="inlineStr">
        <is>
          <t>13.99</t>
        </is>
      </c>
      <c r="L4537" t="n">
        <v>25.04</v>
      </c>
      <c r="M4537" s="1" t="inlineStr">
        <is>
          <t>78.98%</t>
        </is>
      </c>
      <c r="N4537" s="7" t="n">
        <v>-9.94</v>
      </c>
      <c r="O4537" t="n">
        <v>4.5</v>
      </c>
      <c r="P4537" t="n">
        <v>123</v>
      </c>
      <c r="R4537" t="inlineStr">
        <is>
          <t>InStock</t>
        </is>
      </c>
      <c r="S4537" t="inlineStr">
        <is>
          <t>undefined</t>
        </is>
      </c>
      <c r="T4537" t="inlineStr">
        <is>
          <t>6652039692461</t>
        </is>
      </c>
    </row>
    <row r="4538" ht="87" customHeight="1">
      <c r="A4538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4538" s="2">
        <f>HYPERLINK("https://edmondsonsupply.com/products/diablo-tools-d0660x-6-1-2-in-x-60-tooth-ultra-finish-saw-blade", "https://edmondsonsupply.com/products/diablo-tools-d0660x-6-1-2-in-x-60-tooth-ultra-finish-saw-blade")</f>
        <v/>
      </c>
      <c r="C4538" t="inlineStr">
        <is>
          <t>Diablo Tools D0660X 6-1/2 in. x 60 Tooth Ultra Finish Saw Blade</t>
        </is>
      </c>
      <c r="D4538" t="inlineStr">
        <is>
          <t>Freud D0760A Diablo 7-1/4" x 60-Tooth Ultra Fine Finishing Circular Saw Blade With 5/8" Arbor (2 Pack)</t>
        </is>
      </c>
      <c r="E4538" s="2">
        <f>HYPERLINK("https://www.amazon.com/D0760A-Diablo-60-Tooth-Finishing-Circular/dp/B0763T4PLZ/ref=sr_1_1?keywords=Diablo+Tools+D0660X+6-1%2F2+in.+x+60+Tooth+Ultra+Finish+Saw+Blade&amp;qid=1694735022&amp;sr=8-1", "https://www.amazon.com/D0760A-Diablo-60-Tooth-Finishing-Circular/dp/B0763T4PLZ/ref=sr_1_1?keywords=Diablo+Tools+D0660X+6-1%2F2+in.+x+60+Tooth+Ultra+Finish+Saw+Blade&amp;qid=1694735022&amp;sr=8-1")</f>
        <v/>
      </c>
      <c r="F4538" t="inlineStr">
        <is>
          <t>B0763T4PLZ</t>
        </is>
      </c>
      <c r="G4538">
        <f>_xlfn.IMAGE("https://edmondsonsupply.com/cdn/shop/products/ma8p1gcmhxpwwhymtiim.webp?v=1678983644")</f>
        <v/>
      </c>
      <c r="H4538">
        <f>_xlfn.IMAGE("https://m.media-amazon.com/images/I/61WSwNmsWWL._AC_UL320_.jpg")</f>
        <v/>
      </c>
      <c r="K4538" t="inlineStr">
        <is>
          <t>22.97</t>
        </is>
      </c>
      <c r="L4538" t="n">
        <v>41.07</v>
      </c>
      <c r="M4538" s="1" t="inlineStr">
        <is>
          <t>78.80%</t>
        </is>
      </c>
      <c r="N4538" s="7" t="n">
        <v>-9.94</v>
      </c>
      <c r="O4538" t="n">
        <v>4.7</v>
      </c>
      <c r="P4538" t="n">
        <v>16</v>
      </c>
      <c r="R4538" t="inlineStr">
        <is>
          <t>InStock</t>
        </is>
      </c>
      <c r="S4538" t="inlineStr">
        <is>
          <t>33.88</t>
        </is>
      </c>
      <c r="T4538" t="inlineStr">
        <is>
          <t>7962739507416</t>
        </is>
      </c>
    </row>
    <row r="4539" hidden="1" ht="15.75" customHeight="1">
      <c r="A4539" s="2">
        <f>HYPERLINK("https://edmondsonsupply.com/collections/electricians-tools/products/gorilla-glue-107450-original-gorilla-glue-20z-bottle", "https://edmondsonsupply.com/collections/electricians-tools/products/gorilla-glue-107450-original-gorilla-glue-20z-bottle")</f>
        <v/>
      </c>
      <c r="B4539" s="2">
        <f>HYPERLINK("https://edmondsonsupply.com/products/gorilla-glue-107450-original-gorilla-glue-20z-bottle", "https://edmondsonsupply.com/products/gorilla-glue-107450-original-gorilla-glue-20z-bottle")</f>
        <v/>
      </c>
      <c r="C4539" t="inlineStr">
        <is>
          <t>Gorilla Glue 107450 Original Gorilla Glue, 2oz. bottle</t>
        </is>
      </c>
      <c r="D4539" t="inlineStr">
        <is>
          <t>Gorilla Original Gorilla Glue, Waterproof Polyurethane Glue, 8 Ounce Bottle, Brown, (Pack of 1)</t>
        </is>
      </c>
      <c r="E4539" s="2">
        <f>HYPERLINK("https://www.amazon.com/Gorilla-Original-Waterproof-Polyurethane-Bottle/dp/B0000223UV/ref=sr_1_1?keywords=Gorilla+Glue+107450+Original+Gorilla+Glue%2C+2oz.+bottle&amp;qid=1694735029&amp;sr=8-1", "https://www.amazon.com/Gorilla-Original-Waterproof-Polyurethane-Bottle/dp/B0000223UV/ref=sr_1_1?keywords=Gorilla+Glue+107450+Original+Gorilla+Glue%2C+2oz.+bottle&amp;qid=1694735029&amp;sr=8-1")</f>
        <v/>
      </c>
      <c r="F4539" t="inlineStr">
        <is>
          <t>B0000223UV</t>
        </is>
      </c>
      <c r="G4539">
        <f>_xludf.IMAGE("https://edmondsonsupply.com/cdn/shop/products/original_gorilla_glue_white_bg_v2-450x450-c-default.webp?v=1678801122")</f>
        <v/>
      </c>
      <c r="H4539">
        <f>_xludf.IMAGE("https://m.media-amazon.com/images/I/71wBq4K7xML._AC_UY218_.jpg")</f>
        <v/>
      </c>
      <c r="K4539" t="inlineStr">
        <is>
          <t>6.98</t>
        </is>
      </c>
      <c r="L4539" t="n">
        <v>12.48</v>
      </c>
      <c r="M4539" s="1" t="inlineStr">
        <is>
          <t>78.80%</t>
        </is>
      </c>
      <c r="N4539" s="1" t="n">
        <v>-9.970000000000001</v>
      </c>
      <c r="O4539" t="n">
        <v>4.6</v>
      </c>
      <c r="P4539" t="n">
        <v>10624</v>
      </c>
      <c r="R4539" t="inlineStr">
        <is>
          <t>InStock</t>
        </is>
      </c>
      <c r="S4539" t="inlineStr">
        <is>
          <t>undefined</t>
        </is>
      </c>
      <c r="T4539" t="inlineStr">
        <is>
          <t>7961253314776</t>
        </is>
      </c>
    </row>
    <row r="4540" ht="87" customHeight="1">
      <c r="A4540" s="2">
        <f>HYPERLINK("https://edmondsonsupply.com/collections/electricians-tools/products/diablo-tools-dmapl2410-5-8-in-x-10-in-x-12-in-sds-plus-2-cutter", "https://edmondsonsupply.com/collections/electricians-tools/products/diablo-tools-dmapl2410-5-8-in-x-10-in-x-12-in-sds-plus-2-cutter")</f>
        <v/>
      </c>
      <c r="B4540" s="2">
        <f>HYPERLINK("https://edmondsonsupply.com/products/diablo-tools-dmapl2410-5-8-in-x-10-in-x-12-in-sds-plus-2-cutter", "https://edmondsonsupply.com/products/diablo-tools-dmapl2410-5-8-in-x-10-in-x-12-in-sds-plus-2-cutter")</f>
        <v/>
      </c>
      <c r="C4540" t="inlineStr">
        <is>
          <t>Diablo Tools DMAPL2410 5/8 in. x 10 in. x 12 in. SDS‑Plus 2‑Cutter</t>
        </is>
      </c>
      <c r="D4540" t="inlineStr">
        <is>
          <t>Diablo DMAPLRC1040 5/8 in. x 12 in. SDS-Plus Rebar Cutter</t>
        </is>
      </c>
      <c r="E4540" s="2">
        <f>HYPERLINK("https://www.amazon.com/Diablo-12-SDS-Plus-Rebar-Cutter/dp/B089KWM7HZ/ref=sr_1_13?keywords=Diablo+Tools+DMAPL2410+5%2F8+in.+x+10+in.+x+12+in.+SDS%E2%80%91Plus+2%E2%80%91Cutter&amp;qid=1694735285&amp;sr=8-13", "https://www.amazon.com/Diablo-12-SDS-Plus-Rebar-Cutter/dp/B089KWM7HZ/ref=sr_1_13?keywords=Diablo+Tools+DMAPL2410+5%2F8+in.+x+10+in.+x+12+in.+SDS%E2%80%91Plus+2%E2%80%91Cutter&amp;qid=1694735285&amp;sr=8-13")</f>
        <v/>
      </c>
      <c r="F4540" t="inlineStr">
        <is>
          <t>B089KWM7HZ</t>
        </is>
      </c>
      <c r="G4540">
        <f>_xlfn.IMAGE("https://edmondsonsupply.com/cdn/shop/products/DMAPL2410_Main-Image20200331.png?v=1633030462")</f>
        <v/>
      </c>
      <c r="H4540">
        <f>_xlfn.IMAGE("https://m.media-amazon.com/images/I/61xbQC6hklL._AC_UL320_.jpg")</f>
        <v/>
      </c>
      <c r="K4540" t="inlineStr">
        <is>
          <t>18.97</t>
        </is>
      </c>
      <c r="L4540" t="n">
        <v>33.91</v>
      </c>
      <c r="M4540" s="1" t="inlineStr">
        <is>
          <t>78.76%</t>
        </is>
      </c>
      <c r="N4540" s="7" t="n">
        <v>-9.970000000000001</v>
      </c>
      <c r="O4540" t="n">
        <v>4.1</v>
      </c>
      <c r="P4540" t="n">
        <v>11</v>
      </c>
      <c r="R4540" t="inlineStr">
        <is>
          <t>InStock</t>
        </is>
      </c>
      <c r="S4540" t="inlineStr">
        <is>
          <t>24.49</t>
        </is>
      </c>
      <c r="T4540" t="inlineStr">
        <is>
          <t>5361975525544</t>
        </is>
      </c>
    </row>
    <row r="4541" ht="87" customHeight="1">
      <c r="A4541" s="2">
        <f>HYPERLINK("https://edmondsonsupply.com/collections/electricians-tools/products/klein-tools-50611-magnetic-wire-puller", "https://edmondsonsupply.com/collections/electricians-tools/products/klein-tools-50611-magnetic-wire-puller")</f>
        <v/>
      </c>
      <c r="B4541" s="2">
        <f>HYPERLINK("https://edmondsonsupply.com/products/klein-tools-50611-magnetic-wire-puller", "https://edmondsonsupply.com/products/klein-tools-50611-magnetic-wire-puller")</f>
        <v/>
      </c>
      <c r="C4541" t="inlineStr">
        <is>
          <t>Klein Tools 50611 Magnetic Wire Puller</t>
        </is>
      </c>
      <c r="D4541" t="inlineStr">
        <is>
          <t>Wire Puller Kit with 30-Foot Glow Fish Rod and Magnetic Wire Puller, 2 Piece Klein Tools 80051 &amp; 56331 Fish Tape, Steel Wire Puller with Double Loop Tip, Optimized Housing and Handle</t>
        </is>
      </c>
      <c r="E4541" s="2">
        <f>HYPERLINK("https://www.amazon.com/30-Foot-Magnetic-Klein-Tools-Optimized/dp/B0BGJ3BTCD/ref=sr_1_38?keywords=Klein+Tools+50611+Magnetic+Wire+Puller&amp;qid=1694735124&amp;sr=8-38", "https://www.amazon.com/30-Foot-Magnetic-Klein-Tools-Optimized/dp/B0BGJ3BTCD/ref=sr_1_38?keywords=Klein+Tools+50611+Magnetic+Wire+Puller&amp;qid=1694735124&amp;sr=8-38")</f>
        <v/>
      </c>
      <c r="F4541" t="inlineStr">
        <is>
          <t>B0BGJ3BTCD</t>
        </is>
      </c>
      <c r="G4541">
        <f>_xlfn.IMAGE("https://edmondsonsupply.com/cdn/shop/products/50611.jpg?v=1663951524")</f>
        <v/>
      </c>
      <c r="H4541">
        <f>_xlfn.IMAGE("https://m.media-amazon.com/images/I/51fZ-+U1hGL._AC_UL320_.jpg")</f>
        <v/>
      </c>
      <c r="K4541" t="inlineStr">
        <is>
          <t>69.97</t>
        </is>
      </c>
      <c r="L4541" t="n">
        <v>124.98</v>
      </c>
      <c r="M4541" s="1" t="inlineStr">
        <is>
          <t>78.62%</t>
        </is>
      </c>
      <c r="N4541" s="7" t="n">
        <v>-10</v>
      </c>
      <c r="O4541" t="n">
        <v>5</v>
      </c>
      <c r="P4541" t="n">
        <v>1</v>
      </c>
      <c r="R4541" t="inlineStr">
        <is>
          <t>InStock</t>
        </is>
      </c>
      <c r="S4541" t="inlineStr">
        <is>
          <t>106.06</t>
        </is>
      </c>
      <c r="T4541" t="inlineStr">
        <is>
          <t>7827343999192</t>
        </is>
      </c>
    </row>
    <row r="4542" ht="87" customHeight="1">
      <c r="A4542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4542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4542" t="inlineStr">
        <is>
          <t>Klein Tools CL220 Digital Clamp Meter, AC Auto-Ranging 400 Amp with Temp</t>
        </is>
      </c>
      <c r="D4542" t="inlineStr">
        <is>
          <t>Klein Tools CL220 Digital Clamp Meter, Auto-Ranging 400 Amp AC, AC/DC Voltage, TRMS, Resistance, Continuity, NCVT Detection, and Temp &amp; 80016 Circuit Breaker Finder Tool Kit</t>
        </is>
      </c>
      <c r="E4542" s="2">
        <f>HYPERLINK("https://www.amazon.com/Klein-Tools-Auto-Ranging-Resistance-Continuity/dp/B0BNL6NFV7/ref=sr_1_2?keywords=Klein+Tools+CL220+Digital+Clamp+Meter%2C+AC+Auto-Ranging+400+Amp+with+Temp&amp;qid=1694735238&amp;sr=8-2", "https://www.amazon.com/Klein-Tools-Auto-Ranging-Resistance-Continuity/dp/B0BNL6NFV7/ref=sr_1_2?keywords=Klein+Tools+CL220+Digital+Clamp+Meter%2C+AC+Auto-Ranging+400+Amp+with+Temp&amp;qid=1694735238&amp;sr=8-2")</f>
        <v/>
      </c>
      <c r="F4542" t="inlineStr">
        <is>
          <t>B0BNL6NFV7</t>
        </is>
      </c>
      <c r="G4542">
        <f>_xlfn.IMAGE("https://edmondsonsupply.com/cdn/shop/products/cl220.jpg?v=1633030821")</f>
        <v/>
      </c>
      <c r="H4542">
        <f>_xlfn.IMAGE("https://m.media-amazon.com/images/I/51F5hkzephL._AC_UY218_.jpg")</f>
        <v/>
      </c>
      <c r="K4542" t="inlineStr">
        <is>
          <t>69.97</t>
        </is>
      </c>
      <c r="L4542" t="n">
        <v>124.96</v>
      </c>
      <c r="M4542" s="1" t="inlineStr">
        <is>
          <t>78.59%</t>
        </is>
      </c>
      <c r="N4542" s="7" t="n">
        <v>-10.02</v>
      </c>
      <c r="O4542" t="n">
        <v>5</v>
      </c>
      <c r="P4542" t="n">
        <v>1</v>
      </c>
      <c r="R4542" t="inlineStr">
        <is>
          <t>InStock</t>
        </is>
      </c>
      <c r="S4542" t="inlineStr">
        <is>
          <t>93.22</t>
        </is>
      </c>
      <c r="T4542" t="inlineStr">
        <is>
          <t>6080846463149</t>
        </is>
      </c>
    </row>
    <row r="4543" hidden="1" ht="15.75" customHeight="1">
      <c r="A4543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4543" s="2">
        <f>HYPERLINK("https://edmondsonsupply.com/products/klein-tools-31918-bi-metal-hole-saw-1-1-8-inch", "https://edmondsonsupply.com/products/klein-tools-31918-bi-metal-hole-saw-1-1-8-inch")</f>
        <v/>
      </c>
      <c r="C4543" t="inlineStr">
        <is>
          <t>Klein Tools 31918 Bi-Metal Hole Saw, 1-1/8-Inch</t>
        </is>
      </c>
      <c r="D4543" t="inlineStr">
        <is>
          <t>LENOX Tools Hole Saw, Bi-Metal, Speed Slot, 1-Inch (3001616L)</t>
        </is>
      </c>
      <c r="E4543" s="2">
        <f>HYPERLINK("https://www.amazon.com/LENOX-Tools-Bi-Metal-Speed-Technology/dp/B005HPX1O0/ref=sr_1_37?keywords=Klein+Tools+31918+Bi-Metal+Hole+Saw%2C+1-1%2F8-Inch&amp;qid=1694735078&amp;sr=8-37", "https://www.amazon.com/LENOX-Tools-Bi-Metal-Speed-Technology/dp/B005HPX1O0/ref=sr_1_37?keywords=Klein+Tools+31918+Bi-Metal+Hole+Saw%2C+1-1%2F8-Inch&amp;qid=1694735078&amp;sr=8-37")</f>
        <v/>
      </c>
      <c r="F4543" t="inlineStr">
        <is>
          <t>B005HPX1O0</t>
        </is>
      </c>
      <c r="G4543">
        <f>_xludf.IMAGE("https://edmondsonsupply.com/cdn/shop/products/31918.jpg?v=1669739998")</f>
        <v/>
      </c>
      <c r="H4543">
        <f>_xludf.IMAGE("https://m.media-amazon.com/images/I/41S-N6QBrcL._AC_UL320_.jpg")</f>
        <v/>
      </c>
      <c r="K4543" t="inlineStr">
        <is>
          <t>7.99</t>
        </is>
      </c>
      <c r="L4543" t="n">
        <v>14.26</v>
      </c>
      <c r="M4543" s="1" t="inlineStr">
        <is>
          <t>78.47%</t>
        </is>
      </c>
      <c r="N4543" s="1" t="n">
        <v>-10.03</v>
      </c>
      <c r="O4543" t="n">
        <v>4.7</v>
      </c>
      <c r="P4543" t="n">
        <v>961</v>
      </c>
      <c r="R4543" t="inlineStr">
        <is>
          <t>InStock</t>
        </is>
      </c>
      <c r="S4543" t="inlineStr">
        <is>
          <t>11.2</t>
        </is>
      </c>
      <c r="T4543" t="inlineStr">
        <is>
          <t>7896138678488</t>
        </is>
      </c>
    </row>
    <row r="4544" hidden="1" ht="15.75" customHeight="1">
      <c r="A4544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4544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4544" t="inlineStr">
        <is>
          <t>Diablo Tools DMAPL4140 3/8 in. x 4 in. x 6 in. Rebar Demon™ SDS-Plus 4-Cutter Full Carbide Head Hammer Bit</t>
        </is>
      </c>
      <c r="D4544" t="inlineStr">
        <is>
          <t>Diablo by Freud DMAPL4160 3/8 in. x 10 in. x 12 in. Rebar Demon SDS-Plus 4-Cutter Full Carbide Head Hammer Bit</t>
        </is>
      </c>
      <c r="E4544" s="2">
        <f>HYPERLINK("https://www.amazon.com/Diablo-Freud-DMAPL4160-SDS-Plus-4-Cutter/dp/B089KX25B7/ref=sr_1_2?keywords=Diablo+Tools+DMAPL4140+3%2F8+in.+x+4+in.+x+6+in.+Rebar+Demon%E2%84%A2+SDS-Plus+4-Cutter+Full+Carbide+Head+Hammer+Bit&amp;qid=1694735296&amp;sr=8-2", "https://www.amazon.com/Diablo-Freud-DMAPL4160-SDS-Plus-4-Cutter/dp/B089KX25B7/ref=sr_1_2?keywords=Diablo+Tools+DMAPL4140+3%2F8+in.+x+4+in.+x+6+in.+Rebar+Demon%E2%84%A2+SDS-Plus+4-Cutter+Full+Carbide+Head+Hammer+Bit&amp;qid=1694735296&amp;sr=8-2")</f>
        <v/>
      </c>
      <c r="F4544" t="inlineStr">
        <is>
          <t>B089KX25B7</t>
        </is>
      </c>
      <c r="G4544">
        <f>_xludf.IMAGE("https://edmondsonsupply.com/cdn/shop/products/DMAPL4140_Main-Image20200701.png?v=1633030360")</f>
        <v/>
      </c>
      <c r="H4544">
        <f>_xludf.IMAGE("https://m.media-amazon.com/images/I/61MHnm3+2bL._AC_UL320_.jpg")</f>
        <v/>
      </c>
      <c r="K4544" t="inlineStr">
        <is>
          <t>7.29</t>
        </is>
      </c>
      <c r="L4544" t="n">
        <v>13.01</v>
      </c>
      <c r="M4544" s="1" t="inlineStr">
        <is>
          <t>78.46%</t>
        </is>
      </c>
      <c r="N4544" s="1" t="n">
        <v>-10.15</v>
      </c>
      <c r="O4544" t="n">
        <v>4.5</v>
      </c>
      <c r="P4544" t="n">
        <v>39</v>
      </c>
      <c r="R4544" t="inlineStr">
        <is>
          <t>InStock</t>
        </is>
      </c>
      <c r="S4544" t="inlineStr">
        <is>
          <t>undefined</t>
        </is>
      </c>
      <c r="T4544" t="inlineStr">
        <is>
          <t>5286771949736</t>
        </is>
      </c>
    </row>
    <row r="4545" ht="87" customHeight="1">
      <c r="A4545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4545" s="2">
        <f>HYPERLINK("https://edmondsonsupply.com/products/milwaukee-49-56-0505-1-4-diamond-max%e2%84%a2-hole-saw", "https://edmondsonsupply.com/products/milwaukee-49-56-0505-1-4-diamond-max%e2%84%a2-hole-saw")</f>
        <v/>
      </c>
      <c r="C4545" t="inlineStr">
        <is>
          <t>Milwaukee 49-56-0505 1/4" Diamond MAX™ Hole Saw</t>
        </is>
      </c>
      <c r="D4545" t="inlineStr">
        <is>
          <t>Milwaukee 49-56-5660 2‐1/2" Diamond Hole Saw</t>
        </is>
      </c>
      <c r="E4545" s="2">
        <f>HYPERLINK("https://www.amazon.com/Milwaukee-49-56-5660-2-1-Diamond-Hole/dp/B00KQMUOOE/ref=sr_1_7?keywords=Milwaukee+49-56-0505+1%2F4%22+Diamond+MAX%E2%84%A2+Hole+Saw&amp;qid=1694735000&amp;sr=8-7", "https://www.amazon.com/Milwaukee-49-56-5660-2-1-Diamond-Hole/dp/B00KQMUOOE/ref=sr_1_7?keywords=Milwaukee+49-56-0505+1%2F4%22+Diamond+MAX%E2%84%A2+Hole+Saw&amp;qid=1694735000&amp;sr=8-7")</f>
        <v/>
      </c>
      <c r="F4545" t="inlineStr">
        <is>
          <t>B00KQMUOOE</t>
        </is>
      </c>
      <c r="G4545">
        <f>_xlfn.IMAGE("https://edmondsonsupply.com/cdn/shop/products/49-56-0507_1.png?v=1680111300")</f>
        <v/>
      </c>
      <c r="H4545">
        <f>_xlfn.IMAGE("https://m.media-amazon.com/images/I/61nOa4J6FdL._AC_UL320_.jpg")</f>
        <v/>
      </c>
      <c r="K4545" t="inlineStr">
        <is>
          <t>19.99</t>
        </is>
      </c>
      <c r="L4545" t="n">
        <v>35.67</v>
      </c>
      <c r="M4545" s="1" t="inlineStr">
        <is>
          <t>78.44%</t>
        </is>
      </c>
      <c r="N4545" s="7" t="n">
        <v>-10.4</v>
      </c>
      <c r="O4545" t="n">
        <v>4.1</v>
      </c>
      <c r="P4545" t="n">
        <v>14</v>
      </c>
      <c r="R4545" t="inlineStr">
        <is>
          <t>InStock</t>
        </is>
      </c>
      <c r="S4545" t="inlineStr">
        <is>
          <t>26.6</t>
        </is>
      </c>
      <c r="T4545" t="inlineStr">
        <is>
          <t>7969746485464</t>
        </is>
      </c>
    </row>
    <row r="4546" hidden="1" ht="15.75" customHeight="1">
      <c r="A4546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4546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4546" t="inlineStr">
        <is>
          <t>Klein Tools JTH9E11 3/16-Inch Hex Key with Journeyman T-Handle, 9-Inch</t>
        </is>
      </c>
      <c r="D4546" t="inlineStr">
        <is>
          <t>Klein Tools JTH6E11BE 3/16-Inch Ball End Hex Key with Journeyman T-Handle, 6-Inch (Pack of 2)</t>
        </is>
      </c>
      <c r="E4546" s="2">
        <f>HYPERLINK("https://www.amazon.com/Klein-Tools-JTH6E11BE-Journeyman-T-Handle/dp/B0CF2WPG6T/ref=sr_1_7?keywords=Klein+Tools+JTH9E11+3%2F16-Inch+Hex+Key+with+Journeyman+T-Handle%2C+9-Inch&amp;qid=1694735351&amp;sr=8-7", "https://www.amazon.com/Klein-Tools-JTH6E11BE-Journeyman-T-Handle/dp/B0CF2WPG6T/ref=sr_1_7?keywords=Klein+Tools+JTH9E11+3%2F16-Inch+Hex+Key+with+Journeyman+T-Handle%2C+9-Inch&amp;qid=1694735351&amp;sr=8-7")</f>
        <v/>
      </c>
      <c r="F4546" t="inlineStr">
        <is>
          <t>B0CF2WPG6T</t>
        </is>
      </c>
      <c r="G4546">
        <f>_xludf.IMAGE("https://edmondsonsupply.com/cdn/shop/products/jth9e12_5173eed3-120e-418c-a1cc-489b6dba3958.jpg?v=1587147554")</f>
        <v/>
      </c>
      <c r="H4546">
        <f>_xludf.IMAGE("https://m.media-amazon.com/images/I/41bN+I19ReL._AC_UL320_.jpg")</f>
        <v/>
      </c>
      <c r="K4546" t="inlineStr">
        <is>
          <t>5.99</t>
        </is>
      </c>
      <c r="L4546" t="n">
        <v>10.68</v>
      </c>
      <c r="M4546" s="1" t="inlineStr">
        <is>
          <t>78.30%</t>
        </is>
      </c>
      <c r="N4546" s="1" t="n">
        <v>-10.44</v>
      </c>
      <c r="O4546" t="n">
        <v>4.8</v>
      </c>
      <c r="P4546" t="n">
        <v>454</v>
      </c>
      <c r="R4546" t="inlineStr">
        <is>
          <t>InStock</t>
        </is>
      </c>
      <c r="S4546" t="inlineStr">
        <is>
          <t>9.06</t>
        </is>
      </c>
      <c r="T4546" t="inlineStr">
        <is>
          <t>4455227523172</t>
        </is>
      </c>
    </row>
    <row r="4547" hidden="1" ht="15.75" customHeight="1">
      <c r="A4547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4547" s="2">
        <f>HYPERLINK("https://edmondsonsupply.com/products/klein-tools-s8-1-4-inch-hollow-shaft-nut-driver-3-inch-shaft", "https://edmondsonsupply.com/products/klein-tools-s8-1-4-inch-hollow-shaft-nut-driver-3-inch-shaft")</f>
        <v/>
      </c>
      <c r="C4547" t="inlineStr">
        <is>
          <t>Klein Tools S8 1/4-Inch Hollow Shaft Nut Driver, 3-Inch Shaft</t>
        </is>
      </c>
      <c r="D4547" t="inlineStr">
        <is>
          <t>Klein Tools 640-7/16 7/16-Inch Coated Nut Driver with 3-Inch Hollow Shaft and Cushion Grip Handle</t>
        </is>
      </c>
      <c r="E4547" s="2">
        <f>HYPERLINK("https://www.amazon.com/16-Inch-Klein-Tools-640-7-16/dp/B00093DZYG/ref=sr_1_11?keywords=Klein+Tools+S8+1%2F4-Inch+Hollow+Shaft+Nut+Driver%2C+3-Inch+Shaft&amp;qid=1694735248&amp;sr=8-11", "https://www.amazon.com/16-Inch-Klein-Tools-640-7-16/dp/B00093DZYG/ref=sr_1_11?keywords=Klein+Tools+S8+1%2F4-Inch+Hollow+Shaft+Nut+Driver%2C+3-Inch+Shaft&amp;qid=1694735248&amp;sr=8-11")</f>
        <v/>
      </c>
      <c r="F4547" t="inlineStr">
        <is>
          <t>B00093DZYG</t>
        </is>
      </c>
      <c r="G4547">
        <f>_xludf.IMAGE("https://edmondsonsupply.com/cdn/shop/products/s10.jpg?v=1633030797")</f>
        <v/>
      </c>
      <c r="H4547">
        <f>_xludf.IMAGE("https://m.media-amazon.com/images/I/61eCMBwqqTL._AC_UL320_.jpg")</f>
        <v/>
      </c>
      <c r="K4547" t="inlineStr">
        <is>
          <t>7.29</t>
        </is>
      </c>
      <c r="L4547" t="n">
        <v>12.99</v>
      </c>
      <c r="M4547" s="1" t="inlineStr">
        <is>
          <t>78.19%</t>
        </is>
      </c>
      <c r="N4547" s="1" t="n">
        <v>-10.44</v>
      </c>
      <c r="O4547" t="n">
        <v>4.1</v>
      </c>
      <c r="P4547" t="n">
        <v>20</v>
      </c>
      <c r="R4547" t="inlineStr">
        <is>
          <t>InStock</t>
        </is>
      </c>
      <c r="S4547" t="inlineStr">
        <is>
          <t>10.74</t>
        </is>
      </c>
      <c r="T4547" t="inlineStr">
        <is>
          <t>6000424485032</t>
        </is>
      </c>
    </row>
    <row r="4548" ht="87" customHeight="1">
      <c r="A4548" s="2">
        <f>HYPERLINK("https://edmondsonsupply.com/collections/electricians-tools/products/diablo-tools-dou125bw", "https://edmondsonsupply.com/collections/electricians-tools/products/diablo-tools-dou125bw")</f>
        <v/>
      </c>
      <c r="B4548" s="2">
        <f>HYPERLINK("https://edmondsonsupply.com/products/diablo-tools-dou125bw", "https://edmondsonsupply.com/products/diablo-tools-dou125bw")</f>
        <v/>
      </c>
      <c r="C4548" t="inlineStr">
        <is>
          <t>Diablo Tools DOU125BW 1-1/4 in. Universal Fit Bi-Metal Oscillating Blade for Nail-Embedded Wood</t>
        </is>
      </c>
      <c r="D4548" t="inlineStr">
        <is>
          <t>Diablo by Freud DOU125CF3 1-1/4 in. Universal Fit Carbide Oscillating Blades for Metal (3-Pack)</t>
        </is>
      </c>
      <c r="E4548" s="2">
        <f>HYPERLINK("https://www.amazon.com/Diablo-Freud-DOU125CF3-Universal-Oscillating/dp/B089LKXD7L/ref=sr_1_13?keywords=Diablo+Tools+DOU125BW+1-1%2F4+in.+Universal+Fit+Bi-Metal+Oscillating+Blade+for+Nail-Embedded+Wood&amp;qid=1694735198&amp;sr=8-13", "https://www.amazon.com/Diablo-Freud-DOU125CF3-Universal-Oscillating/dp/B089LKXD7L/ref=sr_1_13?keywords=Diablo+Tools+DOU125BW+1-1%2F4+in.+Universal+Fit+Bi-Metal+Oscillating+Blade+for+Nail-Embedded+Wood&amp;qid=1694735198&amp;sr=8-13")</f>
        <v/>
      </c>
      <c r="F4548" t="inlineStr">
        <is>
          <t>B089LKXD7L</t>
        </is>
      </c>
      <c r="G4548">
        <f>_xlfn.IMAGE("https://edmondsonsupply.com/cdn/shop/products/gnn0wpqc8veb3qhldcrb.webp?v=1676040020")</f>
        <v/>
      </c>
      <c r="H4548">
        <f>_xlfn.IMAGE("https://m.media-amazon.com/images/I/71izb0UUOkL._AC_UL320_.jpg")</f>
        <v/>
      </c>
      <c r="K4548" t="inlineStr">
        <is>
          <t>17.97</t>
        </is>
      </c>
      <c r="L4548" t="n">
        <v>32</v>
      </c>
      <c r="M4548" s="1" t="inlineStr">
        <is>
          <t>78.07%</t>
        </is>
      </c>
      <c r="N4548" s="7" t="n">
        <v>-10.45</v>
      </c>
      <c r="O4548" t="n">
        <v>4.5</v>
      </c>
      <c r="P4548" t="n">
        <v>164</v>
      </c>
      <c r="R4548" t="inlineStr">
        <is>
          <t>InStock</t>
        </is>
      </c>
      <c r="S4548" t="inlineStr">
        <is>
          <t>22.79</t>
        </is>
      </c>
      <c r="T4548" t="inlineStr">
        <is>
          <t>6846081433773</t>
        </is>
      </c>
    </row>
    <row r="4549" ht="87" customHeight="1">
      <c r="A4549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4549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4549" t="inlineStr">
        <is>
          <t>Diablo Tools DOU125JBW 1-1/4 in. Universal Fit Bi-Metal Oscillating Blades for Clean Wood</t>
        </is>
      </c>
      <c r="D4549" t="inlineStr">
        <is>
          <t>Diablo by Freud DOU125CF3 1-1/4 in. Universal Fit Carbide Oscillating Blades for Metal (3-Pack)</t>
        </is>
      </c>
      <c r="E4549" s="2">
        <f>HYPERLINK("https://www.amazon.com/Diablo-Freud-DOU125CF3-Universal-Oscillating/dp/B089LKXD7L/ref=sr_1_8?keywords=Diablo+Tools+DOU125JBW+1-1%2F4+in.+Universal+Fit+Bi-Metal+Oscillating+Blades+for+Clean+Wood&amp;qid=1694735180&amp;sr=8-8", "https://www.amazon.com/Diablo-Freud-DOU125CF3-Universal-Oscillating/dp/B089LKXD7L/ref=sr_1_8?keywords=Diablo+Tools+DOU125JBW+1-1%2F4+in.+Universal+Fit+Bi-Metal+Oscillating+Blades+for+Clean+Wood&amp;qid=1694735180&amp;sr=8-8")</f>
        <v/>
      </c>
      <c r="F4549" t="inlineStr">
        <is>
          <t>B089LKXD7L</t>
        </is>
      </c>
      <c r="G4549">
        <f>_xlfn.IMAGE("https://edmondsonsupply.com/cdn/shop/products/DOU125JBW_Main-Image.png?v=1633638363")</f>
        <v/>
      </c>
      <c r="H4549">
        <f>_xlfn.IMAGE("https://m.media-amazon.com/images/I/71izb0UUOkL._AC_UL320_.jpg")</f>
        <v/>
      </c>
      <c r="K4549" t="inlineStr">
        <is>
          <t>17.97</t>
        </is>
      </c>
      <c r="L4549" t="n">
        <v>32</v>
      </c>
      <c r="M4549" s="1" t="inlineStr">
        <is>
          <t>78.07%</t>
        </is>
      </c>
      <c r="N4549" s="7" t="n">
        <v>-10.46</v>
      </c>
      <c r="O4549" t="n">
        <v>4.5</v>
      </c>
      <c r="P4549" t="n">
        <v>164</v>
      </c>
      <c r="R4549" t="inlineStr">
        <is>
          <t>InStock</t>
        </is>
      </c>
      <c r="S4549" t="inlineStr">
        <is>
          <t>22.35</t>
        </is>
      </c>
      <c r="T4549" t="inlineStr">
        <is>
          <t>7000455807149</t>
        </is>
      </c>
    </row>
    <row r="4550" ht="87" customHeight="1">
      <c r="A4550" s="2">
        <f>HYPERLINK("https://edmondsonsupply.com/collections/electricians-tools/products/klein-tools-31905-hole-saw-arbor-with-adapter-3-8-inch", "https://edmondsonsupply.com/collections/electricians-tools/products/klein-tools-31905-hole-saw-arbor-with-adapter-3-8-inch")</f>
        <v/>
      </c>
      <c r="B4550" s="2">
        <f>HYPERLINK("https://edmondsonsupply.com/products/klein-tools-31905-hole-saw-arbor-with-adapter-3-8-inch", "https://edmondsonsupply.com/products/klein-tools-31905-hole-saw-arbor-with-adapter-3-8-inch")</f>
        <v/>
      </c>
      <c r="C4550" t="inlineStr">
        <is>
          <t>Klein Tools 31905 Hole Saw Arbor with Adapter, 3/8-Inch</t>
        </is>
      </c>
      <c r="D4550" t="inlineStr">
        <is>
          <t>Klein Tools 31906 Hole Saw Arbor With Pins, 7/16-Inch</t>
        </is>
      </c>
      <c r="E4550" s="2">
        <f>HYPERLINK("https://www.amazon.com/Arbor-16-Inch-Klein-Tools-31906/dp/B0198751UO/ref=sr_1_2?keywords=Klein+Tools+31905+Hole+Saw+Arbor+with+Adapter%2C+3%2F8-Inch&amp;qid=1694735107&amp;sr=8-2", "https://www.amazon.com/Arbor-16-Inch-Klein-Tools-31906/dp/B0198751UO/ref=sr_1_2?keywords=Klein+Tools+31905+Hole+Saw+Arbor+with+Adapter%2C+3%2F8-Inch&amp;qid=1694735107&amp;sr=8-2")</f>
        <v/>
      </c>
      <c r="F4550" t="inlineStr">
        <is>
          <t>B0198751UO</t>
        </is>
      </c>
      <c r="G4550">
        <f>_xlfn.IMAGE("https://edmondsonsupply.com/cdn/shop/products/31905.jpg?v=1665602746")</f>
        <v/>
      </c>
      <c r="H4550">
        <f>_xlfn.IMAGE("https://m.media-amazon.com/images/I/51WjO5DQ0bL._AC_UL320_.jpg")</f>
        <v/>
      </c>
      <c r="K4550" t="inlineStr">
        <is>
          <t>8.99</t>
        </is>
      </c>
      <c r="L4550" t="n">
        <v>15.99</v>
      </c>
      <c r="M4550" s="1" t="inlineStr">
        <is>
          <t>77.86%</t>
        </is>
      </c>
      <c r="N4550" s="7" t="n">
        <v>-10.49</v>
      </c>
      <c r="O4550" t="n">
        <v>4.5</v>
      </c>
      <c r="P4550" t="n">
        <v>232</v>
      </c>
      <c r="R4550" t="inlineStr">
        <is>
          <t>InStock</t>
        </is>
      </c>
      <c r="S4550" t="inlineStr">
        <is>
          <t>12.62</t>
        </is>
      </c>
      <c r="T4550" t="inlineStr">
        <is>
          <t>7850183360728</t>
        </is>
      </c>
    </row>
    <row r="4551" ht="87" customHeight="1">
      <c r="A4551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4551" s="2">
        <f>HYPERLINK("https://edmondsonsupply.com/products/klein-tools-vdv500-123-probe-pro-tracing-probe", "https://edmondsonsupply.com/products/klein-tools-vdv500-123-probe-pro-tracing-probe")</f>
        <v/>
      </c>
      <c r="C4551" t="inlineStr">
        <is>
          <t>Klein Tools VDV500-123 Probe-PRO Tracing Probe</t>
        </is>
      </c>
      <c r="D4551" t="inlineStr">
        <is>
          <t>Klein Tools VDV500-820 Cable Tracer with Probe Tone Pro Kit for Telephone, Internet, Video, Data and Communications Cables, Beige</t>
        </is>
      </c>
      <c r="E4551" s="2" t="n"/>
      <c r="F4551" t="inlineStr">
        <is>
          <t>B07VYN98QV</t>
        </is>
      </c>
      <c r="G4551">
        <f>_xlfn.IMAGE("https://edmondsonsupply.com/cdn/shop/products/vdv500123.jpg?v=1587142783")</f>
        <v/>
      </c>
      <c r="H4551">
        <f>_xlfn.IMAGE("https://m.media-amazon.com/images/I/612EgCjy2xL._AC_UY218_.jpg")</f>
        <v/>
      </c>
      <c r="K4551" t="inlineStr">
        <is>
          <t>44.99</t>
        </is>
      </c>
      <c r="L4551" t="n">
        <v>79.97</v>
      </c>
      <c r="M4551" s="1" t="inlineStr">
        <is>
          <t>77.75%</t>
        </is>
      </c>
      <c r="N4551" s="7" t="n">
        <v>-10.51</v>
      </c>
      <c r="O4551" t="n">
        <v>4.7</v>
      </c>
      <c r="P4551" t="n">
        <v>3609</v>
      </c>
      <c r="R4551" t="inlineStr">
        <is>
          <t>InStock</t>
        </is>
      </c>
      <c r="S4551" t="inlineStr">
        <is>
          <t>63.0</t>
        </is>
      </c>
      <c r="T4551" t="inlineStr">
        <is>
          <t>4274361466980</t>
        </is>
      </c>
    </row>
    <row r="4552" ht="87" customHeight="1">
      <c r="A4552" s="2">
        <f>HYPERLINK("https://edmondsonsupply.com/collections/electricians-tools/products/klein-tools-19352-conduit-reamer", "https://edmondsonsupply.com/collections/electricians-tools/products/klein-tools-19352-conduit-reamer")</f>
        <v/>
      </c>
      <c r="B4552" s="2">
        <f>HYPERLINK("https://edmondsonsupply.com/products/klein-tools-19352-conduit-reamer", "https://edmondsonsupply.com/products/klein-tools-19352-conduit-reamer")</f>
        <v/>
      </c>
      <c r="C4552" t="inlineStr">
        <is>
          <t>Klein Tools 19352 Conduit Reamer</t>
        </is>
      </c>
      <c r="D4552" t="inlineStr">
        <is>
          <t>Klein Tools 85191 Screwdriver / Conduit Reamer, Conduit Fitting and Reaming Screwdriver for 1/2-Inch, 3/4-Inch, and 1-Inch Thin-Wall Conduit</t>
        </is>
      </c>
      <c r="E4552" s="2">
        <f>HYPERLINK("https://www.amazon.com/Screwdriver-Thin-Wall-Klein-Tools-85191/dp/B000CER0T8/ref=sr_1_3?keywords=Klein+Tools+19352+Conduit+Reamer&amp;qid=1694735413&amp;sr=8-3", "https://www.amazon.com/Screwdriver-Thin-Wall-Klein-Tools-85191/dp/B000CER0T8/ref=sr_1_3?keywords=Klein+Tools+19352+Conduit+Reamer&amp;qid=1694735413&amp;sr=8-3")</f>
        <v/>
      </c>
      <c r="F4552" t="inlineStr">
        <is>
          <t>B000CER0T8</t>
        </is>
      </c>
      <c r="G4552">
        <f>_xlfn.IMAGE("https://edmondsonsupply.com/cdn/shop/products/19352.jpg?v=1587145575")</f>
        <v/>
      </c>
      <c r="H4552">
        <f>_xlfn.IMAGE("https://m.media-amazon.com/images/I/51wfYPpIkML._AC_UL320_.jpg")</f>
        <v/>
      </c>
      <c r="K4552" t="inlineStr">
        <is>
          <t>18.49</t>
        </is>
      </c>
      <c r="L4552" t="n">
        <v>32.86</v>
      </c>
      <c r="M4552" s="1" t="inlineStr">
        <is>
          <t>77.72%</t>
        </is>
      </c>
      <c r="N4552" s="7" t="n">
        <v>-10.53</v>
      </c>
      <c r="O4552" t="n">
        <v>4.8</v>
      </c>
      <c r="P4552" t="n">
        <v>3074</v>
      </c>
      <c r="R4552" t="inlineStr">
        <is>
          <t>InStock</t>
        </is>
      </c>
      <c r="S4552" t="inlineStr">
        <is>
          <t>27.24</t>
        </is>
      </c>
      <c r="T4552" t="inlineStr">
        <is>
          <t>4385945616484</t>
        </is>
      </c>
    </row>
    <row r="4553" ht="87" customHeight="1">
      <c r="A4553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4553" s="2">
        <f>HYPERLINK("https://edmondsonsupply.com/products/klein-tools-vdv500-123-probe-pro-tracing-probe", "https://edmondsonsupply.com/products/klein-tools-vdv500-123-probe-pro-tracing-probe")</f>
        <v/>
      </c>
      <c r="C4553" t="inlineStr">
        <is>
          <t>Klein Tools VDV500-123 Probe-PRO Tracing Probe</t>
        </is>
      </c>
      <c r="D4553" t="inlineStr">
        <is>
          <t>Klein Tools VDV500-820 Cable Tracer with Probe Tone Pro Kit for Telephone, Internet, Video, Data and Communications Cables, Beige</t>
        </is>
      </c>
      <c r="E4553" s="2">
        <f>HYPERLINK("https://www.amazon.com/Klein-Tools-Tone-Probe-PRO/dp/B07VYN98QV/ref=sr_1_13?keywords=Klein+Tools+VDV500-123+Probe-PRO+Tracing+Probe&amp;qid=1694734977&amp;sr=8-13", "https://www.amazon.com/Klein-Tools-Tone-Probe-PRO/dp/B07VYN98QV/ref=sr_1_13?keywords=Klein+Tools+VDV500-123+Probe-PRO+Tracing+Probe&amp;qid=1694734977&amp;sr=8-13")</f>
        <v/>
      </c>
      <c r="F4553" t="inlineStr">
        <is>
          <t>B07VYN98QV</t>
        </is>
      </c>
      <c r="G4553">
        <f>_xlfn.IMAGE("https://edmondsonsupply.com/cdn/shop/products/vdv500123.jpg?v=1587142783")</f>
        <v/>
      </c>
      <c r="H4553">
        <f>_xlfn.IMAGE("https://m.media-amazon.com/images/I/612EgCjy2xL._AC_UY218_.jpg")</f>
        <v/>
      </c>
      <c r="K4553" t="inlineStr">
        <is>
          <t>44.99</t>
        </is>
      </c>
      <c r="L4553" t="n">
        <v>79.90000000000001</v>
      </c>
      <c r="M4553" s="1" t="inlineStr">
        <is>
          <t>77.60%</t>
        </is>
      </c>
      <c r="N4553" s="7" t="n">
        <v>-10.59</v>
      </c>
      <c r="O4553" t="n">
        <v>4.7</v>
      </c>
      <c r="P4553" t="n">
        <v>3609</v>
      </c>
      <c r="R4553" t="inlineStr">
        <is>
          <t>InStock</t>
        </is>
      </c>
      <c r="S4553" t="inlineStr">
        <is>
          <t>63.0</t>
        </is>
      </c>
      <c r="T4553" t="inlineStr">
        <is>
          <t>4274361466980</t>
        </is>
      </c>
    </row>
    <row r="4554" hidden="1" ht="15.75" customHeight="1">
      <c r="A4554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4554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4554" t="inlineStr">
        <is>
          <t>Diablo Tools DMAPL4020 5/32 in. x 4 in. x 6 in. Rebar Demon™ SDS-Plus 4-Cutter Full Carbide Head Hammer Bit</t>
        </is>
      </c>
      <c r="D4554" t="inlineStr">
        <is>
          <t>Diablo by Freud Diablo DMAPL4210 5/8 in. x 4 in. x 6 in. Rebar Demon SDS-Plus 4-Cutter Full Carbide Head Hammer Bit</t>
        </is>
      </c>
      <c r="E4554" s="2">
        <f>HYPERLINK("https://www.amazon.com/Diablo-Freud-DMAPL4210-SDS-Plus-4-Cutter/dp/B089LGF2KS/ref=sr_1_6?keywords=Diablo+Tools+DMAPL4020+5%2F32+in.+x+4+in.+x+6+in.+Rebar+Demon%E2%84%A2+SDS-Plus+4-Cutter+Full+Carbide+Head+Hammer+Bit&amp;qid=1694735291&amp;sr=8-6", "https://www.amazon.com/Diablo-Freud-DMAPL4210-SDS-Plus-4-Cutter/dp/B089LGF2KS/ref=sr_1_6?keywords=Diablo+Tools+DMAPL4020+5%2F32+in.+x+4+in.+x+6+in.+Rebar+Demon%E2%84%A2+SDS-Plus+4-Cutter+Full+Carbide+Head+Hammer+Bit&amp;qid=1694735291&amp;sr=8-6")</f>
        <v/>
      </c>
      <c r="F4554" t="inlineStr">
        <is>
          <t>B089LGF2KS</t>
        </is>
      </c>
      <c r="G4554">
        <f>_xludf.IMAGE("https://edmondsonsupply.com/cdn/shop/products/DMAPL4020_1.jpg?v=1633030415")</f>
        <v/>
      </c>
      <c r="H4554">
        <f>_xludf.IMAGE("https://m.media-amazon.com/images/I/61rU9ZgmndL._AC_UL320_.jpg")</f>
        <v/>
      </c>
      <c r="K4554" t="inlineStr">
        <is>
          <t>6.47</t>
        </is>
      </c>
      <c r="L4554" t="n">
        <v>11.49</v>
      </c>
      <c r="M4554" s="1" t="inlineStr">
        <is>
          <t>77.59%</t>
        </is>
      </c>
      <c r="N4554" s="1" t="n">
        <v>-10.6</v>
      </c>
      <c r="O4554" t="n">
        <v>4.6</v>
      </c>
      <c r="P4554" t="n">
        <v>63</v>
      </c>
      <c r="R4554" t="inlineStr">
        <is>
          <t>InStock</t>
        </is>
      </c>
      <c r="S4554" t="inlineStr">
        <is>
          <t>9.44</t>
        </is>
      </c>
      <c r="T4554" t="inlineStr">
        <is>
          <t>5313711046824</t>
        </is>
      </c>
    </row>
    <row r="4555" ht="87" customHeight="1">
      <c r="A4555" s="2">
        <f>HYPERLINK("https://edmondsonsupply.com/collections/electricians-tools/products/milwaukee-2553-22", "https://edmondsonsupply.com/collections/electricians-tools/products/milwaukee-2553-22")</f>
        <v/>
      </c>
      <c r="B4555" s="2">
        <f>HYPERLINK("https://edmondsonsupply.com/products/milwaukee-2553-22", "https://edmondsonsupply.com/products/milwaukee-2553-22")</f>
        <v/>
      </c>
      <c r="C4555" t="inlineStr">
        <is>
          <t>Milwaukee 2553-22 M12 FUEL™ 1/4" Hex Impact Driver Kit</t>
        </is>
      </c>
      <c r="D4555" t="inlineStr">
        <is>
          <t>Milwaukee 2453-22 M12 Fuel 1/4 Hex Impact Driver Kit W/2 Bat</t>
        </is>
      </c>
      <c r="E4555" s="2">
        <f>HYPERLINK("https://www.amazon.com/Milwaukee-2453-22-Fuel-Impact-Driver/dp/B00BYFNI4U/ref=sr_1_4?keywords=Milwaukee+2553-22+M12+FUEL%E2%84%A2+1%2F4%22+Hex+Impact+Driver+Kit&amp;qid=1694735083&amp;sr=8-4", "https://www.amazon.com/Milwaukee-2453-22-Fuel-Impact-Driver/dp/B00BYFNI4U/ref=sr_1_4?keywords=Milwaukee+2553-22+M12+FUEL%E2%84%A2+1%2F4%22+Hex+Impact+Driver+Kit&amp;qid=1694735083&amp;sr=8-4")</f>
        <v/>
      </c>
      <c r="F4555" t="inlineStr">
        <is>
          <t>B00BYFNI4U</t>
        </is>
      </c>
      <c r="G4555">
        <f>_xlfn.IMAGE("https://edmondsonsupply.com/cdn/shop/products/2553-22_Kit.webp?v=1668445129")</f>
        <v/>
      </c>
      <c r="H4555">
        <f>_xlfn.IMAGE("https://m.media-amazon.com/images/I/6184V-2q5wL._AC_UL320_.jpg")</f>
        <v/>
      </c>
      <c r="K4555" t="inlineStr">
        <is>
          <t>169.0</t>
        </is>
      </c>
      <c r="L4555" t="n">
        <v>299.95</v>
      </c>
      <c r="M4555" s="1" t="inlineStr">
        <is>
          <t>77.49%</t>
        </is>
      </c>
      <c r="N4555" s="7" t="n">
        <v>-10.65</v>
      </c>
      <c r="O4555" t="n">
        <v>5</v>
      </c>
      <c r="P4555" t="n">
        <v>13</v>
      </c>
      <c r="R4555" t="inlineStr">
        <is>
          <t>InStock</t>
        </is>
      </c>
      <c r="S4555" t="inlineStr">
        <is>
          <t>299.0</t>
        </is>
      </c>
      <c r="T4555" t="inlineStr">
        <is>
          <t>7884423528664</t>
        </is>
      </c>
    </row>
    <row r="4556" hidden="1" ht="15.75" customHeight="1">
      <c r="A4556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4556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4556" t="inlineStr">
        <is>
          <t>Milwaukee 48-39-0572 18 TPI Standard Compact Portable Band Saw Blade BULK 100</t>
        </is>
      </c>
      <c r="D4556" t="inlineStr">
        <is>
          <t>Fortool 3PK 48-39-0529 35-3/8 In. 18 TPI Standard Compact Band Saw Blades For Milwaukee Band Saws, Blade Dimensions 35-3/8 in. x 1/2 in. x .020 in.</t>
        </is>
      </c>
      <c r="E4556" s="2">
        <f>HYPERLINK("https://www.amazon.com/Fortool-48-39-0529-Standard-Milwaukee-Dimensions/dp/B09W1BXHFX/ref=sr_1_10?keywords=Milwaukee+48-39-0572+18+TPI+Standard+Compact+Portable+Band+Saw+Blade+BULK+100&amp;qid=1694735025&amp;sr=8-10", "https://www.amazon.com/Fortool-48-39-0529-Standard-Milwaukee-Dimensions/dp/B09W1BXHFX/ref=sr_1_10?keywords=Milwaukee+48-39-0572+18+TPI+Standard+Compact+Portable+Band+Saw+Blade+BULK+100&amp;qid=1694735025&amp;sr=8-10")</f>
        <v/>
      </c>
      <c r="F4556" t="inlineStr">
        <is>
          <t>B09W1BXHFX</t>
        </is>
      </c>
      <c r="G4556">
        <f>_xludf.IMAGE("https://edmondsonsupply.com/cdn/shop/products/21432_48-39-0510.jpg?v=1678901662")</f>
        <v/>
      </c>
      <c r="H4556">
        <f>_xludf.IMAGE("https://m.media-amazon.com/images/I/71grt1m+CDL._AC_UL320_.jpg")</f>
        <v/>
      </c>
      <c r="K4556" t="inlineStr">
        <is>
          <t>21.97</t>
        </is>
      </c>
      <c r="L4556" t="n">
        <v>38.99</v>
      </c>
      <c r="M4556" s="1" t="inlineStr">
        <is>
          <t>77.47%</t>
        </is>
      </c>
      <c r="N4556" s="1" t="n">
        <v>-10.65</v>
      </c>
      <c r="O4556" t="n">
        <v>3.7</v>
      </c>
      <c r="P4556" t="n">
        <v>4</v>
      </c>
      <c r="R4556" t="inlineStr">
        <is>
          <t>InStock</t>
        </is>
      </c>
      <c r="S4556" t="inlineStr">
        <is>
          <t>27.5</t>
        </is>
      </c>
      <c r="T4556" t="inlineStr">
        <is>
          <t>7962068549848</t>
        </is>
      </c>
    </row>
    <row r="4557" hidden="1" ht="15.75" customHeight="1">
      <c r="A4557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4557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4557" t="inlineStr">
        <is>
          <t>Diablo Tools DMARG1100 5/16 in. x 4 in. x 6 in. SPEEDemon™ Red Granite Carbide Tipped Hammer Drill Bit</t>
        </is>
      </c>
      <c r="D4557" t="inlineStr">
        <is>
          <t>Diablo by Freud DMARG1140 7/16 in. x 4 in. x 6 in. SPEEDemon Red Granite Carbide Tipped Hammer Drill Bit Multi, One Size</t>
        </is>
      </c>
      <c r="E4557" s="2">
        <f>HYPERLINK("https://www.amazon.com/Diablo-SPEEDemon-Granite-Carbide-Tipped/dp/B089LJWV6X/ref=sr_1_12?keywords=Diablo+Tools+DMARG1100+5%2F16+in.+x+4+in.+x+6+in.+SPEEDemon%E2%84%A2+Red+Granite+Carbide+Tipped+Hammer+Drill+Bit&amp;qid=1694735277&amp;sr=8-12", "https://www.amazon.com/Diablo-SPEEDemon-Granite-Carbide-Tipped/dp/B089LJWV6X/ref=sr_1_12?keywords=Diablo+Tools+DMARG1100+5%2F16+in.+x+4+in.+x+6+in.+SPEEDemon%E2%84%A2+Red+Granite+Carbide+Tipped+Hammer+Drill+Bit&amp;qid=1694735277&amp;sr=8-12")</f>
        <v/>
      </c>
      <c r="F4557" t="inlineStr">
        <is>
          <t>B089LJWV6X</t>
        </is>
      </c>
      <c r="G4557">
        <f>_xludf.IMAGE("https://edmondsonsupply.com/cdn/shop/products/DMARG1100_Main-Image20200702.png?v=1633030510")</f>
        <v/>
      </c>
      <c r="H4557">
        <f>_xludf.IMAGE("https://m.media-amazon.com/images/I/61CZVnVOl-L._AC_UL320_.jpg")</f>
        <v/>
      </c>
      <c r="K4557" t="inlineStr">
        <is>
          <t>5.28</t>
        </is>
      </c>
      <c r="L4557" t="n">
        <v>9.369999999999999</v>
      </c>
      <c r="M4557" s="1" t="inlineStr">
        <is>
          <t>77.46%</t>
        </is>
      </c>
      <c r="N4557" s="1" t="n">
        <v>-10.73</v>
      </c>
      <c r="O4557" t="n">
        <v>5</v>
      </c>
      <c r="P4557" t="n">
        <v>7</v>
      </c>
      <c r="R4557" t="inlineStr">
        <is>
          <t>InStock</t>
        </is>
      </c>
      <c r="S4557" t="inlineStr">
        <is>
          <t>undefined</t>
        </is>
      </c>
      <c r="T4557" t="inlineStr">
        <is>
          <t>5386452861096</t>
        </is>
      </c>
    </row>
    <row r="4558" ht="87" customHeight="1">
      <c r="A4558" s="2">
        <f>HYPERLINK("https://edmondsonsupply.com/collections/electricians-tools/products/komelon-7325-25-x-1-maggrip%E2%84%A2-speedmark%E2%84%A2-magnetic-tape-measure", "https://edmondsonsupply.com/collections/electricians-tools/products/komelon-7325-25-x-1-maggrip%E2%84%A2-speedmark%E2%84%A2-magnetic-tape-measure")</f>
        <v/>
      </c>
      <c r="B4558" s="2">
        <f>HYPERLINK("https://edmondsonsupply.com/products/komelon-7325-25-x-1-maggrip%e2%84%a2-speedmark%e2%84%a2-magnetic-tape-measure", "https://edmondsonsupply.com/products/komelon-7325-25-x-1-maggrip%e2%84%a2-speedmark%e2%84%a2-magnetic-tape-measure")</f>
        <v/>
      </c>
      <c r="C4558" t="inlineStr">
        <is>
          <t>Komelon 7325 25' X 1" MagGrip™ SpeedMark™, Magnetic Tape Measure</t>
        </is>
      </c>
      <c r="D4558" t="inlineStr">
        <is>
          <t>Komelon 7125IE; 25' x 1" Magnetic MagGrip Pro Tape Measure with Inch/Engineer Scale, Yellow/Black</t>
        </is>
      </c>
      <c r="E4558" s="2">
        <f>HYPERLINK("https://www.amazon.com/Komelon-7125IE-Engineer-Measuring-Magnetic/dp/B0013L8E8U/ref=sr_1_5?keywords=Komelon+7325+25%27+X+1%22+MagGrip%E2%84%A2+SpeedMark%E2%84%A2%2C+Magnetic+Tape+Measure&amp;qid=1694735220&amp;sr=8-5", "https://www.amazon.com/Komelon-7125IE-Engineer-Measuring-Magnetic/dp/B0013L8E8U/ref=sr_1_5?keywords=Komelon+7325+25%27+X+1%22+MagGrip%E2%84%A2+SpeedMark%E2%84%A2%2C+Magnetic+Tape+Measure&amp;qid=1694735220&amp;sr=8-5")</f>
        <v/>
      </c>
      <c r="F4558" t="inlineStr">
        <is>
          <t>B0013L8E8U</t>
        </is>
      </c>
      <c r="G4558">
        <f>_xlfn.IMAGE("https://edmondsonsupply.com/cdn/shop/products/7325_angleExtended.jpg?v=1633030981")</f>
        <v/>
      </c>
      <c r="H4558">
        <f>_xlfn.IMAGE("https://m.media-amazon.com/images/I/81rg3hEgjpL._AC_UL320_.jpg")</f>
        <v/>
      </c>
      <c r="K4558" t="inlineStr">
        <is>
          <t>13.99</t>
        </is>
      </c>
      <c r="L4558" t="n">
        <v>24.82</v>
      </c>
      <c r="M4558" s="1" t="inlineStr">
        <is>
          <t>77.41%</t>
        </is>
      </c>
      <c r="N4558" s="7" t="n">
        <v>-10.73</v>
      </c>
      <c r="O4558" t="n">
        <v>4.6</v>
      </c>
      <c r="P4558" t="n">
        <v>1533</v>
      </c>
      <c r="R4558" t="inlineStr">
        <is>
          <t>InStock</t>
        </is>
      </c>
      <c r="S4558" t="inlineStr">
        <is>
          <t>undefined</t>
        </is>
      </c>
      <c r="T4558" t="inlineStr">
        <is>
          <t>6652039692461</t>
        </is>
      </c>
    </row>
    <row r="4559" ht="87" customHeight="1">
      <c r="A4559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4559" s="2">
        <f>HYPERLINK("https://edmondsonsupply.com/products/diablo-tools-dmapl2320-1-2-in-x-10-in-x-12-in-sds-plus-2-cutter", "https://edmondsonsupply.com/products/diablo-tools-dmapl2320-1-2-in-x-10-in-x-12-in-sds-plus-2-cutter")</f>
        <v/>
      </c>
      <c r="C4559" t="inlineStr">
        <is>
          <t>Diablo Tools DMAPL2320 1/2 in. x 10 in. x 12 in. SDS-Plus 2-Cutter</t>
        </is>
      </c>
      <c r="D4559" t="inlineStr">
        <is>
          <t>Diablo by Freud DMAPL4200 1/2 in. x 16 in. x 18 in. Rebar Demon SDS-Plus 4-Cutter Full Carbide Head Hammer Bit</t>
        </is>
      </c>
      <c r="E4559" s="2">
        <f>HYPERLINK("https://www.amazon.com/Diablo-Freud-DMAPL4200-SDS-Plus-4-Cutter/dp/B089KW2QV1/ref=sr_1_9?keywords=Diablo+Tools+DMAPL2320+1%2F2+in.+x+10+in.+x+12+in.+SDS-Plus+2-Cutter&amp;qid=1694735300&amp;sr=8-9", "https://www.amazon.com/Diablo-Freud-DMAPL4200-SDS-Plus-4-Cutter/dp/B089KW2QV1/ref=sr_1_9?keywords=Diablo+Tools+DMAPL2320+1%2F2+in.+x+10+in.+x+12+in.+SDS-Plus+2-Cutter&amp;qid=1694735300&amp;sr=8-9")</f>
        <v/>
      </c>
      <c r="F4559" t="inlineStr">
        <is>
          <t>B089KW2QV1</t>
        </is>
      </c>
      <c r="G4559">
        <f>_xlfn.IMAGE("https://edmondsonsupply.com/cdn/shop/products/DMAPL2320.jpg?v=1633030356")</f>
        <v/>
      </c>
      <c r="H4559">
        <f>_xlfn.IMAGE("https://m.media-amazon.com/images/I/61rW+ROVmNL._AC_UL320_.jpg")</f>
        <v/>
      </c>
      <c r="K4559" t="inlineStr">
        <is>
          <t>12.97</t>
        </is>
      </c>
      <c r="L4559" t="n">
        <v>23</v>
      </c>
      <c r="M4559" s="1" t="inlineStr">
        <is>
          <t>77.33%</t>
        </is>
      </c>
      <c r="N4559" s="7" t="n">
        <v>-10.83</v>
      </c>
      <c r="O4559" t="n">
        <v>4.7</v>
      </c>
      <c r="P4559" t="n">
        <v>18</v>
      </c>
      <c r="R4559" t="inlineStr">
        <is>
          <t>InStock</t>
        </is>
      </c>
      <c r="S4559" t="inlineStr">
        <is>
          <t>14.25</t>
        </is>
      </c>
      <c r="T4559" t="inlineStr">
        <is>
          <t>5286282264744</t>
        </is>
      </c>
    </row>
    <row r="4560" hidden="1" ht="15.75" customHeight="1">
      <c r="A4560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4560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4560" t="inlineStr">
        <is>
          <t>Diablo Tools DMAPL4010 5/32 in. x 2 in. x 4 in. Rebar Demon™ SDS-Plus 4-Cutter Full Carbide Head Hammer Bit</t>
        </is>
      </c>
      <c r="D4560" t="inlineStr">
        <is>
          <t>Diablo by Freud Diablo DMAPL4210 5/8 in. x 4 in. x 6 in. Rebar Demon SDS-Plus 4-Cutter Full Carbide Head Hammer Bit</t>
        </is>
      </c>
      <c r="E4560" s="2">
        <f>HYPERLINK("https://www.amazon.com/Diablo-Freud-DMAPL4210-SDS-Plus-4-Cutter/dp/B089LGF2KS/ref=sr_1_15?keywords=Diablo+Tools+DMAPL4010+5%2F32+in.+x+2+in.+x+4+in.+Rebar+Demon%E2%84%A2+SDS-Plus+4-Cutter+Full+Carbide+Head+Hammer+Bit&amp;qid=1694735296&amp;sr=8-15", "https://www.amazon.com/Diablo-Freud-DMAPL4210-SDS-Plus-4-Cutter/dp/B089LGF2KS/ref=sr_1_15?keywords=Diablo+Tools+DMAPL4010+5%2F32+in.+x+2+in.+x+4+in.+Rebar+Demon%E2%84%A2+SDS-Plus+4-Cutter+Full+Carbide+Head+Hammer+Bit&amp;qid=1694735296&amp;sr=8-15")</f>
        <v/>
      </c>
      <c r="F4560" t="inlineStr">
        <is>
          <t>B089LGF2KS</t>
        </is>
      </c>
      <c r="G4560">
        <f>_xludf.IMAGE("https://edmondsonsupply.com/cdn/shop/products/DMAPL4010.jpg?v=1633030357")</f>
        <v/>
      </c>
      <c r="H4560">
        <f>_xludf.IMAGE("https://m.media-amazon.com/images/I/61rU9ZgmndL._AC_UL320_.jpg")</f>
        <v/>
      </c>
      <c r="K4560" t="inlineStr">
        <is>
          <t>6.48</t>
        </is>
      </c>
      <c r="L4560" t="n">
        <v>11.49</v>
      </c>
      <c r="M4560" s="1" t="inlineStr">
        <is>
          <t>77.31%</t>
        </is>
      </c>
      <c r="N4560" s="1" t="n">
        <v>-10.97</v>
      </c>
      <c r="O4560" t="n">
        <v>4.6</v>
      </c>
      <c r="P4560" t="n">
        <v>63</v>
      </c>
      <c r="R4560" t="inlineStr">
        <is>
          <t>InStock</t>
        </is>
      </c>
      <c r="S4560" t="inlineStr">
        <is>
          <t>10.3</t>
        </is>
      </c>
      <c r="T4560" t="inlineStr">
        <is>
          <t>5286308380840</t>
        </is>
      </c>
    </row>
    <row r="4561" hidden="1" ht="15.75" customHeight="1">
      <c r="A4561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4561" s="2">
        <f>HYPERLINK("https://edmondsonsupply.com/products/diablo-tools-d0824x-8-1-4-in-x-24-tooth-framing-saw-blade", "https://edmondsonsupply.com/products/diablo-tools-d0824x-8-1-4-in-x-24-tooth-framing-saw-blade")</f>
        <v/>
      </c>
      <c r="C4561" t="inlineStr">
        <is>
          <t>Diablo Tools D0824X 8-1/4 in. x 24 Tooth Framing Saw Blade</t>
        </is>
      </c>
      <c r="D4561" t="inlineStr">
        <is>
          <t>Diablo D0824X 8-1/4" 24T Diablo Circular Saw Framing Blade</t>
        </is>
      </c>
      <c r="E4561" s="2">
        <f>HYPERLINK("https://www.amazon.com/Diablo-D0824X-Circular-Framing-Blade/dp/B01JED7NYY/ref=sr_1_8?keywords=Diablo+Tools+D0824X+8-1%2F4+in.+x+24+Tooth+Framing+Saw+Blade&amp;qid=1694735018&amp;sr=8-8", "https://www.amazon.com/Diablo-D0824X-Circular-Framing-Blade/dp/B01JED7NYY/ref=sr_1_8?keywords=Diablo+Tools+D0824X+8-1%2F4+in.+x+24+Tooth+Framing+Saw+Blade&amp;qid=1694735018&amp;sr=8-8")</f>
        <v/>
      </c>
      <c r="F4561" t="inlineStr">
        <is>
          <t>B01JED7NYY</t>
        </is>
      </c>
      <c r="G4561">
        <f>_xludf.IMAGE("https://edmondsonsupply.com/cdn/shop/products/waqxzlwfclzed6nt6ziy.webp?v=1678979454")</f>
        <v/>
      </c>
      <c r="H4561">
        <f>_xludf.IMAGE("https://m.media-amazon.com/images/I/51ls-l0pZ8L._AC_UL320_.jpg")</f>
        <v/>
      </c>
      <c r="K4561" t="inlineStr">
        <is>
          <t>18.97</t>
        </is>
      </c>
      <c r="L4561" t="n">
        <v>33.63</v>
      </c>
      <c r="M4561" s="1" t="inlineStr">
        <is>
          <t>77.28%</t>
        </is>
      </c>
      <c r="N4561" s="1" t="n">
        <v>-11.07</v>
      </c>
      <c r="O4561" t="n">
        <v>3</v>
      </c>
      <c r="P4561" t="n">
        <v>2</v>
      </c>
      <c r="R4561" t="inlineStr">
        <is>
          <t>InStock</t>
        </is>
      </c>
      <c r="S4561" t="inlineStr">
        <is>
          <t>26.89</t>
        </is>
      </c>
      <c r="T4561" t="inlineStr">
        <is>
          <t>7962666500312</t>
        </is>
      </c>
    </row>
    <row r="4562" ht="87" customHeight="1">
      <c r="A4562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562" s="2">
        <f>HYPERLINK("https://edmondsonsupply.com/products/klein-tools-32305-15-in-1-multi-bit-ratcheting-screwdriver", "https://edmondsonsupply.com/products/klein-tools-32305-15-in-1-multi-bit-ratcheting-screwdriver")</f>
        <v/>
      </c>
      <c r="C4562" t="inlineStr">
        <is>
          <t>Klein Tools 32305 15-in-1 Multi-Bit Ratcheting Screwdriver</t>
        </is>
      </c>
      <c r="D4562" t="inlineStr">
        <is>
          <t>Klein Tools 32308 Multi-bit Stubby Screwdriver &amp; 32305 Multi-bit Ratcheting Screwdriver, 15-in-1 Tool with Phillips, Slotted, Square, Torx and Combo Bits and 1/4-Inch Nut Driver</t>
        </is>
      </c>
      <c r="E4562" s="2">
        <f>HYPERLINK("https://www.amazon.com/Klein-Tools-Multi-bit-Screwdriver-Ratcheting/dp/B0B56L1H2R/ref=sr_1_2?keywords=Klein+Tools+32305+15-in-1+Multi-Bit+Ratcheting+Screwdriver&amp;qid=1694735163&amp;sr=8-2", "https://www.amazon.com/Klein-Tools-Multi-bit-Screwdriver-Ratcheting/dp/B0B56L1H2R/ref=sr_1_2?keywords=Klein+Tools+32305+15-in-1+Multi-Bit+Ratcheting+Screwdriver&amp;qid=1694735163&amp;sr=8-2")</f>
        <v/>
      </c>
      <c r="F4562" t="inlineStr">
        <is>
          <t>B0B56L1H2R</t>
        </is>
      </c>
      <c r="G4562">
        <f>_xlfn.IMAGE("https://edmondsonsupply.com/cdn/shop/products/32305.jpg?v=1646965475")</f>
        <v/>
      </c>
      <c r="H4562">
        <f>_xlfn.IMAGE("https://m.media-amazon.com/images/I/51Y3KYHxHyL._AC_UL320_.jpg")</f>
        <v/>
      </c>
      <c r="K4562" t="inlineStr">
        <is>
          <t>21.97</t>
        </is>
      </c>
      <c r="L4562" t="n">
        <v>38.94</v>
      </c>
      <c r="M4562" s="1" t="inlineStr">
        <is>
          <t>77.24%</t>
        </is>
      </c>
      <c r="N4562" s="7" t="n">
        <v>-11.13</v>
      </c>
      <c r="O4562" t="n">
        <v>4.7</v>
      </c>
      <c r="P4562" t="n">
        <v>127</v>
      </c>
      <c r="R4562" t="inlineStr">
        <is>
          <t>InStock</t>
        </is>
      </c>
      <c r="S4562" t="inlineStr">
        <is>
          <t>30.78</t>
        </is>
      </c>
      <c r="T4562" t="inlineStr">
        <is>
          <t>7632426598616</t>
        </is>
      </c>
    </row>
    <row r="4563" hidden="1" ht="15.75" customHeight="1">
      <c r="A4563" s="2">
        <f>HYPERLINK("https://edmondsonsupply.com/collections/electricians-tools/products/diablo-tools-dmapl2140-1-4-in-x-4-in-x-6-in-sds-plus-2-cutter", "https://edmondsonsupply.com/collections/electricians-tools/products/diablo-tools-dmapl2140-1-4-in-x-4-in-x-6-in-sds-plus-2-cutter")</f>
        <v/>
      </c>
      <c r="B4563" s="2">
        <f>HYPERLINK("https://edmondsonsupply.com/products/diablo-tools-dmapl2140-1-4-in-x-4-in-x-6-in-sds-plus-2-cutter", "https://edmondsonsupply.com/products/diablo-tools-dmapl2140-1-4-in-x-4-in-x-6-in-sds-plus-2-cutter")</f>
        <v/>
      </c>
      <c r="C4563" t="inlineStr">
        <is>
          <t>Diablo Tools DMAPL2140 1/4 in. x 4 in. x 6 in. SDS‑Plus 2‑Cutter</t>
        </is>
      </c>
      <c r="D4563" t="inlineStr">
        <is>
          <t>Diablo by Freud Diablo DMAPL4070 1/4 in. x 4 in. x 6 in. Rebar Demon SDS-Plus 4-Cutter Full Carbide Head Hammer Bit</t>
        </is>
      </c>
      <c r="E4563" s="2">
        <f>HYPERLINK("https://www.amazon.com/Diablo-Freud-DMAPL4070-SDS-Plus-4-Cutter/dp/B089KVLDML/ref=sr_1_2?keywords=Diablo+Tools+DMAPL2140+1%2F4+in.+x+4+in.+x+6+in.+SDS%E2%80%91Plus+2%E2%80%91Cutter&amp;qid=1694735261&amp;sr=8-2", "https://www.amazon.com/Diablo-Freud-DMAPL4070-SDS-Plus-4-Cutter/dp/B089KVLDML/ref=sr_1_2?keywords=Diablo+Tools+DMAPL2140+1%2F4+in.+x+4+in.+x+6+in.+SDS%E2%80%91Plus+2%E2%80%91Cutter&amp;qid=1694735261&amp;sr=8-2")</f>
        <v/>
      </c>
      <c r="F4563" t="inlineStr">
        <is>
          <t>B089KVLDML</t>
        </is>
      </c>
      <c r="G4563">
        <f>_xludf.IMAGE("https://edmondsonsupply.com/cdn/shop/products/DMAPL2140-P25_Main-Image20200701_051150e2-bdbb-41a1-87fd-df202a887b18.png?v=1633030654")</f>
        <v/>
      </c>
      <c r="H4563">
        <f>_xludf.IMAGE("https://m.media-amazon.com/images/I/61fLLQz5xPL._AC_UL320_.jpg")</f>
        <v/>
      </c>
      <c r="K4563" t="inlineStr">
        <is>
          <t>4.99</t>
        </is>
      </c>
      <c r="L4563" t="n">
        <v>8.84</v>
      </c>
      <c r="M4563" s="1" t="inlineStr">
        <is>
          <t>77.15%</t>
        </is>
      </c>
      <c r="N4563" s="1" t="n">
        <v>-11.16</v>
      </c>
      <c r="O4563" t="n">
        <v>4.4</v>
      </c>
      <c r="P4563" t="n">
        <v>28</v>
      </c>
      <c r="R4563" t="inlineStr">
        <is>
          <t>InStock</t>
        </is>
      </c>
      <c r="S4563" t="inlineStr">
        <is>
          <t>5.04</t>
        </is>
      </c>
      <c r="T4563" t="inlineStr">
        <is>
          <t>5740655739048</t>
        </is>
      </c>
    </row>
    <row r="4564" ht="87" customHeight="1">
      <c r="A4564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4564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4564" t="inlineStr">
        <is>
          <t>Klein Tools 614-2 1/16-Inch Slotted Electronics Screwdriver, 2-Inch</t>
        </is>
      </c>
      <c r="D4564" t="inlineStr">
        <is>
          <t>Klein Tools 32614 Multi-bit Precision Screwdriver Set, 4-in-1 Electronics Pocket Screwdriver, Professional Phillips and Slotted Bits</t>
        </is>
      </c>
      <c r="E4564" s="2">
        <f>HYPERLINK("https://www.amazon.com/Klein-Tools-32614-Screwdriver-Electronics/dp/B07PNC5MPB/ref=sr_1_11?keywords=Klein+Tools+614-2+1%2F16-Inch+Slotted+Electronics+Screwdriver%2C+2-Inch&amp;qid=1694735176&amp;sr=8-11", "https://www.amazon.com/Klein-Tools-32614-Screwdriver-Electronics/dp/B07PNC5MPB/ref=sr_1_11?keywords=Klein+Tools+614-2+1%2F16-Inch+Slotted+Electronics+Screwdriver%2C+2-Inch&amp;qid=1694735176&amp;sr=8-11")</f>
        <v/>
      </c>
      <c r="F4564" t="inlineStr">
        <is>
          <t>B07PNC5MPB</t>
        </is>
      </c>
      <c r="G4564">
        <f>_xlfn.IMAGE("https://edmondsonsupply.com/cdn/shop/products/614-2.jpg?v=1637284311")</f>
        <v/>
      </c>
      <c r="H4564">
        <f>_xlfn.IMAGE("https://m.media-amazon.com/images/I/412OaAua5aL._AC_UL320_.jpg")</f>
        <v/>
      </c>
      <c r="K4564" t="inlineStr">
        <is>
          <t>8.49</t>
        </is>
      </c>
      <c r="L4564" t="n">
        <v>15.03</v>
      </c>
      <c r="M4564" s="1" t="inlineStr">
        <is>
          <t>77.03%</t>
        </is>
      </c>
      <c r="N4564" s="7" t="n">
        <v>-11.43</v>
      </c>
      <c r="O4564" t="n">
        <v>4.7</v>
      </c>
      <c r="P4564" t="n">
        <v>9173</v>
      </c>
      <c r="R4564" t="inlineStr">
        <is>
          <t>InStock</t>
        </is>
      </c>
      <c r="S4564" t="inlineStr">
        <is>
          <t>12.86</t>
        </is>
      </c>
      <c r="T4564" t="inlineStr">
        <is>
          <t>7512018616536</t>
        </is>
      </c>
    </row>
    <row r="4565" ht="87" customHeight="1">
      <c r="A4565" s="2">
        <f>HYPERLINK("https://edmondsonsupply.com/collections/electricians-tools/products/klein-tools-614-3-electronics-screwdriver-3-32-2-mm-slotted-3-76-mm-blade", "https://edmondsonsupply.com/collections/electricians-tools/products/klein-tools-614-3-electronics-screwdriver-3-32-2-mm-slotted-3-76-mm-blade")</f>
        <v/>
      </c>
      <c r="B4565" s="2">
        <f>HYPERLINK("https://edmondsonsupply.com/products/klein-tools-614-3-electronics-screwdriver-3-32-2-mm-slotted-3-76-mm-blade", "https://edmondsonsupply.com/products/klein-tools-614-3-electronics-screwdriver-3-32-2-mm-slotted-3-76-mm-blade")</f>
        <v/>
      </c>
      <c r="C4565" t="inlineStr">
        <is>
          <t>Klein Tools 614-3 3/32-Inch Slotted Electronics Screwdriver, 3-Inch</t>
        </is>
      </c>
      <c r="D4565" t="inlineStr">
        <is>
          <t>Klein Tools 32614 Multi-bit Precision Screwdriver Set, 4-in-1 Electronics Pocket Screwdriver, Professional Phillips and Slotted Bits</t>
        </is>
      </c>
      <c r="E4565" s="2">
        <f>HYPERLINK("https://www.amazon.com/Klein-Tools-32614-Screwdriver-Electronics/dp/B07PNC5MPB/ref=sr_1_10?keywords=Klein+Tools+614-3+3%2F32-Inch+Slotted+Electronics+Screwdriver%2C+3-Inch&amp;qid=1694735400&amp;sr=8-10", "https://www.amazon.com/Klein-Tools-32614-Screwdriver-Electronics/dp/B07PNC5MPB/ref=sr_1_10?keywords=Klein+Tools+614-3+3%2F32-Inch+Slotted+Electronics+Screwdriver%2C+3-Inch&amp;qid=1694735400&amp;sr=8-10")</f>
        <v/>
      </c>
      <c r="F4565" t="inlineStr">
        <is>
          <t>B07PNC5MPB</t>
        </is>
      </c>
      <c r="G4565">
        <f>_xlfn.IMAGE("https://edmondsonsupply.com/cdn/shop/products/614-3.jpg?v=1587143248")</f>
        <v/>
      </c>
      <c r="H4565">
        <f>_xlfn.IMAGE("https://m.media-amazon.com/images/I/412OaAua5aL._AC_UL320_.jpg")</f>
        <v/>
      </c>
      <c r="K4565" t="inlineStr">
        <is>
          <t>8.49</t>
        </is>
      </c>
      <c r="L4565" t="n">
        <v>15.03</v>
      </c>
      <c r="M4565" s="1" t="inlineStr">
        <is>
          <t>77.03%</t>
        </is>
      </c>
      <c r="N4565" s="7" t="n">
        <v>-11.48</v>
      </c>
      <c r="O4565" t="n">
        <v>4.7</v>
      </c>
      <c r="P4565" t="n">
        <v>9173</v>
      </c>
      <c r="R4565" t="inlineStr">
        <is>
          <t>InStock</t>
        </is>
      </c>
      <c r="S4565" t="inlineStr">
        <is>
          <t>12.86</t>
        </is>
      </c>
      <c r="T4565" t="inlineStr">
        <is>
          <t>2766956003428</t>
        </is>
      </c>
    </row>
    <row r="4566" hidden="1" ht="15.75" customHeight="1">
      <c r="A4566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566" s="2">
        <f>HYPERLINK("https://edmondsonsupply.com/products/klein-tools-s10-5-16-inch-nut-driver-3-inch-hollow-shaft", "https://edmondsonsupply.com/products/klein-tools-s10-5-16-inch-nut-driver-3-inch-hollow-shaft")</f>
        <v/>
      </c>
      <c r="C4566" t="inlineStr">
        <is>
          <t>Klein Tools S10 5/16-Inch Nut Driver 3-Inch Hollow Shaft</t>
        </is>
      </c>
      <c r="D4566" t="inlineStr">
        <is>
          <t>Klein Tools 610 Tool Set, Nut Driver Set with Stubby Nut Driver Sizes 1/4 and 5/16-Inch, Full Hollow Shaft, 2-Piece</t>
        </is>
      </c>
      <c r="E4566" s="2">
        <f>HYPERLINK("https://www.amazon.com/Klein-Tools-610-16-Inch-2-Piece/dp/B000CSKRCQ/ref=sr_1_16?keywords=Klein+Tools+S10+5%2F16-Inch+Nut+Driver+3-Inch+Hollow+Shaft&amp;qid=1694735234&amp;sr=8-16", "https://www.amazon.com/Klein-Tools-610-16-Inch-2-Piece/dp/B000CSKRCQ/ref=sr_1_16?keywords=Klein+Tools+S10+5%2F16-Inch+Nut+Driver+3-Inch+Hollow+Shaft&amp;qid=1694735234&amp;sr=8-16")</f>
        <v/>
      </c>
      <c r="F4566" t="inlineStr">
        <is>
          <t>B000CSKRCQ</t>
        </is>
      </c>
      <c r="G4566">
        <f>_xludf.IMAGE("https://edmondsonsupply.com/cdn/shop/products/s10_38acacb8-6c8e-49ef-8ed3-7160ab53875a.jpg?v=1633030893")</f>
        <v/>
      </c>
      <c r="H4566">
        <f>_xludf.IMAGE("https://m.media-amazon.com/images/I/51+8QhofFWL._AC_UL320_.jpg")</f>
        <v/>
      </c>
      <c r="K4566" t="inlineStr">
        <is>
          <t>7.99</t>
        </is>
      </c>
      <c r="L4566" t="n">
        <v>14.14</v>
      </c>
      <c r="M4566" s="1" t="inlineStr">
        <is>
          <t>76.97%</t>
        </is>
      </c>
      <c r="N4566" s="1" t="n">
        <v>-11.54</v>
      </c>
      <c r="O4566" t="n">
        <v>4.9</v>
      </c>
      <c r="P4566" t="n">
        <v>19</v>
      </c>
      <c r="R4566" t="inlineStr">
        <is>
          <t>InStock</t>
        </is>
      </c>
      <c r="S4566" t="inlineStr">
        <is>
          <t>12.06</t>
        </is>
      </c>
      <c r="T4566" t="inlineStr">
        <is>
          <t>6223447031981</t>
        </is>
      </c>
    </row>
    <row r="4567" ht="87" customHeight="1">
      <c r="A4567" s="2">
        <f>HYPERLINK("https://edmondsonsupply.com/collections/electricians-tools/products/klein-tools-vdv770-126-carrying-case-for-scout%C2%AE-pro-3-tester-and-locator-remotes", "https://edmondsonsupply.com/collections/electricians-tools/products/klein-tools-vdv770-126-carrying-case-for-scout%C2%AE-pro-3-tester-and-locator-remotes")</f>
        <v/>
      </c>
      <c r="B4567" s="2">
        <f>HYPERLINK("https://edmondsonsupply.com/products/klein-tools-vdv770-126-carrying-case-for-scout%c2%ae-pro-3-tester-and-locator-remotes", "https://edmondsonsupply.com/products/klein-tools-vdv770-126-carrying-case-for-scout%c2%ae-pro-3-tester-and-locator-remotes")</f>
        <v/>
      </c>
      <c r="C4567" t="inlineStr">
        <is>
          <t>Klein Tools VDV770-126 Carrying Case for Scout® Pro 3 Tester and Locator Remotes</t>
        </is>
      </c>
      <c r="D4567" t="inlineStr">
        <is>
          <t>Klein Tools VDV770-125 Replacement Carrying Case for Scout Pro 3 Series Testers and Test + Map Remotes, Black</t>
        </is>
      </c>
      <c r="E4567" s="2">
        <f>HYPERLINK("https://www.amazon.com/Klein-Tools-VDV770-125-Replacement-Carrying/dp/B08C4LJTX8/ref=sr_1_3?keywords=Klein+Tools+VDV770-126+Carrying+Case+for+Scout%C2%AE+Pro+3+Tester+and+Locator+Remotes&amp;qid=1694735172&amp;sr=8-3", "https://www.amazon.com/Klein-Tools-VDV770-125-Replacement-Carrying/dp/B08C4LJTX8/ref=sr_1_3?keywords=Klein+Tools+VDV770-126+Carrying+Case+for+Scout%C2%AE+Pro+3+Tester+and+Locator+Remotes&amp;qid=1694735172&amp;sr=8-3")</f>
        <v/>
      </c>
      <c r="F4567" t="inlineStr">
        <is>
          <t>B08C4LJTX8</t>
        </is>
      </c>
      <c r="G4567">
        <f>_xlfn.IMAGE("https://edmondsonsupply.com/cdn/shop/products/vdv770126.jpg?v=1646011163")</f>
        <v/>
      </c>
      <c r="H4567">
        <f>_xlfn.IMAGE("https://m.media-amazon.com/images/I/713iEVC-N0L._AC_UL320_.jpg")</f>
        <v/>
      </c>
      <c r="K4567" t="inlineStr">
        <is>
          <t>32.49</t>
        </is>
      </c>
      <c r="L4567" t="n">
        <v>57.49</v>
      </c>
      <c r="M4567" s="1" t="inlineStr">
        <is>
          <t>76.95%</t>
        </is>
      </c>
      <c r="N4567" s="7" t="n">
        <v>-11.55</v>
      </c>
      <c r="O4567" t="n">
        <v>4.8</v>
      </c>
      <c r="P4567" t="n">
        <v>44</v>
      </c>
      <c r="R4567" t="inlineStr">
        <is>
          <t>InStock</t>
        </is>
      </c>
      <c r="S4567" t="inlineStr">
        <is>
          <t>48.14</t>
        </is>
      </c>
      <c r="T4567" t="inlineStr">
        <is>
          <t>7620077256920</t>
        </is>
      </c>
    </row>
    <row r="4568" ht="87" customHeight="1">
      <c r="A4568" s="2">
        <f>HYPERLINK("https://edmondsonsupply.com/collections/electricians-tools/products/diablo-tools-dag", "https://edmondsonsupply.com/collections/electricians-tools/products/diablo-tools-dag")</f>
        <v/>
      </c>
      <c r="B4568" s="2">
        <f>HYPERLINK("https://edmondsonsupply.com/products/diablo-tools-dag", "https://edmondsonsupply.com/products/diablo-tools-dag")</f>
        <v/>
      </c>
      <c r="C4568" t="inlineStr">
        <is>
          <t>Diablo Tools DAG3010 3/8 in. x 17-1/2 in. Auger Bit</t>
        </is>
      </c>
      <c r="D4568" t="inlineStr">
        <is>
          <t>Diablo 7/8 in. x 17-1/2 in. Auger Bit</t>
        </is>
      </c>
      <c r="E4568" s="2">
        <f>HYPERLINK("https://www.amazon.com/Diablo-17-1-Auger-Bit/dp/B089LG8GYB/ref=sr_1_10?keywords=Diablo+Tools+DAG3010+3%2F8+in.+x+17-1%2F2+in.+Auger+Bit&amp;qid=1694735073&amp;sr=8-10", "https://www.amazon.com/Diablo-17-1-Auger-Bit/dp/B089LG8GYB/ref=sr_1_10?keywords=Diablo+Tools+DAG3010+3%2F8+in.+x+17-1%2F2+in.+Auger+Bit&amp;qid=1694735073&amp;sr=8-10")</f>
        <v/>
      </c>
      <c r="F4568" t="inlineStr">
        <is>
          <t>B089LG8GYB</t>
        </is>
      </c>
      <c r="G4568">
        <f>_xlfn.IMAGE("https://edmondsonsupply.com/cdn/shop/products/xfctdbahz5wx3g461fm8.webp?v=1669991052")</f>
        <v/>
      </c>
      <c r="H4568">
        <f>_xlfn.IMAGE("https://m.media-amazon.com/images/I/61QXZJGNQTL._AC_UL320_.jpg")</f>
        <v/>
      </c>
      <c r="K4568" t="inlineStr">
        <is>
          <t>17.47</t>
        </is>
      </c>
      <c r="L4568" t="n">
        <v>30.9</v>
      </c>
      <c r="M4568" s="1" t="inlineStr">
        <is>
          <t>76.87%</t>
        </is>
      </c>
      <c r="N4568" s="7" t="n">
        <v>-11.68</v>
      </c>
      <c r="O4568" t="n">
        <v>4.3</v>
      </c>
      <c r="P4568" t="n">
        <v>29</v>
      </c>
      <c r="R4568" t="inlineStr">
        <is>
          <t>InStock</t>
        </is>
      </c>
      <c r="S4568" t="inlineStr">
        <is>
          <t>25.04</t>
        </is>
      </c>
      <c r="T4568" t="inlineStr">
        <is>
          <t>7897480921304</t>
        </is>
      </c>
    </row>
    <row r="4569" ht="87" customHeight="1">
      <c r="A4569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4569" s="2">
        <f>HYPERLINK("https://edmondsonsupply.com/products/klein-tools-635-7-16-7-16-inch-heavy-duty-nut-driver", "https://edmondsonsupply.com/products/klein-tools-635-7-16-7-16-inch-heavy-duty-nut-driver")</f>
        <v/>
      </c>
      <c r="C4569" t="inlineStr">
        <is>
          <t>Klein Tools 635-7/16 7/16-Inch Heavy-Duty Nut Driver</t>
        </is>
      </c>
      <c r="D4569" t="inlineStr">
        <is>
          <t>Klein Tools 646-7/16-INS Insulated Nut Driver, 7/16-Inch, 6-Inch Hollow Shaft, Cushion Grip Handle</t>
        </is>
      </c>
      <c r="E4569" s="2">
        <f>HYPERLINK("https://www.amazon.com/Insulated-Klein-Tools-646-7-16-INS/dp/B000MKIUWS/ref=sr_1_19?keywords=Klein+Tools+635-7%2F16+7%2F16-Inch+Heavy-Duty+Nut+Driver&amp;qid=1694735398&amp;sr=8-19", "https://www.amazon.com/Insulated-Klein-Tools-646-7-16-INS/dp/B000MKIUWS/ref=sr_1_19?keywords=Klein+Tools+635-7%2F16+7%2F16-Inch+Heavy-Duty+Nut+Driver&amp;qid=1694735398&amp;sr=8-19")</f>
        <v/>
      </c>
      <c r="F4569" t="inlineStr">
        <is>
          <t>B000MKIUWS</t>
        </is>
      </c>
      <c r="G4569">
        <f>_xlfn.IMAGE("https://edmondsonsupply.com/cdn/shop/products/635-7-16.jpg?v=1587145128")</f>
        <v/>
      </c>
      <c r="H4569">
        <f>_xlfn.IMAGE("https://m.media-amazon.com/images/I/41qYaTzmnDL._AC_UL320_.jpg")</f>
        <v/>
      </c>
      <c r="K4569" t="inlineStr">
        <is>
          <t>14.49</t>
        </is>
      </c>
      <c r="L4569" t="n">
        <v>25.61</v>
      </c>
      <c r="M4569" s="1" t="inlineStr">
        <is>
          <t>76.74%</t>
        </is>
      </c>
      <c r="N4569" s="7" t="n">
        <v>-11.77</v>
      </c>
      <c r="O4569" t="n">
        <v>4.7</v>
      </c>
      <c r="P4569" t="n">
        <v>272</v>
      </c>
      <c r="R4569" t="inlineStr">
        <is>
          <t>InStock</t>
        </is>
      </c>
      <c r="S4569" t="inlineStr">
        <is>
          <t>21.94</t>
        </is>
      </c>
      <c r="T4569" t="inlineStr">
        <is>
          <t>4410745978980</t>
        </is>
      </c>
    </row>
    <row r="4570" ht="87" customHeight="1">
      <c r="A4570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570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570" t="inlineStr">
        <is>
          <t>Klein Tools 32308 8-in-1 Multi-Bit Adjustable Length Stubby Screwdriver</t>
        </is>
      </c>
      <c r="D4570" t="inlineStr">
        <is>
          <t>Klein Tools 80045 Screwdriver and Nut Driver Tool Kit, Includes Magnetic 11 in 1, Multi-Bit Stubby and Electronics Screwdrivers, 3-Piece</t>
        </is>
      </c>
      <c r="E4570" s="2">
        <f>HYPERLINK("https://www.amazon.com/Klein-Tools-80045-Screwdriver-Screwdrivers/dp/B0977S63RW/ref=sr_1_45?keywords=Klein+Tools+32308+8-in-1+Multi-Bit+Adjustable+Length+Stubby+Screwdriver&amp;qid=1694735167&amp;sr=8-45", "https://www.amazon.com/Klein-Tools-80045-Screwdriver-Screwdrivers/dp/B0977S63RW/ref=sr_1_45?keywords=Klein+Tools+32308+8-in-1+Multi-Bit+Adjustable+Length+Stubby+Screwdriver&amp;qid=1694735167&amp;sr=8-45")</f>
        <v/>
      </c>
      <c r="F4570" t="inlineStr">
        <is>
          <t>B0977S63RW</t>
        </is>
      </c>
      <c r="G4570">
        <f>_xlfn.IMAGE("https://edmondsonsupply.com/cdn/shop/products/32308_b.jpg?v=1647348209")</f>
        <v/>
      </c>
      <c r="H4570">
        <f>_xlfn.IMAGE("https://m.media-amazon.com/images/I/51utneNxWTS._AC_UL320_.jpg")</f>
        <v/>
      </c>
      <c r="K4570" t="inlineStr">
        <is>
          <t>16.97</t>
        </is>
      </c>
      <c r="L4570" t="n">
        <v>29.99</v>
      </c>
      <c r="M4570" s="1" t="inlineStr">
        <is>
          <t>76.72%</t>
        </is>
      </c>
      <c r="N4570" s="7" t="n">
        <v>-11.99</v>
      </c>
      <c r="O4570" t="n">
        <v>4.7</v>
      </c>
      <c r="P4570" t="n">
        <v>9173</v>
      </c>
      <c r="R4570" t="inlineStr">
        <is>
          <t>InStock</t>
        </is>
      </c>
      <c r="S4570" t="inlineStr">
        <is>
          <t>23.78</t>
        </is>
      </c>
      <c r="T4570" t="inlineStr">
        <is>
          <t>7637271445720</t>
        </is>
      </c>
    </row>
    <row r="4571" hidden="1" ht="15.75" customHeight="1">
      <c r="A4571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4571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4571" t="inlineStr">
        <is>
          <t>Klein Tools 614-2 1/16-Inch Slotted Electronics Screwdriver, 2-Inch</t>
        </is>
      </c>
      <c r="D4571" t="inlineStr">
        <is>
          <t>Klein Tools 85071 Stubby Slotted and Phillips Screwdriver Set with 5/16-Inch Cabinet-Tips and #2 Phillips-Tip, 2-Piece</t>
        </is>
      </c>
      <c r="E4571" s="2">
        <f>HYPERLINK("https://www.amazon.com/Klein-Tools-85071-Screwdriver-Cushion/dp/B000F9CP1S/ref=sr_1_39?keywords=Klein+Tools+614-2+1%2F16-Inch+Slotted+Electronics+Screwdriver%2C+2-Inch&amp;qid=1694735176&amp;sr=8-39", "https://www.amazon.com/Klein-Tools-85071-Screwdriver-Cushion/dp/B000F9CP1S/ref=sr_1_39?keywords=Klein+Tools+614-2+1%2F16-Inch+Slotted+Electronics+Screwdriver%2C+2-Inch&amp;qid=1694735176&amp;sr=8-39")</f>
        <v/>
      </c>
      <c r="F4571" t="inlineStr">
        <is>
          <t>B000F9CP1S</t>
        </is>
      </c>
      <c r="G4571">
        <f>_xludf.IMAGE("https://edmondsonsupply.com/cdn/shop/products/614-2.jpg?v=1637284311")</f>
        <v/>
      </c>
      <c r="H4571">
        <f>_xludf.IMAGE("https://m.media-amazon.com/images/I/71CBuPImq7L._AC_UL320_.jpg")</f>
        <v/>
      </c>
      <c r="K4571" t="inlineStr">
        <is>
          <t>8.49</t>
        </is>
      </c>
      <c r="L4571" t="n">
        <v>14.99</v>
      </c>
      <c r="M4571" s="1" t="inlineStr">
        <is>
          <t>76.56%</t>
        </is>
      </c>
      <c r="N4571" s="1" t="n">
        <v>-12.04</v>
      </c>
      <c r="O4571" t="n">
        <v>4.8</v>
      </c>
      <c r="P4571" t="n">
        <v>531</v>
      </c>
      <c r="R4571" t="inlineStr">
        <is>
          <t>InStock</t>
        </is>
      </c>
      <c r="S4571" t="inlineStr">
        <is>
          <t>12.86</t>
        </is>
      </c>
      <c r="T4571" t="inlineStr">
        <is>
          <t>7512018616536</t>
        </is>
      </c>
    </row>
    <row r="4572" ht="87" customHeight="1">
      <c r="A4572" s="2">
        <f>HYPERLINK("https://edmondsonsupply.com/collections/electricians-tools/products/milwaukee-48-22-8488-packout%E2%84%A2-customizable-work-top", "https://edmondsonsupply.com/collections/electricians-tools/products/milwaukee-48-22-8488-packout%E2%84%A2-customizable-work-top")</f>
        <v/>
      </c>
      <c r="B4572" s="2">
        <f>HYPERLINK("https://edmondsonsupply.com/products/milwaukee-48-22-8488-packout%e2%84%a2-customizable-work-top", "https://edmondsonsupply.com/products/milwaukee-48-22-8488-packout%e2%84%a2-customizable-work-top")</f>
        <v/>
      </c>
      <c r="C4572" t="inlineStr">
        <is>
          <t>Milwaukee 48-22-8488 PACKOUT™ Customizable Work Top</t>
        </is>
      </c>
      <c r="D4572" t="inlineStr">
        <is>
          <t>48-22-8488 for Milwaukee PACKOUT Customizable Impact Resistant Durable Work Top</t>
        </is>
      </c>
      <c r="E4572" s="2">
        <f>HYPERLINK("https://www.amazon.com/48-22-8488-Milwaukee-PACKOUT-Customizable-Resistant/dp/B0CBRHVLXX/ref=sr_1_1?keywords=Milwaukee+48-22-8488+PACKOUT%E2%84%A2+Customizable+Work+Top&amp;qid=1694735092&amp;sr=8-1", "https://www.amazon.com/48-22-8488-Milwaukee-PACKOUT-Customizable-Resistant/dp/B0CBRHVLXX/ref=sr_1_1?keywords=Milwaukee+48-22-8488+PACKOUT%E2%84%A2+Customizable+Work+Top&amp;qid=1694735092&amp;sr=8-1")</f>
        <v/>
      </c>
      <c r="F4572" t="inlineStr">
        <is>
          <t>B0CBRHVLXX</t>
        </is>
      </c>
      <c r="G4572">
        <f>_xlfn.IMAGE("https://edmondsonsupply.com/cdn/shop/products/48-22-8488_2.webp?v=1668438301")</f>
        <v/>
      </c>
      <c r="H4572">
        <f>_xlfn.IMAGE("https://m.media-amazon.com/images/I/41BziARMOAL._AC_UL320_.jpg")</f>
        <v/>
      </c>
      <c r="K4572" t="inlineStr">
        <is>
          <t>54.97</t>
        </is>
      </c>
      <c r="L4572" t="n">
        <v>96.98999999999999</v>
      </c>
      <c r="M4572" s="1" t="inlineStr">
        <is>
          <t>76.44%</t>
        </is>
      </c>
      <c r="N4572" s="7" t="n">
        <v>-12.18</v>
      </c>
      <c r="O4572" t="n">
        <v>5</v>
      </c>
      <c r="P4572" t="n">
        <v>1</v>
      </c>
      <c r="R4572" t="inlineStr">
        <is>
          <t>InStock</t>
        </is>
      </c>
      <c r="S4572" t="inlineStr">
        <is>
          <t>86.0</t>
        </is>
      </c>
      <c r="T4572" t="inlineStr">
        <is>
          <t>7884354519256</t>
        </is>
      </c>
    </row>
    <row r="4573" hidden="1" ht="15.75" customHeight="1">
      <c r="A4573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4573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4573" t="inlineStr">
        <is>
          <t>Klein Tools 614-2 1/16-Inch Slotted Electronics Screwdriver, 2-Inch</t>
        </is>
      </c>
      <c r="D4573" t="inlineStr">
        <is>
          <t>Klein Tools 32581INS Precision Screwdriver, 2-in-1 Insulated Screwdriver with No. 0 Phillips and 1/8-Inch Slotted Bits</t>
        </is>
      </c>
      <c r="E4573" s="2">
        <f>HYPERLINK("https://www.amazon.com/Klein-Tools-32581INS-Precision-Screwdriver/dp/B0C1QDNC55/ref=sr_1_2?keywords=Klein+Tools+614-2+1%2F16-Inch+Slotted+Electronics+Screwdriver%2C+2-Inch&amp;qid=1694735176&amp;sr=8-2", "https://www.amazon.com/Klein-Tools-32581INS-Precision-Screwdriver/dp/B0C1QDNC55/ref=sr_1_2?keywords=Klein+Tools+614-2+1%2F16-Inch+Slotted+Electronics+Screwdriver%2C+2-Inch&amp;qid=1694735176&amp;sr=8-2")</f>
        <v/>
      </c>
      <c r="F4573" t="inlineStr">
        <is>
          <t>B0C1QDNC55</t>
        </is>
      </c>
      <c r="G4573">
        <f>_xludf.IMAGE("https://edmondsonsupply.com/cdn/shop/products/614-2.jpg?v=1637284311")</f>
        <v/>
      </c>
      <c r="H4573">
        <f>_xludf.IMAGE("https://m.media-amazon.com/images/I/41yD1dTTQ8L._AC_UL320_.jpg")</f>
        <v/>
      </c>
      <c r="K4573" t="inlineStr">
        <is>
          <t>8.49</t>
        </is>
      </c>
      <c r="L4573" t="n">
        <v>14.97</v>
      </c>
      <c r="M4573" s="1" t="inlineStr">
        <is>
          <t>76.33%</t>
        </is>
      </c>
      <c r="N4573" s="1" t="n">
        <v>-12.2</v>
      </c>
      <c r="O4573" t="n">
        <v>4.8</v>
      </c>
      <c r="P4573" t="n">
        <v>77</v>
      </c>
      <c r="R4573" t="inlineStr">
        <is>
          <t>InStock</t>
        </is>
      </c>
      <c r="S4573" t="inlineStr">
        <is>
          <t>12.86</t>
        </is>
      </c>
      <c r="T4573" t="inlineStr">
        <is>
          <t>7512018616536</t>
        </is>
      </c>
    </row>
    <row r="4574" hidden="1" ht="15.75" customHeight="1">
      <c r="A4574" s="2">
        <f>HYPERLINK("https://edmondsonsupply.com/collections/electricians-tools/products/klein-tools-614-3-electronics-screwdriver-3-32-2-mm-slotted-3-76-mm-blade", "https://edmondsonsupply.com/collections/electricians-tools/products/klein-tools-614-3-electronics-screwdriver-3-32-2-mm-slotted-3-76-mm-blade")</f>
        <v/>
      </c>
      <c r="B4574" s="2">
        <f>HYPERLINK("https://edmondsonsupply.com/products/klein-tools-614-3-electronics-screwdriver-3-32-2-mm-slotted-3-76-mm-blade", "https://edmondsonsupply.com/products/klein-tools-614-3-electronics-screwdriver-3-32-2-mm-slotted-3-76-mm-blade")</f>
        <v/>
      </c>
      <c r="C4574" t="inlineStr">
        <is>
          <t>Klein Tools 614-3 3/32-Inch Slotted Electronics Screwdriver, 3-Inch</t>
        </is>
      </c>
      <c r="D4574" t="inlineStr">
        <is>
          <t>Klein Tools 32581INS Precision Screwdriver, 2-in-1 Insulated Screwdriver with No. 0 Phillips and 1/8-Inch Slotted Bits</t>
        </is>
      </c>
      <c r="E4574" s="2">
        <f>HYPERLINK("https://www.amazon.com/Klein-Tools-32581INS-Precision-Screwdriver/dp/B0C1QDNC55/ref=sr_1_12?keywords=Klein+Tools+614-3+3%2F32-Inch+Slotted+Electronics+Screwdriver%2C+3-Inch&amp;qid=1694735400&amp;sr=8-12", "https://www.amazon.com/Klein-Tools-32581INS-Precision-Screwdriver/dp/B0C1QDNC55/ref=sr_1_12?keywords=Klein+Tools+614-3+3%2F32-Inch+Slotted+Electronics+Screwdriver%2C+3-Inch&amp;qid=1694735400&amp;sr=8-12")</f>
        <v/>
      </c>
      <c r="F4574" t="inlineStr">
        <is>
          <t>B0C1QDNC55</t>
        </is>
      </c>
      <c r="G4574">
        <f>_xludf.IMAGE("https://edmondsonsupply.com/cdn/shop/products/614-3.jpg?v=1587143248")</f>
        <v/>
      </c>
      <c r="H4574">
        <f>_xludf.IMAGE("https://m.media-amazon.com/images/I/41yD1dTTQ8L._AC_UL320_.jpg")</f>
        <v/>
      </c>
      <c r="K4574" t="inlineStr">
        <is>
          <t>8.49</t>
        </is>
      </c>
      <c r="L4574" t="n">
        <v>14.97</v>
      </c>
      <c r="M4574" s="1" t="inlineStr">
        <is>
          <t>76.33%</t>
        </is>
      </c>
      <c r="N4574" s="1" t="n">
        <v>-12.2</v>
      </c>
      <c r="O4574" t="n">
        <v>4.8</v>
      </c>
      <c r="P4574" t="n">
        <v>77</v>
      </c>
      <c r="R4574" t="inlineStr">
        <is>
          <t>InStock</t>
        </is>
      </c>
      <c r="S4574" t="inlineStr">
        <is>
          <t>12.86</t>
        </is>
      </c>
      <c r="T4574" t="inlineStr">
        <is>
          <t>2766956003428</t>
        </is>
      </c>
    </row>
    <row r="4575" hidden="1" ht="15.75" customHeight="1">
      <c r="A4575" s="2">
        <f>HYPERLINK("https://edmondsonsupply.com/collections/electricians-tools/products/klein-tools-jth6t10-t10-torx%C2%AE-hex-key-with-journeyman-t-handle-6-inch", "https://edmondsonsupply.com/collections/electricians-tools/products/klein-tools-jth6t10-t10-torx%C2%AE-hex-key-with-journeyman-t-handle-6-inch")</f>
        <v/>
      </c>
      <c r="B4575" s="2">
        <f>HYPERLINK("https://edmondsonsupply.com/products/klein-tools-jth6t10-t10-torx%c2%ae-hex-key-with-journeyman-t-handle-6-inch", "https://edmondsonsupply.com/products/klein-tools-jth6t10-t10-torx%c2%ae-hex-key-with-journeyman-t-handle-6-inch")</f>
        <v/>
      </c>
      <c r="C4575" t="inlineStr">
        <is>
          <t>Klein Tools JTH6T10 T10 Torx® Hex Key with Journeyman T-Handle, 6-Inch</t>
        </is>
      </c>
      <c r="D4575" t="inlineStr">
        <is>
          <t>Klein Tools JTH6E13BE 1/4-Inch Ball End Hex Key with Journeyman T-Handle, 6-Inch</t>
        </is>
      </c>
      <c r="E4575" s="2">
        <f>HYPERLINK("https://www.amazon.com/Journeyman-T-Handle-Klein-Tools-JTH6E13BE/dp/B004QW52YW/ref=sr_1_5?keywords=Klein+Tools+JTH6T10+T10+Torx%C2%AE+Hex+Key+with+Journeyman+T-Handle%2C+6-Inch&amp;qid=1694735374&amp;sr=8-5", "https://www.amazon.com/Journeyman-T-Handle-Klein-Tools-JTH6E13BE/dp/B004QW52YW/ref=sr_1_5?keywords=Klein+Tools+JTH6T10+T10+Torx%C2%AE+Hex+Key+with+Journeyman+T-Handle%2C+6-Inch&amp;qid=1694735374&amp;sr=8-5")</f>
        <v/>
      </c>
      <c r="F4575" t="inlineStr">
        <is>
          <t>B004QW52YW</t>
        </is>
      </c>
      <c r="G4575">
        <f>_xludf.IMAGE("https://edmondsonsupply.com/cdn/shop/products/jth6t40_07247ac0-2841-478b-a043-bf58bb30dc51.jpg?v=1587149691")</f>
        <v/>
      </c>
      <c r="H4575">
        <f>_xludf.IMAGE("https://m.media-amazon.com/images/I/51f9vBFVXgL._AC_UL320_.jpg")</f>
        <v/>
      </c>
      <c r="K4575" t="inlineStr">
        <is>
          <t>5.99</t>
        </is>
      </c>
      <c r="L4575" t="n">
        <v>10.55</v>
      </c>
      <c r="M4575" s="1" t="inlineStr">
        <is>
          <t>76.13%</t>
        </is>
      </c>
      <c r="N4575" s="1" t="n">
        <v>-12.51</v>
      </c>
      <c r="O4575" t="n">
        <v>4.7</v>
      </c>
      <c r="P4575" t="n">
        <v>32</v>
      </c>
      <c r="R4575" t="inlineStr">
        <is>
          <t>InStock</t>
        </is>
      </c>
      <c r="S4575" t="inlineStr">
        <is>
          <t>9.1</t>
        </is>
      </c>
      <c r="T4575" t="inlineStr">
        <is>
          <t>4421660901476</t>
        </is>
      </c>
    </row>
    <row r="4576" hidden="1" ht="15.75" customHeight="1">
      <c r="A4576" s="2">
        <f>HYPERLINK("https://edmondsonsupply.com/collections/electricians-tools/products/klein-tools-jth6m6be-6-mm-ball-end-hex-key-journeyman%E2%84%A2-t-handle-6-inch", "https://edmondsonsupply.com/collections/electricians-tools/products/klein-tools-jth6m6be-6-mm-ball-end-hex-key-journeyman%E2%84%A2-t-handle-6-inch")</f>
        <v/>
      </c>
      <c r="B4576" s="2">
        <f>HYPERLINK("https://edmondsonsupply.com/products/klein-tools-jth6m6be-6-mm-ball-end-hex-key-journeyman%e2%84%a2-t-handle-6-inch", "https://edmondsonsupply.com/products/klein-tools-jth6m6be-6-mm-ball-end-hex-key-journeyman%e2%84%a2-t-handle-6-inch")</f>
        <v/>
      </c>
      <c r="C4576" t="inlineStr">
        <is>
          <t>Klein Tools JTH6M6BE 6 mm Ball-End Hex Key, Journeyman™ T-Handle, 6-Inch</t>
        </is>
      </c>
      <c r="D4576" t="inlineStr">
        <is>
          <t>Klein Tools JTH6E13BE 1/4-Inch Ball End Hex Key with Journeyman T-Handle, 6-Inch</t>
        </is>
      </c>
      <c r="E4576" s="2">
        <f>HYPERLINK("https://www.amazon.com/Journeyman-T-Handle-Klein-Tools-JTH6E13BE/dp/B004QW52YW/ref=sr_1_5?keywords=Klein+Tools+JTH6M6BE+6+mm+Ball-End+Hex+Key%2C+Journeyman%E2%84%A2+T-Handle%2C+6-Inch&amp;qid=1694735096&amp;sr=8-5", "https://www.amazon.com/Journeyman-T-Handle-Klein-Tools-JTH6E13BE/dp/B004QW52YW/ref=sr_1_5?keywords=Klein+Tools+JTH6M6BE+6+mm+Ball-End+Hex+Key%2C+Journeyman%E2%84%A2+T-Handle%2C+6-Inch&amp;qid=1694735096&amp;sr=8-5")</f>
        <v/>
      </c>
      <c r="F4576" t="inlineStr">
        <is>
          <t>B004QW52YW</t>
        </is>
      </c>
      <c r="G4576">
        <f>_xludf.IMAGE("https://edmondsonsupply.com/cdn/shop/products/jth6m8be_8608088e-2ec0-429e-80d7-5bd927a3a1b6.jpg?v=1666111557")</f>
        <v/>
      </c>
      <c r="H4576">
        <f>_xludf.IMAGE("https://m.media-amazon.com/images/I/51f9vBFVXgL._AC_UL320_.jpg")</f>
        <v/>
      </c>
      <c r="K4576" t="inlineStr">
        <is>
          <t>5.99</t>
        </is>
      </c>
      <c r="L4576" t="n">
        <v>10.55</v>
      </c>
      <c r="M4576" s="1" t="inlineStr">
        <is>
          <t>76.13%</t>
        </is>
      </c>
      <c r="N4576" s="1" t="n">
        <v>-12.51</v>
      </c>
      <c r="O4576" t="n">
        <v>4.7</v>
      </c>
      <c r="P4576" t="n">
        <v>32</v>
      </c>
      <c r="R4576" t="inlineStr">
        <is>
          <t>InStock</t>
        </is>
      </c>
      <c r="S4576" t="inlineStr">
        <is>
          <t>9.12</t>
        </is>
      </c>
      <c r="T4576" t="inlineStr">
        <is>
          <t>7857474404568</t>
        </is>
      </c>
    </row>
    <row r="4577" hidden="1" ht="15.75" customHeight="1">
      <c r="A4577" s="2">
        <f>HYPERLINK("https://edmondsonsupply.com/collections/electricians-tools/products/klein-tools-jth6e13-1-4-inch-hex-key-journeyman-t-handle-6-inch", "https://edmondsonsupply.com/collections/electricians-tools/products/klein-tools-jth6e13-1-4-inch-hex-key-journeyman-t-handle-6-inch")</f>
        <v/>
      </c>
      <c r="B4577" s="2">
        <f>HYPERLINK("https://edmondsonsupply.com/products/klein-tools-jth6e13-1-4-inch-hex-key-journeyman-t-handle-6-inch", "https://edmondsonsupply.com/products/klein-tools-jth6e13-1-4-inch-hex-key-journeyman-t-handle-6-inch")</f>
        <v/>
      </c>
      <c r="C4577" t="inlineStr">
        <is>
          <t>Klein Tools JTH6E13 1/4-Inch Hex Key, Journeyman™ T-Handle, 6-Inch</t>
        </is>
      </c>
      <c r="D4577" t="inlineStr">
        <is>
          <t>Klein Tools JTH6E13BE 1/4-Inch Ball End Hex Key with Journeyman T-Handle, 6-Inch</t>
        </is>
      </c>
      <c r="E4577" s="2">
        <f>HYPERLINK("https://www.amazon.com/Journeyman-T-Handle-Klein-Tools-JTH6E13BE/dp/B004QW52YW/ref=sr_1_2?keywords=Klein+Tools+JTH6E13+1%2F4-Inch+Hex+Key%2C+Journeyman%E2%84%A2+T-Handle%2C+6-Inch&amp;qid=1694735318&amp;sr=8-2", "https://www.amazon.com/Journeyman-T-Handle-Klein-Tools-JTH6E13BE/dp/B004QW52YW/ref=sr_1_2?keywords=Klein+Tools+JTH6E13+1%2F4-Inch+Hex+Key%2C+Journeyman%E2%84%A2+T-Handle%2C+6-Inch&amp;qid=1694735318&amp;sr=8-2")</f>
        <v/>
      </c>
      <c r="F4577" t="inlineStr">
        <is>
          <t>B004QW52YW</t>
        </is>
      </c>
      <c r="G4577">
        <f>_xludf.IMAGE("https://edmondsonsupply.com/cdn/shop/products/jth6e15_6c39ee71-7394-4eeb-8e78-2a1961a59f2c.jpg?v=1589422596")</f>
        <v/>
      </c>
      <c r="H4577">
        <f>_xludf.IMAGE("https://m.media-amazon.com/images/I/51f9vBFVXgL._AC_UL320_.jpg")</f>
        <v/>
      </c>
      <c r="K4577" t="inlineStr">
        <is>
          <t>5.99</t>
        </is>
      </c>
      <c r="L4577" t="n">
        <v>10.55</v>
      </c>
      <c r="M4577" s="1" t="inlineStr">
        <is>
          <t>76.13%</t>
        </is>
      </c>
      <c r="N4577" s="1" t="n">
        <v>-12.55</v>
      </c>
      <c r="O4577" t="n">
        <v>4.7</v>
      </c>
      <c r="P4577" t="n">
        <v>32</v>
      </c>
      <c r="R4577" t="inlineStr">
        <is>
          <t>InStock</t>
        </is>
      </c>
      <c r="S4577" t="inlineStr">
        <is>
          <t>9.08</t>
        </is>
      </c>
      <c r="T4577" t="inlineStr">
        <is>
          <t>4654951628900</t>
        </is>
      </c>
    </row>
    <row r="4578" hidden="1" ht="15.75" customHeight="1">
      <c r="A4578" s="2">
        <f>HYPERLINK("https://edmondsonsupply.com/collections/electricians-tools/products/klein-tools-jth4e13-1-4-inch-hex-key-journeyman%E2%84%A2-t-handle-4-inch", "https://edmondsonsupply.com/collections/electricians-tools/products/klein-tools-jth4e13-1-4-inch-hex-key-journeyman%E2%84%A2-t-handle-4-inch")</f>
        <v/>
      </c>
      <c r="B4578" s="2">
        <f>HYPERLINK("https://edmondsonsupply.com/products/klein-tools-jth4e13-1-4-inch-hex-key-journeyman%e2%84%a2-t-handle-4-inch", "https://edmondsonsupply.com/products/klein-tools-jth4e13-1-4-inch-hex-key-journeyman%e2%84%a2-t-handle-4-inch")</f>
        <v/>
      </c>
      <c r="C4578" t="inlineStr">
        <is>
          <t>Klein Tools JTH4E13 1/4-Inch Hex Key, Journeyman™ T-Handle, 4-Inch</t>
        </is>
      </c>
      <c r="D4578" t="inlineStr">
        <is>
          <t>Klein Tools JTH6E13BE 1/4-Inch Ball End Hex Key with Journeyman T-Handle, 6-Inch</t>
        </is>
      </c>
      <c r="E4578" s="2">
        <f>HYPERLINK("https://www.amazon.com/Journeyman-T-Handle-Klein-Tools-JTH6E13BE/dp/B004QW52YW/ref=sr_1_2?keywords=Klein+Tools+JTH4E13+1%2F4-Inch+Hex+Key%2C+Journeyman%E2%84%A2+T-Handle%2C+4-Inch&amp;qid=1694735134&amp;sr=8-2", "https://www.amazon.com/Journeyman-T-Handle-Klein-Tools-JTH6E13BE/dp/B004QW52YW/ref=sr_1_2?keywords=Klein+Tools+JTH4E13+1%2F4-Inch+Hex+Key%2C+Journeyman%E2%84%A2+T-Handle%2C+4-Inch&amp;qid=1694735134&amp;sr=8-2")</f>
        <v/>
      </c>
      <c r="F4578" t="inlineStr">
        <is>
          <t>B004QW52YW</t>
        </is>
      </c>
      <c r="G4578">
        <f>_xludf.IMAGE("https://edmondsonsupply.com/cdn/shop/products/jth4e13.jpg?v=1660919816")</f>
        <v/>
      </c>
      <c r="H4578">
        <f>_xludf.IMAGE("https://m.media-amazon.com/images/I/51f9vBFVXgL._AC_UL320_.jpg")</f>
        <v/>
      </c>
      <c r="K4578" t="inlineStr">
        <is>
          <t>5.99</t>
        </is>
      </c>
      <c r="L4578" t="n">
        <v>10.55</v>
      </c>
      <c r="M4578" s="1" t="inlineStr">
        <is>
          <t>76.13%</t>
        </is>
      </c>
      <c r="N4578" s="1" t="n">
        <v>-12.55</v>
      </c>
      <c r="O4578" t="n">
        <v>4.7</v>
      </c>
      <c r="P4578" t="n">
        <v>32</v>
      </c>
      <c r="R4578" t="inlineStr">
        <is>
          <t>InStock</t>
        </is>
      </c>
      <c r="S4578" t="inlineStr">
        <is>
          <t>9.08</t>
        </is>
      </c>
      <c r="T4578" t="inlineStr">
        <is>
          <t>7786113728728</t>
        </is>
      </c>
    </row>
    <row r="4579" hidden="1" ht="15.75" customHeight="1">
      <c r="A4579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4579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4579" t="inlineStr">
        <is>
          <t>Klein Tools JTH9E11 3/16-Inch Hex Key with Journeyman T-Handle, 9-Inch</t>
        </is>
      </c>
      <c r="D4579" t="inlineStr">
        <is>
          <t>Klein Tools JTH6E13BE 1/4-Inch Ball End Hex Key with Journeyman T-Handle, 6-Inch</t>
        </is>
      </c>
      <c r="E4579" s="2">
        <f>HYPERLINK("https://www.amazon.com/Journeyman-T-Handle-Klein-Tools-JTH6E13BE/dp/B004QW52YW/ref=sr_1_15?keywords=Klein+Tools+JTH9E11+3%2F16-Inch+Hex+Key+with+Journeyman+T-Handle%2C+9-Inch&amp;qid=1694735351&amp;sr=8-15", "https://www.amazon.com/Journeyman-T-Handle-Klein-Tools-JTH6E13BE/dp/B004QW52YW/ref=sr_1_15?keywords=Klein+Tools+JTH9E11+3%2F16-Inch+Hex+Key+with+Journeyman+T-Handle%2C+9-Inch&amp;qid=1694735351&amp;sr=8-15")</f>
        <v/>
      </c>
      <c r="F4579" t="inlineStr">
        <is>
          <t>B004QW52YW</t>
        </is>
      </c>
      <c r="G4579">
        <f>_xludf.IMAGE("https://edmondsonsupply.com/cdn/shop/products/jth9e12_5173eed3-120e-418c-a1cc-489b6dba3958.jpg?v=1587147554")</f>
        <v/>
      </c>
      <c r="H4579">
        <f>_xludf.IMAGE("https://m.media-amazon.com/images/I/51f9vBFVXgL._AC_UL320_.jpg")</f>
        <v/>
      </c>
      <c r="K4579" t="inlineStr">
        <is>
          <t>5.99</t>
        </is>
      </c>
      <c r="L4579" t="n">
        <v>10.55</v>
      </c>
      <c r="M4579" s="1" t="inlineStr">
        <is>
          <t>76.13%</t>
        </is>
      </c>
      <c r="N4579" s="1" t="n">
        <v>-12.58</v>
      </c>
      <c r="O4579" t="n">
        <v>4.7</v>
      </c>
      <c r="P4579" t="n">
        <v>32</v>
      </c>
      <c r="R4579" t="inlineStr">
        <is>
          <t>InStock</t>
        </is>
      </c>
      <c r="S4579" t="inlineStr">
        <is>
          <t>9.06</t>
        </is>
      </c>
      <c r="T4579" t="inlineStr">
        <is>
          <t>4455227523172</t>
        </is>
      </c>
    </row>
    <row r="4580" hidden="1" ht="15.75" customHeight="1">
      <c r="A4580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4580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4580" t="inlineStr">
        <is>
          <t>Diablo Tools DMAPL4070 1/4 in. x 4 in. x 6 in. Rebar Demon™ SDS-Plus 4-Cutter Full Carbide Head Hammer Bit</t>
        </is>
      </c>
      <c r="D4580" t="inlineStr">
        <is>
          <t>Diablo DMAPL4055 3/16 in. x 10 in. x 12 in. Rebar Demon™ SDS-Plus 4-Cutter Full Carbide Head Hammer Bit</t>
        </is>
      </c>
      <c r="E4580" s="2">
        <f>HYPERLINK("https://www.amazon.com/Diablo-DMAPL4055-SDS-Plus-4-Cutter-Carbide/dp/B089LJCD42/ref=sr_1_7?keywords=Diablo+Tools+DMAPL4070+1%2F4+in.+x+4+in.+x+6+in.+Rebar+Demon%E2%84%A2+SDS-Plus+4-Cutter+Full+Carbide+Head+Hammer+Bit&amp;qid=1694735303&amp;sr=8-7", "https://www.amazon.com/Diablo-DMAPL4055-SDS-Plus-4-Cutter-Carbide/dp/B089LJCD42/ref=sr_1_7?keywords=Diablo+Tools+DMAPL4070+1%2F4+in.+x+4+in.+x+6+in.+Rebar+Demon%E2%84%A2+SDS-Plus+4-Cutter+Full+Carbide+Head+Hammer+Bit&amp;qid=1694735303&amp;sr=8-7")</f>
        <v/>
      </c>
      <c r="F4580" t="inlineStr">
        <is>
          <t>B089LJCD42</t>
        </is>
      </c>
      <c r="G4580">
        <f>_xludf.IMAGE("https://edmondsonsupply.com/cdn/shop/products/DMAPL4070_Main-Image20200701.png?v=1633030350")</f>
        <v/>
      </c>
      <c r="H4580">
        <f>_xludf.IMAGE("https://m.media-amazon.com/images/I/61cDOAhkb4L._AC_UL320_.jpg")</f>
        <v/>
      </c>
      <c r="K4580" t="inlineStr">
        <is>
          <t>8.97</t>
        </is>
      </c>
      <c r="L4580" t="n">
        <v>15.76</v>
      </c>
      <c r="M4580" s="1" t="inlineStr">
        <is>
          <t>75.70%</t>
        </is>
      </c>
      <c r="N4580" s="1" t="n">
        <v>-12.8</v>
      </c>
      <c r="O4580" t="n">
        <v>2</v>
      </c>
      <c r="P4580" t="n">
        <v>1</v>
      </c>
      <c r="R4580" t="inlineStr">
        <is>
          <t>InStock</t>
        </is>
      </c>
      <c r="S4580" t="inlineStr">
        <is>
          <t>undefined</t>
        </is>
      </c>
      <c r="T4580" t="inlineStr">
        <is>
          <t>5283100197032</t>
        </is>
      </c>
    </row>
    <row r="4581" ht="87" customHeight="1">
      <c r="A4581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4581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4581" t="inlineStr">
        <is>
          <t>Diablo Tools DMAMX1130 3/4 in. x 8 in. x 13 in. Rebar Demon™ SDS‑Max 4‑Cutter Full Carbide Head Hammer Bit</t>
        </is>
      </c>
      <c r="D4581" t="inlineStr">
        <is>
          <t>Diablo DMAMX1110 5/8 in. x 24 in. x 29 in. Rebar Demon™ SDS-Max 4-Cutter Full Carbide Head Hammer Bit</t>
        </is>
      </c>
      <c r="E4581" s="2">
        <f>HYPERLINK("https://www.amazon.com/Diablo-SDS-Max-4-Cutter-Carbide-Hammer/dp/B089LJ9GHW/ref=sr_1_13?keywords=Diablo+Tools+DMAMX1130+3%2F4+in.+x+8+in.+x+13+in.+Rebar+Demon%E2%84%A2+SDS%E2%80%91Max+4%E2%80%91Cutter+Full+Carbide+Head+Hammer+Bit&amp;qid=1694735267&amp;sr=8-13", "https://www.amazon.com/Diablo-SDS-Max-4-Cutter-Carbide-Hammer/dp/B089LJ9GHW/ref=sr_1_13?keywords=Diablo+Tools+DMAMX1130+3%2F4+in.+x+8+in.+x+13+in.+Rebar+Demon%E2%84%A2+SDS%E2%80%91Max+4%E2%80%91Cutter+Full+Carbide+Head+Hammer+Bit&amp;qid=1694735267&amp;sr=8-13")</f>
        <v/>
      </c>
      <c r="F4581" t="inlineStr">
        <is>
          <t>B089LJ9GHW</t>
        </is>
      </c>
      <c r="G4581">
        <f>_xlfn.IMAGE("https://edmondsonsupply.com/cdn/shop/products/DMAMX1130_Main-Image20200701.png?v=1633030568")</f>
        <v/>
      </c>
      <c r="H4581">
        <f>_xlfn.IMAGE("https://m.media-amazon.com/images/I/61vWAd-z8eL._AC_UL320_.jpg")</f>
        <v/>
      </c>
      <c r="K4581" t="inlineStr">
        <is>
          <t>44.97</t>
        </is>
      </c>
      <c r="L4581" t="n">
        <v>78.98999999999999</v>
      </c>
      <c r="M4581" s="1" t="inlineStr">
        <is>
          <t>75.65%</t>
        </is>
      </c>
      <c r="N4581" s="7" t="n">
        <v>-12.82</v>
      </c>
      <c r="O4581" t="n">
        <v>4.7</v>
      </c>
      <c r="P4581" t="n">
        <v>4</v>
      </c>
      <c r="R4581" t="inlineStr">
        <is>
          <t>InStock</t>
        </is>
      </c>
      <c r="S4581" t="inlineStr">
        <is>
          <t>46.26</t>
        </is>
      </c>
      <c r="T4581" t="inlineStr">
        <is>
          <t>5463880925352</t>
        </is>
      </c>
    </row>
    <row r="4582" ht="87" customHeight="1">
      <c r="A4582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4582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4582" t="inlineStr">
        <is>
          <t>Diablo Tools DMAPL4180 1/2 in. x 4 in. x 6 in. Rebar Demon™ SDS-Plus 4-Cutter Full Carbide Head Hammer Bit</t>
        </is>
      </c>
      <c r="D4582" t="inlineStr">
        <is>
          <t>Diablo 7/16"x10"x12" Rebar Demon™ SDS-Plus 4-Cutter Full Carbide Head Hammer Bit</t>
        </is>
      </c>
      <c r="E4582" s="2">
        <f>HYPERLINK("https://www.amazon.com/Diablo-SDS-Plus-4-Cutter-Carbide-Hammer/dp/B089LFSQTY/ref=sr_1_35?keywords=Diablo+Tools+DMAPL4180+1%2F2+in.+x+4+in.+x+6+in.+Rebar+Demon%E2%84%A2+SDS-Plus+4-Cutter+Full+Carbide+Head+Hammer+Bit&amp;qid=1694735298&amp;sr=8-35", "https://www.amazon.com/Diablo-SDS-Plus-4-Cutter-Carbide-Hammer/dp/B089LFSQTY/ref=sr_1_35?keywords=Diablo+Tools+DMAPL4180+1%2F2+in.+x+4+in.+x+6+in.+Rebar+Demon%E2%84%A2+SDS-Plus+4-Cutter+Full+Carbide+Head+Hammer+Bit&amp;qid=1694735298&amp;sr=8-35")</f>
        <v/>
      </c>
      <c r="F4582" t="inlineStr">
        <is>
          <t>B089LFSQTY</t>
        </is>
      </c>
      <c r="G4582">
        <f>_xlfn.IMAGE("https://edmondsonsupply.com/cdn/shop/products/DMAPL4180_Main-Image20200702.png?v=1633030362")</f>
        <v/>
      </c>
      <c r="H4582">
        <f>_xlfn.IMAGE("https://m.media-amazon.com/images/I/61jzOMGnS3L._AC_UL320_.jpg")</f>
        <v/>
      </c>
      <c r="K4582" t="inlineStr">
        <is>
          <t>9.97</t>
        </is>
      </c>
      <c r="L4582" t="n">
        <v>17.49</v>
      </c>
      <c r="M4582" s="1" t="inlineStr">
        <is>
          <t>75.43%</t>
        </is>
      </c>
      <c r="N4582" s="7" t="n">
        <v>-12.88</v>
      </c>
      <c r="O4582" t="n">
        <v>4.6</v>
      </c>
      <c r="P4582" t="n">
        <v>7</v>
      </c>
      <c r="R4582" t="inlineStr">
        <is>
          <t>InStock</t>
        </is>
      </c>
      <c r="S4582" t="inlineStr">
        <is>
          <t>undefined</t>
        </is>
      </c>
      <c r="T4582" t="inlineStr">
        <is>
          <t>5286803833000</t>
        </is>
      </c>
    </row>
    <row r="4583" hidden="1" ht="15.75" customHeight="1">
      <c r="A4583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4583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4583" t="inlineStr">
        <is>
          <t>Klein Tools JTH6E14BE 5/16-Inch Ball End Hex Key with T-Handle, 6-Inch</t>
        </is>
      </c>
      <c r="D4583" t="inlineStr">
        <is>
          <t>Klein Tools JTH9E14 5/16-Inch Hex Key, Journeyman T-Handle, 9-Inch (Pack of 2)</t>
        </is>
      </c>
      <c r="E4583" s="2">
        <f>HYPERLINK("https://www.amazon.com/Klein-Tools-JTH9E14-Journeyman-T-Handle/dp/B0CF2VDSX2/ref=sr_1_9?keywords=Klein+Tools+JTH6E14BE+5%2F16-Inch+Ball+End+Hex+Key+with+T-Handle%2C+6-Inch&amp;qid=1694735186&amp;sr=8-9", "https://www.amazon.com/Klein-Tools-JTH9E14-Journeyman-T-Handle/dp/B0CF2VDSX2/ref=sr_1_9?keywords=Klein+Tools+JTH6E14BE+5%2F16-Inch+Ball+End+Hex+Key+with+T-Handle%2C+6-Inch&amp;qid=1694735186&amp;sr=8-9")</f>
        <v/>
      </c>
      <c r="F4583" t="inlineStr">
        <is>
          <t>B0CF2VDSX2</t>
        </is>
      </c>
      <c r="G4583">
        <f>_xludf.IMAGE("https://edmondsonsupply.com/cdn/shop/products/jth6e13be_0da4cca6-ce15-419c-bc75-cd610bd9637f.jpg?v=1629825198")</f>
        <v/>
      </c>
      <c r="H4583">
        <f>_xludf.IMAGE("https://m.media-amazon.com/images/I/317IAARii7L._AC_UL320_.jpg")</f>
        <v/>
      </c>
      <c r="K4583" t="inlineStr">
        <is>
          <t>8.49</t>
        </is>
      </c>
      <c r="L4583" t="n">
        <v>14.88</v>
      </c>
      <c r="M4583" s="1" t="inlineStr">
        <is>
          <t>75.27%</t>
        </is>
      </c>
      <c r="N4583" s="1" t="n">
        <v>-12.96</v>
      </c>
      <c r="O4583" t="n">
        <v>4.7</v>
      </c>
      <c r="P4583" t="n">
        <v>390</v>
      </c>
      <c r="R4583" t="inlineStr">
        <is>
          <t>InStock</t>
        </is>
      </c>
      <c r="S4583" t="inlineStr">
        <is>
          <t>12.88</t>
        </is>
      </c>
      <c r="T4583" t="inlineStr">
        <is>
          <t>6899546161325</t>
        </is>
      </c>
    </row>
    <row r="4584" ht="87" customHeight="1">
      <c r="A4584" s="2">
        <f>HYPERLINK("https://edmondsonsupply.com/collections/electricians-tools/products/milwaukee-0880-20", "https://edmondsonsupply.com/collections/electricians-tools/products/milwaukee-0880-20")</f>
        <v/>
      </c>
      <c r="B4584" s="2">
        <f>HYPERLINK("https://edmondsonsupply.com/products/milwaukee-0880-20", "https://edmondsonsupply.com/products/milwaukee-0880-20")</f>
        <v/>
      </c>
      <c r="C4584" t="inlineStr">
        <is>
          <t>Milwaukee 0880-20 M18 2-Gallon Wet/Dry Vacuum (bare tool)</t>
        </is>
      </c>
      <c r="D4584" t="inlineStr">
        <is>
          <t>Milwaukee 0880-20P M18 Wet/Dry Vacuum with XC5.0 Starter Kit</t>
        </is>
      </c>
      <c r="E4584" s="2">
        <f>HYPERLINK("https://www.amazon.com/Milwaukee-0880-20P-Vacuum-XC5-0-Starter/dp/B07K591L65/ref=sr_1_4?keywords=Milwaukee+0880-20+M18+2-Gallon+Wet%2FDry+Vacuum+%28bare+tool%29&amp;qid=1694735279&amp;sr=8-4", "https://www.amazon.com/Milwaukee-0880-20P-Vacuum-XC5-0-Starter/dp/B07K591L65/ref=sr_1_4?keywords=Milwaukee+0880-20+M18+2-Gallon+Wet%2FDry+Vacuum+%28bare+tool%29&amp;qid=1694735279&amp;sr=8-4")</f>
        <v/>
      </c>
      <c r="F4584" t="inlineStr">
        <is>
          <t>B07K591L65</t>
        </is>
      </c>
      <c r="G4584">
        <f>_xlfn.IMAGE("https://edmondsonsupply.com/cdn/shop/products/0880-20_2.png?v=1593890228")</f>
        <v/>
      </c>
      <c r="H4584">
        <f>_xlfn.IMAGE("https://m.media-amazon.com/images/I/41DNjE-XobL._AC_UL320_.jpg")</f>
        <v/>
      </c>
      <c r="K4584" t="inlineStr">
        <is>
          <t>129.0</t>
        </is>
      </c>
      <c r="L4584" t="n">
        <v>225.99</v>
      </c>
      <c r="M4584" s="1" t="inlineStr">
        <is>
          <t>75.19%</t>
        </is>
      </c>
      <c r="N4584" s="7" t="n">
        <v>-12.99</v>
      </c>
      <c r="O4584" t="n">
        <v>4.4</v>
      </c>
      <c r="P4584" t="n">
        <v>86</v>
      </c>
      <c r="R4584" t="inlineStr">
        <is>
          <t>InStock</t>
        </is>
      </c>
      <c r="S4584" t="inlineStr">
        <is>
          <t>220.0</t>
        </is>
      </c>
      <c r="T4584" t="inlineStr">
        <is>
          <t>5376375586984</t>
        </is>
      </c>
    </row>
    <row r="4585" hidden="1" ht="15.75" customHeight="1">
      <c r="A4585" s="2">
        <f>HYPERLINK("https://edmondsonsupply.com/collections/electricians-tools/products/amprobe-irc-110-infrared-thermal-camera", "https://edmondsonsupply.com/collections/electricians-tools/products/amprobe-irc-110-infrared-thermal-camera")</f>
        <v/>
      </c>
      <c r="B4585" s="2">
        <f>HYPERLINK("https://edmondsonsupply.com/products/amprobe-irc-110-infrared-thermal-camera", "https://edmondsonsupply.com/products/amprobe-irc-110-infrared-thermal-camera")</f>
        <v/>
      </c>
      <c r="C4585" t="inlineStr">
        <is>
          <t>Amprobe IRC-110 Infrared Thermal Camera</t>
        </is>
      </c>
      <c r="D4585" t="inlineStr">
        <is>
          <t>Amprobe 4909782 IRC-110 Thermal Camera w/ 20,480 pixels; 14 °F to 932 °F, 5 Blending Modes</t>
        </is>
      </c>
      <c r="E4585" s="2">
        <f>HYPERLINK("https://www.amazon.com/Amprobe-IRC-110-Thermal-Camera-Blending/dp/B07571XFG8/ref=sr_1_1?keywords=Amprobe+IRC-110+Infrared+Thermal+Camera&amp;qid=1694735248&amp;sr=8-1", "https://www.amazon.com/Amprobe-IRC-110-Thermal-Camera-Blending/dp/B07571XFG8/ref=sr_1_1?keywords=Amprobe+IRC-110+Infrared+Thermal+Camera&amp;qid=1694735248&amp;sr=8-1")</f>
        <v/>
      </c>
      <c r="F4585" t="inlineStr">
        <is>
          <t>B07571XFG8</t>
        </is>
      </c>
      <c r="G4585">
        <f>_xludf.IMAGE("https://edmondsonsupply.com/cdn/shop/products/PD_IRC-110-1.jpg?v=1633030772")</f>
        <v/>
      </c>
      <c r="H4585">
        <f>_xludf.IMAGE("https://m.media-amazon.com/images/I/61sICzvBDOL._AC_UY218_.jpg")</f>
        <v/>
      </c>
      <c r="K4585" t="inlineStr">
        <is>
          <t>251.86</t>
        </is>
      </c>
      <c r="L4585" t="n">
        <v>441.14</v>
      </c>
      <c r="M4585" s="1" t="inlineStr">
        <is>
          <t>75.15%</t>
        </is>
      </c>
      <c r="N4585" s="1" t="n">
        <v>-13.14</v>
      </c>
      <c r="O4585" t="n">
        <v>4</v>
      </c>
      <c r="P4585" t="n">
        <v>42</v>
      </c>
      <c r="R4585" t="inlineStr">
        <is>
          <t>InStock</t>
        </is>
      </c>
      <c r="S4585" t="inlineStr">
        <is>
          <t>309.99</t>
        </is>
      </c>
      <c r="T4585" t="inlineStr">
        <is>
          <t>5955105030312</t>
        </is>
      </c>
    </row>
    <row r="4586" ht="87" customHeight="1">
      <c r="A4586" s="2">
        <f>HYPERLINK("https://edmondsonsupply.com/collections/electricians-tools/products/greenlee-611-1-1-4-foam-conduit-piston", "https://edmondsonsupply.com/collections/electricians-tools/products/greenlee-611-1-1-4-foam-conduit-piston")</f>
        <v/>
      </c>
      <c r="B4586" s="2">
        <f>HYPERLINK("https://edmondsonsupply.com/products/greenlee-611-1-1-4-foam-conduit-piston", "https://edmondsonsupply.com/products/greenlee-611-1-1-4-foam-conduit-piston")</f>
        <v/>
      </c>
      <c r="C4586" t="inlineStr">
        <is>
          <t>Greenlee 611 1-1/4" Foam Conduit Piston</t>
        </is>
      </c>
      <c r="D4586" t="inlineStr">
        <is>
          <t>Greenlee - Piston, Boxed-1-1/4", Fishing (611)</t>
        </is>
      </c>
      <c r="E4586" s="2">
        <f>HYPERLINK("https://www.amazon.com/Greenlee-611-Single-Piston-Conduit/dp/B00270XDXM/ref=sr_1_11?keywords=Greenlee+611+1-1%2F4%22+Foam+Conduit+Piston&amp;qid=1694735002&amp;sr=8-11", "https://www.amazon.com/Greenlee-611-Single-Piston-Conduit/dp/B00270XDXM/ref=sr_1_11?keywords=Greenlee+611+1-1%2F4%22+Foam+Conduit+Piston&amp;qid=1694735002&amp;sr=8-11")</f>
        <v/>
      </c>
      <c r="F4586" t="inlineStr">
        <is>
          <t>B00270XDXM</t>
        </is>
      </c>
      <c r="G4586">
        <f>_xlfn.IMAGE("https://edmondsonsupply.com/cdn/shop/files/Greenlee-611_1.jpg?v=1687449194")</f>
        <v/>
      </c>
      <c r="H4586">
        <f>_xlfn.IMAGE("https://m.media-amazon.com/images/I/814+dDxYnOL._AC_UL320_.jpg")</f>
        <v/>
      </c>
      <c r="K4586" t="inlineStr">
        <is>
          <t>8.89</t>
        </is>
      </c>
      <c r="L4586" t="n">
        <v>15.57</v>
      </c>
      <c r="M4586" s="1" t="inlineStr">
        <is>
          <t>75.14%</t>
        </is>
      </c>
      <c r="N4586" s="7" t="n">
        <v>-13.22</v>
      </c>
      <c r="O4586" t="n">
        <v>5</v>
      </c>
      <c r="P4586" t="n">
        <v>6</v>
      </c>
      <c r="R4586" t="inlineStr">
        <is>
          <t>InStock</t>
        </is>
      </c>
      <c r="S4586" t="inlineStr">
        <is>
          <t>9.25</t>
        </is>
      </c>
      <c r="T4586" t="inlineStr">
        <is>
          <t>8007992017112</t>
        </is>
      </c>
    </row>
    <row r="4587" hidden="1" ht="15.75" customHeight="1">
      <c r="A4587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4587" s="2">
        <f>HYPERLINK("https://edmondsonsupply.com/products/klein-tools-31918-bi-metal-hole-saw-1-1-8-inch", "https://edmondsonsupply.com/products/klein-tools-31918-bi-metal-hole-saw-1-1-8-inch")</f>
        <v/>
      </c>
      <c r="C4587" t="inlineStr">
        <is>
          <t>Klein Tools 31918 Bi-Metal Hole Saw, 1-1/8-Inch</t>
        </is>
      </c>
      <c r="D4587" t="inlineStr">
        <is>
          <t>Klein Tools 31958 Bi-Metal Hole Saw, Heavy-Duty 3 5/8-Inch Steel Cutting Hole Saw with Multiple Leverage Points</t>
        </is>
      </c>
      <c r="E4587" s="2">
        <f>HYPERLINK("https://www.amazon.com/Bi-Metal-8-Inch-Klein-Tools-31958/dp/B01987566S/ref=sr_1_26?keywords=Klein+Tools+31918+Bi-Metal+Hole+Saw%2C+1-1%2F8-Inch&amp;qid=1694735078&amp;sr=8-26", "https://www.amazon.com/Bi-Metal-8-Inch-Klein-Tools-31958/dp/B01987566S/ref=sr_1_26?keywords=Klein+Tools+31918+Bi-Metal+Hole+Saw%2C+1-1%2F8-Inch&amp;qid=1694735078&amp;sr=8-26")</f>
        <v/>
      </c>
      <c r="F4587" t="inlineStr">
        <is>
          <t>B01987566S</t>
        </is>
      </c>
      <c r="G4587">
        <f>_xludf.IMAGE("https://edmondsonsupply.com/cdn/shop/products/31918.jpg?v=1669739998")</f>
        <v/>
      </c>
      <c r="H4587">
        <f>_xludf.IMAGE("https://m.media-amazon.com/images/I/417oWF+SE6L._AC_UL320_.jpg")</f>
        <v/>
      </c>
      <c r="K4587" t="inlineStr">
        <is>
          <t>7.99</t>
        </is>
      </c>
      <c r="L4587" t="n">
        <v>13.99</v>
      </c>
      <c r="M4587" s="1" t="inlineStr">
        <is>
          <t>75.09%</t>
        </is>
      </c>
      <c r="N4587" s="1" t="n">
        <v>-13.33</v>
      </c>
      <c r="O4587" t="n">
        <v>4.6</v>
      </c>
      <c r="P4587" t="n">
        <v>252</v>
      </c>
      <c r="R4587" t="inlineStr">
        <is>
          <t>InStock</t>
        </is>
      </c>
      <c r="S4587" t="inlineStr">
        <is>
          <t>11.2</t>
        </is>
      </c>
      <c r="T4587" t="inlineStr">
        <is>
          <t>7896138678488</t>
        </is>
      </c>
    </row>
    <row r="4588" hidden="1" ht="15.75" customHeight="1">
      <c r="A4588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588" s="2">
        <f>HYPERLINK("https://edmondsonsupply.com/products/klein-tools-608-6-1-8-inch-cabinet-tip-mini-screwdriver-6-inch", "https://edmondsonsupply.com/products/klein-tools-608-6-1-8-inch-cabinet-tip-mini-screwdriver-6-inch")</f>
        <v/>
      </c>
      <c r="C4588" t="inlineStr">
        <is>
          <t>Klein Tools 608-6 1/8-Inch Cabinet Tip Mini Screwdriver, 6-Inch</t>
        </is>
      </c>
      <c r="D4588" t="inlineStr">
        <is>
          <t>Klein Tools 6984INS Insulated Screwdriver, 1000V Slim Profile Tip, #1 Square with 4-Inch Shank, Cushion-Grip Handle</t>
        </is>
      </c>
      <c r="E4588" s="2">
        <f>HYPERLINK("https://www.amazon.com/Klein-Tools-6984INS-Screwdriver-Cushion-Grip/dp/B09GPZ5P2M/ref=sr_1_47?keywords=Klein+Tools+608-6+1%2F8-Inch+Cabinet+Tip+Mini+Screwdriver%2C+6-Inch&amp;qid=1694735278&amp;sr=8-47", "https://www.amazon.com/Klein-Tools-6984INS-Screwdriver-Cushion-Grip/dp/B09GPZ5P2M/ref=sr_1_47?keywords=Klein+Tools+608-6+1%2F8-Inch+Cabinet+Tip+Mini+Screwdriver%2C+6-Inch&amp;qid=1694735278&amp;sr=8-47")</f>
        <v/>
      </c>
      <c r="F4588" t="inlineStr">
        <is>
          <t>B09GPZ5P2M</t>
        </is>
      </c>
      <c r="G4588">
        <f>_xludf.IMAGE("https://edmondsonsupply.com/cdn/shop/products/608-6.jpg?v=1633030486")</f>
        <v/>
      </c>
      <c r="H4588">
        <f>_xludf.IMAGE("https://m.media-amazon.com/images/I/41uj4ogsy3L._AC_UL320_.jpg")</f>
        <v/>
      </c>
      <c r="K4588" t="inlineStr">
        <is>
          <t>7.99</t>
        </is>
      </c>
      <c r="L4588" t="n">
        <v>13.99</v>
      </c>
      <c r="M4588" s="1" t="inlineStr">
        <is>
          <t>75.09%</t>
        </is>
      </c>
      <c r="N4588" s="1" t="n">
        <v>-13.34</v>
      </c>
      <c r="O4588" t="n">
        <v>4.8</v>
      </c>
      <c r="P4588" t="n">
        <v>107</v>
      </c>
      <c r="R4588" t="inlineStr">
        <is>
          <t>InStock</t>
        </is>
      </c>
      <c r="S4588" t="inlineStr">
        <is>
          <t>12.1</t>
        </is>
      </c>
      <c r="T4588" t="inlineStr">
        <is>
          <t>5371087683752</t>
        </is>
      </c>
    </row>
    <row r="4589" ht="87" customHeight="1">
      <c r="A4589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4589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4589" t="inlineStr">
        <is>
          <t>Klein Tools NCVT-2P Dual Range Non-Contact Voltage Tester 12 - 1000V AC</t>
        </is>
      </c>
      <c r="D4589" t="inlineStr">
        <is>
          <t>Klein Tools NCVT2PKIT Non-Contact Voltage Tester &amp; 69411 Circuit Breaker Finder Accessory Kit, Circuit Breaker Leads, Circuit Breaker Adapters</t>
        </is>
      </c>
      <c r="E4589" s="2">
        <f>HYPERLINK("https://www.amazon.com/Klein-Tools-NCVT2PKIT-Non-Contact-Accessory/dp/B0BRM6NYBS/ref=sr_1_13?keywords=Klein+Tools+NCVT-2P+Dual+Range+Non-Contact+Voltage+Tester+12+-+1000V+AC&amp;qid=1694735236&amp;sr=8-13", "https://www.amazon.com/Klein-Tools-NCVT2PKIT-Non-Contact-Accessory/dp/B0BRM6NYBS/ref=sr_1_13?keywords=Klein+Tools+NCVT-2P+Dual+Range+Non-Contact+Voltage+Tester+12+-+1000V+AC&amp;qid=1694735236&amp;sr=8-13")</f>
        <v/>
      </c>
      <c r="F4589" t="inlineStr">
        <is>
          <t>B0BRM6NYBS</t>
        </is>
      </c>
      <c r="G4589">
        <f>_xlfn.IMAGE("https://edmondsonsupply.com/cdn/shop/products/ncvt2p.jpg?v=1633030824")</f>
        <v/>
      </c>
      <c r="H4589">
        <f>_xlfn.IMAGE("https://m.media-amazon.com/images/I/41I5bjxIRcL._AC_UL320_.jpg")</f>
        <v/>
      </c>
      <c r="K4589" t="inlineStr">
        <is>
          <t>27.97</t>
        </is>
      </c>
      <c r="L4589" t="n">
        <v>48.96</v>
      </c>
      <c r="M4589" s="1" t="inlineStr">
        <is>
          <t>75.04%</t>
        </is>
      </c>
      <c r="N4589" s="7" t="n">
        <v>-13.34</v>
      </c>
      <c r="O4589" t="n">
        <v>5</v>
      </c>
      <c r="P4589" t="n">
        <v>1</v>
      </c>
      <c r="R4589" t="inlineStr">
        <is>
          <t>InStock</t>
        </is>
      </c>
      <c r="S4589" t="inlineStr">
        <is>
          <t>35.76</t>
        </is>
      </c>
      <c r="T4589" t="inlineStr">
        <is>
          <t>6080875626669</t>
        </is>
      </c>
    </row>
    <row r="4590" ht="87" customHeight="1">
      <c r="A4590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590" s="2">
        <f>HYPERLINK("https://edmondsonsupply.com/products/klein-tools-rt310-afci-gfci-outlet-tester", "https://edmondsonsupply.com/products/klein-tools-rt310-afci-gfci-outlet-tester")</f>
        <v/>
      </c>
      <c r="C4590" t="inlineStr">
        <is>
          <t>Klein Tools RT310 AFCI / GFCI Outlet Tester</t>
        </is>
      </c>
      <c r="D4590" t="inlineStr">
        <is>
          <t>Klein Tools Digital Circuit Breaker Finder with GFCI Outlet Tester ET310 &amp; Circuit Breaker Finder Accessory Kit, Circuit Breaker Leads, Circuit Breaker Adapters 69411</t>
        </is>
      </c>
      <c r="E4590" s="2">
        <f>HYPERLINK("https://www.amazon.com/Klein-Tools-Digital-Accessory-Adapters/dp/B08MG1LZJS/ref=sr_1_31?keywords=Klein+Tools+RT310+AFCI+%2F+GFCI+Outlet+Tester&amp;qid=1694734989&amp;sr=8-31", "https://www.amazon.com/Klein-Tools-Digital-Accessory-Adapters/dp/B08MG1LZJS/ref=sr_1_31?keywords=Klein+Tools+RT310+AFCI+%2F+GFCI+Outlet+Tester&amp;qid=1694734989&amp;sr=8-31")</f>
        <v/>
      </c>
      <c r="F4590" t="inlineStr">
        <is>
          <t>B08MG1LZJS</t>
        </is>
      </c>
      <c r="G4590">
        <f>_xlfn.IMAGE("https://edmondsonsupply.com/cdn/shop/products/rt310.jpg?v=1587148552")</f>
        <v/>
      </c>
      <c r="H4590">
        <f>_xlfn.IMAGE("https://m.media-amazon.com/images/I/51MAo0prl5L._AC_UL320_.jpg")</f>
        <v/>
      </c>
      <c r="K4590" t="inlineStr">
        <is>
          <t>39.97</t>
        </is>
      </c>
      <c r="L4590" t="n">
        <v>69.94</v>
      </c>
      <c r="M4590" s="1" t="inlineStr">
        <is>
          <t>74.98%</t>
        </is>
      </c>
      <c r="N4590" s="7" t="n">
        <v>-13.34</v>
      </c>
      <c r="O4590" t="n">
        <v>4.7</v>
      </c>
      <c r="P4590" t="n">
        <v>2054</v>
      </c>
      <c r="R4590" t="inlineStr">
        <is>
          <t>InStock</t>
        </is>
      </c>
      <c r="S4590" t="inlineStr">
        <is>
          <t>57.9</t>
        </is>
      </c>
      <c r="T4590" t="inlineStr">
        <is>
          <t>3372527779940</t>
        </is>
      </c>
    </row>
    <row r="4591" ht="87" customHeight="1">
      <c r="A4591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4591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4591" t="inlineStr">
        <is>
          <t>Klein Tools 69149P Test Kit with Multimeter, Non-Contact Volt Tester, Receptacle Tester</t>
        </is>
      </c>
      <c r="D4591" t="inlineStr">
        <is>
          <t>Klein Tools 69149P Electrical Test Kit with Digital Multimeter, Noncontact Voltage Tester and Electrical Outlet Tester &amp; 11063W Wire Cutter/Wire Stripper, Heavy Duty Automatic Wire Stripper Tool</t>
        </is>
      </c>
      <c r="E4591" s="2">
        <f>HYPERLINK("https://www.amazon.com/Klein-Tools-Electrical-Multimeter-Noncontact/dp/B0BVGCG88W/ref=sr_1_4?keywords=Klein+Tools+69149P+Test+Kit+with+Multimeter%2C+Non-Contact+Volt+Tester%2C+Receptacle+Tester&amp;qid=1694735230&amp;sr=8-4", "https://www.amazon.com/Klein-Tools-Electrical-Multimeter-Noncontact/dp/B0BVGCG88W/ref=sr_1_4?keywords=Klein+Tools+69149P+Test+Kit+with+Multimeter%2C+Non-Contact+Volt+Tester%2C+Receptacle+Tester&amp;qid=1694735230&amp;sr=8-4")</f>
        <v/>
      </c>
      <c r="F4591" t="inlineStr">
        <is>
          <t>B0BVGCG88W</t>
        </is>
      </c>
      <c r="G4591">
        <f>_xlfn.IMAGE("https://edmondsonsupply.com/cdn/shop/products/69149p.jpg?v=1664479017")</f>
        <v/>
      </c>
      <c r="H4591">
        <f>_xlfn.IMAGE("https://m.media-amazon.com/images/I/51g7diV3xqL._AC_UL320_.jpg")</f>
        <v/>
      </c>
      <c r="K4591" t="inlineStr">
        <is>
          <t>39.97</t>
        </is>
      </c>
      <c r="L4591" t="n">
        <v>69.94</v>
      </c>
      <c r="M4591" s="1" t="inlineStr">
        <is>
          <t>74.98%</t>
        </is>
      </c>
      <c r="N4591" s="7" t="n">
        <v>-13.43</v>
      </c>
      <c r="O4591" t="n">
        <v>5</v>
      </c>
      <c r="P4591" t="n">
        <v>3</v>
      </c>
      <c r="R4591" t="inlineStr">
        <is>
          <t>InStock</t>
        </is>
      </c>
      <c r="S4591" t="inlineStr">
        <is>
          <t>63.9</t>
        </is>
      </c>
      <c r="T4591" t="inlineStr">
        <is>
          <t>6584860606637</t>
        </is>
      </c>
    </row>
    <row r="4592" ht="87" customHeight="1">
      <c r="A4592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4592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4592" t="inlineStr">
        <is>
          <t>Diablo Tools DMAPL4180 1/2 in. x 4 in. x 6 in. Rebar Demon™ SDS-Plus 4-Cutter Full Carbide Head Hammer Bit</t>
        </is>
      </c>
      <c r="D4592" t="inlineStr">
        <is>
          <t>Diablo by Freud Diablo DMAPL4190 1/2 in. x 10 in. x 12 in. Rebar Demon SDS-Plus 4-Cutter Full Carbide Head Hammer Bit</t>
        </is>
      </c>
      <c r="E4592" s="2">
        <f>HYPERLINK("https://www.amazon.com/Diablo-Freud-DMAPL4190-SDS-Plus-4-Cutter/dp/B089LJZ25M/ref=sr_1_15?keywords=Diablo+Tools+DMAPL4180+1%2F2+in.+x+4+in.+x+6+in.+Rebar+Demon%E2%84%A2+SDS-Plus+4-Cutter+Full+Carbide+Head+Hammer+Bit&amp;qid=1694735298&amp;sr=8-15", "https://www.amazon.com/Diablo-Freud-DMAPL4190-SDS-Plus-4-Cutter/dp/B089LJZ25M/ref=sr_1_15?keywords=Diablo+Tools+DMAPL4180+1%2F2+in.+x+4+in.+x+6+in.+Rebar+Demon%E2%84%A2+SDS-Plus+4-Cutter+Full+Carbide+Head+Hammer+Bit&amp;qid=1694735298&amp;sr=8-15")</f>
        <v/>
      </c>
      <c r="F4592" t="inlineStr">
        <is>
          <t>B089LJZ25M</t>
        </is>
      </c>
      <c r="G4592">
        <f>_xlfn.IMAGE("https://edmondsonsupply.com/cdn/shop/products/DMAPL4180_Main-Image20200702.png?v=1633030362")</f>
        <v/>
      </c>
      <c r="H4592">
        <f>_xlfn.IMAGE("https://m.media-amazon.com/images/I/61dzudnwI8L._AC_UL320_.jpg")</f>
        <v/>
      </c>
      <c r="K4592" t="inlineStr">
        <is>
          <t>9.97</t>
        </is>
      </c>
      <c r="L4592" t="n">
        <v>17.41</v>
      </c>
      <c r="M4592" s="1" t="inlineStr">
        <is>
          <t>74.62%</t>
        </is>
      </c>
      <c r="N4592" s="7" t="n">
        <v>-13.48</v>
      </c>
      <c r="O4592" t="n">
        <v>4.6</v>
      </c>
      <c r="P4592" t="n">
        <v>43</v>
      </c>
      <c r="R4592" t="inlineStr">
        <is>
          <t>InStock</t>
        </is>
      </c>
      <c r="S4592" t="inlineStr">
        <is>
          <t>undefined</t>
        </is>
      </c>
      <c r="T4592" t="inlineStr">
        <is>
          <t>5286803833000</t>
        </is>
      </c>
    </row>
    <row r="4593" ht="87" customHeight="1">
      <c r="A4593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4593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4593" t="inlineStr">
        <is>
          <t>Diablo Tools DMAPL4160 3/8 in. x 10 in. x 12 in. Rebar Demon™ SDS-Plus 4-Cutter Full Carbide Head Hammer Bit</t>
        </is>
      </c>
      <c r="D4593" t="inlineStr">
        <is>
          <t>Diablo by Freud Diablo DMAPL4190 1/2 in. x 10 in. x 12 in. Rebar Demon SDS-Plus 4-Cutter Full Carbide Head Hammer Bit</t>
        </is>
      </c>
      <c r="E4593" s="2">
        <f>HYPERLINK("https://www.amazon.com/Diablo-Freud-DMAPL4190-SDS-Plus-4-Cutter/dp/B089LJZ25M/ref=sr_1_5?keywords=Diablo+Tools+DMAPL4160+3%2F8+in.+x+10+in.+x+12+in.+Rebar+Demon%E2%84%A2+SDS-Plus+4-Cutter+Full+Carbide+Head+Hammer+Bit&amp;qid=1694735304&amp;sr=8-5", "https://www.amazon.com/Diablo-Freud-DMAPL4190-SDS-Plus-4-Cutter/dp/B089LJZ25M/ref=sr_1_5?keywords=Diablo+Tools+DMAPL4160+3%2F8+in.+x+10+in.+x+12+in.+Rebar+Demon%E2%84%A2+SDS-Plus+4-Cutter+Full+Carbide+Head+Hammer+Bit&amp;qid=1694735304&amp;sr=8-5")</f>
        <v/>
      </c>
      <c r="F4593" t="inlineStr">
        <is>
          <t>B089LJZ25M</t>
        </is>
      </c>
      <c r="G4593">
        <f>_xlfn.IMAGE("https://edmondsonsupply.com/cdn/shop/products/w7y3zlfom8dhrlplcmqa.webp?v=1670439058")</f>
        <v/>
      </c>
      <c r="H4593">
        <f>_xlfn.IMAGE("https://m.media-amazon.com/images/I/61dzudnwI8L._AC_UL320_.jpg")</f>
        <v/>
      </c>
      <c r="K4593" t="inlineStr">
        <is>
          <t>9.97</t>
        </is>
      </c>
      <c r="L4593" t="n">
        <v>17.41</v>
      </c>
      <c r="M4593" s="1" t="inlineStr">
        <is>
          <t>74.62%</t>
        </is>
      </c>
      <c r="N4593" s="7" t="n">
        <v>-13.55</v>
      </c>
      <c r="O4593" t="n">
        <v>4.6</v>
      </c>
      <c r="P4593" t="n">
        <v>43</v>
      </c>
      <c r="R4593" t="inlineStr">
        <is>
          <t>InStock</t>
        </is>
      </c>
      <c r="S4593" t="inlineStr">
        <is>
          <t>15.02</t>
        </is>
      </c>
      <c r="T4593" t="inlineStr">
        <is>
          <t>5286778601640</t>
        </is>
      </c>
    </row>
    <row r="4594" hidden="1" ht="15.75" customHeight="1">
      <c r="A4594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594" s="2">
        <f>HYPERLINK("https://edmondsonsupply.com/products/klein-tools-jth9m5-4-mm-hex-key-journeyman-t-handle-9-inch", "https://edmondsonsupply.com/products/klein-tools-jth9m5-4-mm-hex-key-journeyman-t-handle-9-inch")</f>
        <v/>
      </c>
      <c r="C4594" t="inlineStr">
        <is>
          <t>Klein Tools JTH9M4 4 mm Hex Key, Journeyman T-Handle, 9-Inch</t>
        </is>
      </c>
      <c r="D4594" t="inlineStr">
        <is>
          <t>Klein Tools JTH9M4 4 mm Hex Key with Journeyman T-Handle, 9-Inch</t>
        </is>
      </c>
      <c r="E4594" s="2">
        <f>HYPERLINK("https://www.amazon.com/Journeyman-T-Handle-Klein-Tools-JTH9M4/dp/B005G3HJ8M/ref=sr_1_1?keywords=Klein+Tools+JTH9M4+4+mm+Hex+Key%2C+Journeyman+T-Handle%2C+9-Inch&amp;qid=1694735170&amp;sr=8-1", "https://www.amazon.com/Journeyman-T-Handle-Klein-Tools-JTH9M4/dp/B005G3HJ8M/ref=sr_1_1?keywords=Klein+Tools+JTH9M4+4+mm+Hex+Key%2C+Journeyman+T-Handle%2C+9-Inch&amp;qid=1694735170&amp;sr=8-1")</f>
        <v/>
      </c>
      <c r="F4594" t="inlineStr">
        <is>
          <t>B005G3HJ8M</t>
        </is>
      </c>
      <c r="G4594">
        <f>_xludf.IMAGE("https://edmondsonsupply.com/cdn/shop/products/jth9m_fa8a641d-d03f-4191-ab24-b9045963e4f7.jpg?v=1640191121")</f>
        <v/>
      </c>
      <c r="H4594">
        <f>_xludf.IMAGE("https://m.media-amazon.com/images/I/51+1x0vz9XL._AC_UL320_.jpg")</f>
        <v/>
      </c>
      <c r="K4594" t="inlineStr">
        <is>
          <t>4.49</t>
        </is>
      </c>
      <c r="L4594" t="n">
        <v>7.84</v>
      </c>
      <c r="M4594" s="1" t="inlineStr">
        <is>
          <t>74.61%</t>
        </is>
      </c>
      <c r="N4594" s="1" t="n">
        <v>-13.65</v>
      </c>
      <c r="O4594" t="n">
        <v>4.6</v>
      </c>
      <c r="P4594" t="n">
        <v>135</v>
      </c>
      <c r="R4594" t="inlineStr">
        <is>
          <t>InStock</t>
        </is>
      </c>
      <c r="S4594" t="inlineStr">
        <is>
          <t>6.8</t>
        </is>
      </c>
      <c r="T4594" t="inlineStr">
        <is>
          <t>7555980656856</t>
        </is>
      </c>
    </row>
    <row r="4595" hidden="1" ht="15.75" customHeight="1">
      <c r="A4595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595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595" t="inlineStr">
        <is>
          <t>Klein Tools JTH9M3 3 mm Hex Key with Journeyman T-Handle, 9-Inch</t>
        </is>
      </c>
      <c r="D4595" t="inlineStr">
        <is>
          <t>Klein Tools JTH9M4 4 mm Hex Key with Journeyman T-Handle, 9-Inch</t>
        </is>
      </c>
      <c r="E4595" s="2">
        <f>HYPERLINK("https://www.amazon.com/Journeyman-T-Handle-Klein-Tools-JTH9M4/dp/B005G3HJ8M/ref=sr_1_18?keywords=Klein+Tools+JTH9M3+3+mm+Hex+Key+with+Journeyman+T-Handle%2C+9-Inch&amp;qid=1694735249&amp;sr=8-18", "https://www.amazon.com/Journeyman-T-Handle-Klein-Tools-JTH9M4/dp/B005G3HJ8M/ref=sr_1_18?keywords=Klein+Tools+JTH9M3+3+mm+Hex+Key+with+Journeyman+T-Handle%2C+9-Inch&amp;qid=1694735249&amp;sr=8-18")</f>
        <v/>
      </c>
      <c r="F4595" t="inlineStr">
        <is>
          <t>B005G3HJ8M</t>
        </is>
      </c>
      <c r="G4595">
        <f>_xludf.IMAGE("https://edmondsonsupply.com/cdn/shop/products/jth9m.jpg?v=1633030702")</f>
        <v/>
      </c>
      <c r="H4595">
        <f>_xludf.IMAGE("https://m.media-amazon.com/images/I/51+1x0vz9XL._AC_UL320_.jpg")</f>
        <v/>
      </c>
      <c r="K4595" t="inlineStr">
        <is>
          <t>4.49</t>
        </is>
      </c>
      <c r="L4595" t="n">
        <v>7.84</v>
      </c>
      <c r="M4595" s="1" t="inlineStr">
        <is>
          <t>74.61%</t>
        </is>
      </c>
      <c r="N4595" s="1" t="n">
        <v>-13.74</v>
      </c>
      <c r="O4595" t="n">
        <v>4.6</v>
      </c>
      <c r="P4595" t="n">
        <v>135</v>
      </c>
      <c r="R4595" t="inlineStr">
        <is>
          <t>InStock</t>
        </is>
      </c>
      <c r="S4595" t="inlineStr">
        <is>
          <t>6.82</t>
        </is>
      </c>
      <c r="T4595" t="inlineStr">
        <is>
          <t>5848344035496</t>
        </is>
      </c>
    </row>
    <row r="4596" hidden="1" ht="15.75" customHeight="1">
      <c r="A4596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596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596" t="inlineStr">
        <is>
          <t>Klein Tools JTH9E08 1/8-Inch Hex Key with Journeyman T-Handle, 9-Inch</t>
        </is>
      </c>
      <c r="D4596" t="inlineStr">
        <is>
          <t>Klein Tools JTH9M4 4 mm Hex Key with Journeyman T-Handle, 9-Inch</t>
        </is>
      </c>
      <c r="E4596" s="2">
        <f>HYPERLINK("https://www.amazon.com/Journeyman-T-Handle-Klein-Tools-JTH9M4/dp/B005G3HJ8M/ref=sr_1_10?keywords=Klein+Tools+JTH9E08+1%2F8-Inch+Hex+Key+with+Journeyman+T-Handle%2C+9-Inch&amp;qid=1694735421&amp;sr=8-10", "https://www.amazon.com/Journeyman-T-Handle-Klein-Tools-JTH9M4/dp/B005G3HJ8M/ref=sr_1_10?keywords=Klein+Tools+JTH9E08+1%2F8-Inch+Hex+Key+with+Journeyman+T-Handle%2C+9-Inch&amp;qid=1694735421&amp;sr=8-10")</f>
        <v/>
      </c>
      <c r="F4596" t="inlineStr">
        <is>
          <t>B005G3HJ8M</t>
        </is>
      </c>
      <c r="G4596">
        <f>_xludf.IMAGE("https://edmondsonsupply.com/cdn/shop/products/jth6e15_f2733d2c-ab65-41d7-8597-f1dfd8fcaabf.jpg?v=1587142807")</f>
        <v/>
      </c>
      <c r="H4596">
        <f>_xludf.IMAGE("https://m.media-amazon.com/images/I/51+1x0vz9XL._AC_UL320_.jpg")</f>
        <v/>
      </c>
      <c r="K4596" t="inlineStr">
        <is>
          <t>4.49</t>
        </is>
      </c>
      <c r="L4596" t="n">
        <v>7.84</v>
      </c>
      <c r="M4596" s="1" t="inlineStr">
        <is>
          <t>74.61%</t>
        </is>
      </c>
      <c r="N4596" s="1" t="n">
        <v>-13.77</v>
      </c>
      <c r="O4596" t="n">
        <v>4.6</v>
      </c>
      <c r="P4596" t="n">
        <v>135</v>
      </c>
      <c r="R4596" t="inlineStr">
        <is>
          <t>InStock</t>
        </is>
      </c>
      <c r="S4596" t="inlineStr">
        <is>
          <t>6.82</t>
        </is>
      </c>
      <c r="T4596" t="inlineStr">
        <is>
          <t>4352186810468</t>
        </is>
      </c>
    </row>
    <row r="4597" ht="87" customHeight="1">
      <c r="A4597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597" s="2">
        <f>HYPERLINK("https://edmondsonsupply.com/products/klein-tools-rt310-afci-gfci-outlet-tester", "https://edmondsonsupply.com/products/klein-tools-rt310-afci-gfci-outlet-tester")</f>
        <v/>
      </c>
      <c r="C4597" t="inlineStr">
        <is>
          <t>Klein Tools RT310 AFCI / GFCI Outlet Tester</t>
        </is>
      </c>
      <c r="D4597" t="inlineStr">
        <is>
          <t>Klein Tools ET310 AC Circuit Breaker Finder with Integrated GFCI Outlet Tester &amp; NCVT1P Voltage Tester, Non-Contact Voltage Detector Pen, 50V to 1000V AC, Audible and Flashing LED Alarms, Pocket Clip</t>
        </is>
      </c>
      <c r="E4597" s="2">
        <f>HYPERLINK("https://www.amazon.com/Klein-Tools-Integrated-Non-Contact-Detector/dp/B0BC84182C/ref=sr_1_27?keywords=Klein+Tools+RT310+AFCI+%2F+GFCI+Outlet+Tester&amp;qid=1694734989&amp;sr=8-27", "https://www.amazon.com/Klein-Tools-Integrated-Non-Contact-Detector/dp/B0BC84182C/ref=sr_1_27?keywords=Klein+Tools+RT310+AFCI+%2F+GFCI+Outlet+Tester&amp;qid=1694734989&amp;sr=8-27")</f>
        <v/>
      </c>
      <c r="F4597" t="inlineStr">
        <is>
          <t>B0BC84182C</t>
        </is>
      </c>
      <c r="G4597">
        <f>_xlfn.IMAGE("https://edmondsonsupply.com/cdn/shop/products/rt310.jpg?v=1587148552")</f>
        <v/>
      </c>
      <c r="H4597">
        <f>_xlfn.IMAGE("https://m.media-amazon.com/images/I/51TuoTYTlvL._AC_UL320_.jpg")</f>
        <v/>
      </c>
      <c r="K4597" t="inlineStr">
        <is>
          <t>39.97</t>
        </is>
      </c>
      <c r="L4597" t="n">
        <v>69.69</v>
      </c>
      <c r="M4597" s="1" t="inlineStr">
        <is>
          <t>74.36%</t>
        </is>
      </c>
      <c r="N4597" s="7" t="n">
        <v>-13.81</v>
      </c>
      <c r="O4597" t="n">
        <v>4.4</v>
      </c>
      <c r="P4597" t="n">
        <v>7</v>
      </c>
      <c r="R4597" t="inlineStr">
        <is>
          <t>InStock</t>
        </is>
      </c>
      <c r="S4597" t="inlineStr">
        <is>
          <t>57.9</t>
        </is>
      </c>
      <c r="T4597" t="inlineStr">
        <is>
          <t>3372527779940</t>
        </is>
      </c>
    </row>
    <row r="4598" ht="87" customHeight="1">
      <c r="A4598" s="2">
        <f>HYPERLINK("https://edmondsonsupply.com/collections/electricians-tools/products/milwaukee-48-22-8485-packout%E2%84%A2-mounting-plate", "https://edmondsonsupply.com/collections/electricians-tools/products/milwaukee-48-22-8485-packout%E2%84%A2-mounting-plate")</f>
        <v/>
      </c>
      <c r="B4598" s="2">
        <f>HYPERLINK("https://edmondsonsupply.com/products/milwaukee-48-22-8485-packout%e2%84%a2-mounting-plate", "https://edmondsonsupply.com/products/milwaukee-48-22-8485-packout%e2%84%a2-mounting-plate")</f>
        <v/>
      </c>
      <c r="C4598" t="inlineStr">
        <is>
          <t>Milwaukee 48-22-8485 PACKOUT™ Mounting Plate</t>
        </is>
      </c>
      <c r="D4598" t="inlineStr">
        <is>
          <t>NEW 48-22-8485 Packout Wall &amp; Floor Mounting Plate Black</t>
        </is>
      </c>
      <c r="E4598" s="2">
        <f>HYPERLINK("https://www.amazon.com/48-22-8485-Packout-Floor-Mounting-Plate/dp/B09P3WTLRH/ref=sr_1_1?keywords=Milwaukee+48-22-8485+PACKOUT%E2%84%A2+Mounting+Plate&amp;qid=1694735032&amp;sr=8-1", "https://www.amazon.com/48-22-8485-Packout-Floor-Mounting-Plate/dp/B09P3WTLRH/ref=sr_1_1?keywords=Milwaukee+48-22-8485+PACKOUT%E2%84%A2+Mounting+Plate&amp;qid=1694735032&amp;sr=8-1")</f>
        <v/>
      </c>
      <c r="F4598" t="inlineStr">
        <is>
          <t>B09P3WTLRH</t>
        </is>
      </c>
      <c r="G4598">
        <f>_xlfn.IMAGE("https://edmondsonsupply.com/cdn/shop/products/48-22-8485_3.png?v=1677252283")</f>
        <v/>
      </c>
      <c r="H4598">
        <f>_xlfn.IMAGE("https://m.media-amazon.com/images/I/41T8OMCzLzL._AC_UL320_.jpg")</f>
        <v/>
      </c>
      <c r="J4598" t="inlineStr">
        <is>
          <t>fba fee unknown</t>
        </is>
      </c>
      <c r="K4598" t="inlineStr">
        <is>
          <t>29.97</t>
        </is>
      </c>
      <c r="L4598" t="n">
        <v>52.25</v>
      </c>
      <c r="M4598" s="1" t="inlineStr">
        <is>
          <t>74.34%</t>
        </is>
      </c>
      <c r="N4598" s="7" t="n">
        <v>-13.84</v>
      </c>
      <c r="O4598" t="n">
        <v>4.8</v>
      </c>
      <c r="P4598" t="n">
        <v>5</v>
      </c>
      <c r="R4598" t="inlineStr">
        <is>
          <t>InStock</t>
        </is>
      </c>
      <c r="S4598" t="inlineStr">
        <is>
          <t>50.0</t>
        </is>
      </c>
      <c r="T4598" t="inlineStr">
        <is>
          <t>7950727413976</t>
        </is>
      </c>
    </row>
    <row r="4599" ht="87" customHeight="1">
      <c r="A4599" s="2">
        <f>HYPERLINK("https://edmondsonsupply.com/collections/electricians-tools/products/diablo-tools-dmamx1220", "https://edmondsonsupply.com/collections/electricians-tools/products/diablo-tools-dmamx1220")</f>
        <v/>
      </c>
      <c r="B4599" s="2">
        <f>HYPERLINK("https://edmondsonsupply.com/products/diablo-tools-dmamx1220", "https://edmondsonsupply.com/products/diablo-tools-dmamx1220")</f>
        <v/>
      </c>
      <c r="C4599" t="inlineStr">
        <is>
          <t>Diablo Tools DMAMX1220 1 in. x 16 in. x 21 in. Rebar Demon™ SDS-Max 4-Cutter Full Carbide Head Hammer Drill Bit</t>
        </is>
      </c>
      <c r="D4599" t="inlineStr">
        <is>
          <t>Diablo by Freud DMAPL4040-P25 3/16 in. x 4 in. x 6 in. Rebar Demon™ SDS-Plus 4-Cutter Full Carbide Head Hammer Bit (25-Pack)</t>
        </is>
      </c>
      <c r="E4599" s="2">
        <f>HYPERLINK("https://www.amazon.com/Diablo-Freud-DMAPL4040-P25-SDS-Plus-4-Cutter/dp/B089LKW42D/ref=sr_1_48?keywords=Diablo+Tools+DMAMX1220+1+in.+x+16+in.+x+21+in.+Rebar+Demon%E2%84%A2+SDS-Max+4-Cutter+Full+Carbide+Head+Hammer+Drill+Bit&amp;qid=1694735075&amp;sr=8-48", "https://www.amazon.com/Diablo-Freud-DMAPL4040-P25-SDS-Plus-4-Cutter/dp/B089LKW42D/ref=sr_1_48?keywords=Diablo+Tools+DMAMX1220+1+in.+x+16+in.+x+21+in.+Rebar+Demon%E2%84%A2+SDS-Max+4-Cutter+Full+Carbide+Head+Hammer+Drill+Bit&amp;qid=1694735075&amp;sr=8-48")</f>
        <v/>
      </c>
      <c r="F4599" t="inlineStr">
        <is>
          <t>B089LKW42D</t>
        </is>
      </c>
      <c r="G4599">
        <f>_xlfn.IMAGE("https://edmondsonsupply.com/cdn/shop/products/immoyh7jjmbau4fzhuq6.webp?v=1670431066")</f>
        <v/>
      </c>
      <c r="H4599">
        <f>_xlfn.IMAGE("https://m.media-amazon.com/images/I/61WAyx865hL._AC_UL320_.jpg")</f>
        <v/>
      </c>
      <c r="K4599" t="inlineStr">
        <is>
          <t>45.69</t>
        </is>
      </c>
      <c r="L4599" t="n">
        <v>79.63</v>
      </c>
      <c r="M4599" s="1" t="inlineStr">
        <is>
          <t>74.28%</t>
        </is>
      </c>
      <c r="N4599" s="7" t="n">
        <v>-13.89</v>
      </c>
      <c r="O4599" t="n">
        <v>5</v>
      </c>
      <c r="P4599" t="n">
        <v>2</v>
      </c>
      <c r="R4599" t="inlineStr">
        <is>
          <t>InStock</t>
        </is>
      </c>
      <c r="S4599" t="inlineStr">
        <is>
          <t>70.58</t>
        </is>
      </c>
      <c r="T4599" t="inlineStr">
        <is>
          <t>7900195356888</t>
        </is>
      </c>
    </row>
    <row r="4600" ht="87" customHeight="1">
      <c r="A4600" s="2">
        <f>HYPERLINK("https://edmondsonsupply.com/collections/electricians-tools/products/fluke-tplus-electrical-tester", "https://edmondsonsupply.com/collections/electricians-tools/products/fluke-tplus-electrical-tester")</f>
        <v/>
      </c>
      <c r="B4600" s="2">
        <f>HYPERLINK("https://edmondsonsupply.com/products/fluke-tplus-electrical-tester", "https://edmondsonsupply.com/products/fluke-tplus-electrical-tester")</f>
        <v/>
      </c>
      <c r="C4600" t="inlineStr">
        <is>
          <t>Fluke T+ Electrical Tester</t>
        </is>
      </c>
      <c r="D4600" t="inlineStr">
        <is>
          <t>Fluke T+PRO-1AC Electrical Tester and AC Voltage Detector Kit</t>
        </is>
      </c>
      <c r="E4600" s="2">
        <f>HYPERLINK("https://www.amazon.com/Fluke-PRO-1AC-Electrical-Voltage-Detector/dp/B0012WZZFU/ref=sr_1_6?keywords=Fluke+T+Electrical+Tester&amp;qid=1694735309&amp;sr=8-6", "https://www.amazon.com/Fluke-PRO-1AC-Electrical-Voltage-Detector/dp/B0012WZZFU/ref=sr_1_6?keywords=Fluke+T+Electrical+Tester&amp;qid=1694735309&amp;sr=8-6")</f>
        <v/>
      </c>
      <c r="F4600" t="inlineStr">
        <is>
          <t>B0012WZZFU</t>
        </is>
      </c>
      <c r="G4600">
        <f>_xlfn.IMAGE("https://edmondsonsupply.com/cdn/shop/products/tplus.jpg?v=1633030280")</f>
        <v/>
      </c>
      <c r="H4600">
        <f>_xlfn.IMAGE("https://m.media-amazon.com/images/I/71zpjHlZrbL._AC_UL320_.jpg")</f>
        <v/>
      </c>
      <c r="K4600" t="inlineStr">
        <is>
          <t>94.49</t>
        </is>
      </c>
      <c r="L4600" t="n">
        <v>164.68</v>
      </c>
      <c r="M4600" s="1" t="inlineStr">
        <is>
          <t>74.28%</t>
        </is>
      </c>
      <c r="N4600" s="7" t="n">
        <v>-13.89</v>
      </c>
      <c r="O4600" t="n">
        <v>4.3</v>
      </c>
      <c r="P4600" t="n">
        <v>34</v>
      </c>
      <c r="R4600" t="inlineStr">
        <is>
          <t>InStock</t>
        </is>
      </c>
      <c r="S4600" t="inlineStr">
        <is>
          <t>104.99</t>
        </is>
      </c>
      <c r="T4600" t="inlineStr">
        <is>
          <t>5238397337768</t>
        </is>
      </c>
    </row>
    <row r="4601" hidden="1" ht="15.75" customHeight="1">
      <c r="A4601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4601" s="2">
        <f>HYPERLINK("https://edmondsonsupply.com/products/klein-tools-31900-bi-metal-hole-saw-6-3-8-inch", "https://edmondsonsupply.com/products/klein-tools-31900-bi-metal-hole-saw-6-3-8-inch")</f>
        <v/>
      </c>
      <c r="C4601" t="inlineStr">
        <is>
          <t>Klein Tools 31900 Bi-Metal Hole Saw, 6-3/8-Inch</t>
        </is>
      </c>
      <c r="D4601" t="inlineStr">
        <is>
          <t>Klein Tools 31600SEN 6-3/8-Inch Diameter Bi-Metal Hole Saw</t>
        </is>
      </c>
      <c r="E4601" s="2">
        <f>HYPERLINK("https://www.amazon.com/Klein-Tools-31600SEN-Diameter-Bi-Metal/dp/B0026T4RAM/ref=sr_1_2?keywords=Klein+Tools+31900+Bi-Metal+Hole+Saw%2C+6-3%2F8-Inch&amp;qid=1694735340&amp;sr=8-2", "https://www.amazon.com/Klein-Tools-31600SEN-Diameter-Bi-Metal/dp/B0026T4RAM/ref=sr_1_2?keywords=Klein+Tools+31900+Bi-Metal+Hole+Saw%2C+6-3%2F8-Inch&amp;qid=1694735340&amp;sr=8-2")</f>
        <v/>
      </c>
      <c r="F4601" t="inlineStr">
        <is>
          <t>B0026T4RAM</t>
        </is>
      </c>
      <c r="G4601">
        <f>_xludf.IMAGE("https://edmondsonsupply.com/cdn/shop/products/31900.jpg?v=1587149880")</f>
        <v/>
      </c>
      <c r="H4601">
        <f>_xludf.IMAGE("https://m.media-amazon.com/images/I/61KuoVYOnNL._AC_UL320_.jpg")</f>
        <v/>
      </c>
      <c r="K4601" t="inlineStr">
        <is>
          <t>44.99</t>
        </is>
      </c>
      <c r="L4601" t="n">
        <v>78.38</v>
      </c>
      <c r="M4601" s="1" t="inlineStr">
        <is>
          <t>74.22%</t>
        </is>
      </c>
      <c r="N4601" s="1" t="n">
        <v>-13.97</v>
      </c>
      <c r="O4601" t="n">
        <v>3.4</v>
      </c>
      <c r="P4601" t="n">
        <v>4</v>
      </c>
      <c r="R4601" t="inlineStr">
        <is>
          <t>InStock</t>
        </is>
      </c>
      <c r="S4601" t="inlineStr">
        <is>
          <t>54.86</t>
        </is>
      </c>
      <c r="T4601" t="inlineStr">
        <is>
          <t>4508234514532</t>
        </is>
      </c>
    </row>
    <row r="4602" hidden="1" ht="15.75" customHeight="1">
      <c r="A4602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602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602" t="inlineStr">
        <is>
          <t>Diablo Tools DMAPL4080 1/4 in. x 6 in. x 8 in. Rebar Demon™ SDS-Plus 4-Cutter Full Carbide Head Hammer Bit</t>
        </is>
      </c>
      <c r="D4602" t="inlineStr">
        <is>
          <t>Diablo DMAPL4120 5/16 in. x 10 in. x 12 in. Rebar Demon™ SDS-Plus 4-Cutter Full Carbide Head Hammer Bit</t>
        </is>
      </c>
      <c r="E4602" s="2">
        <f>HYPERLINK("https://www.amazon.com/Diablo-SDS-Plus-4-Cutter-Carbide-Hammer/dp/B089KTHL12/ref=sr_1_4?keywords=Diablo+Tools+DMAPL4080+1%2F4+in.+x+6+in.+x+8+in.+Rebar+Demon%E2%84%A2+SDS-Plus+4-Cutter+Full+Carbide+Head+Hammer+Bit&amp;qid=1694735294&amp;sr=8-4", "https://www.amazon.com/Diablo-SDS-Plus-4-Cutter-Carbide-Hammer/dp/B089KTHL12/ref=sr_1_4?keywords=Diablo+Tools+DMAPL4080+1%2F4+in.+x+6+in.+x+8+in.+Rebar+Demon%E2%84%A2+SDS-Plus+4-Cutter+Full+Carbide+Head+Hammer+Bit&amp;qid=1694735294&amp;sr=8-4")</f>
        <v/>
      </c>
      <c r="F4602" t="inlineStr">
        <is>
          <t>B089KTHL12</t>
        </is>
      </c>
      <c r="G4602">
        <f>_xludf.IMAGE("https://edmondsonsupply.com/cdn/shop/products/DMAPL4080_1.jpg?v=1633030359")</f>
        <v/>
      </c>
      <c r="H4602">
        <f>_xludf.IMAGE("https://m.media-amazon.com/images/I/61P8b1v1TBL._AC_UL320_.jpg")</f>
        <v/>
      </c>
      <c r="K4602" t="inlineStr">
        <is>
          <t>7.47</t>
        </is>
      </c>
      <c r="L4602" t="n">
        <v>12.99</v>
      </c>
      <c r="M4602" s="1" t="inlineStr">
        <is>
          <t>73.90%</t>
        </is>
      </c>
      <c r="N4602" s="1" t="n">
        <v>-14.07</v>
      </c>
      <c r="O4602" t="n">
        <v>5</v>
      </c>
      <c r="P4602" t="n">
        <v>6</v>
      </c>
      <c r="R4602" t="inlineStr">
        <is>
          <t>InStock</t>
        </is>
      </c>
      <c r="S4602" t="inlineStr">
        <is>
          <t>undefined</t>
        </is>
      </c>
      <c r="T4602" t="inlineStr">
        <is>
          <t>5286767919272</t>
        </is>
      </c>
    </row>
    <row r="4603" ht="87" customHeight="1">
      <c r="A4603" s="2">
        <f>HYPERLINK("https://edmondsonsupply.com/collections/electricians-tools/products/channellock-3017", "https://edmondsonsupply.com/collections/electricians-tools/products/channellock-3017")</f>
        <v/>
      </c>
      <c r="B4603" s="2">
        <f>HYPERLINK("https://edmondsonsupply.com/products/channellock-3017", "https://edmondsonsupply.com/products/channellock-3017")</f>
        <v/>
      </c>
      <c r="C4603" t="inlineStr">
        <is>
          <t>Channellock 3017 8-Inch Long Nose Pliers</t>
        </is>
      </c>
      <c r="D4603" t="inlineStr">
        <is>
          <t>Channellock 748 8-Inch Long Reach End Cutting Pliers | Nipper End Cutter with Extra Long Flat Nose | Designed for Hard to Reach Places | Forged from High Carbon Steel | Made in the USA , Blue</t>
        </is>
      </c>
      <c r="E4603" s="2">
        <f>HYPERLINK("https://www.amazon.com/Channellock-748-8-Inch-Cutter-Reach/dp/B00065TGQI/ref=sr_1_8?keywords=Channellock+3017+8-Inch+Long+Nose+Pliers&amp;qid=1694735304&amp;sr=8-8", "https://www.amazon.com/Channellock-748-8-Inch-Cutter-Reach/dp/B00065TGQI/ref=sr_1_8?keywords=Channellock+3017+8-Inch+Long+Nose+Pliers&amp;qid=1694735304&amp;sr=8-8")</f>
        <v/>
      </c>
      <c r="F4603" t="inlineStr">
        <is>
          <t>B00065TGQI</t>
        </is>
      </c>
      <c r="G4603">
        <f>_xlfn.IMAGE("https://edmondsonsupply.com/cdn/shop/products/3017-683x1024.jpg?v=1633030322")</f>
        <v/>
      </c>
      <c r="H4603">
        <f>_xlfn.IMAGE("https://m.media-amazon.com/images/I/71vJgyQdlPL._AC_UL320_.jpg")</f>
        <v/>
      </c>
      <c r="K4603" t="inlineStr">
        <is>
          <t>19.95</t>
        </is>
      </c>
      <c r="L4603" t="n">
        <v>34.69</v>
      </c>
      <c r="M4603" s="1" t="inlineStr">
        <is>
          <t>73.88%</t>
        </is>
      </c>
      <c r="N4603" s="7" t="n">
        <v>-14.1</v>
      </c>
      <c r="O4603" t="n">
        <v>4.6</v>
      </c>
      <c r="P4603" t="n">
        <v>519</v>
      </c>
      <c r="R4603" t="inlineStr">
        <is>
          <t>InStock</t>
        </is>
      </c>
      <c r="S4603" t="inlineStr">
        <is>
          <t>29.97</t>
        </is>
      </c>
      <c r="T4603" t="inlineStr">
        <is>
          <t>5245817159848</t>
        </is>
      </c>
    </row>
    <row r="4604" ht="87" customHeight="1">
      <c r="A4604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4604" s="2">
        <f>HYPERLINK("https://edmondsonsupply.com/products/klein-tools-j203-8-pliers-needle-nose-side-cutters-8-inch", "https://edmondsonsupply.com/products/klein-tools-j203-8-pliers-needle-nose-side-cutters-8-inch")</f>
        <v/>
      </c>
      <c r="C4604" t="inlineStr">
        <is>
          <t>Klein Tools J203-8 Pliers, Needle Nose Side-Cutters, 8-Inch</t>
        </is>
      </c>
      <c r="D4604" t="inlineStr">
        <is>
          <t>Channellock 8WCB 8-Inch WideAzz Adjustable Wrench | 1.5-Inch &amp; Klein Tools J203-8 Needle Nose Pliers with Cutter, Heavy Duty 8-Inch Journeyman</t>
        </is>
      </c>
      <c r="E4604" s="2">
        <f>HYPERLINK("https://www.amazon.com/Channellock-WideAzz-Adjustable-1-5-Inch-Journeyman/dp/B0BKQD7NPB/ref=sr_1_12?keywords=Klein+Tools+J203-8+Pliers%2C+Needle+Nose+Side-Cutters%2C+8-Inch&amp;qid=1694735171&amp;sr=8-12", "https://www.amazon.com/Channellock-WideAzz-Adjustable-1-5-Inch-Journeyman/dp/B0BKQD7NPB/ref=sr_1_12?keywords=Klein+Tools+J203-8+Pliers%2C+Needle+Nose+Side-Cutters%2C+8-Inch&amp;qid=1694735171&amp;sr=8-12")</f>
        <v/>
      </c>
      <c r="F4604" t="inlineStr">
        <is>
          <t>B0BKQD7NPB</t>
        </is>
      </c>
      <c r="G4604">
        <f>_xlfn.IMAGE("https://edmondsonsupply.com/cdn/shop/products/j2038.jpg?v=1644709677")</f>
        <v/>
      </c>
      <c r="H4604">
        <f>_xlfn.IMAGE("https://m.media-amazon.com/images/I/41wArdbnrjL._AC_UL320_.jpg")</f>
        <v/>
      </c>
      <c r="K4604" t="inlineStr">
        <is>
          <t>38.49</t>
        </is>
      </c>
      <c r="L4604" t="n">
        <v>66.92</v>
      </c>
      <c r="M4604" s="1" t="inlineStr">
        <is>
          <t>73.86%</t>
        </is>
      </c>
      <c r="N4604" s="7" t="n">
        <v>-14.13</v>
      </c>
      <c r="O4604" t="n">
        <v>4.8</v>
      </c>
      <c r="P4604" t="n">
        <v>4409</v>
      </c>
      <c r="R4604" t="inlineStr">
        <is>
          <t>InStock</t>
        </is>
      </c>
      <c r="S4604" t="inlineStr">
        <is>
          <t>58.32</t>
        </is>
      </c>
      <c r="T4604" t="inlineStr">
        <is>
          <t>7606180249816</t>
        </is>
      </c>
    </row>
    <row r="4605" ht="87" customHeight="1">
      <c r="A4605" s="2">
        <f>HYPERLINK("https://edmondsonsupply.com/collections/electricians-tools/products/diablo-tools-d0724da-7-1-4-in-24-tooth-%E2%84%A2-framing-demolition-saw-blade", "https://edmondsonsupply.com/collections/electricians-tools/products/diablo-tools-d0724da-7-1-4-in-24-tooth-%E2%84%A2-framing-demolition-saw-blade")</f>
        <v/>
      </c>
      <c r="B4605" s="2">
        <f>HYPERLINK("https://edmondsonsupply.com/products/diablo-tools-d0724da-7-1-4-in-24-tooth-%e2%84%a2-framing-demolition-saw-blade", "https://edmondsonsupply.com/products/diablo-tools-d0724da-7-1-4-in-24-tooth-%e2%84%a2-framing-demolition-saw-blade")</f>
        <v/>
      </c>
      <c r="C4605" t="inlineStr">
        <is>
          <t>Diablo Tools D0724DA 7-1/4 in. 24-Tooth ™ Framing/Demolition Saw Blade</t>
        </is>
      </c>
      <c r="D4605" t="inlineStr">
        <is>
          <t>Diablo D0724P 7-1/4-Inch 24 Tooth ATB Carbide Framing Saw Blade with 5/8-Inch and Diamond Knockout Arbor (Pak of 2)</t>
        </is>
      </c>
      <c r="E4605" s="2">
        <f>HYPERLINK("https://www.amazon.com/Diablo-D0724P-Carbide-Framing-Knockout/dp/B00CLSOZ64/ref=sr_1_36?keywords=Diablo+Tools+D0724DA+7-1%2F4+in.+24-Tooth+%E2%84%A2+Framing%2FDemolition+Saw+Blade&amp;qid=1694735025&amp;sr=8-36", "https://www.amazon.com/Diablo-D0724P-Carbide-Framing-Knockout/dp/B00CLSOZ64/ref=sr_1_36?keywords=Diablo+Tools+D0724DA+7-1%2F4+in.+24-Tooth+%E2%84%A2+Framing%2FDemolition+Saw+Blade&amp;qid=1694735025&amp;sr=8-36")</f>
        <v/>
      </c>
      <c r="F4605" t="inlineStr">
        <is>
          <t>B00CLSOZ64</t>
        </is>
      </c>
      <c r="G4605">
        <f>_xlfn.IMAGE("https://edmondsonsupply.com/cdn/shop/products/ms7ofgpqtqo0aptxxu1k.webp?v=1678973703")</f>
        <v/>
      </c>
      <c r="H4605">
        <f>_xlfn.IMAGE("https://m.media-amazon.com/images/I/71S1Z7toMAL._AC_UL320_.jpg")</f>
        <v/>
      </c>
      <c r="K4605" t="inlineStr">
        <is>
          <t>14.97</t>
        </is>
      </c>
      <c r="L4605" t="n">
        <v>25.99</v>
      </c>
      <c r="M4605" s="1" t="inlineStr">
        <is>
          <t>73.61%</t>
        </is>
      </c>
      <c r="N4605" s="7" t="n">
        <v>-14.14</v>
      </c>
      <c r="O4605" t="n">
        <v>4.6</v>
      </c>
      <c r="P4605" t="n">
        <v>100</v>
      </c>
      <c r="R4605" t="inlineStr">
        <is>
          <t>InStock</t>
        </is>
      </c>
      <c r="S4605" t="inlineStr">
        <is>
          <t>22.22</t>
        </is>
      </c>
      <c r="T4605" t="inlineStr">
        <is>
          <t>7962610204888</t>
        </is>
      </c>
    </row>
    <row r="4606" ht="87" customHeight="1">
      <c r="A4606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4606" s="2">
        <f>HYPERLINK("https://edmondsonsupply.com/products/diablo-tools-dmapl2320-1-2-in-x-10-in-x-12-in-sds-plus-2-cutter", "https://edmondsonsupply.com/products/diablo-tools-dmapl2320-1-2-in-x-10-in-x-12-in-sds-plus-2-cutter")</f>
        <v/>
      </c>
      <c r="C4606" t="inlineStr">
        <is>
          <t>Diablo Tools DMAPL2320 1/2 in. x 10 in. x 12 in. SDS-Plus 2-Cutter</t>
        </is>
      </c>
      <c r="D4606" t="inlineStr">
        <is>
          <t>Diablo by Freud DMAPL4230 5/8 in. x 10 in. x 12 in. Rebar Demon SDS-Plus 4-Cutter Full Carbide Head Hammer Bit</t>
        </is>
      </c>
      <c r="E4606" s="2">
        <f>HYPERLINK("https://www.amazon.com/Diablo-Freud-DMAPL4230-SDS-Plus-4-Cutter/dp/B089LCN234/ref=sr_1_21?keywords=Diablo+Tools+DMAPL2320+1%2F2+in.+x+10+in.+x+12+in.+SDS-Plus+2-Cutter&amp;qid=1694735300&amp;sr=8-21", "https://www.amazon.com/Diablo-Freud-DMAPL4230-SDS-Plus-4-Cutter/dp/B089LCN234/ref=sr_1_21?keywords=Diablo+Tools+DMAPL2320+1%2F2+in.+x+10+in.+x+12+in.+SDS-Plus+2-Cutter&amp;qid=1694735300&amp;sr=8-21")</f>
        <v/>
      </c>
      <c r="F4606" t="inlineStr">
        <is>
          <t>B089LCN234</t>
        </is>
      </c>
      <c r="G4606">
        <f>_xlfn.IMAGE("https://edmondsonsupply.com/cdn/shop/products/DMAPL2320.jpg?v=1633030356")</f>
        <v/>
      </c>
      <c r="H4606">
        <f>_xlfn.IMAGE("https://m.media-amazon.com/images/I/61r649wmyhL._AC_UL320_.jpg")</f>
        <v/>
      </c>
      <c r="K4606" t="inlineStr">
        <is>
          <t>12.97</t>
        </is>
      </c>
      <c r="L4606" t="n">
        <v>22.51</v>
      </c>
      <c r="M4606" s="1" t="inlineStr">
        <is>
          <t>73.55%</t>
        </is>
      </c>
      <c r="N4606" s="7" t="n">
        <v>-14.2</v>
      </c>
      <c r="O4606" t="n">
        <v>4.7</v>
      </c>
      <c r="P4606" t="n">
        <v>47</v>
      </c>
      <c r="R4606" t="inlineStr">
        <is>
          <t>InStock</t>
        </is>
      </c>
      <c r="S4606" t="inlineStr">
        <is>
          <t>14.25</t>
        </is>
      </c>
      <c r="T4606" t="inlineStr">
        <is>
          <t>5286282264744</t>
        </is>
      </c>
    </row>
    <row r="4607" ht="87" customHeight="1">
      <c r="A4607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4607" s="2">
        <f>HYPERLINK("https://edmondsonsupply.com/products/klein-tools-55470-stand-up-zipper-bags-2-pack", "https://edmondsonsupply.com/products/klein-tools-55470-stand-up-zipper-bags-2-pack")</f>
        <v/>
      </c>
      <c r="C4607" t="inlineStr">
        <is>
          <t>Klein Tools 55470 Zipper Bag, Stand-Up Tool Pouch, 2-Pack</t>
        </is>
      </c>
      <c r="D4607" t="inlineStr">
        <is>
          <t>Klein Tools 55470 Utility Bag, Stand-Up Zipper Tool Bags, 2-Pack &amp; 5139B Zipper Bag, Cordura Nylon Tool Pouch with Heavy-Duty Nylon Zipper Close, 12-1/2-Inch, Black</t>
        </is>
      </c>
      <c r="E4607" s="2">
        <f>HYPERLINK("https://www.amazon.com/Klein-Tools-Utility-Stand-Up-Heavy-Duty/dp/B09Z92TXL4/ref=sr_1_5?keywords=Klein+Tools+55470+Zipper+Bag%2C+Stand-Up+Tool+Pouch%2C+2-Pack&amp;qid=1694735348&amp;sr=8-5", "https://www.amazon.com/Klein-Tools-Utility-Stand-Up-Heavy-Duty/dp/B09Z92TXL4/ref=sr_1_5?keywords=Klein+Tools+55470+Zipper+Bag%2C+Stand-Up+Tool+Pouch%2C+2-Pack&amp;qid=1694735348&amp;sr=8-5")</f>
        <v/>
      </c>
      <c r="F4607" t="inlineStr">
        <is>
          <t>B09Z92TXL4</t>
        </is>
      </c>
      <c r="G4607">
        <f>_xlfn.IMAGE("https://edmondsonsupply.com/cdn/shop/products/55470.jpg?v=1587149313")</f>
        <v/>
      </c>
      <c r="H4607">
        <f>_xlfn.IMAGE("https://m.media-amazon.com/images/I/51p022oFtiL._AC_UL320_.jpg")</f>
        <v/>
      </c>
      <c r="K4607" t="inlineStr">
        <is>
          <t>14.97</t>
        </is>
      </c>
      <c r="L4607" t="n">
        <v>25.98</v>
      </c>
      <c r="M4607" s="1" t="inlineStr">
        <is>
          <t>73.55%</t>
        </is>
      </c>
      <c r="N4607" s="7" t="n">
        <v>-14.21</v>
      </c>
      <c r="O4607" t="n">
        <v>5</v>
      </c>
      <c r="P4607" t="n">
        <v>1</v>
      </c>
      <c r="R4607" t="inlineStr">
        <is>
          <t>InStock</t>
        </is>
      </c>
      <c r="S4607" t="inlineStr">
        <is>
          <t>21.5</t>
        </is>
      </c>
      <c r="T4607" t="inlineStr">
        <is>
          <t>1723696971876</t>
        </is>
      </c>
    </row>
    <row r="4608" hidden="1" ht="15.75" customHeight="1">
      <c r="A4608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4608" s="2">
        <f>HYPERLINK("https://edmondsonsupply.com/products/klein-tools-d507-10-adjustable-wrench-extra-capacity-10-inch", "https://edmondsonsupply.com/products/klein-tools-d507-10-adjustable-wrench-extra-capacity-10-inch")</f>
        <v/>
      </c>
      <c r="C4608" t="inlineStr">
        <is>
          <t>Klein Tools D507-10 Adjustable Wrench Extra Capacity, 10-Inch</t>
        </is>
      </c>
      <c r="D4608" t="inlineStr">
        <is>
          <t>Klein Tools HD507-12 Adjustable Wrench-Extra-Capacity, 12-Inch</t>
        </is>
      </c>
      <c r="E4608" s="2">
        <f>HYPERLINK("https://www.amazon.com/Klein-Tools-HD507-12-Adjustable-Wrench-Extra-Capacity/dp/B0002RI9Z4/ref=sr_1_38?keywords=Klein+Tools+D507-10+Adjustable+Wrench+Extra+Capacity%2C+10-Inch&amp;qid=1694735353&amp;sr=8-38", "https://www.amazon.com/Klein-Tools-HD507-12-Adjustable-Wrench-Extra-Capacity/dp/B0002RI9Z4/ref=sr_1_38?keywords=Klein+Tools+D507-10+Adjustable+Wrench+Extra+Capacity%2C+10-Inch&amp;qid=1694735353&amp;sr=8-38")</f>
        <v/>
      </c>
      <c r="F4608" t="inlineStr">
        <is>
          <t>B0002RI9Z4</t>
        </is>
      </c>
      <c r="G4608">
        <f>_xludf.IMAGE("https://edmondsonsupply.com/cdn/shop/products/d50710.jpg?v=1666011197")</f>
        <v/>
      </c>
      <c r="H4608">
        <f>_xludf.IMAGE("https://m.media-amazon.com/images/I/51neMDEiFVL._AC_UL320_.jpg")</f>
        <v/>
      </c>
      <c r="K4608" t="inlineStr">
        <is>
          <t>35.99</t>
        </is>
      </c>
      <c r="L4608" t="n">
        <v>62.44</v>
      </c>
      <c r="M4608" s="1" t="inlineStr">
        <is>
          <t>73.49%</t>
        </is>
      </c>
      <c r="N4608" s="1" t="n">
        <v>-14.24</v>
      </c>
      <c r="O4608" t="n">
        <v>3.4</v>
      </c>
      <c r="P4608" t="n">
        <v>2</v>
      </c>
      <c r="R4608" t="inlineStr">
        <is>
          <t>InStock</t>
        </is>
      </c>
      <c r="S4608" t="inlineStr">
        <is>
          <t>54.54</t>
        </is>
      </c>
      <c r="T4608" t="inlineStr">
        <is>
          <t>4436115554404</t>
        </is>
      </c>
    </row>
    <row r="4609" hidden="1" ht="15.75" customHeight="1">
      <c r="A4609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609" s="2">
        <f>HYPERLINK("https://edmondsonsupply.com/products/klein-tools-608-6-1-8-inch-cabinet-tip-mini-screwdriver-6-inch", "https://edmondsonsupply.com/products/klein-tools-608-6-1-8-inch-cabinet-tip-mini-screwdriver-6-inch")</f>
        <v/>
      </c>
      <c r="C4609" t="inlineStr">
        <is>
          <t>Klein Tools 608-6 1/8-Inch Cabinet Tip Mini Screwdriver, 6-Inch</t>
        </is>
      </c>
      <c r="D4609" t="inlineStr">
        <is>
          <t>Klein Tools 6916INS 1000V Slim Tip Insulated Screwdriver, 6-Inch Round Shank, 3/16-Inch Cabinet Tip, Cushion Grip Handle</t>
        </is>
      </c>
      <c r="E4609" s="2">
        <f>HYPERLINK("https://www.amazon.com/Klein-Tools-6916INS-Insulated-Screwdriver/dp/B089DR97MJ/ref=sr_1_15?keywords=Klein+Tools+608-6+1%2F8-Inch+Cabinet+Tip+Mini+Screwdriver%2C+6-Inch&amp;qid=1694735278&amp;sr=8-15", "https://www.amazon.com/Klein-Tools-6916INS-Insulated-Screwdriver/dp/B089DR97MJ/ref=sr_1_15?keywords=Klein+Tools+608-6+1%2F8-Inch+Cabinet+Tip+Mini+Screwdriver%2C+6-Inch&amp;qid=1694735278&amp;sr=8-15")</f>
        <v/>
      </c>
      <c r="F4609" t="inlineStr">
        <is>
          <t>B089DR97MJ</t>
        </is>
      </c>
      <c r="G4609">
        <f>_xludf.IMAGE("https://edmondsonsupply.com/cdn/shop/products/608-6.jpg?v=1633030486")</f>
        <v/>
      </c>
      <c r="H4609">
        <f>_xludf.IMAGE("https://m.media-amazon.com/images/I/41JpJG+Jh0L._AC_UL320_.jpg")</f>
        <v/>
      </c>
      <c r="K4609" t="inlineStr">
        <is>
          <t>7.99</t>
        </is>
      </c>
      <c r="L4609" t="n">
        <v>13.85</v>
      </c>
      <c r="M4609" s="1" t="inlineStr">
        <is>
          <t>73.34%</t>
        </is>
      </c>
      <c r="N4609" s="1" t="n">
        <v>-14.28</v>
      </c>
      <c r="O4609" t="n">
        <v>4.8</v>
      </c>
      <c r="P4609" t="n">
        <v>1358</v>
      </c>
      <c r="R4609" t="inlineStr">
        <is>
          <t>InStock</t>
        </is>
      </c>
      <c r="S4609" t="inlineStr">
        <is>
          <t>12.1</t>
        </is>
      </c>
      <c r="T4609" t="inlineStr">
        <is>
          <t>5371087683752</t>
        </is>
      </c>
    </row>
    <row r="4610" ht="87" customHeight="1">
      <c r="A4610" s="2">
        <f>HYPERLINK("https://edmondsonsupply.com/collections/electricians-tools/products/klein-tools-k1412-klein-kurve%C2%AE-dual-nm-cable-stripper-cutter", "https://edmondsonsupply.com/collections/electricians-tools/products/klein-tools-k1412-klein-kurve%C2%AE-dual-nm-cable-stripper-cutter")</f>
        <v/>
      </c>
      <c r="B4610" s="2">
        <f>HYPERLINK("https://edmondsonsupply.com/products/klein-tools-k1412-klein-kurve%c2%ae-dual-nm-cable-stripper-cutter", "https://edmondsonsupply.com/products/klein-tools-k1412-klein-kurve%c2%ae-dual-nm-cable-stripper-cutter")</f>
        <v/>
      </c>
      <c r="C4610" t="inlineStr">
        <is>
          <t>Klein Tools K1412 Klein-Kurve® Dual NM Cable Stripper/Cutter</t>
        </is>
      </c>
      <c r="D4610" t="inlineStr">
        <is>
          <t>Klein Tools K1412 Wire Cutter/Wire Stripper, Dual NM Cable Stripper/Cutter Cuts Solid Copper Wire &amp; 11061 Wire Stripper/Wire Cutter for Solid and Stranded AWG Wire</t>
        </is>
      </c>
      <c r="E4610" s="2">
        <f>HYPERLINK("https://www.amazon.com/Klein-Tools-Cutter-Stripper-Stranded/dp/B0C3BBD1YQ/ref=sr_1_3?keywords=Klein+Tools+K1412+Klein-Kurve%C2%AE+Dual+NM+Cable+Stripper%2FCutter&amp;qid=1694735226&amp;sr=8-3", "https://www.amazon.com/Klein-Tools-Cutter-Stripper-Stranded/dp/B0C3BBD1YQ/ref=sr_1_3?keywords=Klein+Tools+K1412+Klein-Kurve%C2%AE+Dual+NM+Cable+Stripper%2FCutter&amp;qid=1694735226&amp;sr=8-3")</f>
        <v/>
      </c>
      <c r="F4610" t="inlineStr">
        <is>
          <t>B0C3BBD1YQ</t>
        </is>
      </c>
      <c r="G4610">
        <f>_xlfn.IMAGE("https://edmondsonsupply.com/cdn/shop/products/k1412_b.jpg?v=1646350543")</f>
        <v/>
      </c>
      <c r="H4610">
        <f>_xlfn.IMAGE("https://m.media-amazon.com/images/I/51josYM6p8L._AC_UL320_.jpg")</f>
        <v/>
      </c>
      <c r="K4610" t="inlineStr">
        <is>
          <t>29.97</t>
        </is>
      </c>
      <c r="L4610" t="n">
        <v>51.94</v>
      </c>
      <c r="M4610" s="1" t="inlineStr">
        <is>
          <t>73.31%</t>
        </is>
      </c>
      <c r="N4610" s="7" t="n">
        <v>-14.29</v>
      </c>
      <c r="O4610" t="n">
        <v>5</v>
      </c>
      <c r="P4610" t="n">
        <v>1</v>
      </c>
      <c r="R4610" t="inlineStr">
        <is>
          <t>InStock</t>
        </is>
      </c>
      <c r="S4610" t="inlineStr">
        <is>
          <t>42.1</t>
        </is>
      </c>
      <c r="T4610" t="inlineStr">
        <is>
          <t>6562532130989</t>
        </is>
      </c>
    </row>
    <row r="4611" ht="87" customHeight="1">
      <c r="A4611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4611" s="2">
        <f>HYPERLINK("https://edmondsonsupply.com/products/klein-tools-32510-magnetic-screwdriver-with-32-tamperproof-bits", "https://edmondsonsupply.com/products/klein-tools-32510-magnetic-screwdriver-with-32-tamperproof-bits")</f>
        <v/>
      </c>
      <c r="C4611" t="inlineStr">
        <is>
          <t>Klein Tools 32510 Magnetic Screwdriver with 32 Tamperproof Bits</t>
        </is>
      </c>
      <c r="D4611" t="inlineStr">
        <is>
          <t>Klein Tools 32510 Magnetic Multibit Screwdriver &amp; 32305 Multi-bit Ratcheting Screwdriver, 15-in-1 Tool with Phillips, Slotted, Square, Torx and Combo Bits and 1/4-In Nut Driver</t>
        </is>
      </c>
      <c r="E4611" s="2">
        <f>HYPERLINK("https://www.amazon.com/Klein-Tools-Screwdriver-Multi-bit-Ratcheting/dp/B0BGPSLWHN/ref=sr_1_16?keywords=Klein+Tools+32510+Magnetic+Screwdriver+with+32+Tamperproof+Bits&amp;qid=1694735159&amp;sr=8-16", "https://www.amazon.com/Klein-Tools-Screwdriver-Multi-bit-Ratcheting/dp/B0BGPSLWHN/ref=sr_1_16?keywords=Klein+Tools+32510+Magnetic+Screwdriver+with+32+Tamperproof+Bits&amp;qid=1694735159&amp;sr=8-16")</f>
        <v/>
      </c>
      <c r="F4611" t="inlineStr">
        <is>
          <t>B0BGPSLWHN</t>
        </is>
      </c>
      <c r="G4611">
        <f>_xlfn.IMAGE("https://edmondsonsupply.com/cdn/shop/products/32510_alt2.jpg?v=1653267434")</f>
        <v/>
      </c>
      <c r="H4611">
        <f>_xlfn.IMAGE("https://m.media-amazon.com/images/I/41y1yDhEPpL._AC_UL320_.jpg")</f>
        <v/>
      </c>
      <c r="K4611" t="inlineStr">
        <is>
          <t>29.97</t>
        </is>
      </c>
      <c r="L4611" t="n">
        <v>51.94</v>
      </c>
      <c r="M4611" s="1" t="inlineStr">
        <is>
          <t>73.31%</t>
        </is>
      </c>
      <c r="N4611" s="7" t="n">
        <v>-14.3</v>
      </c>
      <c r="O4611" t="n">
        <v>5</v>
      </c>
      <c r="P4611" t="n">
        <v>1</v>
      </c>
      <c r="R4611" t="inlineStr">
        <is>
          <t>InStock</t>
        </is>
      </c>
      <c r="S4611" t="inlineStr">
        <is>
          <t>43.88</t>
        </is>
      </c>
      <c r="T4611" t="inlineStr">
        <is>
          <t>7696117367000</t>
        </is>
      </c>
    </row>
    <row r="4612" ht="87" customHeight="1">
      <c r="A4612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4612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4612" t="inlineStr">
        <is>
          <t>Klein Tools 11055RINS Insulated Klein-Kurve® Wire Stripper and Cutter</t>
        </is>
      </c>
      <c r="D4612" t="inlineStr">
        <is>
          <t>Klein Tools 11063W Wire Cutter/Wire Stripper, Heavy Duty Wire Stripper Tool &amp; 11061 Wire Stripper/Wire Cutter for Solid and Stranded AWG Wire, Heavy Duty Kleins are Self Adjusting</t>
        </is>
      </c>
      <c r="E4612" s="2">
        <f>HYPERLINK("https://www.amazon.com/Klein-Tools-Stripper-Stranded-Adjusting/dp/B08ZPWWTN2/ref=sr_1_48?keywords=Klein+Tools+11055RINS+Insulated+Klein-Kurve%C2%AE+Wire+Stripper+and+Cutter&amp;qid=1694735096&amp;sr=8-48", "https://www.amazon.com/Klein-Tools-Stripper-Stranded-Adjusting/dp/B08ZPWWTN2/ref=sr_1_48?keywords=Klein+Tools+11055RINS+Insulated+Klein-Kurve%C2%AE+Wire+Stripper+and+Cutter&amp;qid=1694735096&amp;sr=8-48")</f>
        <v/>
      </c>
      <c r="F4612" t="inlineStr">
        <is>
          <t>B08ZPWWTN2</t>
        </is>
      </c>
      <c r="G4612">
        <f>_xlfn.IMAGE("https://edmondsonsupply.com/cdn/shop/products/11055rins.jpg?v=1667236979")</f>
        <v/>
      </c>
      <c r="H4612">
        <f>_xlfn.IMAGE("https://m.media-amazon.com/images/I/41+WzGiz14L._AC_UL320_.jpg")</f>
        <v/>
      </c>
      <c r="K4612" t="inlineStr">
        <is>
          <t>29.97</t>
        </is>
      </c>
      <c r="L4612" t="n">
        <v>51.94</v>
      </c>
      <c r="M4612" s="1" t="inlineStr">
        <is>
          <t>73.31%</t>
        </is>
      </c>
      <c r="N4612" s="7" t="n">
        <v>-14.31</v>
      </c>
      <c r="O4612" t="n">
        <v>4.8</v>
      </c>
      <c r="P4612" t="n">
        <v>84</v>
      </c>
      <c r="R4612" t="inlineStr">
        <is>
          <t>InStock</t>
        </is>
      </c>
      <c r="S4612" t="inlineStr">
        <is>
          <t>41.98</t>
        </is>
      </c>
      <c r="T4612" t="inlineStr">
        <is>
          <t>7871527813336</t>
        </is>
      </c>
    </row>
    <row r="4613" hidden="1" ht="15.75" customHeight="1">
      <c r="A4613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4613" s="2">
        <f>HYPERLINK("https://edmondsonsupply.com/products/klein-tools-jth6m4-4-mm-hex-with-journeyman-t-handle-6-inch", "https://edmondsonsupply.com/products/klein-tools-jth6m4-4-mm-hex-with-journeyman-t-handle-6-inch")</f>
        <v/>
      </c>
      <c r="C4613" t="inlineStr">
        <is>
          <t>Klein Tools JTH6M4 4 mm Hex with Journeyman T-Handle 6-Inch</t>
        </is>
      </c>
      <c r="D4613" t="inlineStr">
        <is>
          <t>Klein Tools JTH6M4BE 4 mm Ball End Hex Key with Journeyman T-Handle, 6-Inch</t>
        </is>
      </c>
      <c r="E4613" s="2">
        <f>HYPERLINK("https://www.amazon.com/Journeyman-T-Handle-Klein-Tools-JTH6M4BE/dp/B005G3951G/ref=sr_1_2?keywords=Klein+Tools+JTH6M4+4+mm+Hex+with+Journeyman+T-Handle+6-Inch&amp;qid=1694735242&amp;sr=8-2", "https://www.amazon.com/Journeyman-T-Handle-Klein-Tools-JTH6M4BE/dp/B005G3951G/ref=sr_1_2?keywords=Klein+Tools+JTH6M4+4+mm+Hex+with+Journeyman+T-Handle+6-Inch&amp;qid=1694735242&amp;sr=8-2")</f>
        <v/>
      </c>
      <c r="F4613" t="inlineStr">
        <is>
          <t>B005G3951G</t>
        </is>
      </c>
      <c r="G4613">
        <f>_xludf.IMAGE("https://edmondsonsupply.com/cdn/shop/products/jth6m8_21839492-f844-4577-89b7-6c2cb1d02f31.jpg?v=1603052109")</f>
        <v/>
      </c>
      <c r="H4613">
        <f>_xludf.IMAGE("https://m.media-amazon.com/images/I/51huXA+ij8L._AC_UL320_.jpg")</f>
        <v/>
      </c>
      <c r="K4613" t="inlineStr">
        <is>
          <t>3.99</t>
        </is>
      </c>
      <c r="L4613" t="n">
        <v>6.91</v>
      </c>
      <c r="M4613" s="1" t="inlineStr">
        <is>
          <t>73.18%</t>
        </is>
      </c>
      <c r="N4613" s="1" t="n">
        <v>-14.35</v>
      </c>
      <c r="O4613" t="n">
        <v>4.8</v>
      </c>
      <c r="P4613" t="n">
        <v>985</v>
      </c>
      <c r="R4613" t="inlineStr">
        <is>
          <t>InStock</t>
        </is>
      </c>
      <c r="S4613" t="inlineStr">
        <is>
          <t>6.04</t>
        </is>
      </c>
      <c r="T4613" t="inlineStr">
        <is>
          <t>5963077157032</t>
        </is>
      </c>
    </row>
    <row r="4614" hidden="1" ht="15.75" customHeight="1">
      <c r="A4614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4614" s="2">
        <f>HYPERLINK("https://edmondsonsupply.com/products/klein-tools-jth6m2-2-mm-hex-key-journeyman-t-handle-6-inch", "https://edmondsonsupply.com/products/klein-tools-jth6m2-2-mm-hex-key-journeyman-t-handle-6-inch")</f>
        <v/>
      </c>
      <c r="C4614" t="inlineStr">
        <is>
          <t>Klein Tools JTH6M2 2 mm Hex Key, Journeyman T-Handle, 6-Inch</t>
        </is>
      </c>
      <c r="D4614" t="inlineStr">
        <is>
          <t>Klein Tools JTH6M2BE 2 mm Hex Key, Journeyman T-Handle, 6-Inch</t>
        </is>
      </c>
      <c r="E4614" s="2">
        <f>HYPERLINK("https://www.amazon.com/Journeyman-T-Handle-Klein-Tools-JTH6M2BE/dp/B005G2RMIU/ref=sr_1_1?keywords=Klein+Tools+JTH6M2+2+mm+Hex+Key%2C+Journeyman+T-Handle%2C+6-Inch&amp;qid=1694735354&amp;sr=8-1", "https://www.amazon.com/Journeyman-T-Handle-Klein-Tools-JTH6M2BE/dp/B005G2RMIU/ref=sr_1_1?keywords=Klein+Tools+JTH6M2+2+mm+Hex+Key%2C+Journeyman+T-Handle%2C+6-Inch&amp;qid=1694735354&amp;sr=8-1")</f>
        <v/>
      </c>
      <c r="F4614" t="inlineStr">
        <is>
          <t>B005G2RMIU</t>
        </is>
      </c>
      <c r="G4614">
        <f>_xludf.IMAGE("https://edmondsonsupply.com/cdn/shop/products/jth6m8_a05a7009-87dd-4391-9f0b-ef31a782bd36.jpg?v=1587147558")</f>
        <v/>
      </c>
      <c r="H4614">
        <f>_xludf.IMAGE("https://m.media-amazon.com/images/I/51huXA+ij8L._AC_UL320_.jpg")</f>
        <v/>
      </c>
      <c r="K4614" t="inlineStr">
        <is>
          <t>3.99</t>
        </is>
      </c>
      <c r="L4614" t="n">
        <v>6.91</v>
      </c>
      <c r="M4614" s="1" t="inlineStr">
        <is>
          <t>73.18%</t>
        </is>
      </c>
      <c r="N4614" s="1" t="n">
        <v>-14.43</v>
      </c>
      <c r="O4614" t="n">
        <v>4.8</v>
      </c>
      <c r="P4614" t="n">
        <v>985</v>
      </c>
      <c r="R4614" t="inlineStr">
        <is>
          <t>InStock</t>
        </is>
      </c>
      <c r="S4614" t="inlineStr">
        <is>
          <t>6.06</t>
        </is>
      </c>
      <c r="T4614" t="inlineStr">
        <is>
          <t>4506082738276</t>
        </is>
      </c>
    </row>
    <row r="4615" ht="87" customHeight="1">
      <c r="A4615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615" s="2">
        <f>HYPERLINK("https://edmondsonsupply.com/products/klein-tools-935ab4v-accu-bend%e2%84%a2-level-4-vial-rem", "https://edmondsonsupply.com/products/klein-tools-935ab4v-accu-bend%e2%84%a2-level-4-vial-rem")</f>
        <v/>
      </c>
      <c r="C4615" t="inlineStr">
        <is>
          <t>Klein Tools 935AB4V ACCU-BEND™ Level, 4-Vial</t>
        </is>
      </c>
      <c r="D4615" t="inlineStr">
        <is>
          <t>Swanson TL043M 9-Inch Savage Magnetic Torpedo Level &amp; Klein Tools 935AB4V Level, 6.25-Inch Magnetic Torpedo Level is a Conduit Level with 4 Vials, V-Groove and Magnet Track, High Viz Orange</t>
        </is>
      </c>
      <c r="E4615" s="2">
        <f>HYPERLINK("https://www.amazon.com/Swanson-Magnetic-Torpedo-6-25-Inch-V-Groove/dp/B0BFXV27S8/ref=sr_1_5?keywords=Klein+Tools+935AB4V+ACCU-BEND%E2%84%A2+Level%2C+4-Vial&amp;qid=1694735422&amp;sr=8-5", "https://www.amazon.com/Swanson-Magnetic-Torpedo-6-25-Inch-V-Groove/dp/B0BFXV27S8/ref=sr_1_5?keywords=Klein+Tools+935AB4V+ACCU-BEND%E2%84%A2+Level%2C+4-Vial&amp;qid=1694735422&amp;sr=8-5")</f>
        <v/>
      </c>
      <c r="F4615" t="inlineStr">
        <is>
          <t>B0BFXV27S8</t>
        </is>
      </c>
      <c r="G4615">
        <f>_xlfn.IMAGE("https://edmondsonsupply.com/cdn/shop/files/935ab4v_b.jpg?v=1685715011")</f>
        <v/>
      </c>
      <c r="H4615">
        <f>_xlfn.IMAGE("https://m.media-amazon.com/images/I/514avf+M1FL._AC_UL320_.jpg")</f>
        <v/>
      </c>
      <c r="K4615" t="inlineStr">
        <is>
          <t>29.97</t>
        </is>
      </c>
      <c r="L4615" t="n">
        <v>51.84</v>
      </c>
      <c r="M4615" s="1" t="inlineStr">
        <is>
          <t>72.97%</t>
        </is>
      </c>
      <c r="N4615" s="7" t="n">
        <v>-14.48</v>
      </c>
      <c r="O4615" t="n">
        <v>4.7</v>
      </c>
      <c r="P4615" t="n">
        <v>5999</v>
      </c>
      <c r="R4615" t="inlineStr">
        <is>
          <t>InStock</t>
        </is>
      </c>
      <c r="S4615" t="inlineStr">
        <is>
          <t>42.0</t>
        </is>
      </c>
      <c r="T4615" t="inlineStr">
        <is>
          <t>2766878081124</t>
        </is>
      </c>
    </row>
    <row r="4616" ht="87" customHeight="1">
      <c r="A4616" s="2">
        <f>HYPERLINK("https://edmondsonsupply.com/collections/electricians-tools/products/diablo-tools-dmamx1220", "https://edmondsonsupply.com/collections/electricians-tools/products/diablo-tools-dmamx1220")</f>
        <v/>
      </c>
      <c r="B4616" s="2">
        <f>HYPERLINK("https://edmondsonsupply.com/products/diablo-tools-dmamx1220", "https://edmondsonsupply.com/products/diablo-tools-dmamx1220")</f>
        <v/>
      </c>
      <c r="C4616" t="inlineStr">
        <is>
          <t>Diablo Tools DMAMX1220 1 in. x 16 in. x 21 in. Rebar Demon™ SDS-Max 4-Cutter Full Carbide Head Hammer Drill Bit</t>
        </is>
      </c>
      <c r="D4616" t="inlineStr">
        <is>
          <t>Diablo DMAMX1110 5/8 in. x 24 in. x 29 in. Rebar Demon™ SDS-Max 4-Cutter Full Carbide Head Hammer Bit</t>
        </is>
      </c>
      <c r="E4616" s="2">
        <f>HYPERLINK("https://www.amazon.com/Diablo-SDS-Max-4-Cutter-Carbide-Hammer/dp/B089LJ9GHW/ref=sr_1_13?keywords=Diablo+Tools+DMAMX1220+1+in.+x+16+in.+x+21+in.+Rebar+Demon%E2%84%A2+SDS-Max+4-Cutter+Full+Carbide+Head+Hammer+Drill+Bit&amp;qid=1694735075&amp;sr=8-13", "https://www.amazon.com/Diablo-SDS-Max-4-Cutter-Carbide-Hammer/dp/B089LJ9GHW/ref=sr_1_13?keywords=Diablo+Tools+DMAMX1220+1+in.+x+16+in.+x+21+in.+Rebar+Demon%E2%84%A2+SDS-Max+4-Cutter+Full+Carbide+Head+Hammer+Drill+Bit&amp;qid=1694735075&amp;sr=8-13")</f>
        <v/>
      </c>
      <c r="F4616" t="inlineStr">
        <is>
          <t>B089LJ9GHW</t>
        </is>
      </c>
      <c r="G4616">
        <f>_xlfn.IMAGE("https://edmondsonsupply.com/cdn/shop/products/immoyh7jjmbau4fzhuq6.webp?v=1670431066")</f>
        <v/>
      </c>
      <c r="H4616">
        <f>_xlfn.IMAGE("https://m.media-amazon.com/images/I/61vWAd-z8eL._AC_UL320_.jpg")</f>
        <v/>
      </c>
      <c r="K4616" t="inlineStr">
        <is>
          <t>45.69</t>
        </is>
      </c>
      <c r="L4616" t="n">
        <v>78.98999999999999</v>
      </c>
      <c r="M4616" s="1" t="inlineStr">
        <is>
          <t>72.88%</t>
        </is>
      </c>
      <c r="N4616" s="7" t="n">
        <v>-14.48</v>
      </c>
      <c r="O4616" t="n">
        <v>4.7</v>
      </c>
      <c r="P4616" t="n">
        <v>4</v>
      </c>
      <c r="R4616" t="inlineStr">
        <is>
          <t>InStock</t>
        </is>
      </c>
      <c r="S4616" t="inlineStr">
        <is>
          <t>70.58</t>
        </is>
      </c>
      <c r="T4616" t="inlineStr">
        <is>
          <t>7900195356888</t>
        </is>
      </c>
    </row>
    <row r="4617" ht="87" customHeight="1">
      <c r="A4617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4617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4617" t="inlineStr">
        <is>
          <t>Diablo Tools DOU250JBW3 2-1/2 in. Universal Fit Bi-Metal Oscillating Blade for Clean Wood (3 pk)</t>
        </is>
      </c>
      <c r="D4617" t="inlineStr">
        <is>
          <t>Norske Tools NOTP279 2 3/4 inch Flush Cut Japanese Tooth Bi-Metal Oscillating Multi Tool Accessory Blade Universal Fit for Hardwood (10pc Pack) | Oscillating Saw Blades</t>
        </is>
      </c>
      <c r="E4617" s="2">
        <f>HYPERLINK("https://www.amazon.com/Norske-NOTP279-Oscillating-Accessory-Universal/dp/B08781NZRG/ref=sr_1_47?keywords=Diablo+Tools+DOU250JBW3+2-1%2F2+in.+Universal+Fit+Bi-Metal+Oscillating+Blade+for+Clean+Wood+%283+pk%29&amp;qid=1694734992&amp;sr=8-47", "https://www.amazon.com/Norske-NOTP279-Oscillating-Accessory-Universal/dp/B08781NZRG/ref=sr_1_47?keywords=Diablo+Tools+DOU250JBW3+2-1%2F2+in.+Universal+Fit+Bi-Metal+Oscillating+Blade+for+Clean+Wood+%283+pk%29&amp;qid=1694734992&amp;sr=8-47")</f>
        <v/>
      </c>
      <c r="F4617" t="inlineStr">
        <is>
          <t>B08781NZRG</t>
        </is>
      </c>
      <c r="G4617">
        <f>_xlfn.IMAGE("https://edmondsonsupply.com/cdn/shop/files/pycnap4eb1urn2hxvudq_1.webp?v=1685719587")</f>
        <v/>
      </c>
      <c r="H4617">
        <f>_xlfn.IMAGE("https://m.media-amazon.com/images/I/61nU7wAI8eL._AC_UL320_.jpg")</f>
        <v/>
      </c>
      <c r="K4617" t="inlineStr">
        <is>
          <t>31.32</t>
        </is>
      </c>
      <c r="L4617" t="n">
        <v>54.14</v>
      </c>
      <c r="M4617" s="1" t="inlineStr">
        <is>
          <t>72.86%</t>
        </is>
      </c>
      <c r="N4617" s="7" t="n">
        <v>-14.48</v>
      </c>
      <c r="O4617" t="n">
        <v>4.3</v>
      </c>
      <c r="P4617" t="n">
        <v>29</v>
      </c>
      <c r="R4617" t="inlineStr">
        <is>
          <t>InStock</t>
        </is>
      </c>
      <c r="S4617" t="inlineStr">
        <is>
          <t>49.72</t>
        </is>
      </c>
      <c r="T4617" t="inlineStr">
        <is>
          <t>7999575654616</t>
        </is>
      </c>
    </row>
    <row r="4618" ht="87" customHeight="1">
      <c r="A4618" s="2">
        <f>HYPERLINK("https://edmondsonsupply.com/collections/electricians-tools/products/fluke-87v", "https://edmondsonsupply.com/collections/electricians-tools/products/fluke-87v")</f>
        <v/>
      </c>
      <c r="B4618" s="2">
        <f>HYPERLINK("https://edmondsonsupply.com/products/fluke-87v", "https://edmondsonsupply.com/products/fluke-87v")</f>
        <v/>
      </c>
      <c r="C4618" t="inlineStr">
        <is>
          <t>Fluke 87V Industrial Multimeter</t>
        </is>
      </c>
      <c r="D4618" t="inlineStr">
        <is>
          <t>FLUKE-289/IMSK Industrial Multimeter Service Combo Kit</t>
        </is>
      </c>
      <c r="E4618" s="2">
        <f>HYPERLINK("https://www.amazon.com/FLUKE-289-IMSK-Industrial-Multimeter-Service/dp/B005D19NSG/ref=sr_1_28?keywords=Fluke+87V+Industrial+Multimeter&amp;qid=1694735314&amp;sr=8-28", "https://www.amazon.com/FLUKE-289-IMSK-Industrial-Multimeter-Service/dp/B005D19NSG/ref=sr_1_28?keywords=Fluke+87V+Industrial+Multimeter&amp;qid=1694735314&amp;sr=8-28")</f>
        <v/>
      </c>
      <c r="F4618" t="inlineStr">
        <is>
          <t>B005D19NSG</t>
        </is>
      </c>
      <c r="G4618">
        <f>_xlfn.IMAGE("https://edmondsonsupply.com/cdn/shop/products/875.jpg?v=1633030274")</f>
        <v/>
      </c>
      <c r="H4618">
        <f>_xlfn.IMAGE("https://m.media-amazon.com/images/I/61Tw9VUQ8uL._AC_UL320_.jpg")</f>
        <v/>
      </c>
      <c r="K4618" t="inlineStr">
        <is>
          <t>459.89</t>
        </is>
      </c>
      <c r="L4618" t="n">
        <v>794.77</v>
      </c>
      <c r="M4618" s="1" t="inlineStr">
        <is>
          <t>72.82%</t>
        </is>
      </c>
      <c r="N4618" s="7" t="n">
        <v>-14.51</v>
      </c>
      <c r="O4618" t="n">
        <v>4.8</v>
      </c>
      <c r="P4618" t="n">
        <v>12</v>
      </c>
      <c r="R4618" t="inlineStr">
        <is>
          <t>InStock</t>
        </is>
      </c>
      <c r="S4618" t="inlineStr">
        <is>
          <t>521.99</t>
        </is>
      </c>
      <c r="T4618" t="inlineStr">
        <is>
          <t>5238369452200</t>
        </is>
      </c>
    </row>
    <row r="4619" ht="87" customHeight="1">
      <c r="A4619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4619" s="2">
        <f>HYPERLINK("https://edmondsonsupply.com/products/klein-tools-630-3-8m-3-8-magnetic-tip-nut-driver-3-hollow-shank", "https://edmondsonsupply.com/products/klein-tools-630-3-8m-3-8-magnetic-tip-nut-driver-3-hollow-shank")</f>
        <v/>
      </c>
      <c r="C4619" t="inlineStr">
        <is>
          <t>Klein Tools 630-3/8M 3/8-Inch Magnetic Tip Nut Driver</t>
        </is>
      </c>
      <c r="D4619" t="inlineStr">
        <is>
          <t>Klein Tools 630M 3" Hollow Shank Magnetic Tip Nut Driver Set (2 Pieces)</t>
        </is>
      </c>
      <c r="E4619" s="2">
        <f>HYPERLINK("https://www.amazon.com/Klein-Tools-Hollow-Magnetic-Driver/dp/B00080FO5I/ref=sr_1_8?keywords=Klein+Tools+630-3%2F8M+3%2F8-Inch+Magnetic+Tip+Nut+Driver&amp;qid=1694735121&amp;sr=8-8", "https://www.amazon.com/Klein-Tools-Hollow-Magnetic-Driver/dp/B00080FO5I/ref=sr_1_8?keywords=Klein+Tools+630-3%2F8M+3%2F8-Inch+Magnetic+Tip+Nut+Driver&amp;qid=1694735121&amp;sr=8-8")</f>
        <v/>
      </c>
      <c r="F4619" t="inlineStr">
        <is>
          <t>B00080FO5I</t>
        </is>
      </c>
      <c r="G4619">
        <f>_xlfn.IMAGE("https://edmondsonsupply.com/cdn/shop/products/630-3-8m.jpg?v=1587145139")</f>
        <v/>
      </c>
      <c r="H4619">
        <f>_xlfn.IMAGE("https://m.media-amazon.com/images/I/41lx1kHoCZL._AC_UL320_.jpg")</f>
        <v/>
      </c>
      <c r="K4619" t="inlineStr">
        <is>
          <t>10.99</t>
        </is>
      </c>
      <c r="L4619" t="n">
        <v>18.99</v>
      </c>
      <c r="M4619" s="1" t="inlineStr">
        <is>
          <t>72.79%</t>
        </is>
      </c>
      <c r="N4619" s="7" t="n">
        <v>-14.59</v>
      </c>
      <c r="O4619" t="n">
        <v>4.6</v>
      </c>
      <c r="P4619" t="n">
        <v>451</v>
      </c>
      <c r="R4619" t="inlineStr">
        <is>
          <t>InStock</t>
        </is>
      </c>
      <c r="S4619" t="inlineStr">
        <is>
          <t>16.66</t>
        </is>
      </c>
      <c r="T4619" t="inlineStr">
        <is>
          <t>2766802288740</t>
        </is>
      </c>
    </row>
    <row r="4620" ht="87" customHeight="1">
      <c r="A4620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620" s="2">
        <f>HYPERLINK("https://edmondsonsupply.com/products/klein-tools-32305-15-in-1-multi-bit-ratcheting-screwdriver", "https://edmondsonsupply.com/products/klein-tools-32305-15-in-1-multi-bit-ratcheting-screwdriver")</f>
        <v/>
      </c>
      <c r="C4620" t="inlineStr">
        <is>
          <t>Klein Tools 32305 15-in-1 Multi-Bit Ratcheting Screwdriver</t>
        </is>
      </c>
      <c r="D4620" t="inlineStr">
        <is>
          <t>Klein Tools 65200 Ratchet Set, 5-Piece Mini Ratchet Set &amp; 32305 Multi-bit Ratcheting Screwdriver, 15-in-1 Tool with Phillips, Slotted, Square, Torx and Combo Bits and 1/4-Inch Nut Driver</t>
        </is>
      </c>
      <c r="E4620" s="2">
        <f>HYPERLINK("https://www.amazon.com/Klein-Tools-Multi-bit-Ratcheting-Screwdriver/dp/B0BCT7ZQ56/ref=sr_1_33?keywords=Klein+Tools+32305+15-in-1+Multi-Bit+Ratcheting+Screwdriver&amp;qid=1694735163&amp;sr=8-33", "https://www.amazon.com/Klein-Tools-Multi-bit-Ratcheting-Screwdriver/dp/B0BCT7ZQ56/ref=sr_1_33?keywords=Klein+Tools+32305+15-in-1+Multi-Bit+Ratcheting+Screwdriver&amp;qid=1694735163&amp;sr=8-33")</f>
        <v/>
      </c>
      <c r="F4620" t="inlineStr">
        <is>
          <t>B0BCT7ZQ56</t>
        </is>
      </c>
      <c r="G4620">
        <f>_xlfn.IMAGE("https://edmondsonsupply.com/cdn/shop/products/32305.jpg?v=1646965475")</f>
        <v/>
      </c>
      <c r="H4620">
        <f>_xlfn.IMAGE("https://m.media-amazon.com/images/I/51dUHJf6tvL._AC_UL320_.jpg")</f>
        <v/>
      </c>
      <c r="K4620" t="inlineStr">
        <is>
          <t>21.97</t>
        </is>
      </c>
      <c r="L4620" t="n">
        <v>37.93</v>
      </c>
      <c r="M4620" s="1" t="inlineStr">
        <is>
          <t>72.64%</t>
        </is>
      </c>
      <c r="N4620" s="7" t="n">
        <v>-14.6</v>
      </c>
      <c r="O4620" t="n">
        <v>5</v>
      </c>
      <c r="P4620" t="n">
        <v>2</v>
      </c>
      <c r="R4620" t="inlineStr">
        <is>
          <t>InStock</t>
        </is>
      </c>
      <c r="S4620" t="inlineStr">
        <is>
          <t>30.78</t>
        </is>
      </c>
      <c r="T4620" t="inlineStr">
        <is>
          <t>7632426598616</t>
        </is>
      </c>
    </row>
    <row r="4621" ht="87" customHeight="1">
      <c r="A4621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4621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4621" t="inlineStr">
        <is>
          <t>Diablo Tools DMAMX1050 9/16 in. x 8 in. x 13 in. Rebar Demon™ SDS-Max 4-Cutter Full Carbide Head Hammer Drill Bit</t>
        </is>
      </c>
      <c r="D4621" t="inlineStr">
        <is>
          <t>Diablo DMAMX1140 3/4 in. x 16 in. x 21 in. Rebar Demon™ SDS-Max 4-Cutter Full Carbide Head Hammer Bit</t>
        </is>
      </c>
      <c r="E4621" s="2">
        <f>HYPERLINK("https://www.amazon.com/Diablo-SDS-Max-4-Cutter-Carbide-Hammer/dp/B089KWP4WK/ref=sr_1_31?keywords=Diablo+Tools+DMAMX1050+9%2F16+in.+x+8+in.+x+13+in.+Rebar+Demon%E2%84%A2+SDS-Max+4-Cutter+Full+Carbide+Head+Hammer+Drill+Bit&amp;qid=1694735208&amp;sr=8-31", "https://www.amazon.com/Diablo-SDS-Max-4-Cutter-Carbide-Hammer/dp/B089KWP4WK/ref=sr_1_31?keywords=Diablo+Tools+DMAMX1050+9%2F16+in.+x+8+in.+x+13+in.+Rebar+Demon%E2%84%A2+SDS-Max+4-Cutter+Full+Carbide+Head+Hammer+Drill+Bit&amp;qid=1694735208&amp;sr=8-31")</f>
        <v/>
      </c>
      <c r="F4621" t="inlineStr">
        <is>
          <t>B089KWP4WK</t>
        </is>
      </c>
      <c r="G4621">
        <f>_xlfn.IMAGE("https://edmondsonsupply.com/cdn/shop/products/DMAMX1050_Main-Image20200701.png?v=1633031097")</f>
        <v/>
      </c>
      <c r="H4621">
        <f>_xlfn.IMAGE("https://m.media-amazon.com/images/I/61yWWNP1xrL._AC_UL320_.jpg")</f>
        <v/>
      </c>
      <c r="K4621" t="inlineStr">
        <is>
          <t>29.19</t>
        </is>
      </c>
      <c r="L4621" t="n">
        <v>50.26</v>
      </c>
      <c r="M4621" s="1" t="inlineStr">
        <is>
          <t>72.18%</t>
        </is>
      </c>
      <c r="N4621" s="7" t="n">
        <v>-14.66</v>
      </c>
      <c r="O4621" t="n">
        <v>5</v>
      </c>
      <c r="P4621" t="n">
        <v>9</v>
      </c>
      <c r="R4621" t="inlineStr">
        <is>
          <t>InStock</t>
        </is>
      </c>
      <c r="S4621" t="inlineStr">
        <is>
          <t>46.05</t>
        </is>
      </c>
      <c r="T4621" t="inlineStr">
        <is>
          <t>6842367738029</t>
        </is>
      </c>
    </row>
    <row r="4622" ht="87" customHeight="1">
      <c r="A4622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4622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4622" t="inlineStr">
        <is>
          <t>Klein Tools 646-7/16M 7/16-Inch Magnetic Tip Nut Driver 6-Inch Shaft</t>
        </is>
      </c>
      <c r="D4622" t="inlineStr">
        <is>
          <t>Klein Tools 646M Tool Set, Magnetic Nut Drivers Sizes 1/4 and 5/16-Inch, 6-Inch Shafts, 2-Piece</t>
        </is>
      </c>
      <c r="E4622" s="2">
        <f>HYPERLINK("https://www.amazon.com/Magnetic-16-Inch-Klein-Tools-646M/dp/B000936QV0/ref=sr_1_6?keywords=Klein+Tools+646-7%2F16M+7%2F16-Inch+Magnetic+Tip+Nut+Driver+6-Inch+Shaft&amp;qid=1694735353&amp;sr=8-6", "https://www.amazon.com/Magnetic-16-Inch-Klein-Tools-646M/dp/B000936QV0/ref=sr_1_6?keywords=Klein+Tools+646-7%2F16M+7%2F16-Inch+Magnetic+Tip+Nut+Driver+6-Inch+Shaft&amp;qid=1694735353&amp;sr=8-6")</f>
        <v/>
      </c>
      <c r="F4622" t="inlineStr">
        <is>
          <t>B000936QV0</t>
        </is>
      </c>
      <c r="G4622">
        <f>_xlfn.IMAGE("https://edmondsonsupply.com/cdn/shop/products/646-5-16m_906faaaa-dd9e-40e4-bce3-8174c2b127b5.jpg?v=1587146594")</f>
        <v/>
      </c>
      <c r="H4622">
        <f>_xlfn.IMAGE("https://m.media-amazon.com/images/I/41lkJ6KRq9L._AC_UL320_.jpg")</f>
        <v/>
      </c>
      <c r="K4622" t="inlineStr">
        <is>
          <t>12.99</t>
        </is>
      </c>
      <c r="L4622" t="n">
        <v>22.34</v>
      </c>
      <c r="M4622" s="1" t="inlineStr">
        <is>
          <t>71.98%</t>
        </is>
      </c>
      <c r="N4622" s="7" t="n">
        <v>-14.67</v>
      </c>
      <c r="O4622" t="n">
        <v>4.8</v>
      </c>
      <c r="P4622" t="n">
        <v>1652</v>
      </c>
      <c r="R4622" t="inlineStr">
        <is>
          <t>InStock</t>
        </is>
      </c>
      <c r="S4622" t="inlineStr">
        <is>
          <t>19.74</t>
        </is>
      </c>
      <c r="T4622" t="inlineStr">
        <is>
          <t>4461840171108</t>
        </is>
      </c>
    </row>
    <row r="4623" hidden="1" ht="15.75" customHeight="1">
      <c r="A4623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623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623" t="inlineStr">
        <is>
          <t>Klein Tools JTH9M3 3 mm Hex Key with Journeyman T-Handle, 9-Inch</t>
        </is>
      </c>
      <c r="D4623" t="inlineStr">
        <is>
          <t>Klein Tools JTH4E15 3/8-Inch Hex Key with Journeyman T-Handle, 4-Inch</t>
        </is>
      </c>
      <c r="E4623" s="2">
        <f>HYPERLINK("https://www.amazon.com/Klein-Tools-JTH4E15-Journeyman-T-Handle/dp/B004LR4MO8/ref=sr_1_12?keywords=Klein+Tools+JTH9M3+3+mm+Hex+Key+with+Journeyman+T-Handle%2C+9-Inch&amp;qid=1694735249&amp;sr=8-12", "https://www.amazon.com/Klein-Tools-JTH4E15-Journeyman-T-Handle/dp/B004LR4MO8/ref=sr_1_12?keywords=Klein+Tools+JTH9M3+3+mm+Hex+Key+with+Journeyman+T-Handle%2C+9-Inch&amp;qid=1694735249&amp;sr=8-12")</f>
        <v/>
      </c>
      <c r="F4623" t="inlineStr">
        <is>
          <t>B004LR4MO8</t>
        </is>
      </c>
      <c r="G4623">
        <f>_xludf.IMAGE("https://edmondsonsupply.com/cdn/shop/products/jth9m.jpg?v=1633030702")</f>
        <v/>
      </c>
      <c r="H4623">
        <f>_xludf.IMAGE("https://m.media-amazon.com/images/I/41onH0Q9stL._AC_UL320_.jpg")</f>
        <v/>
      </c>
      <c r="K4623" t="inlineStr">
        <is>
          <t>4.49</t>
        </is>
      </c>
      <c r="L4623" t="n">
        <v>7.7</v>
      </c>
      <c r="M4623" s="1" t="inlineStr">
        <is>
          <t>71.49%</t>
        </is>
      </c>
      <c r="N4623" s="1" t="n">
        <v>-14.68</v>
      </c>
      <c r="O4623" t="n">
        <v>4.8</v>
      </c>
      <c r="P4623" t="n">
        <v>2477</v>
      </c>
      <c r="R4623" t="inlineStr">
        <is>
          <t>InStock</t>
        </is>
      </c>
      <c r="S4623" t="inlineStr">
        <is>
          <t>6.82</t>
        </is>
      </c>
      <c r="T4623" t="inlineStr">
        <is>
          <t>5848344035496</t>
        </is>
      </c>
    </row>
    <row r="4624" hidden="1" ht="15.75" customHeight="1">
      <c r="A4624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4624" s="2">
        <f>HYPERLINK("https://edmondsonsupply.com/products/klein-tools-jth6m2-2-mm-hex-key-journeyman-t-handle-6-inch", "https://edmondsonsupply.com/products/klein-tools-jth6m2-2-mm-hex-key-journeyman-t-handle-6-inch")</f>
        <v/>
      </c>
      <c r="C4624" t="inlineStr">
        <is>
          <t>Klein Tools JTH6M2 2 mm Hex Key, Journeyman T-Handle, 6-Inch</t>
        </is>
      </c>
      <c r="D4624" t="inlineStr">
        <is>
          <t>Klein Tools JTH9M2 2 mm Hey Key, Journeyman T-Handle, 9-Inch</t>
        </is>
      </c>
      <c r="E4624" s="2">
        <f>HYPERLINK("https://www.amazon.com/Journeyman-T-Handle-Klein-Tools-JTH9M2/dp/B005G3HIHY/ref=sr_1_7?keywords=Klein+Tools+JTH6M2+2+mm+Hex+Key%2C+Journeyman+T-Handle%2C+6-Inch&amp;qid=1694735354&amp;sr=8-7", "https://www.amazon.com/Journeyman-T-Handle-Klein-Tools-JTH9M2/dp/B005G3HIHY/ref=sr_1_7?keywords=Klein+Tools+JTH6M2+2+mm+Hex+Key%2C+Journeyman+T-Handle%2C+6-Inch&amp;qid=1694735354&amp;sr=8-7")</f>
        <v/>
      </c>
      <c r="F4624" t="inlineStr">
        <is>
          <t>B005G3HIHY</t>
        </is>
      </c>
      <c r="G4624">
        <f>_xludf.IMAGE("https://edmondsonsupply.com/cdn/shop/products/jth6m8_a05a7009-87dd-4391-9f0b-ef31a782bd36.jpg?v=1587147558")</f>
        <v/>
      </c>
      <c r="H4624">
        <f>_xludf.IMAGE("https://m.media-amazon.com/images/I/51+1x0vz9XL._AC_UL320_.jpg")</f>
        <v/>
      </c>
      <c r="K4624" t="inlineStr">
        <is>
          <t>3.99</t>
        </is>
      </c>
      <c r="L4624" t="n">
        <v>6.84</v>
      </c>
      <c r="M4624" s="1" t="inlineStr">
        <is>
          <t>71.43%</t>
        </is>
      </c>
      <c r="N4624" s="1" t="n">
        <v>-14.7</v>
      </c>
      <c r="O4624" t="n">
        <v>4.5</v>
      </c>
      <c r="P4624" t="n">
        <v>49</v>
      </c>
      <c r="R4624" t="inlineStr">
        <is>
          <t>InStock</t>
        </is>
      </c>
      <c r="S4624" t="inlineStr">
        <is>
          <t>6.06</t>
        </is>
      </c>
      <c r="T4624" t="inlineStr">
        <is>
          <t>4506082738276</t>
        </is>
      </c>
    </row>
    <row r="4625" hidden="1" ht="15.75" customHeight="1">
      <c r="A4625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4625" s="2">
        <f>HYPERLINK("https://edmondsonsupply.com/products/klein-tools-jth6m2-2-mm-hex-key-journeyman-t-handle-6-inch", "https://edmondsonsupply.com/products/klein-tools-jth6m2-2-mm-hex-key-journeyman-t-handle-6-inch")</f>
        <v/>
      </c>
      <c r="C4625" t="inlineStr">
        <is>
          <t>Klein Tools JTH6M2 2 mm Hex Key, Journeyman T-Handle, 6-Inch</t>
        </is>
      </c>
      <c r="D4625" t="inlineStr">
        <is>
          <t>Klein Tools JTH9M25 2.5 mm Hex Key with Journeyman T-Handle, 9-Inch</t>
        </is>
      </c>
      <c r="E4625" s="2">
        <f>HYPERLINK("https://www.amazon.com/Journeyman-T-Handle-Klein-Tools-JTH9M25/dp/B005G3HIRY/ref=sr_1_11?keywords=Klein+Tools+JTH6M2+2+mm+Hex+Key%2C+Journeyman+T-Handle%2C+6-Inch&amp;qid=1694735354&amp;sr=8-11", "https://www.amazon.com/Journeyman-T-Handle-Klein-Tools-JTH9M25/dp/B005G3HIRY/ref=sr_1_11?keywords=Klein+Tools+JTH6M2+2+mm+Hex+Key%2C+Journeyman+T-Handle%2C+6-Inch&amp;qid=1694735354&amp;sr=8-11")</f>
        <v/>
      </c>
      <c r="F4625" t="inlineStr">
        <is>
          <t>B005G3HIRY</t>
        </is>
      </c>
      <c r="G4625">
        <f>_xludf.IMAGE("https://edmondsonsupply.com/cdn/shop/products/jth6m8_a05a7009-87dd-4391-9f0b-ef31a782bd36.jpg?v=1587147558")</f>
        <v/>
      </c>
      <c r="H4625">
        <f>_xludf.IMAGE("https://m.media-amazon.com/images/I/51+1x0vz9XL._AC_UL320_.jpg")</f>
        <v/>
      </c>
      <c r="K4625" t="inlineStr">
        <is>
          <t>3.99</t>
        </is>
      </c>
      <c r="L4625" t="n">
        <v>6.84</v>
      </c>
      <c r="M4625" s="1" t="inlineStr">
        <is>
          <t>71.43%</t>
        </is>
      </c>
      <c r="N4625" s="1" t="n">
        <v>-14.81</v>
      </c>
      <c r="O4625" t="n">
        <v>4.2</v>
      </c>
      <c r="P4625" t="n">
        <v>14</v>
      </c>
      <c r="R4625" t="inlineStr">
        <is>
          <t>InStock</t>
        </is>
      </c>
      <c r="S4625" t="inlineStr">
        <is>
          <t>6.06</t>
        </is>
      </c>
      <c r="T4625" t="inlineStr">
        <is>
          <t>4506082738276</t>
        </is>
      </c>
    </row>
    <row r="4626" hidden="1" ht="15.75" customHeight="1">
      <c r="A4626" s="2">
        <f>HYPERLINK("https://edmondsonsupply.com/collections/electricians-tools/products/diablo-tools-dmamx1040", "https://edmondsonsupply.com/collections/electricians-tools/products/diablo-tools-dmamx1040")</f>
        <v/>
      </c>
      <c r="B4626" s="2">
        <f>HYPERLINK("https://edmondsonsupply.com/products/diablo-tools-dmamx1040", "https://edmondsonsupply.com/products/diablo-tools-dmamx1040")</f>
        <v/>
      </c>
      <c r="C4626" t="inlineStr">
        <is>
          <t>Diablo Tools DMAMX1040 1/2 in. x 24 in. x 29 in. Rebar Demon SDS-Max 4-Cutter Full Carbide Head Hammer Bit</t>
        </is>
      </c>
      <c r="D4626" t="inlineStr">
        <is>
          <t>Diablo by Freud DMAMX1120 5/8 in. x 31 in. x 36 in. Rebar Demon SDS-Max 4-Cutter Full Carbide Head Hammer Bit</t>
        </is>
      </c>
      <c r="E4626" s="2">
        <f>HYPERLINK("https://www.amazon.com/Diablo-SDS-Max-4-Cutter-Carbide-Hammer/dp/B089LJFH3C/ref=sr_1_12?keywords=Diablo+Tools+DMAMX1040+1%2F2+in.+x+24+in.+x+29+in.+Rebar+Demon+SDS-Max+4-Cutter+Full+Carbide+Head+Hammer+Bit&amp;qid=1694735295&amp;sr=8-12", "https://www.amazon.com/Diablo-SDS-Max-4-Cutter-Carbide-Hammer/dp/B089LJFH3C/ref=sr_1_12?keywords=Diablo+Tools+DMAMX1040+1%2F2+in.+x+24+in.+x+29+in.+Rebar+Demon+SDS-Max+4-Cutter+Full+Carbide+Head+Hammer+Bit&amp;qid=1694735295&amp;sr=8-12")</f>
        <v/>
      </c>
      <c r="F4626" t="inlineStr">
        <is>
          <t>B089LJFH3C</t>
        </is>
      </c>
      <c r="G4626">
        <f>_xludf.IMAGE("https://edmondsonsupply.com/cdn/shop/products/DMAMX1040_Main-Image20200701.png?v=1633030363")</f>
        <v/>
      </c>
      <c r="H4626">
        <f>_xludf.IMAGE("https://m.media-amazon.com/images/I/615ffyRtaAL._AC_UL320_.jpg")</f>
        <v/>
      </c>
      <c r="K4626" t="inlineStr">
        <is>
          <t>47.97</t>
        </is>
      </c>
      <c r="L4626" t="n">
        <v>82.18000000000001</v>
      </c>
      <c r="M4626" s="1" t="inlineStr">
        <is>
          <t>71.32%</t>
        </is>
      </c>
      <c r="N4626" s="1" t="n">
        <v>-14.89</v>
      </c>
      <c r="O4626" t="n">
        <v>3.9</v>
      </c>
      <c r="P4626" t="n">
        <v>4</v>
      </c>
      <c r="R4626" t="inlineStr">
        <is>
          <t>InStock</t>
        </is>
      </c>
      <c r="S4626" t="inlineStr">
        <is>
          <t>72.46</t>
        </is>
      </c>
      <c r="T4626" t="inlineStr">
        <is>
          <t>5289126527144</t>
        </is>
      </c>
    </row>
    <row r="4627" ht="87" customHeight="1">
      <c r="A4627" s="2">
        <f>HYPERLINK("https://edmondsonsupply.com/collections/electricians-tools/products/klein-tools-mm325-digital-multimeter-manual-ranging-600v", "https://edmondsonsupply.com/collections/electricians-tools/products/klein-tools-mm325-digital-multimeter-manual-ranging-600v")</f>
        <v/>
      </c>
      <c r="B4627" s="2">
        <f>HYPERLINK("https://edmondsonsupply.com/products/klein-tools-mm325-digital-multimeter-manual-ranging-600v", "https://edmondsonsupply.com/products/klein-tools-mm325-digital-multimeter-manual-ranging-600v")</f>
        <v/>
      </c>
      <c r="C4627" t="inlineStr">
        <is>
          <t>Klein Tools MM325 Digital Multimeter, Manual-Ranging, 600V</t>
        </is>
      </c>
      <c r="D4627" t="inlineStr">
        <is>
          <t>Klein Tools MM400 Multimeter, Digital Auto Ranging, AC/DC Voltage, Current, Capacitance, Frequency, Duty-Cycle, Diode, Continuity, Temp 600V &amp; 69417 Rare-Earth Magnetic Hanger, with Strap</t>
        </is>
      </c>
      <c r="E4627" s="2">
        <f>HYPERLINK("https://www.amazon.com/Klein-Tools-Multimeter-Auto-Ranging-Magnetic/dp/B095RFF319/ref=sr_1_8?keywords=Klein+Tools+MM325+Digital+Multimeter%2C+Manual-Ranging%2C+600V&amp;qid=1694735122&amp;sr=8-8", "https://www.amazon.com/Klein-Tools-Multimeter-Auto-Ranging-Magnetic/dp/B095RFF319/ref=sr_1_8?keywords=Klein+Tools+MM325+Digital+Multimeter%2C+Manual-Ranging%2C+600V&amp;qid=1694735122&amp;sr=8-8")</f>
        <v/>
      </c>
      <c r="F4627" t="inlineStr">
        <is>
          <t>B095RFF319</t>
        </is>
      </c>
      <c r="G4627">
        <f>_xlfn.IMAGE("https://edmondsonsupply.com/cdn/shop/products/mm325.jpg?v=1663612847")</f>
        <v/>
      </c>
      <c r="H4627">
        <f>_xlfn.IMAGE("https://m.media-amazon.com/images/I/51JeRgf8UeS._AC_UL320_.jpg")</f>
        <v/>
      </c>
      <c r="K4627" t="inlineStr">
        <is>
          <t>34.97</t>
        </is>
      </c>
      <c r="L4627" t="n">
        <v>59.9</v>
      </c>
      <c r="M4627" s="1" t="inlineStr">
        <is>
          <t>71.29%</t>
        </is>
      </c>
      <c r="N4627" s="7" t="n">
        <v>-14.92</v>
      </c>
      <c r="O4627" t="n">
        <v>4.8</v>
      </c>
      <c r="P4627" t="n">
        <v>37</v>
      </c>
      <c r="R4627" t="inlineStr">
        <is>
          <t>InStock</t>
        </is>
      </c>
      <c r="S4627" t="inlineStr">
        <is>
          <t>49.98</t>
        </is>
      </c>
      <c r="T4627" t="inlineStr">
        <is>
          <t>7823042904280</t>
        </is>
      </c>
    </row>
    <row r="4628" hidden="1" ht="15.75" customHeight="1">
      <c r="A4628" s="2">
        <f>HYPERLINK("https://edmondsonsupply.com/collections/electricians-tools/products/milwaukee-49-56-0082-1-1-2-hole-dozer%E2%84%A2-hole-saw-bi-metal-cup", "https://edmondsonsupply.com/collections/electricians-tools/products/milwaukee-49-56-0082-1-1-2-hole-dozer%E2%84%A2-hole-saw-bi-metal-cup")</f>
        <v/>
      </c>
      <c r="B4628" s="2">
        <f>HYPERLINK("https://edmondsonsupply.com/products/milwaukee-49-56-0082-1-1-2-hole-dozer%e2%84%a2-hole-saw-bi-metal-cup", "https://edmondsonsupply.com/products/milwaukee-49-56-0082-1-1-2-hole-dozer%e2%84%a2-hole-saw-bi-metal-cup")</f>
        <v/>
      </c>
      <c r="C4628" t="inlineStr">
        <is>
          <t>Milwaukee 49-56-0082 1-1/2" HOLE DOZER™ Hole Saw Bi-Metal Cup</t>
        </is>
      </c>
      <c r="D4628" t="inlineStr">
        <is>
          <t>Milwaukee Hole Dozer Hole Saw, Bi-Metal, 1-1/2 in (49-56-9617)</t>
        </is>
      </c>
      <c r="E4628" s="2">
        <f>HYPERLINK("https://www.amazon.com/Hole-Dozer-Bm-Hlsw-1-1/dp/B007FUMZ24/ref=sr_1_1?keywords=Milwaukee+49-56-0082+1-1%2F2%22+HOLE+DOZER%E2%84%A2+Hole+Saw+Bi-Metal+Cup&amp;qid=1694735018&amp;sr=8-1", "https://www.amazon.com/Hole-Dozer-Bm-Hlsw-1-1/dp/B007FUMZ24/ref=sr_1_1?keywords=Milwaukee+49-56-0082+1-1%2F2%22+HOLE+DOZER%E2%84%A2+Hole+Saw+Bi-Metal+Cup&amp;qid=1694735018&amp;sr=8-1")</f>
        <v/>
      </c>
      <c r="F4628" t="inlineStr">
        <is>
          <t>B007FUMZ24</t>
        </is>
      </c>
      <c r="G4628">
        <f>_xludf.IMAGE("https://edmondsonsupply.com/cdn/shop/products/49-56-0052_101_2_3e59b3b5-5134-4f73-a3fb-157d3c19d4d7.webp?v=1679416989")</f>
        <v/>
      </c>
      <c r="H4628">
        <f>_xludf.IMAGE("https://m.media-amazon.com/images/I/31dUzVp3QeS._AC_UL320_.jpg")</f>
        <v/>
      </c>
      <c r="K4628" t="inlineStr">
        <is>
          <t>6.99</t>
        </is>
      </c>
      <c r="L4628" t="n">
        <v>11.97</v>
      </c>
      <c r="M4628" s="1" t="inlineStr">
        <is>
          <t>71.24%</t>
        </is>
      </c>
      <c r="N4628" s="1" t="n">
        <v>-14.92</v>
      </c>
      <c r="O4628" t="n">
        <v>4.9</v>
      </c>
      <c r="P4628" t="n">
        <v>20</v>
      </c>
      <c r="R4628" t="inlineStr">
        <is>
          <t>InStock</t>
        </is>
      </c>
      <c r="S4628" t="inlineStr">
        <is>
          <t>13.3</t>
        </is>
      </c>
      <c r="T4628" t="inlineStr">
        <is>
          <t>7965257498840</t>
        </is>
      </c>
    </row>
    <row r="4629" ht="87" customHeight="1">
      <c r="A4629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4629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4629" t="inlineStr">
        <is>
          <t>Diablo Tools DMAPL4140-P25 3/8 in. x 4 in. x 6 in. Rebar Demon™ SDS-Plus 4-Cutter Full Carbide Head Hammer Bit (25-Pack)</t>
        </is>
      </c>
      <c r="D4629" t="inlineStr">
        <is>
          <t>Diablo by Freud DMAPL4160-P25 3/8 in. x 10 in. x 12 in. Rebar Demon SDS-Plus 4-Cutter Full Carbide Head Hammer Bit (25-Pack)</t>
        </is>
      </c>
      <c r="E4629" s="2" t="n"/>
      <c r="F4629" t="inlineStr">
        <is>
          <t>B089LKWCD1</t>
        </is>
      </c>
      <c r="G4629">
        <f>_xlfn.IMAGE("https://edmondsonsupply.com/cdn/shop/products/DMAPL4140-P25.jpg?v=1633030354")</f>
        <v/>
      </c>
      <c r="H4629">
        <f>_xlfn.IMAGE("https://m.media-amazon.com/images/I/61MHnm3+2bL._AC_UL320_.jpg")</f>
        <v/>
      </c>
      <c r="K4629" t="inlineStr">
        <is>
          <t>105.97</t>
        </is>
      </c>
      <c r="L4629" t="n">
        <v>180.97</v>
      </c>
      <c r="M4629" s="1" t="inlineStr">
        <is>
          <t>70.77%</t>
        </is>
      </c>
      <c r="N4629" s="7" t="n">
        <v>-14.92</v>
      </c>
      <c r="O4629" t="n">
        <v>5</v>
      </c>
      <c r="P4629" t="n">
        <v>1</v>
      </c>
      <c r="R4629" t="inlineStr">
        <is>
          <t>InStock</t>
        </is>
      </c>
      <c r="S4629" t="inlineStr">
        <is>
          <t>153.56</t>
        </is>
      </c>
      <c r="T4629" t="inlineStr">
        <is>
          <t>5286131794088</t>
        </is>
      </c>
    </row>
    <row r="4630" hidden="1" ht="15.75" customHeight="1">
      <c r="A4630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4630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4630" t="inlineStr">
        <is>
          <t>Klein Tools 614-2 1/16-Inch Slotted Electronics Screwdriver, 2-Inch</t>
        </is>
      </c>
      <c r="D4630" t="inlineStr">
        <is>
          <t>Klein Tools SL316355 3/16-Inch Slotted Steel Power Drivers, 3-1/2-Inch, 5-Pack</t>
        </is>
      </c>
      <c r="E4630" s="2">
        <f>HYPERLINK("https://www.amazon.com/16-Inch-Slotted-Klein-Tools-SL316355/dp/B00ZEJG68M/ref=sr_1_36?keywords=Klein+Tools+614-2+1%2F16-Inch+Slotted+Electronics+Screwdriver%2C+2-Inch&amp;qid=1694735176&amp;sr=8-36", "https://www.amazon.com/16-Inch-Slotted-Klein-Tools-SL316355/dp/B00ZEJG68M/ref=sr_1_36?keywords=Klein+Tools+614-2+1%2F16-Inch+Slotted+Electronics+Screwdriver%2C+2-Inch&amp;qid=1694735176&amp;sr=8-36")</f>
        <v/>
      </c>
      <c r="F4630" t="inlineStr">
        <is>
          <t>B00ZEJG68M</t>
        </is>
      </c>
      <c r="G4630">
        <f>_xludf.IMAGE("https://edmondsonsupply.com/cdn/shop/products/614-2.jpg?v=1637284311")</f>
        <v/>
      </c>
      <c r="H4630">
        <f>_xludf.IMAGE("https://m.media-amazon.com/images/I/31VMUwHtWKL._AC_UL320_.jpg")</f>
        <v/>
      </c>
      <c r="K4630" t="inlineStr">
        <is>
          <t>8.49</t>
        </is>
      </c>
      <c r="L4630" t="n">
        <v>14.47</v>
      </c>
      <c r="M4630" s="1" t="inlineStr">
        <is>
          <t>70.44%</t>
        </is>
      </c>
      <c r="N4630" s="1" t="n">
        <v>-14.94</v>
      </c>
      <c r="O4630" t="n">
        <v>4.2</v>
      </c>
      <c r="P4630" t="n">
        <v>12</v>
      </c>
      <c r="R4630" t="inlineStr">
        <is>
          <t>InStock</t>
        </is>
      </c>
      <c r="S4630" t="inlineStr">
        <is>
          <t>12.86</t>
        </is>
      </c>
      <c r="T4630" t="inlineStr">
        <is>
          <t>7512018616536</t>
        </is>
      </c>
    </row>
    <row r="4631" ht="87" customHeight="1">
      <c r="A4631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4631" s="2">
        <f>HYPERLINK("https://edmondsonsupply.com/products/klein-tools-d502-10-pump-pliers-10-inch", "https://edmondsonsupply.com/products/klein-tools-d502-10-pump-pliers-10-inch")</f>
        <v/>
      </c>
      <c r="C4631" t="inlineStr">
        <is>
          <t>Klein Tools D502-10 Pump Pliers, 10-Inch</t>
        </is>
      </c>
      <c r="D4631" t="inlineStr">
        <is>
          <t>Klein Tools D504-10B Pump Pliers, Quick-Adjust Tongue and Groove Klaw Water Pump Pliers, 10-Inch</t>
        </is>
      </c>
      <c r="E4631" s="2">
        <f>HYPERLINK("https://www.amazon.com/Quick-Adjust-10-Inch-Klein-Tools-D504-10B/dp/B00BJ4ORDM/ref=sr_1_8?keywords=Klein+Tools+D502-10+Pump+Pliers%2C+10-Inch&amp;qid=1694735235&amp;sr=8-8", "https://www.amazon.com/Quick-Adjust-10-Inch-Klein-Tools-D504-10B/dp/B00BJ4ORDM/ref=sr_1_8?keywords=Klein+Tools+D502-10+Pump+Pliers%2C+10-Inch&amp;qid=1694735235&amp;sr=8-8")</f>
        <v/>
      </c>
      <c r="F4631" t="inlineStr">
        <is>
          <t>B00BJ4ORDM</t>
        </is>
      </c>
      <c r="G4631">
        <f>_xlfn.IMAGE("https://edmondsonsupply.com/cdn/shop/products/d50210_alt1.jpg?v=1633030884")</f>
        <v/>
      </c>
      <c r="H4631">
        <f>_xlfn.IMAGE("https://m.media-amazon.com/images/I/51G8XuICYiL._AC_UL320_.jpg")</f>
        <v/>
      </c>
      <c r="K4631" t="inlineStr">
        <is>
          <t>24.99</t>
        </is>
      </c>
      <c r="L4631" t="n">
        <v>42.59</v>
      </c>
      <c r="M4631" s="1" t="inlineStr">
        <is>
          <t>70.43%</t>
        </is>
      </c>
      <c r="N4631" s="7" t="n">
        <v>-14.96</v>
      </c>
      <c r="O4631" t="n">
        <v>4.7</v>
      </c>
      <c r="P4631" t="n">
        <v>254</v>
      </c>
      <c r="R4631" t="inlineStr">
        <is>
          <t>InStock</t>
        </is>
      </c>
      <c r="S4631" t="inlineStr">
        <is>
          <t>37.84</t>
        </is>
      </c>
      <c r="T4631" t="inlineStr">
        <is>
          <t>6203936669869</t>
        </is>
      </c>
    </row>
    <row r="4632" hidden="1" ht="15.75" customHeight="1">
      <c r="A4632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4632" s="2">
        <f>HYPERLINK("https://edmondsonsupply.com/products/klein-tools-jth6m4-4-mm-hex-with-journeyman-t-handle-6-inch", "https://edmondsonsupply.com/products/klein-tools-jth6m4-4-mm-hex-with-journeyman-t-handle-6-inch")</f>
        <v/>
      </c>
      <c r="C4632" t="inlineStr">
        <is>
          <t>Klein Tools JTH6M4 4 mm Hex with Journeyman T-Handle 6-Inch</t>
        </is>
      </c>
      <c r="D4632" t="inlineStr">
        <is>
          <t>Klein Tools JTH6E10BE 5/32-Inch Ball Hex Key with Journeyman T-Handle, 6-Inch</t>
        </is>
      </c>
      <c r="E4632" s="2">
        <f>HYPERLINK("https://www.amazon.com/Journeyman-T-Handle-Klein-Tools-JTH6E10BE/dp/B004QW4EPK/ref=sr_1_6?keywords=Klein+Tools+JTH6M4+4+mm+Hex+with+Journeyman+T-Handle+6-Inch&amp;qid=1694735242&amp;sr=8-6", "https://www.amazon.com/Journeyman-T-Handle-Klein-Tools-JTH6E10BE/dp/B004QW4EPK/ref=sr_1_6?keywords=Klein+Tools+JTH6M4+4+mm+Hex+with+Journeyman+T-Handle+6-Inch&amp;qid=1694735242&amp;sr=8-6")</f>
        <v/>
      </c>
      <c r="F4632" t="inlineStr">
        <is>
          <t>B004QW4EPK</t>
        </is>
      </c>
      <c r="G4632">
        <f>_xludf.IMAGE("https://edmondsonsupply.com/cdn/shop/products/jth6m8_21839492-f844-4577-89b7-6c2cb1d02f31.jpg?v=1603052109")</f>
        <v/>
      </c>
      <c r="H4632">
        <f>_xludf.IMAGE("https://m.media-amazon.com/images/I/51f9vBFVXgL._AC_UL320_.jpg")</f>
        <v/>
      </c>
      <c r="K4632" t="inlineStr">
        <is>
          <t>3.99</t>
        </is>
      </c>
      <c r="L4632" t="n">
        <v>6.8</v>
      </c>
      <c r="M4632" s="1" t="inlineStr">
        <is>
          <t>70.43%</t>
        </is>
      </c>
      <c r="N4632" s="1" t="n">
        <v>-14.96</v>
      </c>
      <c r="O4632" t="n">
        <v>4.8</v>
      </c>
      <c r="P4632" t="n">
        <v>454</v>
      </c>
      <c r="R4632" t="inlineStr">
        <is>
          <t>InStock</t>
        </is>
      </c>
      <c r="S4632" t="inlineStr">
        <is>
          <t>6.04</t>
        </is>
      </c>
      <c r="T4632" t="inlineStr">
        <is>
          <t>5963077157032</t>
        </is>
      </c>
    </row>
    <row r="4633" hidden="1" ht="15.75" customHeight="1">
      <c r="A4633" s="2">
        <f>HYPERLINK("https://edmondsonsupply.com/collections/electricians-tools/products/klein-tools-jth4e10-5-32-inch-hex-key-journeyman-t-handle-4-inch", "https://edmondsonsupply.com/collections/electricians-tools/products/klein-tools-jth4e10-5-32-inch-hex-key-journeyman-t-handle-4-inch")</f>
        <v/>
      </c>
      <c r="B4633" s="2">
        <f>HYPERLINK("https://edmondsonsupply.com/products/klein-tools-jth4e10-5-32-inch-hex-key-journeyman-t-handle-4-inch", "https://edmondsonsupply.com/products/klein-tools-jth4e10-5-32-inch-hex-key-journeyman-t-handle-4-inch")</f>
        <v/>
      </c>
      <c r="C4633" t="inlineStr">
        <is>
          <t>Klein Tools JTH4E10 5/32-Inch Hex Key, Journeyman T-Handle, 4-Inch</t>
        </is>
      </c>
      <c r="D4633" t="inlineStr">
        <is>
          <t>Klein Tools JTH6E10BE 5/32-Inch Ball Hex Key with Journeyman T-Handle, 6-Inch</t>
        </is>
      </c>
      <c r="E4633" s="2">
        <f>HYPERLINK("https://www.amazon.com/Journeyman-T-Handle-Klein-Tools-JTH6E10BE/dp/B004QW4EPK/ref=sr_1_3?keywords=Klein+Tools+JTH4E10+5%2F32-Inch+Hex+Key%2C+Journeyman+T-Handle%2C+4-Inch&amp;qid=1694735166&amp;sr=8-3", "https://www.amazon.com/Journeyman-T-Handle-Klein-Tools-JTH6E10BE/dp/B004QW4EPK/ref=sr_1_3?keywords=Klein+Tools+JTH4E10+5%2F32-Inch+Hex+Key%2C+Journeyman+T-Handle%2C+4-Inch&amp;qid=1694735166&amp;sr=8-3")</f>
        <v/>
      </c>
      <c r="F4633" t="inlineStr">
        <is>
          <t>B004QW4EPK</t>
        </is>
      </c>
      <c r="G4633">
        <f>_xludf.IMAGE("https://edmondsonsupply.com/cdn/shop/products/jth4e17_ce261606-f524-49c5-9cd5-8c9f52dd1e03.jpg?v=1645565342")</f>
        <v/>
      </c>
      <c r="H4633">
        <f>_xludf.IMAGE("https://m.media-amazon.com/images/I/51f9vBFVXgL._AC_UL320_.jpg")</f>
        <v/>
      </c>
      <c r="K4633" t="inlineStr">
        <is>
          <t>3.99</t>
        </is>
      </c>
      <c r="L4633" t="n">
        <v>6.8</v>
      </c>
      <c r="M4633" s="1" t="inlineStr">
        <is>
          <t>70.43%</t>
        </is>
      </c>
      <c r="N4633" s="1" t="n">
        <v>-15.01</v>
      </c>
      <c r="O4633" t="n">
        <v>4.8</v>
      </c>
      <c r="P4633" t="n">
        <v>454</v>
      </c>
      <c r="R4633" t="inlineStr">
        <is>
          <t>InStock</t>
        </is>
      </c>
      <c r="S4633" t="inlineStr">
        <is>
          <t>6.04</t>
        </is>
      </c>
      <c r="T4633" t="inlineStr">
        <is>
          <t>7614353015000</t>
        </is>
      </c>
    </row>
    <row r="4634" hidden="1" ht="15.75" customHeight="1">
      <c r="A4634" s="2">
        <f>HYPERLINK("https://edmondsonsupply.com/collections/electricians-tools/products/diablo-tools-dmarg1100-5-16-in-x-4-in-x-6-in-speedemon%E2%84%A2-red-granite-carbide-tipped-hammer-drill-bit", "https://edmondsonsupply.com/collections/electricians-tools/products/diablo-tools-dmarg1100-5-16-in-x-4-in-x-6-in-speedemon%E2%84%A2-red-granite-carbide-tipped-hammer-drill-bit")</f>
        <v/>
      </c>
      <c r="B4634" s="2">
        <f>HYPERLINK("https://edmondsonsupply.com/products/diablo-tools-dmarg1100-5-16-in-x-4-in-x-6-in-speedemon%e2%84%a2-red-granite-carbide-tipped-hammer-drill-bit", "https://edmondsonsupply.com/products/diablo-tools-dmarg1100-5-16-in-x-4-in-x-6-in-speedemon%e2%84%a2-red-granite-carbide-tipped-hammer-drill-bit")</f>
        <v/>
      </c>
      <c r="C4634" t="inlineStr">
        <is>
          <t>Diablo Tools DMARG1100 5/16 in. x 4 in. x 6 in. SPEEDemon™ Red Granite Carbide Tipped Hammer Drill Bit</t>
        </is>
      </c>
      <c r="D4634" t="inlineStr">
        <is>
          <t>Sabre Tools 5/16 Inch x 12 Inch SDS Plus Rotary Hammer Drill Bit, Carbide Tipped for Brick, Stone, and Concrete (5/16" x 10" x 12")</t>
        </is>
      </c>
      <c r="E4634" s="2">
        <f>HYPERLINK("https://www.amazon.com/Sabre-Tools-Rotary-Carbide-Concrete/dp/B08WKQ1QXJ/ref=sr_1_25?keywords=Diablo+Tools+DMARG1100+5%2F16+in.+x+4+in.+x+6+in.+SPEEDemon%E2%84%A2+Red+Granite+Carbide+Tipped+Hammer+Drill+Bit&amp;qid=1694735277&amp;sr=8-25", "https://www.amazon.com/Sabre-Tools-Rotary-Carbide-Concrete/dp/B08WKQ1QXJ/ref=sr_1_25?keywords=Diablo+Tools+DMARG1100+5%2F16+in.+x+4+in.+x+6+in.+SPEEDemon%E2%84%A2+Red+Granite+Carbide+Tipped+Hammer+Drill+Bit&amp;qid=1694735277&amp;sr=8-25")</f>
        <v/>
      </c>
      <c r="F4634" t="inlineStr">
        <is>
          <t>B08WKQ1QXJ</t>
        </is>
      </c>
      <c r="G4634">
        <f>_xludf.IMAGE("https://edmondsonsupply.com/cdn/shop/products/DMARG1100_Main-Image20200702.png?v=1633030510")</f>
        <v/>
      </c>
      <c r="H4634">
        <f>_xludf.IMAGE("https://m.media-amazon.com/images/I/610vBYsKBeL._AC_UL320_.jpg")</f>
        <v/>
      </c>
      <c r="K4634" t="inlineStr">
        <is>
          <t>5.28</t>
        </is>
      </c>
      <c r="L4634" t="n">
        <v>8.99</v>
      </c>
      <c r="M4634" s="1" t="inlineStr">
        <is>
          <t>70.27%</t>
        </is>
      </c>
      <c r="N4634" s="1" t="n">
        <v>-15.02</v>
      </c>
      <c r="O4634" t="n">
        <v>4.6</v>
      </c>
      <c r="P4634" t="n">
        <v>796</v>
      </c>
      <c r="R4634" t="inlineStr">
        <is>
          <t>InStock</t>
        </is>
      </c>
      <c r="S4634" t="inlineStr">
        <is>
          <t>undefined</t>
        </is>
      </c>
      <c r="T4634" t="inlineStr">
        <is>
          <t>5386452861096</t>
        </is>
      </c>
    </row>
    <row r="4635" ht="87" customHeight="1">
      <c r="A4635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4635" s="2">
        <f>HYPERLINK("https://edmondsonsupply.com/products/klein-tools-646-7-16-7-16-inch-nut-driver-6-inch-hollow-shaft", "https://edmondsonsupply.com/products/klein-tools-646-7-16-7-16-inch-nut-driver-6-inch-hollow-shaft")</f>
        <v/>
      </c>
      <c r="C4635" t="inlineStr">
        <is>
          <t>Klein Tools 646-7/16 7/16-Inch Nut Driver, 6-Inch Hollow Shaft</t>
        </is>
      </c>
      <c r="D4635" t="inlineStr">
        <is>
          <t>Klein Tools S146 7/16-Inch Nut Driver with 6-Inch Hollow Shaft and Comfordome Handle</t>
        </is>
      </c>
      <c r="E4635" s="2">
        <f>HYPERLINK("https://www.amazon.com/16-Inch-Comfordome-Klein-Tools-S146/dp/B00093GD2C/ref=sr_1_4?keywords=Klein+Tools+646-7%2F16+7%2F16-Inch+Nut+Driver%2C+6-Inch+Hollow+Shaft&amp;qid=1694735415&amp;sr=8-4", "https://www.amazon.com/16-Inch-Comfordome-Klein-Tools-S146/dp/B00093GD2C/ref=sr_1_4?keywords=Klein+Tools+646-7%2F16+7%2F16-Inch+Nut+Driver%2C+6-Inch+Hollow+Shaft&amp;qid=1694735415&amp;sr=8-4")</f>
        <v/>
      </c>
      <c r="F4635" t="inlineStr">
        <is>
          <t>B00093GD2C</t>
        </is>
      </c>
      <c r="G4635">
        <f>_xlfn.IMAGE("https://edmondsonsupply.com/cdn/shop/products/646-1-2_64980020-d246-4b4b-829a-c848cc375d64.jpg?v=1587148603")</f>
        <v/>
      </c>
      <c r="H4635">
        <f>_xlfn.IMAGE("https://m.media-amazon.com/images/I/31ij31KnKpL._AC_UL320_.jpg")</f>
        <v/>
      </c>
      <c r="K4635" t="inlineStr">
        <is>
          <t>9.49</t>
        </is>
      </c>
      <c r="L4635" t="n">
        <v>16.15</v>
      </c>
      <c r="M4635" s="1" t="inlineStr">
        <is>
          <t>70.18%</t>
        </is>
      </c>
      <c r="N4635" s="7" t="n">
        <v>-15.07</v>
      </c>
      <c r="O4635" t="n">
        <v>4.7</v>
      </c>
      <c r="P4635" t="n">
        <v>47</v>
      </c>
      <c r="R4635" t="inlineStr">
        <is>
          <t>InStock</t>
        </is>
      </c>
      <c r="S4635" t="inlineStr">
        <is>
          <t>14.42</t>
        </is>
      </c>
      <c r="T4635" t="inlineStr">
        <is>
          <t>4391246889060</t>
        </is>
      </c>
    </row>
    <row r="4636" ht="87" customHeight="1">
      <c r="A4636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636" s="2">
        <f>HYPERLINK("https://edmondsonsupply.com/products/klein-tools-32900-7-in-1-impact-flip-socket-with-handle", "https://edmondsonsupply.com/products/klein-tools-32900-7-in-1-impact-flip-socket-with-handle")</f>
        <v/>
      </c>
      <c r="C4636" t="inlineStr">
        <is>
          <t>Klein Tools 32900 7-in-1 Impact Flip Socket with Handle</t>
        </is>
      </c>
      <c r="D4636" t="inlineStr">
        <is>
          <t>Klein Tools 31737 Folding Jab Saw/Drywall Saw, Hand Saw &amp; 32900 Impact Driver, 7-in-1 Impact Flip Socket Set with Handle, 6 Hex Driver Sizes plus a 1/4-Inch Bit Holder</t>
        </is>
      </c>
      <c r="E4636" s="2">
        <f>HYPERLINK("https://www.amazon.com/Klein-Tools-Folding-Drywall-Impact/dp/B0BNL44CC9/ref=sr_1_24?keywords=Klein+Tools+32900+7-in-1+Impact+Flip+Socket+with+Handle&amp;qid=1694735103&amp;sr=8-24", "https://www.amazon.com/Klein-Tools-Folding-Drywall-Impact/dp/B0BNL44CC9/ref=sr_1_24?keywords=Klein+Tools+32900+7-in-1+Impact+Flip+Socket+with+Handle&amp;qid=1694735103&amp;sr=8-24")</f>
        <v/>
      </c>
      <c r="F4636" t="inlineStr">
        <is>
          <t>B0BNL44CC9</t>
        </is>
      </c>
      <c r="G4636">
        <f>_xlfn.IMAGE("https://edmondsonsupply.com/cdn/shop/products/32900_b.jpg?v=1666024787")</f>
        <v/>
      </c>
      <c r="H4636">
        <f>_xlfn.IMAGE("https://m.media-amazon.com/images/I/413Cy5TymIL._AC_UL320_.jpg")</f>
        <v/>
      </c>
      <c r="K4636" t="inlineStr">
        <is>
          <t>29.97</t>
        </is>
      </c>
      <c r="L4636" t="n">
        <v>50.96</v>
      </c>
      <c r="M4636" s="1" t="inlineStr">
        <is>
          <t>70.04%</t>
        </is>
      </c>
      <c r="N4636" s="7" t="n">
        <v>-15.15</v>
      </c>
      <c r="O4636" t="n">
        <v>5</v>
      </c>
      <c r="P4636" t="n">
        <v>1</v>
      </c>
      <c r="R4636" t="inlineStr">
        <is>
          <t>InStock</t>
        </is>
      </c>
      <c r="S4636" t="inlineStr">
        <is>
          <t>45.0</t>
        </is>
      </c>
      <c r="T4636" t="inlineStr">
        <is>
          <t>7856651239640</t>
        </is>
      </c>
    </row>
    <row r="4637" ht="87" customHeight="1">
      <c r="A4637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637" s="2">
        <f>HYPERLINK("https://edmondsonsupply.com/products/klein-tools-935ab4v-accu-bend%e2%84%a2-level-4-vial-rem", "https://edmondsonsupply.com/products/klein-tools-935ab4v-accu-bend%e2%84%a2-level-4-vial-rem")</f>
        <v/>
      </c>
      <c r="C4637" t="inlineStr">
        <is>
          <t>Klein Tools 935AB4V ACCU-BEND™ Level, 4-Vial</t>
        </is>
      </c>
      <c r="D4637" t="inlineStr">
        <is>
          <t>Klein Tools 31737 Folding Jab Saw/Drywall Saw &amp; 935AB4V Level, 6.25-Inch Magnetic Torpedo Level is a Conduit Level with 4 Vials, V-Groove and Magnet Track, High Viz Orange</t>
        </is>
      </c>
      <c r="E4637" s="2">
        <f>HYPERLINK("https://www.amazon.com/Klein-Tools-6-25-Inch-Magnetic-V-Groove/dp/B0BFXR2VMC/ref=sr_1_22?keywords=Klein+Tools+935AB4V+ACCU-BEND%E2%84%A2+Level%2C+4-Vial&amp;qid=1694735422&amp;sr=8-22", "https://www.amazon.com/Klein-Tools-6-25-Inch-Magnetic-V-Groove/dp/B0BFXR2VMC/ref=sr_1_22?keywords=Klein+Tools+935AB4V+ACCU-BEND%E2%84%A2+Level%2C+4-Vial&amp;qid=1694735422&amp;sr=8-22")</f>
        <v/>
      </c>
      <c r="F4637" t="inlineStr">
        <is>
          <t>B0BFXR2VMC</t>
        </is>
      </c>
      <c r="G4637">
        <f>_xlfn.IMAGE("https://edmondsonsupply.com/cdn/shop/files/935ab4v_b.jpg?v=1685715011")</f>
        <v/>
      </c>
      <c r="H4637">
        <f>_xlfn.IMAGE("https://m.media-amazon.com/images/I/41pVaFnhhHL._AC_UL320_.jpg")</f>
        <v/>
      </c>
      <c r="K4637" t="inlineStr">
        <is>
          <t>29.97</t>
        </is>
      </c>
      <c r="L4637" t="n">
        <v>50.96</v>
      </c>
      <c r="M4637" s="1" t="inlineStr">
        <is>
          <t>70.04%</t>
        </is>
      </c>
      <c r="N4637" s="7" t="n">
        <v>-15.21</v>
      </c>
      <c r="O4637" t="n">
        <v>5</v>
      </c>
      <c r="P4637" t="n">
        <v>1</v>
      </c>
      <c r="R4637" t="inlineStr">
        <is>
          <t>InStock</t>
        </is>
      </c>
      <c r="S4637" t="inlineStr">
        <is>
          <t>42.0</t>
        </is>
      </c>
      <c r="T4637" t="inlineStr">
        <is>
          <t>2766878081124</t>
        </is>
      </c>
    </row>
    <row r="4638" ht="87" customHeight="1">
      <c r="A4638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4638" s="2">
        <f>HYPERLINK("https://edmondsonsupply.com/products/klein-tools-d507-8-adjustable-wrench-extra-capacity-8-inch", "https://edmondsonsupply.com/products/klein-tools-d507-8-adjustable-wrench-extra-capacity-8-inch")</f>
        <v/>
      </c>
      <c r="C4638" t="inlineStr">
        <is>
          <t>Klein Tools D507-8 Adjustable Wrench, Extra Capacity 8-Inch</t>
        </is>
      </c>
      <c r="D4638" t="inlineStr">
        <is>
          <t>Klein Tools D507-12 Adjustable Drive Wrench, Forged with Extra Capacity Jaw and High Polish Chrome Finish, 12-inch</t>
        </is>
      </c>
      <c r="E4638" s="2">
        <f>HYPERLINK("https://www.amazon.com/Adjustable-Capacity-Klein-Tools-D507-12/dp/B000936OVW/ref=sr_1_5?keywords=Klein+Tools+D507-8+Adjustable+Wrench%2C+Extra+Capacity+8-Inch&amp;qid=1694734984&amp;sr=8-5", "https://www.amazon.com/Adjustable-Capacity-Klein-Tools-D507-12/dp/B000936OVW/ref=sr_1_5?keywords=Klein+Tools+D507-8+Adjustable+Wrench%2C+Extra+Capacity+8-Inch&amp;qid=1694734984&amp;sr=8-5")</f>
        <v/>
      </c>
      <c r="F4638" t="inlineStr">
        <is>
          <t>B000936OVW</t>
        </is>
      </c>
      <c r="G4638">
        <f>_xlfn.IMAGE("https://edmondsonsupply.com/cdn/shop/products/d5078_b.jpg?v=1666010497")</f>
        <v/>
      </c>
      <c r="H4638">
        <f>_xlfn.IMAGE("https://m.media-amazon.com/images/I/51Bvc2AeFZL._AC_UL320_.jpg")</f>
        <v/>
      </c>
      <c r="K4638" t="inlineStr">
        <is>
          <t>29.99</t>
        </is>
      </c>
      <c r="L4638" t="n">
        <v>50.99</v>
      </c>
      <c r="M4638" s="1" t="inlineStr">
        <is>
          <t>70.02%</t>
        </is>
      </c>
      <c r="N4638" s="7" t="n">
        <v>-15.33</v>
      </c>
      <c r="O4638" t="n">
        <v>4.8</v>
      </c>
      <c r="P4638" t="n">
        <v>383</v>
      </c>
      <c r="R4638" t="inlineStr">
        <is>
          <t>InStock</t>
        </is>
      </c>
      <c r="S4638" t="inlineStr">
        <is>
          <t>45.44</t>
        </is>
      </c>
      <c r="T4638" t="inlineStr">
        <is>
          <t>4353085014116</t>
        </is>
      </c>
    </row>
    <row r="4639" ht="87" customHeight="1">
      <c r="A4639" s="2">
        <f>HYPERLINK("https://edmondsonsupply.com/collections/electricians-tools/products/crescent-wiss-m2p-9-3-4-compound-action-straight-and-right-cut-aviation-snips", "https://edmondsonsupply.com/collections/electricians-tools/products/crescent-wiss-m2p-9-3-4-compound-action-straight-and-right-cut-aviation-snips")</f>
        <v/>
      </c>
      <c r="B4639" s="2">
        <f>HYPERLINK("https://edmondsonsupply.com/products/crescent-wiss-m2p-9-3-4-compound-action-straight-and-right-cut-aviation-snips", "https://edmondsonsupply.com/products/crescent-wiss-m2p-9-3-4-compound-action-straight-and-right-cut-aviation-snips")</f>
        <v/>
      </c>
      <c r="C4639" t="inlineStr">
        <is>
          <t>Crescent Wiss M2P 9-3/4" Compound Action Straight and Right Cut Aviation Snips</t>
        </is>
      </c>
      <c r="D4639" t="inlineStr">
        <is>
          <t>Crescent Wiss 9-1/4" Metalmaster Offset Straight and Left Cut Aviation Snips - M6R &amp; Crescent Wiss 9-1/4" Metalmaster Offset Straight and Right Cut Aviation Snips - M7R</t>
        </is>
      </c>
      <c r="E4639" s="2">
        <f>HYPERLINK("https://www.amazon.com/Crescent-Wiss-Metalmaster-Straight-Aviation/dp/B087492PJS/ref=sr_1_8?keywords=Crescent+Wiss+M2P+9-3%2F4%22+Compound+Action+Straight+and+Right+Cut+Aviation+Snips&amp;qid=1694735015&amp;sr=8-8", "https://www.amazon.com/Crescent-Wiss-Metalmaster-Straight-Aviation/dp/B087492PJS/ref=sr_1_8?keywords=Crescent+Wiss+M2P+9-3%2F4%22+Compound+Action+Straight+and+Right+Cut+Aviation+Snips&amp;qid=1694735015&amp;sr=8-8")</f>
        <v/>
      </c>
      <c r="F4639" t="inlineStr">
        <is>
          <t>B087492PJS</t>
        </is>
      </c>
      <c r="G4639">
        <f>_xlfn.IMAGE("https://edmondsonsupply.com/cdn/shop/products/WIS_M2P_IMG_ANG_01.jpg?v=1679674099")</f>
        <v/>
      </c>
      <c r="H4639">
        <f>_xlfn.IMAGE("https://m.media-amazon.com/images/I/71EUUFflT7S._AC_UL320_.jpg")</f>
        <v/>
      </c>
      <c r="K4639" t="inlineStr">
        <is>
          <t>19.99</t>
        </is>
      </c>
      <c r="L4639" t="n">
        <v>33.98</v>
      </c>
      <c r="M4639" s="1" t="inlineStr">
        <is>
          <t>69.98%</t>
        </is>
      </c>
      <c r="N4639" s="7" t="n">
        <v>-15.33</v>
      </c>
      <c r="O4639" t="n">
        <v>4.1</v>
      </c>
      <c r="P4639" t="n">
        <v>34</v>
      </c>
      <c r="R4639" t="inlineStr">
        <is>
          <t>InStock</t>
        </is>
      </c>
      <c r="S4639" t="inlineStr">
        <is>
          <t>36.51</t>
        </is>
      </c>
      <c r="T4639" t="inlineStr">
        <is>
          <t>7966255579352</t>
        </is>
      </c>
    </row>
    <row r="4640" ht="87" customHeight="1">
      <c r="A4640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640" s="2">
        <f>HYPERLINK("https://edmondsonsupply.com/products/klein-tools-32900-7-in-1-impact-flip-socket-with-handle", "https://edmondsonsupply.com/products/klein-tools-32900-7-in-1-impact-flip-socket-with-handle")</f>
        <v/>
      </c>
      <c r="C4640" t="inlineStr">
        <is>
          <t>Klein Tools 32900 7-in-1 Impact Flip Socket with Handle</t>
        </is>
      </c>
      <c r="D4640" t="inlineStr">
        <is>
          <t>Klein Tools 32500MAG Magnetic Multi-Bit Screwdriver/Nut Driver, 11-in-1 &amp; 32900 Impact Driver, 7-in-1 Impact Flip Socket Set with Handle, 6 Hex Driver Sizes plus a 1/4-Inch Bit Holder</t>
        </is>
      </c>
      <c r="E4640" s="2">
        <f>HYPERLINK("https://www.amazon.com/Klein-Tools-32500MAG-Multi-Bit-Screwdriver/dp/B0BNL72TB8/ref=sr_1_23?keywords=Klein+Tools+32900+7-in-1+Impact+Flip+Socket+with+Handle&amp;qid=1694735103&amp;sr=8-23", "https://www.amazon.com/Klein-Tools-32500MAG-Multi-Bit-Screwdriver/dp/B0BNL72TB8/ref=sr_1_23?keywords=Klein+Tools+32900+7-in-1+Impact+Flip+Socket+with+Handle&amp;qid=1694735103&amp;sr=8-23")</f>
        <v/>
      </c>
      <c r="F4640" t="inlineStr">
        <is>
          <t>B0BNL72TB8</t>
        </is>
      </c>
      <c r="G4640">
        <f>_xlfn.IMAGE("https://edmondsonsupply.com/cdn/shop/products/32900_b.jpg?v=1666024787")</f>
        <v/>
      </c>
      <c r="H4640">
        <f>_xlfn.IMAGE("https://m.media-amazon.com/images/I/51J0MF0VVbL._AC_UL320_.jpg")</f>
        <v/>
      </c>
      <c r="K4640" t="inlineStr">
        <is>
          <t>29.97</t>
        </is>
      </c>
      <c r="L4640" t="n">
        <v>50.94</v>
      </c>
      <c r="M4640" s="1" t="inlineStr">
        <is>
          <t>69.97%</t>
        </is>
      </c>
      <c r="N4640" s="7" t="n">
        <v>-15.38</v>
      </c>
      <c r="O4640" t="n">
        <v>5</v>
      </c>
      <c r="P4640" t="n">
        <v>2</v>
      </c>
      <c r="R4640" t="inlineStr">
        <is>
          <t>InStock</t>
        </is>
      </c>
      <c r="S4640" t="inlineStr">
        <is>
          <t>45.0</t>
        </is>
      </c>
      <c r="T4640" t="inlineStr">
        <is>
          <t>7856651239640</t>
        </is>
      </c>
    </row>
    <row r="4641" hidden="1" ht="15.75" customHeight="1">
      <c r="A4641" s="2">
        <f>HYPERLINK("https://edmondsonsupply.com/collections/electricians-tools/products/reed-mfg-cw4-4-chrome-adjustable-wrench", "https://edmondsonsupply.com/collections/electricians-tools/products/reed-mfg-cw4-4-chrome-adjustable-wrench")</f>
        <v/>
      </c>
      <c r="B4641" s="2">
        <f>HYPERLINK("https://edmondsonsupply.com/products/reed-mfg-cw4-4-chrome-adjustable-wrench", "https://edmondsonsupply.com/products/reed-mfg-cw4-4-chrome-adjustable-wrench")</f>
        <v/>
      </c>
      <c r="C4641" t="inlineStr">
        <is>
          <t>Reed Mfg CW4 4" Chrome Adjustable Wrench</t>
        </is>
      </c>
      <c r="D4641" t="inlineStr">
        <is>
          <t>Reed Tool CW4 Chrome Finish Adjustable Wrench, 4-Inch</t>
        </is>
      </c>
      <c r="E4641" s="2">
        <f>HYPERLINK("https://www.amazon.com/Reed-Tool-CW4-Chrome-Adjustable/dp/B001H4RT7K/ref=sr_1_1?keywords=Reed+Mfg+CW4+4%22+Chrome+Adjustable+Wrench&amp;qid=1694735216&amp;sr=8-1", "https://www.amazon.com/Reed-Tool-CW4-Chrome-Adjustable/dp/B001H4RT7K/ref=sr_1_1?keywords=Reed+Mfg+CW4+4%22+Chrome+Adjustable+Wrench&amp;qid=1694735216&amp;sr=8-1")</f>
        <v/>
      </c>
      <c r="F4641" t="inlineStr">
        <is>
          <t>B001H4RT7K</t>
        </is>
      </c>
      <c r="G4641">
        <f>_xludf.IMAGE("https://edmondsonsupply.com/cdn/shop/products/02199-CW4-RGB.jpg?v=1633031008")</f>
        <v/>
      </c>
      <c r="H4641">
        <f>_xludf.IMAGE("https://m.media-amazon.com/images/I/51m4cRm98GL._AC_UL320_.jpg")</f>
        <v/>
      </c>
      <c r="K4641" t="inlineStr">
        <is>
          <t>14.78</t>
        </is>
      </c>
      <c r="L4641" t="n">
        <v>25.12</v>
      </c>
      <c r="M4641" s="1" t="inlineStr">
        <is>
          <t>69.96%</t>
        </is>
      </c>
      <c r="N4641" s="1" t="n">
        <v>-15.4</v>
      </c>
      <c r="O4641" t="n">
        <v>1</v>
      </c>
      <c r="P4641" t="n">
        <v>1</v>
      </c>
      <c r="R4641" t="inlineStr">
        <is>
          <t>InStock</t>
        </is>
      </c>
      <c r="S4641" t="inlineStr">
        <is>
          <t>17.26</t>
        </is>
      </c>
      <c r="T4641" t="inlineStr">
        <is>
          <t>6696111603885</t>
        </is>
      </c>
    </row>
    <row r="4642" ht="87" customHeight="1">
      <c r="A4642" s="2">
        <f>HYPERLINK("https://edmondsonsupply.com/collections/electricians-tools/products/klein-tools-et60-electronic-ac-dc-voltage-tester-12-to-600v", "https://edmondsonsupply.com/collections/electricians-tools/products/klein-tools-et60-electronic-ac-dc-voltage-tester-12-to-600v")</f>
        <v/>
      </c>
      <c r="B4642" s="2">
        <f>HYPERLINK("https://edmondsonsupply.com/products/klein-tools-et60-electronic-ac-dc-voltage-tester-12-to-600v", "https://edmondsonsupply.com/products/klein-tools-et60-electronic-ac-dc-voltage-tester-12-to-600v")</f>
        <v/>
      </c>
      <c r="C4642" t="inlineStr">
        <is>
          <t>Klein Tools ET60 Electronic AC/DC Voltage Tester, 12 to 600V</t>
        </is>
      </c>
      <c r="D4642" t="inlineStr">
        <is>
          <t>Klein Tools Voltage Tester Kit with Electronic AC/DC Voltage Tester, GFCI Outlet Tester and Non-Contact Voltage Tester Pen, 3-Piece</t>
        </is>
      </c>
      <c r="E4642" s="2">
        <f>HYPERLINK("https://www.amazon.com/Klein-Tools-Voltage-Electronic-Non-Contact/dp/B0C8JZWTZY/ref=sr_1_4?keywords=Klein+Tools+ET60+Electronic+AC%2FDC+Voltage+Tester%2C+12+to+600V&amp;qid=1694735220&amp;sr=8-4", "https://www.amazon.com/Klein-Tools-Voltage-Electronic-Non-Contact/dp/B0C8JZWTZY/ref=sr_1_4?keywords=Klein+Tools+ET60+Electronic+AC%2FDC+Voltage+Tester%2C+12+to+600V&amp;qid=1694735220&amp;sr=8-4")</f>
        <v/>
      </c>
      <c r="F4642" t="inlineStr">
        <is>
          <t>B0C8JZWTZY</t>
        </is>
      </c>
      <c r="G4642">
        <f>_xlfn.IMAGE("https://edmondsonsupply.com/cdn/shop/products/et60.jpg?v=1633030979")</f>
        <v/>
      </c>
      <c r="H4642">
        <f>_xlfn.IMAGE("https://m.media-amazon.com/images/I/31V2UrptDcL._AC_UL320_.jpg")</f>
        <v/>
      </c>
      <c r="K4642" t="inlineStr">
        <is>
          <t>29.97</t>
        </is>
      </c>
      <c r="L4642" t="n">
        <v>50.91</v>
      </c>
      <c r="M4642" s="1" t="inlineStr">
        <is>
          <t>69.87%</t>
        </is>
      </c>
      <c r="N4642" s="7" t="n">
        <v>-15.4</v>
      </c>
      <c r="O4642" t="n">
        <v>4.8</v>
      </c>
      <c r="P4642" t="n">
        <v>7911</v>
      </c>
      <c r="R4642" t="inlineStr">
        <is>
          <t>InStock</t>
        </is>
      </c>
      <c r="S4642" t="inlineStr">
        <is>
          <t>46.76</t>
        </is>
      </c>
      <c r="T4642" t="inlineStr">
        <is>
          <t>6650286178477</t>
        </is>
      </c>
    </row>
    <row r="4643" hidden="1" ht="15.75" customHeight="1">
      <c r="A4643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4643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4643" t="inlineStr">
        <is>
          <t>Klein Tools JTH6E06 3/32-Inch Hex Key, Journeyman T-Handle, 6-Inch</t>
        </is>
      </c>
      <c r="D4643" t="inlineStr">
        <is>
          <t>Klein Tools JTH6E06 3/32-Inch Hex Key with Journeyman T-Handle, 6-Inch</t>
        </is>
      </c>
      <c r="E4643" s="2">
        <f>HYPERLINK("https://www.amazon.com/Journeyman-T-Handle-Klein-Tools-JTH6E06/dp/B004LREK90/ref=sr_1_1?keywords=Klein+Tools+JTH6E06+3%2F32-Inch+Hex+Key%2C+Journeyman+T-Handle%2C+6-Inch&amp;qid=1694735341&amp;sr=8-1", "https://www.amazon.com/Journeyman-T-Handle-Klein-Tools-JTH6E06/dp/B004LREK90/ref=sr_1_1?keywords=Klein+Tools+JTH6E06+3%2F32-Inch+Hex+Key%2C+Journeyman+T-Handle%2C+6-Inch&amp;qid=1694735341&amp;sr=8-1")</f>
        <v/>
      </c>
      <c r="F4643" t="inlineStr">
        <is>
          <t>B004LREK90</t>
        </is>
      </c>
      <c r="G4643">
        <f>_xludf.IMAGE("https://edmondsonsupply.com/cdn/shop/products/jth6e15_f3f40e05-27ea-4df2-91fc-a673e8aa5e4b.jpg?v=1587150971")</f>
        <v/>
      </c>
      <c r="H4643">
        <f>_xludf.IMAGE("https://m.media-amazon.com/images/I/51Yb8h41vLL._AC_UL320_.jpg")</f>
        <v/>
      </c>
      <c r="K4643" t="inlineStr">
        <is>
          <t>3.99</t>
        </is>
      </c>
      <c r="L4643" t="n">
        <v>6.75</v>
      </c>
      <c r="M4643" s="1" t="inlineStr">
        <is>
          <t>69.17%</t>
        </is>
      </c>
      <c r="N4643" s="1" t="n">
        <v>-15.51</v>
      </c>
      <c r="O4643" t="n">
        <v>4.8</v>
      </c>
      <c r="P4643" t="n">
        <v>2477</v>
      </c>
      <c r="R4643" t="inlineStr">
        <is>
          <t>InStock</t>
        </is>
      </c>
      <c r="S4643" t="inlineStr">
        <is>
          <t>6.04</t>
        </is>
      </c>
      <c r="T4643" t="inlineStr">
        <is>
          <t>4512703709284</t>
        </is>
      </c>
    </row>
    <row r="4644" hidden="1" ht="15.75" customHeight="1">
      <c r="A4644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4644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4644" t="inlineStr">
        <is>
          <t>Klein Tools JTH6E14BE 5/16-Inch Ball End Hex Key with T-Handle, 6-Inch</t>
        </is>
      </c>
      <c r="D4644" t="inlineStr">
        <is>
          <t>Klein Tools JTH6E09BE 9/64-Inch Ball-End Hex Key with Journeyman T-Handle, 6-Inch (Pack of 2)</t>
        </is>
      </c>
      <c r="E4644" s="2">
        <f>HYPERLINK("https://www.amazon.com/Klein-Tools-JTH6E09BE-Ball-End-Journeyman/dp/B0CGLVC75M/ref=sr_1_8?keywords=Klein+Tools+JTH6E14BE+5%2F16-Inch+Ball+End+Hex+Key+with+T-Handle%2C+6-Inch&amp;qid=1694735186&amp;sr=8-8", "https://www.amazon.com/Klein-Tools-JTH6E09BE-Ball-End-Journeyman/dp/B0CGLVC75M/ref=sr_1_8?keywords=Klein+Tools+JTH6E14BE+5%2F16-Inch+Ball+End+Hex+Key+with+T-Handle%2C+6-Inch&amp;qid=1694735186&amp;sr=8-8")</f>
        <v/>
      </c>
      <c r="F4644" t="inlineStr">
        <is>
          <t>B0CGLVC75M</t>
        </is>
      </c>
      <c r="G4644">
        <f>_xludf.IMAGE("https://edmondsonsupply.com/cdn/shop/products/jth6e13be_0da4cca6-ce15-419c-bc75-cd610bd9637f.jpg?v=1629825198")</f>
        <v/>
      </c>
      <c r="H4644">
        <f>_xludf.IMAGE("https://m.media-amazon.com/images/I/41bN+I19ReL._AC_UL320_.jpg")</f>
        <v/>
      </c>
      <c r="K4644" t="inlineStr">
        <is>
          <t>8.49</t>
        </is>
      </c>
      <c r="L4644" t="n">
        <v>14.36</v>
      </c>
      <c r="M4644" s="1" t="inlineStr">
        <is>
          <t>69.14%</t>
        </is>
      </c>
      <c r="N4644" s="1" t="n">
        <v>-15.52</v>
      </c>
      <c r="O4644" t="n">
        <v>4.9</v>
      </c>
      <c r="P4644" t="n">
        <v>65</v>
      </c>
      <c r="R4644" t="inlineStr">
        <is>
          <t>InStock</t>
        </is>
      </c>
      <c r="S4644" t="inlineStr">
        <is>
          <t>12.88</t>
        </is>
      </c>
      <c r="T4644" t="inlineStr">
        <is>
          <t>6899546161325</t>
        </is>
      </c>
    </row>
    <row r="4645" ht="87" customHeight="1">
      <c r="A4645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4645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4645" t="inlineStr">
        <is>
          <t>Diablo Tools DMAPL4180 1/2 in. x 4 in. x 6 in. Rebar Demon™ SDS-Plus 4-Cutter Full Carbide Head Hammer Bit</t>
        </is>
      </c>
      <c r="D4645" t="inlineStr">
        <is>
          <t>Diablo 1/4"x 16"x18" Rebar Demon™ SDS-Plus 4-Cutter Full Carbide Head Hammer Bit</t>
        </is>
      </c>
      <c r="E4645" s="2">
        <f>HYPERLINK("https://www.amazon.com/Diablo-DMAPL4100-SDS-Plus-4-Cutter-Carbide/dp/B089LG82VT/ref=sr_1_27?keywords=Diablo+Tools+DMAPL4180+1%2F2+in.+x+4+in.+x+6+in.+Rebar+Demon%E2%84%A2+SDS-Plus+4-Cutter+Full+Carbide+Head+Hammer+Bit&amp;qid=1694735298&amp;sr=8-27", "https://www.amazon.com/Diablo-DMAPL4100-SDS-Plus-4-Cutter-Carbide/dp/B089LG82VT/ref=sr_1_27?keywords=Diablo+Tools+DMAPL4180+1%2F2+in.+x+4+in.+x+6+in.+Rebar+Demon%E2%84%A2+SDS-Plus+4-Cutter+Full+Carbide+Head+Hammer+Bit&amp;qid=1694735298&amp;sr=8-27")</f>
        <v/>
      </c>
      <c r="F4645" t="inlineStr">
        <is>
          <t>B089LG82VT</t>
        </is>
      </c>
      <c r="G4645">
        <f>_xlfn.IMAGE("https://edmondsonsupply.com/cdn/shop/products/DMAPL4180_Main-Image20200702.png?v=1633030362")</f>
        <v/>
      </c>
      <c r="H4645">
        <f>_xlfn.IMAGE("https://m.media-amazon.com/images/I/61feUT5pRgL._AC_UL320_.jpg")</f>
        <v/>
      </c>
      <c r="K4645" t="inlineStr">
        <is>
          <t>9.97</t>
        </is>
      </c>
      <c r="L4645" t="n">
        <v>16.85</v>
      </c>
      <c r="M4645" s="1" t="inlineStr">
        <is>
          <t>69.01%</t>
        </is>
      </c>
      <c r="N4645" s="7" t="n">
        <v>-15.53</v>
      </c>
      <c r="O4645" t="n">
        <v>4.9</v>
      </c>
      <c r="P4645" t="n">
        <v>46</v>
      </c>
      <c r="R4645" t="inlineStr">
        <is>
          <t>InStock</t>
        </is>
      </c>
      <c r="S4645" t="inlineStr">
        <is>
          <t>undefined</t>
        </is>
      </c>
      <c r="T4645" t="inlineStr">
        <is>
          <t>5286803833000</t>
        </is>
      </c>
    </row>
    <row r="4646" ht="87" customHeight="1">
      <c r="A4646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4646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4646" t="inlineStr">
        <is>
          <t>Klein Tools 646-7/16M 7/16-Inch Magnetic Tip Nut Driver 6-Inch Shaft</t>
        </is>
      </c>
      <c r="D4646" t="inlineStr">
        <is>
          <t>Klein Tools S146 7/16-Inch Nut Driver with 6-Inch Hollow Shaft and Comfordome Handle (Pack of 2)</t>
        </is>
      </c>
      <c r="E4646" s="2">
        <f>HYPERLINK("https://www.amazon.com/Klein-Tools-S146-16-Inch-Comfordome/dp/B0CDQJXXMG/ref=sr_1_3?keywords=Klein+Tools+646-7%2F16M+7%2F16-Inch+Magnetic+Tip+Nut+Driver+6-Inch+Shaft&amp;qid=1694735353&amp;sr=8-3", "https://www.amazon.com/Klein-Tools-S146-16-Inch-Comfordome/dp/B0CDQJXXMG/ref=sr_1_3?keywords=Klein+Tools+646-7%2F16M+7%2F16-Inch+Magnetic+Tip+Nut+Driver+6-Inch+Shaft&amp;qid=1694735353&amp;sr=8-3")</f>
        <v/>
      </c>
      <c r="F4646" t="inlineStr">
        <is>
          <t>B0CDQJXXMG</t>
        </is>
      </c>
      <c r="G4646">
        <f>_xlfn.IMAGE("https://edmondsonsupply.com/cdn/shop/products/646-5-16m_906faaaa-dd9e-40e4-bce3-8174c2b127b5.jpg?v=1587146594")</f>
        <v/>
      </c>
      <c r="H4646">
        <f>_xlfn.IMAGE("https://m.media-amazon.com/images/I/31MCIAroc5L._AC_UL320_.jpg")</f>
        <v/>
      </c>
      <c r="K4646" t="inlineStr">
        <is>
          <t>12.99</t>
        </is>
      </c>
      <c r="L4646" t="n">
        <v>21.92</v>
      </c>
      <c r="M4646" s="1" t="inlineStr">
        <is>
          <t>68.75%</t>
        </is>
      </c>
      <c r="N4646" s="7" t="n">
        <v>-15.55</v>
      </c>
      <c r="O4646" t="n">
        <v>4.5</v>
      </c>
      <c r="P4646" t="n">
        <v>151</v>
      </c>
      <c r="R4646" t="inlineStr">
        <is>
          <t>InStock</t>
        </is>
      </c>
      <c r="S4646" t="inlineStr">
        <is>
          <t>19.74</t>
        </is>
      </c>
      <c r="T4646" t="inlineStr">
        <is>
          <t>4461840171108</t>
        </is>
      </c>
    </row>
    <row r="4647" ht="87" customHeight="1">
      <c r="A4647" s="2">
        <f>HYPERLINK("https://edmondsonsupply.com/collections/electricians-tools/products/klein-tools-32559-6-in-1-multi-bit-screwdriver-extended-reach", "https://edmondsonsupply.com/collections/electricians-tools/products/klein-tools-32559-6-in-1-multi-bit-screwdriver-extended-reach")</f>
        <v/>
      </c>
      <c r="B4647" s="2">
        <f>HYPERLINK("https://edmondsonsupply.com/products/klein-tools-32559-6-in-1-multi-bit-screwdriver-extended-reach", "https://edmondsonsupply.com/products/klein-tools-32559-6-in-1-multi-bit-screwdriver-extended-reach")</f>
        <v/>
      </c>
      <c r="C4647" t="inlineStr">
        <is>
          <t>Klein Tools 32559 Multi-Bit Screwdriver / Nut Driver, 6-in-1, Extended Reach, Ph, Sl</t>
        </is>
      </c>
      <c r="D4647" t="inlineStr">
        <is>
          <t>Klein Tools 32559 Multi-bit Screwdriver/Nut Driver, Extended Reach 6-in-1 Tool &amp; 32561 Multi-Bit Screwdriver/Nut Driver, 6-in-1 Stubby Screwdriver with 2 Phillips, 2 Slotted Bits, 2 Nut Drivers</t>
        </is>
      </c>
      <c r="E4647" s="2">
        <f>HYPERLINK("https://www.amazon.com/Klein-Tools-Multi-bit-Screwdriver-Multi-Bit/dp/B09Z91WFKZ/ref=sr_1_3?keywords=Klein+Tools+32559+Multi-Bit+Screwdriver+%2F+Nut+Driver%2C+6-in-1%2C+Extended+Reach%2C+Ph%2C+Sl&amp;qid=1694735413&amp;sr=8-3", "https://www.amazon.com/Klein-Tools-Multi-bit-Screwdriver-Multi-Bit/dp/B09Z91WFKZ/ref=sr_1_3?keywords=Klein+Tools+32559+Multi-Bit+Screwdriver+%2F+Nut+Driver%2C+6-in-1%2C+Extended+Reach%2C+Ph%2C+Sl&amp;qid=1694735413&amp;sr=8-3")</f>
        <v/>
      </c>
      <c r="F4647" t="inlineStr">
        <is>
          <t>B09Z91WFKZ</t>
        </is>
      </c>
      <c r="G4647">
        <f>_xlfn.IMAGE("https://edmondsonsupply.com/cdn/shop/products/32559_839a646b-b16e-42a3-8ec1-1e9f20c6214e.jpg?v=1587147888")</f>
        <v/>
      </c>
      <c r="H4647">
        <f>_xlfn.IMAGE("https://m.media-amazon.com/images/I/41b6bFR7YcL._AC_UL320_.jpg")</f>
        <v/>
      </c>
      <c r="K4647" t="inlineStr">
        <is>
          <t>15.97</t>
        </is>
      </c>
      <c r="L4647" t="n">
        <v>26.94</v>
      </c>
      <c r="M4647" s="1" t="inlineStr">
        <is>
          <t>68.69%</t>
        </is>
      </c>
      <c r="N4647" s="7" t="n">
        <v>-15.59</v>
      </c>
      <c r="O4647" t="n">
        <v>5</v>
      </c>
      <c r="P4647" t="n">
        <v>1</v>
      </c>
      <c r="R4647" t="inlineStr">
        <is>
          <t>InStock</t>
        </is>
      </c>
      <c r="S4647" t="inlineStr">
        <is>
          <t>24.12</t>
        </is>
      </c>
      <c r="T4647" t="inlineStr">
        <is>
          <t>4388476813412</t>
        </is>
      </c>
    </row>
    <row r="4648" ht="87" customHeight="1">
      <c r="A4648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4648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4648" t="inlineStr">
        <is>
          <t>Diablo Tools DOU125BF 1-1/4 in. Universal Fit Bi-Metal Oscillating Blade for Metal</t>
        </is>
      </c>
      <c r="D4648" t="inlineStr">
        <is>
          <t>Diablo by Freud DOU125CF3 1-1/4 in. Universal Fit Carbide Oscillating Blades for Metal (3-Pack)</t>
        </is>
      </c>
      <c r="E4648" s="2">
        <f>HYPERLINK("https://www.amazon.com/Diablo-Freud-DOU125CF3-Universal-Oscillating/dp/B089LKXD7L/ref=sr_1_8?keywords=Diablo+Tools+DOU125BF+1-1%2F4+in.+Universal+Fit+Bi-Metal+Oscillating+Blade+for+Metal&amp;qid=1694734995&amp;sr=8-8", "https://www.amazon.com/Diablo-Freud-DOU125CF3-Universal-Oscillating/dp/B089LKXD7L/ref=sr_1_8?keywords=Diablo+Tools+DOU125BF+1-1%2F4+in.+Universal+Fit+Bi-Metal+Oscillating+Blade+for+Metal&amp;qid=1694734995&amp;sr=8-8")</f>
        <v/>
      </c>
      <c r="F4648" t="inlineStr">
        <is>
          <t>B089LKXD7L</t>
        </is>
      </c>
      <c r="G4648">
        <f>_xlfn.IMAGE("https://edmondsonsupply.com/cdn/shop/files/k1d1qiwmm4npznsdbwtg.webp?v=1685467858")</f>
        <v/>
      </c>
      <c r="H4648">
        <f>_xlfn.IMAGE("https://m.media-amazon.com/images/I/71izb0UUOkL._AC_UL320_.jpg")</f>
        <v/>
      </c>
      <c r="K4648" t="inlineStr">
        <is>
          <t>18.97</t>
        </is>
      </c>
      <c r="L4648" t="n">
        <v>32</v>
      </c>
      <c r="M4648" s="1" t="inlineStr">
        <is>
          <t>68.69%</t>
        </is>
      </c>
      <c r="N4648" s="7" t="n">
        <v>-15.71</v>
      </c>
      <c r="O4648" t="n">
        <v>4.5</v>
      </c>
      <c r="P4648" t="n">
        <v>164</v>
      </c>
      <c r="R4648" t="inlineStr">
        <is>
          <t>InStock</t>
        </is>
      </c>
      <c r="S4648" t="inlineStr">
        <is>
          <t>22.35</t>
        </is>
      </c>
      <c r="T4648" t="inlineStr">
        <is>
          <t>7997877584088</t>
        </is>
      </c>
    </row>
    <row r="4649" ht="87" customHeight="1">
      <c r="A4649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4649" s="2">
        <f>HYPERLINK("https://edmondsonsupply.com/products/klein-tools-jth6m10-10-mm-hex-key-journeyman-t-handle-6-inch", "https://edmondsonsupply.com/products/klein-tools-jth6m10-10-mm-hex-key-journeyman-t-handle-6-inch")</f>
        <v/>
      </c>
      <c r="C4649" t="inlineStr">
        <is>
          <t>Klein Tools JTH6M10 10 mm Hex Key Journeyman T-Handle 6-Inch</t>
        </is>
      </c>
      <c r="D4649" t="inlineStr">
        <is>
          <t>Klein Tools JTH9M10 10 mm Hex Key with Journeyman T-Handle, 9-Inch</t>
        </is>
      </c>
      <c r="E4649" s="2">
        <f>HYPERLINK("https://www.amazon.com/Journeyman-T-Handle-Klein-Tools-JTH9M10/dp/B005G3HIA6/ref=sr_1_2?keywords=Klein+Tools+JTH6M10+10+mm+Hex+Key+Journeyman+T-Handle+6-Inch&amp;qid=1694735203&amp;sr=8-2", "https://www.amazon.com/Journeyman-T-Handle-Klein-Tools-JTH9M10/dp/B005G3HIA6/ref=sr_1_2?keywords=Klein+Tools+JTH6M10+10+mm+Hex+Key+Journeyman+T-Handle+6-Inch&amp;qid=1694735203&amp;sr=8-2")</f>
        <v/>
      </c>
      <c r="F4649" t="inlineStr">
        <is>
          <t>B005G3HIA6</t>
        </is>
      </c>
      <c r="G4649">
        <f>_xlfn.IMAGE("https://edmondsonsupply.com/cdn/shop/products/jth6m8_64c2c8d3-e13e-4b81-9b34-745be7fd837a.jpg?v=1627827117")</f>
        <v/>
      </c>
      <c r="H4649">
        <f>_xlfn.IMAGE("https://m.media-amazon.com/images/I/51+1x0vz9XL._AC_UL320_.jpg")</f>
        <v/>
      </c>
      <c r="K4649" t="inlineStr">
        <is>
          <t>8.99</t>
        </is>
      </c>
      <c r="L4649" t="n">
        <v>15.15</v>
      </c>
      <c r="M4649" s="1" t="inlineStr">
        <is>
          <t>68.52%</t>
        </is>
      </c>
      <c r="N4649" s="7" t="n">
        <v>-15.8</v>
      </c>
      <c r="O4649" t="n">
        <v>5</v>
      </c>
      <c r="P4649" t="n">
        <v>2</v>
      </c>
      <c r="R4649" t="inlineStr">
        <is>
          <t>InStock</t>
        </is>
      </c>
      <c r="S4649" t="inlineStr">
        <is>
          <t>13.56</t>
        </is>
      </c>
      <c r="T4649" t="inlineStr">
        <is>
          <t>6852298014893</t>
        </is>
      </c>
    </row>
    <row r="4650" ht="87" customHeight="1">
      <c r="A4650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4650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4650" t="inlineStr">
        <is>
          <t>Klein Tools 602-4 1/4-Inch Keystone Screwdriver, 4-Inch Round Shank</t>
        </is>
      </c>
      <c r="D4650" t="inlineStr">
        <is>
          <t>Klein Tools 602-4DD Demolition Driver with Keystone Tip and 4-Inch Shank, Made in USA</t>
        </is>
      </c>
      <c r="E4650" s="2">
        <f>HYPERLINK("https://www.amazon.com/Keystone-Demolition-Klein-Tools-602-4DD/dp/B00B9HIC12/ref=sr_1_3?keywords=Klein+Tools+602-4+1%2F4-Inch+Keystone+Screwdriver%2C+4-Inch+Round+Shank&amp;qid=1694735235&amp;sr=8-3", "https://www.amazon.com/Keystone-Demolition-Klein-Tools-602-4DD/dp/B00B9HIC12/ref=sr_1_3?keywords=Klein+Tools+602-4+1%2F4-Inch+Keystone+Screwdriver%2C+4-Inch+Round+Shank&amp;qid=1694735235&amp;sr=8-3")</f>
        <v/>
      </c>
      <c r="F4650" t="inlineStr">
        <is>
          <t>B00B9HIC12</t>
        </is>
      </c>
      <c r="G4650">
        <f>_xlfn.IMAGE("https://edmondsonsupply.com/cdn/shop/products/602-6.jpg?v=1633030821")</f>
        <v/>
      </c>
      <c r="H4650">
        <f>_xlfn.IMAGE("https://m.media-amazon.com/images/I/41LGnPo9m-L._AC_UL320_.jpg")</f>
        <v/>
      </c>
      <c r="K4650" t="inlineStr">
        <is>
          <t>9.49</t>
        </is>
      </c>
      <c r="L4650" t="n">
        <v>15.99</v>
      </c>
      <c r="M4650" s="1" t="inlineStr">
        <is>
          <t>68.49%</t>
        </is>
      </c>
      <c r="N4650" s="7" t="n">
        <v>-15.85</v>
      </c>
      <c r="O4650" t="n">
        <v>4.8</v>
      </c>
      <c r="P4650" t="n">
        <v>994</v>
      </c>
      <c r="R4650" t="inlineStr">
        <is>
          <t>InStock</t>
        </is>
      </c>
      <c r="S4650" t="inlineStr">
        <is>
          <t>14.36</t>
        </is>
      </c>
      <c r="T4650" t="inlineStr">
        <is>
          <t>6080792363181</t>
        </is>
      </c>
    </row>
    <row r="4651" hidden="1" ht="15.75" customHeight="1">
      <c r="A4651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4651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4651" t="inlineStr">
        <is>
          <t>Milwaukee 48-39-0572 18 TPI Standard Compact Portable Band Saw Blade BULK 100</t>
        </is>
      </c>
      <c r="D4651" t="inlineStr">
        <is>
          <t>(3 Pk) Fortool 48-39-0572 Saw Blade 27 in. 18 TPI Sub-Compact Portable Band Saw Blade for Milwaukee M12 2429-20, 2429-21XC</t>
        </is>
      </c>
      <c r="E4651" s="2">
        <f>HYPERLINK("https://www.amazon.com/Fortool-48-39-0572-Sub-Compact-Milwaukee-2429-21XC/dp/B09V5NVP8M/ref=sr_1_13?keywords=Milwaukee+48-39-0572+18+TPI+Standard+Compact+Portable+Band+Saw+Blade+BULK+100&amp;qid=1694735025&amp;sr=8-13", "https://www.amazon.com/Fortool-48-39-0572-Sub-Compact-Milwaukee-2429-21XC/dp/B09V5NVP8M/ref=sr_1_13?keywords=Milwaukee+48-39-0572+18+TPI+Standard+Compact+Portable+Band+Saw+Blade+BULK+100&amp;qid=1694735025&amp;sr=8-13")</f>
        <v/>
      </c>
      <c r="F4651" t="inlineStr">
        <is>
          <t>B09V5NVP8M</t>
        </is>
      </c>
      <c r="G4651">
        <f>_xludf.IMAGE("https://edmondsonsupply.com/cdn/shop/products/21432_48-39-0510.jpg?v=1678901662")</f>
        <v/>
      </c>
      <c r="H4651">
        <f>_xludf.IMAGE("https://m.media-amazon.com/images/I/61tnXhWCmSL._AC_UL320_.jpg")</f>
        <v/>
      </c>
      <c r="K4651" t="inlineStr">
        <is>
          <t>21.97</t>
        </is>
      </c>
      <c r="L4651" t="n">
        <v>36.99</v>
      </c>
      <c r="M4651" s="1" t="inlineStr">
        <is>
          <t>68.37%</t>
        </is>
      </c>
      <c r="N4651" s="1" t="n">
        <v>-15.97</v>
      </c>
      <c r="O4651" t="n">
        <v>4</v>
      </c>
      <c r="P4651" t="n">
        <v>11</v>
      </c>
      <c r="R4651" t="inlineStr">
        <is>
          <t>InStock</t>
        </is>
      </c>
      <c r="S4651" t="inlineStr">
        <is>
          <t>27.5</t>
        </is>
      </c>
      <c r="T4651" t="inlineStr">
        <is>
          <t>7962068549848</t>
        </is>
      </c>
    </row>
    <row r="4652" hidden="1" ht="15.75" customHeight="1">
      <c r="A4652" s="2">
        <f>HYPERLINK("https://edmondsonsupply.com/collections/electricians-tools/products/milwaukee-48-20-8810-1-4-in-x-2-in-x-4-in-3-flat-secure-grip%E2%84%A2-hammer-drill-bit", "https://edmondsonsupply.com/collections/electricians-tools/products/milwaukee-48-20-8810-1-4-in-x-2-in-x-4-in-3-flat-secure-grip%E2%84%A2-hammer-drill-bit")</f>
        <v/>
      </c>
      <c r="B4652" s="2">
        <f>HYPERLINK("https://edmondsonsupply.com/products/milwaukee-48-20-8810-1-4-in-x-2-in-x-4-in-3-flat-secure-grip%e2%84%a2-hammer-drill-bit", "https://edmondsonsupply.com/products/milwaukee-48-20-8810-1-4-in-x-2-in-x-4-in-3-flat-secure-grip%e2%84%a2-hammer-drill-bit")</f>
        <v/>
      </c>
      <c r="C4652" t="inlineStr">
        <is>
          <t>Milwaukee 48-20-8810 1/4 in. x 2 in. x 4 in. 3-Flat Secure-Grip™ Hammer-Drill Bit</t>
        </is>
      </c>
      <c r="D4652" t="inlineStr">
        <is>
          <t>Milwaukee 48-20-8810 Hammer Drill Bit 1/4-by-2-by-4-Inch</t>
        </is>
      </c>
      <c r="E4652" s="2">
        <f>HYPERLINK("https://www.amazon.com/Milwaukee-48-20-8810-Hammer-Drill-4-Inch/dp/B000HSENLC/ref=sr_1_2?keywords=Milwaukee+48-20-8810+1%2F4+in.+x+2+in.+x+4+in.+3-Flat+Secure-Grip%E2%84%A2+Hammer-Drill+Bit&amp;qid=1694735413&amp;sr=8-2", "https://www.amazon.com/Milwaukee-48-20-8810-Hammer-Drill-4-Inch/dp/B000HSENLC/ref=sr_1_2?keywords=Milwaukee+48-20-8810+1%2F4+in.+x+2+in.+x+4+in.+3-Flat+Secure-Grip%E2%84%A2+Hammer-Drill+Bit&amp;qid=1694735413&amp;sr=8-2")</f>
        <v/>
      </c>
      <c r="F4652" t="inlineStr">
        <is>
          <t>B000HSENLC</t>
        </is>
      </c>
      <c r="G4652">
        <f>_xludf.IMAGE("https://edmondsonsupply.com/cdn/shop/products/48-20-8810.jpg?v=1587144568")</f>
        <v/>
      </c>
      <c r="H4652">
        <f>_xludf.IMAGE("https://m.media-amazon.com/images/I/51VyzeX+ycL._AC_UL320_.jpg")</f>
        <v/>
      </c>
      <c r="K4652" t="inlineStr">
        <is>
          <t>4.6</t>
        </is>
      </c>
      <c r="L4652" t="n">
        <v>7.74</v>
      </c>
      <c r="M4652" s="1" t="inlineStr">
        <is>
          <t>68.26%</t>
        </is>
      </c>
      <c r="N4652" s="1" t="n">
        <v>-16.13</v>
      </c>
      <c r="O4652" t="n">
        <v>4.6</v>
      </c>
      <c r="P4652" t="n">
        <v>25</v>
      </c>
      <c r="R4652" t="inlineStr">
        <is>
          <t>InStock</t>
        </is>
      </c>
      <c r="S4652" t="inlineStr">
        <is>
          <t>undefined</t>
        </is>
      </c>
      <c r="T4652" t="inlineStr">
        <is>
          <t>4384981516388</t>
        </is>
      </c>
    </row>
    <row r="4653" ht="87" customHeight="1">
      <c r="A4653" s="2">
        <f>HYPERLINK("https://edmondsonsupply.com/collections/electricians-tools/products/klein-tools-sl14-35-5-1-4-inch-slotted-power-drivers-3-1-2-inch-5-pack", "https://edmondsonsupply.com/collections/electricians-tools/products/klein-tools-sl14-35-5-1-4-inch-slotted-power-drivers-3-1-2-inch-5-pack")</f>
        <v/>
      </c>
      <c r="B4653" s="2">
        <f>HYPERLINK("https://edmondsonsupply.com/products/klein-tools-sl14-35-5-1-4-inch-slotted-power-drivers-3-1-2-inch-5-pack", "https://edmondsonsupply.com/products/klein-tools-sl14-35-5-1-4-inch-slotted-power-drivers-3-1-2-inch-5-pack")</f>
        <v/>
      </c>
      <c r="C4653" t="inlineStr">
        <is>
          <t>Klein Tools SL14-35-5 1/4-Inch Slotted Power Drivers, 3-1/2-Inch, 5-Pack</t>
        </is>
      </c>
      <c r="D4653" t="inlineStr">
        <is>
          <t>Klein Tools 32751 Screwdriver with Adjustable Length 4 to 8-Inch, #2 Phillips Tip and 1/4-Inch Slotted Tip</t>
        </is>
      </c>
      <c r="E4653" s="2">
        <f>HYPERLINK("https://www.amazon.com/Klein-Tools-32751-Screwdriver-Adjustable/dp/B010TNZDHW/ref=sr_1_31?keywords=Klein+Tools+SL14-35-5+1%2F4-Inch+Slotted+Power+Drivers%2C+3-1%2F2-Inch%2C+5-Pack&amp;qid=1694735339&amp;sr=8-31", "https://www.amazon.com/Klein-Tools-32751-Screwdriver-Adjustable/dp/B010TNZDHW/ref=sr_1_31?keywords=Klein+Tools+SL14-35-5+1%2F4-Inch+Slotted+Power+Drivers%2C+3-1%2F2-Inch%2C+5-Pack&amp;qid=1694735339&amp;sr=8-31")</f>
        <v/>
      </c>
      <c r="F4653" t="inlineStr">
        <is>
          <t>B010TNZDHW</t>
        </is>
      </c>
      <c r="G4653">
        <f>_xlfn.IMAGE("https://edmondsonsupply.com/cdn/shop/products/sl14355.jpg?v=1587150431")</f>
        <v/>
      </c>
      <c r="H4653">
        <f>_xlfn.IMAGE("https://m.media-amazon.com/images/I/415jqxJt+CL._AC_UL320_.jpg")</f>
        <v/>
      </c>
      <c r="K4653" t="inlineStr">
        <is>
          <t>12.49</t>
        </is>
      </c>
      <c r="L4653" t="n">
        <v>20.99</v>
      </c>
      <c r="M4653" s="1" t="inlineStr">
        <is>
          <t>68.05%</t>
        </is>
      </c>
      <c r="N4653" s="7" t="n">
        <v>-16.24</v>
      </c>
      <c r="O4653" t="n">
        <v>4.7</v>
      </c>
      <c r="P4653" t="n">
        <v>1726</v>
      </c>
      <c r="R4653" t="inlineStr">
        <is>
          <t>InStock</t>
        </is>
      </c>
      <c r="S4653" t="inlineStr">
        <is>
          <t>18.92</t>
        </is>
      </c>
      <c r="T4653" t="inlineStr">
        <is>
          <t>4505584762980</t>
        </is>
      </c>
    </row>
    <row r="4654" hidden="1" ht="15.75" customHeight="1">
      <c r="A4654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4654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4654" t="inlineStr">
        <is>
          <t>Klein Tools NCVT1PKIT Non-Contact Voltage and GFCI Receptacle Test Kit</t>
        </is>
      </c>
      <c r="D4654" t="inlineStr">
        <is>
          <t>Klein Tools NCVT1P Voltage Tester, Non-Contact Voltage Detector Pen &amp; RT250 GFCI Receptacle Tester with LCD Display, for Standard 3-Wire 120V Electrical Outlets</t>
        </is>
      </c>
      <c r="E4654" s="2">
        <f>HYPERLINK("https://www.amazon.com/Klein-Tools-Non-Contact-Receptacle-Electrical/dp/B09Y7XWBF8/ref=sr_1_15?keywords=Klein+Tools+NCVT1PKIT+Non-Contact+Voltage+and+GFCI+Receptacle+Test+Kit&amp;qid=1694735031&amp;sr=8-15", "https://www.amazon.com/Klein-Tools-Non-Contact-Receptacle-Electrical/dp/B09Y7XWBF8/ref=sr_1_15?keywords=Klein+Tools+NCVT1PKIT+Non-Contact+Voltage+and+GFCI+Receptacle+Test+Kit&amp;qid=1694735031&amp;sr=8-15")</f>
        <v/>
      </c>
      <c r="F4654" t="inlineStr">
        <is>
          <t>B09Y7XWBF8</t>
        </is>
      </c>
      <c r="G4654">
        <f>_xludf.IMAGE("https://edmondsonsupply.com/cdn/shop/products/ncvt1pkit.jpg?v=1677682920")</f>
        <v/>
      </c>
      <c r="H4654">
        <f>_xludf.IMAGE("https://m.media-amazon.com/images/I/51LNefsL0aL._AC_UL320_.jpg")</f>
        <v/>
      </c>
      <c r="K4654" t="inlineStr">
        <is>
          <t>24.97</t>
        </is>
      </c>
      <c r="L4654" t="n">
        <v>41.94</v>
      </c>
      <c r="M4654" s="1" t="inlineStr">
        <is>
          <t>67.96%</t>
        </is>
      </c>
      <c r="N4654" s="1" t="n">
        <v>-16.25</v>
      </c>
      <c r="O4654" t="n">
        <v>3.9</v>
      </c>
      <c r="P4654" t="n">
        <v>8</v>
      </c>
      <c r="R4654" t="inlineStr">
        <is>
          <t>InStock</t>
        </is>
      </c>
      <c r="S4654" t="inlineStr">
        <is>
          <t>35.38</t>
        </is>
      </c>
      <c r="T4654" t="inlineStr">
        <is>
          <t>7953960698072</t>
        </is>
      </c>
    </row>
    <row r="4655" hidden="1" ht="15.75" customHeight="1">
      <c r="A4655" s="2">
        <f>HYPERLINK("https://edmondsonsupply.com/collections/electricians-tools/products/klein-tools-jth6t10-t10-torx%C2%AE-hex-key-with-journeyman-t-handle-6-inch", "https://edmondsonsupply.com/collections/electricians-tools/products/klein-tools-jth6t10-t10-torx%C2%AE-hex-key-with-journeyman-t-handle-6-inch")</f>
        <v/>
      </c>
      <c r="B4655" s="2">
        <f>HYPERLINK("https://edmondsonsupply.com/products/klein-tools-jth6t10-t10-torx%c2%ae-hex-key-with-journeyman-t-handle-6-inch", "https://edmondsonsupply.com/products/klein-tools-jth6t10-t10-torx%c2%ae-hex-key-with-journeyman-t-handle-6-inch")</f>
        <v/>
      </c>
      <c r="C4655" t="inlineStr">
        <is>
          <t>Klein Tools JTH6T10 T10 Torx® Hex Key with Journeyman T-Handle, 6-Inch</t>
        </is>
      </c>
      <c r="D4655" t="inlineStr">
        <is>
          <t>Klein Tools JTH6T10 T10 TORX Hex Key, Journeyman T-Handle, 6-Inch</t>
        </is>
      </c>
      <c r="E4655" s="2">
        <f>HYPERLINK("https://www.amazon.com/Journeyman-T-Handle-Klein-Tools-JTH6T10/dp/B005G3B3TI/ref=sr_1_1?keywords=Klein+Tools+JTH6T10+T10+Torx%C2%AE+Hex+Key+with+Journeyman+T-Handle%2C+6-Inch&amp;qid=1694735374&amp;sr=8-1", "https://www.amazon.com/Journeyman-T-Handle-Klein-Tools-JTH6T10/dp/B005G3B3TI/ref=sr_1_1?keywords=Klein+Tools+JTH6T10+T10+Torx%C2%AE+Hex+Key+with+Journeyman+T-Handle%2C+6-Inch&amp;qid=1694735374&amp;sr=8-1")</f>
        <v/>
      </c>
      <c r="F4655" t="inlineStr">
        <is>
          <t>B005G3B3TI</t>
        </is>
      </c>
      <c r="G4655">
        <f>_xludf.IMAGE("https://edmondsonsupply.com/cdn/shop/products/jth6t40_07247ac0-2841-478b-a043-bf58bb30dc51.jpg?v=1587149691")</f>
        <v/>
      </c>
      <c r="H4655">
        <f>_xludf.IMAGE("https://m.media-amazon.com/images/I/51Xj0Vsb-EL._AC_UL320_.jpg")</f>
        <v/>
      </c>
      <c r="K4655" t="inlineStr">
        <is>
          <t>5.99</t>
        </is>
      </c>
      <c r="L4655" t="n">
        <v>10.06</v>
      </c>
      <c r="M4655" s="1" t="inlineStr">
        <is>
          <t>67.95%</t>
        </is>
      </c>
      <c r="N4655" s="1" t="n">
        <v>-16.37</v>
      </c>
      <c r="O4655" t="n">
        <v>4.8</v>
      </c>
      <c r="P4655" t="n">
        <v>1540</v>
      </c>
      <c r="R4655" t="inlineStr">
        <is>
          <t>InStock</t>
        </is>
      </c>
      <c r="S4655" t="inlineStr">
        <is>
          <t>9.1</t>
        </is>
      </c>
      <c r="T4655" t="inlineStr">
        <is>
          <t>4421660901476</t>
        </is>
      </c>
    </row>
    <row r="4656" ht="87" customHeight="1">
      <c r="A4656" s="2">
        <f>HYPERLINK("https://edmondsonsupply.com/collections/electricians-tools/products/fluke-902", "https://edmondsonsupply.com/collections/electricians-tools/products/fluke-902")</f>
        <v/>
      </c>
      <c r="B4656" s="2">
        <f>HYPERLINK("https://edmondsonsupply.com/products/fluke-902", "https://edmondsonsupply.com/products/fluke-902")</f>
        <v/>
      </c>
      <c r="C4656" t="inlineStr">
        <is>
          <t>Fluke 902 FC True-RMS HVAC Clamp Meter</t>
        </is>
      </c>
      <c r="D4656" t="inlineStr">
        <is>
          <t>Fluke 376FC True-RMS Clamp Meter with iFlex &amp; 62 Max Infrared Thermometer (Not for Human Temp), -22 to +932 Degree F Range</t>
        </is>
      </c>
      <c r="E4656" s="2">
        <f>HYPERLINK("https://www.amazon.com/Fluke-True-RMS-Infrared-Thermometer-Degree/dp/B097RJ782L/ref=sr_1_11?keywords=Fluke+902+FC+True-RMS+HVAC+Clamp+Meter&amp;qid=1694735309&amp;sr=8-11", "https://www.amazon.com/Fluke-True-RMS-Infrared-Thermometer-Degree/dp/B097RJ782L/ref=sr_1_11?keywords=Fluke+902+FC+True-RMS+HVAC+Clamp+Meter&amp;qid=1694735309&amp;sr=8-11")</f>
        <v/>
      </c>
      <c r="F4656" t="inlineStr">
        <is>
          <t>B097RJ782L</t>
        </is>
      </c>
      <c r="G4656">
        <f>_xlfn.IMAGE("https://edmondsonsupply.com/cdn/shop/products/902fc.png?v=1633030276")</f>
        <v/>
      </c>
      <c r="H4656">
        <f>_xlfn.IMAGE("https://m.media-amazon.com/images/I/51b9GFX1QBS._AC_UY218_.jpg")</f>
        <v/>
      </c>
      <c r="K4656" t="inlineStr">
        <is>
          <t>325.09</t>
        </is>
      </c>
      <c r="L4656" t="n">
        <v>545.74</v>
      </c>
      <c r="M4656" s="1" t="inlineStr">
        <is>
          <t>67.87%</t>
        </is>
      </c>
      <c r="N4656" s="7" t="n">
        <v>-16.49</v>
      </c>
      <c r="O4656" t="n">
        <v>4.7</v>
      </c>
      <c r="P4656" t="n">
        <v>4</v>
      </c>
      <c r="R4656" t="inlineStr">
        <is>
          <t>InStock</t>
        </is>
      </c>
      <c r="S4656" t="inlineStr">
        <is>
          <t>358.99</t>
        </is>
      </c>
      <c r="T4656" t="inlineStr">
        <is>
          <t>5238372991144</t>
        </is>
      </c>
    </row>
    <row r="4657" hidden="1" ht="15.75" customHeight="1">
      <c r="A4657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4657" s="2">
        <f>HYPERLINK("https://edmondsonsupply.com/products/greenlee-dtap10-32-drill-tap-10-32", "https://edmondsonsupply.com/products/greenlee-dtap10-32-drill-tap-10-32")</f>
        <v/>
      </c>
      <c r="C4657" t="inlineStr">
        <is>
          <t>Greenlee DTAP10-32 Drill/Tap, 10-32</t>
        </is>
      </c>
      <c r="D4657" t="inlineStr">
        <is>
          <t>Greenlee Drill And Tap Bit, Hss, 10-32</t>
        </is>
      </c>
      <c r="E4657" s="2">
        <f>HYPERLINK("https://www.amazon.com/Greenlee-LDTAP10-32-Long-Drill-Tap/dp/B00E62G68S/ref=sr_1_4?keywords=Greenlee+DTAP10-32+Drill%2FTap%2C+10-32&amp;qid=1694735404&amp;sr=8-4", "https://www.amazon.com/Greenlee-LDTAP10-32-Long-Drill-Tap/dp/B00E62G68S/ref=sr_1_4?keywords=Greenlee+DTAP10-32+Drill%2FTap%2C+10-32&amp;qid=1694735404&amp;sr=8-4")</f>
        <v/>
      </c>
      <c r="F4657" t="inlineStr">
        <is>
          <t>B00E62G68S</t>
        </is>
      </c>
      <c r="G4657">
        <f>_xludf.IMAGE("https://edmondsonsupply.com/cdn/shop/products/DTAP10-32.jpg?v=1633030188")</f>
        <v/>
      </c>
      <c r="H4657">
        <f>_xludf.IMAGE("https://m.media-amazon.com/images/I/618MH0vhCyL._AC_UL320_.jpg")</f>
        <v/>
      </c>
      <c r="K4657" t="inlineStr">
        <is>
          <t>8.99</t>
        </is>
      </c>
      <c r="L4657" t="n">
        <v>15.07</v>
      </c>
      <c r="M4657" s="1" t="inlineStr">
        <is>
          <t>67.63%</t>
        </is>
      </c>
      <c r="N4657" s="1" t="n">
        <v>-16.53</v>
      </c>
      <c r="O4657" t="n">
        <v>3.6</v>
      </c>
      <c r="P4657" t="n">
        <v>4</v>
      </c>
      <c r="R4657" t="inlineStr">
        <is>
          <t>InStock</t>
        </is>
      </c>
      <c r="S4657" t="inlineStr">
        <is>
          <t>9.7</t>
        </is>
      </c>
      <c r="T4657" t="inlineStr">
        <is>
          <t>4395883298916</t>
        </is>
      </c>
    </row>
    <row r="4658" hidden="1" ht="15.75" customHeight="1">
      <c r="A4658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4658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4658" t="inlineStr">
        <is>
          <t>Klein Tools JTH9E11 3/16-Inch Hex Key with Journeyman T-Handle, 9-Inch</t>
        </is>
      </c>
      <c r="D4658" t="inlineStr">
        <is>
          <t>Klein Tools JTH9M5 5 mm Hex Key with Journeyman T-Handle, 9-Inch</t>
        </is>
      </c>
      <c r="E4658" s="2">
        <f>HYPERLINK("https://www.amazon.com/Journeyman-T-Handle-Klein-Tools-JTH9M5/dp/B005G3HJDW/ref=sr_1_9?keywords=Klein+Tools+JTH9E11+3%2F16-Inch+Hex+Key+with+Journeyman+T-Handle%2C+9-Inch&amp;qid=1694735351&amp;sr=8-9", "https://www.amazon.com/Journeyman-T-Handle-Klein-Tools-JTH9M5/dp/B005G3HJDW/ref=sr_1_9?keywords=Klein+Tools+JTH9E11+3%2F16-Inch+Hex+Key+with+Journeyman+T-Handle%2C+9-Inch&amp;qid=1694735351&amp;sr=8-9")</f>
        <v/>
      </c>
      <c r="F4658" t="inlineStr">
        <is>
          <t>B005G3HJDW</t>
        </is>
      </c>
      <c r="G4658">
        <f>_xludf.IMAGE("https://edmondsonsupply.com/cdn/shop/products/jth9e12_5173eed3-120e-418c-a1cc-489b6dba3958.jpg?v=1587147554")</f>
        <v/>
      </c>
      <c r="H4658">
        <f>_xludf.IMAGE("https://m.media-amazon.com/images/I/51O91N8K8wL._AC_UL320_.jpg")</f>
        <v/>
      </c>
      <c r="K4658" t="inlineStr">
        <is>
          <t>5.99</t>
        </is>
      </c>
      <c r="L4658" t="n">
        <v>10.04</v>
      </c>
      <c r="M4658" s="1" t="inlineStr">
        <is>
          <t>67.61%</t>
        </is>
      </c>
      <c r="N4658" s="1" t="n">
        <v>-16.53</v>
      </c>
      <c r="O4658" t="n">
        <v>4.7</v>
      </c>
      <c r="P4658" t="n">
        <v>160</v>
      </c>
      <c r="R4658" t="inlineStr">
        <is>
          <t>InStock</t>
        </is>
      </c>
      <c r="S4658" t="inlineStr">
        <is>
          <t>9.06</t>
        </is>
      </c>
      <c r="T4658" t="inlineStr">
        <is>
          <t>4455227523172</t>
        </is>
      </c>
    </row>
    <row r="4659" ht="87" customHeight="1">
      <c r="A4659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659" s="2">
        <f>HYPERLINK("https://edmondsonsupply.com/products/klein-tools-vdv427-300-impact-punchdown-tool-66-110-blade", "https://edmondsonsupply.com/products/klein-tools-vdv427-300-impact-punchdown-tool-66-110-blade")</f>
        <v/>
      </c>
      <c r="C4659" t="inlineStr">
        <is>
          <t>Klein Tools VDV427-300 Impact Punchdown Tool, 66/110 Blade</t>
        </is>
      </c>
      <c r="D4659" t="inlineStr">
        <is>
          <t>Klein Tools VDV427-822 Impact Punchdown Tool Kit for 110 and 66 Panels, Cushion Grip, 4-Piece Set</t>
        </is>
      </c>
      <c r="E4659" s="2">
        <f>HYPERLINK("https://www.amazon.com/Punchdown-Cushion-Klein-Tools-VDV427-822/dp/B00IO8ZYWY/ref=sr_1_17?keywords=Klein+Tools+VDV427-300+Impact+Punchdown+Tool%2C+66%2F110+Blade&amp;qid=1694735168&amp;sr=8-17", "https://www.amazon.com/Punchdown-Cushion-Klein-Tools-VDV427-822/dp/B00IO8ZYWY/ref=sr_1_17?keywords=Klein+Tools+VDV427-300+Impact+Punchdown+Tool%2C+66%2F110+Blade&amp;qid=1694735168&amp;sr=8-17")</f>
        <v/>
      </c>
      <c r="F4659" t="inlineStr">
        <is>
          <t>B00IO8ZYWY</t>
        </is>
      </c>
      <c r="G4659">
        <f>_xlfn.IMAGE("https://edmondsonsupply.com/cdn/shop/products/vdv427300.jpg?v=1646010568")</f>
        <v/>
      </c>
      <c r="H4659">
        <f>_xlfn.IMAGE("https://m.media-amazon.com/images/I/81WDEDkf9kL._AC_UL320_.jpg")</f>
        <v/>
      </c>
      <c r="K4659" t="inlineStr">
        <is>
          <t>39.97</t>
        </is>
      </c>
      <c r="L4659" t="n">
        <v>66.98999999999999</v>
      </c>
      <c r="M4659" s="1" t="inlineStr">
        <is>
          <t>67.60%</t>
        </is>
      </c>
      <c r="N4659" s="7" t="n">
        <v>-16.55</v>
      </c>
      <c r="O4659" t="n">
        <v>4.4</v>
      </c>
      <c r="P4659" t="n">
        <v>455</v>
      </c>
      <c r="R4659" t="inlineStr">
        <is>
          <t>InStock</t>
        </is>
      </c>
      <c r="S4659" t="inlineStr">
        <is>
          <t>55.98</t>
        </is>
      </c>
      <c r="T4659" t="inlineStr">
        <is>
          <t>7620069818584</t>
        </is>
      </c>
    </row>
    <row r="4660" ht="87" customHeight="1">
      <c r="A4660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4660" s="2">
        <f>HYPERLINK("https://edmondsonsupply.com/products/klein-tools-d2000-9ne-linemans-pliers-9-inch", "https://edmondsonsupply.com/products/klein-tools-d2000-9ne-linemans-pliers-9-inch")</f>
        <v/>
      </c>
      <c r="C4660" t="inlineStr">
        <is>
          <t>Klein Tools D2000-9NE Lineman's Pliers, 9-Inch</t>
        </is>
      </c>
      <c r="D4660" t="inlineStr">
        <is>
          <t>Klein Tools D2000-28 Pliers, Diagonal Cutting Pliers, 8-Inch &amp; D213-9NE Pliers, 9-Inch Side Cutters, High Leverage Linesman Pliers Cut Copper, Aluminum and other Soft Metals</t>
        </is>
      </c>
      <c r="E4660" s="2">
        <f>HYPERLINK("https://www.amazon.com/Klein-Tools-D2000-28-Diagonal-D213-9NE/dp/B0BD3WQ62S/ref=sr_1_4?keywords=Klein+Tools+D2000-9NE+Linemans+Pliers%2C+9-Inch&amp;qid=1694735236&amp;sr=8-4", "https://www.amazon.com/Klein-Tools-D2000-28-Diagonal-D213-9NE/dp/B0BD3WQ62S/ref=sr_1_4?keywords=Klein+Tools+D2000-9NE+Linemans+Pliers%2C+9-Inch&amp;qid=1694735236&amp;sr=8-4")</f>
        <v/>
      </c>
      <c r="F4660" t="inlineStr">
        <is>
          <t>B0BD3WQ62S</t>
        </is>
      </c>
      <c r="G4660">
        <f>_xlfn.IMAGE("https://edmondsonsupply.com/cdn/shop/products/d20009ne.jpg?v=1633030816")</f>
        <v/>
      </c>
      <c r="H4660">
        <f>_xlfn.IMAGE("https://m.media-amazon.com/images/I/31MK8zfZMnL._AC_UL320_.jpg")</f>
        <v/>
      </c>
      <c r="K4660" t="inlineStr">
        <is>
          <t>39.99</t>
        </is>
      </c>
      <c r="L4660" t="n">
        <v>66.95999999999999</v>
      </c>
      <c r="M4660" s="1" t="inlineStr">
        <is>
          <t>67.44%</t>
        </is>
      </c>
      <c r="N4660" s="7" t="n">
        <v>-16.57</v>
      </c>
      <c r="O4660" t="n">
        <v>5</v>
      </c>
      <c r="P4660" t="n">
        <v>2</v>
      </c>
      <c r="R4660" t="inlineStr">
        <is>
          <t>InStock</t>
        </is>
      </c>
      <c r="S4660" t="inlineStr">
        <is>
          <t>62.04</t>
        </is>
      </c>
      <c r="T4660" t="inlineStr">
        <is>
          <t>6070895411373</t>
        </is>
      </c>
    </row>
    <row r="4661" hidden="1" ht="15.75" customHeight="1">
      <c r="A4661" s="2">
        <f>HYPERLINK("https://edmondsonsupply.com/collections/electricians-tools/products/fluke-393-solar-clamp-meter-cat-iii-1500-v", "https://edmondsonsupply.com/collections/electricians-tools/products/fluke-393-solar-clamp-meter-cat-iii-1500-v")</f>
        <v/>
      </c>
      <c r="B4661" s="2">
        <f>HYPERLINK("https://edmondsonsupply.com/products/fluke-393-solar-clamp-meter-cat-iii-1500-v", "https://edmondsonsupply.com/products/fluke-393-solar-clamp-meter-cat-iii-1500-v")</f>
        <v/>
      </c>
      <c r="C4661" t="inlineStr">
        <is>
          <t>Fluke 393 FC Solar Clamp Meter CAT III 1500 V</t>
        </is>
      </c>
      <c r="D4661" t="inlineStr">
        <is>
          <t>Fluke 393FC Clamp Meter with Irradiance Meter and Solar Test Lead Kit, CAT III 1500 V Rated, Measure Solar Irradiance, Ambient and PV Module Temperature, with MC4 Test Leads</t>
        </is>
      </c>
      <c r="E4661" s="2">
        <f>HYPERLINK("https://www.amazon.com/Fluke-Irradiance-Measure-Ambient-Temperature/dp/B0B49954PS/ref=sr_1_4?keywords=Fluke+393+FC+Solar+Clamp+Meter+CAT+III+1500+V&amp;qid=1694735129&amp;sr=8-4", "https://www.amazon.com/Fluke-Irradiance-Measure-Ambient-Temperature/dp/B0B49954PS/ref=sr_1_4?keywords=Fluke+393+FC+Solar+Clamp+Meter+CAT+III+1500+V&amp;qid=1694735129&amp;sr=8-4")</f>
        <v/>
      </c>
      <c r="F4661" t="inlineStr">
        <is>
          <t>B0B49954PS</t>
        </is>
      </c>
      <c r="G4661">
        <f>_xludf.IMAGE("https://edmondsonsupply.com/cdn/shop/products/F-393fc_01a_w.webp?v=1662652371")</f>
        <v/>
      </c>
      <c r="H4661">
        <f>_xludf.IMAGE("https://m.media-amazon.com/images/I/61ej9j9PdPL._AC_UY218_.jpg")</f>
        <v/>
      </c>
      <c r="K4661" t="inlineStr">
        <is>
          <t>676.79</t>
        </is>
      </c>
      <c r="L4661" t="n">
        <v>1132.99</v>
      </c>
      <c r="M4661" s="1" t="inlineStr">
        <is>
          <t>67.41%</t>
        </is>
      </c>
      <c r="N4661" s="1" t="n">
        <v>-16.59</v>
      </c>
      <c r="O4661" t="n">
        <v>4</v>
      </c>
      <c r="P4661" t="n">
        <v>2</v>
      </c>
      <c r="R4661" t="inlineStr">
        <is>
          <t>InStock</t>
        </is>
      </c>
      <c r="S4661" t="inlineStr">
        <is>
          <t>751.99</t>
        </is>
      </c>
      <c r="T4661" t="inlineStr">
        <is>
          <t>7809266090200</t>
        </is>
      </c>
    </row>
    <row r="4662" ht="87" customHeight="1">
      <c r="A4662" s="2">
        <f>HYPERLINK("https://edmondsonsupply.com/collections/electricians-tools/products/greenlee-gt13-non-contact-voltage-detector", "https://edmondsonsupply.com/collections/electricians-tools/products/greenlee-gt13-non-contact-voltage-detector")</f>
        <v/>
      </c>
      <c r="B4662" s="2">
        <f>HYPERLINK("https://edmondsonsupply.com/products/greenlee-gt13-non-contact-voltage-detector", "https://edmondsonsupply.com/products/greenlee-gt13-non-contact-voltage-detector")</f>
        <v/>
      </c>
      <c r="C4662" t="inlineStr">
        <is>
          <t>Greenlee GT13 Non-Contact Voltage Detector</t>
        </is>
      </c>
      <c r="D4662" t="inlineStr">
        <is>
          <t>Greenlee - Detector,Voltage Non-Contact, Elec Test Instruments (TR-12A)</t>
        </is>
      </c>
      <c r="E4662" s="2">
        <f>HYPERLINK("https://www.amazon.com/Greenlee-TR-12A-Contact-Voltage-Detector/dp/B00LUIYOL2/ref=sr_1_6?keywords=Greenlee+GT13+Non-Contact+Voltage+Detector&amp;qid=1694735374&amp;sr=8-6", "https://www.amazon.com/Greenlee-TR-12A-Contact-Voltage-Detector/dp/B00LUIYOL2/ref=sr_1_6?keywords=Greenlee+GT13+Non-Contact+Voltage+Detector&amp;qid=1694735374&amp;sr=8-6")</f>
        <v/>
      </c>
      <c r="F4662" t="inlineStr">
        <is>
          <t>B00LUIYOL2</t>
        </is>
      </c>
      <c r="G4662">
        <f>_xlfn.IMAGE("https://edmondsonsupply.com/cdn/shop/products/GT13_CAT2.jpg?v=1587145645")</f>
        <v/>
      </c>
      <c r="H4662">
        <f>_xlfn.IMAGE("https://m.media-amazon.com/images/I/71v4zCQ6jOL._AC_UL320_.jpg")</f>
        <v/>
      </c>
      <c r="K4662" t="inlineStr">
        <is>
          <t>23.89</t>
        </is>
      </c>
      <c r="L4662" t="n">
        <v>39.99</v>
      </c>
      <c r="M4662" s="1" t="inlineStr">
        <is>
          <t>67.39%</t>
        </is>
      </c>
      <c r="N4662" s="7" t="n">
        <v>-16.67</v>
      </c>
      <c r="O4662" t="n">
        <v>4.5</v>
      </c>
      <c r="P4662" t="n">
        <v>46</v>
      </c>
      <c r="R4662" t="inlineStr">
        <is>
          <t>InStock</t>
        </is>
      </c>
      <c r="S4662" t="inlineStr">
        <is>
          <t>25.7</t>
        </is>
      </c>
      <c r="T4662" t="inlineStr">
        <is>
          <t>4417287880804</t>
        </is>
      </c>
    </row>
    <row r="4663" hidden="1" ht="15.75" customHeight="1">
      <c r="A4663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4663" s="2">
        <f>HYPERLINK("https://edmondsonsupply.com/products/klein-tools-70582-seven-key-metric-folding-hex-key-set", "https://edmondsonsupply.com/products/klein-tools-70582-seven-key-metric-folding-hex-key-set")</f>
        <v/>
      </c>
      <c r="C4663" t="inlineStr">
        <is>
          <t>Klein Tools 70582 Folding Hex Key Set, 7-Key, Metric Sizes</t>
        </is>
      </c>
      <c r="D4663" t="inlineStr">
        <is>
          <t>Klein Tools 70573 Grip-It Hex Key Set, 12-Key, SAE/Metric Sizes</t>
        </is>
      </c>
      <c r="E4663" s="2">
        <f>HYPERLINK("https://www.amazon.com/Grip-12-Key-Hex-Set/dp/B0002RI8PA/ref=sr_1_11?keywords=Klein+Tools+70582+Folding+Hex+Key+Set%2C+7-Key%2C+Metric+Sizes&amp;qid=1694735391&amp;sr=8-11", "https://www.amazon.com/Grip-12-Key-Hex-Set/dp/B0002RI8PA/ref=sr_1_11?keywords=Klein+Tools+70582+Folding+Hex+Key+Set%2C+7-Key%2C+Metric+Sizes&amp;qid=1694735391&amp;sr=8-11")</f>
        <v/>
      </c>
      <c r="F4663" t="inlineStr">
        <is>
          <t>B0002RI8PA</t>
        </is>
      </c>
      <c r="G4663">
        <f>_xludf.IMAGE("https://edmondsonsupply.com/cdn/shop/products/70582.jpg?v=1587149750")</f>
        <v/>
      </c>
      <c r="H4663">
        <f>_xludf.IMAGE("https://m.media-amazon.com/images/I/610klv7dq+L._AC_UL320_.jpg")</f>
        <v/>
      </c>
      <c r="K4663" t="inlineStr">
        <is>
          <t>8.78</t>
        </is>
      </c>
      <c r="L4663" t="n">
        <v>14.67</v>
      </c>
      <c r="M4663" s="1" t="inlineStr">
        <is>
          <t>67.08%</t>
        </is>
      </c>
      <c r="N4663" s="1" t="n">
        <v>-16.68</v>
      </c>
      <c r="O4663" t="n">
        <v>4.7</v>
      </c>
      <c r="P4663" t="n">
        <v>559</v>
      </c>
      <c r="R4663" t="inlineStr">
        <is>
          <t>InStock</t>
        </is>
      </c>
      <c r="S4663" t="inlineStr">
        <is>
          <t>12.26</t>
        </is>
      </c>
      <c r="T4663" t="inlineStr">
        <is>
          <t>4409539919972</t>
        </is>
      </c>
    </row>
    <row r="4664" ht="87" customHeight="1">
      <c r="A4664" s="2">
        <f>HYPERLINK("https://edmondsonsupply.com/collections/electricians-tools/products/diablo-tools-dou125bw", "https://edmondsonsupply.com/collections/electricians-tools/products/diablo-tools-dou125bw")</f>
        <v/>
      </c>
      <c r="B4664" s="2">
        <f>HYPERLINK("https://edmondsonsupply.com/products/diablo-tools-dou125bw", "https://edmondsonsupply.com/products/diablo-tools-dou125bw")</f>
        <v/>
      </c>
      <c r="C4664" t="inlineStr">
        <is>
          <t>Diablo Tools DOU125BW 1-1/4 in. Universal Fit Bi-Metal Oscillating Blade for Nail-Embedded Wood</t>
        </is>
      </c>
      <c r="D4664" t="inlineStr">
        <is>
          <t>Diablo 2-1/2" Universal Fit Bi-Metal Osc. Blades for Nail-Embedded Wood,3Pk</t>
        </is>
      </c>
      <c r="E4664" s="2">
        <f>HYPERLINK("https://www.amazon.com/Diablo-Universal-Bi-Metal-Blades-Nail-Embedded/dp/B089KW4T8J/ref=sr_1_8?keywords=Diablo+Tools+DOU125BW+1-1%2F4+in.+Universal+Fit+Bi-Metal+Oscillating+Blade+for+Nail-Embedded+Wood&amp;qid=1694735198&amp;sr=8-8", "https://www.amazon.com/Diablo-Universal-Bi-Metal-Blades-Nail-Embedded/dp/B089KW4T8J/ref=sr_1_8?keywords=Diablo+Tools+DOU125BW+1-1%2F4+in.+Universal+Fit+Bi-Metal+Oscillating+Blade+for+Nail-Embedded+Wood&amp;qid=1694735198&amp;sr=8-8")</f>
        <v/>
      </c>
      <c r="F4664" t="inlineStr">
        <is>
          <t>B089KW4T8J</t>
        </is>
      </c>
      <c r="G4664">
        <f>_xlfn.IMAGE("https://edmondsonsupply.com/cdn/shop/products/gnn0wpqc8veb3qhldcrb.webp?v=1676040020")</f>
        <v/>
      </c>
      <c r="H4664">
        <f>_xlfn.IMAGE("https://m.media-amazon.com/images/I/71fhfiK3NaL._AC_UL320_.jpg")</f>
        <v/>
      </c>
      <c r="K4664" t="inlineStr">
        <is>
          <t>17.97</t>
        </is>
      </c>
      <c r="L4664" t="n">
        <v>30</v>
      </c>
      <c r="M4664" s="1" t="inlineStr">
        <is>
          <t>66.94%</t>
        </is>
      </c>
      <c r="N4664" s="7" t="n">
        <v>-16.68</v>
      </c>
      <c r="O4664" t="n">
        <v>4.8</v>
      </c>
      <c r="P4664" t="n">
        <v>37</v>
      </c>
      <c r="R4664" t="inlineStr">
        <is>
          <t>InStock</t>
        </is>
      </c>
      <c r="S4664" t="inlineStr">
        <is>
          <t>22.79</t>
        </is>
      </c>
      <c r="T4664" t="inlineStr">
        <is>
          <t>6846081433773</t>
        </is>
      </c>
    </row>
    <row r="4665" ht="87" customHeight="1">
      <c r="A4665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4665" s="2">
        <f>HYPERLINK("https://edmondsonsupply.com/products/klein-tools-55470-stand-up-zipper-bags-2-pack", "https://edmondsonsupply.com/products/klein-tools-55470-stand-up-zipper-bags-2-pack")</f>
        <v/>
      </c>
      <c r="C4665" t="inlineStr">
        <is>
          <t>Klein Tools 55470 Zipper Bag, Stand-Up Tool Pouch, 2-Pack</t>
        </is>
      </c>
      <c r="D4665" t="inlineStr">
        <is>
          <t>Klein Tools 55559 Stand-Up Zipper Bag Tool Pouch, 2-Pack &amp; 5139 Zipper Bag, Canvas Tool Pouch 12.5 x 7 x 4.25-Inch with Heavy Duty Brass Zipper Close, Natural</t>
        </is>
      </c>
      <c r="E4665" s="2">
        <f>HYPERLINK("https://www.amazon.com/Klein-Tools-Stand-Up-4-25-Inch-Natural/dp/B0BR25QG1Q/ref=sr_1_9?keywords=Klein+Tools+55470+Zipper+Bag%2C+Stand-Up+Tool+Pouch%2C+2-Pack&amp;qid=1694735348&amp;sr=8-9", "https://www.amazon.com/Klein-Tools-Stand-Up-4-25-Inch-Natural/dp/B0BR25QG1Q/ref=sr_1_9?keywords=Klein+Tools+55470+Zipper+Bag%2C+Stand-Up+Tool+Pouch%2C+2-Pack&amp;qid=1694735348&amp;sr=8-9")</f>
        <v/>
      </c>
      <c r="F4665" t="inlineStr">
        <is>
          <t>B0BR25QG1Q</t>
        </is>
      </c>
      <c r="G4665">
        <f>_xlfn.IMAGE("https://edmondsonsupply.com/cdn/shop/products/55470.jpg?v=1587149313")</f>
        <v/>
      </c>
      <c r="H4665">
        <f>_xlfn.IMAGE("https://m.media-amazon.com/images/I/51j3cDVxrVL._AC_UL320_.jpg")</f>
        <v/>
      </c>
      <c r="K4665" t="inlineStr">
        <is>
          <t>14.97</t>
        </is>
      </c>
      <c r="L4665" t="n">
        <v>24.99</v>
      </c>
      <c r="M4665" s="1" t="inlineStr">
        <is>
          <t>66.93%</t>
        </is>
      </c>
      <c r="N4665" s="7" t="n">
        <v>-16.68</v>
      </c>
      <c r="O4665" t="n">
        <v>5</v>
      </c>
      <c r="P4665" t="n">
        <v>2</v>
      </c>
      <c r="R4665" t="inlineStr">
        <is>
          <t>InStock</t>
        </is>
      </c>
      <c r="S4665" t="inlineStr">
        <is>
          <t>21.5</t>
        </is>
      </c>
      <c r="T4665" t="inlineStr">
        <is>
          <t>1723696971876</t>
        </is>
      </c>
    </row>
    <row r="4666" ht="87" customHeight="1">
      <c r="A4666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4666" s="2">
        <f>HYPERLINK("https://edmondsonsupply.com/products/klein-tools-55470-stand-up-zipper-bags-2-pack", "https://edmondsonsupply.com/products/klein-tools-55470-stand-up-zipper-bags-2-pack")</f>
        <v/>
      </c>
      <c r="C4666" t="inlineStr">
        <is>
          <t>Klein Tools 55470 Zipper Bag, Stand-Up Tool Pouch, 2-Pack</t>
        </is>
      </c>
      <c r="D4666" t="inlineStr">
        <is>
          <t>Klein Tools 55470 Utility Bag, Stand-Up Zipper Tool Bags, Orange/Black, Gray/Black, 2-Pack &amp; 5139 Zipper Bag, Canvas Tool Pouch 12.5 x 7 x 4.25-Inch with Heavy Duty Brass Zipper Close, Natural</t>
        </is>
      </c>
      <c r="E4666" s="2">
        <f>HYPERLINK("https://www.amazon.com/Klein-Tools-Utility-Stand-Up-4-25-Inch/dp/B09Z93CWZ3/ref=sr_1_3?keywords=Klein+Tools+55470+Zipper+Bag%2C+Stand-Up+Tool+Pouch%2C+2-Pack&amp;qid=1694735348&amp;sr=8-3", "https://www.amazon.com/Klein-Tools-Utility-Stand-Up-4-25-Inch/dp/B09Z93CWZ3/ref=sr_1_3?keywords=Klein+Tools+55470+Zipper+Bag%2C+Stand-Up+Tool+Pouch%2C+2-Pack&amp;qid=1694735348&amp;sr=8-3")</f>
        <v/>
      </c>
      <c r="F4666" t="inlineStr">
        <is>
          <t>B09Z93CWZ3</t>
        </is>
      </c>
      <c r="G4666">
        <f>_xlfn.IMAGE("https://edmondsonsupply.com/cdn/shop/products/55470.jpg?v=1587149313")</f>
        <v/>
      </c>
      <c r="H4666">
        <f>_xlfn.IMAGE("https://m.media-amazon.com/images/I/51o5htzrb7L._AC_UL320_.jpg")</f>
        <v/>
      </c>
      <c r="K4666" t="inlineStr">
        <is>
          <t>14.97</t>
        </is>
      </c>
      <c r="L4666" t="n">
        <v>24.99</v>
      </c>
      <c r="M4666" s="1" t="inlineStr">
        <is>
          <t>66.93%</t>
        </is>
      </c>
      <c r="N4666" s="7" t="n">
        <v>-16.72</v>
      </c>
      <c r="O4666" t="n">
        <v>5</v>
      </c>
      <c r="P4666" t="n">
        <v>3</v>
      </c>
      <c r="R4666" t="inlineStr">
        <is>
          <t>InStock</t>
        </is>
      </c>
      <c r="S4666" t="inlineStr">
        <is>
          <t>21.5</t>
        </is>
      </c>
      <c r="T4666" t="inlineStr">
        <is>
          <t>1723696971876</t>
        </is>
      </c>
    </row>
    <row r="4667" ht="87" customHeight="1">
      <c r="A4667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4667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4667" t="inlineStr">
        <is>
          <t>Klein Tools ET45VP AC/DC Voltage and GFCI Receptacle Outlet Test Kit</t>
        </is>
      </c>
      <c r="D4667" t="inlineStr">
        <is>
          <t>Klein Tools 80077 Voltage Tester Kit with Electronic AC/DC GFCI Outlet Tester and Non-Contact Voltage Tester Pen, 3-Piece, Green</t>
        </is>
      </c>
      <c r="E4667" s="2">
        <f>HYPERLINK("https://www.amazon.com/Klein-Tools-80077-Electronic-Non-Contact/dp/B0B11F7Q69/ref=sr_1_6?keywords=Klein+Tools+ET45VP+AC%2FDC+Voltage+and+GFCI+Receptacle+Outlet+Test+Kit&amp;qid=1694735138&amp;sr=8-6", "https://www.amazon.com/Klein-Tools-80077-Electronic-Non-Contact/dp/B0B11F7Q69/ref=sr_1_6?keywords=Klein+Tools+ET45VP+AC%2FDC+Voltage+and+GFCI+Receptacle+Outlet+Test+Kit&amp;qid=1694735138&amp;sr=8-6")</f>
        <v/>
      </c>
      <c r="F4667" t="inlineStr">
        <is>
          <t>B0B11F7Q69</t>
        </is>
      </c>
      <c r="G4667">
        <f>_xlfn.IMAGE("https://edmondsonsupply.com/cdn/shop/products/et45vp.jpg?v=1660755922")</f>
        <v/>
      </c>
      <c r="H4667">
        <f>_xlfn.IMAGE("https://m.media-amazon.com/images/I/51cU3aEkbCL._AC_UL320_.jpg")</f>
        <v/>
      </c>
      <c r="K4667" t="inlineStr">
        <is>
          <t>17.97</t>
        </is>
      </c>
      <c r="L4667" t="n">
        <v>29.99</v>
      </c>
      <c r="M4667" s="1" t="inlineStr">
        <is>
          <t>66.89%</t>
        </is>
      </c>
      <c r="N4667" s="7" t="n">
        <v>-16.75</v>
      </c>
      <c r="O4667" t="n">
        <v>4.6</v>
      </c>
      <c r="P4667" t="n">
        <v>180</v>
      </c>
      <c r="R4667" t="inlineStr">
        <is>
          <t>InStock</t>
        </is>
      </c>
      <c r="S4667" t="inlineStr">
        <is>
          <t>25.82</t>
        </is>
      </c>
      <c r="T4667" t="inlineStr">
        <is>
          <t>7783562084568</t>
        </is>
      </c>
    </row>
    <row r="4668" ht="87" customHeight="1">
      <c r="A4668" s="2">
        <f>HYPERLINK("https://edmondsonsupply.com/collections/electricians-tools/products/milwaukee-49-56-0197-3-5-8-hole-dozer%E2%84%A2-hole-saw-bi-metal-cup", "https://edmondsonsupply.com/collections/electricians-tools/products/milwaukee-49-56-0197-3-5-8-hole-dozer%E2%84%A2-hole-saw-bi-metal-cup")</f>
        <v/>
      </c>
      <c r="B4668" s="2">
        <f>HYPERLINK("https://edmondsonsupply.com/products/milwaukee-49-56-0197-3-5-8-hole-dozer%e2%84%a2-hole-saw-bi-metal-cup", "https://edmondsonsupply.com/products/milwaukee-49-56-0197-3-5-8-hole-dozer%e2%84%a2-hole-saw-bi-metal-cup")</f>
        <v/>
      </c>
      <c r="C4668" t="inlineStr">
        <is>
          <t>Milwaukee 49-56-0197 3-5/8" HOLE DOZER™ Hole Saw Bi-Metal Cup</t>
        </is>
      </c>
      <c r="D4668" t="inlineStr">
        <is>
          <t>MILWAUKEE'S Hole Saw, Bi-Metal, Black, 3-3/4 in. (49-56-9643T)</t>
        </is>
      </c>
      <c r="E4668" s="2">
        <f>HYPERLINK("https://www.amazon.com/Milwaukee-49-56-9643T-MIL-Harden-Hole-Bi-Metal/dp/B007FUN6HC/ref=sr_1_7?keywords=Milwaukee+49-56-0197+3-5%2F8%22+HOLE+DOZER%E2%84%A2+Hole+Saw+Bi-Metal+Cup&amp;qid=1694735021&amp;sr=8-7", "https://www.amazon.com/Milwaukee-49-56-9643T-MIL-Harden-Hole-Bi-Metal/dp/B007FUN6HC/ref=sr_1_7?keywords=Milwaukee+49-56-0197+3-5%2F8%22+HOLE+DOZER%E2%84%A2+Hole+Saw+Bi-Metal+Cup&amp;qid=1694735021&amp;sr=8-7")</f>
        <v/>
      </c>
      <c r="F4668" t="inlineStr">
        <is>
          <t>B007FUN6HC</t>
        </is>
      </c>
      <c r="G4668">
        <f>_xlfn.IMAGE("https://edmondsonsupply.com/cdn/shop/products/49-56-0052_101_1_b485d0b4-965d-40fc-a007-7e23c4d86724.webp?v=1678912947")</f>
        <v/>
      </c>
      <c r="H4668">
        <f>_xlfn.IMAGE("https://m.media-amazon.com/images/I/51DIlWGVZ6L._AC_UL320_.jpg")</f>
        <v/>
      </c>
      <c r="K4668" t="inlineStr">
        <is>
          <t>12.19</t>
        </is>
      </c>
      <c r="L4668" t="n">
        <v>20.33</v>
      </c>
      <c r="M4668" s="1" t="inlineStr">
        <is>
          <t>66.78%</t>
        </is>
      </c>
      <c r="N4668" s="7" t="n">
        <v>-16.88</v>
      </c>
      <c r="O4668" t="n">
        <v>4.6</v>
      </c>
      <c r="P4668" t="n">
        <v>13</v>
      </c>
      <c r="R4668" t="inlineStr">
        <is>
          <t>InStock</t>
        </is>
      </c>
      <c r="S4668" t="inlineStr">
        <is>
          <t>24.7</t>
        </is>
      </c>
      <c r="T4668" t="inlineStr">
        <is>
          <t>7962124681432</t>
        </is>
      </c>
    </row>
    <row r="4669" hidden="1" ht="15.75" customHeight="1">
      <c r="A4669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669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669" t="inlineStr">
        <is>
          <t>Klein Tools 605-4 1/4-Inch Cabinet Tip Screwdriver 4-Inch Shank</t>
        </is>
      </c>
      <c r="D4669" t="inlineStr">
        <is>
          <t>Klein Tools 6926INS Insulated Screwdriver, 1000V Slim Profile Tip, 1/4-Inch Cabinet Screwdriver with 6-Inch Shank, Cushion-Grip Handle</t>
        </is>
      </c>
      <c r="E4669" s="2">
        <f>HYPERLINK("https://www.amazon.com/Klein-Tools-6926INS-Screwdriver-Cushion-Grip/dp/B09GL1X5SZ/ref=sr_1_27?keywords=Klein+Tools+605-4+1%2F4-Inch+Cabinet+Tip+Screwdriver+4-Inch+Shank&amp;qid=1694735099&amp;sr=8-27", "https://www.amazon.com/Klein-Tools-6926INS-Screwdriver-Cushion-Grip/dp/B09GL1X5SZ/ref=sr_1_27?keywords=Klein+Tools+605-4+1%2F4-Inch+Cabinet+Tip+Screwdriver+4-Inch+Shank&amp;qid=1694735099&amp;sr=8-27")</f>
        <v/>
      </c>
      <c r="F4669" t="inlineStr">
        <is>
          <t>B09GL1X5SZ</t>
        </is>
      </c>
      <c r="G4669">
        <f>_xludf.IMAGE("https://edmondsonsupply.com/cdn/shop/products/605-6_ac5e56ca-920d-4d55-842f-c7dc8361f892.jpg?v=1665688377")</f>
        <v/>
      </c>
      <c r="H4669">
        <f>_xludf.IMAGE("https://m.media-amazon.com/images/I/41JbepP5oGL._AC_UL320_.jpg")</f>
        <v/>
      </c>
      <c r="K4669" t="inlineStr">
        <is>
          <t>8.99</t>
        </is>
      </c>
      <c r="L4669" t="n">
        <v>14.99</v>
      </c>
      <c r="M4669" s="1" t="inlineStr">
        <is>
          <t>66.74%</t>
        </is>
      </c>
      <c r="N4669" s="1" t="n">
        <v>-17.12</v>
      </c>
      <c r="O4669" t="n">
        <v>4.8</v>
      </c>
      <c r="P4669" t="n">
        <v>85</v>
      </c>
      <c r="R4669" t="inlineStr">
        <is>
          <t>InStock</t>
        </is>
      </c>
      <c r="S4669" t="inlineStr">
        <is>
          <t>13.6</t>
        </is>
      </c>
      <c r="T4669" t="inlineStr">
        <is>
          <t>7852059132120</t>
        </is>
      </c>
    </row>
    <row r="4670" hidden="1" ht="15.75" customHeight="1">
      <c r="A4670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4670" s="2">
        <f>HYPERLINK("https://edmondsonsupply.com/products/klein-tools-661-screwdriver-1-square-recess-tip-4-inch-shank", "https://edmondsonsupply.com/products/klein-tools-661-screwdriver-1-square-recess-tip-4-inch-shank")</f>
        <v/>
      </c>
      <c r="C4670" t="inlineStr">
        <is>
          <t>Klein Tools 661 Screwdriver, #1 Square Recess Tip, 4-Inch Shank</t>
        </is>
      </c>
      <c r="D4670" t="inlineStr">
        <is>
          <t>Klein Tools 6986INS Insulated Screwdriver, 1000V Slim Profile Tip, #1 Square with 6-Inch Shank, Cushion-Grip Handle</t>
        </is>
      </c>
      <c r="E4670" s="2">
        <f>HYPERLINK("https://www.amazon.com/Klein-Tools-6986INS-Screwdriver-Cushion-Grip/dp/B09GPYQ7DM/ref=sr_1_11?keywords=Klein+Tools+661+Screwdriver%2C+%231+Square+Recess+Tip%2C+4-Inch+Shank&amp;qid=1694735398&amp;sr=8-11", "https://www.amazon.com/Klein-Tools-6986INS-Screwdriver-Cushion-Grip/dp/B09GPYQ7DM/ref=sr_1_11?keywords=Klein+Tools+661+Screwdriver%2C+%231+Square+Recess+Tip%2C+4-Inch+Shank&amp;qid=1694735398&amp;sr=8-11")</f>
        <v/>
      </c>
      <c r="F4670" t="inlineStr">
        <is>
          <t>B09GPYQ7DM</t>
        </is>
      </c>
      <c r="G4670">
        <f>_xludf.IMAGE("https://edmondsonsupply.com/cdn/shop/products/660_587071df-c969-40cb-961e-3eee072c7429.jpg?v=1587149250")</f>
        <v/>
      </c>
      <c r="H4670">
        <f>_xludf.IMAGE("https://m.media-amazon.com/images/I/41d5Ic37xZL._AC_UL320_.jpg")</f>
        <v/>
      </c>
      <c r="K4670" t="inlineStr">
        <is>
          <t>8.99</t>
        </is>
      </c>
      <c r="L4670" t="n">
        <v>14.99</v>
      </c>
      <c r="M4670" s="1" t="inlineStr">
        <is>
          <t>66.74%</t>
        </is>
      </c>
      <c r="N4670" s="1" t="n">
        <v>-17.14</v>
      </c>
      <c r="O4670" t="n">
        <v>4.8</v>
      </c>
      <c r="P4670" t="n">
        <v>29</v>
      </c>
      <c r="R4670" t="inlineStr">
        <is>
          <t>InStock</t>
        </is>
      </c>
      <c r="S4670" t="inlineStr">
        <is>
          <t>13.6</t>
        </is>
      </c>
      <c r="T4670" t="inlineStr">
        <is>
          <t>4398444118116</t>
        </is>
      </c>
    </row>
    <row r="4671" hidden="1" ht="15.75" customHeight="1">
      <c r="A4671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4671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4671" t="inlineStr">
        <is>
          <t>Klein Tools 614-4 1/8-Inch Cabinet Electronics Screwdriver, 4-Inch</t>
        </is>
      </c>
      <c r="D4671" t="inlineStr">
        <is>
          <t>Klein Tools 6926INS Insulated Screwdriver, 1000V Slim Profile Tip, 1/4-Inch Cabinet Screwdriver with 6-Inch Shank, Cushion-Grip Handle</t>
        </is>
      </c>
      <c r="E4671" s="2">
        <f>HYPERLINK("https://www.amazon.com/Klein-Tools-6926INS-Screwdriver-Cushion-Grip/dp/B09GL1X5SZ/ref=sr_1_30?keywords=Klein+Tools+614-4+1%2F8-Inch+Cabinet+Electronics+Screwdriver%2C+4-Inch&amp;qid=1694735408&amp;sr=8-30", "https://www.amazon.com/Klein-Tools-6926INS-Screwdriver-Cushion-Grip/dp/B09GL1X5SZ/ref=sr_1_30?keywords=Klein+Tools+614-4+1%2F8-Inch+Cabinet+Electronics+Screwdriver%2C+4-Inch&amp;qid=1694735408&amp;sr=8-30")</f>
        <v/>
      </c>
      <c r="F4671" t="inlineStr">
        <is>
          <t>B09GL1X5SZ</t>
        </is>
      </c>
      <c r="G4671">
        <f>_xludf.IMAGE("https://edmondsonsupply.com/cdn/shop/products/614-4.jpg?v=1587145143")</f>
        <v/>
      </c>
      <c r="H4671">
        <f>_xludf.IMAGE("https://m.media-amazon.com/images/I/41JbepP5oGL._AC_UL320_.jpg")</f>
        <v/>
      </c>
      <c r="K4671" t="inlineStr">
        <is>
          <t>8.99</t>
        </is>
      </c>
      <c r="L4671" t="n">
        <v>14.99</v>
      </c>
      <c r="M4671" s="1" t="inlineStr">
        <is>
          <t>66.74%</t>
        </is>
      </c>
      <c r="N4671" s="1" t="n">
        <v>-17.15</v>
      </c>
      <c r="O4671" t="n">
        <v>4.8</v>
      </c>
      <c r="P4671" t="n">
        <v>85</v>
      </c>
      <c r="R4671" t="inlineStr">
        <is>
          <t>InStock</t>
        </is>
      </c>
      <c r="S4671" t="inlineStr">
        <is>
          <t>13.62</t>
        </is>
      </c>
      <c r="T4671" t="inlineStr">
        <is>
          <t>4397839843428</t>
        </is>
      </c>
    </row>
    <row r="4672" ht="87" customHeight="1">
      <c r="A4672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672" s="2">
        <f>HYPERLINK("https://edmondsonsupply.com/products/klein-tools-32900-7-in-1-impact-flip-socket-with-handle", "https://edmondsonsupply.com/products/klein-tools-32900-7-in-1-impact-flip-socket-with-handle")</f>
        <v/>
      </c>
      <c r="C4672" t="inlineStr">
        <is>
          <t>Klein Tools 32900 7-in-1 Impact Flip Socket with Handle</t>
        </is>
      </c>
      <c r="D4672" t="inlineStr">
        <is>
          <t>Klein Tools 66070 Impact Socket Set, Impact Driver Flip Socket, Five Sockets with 1/4-Inch Hex and 1/2-Inch Square Socket Adapters, 7-Piece</t>
        </is>
      </c>
      <c r="E4672" s="2">
        <f>HYPERLINK("https://www.amazon.com/Klein-Tools-66070-Sockets-Adapters/dp/B0B33XLXD1/ref=sr_1_14?keywords=Klein+Tools+32900+7-in-1+Impact+Flip+Socket+with+Handle&amp;qid=1694735103&amp;sr=8-14", "https://www.amazon.com/Klein-Tools-66070-Sockets-Adapters/dp/B0B33XLXD1/ref=sr_1_14?keywords=Klein+Tools+32900+7-in-1+Impact+Flip+Socket+with+Handle&amp;qid=1694735103&amp;sr=8-14")</f>
        <v/>
      </c>
      <c r="F4672" t="inlineStr">
        <is>
          <t>B0B33XLXD1</t>
        </is>
      </c>
      <c r="G4672">
        <f>_xlfn.IMAGE("https://edmondsonsupply.com/cdn/shop/products/32900_b.jpg?v=1666024787")</f>
        <v/>
      </c>
      <c r="H4672">
        <f>_xlfn.IMAGE("https://m.media-amazon.com/images/I/71D23SffznL._AC_UL320_.jpg")</f>
        <v/>
      </c>
      <c r="K4672" t="inlineStr">
        <is>
          <t>29.97</t>
        </is>
      </c>
      <c r="L4672" t="n">
        <v>49.97</v>
      </c>
      <c r="M4672" s="1" t="inlineStr">
        <is>
          <t>66.73%</t>
        </is>
      </c>
      <c r="N4672" s="7" t="n">
        <v>-17.2</v>
      </c>
      <c r="O4672" t="n">
        <v>4.8</v>
      </c>
      <c r="P4672" t="n">
        <v>1150</v>
      </c>
      <c r="R4672" t="inlineStr">
        <is>
          <t>InStock</t>
        </is>
      </c>
      <c r="S4672" t="inlineStr">
        <is>
          <t>45.0</t>
        </is>
      </c>
      <c r="T4672" t="inlineStr">
        <is>
          <t>7856651239640</t>
        </is>
      </c>
    </row>
    <row r="4673" ht="87" customHeight="1">
      <c r="A4673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4673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4673" t="inlineStr">
        <is>
          <t>Klein Tools 602-6 5/16-Inch Keystone Tip Screwdriver, Cushion Grip, 6-Inch</t>
        </is>
      </c>
      <c r="D4673" t="inlineStr">
        <is>
          <t>Klein Tools 602-7DD 5/16-Inch Keystone Demolition Driver, 7-Inch Shank</t>
        </is>
      </c>
      <c r="E4673" s="2">
        <f>HYPERLINK("https://www.amazon.com/16-Inch-Keystone-Demolition-Klein-Tools/dp/B00B9HIBYA/ref=sr_1_6?keywords=Klein+Tools+602-6+5%2F16-Inch+Keystone+Tip+Screwdriver%2C+Cushion+Grip%2C+6-Inch&amp;qid=1694735231&amp;sr=8-6", "https://www.amazon.com/16-Inch-Keystone-Demolition-Klein-Tools/dp/B00B9HIBYA/ref=sr_1_6?keywords=Klein+Tools+602-6+5%2F16-Inch+Keystone+Tip+Screwdriver%2C+Cushion+Grip%2C+6-Inch&amp;qid=1694735231&amp;sr=8-6")</f>
        <v/>
      </c>
      <c r="F4673" t="inlineStr">
        <is>
          <t>B00B9HIBYA</t>
        </is>
      </c>
      <c r="G4673">
        <f>_xlfn.IMAGE("https://edmondsonsupply.com/cdn/shop/products/602-6_162e3283-acea-47de-aecf-2a25f009fdcb.jpg?v=1633030880")</f>
        <v/>
      </c>
      <c r="H4673">
        <f>_xlfn.IMAGE("https://m.media-amazon.com/images/I/41sh3Q2vVYL._AC_UL320_.jpg")</f>
        <v/>
      </c>
      <c r="K4673" t="inlineStr">
        <is>
          <t>11.99</t>
        </is>
      </c>
      <c r="L4673" t="n">
        <v>19.99</v>
      </c>
      <c r="M4673" s="1" t="inlineStr">
        <is>
          <t>66.72%</t>
        </is>
      </c>
      <c r="N4673" s="7" t="n">
        <v>-17.26</v>
      </c>
      <c r="O4673" t="n">
        <v>4.8</v>
      </c>
      <c r="P4673" t="n">
        <v>1374</v>
      </c>
      <c r="R4673" t="inlineStr">
        <is>
          <t>InStock</t>
        </is>
      </c>
      <c r="S4673" t="inlineStr">
        <is>
          <t>18.18</t>
        </is>
      </c>
      <c r="T4673" t="inlineStr">
        <is>
          <t>6169213501613</t>
        </is>
      </c>
    </row>
    <row r="4674" hidden="1" ht="15.75" customHeight="1">
      <c r="A4674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674" s="2">
        <f>HYPERLINK("https://edmondsonsupply.com/products/klein-tools-32900-7-in-1-impact-flip-socket-with-handle", "https://edmondsonsupply.com/products/klein-tools-32900-7-in-1-impact-flip-socket-with-handle")</f>
        <v/>
      </c>
      <c r="C4674" t="inlineStr">
        <is>
          <t>Klein Tools 32900 7-in-1 Impact Flip Socket with Handle</t>
        </is>
      </c>
      <c r="D4674" t="inlineStr">
        <is>
          <t>Klein Tools 32900 Impact Driver, 7-in-1 Impact Flip Socket Set &amp; 7-in-1 Impact Flip Socket Set, 6 Hex Driver Sizes plus a 1/4-Inch Bit Holder Klein Tools 32907</t>
        </is>
      </c>
      <c r="E4674" s="2">
        <f>HYPERLINK("https://www.amazon.com/Klein-Tools-32900-Impact-Driver/dp/B0BNL8YYV8/ref=sr_1_4?keywords=Klein+Tools+32900+7-in-1+Impact+Flip+Socket+with+Handle&amp;qid=1694735103&amp;sr=8-4", "https://www.amazon.com/Klein-Tools-32900-Impact-Driver/dp/B0BNL8YYV8/ref=sr_1_4?keywords=Klein+Tools+32900+7-in-1+Impact+Flip+Socket+with+Handle&amp;qid=1694735103&amp;sr=8-4")</f>
        <v/>
      </c>
      <c r="F4674" t="inlineStr">
        <is>
          <t>B0BNL8YYV8</t>
        </is>
      </c>
      <c r="G4674">
        <f>_xludf.IMAGE("https://edmondsonsupply.com/cdn/shop/products/32900_b.jpg?v=1666024787")</f>
        <v/>
      </c>
      <c r="H4674">
        <f>_xludf.IMAGE("https://m.media-amazon.com/images/I/51QY9DG-v7L._AC_UL320_.jpg")</f>
        <v/>
      </c>
      <c r="K4674" t="inlineStr">
        <is>
          <t>29.97</t>
        </is>
      </c>
      <c r="L4674" t="n">
        <v>49.96</v>
      </c>
      <c r="M4674" s="1" t="inlineStr">
        <is>
          <t>66.70%</t>
        </is>
      </c>
      <c r="N4674" s="1" t="n">
        <v>-17.29</v>
      </c>
      <c r="O4674" t="n">
        <v>4</v>
      </c>
      <c r="P4674" t="n">
        <v>1</v>
      </c>
      <c r="R4674" t="inlineStr">
        <is>
          <t>InStock</t>
        </is>
      </c>
      <c r="S4674" t="inlineStr">
        <is>
          <t>45.0</t>
        </is>
      </c>
      <c r="T4674" t="inlineStr">
        <is>
          <t>7856651239640</t>
        </is>
      </c>
    </row>
    <row r="4675" ht="87" customHeight="1">
      <c r="A4675" s="2">
        <f>HYPERLINK("https://edmondsonsupply.com/collections/electricians-tools/products/wiha-tools-66991-13-piece-magicring-ball-end-hex-l-key-set-inch", "https://edmondsonsupply.com/collections/electricians-tools/products/wiha-tools-66991-13-piece-magicring-ball-end-hex-l-key-set-inch")</f>
        <v/>
      </c>
      <c r="B4675" s="2">
        <f>HYPERLINK("https://edmondsonsupply.com/products/wiha-tools-66991-13-piece-magicring-ball-end-hex-l-key-set-inch", "https://edmondsonsupply.com/products/wiha-tools-66991-13-piece-magicring-ball-end-hex-l-key-set-inch")</f>
        <v/>
      </c>
      <c r="C4675" t="inlineStr">
        <is>
          <t>Wiha Tools 66991 13 Piece MagicRing Ball End Hex L-Key Set - Inch</t>
        </is>
      </c>
      <c r="D4675" t="inlineStr">
        <is>
          <t>Wiha 66992 MagicRing Ball End Hex L-Key Set In Holders, 22 Piece</t>
        </is>
      </c>
      <c r="E4675" s="2">
        <f>HYPERLINK("https://www.amazon.com/Wiha-66992-MagicRing-L-Key-Holders/dp/B000LF2LJM/ref=sr_1_3?keywords=Wiha+Tools+66991+13+Piece+MagicRing+Ball+End+Hex+L-Key+Set+-+Inch&amp;qid=1694734990&amp;sr=8-3", "https://www.amazon.com/Wiha-66992-MagicRing-L-Key-Holders/dp/B000LF2LJM/ref=sr_1_3?keywords=Wiha+Tools+66991+13+Piece+MagicRing+Ball+End+Hex+L-Key+Set+-+Inch&amp;qid=1694734990&amp;sr=8-3")</f>
        <v/>
      </c>
      <c r="F4675" t="inlineStr">
        <is>
          <t>B000LF2LJM</t>
        </is>
      </c>
      <c r="G4675">
        <f>_xlfn.IMAGE("https://edmondsonsupply.com/cdn/shop/files/203e9943d7bc6da0913f39b14430d97570f6257a_1000x_25f5521b-5db2-4e3a-9496-a87eed5e7da1.webp?v=1690841742")</f>
        <v/>
      </c>
      <c r="H4675">
        <f>_xlfn.IMAGE("https://m.media-amazon.com/images/I/71eB60IkANL._AC_UL320_.jpg")</f>
        <v/>
      </c>
      <c r="K4675" t="inlineStr">
        <is>
          <t>48.61</t>
        </is>
      </c>
      <c r="L4675" t="n">
        <v>81.03</v>
      </c>
      <c r="M4675" s="1" t="inlineStr">
        <is>
          <t>66.69%</t>
        </is>
      </c>
      <c r="N4675" s="7" t="n">
        <v>-17.35</v>
      </c>
      <c r="O4675" t="n">
        <v>4.7</v>
      </c>
      <c r="P4675" t="n">
        <v>531</v>
      </c>
      <c r="R4675" t="inlineStr">
        <is>
          <t>InStock</t>
        </is>
      </c>
      <c r="S4675" t="inlineStr">
        <is>
          <t>64.81</t>
        </is>
      </c>
      <c r="T4675" t="inlineStr">
        <is>
          <t>8023273668824</t>
        </is>
      </c>
    </row>
    <row r="4676" ht="87" customHeight="1">
      <c r="A4676" s="2">
        <f>HYPERLINK("https://edmondsonsupply.com/collections/electricians-tools/products/klein-tools-51607-aluminum-conduit-bender-full-assembly-3-4-inch-emt-with-angle-setter%E2%84%A2", "https://edmondsonsupply.com/collections/electricians-tools/products/klein-tools-51607-aluminum-conduit-bender-full-assembly-3-4-inch-emt-with-angle-setter%E2%84%A2")</f>
        <v/>
      </c>
      <c r="B4676" s="2">
        <f>HYPERLINK("https://edmondsonsupply.com/products/klein-tools-51607-aluminum-conduit-bender-full-assembly-3-4-inch-emt-with-angle-setter%e2%84%a2", "https://edmondsonsupply.com/products/klein-tools-51607-aluminum-conduit-bender-full-assembly-3-4-inch-emt-with-angle-setter%e2%84%a2")</f>
        <v/>
      </c>
      <c r="C4676" t="inlineStr">
        <is>
          <t>Klein Tools 51607 Aluminum Conduit Bender Full Assembly, 3/4-Inch EMT with Angle Setter™</t>
        </is>
      </c>
      <c r="D4676" t="inlineStr">
        <is>
          <t>Klein Tools 51604 Iron Conduit Bender Full Assembly, 3/4-Inch EMT and 1/2-Inch Rigid, Wide Foot Pedal, Benchmark Symbols and Angle Setter</t>
        </is>
      </c>
      <c r="E4676" s="2">
        <f>HYPERLINK("https://www.amazon.com/Conduit-Features-Klein-Tools-51604/dp/B08V8YVWH1/ref=sr_1_4?keywords=Klein+Tools+51607+Aluminum+Conduit+Bender+Full+Assembly%2C+3%2F4-Inch+EMT+with+Angle+Setter%E2%84%A2&amp;qid=1694735118&amp;sr=8-4", "https://www.amazon.com/Conduit-Features-Klein-Tools-51604/dp/B08V8YVWH1/ref=sr_1_4?keywords=Klein+Tools+51607+Aluminum+Conduit+Bender+Full+Assembly%2C+3%2F4-Inch+EMT+with+Angle+Setter%E2%84%A2&amp;qid=1694735118&amp;sr=8-4")</f>
        <v/>
      </c>
      <c r="F4676" t="inlineStr">
        <is>
          <t>B08V8YVWH1</t>
        </is>
      </c>
      <c r="G4676">
        <f>_xlfn.IMAGE("https://edmondsonsupply.com/cdn/shop/products/51607.jpg?v=1663942654")</f>
        <v/>
      </c>
      <c r="H4676">
        <f>_xlfn.IMAGE("https://m.media-amazon.com/images/I/41DkDVmyczL._AC_UL320_.jpg")</f>
        <v/>
      </c>
      <c r="K4676" t="inlineStr">
        <is>
          <t>44.99</t>
        </is>
      </c>
      <c r="L4676" t="n">
        <v>74.98999999999999</v>
      </c>
      <c r="M4676" s="1" t="inlineStr">
        <is>
          <t>66.68%</t>
        </is>
      </c>
      <c r="N4676" s="7" t="n">
        <v>-17.41</v>
      </c>
      <c r="O4676" t="n">
        <v>4.8</v>
      </c>
      <c r="P4676" t="n">
        <v>44</v>
      </c>
      <c r="R4676" t="inlineStr">
        <is>
          <t>InStock</t>
        </is>
      </c>
      <c r="S4676" t="inlineStr">
        <is>
          <t>63.0</t>
        </is>
      </c>
      <c r="T4676" t="inlineStr">
        <is>
          <t>7827252216024</t>
        </is>
      </c>
    </row>
    <row r="4677" ht="87" customHeight="1">
      <c r="A4677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4677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4677" t="inlineStr">
        <is>
          <t>Klein Tools 51603 Iron Conduit Bender Full Assembly, 1/2-Inch EMT with Angle Setter™</t>
        </is>
      </c>
      <c r="D4677" t="inlineStr">
        <is>
          <t>Klein Tools 51605 Iron Conduit Bender Full Assembly, 1-Inch EMT and 3/4-Inch Rigid, Wide Foot Pedal, Benchmark Symbols and Angle Setter</t>
        </is>
      </c>
      <c r="E4677" s="2">
        <f>HYPERLINK("https://www.amazon.com/Conduit-Technology-Benchmark-Klein-Tools/dp/B08L3ZQCT1/ref=sr_1_6?keywords=Klein+Tools+51603+Iron+Conduit+Bender+Full+Assembly%2C+1%2F2-Inch+EMT+with+Angle+Setter%E2%84%A2&amp;qid=1694734984&amp;sr=8-6", "https://www.amazon.com/Conduit-Technology-Benchmark-Klein-Tools/dp/B08L3ZQCT1/ref=sr_1_6?keywords=Klein+Tools+51603+Iron+Conduit+Bender+Full+Assembly%2C+1%2F2-Inch+EMT+with+Angle+Setter%E2%84%A2&amp;qid=1694734984&amp;sr=8-6")</f>
        <v/>
      </c>
      <c r="F4677" t="inlineStr">
        <is>
          <t>B08L3ZQCT1</t>
        </is>
      </c>
      <c r="G4677">
        <f>_xlfn.IMAGE("https://edmondsonsupply.com/cdn/shop/products/51604.jpg?v=1663940749")</f>
        <v/>
      </c>
      <c r="H4677">
        <f>_xlfn.IMAGE("https://m.media-amazon.com/images/I/41stj4NcdUL._AC_UL320_.jpg")</f>
        <v/>
      </c>
      <c r="K4677" t="inlineStr">
        <is>
          <t>59.99</t>
        </is>
      </c>
      <c r="L4677" t="n">
        <v>99.97</v>
      </c>
      <c r="M4677" s="1" t="inlineStr">
        <is>
          <t>66.64%</t>
        </is>
      </c>
      <c r="N4677" s="7" t="n">
        <v>-17.46</v>
      </c>
      <c r="O4677" t="n">
        <v>4.7</v>
      </c>
      <c r="P4677" t="n">
        <v>60</v>
      </c>
      <c r="R4677" t="inlineStr">
        <is>
          <t>InStock</t>
        </is>
      </c>
      <c r="S4677" t="inlineStr">
        <is>
          <t>86.4</t>
        </is>
      </c>
      <c r="T4677" t="inlineStr">
        <is>
          <t>7827227574488</t>
        </is>
      </c>
    </row>
    <row r="4678" ht="87" customHeight="1">
      <c r="A4678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4678" s="2">
        <f>HYPERLINK("https://edmondsonsupply.com/products/klein-tools-51609-3-4-inch-iron-conduit-bender-head", "https://edmondsonsupply.com/products/klein-tools-51609-3-4-inch-iron-conduit-bender-head")</f>
        <v/>
      </c>
      <c r="C4678" t="inlineStr">
        <is>
          <t>Klein Tools 51609 3/4-Inch Iron Conduit Bender Head</t>
        </is>
      </c>
      <c r="D4678" t="inlineStr">
        <is>
          <t>Klein Tools 51605 Iron Conduit Bender Full Assembly, 1-Inch EMT and 3/4-Inch Rigid, Wide Foot Pedal, Benchmark Symbols and Angle Setter</t>
        </is>
      </c>
      <c r="E4678" s="2">
        <f>HYPERLINK("https://www.amazon.com/Conduit-Technology-Benchmark-Klein-Tools/dp/B08L3ZQCT1/ref=sr_1_9?keywords=Klein+Tools+51609+3%2F4-Inch+Iron+Conduit+Bender+Head&amp;qid=1694735132&amp;sr=8-9", "https://www.amazon.com/Conduit-Technology-Benchmark-Klein-Tools/dp/B08L3ZQCT1/ref=sr_1_9?keywords=Klein+Tools+51609+3%2F4-Inch+Iron+Conduit+Bender+Head&amp;qid=1694735132&amp;sr=8-9")</f>
        <v/>
      </c>
      <c r="F4678" t="inlineStr">
        <is>
          <t>B08L3ZQCT1</t>
        </is>
      </c>
      <c r="G4678">
        <f>_xlfn.IMAGE("https://edmondsonsupply.com/cdn/shop/products/51609.jpg?v=1661867147")</f>
        <v/>
      </c>
      <c r="H4678">
        <f>_xlfn.IMAGE("https://m.media-amazon.com/images/I/41stj4NcdUL._AC_UL320_.jpg")</f>
        <v/>
      </c>
      <c r="K4678" t="inlineStr">
        <is>
          <t>59.99</t>
        </is>
      </c>
      <c r="L4678" t="n">
        <v>99.97</v>
      </c>
      <c r="M4678" s="1" t="inlineStr">
        <is>
          <t>66.64%</t>
        </is>
      </c>
      <c r="N4678" s="7" t="n">
        <v>-17.48</v>
      </c>
      <c r="O4678" t="n">
        <v>4.7</v>
      </c>
      <c r="P4678" t="n">
        <v>60</v>
      </c>
      <c r="R4678" t="inlineStr">
        <is>
          <t>InStock</t>
        </is>
      </c>
      <c r="S4678" t="inlineStr">
        <is>
          <t>90.22</t>
        </is>
      </c>
      <c r="T4678" t="inlineStr">
        <is>
          <t>7797415837912</t>
        </is>
      </c>
    </row>
    <row r="4679" ht="87" customHeight="1">
      <c r="A4679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679" s="2">
        <f>HYPERLINK("https://edmondsonsupply.com/products/klein-tools-32900-7-in-1-impact-flip-socket-with-handle", "https://edmondsonsupply.com/products/klein-tools-32900-7-in-1-impact-flip-socket-with-handle")</f>
        <v/>
      </c>
      <c r="C4679" t="inlineStr">
        <is>
          <t>Klein Tools 32900 7-in-1 Impact Flip Socket with Handle</t>
        </is>
      </c>
      <c r="D4679" t="inlineStr">
        <is>
          <t>Klein Tools 32900 Impact Driver, 7-in-1 Impact Flip Socket Set &amp; 70550 Hex Wrench Key Set, 11 SAE Sizes, Heavy Duty Folding Allen Wrench Tool</t>
        </is>
      </c>
      <c r="E4679" s="2">
        <f>HYPERLINK("https://www.amazon.com/Klein-Tools-Impact-Driver-Folding/dp/B0BR8XN681/ref=sr_1_27?keywords=Klein+Tools+32900+7-in-1+Impact+Flip+Socket+with+Handle&amp;qid=1694735103&amp;sr=8-27", "https://www.amazon.com/Klein-Tools-Impact-Driver-Folding/dp/B0BR8XN681/ref=sr_1_27?keywords=Klein+Tools+32900+7-in-1+Impact+Flip+Socket+with+Handle&amp;qid=1694735103&amp;sr=8-27")</f>
        <v/>
      </c>
      <c r="F4679" t="inlineStr">
        <is>
          <t>B0BR8XN681</t>
        </is>
      </c>
      <c r="G4679">
        <f>_xlfn.IMAGE("https://edmondsonsupply.com/cdn/shop/products/32900_b.jpg?v=1666024787")</f>
        <v/>
      </c>
      <c r="H4679">
        <f>_xlfn.IMAGE("https://m.media-amazon.com/images/I/513UQCun-IL._AC_UL320_.jpg")</f>
        <v/>
      </c>
      <c r="K4679" t="inlineStr">
        <is>
          <t>29.97</t>
        </is>
      </c>
      <c r="L4679" t="n">
        <v>49.94</v>
      </c>
      <c r="M4679" s="1" t="inlineStr">
        <is>
          <t>66.63%</t>
        </is>
      </c>
      <c r="N4679" s="7" t="n">
        <v>-17.73</v>
      </c>
      <c r="O4679" t="n">
        <v>5</v>
      </c>
      <c r="P4679" t="n">
        <v>1</v>
      </c>
      <c r="R4679" t="inlineStr">
        <is>
          <t>InStock</t>
        </is>
      </c>
      <c r="S4679" t="inlineStr">
        <is>
          <t>45.0</t>
        </is>
      </c>
      <c r="T4679" t="inlineStr">
        <is>
          <t>7856651239640</t>
        </is>
      </c>
    </row>
    <row r="4680" ht="87" customHeight="1">
      <c r="A4680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4680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4680" t="inlineStr">
        <is>
          <t>Klein Tools 1550-2 2 Blade Pocket Knife, Steel, 2-1/2-Inch Blade</t>
        </is>
      </c>
      <c r="D4680" t="inlineStr">
        <is>
          <t>Klein Tools 44007 Electricians Knife, Lightweight Lockback Knife with 2-1/2-Inch Coping Blade and Silver Handle</t>
        </is>
      </c>
      <c r="E4680" s="2">
        <f>HYPERLINK("https://www.amazon.com/Lightweight-Lockback-Klein-Tools-44007/dp/B001TJ1JVK/ref=sr_1_4?keywords=Klein+Tools+1550-2+2+Blade+Pocket+Knife%2C+Steel%2C+2-1%2F2-Inch+Blade&amp;qid=1694735141&amp;sr=8-4", "https://www.amazon.com/Lightweight-Lockback-Klein-Tools-44007/dp/B001TJ1JVK/ref=sr_1_4?keywords=Klein+Tools+1550-2+2+Blade+Pocket+Knife%2C+Steel%2C+2-1%2F2-Inch+Blade&amp;qid=1694735141&amp;sr=8-4")</f>
        <v/>
      </c>
      <c r="F4680" t="inlineStr">
        <is>
          <t>B001TJ1JVK</t>
        </is>
      </c>
      <c r="G4680">
        <f>_xlfn.IMAGE("https://edmondsonsupply.com/cdn/shop/products/15502_b.jpg?v=1658020543")</f>
        <v/>
      </c>
      <c r="H4680">
        <f>_xlfn.IMAGE("https://m.media-amazon.com/images/I/71-kYHzVBIL._AC_UL320_.jpg")</f>
        <v/>
      </c>
      <c r="K4680" t="inlineStr">
        <is>
          <t>29.99</t>
        </is>
      </c>
      <c r="L4680" t="n">
        <v>49.97</v>
      </c>
      <c r="M4680" s="1" t="inlineStr">
        <is>
          <t>66.62%</t>
        </is>
      </c>
      <c r="N4680" s="7" t="n">
        <v>-17.81</v>
      </c>
      <c r="O4680" t="n">
        <v>4.6</v>
      </c>
      <c r="P4680" t="n">
        <v>60</v>
      </c>
      <c r="R4680" t="inlineStr">
        <is>
          <t>InStock</t>
        </is>
      </c>
      <c r="S4680" t="inlineStr">
        <is>
          <t>45.52</t>
        </is>
      </c>
      <c r="T4680" t="inlineStr">
        <is>
          <t>2766536409188</t>
        </is>
      </c>
    </row>
    <row r="4681" hidden="1" ht="15.75" customHeight="1">
      <c r="A4681" s="2">
        <f>HYPERLINK("https://edmondsonsupply.com/collections/electricians-tools/products/klein-tools-jth6m6be-6-mm-ball-end-hex-key-journeyman%E2%84%A2-t-handle-6-inch", "https://edmondsonsupply.com/collections/electricians-tools/products/klein-tools-jth6m6be-6-mm-ball-end-hex-key-journeyman%E2%84%A2-t-handle-6-inch")</f>
        <v/>
      </c>
      <c r="B4681" s="2">
        <f>HYPERLINK("https://edmondsonsupply.com/products/klein-tools-jth6m6be-6-mm-ball-end-hex-key-journeyman%e2%84%a2-t-handle-6-inch", "https://edmondsonsupply.com/products/klein-tools-jth6m6be-6-mm-ball-end-hex-key-journeyman%e2%84%a2-t-handle-6-inch")</f>
        <v/>
      </c>
      <c r="C4681" t="inlineStr">
        <is>
          <t>Klein Tools JTH6M6BE 6 mm Ball-End Hex Key, Journeyman™ T-Handle, 6-Inch</t>
        </is>
      </c>
      <c r="D4681" t="inlineStr">
        <is>
          <t>Klein Tools JTH6M3BE 3 mm Ball End Hex Key with Journeyman T-Handle, 6-Inch (Pack of 2)</t>
        </is>
      </c>
      <c r="E4681" s="2">
        <f>HYPERLINK("https://www.amazon.com/Klein-Tools-JTH6M3BE-Journeyman-T-Handle/dp/B0CGLYY7WP/ref=sr_1_2?keywords=Klein+Tools+JTH6M6BE+6+mm+Ball-End+Hex+Key%2C+Journeyman%E2%84%A2+T-Handle%2C+6-Inch&amp;qid=1694735096&amp;sr=8-2", "https://www.amazon.com/Klein-Tools-JTH6M3BE-Journeyman-T-Handle/dp/B0CGLYY7WP/ref=sr_1_2?keywords=Klein+Tools+JTH6M6BE+6+mm+Ball-End+Hex+Key%2C+Journeyman%E2%84%A2+T-Handle%2C+6-Inch&amp;qid=1694735096&amp;sr=8-2")</f>
        <v/>
      </c>
      <c r="F4681" t="inlineStr">
        <is>
          <t>B0CGLYY7WP</t>
        </is>
      </c>
      <c r="G4681">
        <f>_xludf.IMAGE("https://edmondsonsupply.com/cdn/shop/products/jth6m8be_8608088e-2ec0-429e-80d7-5bd927a3a1b6.jpg?v=1666111557")</f>
        <v/>
      </c>
      <c r="H4681">
        <f>_xludf.IMAGE("https://m.media-amazon.com/images/I/413sTNFMd7L._AC_UL320_.jpg")</f>
        <v/>
      </c>
      <c r="K4681" t="inlineStr">
        <is>
          <t>5.99</t>
        </is>
      </c>
      <c r="L4681" t="n">
        <v>9.98</v>
      </c>
      <c r="M4681" s="1" t="inlineStr">
        <is>
          <t>66.61%</t>
        </is>
      </c>
      <c r="N4681" s="1" t="n">
        <v>-17.85</v>
      </c>
      <c r="O4681" t="n">
        <v>4.6</v>
      </c>
      <c r="P4681" t="n">
        <v>184</v>
      </c>
      <c r="R4681" t="inlineStr">
        <is>
          <t>InStock</t>
        </is>
      </c>
      <c r="S4681" t="inlineStr">
        <is>
          <t>9.12</t>
        </is>
      </c>
      <c r="T4681" t="inlineStr">
        <is>
          <t>7857474404568</t>
        </is>
      </c>
    </row>
    <row r="4682" ht="87" customHeight="1">
      <c r="A4682" s="2">
        <f>HYPERLINK("https://edmondsonsupply.com/collections/electricians-tools/products/klein-tools-66078-flip-impact-socket-adapter-large-1-2-to-1-2-inch", "https://edmondsonsupply.com/collections/electricians-tools/products/klein-tools-66078-flip-impact-socket-adapter-large-1-2-to-1-2-inch")</f>
        <v/>
      </c>
      <c r="B4682" s="2">
        <f>HYPERLINK("https://edmondsonsupply.com/products/klein-tools-66078-flip-impact-socket-adapter-large-1-2-to-1-2-inch", "https://edmondsonsupply.com/products/klein-tools-66078-flip-impact-socket-adapter-large-1-2-to-1-2-inch")</f>
        <v/>
      </c>
      <c r="C4682" t="inlineStr">
        <is>
          <t>Klein Tools 66078 Flip Impact Socket Adapter, Large, 1/2 to 1/2-Inch</t>
        </is>
      </c>
      <c r="D4682" t="inlineStr">
        <is>
          <t>Klein Tools 66078 Impact Flip Socket Adapter, Large 1/2 to 1/2 -Inch Square Adapter, Use with Klein Tools Flip Impact Socket Set 66070</t>
        </is>
      </c>
      <c r="E4682" s="2">
        <f>HYPERLINK("https://www.amazon.com/Klein-Tools-66078-Impact-Adapter/dp/B0B33T15XS/ref=sr_1_1?keywords=Klein+Tools+66078+Flip+Impact+Socket+Adapter%2C+Large%2C+1%2F2+to+1%2F2-Inch&amp;qid=1694735127&amp;sr=8-1", "https://www.amazon.com/Klein-Tools-66078-Impact-Adapter/dp/B0B33T15XS/ref=sr_1_1?keywords=Klein+Tools+66078+Flip+Impact+Socket+Adapter%2C+Large%2C+1%2F2+to+1%2F2-Inch&amp;qid=1694735127&amp;sr=8-1")</f>
        <v/>
      </c>
      <c r="F4682" t="inlineStr">
        <is>
          <t>B0B33T15XS</t>
        </is>
      </c>
      <c r="G4682">
        <f>_xlfn.IMAGE("https://edmondsonsupply.com/cdn/shop/products/66078.jpg?v=1674145294")</f>
        <v/>
      </c>
      <c r="H4682">
        <f>_xlfn.IMAGE("https://m.media-amazon.com/images/I/51cFYcsM3kL._AC_UL320_.jpg")</f>
        <v/>
      </c>
      <c r="K4682" t="inlineStr">
        <is>
          <t>9.36</t>
        </is>
      </c>
      <c r="L4682" t="n">
        <v>15.58</v>
      </c>
      <c r="M4682" s="1" t="inlineStr">
        <is>
          <t>66.45%</t>
        </is>
      </c>
      <c r="N4682" s="7" t="n">
        <v>-17.88</v>
      </c>
      <c r="O4682" t="n">
        <v>5</v>
      </c>
      <c r="P4682" t="n">
        <v>1</v>
      </c>
      <c r="R4682" t="inlineStr">
        <is>
          <t>InStock</t>
        </is>
      </c>
      <c r="S4682" t="inlineStr">
        <is>
          <t>15.6</t>
        </is>
      </c>
      <c r="T4682" t="inlineStr">
        <is>
          <t>7814086361304</t>
        </is>
      </c>
    </row>
    <row r="4683" ht="87" customHeight="1">
      <c r="A4683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4683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4683" t="inlineStr">
        <is>
          <t>Diablo Tools DMAMX1360 1-1/2 in. x 16 in. x 21 in. Rebar Demon™ SDS-Max 4-Cutter Carbide-Tipped Hammer Drill Bit</t>
        </is>
      </c>
      <c r="D4683" t="inlineStr">
        <is>
          <t>Diablo by Freud DMAMX1380 1-1/2 in. x 31 in. x 36 in. Rebar Demon SDS-Max 4-Cutter Carbide-Tipped Hammer Bit</t>
        </is>
      </c>
      <c r="E4683" s="2">
        <f>HYPERLINK("https://www.amazon.com/Diablo-SDS-Max-4-Cutter-Carbide-Tipped-Hammer/dp/B089KVRR1J/ref=sr_1_4?keywords=Diablo+Tools+DMAMX1360+1-1%2F2+in.+x+16+in.+x+21+in.+Rebar+Demon%E2%84%A2+SDS-Max+4-Cutter+Carbide-Tipped+Hammer+Drill+Bit&amp;qid=1694735042&amp;sr=8-4", "https://www.amazon.com/Diablo-SDS-Max-4-Cutter-Carbide-Tipped-Hammer/dp/B089KVRR1J/ref=sr_1_4?keywords=Diablo+Tools+DMAMX1360+1-1%2F2+in.+x+16+in.+x+21+in.+Rebar+Demon%E2%84%A2+SDS-Max+4-Cutter+Carbide-Tipped+Hammer+Drill+Bit&amp;qid=1694735042&amp;sr=8-4")</f>
        <v/>
      </c>
      <c r="F4683" t="inlineStr">
        <is>
          <t>B089KVRR1J</t>
        </is>
      </c>
      <c r="G4683">
        <f>_xlfn.IMAGE("https://edmondsonsupply.com/cdn/shop/products/z2umcsdaj3y4uvsfnxoh.webp?v=1677257156")</f>
        <v/>
      </c>
      <c r="H4683">
        <f>_xlfn.IMAGE("https://m.media-amazon.com/images/I/61BDKHxJ3YL._AC_UL320_.jpg")</f>
        <v/>
      </c>
      <c r="K4683" t="inlineStr">
        <is>
          <t>93.87</t>
        </is>
      </c>
      <c r="L4683" t="n">
        <v>155.99</v>
      </c>
      <c r="M4683" s="1" t="inlineStr">
        <is>
          <t>66.18%</t>
        </is>
      </c>
      <c r="N4683" s="7" t="n">
        <v>-17.92</v>
      </c>
      <c r="O4683" t="n">
        <v>5</v>
      </c>
      <c r="P4683" t="n">
        <v>3</v>
      </c>
      <c r="R4683" t="inlineStr">
        <is>
          <t>InStock</t>
        </is>
      </c>
      <c r="S4683" t="inlineStr">
        <is>
          <t>149.01</t>
        </is>
      </c>
      <c r="T4683" t="inlineStr">
        <is>
          <t>7950786855128</t>
        </is>
      </c>
    </row>
    <row r="4684" ht="87" customHeight="1">
      <c r="A4684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4684" s="2">
        <f>HYPERLINK("https://edmondsonsupply.com/products/klein-tools-56331-steel-fish-tape-1-8-inch-x-50-foot", "https://edmondsonsupply.com/products/klein-tools-56331-steel-fish-tape-1-8-inch-x-50-foot")</f>
        <v/>
      </c>
      <c r="C4684" t="inlineStr">
        <is>
          <t>Klein Tools 56331 Steel Fish Tape, 1/8-Inch x 50-Foot</t>
        </is>
      </c>
      <c r="D4684" t="inlineStr">
        <is>
          <t>Disston E0215000 Blu-MOL RemGrit Hole Saw Accessories Dust Bowl &amp; Klein Tools 56331 Fish Tape, Steel Wire Puller with Double Loop Tip, Optimized Housing and Handle, 1/8-Inch x 50-Foot</t>
        </is>
      </c>
      <c r="E4684" s="2">
        <f>HYPERLINK("https://www.amazon.com/Disston-E0215000-Blu-MOL-Accessories-Optimized/dp/B09Q657RDF/ref=sr_1_3?keywords=Klein+Tools+56331+Steel+Fish+Tape%2C+1%2F8-Inch+x+50-Foot&amp;qid=1694735384&amp;sr=8-3", "https://www.amazon.com/Disston-E0215000-Blu-MOL-Accessories-Optimized/dp/B09Q657RDF/ref=sr_1_3?keywords=Klein+Tools+56331+Steel+Fish+Tape%2C+1%2F8-Inch+x+50-Foot&amp;qid=1694735384&amp;sr=8-3")</f>
        <v/>
      </c>
      <c r="F4684" t="inlineStr">
        <is>
          <t>B09Q657RDF</t>
        </is>
      </c>
      <c r="G4684">
        <f>_xlfn.IMAGE("https://edmondsonsupply.com/cdn/shop/products/56331.jpg?v=1587143350")</f>
        <v/>
      </c>
      <c r="H4684">
        <f>_xlfn.IMAGE("https://m.media-amazon.com/images/I/51E6dH45qcL._AC_UL320_.jpg")</f>
        <v/>
      </c>
      <c r="K4684" t="inlineStr">
        <is>
          <t>24.99</t>
        </is>
      </c>
      <c r="L4684" t="n">
        <v>41.52</v>
      </c>
      <c r="M4684" s="1" t="inlineStr">
        <is>
          <t>66.15%</t>
        </is>
      </c>
      <c r="N4684" s="7" t="n">
        <v>-17.99</v>
      </c>
      <c r="O4684" t="n">
        <v>4.7</v>
      </c>
      <c r="P4684" t="n">
        <v>17</v>
      </c>
      <c r="R4684" t="inlineStr">
        <is>
          <t>InStock</t>
        </is>
      </c>
      <c r="S4684" t="inlineStr">
        <is>
          <t>30.9</t>
        </is>
      </c>
      <c r="T4684" t="inlineStr">
        <is>
          <t>4412204056676</t>
        </is>
      </c>
    </row>
    <row r="4685" ht="87" customHeight="1">
      <c r="A4685" s="2">
        <f>HYPERLINK("https://edmondsonsupply.com/collections/electricians-tools/products/milwaukee-49-56-0177-3-1-8-hole-dozer%E2%84%A2-hole-saw-bi-metal-cup", "https://edmondsonsupply.com/collections/electricians-tools/products/milwaukee-49-56-0177-3-1-8-hole-dozer%E2%84%A2-hole-saw-bi-metal-cup")</f>
        <v/>
      </c>
      <c r="B4685" s="2">
        <f>HYPERLINK("https://edmondsonsupply.com/products/milwaukee-49-56-0177-3-1-8-hole-dozer%e2%84%a2-hole-saw-bi-metal-cup", "https://edmondsonsupply.com/products/milwaukee-49-56-0177-3-1-8-hole-dozer%e2%84%a2-hole-saw-bi-metal-cup")</f>
        <v/>
      </c>
      <c r="C4685" t="inlineStr">
        <is>
          <t>Milwaukee 49-56-0177 3-1/8" HOLE DOZER™ Hole Saw Bi-Metal Cup</t>
        </is>
      </c>
      <c r="D4685" t="inlineStr">
        <is>
          <t>Milwaukee Electric Tool 49-56-0193 Bi-Metal Hole Saw, 3-1/2"</t>
        </is>
      </c>
      <c r="E4685" s="2">
        <f>HYPERLINK("https://www.amazon.com/Milwaukee-Electric-Tool-49-56-0193-Bi-Metal/dp/B0017WTULA/ref=sr_1_4?keywords=Milwaukee+49-56-0177+3-1%2F8%22+HOLE+DOZER%E2%84%A2+Hole+Saw+Bi-Metal+Cup&amp;qid=1694735018&amp;sr=8-4", "https://www.amazon.com/Milwaukee-Electric-Tool-49-56-0193-Bi-Metal/dp/B0017WTULA/ref=sr_1_4?keywords=Milwaukee+49-56-0177+3-1%2F8%22+HOLE+DOZER%E2%84%A2+Hole+Saw+Bi-Metal+Cup&amp;qid=1694735018&amp;sr=8-4")</f>
        <v/>
      </c>
      <c r="F4685" t="inlineStr">
        <is>
          <t>B0017WTULA</t>
        </is>
      </c>
      <c r="G4685">
        <f>_xlfn.IMAGE("https://edmondsonsupply.com/cdn/shop/products/49-56-0052_101_2_4e65917d-b848-4641-821e-4fcc87f87d17.webp?v=1679333782")</f>
        <v/>
      </c>
      <c r="H4685">
        <f>_xlfn.IMAGE("https://m.media-amazon.com/images/I/51Yfl2-hbuL._AC_UL320_.jpg")</f>
        <v/>
      </c>
      <c r="K4685" t="inlineStr">
        <is>
          <t>11.49</t>
        </is>
      </c>
      <c r="L4685" t="n">
        <v>19.09</v>
      </c>
      <c r="M4685" s="1" t="inlineStr">
        <is>
          <t>66.14%</t>
        </is>
      </c>
      <c r="N4685" s="7" t="n">
        <v>-18.12</v>
      </c>
      <c r="O4685" t="n">
        <v>4.6</v>
      </c>
      <c r="P4685" t="n">
        <v>249</v>
      </c>
      <c r="R4685" t="inlineStr">
        <is>
          <t>InStock</t>
        </is>
      </c>
      <c r="S4685" t="inlineStr">
        <is>
          <t>22.9</t>
        </is>
      </c>
      <c r="T4685" t="inlineStr">
        <is>
          <t>7964967076056</t>
        </is>
      </c>
    </row>
    <row r="4686" hidden="1" ht="15.75" customHeight="1">
      <c r="A4686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686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686" t="inlineStr">
        <is>
          <t>Klein Tools JTH9E13 1/4-Inch Hex Key with Journeyman T-Handle, 9-Inch</t>
        </is>
      </c>
      <c r="D4686" t="inlineStr">
        <is>
          <t>Klein Tools JTH6E15BE 3/8-Inch Hex Key with Ball End and Journeyman T-Handle, 6-Inch</t>
        </is>
      </c>
      <c r="E4686" s="2">
        <f>HYPERLINK("https://www.amazon.com/Klein-Tools-JTH6E15BE-Journeyman-T-Handle/dp/B004QW56FC/ref=sr_1_19?keywords=Klein+Tools+JTH9E13+1%2F4-Inch+Hex+Key+with+Journeyman+T-Handle%2C+9-Inch&amp;qid=1694735245&amp;sr=8-19", "https://www.amazon.com/Klein-Tools-JTH6E15BE-Journeyman-T-Handle/dp/B004QW56FC/ref=sr_1_19?keywords=Klein+Tools+JTH9E13+1%2F4-Inch+Hex+Key+with+Journeyman+T-Handle%2C+9-Inch&amp;qid=1694735245&amp;sr=8-19")</f>
        <v/>
      </c>
      <c r="F4686" t="inlineStr">
        <is>
          <t>B004QW56FC</t>
        </is>
      </c>
      <c r="G4686">
        <f>_xludf.IMAGE("https://edmondsonsupply.com/cdn/shop/products/jth9e12_7dcdbf9a-5acd-4824-8919-6aeb4a790072.jpg?v=1604060723")</f>
        <v/>
      </c>
      <c r="H4686">
        <f>_xludf.IMAGE("https://m.media-amazon.com/images/I/51f9vBFVXgL._AC_UL320_.jpg")</f>
        <v/>
      </c>
      <c r="K4686" t="inlineStr">
        <is>
          <t>6.49</t>
        </is>
      </c>
      <c r="L4686" t="n">
        <v>10.78</v>
      </c>
      <c r="M4686" s="1" t="inlineStr">
        <is>
          <t>66.10%</t>
        </is>
      </c>
      <c r="N4686" s="1" t="n">
        <v>-18.13</v>
      </c>
      <c r="O4686" t="n">
        <v>4.8</v>
      </c>
      <c r="P4686" t="n">
        <v>454</v>
      </c>
      <c r="R4686" t="inlineStr">
        <is>
          <t>InStock</t>
        </is>
      </c>
      <c r="S4686" t="inlineStr">
        <is>
          <t>9.84</t>
        </is>
      </c>
      <c r="T4686" t="inlineStr">
        <is>
          <t>5999069462696</t>
        </is>
      </c>
    </row>
    <row r="4687" ht="87" customHeight="1">
      <c r="A4687" s="2">
        <f>HYPERLINK("https://edmondsonsupply.com/collections/electricians-tools/products/klein-tools-vdv526-052-cable-tester-lan-scout%C2%AE-jr-continuity-tester", "https://edmondsonsupply.com/collections/electricians-tools/products/klein-tools-vdv526-052-cable-tester-lan-scout%C2%AE-jr-continuity-tester")</f>
        <v/>
      </c>
      <c r="B4687" s="2">
        <f>HYPERLINK("https://edmondsonsupply.com/products/klein-tools-vdv526-052-cable-tester-lan-scout%c2%ae-jr-continuity-tester", "https://edmondsonsupply.com/products/klein-tools-vdv526-052-cable-tester-lan-scout%c2%ae-jr-continuity-tester")</f>
        <v/>
      </c>
      <c r="C4687" t="inlineStr">
        <is>
          <t>Klein Tools VDV526-052 Cable Tester, LAN Scout® Jr. Continuity Tester</t>
        </is>
      </c>
      <c r="D4687" t="inlineStr">
        <is>
          <t>Klein Tools VDV526-200 Cable Tester, LAN Scout Jr. 2 Ethernet Cable Tester &amp; VDV500-123 Cable Tracer Probe-Pro Tracing Probe with Replaceable Non-Metallic</t>
        </is>
      </c>
      <c r="E4687" s="2">
        <f>HYPERLINK("https://www.amazon.com/Klein-Tools-VDV526-200-Replaceable-Non-Metallic/dp/B09Y84486X/ref=sr_1_4?keywords=Klein+Tools+VDV526-052+Cable+Tester%2C+LAN+Scout%C2%AE+Jr.+Continuity+Tester&amp;qid=1694734999&amp;sr=8-4", "https://www.amazon.com/Klein-Tools-VDV526-200-Replaceable-Non-Metallic/dp/B09Y84486X/ref=sr_1_4?keywords=Klein+Tools+VDV526-052+Cable+Tester%2C+LAN+Scout%C2%AE+Jr.+Continuity+Tester&amp;qid=1694734999&amp;sr=8-4")</f>
        <v/>
      </c>
      <c r="F4687" t="inlineStr">
        <is>
          <t>B09Y84486X</t>
        </is>
      </c>
      <c r="G4687">
        <f>_xlfn.IMAGE("https://edmondsonsupply.com/cdn/shop/files/vdv526-052.jpg?v=1685032494")</f>
        <v/>
      </c>
      <c r="H4687">
        <f>_xlfn.IMAGE("https://m.media-amazon.com/images/I/51l43d13j-L._AC_UY218_.jpg")</f>
        <v/>
      </c>
      <c r="K4687" t="inlineStr">
        <is>
          <t>59.97</t>
        </is>
      </c>
      <c r="L4687" t="n">
        <v>99.55</v>
      </c>
      <c r="M4687" s="1" t="inlineStr">
        <is>
          <t>66.00%</t>
        </is>
      </c>
      <c r="N4687" s="7" t="n">
        <v>-18.19</v>
      </c>
      <c r="O4687" t="n">
        <v>4.8</v>
      </c>
      <c r="P4687" t="n">
        <v>12</v>
      </c>
      <c r="R4687" t="inlineStr">
        <is>
          <t>InStock</t>
        </is>
      </c>
      <c r="S4687" t="inlineStr">
        <is>
          <t>96.68</t>
        </is>
      </c>
      <c r="T4687" t="inlineStr">
        <is>
          <t>7995835678936</t>
        </is>
      </c>
    </row>
    <row r="4688" ht="87" customHeight="1">
      <c r="A4688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4688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4688" t="inlineStr">
        <is>
          <t>Diablo Tools DMARG1160 1/2 in. x 10 in. x 12 in. SPEEDemon™ Red Granite Carbide Tipped Hammer Drill Bit</t>
        </is>
      </c>
      <c r="D4688" t="inlineStr">
        <is>
          <t>Diablo 1 in. x 10" x 12" SPEEDemon™ Red Granite Carbide Tipped Hammer Drill Bit</t>
        </is>
      </c>
      <c r="E4688" s="2">
        <f>HYPERLINK("https://www.amazon.com/Diablo-Freud-DMARG1210-SPEEDemon-Granite/dp/B089KW1B5V/ref=sr_1_5?keywords=Diablo+Tools+DMARG1160+1%2F2+in.+x+10+in.+x+12+in.+SPEEDemon%E2%84%A2+Red+Granite+Carbide+Tipped+Hammer+Drill+Bit&amp;qid=1694735262&amp;sr=8-5", "https://www.amazon.com/Diablo-Freud-DMARG1210-SPEEDemon-Granite/dp/B089KW1B5V/ref=sr_1_5?keywords=Diablo+Tools+DMARG1160+1%2F2+in.+x+10+in.+x+12+in.+SPEEDemon%E2%84%A2+Red+Granite+Carbide+Tipped+Hammer+Drill+Bit&amp;qid=1694735262&amp;sr=8-5")</f>
        <v/>
      </c>
      <c r="F4688" t="inlineStr">
        <is>
          <t>B089KW1B5V</t>
        </is>
      </c>
      <c r="G4688">
        <f>_xlfn.IMAGE("https://edmondsonsupply.com/cdn/shop/products/DMARG1160_Main-Image20200513.png?v=1633030651")</f>
        <v/>
      </c>
      <c r="H4688">
        <f>_xlfn.IMAGE("https://m.media-amazon.com/images/I/61+EqrM-43L._AC_UL320_.jpg")</f>
        <v/>
      </c>
      <c r="K4688" t="inlineStr">
        <is>
          <t>15.97</t>
        </is>
      </c>
      <c r="L4688" t="n">
        <v>26.49</v>
      </c>
      <c r="M4688" s="1" t="inlineStr">
        <is>
          <t>65.87%</t>
        </is>
      </c>
      <c r="N4688" s="7" t="n">
        <v>-18.19</v>
      </c>
      <c r="O4688" t="n">
        <v>4.7</v>
      </c>
      <c r="P4688" t="n">
        <v>31</v>
      </c>
      <c r="R4688" t="inlineStr">
        <is>
          <t>InStock</t>
        </is>
      </c>
      <c r="S4688" t="inlineStr">
        <is>
          <t>undefined</t>
        </is>
      </c>
      <c r="T4688" t="inlineStr">
        <is>
          <t>5740401164456</t>
        </is>
      </c>
    </row>
    <row r="4689" ht="87" customHeight="1">
      <c r="A4689" s="2">
        <f>HYPERLINK("https://edmondsonsupply.com/collections/electricians-tools/products/klein-tools-vdv026-211-coax-cable-installation-kit-with-zipper-pouch", "https://edmondsonsupply.com/collections/electricians-tools/products/klein-tools-vdv026-211-coax-cable-installation-kit-with-zipper-pouch")</f>
        <v/>
      </c>
      <c r="B4689" s="2">
        <f>HYPERLINK("https://edmondsonsupply.com/products/klein-tools-vdv026-211-coax-cable-installation-kit-with-zipper-pouch", "https://edmondsonsupply.com/products/klein-tools-vdv026-211-coax-cable-installation-kit-with-zipper-pouch")</f>
        <v/>
      </c>
      <c r="C4689" t="inlineStr">
        <is>
          <t>Klein Tools VDV026-211 Coax Cable Installation Kit with Zipper Pouch</t>
        </is>
      </c>
      <c r="D4689" t="inlineStr">
        <is>
          <t>Klein Tools VDV512-101 Explorer 2 Coax Tester Kit, Includes Cable Tester &amp; VDV026-211 Coax Installation Kit with Crimp Tool, Cable Cutter, Stripper and F Connectors with Storage Bag</t>
        </is>
      </c>
      <c r="E4689" s="2">
        <f>HYPERLINK("https://www.amazon.com/Klein-Tools-VDV512-101-VDV026-211-Installation/dp/B0BFXRNP8X/ref=sr_1_7?keywords=Klein+Tools+VDV026-211+Coax+Cable+Installation+Kit+with+Zipper+Pouch&amp;qid=1694735392&amp;sr=8-7", "https://www.amazon.com/Klein-Tools-VDV512-101-VDV026-211-Installation/dp/B0BFXRNP8X/ref=sr_1_7?keywords=Klein+Tools+VDV026-211+Coax+Cable+Installation+Kit+with+Zipper+Pouch&amp;qid=1694735392&amp;sr=8-7")</f>
        <v/>
      </c>
      <c r="F4689" t="inlineStr">
        <is>
          <t>B0BFXRNP8X</t>
        </is>
      </c>
      <c r="G4689">
        <f>_xlfn.IMAGE("https://edmondsonsupply.com/cdn/shop/products/vdv026211.jpg?v=1587143022")</f>
        <v/>
      </c>
      <c r="H4689">
        <f>_xlfn.IMAGE("https://m.media-amazon.com/images/I/41+fpogev2L._AC_UL320_.jpg")</f>
        <v/>
      </c>
      <c r="K4689" t="inlineStr">
        <is>
          <t>49.97</t>
        </is>
      </c>
      <c r="L4689" t="n">
        <v>82.84</v>
      </c>
      <c r="M4689" s="1" t="inlineStr">
        <is>
          <t>65.78%</t>
        </is>
      </c>
      <c r="N4689" s="7" t="n">
        <v>-18.19</v>
      </c>
      <c r="O4689" t="n">
        <v>5</v>
      </c>
      <c r="P4689" t="n">
        <v>1</v>
      </c>
      <c r="R4689" t="inlineStr">
        <is>
          <t>InStock</t>
        </is>
      </c>
      <c r="S4689" t="inlineStr">
        <is>
          <t>63.0</t>
        </is>
      </c>
      <c r="T4689" t="inlineStr">
        <is>
          <t>4397205946468</t>
        </is>
      </c>
    </row>
    <row r="4690" hidden="1" ht="15.75" customHeight="1">
      <c r="A4690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4690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4690" t="inlineStr">
        <is>
          <t>Klein Tools JTH9E08 1/8-Inch Hex Key with Journeyman T-Handle, 9-Inch</t>
        </is>
      </c>
      <c r="D4690" t="inlineStr">
        <is>
          <t>Klein Tools JTH9E14 5/16-Inch Hex Key, Journeyman T-Handle, 9-Inch</t>
        </is>
      </c>
      <c r="E4690" s="2">
        <f>HYPERLINK("https://www.amazon.com/Journeyman-T-Handle-Klein-Tools-JTH9E14/dp/B004QVAH4I/ref=sr_1_4?keywords=Klein+Tools+JTH9E08+1%2F8-Inch+Hex+Key+with+Journeyman+T-Handle%2C+9-Inch&amp;qid=1694735421&amp;sr=8-4", "https://www.amazon.com/Journeyman-T-Handle-Klein-Tools-JTH9E14/dp/B004QVAH4I/ref=sr_1_4?keywords=Klein+Tools+JTH9E08+1%2F8-Inch+Hex+Key+with+Journeyman+T-Handle%2C+9-Inch&amp;qid=1694735421&amp;sr=8-4")</f>
        <v/>
      </c>
      <c r="F4690" t="inlineStr">
        <is>
          <t>B004QVAH4I</t>
        </is>
      </c>
      <c r="G4690">
        <f>_xludf.IMAGE("https://edmondsonsupply.com/cdn/shop/products/jth6e15_f2733d2c-ab65-41d7-8597-f1dfd8fcaabf.jpg?v=1587142807")</f>
        <v/>
      </c>
      <c r="H4690">
        <f>_xludf.IMAGE("https://m.media-amazon.com/images/I/51Yb8h41vLL._AC_UL320_.jpg")</f>
        <v/>
      </c>
      <c r="K4690" t="inlineStr">
        <is>
          <t>4.49</t>
        </is>
      </c>
      <c r="L4690" t="n">
        <v>7.44</v>
      </c>
      <c r="M4690" s="1" t="inlineStr">
        <is>
          <t>65.70%</t>
        </is>
      </c>
      <c r="N4690" s="1" t="n">
        <v>-18.19</v>
      </c>
      <c r="O4690" t="n">
        <v>4.8</v>
      </c>
      <c r="P4690" t="n">
        <v>114</v>
      </c>
      <c r="R4690" t="inlineStr">
        <is>
          <t>InStock</t>
        </is>
      </c>
      <c r="S4690" t="inlineStr">
        <is>
          <t>6.82</t>
        </is>
      </c>
      <c r="T4690" t="inlineStr">
        <is>
          <t>4352186810468</t>
        </is>
      </c>
    </row>
    <row r="4691" hidden="1" ht="15.75" customHeight="1">
      <c r="A4691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691" s="2">
        <f>HYPERLINK("https://edmondsonsupply.com/products/klein-tools-jth9m5-4-mm-hex-key-journeyman-t-handle-9-inch", "https://edmondsonsupply.com/products/klein-tools-jth9m5-4-mm-hex-key-journeyman-t-handle-9-inch")</f>
        <v/>
      </c>
      <c r="C4691" t="inlineStr">
        <is>
          <t>Klein Tools JTH9M4 4 mm Hex Key, Journeyman T-Handle, 9-Inch</t>
        </is>
      </c>
      <c r="D4691" t="inlineStr">
        <is>
          <t>Klein Tools JTH9E14 5/16-Inch Hex Key, Journeyman T-Handle, 9-Inch</t>
        </is>
      </c>
      <c r="E4691" s="2">
        <f>HYPERLINK("https://www.amazon.com/Journeyman-T-Handle-Klein-Tools-JTH9E14/dp/B004QVAH4I/ref=sr_1_11?keywords=Klein+Tools+JTH9M4+4+mm+Hex+Key%2C+Journeyman+T-Handle%2C+9-Inch&amp;qid=1694735170&amp;sr=8-11", "https://www.amazon.com/Journeyman-T-Handle-Klein-Tools-JTH9E14/dp/B004QVAH4I/ref=sr_1_11?keywords=Klein+Tools+JTH9M4+4+mm+Hex+Key%2C+Journeyman+T-Handle%2C+9-Inch&amp;qid=1694735170&amp;sr=8-11")</f>
        <v/>
      </c>
      <c r="F4691" t="inlineStr">
        <is>
          <t>B004QVAH4I</t>
        </is>
      </c>
      <c r="G4691">
        <f>_xludf.IMAGE("https://edmondsonsupply.com/cdn/shop/products/jth9m_fa8a641d-d03f-4191-ab24-b9045963e4f7.jpg?v=1640191121")</f>
        <v/>
      </c>
      <c r="H4691">
        <f>_xludf.IMAGE("https://m.media-amazon.com/images/I/51Yb8h41vLL._AC_UL320_.jpg")</f>
        <v/>
      </c>
      <c r="K4691" t="inlineStr">
        <is>
          <t>4.49</t>
        </is>
      </c>
      <c r="L4691" t="n">
        <v>7.44</v>
      </c>
      <c r="M4691" s="1" t="inlineStr">
        <is>
          <t>65.70%</t>
        </is>
      </c>
      <c r="N4691" s="1" t="n">
        <v>-18.19</v>
      </c>
      <c r="O4691" t="n">
        <v>4.8</v>
      </c>
      <c r="P4691" t="n">
        <v>114</v>
      </c>
      <c r="R4691" t="inlineStr">
        <is>
          <t>InStock</t>
        </is>
      </c>
      <c r="S4691" t="inlineStr">
        <is>
          <t>6.8</t>
        </is>
      </c>
      <c r="T4691" t="inlineStr">
        <is>
          <t>7555980656856</t>
        </is>
      </c>
    </row>
    <row r="4692" ht="87" customHeight="1">
      <c r="A4692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692" s="2">
        <f>HYPERLINK("https://edmondsonsupply.com/products/klein-tools-et45-ac-dc-voltage-tester", "https://edmondsonsupply.com/products/klein-tools-et45-ac-dc-voltage-tester")</f>
        <v/>
      </c>
      <c r="C4692" t="inlineStr">
        <is>
          <t>Klein Tools ET45 AC/DC Voltage Tester</t>
        </is>
      </c>
      <c r="D4692" t="inlineStr">
        <is>
          <t>Klein Tools NCVT3PKIT Electrical Test Kit, Dual-Range Non-Contact Voltage Tester with Flashlight, AC/DC Voltage Tester</t>
        </is>
      </c>
      <c r="E4692" s="2">
        <f>HYPERLINK("https://www.amazon.com/Klein-Tools-NCVT3PKIT-Electrical-Non-Contact/dp/B08SY9XFJK/ref=sr_1_2?keywords=Klein+Tools+ET45+AC%2FDC+Voltage+Tester&amp;qid=1694735227&amp;sr=8-2", "https://www.amazon.com/Klein-Tools-NCVT3PKIT-Electrical-Non-Contact/dp/B08SY9XFJK/ref=sr_1_2?keywords=Klein+Tools+ET45+AC%2FDC+Voltage+Tester&amp;qid=1694735227&amp;sr=8-2")</f>
        <v/>
      </c>
      <c r="F4692" t="inlineStr">
        <is>
          <t>B08SY9XFJK</t>
        </is>
      </c>
      <c r="G4692">
        <f>_xlfn.IMAGE("https://edmondsonsupply.com/cdn/shop/products/et45.jpg?v=1647786270")</f>
        <v/>
      </c>
      <c r="H4692">
        <f>_xlfn.IMAGE("https://m.media-amazon.com/images/I/519yG6StX0L._AC_UL320_.jpg")</f>
        <v/>
      </c>
      <c r="K4692" t="inlineStr">
        <is>
          <t>11.99</t>
        </is>
      </c>
      <c r="L4692" t="n">
        <v>19.86</v>
      </c>
      <c r="M4692" s="1" t="inlineStr">
        <is>
          <t>65.64%</t>
        </is>
      </c>
      <c r="N4692" s="7" t="n">
        <v>-18.21</v>
      </c>
      <c r="O4692" t="n">
        <v>4.7</v>
      </c>
      <c r="P4692" t="n">
        <v>4222</v>
      </c>
      <c r="R4692" t="inlineStr">
        <is>
          <t>InStock</t>
        </is>
      </c>
      <c r="S4692" t="inlineStr">
        <is>
          <t>16.72</t>
        </is>
      </c>
      <c r="T4692" t="inlineStr">
        <is>
          <t>3688633630820</t>
        </is>
      </c>
    </row>
    <row r="4693" hidden="1" ht="15.75" customHeight="1">
      <c r="A4693" s="2">
        <f>HYPERLINK("https://edmondsonsupply.com/collections/electricians-tools/products/greenlee-dtap8-32-drill-tap-8-32", "https://edmondsonsupply.com/collections/electricians-tools/products/greenlee-dtap8-32-drill-tap-8-32")</f>
        <v/>
      </c>
      <c r="B4693" s="2">
        <f>HYPERLINK("https://edmondsonsupply.com/products/greenlee-dtap8-32-drill-tap-8-32", "https://edmondsonsupply.com/products/greenlee-dtap8-32-drill-tap-8-32")</f>
        <v/>
      </c>
      <c r="C4693" t="inlineStr">
        <is>
          <t>Greenlee DTAP8-32 Drill/Tap, 8-32</t>
        </is>
      </c>
      <c r="D4693" t="inlineStr">
        <is>
          <t>Greenlee LDTAP8-32 Long Drill/Tap Bit</t>
        </is>
      </c>
      <c r="E4693" s="2">
        <f>HYPERLINK("https://www.amazon.com/Greenlee-LDTAP8-32-Long-Drill-Tap/dp/B00E62G624/ref=sr_1_9?keywords=Greenlee+DTAP8-32+Drill%2FTap%2C+8-32&amp;qid=1694735400&amp;sr=8-9", "https://www.amazon.com/Greenlee-LDTAP8-32-Long-Drill-Tap/dp/B00E62G624/ref=sr_1_9?keywords=Greenlee+DTAP8-32+Drill%2FTap%2C+8-32&amp;qid=1694735400&amp;sr=8-9")</f>
        <v/>
      </c>
      <c r="F4693" t="inlineStr">
        <is>
          <t>B00E62G624</t>
        </is>
      </c>
      <c r="G4693">
        <f>_xludf.IMAGE("https://edmondsonsupply.com/cdn/shop/products/DTAP8-32.jpg?v=1633030185")</f>
        <v/>
      </c>
      <c r="H4693">
        <f>_xludf.IMAGE("https://m.media-amazon.com/images/I/61XWq1N36PL._AC_UL320_.jpg")</f>
        <v/>
      </c>
      <c r="K4693" t="inlineStr">
        <is>
          <t>8.29</t>
        </is>
      </c>
      <c r="L4693" t="n">
        <v>13.73</v>
      </c>
      <c r="M4693" s="1" t="inlineStr">
        <is>
          <t>65.62%</t>
        </is>
      </c>
      <c r="N4693" s="1" t="n">
        <v>-18.21</v>
      </c>
      <c r="O4693" t="n">
        <v>2.2</v>
      </c>
      <c r="P4693" t="n">
        <v>2</v>
      </c>
      <c r="R4693" t="inlineStr">
        <is>
          <t>InStock</t>
        </is>
      </c>
      <c r="S4693" t="inlineStr">
        <is>
          <t>9.7</t>
        </is>
      </c>
      <c r="T4693" t="inlineStr">
        <is>
          <t>4395862392932</t>
        </is>
      </c>
    </row>
    <row r="4694" hidden="1" ht="15.75" customHeight="1">
      <c r="A4694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694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694" t="inlineStr">
        <is>
          <t>Klein Tools JTH9E13 1/4-Inch Hex Key with Journeyman T-Handle, 9-Inch</t>
        </is>
      </c>
      <c r="D4694" t="inlineStr">
        <is>
          <t>Klein Tools 70575 Grip-It Hex Key Set, 9-Key, 3-3/4-Inch Handle, SAE Sizes</t>
        </is>
      </c>
      <c r="E4694" s="2">
        <f>HYPERLINK("https://www.amazon.com/Grip-Square-Klein-Tools-70575/dp/B0002RI8PK/ref=sr_1_39?keywords=Klein+Tools+JTH9E13+1%2F4-Inch+Hex+Key+with+Journeyman+T-Handle%2C+9-Inch&amp;qid=1694735245&amp;sr=8-39", "https://www.amazon.com/Grip-Square-Klein-Tools-70575/dp/B0002RI8PK/ref=sr_1_39?keywords=Klein+Tools+JTH9E13+1%2F4-Inch+Hex+Key+with+Journeyman+T-Handle%2C+9-Inch&amp;qid=1694735245&amp;sr=8-39")</f>
        <v/>
      </c>
      <c r="F4694" t="inlineStr">
        <is>
          <t>B0002RI8PK</t>
        </is>
      </c>
      <c r="G4694">
        <f>_xludf.IMAGE("https://edmondsonsupply.com/cdn/shop/products/jth9e12_7dcdbf9a-5acd-4824-8919-6aeb4a790072.jpg?v=1604060723")</f>
        <v/>
      </c>
      <c r="H4694">
        <f>_xludf.IMAGE("https://m.media-amazon.com/images/I/51C7aw6OxTL._AC_UL320_.jpg")</f>
        <v/>
      </c>
      <c r="K4694" t="inlineStr">
        <is>
          <t>6.49</t>
        </is>
      </c>
      <c r="L4694" t="n">
        <v>10.74</v>
      </c>
      <c r="M4694" s="1" t="inlineStr">
        <is>
          <t>65.49%</t>
        </is>
      </c>
      <c r="N4694" s="1" t="n">
        <v>-18.36</v>
      </c>
      <c r="O4694" t="n">
        <v>4.4</v>
      </c>
      <c r="P4694" t="n">
        <v>65</v>
      </c>
      <c r="R4694" t="inlineStr">
        <is>
          <t>InStock</t>
        </is>
      </c>
      <c r="S4694" t="inlineStr">
        <is>
          <t>9.84</t>
        </is>
      </c>
      <c r="T4694" t="inlineStr">
        <is>
          <t>5999069462696</t>
        </is>
      </c>
    </row>
    <row r="4695" ht="87" customHeight="1">
      <c r="A4695" s="2">
        <f>HYPERLINK("https://edmondsonsupply.com/collections/electricians-tools/products/greenlee-k2bb-1-2-1-2-conduit-size-slug-buster%C2%AE-manual-knockout-set", "https://edmondsonsupply.com/collections/electricians-tools/products/greenlee-k2bb-1-2-1-2-conduit-size-slug-buster%C2%AE-manual-knockout-set")</f>
        <v/>
      </c>
      <c r="B4695" s="2">
        <f>HYPERLINK("https://edmondsonsupply.com/products/greenlee-k2bb-1-2-1-2-conduit-size-slug-buster%c2%ae-manual-knockout-set", "https://edmondsonsupply.com/products/greenlee-k2bb-1-2-1-2-conduit-size-slug-buster%c2%ae-manual-knockout-set")</f>
        <v/>
      </c>
      <c r="C4695" t="inlineStr">
        <is>
          <t>Greenlee K2BB-1/2 1/2" Conduit Size Slug-Buster® Manual Knockout Set</t>
        </is>
      </c>
      <c r="D4695" t="inlineStr">
        <is>
          <t>Greenlee, K2BB-1 replaces 7211BB-1, 1" Conduit Size Slug-Buster Manual Knockout Set</t>
        </is>
      </c>
      <c r="E4695" s="2">
        <f>HYPERLINK("https://www.amazon.com/Greenlee-K2BB-1-Knockout-Set/dp/B07Y5SSMDN/ref=sr_1_3?keywords=Greenlee+K2BB-1%2F2+1%2F2%22+Conduit+Size+Slug-Buster%C2%AE+Manual+Knockout+Set&amp;qid=1694735363&amp;sr=8-3", "https://www.amazon.com/Greenlee-K2BB-1-Knockout-Set/dp/B07Y5SSMDN/ref=sr_1_3?keywords=Greenlee+K2BB-1%2F2+1%2F2%22+Conduit+Size+Slug-Buster%C2%AE+Manual+Knockout+Set&amp;qid=1694735363&amp;sr=8-3")</f>
        <v/>
      </c>
      <c r="F4695" t="inlineStr">
        <is>
          <t>B07Y5SSMDN</t>
        </is>
      </c>
      <c r="G4695">
        <f>_xlfn.IMAGE("https://edmondsonsupply.com/cdn/shop/products/K2BB-1-2-ASM.jpg?v=1587143891")</f>
        <v/>
      </c>
      <c r="H4695">
        <f>_xlfn.IMAGE("https://m.media-amazon.com/images/I/71NhvheGucL._AC_UL320_.jpg")</f>
        <v/>
      </c>
      <c r="K4695" t="inlineStr">
        <is>
          <t>49.8</t>
        </is>
      </c>
      <c r="L4695" t="n">
        <v>82.34999999999999</v>
      </c>
      <c r="M4695" s="1" t="inlineStr">
        <is>
          <t>65.36%</t>
        </is>
      </c>
      <c r="N4695" s="7" t="n">
        <v>-18.49</v>
      </c>
      <c r="O4695" t="n">
        <v>5</v>
      </c>
      <c r="P4695" t="n">
        <v>2</v>
      </c>
      <c r="R4695" t="inlineStr">
        <is>
          <t>InStock</t>
        </is>
      </c>
      <c r="S4695" t="inlineStr">
        <is>
          <t>52.7</t>
        </is>
      </c>
      <c r="T4695" t="inlineStr">
        <is>
          <t>4431353774180</t>
        </is>
      </c>
    </row>
    <row r="4696" ht="87" customHeight="1">
      <c r="A4696" s="2">
        <f>HYPERLINK("https://edmondsonsupply.com/collections/electricians-tools/products/milwaukee-48-22-3079-comfort-grip-6-in-1-pliers", "https://edmondsonsupply.com/collections/electricians-tools/products/milwaukee-48-22-3079-comfort-grip-6-in-1-pliers")</f>
        <v/>
      </c>
      <c r="B4696" s="2">
        <f>HYPERLINK("https://edmondsonsupply.com/products/milwaukee-48-22-3079-comfort-grip-6-in-1-pliers", "https://edmondsonsupply.com/products/milwaukee-48-22-3079-comfort-grip-6-in-1-pliers")</f>
        <v/>
      </c>
      <c r="C4696" t="inlineStr">
        <is>
          <t>Milwaukee 48-22-3079 Comfort Grip 6 in 1 Pliers</t>
        </is>
      </c>
      <c r="D4696" t="inlineStr">
        <is>
          <t>Milwaukee 48-22-3068 6 in 1 Long Nose Pliers</t>
        </is>
      </c>
      <c r="E4696" s="2">
        <f>HYPERLINK("https://www.amazon.com/Milwaukee-48-22-3068-Long-Nose-Pliers/dp/B005G111CO/ref=sr_1_30?keywords=Milwaukee+48-22-3079+Comfort+Grip+6+in+1+Pliers&amp;qid=1694735354&amp;sr=8-30", "https://www.amazon.com/Milwaukee-48-22-3068-Long-Nose-Pliers/dp/B005G111CO/ref=sr_1_30?keywords=Milwaukee+48-22-3079+Comfort+Grip+6+in+1+Pliers&amp;qid=1694735354&amp;sr=8-30")</f>
        <v/>
      </c>
      <c r="F4696" t="inlineStr">
        <is>
          <t>B005G111CO</t>
        </is>
      </c>
      <c r="G4696">
        <f>_xlfn.IMAGE("https://edmondsonsupply.com/cdn/shop/products/48-22-3079_2.png?v=1587149676")</f>
        <v/>
      </c>
      <c r="H4696">
        <f>_xlfn.IMAGE("https://m.media-amazon.com/images/I/61KwgZT43WL._AC_UL320_.jpg")</f>
        <v/>
      </c>
      <c r="K4696" t="inlineStr">
        <is>
          <t>19.97</t>
        </is>
      </c>
      <c r="L4696" t="n">
        <v>32.99</v>
      </c>
      <c r="M4696" s="1" t="inlineStr">
        <is>
          <t>65.20%</t>
        </is>
      </c>
      <c r="N4696" s="7" t="n">
        <v>-18.49</v>
      </c>
      <c r="O4696" t="n">
        <v>4.4</v>
      </c>
      <c r="P4696" t="n">
        <v>66</v>
      </c>
      <c r="R4696" t="inlineStr">
        <is>
          <t>InStock</t>
        </is>
      </c>
      <c r="S4696" t="inlineStr">
        <is>
          <t>31.7</t>
        </is>
      </c>
      <c r="T4696" t="inlineStr">
        <is>
          <t>4474508148836</t>
        </is>
      </c>
    </row>
    <row r="4697" hidden="1" ht="15.75" customHeight="1">
      <c r="A4697" s="2">
        <f>HYPERLINK("https://edmondsonsupply.com/collections/electricians-tools/products/rack-a-tiers-84000-dirt-bag", "https://edmondsonsupply.com/collections/electricians-tools/products/rack-a-tiers-84000-dirt-bag")</f>
        <v/>
      </c>
      <c r="B4697" s="2">
        <f>HYPERLINK("https://edmondsonsupply.com/products/rack-a-tiers-84000-dirt-bag", "https://edmondsonsupply.com/products/rack-a-tiers-84000-dirt-bag")</f>
        <v/>
      </c>
      <c r="C4697" t="inlineStr">
        <is>
          <t>Rack-A-Tiers 84000 Dirt Bag</t>
        </is>
      </c>
      <c r="D4697" t="inlineStr">
        <is>
          <t>Rack-A-Tiers Dirt Bag - Magnetic Drilling Bag for Metal Shavings (84000) (Single Pack)</t>
        </is>
      </c>
      <c r="E4697" s="2">
        <f>HYPERLINK("https://www.amazon.com/Rack-Tiers-Dirt-Bag-Magnetic/dp/B09R5R87NQ/ref=sr_1_1?keywords=Rack-A-Tiers+84000+Dirt+Bag&amp;qid=1694734974&amp;sr=8-1", "https://www.amazon.com/Rack-Tiers-Dirt-Bag-Magnetic/dp/B09R5R87NQ/ref=sr_1_1?keywords=Rack-A-Tiers+84000+Dirt+Bag&amp;qid=1694734974&amp;sr=8-1")</f>
        <v/>
      </c>
      <c r="F4697" t="inlineStr">
        <is>
          <t>B09R5R87NQ</t>
        </is>
      </c>
      <c r="G4697">
        <f>_xludf.IMAGE("https://edmondsonsupply.com/cdn/shop/products/rack-a-tiers-drill-attachments-84000-64_1000.jpg?v=1587149964")</f>
        <v/>
      </c>
      <c r="H4697">
        <f>_xludf.IMAGE("https://m.media-amazon.com/images/I/312CS5arvCL._AC_UL320_.jpg")</f>
        <v/>
      </c>
      <c r="K4697" t="inlineStr">
        <is>
          <t>48.49</t>
        </is>
      </c>
      <c r="L4697" t="n">
        <v>80.09</v>
      </c>
      <c r="M4697" s="1" t="inlineStr">
        <is>
          <t>65.17%</t>
        </is>
      </c>
      <c r="N4697" s="1" t="n">
        <v>-18.5</v>
      </c>
      <c r="O4697" t="n">
        <v>3.8</v>
      </c>
      <c r="P4697" t="n">
        <v>4</v>
      </c>
      <c r="R4697" t="inlineStr">
        <is>
          <t>OutOfStock</t>
        </is>
      </c>
      <c r="S4697" t="inlineStr">
        <is>
          <t>52.49</t>
        </is>
      </c>
      <c r="T4697" t="inlineStr">
        <is>
          <t>3523271655524</t>
        </is>
      </c>
    </row>
    <row r="4698" ht="87" customHeight="1">
      <c r="A4698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698" s="2">
        <f>HYPERLINK("https://edmondsonsupply.com/products/klein-tools-rt310-afci-gfci-outlet-tester", "https://edmondsonsupply.com/products/klein-tools-rt310-afci-gfci-outlet-tester")</f>
        <v/>
      </c>
      <c r="C4698" t="inlineStr">
        <is>
          <t>Klein Tools RT310 AFCI / GFCI Outlet Tester</t>
        </is>
      </c>
      <c r="D4698" t="inlineStr">
        <is>
          <t>Klein Tools Digital Circuit Breaker Finder with GFCI Outlet Tester ET310 &amp; Tools 69401 Multimeter Carrying Case</t>
        </is>
      </c>
      <c r="E4698" s="2">
        <f>HYPERLINK("https://www.amazon.com/Klein-Tools-Digital-Multimeter-Carrying/dp/B08MG1HXLJ/ref=sr_1_41?keywords=Klein+Tools+RT310+AFCI+%2F+GFCI+Outlet+Tester&amp;qid=1694734989&amp;sr=8-41", "https://www.amazon.com/Klein-Tools-Digital-Multimeter-Carrying/dp/B08MG1HXLJ/ref=sr_1_41?keywords=Klein+Tools+RT310+AFCI+%2F+GFCI+Outlet+Tester&amp;qid=1694734989&amp;sr=8-41")</f>
        <v/>
      </c>
      <c r="F4698" t="inlineStr">
        <is>
          <t>B08MG1HXLJ</t>
        </is>
      </c>
      <c r="G4698">
        <f>_xlfn.IMAGE("https://edmondsonsupply.com/cdn/shop/products/rt310.jpg?v=1587148552")</f>
        <v/>
      </c>
      <c r="H4698">
        <f>_xlfn.IMAGE("https://m.media-amazon.com/images/I/61ZZ2BSEYbL._AC_UL320_.jpg")</f>
        <v/>
      </c>
      <c r="K4698" t="inlineStr">
        <is>
          <t>39.97</t>
        </is>
      </c>
      <c r="L4698" t="n">
        <v>65.97</v>
      </c>
      <c r="M4698" s="1" t="inlineStr">
        <is>
          <t>65.05%</t>
        </is>
      </c>
      <c r="N4698" s="7" t="n">
        <v>-18.61</v>
      </c>
      <c r="O4698" t="n">
        <v>4.8</v>
      </c>
      <c r="P4698" t="n">
        <v>137</v>
      </c>
      <c r="R4698" t="inlineStr">
        <is>
          <t>InStock</t>
        </is>
      </c>
      <c r="S4698" t="inlineStr">
        <is>
          <t>57.9</t>
        </is>
      </c>
      <c r="T4698" t="inlineStr">
        <is>
          <t>3372527779940</t>
        </is>
      </c>
    </row>
    <row r="4699" hidden="1" ht="15.75" customHeight="1">
      <c r="A4699" s="2">
        <f>HYPERLINK("https://edmondsonsupply.com/collections/electricians-tools/products/greenlee-33ar-6-spade-bit-set", "https://edmondsonsupply.com/collections/electricians-tools/products/greenlee-33ar-6-spade-bit-set")</f>
        <v/>
      </c>
      <c r="B4699" s="2">
        <f>HYPERLINK("https://edmondsonsupply.com/products/greenlee-33ar-6-spade-bit-set", "https://edmondsonsupply.com/products/greenlee-33ar-6-spade-bit-set")</f>
        <v/>
      </c>
      <c r="C4699" t="inlineStr">
        <is>
          <t>Greenlee 33AR-6 Spade Bit Set</t>
        </is>
      </c>
      <c r="D4699" t="inlineStr">
        <is>
          <t>Greenlee 33AR-6 BIT SET,SPADE (33AR-6) (POP)</t>
        </is>
      </c>
      <c r="E4699" s="2">
        <f>HYPERLINK("https://www.amazon.com/Greenlee-33AR-6-Feeding-Spade-6-Piece/dp/B002JAOU0A/ref=sr_1_1?keywords=Greenlee+33AR-6+Spade+Bit+Set&amp;qid=1694735384&amp;sr=8-1", "https://www.amazon.com/Greenlee-33AR-6-Feeding-Spade-6-Piece/dp/B002JAOU0A/ref=sr_1_1?keywords=Greenlee+33AR-6+Spade+Bit+Set&amp;qid=1694735384&amp;sr=8-1")</f>
        <v/>
      </c>
      <c r="F4699" t="inlineStr">
        <is>
          <t>B002JAOU0A</t>
        </is>
      </c>
      <c r="G4699">
        <f>_xludf.IMAGE("https://edmondsonsupply.com/cdn/shop/products/33AR-6_3.jpg?v=1587143913")</f>
        <v/>
      </c>
      <c r="H4699">
        <f>_xludf.IMAGE("https://m.media-amazon.com/images/I/81QPF5lifUL._AC_UL320_.jpg")</f>
        <v/>
      </c>
      <c r="K4699" t="inlineStr">
        <is>
          <t>15.44</t>
        </is>
      </c>
      <c r="L4699" t="n">
        <v>25.48</v>
      </c>
      <c r="M4699" s="1" t="inlineStr">
        <is>
          <t>65.03%</t>
        </is>
      </c>
      <c r="N4699" s="1" t="n">
        <v>-18.7</v>
      </c>
      <c r="O4699" t="n">
        <v>4</v>
      </c>
      <c r="P4699" t="n">
        <v>1</v>
      </c>
      <c r="R4699" t="inlineStr">
        <is>
          <t>InStock</t>
        </is>
      </c>
      <c r="S4699" t="inlineStr">
        <is>
          <t>16.22</t>
        </is>
      </c>
      <c r="T4699" t="inlineStr">
        <is>
          <t>4417340112996</t>
        </is>
      </c>
    </row>
    <row r="4700" ht="87" customHeight="1">
      <c r="A4700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700" s="2">
        <f>HYPERLINK("https://edmondsonsupply.com/products/klein-tools-ncvt1xt-non-contact-voltage-tester-70-to-1000v-ac", "https://edmondsonsupply.com/products/klein-tools-ncvt1xt-non-contact-voltage-tester-70-to-1000v-ac")</f>
        <v/>
      </c>
      <c r="C4700" t="inlineStr">
        <is>
          <t>Klein Tools NCVT1XT Non-Contact Voltage Tester, 70 to 1000V AC</t>
        </is>
      </c>
      <c r="D4700" t="inlineStr">
        <is>
          <t>Klein Tools NCVT1P Voltage Tester, Non-Contact Voltage Detector Pen &amp; RT210 Outlet Tester, Receptacle Tester for GFCI/Standard North American AC Electrical Outlets, Detects Common Wiring Problems</t>
        </is>
      </c>
      <c r="E4700" s="2">
        <f>HYPERLINK("https://www.amazon.com/Klein-Tools-Non-Contact-Receptacle-Electrical/dp/B09Y88M899/ref=sr_1_42?keywords=Klein+Tools+NCVT1XT+Non-Contact+Voltage+Tester%2C+70+to+1000V+AC&amp;qid=1694735046&amp;sr=8-42", "https://www.amazon.com/Klein-Tools-Non-Contact-Receptacle-Electrical/dp/B09Y88M899/ref=sr_1_42?keywords=Klein+Tools+NCVT1XT+Non-Contact+Voltage+Tester%2C+70+to+1000V+AC&amp;qid=1694735046&amp;sr=8-42")</f>
        <v/>
      </c>
      <c r="F4700" t="inlineStr">
        <is>
          <t>B09Y88M899</t>
        </is>
      </c>
      <c r="G4700">
        <f>_xlfn.IMAGE("https://edmondsonsupply.com/cdn/shop/products/ncvt1xt.jpg?v=1674496568")</f>
        <v/>
      </c>
      <c r="H4700">
        <f>_xlfn.IMAGE("https://m.media-amazon.com/images/I/41WRVSLp-pL._AC_UL320_.jpg")</f>
        <v/>
      </c>
      <c r="K4700" t="inlineStr">
        <is>
          <t>19.97</t>
        </is>
      </c>
      <c r="L4700" t="n">
        <v>32.94</v>
      </c>
      <c r="M4700" s="1" t="inlineStr">
        <is>
          <t>64.95%</t>
        </is>
      </c>
      <c r="N4700" s="7" t="n">
        <v>-18.72</v>
      </c>
      <c r="O4700" t="n">
        <v>4.7</v>
      </c>
      <c r="P4700" t="n">
        <v>8</v>
      </c>
      <c r="R4700" t="inlineStr">
        <is>
          <t>InStock</t>
        </is>
      </c>
      <c r="S4700" t="inlineStr">
        <is>
          <t>26.32</t>
        </is>
      </c>
      <c r="T4700" t="inlineStr">
        <is>
          <t>7931947155672</t>
        </is>
      </c>
    </row>
    <row r="4701" hidden="1" ht="15.75" customHeight="1">
      <c r="A4701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4701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4701" t="inlineStr">
        <is>
          <t>Diablo Tools DMARG1120 3/8 in. x 4 in. x 6 in. SPEEDemon™ Red Granite Carbide Tipped Hammer Drill Bit</t>
        </is>
      </c>
      <c r="D4701" t="inlineStr">
        <is>
          <t>Diablo by Freud DMARG1170 5/8 in. x 4 in. x 6 in. SPEEDemon Red Granite Carbide Tipped Hammer Drill Bit</t>
        </is>
      </c>
      <c r="E4701" s="2">
        <f>HYPERLINK("https://www.amazon.com/Diablo-Freud-DMARG1170-SPEEDemon-Granite/dp/B089LHNF2T/ref=sr_1_30?keywords=Diablo+Tools+DMARG1120+3%2F8+in.+x+4+in.+x+6+in.+SPEEDemon%E2%84%A2+Red+Granite+Carbide+Tipped+Hammer+Drill+Bit&amp;qid=1694735289&amp;sr=8-30", "https://www.amazon.com/Diablo-Freud-DMARG1170-SPEEDemon-Granite/dp/B089LHNF2T/ref=sr_1_30?keywords=Diablo+Tools+DMARG1120+3%2F8+in.+x+4+in.+x+6+in.+SPEEDemon%E2%84%A2+Red+Granite+Carbide+Tipped+Hammer+Drill+Bit&amp;qid=1694735289&amp;sr=8-30")</f>
        <v/>
      </c>
      <c r="F4701" t="inlineStr">
        <is>
          <t>B089LHNF2T</t>
        </is>
      </c>
      <c r="G4701">
        <f>_xludf.IMAGE("https://edmondsonsupply.com/cdn/shop/products/DMARG1120_Main-Image20200513.png?v=1633030510")</f>
        <v/>
      </c>
      <c r="H4701">
        <f>_xludf.IMAGE("https://m.media-amazon.com/images/I/61+aCAjnkLL._AC_UL320_.jpg")</f>
        <v/>
      </c>
      <c r="K4701" t="inlineStr">
        <is>
          <t>7.27</t>
        </is>
      </c>
      <c r="L4701" t="n">
        <v>11.99</v>
      </c>
      <c r="M4701" s="1" t="inlineStr">
        <is>
          <t>64.92%</t>
        </is>
      </c>
      <c r="N4701" s="1" t="n">
        <v>-18.72</v>
      </c>
      <c r="O4701" t="n">
        <v>4.6</v>
      </c>
      <c r="P4701" t="n">
        <v>14</v>
      </c>
      <c r="R4701" t="inlineStr">
        <is>
          <t>InStock</t>
        </is>
      </c>
      <c r="S4701" t="inlineStr">
        <is>
          <t>undefined</t>
        </is>
      </c>
      <c r="T4701" t="inlineStr">
        <is>
          <t>5386498834600</t>
        </is>
      </c>
    </row>
    <row r="4702" ht="87" customHeight="1">
      <c r="A4702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4702" s="2">
        <f>HYPERLINK("https://edmondsonsupply.com/products/diablo-tools-dag1110-7-8-in-x-7-1-2-in-auger-bit", "https://edmondsonsupply.com/products/diablo-tools-dag1110-7-8-in-x-7-1-2-in-auger-bit")</f>
        <v/>
      </c>
      <c r="C4702" t="inlineStr">
        <is>
          <t>Diablo Tools DAG1110 7/8 in. x 7-1/2 in. Auger Bit</t>
        </is>
      </c>
      <c r="D4702" t="inlineStr">
        <is>
          <t>Irwin Tools IWAX3018 Auger Bit 7/8In X 7.5In Speedbor Supreme</t>
        </is>
      </c>
      <c r="E4702" s="2">
        <f>HYPERLINK("https://www.amazon.com/Irwin-Tools-IWAX3018-Speedbor-Supreme/dp/B09G8MYN1Z/ref=sr_1_15?keywords=Diablo+Tools+DAG1110+7%2F8+in.+x+7-1%2F2+in.+Auger+Bit&amp;qid=1694735001&amp;sr=8-15", "https://www.amazon.com/Irwin-Tools-IWAX3018-Speedbor-Supreme/dp/B09G8MYN1Z/ref=sr_1_15?keywords=Diablo+Tools+DAG1110+7%2F8+in.+x+7-1%2F2+in.+Auger+Bit&amp;qid=1694735001&amp;sr=8-15")</f>
        <v/>
      </c>
      <c r="F4702" t="inlineStr">
        <is>
          <t>B09G8MYN1Z</t>
        </is>
      </c>
      <c r="G4702">
        <f>_xlfn.IMAGE("https://edmondsonsupply.com/cdn/shop/products/yel7mbaiyy08ii0assd5.webp?v=1680187136")</f>
        <v/>
      </c>
      <c r="H4702">
        <f>_xlfn.IMAGE("https://m.media-amazon.com/images/I/41h5bEC-92L._AC_UL320_.jpg")</f>
        <v/>
      </c>
      <c r="K4702" t="inlineStr">
        <is>
          <t>16.97</t>
        </is>
      </c>
      <c r="L4702" t="n">
        <v>27.97</v>
      </c>
      <c r="M4702" s="1" t="inlineStr">
        <is>
          <t>64.82%</t>
        </is>
      </c>
      <c r="N4702" s="7" t="n">
        <v>-18.73</v>
      </c>
      <c r="O4702" t="n">
        <v>5</v>
      </c>
      <c r="P4702" t="n">
        <v>7</v>
      </c>
      <c r="R4702" t="inlineStr">
        <is>
          <t>InStock</t>
        </is>
      </c>
      <c r="S4702" t="inlineStr">
        <is>
          <t>23.76</t>
        </is>
      </c>
      <c r="T4702" t="inlineStr">
        <is>
          <t>7970459549912</t>
        </is>
      </c>
    </row>
    <row r="4703" ht="87" customHeight="1">
      <c r="A4703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4703" s="2">
        <f>HYPERLINK("https://edmondsonsupply.com/products/klein-tools-56334-steel-fish-tape-1-8-inch-x-240-foot", "https://edmondsonsupply.com/products/klein-tools-56334-steel-fish-tape-1-8-inch-x-240-foot")</f>
        <v/>
      </c>
      <c r="C4703" t="inlineStr">
        <is>
          <t>Klein Tools 56334 Steel Fish Tape, 1/8-Inch x 240-Foot</t>
        </is>
      </c>
      <c r="D4703" t="inlineStr">
        <is>
          <t>Klein Tools 56380 Non-Conductive Electrical Fish Tape, Multi-Groove Fiberglass Wire Puller with Steel Leader, 100-Foot x 3/16-Inch,Orange/Black</t>
        </is>
      </c>
      <c r="E4703" s="2">
        <f>HYPERLINK("https://www.amazon.com/Klein-Tools-56380-Multi-Groove-Fiberglass/dp/B0822229DW/ref=sr_1_16?keywords=Klein+Tools+56334+Steel+Fish+Tape%2C+1%2F8-Inch+x+240-Foot&amp;qid=1694735385&amp;sr=8-16", "https://www.amazon.com/Klein-Tools-56380-Multi-Groove-Fiberglass/dp/B0822229DW/ref=sr_1_16?keywords=Klein+Tools+56334+Steel+Fish+Tape%2C+1%2F8-Inch+x+240-Foot&amp;qid=1694735385&amp;sr=8-16")</f>
        <v/>
      </c>
      <c r="F4703" t="inlineStr">
        <is>
          <t>B0822229DW</t>
        </is>
      </c>
      <c r="G4703">
        <f>_xlfn.IMAGE("https://edmondsonsupply.com/cdn/shop/products/56334.jpg?v=1587147767")</f>
        <v/>
      </c>
      <c r="H4703">
        <f>_xlfn.IMAGE("https://m.media-amazon.com/images/I/51m05Po5U+L._AC_UL320_.jpg")</f>
        <v/>
      </c>
      <c r="K4703" t="inlineStr">
        <is>
          <t>84.97</t>
        </is>
      </c>
      <c r="L4703" t="n">
        <v>139.99</v>
      </c>
      <c r="M4703" s="1" t="inlineStr">
        <is>
          <t>64.75%</t>
        </is>
      </c>
      <c r="N4703" s="7" t="n">
        <v>-18.98</v>
      </c>
      <c r="O4703" t="n">
        <v>4.7</v>
      </c>
      <c r="P4703" t="n">
        <v>86</v>
      </c>
      <c r="R4703" t="inlineStr">
        <is>
          <t>InStock</t>
        </is>
      </c>
      <c r="S4703" t="inlineStr">
        <is>
          <t>115.14</t>
        </is>
      </c>
      <c r="T4703" t="inlineStr">
        <is>
          <t>4412213723236</t>
        </is>
      </c>
    </row>
    <row r="4704" ht="87" customHeight="1">
      <c r="A4704" s="2">
        <f>HYPERLINK("https://edmondsonsupply.com/collections/electricians-tools/products/diablo-tools-dmamx1040", "https://edmondsonsupply.com/collections/electricians-tools/products/diablo-tools-dmamx1040")</f>
        <v/>
      </c>
      <c r="B4704" s="2">
        <f>HYPERLINK("https://edmondsonsupply.com/products/diablo-tools-dmamx1040", "https://edmondsonsupply.com/products/diablo-tools-dmamx1040")</f>
        <v/>
      </c>
      <c r="C4704" t="inlineStr">
        <is>
          <t>Diablo Tools DMAMX1040 1/2 in. x 24 in. x 29 in. Rebar Demon SDS-Max 4-Cutter Full Carbide Head Hammer Bit</t>
        </is>
      </c>
      <c r="D4704" t="inlineStr">
        <is>
          <t>Diablo DMAMX1110 5/8 in. x 24 in. x 29 in. Rebar Demon™ SDS-Max 4-Cutter Full Carbide Head Hammer Bit</t>
        </is>
      </c>
      <c r="E4704" s="2">
        <f>HYPERLINK("https://www.amazon.com/Diablo-SDS-Max-4-Cutter-Carbide-Hammer/dp/B089LJ9GHW/ref=sr_1_2?keywords=Diablo+Tools+DMAMX1040+1%2F2+in.+x+24+in.+x+29+in.+Rebar+Demon+SDS-Max+4-Cutter+Full+Carbide+Head+Hammer+Bit&amp;qid=1694735295&amp;sr=8-2", "https://www.amazon.com/Diablo-SDS-Max-4-Cutter-Carbide-Hammer/dp/B089LJ9GHW/ref=sr_1_2?keywords=Diablo+Tools+DMAMX1040+1%2F2+in.+x+24+in.+x+29+in.+Rebar+Demon+SDS-Max+4-Cutter+Full+Carbide+Head+Hammer+Bit&amp;qid=1694735295&amp;sr=8-2")</f>
        <v/>
      </c>
      <c r="F4704" t="inlineStr">
        <is>
          <t>B089LJ9GHW</t>
        </is>
      </c>
      <c r="G4704">
        <f>_xlfn.IMAGE("https://edmondsonsupply.com/cdn/shop/products/DMAMX1040_Main-Image20200701.png?v=1633030363")</f>
        <v/>
      </c>
      <c r="H4704">
        <f>_xlfn.IMAGE("https://m.media-amazon.com/images/I/61vWAd-z8eL._AC_UL320_.jpg")</f>
        <v/>
      </c>
      <c r="K4704" t="inlineStr">
        <is>
          <t>47.97</t>
        </is>
      </c>
      <c r="L4704" t="n">
        <v>78.98999999999999</v>
      </c>
      <c r="M4704" s="1" t="inlineStr">
        <is>
          <t>64.67%</t>
        </is>
      </c>
      <c r="N4704" s="7" t="n">
        <v>-19.01</v>
      </c>
      <c r="O4704" t="n">
        <v>4.7</v>
      </c>
      <c r="P4704" t="n">
        <v>4</v>
      </c>
      <c r="R4704" t="inlineStr">
        <is>
          <t>InStock</t>
        </is>
      </c>
      <c r="S4704" t="inlineStr">
        <is>
          <t>72.46</t>
        </is>
      </c>
      <c r="T4704" t="inlineStr">
        <is>
          <t>5289126527144</t>
        </is>
      </c>
    </row>
    <row r="4705" ht="87" customHeight="1">
      <c r="A4705" s="2">
        <f>HYPERLINK("https://edmondsonsupply.com/collections/electricians-tools/products/fluke-tplus-electrical-tester", "https://edmondsonsupply.com/collections/electricians-tools/products/fluke-tplus-electrical-tester")</f>
        <v/>
      </c>
      <c r="B4705" s="2">
        <f>HYPERLINK("https://edmondsonsupply.com/products/fluke-tplus-electrical-tester", "https://edmondsonsupply.com/products/fluke-tplus-electrical-tester")</f>
        <v/>
      </c>
      <c r="C4705" t="inlineStr">
        <is>
          <t>Fluke T+ Electrical Tester</t>
        </is>
      </c>
      <c r="D4705" t="inlineStr">
        <is>
          <t>Fluke T5-600 Electrical Voltage, Continuity and Current Tester, Measures AC Current Up To 100 A Without Contact, Automatically Select AC/DC Voltage For Tests, Includes Detachable SlimReach Probe Tip</t>
        </is>
      </c>
      <c r="E4705" s="2">
        <f>HYPERLINK("https://www.amazon.com/Fluke-Electrical-Voltage-Continuity-Current/dp/B0006Z3GZU/ref=sr_1_10?keywords=Fluke+T+Electrical+Tester&amp;qid=1694735309&amp;sr=8-10", "https://www.amazon.com/Fluke-Electrical-Voltage-Continuity-Current/dp/B0006Z3GZU/ref=sr_1_10?keywords=Fluke+T+Electrical+Tester&amp;qid=1694735309&amp;sr=8-10")</f>
        <v/>
      </c>
      <c r="F4705" t="inlineStr">
        <is>
          <t>B0006Z3GZU</t>
        </is>
      </c>
      <c r="G4705">
        <f>_xlfn.IMAGE("https://edmondsonsupply.com/cdn/shop/products/tplus.jpg?v=1633030280")</f>
        <v/>
      </c>
      <c r="H4705">
        <f>_xlfn.IMAGE("https://m.media-amazon.com/images/I/51Ymlw0UFUL._AC_UL320_.jpg")</f>
        <v/>
      </c>
      <c r="K4705" t="inlineStr">
        <is>
          <t>94.49</t>
        </is>
      </c>
      <c r="L4705" t="n">
        <v>155.58</v>
      </c>
      <c r="M4705" s="1" t="inlineStr">
        <is>
          <t>64.65%</t>
        </is>
      </c>
      <c r="N4705" s="7" t="n">
        <v>-19.07</v>
      </c>
      <c r="O4705" t="n">
        <v>4.8</v>
      </c>
      <c r="P4705" t="n">
        <v>4631</v>
      </c>
      <c r="R4705" t="inlineStr">
        <is>
          <t>InStock</t>
        </is>
      </c>
      <c r="S4705" t="inlineStr">
        <is>
          <t>104.99</t>
        </is>
      </c>
      <c r="T4705" t="inlineStr">
        <is>
          <t>5238397337768</t>
        </is>
      </c>
    </row>
    <row r="4706" ht="87" customHeight="1">
      <c r="A4706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4706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4706" t="inlineStr">
        <is>
          <t>Klein Tools 32308 8-in-1 Multi-Bit Adjustable Length Stubby Screwdriver</t>
        </is>
      </c>
      <c r="D4706" t="inlineStr">
        <is>
          <t>Klein Tools 32308 Multi-bit Stubby Screwdriver &amp; 32561 Multi-Bit Screwdriver/Nut Driver, 6-in-1 Stubby Screwdriver with 2 Phillips, 2 Slotted Bits, 2 Nut Drivers</t>
        </is>
      </c>
      <c r="E4706" s="2">
        <f>HYPERLINK("https://www.amazon.com/Klein-Tools-Multi-bit-Screwdriver-Multi-Bit/dp/B0B7N8RXDY/ref=sr_1_4?keywords=Klein+Tools+32308+8-in-1+Multi-Bit+Adjustable+Length+Stubby+Screwdriver&amp;qid=1694735167&amp;sr=8-4", "https://www.amazon.com/Klein-Tools-Multi-bit-Screwdriver-Multi-Bit/dp/B0B7N8RXDY/ref=sr_1_4?keywords=Klein+Tools+32308+8-in-1+Multi-Bit+Adjustable+Length+Stubby+Screwdriver&amp;qid=1694735167&amp;sr=8-4")</f>
        <v/>
      </c>
      <c r="F4706" t="inlineStr">
        <is>
          <t>B0B7N8RXDY</t>
        </is>
      </c>
      <c r="G4706">
        <f>_xlfn.IMAGE("https://edmondsonsupply.com/cdn/shop/products/32308_b.jpg?v=1647348209")</f>
        <v/>
      </c>
      <c r="H4706">
        <f>_xlfn.IMAGE("https://m.media-amazon.com/images/I/514uFlHpM3L._AC_UL320_.jpg")</f>
        <v/>
      </c>
      <c r="K4706" t="inlineStr">
        <is>
          <t>16.97</t>
        </is>
      </c>
      <c r="L4706" t="n">
        <v>27.94</v>
      </c>
      <c r="M4706" s="1" t="inlineStr">
        <is>
          <t>64.64%</t>
        </is>
      </c>
      <c r="N4706" s="7" t="n">
        <v>-19.14</v>
      </c>
      <c r="O4706" t="n">
        <v>5</v>
      </c>
      <c r="P4706" t="n">
        <v>3</v>
      </c>
      <c r="R4706" t="inlineStr">
        <is>
          <t>InStock</t>
        </is>
      </c>
      <c r="S4706" t="inlineStr">
        <is>
          <t>23.78</t>
        </is>
      </c>
      <c r="T4706" t="inlineStr">
        <is>
          <t>7637271445720</t>
        </is>
      </c>
    </row>
    <row r="4707" hidden="1" ht="15.75" customHeight="1">
      <c r="A4707" s="2">
        <f>HYPERLINK("https://edmondsonsupply.com/collections/electricians-tools/products/klein-tools-jth9m6-6-mm-hex-key-journeyman%E2%84%A2-t-handle-9-inch", "https://edmondsonsupply.com/collections/electricians-tools/products/klein-tools-jth9m6-6-mm-hex-key-journeyman%E2%84%A2-t-handle-9-inch")</f>
        <v/>
      </c>
      <c r="B4707" s="2">
        <f>HYPERLINK("https://edmondsonsupply.com/products/klein-tools-jth9m6-6-mm-hex-key-journeyman%e2%84%a2-t-handle-9-inch", "https://edmondsonsupply.com/products/klein-tools-jth9m6-6-mm-hex-key-journeyman%e2%84%a2-t-handle-9-inch")</f>
        <v/>
      </c>
      <c r="C4707" t="inlineStr">
        <is>
          <t>Klein Tools JTH9M6 6 mm Hex Key, Journeyman™ T-Handle, 9-Inch</t>
        </is>
      </c>
      <c r="D4707" t="inlineStr">
        <is>
          <t>Klein Tools JTH9M6 6 mm Hex Key, Journeyman T-Handle, 9-Inch</t>
        </is>
      </c>
      <c r="E4707" s="2">
        <f>HYPERLINK("https://www.amazon.com/Journeyman-T-Handle-Klein-Tools-JTH9M6/dp/B005G3HJKU/ref=sr_1_1?keywords=Klein+Tools+JTH9M6+6+mm+Hex+Key%2C+Journeyman%E2%84%A2+T-Handle%2C+9-Inch&amp;qid=1694735102&amp;sr=8-1", "https://www.amazon.com/Journeyman-T-Handle-Klein-Tools-JTH9M6/dp/B005G3HJKU/ref=sr_1_1?keywords=Klein+Tools+JTH9M6+6+mm+Hex+Key%2C+Journeyman%E2%84%A2+T-Handle%2C+9-Inch&amp;qid=1694735102&amp;sr=8-1")</f>
        <v/>
      </c>
      <c r="F4707" t="inlineStr">
        <is>
          <t>B005G3HJKU</t>
        </is>
      </c>
      <c r="G4707">
        <f>_xludf.IMAGE("https://edmondsonsupply.com/cdn/shop/products/jth6m8_8e3ac188-6806-4676-8198-2058bbbd4836.jpg?v=1664891890")</f>
        <v/>
      </c>
      <c r="H4707">
        <f>_xludf.IMAGE("https://m.media-amazon.com/images/I/51+1x0vz9XL._AC_UL320_.jpg")</f>
        <v/>
      </c>
      <c r="K4707" t="inlineStr">
        <is>
          <t>5.99</t>
        </is>
      </c>
      <c r="L4707" t="n">
        <v>9.84</v>
      </c>
      <c r="M4707" s="1" t="inlineStr">
        <is>
          <t>64.27%</t>
        </is>
      </c>
      <c r="N4707" s="1" t="n">
        <v>-19.15</v>
      </c>
      <c r="O4707" t="n">
        <v>4.7</v>
      </c>
      <c r="P4707" t="n">
        <v>123</v>
      </c>
      <c r="R4707" t="inlineStr">
        <is>
          <t>InStock</t>
        </is>
      </c>
      <c r="S4707" t="inlineStr">
        <is>
          <t>9.06</t>
        </is>
      </c>
      <c r="T4707" t="inlineStr">
        <is>
          <t>7839321981144</t>
        </is>
      </c>
    </row>
    <row r="4708" hidden="1" ht="15.75" customHeight="1">
      <c r="A4708" s="2">
        <f>HYPERLINK("https://edmondsonsupply.com/collections/electricians-tools/products/klein-tools-jth6m6be-6-mm-ball-end-hex-key-journeyman%E2%84%A2-t-handle-6-inch", "https://edmondsonsupply.com/collections/electricians-tools/products/klein-tools-jth6m6be-6-mm-ball-end-hex-key-journeyman%E2%84%A2-t-handle-6-inch")</f>
        <v/>
      </c>
      <c r="B4708" s="2">
        <f>HYPERLINK("https://edmondsonsupply.com/products/klein-tools-jth6m6be-6-mm-ball-end-hex-key-journeyman%e2%84%a2-t-handle-6-inch", "https://edmondsonsupply.com/products/klein-tools-jth6m6be-6-mm-ball-end-hex-key-journeyman%e2%84%a2-t-handle-6-inch")</f>
        <v/>
      </c>
      <c r="C4708" t="inlineStr">
        <is>
          <t>Klein Tools JTH6M6BE 6 mm Ball-End Hex Key, Journeyman™ T-Handle, 6-Inch</t>
        </is>
      </c>
      <c r="D4708" t="inlineStr">
        <is>
          <t>Klein Tools JTH9M6 6 mm Hex Key, Journeyman T-Handle, 9-Inch</t>
        </is>
      </c>
      <c r="E4708" s="2">
        <f>HYPERLINK("https://www.amazon.com/Journeyman-T-Handle-Klein-Tools-JTH9M6/dp/B005G3HJKU/ref=sr_1_9?keywords=Klein+Tools+JTH6M6BE+6+mm+Ball-End+Hex+Key%2C+Journeyman%E2%84%A2+T-Handle%2C+6-Inch&amp;qid=1694735096&amp;sr=8-9", "https://www.amazon.com/Journeyman-T-Handle-Klein-Tools-JTH9M6/dp/B005G3HJKU/ref=sr_1_9?keywords=Klein+Tools+JTH6M6BE+6+mm+Ball-End+Hex+Key%2C+Journeyman%E2%84%A2+T-Handle%2C+6-Inch&amp;qid=1694735096&amp;sr=8-9")</f>
        <v/>
      </c>
      <c r="F4708" t="inlineStr">
        <is>
          <t>B005G3HJKU</t>
        </is>
      </c>
      <c r="G4708">
        <f>_xludf.IMAGE("https://edmondsonsupply.com/cdn/shop/products/jth6m8be_8608088e-2ec0-429e-80d7-5bd927a3a1b6.jpg?v=1666111557")</f>
        <v/>
      </c>
      <c r="H4708">
        <f>_xludf.IMAGE("https://m.media-amazon.com/images/I/51+1x0vz9XL._AC_UL320_.jpg")</f>
        <v/>
      </c>
      <c r="K4708" t="inlineStr">
        <is>
          <t>5.99</t>
        </is>
      </c>
      <c r="L4708" t="n">
        <v>9.84</v>
      </c>
      <c r="M4708" s="1" t="inlineStr">
        <is>
          <t>64.27%</t>
        </is>
      </c>
      <c r="N4708" s="1" t="n">
        <v>-19.23</v>
      </c>
      <c r="O4708" t="n">
        <v>4.7</v>
      </c>
      <c r="P4708" t="n">
        <v>123</v>
      </c>
      <c r="R4708" t="inlineStr">
        <is>
          <t>InStock</t>
        </is>
      </c>
      <c r="S4708" t="inlineStr">
        <is>
          <t>9.12</t>
        </is>
      </c>
      <c r="T4708" t="inlineStr">
        <is>
          <t>7857474404568</t>
        </is>
      </c>
    </row>
    <row r="4709" ht="87" customHeight="1">
      <c r="A4709" s="2">
        <f>HYPERLINK("https://edmondsonsupply.com/collections/electricians-tools/products/diablo-tools-dhs0500dg-1-2-in-diamond-grit-hole-saws", "https://edmondsonsupply.com/collections/electricians-tools/products/diablo-tools-dhs0500dg-1-2-in-diamond-grit-hole-saws")</f>
        <v/>
      </c>
      <c r="B4709" s="2">
        <f>HYPERLINK("https://edmondsonsupply.com/products/diablo-tools-dhs0500dg-1-2-in-diamond-grit-hole-saws", "https://edmondsonsupply.com/products/diablo-tools-dhs0500dg-1-2-in-diamond-grit-hole-saws")</f>
        <v/>
      </c>
      <c r="C4709" t="inlineStr">
        <is>
          <t>Diablo Tools DHS0500DG 1/2 in. Diamond Grit Hole Saws</t>
        </is>
      </c>
      <c r="D4709" t="inlineStr">
        <is>
          <t>LENOX Tools Hole Saw, Diamond Grit, 1/2-Inch or 12.7mm (121108DGDS)</t>
        </is>
      </c>
      <c r="E4709" s="2">
        <f>HYPERLINK("https://www.amazon.com/Lenox-Tools-121108DGDS-Diamond-2-Inch/dp/B002TQ9PKE/ref=sr_1_4?keywords=Diablo+Tools+DHS0500DG+1%2F2+in.+Diamond+Grit+Hole+Saws&amp;qid=1694735075&amp;sr=8-4", "https://www.amazon.com/Lenox-Tools-121108DGDS-Diamond-2-Inch/dp/B002TQ9PKE/ref=sr_1_4?keywords=Diablo+Tools+DHS0500DG+1%2F2+in.+Diamond+Grit+Hole+Saws&amp;qid=1694735075&amp;sr=8-4")</f>
        <v/>
      </c>
      <c r="F4709" t="inlineStr">
        <is>
          <t>B002TQ9PKE</t>
        </is>
      </c>
      <c r="G4709">
        <f>_xlfn.IMAGE("https://edmondsonsupply.com/cdn/shop/products/uccn2sxvplniczqakuy1.webp?v=1670006118")</f>
        <v/>
      </c>
      <c r="H4709">
        <f>_xlfn.IMAGE("https://m.media-amazon.com/images/I/51eN8ja7A-L._AC_UL320_.jpg")</f>
        <v/>
      </c>
      <c r="K4709" t="inlineStr">
        <is>
          <t>14.22</t>
        </is>
      </c>
      <c r="L4709" t="n">
        <v>23.35</v>
      </c>
      <c r="M4709" s="1" t="inlineStr">
        <is>
          <t>64.21%</t>
        </is>
      </c>
      <c r="N4709" s="7" t="n">
        <v>-19.24</v>
      </c>
      <c r="O4709" t="n">
        <v>4.6</v>
      </c>
      <c r="P4709" t="n">
        <v>278</v>
      </c>
      <c r="R4709" t="inlineStr">
        <is>
          <t>InStock</t>
        </is>
      </c>
      <c r="S4709" t="inlineStr">
        <is>
          <t>22.59</t>
        </is>
      </c>
      <c r="T4709" t="inlineStr">
        <is>
          <t>7897594757336</t>
        </is>
      </c>
    </row>
    <row r="4710" hidden="1" ht="15.75" customHeight="1">
      <c r="A4710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4710" s="2">
        <f>HYPERLINK("https://edmondsonsupply.com/products/klein-tools-s8-1-4-inch-hollow-shaft-nut-driver-3-inch-shaft", "https://edmondsonsupply.com/products/klein-tools-s8-1-4-inch-hollow-shaft-nut-driver-3-inch-shaft")</f>
        <v/>
      </c>
      <c r="C4710" t="inlineStr">
        <is>
          <t>Klein Tools S8 1/4-Inch Hollow Shaft Nut Driver, 3-Inch Shaft</t>
        </is>
      </c>
      <c r="D4710" t="inlineStr">
        <is>
          <t>1/4-Inch Tip Nut Driver with 3-Inch Hollow Shaft and Cushion Grip Handle Klein Tools 630-1/4</t>
        </is>
      </c>
      <c r="E4710" s="2">
        <f>HYPERLINK("https://www.amazon.com/4-Inch-Cushion-Klein-Tools-630-1/dp/B00093DZR8/ref=sr_1_4?keywords=Klein+Tools+S8+1%2F4-Inch+Hollow+Shaft+Nut+Driver%2C+3-Inch+Shaft&amp;qid=1694735248&amp;sr=8-4", "https://www.amazon.com/4-Inch-Cushion-Klein-Tools-630-1/dp/B00093DZR8/ref=sr_1_4?keywords=Klein+Tools+S8+1%2F4-Inch+Hollow+Shaft+Nut+Driver%2C+3-Inch+Shaft&amp;qid=1694735248&amp;sr=8-4")</f>
        <v/>
      </c>
      <c r="F4710" t="inlineStr">
        <is>
          <t>B00093DZR8</t>
        </is>
      </c>
      <c r="G4710">
        <f>_xludf.IMAGE("https://edmondsonsupply.com/cdn/shop/products/s10.jpg?v=1633030797")</f>
        <v/>
      </c>
      <c r="H4710">
        <f>_xludf.IMAGE("https://m.media-amazon.com/images/I/41gchQgPtfL._AC_UL320_.jpg")</f>
        <v/>
      </c>
      <c r="K4710" t="inlineStr">
        <is>
          <t>7.29</t>
        </is>
      </c>
      <c r="L4710" t="n">
        <v>11.97</v>
      </c>
      <c r="M4710" s="1" t="inlineStr">
        <is>
          <t>64.20%</t>
        </is>
      </c>
      <c r="N4710" s="1" t="n">
        <v>-19.25</v>
      </c>
      <c r="O4710" t="n">
        <v>4.8</v>
      </c>
      <c r="P4710" t="n">
        <v>59</v>
      </c>
      <c r="R4710" t="inlineStr">
        <is>
          <t>InStock</t>
        </is>
      </c>
      <c r="S4710" t="inlineStr">
        <is>
          <t>10.74</t>
        </is>
      </c>
      <c r="T4710" t="inlineStr">
        <is>
          <t>6000424485032</t>
        </is>
      </c>
    </row>
    <row r="4711" ht="87" customHeight="1">
      <c r="A4711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4711" s="2">
        <f>HYPERLINK("https://edmondsonsupply.com/products/klein-tools-56333-steel-fish-tape-1-8-inch-x-120-foot", "https://edmondsonsupply.com/products/klein-tools-56333-steel-fish-tape-1-8-inch-x-120-foot")</f>
        <v/>
      </c>
      <c r="C4711" t="inlineStr">
        <is>
          <t>Klein Tools 56333 Steel Fish Tape, 1/8-Inch x 120-Foot</t>
        </is>
      </c>
      <c r="D4711" t="inlineStr">
        <is>
          <t>Klein Tools 56382 Non-Conductive Electrical Fish Tape, Multi-Groove Fiberglass Wire Puller, Optimized Housing and Handle, 50-Foot x 3/16-Inch</t>
        </is>
      </c>
      <c r="E4711" s="2">
        <f>HYPERLINK("https://www.amazon.com/Klein-Tools-56382-Multi-Groove-Fiberglass/dp/B081ZTKDLJ/ref=sr_1_24?keywords=Klein+Tools+56333+Steel+Fish+Tape%2C+1%2F8-Inch+x+120-Foot&amp;qid=1694735382&amp;sr=8-24", "https://www.amazon.com/Klein-Tools-56382-Multi-Groove-Fiberglass/dp/B081ZTKDLJ/ref=sr_1_24?keywords=Klein+Tools+56333+Steel+Fish+Tape%2C+1%2F8-Inch+x+120-Foot&amp;qid=1694735382&amp;sr=8-24")</f>
        <v/>
      </c>
      <c r="F4711" t="inlineStr">
        <is>
          <t>B081ZTKDLJ</t>
        </is>
      </c>
      <c r="G4711">
        <f>_xlfn.IMAGE("https://edmondsonsupply.com/cdn/shop/products/56333.jpg?v=1587147770")</f>
        <v/>
      </c>
      <c r="H4711">
        <f>_xlfn.IMAGE("https://m.media-amazon.com/images/I/51ObZVU2LaL._AC_UL320_.jpg")</f>
        <v/>
      </c>
      <c r="K4711" t="inlineStr">
        <is>
          <t>54.97</t>
        </is>
      </c>
      <c r="L4711" t="n">
        <v>89.98999999999999</v>
      </c>
      <c r="M4711" s="1" t="inlineStr">
        <is>
          <t>63.71%</t>
        </is>
      </c>
      <c r="N4711" s="7" t="n">
        <v>-19.25</v>
      </c>
      <c r="O4711" t="n">
        <v>4.4</v>
      </c>
      <c r="P4711" t="n">
        <v>100</v>
      </c>
      <c r="R4711" t="inlineStr">
        <is>
          <t>InStock</t>
        </is>
      </c>
      <c r="S4711" t="inlineStr">
        <is>
          <t>82.48</t>
        </is>
      </c>
      <c r="T4711" t="inlineStr">
        <is>
          <t>4412208578660</t>
        </is>
      </c>
    </row>
    <row r="4712" ht="87" customHeight="1">
      <c r="A4712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4712" s="2">
        <f>HYPERLINK("https://edmondsonsupply.com/products/klein-tools-31932-bi-metal-hole-saw-2-inch", "https://edmondsonsupply.com/products/klein-tools-31932-bi-metal-hole-saw-2-inch")</f>
        <v/>
      </c>
      <c r="C4712" t="inlineStr">
        <is>
          <t>Klein Tools 31932 Bi-Metal Hole Saw, 2-Inch</t>
        </is>
      </c>
      <c r="D4712" t="inlineStr">
        <is>
          <t>LENOX Tools Hole Saw, Bi-Metal, Speed Slot, 2-1/8-Inch (1772003)</t>
        </is>
      </c>
      <c r="E4712" s="2">
        <f>HYPERLINK("https://www.amazon.com/LENOX-Tools-Bi-Metal-Speed-Technology/dp/B001TUFGMW/ref=sr_1_37?keywords=Klein+Tools+31932+Bi-Metal+Hole+Saw%2C+2-Inch&amp;qid=1694735227&amp;sr=8-37", "https://www.amazon.com/LENOX-Tools-Bi-Metal-Speed-Technology/dp/B001TUFGMW/ref=sr_1_37?keywords=Klein+Tools+31932+Bi-Metal+Hole+Saw%2C+2-Inch&amp;qid=1694735227&amp;sr=8-37")</f>
        <v/>
      </c>
      <c r="F4712" t="inlineStr">
        <is>
          <t>B001TUFGMW</t>
        </is>
      </c>
      <c r="G4712">
        <f>_xlfn.IMAGE("https://edmondsonsupply.com/cdn/shop/products/31932.jpg?v=1633030939")</f>
        <v/>
      </c>
      <c r="H4712">
        <f>_xlfn.IMAGE("https://m.media-amazon.com/images/I/61Wh6qJTgZL._AC_UL320_.jpg")</f>
        <v/>
      </c>
      <c r="K4712" t="inlineStr">
        <is>
          <t>10.99</t>
        </is>
      </c>
      <c r="L4712" t="n">
        <v>17.99</v>
      </c>
      <c r="M4712" s="1" t="inlineStr">
        <is>
          <t>63.69%</t>
        </is>
      </c>
      <c r="N4712" s="7" t="n">
        <v>-19.41</v>
      </c>
      <c r="O4712" t="n">
        <v>4.5</v>
      </c>
      <c r="P4712" t="n">
        <v>48</v>
      </c>
      <c r="R4712" t="inlineStr">
        <is>
          <t>InStock</t>
        </is>
      </c>
      <c r="S4712" t="inlineStr">
        <is>
          <t>15.42</t>
        </is>
      </c>
      <c r="T4712" t="inlineStr">
        <is>
          <t>6572814434477</t>
        </is>
      </c>
    </row>
    <row r="4713" ht="87" customHeight="1">
      <c r="A4713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4713" s="2">
        <f>HYPERLINK("https://edmondsonsupply.com/products/klein-tools-cl110-digital-clamp-meter-ac-auto-ranging-400-amp", "https://edmondsonsupply.com/products/klein-tools-cl110-digital-clamp-meter-ac-auto-ranging-400-amp")</f>
        <v/>
      </c>
      <c r="C4713" t="inlineStr">
        <is>
          <t>Klein Tools CL120 Digital Clamp Meter, AC Auto-Ranging 400 Amp</t>
        </is>
      </c>
      <c r="D4713" t="inlineStr">
        <is>
          <t>Klein Tools CL390 Digital Clamp Meter, Reverse Contrast Display, Auto Ranging 400A AC/DC Voltage,TRMS, DC Microamps, Temp, NCVT, More</t>
        </is>
      </c>
      <c r="E4713" s="2">
        <f>HYPERLINK("https://www.amazon.com/Klein-Tools-CL390-Electronic-Resistance/dp/B08DTDCG7T/ref=sr_1_9?keywords=Klein+Tools+CL120+Digital+Clamp+Meter%2C+AC+Auto-Ranging+400+Amp&amp;qid=1694735357&amp;sr=8-9", "https://www.amazon.com/Klein-Tools-CL390-Electronic-Resistance/dp/B08DTDCG7T/ref=sr_1_9?keywords=Klein+Tools+CL120+Digital+Clamp+Meter%2C+AC+Auto-Ranging+400+Amp&amp;qid=1694735357&amp;sr=8-9")</f>
        <v/>
      </c>
      <c r="F4713" t="inlineStr">
        <is>
          <t>B08DTDCG7T</t>
        </is>
      </c>
      <c r="G4713">
        <f>_xlfn.IMAGE("https://edmondsonsupply.com/cdn/shop/products/cl120.jpg?v=1633030212")</f>
        <v/>
      </c>
      <c r="H4713">
        <f>_xlfn.IMAGE("https://m.media-amazon.com/images/I/61RaYUw45bL._AC_UY218_.jpg")</f>
        <v/>
      </c>
      <c r="K4713" t="inlineStr">
        <is>
          <t>59.97</t>
        </is>
      </c>
      <c r="L4713" t="n">
        <v>97.98999999999999</v>
      </c>
      <c r="M4713" s="1" t="inlineStr">
        <is>
          <t>63.40%</t>
        </is>
      </c>
      <c r="N4713" s="7" t="n">
        <v>-19.47</v>
      </c>
      <c r="O4713" t="n">
        <v>4.6</v>
      </c>
      <c r="P4713" t="n">
        <v>1094</v>
      </c>
      <c r="R4713" t="inlineStr">
        <is>
          <t>InStock</t>
        </is>
      </c>
      <c r="S4713" t="inlineStr">
        <is>
          <t>85.26</t>
        </is>
      </c>
      <c r="T4713" t="inlineStr">
        <is>
          <t>4432351527012</t>
        </is>
      </c>
    </row>
    <row r="4714" hidden="1" ht="15.75" customHeight="1">
      <c r="A4714" s="2">
        <f>HYPERLINK("https://edmondsonsupply.com/collections/electricians-tools/products/diablo-tools-dmapl4150-3-8-in-x-6-in-x-8-in-rebar-demon%E2%84%A2-sds-plus-4-cutter-full-carbide-head-hammer-drill-bit", "https://edmondsonsupply.com/collections/electricians-tools/products/diablo-tools-dmapl4150-3-8-in-x-6-in-x-8-in-rebar-demon%E2%84%A2-sds-plus-4-cutter-full-carbide-head-hammer-drill-bit")</f>
        <v/>
      </c>
      <c r="B4714" s="2">
        <f>HYPERLINK("https://edmondsonsupply.com/products/diablo-tools-dmapl4150-3-8-in-x-6-in-x-8-in-rebar-demon%e2%84%a2-sds-plus-4-cutter-full-carbide-head-hammer-drill-bit", "https://edmondsonsupply.com/products/diablo-tools-dmapl4150-3-8-in-x-6-in-x-8-in-rebar-demon%e2%84%a2-sds-plus-4-cutter-full-carbide-head-hammer-drill-bit")</f>
        <v/>
      </c>
      <c r="C4714" t="inlineStr">
        <is>
          <t>Diablo Tools DMAPL4150 3/8 in. x 6 in. x 8 in. Rebar Demon™ SDS‑Plus 4‑Cutter Full Carbide Head Hammer Drill Bit</t>
        </is>
      </c>
      <c r="D4714" t="inlineStr">
        <is>
          <t>Diablo by Freud DMAPL4160 3/8 in. x 10 in. x 12 in. Rebar Demon SDS-Plus 4-Cutter Full Carbide Head Hammer Bit</t>
        </is>
      </c>
      <c r="E4714" s="2" t="n"/>
      <c r="F4714" t="inlineStr">
        <is>
          <t>B089KX25B7</t>
        </is>
      </c>
      <c r="G4714">
        <f>_xludf.IMAGE("https://edmondsonsupply.com/cdn/shop/products/DMAPL4150_Main-Image20200701.png?v=1633030763")</f>
        <v/>
      </c>
      <c r="H4714">
        <f>_xludf.IMAGE("https://m.media-amazon.com/images/I/61MHnm3+2bL._AC_UL320_.jpg")</f>
        <v/>
      </c>
      <c r="K4714" t="inlineStr">
        <is>
          <t>7.97</t>
        </is>
      </c>
      <c r="L4714" t="n">
        <v>13.01</v>
      </c>
      <c r="M4714" s="1" t="inlineStr">
        <is>
          <t>63.24%</t>
        </is>
      </c>
      <c r="N4714" s="1" t="n">
        <v>-19.49</v>
      </c>
      <c r="O4714" t="n">
        <v>4.5</v>
      </c>
      <c r="P4714" t="n">
        <v>39</v>
      </c>
      <c r="R4714" t="inlineStr">
        <is>
          <t>InStock</t>
        </is>
      </c>
      <c r="S4714" t="inlineStr">
        <is>
          <t>10.0</t>
        </is>
      </c>
      <c r="T4714" t="inlineStr">
        <is>
          <t>5918108450984</t>
        </is>
      </c>
    </row>
    <row r="4715" ht="87" customHeight="1">
      <c r="A4715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4715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4715" t="inlineStr">
        <is>
          <t>Klein Tools CL220 Digital Clamp Meter, AC Auto-Ranging 400 Amp with Temp</t>
        </is>
      </c>
      <c r="D4715" t="inlineStr">
        <is>
          <t>Klein Tools CL800 Digital Clamp Meter, Autoranging TRMS, AC/DC Volt/Current, LoZ, Continuity, Frequency, Capacitance, NCVT, Temp, More 1000V</t>
        </is>
      </c>
      <c r="E4715" s="2">
        <f>HYPERLINK("https://www.amazon.com/Auto-Ranging-Resistance-Klein-Tools-CL800/dp/B019CY4FB4/ref=sr_1_12?keywords=Klein+Tools+CL220+Digital+Clamp+Meter%2C+AC+Auto-Ranging+400+Amp+with+Temp&amp;qid=1694735238&amp;sr=8-12", "https://www.amazon.com/Auto-Ranging-Resistance-Klein-Tools-CL800/dp/B019CY4FB4/ref=sr_1_12?keywords=Klein+Tools+CL220+Digital+Clamp+Meter%2C+AC+Auto-Ranging+400+Amp+with+Temp&amp;qid=1694735238&amp;sr=8-12")</f>
        <v/>
      </c>
      <c r="F4715" t="inlineStr">
        <is>
          <t>B019CY4FB4</t>
        </is>
      </c>
      <c r="G4715">
        <f>_xlfn.IMAGE("https://edmondsonsupply.com/cdn/shop/products/cl220.jpg?v=1633030821")</f>
        <v/>
      </c>
      <c r="H4715">
        <f>_xlfn.IMAGE("https://m.media-amazon.com/images/I/71r1Y20w7VL._AC_UY218_.jpg")</f>
        <v/>
      </c>
      <c r="K4715" t="inlineStr">
        <is>
          <t>69.97</t>
        </is>
      </c>
      <c r="L4715" t="n">
        <v>114.21</v>
      </c>
      <c r="M4715" s="1" t="inlineStr">
        <is>
          <t>63.23%</t>
        </is>
      </c>
      <c r="N4715" s="7" t="n">
        <v>-19.6</v>
      </c>
      <c r="O4715" t="n">
        <v>4.7</v>
      </c>
      <c r="P4715" t="n">
        <v>2294</v>
      </c>
      <c r="R4715" t="inlineStr">
        <is>
          <t>InStock</t>
        </is>
      </c>
      <c r="S4715" t="inlineStr">
        <is>
          <t>93.22</t>
        </is>
      </c>
      <c r="T4715" t="inlineStr">
        <is>
          <t>6080846463149</t>
        </is>
      </c>
    </row>
    <row r="4716" ht="87" customHeight="1">
      <c r="A4716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4716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4716" t="inlineStr">
        <is>
          <t>Channellock 430X 10-Inch SPEEDGRIP™ Straight Jaw Tongue &amp; Groove Pliers</t>
        </is>
      </c>
      <c r="D4716" t="inlineStr">
        <is>
          <t>Channellock 440 Tongue and Groove Pliers | 12-Inch Straight Jaw Groove Joint Plier with Comfort Grips| Made in USA, Black, Blue, Silver &amp; 442 Tongue and Groove Pliers, 12 In, Black, Blue, Silver</t>
        </is>
      </c>
      <c r="E4716" s="2">
        <f>HYPERLINK("https://www.amazon.com/Channellock-Tongue-12-Inch-Straight-Comfort/dp/B0BFXP68V9/ref=sr_1_19?keywords=Channellock+430X+10-Inch+SPEEDGRIP%E2%84%A2+Straight+Jaw+Tongue+%26+Groove+Pliers&amp;qid=1694735165&amp;sr=8-19", "https://www.amazon.com/Channellock-Tongue-12-Inch-Straight-Comfort/dp/B0BFXP68V9/ref=sr_1_19?keywords=Channellock+430X+10-Inch+SPEEDGRIP%E2%84%A2+Straight+Jaw+Tongue+%26+Groove+Pliers&amp;qid=1694735165&amp;sr=8-19")</f>
        <v/>
      </c>
      <c r="F4716" t="inlineStr">
        <is>
          <t>B0BFXP68V9</t>
        </is>
      </c>
      <c r="G4716">
        <f>_xlfn.IMAGE("https://edmondsonsupply.com/cdn/shop/products/430X.jpg?v=1647100497")</f>
        <v/>
      </c>
      <c r="H4716">
        <f>_xlfn.IMAGE("https://m.media-amazon.com/images/I/41d-z+Tl0SL._AC_UL320_.jpg")</f>
        <v/>
      </c>
      <c r="K4716" t="inlineStr">
        <is>
          <t>26.95</t>
        </is>
      </c>
      <c r="L4716" t="n">
        <v>43.9</v>
      </c>
      <c r="M4716" s="1" t="inlineStr">
        <is>
          <t>62.89%</t>
        </is>
      </c>
      <c r="N4716" s="7" t="n">
        <v>-19.93</v>
      </c>
      <c r="O4716" t="n">
        <v>5</v>
      </c>
      <c r="P4716" t="n">
        <v>2</v>
      </c>
      <c r="R4716" t="inlineStr">
        <is>
          <t>InStock</t>
        </is>
      </c>
      <c r="S4716" t="inlineStr">
        <is>
          <t>40.47</t>
        </is>
      </c>
      <c r="T4716" t="inlineStr">
        <is>
          <t>7633790238936</t>
        </is>
      </c>
    </row>
    <row r="4717" hidden="1" ht="15.75" customHeight="1">
      <c r="A4717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4717" s="2">
        <f>HYPERLINK("https://edmondsonsupply.com/products/diablo-tools-dmapl2360-9-16-in-x-6-in-x-8-in-sds-plus-2-cutter", "https://edmondsonsupply.com/products/diablo-tools-dmapl2360-9-16-in-x-6-in-x-8-in-sds-plus-2-cutter")</f>
        <v/>
      </c>
      <c r="C4717" t="inlineStr">
        <is>
          <t>Diablo Tools DMAPL2360 9/16 in. x 6 in. x 8 in. SDS-Plus 2-Cutter</t>
        </is>
      </c>
      <c r="D4717" t="inlineStr">
        <is>
          <t>Sabre Tools 9/16 Inch x 12 Inch SDS Plus Rotary Hammer Drill Bit, Carbide Tipped for Brick, Stone, and Concrete Version 2 (9/16" x 10" x 12")</t>
        </is>
      </c>
      <c r="E4717" s="2">
        <f>HYPERLINK("https://www.amazon.com/Sabre-Tools-Carbide-Concrete-Version/dp/B0BL1J47DL/ref=sr_1_10?keywords=Diablo+Tools+DMAPL2360+9%2F16+in.+x+6+in.+x+8+in.+SDS-Plus+2-Cutter&amp;qid=1694735296&amp;sr=8-10", "https://www.amazon.com/Sabre-Tools-Carbide-Concrete-Version/dp/B0BL1J47DL/ref=sr_1_10?keywords=Diablo+Tools+DMAPL2360+9%2F16+in.+x+6+in.+x+8+in.+SDS-Plus+2-Cutter&amp;qid=1694735296&amp;sr=8-10")</f>
        <v/>
      </c>
      <c r="F4717" t="inlineStr">
        <is>
          <t>B0BL1J47DL</t>
        </is>
      </c>
      <c r="G4717">
        <f>_xludf.IMAGE("https://edmondsonsupply.com/cdn/shop/products/DMAPL2360_Main-Image20200701.png?v=1633697551")</f>
        <v/>
      </c>
      <c r="H4717">
        <f>_xludf.IMAGE("https://m.media-amazon.com/images/I/61f4sVM4qNL._AC_UL320_.jpg")</f>
        <v/>
      </c>
      <c r="K4717" t="inlineStr">
        <is>
          <t>8.59</t>
        </is>
      </c>
      <c r="L4717" t="n">
        <v>13.99</v>
      </c>
      <c r="M4717" s="1" t="inlineStr">
        <is>
          <t>62.86%</t>
        </is>
      </c>
      <c r="N4717" s="1" t="n">
        <v>-19.98</v>
      </c>
      <c r="O4717" t="n">
        <v>4.6</v>
      </c>
      <c r="P4717" t="n">
        <v>796</v>
      </c>
      <c r="R4717" t="inlineStr">
        <is>
          <t>InStock</t>
        </is>
      </c>
      <c r="S4717" t="inlineStr">
        <is>
          <t>9.77</t>
        </is>
      </c>
      <c r="T4717" t="inlineStr">
        <is>
          <t>5286291046568</t>
        </is>
      </c>
    </row>
    <row r="4718" ht="87" customHeight="1">
      <c r="A4718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4718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4718" t="inlineStr">
        <is>
          <t>Diablo Tools DMARG1160 1/2 in. x 10 in. x 12 in. SPEEDemon™ Red Granite Carbide Tipped Hammer Drill Bit</t>
        </is>
      </c>
      <c r="D4718" t="inlineStr">
        <is>
          <t>Sabre Tools 4-Piece 12in SDS Plus Drill Bit Set, Carbide Tipped, Rotary Hammer Drill Bits for Brick, Stone, Concrete (1/4" x 12", 5/16" x 12", 3/8" x 12", 1/2" x 12")</t>
        </is>
      </c>
      <c r="E4718" s="2">
        <f>HYPERLINK("https://www.amazon.com/Sabre-Tools-4-Piece-Carbide-Concrete/dp/B08CXGVM6L/ref=sr_1_15?keywords=Diablo+Tools+DMARG1160+1%2F2+in.+x+10+in.+x+12+in.+SPEEDemon%E2%84%A2+Red+Granite+Carbide+Tipped+Hammer+Drill+Bit&amp;qid=1694735262&amp;sr=8-15", "https://www.amazon.com/Sabre-Tools-4-Piece-Carbide-Concrete/dp/B08CXGVM6L/ref=sr_1_15?keywords=Diablo+Tools+DMARG1160+1%2F2+in.+x+10+in.+x+12+in.+SPEEDemon%E2%84%A2+Red+Granite+Carbide+Tipped+Hammer+Drill+Bit&amp;qid=1694735262&amp;sr=8-15")</f>
        <v/>
      </c>
      <c r="F4718" t="inlineStr">
        <is>
          <t>B08CXGVM6L</t>
        </is>
      </c>
      <c r="G4718">
        <f>_xlfn.IMAGE("https://edmondsonsupply.com/cdn/shop/products/DMARG1160_Main-Image20200513.png?v=1633030651")</f>
        <v/>
      </c>
      <c r="H4718">
        <f>_xlfn.IMAGE("https://m.media-amazon.com/images/I/71TpOz07s9L._AC_UL320_.jpg")</f>
        <v/>
      </c>
      <c r="K4718" t="inlineStr">
        <is>
          <t>15.97</t>
        </is>
      </c>
      <c r="L4718" t="n">
        <v>25.99</v>
      </c>
      <c r="M4718" s="1" t="inlineStr">
        <is>
          <t>62.74%</t>
        </is>
      </c>
      <c r="N4718" s="7" t="n">
        <v>-19.99</v>
      </c>
      <c r="O4718" t="n">
        <v>4.6</v>
      </c>
      <c r="P4718" t="n">
        <v>245</v>
      </c>
      <c r="R4718" t="inlineStr">
        <is>
          <t>InStock</t>
        </is>
      </c>
      <c r="S4718" t="inlineStr">
        <is>
          <t>undefined</t>
        </is>
      </c>
      <c r="T4718" t="inlineStr">
        <is>
          <t>5740401164456</t>
        </is>
      </c>
    </row>
    <row r="4719" ht="87" customHeight="1">
      <c r="A4719" s="2">
        <f>HYPERLINK("https://edmondsonsupply.com/collections/electricians-tools/products/greenlee-613-2-foam-conduit-piston-set", "https://edmondsonsupply.com/collections/electricians-tools/products/greenlee-613-2-foam-conduit-piston-set")</f>
        <v/>
      </c>
      <c r="B4719" s="2">
        <f>HYPERLINK("https://edmondsonsupply.com/products/greenlee-613-2-foam-conduit-piston-set", "https://edmondsonsupply.com/products/greenlee-613-2-foam-conduit-piston-set")</f>
        <v/>
      </c>
      <c r="C4719" t="inlineStr">
        <is>
          <t>Greenlee 613 2" Foam Conduit Piston</t>
        </is>
      </c>
      <c r="D4719" t="inlineStr">
        <is>
          <t>Greenlee 613 Piston For 2" Conduit, 1 Pack by Greenlee</t>
        </is>
      </c>
      <c r="E4719" s="2">
        <f>HYPERLINK("https://www.amazon.com/Greenlee-613-Piston-Conduit-Pack/dp/B0184XZKN6/ref=sr_1_2?keywords=Greenlee+613+2%22+Foam+Conduit+Piston&amp;qid=1694735363&amp;sr=8-2", "https://www.amazon.com/Greenlee-613-Piston-Conduit-Pack/dp/B0184XZKN6/ref=sr_1_2?keywords=Greenlee+613+2%22+Foam+Conduit+Piston&amp;qid=1694735363&amp;sr=8-2")</f>
        <v/>
      </c>
      <c r="F4719" t="inlineStr">
        <is>
          <t>B0184XZKN6</t>
        </is>
      </c>
      <c r="G4719">
        <f>_xlfn.IMAGE("https://edmondsonsupply.com/cdn/shop/products/613.jpg?v=1587146980")</f>
        <v/>
      </c>
      <c r="H4719">
        <f>_xlfn.IMAGE("https://m.media-amazon.com/images/I/51w6IU+nu3L._AC_UL320_.jpg")</f>
        <v/>
      </c>
      <c r="K4719" t="inlineStr">
        <is>
          <t>17.69</t>
        </is>
      </c>
      <c r="L4719" t="n">
        <v>28.78</v>
      </c>
      <c r="M4719" s="1" t="inlineStr">
        <is>
          <t>62.69%</t>
        </is>
      </c>
      <c r="N4719" s="7" t="n">
        <v>-19.99</v>
      </c>
      <c r="O4719" t="n">
        <v>5</v>
      </c>
      <c r="P4719" t="n">
        <v>5</v>
      </c>
      <c r="R4719" t="inlineStr">
        <is>
          <t>InStock</t>
        </is>
      </c>
      <c r="S4719" t="inlineStr">
        <is>
          <t>18.5</t>
        </is>
      </c>
      <c r="T4719" t="inlineStr">
        <is>
          <t>4430326923364</t>
        </is>
      </c>
    </row>
    <row r="4720" ht="87" customHeight="1">
      <c r="A4720" s="2">
        <f>HYPERLINK("https://edmondsonsupply.com/collections/electricians-tools/products/klein-tools-d2000-28-diagonal-cutting-pliers-heavy-duty-high-leverage-8-inch", "https://edmondsonsupply.com/collections/electricians-tools/products/klein-tools-d2000-28-diagonal-cutting-pliers-heavy-duty-high-leverage-8-inch")</f>
        <v/>
      </c>
      <c r="B4720" s="2">
        <f>HYPERLINK("https://edmondsonsupply.com/products/klein-tools-d2000-28-diagonal-cutting-pliers-heavy-duty-high-leverage-8-inch", "https://edmondsonsupply.com/products/klein-tools-d2000-28-diagonal-cutting-pliers-heavy-duty-high-leverage-8-inch")</f>
        <v/>
      </c>
      <c r="C4720" t="inlineStr">
        <is>
          <t>Klein Tools D2000-28 Diagonal Cutting Pliers, Heavy-Duty, High-Leverage, 8-Inch</t>
        </is>
      </c>
      <c r="D4720" t="inlineStr">
        <is>
          <t>Klein Tools D2000-28-INS Pliers, Insulated Diagonal Cutting Pliers with 1000V Rated Grips, Heavy-Duty High-Leverage Cutters, 8-Inch</t>
        </is>
      </c>
      <c r="E4720" s="2">
        <f>HYPERLINK("https://www.amazon.com/Diagonal-Cutting-Insulated-Klein-Tools-D2000-28-INS/dp/B00093DXUC/ref=sr_1_3?keywords=Klein+Tools+D2000-28+Diagonal+Cutting+Pliers%2C+Heavy-Duty%2C+High-Leverage%2C+8-Inch&amp;qid=1694735230&amp;sr=8-3", "https://www.amazon.com/Diagonal-Cutting-Insulated-Klein-Tools-D2000-28-INS/dp/B00093DXUC/ref=sr_1_3?keywords=Klein+Tools+D2000-28+Diagonal+Cutting+Pliers%2C+Heavy-Duty%2C+High-Leverage%2C+8-Inch&amp;qid=1694735230&amp;sr=8-3")</f>
        <v/>
      </c>
      <c r="F4720" t="inlineStr">
        <is>
          <t>B00093DXUC</t>
        </is>
      </c>
      <c r="G4720">
        <f>_xlfn.IMAGE("https://edmondsonsupply.com/cdn/shop/products/d200028.jpg?v=1633030882")</f>
        <v/>
      </c>
      <c r="H4720">
        <f>_xlfn.IMAGE("https://m.media-amazon.com/images/I/41b4ykuTkcL._AC_UL320_.jpg")</f>
        <v/>
      </c>
      <c r="K4720" t="inlineStr">
        <is>
          <t>34.99</t>
        </is>
      </c>
      <c r="L4720" t="n">
        <v>56.91</v>
      </c>
      <c r="M4720" s="1" t="inlineStr">
        <is>
          <t>62.65%</t>
        </is>
      </c>
      <c r="N4720" s="7" t="n">
        <v>-19.99</v>
      </c>
      <c r="O4720" t="n">
        <v>4.4</v>
      </c>
      <c r="P4720" t="n">
        <v>68</v>
      </c>
      <c r="R4720" t="inlineStr">
        <is>
          <t>InStock</t>
        </is>
      </c>
      <c r="S4720" t="inlineStr">
        <is>
          <t>53.0</t>
        </is>
      </c>
      <c r="T4720" t="inlineStr">
        <is>
          <t>6183860568237</t>
        </is>
      </c>
    </row>
    <row r="4721" ht="87" customHeight="1">
      <c r="A4721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4721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4721" t="inlineStr">
        <is>
          <t>Klein Tools 69149P Test Kit with Multimeter, Non-Contact Volt Tester, Receptacle Tester</t>
        </is>
      </c>
      <c r="D4721" t="inlineStr">
        <is>
          <t>Klein Tools 80067 Electrical Test Kit with IR Digital Thermometer, Multimeter, Non-Contact Voltage Tester Pen and Receptacle Tester, Green,Red, 4-Piece</t>
        </is>
      </c>
      <c r="E4721" s="2">
        <f>HYPERLINK("https://www.amazon.com/Klein-Tools-80067-Thermometer-Non-Contact/dp/B0B11NG8XM/ref=sr_1_11?keywords=Klein+Tools+69149P+Test+Kit+with+Multimeter%2C+Non-Contact+Volt+Tester%2C+Receptacle+Tester&amp;qid=1694735230&amp;sr=8-11", "https://www.amazon.com/Klein-Tools-80067-Thermometer-Non-Contact/dp/B0B11NG8XM/ref=sr_1_11?keywords=Klein+Tools+69149P+Test+Kit+with+Multimeter%2C+Non-Contact+Volt+Tester%2C+Receptacle+Tester&amp;qid=1694735230&amp;sr=8-11")</f>
        <v/>
      </c>
      <c r="F4721" t="inlineStr">
        <is>
          <t>B0B11NG8XM</t>
        </is>
      </c>
      <c r="G4721">
        <f>_xlfn.IMAGE("https://edmondsonsupply.com/cdn/shop/products/69149p.jpg?v=1664479017")</f>
        <v/>
      </c>
      <c r="H4721">
        <f>_xlfn.IMAGE("https://m.media-amazon.com/images/I/61M3CphXgvL._AC_UL320_.jpg")</f>
        <v/>
      </c>
      <c r="K4721" t="inlineStr">
        <is>
          <t>39.97</t>
        </is>
      </c>
      <c r="L4721" t="n">
        <v>64.98999999999999</v>
      </c>
      <c r="M4721" s="1" t="inlineStr">
        <is>
          <t>62.60%</t>
        </is>
      </c>
      <c r="N4721" s="7" t="n">
        <v>-19.99</v>
      </c>
      <c r="O4721" t="n">
        <v>4.5</v>
      </c>
      <c r="P4721" t="n">
        <v>29</v>
      </c>
      <c r="R4721" t="inlineStr">
        <is>
          <t>InStock</t>
        </is>
      </c>
      <c r="S4721" t="inlineStr">
        <is>
          <t>63.9</t>
        </is>
      </c>
      <c r="T4721" t="inlineStr">
        <is>
          <t>6584860606637</t>
        </is>
      </c>
    </row>
    <row r="4722" hidden="1" ht="15.75" customHeight="1">
      <c r="A4722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722" s="2">
        <f>HYPERLINK("https://edmondsonsupply.com/products/klein-tools-s10-5-16-inch-nut-driver-3-inch-hollow-shaft", "https://edmondsonsupply.com/products/klein-tools-s10-5-16-inch-nut-driver-3-inch-hollow-shaft")</f>
        <v/>
      </c>
      <c r="C4722" t="inlineStr">
        <is>
          <t>Klein Tools S10 5/16-Inch Nut Driver 3-Inch Hollow Shaft</t>
        </is>
      </c>
      <c r="D4722" t="inlineStr">
        <is>
          <t>Klein Tools 640-7/16 7/16-Inch Coated Nut Driver with 3-Inch Hollow Shaft and Cushion Grip Handle</t>
        </is>
      </c>
      <c r="E4722" s="2">
        <f>HYPERLINK("https://www.amazon.com/16-Inch-Klein-Tools-640-7-16/dp/B00093DZYG/ref=sr_1_14?keywords=Klein+Tools+S10+5%2F16-Inch+Nut+Driver+3-Inch+Hollow+Shaft&amp;qid=1694735234&amp;sr=8-14", "https://www.amazon.com/16-Inch-Klein-Tools-640-7-16/dp/B00093DZYG/ref=sr_1_14?keywords=Klein+Tools+S10+5%2F16-Inch+Nut+Driver+3-Inch+Hollow+Shaft&amp;qid=1694735234&amp;sr=8-14")</f>
        <v/>
      </c>
      <c r="F4722" t="inlineStr">
        <is>
          <t>B00093DZYG</t>
        </is>
      </c>
      <c r="G4722">
        <f>_xludf.IMAGE("https://edmondsonsupply.com/cdn/shop/products/s10_38acacb8-6c8e-49ef-8ed3-7160ab53875a.jpg?v=1633030893")</f>
        <v/>
      </c>
      <c r="H4722">
        <f>_xludf.IMAGE("https://m.media-amazon.com/images/I/61eCMBwqqTL._AC_UL320_.jpg")</f>
        <v/>
      </c>
      <c r="K4722" t="inlineStr">
        <is>
          <t>7.99</t>
        </is>
      </c>
      <c r="L4722" t="n">
        <v>12.99</v>
      </c>
      <c r="M4722" s="1" t="inlineStr">
        <is>
          <t>62.58%</t>
        </is>
      </c>
      <c r="N4722" s="1" t="n">
        <v>-20</v>
      </c>
      <c r="O4722" t="n">
        <v>4.1</v>
      </c>
      <c r="P4722" t="n">
        <v>20</v>
      </c>
      <c r="R4722" t="inlineStr">
        <is>
          <t>InStock</t>
        </is>
      </c>
      <c r="S4722" t="inlineStr">
        <is>
          <t>12.06</t>
        </is>
      </c>
      <c r="T4722" t="inlineStr">
        <is>
          <t>6223447031981</t>
        </is>
      </c>
    </row>
    <row r="4723" hidden="1" ht="15.75" customHeight="1">
      <c r="A4723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723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723" t="inlineStr">
        <is>
          <t>Klein Tools JTH9E13 1/4-Inch Hex Key with Journeyman T-Handle, 9-Inch</t>
        </is>
      </c>
      <c r="D4723" t="inlineStr">
        <is>
          <t>Klein Tools JTH6E13BE 1/4-Inch Ball End Hex Key with Journeyman T-Handle, 6-Inch</t>
        </is>
      </c>
      <c r="E4723" s="2">
        <f>HYPERLINK("https://www.amazon.com/Journeyman-T-Handle-Klein-Tools-JTH6E13BE/dp/B004QW52YW/ref=sr_1_5?keywords=Klein+Tools+JTH9E13+1%2F4-Inch+Hex+Key+with+Journeyman+T-Handle%2C+9-Inch&amp;qid=1694735245&amp;sr=8-5", "https://www.amazon.com/Journeyman-T-Handle-Klein-Tools-JTH6E13BE/dp/B004QW52YW/ref=sr_1_5?keywords=Klein+Tools+JTH9E13+1%2F4-Inch+Hex+Key+with+Journeyman+T-Handle%2C+9-Inch&amp;qid=1694735245&amp;sr=8-5")</f>
        <v/>
      </c>
      <c r="F4723" t="inlineStr">
        <is>
          <t>B004QW52YW</t>
        </is>
      </c>
      <c r="G4723">
        <f>_xludf.IMAGE("https://edmondsonsupply.com/cdn/shop/products/jth9e12_7dcdbf9a-5acd-4824-8919-6aeb4a790072.jpg?v=1604060723")</f>
        <v/>
      </c>
      <c r="H4723">
        <f>_xludf.IMAGE("https://m.media-amazon.com/images/I/51f9vBFVXgL._AC_UL320_.jpg")</f>
        <v/>
      </c>
      <c r="K4723" t="inlineStr">
        <is>
          <t>6.49</t>
        </is>
      </c>
      <c r="L4723" t="n">
        <v>10.55</v>
      </c>
      <c r="M4723" s="1" t="inlineStr">
        <is>
          <t>62.56%</t>
        </is>
      </c>
      <c r="N4723" s="1" t="n">
        <v>-20</v>
      </c>
      <c r="O4723" t="n">
        <v>4.7</v>
      </c>
      <c r="P4723" t="n">
        <v>32</v>
      </c>
      <c r="R4723" t="inlineStr">
        <is>
          <t>InStock</t>
        </is>
      </c>
      <c r="S4723" t="inlineStr">
        <is>
          <t>9.84</t>
        </is>
      </c>
      <c r="T4723" t="inlineStr">
        <is>
          <t>5999069462696</t>
        </is>
      </c>
    </row>
    <row r="4724" ht="87" customHeight="1">
      <c r="A4724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4724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4724" t="inlineStr">
        <is>
          <t>Diablo Tools DOU125JBW 1-1/4 in. Universal Fit Bi-Metal Oscillating Blades for Clean Wood</t>
        </is>
      </c>
      <c r="D4724" t="inlineStr">
        <is>
          <t>Diablo by Freud DOU125JBW3 1-1/4 in. Universal Fit Bi-Metal Oscillating Blades for Clean Wood (3-Pack)</t>
        </is>
      </c>
      <c r="E4724" s="2">
        <f>HYPERLINK("https://www.amazon.com/Diablo-Freud-DOU125JBW3-Universal-Oscillating/dp/B089KX3SWM/ref=sr_1_2?keywords=Diablo+Tools+DOU125JBW+1-1%2F4+in.+Universal+Fit+Bi-Metal+Oscillating+Blades+for+Clean+Wood&amp;qid=1694735180&amp;sr=8-2", "https://www.amazon.com/Diablo-Freud-DOU125JBW3-Universal-Oscillating/dp/B089KX3SWM/ref=sr_1_2?keywords=Diablo+Tools+DOU125JBW+1-1%2F4+in.+Universal+Fit+Bi-Metal+Oscillating+Blades+for+Clean+Wood&amp;qid=1694735180&amp;sr=8-2")</f>
        <v/>
      </c>
      <c r="F4724" t="inlineStr">
        <is>
          <t>B089KX3SWM</t>
        </is>
      </c>
      <c r="G4724">
        <f>_xlfn.IMAGE("https://edmondsonsupply.com/cdn/shop/products/DOU125JBW_Main-Image.png?v=1633638363")</f>
        <v/>
      </c>
      <c r="H4724">
        <f>_xlfn.IMAGE("https://m.media-amazon.com/images/I/61wFHtmEH5L._AC_UL320_.jpg")</f>
        <v/>
      </c>
      <c r="K4724" t="inlineStr">
        <is>
          <t>17.97</t>
        </is>
      </c>
      <c r="L4724" t="n">
        <v>29.19</v>
      </c>
      <c r="M4724" s="1" t="inlineStr">
        <is>
          <t>62.44%</t>
        </is>
      </c>
      <c r="N4724" s="7" t="n">
        <v>-20.01</v>
      </c>
      <c r="O4724" t="n">
        <v>4.5</v>
      </c>
      <c r="P4724" t="n">
        <v>48</v>
      </c>
      <c r="R4724" t="inlineStr">
        <is>
          <t>InStock</t>
        </is>
      </c>
      <c r="S4724" t="inlineStr">
        <is>
          <t>22.35</t>
        </is>
      </c>
      <c r="T4724" t="inlineStr">
        <is>
          <t>7000455807149</t>
        </is>
      </c>
    </row>
    <row r="4725" ht="87" customHeight="1">
      <c r="A4725" s="2">
        <f>HYPERLINK("https://edmondsonsupply.com/collections/electricians-tools/products/diablo-tools-dou125bw", "https://edmondsonsupply.com/collections/electricians-tools/products/diablo-tools-dou125bw")</f>
        <v/>
      </c>
      <c r="B4725" s="2">
        <f>HYPERLINK("https://edmondsonsupply.com/products/diablo-tools-dou125bw", "https://edmondsonsupply.com/products/diablo-tools-dou125bw")</f>
        <v/>
      </c>
      <c r="C4725" t="inlineStr">
        <is>
          <t>Diablo Tools DOU125BW 1-1/4 in. Universal Fit Bi-Metal Oscillating Blade for Nail-Embedded Wood</t>
        </is>
      </c>
      <c r="D4725" t="inlineStr">
        <is>
          <t>Diablo by Freud DOU125JBW3 1-1/4 in. Universal Fit Bi-Metal Oscillating Blades for Clean Wood (3-Pack)</t>
        </is>
      </c>
      <c r="E4725" s="2">
        <f>HYPERLINK("https://www.amazon.com/Diablo-Freud-DOU125JBW3-Universal-Oscillating/dp/B089KX3SWM/ref=sr_1_7?keywords=Diablo+Tools+DOU125BW+1-1%2F4+in.+Universal+Fit+Bi-Metal+Oscillating+Blade+for+Nail-Embedded+Wood&amp;qid=1694735198&amp;sr=8-7", "https://www.amazon.com/Diablo-Freud-DOU125JBW3-Universal-Oscillating/dp/B089KX3SWM/ref=sr_1_7?keywords=Diablo+Tools+DOU125BW+1-1%2F4+in.+Universal+Fit+Bi-Metal+Oscillating+Blade+for+Nail-Embedded+Wood&amp;qid=1694735198&amp;sr=8-7")</f>
        <v/>
      </c>
      <c r="F4725" t="inlineStr">
        <is>
          <t>B089KX3SWM</t>
        </is>
      </c>
      <c r="G4725">
        <f>_xlfn.IMAGE("https://edmondsonsupply.com/cdn/shop/products/gnn0wpqc8veb3qhldcrb.webp?v=1676040020")</f>
        <v/>
      </c>
      <c r="H4725">
        <f>_xlfn.IMAGE("https://m.media-amazon.com/images/I/61wFHtmEH5L._AC_UL320_.jpg")</f>
        <v/>
      </c>
      <c r="K4725" t="inlineStr">
        <is>
          <t>17.97</t>
        </is>
      </c>
      <c r="L4725" t="n">
        <v>29.19</v>
      </c>
      <c r="M4725" s="1" t="inlineStr">
        <is>
          <t>62.44%</t>
        </is>
      </c>
      <c r="N4725" s="7" t="n">
        <v>-20.01</v>
      </c>
      <c r="O4725" t="n">
        <v>4.5</v>
      </c>
      <c r="P4725" t="n">
        <v>48</v>
      </c>
      <c r="R4725" t="inlineStr">
        <is>
          <t>InStock</t>
        </is>
      </c>
      <c r="S4725" t="inlineStr">
        <is>
          <t>22.79</t>
        </is>
      </c>
      <c r="T4725" t="inlineStr">
        <is>
          <t>6846081433773</t>
        </is>
      </c>
    </row>
    <row r="4726" ht="87" customHeight="1">
      <c r="A4726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4726" s="2">
        <f>HYPERLINK("https://edmondsonsupply.com/products/klein-tools-d2000-9ne-linemans-pliers-9-inch", "https://edmondsonsupply.com/products/klein-tools-d2000-9ne-linemans-pliers-9-inch")</f>
        <v/>
      </c>
      <c r="C4726" t="inlineStr">
        <is>
          <t>Klein Tools D2000-9NE Lineman's Pliers, 9-Inch</t>
        </is>
      </c>
      <c r="D4726" t="inlineStr">
        <is>
          <t>Klein Tools D213-9NE Pliers, 9-Inch Side Cutters &amp; D248-9ST Pliers, Ironworker's Diagonal Cutting Pliers with High Leverage Design Works as Rebar Cutter and Rebar Bender, 9-Inch</t>
        </is>
      </c>
      <c r="E4726" s="2">
        <f>HYPERLINK("https://www.amazon.com/Klein-Tools-D213-9NE-D248-9ST-Ironworkers/dp/B0BC86993Y/ref=sr_1_21?keywords=Klein+Tools+D2000-9NE+Linemans+Pliers%2C+9-Inch&amp;qid=1694735236&amp;sr=8-21", "https://www.amazon.com/Klein-Tools-D213-9NE-D248-9ST-Ironworkers/dp/B0BC86993Y/ref=sr_1_21?keywords=Klein+Tools+D2000-9NE+Linemans+Pliers%2C+9-Inch&amp;qid=1694735236&amp;sr=8-21")</f>
        <v/>
      </c>
      <c r="F4726" t="inlineStr">
        <is>
          <t>B0BC86993Y</t>
        </is>
      </c>
      <c r="G4726">
        <f>_xlfn.IMAGE("https://edmondsonsupply.com/cdn/shop/products/d20009ne.jpg?v=1633030816")</f>
        <v/>
      </c>
      <c r="H4726">
        <f>_xlfn.IMAGE("https://m.media-amazon.com/images/I/31CgqZDGKOL._AC_UL320_.jpg")</f>
        <v/>
      </c>
      <c r="K4726" t="inlineStr">
        <is>
          <t>39.99</t>
        </is>
      </c>
      <c r="L4726" t="n">
        <v>64.94</v>
      </c>
      <c r="M4726" s="1" t="inlineStr">
        <is>
          <t>62.39%</t>
        </is>
      </c>
      <c r="N4726" s="7" t="n">
        <v>-20.01</v>
      </c>
      <c r="O4726" t="n">
        <v>5</v>
      </c>
      <c r="P4726" t="n">
        <v>1</v>
      </c>
      <c r="R4726" t="inlineStr">
        <is>
          <t>InStock</t>
        </is>
      </c>
      <c r="S4726" t="inlineStr">
        <is>
          <t>62.04</t>
        </is>
      </c>
      <c r="T4726" t="inlineStr">
        <is>
          <t>6070895411373</t>
        </is>
      </c>
    </row>
    <row r="4727" ht="87" customHeight="1">
      <c r="A4727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4727" s="2">
        <f>HYPERLINK("https://edmondsonsupply.com/products/klein-tools-635-3-8-3-8-inch-heavy-duty-nut-driver", "https://edmondsonsupply.com/products/klein-tools-635-3-8-3-8-inch-heavy-duty-nut-driver")</f>
        <v/>
      </c>
      <c r="C4727" t="inlineStr">
        <is>
          <t>Klein Tools 635-3/8 3/8-Inch Heavy-Duty Nut Driver</t>
        </is>
      </c>
      <c r="D4727" t="inlineStr">
        <is>
          <t>Klein Tools 646-3/8-INS 3/8-Inch Hex Insulated Nut Driver with 6-Inch Hollow Shaft and Cushion Grip Handle</t>
        </is>
      </c>
      <c r="E4727" s="2">
        <f>HYPERLINK("https://www.amazon.com/Insulated-Klein-Tools-646-3-8-INS/dp/B000MKH62I/ref=sr_1_16?keywords=Klein+Tools+635-3%2F8+3%2F8-Inch+Heavy-Duty+Nut+Driver&amp;qid=1694735241&amp;sr=8-16", "https://www.amazon.com/Insulated-Klein-Tools-646-3-8-INS/dp/B000MKH62I/ref=sr_1_16?keywords=Klein+Tools+635-3%2F8+3%2F8-Inch+Heavy-Duty+Nut+Driver&amp;qid=1694735241&amp;sr=8-16")</f>
        <v/>
      </c>
      <c r="F4727" t="inlineStr">
        <is>
          <t>B000MKH62I</t>
        </is>
      </c>
      <c r="G4727">
        <f>_xlfn.IMAGE("https://edmondsonsupply.com/cdn/shop/products/635-3-8.jpg?v=1633030895")</f>
        <v/>
      </c>
      <c r="H4727">
        <f>_xlfn.IMAGE("https://m.media-amazon.com/images/I/613x9jx46fL._AC_UL320_.jpg")</f>
        <v/>
      </c>
      <c r="K4727" t="inlineStr">
        <is>
          <t>12.99</t>
        </is>
      </c>
      <c r="L4727" t="n">
        <v>21.07</v>
      </c>
      <c r="M4727" s="1" t="inlineStr">
        <is>
          <t>62.20%</t>
        </is>
      </c>
      <c r="N4727" s="7" t="n">
        <v>-20.01</v>
      </c>
      <c r="O4727" t="n">
        <v>4.7</v>
      </c>
      <c r="P4727" t="n">
        <v>272</v>
      </c>
      <c r="R4727" t="inlineStr">
        <is>
          <t>InStock</t>
        </is>
      </c>
      <c r="S4727" t="inlineStr">
        <is>
          <t>19.68</t>
        </is>
      </c>
      <c r="T4727" t="inlineStr">
        <is>
          <t>6228534952109</t>
        </is>
      </c>
    </row>
    <row r="4728" ht="87" customHeight="1">
      <c r="A4728" s="2">
        <f>HYPERLINK("https://edmondsonsupply.com/collections/electricians-tools/products/klein-tools-65131-2-in-1-nut-driver-hex-head-slide-drive%E2%84%A2-1-1-2-inch", "https://edmondsonsupply.com/collections/electricians-tools/products/klein-tools-65131-2-in-1-nut-driver-hex-head-slide-drive%E2%84%A2-1-1-2-inch")</f>
        <v/>
      </c>
      <c r="B4728" s="2">
        <f>HYPERLINK("https://edmondsonsupply.com/products/klein-tools-65131-2-in-1-nut-driver-hex-head-slide-drive%e2%84%a2-1-1-2-inch", "https://edmondsonsupply.com/products/klein-tools-65131-2-in-1-nut-driver-hex-head-slide-drive%e2%84%a2-1-1-2-inch")</f>
        <v/>
      </c>
      <c r="C4728" t="inlineStr">
        <is>
          <t>Klein Tools 65131 2-in-1 Nut Driver, Hex Head Slide Drive™, 1-1/2-Inch</t>
        </is>
      </c>
      <c r="D4728" t="inlineStr">
        <is>
          <t>Klein Tools 80065 Schrader Driver Kit with Multi-Bit 11-in-1 Screwdriver / Nut Driver and 2-in-1 Nut Driver, Hex Head Slide Drive, 2-Piece</t>
        </is>
      </c>
      <c r="E4728" s="2">
        <f>HYPERLINK("https://www.amazon.com/Klein-Tools-80065-Multi-Bit-Screwdriver/dp/B09SGPJ79X/ref=sr_1_4?keywords=Klein+Tools+65131+2-in-1+Nut+Driver%2C+Hex+Head+Slide+Drive%E2%84%A2%2C+1-1%2F2-Inch&amp;qid=1694735135&amp;sr=8-4", "https://www.amazon.com/Klein-Tools-80065-Multi-Bit-Screwdriver/dp/B09SGPJ79X/ref=sr_1_4?keywords=Klein+Tools+65131+2-in-1+Nut+Driver%2C+Hex+Head+Slide+Drive%E2%84%A2%2C+1-1%2F2-Inch&amp;qid=1694735135&amp;sr=8-4")</f>
        <v/>
      </c>
      <c r="F4728" t="inlineStr">
        <is>
          <t>B09SGPJ79X</t>
        </is>
      </c>
      <c r="G4728">
        <f>_xlfn.IMAGE("https://edmondsonsupply.com/cdn/shop/products/65131.jpg?v=1660742745")</f>
        <v/>
      </c>
      <c r="H4728">
        <f>_xlfn.IMAGE("https://m.media-amazon.com/images/I/41GX7DrqSFL._AC_UL320_.jpg")</f>
        <v/>
      </c>
      <c r="K4728" t="inlineStr">
        <is>
          <t>18.49</t>
        </is>
      </c>
      <c r="L4728" t="n">
        <v>29.99</v>
      </c>
      <c r="M4728" s="1" t="inlineStr">
        <is>
          <t>62.20%</t>
        </is>
      </c>
      <c r="N4728" s="7" t="n">
        <v>-20.03</v>
      </c>
      <c r="O4728" t="n">
        <v>4.8</v>
      </c>
      <c r="P4728" t="n">
        <v>4201</v>
      </c>
      <c r="R4728" t="inlineStr">
        <is>
          <t>InStock</t>
        </is>
      </c>
      <c r="S4728" t="inlineStr">
        <is>
          <t>23.68</t>
        </is>
      </c>
      <c r="T4728" t="inlineStr">
        <is>
          <t>7783466500312</t>
        </is>
      </c>
    </row>
    <row r="4729" ht="87" customHeight="1">
      <c r="A4729" s="2">
        <f>HYPERLINK("https://edmondsonsupply.com/collections/electricians-tools/products/klein-tools-65131-2-in-1-nut-driver-hex-head-slide-drive%E2%84%A2-1-1-2-inch", "https://edmondsonsupply.com/collections/electricians-tools/products/klein-tools-65131-2-in-1-nut-driver-hex-head-slide-drive%E2%84%A2-1-1-2-inch")</f>
        <v/>
      </c>
      <c r="B4729" s="2">
        <f>HYPERLINK("https://edmondsonsupply.com/products/klein-tools-65131-2-in-1-nut-driver-hex-head-slide-drive%e2%84%a2-1-1-2-inch", "https://edmondsonsupply.com/products/klein-tools-65131-2-in-1-nut-driver-hex-head-slide-drive%e2%84%a2-1-1-2-inch")</f>
        <v/>
      </c>
      <c r="C4729" t="inlineStr">
        <is>
          <t>Klein Tools 65131 2-in-1 Nut Driver, Hex Head Slide Drive™, 1-1/2-Inch</t>
        </is>
      </c>
      <c r="D4729" t="inlineStr">
        <is>
          <t>Klein Tools 32807MAG 7-in-1 Nut Driver, Magnetic Driver has SAE Hex Nut Sizes 1/4 to 9/16-Inch, Cushion Grip Handle for Added Torque</t>
        </is>
      </c>
      <c r="E4729" s="2">
        <f>HYPERLINK("https://www.amazon.com/Driver-Magnetic-Klein-Tools-32807MAG/dp/B07D4M51DQ/ref=sr_1_7?keywords=Klein+Tools+65131+2-in-1+Nut+Driver%2C+Hex+Head+Slide+Drive%E2%84%A2%2C+1-1%2F2-Inch&amp;qid=1694735135&amp;sr=8-7", "https://www.amazon.com/Driver-Magnetic-Klein-Tools-32807MAG/dp/B07D4M51DQ/ref=sr_1_7?keywords=Klein+Tools+65131+2-in-1+Nut+Driver%2C+Hex+Head+Slide+Drive%E2%84%A2%2C+1-1%2F2-Inch&amp;qid=1694735135&amp;sr=8-7")</f>
        <v/>
      </c>
      <c r="F4729" t="inlineStr">
        <is>
          <t>B07D4M51DQ</t>
        </is>
      </c>
      <c r="G4729">
        <f>_xlfn.IMAGE("https://edmondsonsupply.com/cdn/shop/products/65131.jpg?v=1660742745")</f>
        <v/>
      </c>
      <c r="H4729">
        <f>_xlfn.IMAGE("https://m.media-amazon.com/images/I/61gwAJBzDAL._AC_UL320_.jpg")</f>
        <v/>
      </c>
      <c r="K4729" t="inlineStr">
        <is>
          <t>18.49</t>
        </is>
      </c>
      <c r="L4729" t="n">
        <v>29.97</v>
      </c>
      <c r="M4729" s="1" t="inlineStr">
        <is>
          <t>62.09%</t>
        </is>
      </c>
      <c r="N4729" s="7" t="n">
        <v>-20.03</v>
      </c>
      <c r="O4729" t="n">
        <v>4.7</v>
      </c>
      <c r="P4729" t="n">
        <v>9145</v>
      </c>
      <c r="R4729" t="inlineStr">
        <is>
          <t>InStock</t>
        </is>
      </c>
      <c r="S4729" t="inlineStr">
        <is>
          <t>23.68</t>
        </is>
      </c>
      <c r="T4729" t="inlineStr">
        <is>
          <t>7783466500312</t>
        </is>
      </c>
    </row>
    <row r="4730" ht="87" customHeight="1">
      <c r="A4730" s="2">
        <f>HYPERLINK("https://edmondsonsupply.com/collections/electricians-tools/products/rack-a-tiers-52455-staple-shark", "https://edmondsonsupply.com/collections/electricians-tools/products/rack-a-tiers-52455-staple-shark")</f>
        <v/>
      </c>
      <c r="B4730" s="2">
        <f>HYPERLINK("https://edmondsonsupply.com/products/rack-a-tiers-52455-staple-shark", "https://edmondsonsupply.com/products/rack-a-tiers-52455-staple-shark")</f>
        <v/>
      </c>
      <c r="C4730" t="inlineStr">
        <is>
          <t>Rack-A-Tiers 52455 Staple Shark, Staple Remover</t>
        </is>
      </c>
      <c r="D4730" t="inlineStr">
        <is>
          <t>Rack-A-Tiers Staple Shark - Multi-Purpose Staple Puller, Staple Remover (52455)</t>
        </is>
      </c>
      <c r="E4730" s="2">
        <f>HYPERLINK("https://www.amazon.com/Rack-Tiers-Multi-Purpose-Removes-Staples/dp/B0087TBOGK/ref=sr_1_1?keywords=Rack-A-Tiers+52455+Staple+Shark%2C+Staple+Remover&amp;qid=1694734978&amp;sr=8-1", "https://www.amazon.com/Rack-Tiers-Multi-Purpose-Removes-Staples/dp/B0087TBOGK/ref=sr_1_1?keywords=Rack-A-Tiers+52455+Staple+Shark%2C+Staple+Remover&amp;qid=1694734978&amp;sr=8-1")</f>
        <v/>
      </c>
      <c r="F4730" t="inlineStr">
        <is>
          <t>B0087TBOGK</t>
        </is>
      </c>
      <c r="G4730">
        <f>_xlfn.IMAGE("https://edmondsonsupply.com/cdn/shop/products/rack-a-tiers-specialty-hand-tools-52455-64_1000.jpg?v=1587148968")</f>
        <v/>
      </c>
      <c r="H4730">
        <f>_xlfn.IMAGE("https://m.media-amazon.com/images/I/51aUldoAfJL._AC_UL320_.jpg")</f>
        <v/>
      </c>
      <c r="K4730" t="inlineStr">
        <is>
          <t>13.49</t>
        </is>
      </c>
      <c r="L4730" t="n">
        <v>21.86</v>
      </c>
      <c r="M4730" s="1" t="inlineStr">
        <is>
          <t>62.05%</t>
        </is>
      </c>
      <c r="N4730" s="7" t="n">
        <v>-20.03</v>
      </c>
      <c r="O4730" t="n">
        <v>4.6</v>
      </c>
      <c r="P4730" t="n">
        <v>556</v>
      </c>
      <c r="R4730" t="inlineStr">
        <is>
          <t>InStock</t>
        </is>
      </c>
      <c r="S4730" t="inlineStr">
        <is>
          <t>14.49</t>
        </is>
      </c>
      <c r="T4730" t="inlineStr">
        <is>
          <t>3339134369892</t>
        </is>
      </c>
    </row>
    <row r="4731" ht="87" customHeight="1">
      <c r="A4731" s="2">
        <f>HYPERLINK("https://edmondsonsupply.com/collections/electricians-tools/products/crescent-tools-cx6dbs2-2-pc-x6%E2%84%A2-4-in-1-black-oxide-spline-ratcheting-sae-wrench-set", "https://edmondsonsupply.com/collections/electricians-tools/products/crescent-tools-cx6dbs2-2-pc-x6%E2%84%A2-4-in-1-black-oxide-spline-ratcheting-sae-wrench-set")</f>
        <v/>
      </c>
      <c r="B4731" s="2">
        <f>HYPERLINK("https://edmondsonsupply.com/products/crescent-tools-cx6dbs2-2-pc-x6%e2%84%a2-4-in-1-black-oxide-spline-ratcheting-sae-wrench-set", "https://edmondsonsupply.com/products/crescent-tools-cx6dbs2-2-pc-x6%e2%84%a2-4-in-1-black-oxide-spline-ratcheting-sae-wrench-set")</f>
        <v/>
      </c>
      <c r="C4731" t="inlineStr">
        <is>
          <t>Crescent Tools CX6DBS2 2 Pc. X6™ 4-in-1 Black Oxide Spline Ratcheting SAE Wrench Set</t>
        </is>
      </c>
      <c r="D4731" t="inlineStr">
        <is>
          <t>Crescent 2 Pc. X6 4-in-1 Black Oxide Spline Ratcheting SAE Wrench Set - CX6DBS2 &amp; Crescent CX6DBM2 Home Hand Tools Wrenches Ratchet Sets</t>
        </is>
      </c>
      <c r="E4731" s="2">
        <f>HYPERLINK("https://www.amazon.com/Crescent-Black-Spline-Ratcheting-Wrench/dp/B0874GFK5Y/ref=sr_1_1?keywords=Crescent+Tools+CX6DBS2+2+Pc.+X6%E2%84%A2+4-in-1+Black+Oxide+Spline+Ratcheting+SAE+Wrench+Set&amp;qid=1694734997&amp;sr=8-1", "https://www.amazon.com/Crescent-Black-Spline-Ratcheting-Wrench/dp/B0874GFK5Y/ref=sr_1_1?keywords=Crescent+Tools+CX6DBS2+2+Pc.+X6%E2%84%A2+4-in-1+Black+Oxide+Spline+Ratcheting+SAE+Wrench+Set&amp;qid=1694734997&amp;sr=8-1")</f>
        <v/>
      </c>
      <c r="F4731" t="inlineStr">
        <is>
          <t>B0874GFK5Y</t>
        </is>
      </c>
      <c r="G4731">
        <f>_xlfn.IMAGE("https://edmondsonsupply.com/cdn/shop/products/CRS_CX6DBS2_FRNT_MAIN.jpg?v=1681319485")</f>
        <v/>
      </c>
      <c r="H4731">
        <f>_xlfn.IMAGE("https://m.media-amazon.com/images/I/51OikbHFTxL._AC_UL320_.jpg")</f>
        <v/>
      </c>
      <c r="K4731" t="inlineStr">
        <is>
          <t>33.98</t>
        </is>
      </c>
      <c r="L4731" t="n">
        <v>55.05</v>
      </c>
      <c r="M4731" s="1" t="inlineStr">
        <is>
          <t>62.01%</t>
        </is>
      </c>
      <c r="N4731" s="7" t="n">
        <v>-20.09</v>
      </c>
      <c r="O4731" t="n">
        <v>4.4</v>
      </c>
      <c r="P4731" t="n">
        <v>10</v>
      </c>
      <c r="R4731" t="inlineStr">
        <is>
          <t>InStock</t>
        </is>
      </c>
      <c r="S4731" t="inlineStr">
        <is>
          <t>60.67</t>
        </is>
      </c>
      <c r="T4731" t="inlineStr">
        <is>
          <t>7977587376344</t>
        </is>
      </c>
    </row>
    <row r="4732" ht="87" customHeight="1">
      <c r="A4732" s="2">
        <f>HYPERLINK("https://edmondsonsupply.com/collections/electricians-tools/products/milwaukee-48-22-8485-packout%E2%84%A2-mounting-plate", "https://edmondsonsupply.com/collections/electricians-tools/products/milwaukee-48-22-8485-packout%E2%84%A2-mounting-plate")</f>
        <v/>
      </c>
      <c r="B4732" s="2">
        <f>HYPERLINK("https://edmondsonsupply.com/products/milwaukee-48-22-8485-packout%e2%84%a2-mounting-plate", "https://edmondsonsupply.com/products/milwaukee-48-22-8485-packout%e2%84%a2-mounting-plate")</f>
        <v/>
      </c>
      <c r="C4732" t="inlineStr">
        <is>
          <t>Milwaukee 48-22-8485 PACKOUT™ Mounting Plate</t>
        </is>
      </c>
      <c r="D4732" t="inlineStr">
        <is>
          <t>CHAR YONG Replacement for Milwaukee 48-22-8485 Packout Wall and Floor Mounting Plate Impact Resistant</t>
        </is>
      </c>
      <c r="E4732" s="2">
        <f>HYPERLINK("https://www.amazon.com/CHAR-YONG-Replacement-Milwaukee-48-22-8485/dp/B0BP7DBCKW/ref=sr_1_3?keywords=Milwaukee+48-22-8485+PACKOUT%E2%84%A2+Mounting+Plate&amp;qid=1694735032&amp;sr=8-3", "https://www.amazon.com/CHAR-YONG-Replacement-Milwaukee-48-22-8485/dp/B0BP7DBCKW/ref=sr_1_3?keywords=Milwaukee+48-22-8485+PACKOUT%E2%84%A2+Mounting+Plate&amp;qid=1694735032&amp;sr=8-3")</f>
        <v/>
      </c>
      <c r="F4732" t="inlineStr">
        <is>
          <t>B0BP7DBCKW</t>
        </is>
      </c>
      <c r="G4732">
        <f>_xlfn.IMAGE("https://edmondsonsupply.com/cdn/shop/products/48-22-8485_3.png?v=1677252283")</f>
        <v/>
      </c>
      <c r="H4732">
        <f>_xlfn.IMAGE("https://m.media-amazon.com/images/I/51Z78RGgm6L._AC_UL320_.jpg")</f>
        <v/>
      </c>
      <c r="K4732" t="inlineStr">
        <is>
          <t>29.97</t>
        </is>
      </c>
      <c r="L4732" t="n">
        <v>48.55</v>
      </c>
      <c r="M4732" s="1" t="inlineStr">
        <is>
          <t>62.00%</t>
        </is>
      </c>
      <c r="N4732" s="7" t="n">
        <v>-20.12</v>
      </c>
      <c r="O4732" t="n">
        <v>5</v>
      </c>
      <c r="P4732" t="n">
        <v>1</v>
      </c>
      <c r="R4732" t="inlineStr">
        <is>
          <t>InStock</t>
        </is>
      </c>
      <c r="S4732" t="inlineStr">
        <is>
          <t>50.0</t>
        </is>
      </c>
      <c r="T4732" t="inlineStr">
        <is>
          <t>7950727413976</t>
        </is>
      </c>
    </row>
    <row r="4733" ht="87" customHeight="1">
      <c r="A4733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4733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4733" t="inlineStr">
        <is>
          <t>Diablo Tools DMAMX1360 1-1/2 in. x 16 in. x 21 in. Rebar Demon™ SDS-Max 4-Cutter Carbide-Tipped Hammer Drill Bit</t>
        </is>
      </c>
      <c r="D4733" t="inlineStr">
        <is>
          <t>Diablo by Freud DMAMX1400 2 in. x 16 in. x 21 in. Rebar Demon SDS-Max 4-Cutter Carbide-Tipped Hammer Bit</t>
        </is>
      </c>
      <c r="E4733" s="2">
        <f>HYPERLINK("https://www.amazon.com/Diablo-SDS-Max-4-Cutter-Carbide-Tipped-Hammer/dp/B089LHKFQ2/ref=sr_1_3?keywords=Diablo+Tools+DMAMX1360+1-1%2F2+in.+x+16+in.+x+21+in.+Rebar+Demon%E2%84%A2+SDS-Max+4-Cutter+Carbide-Tipped+Hammer+Drill+Bit&amp;qid=1694735042&amp;sr=8-3", "https://www.amazon.com/Diablo-SDS-Max-4-Cutter-Carbide-Tipped-Hammer/dp/B089LHKFQ2/ref=sr_1_3?keywords=Diablo+Tools+DMAMX1360+1-1%2F2+in.+x+16+in.+x+21+in.+Rebar+Demon%E2%84%A2+SDS-Max+4-Cutter+Carbide-Tipped+Hammer+Drill+Bit&amp;qid=1694735042&amp;sr=8-3")</f>
        <v/>
      </c>
      <c r="F4733" t="inlineStr">
        <is>
          <t>B089LHKFQ2</t>
        </is>
      </c>
      <c r="G4733">
        <f>_xlfn.IMAGE("https://edmondsonsupply.com/cdn/shop/products/z2umcsdaj3y4uvsfnxoh.webp?v=1677257156")</f>
        <v/>
      </c>
      <c r="H4733">
        <f>_xlfn.IMAGE("https://m.media-amazon.com/images/I/61p4Q032qYL._AC_UL320_.jpg")</f>
        <v/>
      </c>
      <c r="K4733" t="inlineStr">
        <is>
          <t>93.87</t>
        </is>
      </c>
      <c r="L4733" t="n">
        <v>151.99</v>
      </c>
      <c r="M4733" s="1" t="inlineStr">
        <is>
          <t>61.92%</t>
        </is>
      </c>
      <c r="N4733" s="7" t="n">
        <v>-20.15</v>
      </c>
      <c r="O4733" t="n">
        <v>4.4</v>
      </c>
      <c r="P4733" t="n">
        <v>4</v>
      </c>
      <c r="R4733" t="inlineStr">
        <is>
          <t>InStock</t>
        </is>
      </c>
      <c r="S4733" t="inlineStr">
        <is>
          <t>149.01</t>
        </is>
      </c>
      <c r="T4733" t="inlineStr">
        <is>
          <t>7950786855128</t>
        </is>
      </c>
    </row>
    <row r="4734" ht="87" customHeight="1">
      <c r="A4734" s="2">
        <f>HYPERLINK("https://edmondsonsupply.com/collections/electricians-tools/products/klein-tools-5416tsr-tool-bag-bolt-bag-with-drain-holes-no-4-canvas-5-x-9-x-10-inch", "https://edmondsonsupply.com/collections/electricians-tools/products/klein-tools-5416tsr-tool-bag-bolt-bag-with-drain-holes-no-4-canvas-5-x-9-x-10-inch")</f>
        <v/>
      </c>
      <c r="B4734" s="2">
        <f>HYPERLINK("https://edmondsonsupply.com/products/klein-tools-5416tsr-tool-bag-bolt-bag-with-drain-holes-no-4-canvas-5-x-9-x-10-inch", "https://edmondsonsupply.com/products/klein-tools-5416tsr-tool-bag-bolt-bag-with-drain-holes-no-4-canvas-5-x-9-x-10-inch")</f>
        <v/>
      </c>
      <c r="C4734" t="inlineStr">
        <is>
          <t>Klein Tools 5416TSR Tool Bag, Bolt Bag with Drain Holes, No. 4 Canvas, 5 x 9 x 10-Inch</t>
        </is>
      </c>
      <c r="D4734" t="inlineStr">
        <is>
          <t>Klein Tools 5142P Heavy Tool Bag, No. 8 Canvas Utility Bag with Interior Pocket and Reinforced Rope Top, 9 x 8 x 10-Inch</t>
        </is>
      </c>
      <c r="E4734" s="2">
        <f>HYPERLINK("https://www.amazon.com/Klein-Tools-5142P-Utility-Interior/dp/B000936Q4W/ref=sr_1_7?keywords=Klein+Tools+5416TSR+Tool+Bag%2C+Bolt+Bag+with+Drain+Holes%2C+No.+4+Canvas%2C+5+x+9+x+10-Inch&amp;qid=1694735252&amp;sr=8-7", "https://www.amazon.com/Klein-Tools-5142P-Utility-Interior/dp/B000936Q4W/ref=sr_1_7?keywords=Klein+Tools+5416TSR+Tool+Bag%2C+Bolt+Bag+with+Drain+Holes%2C+No.+4+Canvas%2C+5+x+9+x+10-Inch&amp;qid=1694735252&amp;sr=8-7")</f>
        <v/>
      </c>
      <c r="F4734" t="inlineStr">
        <is>
          <t>B000936Q4W</t>
        </is>
      </c>
      <c r="G4734">
        <f>_xlfn.IMAGE("https://edmondsonsupply.com/cdn/shop/products/5416tsr.jpg?v=1633030723")</f>
        <v/>
      </c>
      <c r="H4734">
        <f>_xlfn.IMAGE("https://m.media-amazon.com/images/I/61y29EFLXIL._AC_UL320_.jpg")</f>
        <v/>
      </c>
      <c r="K4734" t="inlineStr">
        <is>
          <t>19.94</t>
        </is>
      </c>
      <c r="L4734" t="n">
        <v>32.27</v>
      </c>
      <c r="M4734" s="1" t="inlineStr">
        <is>
          <t>61.84%</t>
        </is>
      </c>
      <c r="N4734" s="7" t="n">
        <v>-20.26</v>
      </c>
      <c r="O4734" t="n">
        <v>4.8</v>
      </c>
      <c r="P4734" t="n">
        <v>119</v>
      </c>
      <c r="R4734" t="inlineStr">
        <is>
          <t>InStock</t>
        </is>
      </c>
      <c r="S4734" t="inlineStr">
        <is>
          <t>31.64</t>
        </is>
      </c>
      <c r="T4734" t="inlineStr">
        <is>
          <t>5867208868008</t>
        </is>
      </c>
    </row>
    <row r="4735" ht="87" customHeight="1">
      <c r="A4735" s="2">
        <f>HYPERLINK("https://edmondsonsupply.com/collections/electricians-tools/products/diablo-tools-dmarg1170-5-8-in-x-4-in-x-6-in-speedemon%E2%84%A2-red-granite-carbide-tipped-hammer-drill-bit", "https://edmondsonsupply.com/collections/electricians-tools/products/diablo-tools-dmarg1170-5-8-in-x-4-in-x-6-in-speedemon%E2%84%A2-red-granite-carbide-tipped-hammer-drill-bit")</f>
        <v/>
      </c>
      <c r="B4735" s="2">
        <f>HYPERLINK("https://edmondsonsupply.com/products/diablo-tools-dmarg1170-5-8-in-x-4-in-x-6-in-speedemon%e2%84%a2-red-granite-carbide-tipped-hammer-drill-bit", "https://edmondsonsupply.com/products/diablo-tools-dmarg1170-5-8-in-x-4-in-x-6-in-speedemon%e2%84%a2-red-granite-carbide-tipped-hammer-drill-bit")</f>
        <v/>
      </c>
      <c r="C4735" t="inlineStr">
        <is>
          <t>Diablo Tools DMARG1170 5/8 in. x 4 in. x 6 in. SPEEDemon™ Red Granite Carbide Tipped Hammer Drill Bit</t>
        </is>
      </c>
      <c r="D4735" t="inlineStr">
        <is>
          <t>Sabre Tools 5/8 Inch x 18 Inch SDS Plus Rotary Hammer Drill Bit, Carbide Tipped for Brick, Stone, and Concrete (5/8" x 16" x 18")</t>
        </is>
      </c>
      <c r="E4735" s="2">
        <f>HYPERLINK("https://www.amazon.com/Sabre-Tools-Rotary-Carbide-Concrete/dp/B08CXKVNXM/ref=sr_1_22?keywords=Diablo+Tools+DMARG1170+5%2F8+in.+x+4+in.+x+6+in.+SPEEDemon%E2%84%A2+Red+Granite+Carbide+Tipped+Hammer+Drill+Bit&amp;qid=1694735259&amp;sr=8-22", "https://www.amazon.com/Sabre-Tools-Rotary-Carbide-Concrete/dp/B08CXKVNXM/ref=sr_1_22?keywords=Diablo+Tools+DMARG1170+5%2F8+in.+x+4+in.+x+6+in.+SPEEDemon%E2%84%A2+Red+Granite+Carbide+Tipped+Hammer+Drill+Bit&amp;qid=1694735259&amp;sr=8-22")</f>
        <v/>
      </c>
      <c r="F4735" t="inlineStr">
        <is>
          <t>B08CXKVNXM</t>
        </is>
      </c>
      <c r="G4735">
        <f>_xlfn.IMAGE("https://edmondsonsupply.com/cdn/shop/products/DMARG1170_Main-Image20200702.png?v=1633030651")</f>
        <v/>
      </c>
      <c r="H4735">
        <f>_xlfn.IMAGE("https://m.media-amazon.com/images/I/51UB0MmgzSL._AC_UL320_.jpg")</f>
        <v/>
      </c>
      <c r="K4735" t="inlineStr">
        <is>
          <t>12.97</t>
        </is>
      </c>
      <c r="L4735" t="n">
        <v>20.99</v>
      </c>
      <c r="M4735" s="1" t="inlineStr">
        <is>
          <t>61.84%</t>
        </is>
      </c>
      <c r="N4735" s="7" t="n">
        <v>-20.31</v>
      </c>
      <c r="O4735" t="n">
        <v>4.6</v>
      </c>
      <c r="P4735" t="n">
        <v>400</v>
      </c>
      <c r="R4735" t="inlineStr">
        <is>
          <t>InStock</t>
        </is>
      </c>
      <c r="S4735" t="inlineStr">
        <is>
          <t>undefined</t>
        </is>
      </c>
      <c r="T4735" t="inlineStr">
        <is>
          <t>5740431704232</t>
        </is>
      </c>
    </row>
    <row r="4736" ht="87" customHeight="1">
      <c r="A4736" s="2">
        <f>HYPERLINK("https://edmondsonsupply.com/collections/electricians-tools/products/channellock-524", "https://edmondsonsupply.com/collections/electricians-tools/products/channellock-524")</f>
        <v/>
      </c>
      <c r="B4736" s="2">
        <f>HYPERLINK("https://edmondsonsupply.com/products/channellock-524", "https://edmondsonsupply.com/products/channellock-524")</f>
        <v/>
      </c>
      <c r="C4736" t="inlineStr">
        <is>
          <t>Channellock 524 4.5" Little Champ® Slip Joint Pliers</t>
        </is>
      </c>
      <c r="D4736" t="inlineStr">
        <is>
          <t>Channellock 524 Little Champ Precision Slip Joint Pliers with Wire Cutting Shear, 4.5"</t>
        </is>
      </c>
      <c r="E4736" s="2">
        <f>HYPERLINK("https://www.amazon.com/Channellock-524-Little-Precision-Cutting/dp/B01HGG373C/ref=sr_1_1?keywords=Channellock+524+4.5%22+Little+Champ%C2%AE+Slip+Joint+Pliers&amp;qid=1694735307&amp;sr=8-1", "https://www.amazon.com/Channellock-524-Little-Precision-Cutting/dp/B01HGG373C/ref=sr_1_1?keywords=Channellock+524+4.5%22+Little+Champ%C2%AE+Slip+Joint+Pliers&amp;qid=1694735307&amp;sr=8-1")</f>
        <v/>
      </c>
      <c r="F4736" t="inlineStr">
        <is>
          <t>B01HGG373C</t>
        </is>
      </c>
      <c r="G4736">
        <f>_xlfn.IMAGE("https://edmondsonsupply.com/cdn/shop/products/524-683x1024.jpg?v=1633030323")</f>
        <v/>
      </c>
      <c r="H4736">
        <f>_xlfn.IMAGE("https://m.media-amazon.com/images/I/51PjgwplroL._AC_UL320_.jpg")</f>
        <v/>
      </c>
      <c r="K4736" t="inlineStr">
        <is>
          <t>12.95</t>
        </is>
      </c>
      <c r="L4736" t="n">
        <v>20.93</v>
      </c>
      <c r="M4736" s="1" t="inlineStr">
        <is>
          <t>61.62%</t>
        </is>
      </c>
      <c r="N4736" s="7" t="n">
        <v>-20.35</v>
      </c>
      <c r="O4736" t="n">
        <v>4.5</v>
      </c>
      <c r="P4736" t="n">
        <v>3</v>
      </c>
      <c r="R4736" t="inlineStr">
        <is>
          <t>OutOfStock</t>
        </is>
      </c>
      <c r="S4736" t="inlineStr">
        <is>
          <t>19.53</t>
        </is>
      </c>
      <c r="T4736" t="inlineStr">
        <is>
          <t>5245847994536</t>
        </is>
      </c>
    </row>
    <row r="4737" ht="87" customHeight="1">
      <c r="A4737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4737" s="2">
        <f>HYPERLINK("https://edmondsonsupply.com/products/klein-tools-32307-27-in-1-multi-bit-tamperproof-screwdriver", "https://edmondsonsupply.com/products/klein-tools-32307-27-in-1-multi-bit-tamperproof-screwdriver")</f>
        <v/>
      </c>
      <c r="C4737" t="inlineStr">
        <is>
          <t>Klein Tools 32307 27-in-1 Multi-Bit Tamperproof Screwdriver</t>
        </is>
      </c>
      <c r="D4737" t="inlineStr">
        <is>
          <t>Klein Tools 32305 Multi-bit Ratcheting Screwdriver, 15-in-1 Tool with Phillips, Slotted, Torx and Combo Bits and 1/4-Inch Nut Driver &amp; 27 in 1 Multi Bit Precision Screwdriver with Tamperproof Bit</t>
        </is>
      </c>
      <c r="E4737" s="2">
        <f>HYPERLINK("https://www.amazon.com/Klein-Tools-Ratcheting-Screwdriver-Tamperproof/dp/B0BVG436BF/ref=sr_1_30?keywords=Klein+Tools+32307+27-in-1+Multi-Bit+Tamperproof+Screwdriver&amp;qid=1694735165&amp;sr=8-30", "https://www.amazon.com/Klein-Tools-Ratcheting-Screwdriver-Tamperproof/dp/B0BVG436BF/ref=sr_1_30?keywords=Klein+Tools+32307+27-in-1+Multi-Bit+Tamperproof+Screwdriver&amp;qid=1694735165&amp;sr=8-30")</f>
        <v/>
      </c>
      <c r="F4737" t="inlineStr">
        <is>
          <t>B0BVG436BF</t>
        </is>
      </c>
      <c r="G4737">
        <f>_xlfn.IMAGE("https://edmondsonsupply.com/cdn/shop/products/32307.jpg?v=1647347524")</f>
        <v/>
      </c>
      <c r="H4737">
        <f>_xlfn.IMAGE("https://m.media-amazon.com/images/I/41WYylf-lZL._AC_UL320_.jpg")</f>
        <v/>
      </c>
      <c r="K4737" t="inlineStr">
        <is>
          <t>25.97</t>
        </is>
      </c>
      <c r="L4737" t="n">
        <v>41.94</v>
      </c>
      <c r="M4737" s="1" t="inlineStr">
        <is>
          <t>61.49%</t>
        </is>
      </c>
      <c r="N4737" s="7" t="n">
        <v>-20.36</v>
      </c>
      <c r="O4737" t="n">
        <v>4.5</v>
      </c>
      <c r="P4737" t="n">
        <v>5</v>
      </c>
      <c r="R4737" t="inlineStr">
        <is>
          <t>InStock</t>
        </is>
      </c>
      <c r="S4737" t="inlineStr">
        <is>
          <t>36.38</t>
        </is>
      </c>
      <c r="T4737" t="inlineStr">
        <is>
          <t>7637266366680</t>
        </is>
      </c>
    </row>
    <row r="4738" ht="87" customHeight="1">
      <c r="A4738" s="2">
        <f>HYPERLINK("https://edmondsonsupply.com/collections/electricians-tools/products/klein-5416tfr", "https://edmondsonsupply.com/collections/electricians-tools/products/klein-5416tfr")</f>
        <v/>
      </c>
      <c r="B4738" s="2">
        <f>HYPERLINK("https://edmondsonsupply.com/products/klein-5416tfr", "https://edmondsonsupply.com/products/klein-5416tfr")</f>
        <v/>
      </c>
      <c r="C4738" t="inlineStr">
        <is>
          <t>Klein Tools 5416TFR Tool Bag, Flame Resistant Bolt Bag, No. 4 Canvas, 5 x 10 x 9-Inch</t>
        </is>
      </c>
      <c r="D4738" t="inlineStr">
        <is>
          <t>Klein Tools 5142P Heavy Tool Bag, No. 8 Canvas Utility Bag with Interior Pocket and Reinforced Rope Top, 9 x 8 x 10-Inch</t>
        </is>
      </c>
      <c r="E4738" s="2">
        <f>HYPERLINK("https://www.amazon.com/Klein-Tools-5142P-Utility-Interior/dp/B000936Q4W/ref=sr_1_27?keywords=Klein+Tools+5416TFR+Tool+Bag%2C+Flame+Resistant+Bolt+Bag%2C+No.+4+Canvas%2C+5+x+10+x+9-Inch&amp;qid=1694734988&amp;sr=8-27", "https://www.amazon.com/Klein-Tools-5142P-Utility-Interior/dp/B000936Q4W/ref=sr_1_27?keywords=Klein+Tools+5416TFR+Tool+Bag%2C+Flame+Resistant+Bolt+Bag%2C+No.+4+Canvas%2C+5+x+10+x+9-Inch&amp;qid=1694734988&amp;sr=8-27")</f>
        <v/>
      </c>
      <c r="F4738" t="inlineStr">
        <is>
          <t>B000936Q4W</t>
        </is>
      </c>
      <c r="G4738">
        <f>_xlfn.IMAGE("https://edmondsonsupply.com/cdn/shop/products/5416tfr.jpg?v=1587149359")</f>
        <v/>
      </c>
      <c r="H4738">
        <f>_xlfn.IMAGE("https://m.media-amazon.com/images/I/61y29EFLXIL._AC_UL320_.jpg")</f>
        <v/>
      </c>
      <c r="K4738" t="inlineStr">
        <is>
          <t>19.99</t>
        </is>
      </c>
      <c r="L4738" t="n">
        <v>32.27</v>
      </c>
      <c r="M4738" s="1" t="inlineStr">
        <is>
          <t>61.43%</t>
        </is>
      </c>
      <c r="N4738" s="7" t="n">
        <v>-20.55</v>
      </c>
      <c r="O4738" t="n">
        <v>4.8</v>
      </c>
      <c r="P4738" t="n">
        <v>119</v>
      </c>
      <c r="R4738" t="inlineStr">
        <is>
          <t>InStock</t>
        </is>
      </c>
      <c r="S4738" t="inlineStr">
        <is>
          <t>33.64</t>
        </is>
      </c>
      <c r="T4738" t="inlineStr">
        <is>
          <t>1490970837092</t>
        </is>
      </c>
    </row>
    <row r="4739" ht="87" customHeight="1">
      <c r="A4739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4739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4739" t="inlineStr">
        <is>
          <t>Klein Tools NCVT-3P Dual Range Non-Contact Voltage Tester with Flashlight, 12 - 1000V AC</t>
        </is>
      </c>
      <c r="D4739" t="inlineStr">
        <is>
          <t>Klein Tools NCVT3PKIT Electrical Test Kit, Dual-Range Non-Contact Voltage Tester &amp; 80077 Voltage Tester Kit with Electronic AC/DC Voltage Tester, 3-Piece</t>
        </is>
      </c>
      <c r="E4739" s="2">
        <f>HYPERLINK("https://www.amazon.com/Klein-Tools-Electrical-Dual-Range-Non-Contact/dp/B0BNL8GVPW/ref=sr_1_13?keywords=Klein+Tools+NCVT-3P+Dual+Range+Non-Contact+Voltage+Tester+with+Flashlight%2C+12+-+1000V+AC&amp;qid=1694735337&amp;sr=8-13", "https://www.amazon.com/Klein-Tools-Electrical-Dual-Range-Non-Contact/dp/B0BNL8GVPW/ref=sr_1_13?keywords=Klein+Tools+NCVT-3P+Dual+Range+Non-Contact+Voltage+Tester+with+Flashlight%2C+12+-+1000V+AC&amp;qid=1694735337&amp;sr=8-13")</f>
        <v/>
      </c>
      <c r="F4739" t="inlineStr">
        <is>
          <t>B0BNL8GVPW</t>
        </is>
      </c>
      <c r="G4739">
        <f>_xlfn.IMAGE("https://edmondsonsupply.com/cdn/shop/products/ncvt3p.jpg?v=1633030219")</f>
        <v/>
      </c>
      <c r="H4739">
        <f>_xlfn.IMAGE("https://m.media-amazon.com/images/I/51YZJ-zkhPL._AC_UL320_.jpg")</f>
        <v/>
      </c>
      <c r="K4739" t="inlineStr">
        <is>
          <t>29.97</t>
        </is>
      </c>
      <c r="L4739" t="n">
        <v>48.33</v>
      </c>
      <c r="M4739" s="1" t="inlineStr">
        <is>
          <t>61.26%</t>
        </is>
      </c>
      <c r="N4739" s="7" t="n">
        <v>-20.61</v>
      </c>
      <c r="O4739" t="n">
        <v>4.6</v>
      </c>
      <c r="P4739" t="n">
        <v>3</v>
      </c>
      <c r="R4739" t="inlineStr">
        <is>
          <t>InStock</t>
        </is>
      </c>
      <c r="S4739" t="inlineStr">
        <is>
          <t>40.36</t>
        </is>
      </c>
      <c r="T4739" t="inlineStr">
        <is>
          <t>4505582174308</t>
        </is>
      </c>
    </row>
    <row r="4740" hidden="1" ht="15.75" customHeight="1">
      <c r="A4740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4740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4740" t="inlineStr">
        <is>
          <t>Klein Tools 630-3/8 3/8-Inch Nut Driver with 3-Inch Hollow Shaft</t>
        </is>
      </c>
      <c r="D4740" t="inlineStr">
        <is>
          <t>uxcell 3/8-Inch Hex Nut Drivers Non-Magnetic Six Point Tip with 3.6-Inch Shaft 2 Pack</t>
        </is>
      </c>
      <c r="E4740" s="2">
        <f>HYPERLINK("https://www.amazon.com/uxcell-8-Inch-Drivers-Non-Magnetic-3-6-Inch/dp/B07S6SKX6Y/ref=sr_1_30?keywords=Klein+Tools+630-3%2F8+3%2F8-Inch+Nut+Driver+with+3-Inch+Hollow+Shaft&amp;qid=1694735236&amp;sr=8-30", "https://www.amazon.com/uxcell-8-Inch-Drivers-Non-Magnetic-3-6-Inch/dp/B07S6SKX6Y/ref=sr_1_30?keywords=Klein+Tools+630-3%2F8+3%2F8-Inch+Nut+Driver+with+3-Inch+Hollow+Shaft&amp;qid=1694735236&amp;sr=8-30")</f>
        <v/>
      </c>
      <c r="F4740" t="inlineStr">
        <is>
          <t>B07S6SKX6Y</t>
        </is>
      </c>
      <c r="G4740">
        <f>_xludf.IMAGE("https://edmondsonsupply.com/cdn/shop/products/630-1-2_e23f9fbd-a282-44d7-b743-2cfe0f84edfa.jpg?v=1633030906")</f>
        <v/>
      </c>
      <c r="H4740">
        <f>_xludf.IMAGE("https://m.media-amazon.com/images/I/61Jd5d5go-L._AC_UL320_.jpg")</f>
        <v/>
      </c>
      <c r="K4740" t="inlineStr">
        <is>
          <t>8.99</t>
        </is>
      </c>
      <c r="L4740" t="n">
        <v>14.49</v>
      </c>
      <c r="M4740" s="1" t="inlineStr">
        <is>
          <t>61.18%</t>
        </is>
      </c>
      <c r="N4740" s="1" t="n">
        <v>-20.62</v>
      </c>
      <c r="O4740" t="n">
        <v>5</v>
      </c>
      <c r="P4740" t="n">
        <v>11</v>
      </c>
      <c r="R4740" t="inlineStr">
        <is>
          <t>InStock</t>
        </is>
      </c>
      <c r="S4740" t="inlineStr">
        <is>
          <t>11.74</t>
        </is>
      </c>
      <c r="T4740" t="inlineStr">
        <is>
          <t>6244382376109</t>
        </is>
      </c>
    </row>
    <row r="4741" ht="87" customHeight="1">
      <c r="A4741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741" s="2">
        <f>HYPERLINK("https://edmondsonsupply.com/products/klein-tools-vdv526-200-lan-scout-%c2%ae-jr-2-cable-tester", "https://edmondsonsupply.com/products/klein-tools-vdv526-200-lan-scout-%c2%ae-jr-2-cable-tester")</f>
        <v/>
      </c>
      <c r="C4741" t="inlineStr">
        <is>
          <t>Klein Tools VDV526-200 LAN Scout ® Jr. 2 Cable Tester</t>
        </is>
      </c>
      <c r="D4741" t="inlineStr">
        <is>
          <t>Klein Tools VDV526-200 Cable Tester, LAN Scout Jr. 2 Ethernet Cable Tester for CAT 5e, CAT 6/6A Cables with RJ45 Connections &amp; VDV226-011-SEN Crimper, All-in-One Ratcheting Modular Data Cable Crimper</t>
        </is>
      </c>
      <c r="E4741" s="2">
        <f>HYPERLINK("https://www.amazon.com/Klein-Tools-VDV526-200-Connections-VDV226-011-SEN/dp/B0B68N3CXD/ref=sr_1_7?keywords=Klein+Tools+VDV526-200+LAN+Scout+%C2%AE+Jr.+2+Cable+Tester&amp;qid=1694735126&amp;sr=8-7", "https://www.amazon.com/Klein-Tools-VDV526-200-Connections-VDV226-011-SEN/dp/B0B68N3CXD/ref=sr_1_7?keywords=Klein+Tools+VDV526-200+LAN+Scout+%C2%AE+Jr.+2+Cable+Tester&amp;qid=1694735126&amp;sr=8-7")</f>
        <v/>
      </c>
      <c r="F4741" t="inlineStr">
        <is>
          <t>B0B68N3CXD</t>
        </is>
      </c>
      <c r="G4741">
        <f>_xlfn.IMAGE("https://edmondsonsupply.com/cdn/shop/products/vdv526200.jpg?v=1663689949")</f>
        <v/>
      </c>
      <c r="H4741">
        <f>_xlfn.IMAGE("https://m.media-amazon.com/images/I/518UGdBFRNL._AC_UY218_.jpg")</f>
        <v/>
      </c>
      <c r="K4741" t="inlineStr">
        <is>
          <t>54.97</t>
        </is>
      </c>
      <c r="L4741" t="n">
        <v>88.53</v>
      </c>
      <c r="M4741" s="1" t="inlineStr">
        <is>
          <t>61.05%</t>
        </is>
      </c>
      <c r="N4741" s="7" t="n">
        <v>-20.7</v>
      </c>
      <c r="O4741" t="n">
        <v>5</v>
      </c>
      <c r="P4741" t="n">
        <v>3</v>
      </c>
      <c r="R4741" t="inlineStr">
        <is>
          <t>InStock</t>
        </is>
      </c>
      <c r="S4741" t="inlineStr">
        <is>
          <t>82.5</t>
        </is>
      </c>
      <c r="T4741" t="inlineStr">
        <is>
          <t>7823726182616</t>
        </is>
      </c>
    </row>
    <row r="4742" hidden="1" ht="15.75" customHeight="1">
      <c r="A4742" s="2">
        <f>HYPERLINK("https://edmondsonsupply.com/collections/electricians-tools/products/greenlee-0252-11-nm-cable-ripper", "https://edmondsonsupply.com/collections/electricians-tools/products/greenlee-0252-11-nm-cable-ripper")</f>
        <v/>
      </c>
      <c r="B4742" s="2">
        <f>HYPERLINK("https://edmondsonsupply.com/products/greenlee-0252-11-nm-cable-ripper", "https://edmondsonsupply.com/products/greenlee-0252-11-nm-cable-ripper")</f>
        <v/>
      </c>
      <c r="C4742" t="inlineStr">
        <is>
          <t>Greenlee 0252-11 NM Cable Ripper</t>
        </is>
      </c>
      <c r="D4742" t="inlineStr">
        <is>
          <t>Greenlee 0252-11 NM Cable Ripper</t>
        </is>
      </c>
      <c r="E4742" s="2">
        <f>HYPERLINK("https://www.amazon.com/Greenlee-0252-11-NM-Cable-Ripper/dp/B002JFMO1W/ref=sr_1_2?keywords=Greenlee+0252-11+NM+Cable+Ripper&amp;qid=1694735238&amp;sr=8-2", "https://www.amazon.com/Greenlee-0252-11-NM-Cable-Ripper/dp/B002JFMO1W/ref=sr_1_2?keywords=Greenlee+0252-11+NM+Cable+Ripper&amp;qid=1694735238&amp;sr=8-2")</f>
        <v/>
      </c>
      <c r="F4742" t="inlineStr">
        <is>
          <t>B002JFMO1W</t>
        </is>
      </c>
      <c r="G4742">
        <f>_xludf.IMAGE("https://edmondsonsupply.com/cdn/shop/products/0252-11.jpg?v=1633030807")</f>
        <v/>
      </c>
      <c r="H4742">
        <f>_xludf.IMAGE("https://m.media-amazon.com/images/I/811S0j1WZaL._AC_UL320_.jpg")</f>
        <v/>
      </c>
      <c r="K4742" t="inlineStr">
        <is>
          <t>4.39</t>
        </is>
      </c>
      <c r="L4742" t="n">
        <v>7.07</v>
      </c>
      <c r="M4742" s="1" t="inlineStr">
        <is>
          <t>61.05%</t>
        </is>
      </c>
      <c r="N4742" s="1" t="n">
        <v>-20.75</v>
      </c>
      <c r="O4742" t="n">
        <v>3.9</v>
      </c>
      <c r="P4742" t="n">
        <v>209</v>
      </c>
      <c r="R4742" t="inlineStr">
        <is>
          <t>InStock</t>
        </is>
      </c>
      <c r="S4742" t="inlineStr">
        <is>
          <t>4.9</t>
        </is>
      </c>
      <c r="T4742" t="inlineStr">
        <is>
          <t>6012484911272</t>
        </is>
      </c>
    </row>
    <row r="4743" ht="87" customHeight="1">
      <c r="A4743" s="2">
        <f>HYPERLINK("https://edmondsonsupply.com/collections/electricians-tools/products/klein-tools-pjsfm1-rechargeable-personal-jobsite-fan", "https://edmondsonsupply.com/collections/electricians-tools/products/klein-tools-pjsfm1-rechargeable-personal-jobsite-fan")</f>
        <v/>
      </c>
      <c r="B4743" s="2">
        <f>HYPERLINK("https://edmondsonsupply.com/products/klein-tools-pjsfm1-rechargeable-personal-jobsite-fan", "https://edmondsonsupply.com/products/klein-tools-pjsfm1-rechargeable-personal-jobsite-fan")</f>
        <v/>
      </c>
      <c r="C4743" t="inlineStr">
        <is>
          <t>Klein Tools PJSFM1 Rechargeable Personal Jobsite Fan</t>
        </is>
      </c>
      <c r="D4743" t="inlineStr">
        <is>
          <t>Klein Tools 56403 LED Light, Rechargeable Flashlight/Worklight &amp; PJSFM1 Battery Operated Rechargeable Fan with USB-C Charging Cord and Multiple Mounting Options Perfect for the Jobsite</t>
        </is>
      </c>
      <c r="E4743" s="2">
        <f>HYPERLINK("https://www.amazon.com/Klein-Tools-Rechargeable-Flashlight-Worklight/dp/B0BC85LX49/ref=sr_1_2?keywords=Klein+Tools+PJSFM1+Rechargeable+Personal+Jobsite+Fan&amp;qid=1694735330&amp;sr=8-2", "https://www.amazon.com/Klein-Tools-Rechargeable-Flashlight-Worklight/dp/B0BC85LX49/ref=sr_1_2?keywords=Klein+Tools+PJSFM1+Rechargeable+Personal+Jobsite+Fan&amp;qid=1694735330&amp;sr=8-2")</f>
        <v/>
      </c>
      <c r="F4743" t="inlineStr">
        <is>
          <t>B0BC85LX49</t>
        </is>
      </c>
      <c r="G4743">
        <f>_xlfn.IMAGE("https://edmondsonsupply.com/cdn/shop/products/pjsfm1.jpg?v=1633030249")</f>
        <v/>
      </c>
      <c r="H4743">
        <f>_xlfn.IMAGE("https://m.media-amazon.com/images/I/61HjyBviEWL._AC_UL320_.jpg")</f>
        <v/>
      </c>
      <c r="K4743" t="inlineStr">
        <is>
          <t>59.97</t>
        </is>
      </c>
      <c r="L4743" t="n">
        <v>96.47</v>
      </c>
      <c r="M4743" s="1" t="inlineStr">
        <is>
          <t>60.86%</t>
        </is>
      </c>
      <c r="N4743" s="7" t="n">
        <v>-20.79</v>
      </c>
      <c r="O4743" t="n">
        <v>5</v>
      </c>
      <c r="P4743" t="n">
        <v>1</v>
      </c>
      <c r="R4743" t="inlineStr">
        <is>
          <t>InStock</t>
        </is>
      </c>
      <c r="S4743" t="inlineStr">
        <is>
          <t>86.16</t>
        </is>
      </c>
      <c r="T4743" t="inlineStr">
        <is>
          <t>4625197531236</t>
        </is>
      </c>
    </row>
    <row r="4744" ht="87" customHeight="1">
      <c r="A4744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4744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4744" t="inlineStr">
        <is>
          <t>Klein Tools 600-6 5/16-Inch Keystone Screwdriver 6-Inch SQ Shank</t>
        </is>
      </c>
      <c r="D4744" t="inlineStr">
        <is>
          <t>Klein Tools 602-7-INS Flathead Screwdriver, 5/16-Inch Cabinet Tip, Insulated, 7-Inch Shank</t>
        </is>
      </c>
      <c r="E4744" s="2">
        <f>HYPERLINK("https://www.amazon.com/Screwdriver-Insulated-Klein-Tools-602-7-INS/dp/B00CQL8UM6/ref=sr_1_37?keywords=Klein+Tools+600-6+5%2F16-Inch+Keystone+Screwdriver+6-Inch+SQ+Shank&amp;qid=1694735292&amp;sr=8-37", "https://www.amazon.com/Screwdriver-Insulated-Klein-Tools-602-7-INS/dp/B00CQL8UM6/ref=sr_1_37?keywords=Klein+Tools+600-6+5%2F16-Inch+Keystone+Screwdriver+6-Inch+SQ+Shank&amp;qid=1694735292&amp;sr=8-37")</f>
        <v/>
      </c>
      <c r="F4744" t="inlineStr">
        <is>
          <t>B00CQL8UM6</t>
        </is>
      </c>
      <c r="G4744">
        <f>_xlfn.IMAGE("https://edmondsonsupply.com/cdn/shop/products/600-6.jpg?v=1633030381")</f>
        <v/>
      </c>
      <c r="H4744">
        <f>_xlfn.IMAGE("https://m.media-amazon.com/images/I/51yWIQxCstL._AC_UL320_.jpg")</f>
        <v/>
      </c>
      <c r="K4744" t="inlineStr">
        <is>
          <t>13.97</t>
        </is>
      </c>
      <c r="L4744" t="n">
        <v>22.46</v>
      </c>
      <c r="M4744" s="1" t="inlineStr">
        <is>
          <t>60.77%</t>
        </is>
      </c>
      <c r="N4744" s="7" t="n">
        <v>-20.87</v>
      </c>
      <c r="O4744" t="n">
        <v>4.8</v>
      </c>
      <c r="P4744" t="n">
        <v>1068</v>
      </c>
      <c r="R4744" t="inlineStr">
        <is>
          <t>InStock</t>
        </is>
      </c>
      <c r="S4744" t="inlineStr">
        <is>
          <t>18.5</t>
        </is>
      </c>
      <c r="T4744" t="inlineStr">
        <is>
          <t>5296722542760</t>
        </is>
      </c>
    </row>
    <row r="4745" ht="87" customHeight="1">
      <c r="A4745" s="2">
        <f>HYPERLINK("https://edmondsonsupply.com/collections/electricians-tools/products/klein-tools-51427-conduit-bender-handle-for-1-2-inch-3-4-inch-heads", "https://edmondsonsupply.com/collections/electricians-tools/products/klein-tools-51427-conduit-bender-handle-for-1-2-inch-3-4-inch-heads")</f>
        <v/>
      </c>
      <c r="B4745" s="2">
        <f>HYPERLINK("https://edmondsonsupply.com/products/klein-tools-51427-conduit-bender-handle-for-1-2-inch-3-4-inch-heads", "https://edmondsonsupply.com/products/klein-tools-51427-conduit-bender-handle-for-1-2-inch-3-4-inch-heads")</f>
        <v/>
      </c>
      <c r="C4745" t="inlineStr">
        <is>
          <t>Klein Tools 51427 Conduit Bender Handle for 1/2-Inch, 3/4-Inch Heads</t>
        </is>
      </c>
      <c r="D4745" t="inlineStr">
        <is>
          <t>Klein Tools 51609 Iron Conduit Bender Head, for 3/4-Inch EMT or 1/2-Inch Rigid IMC, use with Klein Tools Angle Setter (Cat. No. 51612)</t>
        </is>
      </c>
      <c r="E4745" s="2">
        <f>HYPERLINK("https://www.amazon.com/Conduit-Bender-Klein-Tools-51609/dp/B08VYFHL9J/ref=sr_1_2?keywords=Klein+Tools+51427+Conduit+Bender+Handle+for+1%2F2-Inch%2C+3%2F4-Inch+Heads&amp;qid=1694735122&amp;sr=8-2", "https://www.amazon.com/Conduit-Bender-Klein-Tools-51609/dp/B08VYFHL9J/ref=sr_1_2?keywords=Klein+Tools+51427+Conduit+Bender+Handle+for+1%2F2-Inch%2C+3%2F4-Inch+Heads&amp;qid=1694735122&amp;sr=8-2")</f>
        <v/>
      </c>
      <c r="F4745" t="inlineStr">
        <is>
          <t>B08VYFHL9J</t>
        </is>
      </c>
      <c r="G4745">
        <f>_xlfn.IMAGE("https://edmondsonsupply.com/cdn/shop/products/51429.jpg?v=1663694213")</f>
        <v/>
      </c>
      <c r="H4745">
        <f>_xlfn.IMAGE("https://m.media-amazon.com/images/I/61KifnC2xML._AC_UL320_.jpg")</f>
        <v/>
      </c>
      <c r="K4745" t="inlineStr">
        <is>
          <t>27.99</t>
        </is>
      </c>
      <c r="L4745" t="n">
        <v>44.99</v>
      </c>
      <c r="M4745" s="1" t="inlineStr">
        <is>
          <t>60.74%</t>
        </is>
      </c>
      <c r="N4745" s="7" t="n">
        <v>-20.99</v>
      </c>
      <c r="O4745" t="n">
        <v>4.2</v>
      </c>
      <c r="P4745" t="n">
        <v>31</v>
      </c>
      <c r="R4745" t="inlineStr">
        <is>
          <t>InStock</t>
        </is>
      </c>
      <c r="S4745" t="inlineStr">
        <is>
          <t>42.4</t>
        </is>
      </c>
      <c r="T4745" t="inlineStr">
        <is>
          <t>7823793127640</t>
        </is>
      </c>
    </row>
    <row r="4746" ht="87" customHeight="1">
      <c r="A4746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4746" s="2">
        <f>HYPERLINK("https://edmondsonsupply.com/products/diablo-tools-d0624x-6-1-2-in-24-tooth-framing-saw-blade", "https://edmondsonsupply.com/products/diablo-tools-d0624x-6-1-2-in-24-tooth-framing-saw-blade")</f>
        <v/>
      </c>
      <c r="C4746" t="inlineStr">
        <is>
          <t>Diablo Tools D0624X 6-1/2 in. 24-Tooth Framing Saw Blade</t>
        </is>
      </c>
      <c r="D4746" t="inlineStr">
        <is>
          <t>Freud D0624X Diablo 6-1/2-Inch 24-Tooth ATB Framing Saw Blade with 5/8-Inch Arbor - 1</t>
        </is>
      </c>
      <c r="E4746" s="2">
        <f>HYPERLINK("https://www.amazon.com/D0624X-Diablo-2-Inch-24-Tooth-Framing/dp/B08RDYY4WQ/ref=sr_1_3?keywords=Diablo+Tools+D0624X+6-1%2F2+in.+24-Tooth+Framing+Saw+Blade&amp;qid=1694735025&amp;sr=8-3", "https://www.amazon.com/D0624X-Diablo-2-Inch-24-Tooth-Framing/dp/B08RDYY4WQ/ref=sr_1_3?keywords=Diablo+Tools+D0624X+6-1%2F2+in.+24-Tooth+Framing+Saw+Blade&amp;qid=1694735025&amp;sr=8-3")</f>
        <v/>
      </c>
      <c r="F4746" t="inlineStr">
        <is>
          <t>B08RDYY4WQ</t>
        </is>
      </c>
      <c r="G4746">
        <f>_xlfn.IMAGE("https://edmondsonsupply.com/cdn/shop/products/mfin0gl4ono6qztsnrth.webp?v=1678982694")</f>
        <v/>
      </c>
      <c r="H4746">
        <f>_xlfn.IMAGE("https://m.media-amazon.com/images/I/61dEXgIRSPL._AC_UL320_.jpg")</f>
        <v/>
      </c>
      <c r="K4746" t="inlineStr">
        <is>
          <t>11.97</t>
        </is>
      </c>
      <c r="L4746" t="n">
        <v>19.23</v>
      </c>
      <c r="M4746" s="1" t="inlineStr">
        <is>
          <t>60.65%</t>
        </is>
      </c>
      <c r="N4746" s="7" t="n">
        <v>-20.99</v>
      </c>
      <c r="O4746" t="n">
        <v>5</v>
      </c>
      <c r="P4746" t="n">
        <v>1</v>
      </c>
      <c r="R4746" t="inlineStr">
        <is>
          <t>InStock</t>
        </is>
      </c>
      <c r="S4746" t="inlineStr">
        <is>
          <t>17.38</t>
        </is>
      </c>
      <c r="T4746" t="inlineStr">
        <is>
          <t>7962732855512</t>
        </is>
      </c>
    </row>
    <row r="4747" ht="87" customHeight="1">
      <c r="A4747" s="2">
        <f>HYPERLINK("https://edmondsonsupply.com/collections/electricians-tools/products/klein-tools-ir1-infrared-digital-thermometer-with-targeting-laser-10-1", "https://edmondsonsupply.com/collections/electricians-tools/products/klein-tools-ir1-infrared-digital-thermometer-with-targeting-laser-10-1")</f>
        <v/>
      </c>
      <c r="B4747" s="2">
        <f>HYPERLINK("https://edmondsonsupply.com/products/klein-tools-ir1-infrared-digital-thermometer-with-targeting-laser-10-1", "https://edmondsonsupply.com/products/klein-tools-ir1-infrared-digital-thermometer-with-targeting-laser-10-1")</f>
        <v/>
      </c>
      <c r="C4747" t="inlineStr">
        <is>
          <t>Klein Tools IR1 Infrared Digital Thermometer with Targeting Laser, 10:1</t>
        </is>
      </c>
      <c r="D4747" t="inlineStr">
        <is>
          <t>Klein Tools IR1 Infrared Thermometer, Digital Laser Gun is Non-Contact Thermometer with a Temperature Range -4 to 752-Degree Fahrenheit &amp; NCVT1P Voltage Tester, Non-Contact Voltage Detector Pen</t>
        </is>
      </c>
      <c r="E4747" s="2">
        <f>HYPERLINK("https://www.amazon.com/Klein-Tools-Thermometer-Non-Contact-Temperature/dp/B0B68MLBWN/ref=sr_1_4?keywords=Klein+Tools+IR1+Infrared+Digital+Thermometer+with+Targeting+Laser%2C+10%3A1&amp;qid=1694735137&amp;sr=8-4", "https://www.amazon.com/Klein-Tools-Thermometer-Non-Contact-Temperature/dp/B0B68MLBWN/ref=sr_1_4?keywords=Klein+Tools+IR1+Infrared+Digital+Thermometer+with+Targeting+Laser%2C+10%3A1&amp;qid=1694735137&amp;sr=8-4")</f>
        <v/>
      </c>
      <c r="F4747" t="inlineStr">
        <is>
          <t>B0B68MLBWN</t>
        </is>
      </c>
      <c r="G4747">
        <f>_xlfn.IMAGE("https://edmondsonsupply.com/cdn/shop/products/ir1.jpg?v=1659112251")</f>
        <v/>
      </c>
      <c r="H4747">
        <f>_xlfn.IMAGE("https://m.media-amazon.com/images/I/4105qZwKkyL._AC_UY218_.jpg")</f>
        <v/>
      </c>
      <c r="K4747" t="inlineStr">
        <is>
          <t>32.99</t>
        </is>
      </c>
      <c r="L4747" t="n">
        <v>52.96</v>
      </c>
      <c r="M4747" s="1" t="inlineStr">
        <is>
          <t>60.53%</t>
        </is>
      </c>
      <c r="N4747" s="7" t="n">
        <v>-21.21</v>
      </c>
      <c r="O4747" t="n">
        <v>4.7</v>
      </c>
      <c r="P4747" t="n">
        <v>16</v>
      </c>
      <c r="R4747" t="inlineStr">
        <is>
          <t>InStock</t>
        </is>
      </c>
      <c r="S4747" t="inlineStr">
        <is>
          <t>48.5</t>
        </is>
      </c>
      <c r="T4747" t="inlineStr">
        <is>
          <t>7766524231896</t>
        </is>
      </c>
    </row>
    <row r="4748" ht="87" customHeight="1">
      <c r="A4748" s="2">
        <f>HYPERLINK("https://edmondsonsupply.com/collections/electricians-tools/products/klein-tools-56335-wide-steel-fish-tape-1-4-inch-x-25-foot", "https://edmondsonsupply.com/collections/electricians-tools/products/klein-tools-56335-wide-steel-fish-tape-1-4-inch-x-25-foot")</f>
        <v/>
      </c>
      <c r="B4748" s="2">
        <f>HYPERLINK("https://edmondsonsupply.com/products/klein-tools-56335-wide-steel-fish-tape-1-4-inch-x-25-foot", "https://edmondsonsupply.com/products/klein-tools-56335-wide-steel-fish-tape-1-4-inch-x-25-foot")</f>
        <v/>
      </c>
      <c r="C4748" t="inlineStr">
        <is>
          <t>Klein Tools 56335 Wide Steel Fish Tape, 1/4-Inch x 25-Foot</t>
        </is>
      </c>
      <c r="D4748" t="inlineStr">
        <is>
          <t>Klein Tools 56005 Fish Tape, 25-Foot Steel Fish Tape, 1/4-Inch, Plastic Tip, Etched for Measuring, Updated Model Cat. No. 56335 Available</t>
        </is>
      </c>
      <c r="E4748" s="2">
        <f>HYPERLINK("https://www.amazon.com/Klein-Tools-56005-25-Foot-Measuring/dp/B0026TBOU8/ref=sr_1_2?keywords=Klein+Tools+56335+Wide+Steel+Fish+Tape%2C+1%2F4-Inch+x+25-Foot&amp;qid=1694735248&amp;sr=8-2", "https://www.amazon.com/Klein-Tools-56005-25-Foot-Measuring/dp/B0026TBOU8/ref=sr_1_2?keywords=Klein+Tools+56335+Wide+Steel+Fish+Tape%2C+1%2F4-Inch+x+25-Foot&amp;qid=1694735248&amp;sr=8-2")</f>
        <v/>
      </c>
      <c r="F4748" t="inlineStr">
        <is>
          <t>B0026TBOU8</t>
        </is>
      </c>
      <c r="G4748">
        <f>_xlfn.IMAGE("https://edmondsonsupply.com/cdn/shop/products/56335.jpg?v=1633030737")</f>
        <v/>
      </c>
      <c r="H4748">
        <f>_xlfn.IMAGE("https://m.media-amazon.com/images/I/61jdrPej-dL._AC_UL320_.jpg")</f>
        <v/>
      </c>
      <c r="K4748" t="inlineStr">
        <is>
          <t>16.97</t>
        </is>
      </c>
      <c r="L4748" t="n">
        <v>27.24</v>
      </c>
      <c r="M4748" s="1" t="inlineStr">
        <is>
          <t>60.52%</t>
        </is>
      </c>
      <c r="N4748" s="7" t="n">
        <v>-21.26</v>
      </c>
      <c r="O4748" t="n">
        <v>4.6</v>
      </c>
      <c r="P4748" t="n">
        <v>3508</v>
      </c>
      <c r="R4748" t="inlineStr">
        <is>
          <t>InStock</t>
        </is>
      </c>
      <c r="S4748" t="inlineStr">
        <is>
          <t>24.84</t>
        </is>
      </c>
      <c r="T4748" t="inlineStr">
        <is>
          <t>5878323445928</t>
        </is>
      </c>
    </row>
    <row r="4749" ht="87" customHeight="1">
      <c r="A4749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4749" s="2">
        <f>HYPERLINK("https://edmondsonsupply.com/products/klein-tools-rt110-receptacle-tester", "https://edmondsonsupply.com/products/klein-tools-rt110-receptacle-tester")</f>
        <v/>
      </c>
      <c r="C4749" t="inlineStr">
        <is>
          <t>Klein Tools RT110 Receptacle Tester</t>
        </is>
      </c>
      <c r="D4749" t="inlineStr">
        <is>
          <t>SITHON Case Compatible with Klein Tools ET310 AC Circuit Breaker Finder, 80041 Outlet Repair Tool Kit &amp; RT250 GFCI Receptacle Tester, Hard Shell Electrical Tools Storage Organizer Bag (Case Only)</t>
        </is>
      </c>
      <c r="E4749" s="2">
        <f>HYPERLINK("https://www.amazon.com/SITHON-Compatible-Receptacle-Electrical-Organizer/dp/B0BJ6TDB8P/ref=sr_1_28?keywords=Klein+Tools+RT110+Receptacle+Tester&amp;qid=1694735205&amp;sr=8-28", "https://www.amazon.com/SITHON-Compatible-Receptacle-Electrical-Organizer/dp/B0BJ6TDB8P/ref=sr_1_28?keywords=Klein+Tools+RT110+Receptacle+Tester&amp;qid=1694735205&amp;sr=8-28")</f>
        <v/>
      </c>
      <c r="F4749" t="inlineStr">
        <is>
          <t>B0BJ6TDB8P</t>
        </is>
      </c>
      <c r="G4749">
        <f>_xlfn.IMAGE("https://edmondsonsupply.com/cdn/shop/products/rt110.jpg?v=1633031036")</f>
        <v/>
      </c>
      <c r="H4749">
        <f>_xlfn.IMAGE("https://m.media-amazon.com/images/I/81Awn7PmRdL._AC_UL320_.jpg")</f>
        <v/>
      </c>
      <c r="K4749" t="inlineStr">
        <is>
          <t>9.97</t>
        </is>
      </c>
      <c r="L4749" t="n">
        <v>15.99</v>
      </c>
      <c r="M4749" s="1" t="inlineStr">
        <is>
          <t>60.38%</t>
        </is>
      </c>
      <c r="N4749" s="7" t="n">
        <v>-21.38</v>
      </c>
      <c r="O4749" t="n">
        <v>4.9</v>
      </c>
      <c r="P4749" t="n">
        <v>14</v>
      </c>
      <c r="R4749" t="inlineStr">
        <is>
          <t>InStock</t>
        </is>
      </c>
      <c r="S4749" t="inlineStr">
        <is>
          <t>12.12</t>
        </is>
      </c>
      <c r="T4749" t="inlineStr">
        <is>
          <t>6740486619309</t>
        </is>
      </c>
    </row>
    <row r="4750" ht="87" customHeight="1">
      <c r="A4750" s="2">
        <f>HYPERLINK("https://edmondsonsupply.com/collections/electricians-tools/products/klein-tools-66040-2-in-1-impact-socket-set-12-point-5-piece", "https://edmondsonsupply.com/collections/electricians-tools/products/klein-tools-66040-2-in-1-impact-socket-set-12-point-5-piece")</f>
        <v/>
      </c>
      <c r="B4750" s="2">
        <f>HYPERLINK("https://edmondsonsupply.com/products/klein-tools-66040-2-in-1-impact-socket-set-12-point-5-piece", "https://edmondsonsupply.com/products/klein-tools-66040-2-in-1-impact-socket-set-12-point-5-piece")</f>
        <v/>
      </c>
      <c r="C4750" t="inlineStr">
        <is>
          <t>Klein Tools 66040 2-in-1 Impact Socket Set, 12-Point, 5-Piece</t>
        </is>
      </c>
      <c r="D4750" t="inlineStr">
        <is>
          <t>Klein Tools 66010 2-in-1 Impact Socket Set, 6-Piece Tool Set with 12-Point Deep Sockets with 1/2-Inch Drive, Includes Tool Case</t>
        </is>
      </c>
      <c r="E4750" s="2">
        <f>HYPERLINK("https://www.amazon.com/Klein-Tools-66010-High-Torque-12-Point/dp/B07NZS6998/ref=sr_1_4?keywords=Klein+Tools+66040+2-in-1+Impact+Socket+Set%2C+12-Point%2C+5-Piece&amp;qid=1694734983&amp;sr=8-4", "https://www.amazon.com/Klein-Tools-66010-High-Torque-12-Point/dp/B07NZS6998/ref=sr_1_4?keywords=Klein+Tools+66040+2-in-1+Impact+Socket+Set%2C+12-Point%2C+5-Piece&amp;qid=1694734983&amp;sr=8-4")</f>
        <v/>
      </c>
      <c r="F4750" t="inlineStr">
        <is>
          <t>B07NZS6998</t>
        </is>
      </c>
      <c r="G4750">
        <f>_xlfn.IMAGE("https://edmondsonsupply.com/cdn/shop/products/66040.jpg?v=1659120255")</f>
        <v/>
      </c>
      <c r="H4750">
        <f>_xlfn.IMAGE("https://m.media-amazon.com/images/I/51QnKGm7EiL._AC_UL320_.jpg")</f>
        <v/>
      </c>
      <c r="K4750" t="inlineStr">
        <is>
          <t>124.79</t>
        </is>
      </c>
      <c r="L4750" t="n">
        <v>199.99</v>
      </c>
      <c r="M4750" s="1" t="inlineStr">
        <is>
          <t>60.26%</t>
        </is>
      </c>
      <c r="N4750" s="7" t="n">
        <v>-21.69</v>
      </c>
      <c r="O4750" t="n">
        <v>4.8</v>
      </c>
      <c r="P4750" t="n">
        <v>380</v>
      </c>
      <c r="R4750" t="inlineStr">
        <is>
          <t>InStock</t>
        </is>
      </c>
      <c r="S4750" t="inlineStr">
        <is>
          <t>217.02</t>
        </is>
      </c>
      <c r="T4750" t="inlineStr">
        <is>
          <t>7766538846424</t>
        </is>
      </c>
    </row>
    <row r="4751" ht="87" customHeight="1">
      <c r="A4751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4751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4751" t="inlineStr">
        <is>
          <t>Diablo Tools DOU250BW 2-1/2 in. Universal Fit Bi-Metal Oscillating Blade for Nail-Embedded Wood</t>
        </is>
      </c>
      <c r="D4751" t="inlineStr">
        <is>
          <t>Diablo by Freud DOU125CF3 1-1/4 in. Universal Fit Carbide Oscillating Blades for Metal (3-Pack)</t>
        </is>
      </c>
      <c r="E4751" s="2">
        <f>HYPERLINK("https://www.amazon.com/Diablo-Freud-DOU125CF3-Universal-Oscillating/dp/B089LKXD7L/ref=sr_1_23?keywords=Diablo+Tools+DOU250BW+2-1%2F2+in.+Universal+Fit+Bi-Metal+Oscillating+Blade+for+Nail-Embedded+Wood&amp;qid=1694734995&amp;sr=8-23", "https://www.amazon.com/Diablo-Freud-DOU125CF3-Universal-Oscillating/dp/B089LKXD7L/ref=sr_1_23?keywords=Diablo+Tools+DOU250BW+2-1%2F2+in.+Universal+Fit+Bi-Metal+Oscillating+Blade+for+Nail-Embedded+Wood&amp;qid=1694734995&amp;sr=8-23")</f>
        <v/>
      </c>
      <c r="F4751" t="inlineStr">
        <is>
          <t>B089LKXD7L</t>
        </is>
      </c>
      <c r="G4751">
        <f>_xlfn.IMAGE("https://edmondsonsupply.com/cdn/shop/files/xcched1uye7bv2s0ryod.webp?v=1685717397")</f>
        <v/>
      </c>
      <c r="H4751">
        <f>_xlfn.IMAGE("https://m.media-amazon.com/images/I/71izb0UUOkL._AC_UL320_.jpg")</f>
        <v/>
      </c>
      <c r="K4751" t="inlineStr">
        <is>
          <t>19.97</t>
        </is>
      </c>
      <c r="L4751" t="n">
        <v>32</v>
      </c>
      <c r="M4751" s="1" t="inlineStr">
        <is>
          <t>60.24%</t>
        </is>
      </c>
      <c r="N4751" s="7" t="n">
        <v>-21.71</v>
      </c>
      <c r="O4751" t="n">
        <v>4.5</v>
      </c>
      <c r="P4751" t="n">
        <v>164</v>
      </c>
      <c r="R4751" t="inlineStr">
        <is>
          <t>InStock</t>
        </is>
      </c>
      <c r="S4751" t="inlineStr">
        <is>
          <t>24.85</t>
        </is>
      </c>
      <c r="T4751" t="inlineStr">
        <is>
          <t>7999559598296</t>
        </is>
      </c>
    </row>
    <row r="4752" ht="87" customHeight="1">
      <c r="A4752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4752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4752" t="inlineStr">
        <is>
          <t>Klein Tools NCVT1PKIT Non-Contact Voltage and GFCI Receptacle Test Kit</t>
        </is>
      </c>
      <c r="D4752" t="inlineStr">
        <is>
          <t>Klein Tools RT250KIT Non-Contact Voltage Tester and GFCI Receptacle Tester with LCD and Flashlight, Voltage Electrical Test Kit</t>
        </is>
      </c>
      <c r="E4752" s="2">
        <f>HYPERLINK("https://www.amazon.com/Non-Contact-Receptacle-Klein-Tools-RT250KIT/dp/B08YDFQ2FV/ref=sr_1_3?keywords=Klein+Tools+NCVT1PKIT+Non-Contact+Voltage+and+GFCI+Receptacle+Test+Kit&amp;qid=1694735031&amp;sr=8-3", "https://www.amazon.com/Non-Contact-Receptacle-Klein-Tools-RT250KIT/dp/B08YDFQ2FV/ref=sr_1_3?keywords=Klein+Tools+NCVT1PKIT+Non-Contact+Voltage+and+GFCI+Receptacle+Test+Kit&amp;qid=1694735031&amp;sr=8-3")</f>
        <v/>
      </c>
      <c r="F4752" t="inlineStr">
        <is>
          <t>B08YDFQ2FV</t>
        </is>
      </c>
      <c r="G4752">
        <f>_xlfn.IMAGE("https://edmondsonsupply.com/cdn/shop/products/ncvt1pkit.jpg?v=1677682920")</f>
        <v/>
      </c>
      <c r="H4752">
        <f>_xlfn.IMAGE("https://m.media-amazon.com/images/I/61WaBlkJfxL._AC_UL320_.jpg")</f>
        <v/>
      </c>
      <c r="K4752" t="inlineStr">
        <is>
          <t>24.97</t>
        </is>
      </c>
      <c r="L4752" t="n">
        <v>39.99</v>
      </c>
      <c r="M4752" s="1" t="inlineStr">
        <is>
          <t>60.15%</t>
        </is>
      </c>
      <c r="N4752" s="7" t="n">
        <v>-21.95</v>
      </c>
      <c r="O4752" t="n">
        <v>4.8</v>
      </c>
      <c r="P4752" t="n">
        <v>1264</v>
      </c>
      <c r="R4752" t="inlineStr">
        <is>
          <t>InStock</t>
        </is>
      </c>
      <c r="S4752" t="inlineStr">
        <is>
          <t>35.38</t>
        </is>
      </c>
      <c r="T4752" t="inlineStr">
        <is>
          <t>7953960698072</t>
        </is>
      </c>
    </row>
    <row r="4753" ht="87" customHeight="1">
      <c r="A4753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753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753" t="inlineStr">
        <is>
          <t>Klein Tools ET310 Digital Circuit Breaker Finder with GFCI Outlet Tester</t>
        </is>
      </c>
      <c r="D4753" t="inlineStr">
        <is>
          <t>Klein Tools 80101 Home Tester Kit, GFCI Outlet and Receptacle Testers, Multimeter, NCVT, Circuit Breaker Finder, Leads, 6-Piece, Black</t>
        </is>
      </c>
      <c r="E4753" s="2">
        <f>HYPERLINK("https://www.amazon.com/Klein-Tools-Receptacle-Testers-Multimeter/dp/B0B7817ZG5/ref=sr_1_19?keywords=Klein+Tools+ET310+Digital+Circuit+Breaker+Finder+with+GFCI+Outlet+Tester&amp;qid=1694734974&amp;sr=8-19", "https://www.amazon.com/Klein-Tools-Receptacle-Testers-Multimeter/dp/B0B7817ZG5/ref=sr_1_19?keywords=Klein+Tools+ET310+Digital+Circuit+Breaker+Finder+with+GFCI+Outlet+Tester&amp;qid=1694734974&amp;sr=8-19")</f>
        <v/>
      </c>
      <c r="F4753" t="inlineStr">
        <is>
          <t>B0B7817ZG5</t>
        </is>
      </c>
      <c r="G4753">
        <f>_xlfn.IMAGE("https://edmondsonsupply.com/cdn/shop/products/et310_c.jpg?v=1646963918")</f>
        <v/>
      </c>
      <c r="H4753">
        <f>_xlfn.IMAGE("https://m.media-amazon.com/images/I/61wZRMpKAcL._AC_UL320_.jpg")</f>
        <v/>
      </c>
      <c r="K4753" t="inlineStr">
        <is>
          <t>49.97</t>
        </is>
      </c>
      <c r="L4753" t="n">
        <v>79.98999999999999</v>
      </c>
      <c r="M4753" s="1" t="inlineStr">
        <is>
          <t>60.08%</t>
        </is>
      </c>
      <c r="N4753" s="7" t="n">
        <v>-22</v>
      </c>
      <c r="O4753" t="n">
        <v>4.7</v>
      </c>
      <c r="P4753" t="n">
        <v>403</v>
      </c>
      <c r="R4753" t="inlineStr">
        <is>
          <t>InStock</t>
        </is>
      </c>
      <c r="S4753" t="inlineStr">
        <is>
          <t>75.1</t>
        </is>
      </c>
      <c r="T4753" t="inlineStr">
        <is>
          <t>3389551280228</t>
        </is>
      </c>
    </row>
    <row r="4754" ht="87" customHeight="1">
      <c r="A4754" s="2">
        <f>HYPERLINK("https://edmondsonsupply.com/collections/electricians-tools/products/channellock-gs-1x-2pc-speedgrip%E2%84%A2-tongue-groove-pliers-set", "https://edmondsonsupply.com/collections/electricians-tools/products/channellock-gs-1x-2pc-speedgrip%E2%84%A2-tongue-groove-pliers-set")</f>
        <v/>
      </c>
      <c r="B4754" s="2">
        <f>HYPERLINK("https://edmondsonsupply.com/products/channellock-gs-1x-2pc-speedgrip%e2%84%a2-tongue-groove-pliers-set", "https://edmondsonsupply.com/products/channellock-gs-1x-2pc-speedgrip%e2%84%a2-tongue-groove-pliers-set")</f>
        <v/>
      </c>
      <c r="C4754" t="inlineStr">
        <is>
          <t>Channellock GS-1X 2PC SPEEDGRIP™ Tongue &amp; Groove Pliers Set</t>
        </is>
      </c>
      <c r="D4754" t="inlineStr">
        <is>
          <t>CHANNELLOCK GS-3X SPEEDGRIP Tongue &amp; Groove Pliers Set | Made in USA | Forged High Carbon Steel</t>
        </is>
      </c>
      <c r="E4754" s="2">
        <f>HYPERLINK("https://www.amazon.com/CHANNELLOCK-SPEEDGRIP-Tongue-Groove-Pliers/dp/B0B5FH5D7B/ref=sr_1_2?keywords=Channellock+GS-1X+2PC+SPEEDGRIP%E2%84%A2+Tongue+%26+Groove+Pliers+Set&amp;qid=1694735166&amp;sr=8-2", "https://www.amazon.com/CHANNELLOCK-SPEEDGRIP-Tongue-Groove-Pliers/dp/B0B5FH5D7B/ref=sr_1_2?keywords=Channellock+GS-1X+2PC+SPEEDGRIP%E2%84%A2+Tongue+%26+Groove+Pliers+Set&amp;qid=1694735166&amp;sr=8-2")</f>
        <v/>
      </c>
      <c r="F4754" t="inlineStr">
        <is>
          <t>B0B5FH5D7B</t>
        </is>
      </c>
      <c r="G4754">
        <f>_xlfn.IMAGE("https://edmondsonsupply.com/cdn/shop/products/GS1X.jpg?v=1647106166")</f>
        <v/>
      </c>
      <c r="H4754">
        <f>_xlfn.IMAGE("https://m.media-amazon.com/images/I/71ksLVjQoqL._AC_UL320_.jpg")</f>
        <v/>
      </c>
      <c r="K4754" t="inlineStr">
        <is>
          <t>49.95</t>
        </is>
      </c>
      <c r="L4754" t="n">
        <v>79.95</v>
      </c>
      <c r="M4754" s="1" t="inlineStr">
        <is>
          <t>60.06%</t>
        </is>
      </c>
      <c r="N4754" s="7" t="n">
        <v>-22.24</v>
      </c>
      <c r="O4754" t="n">
        <v>4.4</v>
      </c>
      <c r="P4754" t="n">
        <v>577</v>
      </c>
      <c r="R4754" t="inlineStr">
        <is>
          <t>InStock</t>
        </is>
      </c>
      <c r="S4754" t="inlineStr">
        <is>
          <t>77.87</t>
        </is>
      </c>
      <c r="T4754" t="inlineStr">
        <is>
          <t>7633810227416</t>
        </is>
      </c>
    </row>
    <row r="4755" hidden="1" ht="15.75" customHeight="1">
      <c r="A4755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4755" s="2">
        <f>HYPERLINK("https://edmondsonsupply.com/products/klein-tools-31922-bi-metal-hole-saw-1-3-8-inch", "https://edmondsonsupply.com/products/klein-tools-31922-bi-metal-hole-saw-1-3-8-inch")</f>
        <v/>
      </c>
      <c r="C4755" t="inlineStr">
        <is>
          <t>Klein Tools 31922 Bi-Metal Hole Saw, 1-3/8-Inch</t>
        </is>
      </c>
      <c r="D4755" t="inlineStr">
        <is>
          <t>35mm （1-3/8 inch） Impact Bi-Metal Hole Saw,Thin Metal Hole Saw with 1/4" Hex Shank for Thin Sheet Metal and Stainless Steel Board ( 35mm （1-3/8 inch）</t>
        </is>
      </c>
      <c r="E4755" s="2">
        <f>HYPERLINK("https://www.amazon.com/inch%EF%BC%89-Impact-Bi-Metal-Metal-Stainless/dp/B0B2WHXJNP/ref=sr_1_25?keywords=Klein+Tools+31922+Bi-Metal+Hole+Saw%2C+1-3%2F8-Inch&amp;qid=1694735176&amp;sr=8-25", "https://www.amazon.com/inch%EF%BC%89-Impact-Bi-Metal-Metal-Stainless/dp/B0B2WHXJNP/ref=sr_1_25?keywords=Klein+Tools+31922+Bi-Metal+Hole+Saw%2C+1-3%2F8-Inch&amp;qid=1694735176&amp;sr=8-25")</f>
        <v/>
      </c>
      <c r="F4755" t="inlineStr">
        <is>
          <t>B0B2WHXJNP</t>
        </is>
      </c>
      <c r="G4755">
        <f>_xludf.IMAGE("https://edmondsonsupply.com/cdn/shop/products/31922.jpg?v=1663943738")</f>
        <v/>
      </c>
      <c r="H4755">
        <f>_xludf.IMAGE("https://m.media-amazon.com/images/I/61WIWNtYLtL._AC_UL320_.jpg")</f>
        <v/>
      </c>
      <c r="K4755" t="inlineStr">
        <is>
          <t>9.99</t>
        </is>
      </c>
      <c r="L4755" t="n">
        <v>15.99</v>
      </c>
      <c r="M4755" s="1" t="inlineStr">
        <is>
          <t>60.06%</t>
        </is>
      </c>
      <c r="N4755" s="1" t="n">
        <v>-22.59</v>
      </c>
      <c r="O4755" t="n">
        <v>3.3</v>
      </c>
      <c r="P4755" t="n">
        <v>8</v>
      </c>
      <c r="R4755" t="inlineStr">
        <is>
          <t>InStock</t>
        </is>
      </c>
      <c r="S4755" t="inlineStr">
        <is>
          <t>14.0</t>
        </is>
      </c>
      <c r="T4755" t="inlineStr">
        <is>
          <t>7827257819352</t>
        </is>
      </c>
    </row>
    <row r="4756" ht="87" customHeight="1">
      <c r="A4756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4756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4756" t="inlineStr">
        <is>
          <t>Klein Tools CL220 Digital Clamp Meter, AC Auto-Ranging 400 Amp with Temp</t>
        </is>
      </c>
      <c r="D4756" t="inlineStr">
        <is>
          <t>Klein Tools CL390 Digital Clamp Meter, Reverse Contrast Display, Auto Ranging 400A AC/DC, AC/DC Voltage,TRMS, DC Microamps, Temp, NCVT, More &amp; 69417 Rare-Earth Magnetic Hanger, with Strap</t>
        </is>
      </c>
      <c r="E4756" s="2">
        <f>HYPERLINK("https://www.amazon.com/Klein-Tools-Contrast-Microamps-Rare-Earth/dp/B09T72LQCJ/ref=sr_1_15?keywords=Klein+Tools+CL220+Digital+Clamp+Meter%2C+AC+Auto-Ranging+400+Amp+with+Temp&amp;qid=1694735238&amp;sr=8-15", "https://www.amazon.com/Klein-Tools-Contrast-Microamps-Rare-Earth/dp/B09T72LQCJ/ref=sr_1_15?keywords=Klein+Tools+CL220+Digital+Clamp+Meter%2C+AC+Auto-Ranging+400+Amp+with+Temp&amp;qid=1694735238&amp;sr=8-15")</f>
        <v/>
      </c>
      <c r="F4756" t="inlineStr">
        <is>
          <t>B09T72LQCJ</t>
        </is>
      </c>
      <c r="G4756">
        <f>_xlfn.IMAGE("https://edmondsonsupply.com/cdn/shop/products/cl220.jpg?v=1633030821")</f>
        <v/>
      </c>
      <c r="H4756">
        <f>_xlfn.IMAGE("https://m.media-amazon.com/images/I/51sNOvZYe9L._AC_UY218_.jpg")</f>
        <v/>
      </c>
      <c r="K4756" t="inlineStr">
        <is>
          <t>69.97</t>
        </is>
      </c>
      <c r="L4756" t="n">
        <v>111.96</v>
      </c>
      <c r="M4756" s="1" t="inlineStr">
        <is>
          <t>60.01%</t>
        </is>
      </c>
      <c r="N4756" s="7" t="n">
        <v>-22.65</v>
      </c>
      <c r="O4756" t="n">
        <v>4.6</v>
      </c>
      <c r="P4756" t="n">
        <v>7</v>
      </c>
      <c r="R4756" t="inlineStr">
        <is>
          <t>InStock</t>
        </is>
      </c>
      <c r="S4756" t="inlineStr">
        <is>
          <t>93.22</t>
        </is>
      </c>
      <c r="T4756" t="inlineStr">
        <is>
          <t>6080846463149</t>
        </is>
      </c>
    </row>
    <row r="4757" ht="87" customHeight="1">
      <c r="A4757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4757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4757" t="inlineStr">
        <is>
          <t>Klein Tools 32288 8-in-1 Insulated Interchangeable Screwdriver Set</t>
        </is>
      </c>
      <c r="D4757" t="inlineStr">
        <is>
          <t>Klein Tools 32288 Insulated Screwdriver, 8-in-1 Screwdriver Set &amp; 80045 Screwdriver and Nut Driver Tool Kit, Includes Magnetic 11 in 1, Multi-Bit Stubby and Electronics Screwdrivers, 3-Piece</t>
        </is>
      </c>
      <c r="E4757" s="2">
        <f>HYPERLINK("https://www.amazon.com/Klein-Tools-Screwdriver-Electronics-Screwdrivers/dp/B09T6VZ31V/ref=sr_1_4?keywords=Klein+Tools+32288+8-in-1+Insulated+Interchangeable+Screwdriver+Set&amp;qid=1694734974&amp;sr=8-4", "https://www.amazon.com/Klein-Tools-Screwdriver-Electronics-Screwdrivers/dp/B09T6VZ31V/ref=sr_1_4?keywords=Klein+Tools+32288+8-in-1+Insulated+Interchangeable+Screwdriver+Set&amp;qid=1694734974&amp;sr=8-4")</f>
        <v/>
      </c>
      <c r="F4757" t="inlineStr">
        <is>
          <t>B09T6VZ31V</t>
        </is>
      </c>
      <c r="G4757">
        <f>_xlfn.IMAGE("https://edmondsonsupply.com/cdn/shop/products/32288.jpg?v=1587146849")</f>
        <v/>
      </c>
      <c r="H4757">
        <f>_xlfn.IMAGE("https://m.media-amazon.com/images/I/51gXavqPdDL._AC_UL320_.jpg")</f>
        <v/>
      </c>
      <c r="K4757" t="inlineStr">
        <is>
          <t>49.99</t>
        </is>
      </c>
      <c r="L4757" t="n">
        <v>79.98</v>
      </c>
      <c r="M4757" s="1" t="inlineStr">
        <is>
          <t>59.99%</t>
        </is>
      </c>
      <c r="N4757" s="7" t="n">
        <v>-22.67</v>
      </c>
      <c r="O4757" t="n">
        <v>4.7</v>
      </c>
      <c r="P4757" t="n">
        <v>7</v>
      </c>
      <c r="R4757" t="inlineStr">
        <is>
          <t>InStock</t>
        </is>
      </c>
      <c r="S4757" t="inlineStr">
        <is>
          <t>69.98</t>
        </is>
      </c>
      <c r="T4757" t="inlineStr">
        <is>
          <t>4094849613924</t>
        </is>
      </c>
    </row>
    <row r="4758" ht="87" customHeight="1">
      <c r="A4758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4758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4758" t="inlineStr">
        <is>
          <t>Klein Tools 32288 8-in-1 Insulated Interchangeable Screwdriver Set</t>
        </is>
      </c>
      <c r="D4758" t="inlineStr">
        <is>
          <t>Klein Tools 32288 Insulated Screwdriver, 8-in-1 Screwdriver Set &amp; 32900 Impact Driver, 7-in-1 Impact Flip Socket Set with Handle, 6 Hex Driver Sizes plus a 1/4-Inch Bit Holder</t>
        </is>
      </c>
      <c r="E4758" s="2">
        <f>HYPERLINK("https://www.amazon.com/Klein-Tools-Insulated-Screwdriver-Impact/dp/B0BK4LCT3J/ref=sr_1_3?keywords=Klein+Tools+32288+8-in-1+Insulated+Interchangeable+Screwdriver+Set&amp;qid=1694734974&amp;sr=8-3", "https://www.amazon.com/Klein-Tools-Insulated-Screwdriver-Impact/dp/B0BK4LCT3J/ref=sr_1_3?keywords=Klein+Tools+32288+8-in-1+Insulated+Interchangeable+Screwdriver+Set&amp;qid=1694734974&amp;sr=8-3")</f>
        <v/>
      </c>
      <c r="F4758" t="inlineStr">
        <is>
          <t>B0BK4LCT3J</t>
        </is>
      </c>
      <c r="G4758">
        <f>_xlfn.IMAGE("https://edmondsonsupply.com/cdn/shop/products/32288.jpg?v=1587146849")</f>
        <v/>
      </c>
      <c r="H4758">
        <f>_xlfn.IMAGE("https://m.media-amazon.com/images/I/51whjRly5bL._AC_UL320_.jpg")</f>
        <v/>
      </c>
      <c r="K4758" t="inlineStr">
        <is>
          <t>49.99</t>
        </is>
      </c>
      <c r="L4758" t="n">
        <v>79.95999999999999</v>
      </c>
      <c r="M4758" s="1" t="inlineStr">
        <is>
          <t>59.95%</t>
        </is>
      </c>
      <c r="N4758" s="7" t="n">
        <v>-22.67</v>
      </c>
      <c r="O4758" t="n">
        <v>5</v>
      </c>
      <c r="P4758" t="n">
        <v>4</v>
      </c>
      <c r="R4758" t="inlineStr">
        <is>
          <t>InStock</t>
        </is>
      </c>
      <c r="S4758" t="inlineStr">
        <is>
          <t>69.98</t>
        </is>
      </c>
      <c r="T4758" t="inlineStr">
        <is>
          <t>4094849613924</t>
        </is>
      </c>
    </row>
    <row r="4759" ht="87" customHeight="1">
      <c r="A4759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4759" s="2">
        <f>HYPERLINK("https://edmondsonsupply.com/products/klein-tools-56331-steel-fish-tape-1-8-inch-x-50-foot", "https://edmondsonsupply.com/products/klein-tools-56331-steel-fish-tape-1-8-inch-x-50-foot")</f>
        <v/>
      </c>
      <c r="C4759" t="inlineStr">
        <is>
          <t>Klein Tools 56331 Steel Fish Tape, 1/8-Inch x 50-Foot</t>
        </is>
      </c>
      <c r="D4759" t="inlineStr">
        <is>
          <t>Klein Tools 56002 Electrical Fish Tape, 65-Foot Long x 1/8-Inch Wide Steel for Heavy Duty Wire Pulls, Laser Etched for Conduit Measuring</t>
        </is>
      </c>
      <c r="E4759" s="2">
        <f>HYPERLINK("https://www.amazon.com/65-Foot-Measuring-Klein-Tools-56002/dp/B007KFRMY0/ref=sr_1_12?keywords=Klein+Tools+56331+Steel+Fish+Tape%2C+1%2F8-Inch+x+50-Foot&amp;qid=1694735384&amp;sr=8-12", "https://www.amazon.com/65-Foot-Measuring-Klein-Tools-56002/dp/B007KFRMY0/ref=sr_1_12?keywords=Klein+Tools+56331+Steel+Fish+Tape%2C+1%2F8-Inch+x+50-Foot&amp;qid=1694735384&amp;sr=8-12")</f>
        <v/>
      </c>
      <c r="F4759" t="inlineStr">
        <is>
          <t>B007KFRMY0</t>
        </is>
      </c>
      <c r="G4759">
        <f>_xlfn.IMAGE("https://edmondsonsupply.com/cdn/shop/products/56331.jpg?v=1587143350")</f>
        <v/>
      </c>
      <c r="H4759">
        <f>_xlfn.IMAGE("https://m.media-amazon.com/images/I/51JsZKupteL._AC_UL320_.jpg")</f>
        <v/>
      </c>
      <c r="K4759" t="inlineStr">
        <is>
          <t>24.99</t>
        </is>
      </c>
      <c r="L4759" t="n">
        <v>39.97</v>
      </c>
      <c r="M4759" s="1" t="inlineStr">
        <is>
          <t>59.94%</t>
        </is>
      </c>
      <c r="N4759" s="7" t="n">
        <v>-22.68</v>
      </c>
      <c r="O4759" t="n">
        <v>4.4</v>
      </c>
      <c r="P4759" t="n">
        <v>140</v>
      </c>
      <c r="R4759" t="inlineStr">
        <is>
          <t>InStock</t>
        </is>
      </c>
      <c r="S4759" t="inlineStr">
        <is>
          <t>30.9</t>
        </is>
      </c>
      <c r="T4759" t="inlineStr">
        <is>
          <t>4412204056676</t>
        </is>
      </c>
    </row>
    <row r="4760" hidden="1" ht="15.75" customHeight="1">
      <c r="A4760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4760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4760" t="inlineStr">
        <is>
          <t>Klein Tools JTH6M25BE 2.5 mm Ball Hex Key Journeyman T-Handle 6-Inch</t>
        </is>
      </c>
      <c r="D4760" t="inlineStr">
        <is>
          <t>Klein Tools JTH6M25 2.5 mm Hex Key, Journeyman T-Handle, 6-Inch (Pack of 2)</t>
        </is>
      </c>
      <c r="E4760" s="2">
        <f>HYPERLINK("https://www.amazon.com/Klein-Tools-JTH6M25-Journeyman-T-Handle/dp/B0CGLZ16RL/ref=sr_1_2?keywords=Klein+Tools+JTH6M25BE+2.5+mm+Ball+Hex+Key+Journeyman+T-Handle+6-Inch&amp;qid=1694735267&amp;sr=8-2", "https://www.amazon.com/Klein-Tools-JTH6M25-Journeyman-T-Handle/dp/B0CGLZ16RL/ref=sr_1_2?keywords=Klein+Tools+JTH6M25BE+2.5+mm+Ball+Hex+Key+Journeyman+T-Handle+6-Inch&amp;qid=1694735267&amp;sr=8-2")</f>
        <v/>
      </c>
      <c r="F4760" t="inlineStr">
        <is>
          <t>B0CGLZ16RL</t>
        </is>
      </c>
      <c r="G4760">
        <f>_xludf.IMAGE("https://edmondsonsupply.com/cdn/shop/products/jth6m8be_af5f0d75-5d0d-4973-9134-931620c84f2d.jpg?v=1633030574")</f>
        <v/>
      </c>
      <c r="H4760">
        <f>_xludf.IMAGE("https://m.media-amazon.com/images/I/41QPzTKY+AL._AC_UL320_.jpg")</f>
        <v/>
      </c>
      <c r="K4760" t="inlineStr">
        <is>
          <t>4.99</t>
        </is>
      </c>
      <c r="L4760" t="n">
        <v>7.98</v>
      </c>
      <c r="M4760" s="1" t="inlineStr">
        <is>
          <t>59.92%</t>
        </is>
      </c>
      <c r="N4760" s="1" t="n">
        <v>-22.76</v>
      </c>
      <c r="O4760" t="n">
        <v>4.7</v>
      </c>
      <c r="P4760" t="n">
        <v>1530</v>
      </c>
      <c r="R4760" t="inlineStr">
        <is>
          <t>InStock</t>
        </is>
      </c>
      <c r="S4760" t="inlineStr">
        <is>
          <t>7.56</t>
        </is>
      </c>
      <c r="T4760" t="inlineStr">
        <is>
          <t>5525435973800</t>
        </is>
      </c>
    </row>
    <row r="4761" hidden="1" ht="15.75" customHeight="1">
      <c r="A4761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4761" s="2">
        <f>HYPERLINK("https://edmondsonsupply.com/products/diablo-tools-dmapl2360-9-16-in-x-6-in-x-8-in-sds-plus-2-cutter", "https://edmondsonsupply.com/products/diablo-tools-dmapl2360-9-16-in-x-6-in-x-8-in-sds-plus-2-cutter")</f>
        <v/>
      </c>
      <c r="C4761" t="inlineStr">
        <is>
          <t>Diablo Tools DMAPL2360 9/16 in. x 6 in. x 8 in. SDS-Plus 2-Cutter</t>
        </is>
      </c>
      <c r="D4761" t="inlineStr">
        <is>
          <t>Diablo 9/16 in. x 10 in. x 12 in. SDS-Plus 2-Cutter</t>
        </is>
      </c>
      <c r="E4761" s="2">
        <f>HYPERLINK("https://www.amazon.com/Diablo-DMAPL2380-16-SDS-Plus-2-Cutter/dp/B089LGWH7X/ref=sr_1_3?keywords=Diablo+Tools+DMAPL2360+9%2F16+in.+x+6+in.+x+8+in.+SDS-Plus+2-Cutter&amp;qid=1694735296&amp;sr=8-3", "https://www.amazon.com/Diablo-DMAPL2380-16-SDS-Plus-2-Cutter/dp/B089LGWH7X/ref=sr_1_3?keywords=Diablo+Tools+DMAPL2360+9%2F16+in.+x+6+in.+x+8+in.+SDS-Plus+2-Cutter&amp;qid=1694735296&amp;sr=8-3")</f>
        <v/>
      </c>
      <c r="F4761" t="inlineStr">
        <is>
          <t>B089LGWH7X</t>
        </is>
      </c>
      <c r="G4761">
        <f>_xludf.IMAGE("https://edmondsonsupply.com/cdn/shop/products/DMAPL2360_Main-Image20200701.png?v=1633697551")</f>
        <v/>
      </c>
      <c r="H4761">
        <f>_xludf.IMAGE("https://m.media-amazon.com/images/I/6120+2+rRTL._AC_UL320_.jpg")</f>
        <v/>
      </c>
      <c r="K4761" t="inlineStr">
        <is>
          <t>8.59</t>
        </is>
      </c>
      <c r="L4761" t="n">
        <v>13.73</v>
      </c>
      <c r="M4761" s="1" t="inlineStr">
        <is>
          <t>59.84%</t>
        </is>
      </c>
      <c r="N4761" s="1" t="n">
        <v>-22.79</v>
      </c>
      <c r="O4761" t="n">
        <v>5</v>
      </c>
      <c r="P4761" t="n">
        <v>1</v>
      </c>
      <c r="R4761" t="inlineStr">
        <is>
          <t>InStock</t>
        </is>
      </c>
      <c r="S4761" t="inlineStr">
        <is>
          <t>9.77</t>
        </is>
      </c>
      <c r="T4761" t="inlineStr">
        <is>
          <t>5286291046568</t>
        </is>
      </c>
    </row>
    <row r="4762" hidden="1" ht="15.75" customHeight="1">
      <c r="A4762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4762" s="2">
        <f>HYPERLINK("https://edmondsonsupply.com/products/klein-tools-jth6m10-10-mm-hex-key-journeyman-t-handle-6-inch", "https://edmondsonsupply.com/products/klein-tools-jth6m10-10-mm-hex-key-journeyman-t-handle-6-inch")</f>
        <v/>
      </c>
      <c r="C4762" t="inlineStr">
        <is>
          <t>Klein Tools JTH6M10 10 mm Hex Key Journeyman T-Handle 6-Inch</t>
        </is>
      </c>
      <c r="D4762" t="inlineStr">
        <is>
          <t>Klein Tools JTH6E09BE 9/64-Inch Ball-End Hex Key with Journeyman T-Handle, 6-Inch (Pack of 2)</t>
        </is>
      </c>
      <c r="E4762" s="2">
        <f>HYPERLINK("https://www.amazon.com/Klein-Tools-JTH6E09BE-Ball-End-Journeyman/dp/B0CGLVC75M/ref=sr_1_9?keywords=Klein+Tools+JTH6M10+10+mm+Hex+Key+Journeyman+T-Handle+6-Inch&amp;qid=1694735203&amp;sr=8-9", "https://www.amazon.com/Klein-Tools-JTH6E09BE-Ball-End-Journeyman/dp/B0CGLVC75M/ref=sr_1_9?keywords=Klein+Tools+JTH6M10+10+mm+Hex+Key+Journeyman+T-Handle+6-Inch&amp;qid=1694735203&amp;sr=8-9")</f>
        <v/>
      </c>
      <c r="F4762" t="inlineStr">
        <is>
          <t>B0CGLVC75M</t>
        </is>
      </c>
      <c r="G4762">
        <f>_xludf.IMAGE("https://edmondsonsupply.com/cdn/shop/products/jth6m8_64c2c8d3-e13e-4b81-9b34-745be7fd837a.jpg?v=1627827117")</f>
        <v/>
      </c>
      <c r="H4762">
        <f>_xludf.IMAGE("https://m.media-amazon.com/images/I/41bN+I19ReL._AC_UL320_.jpg")</f>
        <v/>
      </c>
      <c r="K4762" t="inlineStr">
        <is>
          <t>8.99</t>
        </is>
      </c>
      <c r="L4762" t="n">
        <v>14.36</v>
      </c>
      <c r="M4762" s="1" t="inlineStr">
        <is>
          <t>59.73%</t>
        </is>
      </c>
      <c r="N4762" s="1" t="n">
        <v>-22.79</v>
      </c>
      <c r="O4762" t="n">
        <v>4.9</v>
      </c>
      <c r="P4762" t="n">
        <v>65</v>
      </c>
      <c r="R4762" t="inlineStr">
        <is>
          <t>InStock</t>
        </is>
      </c>
      <c r="S4762" t="inlineStr">
        <is>
          <t>13.56</t>
        </is>
      </c>
      <c r="T4762" t="inlineStr">
        <is>
          <t>6852298014893</t>
        </is>
      </c>
    </row>
    <row r="4763" hidden="1" ht="15.75" customHeight="1">
      <c r="A4763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4763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4763" t="inlineStr">
        <is>
          <t>Klein Tools JTH6E15 3/8-Inch Hex Key with Journeyman T-Handle, 6-Inch</t>
        </is>
      </c>
      <c r="D4763" t="inlineStr">
        <is>
          <t>Klein Tools JTH6E09BE 9/64-Inch Ball-End Hex Key with Journeyman T-Handle, 6-Inch (Pack of 2)</t>
        </is>
      </c>
      <c r="E4763" s="2">
        <f>HYPERLINK("https://www.amazon.com/Klein-Tools-JTH6E09BE-Ball-End-Journeyman/dp/B0CGLVC75M/ref=sr_1_18?keywords=Klein+Tools+JTH6E15+3%2F8-Inch+Hex+Key+with+Journeyman+T-Handle%2C+6-Inch&amp;qid=1694735343&amp;sr=8-18", "https://www.amazon.com/Klein-Tools-JTH6E09BE-Ball-End-Journeyman/dp/B0CGLVC75M/ref=sr_1_18?keywords=Klein+Tools+JTH6E15+3%2F8-Inch+Hex+Key+with+Journeyman+T-Handle%2C+6-Inch&amp;qid=1694735343&amp;sr=8-18")</f>
        <v/>
      </c>
      <c r="F4763" t="inlineStr">
        <is>
          <t>B0CGLVC75M</t>
        </is>
      </c>
      <c r="G4763">
        <f>_xludf.IMAGE("https://edmondsonsupply.com/cdn/shop/products/jth6e15_c4dd65ba-86a8-4743-882c-88cf44faafdc.jpg?v=1587142819")</f>
        <v/>
      </c>
      <c r="H4763">
        <f>_xludf.IMAGE("https://m.media-amazon.com/images/I/41bN+I19ReL._AC_UL320_.jpg")</f>
        <v/>
      </c>
      <c r="K4763" t="inlineStr">
        <is>
          <t>8.99</t>
        </is>
      </c>
      <c r="L4763" t="n">
        <v>14.36</v>
      </c>
      <c r="M4763" s="1" t="inlineStr">
        <is>
          <t>59.73%</t>
        </is>
      </c>
      <c r="N4763" s="1" t="n">
        <v>-22.86</v>
      </c>
      <c r="O4763" t="n">
        <v>4.9</v>
      </c>
      <c r="P4763" t="n">
        <v>65</v>
      </c>
      <c r="R4763" t="inlineStr">
        <is>
          <t>InStock</t>
        </is>
      </c>
      <c r="S4763" t="inlineStr">
        <is>
          <t>13.56</t>
        </is>
      </c>
      <c r="T4763" t="inlineStr">
        <is>
          <t>4512705970276</t>
        </is>
      </c>
    </row>
    <row r="4764" ht="87" customHeight="1">
      <c r="A4764" s="2">
        <f>HYPERLINK("https://edmondsonsupply.com/collections/electricians-tools/products/diablo-tools-dhs0312dg-5-16-in-diamond-grit-hole-saws", "https://edmondsonsupply.com/collections/electricians-tools/products/diablo-tools-dhs0312dg-5-16-in-diamond-grit-hole-saws")</f>
        <v/>
      </c>
      <c r="B4764" s="2">
        <f>HYPERLINK("https://edmondsonsupply.com/products/diablo-tools-dhs0312dg-5-16-in-diamond-grit-hole-saws", "https://edmondsonsupply.com/products/diablo-tools-dhs0312dg-5-16-in-diamond-grit-hole-saws")</f>
        <v/>
      </c>
      <c r="C4764" t="inlineStr">
        <is>
          <t>Diablo Tools DHS0312DG 5/16 in. Diamond Grit Hole Saws</t>
        </is>
      </c>
      <c r="D4764" t="inlineStr">
        <is>
          <t>LENOX Tools Hole Saw, Diamond Grit, 5/16-Inch or 7.9mm (121085DGDS)</t>
        </is>
      </c>
      <c r="E4764" s="2">
        <f>HYPERLINK("https://www.amazon.com/Lenox-Tools-121085DGDS-Diamond-16-Inch/dp/B002TPXXOO/ref=sr_1_2?keywords=Diablo+Tools+DHS0312DG+5%2F16+in.+Diamond+Grit+Hole+Saws&amp;qid=1694735077&amp;sr=8-2", "https://www.amazon.com/Lenox-Tools-121085DGDS-Diamond-16-Inch/dp/B002TPXXOO/ref=sr_1_2?keywords=Diablo+Tools+DHS0312DG+5%2F16+in.+Diamond+Grit+Hole+Saws&amp;qid=1694735077&amp;sr=8-2")</f>
        <v/>
      </c>
      <c r="F4764" t="inlineStr">
        <is>
          <t>B002TPXXOO</t>
        </is>
      </c>
      <c r="G4764">
        <f>_xlfn.IMAGE("https://edmondsonsupply.com/cdn/shop/products/rxizptsq5go5ndbgimh0.webp?v=1670004603")</f>
        <v/>
      </c>
      <c r="H4764">
        <f>_xlfn.IMAGE("https://m.media-amazon.com/images/I/51iEfA2HpPL._AC_UL320_.jpg")</f>
        <v/>
      </c>
      <c r="K4764" t="inlineStr">
        <is>
          <t>12.73</t>
        </is>
      </c>
      <c r="L4764" t="n">
        <v>20.32</v>
      </c>
      <c r="M4764" s="1" t="inlineStr">
        <is>
          <t>59.62%</t>
        </is>
      </c>
      <c r="N4764" s="7" t="n">
        <v>-22.92</v>
      </c>
      <c r="O4764" t="n">
        <v>4.6</v>
      </c>
      <c r="P4764" t="n">
        <v>278</v>
      </c>
      <c r="R4764" t="inlineStr">
        <is>
          <t>InStock</t>
        </is>
      </c>
      <c r="S4764" t="inlineStr">
        <is>
          <t>20.21</t>
        </is>
      </c>
      <c r="T4764" t="inlineStr">
        <is>
          <t>7897589973208</t>
        </is>
      </c>
    </row>
    <row r="4765" ht="87" customHeight="1">
      <c r="A4765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4765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4765" t="inlineStr">
        <is>
          <t>Diablo Tools DMAPL4310 1 in. x 16 in. x 18 in. Rebar Demon™ SDS-Plus 4-Cutter Full Carbide Head Hammer Drill Bit</t>
        </is>
      </c>
      <c r="D4765" t="inlineStr">
        <is>
          <t>Diablo by Freud DMAPL4040-P25 3/16 in. x 4 in. x 6 in. Rebar Demon™ SDS-Plus 4-Cutter Full Carbide Head Hammer Bit (25-Pack)</t>
        </is>
      </c>
      <c r="E4765" s="2">
        <f>HYPERLINK("https://www.amazon.com/Diablo-Freud-DMAPL4040-P25-SDS-Plus-4-Cutter/dp/B089LKW42D/ref=sr_1_35?keywords=Diablo+Tools+DMAPL4310+1+in.+x+16+in.+x+18+in.+Rebar+Demon%E2%84%A2+SDS-Plus+4-Cutter+Full+Carbide+Head+Hammer+Drill+Bit&amp;qid=1694735204&amp;sr=8-35", "https://www.amazon.com/Diablo-Freud-DMAPL4040-P25-SDS-Plus-4-Cutter/dp/B089LKW42D/ref=sr_1_35?keywords=Diablo+Tools+DMAPL4310+1+in.+x+16+in.+x+18+in.+Rebar+Demon%E2%84%A2+SDS-Plus+4-Cutter+Full+Carbide+Head+Hammer+Drill+Bit&amp;qid=1694735204&amp;sr=8-35")</f>
        <v/>
      </c>
      <c r="F4765" t="inlineStr">
        <is>
          <t>B089LKW42D</t>
        </is>
      </c>
      <c r="G4765">
        <f>_xlfn.IMAGE("https://edmondsonsupply.com/cdn/shop/products/DMAPL4310_Main-Image20200701.png?v=1633031094")</f>
        <v/>
      </c>
      <c r="H4765">
        <f>_xlfn.IMAGE("https://m.media-amazon.com/images/I/61WAyx865hL._AC_UL320_.jpg")</f>
        <v/>
      </c>
      <c r="K4765" t="inlineStr">
        <is>
          <t>49.97</t>
        </is>
      </c>
      <c r="L4765" t="n">
        <v>79.63</v>
      </c>
      <c r="M4765" s="1" t="inlineStr">
        <is>
          <t>59.36%</t>
        </is>
      </c>
      <c r="N4765" s="7" t="n">
        <v>-23.03</v>
      </c>
      <c r="O4765" t="n">
        <v>5</v>
      </c>
      <c r="P4765" t="n">
        <v>2</v>
      </c>
      <c r="R4765" t="inlineStr">
        <is>
          <t>InStock</t>
        </is>
      </c>
      <c r="S4765" t="inlineStr">
        <is>
          <t>57.56</t>
        </is>
      </c>
      <c r="T4765" t="inlineStr">
        <is>
          <t>6839830479021</t>
        </is>
      </c>
    </row>
    <row r="4766" hidden="1" ht="15.75" customHeight="1">
      <c r="A4766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766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766" t="inlineStr">
        <is>
          <t>Klein Tools 605-4 1/4-Inch Cabinet Tip Screwdriver 4-Inch Shank</t>
        </is>
      </c>
      <c r="D4766" t="inlineStr">
        <is>
          <t>Klein Tools 614-4 Flat Screwdriver, Precision Electronics Screwdriver, 1/8-Inch Cabinet Tip, 4-Inch Shank</t>
        </is>
      </c>
      <c r="E4766" s="2">
        <f>HYPERLINK("https://www.amazon.com/Klein-Tools-614-4-Screwdriver-Electronics/dp/B00B9HICKS/ref=sr_1_18?keywords=Klein+Tools+605-4+1%2F4-Inch+Cabinet+Tip+Screwdriver+4-Inch+Shank&amp;qid=1694735099&amp;sr=8-18", "https://www.amazon.com/Klein-Tools-614-4-Screwdriver-Electronics/dp/B00B9HICKS/ref=sr_1_18?keywords=Klein+Tools+605-4+1%2F4-Inch+Cabinet+Tip+Screwdriver+4-Inch+Shank&amp;qid=1694735099&amp;sr=8-18")</f>
        <v/>
      </c>
      <c r="F4766" t="inlineStr">
        <is>
          <t>B00B9HICKS</t>
        </is>
      </c>
      <c r="G4766">
        <f>_xludf.IMAGE("https://edmondsonsupply.com/cdn/shop/products/605-6_ac5e56ca-920d-4d55-842f-c7dc8361f892.jpg?v=1665688377")</f>
        <v/>
      </c>
      <c r="H4766">
        <f>_xludf.IMAGE("https://m.media-amazon.com/images/I/41hS1hfEVDS._AC_UL320_.jpg")</f>
        <v/>
      </c>
      <c r="K4766" t="inlineStr">
        <is>
          <t>8.99</t>
        </is>
      </c>
      <c r="L4766" t="n">
        <v>14.32</v>
      </c>
      <c r="M4766" s="1" t="inlineStr">
        <is>
          <t>59.29%</t>
        </is>
      </c>
      <c r="N4766" s="1" t="n">
        <v>-23.04</v>
      </c>
      <c r="O4766" t="n">
        <v>4.8</v>
      </c>
      <c r="P4766" t="n">
        <v>999</v>
      </c>
      <c r="R4766" t="inlineStr">
        <is>
          <t>InStock</t>
        </is>
      </c>
      <c r="S4766" t="inlineStr">
        <is>
          <t>13.6</t>
        </is>
      </c>
      <c r="T4766" t="inlineStr">
        <is>
          <t>7852059132120</t>
        </is>
      </c>
    </row>
    <row r="4767" hidden="1" ht="15.75" customHeight="1">
      <c r="A4767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4767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4767" t="inlineStr">
        <is>
          <t>Klein Tools 614-4 1/8-Inch Cabinet Electronics Screwdriver, 4-Inch</t>
        </is>
      </c>
      <c r="D4767" t="inlineStr">
        <is>
          <t>Klein Tools 614-4 Flat Screwdriver, Precision Electronics Screwdriver, 1/8-Inch Cabinet Tip, 4-Inch Shank</t>
        </is>
      </c>
      <c r="E4767" s="2">
        <f>HYPERLINK("https://www.amazon.com/Klein-Tools-614-4-Screwdriver-Electronics/dp/B00B9HICKS/ref=sr_1_1?keywords=Klein+Tools+614-4+1%2F8-Inch+Cabinet+Electronics+Screwdriver%2C+4-Inch&amp;qid=1694735408&amp;sr=8-1", "https://www.amazon.com/Klein-Tools-614-4-Screwdriver-Electronics/dp/B00B9HICKS/ref=sr_1_1?keywords=Klein+Tools+614-4+1%2F8-Inch+Cabinet+Electronics+Screwdriver%2C+4-Inch&amp;qid=1694735408&amp;sr=8-1")</f>
        <v/>
      </c>
      <c r="F4767" t="inlineStr">
        <is>
          <t>B00B9HICKS</t>
        </is>
      </c>
      <c r="G4767">
        <f>_xludf.IMAGE("https://edmondsonsupply.com/cdn/shop/products/614-4.jpg?v=1587145143")</f>
        <v/>
      </c>
      <c r="H4767">
        <f>_xludf.IMAGE("https://m.media-amazon.com/images/I/41hS1hfEVDS._AC_UL320_.jpg")</f>
        <v/>
      </c>
      <c r="K4767" t="inlineStr">
        <is>
          <t>8.99</t>
        </is>
      </c>
      <c r="L4767" t="n">
        <v>14.32</v>
      </c>
      <c r="M4767" s="1" t="inlineStr">
        <is>
          <t>59.29%</t>
        </is>
      </c>
      <c r="N4767" s="1" t="n">
        <v>-23.08</v>
      </c>
      <c r="O4767" t="n">
        <v>4.8</v>
      </c>
      <c r="P4767" t="n">
        <v>999</v>
      </c>
      <c r="R4767" t="inlineStr">
        <is>
          <t>InStock</t>
        </is>
      </c>
      <c r="S4767" t="inlineStr">
        <is>
          <t>13.62</t>
        </is>
      </c>
      <c r="T4767" t="inlineStr">
        <is>
          <t>4397839843428</t>
        </is>
      </c>
    </row>
    <row r="4768" ht="87" customHeight="1">
      <c r="A4768" s="2">
        <f>HYPERLINK("https://edmondsonsupply.com/collections/electricians-tools/products/channellock-3017", "https://edmondsonsupply.com/collections/electricians-tools/products/channellock-3017")</f>
        <v/>
      </c>
      <c r="B4768" s="2">
        <f>HYPERLINK("https://edmondsonsupply.com/products/channellock-3017", "https://edmondsonsupply.com/products/channellock-3017")</f>
        <v/>
      </c>
      <c r="C4768" t="inlineStr">
        <is>
          <t>Channellock 3017 8-Inch Long Nose Pliers</t>
        </is>
      </c>
      <c r="D4768" t="inlineStr">
        <is>
          <t>KNIPEX Tools - Long Nose Pliers With Cutter, 40 Degree Angled (2621200), 8 inches</t>
        </is>
      </c>
      <c r="E4768" s="2">
        <f>HYPERLINK("https://www.amazon.com/Knipex-2621200-8-Inch-Angled-Pliers/dp/B000X4J1PI/ref=sr_1_14?keywords=Channellock+3017+8-Inch+Long+Nose+Pliers&amp;qid=1694735304&amp;sr=8-14", "https://www.amazon.com/Knipex-2621200-8-Inch-Angled-Pliers/dp/B000X4J1PI/ref=sr_1_14?keywords=Channellock+3017+8-Inch+Long+Nose+Pliers&amp;qid=1694735304&amp;sr=8-14")</f>
        <v/>
      </c>
      <c r="F4768" t="inlineStr">
        <is>
          <t>B000X4J1PI</t>
        </is>
      </c>
      <c r="G4768">
        <f>_xlfn.IMAGE("https://edmondsonsupply.com/cdn/shop/products/3017-683x1024.jpg?v=1633030322")</f>
        <v/>
      </c>
      <c r="H4768">
        <f>_xlfn.IMAGE("https://m.media-amazon.com/images/I/614Qx5nochL._AC_UL320_.jpg")</f>
        <v/>
      </c>
      <c r="K4768" t="inlineStr">
        <is>
          <t>19.95</t>
        </is>
      </c>
      <c r="L4768" t="n">
        <v>31.74</v>
      </c>
      <c r="M4768" s="1" t="inlineStr">
        <is>
          <t>59.10%</t>
        </is>
      </c>
      <c r="N4768" s="7" t="n">
        <v>-23.08</v>
      </c>
      <c r="O4768" t="n">
        <v>4.8</v>
      </c>
      <c r="P4768" t="n">
        <v>194</v>
      </c>
      <c r="R4768" t="inlineStr">
        <is>
          <t>InStock</t>
        </is>
      </c>
      <c r="S4768" t="inlineStr">
        <is>
          <t>29.97</t>
        </is>
      </c>
      <c r="T4768" t="inlineStr">
        <is>
          <t>5245817159848</t>
        </is>
      </c>
    </row>
    <row r="4769" ht="87" customHeight="1">
      <c r="A4769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4769" s="2">
        <f>HYPERLINK("https://edmondsonsupply.com/products/klein-tools-rt250-gfci-receptacle-tester-with-lcd", "https://edmondsonsupply.com/products/klein-tools-rt250-gfci-receptacle-tester-with-lcd")</f>
        <v/>
      </c>
      <c r="C4769" t="inlineStr">
        <is>
          <t>Klein Tools RT250 GFCI Receptacle Tester with LCD</t>
        </is>
      </c>
      <c r="D4769" t="inlineStr">
        <is>
          <t>Klein Tools RT250 GFCI Receptacle Tester &amp; RT210 Outlet Tester, Receptacle Tester for GFCI/Standard North American AC Electrical Outlets, Detects Common Wiring Problems</t>
        </is>
      </c>
      <c r="E4769" s="2">
        <f>HYPERLINK("https://www.amazon.com/Klein-Tools-Receptacle-Standard-Electrical/dp/B0B7NKSRX4/ref=sr_1_9?keywords=Klein+Tools+RT250+GFCI+Receptacle+Tester+with+LCD&amp;qid=1694735148&amp;sr=8-9", "https://www.amazon.com/Klein-Tools-Receptacle-Standard-Electrical/dp/B0B7NKSRX4/ref=sr_1_9?keywords=Klein+Tools+RT250+GFCI+Receptacle+Tester+with+LCD&amp;qid=1694735148&amp;sr=8-9")</f>
        <v/>
      </c>
      <c r="F4769" t="inlineStr">
        <is>
          <t>B0B7NKSRX4</t>
        </is>
      </c>
      <c r="G4769">
        <f>_xlfn.IMAGE("https://edmondsonsupply.com/cdn/shop/products/rt250_photo_c.jpg?v=1661363824")</f>
        <v/>
      </c>
      <c r="H4769">
        <f>_xlfn.IMAGE("https://m.media-amazon.com/images/I/51lEi5BWv7L._AC_UL320_.jpg")</f>
        <v/>
      </c>
      <c r="K4769" t="inlineStr">
        <is>
          <t>21.97</t>
        </is>
      </c>
      <c r="L4769" t="n">
        <v>34.94</v>
      </c>
      <c r="M4769" s="1" t="inlineStr">
        <is>
          <t>59.04%</t>
        </is>
      </c>
      <c r="N4769" s="7" t="n">
        <v>-23.08</v>
      </c>
      <c r="O4769" t="n">
        <v>5</v>
      </c>
      <c r="P4769" t="n">
        <v>7</v>
      </c>
      <c r="R4769" t="inlineStr">
        <is>
          <t>InStock</t>
        </is>
      </c>
      <c r="S4769" t="inlineStr">
        <is>
          <t>30.78</t>
        </is>
      </c>
      <c r="T4769" t="inlineStr">
        <is>
          <t>7793138729176</t>
        </is>
      </c>
    </row>
    <row r="4770" ht="87" customHeight="1">
      <c r="A4770" s="2">
        <f>HYPERLINK("https://edmondsonsupply.com/collections/electricians-tools/products/milwaukee-49-56-0132-2-1-4-hole-dozer%E2%84%A2-hole-saw-bi-metal-cup", "https://edmondsonsupply.com/collections/electricians-tools/products/milwaukee-49-56-0132-2-1-4-hole-dozer%E2%84%A2-hole-saw-bi-metal-cup")</f>
        <v/>
      </c>
      <c r="B4770" s="2">
        <f>HYPERLINK("https://edmondsonsupply.com/products/milwaukee-49-56-0132-2-1-4-hole-dozer%e2%84%a2-hole-saw-bi-metal-cup", "https://edmondsonsupply.com/products/milwaukee-49-56-0132-2-1-4-hole-dozer%e2%84%a2-hole-saw-bi-metal-cup")</f>
        <v/>
      </c>
      <c r="C4770" t="inlineStr">
        <is>
          <t>Milwaukee 49-56-0132 2-1/4" HOLE DOZER™ Hole Saw Bi-Metal Cup</t>
        </is>
      </c>
      <c r="D4770" t="inlineStr">
        <is>
          <t>Milwaukee Electric Tool 49-56-0167 Electric Bi-Metal Hole Saw, 2-7/8"</t>
        </is>
      </c>
      <c r="E4770" s="2">
        <f>HYPERLINK("https://www.amazon.com/Milwaukee-49-56-0167-8-Inch-Hardened-Hole/dp/B0017WOBBO/ref=sr_1_7?keywords=Milwaukee+49-56-0132+2-1%2F4%22+HOLE+DOZER%E2%84%A2+Hole+Saw+Bi-Metal+Cup&amp;qid=1694735017&amp;sr=8-7", "https://www.amazon.com/Milwaukee-49-56-0167-8-Inch-Hardened-Hole/dp/B0017WOBBO/ref=sr_1_7?keywords=Milwaukee+49-56-0132+2-1%2F4%22+HOLE+DOZER%E2%84%A2+Hole+Saw+Bi-Metal+Cup&amp;qid=1694735017&amp;sr=8-7")</f>
        <v/>
      </c>
      <c r="F4770" t="inlineStr">
        <is>
          <t>B0017WOBBO</t>
        </is>
      </c>
      <c r="G4770">
        <f>_xlfn.IMAGE("https://edmondsonsupply.com/cdn/shop/products/49-56-0052_101_2_0a4e9864-4766-44b1-98d0-cb59081d8c47.webp?v=1679335131")</f>
        <v/>
      </c>
      <c r="H4770">
        <f>_xlfn.IMAGE("https://m.media-amazon.com/images/I/61csZT8rVjL._AC_UL320_.jpg")</f>
        <v/>
      </c>
      <c r="K4770" t="inlineStr">
        <is>
          <t>10.99</t>
        </is>
      </c>
      <c r="L4770" t="n">
        <v>17.46</v>
      </c>
      <c r="M4770" s="1" t="inlineStr">
        <is>
          <t>58.87%</t>
        </is>
      </c>
      <c r="N4770" s="7" t="n">
        <v>-23.1</v>
      </c>
      <c r="O4770" t="n">
        <v>4.8</v>
      </c>
      <c r="P4770" t="n">
        <v>101</v>
      </c>
      <c r="R4770" t="inlineStr">
        <is>
          <t>InStock</t>
        </is>
      </c>
      <c r="S4770" t="inlineStr">
        <is>
          <t>20.8</t>
        </is>
      </c>
      <c r="T4770" t="inlineStr">
        <is>
          <t>7964970156248</t>
        </is>
      </c>
    </row>
    <row r="4771" ht="87" customHeight="1">
      <c r="A4771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4771" s="2">
        <f>HYPERLINK("https://edmondsonsupply.com/products/klein-tools-56334-steel-fish-tape-1-8-inch-x-240-foot", "https://edmondsonsupply.com/products/klein-tools-56334-steel-fish-tape-1-8-inch-x-240-foot")</f>
        <v/>
      </c>
      <c r="C4771" t="inlineStr">
        <is>
          <t>Klein Tools 56334 Steel Fish Tape, 1/8-Inch x 240-Foot</t>
        </is>
      </c>
      <c r="D4771" t="inlineStr">
        <is>
          <t>Klein Tools 56350 Non-Conductive Electrical Fish Tape, Fiberglass Wire Puller with Steel Leader, Optimized Housing / Handle, 50-Foot x 3/16-Inch</t>
        </is>
      </c>
      <c r="E4771" s="2">
        <f>HYPERLINK("https://www.amazon.com/Klein-Tools-56350-Fiberglass-0-182-Inch/dp/B081ZTJTB5/ref=sr_1_22?keywords=Klein+Tools+56334+Steel+Fish+Tape%2C+1%2F8-Inch+x+240-Foot&amp;qid=1694735385&amp;sr=8-22", "https://www.amazon.com/Klein-Tools-56350-Fiberglass-0-182-Inch/dp/B081ZTJTB5/ref=sr_1_22?keywords=Klein+Tools+56334+Steel+Fish+Tape%2C+1%2F8-Inch+x+240-Foot&amp;qid=1694735385&amp;sr=8-22")</f>
        <v/>
      </c>
      <c r="F4771" t="inlineStr">
        <is>
          <t>B081ZTJTB5</t>
        </is>
      </c>
      <c r="G4771">
        <f>_xlfn.IMAGE("https://edmondsonsupply.com/cdn/shop/products/56334.jpg?v=1587147767")</f>
        <v/>
      </c>
      <c r="H4771">
        <f>_xlfn.IMAGE("https://m.media-amazon.com/images/I/51tGreVpcBL._AC_UL320_.jpg")</f>
        <v/>
      </c>
      <c r="K4771" t="inlineStr">
        <is>
          <t>84.97</t>
        </is>
      </c>
      <c r="L4771" t="n">
        <v>134.95</v>
      </c>
      <c r="M4771" s="1" t="inlineStr">
        <is>
          <t>58.82%</t>
        </is>
      </c>
      <c r="N4771" s="7" t="n">
        <v>-23.1</v>
      </c>
      <c r="O4771" t="n">
        <v>4.9</v>
      </c>
      <c r="P4771" t="n">
        <v>14</v>
      </c>
      <c r="R4771" t="inlineStr">
        <is>
          <t>InStock</t>
        </is>
      </c>
      <c r="S4771" t="inlineStr">
        <is>
          <t>115.14</t>
        </is>
      </c>
      <c r="T4771" t="inlineStr">
        <is>
          <t>4412213723236</t>
        </is>
      </c>
    </row>
    <row r="4772" ht="87" customHeight="1">
      <c r="A4772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4772" s="2">
        <f>HYPERLINK("https://edmondsonsupply.com/products/diablo-tools-dmapl2240-3-8-in-x-10-in-x-12-in-sds-plus-2-cutter", "https://edmondsonsupply.com/products/diablo-tools-dmapl2240-3-8-in-x-10-in-x-12-in-sds-plus-2-cutter")</f>
        <v/>
      </c>
      <c r="C4772" t="inlineStr">
        <is>
          <t>Diablo Tools DMAPL2240 3/8 in. x 10 in. x 12 in. SDS-Plus 2-Cutter</t>
        </is>
      </c>
      <c r="D4772" t="inlineStr">
        <is>
          <t>Diablo by Freud Diablo DMAPL4190 1/2 in. x 10 in. x 12 in. Rebar Demon SDS-Plus 4-Cutter Full Carbide Head Hammer Bit</t>
        </is>
      </c>
      <c r="E4772" s="2">
        <f>HYPERLINK("https://www.amazon.com/Diablo-Freud-DMAPL4190-SDS-Plus-4-Cutter/dp/B089LJZ25M/ref=sr_1_15?keywords=Diablo+Tools+DMAPL2240+3%2F8+in.+x+10+in.+x+12+in.+SDS-Plus+2-Cutter&amp;qid=1694735297&amp;sr=8-15", "https://www.amazon.com/Diablo-Freud-DMAPL4190-SDS-Plus-4-Cutter/dp/B089LJZ25M/ref=sr_1_15?keywords=Diablo+Tools+DMAPL2240+3%2F8+in.+x+10+in.+x+12+in.+SDS-Plus+2-Cutter&amp;qid=1694735297&amp;sr=8-15")</f>
        <v/>
      </c>
      <c r="F4772" t="inlineStr">
        <is>
          <t>B089LJZ25M</t>
        </is>
      </c>
      <c r="G4772">
        <f>_xlfn.IMAGE("https://edmondsonsupply.com/cdn/shop/products/DMAPL2240-P25.jpg?v=1633030355")</f>
        <v/>
      </c>
      <c r="H4772">
        <f>_xlfn.IMAGE("https://m.media-amazon.com/images/I/61dzudnwI8L._AC_UL320_.jpg")</f>
        <v/>
      </c>
      <c r="K4772" t="inlineStr">
        <is>
          <t>10.97</t>
        </is>
      </c>
      <c r="L4772" t="n">
        <v>17.41</v>
      </c>
      <c r="M4772" s="1" t="inlineStr">
        <is>
          <t>58.71%</t>
        </is>
      </c>
      <c r="N4772" s="7" t="n">
        <v>-23.1</v>
      </c>
      <c r="O4772" t="n">
        <v>4.6</v>
      </c>
      <c r="P4772" t="n">
        <v>43</v>
      </c>
      <c r="R4772" t="inlineStr">
        <is>
          <t>InStock</t>
        </is>
      </c>
      <c r="S4772" t="inlineStr">
        <is>
          <t>12.38</t>
        </is>
      </c>
      <c r="T4772" t="inlineStr">
        <is>
          <t>5286161252520</t>
        </is>
      </c>
    </row>
    <row r="4773" ht="87" customHeight="1">
      <c r="A4773" s="2">
        <f>HYPERLINK("https://edmondsonsupply.com/collections/electricians-tools/products/klein-tools-70580-folding-hex-key-set-six-key-metric-sizes", "https://edmondsonsupply.com/collections/electricians-tools/products/klein-tools-70580-folding-hex-key-set-six-key-metric-sizes")</f>
        <v/>
      </c>
      <c r="B4773" s="2">
        <f>HYPERLINK("https://edmondsonsupply.com/products/klein-tools-70580-folding-hex-key-set-six-key-metric-sizes", "https://edmondsonsupply.com/products/klein-tools-70580-folding-hex-key-set-six-key-metric-sizes")</f>
        <v/>
      </c>
      <c r="C4773" t="inlineStr">
        <is>
          <t>Klein Tools 70580 Folding Hex Key Set, 6-Key, Metric Sizes</t>
        </is>
      </c>
      <c r="D4773" t="inlineStr">
        <is>
          <t>Klein Tools 70591 Folding Hex Key Set, 9-Key, SAE Sizes &amp; 70582 Folding Hex Key Set, 7-Key, Metric Sizes</t>
        </is>
      </c>
      <c r="E4773" s="2">
        <f>HYPERLINK("https://www.amazon.com/Klein-Tools-70591-Folding-Metric/dp/B0BGPYC631/ref=sr_1_2?keywords=Klein+Tools+70580+Folding+Hex+Key+Set%2C+6-Key%2C+Metric+Sizes&amp;qid=1694735390&amp;sr=8-2", "https://www.amazon.com/Klein-Tools-70591-Folding-Metric/dp/B0BGPYC631/ref=sr_1_2?keywords=Klein+Tools+70580+Folding+Hex+Key+Set%2C+6-Key%2C+Metric+Sizes&amp;qid=1694735390&amp;sr=8-2")</f>
        <v/>
      </c>
      <c r="F4773" t="inlineStr">
        <is>
          <t>B0BGPYC631</t>
        </is>
      </c>
      <c r="G4773">
        <f>_xlfn.IMAGE("https://edmondsonsupply.com/cdn/shop/products/70580.jpg?v=1587148596")</f>
        <v/>
      </c>
      <c r="H4773">
        <f>_xlfn.IMAGE("https://m.media-amazon.com/images/I/41F+-ZtFyRL._AC_UL320_.jpg")</f>
        <v/>
      </c>
      <c r="K4773" t="inlineStr">
        <is>
          <t>12.99</t>
        </is>
      </c>
      <c r="L4773" t="n">
        <v>20.59</v>
      </c>
      <c r="M4773" s="1" t="inlineStr">
        <is>
          <t>58.51%</t>
        </is>
      </c>
      <c r="N4773" s="7" t="n">
        <v>-23.1</v>
      </c>
      <c r="O4773" t="n">
        <v>4.8</v>
      </c>
      <c r="P4773" t="n">
        <v>14</v>
      </c>
      <c r="R4773" t="inlineStr">
        <is>
          <t>InStock</t>
        </is>
      </c>
      <c r="S4773" t="inlineStr">
        <is>
          <t>18.32</t>
        </is>
      </c>
      <c r="T4773" t="inlineStr">
        <is>
          <t>4410310328420</t>
        </is>
      </c>
    </row>
    <row r="4774" ht="87" customHeight="1">
      <c r="A4774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4774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4774" t="inlineStr">
        <is>
          <t>Diablo Tools DMAPL4310 1 in. x 16 in. x 18 in. Rebar Demon™ SDS-Plus 4-Cutter Full Carbide Head Hammer Drill Bit</t>
        </is>
      </c>
      <c r="D4774" t="inlineStr">
        <is>
          <t>Diablo DMAMX1110 5/8 in. x 24 in. x 29 in. Rebar Demon™ SDS-Max 4-Cutter Full Carbide Head Hammer Bit</t>
        </is>
      </c>
      <c r="E4774" s="2">
        <f>HYPERLINK("https://www.amazon.com/Diablo-SDS-Max-4-Cutter-Carbide-Hammer/dp/B089LJ9GHW/ref=sr_1_24?keywords=Diablo+Tools+DMAPL4310+1+in.+x+16+in.+x+18+in.+Rebar+Demon%E2%84%A2+SDS-Plus+4-Cutter+Full+Carbide+Head+Hammer+Drill+Bit&amp;qid=1694735204&amp;sr=8-24", "https://www.amazon.com/Diablo-SDS-Max-4-Cutter-Carbide-Hammer/dp/B089LJ9GHW/ref=sr_1_24?keywords=Diablo+Tools+DMAPL4310+1+in.+x+16+in.+x+18+in.+Rebar+Demon%E2%84%A2+SDS-Plus+4-Cutter+Full+Carbide+Head+Hammer+Drill+Bit&amp;qid=1694735204&amp;sr=8-24")</f>
        <v/>
      </c>
      <c r="F4774" t="inlineStr">
        <is>
          <t>B089LJ9GHW</t>
        </is>
      </c>
      <c r="G4774">
        <f>_xlfn.IMAGE("https://edmondsonsupply.com/cdn/shop/products/DMAPL4310_Main-Image20200701.png?v=1633031094")</f>
        <v/>
      </c>
      <c r="H4774">
        <f>_xlfn.IMAGE("https://m.media-amazon.com/images/I/61vWAd-z8eL._AC_UL320_.jpg")</f>
        <v/>
      </c>
      <c r="K4774" t="inlineStr">
        <is>
          <t>49.97</t>
        </is>
      </c>
      <c r="L4774" t="n">
        <v>78.98999999999999</v>
      </c>
      <c r="M4774" s="1" t="inlineStr">
        <is>
          <t>58.07%</t>
        </is>
      </c>
      <c r="N4774" s="7" t="n">
        <v>-23.18</v>
      </c>
      <c r="O4774" t="n">
        <v>4.7</v>
      </c>
      <c r="P4774" t="n">
        <v>4</v>
      </c>
      <c r="R4774" t="inlineStr">
        <is>
          <t>InStock</t>
        </is>
      </c>
      <c r="S4774" t="inlineStr">
        <is>
          <t>57.56</t>
        </is>
      </c>
      <c r="T4774" t="inlineStr">
        <is>
          <t>6839830479021</t>
        </is>
      </c>
    </row>
    <row r="4775" hidden="1" ht="15.75" customHeight="1">
      <c r="A4775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4775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4775" t="inlineStr">
        <is>
          <t>Diablo Tools DMAPL4160 3/8 in. x 10 in. x 12 in. Rebar Demon™ SDS-Plus 4-Cutter Full Carbide Head Hammer Bit</t>
        </is>
      </c>
      <c r="D4775" t="inlineStr">
        <is>
          <t>Diablo DMAPL4055 3/16 in. x 10 in. x 12 in. Rebar Demon™ SDS-Plus 4-Cutter Full Carbide Head Hammer Bit</t>
        </is>
      </c>
      <c r="E4775" s="2">
        <f>HYPERLINK("https://www.amazon.com/Diablo-DMAPL4055-SDS-Plus-4-Cutter-Carbide/dp/B089LJCD42/ref=sr_1_6?keywords=Diablo+Tools+DMAPL4160+3%2F8+in.+x+10+in.+x+12+in.+Rebar+Demon%E2%84%A2+SDS-Plus+4-Cutter+Full+Carbide+Head+Hammer+Bit&amp;qid=1694735304&amp;sr=8-6", "https://www.amazon.com/Diablo-DMAPL4055-SDS-Plus-4-Cutter-Carbide/dp/B089LJCD42/ref=sr_1_6?keywords=Diablo+Tools+DMAPL4160+3%2F8+in.+x+10+in.+x+12+in.+Rebar+Demon%E2%84%A2+SDS-Plus+4-Cutter+Full+Carbide+Head+Hammer+Bit&amp;qid=1694735304&amp;sr=8-6")</f>
        <v/>
      </c>
      <c r="F4775" t="inlineStr">
        <is>
          <t>B089LJCD42</t>
        </is>
      </c>
      <c r="G4775">
        <f>_xludf.IMAGE("https://edmondsonsupply.com/cdn/shop/products/w7y3zlfom8dhrlplcmqa.webp?v=1670439058")</f>
        <v/>
      </c>
      <c r="H4775">
        <f>_xludf.IMAGE("https://m.media-amazon.com/images/I/61cDOAhkb4L._AC_UL320_.jpg")</f>
        <v/>
      </c>
      <c r="K4775" t="inlineStr">
        <is>
          <t>9.97</t>
        </is>
      </c>
      <c r="L4775" t="n">
        <v>15.76</v>
      </c>
      <c r="M4775" s="1" t="inlineStr">
        <is>
          <t>58.07%</t>
        </is>
      </c>
      <c r="N4775" s="1" t="n">
        <v>-23.36</v>
      </c>
      <c r="O4775" t="n">
        <v>2</v>
      </c>
      <c r="P4775" t="n">
        <v>1</v>
      </c>
      <c r="R4775" t="inlineStr">
        <is>
          <t>InStock</t>
        </is>
      </c>
      <c r="S4775" t="inlineStr">
        <is>
          <t>15.02</t>
        </is>
      </c>
      <c r="T4775" t="inlineStr">
        <is>
          <t>5286778601640</t>
        </is>
      </c>
    </row>
    <row r="4776" hidden="1" ht="15.75" customHeight="1">
      <c r="A4776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4776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4776" t="inlineStr">
        <is>
          <t>Diablo Tools DMAPL4180 1/2 in. x 4 in. x 6 in. Rebar Demon™ SDS-Plus 4-Cutter Full Carbide Head Hammer Bit</t>
        </is>
      </c>
      <c r="D4776" t="inlineStr">
        <is>
          <t>Diablo DMAPL4055 3/16 in. x 10 in. x 12 in. Rebar Demon™ SDS-Plus 4-Cutter Full Carbide Head Hammer Bit</t>
        </is>
      </c>
      <c r="E4776" s="2">
        <f>HYPERLINK("https://www.amazon.com/Diablo-DMAPL4055-SDS-Plus-4-Cutter-Carbide/dp/B089LJCD42/ref=sr_1_30?keywords=Diablo+Tools+DMAPL4180+1%2F2+in.+x+4+in.+x+6+in.+Rebar+Demon%E2%84%A2+SDS-Plus+4-Cutter+Full+Carbide+Head+Hammer+Bit&amp;qid=1694735298&amp;sr=8-30", "https://www.amazon.com/Diablo-DMAPL4055-SDS-Plus-4-Cutter-Carbide/dp/B089LJCD42/ref=sr_1_30?keywords=Diablo+Tools+DMAPL4180+1%2F2+in.+x+4+in.+x+6+in.+Rebar+Demon%E2%84%A2+SDS-Plus+4-Cutter+Full+Carbide+Head+Hammer+Bit&amp;qid=1694735298&amp;sr=8-30")</f>
        <v/>
      </c>
      <c r="F4776" t="inlineStr">
        <is>
          <t>B089LJCD42</t>
        </is>
      </c>
      <c r="G4776">
        <f>_xludf.IMAGE("https://edmondsonsupply.com/cdn/shop/products/DMAPL4180_Main-Image20200702.png?v=1633030362")</f>
        <v/>
      </c>
      <c r="H4776">
        <f>_xludf.IMAGE("https://m.media-amazon.com/images/I/61cDOAhkb4L._AC_UL320_.jpg")</f>
        <v/>
      </c>
      <c r="K4776" t="inlineStr">
        <is>
          <t>9.97</t>
        </is>
      </c>
      <c r="L4776" t="n">
        <v>15.76</v>
      </c>
      <c r="M4776" s="1" t="inlineStr">
        <is>
          <t>58.07%</t>
        </is>
      </c>
      <c r="N4776" s="1" t="n">
        <v>-23.37</v>
      </c>
      <c r="O4776" t="n">
        <v>2</v>
      </c>
      <c r="P4776" t="n">
        <v>1</v>
      </c>
      <c r="R4776" t="inlineStr">
        <is>
          <t>InStock</t>
        </is>
      </c>
      <c r="S4776" t="inlineStr">
        <is>
          <t>undefined</t>
        </is>
      </c>
      <c r="T4776" t="inlineStr">
        <is>
          <t>5286803833000</t>
        </is>
      </c>
    </row>
    <row r="4777" ht="87" customHeight="1">
      <c r="A4777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777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777" t="inlineStr">
        <is>
          <t>Klein Tools ET310 Digital Circuit Breaker Finder with GFCI Outlet Tester</t>
        </is>
      </c>
      <c r="D4777" t="inlineStr">
        <is>
          <t>Klein Tools NCVT2PKIT Non-Contact Voltage Tester &amp; ET310 AC Circuit Breaker Finder, Electric Tester with Integrated GFCI Outlet Tester</t>
        </is>
      </c>
      <c r="E4777" s="2">
        <f>HYPERLINK("https://www.amazon.com/Klein-Tools-NCVT2PKIT-Non-Contact-Integrated/dp/B0BNLB9X6D/ref=sr_1_48?keywords=Klein+Tools+ET310+Digital+Circuit+Breaker+Finder+with+GFCI+Outlet+Tester&amp;qid=1694734974&amp;sr=8-48", "https://www.amazon.com/Klein-Tools-NCVT2PKIT-Non-Contact-Integrated/dp/B0BNLB9X6D/ref=sr_1_48?keywords=Klein+Tools+ET310+Digital+Circuit+Breaker+Finder+with+GFCI+Outlet+Tester&amp;qid=1694734974&amp;sr=8-48")</f>
        <v/>
      </c>
      <c r="F4777" t="inlineStr">
        <is>
          <t>B0BNLB9X6D</t>
        </is>
      </c>
      <c r="G4777">
        <f>_xlfn.IMAGE("https://edmondsonsupply.com/cdn/shop/products/et310_c.jpg?v=1646963918")</f>
        <v/>
      </c>
      <c r="H4777">
        <f>_xlfn.IMAGE("https://m.media-amazon.com/images/I/515gvVp9LzL._AC_UL320_.jpg")</f>
        <v/>
      </c>
      <c r="K4777" t="inlineStr">
        <is>
          <t>49.97</t>
        </is>
      </c>
      <c r="L4777" t="n">
        <v>78.95999999999999</v>
      </c>
      <c r="M4777" s="1" t="inlineStr">
        <is>
          <t>58.01%</t>
        </is>
      </c>
      <c r="N4777" s="7" t="n">
        <v>-23.4</v>
      </c>
      <c r="O4777" t="n">
        <v>5</v>
      </c>
      <c r="P4777" t="n">
        <v>4</v>
      </c>
      <c r="R4777" t="inlineStr">
        <is>
          <t>InStock</t>
        </is>
      </c>
      <c r="S4777" t="inlineStr">
        <is>
          <t>75.1</t>
        </is>
      </c>
      <c r="T4777" t="inlineStr">
        <is>
          <t>3389551280228</t>
        </is>
      </c>
    </row>
    <row r="4778" ht="87" customHeight="1">
      <c r="A4778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4778" s="2">
        <f>HYPERLINK("https://edmondsonsupply.com/products/klein-tools-d507-8-adjustable-wrench-extra-capacity-8-inch", "https://edmondsonsupply.com/products/klein-tools-d507-8-adjustable-wrench-extra-capacity-8-inch")</f>
        <v/>
      </c>
      <c r="C4778" t="inlineStr">
        <is>
          <t>Klein Tools D507-8 Adjustable Wrench, Extra Capacity 8-Inch</t>
        </is>
      </c>
      <c r="D4778" t="inlineStr">
        <is>
          <t>Klein Tools 507-12 Adjustable Wrench, Extra Capacity Jaw Forged Drive Wrench with High Polish Chrome Finish, 12-Inch</t>
        </is>
      </c>
      <c r="E4778" s="2">
        <f>HYPERLINK("https://www.amazon.com/Klein-Tools-507-12-Adjustable-Capacity/dp/B000I1R5FE/ref=sr_1_10?keywords=Klein+Tools+D507-8+Adjustable+Wrench%2C+Extra+Capacity+8-Inch&amp;qid=1694734984&amp;sr=8-10", "https://www.amazon.com/Klein-Tools-507-12-Adjustable-Capacity/dp/B000I1R5FE/ref=sr_1_10?keywords=Klein+Tools+D507-8+Adjustable+Wrench%2C+Extra+Capacity+8-Inch&amp;qid=1694734984&amp;sr=8-10")</f>
        <v/>
      </c>
      <c r="F4778" t="inlineStr">
        <is>
          <t>B000I1R5FE</t>
        </is>
      </c>
      <c r="G4778">
        <f>_xlfn.IMAGE("https://edmondsonsupply.com/cdn/shop/products/d5078_b.jpg?v=1666010497")</f>
        <v/>
      </c>
      <c r="H4778">
        <f>_xlfn.IMAGE("https://m.media-amazon.com/images/I/418FdISjyWL._AC_UL320_.jpg")</f>
        <v/>
      </c>
      <c r="K4778" t="inlineStr">
        <is>
          <t>29.99</t>
        </is>
      </c>
      <c r="L4778" t="n">
        <v>47.38</v>
      </c>
      <c r="M4778" s="1" t="inlineStr">
        <is>
          <t>57.99%</t>
        </is>
      </c>
      <c r="N4778" s="7" t="n">
        <v>-23.41</v>
      </c>
      <c r="O4778" t="n">
        <v>4.8</v>
      </c>
      <c r="P4778" t="n">
        <v>27</v>
      </c>
      <c r="R4778" t="inlineStr">
        <is>
          <t>InStock</t>
        </is>
      </c>
      <c r="S4778" t="inlineStr">
        <is>
          <t>45.44</t>
        </is>
      </c>
      <c r="T4778" t="inlineStr">
        <is>
          <t>4353085014116</t>
        </is>
      </c>
    </row>
    <row r="4779" hidden="1" ht="15.75" customHeight="1">
      <c r="A4779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4779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4779" t="inlineStr">
        <is>
          <t>Klein Tools 602-4 1/4-Inch Keystone Screwdriver, 4-Inch Round Shank</t>
        </is>
      </c>
      <c r="D4779" t="inlineStr">
        <is>
          <t>Klein Tools 6926INS Insulated Screwdriver, 1000V Slim Profile Tip, 1/4-Inch Cabinet Screwdriver with 6-Inch Shank, Cushion-Grip Handle</t>
        </is>
      </c>
      <c r="E4779" s="2">
        <f>HYPERLINK("https://www.amazon.com/Klein-Tools-6926INS-Screwdriver-Cushion-Grip/dp/B09GL1X5SZ/ref=sr_1_41?keywords=Klein+Tools+602-4+1%2F4-Inch+Keystone+Screwdriver%2C+4-Inch+Round+Shank&amp;qid=1694735235&amp;sr=8-41", "https://www.amazon.com/Klein-Tools-6926INS-Screwdriver-Cushion-Grip/dp/B09GL1X5SZ/ref=sr_1_41?keywords=Klein+Tools+602-4+1%2F4-Inch+Keystone+Screwdriver%2C+4-Inch+Round+Shank&amp;qid=1694735235&amp;sr=8-41")</f>
        <v/>
      </c>
      <c r="F4779" t="inlineStr">
        <is>
          <t>B09GL1X5SZ</t>
        </is>
      </c>
      <c r="G4779">
        <f>_xludf.IMAGE("https://edmondsonsupply.com/cdn/shop/products/602-6.jpg?v=1633030821")</f>
        <v/>
      </c>
      <c r="H4779">
        <f>_xludf.IMAGE("https://m.media-amazon.com/images/I/41JbepP5oGL._AC_UL320_.jpg")</f>
        <v/>
      </c>
      <c r="K4779" t="inlineStr">
        <is>
          <t>9.49</t>
        </is>
      </c>
      <c r="L4779" t="n">
        <v>14.99</v>
      </c>
      <c r="M4779" s="1" t="inlineStr">
        <is>
          <t>57.96%</t>
        </is>
      </c>
      <c r="N4779" s="1" t="n">
        <v>-23.54</v>
      </c>
      <c r="O4779" t="n">
        <v>4.8</v>
      </c>
      <c r="P4779" t="n">
        <v>85</v>
      </c>
      <c r="R4779" t="inlineStr">
        <is>
          <t>InStock</t>
        </is>
      </c>
      <c r="S4779" t="inlineStr">
        <is>
          <t>14.36</t>
        </is>
      </c>
      <c r="T4779" t="inlineStr">
        <is>
          <t>6080792363181</t>
        </is>
      </c>
    </row>
    <row r="4780" ht="87" customHeight="1">
      <c r="A4780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4780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4780" t="inlineStr">
        <is>
          <t>Klein Tools 6886INS Insulated Screwdriver, #1 Square Tip, 6-Inch Shank</t>
        </is>
      </c>
      <c r="D4780" t="inlineStr">
        <is>
          <t>Klein Tools 6334INS Insulated Screwdriver, #1 Phillips Tip with 4-Inch Shank</t>
        </is>
      </c>
      <c r="E4780" s="2">
        <f>HYPERLINK("https://www.amazon.com/Klein-Tools-Insulated-Screwdriver-Phillips/dp/B00CQL8U76/ref=sr_1_15?keywords=Klein+Tools+6886INS+Insulated+Screwdriver%2C+%231+Square+Tip%2C+6-Inch+Shank&amp;qid=1694735108&amp;sr=8-15", "https://www.amazon.com/Klein-Tools-Insulated-Screwdriver-Phillips/dp/B00CQL8U76/ref=sr_1_15?keywords=Klein+Tools+6886INS+Insulated+Screwdriver%2C+%231+Square+Tip%2C+6-Inch+Shank&amp;qid=1694735108&amp;sr=8-15")</f>
        <v/>
      </c>
      <c r="F4780" t="inlineStr">
        <is>
          <t>B00CQL8U76</t>
        </is>
      </c>
      <c r="G4780">
        <f>_xlfn.IMAGE("https://edmondsonsupply.com/cdn/shop/products/6886ins.jpg?v=1664889697")</f>
        <v/>
      </c>
      <c r="H4780">
        <f>_xlfn.IMAGE("https://m.media-amazon.com/images/I/51KU9YtXUVL._AC_UL320_.jpg")</f>
        <v/>
      </c>
      <c r="K4780" t="inlineStr">
        <is>
          <t>11.97</t>
        </is>
      </c>
      <c r="L4780" t="n">
        <v>18.9</v>
      </c>
      <c r="M4780" s="1" t="inlineStr">
        <is>
          <t>57.89%</t>
        </is>
      </c>
      <c r="N4780" s="7" t="n">
        <v>-23.62</v>
      </c>
      <c r="O4780" t="n">
        <v>4.8</v>
      </c>
      <c r="P4780" t="n">
        <v>1068</v>
      </c>
      <c r="R4780" t="inlineStr">
        <is>
          <t>InStock</t>
        </is>
      </c>
      <c r="S4780" t="inlineStr">
        <is>
          <t>17.98</t>
        </is>
      </c>
      <c r="T4780" t="inlineStr">
        <is>
          <t>7839176491224</t>
        </is>
      </c>
    </row>
    <row r="4781" ht="87" customHeight="1">
      <c r="A4781" s="2">
        <f>HYPERLINK("https://edmondsonsupply.com/collections/electricians-tools/products/diablo-tools-dag", "https://edmondsonsupply.com/collections/electricians-tools/products/diablo-tools-dag")</f>
        <v/>
      </c>
      <c r="B4781" s="2">
        <f>HYPERLINK("https://edmondsonsupply.com/products/diablo-tools-dag", "https://edmondsonsupply.com/products/diablo-tools-dag")</f>
        <v/>
      </c>
      <c r="C4781" t="inlineStr">
        <is>
          <t>Diablo Tools DAG3010 3/8 in. x 17-1/2 in. Auger Bit</t>
        </is>
      </c>
      <c r="D4781" t="inlineStr">
        <is>
          <t>Diablo DAG3080 13/16 in. x 17-1/2 in. Auger Bit</t>
        </is>
      </c>
      <c r="E4781" s="2">
        <f>HYPERLINK("https://www.amazon.com/Diablo-13-17-1-Auger-Bit/dp/B089LMQM9W/ref=sr_1_22?keywords=Diablo+Tools+DAG3010+3%2F8+in.+x+17-1%2F2+in.+Auger+Bit&amp;qid=1694735073&amp;sr=8-22", "https://www.amazon.com/Diablo-13-17-1-Auger-Bit/dp/B089LMQM9W/ref=sr_1_22?keywords=Diablo+Tools+DAG3010+3%2F8+in.+x+17-1%2F2+in.+Auger+Bit&amp;qid=1694735073&amp;sr=8-22")</f>
        <v/>
      </c>
      <c r="F4781" t="inlineStr">
        <is>
          <t>B089LMQM9W</t>
        </is>
      </c>
      <c r="G4781">
        <f>_xlfn.IMAGE("https://edmondsonsupply.com/cdn/shop/products/xfctdbahz5wx3g461fm8.webp?v=1669991052")</f>
        <v/>
      </c>
      <c r="H4781">
        <f>_xlfn.IMAGE("https://m.media-amazon.com/images/I/61p0PSz-tWL._AC_UL320_.jpg")</f>
        <v/>
      </c>
      <c r="K4781" t="inlineStr">
        <is>
          <t>17.47</t>
        </is>
      </c>
      <c r="L4781" t="n">
        <v>27.48</v>
      </c>
      <c r="M4781" s="1" t="inlineStr">
        <is>
          <t>57.30%</t>
        </is>
      </c>
      <c r="N4781" s="7" t="n">
        <v>-23.71</v>
      </c>
      <c r="O4781" t="n">
        <v>4.1</v>
      </c>
      <c r="P4781" t="n">
        <v>8</v>
      </c>
      <c r="R4781" t="inlineStr">
        <is>
          <t>InStock</t>
        </is>
      </c>
      <c r="S4781" t="inlineStr">
        <is>
          <t>25.04</t>
        </is>
      </c>
      <c r="T4781" t="inlineStr">
        <is>
          <t>7897480921304</t>
        </is>
      </c>
    </row>
    <row r="4782" hidden="1" ht="15.75" customHeight="1">
      <c r="A4782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4782" s="2">
        <f>HYPERLINK("https://edmondsonsupply.com/products/diablo-tools-dmapl2320-1-2-in-x-10-in-x-12-in-sds-plus-2-cutter", "https://edmondsonsupply.com/products/diablo-tools-dmapl2320-1-2-in-x-10-in-x-12-in-sds-plus-2-cutter")</f>
        <v/>
      </c>
      <c r="C4782" t="inlineStr">
        <is>
          <t>Diablo Tools DMAPL2320 1/2 in. x 10 in. x 12 in. SDS-Plus 2-Cutter</t>
        </is>
      </c>
      <c r="D4782" t="inlineStr">
        <is>
          <t>Diablo 1/2 in. x 1-11/16 in. x SDS-Plus 2-Cutter</t>
        </is>
      </c>
      <c r="E4782" s="2">
        <f>HYPERLINK("https://www.amazon.com/Diablo-1-11-16-SDS-Plus-2-Cutter/dp/B089KVV91N/ref=sr_1_13?keywords=Diablo+Tools+DMAPL2320+1%2F2+in.+x+10+in.+x+12+in.+SDS-Plus+2-Cutter&amp;qid=1694735300&amp;sr=8-13", "https://www.amazon.com/Diablo-1-11-16-SDS-Plus-2-Cutter/dp/B089KVV91N/ref=sr_1_13?keywords=Diablo+Tools+DMAPL2320+1%2F2+in.+x+10+in.+x+12+in.+SDS-Plus+2-Cutter&amp;qid=1694735300&amp;sr=8-13")</f>
        <v/>
      </c>
      <c r="F4782" t="inlineStr">
        <is>
          <t>B089KVV91N</t>
        </is>
      </c>
      <c r="G4782">
        <f>_xludf.IMAGE("https://edmondsonsupply.com/cdn/shop/products/DMAPL2320.jpg?v=1633030356")</f>
        <v/>
      </c>
      <c r="H4782">
        <f>_xludf.IMAGE("https://m.media-amazon.com/images/I/71hFSVgA3gL._AC_UL320_.jpg")</f>
        <v/>
      </c>
      <c r="K4782" t="inlineStr">
        <is>
          <t>12.97</t>
        </is>
      </c>
      <c r="L4782" t="n">
        <v>20.4</v>
      </c>
      <c r="M4782" s="1" t="inlineStr">
        <is>
          <t>57.29%</t>
        </is>
      </c>
      <c r="N4782" s="1" t="n">
        <v>-23.75</v>
      </c>
      <c r="O4782" t="n">
        <v>3.7</v>
      </c>
      <c r="P4782" t="n">
        <v>7</v>
      </c>
      <c r="R4782" t="inlineStr">
        <is>
          <t>InStock</t>
        </is>
      </c>
      <c r="S4782" t="inlineStr">
        <is>
          <t>14.25</t>
        </is>
      </c>
      <c r="T4782" t="inlineStr">
        <is>
          <t>5286282264744</t>
        </is>
      </c>
    </row>
    <row r="4783" hidden="1" ht="15.75" customHeight="1">
      <c r="A4783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4783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4783" t="inlineStr">
        <is>
          <t>Klein Tools 630-1/4 1/4-Inch Nut Driver 3-Inch Shaft Cushion Grip</t>
        </is>
      </c>
      <c r="D4783" t="inlineStr">
        <is>
          <t>Klein Tools 610 Tool Set, Nut Driver Set with Stubby Nut Driver Sizes 1/4 and 5/16-Inch, Full Hollow Shaft, 2-Piece</t>
        </is>
      </c>
      <c r="E4783" s="2">
        <f>HYPERLINK("https://www.amazon.com/Klein-Tools-610-16-Inch-2-Piece/dp/B000CSKRCQ/ref=sr_1_17?keywords=Klein+Tools+630-1%2F4+1%2F4-Inch+Nut+Driver+3-Inch+Shaft+Cushion+Grip&amp;qid=1694735346&amp;sr=8-17", "https://www.amazon.com/Klein-Tools-610-16-Inch-2-Piece/dp/B000CSKRCQ/ref=sr_1_17?keywords=Klein+Tools+630-1%2F4+1%2F4-Inch+Nut+Driver+3-Inch+Shaft+Cushion+Grip&amp;qid=1694735346&amp;sr=8-17")</f>
        <v/>
      </c>
      <c r="F4783" t="inlineStr">
        <is>
          <t>B000CSKRCQ</t>
        </is>
      </c>
      <c r="G4783">
        <f>_xludf.IMAGE("https://edmondsonsupply.com/cdn/shop/products/630-1-2_4777cf99-f2bc-4f84-bc42-7e765e2a9c37.jpg?v=1587150448")</f>
        <v/>
      </c>
      <c r="H4783">
        <f>_xludf.IMAGE("https://m.media-amazon.com/images/I/51+8QhofFWL._AC_UL320_.jpg")</f>
        <v/>
      </c>
      <c r="K4783" t="inlineStr">
        <is>
          <t>8.99</t>
        </is>
      </c>
      <c r="L4783" t="n">
        <v>14.14</v>
      </c>
      <c r="M4783" s="1" t="inlineStr">
        <is>
          <t>57.29%</t>
        </is>
      </c>
      <c r="N4783" s="1" t="n">
        <v>-23.82</v>
      </c>
      <c r="O4783" t="n">
        <v>4.9</v>
      </c>
      <c r="P4783" t="n">
        <v>19</v>
      </c>
      <c r="R4783" t="inlineStr">
        <is>
          <t>InStock</t>
        </is>
      </c>
      <c r="S4783" t="inlineStr">
        <is>
          <t>11.36</t>
        </is>
      </c>
      <c r="T4783" t="inlineStr">
        <is>
          <t>4490760355940</t>
        </is>
      </c>
    </row>
    <row r="4784" hidden="1" ht="15.75" customHeight="1">
      <c r="A4784" s="2">
        <f>HYPERLINK("https://edmondsonsupply.com/collections/electricians-tools/products/klein-tools-86602-3-8-inch-magnetic-hex-drivers-3-pack", "https://edmondsonsupply.com/collections/electricians-tools/products/klein-tools-86602-3-8-inch-magnetic-hex-drivers-3-pack")</f>
        <v/>
      </c>
      <c r="B4784" s="2">
        <f>HYPERLINK("https://edmondsonsupply.com/products/klein-tools-86602-3-8-inch-magnetic-hex-drivers-3-pack", "https://edmondsonsupply.com/products/klein-tools-86602-3-8-inch-magnetic-hex-drivers-3-pack")</f>
        <v/>
      </c>
      <c r="C4784" t="inlineStr">
        <is>
          <t>Klein Tools 86602 3/8-Inch Magnetic Hex Drivers, 3-Pack</t>
        </is>
      </c>
      <c r="D4784" t="inlineStr">
        <is>
          <t>Klein Tools 32794 Pro Impact Driver Bit, 3/8-Inch Hex Nut Driver, 3 Pack</t>
        </is>
      </c>
      <c r="E4784" s="2">
        <f>HYPERLINK("https://www.amazon.com/Klein-Tools-32794-Impact-Driver/dp/B07RGVM3RS/ref=sr_1_2?keywords=Klein+Tools+86602+3%2F8-Inch+Magnetic+Hex+Drivers%2C+3-Pack&amp;qid=1694735117&amp;sr=8-2", "https://www.amazon.com/Klein-Tools-32794-Impact-Driver/dp/B07RGVM3RS/ref=sr_1_2?keywords=Klein+Tools+86602+3%2F8-Inch+Magnetic+Hex+Drivers%2C+3-Pack&amp;qid=1694735117&amp;sr=8-2")</f>
        <v/>
      </c>
      <c r="F4784" t="inlineStr">
        <is>
          <t>B07RGVM3RS</t>
        </is>
      </c>
      <c r="G4784">
        <f>_xludf.IMAGE("https://edmondsonsupply.com/cdn/shop/products/86602.jpg?v=1664460860")</f>
        <v/>
      </c>
      <c r="H4784">
        <f>_xludf.IMAGE("https://m.media-amazon.com/images/I/51EHKugf8KL._AC_UL320_.jpg")</f>
        <v/>
      </c>
      <c r="K4784" t="inlineStr">
        <is>
          <t>6.99</t>
        </is>
      </c>
      <c r="L4784" t="n">
        <v>10.99</v>
      </c>
      <c r="M4784" s="1" t="inlineStr">
        <is>
          <t>57.22%</t>
        </is>
      </c>
      <c r="N4784" s="1" t="n">
        <v>-23.84</v>
      </c>
      <c r="O4784" t="n">
        <v>4.8</v>
      </c>
      <c r="P4784" t="n">
        <v>132</v>
      </c>
      <c r="R4784" t="inlineStr">
        <is>
          <t>InStock</t>
        </is>
      </c>
      <c r="S4784" t="inlineStr">
        <is>
          <t>10.6</t>
        </is>
      </c>
      <c r="T4784" t="inlineStr">
        <is>
          <t>7833497960664</t>
        </is>
      </c>
    </row>
    <row r="4785" ht="87" customHeight="1">
      <c r="A4785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4785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4785" t="inlineStr">
        <is>
          <t>Klein Tools 1550-2 2 Blade Pocket Knife, Steel, 2-1/2-Inch Blade</t>
        </is>
      </c>
      <c r="D4785" t="inlineStr">
        <is>
          <t>Lightweight Lockback Knife with 2-1/2-Inch Drop-Point Blade and Black Aluminum Handle Klein Tools 44001-BLK</t>
        </is>
      </c>
      <c r="E4785" s="2">
        <f>HYPERLINK("https://www.amazon.com/Lightweight-Drop-Point-Klein-Tools-44001-BLK/dp/B0026T18RW/ref=sr_1_5?keywords=Klein+Tools+1550-2+2+Blade+Pocket+Knife%2C+Steel%2C+2-1%2F2-Inch+Blade&amp;qid=1694735141&amp;sr=8-5", "https://www.amazon.com/Lightweight-Drop-Point-Klein-Tools-44001-BLK/dp/B0026T18RW/ref=sr_1_5?keywords=Klein+Tools+1550-2+2+Blade+Pocket+Knife%2C+Steel%2C+2-1%2F2-Inch+Blade&amp;qid=1694735141&amp;sr=8-5")</f>
        <v/>
      </c>
      <c r="F4785" t="inlineStr">
        <is>
          <t>B0026T18RW</t>
        </is>
      </c>
      <c r="G4785">
        <f>_xlfn.IMAGE("https://edmondsonsupply.com/cdn/shop/products/15502_b.jpg?v=1658020543")</f>
        <v/>
      </c>
      <c r="H4785">
        <f>_xlfn.IMAGE("https://m.media-amazon.com/images/I/41DnZjhhmnL._AC_UL320_.jpg")</f>
        <v/>
      </c>
      <c r="K4785" t="inlineStr">
        <is>
          <t>29.99</t>
        </is>
      </c>
      <c r="L4785" t="n">
        <v>47.14</v>
      </c>
      <c r="M4785" s="1" t="inlineStr">
        <is>
          <t>57.19%</t>
        </is>
      </c>
      <c r="N4785" s="7" t="n">
        <v>-23.84</v>
      </c>
      <c r="O4785" t="n">
        <v>4.5</v>
      </c>
      <c r="P4785" t="n">
        <v>68</v>
      </c>
      <c r="R4785" t="inlineStr">
        <is>
          <t>InStock</t>
        </is>
      </c>
      <c r="S4785" t="inlineStr">
        <is>
          <t>45.52</t>
        </is>
      </c>
      <c r="T4785" t="inlineStr">
        <is>
          <t>2766536409188</t>
        </is>
      </c>
    </row>
    <row r="4786" hidden="1" ht="15.75" customHeight="1">
      <c r="A4786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4786" s="2">
        <f>HYPERLINK("https://edmondsonsupply.com/products/klein-tools-jth9m5-5-mm-hex-key-journeyman-t-handle-9-inch", "https://edmondsonsupply.com/products/klein-tools-jth9m5-5-mm-hex-key-journeyman-t-handle-9-inch")</f>
        <v/>
      </c>
      <c r="C4786" t="inlineStr">
        <is>
          <t>Klein Tools JTH9M5 5 mm Hex Key, Journeyman T-Handle 9-Inch</t>
        </is>
      </c>
      <c r="D4786" t="inlineStr">
        <is>
          <t>Klein Tools JTH9M4 4 mm Hex Key with Journeyman T-Handle, 9-Inch</t>
        </is>
      </c>
      <c r="E4786" s="2">
        <f>HYPERLINK("https://www.amazon.com/Journeyman-T-Handle-Klein-Tools-JTH9M4/dp/B005G3HJ8M/ref=sr_1_11?keywords=Klein+Tools+JTH9M5+5+mm+Hex+Key%2C+Journeyman+T-Handle+9-Inch&amp;qid=1694735207&amp;sr=8-11", "https://www.amazon.com/Journeyman-T-Handle-Klein-Tools-JTH9M4/dp/B005G3HJ8M/ref=sr_1_11?keywords=Klein+Tools+JTH9M5+5+mm+Hex+Key%2C+Journeyman+T-Handle+9-Inch&amp;qid=1694735207&amp;sr=8-11")</f>
        <v/>
      </c>
      <c r="F4786" t="inlineStr">
        <is>
          <t>B005G3HJ8M</t>
        </is>
      </c>
      <c r="G4786">
        <f>_xludf.IMAGE("https://edmondsonsupply.com/cdn/shop/products/jth9m_84ad507b-889a-4b5c-80a2-9633c898cd48.jpg?v=1633031048")</f>
        <v/>
      </c>
      <c r="H4786">
        <f>_xludf.IMAGE("https://m.media-amazon.com/images/I/51+1x0vz9XL._AC_UL320_.jpg")</f>
        <v/>
      </c>
      <c r="K4786" t="inlineStr">
        <is>
          <t>4.99</t>
        </is>
      </c>
      <c r="L4786" t="n">
        <v>7.84</v>
      </c>
      <c r="M4786" s="1" t="inlineStr">
        <is>
          <t>57.11%</t>
        </is>
      </c>
      <c r="N4786" s="1" t="n">
        <v>-23.84</v>
      </c>
      <c r="O4786" t="n">
        <v>4.6</v>
      </c>
      <c r="P4786" t="n">
        <v>135</v>
      </c>
      <c r="R4786" t="inlineStr">
        <is>
          <t>InStock</t>
        </is>
      </c>
      <c r="S4786" t="inlineStr">
        <is>
          <t>7.58</t>
        </is>
      </c>
      <c r="T4786" t="inlineStr">
        <is>
          <t>6772921532589</t>
        </is>
      </c>
    </row>
    <row r="4787" ht="87" customHeight="1">
      <c r="A4787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4787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4787" t="inlineStr">
        <is>
          <t>Klein Tools 11055RINS Insulated Klein-Kurve® Wire Stripper and Cutter</t>
        </is>
      </c>
      <c r="D4787" t="inlineStr">
        <is>
          <t>Klein Tools 11055-INS Insulated Klein-Kurve Wire Stripper/Cutter, Orange</t>
        </is>
      </c>
      <c r="E4787" s="2">
        <f>HYPERLINK("https://www.amazon.com/Insulated-Klein-Kurve-Klein-Tools-11055-INS/dp/B000MKIPPU/ref=sr_1_2?keywords=Klein+Tools+11055RINS+Insulated+Klein-Kurve%C2%AE+Wire+Stripper+and+Cutter&amp;qid=1694735096&amp;sr=8-2", "https://www.amazon.com/Insulated-Klein-Kurve-Klein-Tools-11055-INS/dp/B000MKIPPU/ref=sr_1_2?keywords=Klein+Tools+11055RINS+Insulated+Klein-Kurve%C2%AE+Wire+Stripper+and+Cutter&amp;qid=1694735096&amp;sr=8-2")</f>
        <v/>
      </c>
      <c r="F4787" t="inlineStr">
        <is>
          <t>B000MKIPPU</t>
        </is>
      </c>
      <c r="G4787">
        <f>_xlfn.IMAGE("https://edmondsonsupply.com/cdn/shop/products/11055rins.jpg?v=1667236979")</f>
        <v/>
      </c>
      <c r="H4787">
        <f>_xlfn.IMAGE("https://m.media-amazon.com/images/I/51U7ZuALPYL._AC_UL320_.jpg")</f>
        <v/>
      </c>
      <c r="K4787" t="inlineStr">
        <is>
          <t>29.97</t>
        </is>
      </c>
      <c r="L4787" t="n">
        <v>47.07</v>
      </c>
      <c r="M4787" s="1" t="inlineStr">
        <is>
          <t>57.06%</t>
        </is>
      </c>
      <c r="N4787" s="7" t="n">
        <v>-23.91</v>
      </c>
      <c r="O4787" t="n">
        <v>4.1</v>
      </c>
      <c r="P4787" t="n">
        <v>17</v>
      </c>
      <c r="R4787" t="inlineStr">
        <is>
          <t>InStock</t>
        </is>
      </c>
      <c r="S4787" t="inlineStr">
        <is>
          <t>41.98</t>
        </is>
      </c>
      <c r="T4787" t="inlineStr">
        <is>
          <t>7871527813336</t>
        </is>
      </c>
    </row>
    <row r="4788" ht="87" customHeight="1">
      <c r="A4788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4788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4788" t="inlineStr">
        <is>
          <t>Klein Tools 630-1/2 1/2-Inch Nut Driver, 3-Inch Shaft, Cushion-Grip</t>
        </is>
      </c>
      <c r="D4788" t="inlineStr">
        <is>
          <t>Klein Tools 630-1/2M Nut Driver, 1/2-Inch Magnetic Tip, 3-Inch Shaft</t>
        </is>
      </c>
      <c r="E4788" s="2">
        <f>HYPERLINK("https://www.amazon.com/Magnetic-Klein-Tools-630-1-2M/dp/B000MKITBU/ref=sr_1_2?keywords=Klein+Tools+630-1%2F2+1%2F2-Inch+Nut+Driver%2C+3-Inch+Shaft%2C+Cushion-Grip&amp;qid=1694735275&amp;sr=8-2", "https://www.amazon.com/Magnetic-Klein-Tools-630-1-2M/dp/B000MKITBU/ref=sr_1_2?keywords=Klein+Tools+630-1%2F2+1%2F2-Inch+Nut+Driver%2C+3-Inch+Shaft%2C+Cushion-Grip&amp;qid=1694735275&amp;sr=8-2")</f>
        <v/>
      </c>
      <c r="F4788" t="inlineStr">
        <is>
          <t>B000MKITBU</t>
        </is>
      </c>
      <c r="G4788">
        <f>_xlfn.IMAGE("https://edmondsonsupply.com/cdn/shop/products/630-1-2_7cf2cc87-b92f-4b67-9777-1bad53f29a16.jpg?v=1633030528")</f>
        <v/>
      </c>
      <c r="H4788">
        <f>_xlfn.IMAGE("https://m.media-amazon.com/images/I/51oPJWSEp5L._AC_UL320_.jpg")</f>
        <v/>
      </c>
      <c r="K4788" t="inlineStr">
        <is>
          <t>9.99</t>
        </is>
      </c>
      <c r="L4788" t="n">
        <v>15.69</v>
      </c>
      <c r="M4788" s="1" t="inlineStr">
        <is>
          <t>57.06%</t>
        </is>
      </c>
      <c r="N4788" s="7" t="n">
        <v>-24.07</v>
      </c>
      <c r="O4788" t="n">
        <v>4.7</v>
      </c>
      <c r="P4788" t="n">
        <v>1571</v>
      </c>
      <c r="R4788" t="inlineStr">
        <is>
          <t>InStock</t>
        </is>
      </c>
      <c r="S4788" t="inlineStr">
        <is>
          <t>14.38</t>
        </is>
      </c>
      <c r="T4788" t="inlineStr">
        <is>
          <t>5408826458280</t>
        </is>
      </c>
    </row>
    <row r="4789" ht="87" customHeight="1">
      <c r="A4789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4789" s="2">
        <f>HYPERLINK("https://edmondsonsupply.com/products/klein-tools-ir5-dual-laser-infrared-thermometer", "https://edmondsonsupply.com/products/klein-tools-ir5-dual-laser-infrared-thermometer")</f>
        <v/>
      </c>
      <c r="C4789" t="inlineStr">
        <is>
          <t>Klein Tools IR5 Dual Laser Infrared Thermometer</t>
        </is>
      </c>
      <c r="D4789" t="inlineStr">
        <is>
          <t>Klein Tools IR10 Infrared Thermometer, Digital Thermometer Gun with Dual Targeting Laser, 20:1</t>
        </is>
      </c>
      <c r="E4789" s="2">
        <f>HYPERLINK("https://www.amazon.com/Klein-Tools-IR10-Thermometer-Targeting/dp/B07K1JB9TQ/ref=sr_1_4?keywords=Klein+Tools+IR5+Dual+Laser+Infrared+Thermometer&amp;qid=1694735248&amp;sr=8-4", "https://www.amazon.com/Klein-Tools-IR10-Thermometer-Targeting/dp/B07K1JB9TQ/ref=sr_1_4?keywords=Klein+Tools+IR5+Dual+Laser+Infrared+Thermometer&amp;qid=1694735248&amp;sr=8-4")</f>
        <v/>
      </c>
      <c r="F4789" t="inlineStr">
        <is>
          <t>B07K1JB9TQ</t>
        </is>
      </c>
      <c r="G4789">
        <f>_xlfn.IMAGE("https://edmondsonsupply.com/cdn/shop/products/ir5.jpg?v=1587148495")</f>
        <v/>
      </c>
      <c r="H4789">
        <f>_xlfn.IMAGE("https://m.media-amazon.com/images/I/71gXtP6kZ0L._AC_UY218_.jpg")</f>
        <v/>
      </c>
      <c r="K4789" t="inlineStr">
        <is>
          <t>64.97</t>
        </is>
      </c>
      <c r="L4789" t="n">
        <v>101.99</v>
      </c>
      <c r="M4789" s="1" t="inlineStr">
        <is>
          <t>56.98%</t>
        </is>
      </c>
      <c r="N4789" s="7" t="n">
        <v>-24.08</v>
      </c>
      <c r="O4789" t="n">
        <v>4.6</v>
      </c>
      <c r="P4789" t="n">
        <v>300</v>
      </c>
      <c r="R4789" t="inlineStr">
        <is>
          <t>InStock</t>
        </is>
      </c>
      <c r="S4789" t="inlineStr">
        <is>
          <t>80.92</t>
        </is>
      </c>
      <c r="T4789" t="inlineStr">
        <is>
          <t>4385570160740</t>
        </is>
      </c>
    </row>
    <row r="4790" ht="87" customHeight="1">
      <c r="A4790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4790" s="2">
        <f>HYPERLINK("https://edmondsonsupply.com/products/diablo-tools-d0660x-6-1-2-in-x-60-tooth-ultra-finish-saw-blade", "https://edmondsonsupply.com/products/diablo-tools-d0660x-6-1-2-in-x-60-tooth-ultra-finish-saw-blade")</f>
        <v/>
      </c>
      <c r="C4790" t="inlineStr">
        <is>
          <t>Diablo Tools D0660X 6-1/2 in. x 60 Tooth Ultra Finish Saw Blade</t>
        </is>
      </c>
      <c r="D4790" t="inlineStr">
        <is>
          <t>Freud D0760X Diablo Ultra Finish Saw Blade ATB 7-1/4-Inch by 60t 5/8-Inch Arbor, 2-Pack</t>
        </is>
      </c>
      <c r="E4790" s="2">
        <f>HYPERLINK("https://www.amazon.com/Diablo-D0760A-Ultra-Finish-Circular/dp/B0148SH5ZC/ref=sr_1_24?keywords=Diablo+Tools+D0660X+6-1%2F2+in.+x+60+Tooth+Ultra+Finish+Saw+Blade&amp;qid=1694735022&amp;sr=8-24", "https://www.amazon.com/Diablo-D0760A-Ultra-Finish-Circular/dp/B0148SH5ZC/ref=sr_1_24?keywords=Diablo+Tools+D0660X+6-1%2F2+in.+x+60+Tooth+Ultra+Finish+Saw+Blade&amp;qid=1694735022&amp;sr=8-24")</f>
        <v/>
      </c>
      <c r="F4790" t="inlineStr">
        <is>
          <t>B0148SH5ZC</t>
        </is>
      </c>
      <c r="G4790">
        <f>_xlfn.IMAGE("https://edmondsonsupply.com/cdn/shop/products/ma8p1gcmhxpwwhymtiim.webp?v=1678983644")</f>
        <v/>
      </c>
      <c r="H4790">
        <f>_xlfn.IMAGE("https://m.media-amazon.com/images/I/61nNgTt0u4L._AC_UL320_.jpg")</f>
        <v/>
      </c>
      <c r="K4790" t="inlineStr">
        <is>
          <t>22.97</t>
        </is>
      </c>
      <c r="L4790" t="n">
        <v>36</v>
      </c>
      <c r="M4790" s="1" t="inlineStr">
        <is>
          <t>56.73%</t>
        </is>
      </c>
      <c r="N4790" s="7" t="n">
        <v>-24.27</v>
      </c>
      <c r="O4790" t="n">
        <v>4.8</v>
      </c>
      <c r="P4790" t="n">
        <v>2920</v>
      </c>
      <c r="R4790" t="inlineStr">
        <is>
          <t>InStock</t>
        </is>
      </c>
      <c r="S4790" t="inlineStr">
        <is>
          <t>33.88</t>
        </is>
      </c>
      <c r="T4790" t="inlineStr">
        <is>
          <t>7962739507416</t>
        </is>
      </c>
    </row>
    <row r="4791" ht="87" customHeight="1">
      <c r="A4791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4791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4791" t="inlineStr">
        <is>
          <t>Klein Tools 1550-2 2 Blade Pocket Knife, Steel, 2-1/2-Inch Blade</t>
        </is>
      </c>
      <c r="D4791" t="inlineStr">
        <is>
          <t>Klein Tools 44001 Leightweight Lockback Knife 2-1/2-Inch Drop-Point Blade Silver</t>
        </is>
      </c>
      <c r="E4791" s="2">
        <f>HYPERLINK("https://www.amazon.com/Klein-Tools-44001-Leightweight-Drop-Point/dp/B00093GDFE/ref=sr_1_3?keywords=Klein+Tools+1550-2+2+Blade+Pocket+Knife%2C+Steel%2C+2-1%2F2-Inch+Blade&amp;qid=1694735141&amp;sr=8-3", "https://www.amazon.com/Klein-Tools-44001-Leightweight-Drop-Point/dp/B00093GDFE/ref=sr_1_3?keywords=Klein+Tools+1550-2+2+Blade+Pocket+Knife%2C+Steel%2C+2-1%2F2-Inch+Blade&amp;qid=1694735141&amp;sr=8-3")</f>
        <v/>
      </c>
      <c r="F4791" t="inlineStr">
        <is>
          <t>B00093GDFE</t>
        </is>
      </c>
      <c r="G4791">
        <f>_xlfn.IMAGE("https://edmondsonsupply.com/cdn/shop/products/15502_b.jpg?v=1658020543")</f>
        <v/>
      </c>
      <c r="H4791">
        <f>_xlfn.IMAGE("https://m.media-amazon.com/images/I/412UGD0fg+S._AC_UL320_.jpg")</f>
        <v/>
      </c>
      <c r="K4791" t="inlineStr">
        <is>
          <t>29.99</t>
        </is>
      </c>
      <c r="L4791" t="n">
        <v>46.99</v>
      </c>
      <c r="M4791" s="1" t="inlineStr">
        <is>
          <t>56.69%</t>
        </is>
      </c>
      <c r="N4791" s="7" t="n">
        <v>-24.33</v>
      </c>
      <c r="O4791" t="n">
        <v>4.7</v>
      </c>
      <c r="P4791" t="n">
        <v>185</v>
      </c>
      <c r="R4791" t="inlineStr">
        <is>
          <t>InStock</t>
        </is>
      </c>
      <c r="S4791" t="inlineStr">
        <is>
          <t>45.52</t>
        </is>
      </c>
      <c r="T4791" t="inlineStr">
        <is>
          <t>2766536409188</t>
        </is>
      </c>
    </row>
    <row r="4792" ht="87" customHeight="1">
      <c r="A4792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4792" s="2">
        <f>HYPERLINK("https://edmondsonsupply.com/products/klein-tools-32717-all-in-1-precision-screwdriver-set-with-case", "https://edmondsonsupply.com/products/klein-tools-32717-all-in-1-precision-screwdriver-set-with-case")</f>
        <v/>
      </c>
      <c r="C4792" t="inlineStr">
        <is>
          <t>Klein Tools 32717 All-in-1 Precision Screwdriver Set with Case</t>
        </is>
      </c>
      <c r="D4792" t="inlineStr">
        <is>
          <t>Klein Tools 32717 Precision Screwdriver Set with Case &amp; 32308 Multi-bit Stubby Screwdriver, Impact Rated 8-in-1 Adjustable Magnetic Tool with Phillips, Slotted, Square and Nut Driver</t>
        </is>
      </c>
      <c r="E4792" s="2">
        <f>HYPERLINK("https://www.amazon.com/Klein-Tools-Precision-Screwdriver-Adjustable/dp/B0BF5LVCTQ/ref=sr_1_14?keywords=Klein+Tools+32717+All-in-1+Precision+Screwdriver+Set+with+Case&amp;qid=1694735187&amp;sr=8-14", "https://www.amazon.com/Klein-Tools-Precision-Screwdriver-Adjustable/dp/B0BF5LVCTQ/ref=sr_1_14?keywords=Klein+Tools+32717+All-in-1+Precision+Screwdriver+Set+with+Case&amp;qid=1694735187&amp;sr=8-14")</f>
        <v/>
      </c>
      <c r="F4792" t="inlineStr">
        <is>
          <t>B0BF5LVCTQ</t>
        </is>
      </c>
      <c r="G4792">
        <f>_xlfn.IMAGE("https://edmondsonsupply.com/cdn/shop/products/32717.jpg?v=1633031161")</f>
        <v/>
      </c>
      <c r="H4792">
        <f>_xlfn.IMAGE("https://m.media-amazon.com/images/I/51CgELiCGyL._AC_UL320_.jpg")</f>
        <v/>
      </c>
      <c r="K4792" t="inlineStr">
        <is>
          <t>29.97</t>
        </is>
      </c>
      <c r="L4792" t="n">
        <v>46.94</v>
      </c>
      <c r="M4792" s="1" t="inlineStr">
        <is>
          <t>56.62%</t>
        </is>
      </c>
      <c r="N4792" s="7" t="n">
        <v>-24.39</v>
      </c>
      <c r="O4792" t="n">
        <v>5</v>
      </c>
      <c r="P4792" t="n">
        <v>5</v>
      </c>
      <c r="R4792" t="inlineStr">
        <is>
          <t>InStock</t>
        </is>
      </c>
      <c r="S4792" t="inlineStr">
        <is>
          <t>41.98</t>
        </is>
      </c>
      <c r="T4792" t="inlineStr">
        <is>
          <t>6897560453293</t>
        </is>
      </c>
    </row>
    <row r="4793" ht="87" customHeight="1">
      <c r="A4793" s="2">
        <f>HYPERLINK("https://edmondsonsupply.com/collections/electricians-tools/products/milwaukee-49-56-0197-3-5-8-hole-dozer%E2%84%A2-hole-saw-bi-metal-cup", "https://edmondsonsupply.com/collections/electricians-tools/products/milwaukee-49-56-0197-3-5-8-hole-dozer%E2%84%A2-hole-saw-bi-metal-cup")</f>
        <v/>
      </c>
      <c r="B4793" s="2">
        <f>HYPERLINK("https://edmondsonsupply.com/products/milwaukee-49-56-0197-3-5-8-hole-dozer%e2%84%a2-hole-saw-bi-metal-cup", "https://edmondsonsupply.com/products/milwaukee-49-56-0197-3-5-8-hole-dozer%e2%84%a2-hole-saw-bi-metal-cup")</f>
        <v/>
      </c>
      <c r="C4793" t="inlineStr">
        <is>
          <t>Milwaukee 49-56-0197 3-5/8" HOLE DOZER™ Hole Saw Bi-Metal Cup</t>
        </is>
      </c>
      <c r="D4793" t="inlineStr">
        <is>
          <t>Milwaukee Electric Tool 49-56-0193 Bi-Metal Hole Saw, 3-1/2"</t>
        </is>
      </c>
      <c r="E4793" s="2">
        <f>HYPERLINK("https://www.amazon.com/Milwaukee-Electric-Tool-49-56-0193-Bi-Metal/dp/B0017WTULA/ref=sr_1_3?keywords=Milwaukee+49-56-0197+3-5%2F8%22+HOLE+DOZER%E2%84%A2+Hole+Saw+Bi-Metal+Cup&amp;qid=1694735021&amp;sr=8-3", "https://www.amazon.com/Milwaukee-Electric-Tool-49-56-0193-Bi-Metal/dp/B0017WTULA/ref=sr_1_3?keywords=Milwaukee+49-56-0197+3-5%2F8%22+HOLE+DOZER%E2%84%A2+Hole+Saw+Bi-Metal+Cup&amp;qid=1694735021&amp;sr=8-3")</f>
        <v/>
      </c>
      <c r="F4793" t="inlineStr">
        <is>
          <t>B0017WTULA</t>
        </is>
      </c>
      <c r="G4793">
        <f>_xlfn.IMAGE("https://edmondsonsupply.com/cdn/shop/products/49-56-0052_101_1_b485d0b4-965d-40fc-a007-7e23c4d86724.webp?v=1678912947")</f>
        <v/>
      </c>
      <c r="H4793">
        <f>_xlfn.IMAGE("https://m.media-amazon.com/images/I/51Yfl2-hbuL._AC_UL320_.jpg")</f>
        <v/>
      </c>
      <c r="K4793" t="inlineStr">
        <is>
          <t>12.19</t>
        </is>
      </c>
      <c r="L4793" t="n">
        <v>19.09</v>
      </c>
      <c r="M4793" s="1" t="inlineStr">
        <is>
          <t>56.60%</t>
        </is>
      </c>
      <c r="N4793" s="7" t="n">
        <v>-24.39</v>
      </c>
      <c r="O4793" t="n">
        <v>4.6</v>
      </c>
      <c r="P4793" t="n">
        <v>249</v>
      </c>
      <c r="R4793" t="inlineStr">
        <is>
          <t>InStock</t>
        </is>
      </c>
      <c r="S4793" t="inlineStr">
        <is>
          <t>24.7</t>
        </is>
      </c>
      <c r="T4793" t="inlineStr">
        <is>
          <t>7962124681432</t>
        </is>
      </c>
    </row>
    <row r="4794" ht="87" customHeight="1">
      <c r="A4794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4794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4794" t="inlineStr">
        <is>
          <t>Diablo Tools DMAPL4055 3/16 in. x 10 in. x 12 in. Rebar Demon™ SDS‑Plus 4‑Cutter Full Carbide Head Hammer Bit</t>
        </is>
      </c>
      <c r="D4794" t="inlineStr">
        <is>
          <t>Diablo by Freud DMAPL4230 5/8 in. x 10 in. x 12 in. Rebar Demon SDS-Plus 4-Cutter Full Carbide Head Hammer Bit</t>
        </is>
      </c>
      <c r="E4794" s="2">
        <f>HYPERLINK("https://www.amazon.com/Diablo-Freud-DMAPL4230-SDS-Plus-4-Cutter/dp/B089LCN234/ref=sr_1_4?keywords=Diablo+Tools+DMAPL4055+3%2F16+in.+x+10+in.+x+12+in.+Rebar+Demon%E2%84%A2+SDS%E2%80%91Plus+4%E2%80%91Cutter+Full+Carbide+Head+Hammer+Bit&amp;qid=1694735287&amp;sr=8-4", "https://www.amazon.com/Diablo-Freud-DMAPL4230-SDS-Plus-4-Cutter/dp/B089LCN234/ref=sr_1_4?keywords=Diablo+Tools+DMAPL4055+3%2F16+in.+x+10+in.+x+12+in.+Rebar+Demon%E2%84%A2+SDS%E2%80%91Plus+4%E2%80%91Cutter+Full+Carbide+Head+Hammer+Bit&amp;qid=1694735287&amp;sr=8-4")</f>
        <v/>
      </c>
      <c r="F4794" t="inlineStr">
        <is>
          <t>B089LCN234</t>
        </is>
      </c>
      <c r="G4794">
        <f>_xlfn.IMAGE("https://edmondsonsupply.com/cdn/shop/products/DMAPL4055_Main-Image20200331.png?v=1633030416")</f>
        <v/>
      </c>
      <c r="H4794">
        <f>_xlfn.IMAGE("https://m.media-amazon.com/images/I/61r649wmyhL._AC_UL320_.jpg")</f>
        <v/>
      </c>
      <c r="K4794" t="inlineStr">
        <is>
          <t>13.97</t>
        </is>
      </c>
      <c r="L4794" t="n">
        <v>21.86</v>
      </c>
      <c r="M4794" s="1" t="inlineStr">
        <is>
          <t>56.48%</t>
        </is>
      </c>
      <c r="N4794" s="7" t="n">
        <v>-24.46</v>
      </c>
      <c r="O4794" t="n">
        <v>4.7</v>
      </c>
      <c r="P4794" t="n">
        <v>47</v>
      </c>
      <c r="R4794" t="inlineStr">
        <is>
          <t>InStock</t>
        </is>
      </c>
      <c r="S4794" t="inlineStr">
        <is>
          <t>19.56</t>
        </is>
      </c>
      <c r="T4794" t="inlineStr">
        <is>
          <t>5316790714536</t>
        </is>
      </c>
    </row>
    <row r="4795" hidden="1" ht="15.75" customHeight="1">
      <c r="A4795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795" s="2">
        <f>HYPERLINK("https://edmondsonsupply.com/products/klein-tools-608-6-1-8-inch-cabinet-tip-mini-screwdriver-6-inch", "https://edmondsonsupply.com/products/klein-tools-608-6-1-8-inch-cabinet-tip-mini-screwdriver-6-inch")</f>
        <v/>
      </c>
      <c r="C4795" t="inlineStr">
        <is>
          <t>Klein Tools 608-6 1/8-Inch Cabinet Tip Mini Screwdriver, 6-Inch</t>
        </is>
      </c>
      <c r="D4795" t="inlineStr">
        <is>
          <t>Klein Tools 621-6 Coated 3/16-Inch Cabinet Tip Flat Head Screwdriver, 6-Inch Round Shank, Cushion Grip Handle</t>
        </is>
      </c>
      <c r="E4795" s="2">
        <f>HYPERLINK("https://www.amazon.com/16-Inch-Screwdriver-Klein-Tools-621-6/dp/B00093GE44/ref=sr_1_8?keywords=Klein+Tools+608-6+1%2F8-Inch+Cabinet+Tip+Mini+Screwdriver%2C+6-Inch&amp;qid=1694735278&amp;sr=8-8", "https://www.amazon.com/16-Inch-Screwdriver-Klein-Tools-621-6/dp/B00093GE44/ref=sr_1_8?keywords=Klein+Tools+608-6+1%2F8-Inch+Cabinet+Tip+Mini+Screwdriver%2C+6-Inch&amp;qid=1694735278&amp;sr=8-8")</f>
        <v/>
      </c>
      <c r="F4795" t="inlineStr">
        <is>
          <t>B00093GE44</t>
        </is>
      </c>
      <c r="G4795">
        <f>_xludf.IMAGE("https://edmondsonsupply.com/cdn/shop/products/608-6.jpg?v=1633030486")</f>
        <v/>
      </c>
      <c r="H4795">
        <f>_xludf.IMAGE("https://m.media-amazon.com/images/I/51PRkgD+r3L._AC_UL320_.jpg")</f>
        <v/>
      </c>
      <c r="K4795" t="inlineStr">
        <is>
          <t>7.99</t>
        </is>
      </c>
      <c r="L4795" t="n">
        <v>12.49</v>
      </c>
      <c r="M4795" s="1" t="inlineStr">
        <is>
          <t>56.32%</t>
        </is>
      </c>
      <c r="N4795" s="1" t="n">
        <v>-24.5</v>
      </c>
      <c r="O4795" t="n">
        <v>4.4</v>
      </c>
      <c r="P4795" t="n">
        <v>25</v>
      </c>
      <c r="R4795" t="inlineStr">
        <is>
          <t>InStock</t>
        </is>
      </c>
      <c r="S4795" t="inlineStr">
        <is>
          <t>12.1</t>
        </is>
      </c>
      <c r="T4795" t="inlineStr">
        <is>
          <t>5371087683752</t>
        </is>
      </c>
    </row>
    <row r="4796" ht="87" customHeight="1">
      <c r="A4796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4796" s="2">
        <f>HYPERLINK("https://edmondsonsupply.com/products/klein-tools-635-9-16-9-16-heavy-duty-nut-driver-magnetic", "https://edmondsonsupply.com/products/klein-tools-635-9-16-9-16-heavy-duty-nut-driver-magnetic")</f>
        <v/>
      </c>
      <c r="C4796" t="inlineStr">
        <is>
          <t>Klein Tools 635-9/16 9/16-Inch Heavy-Duty Nut Driver</t>
        </is>
      </c>
      <c r="D4796" t="inlineStr">
        <is>
          <t>Klein Tools PND91610 9/16-Inch Power Nut Driver, 10-Inch Length</t>
        </is>
      </c>
      <c r="E4796" s="2">
        <f>HYPERLINK("https://www.amazon.com/16-Inch-10-Inch-Klein-Tools-PND91610/dp/B00ELGQ9WC/ref=sr_1_5?keywords=Klein+Tools+635-9%2F16+9%2F16-Inch+Heavy-Duty+Nut+Driver&amp;qid=1694735388&amp;sr=8-5", "https://www.amazon.com/16-Inch-10-Inch-Klein-Tools-PND91610/dp/B00ELGQ9WC/ref=sr_1_5?keywords=Klein+Tools+635-9%2F16+9%2F16-Inch+Heavy-Duty+Nut+Driver&amp;qid=1694735388&amp;sr=8-5")</f>
        <v/>
      </c>
      <c r="F4796" t="inlineStr">
        <is>
          <t>B00ELGQ9WC</t>
        </is>
      </c>
      <c r="G4796">
        <f>_xlfn.IMAGE("https://edmondsonsupply.com/cdn/shop/products/635-9-16.jpg?v=1587145126")</f>
        <v/>
      </c>
      <c r="H4796">
        <f>_xlfn.IMAGE("https://m.media-amazon.com/images/I/31wQ2+L9xFL._AC_UL320_.jpg")</f>
        <v/>
      </c>
      <c r="K4796" t="inlineStr">
        <is>
          <t>15.99</t>
        </is>
      </c>
      <c r="L4796" t="n">
        <v>24.99</v>
      </c>
      <c r="M4796" s="1" t="inlineStr">
        <is>
          <t>56.29%</t>
        </is>
      </c>
      <c r="N4796" s="7" t="n">
        <v>-24.51</v>
      </c>
      <c r="O4796" t="n">
        <v>4.6</v>
      </c>
      <c r="P4796" t="n">
        <v>1105</v>
      </c>
      <c r="R4796" t="inlineStr">
        <is>
          <t>InStock</t>
        </is>
      </c>
      <c r="S4796" t="inlineStr">
        <is>
          <t>24.22</t>
        </is>
      </c>
      <c r="T4796" t="inlineStr">
        <is>
          <t>2766897741924</t>
        </is>
      </c>
    </row>
    <row r="4797" ht="87" customHeight="1">
      <c r="A4797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4797" s="2">
        <f>HYPERLINK("https://edmondsonsupply.com/products/klein-tools-vdv427-300-impact-punchdown-tool-66-110-blade", "https://edmondsonsupply.com/products/klein-tools-vdv427-300-impact-punchdown-tool-66-110-blade")</f>
        <v/>
      </c>
      <c r="C4797" t="inlineStr">
        <is>
          <t>Klein Tools VDV427-300 Impact Punchdown Tool, 66/110 Blade</t>
        </is>
      </c>
      <c r="D4797" t="inlineStr">
        <is>
          <t>Klein Tools VDV427-300 Impact Punchdown Tool, 66/110 Blade &amp; 21010-6-SEN Free-Fall Snip, Scraper, File, Serrated Blades</t>
        </is>
      </c>
      <c r="E4797" s="2">
        <f>HYPERLINK("https://www.amazon.com/Klein-Tools-VDV427-300-Punchdown-21010-6-SEN/dp/B0BNL4X7CJ/ref=sr_1_3?keywords=Klein+Tools+VDV427-300+Impact+Punchdown+Tool%2C+66%2F110+Blade&amp;qid=1694735168&amp;sr=8-3", "https://www.amazon.com/Klein-Tools-VDV427-300-Punchdown-21010-6-SEN/dp/B0BNL4X7CJ/ref=sr_1_3?keywords=Klein+Tools+VDV427-300+Impact+Punchdown+Tool%2C+66%2F110+Blade&amp;qid=1694735168&amp;sr=8-3")</f>
        <v/>
      </c>
      <c r="F4797" t="inlineStr">
        <is>
          <t>B0BNL4X7CJ</t>
        </is>
      </c>
      <c r="G4797">
        <f>_xlfn.IMAGE("https://edmondsonsupply.com/cdn/shop/products/vdv427300.jpg?v=1646010568")</f>
        <v/>
      </c>
      <c r="H4797">
        <f>_xlfn.IMAGE("https://m.media-amazon.com/images/I/41i2uMhepnL._AC_UL320_.jpg")</f>
        <v/>
      </c>
      <c r="K4797" t="inlineStr">
        <is>
          <t>39.97</t>
        </is>
      </c>
      <c r="L4797" t="n">
        <v>62.38</v>
      </c>
      <c r="M4797" s="1" t="inlineStr">
        <is>
          <t>56.07%</t>
        </is>
      </c>
      <c r="N4797" s="7" t="n">
        <v>-24.55</v>
      </c>
      <c r="O4797" t="n">
        <v>5</v>
      </c>
      <c r="P4797" t="n">
        <v>3</v>
      </c>
      <c r="R4797" t="inlineStr">
        <is>
          <t>InStock</t>
        </is>
      </c>
      <c r="S4797" t="inlineStr">
        <is>
          <t>55.98</t>
        </is>
      </c>
      <c r="T4797" t="inlineStr">
        <is>
          <t>7620069818584</t>
        </is>
      </c>
    </row>
    <row r="4798" hidden="1" ht="15.75" customHeight="1">
      <c r="A4798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4798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4798" t="inlineStr">
        <is>
          <t>Klein Tools 614-4 1/8-Inch Cabinet Electronics Screwdriver, 4-Inch</t>
        </is>
      </c>
      <c r="D4798" t="inlineStr">
        <is>
          <t>Klein Tools 6984INS Insulated Screwdriver, 1000V Slim Profile Tip, #1 Square with 4-Inch Shank, Cushion-Grip Handle</t>
        </is>
      </c>
      <c r="E4798" s="2">
        <f>HYPERLINK("https://www.amazon.com/Klein-Tools-6984INS-Screwdriver-Cushion-Grip/dp/B09GPZ5P2M/ref=sr_1_25?keywords=Klein+Tools+614-4+1%2F8-Inch+Cabinet+Electronics+Screwdriver%2C+4-Inch&amp;qid=1694735408&amp;sr=8-25", "https://www.amazon.com/Klein-Tools-6984INS-Screwdriver-Cushion-Grip/dp/B09GPZ5P2M/ref=sr_1_25?keywords=Klein+Tools+614-4+1%2F8-Inch+Cabinet+Electronics+Screwdriver%2C+4-Inch&amp;qid=1694735408&amp;sr=8-25")</f>
        <v/>
      </c>
      <c r="F4798" t="inlineStr">
        <is>
          <t>B09GPZ5P2M</t>
        </is>
      </c>
      <c r="G4798">
        <f>_xludf.IMAGE("https://edmondsonsupply.com/cdn/shop/products/614-4.jpg?v=1587145143")</f>
        <v/>
      </c>
      <c r="H4798">
        <f>_xludf.IMAGE("https://m.media-amazon.com/images/I/41uj4ogsy3L._AC_UL320_.jpg")</f>
        <v/>
      </c>
      <c r="K4798" t="inlineStr">
        <is>
          <t>8.99</t>
        </is>
      </c>
      <c r="L4798" t="n">
        <v>13.99</v>
      </c>
      <c r="M4798" s="1" t="inlineStr">
        <is>
          <t>55.62%</t>
        </is>
      </c>
      <c r="N4798" s="1" t="n">
        <v>-24.62</v>
      </c>
      <c r="O4798" t="n">
        <v>4.8</v>
      </c>
      <c r="P4798" t="n">
        <v>107</v>
      </c>
      <c r="R4798" t="inlineStr">
        <is>
          <t>InStock</t>
        </is>
      </c>
      <c r="S4798" t="inlineStr">
        <is>
          <t>13.62</t>
        </is>
      </c>
      <c r="T4798" t="inlineStr">
        <is>
          <t>4397839843428</t>
        </is>
      </c>
    </row>
    <row r="4799" hidden="1" ht="15.75" customHeight="1">
      <c r="A4799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4799" s="2">
        <f>HYPERLINK("https://edmondsonsupply.com/products/klein-tools-661-screwdriver-1-square-recess-tip-4-inch-shank", "https://edmondsonsupply.com/products/klein-tools-661-screwdriver-1-square-recess-tip-4-inch-shank")</f>
        <v/>
      </c>
      <c r="C4799" t="inlineStr">
        <is>
          <t>Klein Tools 661 Screwdriver, #1 Square Recess Tip, 4-Inch Shank</t>
        </is>
      </c>
      <c r="D4799" t="inlineStr">
        <is>
          <t>Klein Tools 6984INS Insulated Screwdriver, 1000V Slim Profile Tip, #1 Square with 4-Inch Shank, Cushion-Grip Handle</t>
        </is>
      </c>
      <c r="E4799" s="2">
        <f>HYPERLINK("https://www.amazon.com/Klein-Tools-6984INS-Screwdriver-Cushion-Grip/dp/B09GPZ5P2M/ref=sr_1_6?keywords=Klein+Tools+661+Screwdriver%2C+%231+Square+Recess+Tip%2C+4-Inch+Shank&amp;qid=1694735398&amp;sr=8-6", "https://www.amazon.com/Klein-Tools-6984INS-Screwdriver-Cushion-Grip/dp/B09GPZ5P2M/ref=sr_1_6?keywords=Klein+Tools+661+Screwdriver%2C+%231+Square+Recess+Tip%2C+4-Inch+Shank&amp;qid=1694735398&amp;sr=8-6")</f>
        <v/>
      </c>
      <c r="F4799" t="inlineStr">
        <is>
          <t>B09GPZ5P2M</t>
        </is>
      </c>
      <c r="G4799">
        <f>_xludf.IMAGE("https://edmondsonsupply.com/cdn/shop/products/660_587071df-c969-40cb-961e-3eee072c7429.jpg?v=1587149250")</f>
        <v/>
      </c>
      <c r="H4799">
        <f>_xludf.IMAGE("https://m.media-amazon.com/images/I/41uj4ogsy3L._AC_UL320_.jpg")</f>
        <v/>
      </c>
      <c r="K4799" t="inlineStr">
        <is>
          <t>8.99</t>
        </is>
      </c>
      <c r="L4799" t="n">
        <v>13.99</v>
      </c>
      <c r="M4799" s="1" t="inlineStr">
        <is>
          <t>55.62%</t>
        </is>
      </c>
      <c r="N4799" s="1" t="n">
        <v>-24.68</v>
      </c>
      <c r="O4799" t="n">
        <v>4.8</v>
      </c>
      <c r="P4799" t="n">
        <v>107</v>
      </c>
      <c r="R4799" t="inlineStr">
        <is>
          <t>InStock</t>
        </is>
      </c>
      <c r="S4799" t="inlineStr">
        <is>
          <t>13.6</t>
        </is>
      </c>
      <c r="T4799" t="inlineStr">
        <is>
          <t>4398444118116</t>
        </is>
      </c>
    </row>
    <row r="4800" hidden="1" ht="15.75" customHeight="1">
      <c r="A4800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800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800" t="inlineStr">
        <is>
          <t>Klein Tools 605-4 1/4-Inch Cabinet Tip Screwdriver 4-Inch Shank</t>
        </is>
      </c>
      <c r="D4800" t="inlineStr">
        <is>
          <t>Klein Tools 6984INS Insulated Screwdriver, 1000V Slim Profile Tip, #1 Square with 4-Inch Shank, Cushion-Grip Handle</t>
        </is>
      </c>
      <c r="E4800" s="2">
        <f>HYPERLINK("https://www.amazon.com/Klein-Tools-6984INS-Screwdriver-Cushion-Grip/dp/B09GPZ5P2M/ref=sr_1_24?keywords=Klein+Tools+605-4+1%2F4-Inch+Cabinet+Tip+Screwdriver+4-Inch+Shank&amp;qid=1694735099&amp;sr=8-24", "https://www.amazon.com/Klein-Tools-6984INS-Screwdriver-Cushion-Grip/dp/B09GPZ5P2M/ref=sr_1_24?keywords=Klein+Tools+605-4+1%2F4-Inch+Cabinet+Tip+Screwdriver+4-Inch+Shank&amp;qid=1694735099&amp;sr=8-24")</f>
        <v/>
      </c>
      <c r="F4800" t="inlineStr">
        <is>
          <t>B09GPZ5P2M</t>
        </is>
      </c>
      <c r="G4800">
        <f>_xludf.IMAGE("https://edmondsonsupply.com/cdn/shop/products/605-6_ac5e56ca-920d-4d55-842f-c7dc8361f892.jpg?v=1665688377")</f>
        <v/>
      </c>
      <c r="H4800">
        <f>_xludf.IMAGE("https://m.media-amazon.com/images/I/41uj4ogsy3L._AC_UL320_.jpg")</f>
        <v/>
      </c>
      <c r="K4800" t="inlineStr">
        <is>
          <t>8.99</t>
        </is>
      </c>
      <c r="L4800" t="n">
        <v>13.99</v>
      </c>
      <c r="M4800" s="1" t="inlineStr">
        <is>
          <t>55.62%</t>
        </is>
      </c>
      <c r="N4800" s="1" t="n">
        <v>-24.86</v>
      </c>
      <c r="O4800" t="n">
        <v>4.8</v>
      </c>
      <c r="P4800" t="n">
        <v>107</v>
      </c>
      <c r="R4800" t="inlineStr">
        <is>
          <t>InStock</t>
        </is>
      </c>
      <c r="S4800" t="inlineStr">
        <is>
          <t>13.6</t>
        </is>
      </c>
      <c r="T4800" t="inlineStr">
        <is>
          <t>7852059132120</t>
        </is>
      </c>
    </row>
    <row r="4801" hidden="1" ht="15.75" customHeight="1">
      <c r="A4801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4801" s="2">
        <f>HYPERLINK("https://edmondsonsupply.com/products/klein-tools-661-screwdriver-1-square-recess-tip-4-inch-shank", "https://edmondsonsupply.com/products/klein-tools-661-screwdriver-1-square-recess-tip-4-inch-shank")</f>
        <v/>
      </c>
      <c r="C4801" t="inlineStr">
        <is>
          <t>Klein Tools 661 Screwdriver, #1 Square Recess Tip, 4-Inch Shank</t>
        </is>
      </c>
      <c r="D4801" t="inlineStr">
        <is>
          <t>Klein Tools 6944INS Insulated Screwdriver, 1000V Slim Profile Tip, #2 Square with 4-Inch Shank, Cushion-Grip Handle</t>
        </is>
      </c>
      <c r="E4801" s="2">
        <f>HYPERLINK("https://www.amazon.com/Klein-Tools-6944INS-Screwdriver-Cushion-Grip/dp/B09GPYTZV3/ref=sr_1_9?keywords=Klein+Tools+661+Screwdriver%2C+%231+Square+Recess+Tip%2C+4-Inch+Shank&amp;qid=1694735398&amp;sr=8-9", "https://www.amazon.com/Klein-Tools-6944INS-Screwdriver-Cushion-Grip/dp/B09GPYTZV3/ref=sr_1_9?keywords=Klein+Tools+661+Screwdriver%2C+%231+Square+Recess+Tip%2C+4-Inch+Shank&amp;qid=1694735398&amp;sr=8-9")</f>
        <v/>
      </c>
      <c r="F4801" t="inlineStr">
        <is>
          <t>B09GPYTZV3</t>
        </is>
      </c>
      <c r="G4801">
        <f>_xludf.IMAGE("https://edmondsonsupply.com/cdn/shop/products/660_587071df-c969-40cb-961e-3eee072c7429.jpg?v=1587149250")</f>
        <v/>
      </c>
      <c r="H4801">
        <f>_xludf.IMAGE("https://m.media-amazon.com/images/I/41PzygwLx+L._AC_UL320_.jpg")</f>
        <v/>
      </c>
      <c r="K4801" t="inlineStr">
        <is>
          <t>8.99</t>
        </is>
      </c>
      <c r="L4801" t="n">
        <v>13.99</v>
      </c>
      <c r="M4801" s="1" t="inlineStr">
        <is>
          <t>55.62%</t>
        </is>
      </c>
      <c r="N4801" s="1" t="n">
        <v>-24.87</v>
      </c>
      <c r="O4801" t="n">
        <v>4.7</v>
      </c>
      <c r="P4801" t="n">
        <v>93</v>
      </c>
      <c r="R4801" t="inlineStr">
        <is>
          <t>InStock</t>
        </is>
      </c>
      <c r="S4801" t="inlineStr">
        <is>
          <t>13.6</t>
        </is>
      </c>
      <c r="T4801" t="inlineStr">
        <is>
          <t>4398444118116</t>
        </is>
      </c>
    </row>
    <row r="4802" hidden="1" ht="15.75" customHeight="1">
      <c r="A4802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802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802" t="inlineStr">
        <is>
          <t>Klein Tools 605-4 1/4-Inch Cabinet Tip Screwdriver 4-Inch Shank</t>
        </is>
      </c>
      <c r="D4802" t="inlineStr">
        <is>
          <t>Klein Tools 6944INS Insulated Screwdriver, 1000V Slim Profile Tip, #2 Square with 4-Inch Shank, Cushion-Grip Handle</t>
        </is>
      </c>
      <c r="E4802" s="2">
        <f>HYPERLINK("https://www.amazon.com/Klein-Tools-6944INS-Screwdriver-Cushion-Grip/dp/B09GPYTZV3/ref=sr_1_19?keywords=Klein+Tools+605-4+1%2F4-Inch+Cabinet+Tip+Screwdriver+4-Inch+Shank&amp;qid=1694735099&amp;sr=8-19", "https://www.amazon.com/Klein-Tools-6944INS-Screwdriver-Cushion-Grip/dp/B09GPYTZV3/ref=sr_1_19?keywords=Klein+Tools+605-4+1%2F4-Inch+Cabinet+Tip+Screwdriver+4-Inch+Shank&amp;qid=1694735099&amp;sr=8-19")</f>
        <v/>
      </c>
      <c r="F4802" t="inlineStr">
        <is>
          <t>B09GPYTZV3</t>
        </is>
      </c>
      <c r="G4802">
        <f>_xludf.IMAGE("https://edmondsonsupply.com/cdn/shop/products/605-6_ac5e56ca-920d-4d55-842f-c7dc8361f892.jpg?v=1665688377")</f>
        <v/>
      </c>
      <c r="H4802">
        <f>_xludf.IMAGE("https://m.media-amazon.com/images/I/41PzygwLx+L._AC_UL320_.jpg")</f>
        <v/>
      </c>
      <c r="K4802" t="inlineStr">
        <is>
          <t>8.99</t>
        </is>
      </c>
      <c r="L4802" t="n">
        <v>13.99</v>
      </c>
      <c r="M4802" s="1" t="inlineStr">
        <is>
          <t>55.62%</t>
        </is>
      </c>
      <c r="N4802" s="1" t="n">
        <v>-24.99</v>
      </c>
      <c r="O4802" t="n">
        <v>4.7</v>
      </c>
      <c r="P4802" t="n">
        <v>93</v>
      </c>
      <c r="R4802" t="inlineStr">
        <is>
          <t>InStock</t>
        </is>
      </c>
      <c r="S4802" t="inlineStr">
        <is>
          <t>13.6</t>
        </is>
      </c>
      <c r="T4802" t="inlineStr">
        <is>
          <t>7852059132120</t>
        </is>
      </c>
    </row>
    <row r="4803" ht="87" customHeight="1">
      <c r="A4803" s="2">
        <f>HYPERLINK("https://edmondsonsupply.com/collections/electricians-tools/products/klein-tools-32619-adjustable-length-screwdriver-handle", "https://edmondsonsupply.com/collections/electricians-tools/products/klein-tools-32619-adjustable-length-screwdriver-handle")</f>
        <v/>
      </c>
      <c r="B4803" s="2">
        <f>HYPERLINK("https://edmondsonsupply.com/products/klein-tools-32619-adjustable-length-screwdriver-handle", "https://edmondsonsupply.com/products/klein-tools-32619-adjustable-length-screwdriver-handle")</f>
        <v/>
      </c>
      <c r="C4803" t="inlineStr">
        <is>
          <t>Klein Tools 32619 Adjustable Length Screwdriver Handle</t>
        </is>
      </c>
      <c r="D4803" t="inlineStr">
        <is>
          <t>Klein Tools 80037 Screwdriver Tool Set, Multi-Bit Pocket Precision Screwdriver and Adjustable Length Stubby Screwdriver, 2-Piece</t>
        </is>
      </c>
      <c r="E4803" s="2">
        <f>HYPERLINK("https://www.amazon.com/Screwdriver-Adjustable-Klein-Tools-80037/dp/B09N59CF9M/ref=sr_1_13?keywords=Klein+Tools+32619+Adjustable+Length+Screwdriver+Handle&amp;qid=1694735412&amp;sr=8-13", "https://www.amazon.com/Screwdriver-Adjustable-Klein-Tools-80037/dp/B09N59CF9M/ref=sr_1_13?keywords=Klein+Tools+32619+Adjustable+Length+Screwdriver+Handle&amp;qid=1694735412&amp;sr=8-13")</f>
        <v/>
      </c>
      <c r="F4803" t="inlineStr">
        <is>
          <t>B09N59CF9M</t>
        </is>
      </c>
      <c r="G4803">
        <f>_xlfn.IMAGE("https://edmondsonsupply.com/cdn/shop/products/32619.jpg?v=1587147877")</f>
        <v/>
      </c>
      <c r="H4803">
        <f>_xlfn.IMAGE("https://m.media-amazon.com/images/I/51ZrwPGYokL._AC_UL320_.jpg")</f>
        <v/>
      </c>
      <c r="K4803" t="inlineStr">
        <is>
          <t>17.99</t>
        </is>
      </c>
      <c r="L4803" t="n">
        <v>27.99</v>
      </c>
      <c r="M4803" s="1" t="inlineStr">
        <is>
          <t>55.59%</t>
        </is>
      </c>
      <c r="N4803" s="7" t="n">
        <v>-24.99</v>
      </c>
      <c r="O4803" t="n">
        <v>4.8</v>
      </c>
      <c r="P4803" t="n">
        <v>13254</v>
      </c>
      <c r="R4803" t="inlineStr">
        <is>
          <t>InStock</t>
        </is>
      </c>
      <c r="S4803" t="inlineStr">
        <is>
          <t>27.34</t>
        </is>
      </c>
      <c r="T4803" t="inlineStr">
        <is>
          <t>4391227097188</t>
        </is>
      </c>
    </row>
    <row r="4804" ht="87" customHeight="1">
      <c r="A4804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4804" s="2">
        <f>HYPERLINK("https://edmondsonsupply.com/products/klein-tools-66074-flip-impact-socket-3-4-and-13-16-inch", "https://edmondsonsupply.com/products/klein-tools-66074-flip-impact-socket-3-4-and-13-16-inch")</f>
        <v/>
      </c>
      <c r="C4804" t="inlineStr">
        <is>
          <t>Klein Tools 66074 Flip Impact Socket, 3/4 and 13/16-Inch</t>
        </is>
      </c>
      <c r="D4804" t="inlineStr">
        <is>
          <t>Klein Tools 32767 Impact Driver, 3-in-1 Impact Flip Socket and Bit Holder, 1/4-Inch and 5/16-Inch Hex Drivers, 5-Inch Length (Pack of 2)</t>
        </is>
      </c>
      <c r="E4804" s="2">
        <f>HYPERLINK("https://www.amazon.com/Klein-Tools-32767-16-Inch-Drivers/dp/B0CDQKP7LM/ref=sr_1_15?keywords=Klein+Tools+66074+Flip+Impact+Socket%2C+3%2F4+and+13%2F16-Inch&amp;qid=1694735130&amp;sr=8-15", "https://www.amazon.com/Klein-Tools-32767-16-Inch-Drivers/dp/B0CDQKP7LM/ref=sr_1_15?keywords=Klein+Tools+66074+Flip+Impact+Socket%2C+3%2F4+and+13%2F16-Inch&amp;qid=1694735130&amp;sr=8-15")</f>
        <v/>
      </c>
      <c r="F4804" t="inlineStr">
        <is>
          <t>B0CDQKP7LM</t>
        </is>
      </c>
      <c r="G4804">
        <f>_xlfn.IMAGE("https://edmondsonsupply.com/cdn/shop/products/66074.jpg?v=1663249251")</f>
        <v/>
      </c>
      <c r="H4804">
        <f>_xlfn.IMAGE("https://m.media-amazon.com/images/I/41Z456wDYpL._AC_UL320_.jpg")</f>
        <v/>
      </c>
      <c r="K4804" t="inlineStr">
        <is>
          <t>12.71</t>
        </is>
      </c>
      <c r="L4804" t="n">
        <v>19.77</v>
      </c>
      <c r="M4804" s="1" t="inlineStr">
        <is>
          <t>55.55%</t>
        </is>
      </c>
      <c r="N4804" s="7" t="n">
        <v>-24.99</v>
      </c>
      <c r="O4804" t="n">
        <v>4.3</v>
      </c>
      <c r="P4804" t="n">
        <v>799</v>
      </c>
      <c r="R4804" t="inlineStr">
        <is>
          <t>InStock</t>
        </is>
      </c>
      <c r="S4804" t="inlineStr">
        <is>
          <t>17.8</t>
        </is>
      </c>
      <c r="T4804" t="inlineStr">
        <is>
          <t>7817341534424</t>
        </is>
      </c>
    </row>
    <row r="4805" ht="87" customHeight="1">
      <c r="A4805" s="2">
        <f>HYPERLINK("https://edmondsonsupply.com/collections/electricians-tools/products/klein-tools-11055glw-high-visibility-klein-kurve%C2%AE-wire-stripper-cutter", "https://edmondsonsupply.com/collections/electricians-tools/products/klein-tools-11055glw-high-visibility-klein-kurve%C2%AE-wire-stripper-cutter")</f>
        <v/>
      </c>
      <c r="B4805" s="2">
        <f>HYPERLINK("https://edmondsonsupply.com/products/klein-tools-11055glw-high-visibility-klein-kurve%c2%ae-wire-stripper-cutter", "https://edmondsonsupply.com/products/klein-tools-11055glw-high-visibility-klein-kurve%c2%ae-wire-stripper-cutter")</f>
        <v/>
      </c>
      <c r="C4805" t="inlineStr">
        <is>
          <t>Klein Tools 11055GLW High-Visibility Klein-Kurve® Wire Stripper / Cutter</t>
        </is>
      </c>
      <c r="D4805" t="inlineStr">
        <is>
          <t>Klein Tools J63225N Journeyman High-Leverage Wire Cable Cutter and Stripper for Cutting Aluminum, Soft Copper and Communications Cable,Red/Black</t>
        </is>
      </c>
      <c r="E4805" s="2">
        <f>HYPERLINK("https://www.amazon.com/High-Leverage-Communications-Klein-Tools-J63225N/dp/B08R8SNQCL/ref=sr_1_11?keywords=Klein+Tools+11055GLW+High-Visibility+Klein-Kurve%C2%AE+Wire+Stripper+%2F+Cutter&amp;qid=1694735109&amp;sr=8-11", "https://www.amazon.com/High-Leverage-Communications-Klein-Tools-J63225N/dp/B08R8SNQCL/ref=sr_1_11?keywords=Klein+Tools+11055GLW+High-Visibility+Klein-Kurve%C2%AE+Wire+Stripper+%2F+Cutter&amp;qid=1694735109&amp;sr=8-11")</f>
        <v/>
      </c>
      <c r="F4805" t="inlineStr">
        <is>
          <t>B08R8SNQCL</t>
        </is>
      </c>
      <c r="G4805">
        <f>_xlfn.IMAGE("https://edmondsonsupply.com/cdn/shop/products/11055glw.jpg?v=1664801193")</f>
        <v/>
      </c>
      <c r="H4805">
        <f>_xlfn.IMAGE("https://m.media-amazon.com/images/I/61+P5wW4RkL._AC_UL320_.jpg")</f>
        <v/>
      </c>
      <c r="K4805" t="inlineStr">
        <is>
          <t>26.99</t>
        </is>
      </c>
      <c r="L4805" t="n">
        <v>41.97</v>
      </c>
      <c r="M4805" s="1" t="inlineStr">
        <is>
          <t>55.50%</t>
        </is>
      </c>
      <c r="N4805" s="7" t="n">
        <v>-25</v>
      </c>
      <c r="O4805" t="n">
        <v>4.7</v>
      </c>
      <c r="P4805" t="n">
        <v>424</v>
      </c>
      <c r="R4805" t="inlineStr">
        <is>
          <t>InStock</t>
        </is>
      </c>
      <c r="S4805" t="inlineStr">
        <is>
          <t>39.3</t>
        </is>
      </c>
      <c r="T4805" t="inlineStr">
        <is>
          <t>7837508337880</t>
        </is>
      </c>
    </row>
    <row r="4806" hidden="1" ht="15.75" customHeight="1">
      <c r="A4806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4806" s="2">
        <f>HYPERLINK("https://edmondsonsupply.com/products/diablo-tools-dsp2130-p2-1-in-x-6-in-spade-bit", "https://edmondsonsupply.com/products/diablo-tools-dsp2130-p2-1-in-x-6-in-spade-bit")</f>
        <v/>
      </c>
      <c r="C4806" t="inlineStr">
        <is>
          <t>Diablo Tools DSP2130-P2 1 in. x 6 in. Spade Bit</t>
        </is>
      </c>
      <c r="D4806" t="inlineStr">
        <is>
          <t>Diablo by Freud DSP3010 3/8 in. x 16 in. SPEEDemon Spade Bit</t>
        </is>
      </c>
      <c r="E4806" s="2">
        <f>HYPERLINK("https://www.amazon.com/Diablo-16-SPEEDemon-Spade-Bit/dp/B089LKXD6Z/ref=sr_1_43?keywords=Diablo+Tools+DSP2130-P2+1+in.+x+6+in.+Spade+Bit&amp;qid=1694735066&amp;sr=8-43", "https://www.amazon.com/Diablo-16-SPEEDemon-Spade-Bit/dp/B089LKXD6Z/ref=sr_1_43?keywords=Diablo+Tools+DSP2130-P2+1+in.+x+6+in.+Spade+Bit&amp;qid=1694735066&amp;sr=8-43")</f>
        <v/>
      </c>
      <c r="F4806" t="inlineStr">
        <is>
          <t>B089LKXD6Z</t>
        </is>
      </c>
      <c r="G4806">
        <f>_xludf.IMAGE("https://edmondsonsupply.com/cdn/shop/products/peyjwqlntvnioikkr5be.webp?v=1670515689")</f>
        <v/>
      </c>
      <c r="H4806">
        <f>_xludf.IMAGE("https://m.media-amazon.com/images/I/616SIXUQ4mL._AC_UL320_.jpg")</f>
        <v/>
      </c>
      <c r="K4806" t="inlineStr">
        <is>
          <t>6.39</t>
        </is>
      </c>
      <c r="L4806" t="n">
        <v>9.93</v>
      </c>
      <c r="M4806" s="1" t="inlineStr">
        <is>
          <t>55.40%</t>
        </is>
      </c>
      <c r="N4806" s="1" t="n">
        <v>-25</v>
      </c>
      <c r="O4806" t="n">
        <v>4.3</v>
      </c>
      <c r="P4806" t="n">
        <v>10</v>
      </c>
      <c r="R4806" t="inlineStr">
        <is>
          <t>InStock</t>
        </is>
      </c>
      <c r="S4806" t="inlineStr">
        <is>
          <t>undefined</t>
        </is>
      </c>
      <c r="T4806" t="inlineStr">
        <is>
          <t>7901272047832</t>
        </is>
      </c>
    </row>
    <row r="4807" hidden="1" ht="15.75" customHeight="1">
      <c r="A4807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4807" s="2">
        <f>HYPERLINK("https://edmondsonsupply.com/products/klein-tools-605-4-1-4-inch-cabinet-tip-screwdriver-4-inch-shank", "https://edmondsonsupply.com/products/klein-tools-605-4-1-4-inch-cabinet-tip-screwdriver-4-inch-shank")</f>
        <v/>
      </c>
      <c r="C4807" t="inlineStr">
        <is>
          <t>Klein Tools 605-4 1/4-Inch Cabinet Tip Screwdriver 4-Inch Shank</t>
        </is>
      </c>
      <c r="D4807" t="inlineStr">
        <is>
          <t>Klein Tools 6924INS 1000V Slim Tip Insulated Screwdriver, 4-Inch Round Shank, 1/4-Inch Cabinet Tip, Cushion Grip Handle</t>
        </is>
      </c>
      <c r="E4807" s="2">
        <f>HYPERLINK("https://www.amazon.com/Klein-Tools-6924INS-Insulated-Screwdriver/dp/B088NRM4CC/ref=sr_1_2?keywords=Klein+Tools+605-4+1%2F4-Inch+Cabinet+Tip+Screwdriver+4-Inch+Shank&amp;qid=1694735099&amp;sr=8-2", "https://www.amazon.com/Klein-Tools-6924INS-Insulated-Screwdriver/dp/B088NRM4CC/ref=sr_1_2?keywords=Klein+Tools+605-4+1%2F4-Inch+Cabinet+Tip+Screwdriver+4-Inch+Shank&amp;qid=1694735099&amp;sr=8-2")</f>
        <v/>
      </c>
      <c r="F4807" t="inlineStr">
        <is>
          <t>B088NRM4CC</t>
        </is>
      </c>
      <c r="G4807">
        <f>_xludf.IMAGE("https://edmondsonsupply.com/cdn/shop/products/605-6_ac5e56ca-920d-4d55-842f-c7dc8361f892.jpg?v=1665688377")</f>
        <v/>
      </c>
      <c r="H4807">
        <f>_xludf.IMAGE("https://m.media-amazon.com/images/I/419wtU12P3L._AC_UL320_.jpg")</f>
        <v/>
      </c>
      <c r="K4807" t="inlineStr">
        <is>
          <t>8.99</t>
        </is>
      </c>
      <c r="L4807" t="n">
        <v>13.97</v>
      </c>
      <c r="M4807" s="1" t="inlineStr">
        <is>
          <t>55.39%</t>
        </is>
      </c>
      <c r="N4807" s="1" t="n">
        <v>-25</v>
      </c>
      <c r="O4807" t="n">
        <v>4.8</v>
      </c>
      <c r="P4807" t="n">
        <v>1358</v>
      </c>
      <c r="R4807" t="inlineStr">
        <is>
          <t>InStock</t>
        </is>
      </c>
      <c r="S4807" t="inlineStr">
        <is>
          <t>13.6</t>
        </is>
      </c>
      <c r="T4807" t="inlineStr">
        <is>
          <t>7852059132120</t>
        </is>
      </c>
    </row>
    <row r="4808" ht="87" customHeight="1">
      <c r="A4808" s="2">
        <f>HYPERLINK("https://edmondsonsupply.com/collections/electricians-tools/products/greenlee-612-1-1-2-foam-conduit-piston", "https://edmondsonsupply.com/collections/electricians-tools/products/greenlee-612-1-1-2-foam-conduit-piston")</f>
        <v/>
      </c>
      <c r="B4808" s="2">
        <f>HYPERLINK("https://edmondsonsupply.com/products/greenlee-612-1-1-2-foam-conduit-piston", "https://edmondsonsupply.com/products/greenlee-612-1-1-2-foam-conduit-piston")</f>
        <v/>
      </c>
      <c r="C4808" t="inlineStr">
        <is>
          <t>Greenlee 612 1-1/2" Foam Conduit Piston</t>
        </is>
      </c>
      <c r="D4808" t="inlineStr">
        <is>
          <t>Greenlee - Piston, Boxed-1-1/2", Fishing (612)</t>
        </is>
      </c>
      <c r="E4808" s="2">
        <f>HYPERLINK("https://www.amazon.com/Greenlee-612-Piston-1-1-Conduit/dp/B002716FLS/ref=sr_1_3?keywords=Greenlee+612+1-1%2F2%22+Foam+Conduit+Piston&amp;qid=1694734991&amp;sr=8-3", "https://www.amazon.com/Greenlee-612-Piston-1-1-Conduit/dp/B002716FLS/ref=sr_1_3?keywords=Greenlee+612+1-1%2F2%22+Foam+Conduit+Piston&amp;qid=1694734991&amp;sr=8-3")</f>
        <v/>
      </c>
      <c r="F4808" t="inlineStr">
        <is>
          <t>B002716FLS</t>
        </is>
      </c>
      <c r="G4808">
        <f>_xlfn.IMAGE("https://edmondsonsupply.com/cdn/shop/files/612.png?v=1687451101")</f>
        <v/>
      </c>
      <c r="H4808">
        <f>_xlfn.IMAGE("https://m.media-amazon.com/images/I/912TcLImvEL._AC_UL320_.jpg")</f>
        <v/>
      </c>
      <c r="K4808" t="inlineStr">
        <is>
          <t>11.33</t>
        </is>
      </c>
      <c r="L4808" t="n">
        <v>17.59</v>
      </c>
      <c r="M4808" s="1" t="inlineStr">
        <is>
          <t>55.25%</t>
        </is>
      </c>
      <c r="N4808" s="7" t="n">
        <v>-25</v>
      </c>
      <c r="O4808" t="n">
        <v>5</v>
      </c>
      <c r="P4808" t="n">
        <v>4</v>
      </c>
      <c r="R4808" t="inlineStr">
        <is>
          <t>InStock</t>
        </is>
      </c>
      <c r="S4808" t="inlineStr">
        <is>
          <t>undefined</t>
        </is>
      </c>
      <c r="T4808" t="inlineStr">
        <is>
          <t>8007993032920</t>
        </is>
      </c>
    </row>
    <row r="4809" hidden="1" ht="15.75" customHeight="1">
      <c r="A4809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4809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4809" t="inlineStr">
        <is>
          <t>Klein Tools JTH4E09 9/64-Inch Hex Key Journeyman T-Handle 4-Inch</t>
        </is>
      </c>
      <c r="D4809" t="inlineStr">
        <is>
          <t>Klein Tools JTH9M3 3 mm Hex Key, Journeyman T-Handle, 9-Inch</t>
        </is>
      </c>
      <c r="E4809" s="2">
        <f>HYPERLINK("https://www.amazon.com/Journeyman-T-Handle-Klein-Tools-JTH9M3/dp/B005G3HJ28/ref=sr_1_13?keywords=Klein+Tools+JTH4E09+9%2F64-Inch+Hex+Key+Journeyman+T-Handle+4-Inch&amp;qid=1694735175&amp;sr=8-13", "https://www.amazon.com/Journeyman-T-Handle-Klein-Tools-JTH9M3/dp/B005G3HJ28/ref=sr_1_13?keywords=Klein+Tools+JTH4E09+9%2F64-Inch+Hex+Key+Journeyman+T-Handle+4-Inch&amp;qid=1694735175&amp;sr=8-13")</f>
        <v/>
      </c>
      <c r="F4809" t="inlineStr">
        <is>
          <t>B005G3HJ28</t>
        </is>
      </c>
      <c r="G4809">
        <f>_xludf.IMAGE("https://edmondsonsupply.com/cdn/shop/products/jth4e06_be5118a6-2e9d-44f5-81ad-c027572dd2d3.jpg?v=1635981570")</f>
        <v/>
      </c>
      <c r="H4809">
        <f>_xludf.IMAGE("https://m.media-amazon.com/images/I/51MZtGjDOtL._AC_UL320_.jpg")</f>
        <v/>
      </c>
      <c r="K4809" t="inlineStr">
        <is>
          <t>3.79</t>
        </is>
      </c>
      <c r="L4809" t="n">
        <v>5.88</v>
      </c>
      <c r="M4809" s="1" t="inlineStr">
        <is>
          <t>55.15%</t>
        </is>
      </c>
      <c r="N4809" s="1" t="n">
        <v>-25.02</v>
      </c>
      <c r="O4809" t="n">
        <v>4.6</v>
      </c>
      <c r="P4809" t="n">
        <v>179</v>
      </c>
      <c r="R4809" t="inlineStr">
        <is>
          <t>InStock</t>
        </is>
      </c>
      <c r="S4809" t="inlineStr">
        <is>
          <t>5.76</t>
        </is>
      </c>
      <c r="T4809" t="inlineStr">
        <is>
          <t>7434795876568</t>
        </is>
      </c>
    </row>
    <row r="4810" hidden="1" ht="15.75" customHeight="1">
      <c r="A4810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810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810" t="inlineStr">
        <is>
          <t>Klein Tools JTH9E13 1/4-Inch Hex Key with Journeyman T-Handle, 9-Inch</t>
        </is>
      </c>
      <c r="D4810" t="inlineStr">
        <is>
          <t>Klein Tools JTH6T10 T10 TORX Hex Key, Journeyman T-Handle, 6-Inch</t>
        </is>
      </c>
      <c r="E4810" s="2">
        <f>HYPERLINK("https://www.amazon.com/Journeyman-T-Handle-Klein-Tools-JTH6T10/dp/B005G3B3TI/ref=sr_1_18?keywords=Klein+Tools+JTH9E13+1%2F4-Inch+Hex+Key+with+Journeyman+T-Handle%2C+9-Inch&amp;qid=1694735245&amp;sr=8-18", "https://www.amazon.com/Journeyman-T-Handle-Klein-Tools-JTH6T10/dp/B005G3B3TI/ref=sr_1_18?keywords=Klein+Tools+JTH9E13+1%2F4-Inch+Hex+Key+with+Journeyman+T-Handle%2C+9-Inch&amp;qid=1694735245&amp;sr=8-18")</f>
        <v/>
      </c>
      <c r="F4810" t="inlineStr">
        <is>
          <t>B005G3B3TI</t>
        </is>
      </c>
      <c r="G4810">
        <f>_xludf.IMAGE("https://edmondsonsupply.com/cdn/shop/products/jth9e12_7dcdbf9a-5acd-4824-8919-6aeb4a790072.jpg?v=1604060723")</f>
        <v/>
      </c>
      <c r="H4810">
        <f>_xludf.IMAGE("https://m.media-amazon.com/images/I/51Xj0Vsb-EL._AC_UL320_.jpg")</f>
        <v/>
      </c>
      <c r="K4810" t="inlineStr">
        <is>
          <t>6.49</t>
        </is>
      </c>
      <c r="L4810" t="n">
        <v>10.06</v>
      </c>
      <c r="M4810" s="1" t="inlineStr">
        <is>
          <t>55.01%</t>
        </is>
      </c>
      <c r="N4810" s="1" t="n">
        <v>-25.02</v>
      </c>
      <c r="O4810" t="n">
        <v>4.8</v>
      </c>
      <c r="P4810" t="n">
        <v>1540</v>
      </c>
      <c r="R4810" t="inlineStr">
        <is>
          <t>InStock</t>
        </is>
      </c>
      <c r="S4810" t="inlineStr">
        <is>
          <t>9.84</t>
        </is>
      </c>
      <c r="T4810" t="inlineStr">
        <is>
          <t>5999069462696</t>
        </is>
      </c>
    </row>
    <row r="4811" ht="87" customHeight="1">
      <c r="A4811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4811" s="2">
        <f>HYPERLINK("https://edmondsonsupply.com/products/klein-tools-rt310-afci-gfci-outlet-tester", "https://edmondsonsupply.com/products/klein-tools-rt310-afci-gfci-outlet-tester")</f>
        <v/>
      </c>
      <c r="C4811" t="inlineStr">
        <is>
          <t>Klein Tools RT310 AFCI / GFCI Outlet Tester</t>
        </is>
      </c>
      <c r="D4811" t="inlineStr">
        <is>
          <t>Klein Tools RT310 Receptacle Tester, AFCI and GFCI Outlet and Device Tester &amp; Klein Tools RT250 GFCI Receptacle Tester with LCD Display, for Standard 3-Wire 120V Electrical Outlets</t>
        </is>
      </c>
      <c r="E4811" s="2">
        <f>HYPERLINK("https://www.amazon.com/Klein-Tools-Receptacle-Standard-Electrical/dp/B0BD3YZ7JV/ref=sr_1_4?keywords=Klein+Tools+RT310+AFCI+%2F+GFCI+Outlet+Tester&amp;qid=1694734989&amp;sr=8-4", "https://www.amazon.com/Klein-Tools-Receptacle-Standard-Electrical/dp/B0BD3YZ7JV/ref=sr_1_4?keywords=Klein+Tools+RT310+AFCI+%2F+GFCI+Outlet+Tester&amp;qid=1694734989&amp;sr=8-4")</f>
        <v/>
      </c>
      <c r="F4811" t="inlineStr">
        <is>
          <t>B0BD3YZ7JV</t>
        </is>
      </c>
      <c r="G4811">
        <f>_xlfn.IMAGE("https://edmondsonsupply.com/cdn/shop/products/rt310.jpg?v=1587148552")</f>
        <v/>
      </c>
      <c r="H4811">
        <f>_xlfn.IMAGE("https://m.media-amazon.com/images/I/51iiNw5cTJL._AC_UL320_.jpg")</f>
        <v/>
      </c>
      <c r="K4811" t="inlineStr">
        <is>
          <t>39.97</t>
        </is>
      </c>
      <c r="L4811" t="n">
        <v>61.94</v>
      </c>
      <c r="M4811" s="1" t="inlineStr">
        <is>
          <t>54.97%</t>
        </is>
      </c>
      <c r="N4811" s="7" t="n">
        <v>-25.23</v>
      </c>
      <c r="O4811" t="n">
        <v>4.7</v>
      </c>
      <c r="P4811" t="n">
        <v>6</v>
      </c>
      <c r="R4811" t="inlineStr">
        <is>
          <t>InStock</t>
        </is>
      </c>
      <c r="S4811" t="inlineStr">
        <is>
          <t>57.9</t>
        </is>
      </c>
      <c r="T4811" t="inlineStr">
        <is>
          <t>3372527779940</t>
        </is>
      </c>
    </row>
    <row r="4812" hidden="1" ht="15.75" customHeight="1">
      <c r="A4812" s="2">
        <f>HYPERLINK("https://edmondsonsupply.com/collections/electricians-tools/products/klein-tools-51610-1-iron-conduit-bender-head", "https://edmondsonsupply.com/collections/electricians-tools/products/klein-tools-51610-1-iron-conduit-bender-head")</f>
        <v/>
      </c>
      <c r="B4812" s="2">
        <f>HYPERLINK("https://edmondsonsupply.com/products/klein-tools-51610-1-iron-conduit-bender-head", "https://edmondsonsupply.com/products/klein-tools-51610-1-iron-conduit-bender-head")</f>
        <v/>
      </c>
      <c r="C4812" t="inlineStr">
        <is>
          <t>Klein Tools 51610 1" Iron Conduit Bender Head</t>
        </is>
      </c>
      <c r="D4812" t="inlineStr">
        <is>
          <t>Klein Tools 1" Iron Conduit Bender Head</t>
        </is>
      </c>
      <c r="E4812" s="2">
        <f>HYPERLINK("https://www.amazon.com/Klein-Tools-56210-Conduit-Bender/dp/B007OX1M6W/ref=sr_1_2?keywords=Klein+Tools+51610+1%22+Iron+Conduit+Bender+Head&amp;qid=1694735131&amp;sr=8-2", "https://www.amazon.com/Klein-Tools-56210-Conduit-Bender/dp/B007OX1M6W/ref=sr_1_2?keywords=Klein+Tools+51610+1%22+Iron+Conduit+Bender+Head&amp;qid=1694735131&amp;sr=8-2")</f>
        <v/>
      </c>
      <c r="F4812" t="inlineStr">
        <is>
          <t>B007OX1M6W</t>
        </is>
      </c>
      <c r="G4812">
        <f>_xludf.IMAGE("https://edmondsonsupply.com/cdn/shop/products/51610.jpg?v=1661975879")</f>
        <v/>
      </c>
      <c r="H4812">
        <f>_xludf.IMAGE("https://m.media-amazon.com/images/I/51s7bHmdWyL._AC_UL320_.jpg")</f>
        <v/>
      </c>
      <c r="K4812" t="inlineStr">
        <is>
          <t>74.99</t>
        </is>
      </c>
      <c r="L4812" t="n">
        <v>116.13</v>
      </c>
      <c r="M4812" s="1" t="inlineStr">
        <is>
          <t>54.86%</t>
        </is>
      </c>
      <c r="N4812" s="1" t="n">
        <v>-25.24</v>
      </c>
      <c r="O4812" t="n">
        <v>4</v>
      </c>
      <c r="P4812" t="n">
        <v>1</v>
      </c>
      <c r="R4812" t="inlineStr">
        <is>
          <t>InStock</t>
        </is>
      </c>
      <c r="S4812" t="inlineStr">
        <is>
          <t>113.68</t>
        </is>
      </c>
      <c r="T4812" t="inlineStr">
        <is>
          <t>7798372630744</t>
        </is>
      </c>
    </row>
    <row r="4813" hidden="1" ht="15.75" customHeight="1">
      <c r="A4813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813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813" t="inlineStr">
        <is>
          <t>Klein Tools JTH9E13 1/4-Inch Hex Key with Journeyman T-Handle, 9-Inch</t>
        </is>
      </c>
      <c r="D4813" t="inlineStr">
        <is>
          <t>Klein Tools JTH9M5 5 mm Hex Key with Journeyman T-Handle, 9-Inch</t>
        </is>
      </c>
      <c r="E4813" s="2">
        <f>HYPERLINK("https://www.amazon.com/Journeyman-T-Handle-Klein-Tools-JTH9M5/dp/B005G3HJDW/ref=sr_1_12?keywords=Klein+Tools+JTH9E13+1%2F4-Inch+Hex+Key+with+Journeyman+T-Handle%2C+9-Inch&amp;qid=1694735245&amp;sr=8-12", "https://www.amazon.com/Journeyman-T-Handle-Klein-Tools-JTH9M5/dp/B005G3HJDW/ref=sr_1_12?keywords=Klein+Tools+JTH9E13+1%2F4-Inch+Hex+Key+with+Journeyman+T-Handle%2C+9-Inch&amp;qid=1694735245&amp;sr=8-12")</f>
        <v/>
      </c>
      <c r="F4813" t="inlineStr">
        <is>
          <t>B005G3HJDW</t>
        </is>
      </c>
      <c r="G4813">
        <f>_xludf.IMAGE("https://edmondsonsupply.com/cdn/shop/products/jth9e12_7dcdbf9a-5acd-4824-8919-6aeb4a790072.jpg?v=1604060723")</f>
        <v/>
      </c>
      <c r="H4813">
        <f>_xludf.IMAGE("https://m.media-amazon.com/images/I/51O91N8K8wL._AC_UL320_.jpg")</f>
        <v/>
      </c>
      <c r="K4813" t="inlineStr">
        <is>
          <t>6.49</t>
        </is>
      </c>
      <c r="L4813" t="n">
        <v>10.04</v>
      </c>
      <c r="M4813" s="1" t="inlineStr">
        <is>
          <t>54.70%</t>
        </is>
      </c>
      <c r="N4813" s="1" t="n">
        <v>-25.25</v>
      </c>
      <c r="O4813" t="n">
        <v>4.7</v>
      </c>
      <c r="P4813" t="n">
        <v>160</v>
      </c>
      <c r="R4813" t="inlineStr">
        <is>
          <t>InStock</t>
        </is>
      </c>
      <c r="S4813" t="inlineStr">
        <is>
          <t>9.84</t>
        </is>
      </c>
      <c r="T4813" t="inlineStr">
        <is>
          <t>5999069462696</t>
        </is>
      </c>
    </row>
    <row r="4814" hidden="1" ht="15.75" customHeight="1">
      <c r="A4814" s="2">
        <f>HYPERLINK("https://edmondsonsupply.com/collections/electricians-tools/products/klein-tools-70573-grip-it%C2%AE-12-key-hex-set-inch-metric", "https://edmondsonsupply.com/collections/electricians-tools/products/klein-tools-70573-grip-it%C2%AE-12-key-hex-set-inch-metric")</f>
        <v/>
      </c>
      <c r="B4814" s="2">
        <f>HYPERLINK("https://edmondsonsupply.com/products/klein-tools-70573-grip-it%c2%ae-12-key-hex-set-inch-metric", "https://edmondsonsupply.com/products/klein-tools-70573-grip-it%c2%ae-12-key-hex-set-inch-metric")</f>
        <v/>
      </c>
      <c r="C4814" t="inlineStr">
        <is>
          <t>Klein Tools 70573 Grip-It® Hex Key Set, 12-Key, SAE/Metric Sizes</t>
        </is>
      </c>
      <c r="D4814" t="inlineStr">
        <is>
          <t>Klein Tools 70573 Grip-It Hex Key Set, 12-Key, SAE/Metric Sizes</t>
        </is>
      </c>
      <c r="E4814" s="2">
        <f>HYPERLINK("https://www.amazon.com/Grip-12-Key-Hex-Set/dp/B0002RI8PA/ref=sr_1_1?keywords=Klein+Tools+70573+Grip-It%C2%AE+Hex+Key+Set%2C+12-Key%2C+SAE%2FMetric+Sizes&amp;qid=1694735351&amp;sr=8-1", "https://www.amazon.com/Grip-12-Key-Hex-Set/dp/B0002RI8PA/ref=sr_1_1?keywords=Klein+Tools+70573+Grip-It%C2%AE+Hex+Key+Set%2C+12-Key%2C+SAE%2FMetric+Sizes&amp;qid=1694735351&amp;sr=8-1")</f>
        <v/>
      </c>
      <c r="F4814" t="inlineStr">
        <is>
          <t>B0002RI8PA</t>
        </is>
      </c>
      <c r="G4814">
        <f>_xludf.IMAGE("https://edmondsonsupply.com/cdn/shop/products/70573.jpg?v=1587146678")</f>
        <v/>
      </c>
      <c r="H4814">
        <f>_xludf.IMAGE("https://m.media-amazon.com/images/I/610klv7dq+L._AC_UL320_.jpg")</f>
        <v/>
      </c>
      <c r="K4814" t="inlineStr">
        <is>
          <t>9.49</t>
        </is>
      </c>
      <c r="L4814" t="n">
        <v>14.67</v>
      </c>
      <c r="M4814" s="1" t="inlineStr">
        <is>
          <t>54.58%</t>
        </is>
      </c>
      <c r="N4814" s="1" t="n">
        <v>-25.27</v>
      </c>
      <c r="O4814" t="n">
        <v>4.7</v>
      </c>
      <c r="P4814" t="n">
        <v>559</v>
      </c>
      <c r="R4814" t="inlineStr">
        <is>
          <t>InStock</t>
        </is>
      </c>
      <c r="S4814" t="inlineStr">
        <is>
          <t>14.38</t>
        </is>
      </c>
      <c r="T4814" t="inlineStr">
        <is>
          <t>4447806586980</t>
        </is>
      </c>
    </row>
    <row r="4815" ht="87" customHeight="1">
      <c r="A4815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4815" s="2">
        <f>HYPERLINK("https://edmondsonsupply.com/products/klein-tools-32305-15-in-1-multi-bit-ratcheting-screwdriver", "https://edmondsonsupply.com/products/klein-tools-32305-15-in-1-multi-bit-ratcheting-screwdriver")</f>
        <v/>
      </c>
      <c r="C4815" t="inlineStr">
        <is>
          <t>Klein Tools 32305 15-in-1 Multi-Bit Ratcheting Screwdriver</t>
        </is>
      </c>
      <c r="D4815" t="inlineStr">
        <is>
          <t>Klein Tools 32305 Multi-bit Ratcheting Screwdriver, 15-in-1 Tool &amp; 32581 4-in-1 Electronics Screwdriver Set with Precision Machines Bits: 2 Slotted, 2 Phillips, and Cushion Grip Handles, 4-Piece</t>
        </is>
      </c>
      <c r="E4815" s="2">
        <f>HYPERLINK("https://www.amazon.com/Klein-Tools-Ratcheting-Screwdriver-Electronics/dp/B0B56MPD53/ref=sr_1_7?keywords=Klein+Tools+32305+15-in-1+Multi-Bit+Ratcheting+Screwdriver&amp;qid=1694735163&amp;sr=8-7", "https://www.amazon.com/Klein-Tools-Ratcheting-Screwdriver-Electronics/dp/B0B56MPD53/ref=sr_1_7?keywords=Klein+Tools+32305+15-in-1+Multi-Bit+Ratcheting+Screwdriver&amp;qid=1694735163&amp;sr=8-7")</f>
        <v/>
      </c>
      <c r="F4815" t="inlineStr">
        <is>
          <t>B0B56MPD53</t>
        </is>
      </c>
      <c r="G4815">
        <f>_xlfn.IMAGE("https://edmondsonsupply.com/cdn/shop/products/32305.jpg?v=1646965475")</f>
        <v/>
      </c>
      <c r="H4815">
        <f>_xlfn.IMAGE("https://m.media-amazon.com/images/I/41Aq5a0CLdL._AC_UL320_.jpg")</f>
        <v/>
      </c>
      <c r="K4815" t="inlineStr">
        <is>
          <t>21.97</t>
        </is>
      </c>
      <c r="L4815" t="n">
        <v>33.94</v>
      </c>
      <c r="M4815" s="1" t="inlineStr">
        <is>
          <t>54.48%</t>
        </is>
      </c>
      <c r="N4815" s="7" t="n">
        <v>-25.28</v>
      </c>
      <c r="O4815" t="n">
        <v>4.9</v>
      </c>
      <c r="P4815" t="n">
        <v>60</v>
      </c>
      <c r="R4815" t="inlineStr">
        <is>
          <t>InStock</t>
        </is>
      </c>
      <c r="S4815" t="inlineStr">
        <is>
          <t>30.78</t>
        </is>
      </c>
      <c r="T4815" t="inlineStr">
        <is>
          <t>7632426598616</t>
        </is>
      </c>
    </row>
    <row r="4816" ht="87" customHeight="1">
      <c r="A4816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4816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4816" t="inlineStr">
        <is>
          <t>Klein Tools 6816INS Insulated Screwdriver, 3/16-Inch Cabinet Tip, 6-Inch Round Shank</t>
        </is>
      </c>
      <c r="D4816" t="inlineStr">
        <is>
          <t>Klein Tools 601-4-INS Insulated Screwdriver, 3/16-Inch Cabinet Tip with 4-Inch Shank</t>
        </is>
      </c>
      <c r="E4816" s="2">
        <f>HYPERLINK("https://www.amazon.com/Insulated-Screwdriver-Klein-Tools-601-4-INS/dp/B000LEBVIK/ref=sr_1_6?keywords=Klein+Tools+6816INS+Insulated+Screwdriver%2C+3%2F16-Inch+Cabinet+Tip%2C+6-Inch+Round+Shank&amp;qid=1694735104&amp;sr=8-6", "https://www.amazon.com/Insulated-Screwdriver-Klein-Tools-601-4-INS/dp/B000LEBVIK/ref=sr_1_6?keywords=Klein+Tools+6816INS+Insulated+Screwdriver%2C+3%2F16-Inch+Cabinet+Tip%2C+6-Inch+Round+Shank&amp;qid=1694735104&amp;sr=8-6")</f>
        <v/>
      </c>
      <c r="F4816" t="inlineStr">
        <is>
          <t>B000LEBVIK</t>
        </is>
      </c>
      <c r="G4816">
        <f>_xlfn.IMAGE("https://edmondsonsupply.com/cdn/shop/products/6816ins.jpg?v=1664812840")</f>
        <v/>
      </c>
      <c r="H4816">
        <f>_xlfn.IMAGE("https://m.media-amazon.com/images/I/41SIcZZiIAL._AC_UL320_.jpg")</f>
        <v/>
      </c>
      <c r="K4816" t="inlineStr">
        <is>
          <t>11.97</t>
        </is>
      </c>
      <c r="L4816" t="n">
        <v>18.49</v>
      </c>
      <c r="M4816" s="1" t="inlineStr">
        <is>
          <t>54.47%</t>
        </is>
      </c>
      <c r="N4816" s="7" t="n">
        <v>-25.33</v>
      </c>
      <c r="O4816" t="n">
        <v>4.8</v>
      </c>
      <c r="P4816" t="n">
        <v>1068</v>
      </c>
      <c r="R4816" t="inlineStr">
        <is>
          <t>InStock</t>
        </is>
      </c>
      <c r="S4816" t="inlineStr">
        <is>
          <t>17.98</t>
        </is>
      </c>
      <c r="T4816" t="inlineStr">
        <is>
          <t>7837697966296</t>
        </is>
      </c>
    </row>
    <row r="4817" hidden="1" ht="15.75" customHeight="1">
      <c r="A4817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4817" s="2">
        <f>HYPERLINK("https://edmondsonsupply.com/products/klein-tools-66076-flip-impact-socket-9-16-and-1-2-inch", "https://edmondsonsupply.com/products/klein-tools-66076-flip-impact-socket-9-16-and-1-2-inch")</f>
        <v/>
      </c>
      <c r="C4817" t="inlineStr">
        <is>
          <t>Klein Tools 66076 Flip Impact Socket, 9/16 and 1/2-Inch</t>
        </is>
      </c>
      <c r="D4817" t="inlineStr">
        <is>
          <t>Klein Tools 66075 Impact Driver Flip Socket, 11/16- and 5/8-Inch Sizes, Use with Klein Tools Compact Impact Wrenches BAT20CW, BAT20CW1</t>
        </is>
      </c>
      <c r="E4817" s="2">
        <f>HYPERLINK("https://www.amazon.com/Klein-Tools-66075-Wrenches-BAT20CW1/dp/B0B33YLHPQ/ref=sr_1_9?keywords=Klein+Tools+66076+Flip+Impact+Socket%2C+9%2F16+and+1%2F2-Inch&amp;qid=1694735129&amp;sr=8-9", "https://www.amazon.com/Klein-Tools-66075-Wrenches-BAT20CW1/dp/B0B33YLHPQ/ref=sr_1_9?keywords=Klein+Tools+66076+Flip+Impact+Socket%2C+9%2F16+and+1%2F2-Inch&amp;qid=1694735129&amp;sr=8-9")</f>
        <v/>
      </c>
      <c r="F4817" t="inlineStr">
        <is>
          <t>B0B33YLHPQ</t>
        </is>
      </c>
      <c r="G4817">
        <f>_xludf.IMAGE("https://edmondsonsupply.com/cdn/shop/products/66076.jpg?v=1663083814")</f>
        <v/>
      </c>
      <c r="H4817">
        <f>_xludf.IMAGE("https://m.media-amazon.com/images/I/51OgCXHWbtL._AC_UL320_.jpg")</f>
        <v/>
      </c>
      <c r="K4817" t="inlineStr">
        <is>
          <t>10.71</t>
        </is>
      </c>
      <c r="L4817" t="n">
        <v>16.53</v>
      </c>
      <c r="M4817" s="1" t="inlineStr">
        <is>
          <t>54.34%</t>
        </is>
      </c>
      <c r="N4817" s="1" t="n">
        <v>-25.36</v>
      </c>
      <c r="O4817" t="n">
        <v>1</v>
      </c>
      <c r="P4817" t="n">
        <v>1</v>
      </c>
      <c r="R4817" t="inlineStr">
        <is>
          <t>InStock</t>
        </is>
      </c>
      <c r="S4817" t="inlineStr">
        <is>
          <t>15.0</t>
        </is>
      </c>
      <c r="T4817" t="inlineStr">
        <is>
          <t>7814133874904</t>
        </is>
      </c>
    </row>
    <row r="4818" ht="87" customHeight="1">
      <c r="A4818" s="2">
        <f>HYPERLINK("https://edmondsonsupply.com/collections/electricians-tools/products/milwaukee-0880-20", "https://edmondsonsupply.com/collections/electricians-tools/products/milwaukee-0880-20")</f>
        <v/>
      </c>
      <c r="B4818" s="2">
        <f>HYPERLINK("https://edmondsonsupply.com/products/milwaukee-0880-20", "https://edmondsonsupply.com/products/milwaukee-0880-20")</f>
        <v/>
      </c>
      <c r="C4818" t="inlineStr">
        <is>
          <t>Milwaukee 0880-20 M18 2-Gallon Wet/Dry Vacuum (bare tool)</t>
        </is>
      </c>
      <c r="D4818" t="inlineStr">
        <is>
          <t>Fits Milwaukee 0880-20 M18 18V Wet/Dry Vacuum w/Crevice Tool - Bare Tool</t>
        </is>
      </c>
      <c r="E4818" s="2">
        <f>HYPERLINK("https://www.amazon.com/Fits-Milwaukee-0880-20-Vacuum-Crevice/dp/B0C5T6VNG6/ref=sr_1_5?keywords=Milwaukee+0880-20+M18+2-Gallon+Wet%2FDry+Vacuum+%28bare+tool%29&amp;qid=1694735279&amp;sr=8-5", "https://www.amazon.com/Fits-Milwaukee-0880-20-Vacuum-Crevice/dp/B0C5T6VNG6/ref=sr_1_5?keywords=Milwaukee+0880-20+M18+2-Gallon+Wet%2FDry+Vacuum+%28bare+tool%29&amp;qid=1694735279&amp;sr=8-5")</f>
        <v/>
      </c>
      <c r="F4818" t="inlineStr">
        <is>
          <t>B0C5T6VNG6</t>
        </is>
      </c>
      <c r="G4818">
        <f>_xlfn.IMAGE("https://edmondsonsupply.com/cdn/shop/products/0880-20_2.png?v=1593890228")</f>
        <v/>
      </c>
      <c r="H4818">
        <f>_xlfn.IMAGE("https://m.media-amazon.com/images/I/518LiM2G2LL._AC_UL320_.jpg")</f>
        <v/>
      </c>
      <c r="K4818" t="inlineStr">
        <is>
          <t>129.0</t>
        </is>
      </c>
      <c r="L4818" t="n">
        <v>199</v>
      </c>
      <c r="M4818" s="1" t="inlineStr">
        <is>
          <t>54.26%</t>
        </is>
      </c>
      <c r="N4818" s="7" t="n">
        <v>-25.55</v>
      </c>
      <c r="O4818" t="n">
        <v>5</v>
      </c>
      <c r="P4818" t="n">
        <v>1</v>
      </c>
      <c r="R4818" t="inlineStr">
        <is>
          <t>InStock</t>
        </is>
      </c>
      <c r="S4818" t="inlineStr">
        <is>
          <t>220.0</t>
        </is>
      </c>
      <c r="T4818" t="inlineStr">
        <is>
          <t>5376375586984</t>
        </is>
      </c>
    </row>
    <row r="4819" hidden="1" ht="15.75" customHeight="1">
      <c r="A4819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819" s="2">
        <f>HYPERLINK("https://edmondsonsupply.com/products/klein-tools-s10-5-16-inch-nut-driver-3-inch-hollow-shaft", "https://edmondsonsupply.com/products/klein-tools-s10-5-16-inch-nut-driver-3-inch-hollow-shaft")</f>
        <v/>
      </c>
      <c r="C4819" t="inlineStr">
        <is>
          <t>Klein Tools S10 5/16-Inch Nut Driver 3-Inch Hollow Shaft</t>
        </is>
      </c>
      <c r="D4819" t="inlineStr">
        <is>
          <t>Klein Tools 32793 Pro Impact Driver Bit, 5/16-Inch Hex Nut Driver, 3 Pack</t>
        </is>
      </c>
      <c r="E4819" s="2">
        <f>HYPERLINK("https://www.amazon.com/Klein-Tools-32793-Impact-16-Inch/dp/B07RM8WVXK/ref=sr_1_43?keywords=Klein+Tools+S10+5%2F16-Inch+Nut+Driver+3-Inch+Hollow+Shaft&amp;qid=1694735234&amp;sr=8-43", "https://www.amazon.com/Klein-Tools-32793-Impact-16-Inch/dp/B07RM8WVXK/ref=sr_1_43?keywords=Klein+Tools+S10+5%2F16-Inch+Nut+Driver+3-Inch+Hollow+Shaft&amp;qid=1694735234&amp;sr=8-43")</f>
        <v/>
      </c>
      <c r="F4819" t="inlineStr">
        <is>
          <t>B07RM8WVXK</t>
        </is>
      </c>
      <c r="G4819">
        <f>_xludf.IMAGE("https://edmondsonsupply.com/cdn/shop/products/s10_38acacb8-6c8e-49ef-8ed3-7160ab53875a.jpg?v=1633030893")</f>
        <v/>
      </c>
      <c r="H4819">
        <f>_xludf.IMAGE("https://m.media-amazon.com/images/I/41dAZSiz0zL._AC_UL320_.jpg")</f>
        <v/>
      </c>
      <c r="K4819" t="inlineStr">
        <is>
          <t>7.99</t>
        </is>
      </c>
      <c r="L4819" t="n">
        <v>12.32</v>
      </c>
      <c r="M4819" s="1" t="inlineStr">
        <is>
          <t>54.19%</t>
        </is>
      </c>
      <c r="N4819" s="1" t="n">
        <v>-25.59</v>
      </c>
      <c r="O4819" t="n">
        <v>4.7</v>
      </c>
      <c r="P4819" t="n">
        <v>447</v>
      </c>
      <c r="R4819" t="inlineStr">
        <is>
          <t>InStock</t>
        </is>
      </c>
      <c r="S4819" t="inlineStr">
        <is>
          <t>12.06</t>
        </is>
      </c>
      <c r="T4819" t="inlineStr">
        <is>
          <t>6223447031981</t>
        </is>
      </c>
    </row>
    <row r="4820" hidden="1" ht="15.75" customHeight="1">
      <c r="A4820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4820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4820" t="inlineStr">
        <is>
          <t>Klein Tools JTH6E06 3/32-Inch Hex Key, Journeyman T-Handle, 6-Inch</t>
        </is>
      </c>
      <c r="D4820" t="inlineStr">
        <is>
          <t>Klein Tools JTH6E12BE 7/32-Inch Ball End Hex Key with Journeyman T-Handle,6-Inch</t>
        </is>
      </c>
      <c r="E4820" s="2">
        <f>HYPERLINK("https://www.amazon.com/Journeyman-T-Handle-Klein-Tools-JTH6E12BE/dp/B004QW74L6/ref=sr_1_5?keywords=Klein+Tools+JTH6E06+3%2F32-Inch+Hex+Key%2C+Journeyman+T-Handle%2C+6-Inch&amp;qid=1694735341&amp;sr=8-5", "https://www.amazon.com/Journeyman-T-Handle-Klein-Tools-JTH6E12BE/dp/B004QW74L6/ref=sr_1_5?keywords=Klein+Tools+JTH6E06+3%2F32-Inch+Hex+Key%2C+Journeyman+T-Handle%2C+6-Inch&amp;qid=1694735341&amp;sr=8-5")</f>
        <v/>
      </c>
      <c r="F4820" t="inlineStr">
        <is>
          <t>B004QW74L6</t>
        </is>
      </c>
      <c r="G4820">
        <f>_xludf.IMAGE("https://edmondsonsupply.com/cdn/shop/products/jth6e15_f3f40e05-27ea-4df2-91fc-a673e8aa5e4b.jpg?v=1587150971")</f>
        <v/>
      </c>
      <c r="H4820">
        <f>_xludf.IMAGE("https://m.media-amazon.com/images/I/51f9vBFVXgL._AC_UL320_.jpg")</f>
        <v/>
      </c>
      <c r="K4820" t="inlineStr">
        <is>
          <t>3.99</t>
        </is>
      </c>
      <c r="L4820" t="n">
        <v>6.15</v>
      </c>
      <c r="M4820" s="1" t="inlineStr">
        <is>
          <t>54.14%</t>
        </is>
      </c>
      <c r="N4820" s="1" t="n">
        <v>-25.67</v>
      </c>
      <c r="O4820" t="n">
        <v>4.5</v>
      </c>
      <c r="P4820" t="n">
        <v>9</v>
      </c>
      <c r="R4820" t="inlineStr">
        <is>
          <t>InStock</t>
        </is>
      </c>
      <c r="S4820" t="inlineStr">
        <is>
          <t>6.04</t>
        </is>
      </c>
      <c r="T4820" t="inlineStr">
        <is>
          <t>4512703709284</t>
        </is>
      </c>
    </row>
    <row r="4821" hidden="1" ht="15.75" customHeight="1">
      <c r="A4821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4821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4821" t="inlineStr">
        <is>
          <t>Klein Tools JTH4E06 3/32-Inch Hex Key, Journeyman T-Handle, 4-Inch</t>
        </is>
      </c>
      <c r="D4821" t="inlineStr">
        <is>
          <t>Klein Tools JTH6E12BE 7/32-Inch Ball End Hex Key with Journeyman T-Handle,6-Inch</t>
        </is>
      </c>
      <c r="E4821" s="2">
        <f>HYPERLINK("https://www.amazon.com/Journeyman-T-Handle-Klein-Tools-JTH6E12BE/dp/B004QW74L6/ref=sr_1_8?keywords=Klein+Tools+JTH4E06+3%2F32-Inch+Hex+Key%2C+Journeyman+T-Handle%2C+4-Inch&amp;qid=1694735173&amp;sr=8-8", "https://www.amazon.com/Journeyman-T-Handle-Klein-Tools-JTH6E12BE/dp/B004QW74L6/ref=sr_1_8?keywords=Klein+Tools+JTH4E06+3%2F32-Inch+Hex+Key%2C+Journeyman+T-Handle%2C+4-Inch&amp;qid=1694735173&amp;sr=8-8")</f>
        <v/>
      </c>
      <c r="F4821" t="inlineStr">
        <is>
          <t>B004QW74L6</t>
        </is>
      </c>
      <c r="G4821">
        <f>_xludf.IMAGE("https://edmondsonsupply.com/cdn/shop/products/jth4e06.jpg?v=1635112029")</f>
        <v/>
      </c>
      <c r="H4821">
        <f>_xludf.IMAGE("https://m.media-amazon.com/images/I/51f9vBFVXgL._AC_UL320_.jpg")</f>
        <v/>
      </c>
      <c r="K4821" t="inlineStr">
        <is>
          <t>3.99</t>
        </is>
      </c>
      <c r="L4821" t="n">
        <v>6.15</v>
      </c>
      <c r="M4821" s="1" t="inlineStr">
        <is>
          <t>54.14%</t>
        </is>
      </c>
      <c r="N4821" s="1" t="n">
        <v>-25.69</v>
      </c>
      <c r="O4821" t="n">
        <v>4.5</v>
      </c>
      <c r="P4821" t="n">
        <v>9</v>
      </c>
      <c r="R4821" t="inlineStr">
        <is>
          <t>InStock</t>
        </is>
      </c>
      <c r="S4821" t="inlineStr">
        <is>
          <t>6.04</t>
        </is>
      </c>
      <c r="T4821" t="inlineStr">
        <is>
          <t>7032648794285</t>
        </is>
      </c>
    </row>
    <row r="4822" ht="87" customHeight="1">
      <c r="A4822" s="2">
        <f>HYPERLINK("https://edmondsonsupply.com/collections/electricians-tools/products/diablo-tools-dmapl2080-3-16-in-x-16-in-x-18-in-sds-plus-2-cutter", "https://edmondsonsupply.com/collections/electricians-tools/products/diablo-tools-dmapl2080-3-16-in-x-16-in-x-18-in-sds-plus-2-cutter")</f>
        <v/>
      </c>
      <c r="B4822" s="2">
        <f>HYPERLINK("https://edmondsonsupply.com/products/diablo-tools-dmapl2080-3-16-in-x-16-in-x-18-in-sds-plus-2-cutter", "https://edmondsonsupply.com/products/diablo-tools-dmapl2080-3-16-in-x-16-in-x-18-in-sds-plus-2-cutter")</f>
        <v/>
      </c>
      <c r="C4822" t="inlineStr">
        <is>
          <t>Diablo Tools DMAPL2080 3/16 in. x 16 in. x 18 in. SDS‑Plus 2‑Cutter</t>
        </is>
      </c>
      <c r="D4822" t="inlineStr">
        <is>
          <t>Diablo 3/8 in. x 16 in. x 18 in. SDS-Plus 2-Cutter</t>
        </is>
      </c>
      <c r="E4822" s="2">
        <f>HYPERLINK("https://www.amazon.com/Diablo-DMAPL2250-16-SDS-Plus-2-Cutter/dp/B089KW3B6T/ref=sr_1_2?keywords=Diablo+Tools+DMAPL2080+3%2F16+in.+x+16+in.+x+18+in.+SDS%E2%80%91Plus+2%E2%80%91Cutter&amp;qid=1694735288&amp;sr=8-2", "https://www.amazon.com/Diablo-DMAPL2250-16-SDS-Plus-2-Cutter/dp/B089KW3B6T/ref=sr_1_2?keywords=Diablo+Tools+DMAPL2080+3%2F16+in.+x+16+in.+x+18+in.+SDS%E2%80%91Plus+2%E2%80%91Cutter&amp;qid=1694735288&amp;sr=8-2")</f>
        <v/>
      </c>
      <c r="F4822" t="inlineStr">
        <is>
          <t>B089KW3B6T</t>
        </is>
      </c>
      <c r="G4822">
        <f>_xlfn.IMAGE("https://edmondsonsupply.com/cdn/shop/products/DMAPL2080_Main-Image20200331.png?v=1633030464")</f>
        <v/>
      </c>
      <c r="H4822">
        <f>_xlfn.IMAGE("https://m.media-amazon.com/images/I/61JRNqT4IHL._AC_UL320_.jpg")</f>
        <v/>
      </c>
      <c r="K4822" t="inlineStr">
        <is>
          <t>12.97</t>
        </is>
      </c>
      <c r="L4822" t="n">
        <v>19.99</v>
      </c>
      <c r="M4822" s="1" t="inlineStr">
        <is>
          <t>54.12%</t>
        </is>
      </c>
      <c r="N4822" s="7" t="n">
        <v>-25.7</v>
      </c>
      <c r="O4822" t="n">
        <v>4.9</v>
      </c>
      <c r="P4822" t="n">
        <v>8</v>
      </c>
      <c r="R4822" t="inlineStr">
        <is>
          <t>InStock</t>
        </is>
      </c>
      <c r="S4822" t="inlineStr">
        <is>
          <t>15.62</t>
        </is>
      </c>
      <c r="T4822" t="inlineStr">
        <is>
          <t>5362018877608</t>
        </is>
      </c>
    </row>
    <row r="4823" hidden="1" ht="15.75" customHeight="1">
      <c r="A4823" s="2">
        <f>HYPERLINK("https://edmondsonsupply.com/collections/electricians-tools/products/klein-tools-70581-8-key-folding-hex-key-set-1-20-to-5-32-inch-sae", "https://edmondsonsupply.com/collections/electricians-tools/products/klein-tools-70581-8-key-folding-hex-key-set-1-20-to-5-32-inch-sae")</f>
        <v/>
      </c>
      <c r="B4823" s="2">
        <f>HYPERLINK("https://edmondsonsupply.com/products/klein-tools-70581-8-key-folding-hex-key-set-1-20-to-5-32-inch-sae", "https://edmondsonsupply.com/products/klein-tools-70581-8-key-folding-hex-key-set-1-20-to-5-32-inch-sae")</f>
        <v/>
      </c>
      <c r="C4823" t="inlineStr">
        <is>
          <t>Klein Tools 70581 Folding Hex Key Set, 8-Key, SAE Sizes</t>
        </is>
      </c>
      <c r="D4823" t="inlineStr">
        <is>
          <t>Klein Tools 70575 Grip-It Hex Key Set, 9-Key, 3-3/4-Inch Handle, SAE Sizes</t>
        </is>
      </c>
      <c r="E4823" s="2">
        <f>HYPERLINK("https://www.amazon.com/Grip-Square-Klein-Tools-70575/dp/B0002RI8PK/ref=sr_1_6?keywords=Klein+Tools+70581+Folding+Hex+Key+Set%2C+8-Key%2C+SAE+Sizes&amp;qid=1694735356&amp;sr=8-6", "https://www.amazon.com/Grip-Square-Klein-Tools-70575/dp/B0002RI8PK/ref=sr_1_6?keywords=Klein+Tools+70581+Folding+Hex+Key+Set%2C+8-Key%2C+SAE+Sizes&amp;qid=1694735356&amp;sr=8-6")</f>
        <v/>
      </c>
      <c r="F4823" t="inlineStr">
        <is>
          <t>B0002RI8PK</t>
        </is>
      </c>
      <c r="G4823">
        <f>_xludf.IMAGE("https://edmondsonsupply.com/cdn/shop/products/70581.jpg?v=1587143189")</f>
        <v/>
      </c>
      <c r="H4823">
        <f>_xludf.IMAGE("https://m.media-amazon.com/images/I/51C7aw6OxTL._AC_UL320_.jpg")</f>
        <v/>
      </c>
      <c r="K4823" t="inlineStr">
        <is>
          <t>6.97</t>
        </is>
      </c>
      <c r="L4823" t="n">
        <v>10.74</v>
      </c>
      <c r="M4823" s="1" t="inlineStr">
        <is>
          <t>54.09%</t>
        </is>
      </c>
      <c r="N4823" s="1" t="n">
        <v>-25.97</v>
      </c>
      <c r="O4823" t="n">
        <v>4.4</v>
      </c>
      <c r="P4823" t="n">
        <v>65</v>
      </c>
      <c r="R4823" t="inlineStr">
        <is>
          <t>InStock</t>
        </is>
      </c>
      <c r="S4823" t="inlineStr">
        <is>
          <t>10.56</t>
        </is>
      </c>
      <c r="T4823" t="inlineStr">
        <is>
          <t>4432219865188</t>
        </is>
      </c>
    </row>
    <row r="4824" ht="87" customHeight="1">
      <c r="A4824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4824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4824" t="inlineStr">
        <is>
          <t>Diablo Tools DMARG1150 1/2 in. x 4 in. x 6 in. SPEEDemon™ Red Granite Carbide Tipped Hammer Drill Bit</t>
        </is>
      </c>
      <c r="D4824" t="inlineStr">
        <is>
          <t>Diablo by Freud DMARG1020-P5 5/32 in. x 3 in. x 6 in. SPEEDemon Red Granite Carbide Tipped Hammer Drill Bit (5-Pack)</t>
        </is>
      </c>
      <c r="E4824" s="2">
        <f>HYPERLINK("https://www.amazon.com/Diablo-SPEEDemon-Granite-Carbide-Tipped/dp/B089KX38FF/ref=sr_1_8?keywords=Diablo+Tools+DMARG1150+1%2F2+in.+x+4+in.+x+6+in.+SPEEDemon%E2%84%A2+Red+Granite+Carbide+Tipped+Hammer+Drill+Bit&amp;qid=1694735282&amp;sr=8-8", "https://www.amazon.com/Diablo-SPEEDemon-Granite-Carbide-Tipped/dp/B089KX38FF/ref=sr_1_8?keywords=Diablo+Tools+DMARG1150+1%2F2+in.+x+4+in.+x+6+in.+SPEEDemon%E2%84%A2+Red+Granite+Carbide+Tipped+Hammer+Drill+Bit&amp;qid=1694735282&amp;sr=8-8")</f>
        <v/>
      </c>
      <c r="F4824" t="inlineStr">
        <is>
          <t>B089KX38FF</t>
        </is>
      </c>
      <c r="G4824">
        <f>_xlfn.IMAGE("https://edmondsonsupply.com/cdn/shop/products/DMARG1150_Main-Image20200702.png?v=1633030510")</f>
        <v/>
      </c>
      <c r="H4824">
        <f>_xlfn.IMAGE("https://m.media-amazon.com/images/I/61BDYFEnTRL._AC_UL320_.jpg")</f>
        <v/>
      </c>
      <c r="K4824" t="inlineStr">
        <is>
          <t>9.97</t>
        </is>
      </c>
      <c r="L4824" t="n">
        <v>15.36</v>
      </c>
      <c r="M4824" s="1" t="inlineStr">
        <is>
          <t>54.06%</t>
        </is>
      </c>
      <c r="N4824" s="7" t="n">
        <v>-26.01</v>
      </c>
      <c r="O4824" t="n">
        <v>4.6</v>
      </c>
      <c r="P4824" t="n">
        <v>27</v>
      </c>
      <c r="R4824" t="inlineStr">
        <is>
          <t>InStock</t>
        </is>
      </c>
      <c r="S4824" t="inlineStr">
        <is>
          <t>undefined</t>
        </is>
      </c>
      <c r="T4824" t="inlineStr">
        <is>
          <t>5386513907880</t>
        </is>
      </c>
    </row>
    <row r="4825" hidden="1" ht="15.75" customHeight="1">
      <c r="A4825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4825" s="2">
        <f>HYPERLINK("https://edmondsonsupply.com/products/klein-tools-661-screwdriver-1-square-recess-tip-4-inch-shank", "https://edmondsonsupply.com/products/klein-tools-661-screwdriver-1-square-recess-tip-4-inch-shank")</f>
        <v/>
      </c>
      <c r="C4825" t="inlineStr">
        <is>
          <t>Klein Tools 661 Screwdriver, #1 Square Recess Tip, 4-Inch Shank</t>
        </is>
      </c>
      <c r="D4825" t="inlineStr">
        <is>
          <t>Klein Tools 6946INS 1000V Slim Tip Insulated Screwdriver, 6-Inch Round Shank, #2 Square Tip, Cushion Grip Handle</t>
        </is>
      </c>
      <c r="E4825" s="2">
        <f>HYPERLINK("https://www.amazon.com/Klein-Tools-6946INS-Insulated-Screwdriver/dp/B088NN95Q5/ref=sr_1_15?keywords=Klein+Tools+661+Screwdriver%2C+%231+Square+Recess+Tip%2C+4-Inch+Shank&amp;qid=1694735398&amp;sr=8-15", "https://www.amazon.com/Klein-Tools-6946INS-Insulated-Screwdriver/dp/B088NN95Q5/ref=sr_1_15?keywords=Klein+Tools+661+Screwdriver%2C+%231+Square+Recess+Tip%2C+4-Inch+Shank&amp;qid=1694735398&amp;sr=8-15")</f>
        <v/>
      </c>
      <c r="F4825" t="inlineStr">
        <is>
          <t>B088NN95Q5</t>
        </is>
      </c>
      <c r="G4825">
        <f>_xludf.IMAGE("https://edmondsonsupply.com/cdn/shop/products/660_587071df-c969-40cb-961e-3eee072c7429.jpg?v=1587149250")</f>
        <v/>
      </c>
      <c r="H4825">
        <f>_xludf.IMAGE("https://m.media-amazon.com/images/I/414Kb+NSPsS._AC_UL320_.jpg")</f>
        <v/>
      </c>
      <c r="K4825" t="inlineStr">
        <is>
          <t>8.99</t>
        </is>
      </c>
      <c r="L4825" t="n">
        <v>13.85</v>
      </c>
      <c r="M4825" s="1" t="inlineStr">
        <is>
          <t>54.06%</t>
        </is>
      </c>
      <c r="N4825" s="1" t="n">
        <v>-26.03</v>
      </c>
      <c r="O4825" t="n">
        <v>4.8</v>
      </c>
      <c r="P4825" t="n">
        <v>1358</v>
      </c>
      <c r="R4825" t="inlineStr">
        <is>
          <t>InStock</t>
        </is>
      </c>
      <c r="S4825" t="inlineStr">
        <is>
          <t>13.6</t>
        </is>
      </c>
      <c r="T4825" t="inlineStr">
        <is>
          <t>4398444118116</t>
        </is>
      </c>
    </row>
    <row r="4826" hidden="1" ht="15.75" customHeight="1">
      <c r="A4826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826" s="2">
        <f>HYPERLINK("https://edmondsonsupply.com/products/klein-tools-jth9m5-4-mm-hex-key-journeyman-t-handle-9-inch", "https://edmondsonsupply.com/products/klein-tools-jth9m5-4-mm-hex-key-journeyman-t-handle-9-inch")</f>
        <v/>
      </c>
      <c r="C4826" t="inlineStr">
        <is>
          <t>Klein Tools JTH9M4 4 mm Hex Key, Journeyman T-Handle, 9-Inch</t>
        </is>
      </c>
      <c r="D4826" t="inlineStr">
        <is>
          <t>Klein Tools JTH6M4BE 4 mm Ball End Hex Key with Journeyman T-Handle, 6-Inch</t>
        </is>
      </c>
      <c r="E4826" s="2">
        <f>HYPERLINK("https://www.amazon.com/Journeyman-T-Handle-Klein-Tools-JTH6M4BE/dp/B005G3951G/ref=sr_1_4?keywords=Klein+Tools+JTH9M4+4+mm+Hex+Key%2C+Journeyman+T-Handle%2C+9-Inch&amp;qid=1694735170&amp;sr=8-4", "https://www.amazon.com/Journeyman-T-Handle-Klein-Tools-JTH6M4BE/dp/B005G3951G/ref=sr_1_4?keywords=Klein+Tools+JTH9M4+4+mm+Hex+Key%2C+Journeyman+T-Handle%2C+9-Inch&amp;qid=1694735170&amp;sr=8-4")</f>
        <v/>
      </c>
      <c r="F4826" t="inlineStr">
        <is>
          <t>B005G3951G</t>
        </is>
      </c>
      <c r="G4826">
        <f>_xludf.IMAGE("https://edmondsonsupply.com/cdn/shop/products/jth9m_fa8a641d-d03f-4191-ab24-b9045963e4f7.jpg?v=1640191121")</f>
        <v/>
      </c>
      <c r="H4826">
        <f>_xludf.IMAGE("https://m.media-amazon.com/images/I/51huXA+ij8L._AC_UL320_.jpg")</f>
        <v/>
      </c>
      <c r="K4826" t="inlineStr">
        <is>
          <t>4.49</t>
        </is>
      </c>
      <c r="L4826" t="n">
        <v>6.91</v>
      </c>
      <c r="M4826" s="1" t="inlineStr">
        <is>
          <t>53.90%</t>
        </is>
      </c>
      <c r="N4826" s="1" t="n">
        <v>-26.1</v>
      </c>
      <c r="O4826" t="n">
        <v>4.8</v>
      </c>
      <c r="P4826" t="n">
        <v>985</v>
      </c>
      <c r="R4826" t="inlineStr">
        <is>
          <t>InStock</t>
        </is>
      </c>
      <c r="S4826" t="inlineStr">
        <is>
          <t>6.8</t>
        </is>
      </c>
      <c r="T4826" t="inlineStr">
        <is>
          <t>7555980656856</t>
        </is>
      </c>
    </row>
    <row r="4827" hidden="1" ht="15.75" customHeight="1">
      <c r="A4827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827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827" t="inlineStr">
        <is>
          <t>Klein Tools JTH9M3 3 mm Hex Key with Journeyman T-Handle, 9-Inch</t>
        </is>
      </c>
      <c r="D4827" t="inlineStr">
        <is>
          <t>Klein Tools JTH6M25BE 2.5 mm Ball End Hex Key with Journeyman T-Handle, 6-Inch</t>
        </is>
      </c>
      <c r="E4827" s="2">
        <f>HYPERLINK("https://www.amazon.com/Journeyman-T-Handle-Klein-Tools-JTH6M25BE/dp/B005G2RMPS/ref=sr_1_10?keywords=Klein+Tools+JTH9M3+3+mm+Hex+Key+with+Journeyman+T-Handle%2C+9-Inch&amp;qid=1694735249&amp;sr=8-10", "https://www.amazon.com/Journeyman-T-Handle-Klein-Tools-JTH6M25BE/dp/B005G2RMPS/ref=sr_1_10?keywords=Klein+Tools+JTH9M3+3+mm+Hex+Key+with+Journeyman+T-Handle%2C+9-Inch&amp;qid=1694735249&amp;sr=8-10")</f>
        <v/>
      </c>
      <c r="F4827" t="inlineStr">
        <is>
          <t>B005G2RMPS</t>
        </is>
      </c>
      <c r="G4827">
        <f>_xludf.IMAGE("https://edmondsonsupply.com/cdn/shop/products/jth9m.jpg?v=1633030702")</f>
        <v/>
      </c>
      <c r="H4827">
        <f>_xludf.IMAGE("https://m.media-amazon.com/images/I/51huXA+ij8L._AC_UL320_.jpg")</f>
        <v/>
      </c>
      <c r="K4827" t="inlineStr">
        <is>
          <t>4.49</t>
        </is>
      </c>
      <c r="L4827" t="n">
        <v>6.91</v>
      </c>
      <c r="M4827" s="1" t="inlineStr">
        <is>
          <t>53.90%</t>
        </is>
      </c>
      <c r="N4827" s="1" t="n">
        <v>-26.1</v>
      </c>
      <c r="O4827" t="n">
        <v>4.8</v>
      </c>
      <c r="P4827" t="n">
        <v>985</v>
      </c>
      <c r="R4827" t="inlineStr">
        <is>
          <t>InStock</t>
        </is>
      </c>
      <c r="S4827" t="inlineStr">
        <is>
          <t>6.82</t>
        </is>
      </c>
      <c r="T4827" t="inlineStr">
        <is>
          <t>5848344035496</t>
        </is>
      </c>
    </row>
    <row r="4828" hidden="1" ht="15.75" customHeight="1">
      <c r="A4828" s="2">
        <f>HYPERLINK("https://edmondsonsupply.com/collections/electricians-tools/products/milwaukee-48-25-2562-2-9-16-self-feed-wood-bit", "https://edmondsonsupply.com/collections/electricians-tools/products/milwaukee-48-25-2562-2-9-16-self-feed-wood-bit")</f>
        <v/>
      </c>
      <c r="B4828" s="2">
        <f>HYPERLINK("https://edmondsonsupply.com/products/milwaukee-48-25-2562-2-9-16-self-feed-wood-bit", "https://edmondsonsupply.com/products/milwaukee-48-25-2562-2-9-16-self-feed-wood-bit")</f>
        <v/>
      </c>
      <c r="C4828" t="inlineStr">
        <is>
          <t>Milwaukee 48-25-2562 2-9/16" Selfeed Wood Bit</t>
        </is>
      </c>
      <c r="D4828" t="inlineStr">
        <is>
          <t>Milwaukee Accessory 48255320 Switchblade 10 Pack Replacement Switchblade Selfeed Wood Bit Set</t>
        </is>
      </c>
      <c r="E4828" s="2">
        <f>HYPERLINK("https://www.amazon.com/Milwaukee-Accessory-48255320-Switchblade-Replacement/dp/B004QAXFHU/ref=sr_1_13?keywords=Milwaukee+48-25-2562+2-9%2F16%22+Selfeed+Wood+Bit&amp;qid=1694735416&amp;sr=8-13", "https://www.amazon.com/Milwaukee-Accessory-48255320-Switchblade-Replacement/dp/B004QAXFHU/ref=sr_1_13?keywords=Milwaukee+48-25-2562+2-9%2F16%22+Selfeed+Wood+Bit&amp;qid=1694735416&amp;sr=8-13")</f>
        <v/>
      </c>
      <c r="F4828" t="inlineStr">
        <is>
          <t>B004QAXFHU</t>
        </is>
      </c>
      <c r="G4828">
        <f>_xludf.IMAGE("https://edmondsonsupply.com/cdn/shop/products/milwaukee-auger-bits-48-25-2562-64_1000.jpg?v=1587149013")</f>
        <v/>
      </c>
      <c r="H4828">
        <f>_xludf.IMAGE("https://m.media-amazon.com/images/I/518pvZpA6pL._AC_UL320_.jpg")</f>
        <v/>
      </c>
      <c r="K4828" t="inlineStr">
        <is>
          <t>33.8</t>
        </is>
      </c>
      <c r="L4828" t="n">
        <v>52</v>
      </c>
      <c r="M4828" s="1" t="inlineStr">
        <is>
          <t>53.85%</t>
        </is>
      </c>
      <c r="N4828" s="1" t="n">
        <v>-26.1</v>
      </c>
      <c r="O4828" t="n">
        <v>3.4</v>
      </c>
      <c r="P4828" t="n">
        <v>6</v>
      </c>
      <c r="R4828" t="inlineStr">
        <is>
          <t>InStock</t>
        </is>
      </c>
      <c r="S4828" t="inlineStr">
        <is>
          <t>57.7</t>
        </is>
      </c>
      <c r="T4828" t="inlineStr">
        <is>
          <t>4364942344292</t>
        </is>
      </c>
    </row>
    <row r="4829" hidden="1" ht="15.75" customHeight="1">
      <c r="A4829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829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829" t="inlineStr">
        <is>
          <t>Diablo Tools DMAPL4080 1/4 in. x 6 in. x 8 in. Rebar Demon™ SDS-Plus 4-Cutter Full Carbide Head Hammer Bit</t>
        </is>
      </c>
      <c r="D4829" t="inlineStr">
        <is>
          <t>Diablo by Freud Diablo DMAPL4210 5/8 in. x 4 in. x 6 in. Rebar Demon SDS-Plus 4-Cutter Full Carbide Head Hammer Bit</t>
        </is>
      </c>
      <c r="E4829" s="2">
        <f>HYPERLINK("https://www.amazon.com/Diablo-Freud-DMAPL4210-SDS-Plus-4-Cutter/dp/B089LGF2KS/ref=sr_1_17?keywords=Diablo+Tools+DMAPL4080+1%2F4+in.+x+6+in.+x+8+in.+Rebar+Demon%E2%84%A2+SDS-Plus+4-Cutter+Full+Carbide+Head+Hammer+Bit&amp;qid=1694735294&amp;sr=8-17", "https://www.amazon.com/Diablo-Freud-DMAPL4210-SDS-Plus-4-Cutter/dp/B089LGF2KS/ref=sr_1_17?keywords=Diablo+Tools+DMAPL4080+1%2F4+in.+x+6+in.+x+8+in.+Rebar+Demon%E2%84%A2+SDS-Plus+4-Cutter+Full+Carbide+Head+Hammer+Bit&amp;qid=1694735294&amp;sr=8-17")</f>
        <v/>
      </c>
      <c r="F4829" t="inlineStr">
        <is>
          <t>B089LGF2KS</t>
        </is>
      </c>
      <c r="G4829">
        <f>_xludf.IMAGE("https://edmondsonsupply.com/cdn/shop/products/DMAPL4080_1.jpg?v=1633030359")</f>
        <v/>
      </c>
      <c r="H4829">
        <f>_xludf.IMAGE("https://m.media-amazon.com/images/I/61rU9ZgmndL._AC_UL320_.jpg")</f>
        <v/>
      </c>
      <c r="K4829" t="inlineStr">
        <is>
          <t>7.47</t>
        </is>
      </c>
      <c r="L4829" t="n">
        <v>11.49</v>
      </c>
      <c r="M4829" s="1" t="inlineStr">
        <is>
          <t>53.82%</t>
        </is>
      </c>
      <c r="N4829" s="1" t="n">
        <v>-26.18</v>
      </c>
      <c r="O4829" t="n">
        <v>4.6</v>
      </c>
      <c r="P4829" t="n">
        <v>63</v>
      </c>
      <c r="R4829" t="inlineStr">
        <is>
          <t>InStock</t>
        </is>
      </c>
      <c r="S4829" t="inlineStr">
        <is>
          <t>undefined</t>
        </is>
      </c>
      <c r="T4829" t="inlineStr">
        <is>
          <t>5286767919272</t>
        </is>
      </c>
    </row>
    <row r="4830" hidden="1" ht="15.75" customHeight="1">
      <c r="A4830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830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830" t="inlineStr">
        <is>
          <t>Klein Tools JTH9E13 1/4-Inch Hex Key with Journeyman T-Handle, 9-Inch</t>
        </is>
      </c>
      <c r="D4830" t="inlineStr">
        <is>
          <t>Klein Tools JTH6M3BE 3 mm Ball End Hex Key with Journeyman T-Handle, 6-Inch (Pack of 2)</t>
        </is>
      </c>
      <c r="E4830" s="2">
        <f>HYPERLINK("https://www.amazon.com/Klein-Tools-JTH6M3BE-Journeyman-T-Handle/dp/B0CGLYY7WP/ref=sr_1_15?keywords=Klein+Tools+JTH9E13+1%2F4-Inch+Hex+Key+with+Journeyman+T-Handle%2C+9-Inch&amp;qid=1694735245&amp;sr=8-15", "https://www.amazon.com/Klein-Tools-JTH6M3BE-Journeyman-T-Handle/dp/B0CGLYY7WP/ref=sr_1_15?keywords=Klein+Tools+JTH9E13+1%2F4-Inch+Hex+Key+with+Journeyman+T-Handle%2C+9-Inch&amp;qid=1694735245&amp;sr=8-15")</f>
        <v/>
      </c>
      <c r="F4830" t="inlineStr">
        <is>
          <t>B0CGLYY7WP</t>
        </is>
      </c>
      <c r="G4830">
        <f>_xludf.IMAGE("https://edmondsonsupply.com/cdn/shop/products/jth9e12_7dcdbf9a-5acd-4824-8919-6aeb4a790072.jpg?v=1604060723")</f>
        <v/>
      </c>
      <c r="H4830">
        <f>_xludf.IMAGE("https://m.media-amazon.com/images/I/413sTNFMd7L._AC_UL320_.jpg")</f>
        <v/>
      </c>
      <c r="K4830" t="inlineStr">
        <is>
          <t>6.49</t>
        </is>
      </c>
      <c r="L4830" t="n">
        <v>9.98</v>
      </c>
      <c r="M4830" s="1" t="inlineStr">
        <is>
          <t>53.78%</t>
        </is>
      </c>
      <c r="N4830" s="1" t="n">
        <v>-26.39</v>
      </c>
      <c r="O4830" t="n">
        <v>4.6</v>
      </c>
      <c r="P4830" t="n">
        <v>184</v>
      </c>
      <c r="R4830" t="inlineStr">
        <is>
          <t>InStock</t>
        </is>
      </c>
      <c r="S4830" t="inlineStr">
        <is>
          <t>9.84</t>
        </is>
      </c>
      <c r="T4830" t="inlineStr">
        <is>
          <t>5999069462696</t>
        </is>
      </c>
    </row>
    <row r="4831" ht="87" customHeight="1">
      <c r="A4831" s="2">
        <f>HYPERLINK("https://edmondsonsupply.com/collections/electricians-tools/products/diablo-tools-dou125bw", "https://edmondsonsupply.com/collections/electricians-tools/products/diablo-tools-dou125bw")</f>
        <v/>
      </c>
      <c r="B4831" s="2">
        <f>HYPERLINK("https://edmondsonsupply.com/products/diablo-tools-dou125bw", "https://edmondsonsupply.com/products/diablo-tools-dou125bw")</f>
        <v/>
      </c>
      <c r="C4831" t="inlineStr">
        <is>
          <t>Diablo Tools DOU125BW 1-1/4 in. Universal Fit Bi-Metal Oscillating Blade for Nail-Embedded Wood</t>
        </is>
      </c>
      <c r="D4831" t="inlineStr">
        <is>
          <t>Diablo by Freud DOS125BW3 1-1/4 in. Starlock Bi-Metal Oscillating Blades for Nail-Embedded Wood (3-Pack)</t>
        </is>
      </c>
      <c r="E4831" s="2">
        <f>HYPERLINK("https://www.amazon.com/Diablo-Starlock-Bi-Metal-Oscillating-Nail-Embedded/dp/B089KX5FJS/ref=sr_1_5?keywords=Diablo+Tools+DOU125BW+1-1%2F4+in.+Universal+Fit+Bi-Metal+Oscillating+Blade+for+Nail-Embedded+Wood&amp;qid=1694735198&amp;sr=8-5", "https://www.amazon.com/Diablo-Starlock-Bi-Metal-Oscillating-Nail-Embedded/dp/B089KX5FJS/ref=sr_1_5?keywords=Diablo+Tools+DOU125BW+1-1%2F4+in.+Universal+Fit+Bi-Metal+Oscillating+Blade+for+Nail-Embedded+Wood&amp;qid=1694735198&amp;sr=8-5")</f>
        <v/>
      </c>
      <c r="F4831" t="inlineStr">
        <is>
          <t>B089KX5FJS</t>
        </is>
      </c>
      <c r="G4831">
        <f>_xlfn.IMAGE("https://edmondsonsupply.com/cdn/shop/products/gnn0wpqc8veb3qhldcrb.webp?v=1676040020")</f>
        <v/>
      </c>
      <c r="H4831">
        <f>_xlfn.IMAGE("https://m.media-amazon.com/images/I/717H6O1AhYL._AC_UL320_.jpg")</f>
        <v/>
      </c>
      <c r="K4831" t="inlineStr">
        <is>
          <t>17.97</t>
        </is>
      </c>
      <c r="L4831" t="n">
        <v>27.63</v>
      </c>
      <c r="M4831" s="1" t="inlineStr">
        <is>
          <t>53.76%</t>
        </is>
      </c>
      <c r="N4831" s="7" t="n">
        <v>-26.39</v>
      </c>
      <c r="O4831" t="n">
        <v>4.7</v>
      </c>
      <c r="P4831" t="n">
        <v>65</v>
      </c>
      <c r="R4831" t="inlineStr">
        <is>
          <t>InStock</t>
        </is>
      </c>
      <c r="S4831" t="inlineStr">
        <is>
          <t>22.79</t>
        </is>
      </c>
      <c r="T4831" t="inlineStr">
        <is>
          <t>6846081433773</t>
        </is>
      </c>
    </row>
    <row r="4832" ht="87" customHeight="1">
      <c r="A4832" s="2">
        <f>HYPERLINK("https://edmondsonsupply.com/collections/electricians-tools/products/klein-tools-d504-12-classic-klaw%E2%84%A2-pump-pliers-12-inch", "https://edmondsonsupply.com/collections/electricians-tools/products/klein-tools-d504-12-classic-klaw%E2%84%A2-pump-pliers-12-inch")</f>
        <v/>
      </c>
      <c r="B4832" s="2">
        <f>HYPERLINK("https://edmondsonsupply.com/products/klein-tools-d504-12-classic-klaw%e2%84%a2-pump-pliers-12-inch", "https://edmondsonsupply.com/products/klein-tools-d504-12-classic-klaw%e2%84%a2-pump-pliers-12-inch")</f>
        <v/>
      </c>
      <c r="C4832" t="inlineStr">
        <is>
          <t>Klein Tools D504-12 Classic Klaw™ Pump Pliers, 12-Inch</t>
        </is>
      </c>
      <c r="D4832" t="inlineStr">
        <is>
          <t>Klein Tools D504-12B Pump Pliers, Quick-Adjust Tongue and Groove Klaw Water Pump Pliers, 12-Inch</t>
        </is>
      </c>
      <c r="E4832" s="2">
        <f>HYPERLINK("https://www.amazon.com/Quick-Adjust-12-Inch-Klein-Tools-D504-12B/dp/B00BJ4OS4A/ref=sr_1_2?keywords=Klein+Tools+D504-12+Classic+Klaw%E2%84%A2+Pump+Pliers%2C+12-Inch&amp;qid=1694735350&amp;sr=8-2", "https://www.amazon.com/Quick-Adjust-12-Inch-Klein-Tools-D504-12B/dp/B00BJ4OS4A/ref=sr_1_2?keywords=Klein+Tools+D504-12+Classic+Klaw%E2%84%A2+Pump+Pliers%2C+12-Inch&amp;qid=1694735350&amp;sr=8-2")</f>
        <v/>
      </c>
      <c r="F4832" t="inlineStr">
        <is>
          <t>B00BJ4OS4A</t>
        </is>
      </c>
      <c r="G4832">
        <f>_xlfn.IMAGE("https://edmondsonsupply.com/cdn/shop/products/d504-10_c0bbfa46-c767-4add-8961-a5c02a363d25.jpg?v=1587149190")</f>
        <v/>
      </c>
      <c r="H4832">
        <f>_xlfn.IMAGE("https://m.media-amazon.com/images/I/5118ry+5A7L._AC_UL320_.jpg")</f>
        <v/>
      </c>
      <c r="K4832" t="inlineStr">
        <is>
          <t>44.99</t>
        </is>
      </c>
      <c r="L4832" t="n">
        <v>69.14</v>
      </c>
      <c r="M4832" s="1" t="inlineStr">
        <is>
          <t>53.68%</t>
        </is>
      </c>
      <c r="N4832" s="7" t="n">
        <v>-26.43</v>
      </c>
      <c r="O4832" t="n">
        <v>4.7</v>
      </c>
      <c r="P4832" t="n">
        <v>254</v>
      </c>
      <c r="R4832" t="inlineStr">
        <is>
          <t>InStock</t>
        </is>
      </c>
      <c r="S4832" t="inlineStr">
        <is>
          <t>63.14</t>
        </is>
      </c>
      <c r="T4832" t="inlineStr">
        <is>
          <t>4495463415908</t>
        </is>
      </c>
    </row>
    <row r="4833" hidden="1" ht="15.75" customHeight="1">
      <c r="A4833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4833" s="2">
        <f>HYPERLINK("https://edmondsonsupply.com/products/klein-tools-70582-seven-key-metric-folding-hex-key-set", "https://edmondsonsupply.com/products/klein-tools-70582-seven-key-metric-folding-hex-key-set")</f>
        <v/>
      </c>
      <c r="C4833" t="inlineStr">
        <is>
          <t>Klein Tools 70582 Folding Hex Key Set, 7-Key, Metric Sizes</t>
        </is>
      </c>
      <c r="D4833" t="inlineStr">
        <is>
          <t>Klein Tools 70572 Grip-It Ball End Hex Set, 5-Key, Metric Sizes</t>
        </is>
      </c>
      <c r="E4833" s="2">
        <f>HYPERLINK("https://www.amazon.com/Grip-Five-Key-Ball-Hex/dp/B000936R78/ref=sr_1_3?keywords=Klein+Tools+70582+Folding+Hex+Key+Set%2C+7-Key%2C+Metric+Sizes&amp;qid=1694735391&amp;sr=8-3", "https://www.amazon.com/Grip-Five-Key-Ball-Hex/dp/B000936R78/ref=sr_1_3?keywords=Klein+Tools+70582+Folding+Hex+Key+Set%2C+7-Key%2C+Metric+Sizes&amp;qid=1694735391&amp;sr=8-3")</f>
        <v/>
      </c>
      <c r="F4833" t="inlineStr">
        <is>
          <t>B000936R78</t>
        </is>
      </c>
      <c r="G4833">
        <f>_xludf.IMAGE("https://edmondsonsupply.com/cdn/shop/products/70582.jpg?v=1587149750")</f>
        <v/>
      </c>
      <c r="H4833">
        <f>_xludf.IMAGE("https://m.media-amazon.com/images/I/51dn84Vs5NL._AC_UL320_.jpg")</f>
        <v/>
      </c>
      <c r="K4833" t="inlineStr">
        <is>
          <t>8.78</t>
        </is>
      </c>
      <c r="L4833" t="n">
        <v>13.49</v>
      </c>
      <c r="M4833" s="1" t="inlineStr">
        <is>
          <t>53.64%</t>
        </is>
      </c>
      <c r="N4833" s="1" t="n">
        <v>-26.63</v>
      </c>
      <c r="O4833" t="n">
        <v>4.9</v>
      </c>
      <c r="P4833" t="n">
        <v>15</v>
      </c>
      <c r="R4833" t="inlineStr">
        <is>
          <t>InStock</t>
        </is>
      </c>
      <c r="S4833" t="inlineStr">
        <is>
          <t>12.26</t>
        </is>
      </c>
      <c r="T4833" t="inlineStr">
        <is>
          <t>4409539919972</t>
        </is>
      </c>
    </row>
    <row r="4834" hidden="1" ht="15.75" customHeight="1">
      <c r="A4834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4834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4834" t="inlineStr">
        <is>
          <t>Diablo Tools DMAPL4040 3/16 in. x 4 in. x 6 in. Rebar Demon™ SDS-Plus 4-Cutter Full Carbide Head Hammer Bit</t>
        </is>
      </c>
      <c r="D4834" t="inlineStr">
        <is>
          <t>Diablo by Freud DMAPL4160 3/8 in. x 10 in. x 12 in. Rebar Demon SDS-Plus 4-Cutter Full Carbide Head Hammer Bit</t>
        </is>
      </c>
      <c r="E4834" s="2">
        <f>HYPERLINK("https://www.amazon.com/Diablo-Freud-DMAPL4160-SDS-Plus-4-Cutter/dp/B089KX25B7/ref=sr_1_18?keywords=Diablo+Tools+DMAPL4040+3%2F16+in.+x+4+in.+x+6+in.+Rebar+Demon%E2%84%A2+SDS-Plus+4-Cutter+Full+Carbide+Head+Hammer+Bit&amp;qid=1694735297&amp;sr=8-18", "https://www.amazon.com/Diablo-Freud-DMAPL4160-SDS-Plus-4-Cutter/dp/B089KX25B7/ref=sr_1_18?keywords=Diablo+Tools+DMAPL4040+3%2F16+in.+x+4+in.+x+6+in.+Rebar+Demon%E2%84%A2+SDS-Plus+4-Cutter+Full+Carbide+Head+Hammer+Bit&amp;qid=1694735297&amp;sr=8-18")</f>
        <v/>
      </c>
      <c r="F4834" t="inlineStr">
        <is>
          <t>B089KX25B7</t>
        </is>
      </c>
      <c r="G4834">
        <f>_xludf.IMAGE("https://edmondsonsupply.com/cdn/shop/products/DMAPL4040_Main-Image20200701.png?v=1633030358")</f>
        <v/>
      </c>
      <c r="H4834">
        <f>_xludf.IMAGE("https://m.media-amazon.com/images/I/61MHnm3+2bL._AC_UL320_.jpg")</f>
        <v/>
      </c>
      <c r="K4834" t="inlineStr">
        <is>
          <t>8.47</t>
        </is>
      </c>
      <c r="L4834" t="n">
        <v>13.01</v>
      </c>
      <c r="M4834" s="1" t="inlineStr">
        <is>
          <t>53.60%</t>
        </is>
      </c>
      <c r="N4834" s="1" t="n">
        <v>-26.69</v>
      </c>
      <c r="O4834" t="n">
        <v>4.5</v>
      </c>
      <c r="P4834" t="n">
        <v>39</v>
      </c>
      <c r="R4834" t="inlineStr">
        <is>
          <t>InStock</t>
        </is>
      </c>
      <c r="S4834" t="inlineStr">
        <is>
          <t>undefined</t>
        </is>
      </c>
      <c r="T4834" t="inlineStr">
        <is>
          <t>5286740426920</t>
        </is>
      </c>
    </row>
    <row r="4835" ht="87" customHeight="1">
      <c r="A4835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4835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4835" t="inlineStr">
        <is>
          <t>Diablo Tools DMAPL4220 5/8 in. x 6 in. x 8 in. Rebar Demon™ SDS-Plus 4-Cutter Full Carbide Head Hammer Bit</t>
        </is>
      </c>
      <c r="D4835" t="inlineStr">
        <is>
          <t>Diablo 1/4"x 16"x18" Rebar Demon™ SDS-Plus 4-Cutter Full Carbide Head Hammer Bit</t>
        </is>
      </c>
      <c r="E4835" s="2">
        <f>HYPERLINK("https://www.amazon.com/Diablo-DMAPL4100-SDS-Plus-4-Cutter-Carbide/dp/B089LG82VT/ref=sr_1_34?keywords=Diablo+Tools+DMAPL4220+5%2F8+in.+x+6+in.+x+8+in.+Rebar+Demon%E2%84%A2+SDS-Plus+4-Cutter+Full+Carbide+Head+Hammer+Bit&amp;qid=1694735306&amp;sr=8-34", "https://www.amazon.com/Diablo-DMAPL4100-SDS-Plus-4-Cutter-Carbide/dp/B089LG82VT/ref=sr_1_34?keywords=Diablo+Tools+DMAPL4220+5%2F8+in.+x+6+in.+x+8+in.+Rebar+Demon%E2%84%A2+SDS-Plus+4-Cutter+Full+Carbide+Head+Hammer+Bit&amp;qid=1694735306&amp;sr=8-34")</f>
        <v/>
      </c>
      <c r="F4835" t="inlineStr">
        <is>
          <t>B089LG82VT</t>
        </is>
      </c>
      <c r="G4835">
        <f>_xlfn.IMAGE("https://edmondsonsupply.com/cdn/shop/products/DMAPL4220.jpg?v=1633030355")</f>
        <v/>
      </c>
      <c r="H4835">
        <f>_xlfn.IMAGE("https://m.media-amazon.com/images/I/61feUT5pRgL._AC_UL320_.jpg")</f>
        <v/>
      </c>
      <c r="K4835" t="inlineStr">
        <is>
          <t>10.97</t>
        </is>
      </c>
      <c r="L4835" t="n">
        <v>16.85</v>
      </c>
      <c r="M4835" s="1" t="inlineStr">
        <is>
          <t>53.60%</t>
        </is>
      </c>
      <c r="N4835" s="7" t="n">
        <v>-26.76</v>
      </c>
      <c r="O4835" t="n">
        <v>4.9</v>
      </c>
      <c r="P4835" t="n">
        <v>46</v>
      </c>
      <c r="R4835" t="inlineStr">
        <is>
          <t>InStock</t>
        </is>
      </c>
      <c r="S4835" t="inlineStr">
        <is>
          <t>17.16</t>
        </is>
      </c>
      <c r="T4835" t="inlineStr">
        <is>
          <t>5286142148776</t>
        </is>
      </c>
    </row>
    <row r="4836" ht="87" customHeight="1">
      <c r="A4836" s="2">
        <f>HYPERLINK("https://edmondsonsupply.com/collections/electricians-tools/products/channellock-3017", "https://edmondsonsupply.com/collections/electricians-tools/products/channellock-3017")</f>
        <v/>
      </c>
      <c r="B4836" s="2">
        <f>HYPERLINK("https://edmondsonsupply.com/products/channellock-3017", "https://edmondsonsupply.com/products/channellock-3017")</f>
        <v/>
      </c>
      <c r="C4836" t="inlineStr">
        <is>
          <t>Channellock 3017 8-Inch Long Nose Pliers</t>
        </is>
      </c>
      <c r="D4836" t="inlineStr">
        <is>
          <t>KNIPEX Tools - Long Nose Pliers Without Cutter (3811200) Red, 8 inches</t>
        </is>
      </c>
      <c r="E4836" s="2">
        <f>HYPERLINK("https://www.amazon.com/Knipex-3811200-8-Inch-Pliers-without/dp/B000X4MOZM/ref=sr_1_31?keywords=Channellock+3017+8-Inch+Long+Nose+Pliers&amp;qid=1694735304&amp;sr=8-31", "https://www.amazon.com/Knipex-3811200-8-Inch-Pliers-without/dp/B000X4MOZM/ref=sr_1_31?keywords=Channellock+3017+8-Inch+Long+Nose+Pliers&amp;qid=1694735304&amp;sr=8-31")</f>
        <v/>
      </c>
      <c r="F4836" t="inlineStr">
        <is>
          <t>B000X4MOZM</t>
        </is>
      </c>
      <c r="G4836">
        <f>_xlfn.IMAGE("https://edmondsonsupply.com/cdn/shop/products/3017-683x1024.jpg?v=1633030322")</f>
        <v/>
      </c>
      <c r="H4836">
        <f>_xlfn.IMAGE("https://m.media-amazon.com/images/I/31mRhxF9ajL._AC_UL320_.jpg")</f>
        <v/>
      </c>
      <c r="K4836" t="inlineStr">
        <is>
          <t>19.95</t>
        </is>
      </c>
      <c r="L4836" t="n">
        <v>30.63</v>
      </c>
      <c r="M4836" s="1" t="inlineStr">
        <is>
          <t>53.53%</t>
        </is>
      </c>
      <c r="N4836" s="7" t="n">
        <v>-26.83</v>
      </c>
      <c r="O4836" t="n">
        <v>4.7</v>
      </c>
      <c r="P4836" t="n">
        <v>65</v>
      </c>
      <c r="R4836" t="inlineStr">
        <is>
          <t>InStock</t>
        </is>
      </c>
      <c r="S4836" t="inlineStr">
        <is>
          <t>29.97</t>
        </is>
      </c>
      <c r="T4836" t="inlineStr">
        <is>
          <t>5245817159848</t>
        </is>
      </c>
    </row>
    <row r="4837" hidden="1" ht="15.75" customHeight="1">
      <c r="A4837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4837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4837" t="inlineStr">
        <is>
          <t>Diablo Tools DMAPL4040 3/16 in. x 4 in. x 6 in. Rebar Demon™ SDS-Plus 4-Cutter Full Carbide Head Hammer Bit</t>
        </is>
      </c>
      <c r="D4837" t="inlineStr">
        <is>
          <t>Diablo DMAPL4120 5/16 in. x 10 in. x 12 in. Rebar Demon™ SDS-Plus 4-Cutter Full Carbide Head Hammer Bit</t>
        </is>
      </c>
      <c r="E4837" s="2">
        <f>HYPERLINK("https://www.amazon.com/Diablo-SDS-Plus-4-Cutter-Carbide-Hammer/dp/B089KTHL12/ref=sr_1_16?keywords=Diablo+Tools+DMAPL4040+3%2F16+in.+x+4+in.+x+6+in.+Rebar+Demon%E2%84%A2+SDS-Plus+4-Cutter+Full+Carbide+Head+Hammer+Bit&amp;qid=1694735297&amp;sr=8-16", "https://www.amazon.com/Diablo-SDS-Plus-4-Cutter-Carbide-Hammer/dp/B089KTHL12/ref=sr_1_16?keywords=Diablo+Tools+DMAPL4040+3%2F16+in.+x+4+in.+x+6+in.+Rebar+Demon%E2%84%A2+SDS-Plus+4-Cutter+Full+Carbide+Head+Hammer+Bit&amp;qid=1694735297&amp;sr=8-16")</f>
        <v/>
      </c>
      <c r="F4837" t="inlineStr">
        <is>
          <t>B089KTHL12</t>
        </is>
      </c>
      <c r="G4837">
        <f>_xludf.IMAGE("https://edmondsonsupply.com/cdn/shop/products/DMAPL4040_Main-Image20200701.png?v=1633030358")</f>
        <v/>
      </c>
      <c r="H4837">
        <f>_xludf.IMAGE("https://m.media-amazon.com/images/I/61P8b1v1TBL._AC_UL320_.jpg")</f>
        <v/>
      </c>
      <c r="K4837" t="inlineStr">
        <is>
          <t>8.47</t>
        </is>
      </c>
      <c r="L4837" t="n">
        <v>12.99</v>
      </c>
      <c r="M4837" s="1" t="inlineStr">
        <is>
          <t>53.36%</t>
        </is>
      </c>
      <c r="N4837" s="1" t="n">
        <v>-26.86</v>
      </c>
      <c r="O4837" t="n">
        <v>5</v>
      </c>
      <c r="P4837" t="n">
        <v>6</v>
      </c>
      <c r="R4837" t="inlineStr">
        <is>
          <t>InStock</t>
        </is>
      </c>
      <c r="S4837" t="inlineStr">
        <is>
          <t>undefined</t>
        </is>
      </c>
      <c r="T4837" t="inlineStr">
        <is>
          <t>5286740426920</t>
        </is>
      </c>
    </row>
    <row r="4838" ht="87" customHeight="1">
      <c r="A4838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4838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4838" t="inlineStr">
        <is>
          <t>Diablo Tools DOU250JBW 2-1/2 in. Universal Fit Bi-Metal Oscillating Blade for Clean Wood</t>
        </is>
      </c>
      <c r="D4838" t="inlineStr">
        <is>
          <t>Diablo DOU125BW3 1-1/4 in. Universal Fit Bi-Metal Oscillating Blades for Nail-Embedded Wood (3-Pack)</t>
        </is>
      </c>
      <c r="E4838" s="2">
        <f>HYPERLINK("https://www.amazon.com/Diablo-Universal-Bi-Metal-Blades-Nail-Embedded/dp/B089KW2WVD/ref=sr_1_4?keywords=Diablo+Tools+DOU250JBW+2-1%2F2+in.+Universal+Fit+Bi-Metal+Oscillating+Blade+for+Clean+Wood&amp;qid=1694734994&amp;sr=8-4", "https://www.amazon.com/Diablo-Universal-Bi-Metal-Blades-Nail-Embedded/dp/B089KW2WVD/ref=sr_1_4?keywords=Diablo+Tools+DOU250JBW+2-1%2F2+in.+Universal+Fit+Bi-Metal+Oscillating+Blade+for+Clean+Wood&amp;qid=1694734994&amp;sr=8-4")</f>
        <v/>
      </c>
      <c r="F4838" t="inlineStr">
        <is>
          <t>B089KW2WVD</t>
        </is>
      </c>
      <c r="G4838">
        <f>_xlfn.IMAGE("https://edmondsonsupply.com/cdn/shop/files/pycnap4eb1urn2hxvudq.webp?v=1685718789")</f>
        <v/>
      </c>
      <c r="H4838">
        <f>_xlfn.IMAGE("https://m.media-amazon.com/images/I/613ig7mNjfL._AC_UL320_.jpg")</f>
        <v/>
      </c>
      <c r="K4838" t="inlineStr">
        <is>
          <t>15.65</t>
        </is>
      </c>
      <c r="L4838" t="n">
        <v>23.99</v>
      </c>
      <c r="M4838" s="1" t="inlineStr">
        <is>
          <t>53.29%</t>
        </is>
      </c>
      <c r="N4838" s="7" t="n">
        <v>-26.94</v>
      </c>
      <c r="O4838" t="n">
        <v>4.6</v>
      </c>
      <c r="P4838" t="n">
        <v>147</v>
      </c>
      <c r="R4838" t="inlineStr">
        <is>
          <t>InStock</t>
        </is>
      </c>
      <c r="S4838" t="inlineStr">
        <is>
          <t>24.85</t>
        </is>
      </c>
      <c r="T4838" t="inlineStr">
        <is>
          <t>7999572279512</t>
        </is>
      </c>
    </row>
    <row r="4839" ht="87" customHeight="1">
      <c r="A4839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4839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4839" t="inlineStr">
        <is>
          <t>Diablo Tools DMAPL2380 9/16 in. x 10 in. x 12 in. SDS-Plus 2-Cutter</t>
        </is>
      </c>
      <c r="D4839" t="inlineStr">
        <is>
          <t>Diablo 9/16 in. x 16 in. x 18 in. SDS-Plus 2-Cutter</t>
        </is>
      </c>
      <c r="E4839" s="2">
        <f>HYPERLINK("https://www.amazon.com/Diablo-16-18-SDS-Plus-2-Cutter/dp/B089LCNF42/ref=sr_1_9?keywords=Diablo+Tools+DMAPL2380+9%2F16+in.+x+10+in.+x+12+in.+SDS-Plus+2-Cutter&amp;qid=1694735296&amp;sr=8-9", "https://www.amazon.com/Diablo-16-18-SDS-Plus-2-Cutter/dp/B089LCNF42/ref=sr_1_9?keywords=Diablo+Tools+DMAPL2380+9%2F16+in.+x+10+in.+x+12+in.+SDS-Plus+2-Cutter&amp;qid=1694735296&amp;sr=8-9")</f>
        <v/>
      </c>
      <c r="F4839" t="inlineStr">
        <is>
          <t>B089LCNF42</t>
        </is>
      </c>
      <c r="G4839">
        <f>_xlfn.IMAGE("https://edmondsonsupply.com/cdn/shop/products/pn8n58bx2f87ihetrrnf.webp?v=1670435143")</f>
        <v/>
      </c>
      <c r="H4839">
        <f>_xlfn.IMAGE("https://m.media-amazon.com/images/I/61vA5zuIT+L._AC_UL320_.jpg")</f>
        <v/>
      </c>
      <c r="K4839" t="inlineStr">
        <is>
          <t>14.99</t>
        </is>
      </c>
      <c r="L4839" t="n">
        <v>22.97</v>
      </c>
      <c r="M4839" s="1" t="inlineStr">
        <is>
          <t>53.24%</t>
        </is>
      </c>
      <c r="N4839" s="7" t="n">
        <v>-27.11</v>
      </c>
      <c r="O4839" t="n">
        <v>4.5</v>
      </c>
      <c r="P4839" t="n">
        <v>2</v>
      </c>
      <c r="R4839" t="inlineStr">
        <is>
          <t>InStock</t>
        </is>
      </c>
      <c r="S4839" t="inlineStr">
        <is>
          <t>21.48</t>
        </is>
      </c>
      <c r="T4839" t="inlineStr">
        <is>
          <t>5286298222760</t>
        </is>
      </c>
    </row>
    <row r="4840" ht="87" customHeight="1">
      <c r="A4840" s="2">
        <f>HYPERLINK("https://edmondsonsupply.com/collections/electricians-tools/products/diablo-tools-dmamx1220", "https://edmondsonsupply.com/collections/electricians-tools/products/diablo-tools-dmamx1220")</f>
        <v/>
      </c>
      <c r="B4840" s="2">
        <f>HYPERLINK("https://edmondsonsupply.com/products/diablo-tools-dmamx1220", "https://edmondsonsupply.com/products/diablo-tools-dmamx1220")</f>
        <v/>
      </c>
      <c r="C4840" t="inlineStr">
        <is>
          <t>Diablo Tools DMAMX1220 1 in. x 16 in. x 21 in. Rebar Demon™ SDS-Max 4-Cutter Full Carbide Head Hammer Drill Bit</t>
        </is>
      </c>
      <c r="D4840" t="inlineStr">
        <is>
          <t>Diablo by Freud DMAMX1300 1-1/4 in. x 16 in. x 21 in. Rebar Demon SDS-Max 4-Cutter Carbide-Tipped Hammer Bit</t>
        </is>
      </c>
      <c r="E4840" s="2">
        <f>HYPERLINK("https://www.amazon.com/Diablo-Freud-DMAMX1300-4-Cutter-Carbide-Tipped/dp/B089KX2QSQ/ref=sr_1_34?keywords=Diablo+Tools+DMAMX1220+1+in.+x+16+in.+x+21+in.+Rebar+Demon%E2%84%A2+SDS-Max+4-Cutter+Full+Carbide+Head+Hammer+Drill+Bit&amp;qid=1694735075&amp;sr=8-34", "https://www.amazon.com/Diablo-Freud-DMAMX1300-4-Cutter-Carbide-Tipped/dp/B089KX2QSQ/ref=sr_1_34?keywords=Diablo+Tools+DMAMX1220+1+in.+x+16+in.+x+21+in.+Rebar+Demon%E2%84%A2+SDS-Max+4-Cutter+Full+Carbide+Head+Hammer+Drill+Bit&amp;qid=1694735075&amp;sr=8-34")</f>
        <v/>
      </c>
      <c r="F4840" t="inlineStr">
        <is>
          <t>B089KX2QSQ</t>
        </is>
      </c>
      <c r="G4840">
        <f>_xlfn.IMAGE("https://edmondsonsupply.com/cdn/shop/products/immoyh7jjmbau4fzhuq6.webp?v=1670431066")</f>
        <v/>
      </c>
      <c r="H4840">
        <f>_xlfn.IMAGE("https://m.media-amazon.com/images/I/61pgqdG9SfL._AC_UL320_.jpg")</f>
        <v/>
      </c>
      <c r="K4840" t="inlineStr">
        <is>
          <t>45.69</t>
        </is>
      </c>
      <c r="L4840" t="n">
        <v>69.89</v>
      </c>
      <c r="M4840" s="1" t="inlineStr">
        <is>
          <t>52.97%</t>
        </is>
      </c>
      <c r="N4840" s="7" t="n">
        <v>-27.14</v>
      </c>
      <c r="O4840" t="n">
        <v>5</v>
      </c>
      <c r="P4840" t="n">
        <v>2</v>
      </c>
      <c r="R4840" t="inlineStr">
        <is>
          <t>InStock</t>
        </is>
      </c>
      <c r="S4840" t="inlineStr">
        <is>
          <t>70.58</t>
        </is>
      </c>
      <c r="T4840" t="inlineStr">
        <is>
          <t>7900195356888</t>
        </is>
      </c>
    </row>
    <row r="4841" hidden="1" ht="15.75" customHeight="1">
      <c r="A4841" s="2">
        <f>HYPERLINK("https://edmondsonsupply.com/collections/electricians-tools/products/klein-tools-jth9m2-2-mm-hey-key-journeyman%E2%84%A2-t-handle-9-inch", "https://edmondsonsupply.com/collections/electricians-tools/products/klein-tools-jth9m2-2-mm-hey-key-journeyman%E2%84%A2-t-handle-9-inch")</f>
        <v/>
      </c>
      <c r="B4841" s="2">
        <f>HYPERLINK("https://edmondsonsupply.com/products/klein-tools-jth9m2-2-mm-hey-key-journeyman%e2%84%a2-t-handle-9-inch", "https://edmondsonsupply.com/products/klein-tools-jth9m2-2-mm-hey-key-journeyman%e2%84%a2-t-handle-9-inch")</f>
        <v/>
      </c>
      <c r="C4841" t="inlineStr">
        <is>
          <t>Klein Tools JTH9M2 2 mm Hey Key, Journeyman™ T-Handle, 9-Inch</t>
        </is>
      </c>
      <c r="D4841" t="inlineStr">
        <is>
          <t>Klein Tools JTH9M25 2.5 mm Hex Key with Journeyman T-Handle, 9-Inch</t>
        </is>
      </c>
      <c r="E4841" s="2">
        <f>HYPERLINK("https://www.amazon.com/Journeyman-T-Handle-Klein-Tools-JTH9M25/dp/B005G3HIRY/ref=sr_1_3?keywords=Klein+Tools+JTH9M2+2+mm+Hey+Key%2C+Journeyman%E2%84%A2+T-Handle%2C+9-Inch&amp;qid=1694735043&amp;sr=8-3", "https://www.amazon.com/Journeyman-T-Handle-Klein-Tools-JTH9M25/dp/B005G3HIRY/ref=sr_1_3?keywords=Klein+Tools+JTH9M2+2+mm+Hey+Key%2C+Journeyman%E2%84%A2+T-Handle%2C+9-Inch&amp;qid=1694735043&amp;sr=8-3")</f>
        <v/>
      </c>
      <c r="F4841" t="inlineStr">
        <is>
          <t>B005G3HIRY</t>
        </is>
      </c>
      <c r="G4841">
        <f>_xludf.IMAGE("https://edmondsonsupply.com/cdn/shop/products/jth6m8_ddd5a1ff-5024-4b1a-83d1-8e932306f033.jpg?v=1675271602")</f>
        <v/>
      </c>
      <c r="H4841">
        <f>_xludf.IMAGE("https://m.media-amazon.com/images/I/51+1x0vz9XL._AC_UL320_.jpg")</f>
        <v/>
      </c>
      <c r="K4841" t="inlineStr">
        <is>
          <t>4.49</t>
        </is>
      </c>
      <c r="L4841" t="n">
        <v>6.84</v>
      </c>
      <c r="M4841" s="1" t="inlineStr">
        <is>
          <t>52.34%</t>
        </is>
      </c>
      <c r="N4841" s="1" t="n">
        <v>-27.22</v>
      </c>
      <c r="O4841" t="n">
        <v>4.2</v>
      </c>
      <c r="P4841" t="n">
        <v>14</v>
      </c>
      <c r="R4841" t="inlineStr">
        <is>
          <t>InStock</t>
        </is>
      </c>
      <c r="S4841" t="inlineStr">
        <is>
          <t>6.82</t>
        </is>
      </c>
      <c r="T4841" t="inlineStr">
        <is>
          <t>7937141145816</t>
        </is>
      </c>
    </row>
    <row r="4842" hidden="1" ht="15.75" customHeight="1">
      <c r="A4842" s="2">
        <f>HYPERLINK("https://edmondsonsupply.com/collections/electricians-tools/products/klein-tools-jth9m25-2-5-mm-hey-key-journeyman%E2%84%A2-t-handle-9-inch", "https://edmondsonsupply.com/collections/electricians-tools/products/klein-tools-jth9m25-2-5-mm-hey-key-journeyman%E2%84%A2-t-handle-9-inch")</f>
        <v/>
      </c>
      <c r="B4842" s="2">
        <f>HYPERLINK("https://edmondsonsupply.com/products/klein-tools-jth9m25-2-5-mm-hey-key-journeyman%e2%84%a2-t-handle-9-inch", "https://edmondsonsupply.com/products/klein-tools-jth9m25-2-5-mm-hey-key-journeyman%e2%84%a2-t-handle-9-inch")</f>
        <v/>
      </c>
      <c r="C4842" t="inlineStr">
        <is>
          <t>Klein Tools JTH9M25 2.5 mm Hey Key, Journeyman™ T-Handle, 9-Inch</t>
        </is>
      </c>
      <c r="D4842" t="inlineStr">
        <is>
          <t>Klein Tools JTH9M25 2.5 mm Hex Key with Journeyman T-Handle, 9-Inch</t>
        </is>
      </c>
      <c r="E4842" s="2">
        <f>HYPERLINK("https://www.amazon.com/Journeyman-T-Handle-Klein-Tools-JTH9M25/dp/B005G3HIRY/ref=sr_1_1?keywords=Klein+Tools+JTH9M25+2.5+mm+Hey+Key%2C+Journeyman%E2%84%A2+T-Handle%2C+9-Inch&amp;qid=1694735040&amp;sr=8-1", "https://www.amazon.com/Journeyman-T-Handle-Klein-Tools-JTH9M25/dp/B005G3HIRY/ref=sr_1_1?keywords=Klein+Tools+JTH9M25+2.5+mm+Hey+Key%2C+Journeyman%E2%84%A2+T-Handle%2C+9-Inch&amp;qid=1694735040&amp;sr=8-1")</f>
        <v/>
      </c>
      <c r="F4842" t="inlineStr">
        <is>
          <t>B005G3HIRY</t>
        </is>
      </c>
      <c r="G4842">
        <f>_xludf.IMAGE("https://edmondsonsupply.com/cdn/shop/products/jth6m8_7566f3df-6fcc-4a61-b504-1685e861a479.jpg?v=1678199657")</f>
        <v/>
      </c>
      <c r="H4842">
        <f>_xludf.IMAGE("https://m.media-amazon.com/images/I/51+1x0vz9XL._AC_UL320_.jpg")</f>
        <v/>
      </c>
      <c r="K4842" t="inlineStr">
        <is>
          <t>4.49</t>
        </is>
      </c>
      <c r="L4842" t="n">
        <v>6.84</v>
      </c>
      <c r="M4842" s="1" t="inlineStr">
        <is>
          <t>52.34%</t>
        </is>
      </c>
      <c r="N4842" s="1" t="n">
        <v>-27.22</v>
      </c>
      <c r="O4842" t="n">
        <v>4.2</v>
      </c>
      <c r="P4842" t="n">
        <v>14</v>
      </c>
      <c r="R4842" t="inlineStr">
        <is>
          <t>InStock</t>
        </is>
      </c>
      <c r="S4842" t="inlineStr">
        <is>
          <t>6.82</t>
        </is>
      </c>
      <c r="T4842" t="inlineStr">
        <is>
          <t>7957390000344</t>
        </is>
      </c>
    </row>
    <row r="4843" hidden="1" ht="15.75" customHeight="1">
      <c r="A4843" s="2">
        <f>HYPERLINK("https://edmondsonsupply.com/collections/electricians-tools/products/klein-tools-jth9m2-2-mm-hey-key-journeyman%E2%84%A2-t-handle-9-inch", "https://edmondsonsupply.com/collections/electricians-tools/products/klein-tools-jth9m2-2-mm-hey-key-journeyman%E2%84%A2-t-handle-9-inch")</f>
        <v/>
      </c>
      <c r="B4843" s="2">
        <f>HYPERLINK("https://edmondsonsupply.com/products/klein-tools-jth9m2-2-mm-hey-key-journeyman%e2%84%a2-t-handle-9-inch", "https://edmondsonsupply.com/products/klein-tools-jth9m2-2-mm-hey-key-journeyman%e2%84%a2-t-handle-9-inch")</f>
        <v/>
      </c>
      <c r="C4843" t="inlineStr">
        <is>
          <t>Klein Tools JTH9M2 2 mm Hey Key, Journeyman™ T-Handle, 9-Inch</t>
        </is>
      </c>
      <c r="D4843" t="inlineStr">
        <is>
          <t>Klein Tools JTH9M2 2 mm Hey Key, Journeyman T-Handle, 9-Inch</t>
        </is>
      </c>
      <c r="E4843" s="2">
        <f>HYPERLINK("https://www.amazon.com/Journeyman-T-Handle-Klein-Tools-JTH9M2/dp/B005G3HIHY/ref=sr_1_1?keywords=Klein+Tools+JTH9M2+2+mm+Hey+Key%2C+Journeyman%E2%84%A2+T-Handle%2C+9-Inch&amp;qid=1694735043&amp;sr=8-1", "https://www.amazon.com/Journeyman-T-Handle-Klein-Tools-JTH9M2/dp/B005G3HIHY/ref=sr_1_1?keywords=Klein+Tools+JTH9M2+2+mm+Hey+Key%2C+Journeyman%E2%84%A2+T-Handle%2C+9-Inch&amp;qid=1694735043&amp;sr=8-1")</f>
        <v/>
      </c>
      <c r="F4843" t="inlineStr">
        <is>
          <t>B005G3HIHY</t>
        </is>
      </c>
      <c r="G4843">
        <f>_xludf.IMAGE("https://edmondsonsupply.com/cdn/shop/products/jth6m8_ddd5a1ff-5024-4b1a-83d1-8e932306f033.jpg?v=1675271602")</f>
        <v/>
      </c>
      <c r="H4843">
        <f>_xludf.IMAGE("https://m.media-amazon.com/images/I/51+1x0vz9XL._AC_UL320_.jpg")</f>
        <v/>
      </c>
      <c r="K4843" t="inlineStr">
        <is>
          <t>4.49</t>
        </is>
      </c>
      <c r="L4843" t="n">
        <v>6.84</v>
      </c>
      <c r="M4843" s="1" t="inlineStr">
        <is>
          <t>52.34%</t>
        </is>
      </c>
      <c r="N4843" s="1" t="n">
        <v>-27.26</v>
      </c>
      <c r="O4843" t="n">
        <v>4.5</v>
      </c>
      <c r="P4843" t="n">
        <v>49</v>
      </c>
      <c r="R4843" t="inlineStr">
        <is>
          <t>InStock</t>
        </is>
      </c>
      <c r="S4843" t="inlineStr">
        <is>
          <t>6.82</t>
        </is>
      </c>
      <c r="T4843" t="inlineStr">
        <is>
          <t>7937141145816</t>
        </is>
      </c>
    </row>
    <row r="4844" hidden="1" ht="15.75" customHeight="1">
      <c r="A4844" s="2">
        <f>HYPERLINK("https://edmondsonsupply.com/collections/electricians-tools/products/klein-tools-jth9m25-2-5-mm-hey-key-journeyman%E2%84%A2-t-handle-9-inch", "https://edmondsonsupply.com/collections/electricians-tools/products/klein-tools-jth9m25-2-5-mm-hey-key-journeyman%E2%84%A2-t-handle-9-inch")</f>
        <v/>
      </c>
      <c r="B4844" s="2">
        <f>HYPERLINK("https://edmondsonsupply.com/products/klein-tools-jth9m25-2-5-mm-hey-key-journeyman%e2%84%a2-t-handle-9-inch", "https://edmondsonsupply.com/products/klein-tools-jth9m25-2-5-mm-hey-key-journeyman%e2%84%a2-t-handle-9-inch")</f>
        <v/>
      </c>
      <c r="C4844" t="inlineStr">
        <is>
          <t>Klein Tools JTH9M25 2.5 mm Hey Key, Journeyman™ T-Handle, 9-Inch</t>
        </is>
      </c>
      <c r="D4844" t="inlineStr">
        <is>
          <t>Klein Tools JTH9M2 2 mm Hey Key, Journeyman T-Handle, 9-Inch</t>
        </is>
      </c>
      <c r="E4844" s="2">
        <f>HYPERLINK("https://www.amazon.com/Journeyman-T-Handle-Klein-Tools-JTH9M2/dp/B005G3HIHY/ref=sr_1_2?keywords=Klein+Tools+JTH9M25+2.5+mm+Hey+Key%2C+Journeyman%E2%84%A2+T-Handle%2C+9-Inch&amp;qid=1694735040&amp;sr=8-2", "https://www.amazon.com/Journeyman-T-Handle-Klein-Tools-JTH9M2/dp/B005G3HIHY/ref=sr_1_2?keywords=Klein+Tools+JTH9M25+2.5+mm+Hey+Key%2C+Journeyman%E2%84%A2+T-Handle%2C+9-Inch&amp;qid=1694735040&amp;sr=8-2")</f>
        <v/>
      </c>
      <c r="F4844" t="inlineStr">
        <is>
          <t>B005G3HIHY</t>
        </is>
      </c>
      <c r="G4844">
        <f>_xludf.IMAGE("https://edmondsonsupply.com/cdn/shop/products/jth6m8_7566f3df-6fcc-4a61-b504-1685e861a479.jpg?v=1678199657")</f>
        <v/>
      </c>
      <c r="H4844">
        <f>_xludf.IMAGE("https://m.media-amazon.com/images/I/51+1x0vz9XL._AC_UL320_.jpg")</f>
        <v/>
      </c>
      <c r="K4844" t="inlineStr">
        <is>
          <t>4.49</t>
        </is>
      </c>
      <c r="L4844" t="n">
        <v>6.84</v>
      </c>
      <c r="M4844" s="1" t="inlineStr">
        <is>
          <t>52.34%</t>
        </is>
      </c>
      <c r="N4844" s="1" t="n">
        <v>-27.28</v>
      </c>
      <c r="O4844" t="n">
        <v>4.5</v>
      </c>
      <c r="P4844" t="n">
        <v>49</v>
      </c>
      <c r="R4844" t="inlineStr">
        <is>
          <t>InStock</t>
        </is>
      </c>
      <c r="S4844" t="inlineStr">
        <is>
          <t>6.82</t>
        </is>
      </c>
      <c r="T4844" t="inlineStr">
        <is>
          <t>7957390000344</t>
        </is>
      </c>
    </row>
    <row r="4845" hidden="1" ht="15.75" customHeight="1">
      <c r="A4845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4845" s="2">
        <f>HYPERLINK("https://edmondsonsupply.com/products/klein-tools-jth9m3-3-mm-hex-key-with-journeyman-t-handle-9-inch", "https://edmondsonsupply.com/products/klein-tools-jth9m3-3-mm-hex-key-with-journeyman-t-handle-9-inch")</f>
        <v/>
      </c>
      <c r="C4845" t="inlineStr">
        <is>
          <t>Klein Tools JTH9M3 3 mm Hex Key with Journeyman T-Handle, 9-Inch</t>
        </is>
      </c>
      <c r="D4845" t="inlineStr">
        <is>
          <t>Klein Tools JTH9M25 2.5 mm Hex Key with Journeyman T-Handle, 9-Inch</t>
        </is>
      </c>
      <c r="E4845" s="2">
        <f>HYPERLINK("https://www.amazon.com/Journeyman-T-Handle-Klein-Tools-JTH9M25/dp/B005G3HIRY/ref=sr_1_5?keywords=Klein+Tools+JTH9M3+3+mm+Hex+Key+with+Journeyman+T-Handle%2C+9-Inch&amp;qid=1694735249&amp;sr=8-5", "https://www.amazon.com/Journeyman-T-Handle-Klein-Tools-JTH9M25/dp/B005G3HIRY/ref=sr_1_5?keywords=Klein+Tools+JTH9M3+3+mm+Hex+Key+with+Journeyman+T-Handle%2C+9-Inch&amp;qid=1694735249&amp;sr=8-5")</f>
        <v/>
      </c>
      <c r="F4845" t="inlineStr">
        <is>
          <t>B005G3HIRY</t>
        </is>
      </c>
      <c r="G4845">
        <f>_xludf.IMAGE("https://edmondsonsupply.com/cdn/shop/products/jth9m.jpg?v=1633030702")</f>
        <v/>
      </c>
      <c r="H4845">
        <f>_xludf.IMAGE("https://m.media-amazon.com/images/I/51+1x0vz9XL._AC_UL320_.jpg")</f>
        <v/>
      </c>
      <c r="K4845" t="inlineStr">
        <is>
          <t>4.49</t>
        </is>
      </c>
      <c r="L4845" t="n">
        <v>6.84</v>
      </c>
      <c r="M4845" s="1" t="inlineStr">
        <is>
          <t>52.34%</t>
        </is>
      </c>
      <c r="N4845" s="1" t="n">
        <v>-27.29</v>
      </c>
      <c r="O4845" t="n">
        <v>4.2</v>
      </c>
      <c r="P4845" t="n">
        <v>14</v>
      </c>
      <c r="R4845" t="inlineStr">
        <is>
          <t>InStock</t>
        </is>
      </c>
      <c r="S4845" t="inlineStr">
        <is>
          <t>6.82</t>
        </is>
      </c>
      <c r="T4845" t="inlineStr">
        <is>
          <t>5848344035496</t>
        </is>
      </c>
    </row>
    <row r="4846" hidden="1" ht="15.75" customHeight="1">
      <c r="A4846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4846" s="2">
        <f>HYPERLINK("https://edmondsonsupply.com/products/klein-tools-jth9m5-4-mm-hex-key-journeyman-t-handle-9-inch", "https://edmondsonsupply.com/products/klein-tools-jth9m5-4-mm-hex-key-journeyman-t-handle-9-inch")</f>
        <v/>
      </c>
      <c r="C4846" t="inlineStr">
        <is>
          <t>Klein Tools JTH9M4 4 mm Hex Key, Journeyman T-Handle, 9-Inch</t>
        </is>
      </c>
      <c r="D4846" t="inlineStr">
        <is>
          <t>Klein Tools JTH9M25 2.5 mm Hex Key with Journeyman T-Handle, 9-Inch</t>
        </is>
      </c>
      <c r="E4846" s="2">
        <f>HYPERLINK("https://www.amazon.com/Journeyman-T-Handle-Klein-Tools-JTH9M25/dp/B005G3HIRY/ref=sr_1_5?keywords=Klein+Tools+JTH9M4+4+mm+Hex+Key%2C+Journeyman+T-Handle%2C+9-Inch&amp;qid=1694735170&amp;sr=8-5", "https://www.amazon.com/Journeyman-T-Handle-Klein-Tools-JTH9M25/dp/B005G3HIRY/ref=sr_1_5?keywords=Klein+Tools+JTH9M4+4+mm+Hex+Key%2C+Journeyman+T-Handle%2C+9-Inch&amp;qid=1694735170&amp;sr=8-5")</f>
        <v/>
      </c>
      <c r="F4846" t="inlineStr">
        <is>
          <t>B005G3HIRY</t>
        </is>
      </c>
      <c r="G4846">
        <f>_xludf.IMAGE("https://edmondsonsupply.com/cdn/shop/products/jth9m_fa8a641d-d03f-4191-ab24-b9045963e4f7.jpg?v=1640191121")</f>
        <v/>
      </c>
      <c r="H4846">
        <f>_xludf.IMAGE("https://m.media-amazon.com/images/I/51+1x0vz9XL._AC_UL320_.jpg")</f>
        <v/>
      </c>
      <c r="K4846" t="inlineStr">
        <is>
          <t>4.49</t>
        </is>
      </c>
      <c r="L4846" t="n">
        <v>6.84</v>
      </c>
      <c r="M4846" s="1" t="inlineStr">
        <is>
          <t>52.34%</t>
        </is>
      </c>
      <c r="N4846" s="1" t="n">
        <v>-27.31</v>
      </c>
      <c r="O4846" t="n">
        <v>4.2</v>
      </c>
      <c r="P4846" t="n">
        <v>14</v>
      </c>
      <c r="R4846" t="inlineStr">
        <is>
          <t>InStock</t>
        </is>
      </c>
      <c r="S4846" t="inlineStr">
        <is>
          <t>6.8</t>
        </is>
      </c>
      <c r="T4846" t="inlineStr">
        <is>
          <t>7555980656856</t>
        </is>
      </c>
    </row>
    <row r="4847" ht="87" customHeight="1">
      <c r="A4847" s="2">
        <f>HYPERLINK("https://edmondsonsupply.com/collections/electricians-tools/products/copy-of-diablo-tools-6-1-2-in-x-48-tooth-steel-demon-metal-cutting-saw-blade", "https://edmondsonsupply.com/collections/electricians-tools/products/copy-of-diablo-tools-6-1-2-in-x-48-tooth-steel-demon-metal-cutting-saw-blade")</f>
        <v/>
      </c>
      <c r="B4847" s="2">
        <f>HYPERLINK("https://edmondsonsupply.com/products/copy-of-diablo-tools-6-1-2-in-x-48-tooth-steel-demon-metal-cutting-saw-blade", "https://edmondsonsupply.com/products/copy-of-diablo-tools-6-1-2-in-x-48-tooth-steel-demon-metal-cutting-saw-blade")</f>
        <v/>
      </c>
      <c r="C4847" t="inlineStr">
        <is>
          <t>Diablo Tools D0736GPX 7-1/4 in. x 36 Tooth Wood &amp; Metal Carbide Saw Blade</t>
        </is>
      </c>
      <c r="D4847" t="inlineStr">
        <is>
          <t>Freud-Diablo 7-1/4 in. x 36 Tooth Multi-Purpose Material, Wood and Metal Carbide Saw Blade - D0736GPX2</t>
        </is>
      </c>
      <c r="E4847" s="2">
        <f>HYPERLINK("https://www.amazon.com/Freud-Diablo-Tooth-Multi-Purpose-Material-Carbide/dp/B0BK2BNNRM/ref=sr_1_1?keywords=Diablo+Tools+D0736GPX+7-1%2F4+in.+x+36+Tooth+Wood+%26+Metal+Carbide+Saw+Blade&amp;qid=1694735323&amp;sr=8-1", "https://www.amazon.com/Freud-Diablo-Tooth-Multi-Purpose-Material-Carbide/dp/B0BK2BNNRM/ref=sr_1_1?keywords=Diablo+Tools+D0736GPX+7-1%2F4+in.+x+36+Tooth+Wood+%26+Metal+Carbide+Saw+Blade&amp;qid=1694735323&amp;sr=8-1")</f>
        <v/>
      </c>
      <c r="F4847" t="inlineStr">
        <is>
          <t>B0BK2BNNRM</t>
        </is>
      </c>
      <c r="G4847">
        <f>_xlfn.IMAGE("https://edmondsonsupply.com/cdn/shop/products/D0736GPA_Main-Image20191001.png?v=1633030260")</f>
        <v/>
      </c>
      <c r="H4847">
        <f>_xlfn.IMAGE("https://m.media-amazon.com/images/I/619Y9z8ePUL._AC_UL320_.jpg")</f>
        <v/>
      </c>
      <c r="K4847" t="inlineStr">
        <is>
          <t>22.97</t>
        </is>
      </c>
      <c r="L4847" t="n">
        <v>34.99</v>
      </c>
      <c r="M4847" s="1" t="inlineStr">
        <is>
          <t>52.33%</t>
        </is>
      </c>
      <c r="N4847" s="7" t="n">
        <v>-27.31</v>
      </c>
      <c r="O4847" t="n">
        <v>5</v>
      </c>
      <c r="P4847" t="n">
        <v>1</v>
      </c>
      <c r="R4847" t="inlineStr">
        <is>
          <t>InStock</t>
        </is>
      </c>
      <c r="S4847" t="inlineStr">
        <is>
          <t>34.12</t>
        </is>
      </c>
      <c r="T4847" t="inlineStr">
        <is>
          <t>4642549891172</t>
        </is>
      </c>
    </row>
    <row r="4848" ht="87" customHeight="1">
      <c r="A4848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4848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4848" t="inlineStr">
        <is>
          <t>Diablo Tools DOU125BF 1-1/4 in. Universal Fit Bi-Metal Oscillating Blade for Metal</t>
        </is>
      </c>
      <c r="D4848" t="inlineStr">
        <is>
          <t>Diablo by Freud DOU125JBW3 1-1/4 in. Universal Fit Bi-Metal Oscillating Blades for Clean Wood (3-Pack)</t>
        </is>
      </c>
      <c r="E4848" s="2">
        <f>HYPERLINK("https://www.amazon.com/Diablo-Freud-DOU125JBW3-Universal-Oscillating/dp/B089KX3SWM/ref=sr_1_6?keywords=Diablo+Tools+DOU125BF+1-1%2F4+in.+Universal+Fit+Bi-Metal+Oscillating+Blade+for+Metal&amp;qid=1694734995&amp;sr=8-6", "https://www.amazon.com/Diablo-Freud-DOU125JBW3-Universal-Oscillating/dp/B089KX3SWM/ref=sr_1_6?keywords=Diablo+Tools+DOU125BF+1-1%2F4+in.+Universal+Fit+Bi-Metal+Oscillating+Blade+for+Metal&amp;qid=1694734995&amp;sr=8-6")</f>
        <v/>
      </c>
      <c r="F4848" t="inlineStr">
        <is>
          <t>B089KX3SWM</t>
        </is>
      </c>
      <c r="G4848">
        <f>_xlfn.IMAGE("https://edmondsonsupply.com/cdn/shop/files/k1d1qiwmm4npznsdbwtg.webp?v=1685467858")</f>
        <v/>
      </c>
      <c r="H4848">
        <f>_xlfn.IMAGE("https://m.media-amazon.com/images/I/61wFHtmEH5L._AC_UL320_.jpg")</f>
        <v/>
      </c>
      <c r="K4848" t="inlineStr">
        <is>
          <t>18.97</t>
        </is>
      </c>
      <c r="L4848" t="n">
        <v>28.89</v>
      </c>
      <c r="M4848" s="1" t="inlineStr">
        <is>
          <t>52.29%</t>
        </is>
      </c>
      <c r="N4848" s="7" t="n">
        <v>-27.31</v>
      </c>
      <c r="O4848" t="n">
        <v>4.5</v>
      </c>
      <c r="P4848" t="n">
        <v>48</v>
      </c>
      <c r="R4848" t="inlineStr">
        <is>
          <t>InStock</t>
        </is>
      </c>
      <c r="S4848" t="inlineStr">
        <is>
          <t>22.35</t>
        </is>
      </c>
      <c r="T4848" t="inlineStr">
        <is>
          <t>7997877584088</t>
        </is>
      </c>
    </row>
    <row r="4849" ht="87" customHeight="1">
      <c r="A4849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4849" s="2">
        <f>HYPERLINK("https://edmondsonsupply.com/products/klein-tools-31737-folding-jab-saw", "https://edmondsonsupply.com/products/klein-tools-31737-folding-jab-saw")</f>
        <v/>
      </c>
      <c r="C4849" t="inlineStr">
        <is>
          <t>Klein Tools 31737 Folding Jab Saw</t>
        </is>
      </c>
      <c r="D4849" t="inlineStr">
        <is>
          <t>Klein Tools 31737 Folding Jab Saw/Drywall Saw, Hand Saw &amp; 32561 Multi-Bit Screwdriver/Nut Driver, 6-in-1 Stubby Screwdriver with 2 Phillips, 2 Slotted Bits, 2 Nut Drivers</t>
        </is>
      </c>
      <c r="E4849" s="2">
        <f>HYPERLINK("https://www.amazon.com/Klein-Tools-Multi-Bit-Screwdriver-Phillips/dp/B09Z91S548/ref=sr_1_11?keywords=Klein+Tools+31737+Folding+Jab+Saw&amp;qid=1694735392&amp;sr=8-11", "https://www.amazon.com/Klein-Tools-Multi-Bit-Screwdriver-Phillips/dp/B09Z91S548/ref=sr_1_11?keywords=Klein+Tools+31737+Folding+Jab+Saw&amp;qid=1694735392&amp;sr=8-11")</f>
        <v/>
      </c>
      <c r="F4849" t="inlineStr">
        <is>
          <t>B09Z91S548</t>
        </is>
      </c>
      <c r="G4849">
        <f>_xlfn.IMAGE("https://edmondsonsupply.com/cdn/shop/products/31737.jpg?v=1587149419")</f>
        <v/>
      </c>
      <c r="H4849">
        <f>_xlfn.IMAGE("https://m.media-amazon.com/images/I/41GpxliccZL._MCnd_AC_UL320_.jpg")</f>
        <v/>
      </c>
      <c r="K4849" t="inlineStr">
        <is>
          <t>20.99</t>
        </is>
      </c>
      <c r="L4849" t="n">
        <v>31.96</v>
      </c>
      <c r="M4849" s="1" t="inlineStr">
        <is>
          <t>52.26%</t>
        </is>
      </c>
      <c r="N4849" s="7" t="n">
        <v>-27.47</v>
      </c>
      <c r="O4849" t="n">
        <v>5</v>
      </c>
      <c r="P4849" t="n">
        <v>1</v>
      </c>
      <c r="R4849" t="inlineStr">
        <is>
          <t>InStock</t>
        </is>
      </c>
      <c r="S4849" t="inlineStr">
        <is>
          <t>30.06</t>
        </is>
      </c>
      <c r="T4849" t="inlineStr">
        <is>
          <t>1780079853668</t>
        </is>
      </c>
    </row>
    <row r="4850" hidden="1" ht="15.75" customHeight="1">
      <c r="A4850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4850" s="2">
        <f>HYPERLINK("https://edmondsonsupply.com/products/klein-tools-jth6m10-10-mm-hex-key-journeyman-t-handle-6-inch", "https://edmondsonsupply.com/products/klein-tools-jth6m10-10-mm-hex-key-journeyman-t-handle-6-inch")</f>
        <v/>
      </c>
      <c r="C4850" t="inlineStr">
        <is>
          <t>Klein Tools JTH6M10 10 mm Hex Key Journeyman T-Handle 6-Inch</t>
        </is>
      </c>
      <c r="D4850" t="inlineStr">
        <is>
          <t>Klein Tools JTH9M25 2.5 mm Hex Key with Journeyman T-Handle, 9-Inch (Pack of 2)</t>
        </is>
      </c>
      <c r="E4850" s="2">
        <f>HYPERLINK("https://www.amazon.com/Klein-Tools-JTH9M25-Journeyman-T-Handle/dp/B0CFXPBXYK/ref=sr_1_12?keywords=Klein+Tools+JTH6M10+10+mm+Hex+Key+Journeyman+T-Handle+6-Inch&amp;qid=1694735203&amp;sr=8-12", "https://www.amazon.com/Klein-Tools-JTH9M25-Journeyman-T-Handle/dp/B0CFXPBXYK/ref=sr_1_12?keywords=Klein+Tools+JTH6M10+10+mm+Hex+Key+Journeyman+T-Handle+6-Inch&amp;qid=1694735203&amp;sr=8-12")</f>
        <v/>
      </c>
      <c r="F4850" t="inlineStr">
        <is>
          <t>B0CFXPBXYK</t>
        </is>
      </c>
      <c r="G4850">
        <f>_xludf.IMAGE("https://edmondsonsupply.com/cdn/shop/products/jth6m8_64c2c8d3-e13e-4b81-9b34-745be7fd837a.jpg?v=1627827117")</f>
        <v/>
      </c>
      <c r="H4850">
        <f>_xludf.IMAGE("https://m.media-amazon.com/images/I/41QPzTKY+AL._AC_UL320_.jpg")</f>
        <v/>
      </c>
      <c r="K4850" t="inlineStr">
        <is>
          <t>8.99</t>
        </is>
      </c>
      <c r="L4850" t="n">
        <v>13.68</v>
      </c>
      <c r="M4850" s="1" t="inlineStr">
        <is>
          <t>52.17%</t>
        </is>
      </c>
      <c r="N4850" s="1" t="n">
        <v>-27.48</v>
      </c>
      <c r="O4850" t="n">
        <v>4.2</v>
      </c>
      <c r="P4850" t="n">
        <v>14</v>
      </c>
      <c r="R4850" t="inlineStr">
        <is>
          <t>InStock</t>
        </is>
      </c>
      <c r="S4850" t="inlineStr">
        <is>
          <t>13.56</t>
        </is>
      </c>
      <c r="T4850" t="inlineStr">
        <is>
          <t>6852298014893</t>
        </is>
      </c>
    </row>
    <row r="4851" ht="87" customHeight="1">
      <c r="A4851" s="2">
        <f>HYPERLINK("https://edmondsonsupply.com/collections/electricians-tools/products/fluke-87v", "https://edmondsonsupply.com/collections/electricians-tools/products/fluke-87v")</f>
        <v/>
      </c>
      <c r="B4851" s="2">
        <f>HYPERLINK("https://edmondsonsupply.com/products/fluke-87v", "https://edmondsonsupply.com/products/fluke-87v")</f>
        <v/>
      </c>
      <c r="C4851" t="inlineStr">
        <is>
          <t>Fluke 87V Industrial Multimeter</t>
        </is>
      </c>
      <c r="D4851" t="inlineStr">
        <is>
          <t>Fluke 87V MAX/E2 KIT True-rms Digital Multimeter Combo Kit</t>
        </is>
      </c>
      <c r="E4851" s="2">
        <f>HYPERLINK("https://www.amazon.com/Fluke-E2-KIT-True-rms-Multimeter/dp/B07YQS9LTT/ref=sr_1_8?keywords=Fluke+87V+Industrial+Multimeter&amp;qid=1694735314&amp;sr=8-8", "https://www.amazon.com/Fluke-E2-KIT-True-rms-Multimeter/dp/B07YQS9LTT/ref=sr_1_8?keywords=Fluke+87V+Industrial+Multimeter&amp;qid=1694735314&amp;sr=8-8")</f>
        <v/>
      </c>
      <c r="F4851" t="inlineStr">
        <is>
          <t>B07YQS9LTT</t>
        </is>
      </c>
      <c r="G4851">
        <f>_xlfn.IMAGE("https://edmondsonsupply.com/cdn/shop/products/875.jpg?v=1633030274")</f>
        <v/>
      </c>
      <c r="H4851">
        <f>_xlfn.IMAGE("https://m.media-amazon.com/images/I/71RVkI18qaL._AC_UL320_.jpg")</f>
        <v/>
      </c>
      <c r="K4851" t="inlineStr">
        <is>
          <t>459.89</t>
        </is>
      </c>
      <c r="L4851" t="n">
        <v>699.55</v>
      </c>
      <c r="M4851" s="1" t="inlineStr">
        <is>
          <t>52.11%</t>
        </is>
      </c>
      <c r="N4851" s="7" t="n">
        <v>-27.5</v>
      </c>
      <c r="O4851" t="n">
        <v>4.7</v>
      </c>
      <c r="P4851" t="n">
        <v>21</v>
      </c>
      <c r="R4851" t="inlineStr">
        <is>
          <t>InStock</t>
        </is>
      </c>
      <c r="S4851" t="inlineStr">
        <is>
          <t>521.99</t>
        </is>
      </c>
      <c r="T4851" t="inlineStr">
        <is>
          <t>5238369452200</t>
        </is>
      </c>
    </row>
    <row r="4852" hidden="1" ht="15.75" customHeight="1">
      <c r="A4852" s="2">
        <f>HYPERLINK("https://edmondsonsupply.com/collections/electricians-tools/products/diablo-tools-dmapl2930-1-4-in-x-3-1-2-in-x-6-in-sds-plus-full-carbide-head-concrete-anchor-hammer-drill-bit", "https://edmondsonsupply.com/collections/electricians-tools/products/diablo-tools-dmapl2930-1-4-in-x-3-1-2-in-x-6-in-sds-plus-full-carbide-head-concrete-anchor-hammer-drill-bit")</f>
        <v/>
      </c>
      <c r="B4852" s="2">
        <f>HYPERLINK("https://edmondsonsupply.com/products/diablo-tools-dmapl2930-1-4-in-x-3-1-2-in-x-6-in-sds-plus-full-carbide-head-concrete-anchor-hammer-drill-bit", "https://edmondsonsupply.com/products/diablo-tools-dmapl2930-1-4-in-x-3-1-2-in-x-6-in-sds-plus-full-carbide-head-concrete-anchor-hammer-drill-bit")</f>
        <v/>
      </c>
      <c r="C4852" t="inlineStr">
        <is>
          <t>Diablo Tools DMAPL2930 1/4 in. x 3‑1/2 in. x 6 in. SDS‑Plus Full Carbide Head Concrete Anchor Hammer Drill Bit</t>
        </is>
      </c>
      <c r="D4852" t="inlineStr">
        <is>
          <t>Diablo by Freud DMAPL2920 3/16 in. x 3-1/2 in. x 6 in. SDS-Plus Full Carbide Head Concrete Anchor Hammer Drill Bit Multi, One Size</t>
        </is>
      </c>
      <c r="E4852" s="2">
        <f>HYPERLINK("https://www.amazon.com/Diablo-Carbide-Concrete-Anchor-Hammer/dp/B089KWDK51/ref=sr_1_4?keywords=Diablo+Tools+DMAPL2930+1%2F4+in.+x+3%E2%80%911%2F2+in.+x+6+in.+SDS%E2%80%91Plus+Full+Carbide+Head+Concrete+Anchor+Hammer+Drill+Bit&amp;qid=1694735257&amp;sr=8-4", "https://www.amazon.com/Diablo-Carbide-Concrete-Anchor-Hammer/dp/B089KWDK51/ref=sr_1_4?keywords=Diablo+Tools+DMAPL2930+1%2F4+in.+x+3%E2%80%911%2F2+in.+x+6+in.+SDS%E2%80%91Plus+Full+Carbide+Head+Concrete+Anchor+Hammer+Drill+Bit&amp;qid=1694735257&amp;sr=8-4")</f>
        <v/>
      </c>
      <c r="F4852" t="inlineStr">
        <is>
          <t>B089KWDK51</t>
        </is>
      </c>
      <c r="G4852">
        <f>_xludf.IMAGE("https://edmondsonsupply.com/cdn/shop/products/DMAPL2930_Main-Image20200331.png?v=1633030655")</f>
        <v/>
      </c>
      <c r="H4852">
        <f>_xludf.IMAGE("https://m.media-amazon.com/images/I/61VCLLn-a7L._AC_UL320_.jpg")</f>
        <v/>
      </c>
      <c r="K4852" t="inlineStr">
        <is>
          <t>6.57</t>
        </is>
      </c>
      <c r="L4852" t="n">
        <v>9.99</v>
      </c>
      <c r="M4852" s="1" t="inlineStr">
        <is>
          <t>52.05%</t>
        </is>
      </c>
      <c r="N4852" s="1" t="n">
        <v>-28.01</v>
      </c>
      <c r="O4852" t="n">
        <v>3</v>
      </c>
      <c r="P4852" t="n">
        <v>1</v>
      </c>
      <c r="R4852" t="inlineStr">
        <is>
          <t>InStock</t>
        </is>
      </c>
      <c r="S4852" t="inlineStr">
        <is>
          <t>10.06</t>
        </is>
      </c>
      <c r="T4852" t="inlineStr">
        <is>
          <t>5740727926952</t>
        </is>
      </c>
    </row>
    <row r="4853" ht="87" customHeight="1">
      <c r="A4853" s="2">
        <f>HYPERLINK("https://edmondsonsupply.com/collections/electricians-tools/products/milwaukee-49-56-0503-3-16-3-16-diamond-plus%E2%84%A2-hole-saw", "https://edmondsonsupply.com/collections/electricians-tools/products/milwaukee-49-56-0503-3-16-3-16-diamond-plus%E2%84%A2-hole-saw")</f>
        <v/>
      </c>
      <c r="B4853" s="2">
        <f>HYPERLINK("https://edmondsonsupply.com/products/milwaukee-49-56-0503-3-16-3-16-diamond-plus%e2%84%a2-hole-saw", "https://edmondsonsupply.com/products/milwaukee-49-56-0503-3-16-3-16-diamond-plus%e2%84%a2-hole-saw")</f>
        <v/>
      </c>
      <c r="C4853" t="inlineStr">
        <is>
          <t>Milwaukee 49-56-0503 3/16" Diamond Plus™ Hole Saw</t>
        </is>
      </c>
      <c r="D4853" t="inlineStr">
        <is>
          <t>Milwaukee 49-56-0513 5/8"  Diamond One-Piece Hole Saw</t>
        </is>
      </c>
      <c r="E4853" s="2">
        <f>HYPERLINK("https://www.amazon.com/Milwaukee-49-56-0513-Diamond-One-Piece-Hole/dp/B00LCUC50A/ref=sr_1_7?keywords=Milwaukee+49-56-0503+3%2F16%22+Diamond+Plus%E2%84%A2+Hole+Saw&amp;qid=1694735413&amp;sr=8-7", "https://www.amazon.com/Milwaukee-49-56-0513-Diamond-One-Piece-Hole/dp/B00LCUC50A/ref=sr_1_7?keywords=Milwaukee+49-56-0503+3%2F16%22+Diamond+Plus%E2%84%A2+Hole+Saw&amp;qid=1694735413&amp;sr=8-7")</f>
        <v/>
      </c>
      <c r="F4853" t="inlineStr">
        <is>
          <t>B00LCUC50A</t>
        </is>
      </c>
      <c r="G4853">
        <f>_xlfn.IMAGE("https://edmondsonsupply.com/cdn/shop/products/49-56-0503.jpg?v=1587146081")</f>
        <v/>
      </c>
      <c r="H4853">
        <f>_xlfn.IMAGE("https://m.media-amazon.com/images/I/61kXBTILFoL._AC_UL320_.jpg")</f>
        <v/>
      </c>
      <c r="K4853" t="inlineStr">
        <is>
          <t>18.99</t>
        </is>
      </c>
      <c r="L4853" t="n">
        <v>28.87</v>
      </c>
      <c r="M4853" s="1" t="inlineStr">
        <is>
          <t>52.03%</t>
        </is>
      </c>
      <c r="N4853" s="7" t="n">
        <v>-28.01</v>
      </c>
      <c r="O4853" t="n">
        <v>4.7</v>
      </c>
      <c r="P4853" t="n">
        <v>33</v>
      </c>
      <c r="R4853" t="inlineStr">
        <is>
          <t>InStock</t>
        </is>
      </c>
      <c r="S4853" t="inlineStr">
        <is>
          <t>25.1</t>
        </is>
      </c>
      <c r="T4853" t="inlineStr">
        <is>
          <t>4385044791396</t>
        </is>
      </c>
    </row>
    <row r="4854" ht="87" customHeight="1">
      <c r="A4854" s="2">
        <f>HYPERLINK("https://edmondsonsupply.com/collections/electricians-tools/products/klein-tools-46037-cable-splicers-kit", "https://edmondsonsupply.com/collections/electricians-tools/products/klein-tools-46037-cable-splicers-kit")</f>
        <v/>
      </c>
      <c r="B4854" s="2">
        <f>HYPERLINK("https://edmondsonsupply.com/products/klein-tools-46037-cable-splicers-kit", "https://edmondsonsupply.com/products/klein-tools-46037-cable-splicers-kit")</f>
        <v/>
      </c>
      <c r="C4854" t="inlineStr">
        <is>
          <t>Klein Tools 46037 Cable Splicer's Kit</t>
        </is>
      </c>
      <c r="D4854" t="inlineStr">
        <is>
          <t>Klein Tools 46039 Cable Splicer's Kit with Cable Splicer Electricians Knife and Free-Fall Snip &amp; Jonard JIC-186 Kevlar Ergonomic Fiber Optic Cutter, 6" Length</t>
        </is>
      </c>
      <c r="E4854" s="2">
        <f>HYPERLINK("https://www.amazon.com/Klein-Tools-Electricians-Free-Fall-Ergonomic/dp/B0BM2ZZLXQ/ref=sr_1_15?keywords=Klein+Tools+46037+Cable+Splicer%27s+Kit&amp;qid=1694735136&amp;sr=8-15", "https://www.amazon.com/Klein-Tools-Electricians-Free-Fall-Ergonomic/dp/B0BM2ZZLXQ/ref=sr_1_15?keywords=Klein+Tools+46037+Cable+Splicer%27s+Kit&amp;qid=1694735136&amp;sr=8-15")</f>
        <v/>
      </c>
      <c r="F4854" t="inlineStr">
        <is>
          <t>B0BM2ZZLXQ</t>
        </is>
      </c>
      <c r="G4854">
        <f>_xlfn.IMAGE("https://edmondsonsupply.com/cdn/shop/products/46037.jpg?v=1663351986")</f>
        <v/>
      </c>
      <c r="H4854">
        <f>_xlfn.IMAGE("https://m.media-amazon.com/images/I/41HxtrGOXEL._AC_UL320_.jpg")</f>
        <v/>
      </c>
      <c r="K4854" t="inlineStr">
        <is>
          <t>39.97</t>
        </is>
      </c>
      <c r="L4854" t="n">
        <v>60.66</v>
      </c>
      <c r="M4854" s="1" t="inlineStr">
        <is>
          <t>51.76%</t>
        </is>
      </c>
      <c r="N4854" s="7" t="n">
        <v>-28.09</v>
      </c>
      <c r="O4854" t="n">
        <v>5</v>
      </c>
      <c r="P4854" t="n">
        <v>1</v>
      </c>
      <c r="R4854" t="inlineStr">
        <is>
          <t>InStock</t>
        </is>
      </c>
      <c r="S4854" t="inlineStr">
        <is>
          <t>66.7</t>
        </is>
      </c>
      <c r="T4854" t="inlineStr">
        <is>
          <t>7819207508184</t>
        </is>
      </c>
    </row>
    <row r="4855" hidden="1" ht="15.75" customHeight="1">
      <c r="A4855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4855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4855" t="inlineStr">
        <is>
          <t>Klein Tools JTH9E13 1/4-Inch Hex Key with Journeyman T-Handle, 9-Inch</t>
        </is>
      </c>
      <c r="D4855" t="inlineStr">
        <is>
          <t>Klein Tools JTH9M6 6 mm Hex Key, Journeyman T-Handle, 9-Inch</t>
        </is>
      </c>
      <c r="E4855" s="2">
        <f>HYPERLINK("https://www.amazon.com/Journeyman-T-Handle-Klein-Tools-JTH9M6/dp/B005G3HJKU/ref=sr_1_11?keywords=Klein+Tools+JTH9E13+1%2F4-Inch+Hex+Key+with+Journeyman+T-Handle%2C+9-Inch&amp;qid=1694735245&amp;sr=8-11", "https://www.amazon.com/Journeyman-T-Handle-Klein-Tools-JTH9M6/dp/B005G3HJKU/ref=sr_1_11?keywords=Klein+Tools+JTH9E13+1%2F4-Inch+Hex+Key+with+Journeyman+T-Handle%2C+9-Inch&amp;qid=1694735245&amp;sr=8-11")</f>
        <v/>
      </c>
      <c r="F4855" t="inlineStr">
        <is>
          <t>B005G3HJKU</t>
        </is>
      </c>
      <c r="G4855">
        <f>_xludf.IMAGE("https://edmondsonsupply.com/cdn/shop/products/jth9e12_7dcdbf9a-5acd-4824-8919-6aeb4a790072.jpg?v=1604060723")</f>
        <v/>
      </c>
      <c r="H4855">
        <f>_xludf.IMAGE("https://m.media-amazon.com/images/I/51+1x0vz9XL._AC_UL320_.jpg")</f>
        <v/>
      </c>
      <c r="K4855" t="inlineStr">
        <is>
          <t>6.49</t>
        </is>
      </c>
      <c r="L4855" t="n">
        <v>9.84</v>
      </c>
      <c r="M4855" s="1" t="inlineStr">
        <is>
          <t>51.62%</t>
        </is>
      </c>
      <c r="N4855" s="1" t="n">
        <v>-28.09</v>
      </c>
      <c r="O4855" t="n">
        <v>4.7</v>
      </c>
      <c r="P4855" t="n">
        <v>123</v>
      </c>
      <c r="R4855" t="inlineStr">
        <is>
          <t>InStock</t>
        </is>
      </c>
      <c r="S4855" t="inlineStr">
        <is>
          <t>9.84</t>
        </is>
      </c>
      <c r="T4855" t="inlineStr">
        <is>
          <t>5999069462696</t>
        </is>
      </c>
    </row>
    <row r="4856" ht="87" customHeight="1">
      <c r="A4856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4856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4856" t="inlineStr">
        <is>
          <t>Channellock 440X 12-Inch SPEEDGRIP™ Straight Jaw Tongue &amp; Groove Pliers</t>
        </is>
      </c>
      <c r="D4856" t="inlineStr">
        <is>
          <t>Channellock GS-3 3 Piece Straight Jaw Tongue and Groove Pliers Set - 12-Inch, 9.5-Inch, 6.5-Inch | Groove Joint Pliers | Laser Heat-Treated 90° Teeth| Forged from High Carbon Steel | Patented Reinforcing Edge Minimizes Stress Breakage | Made in USA</t>
        </is>
      </c>
      <c r="E4856" s="2">
        <f>HYPERLINK("https://www.amazon.com/Channellock-2-Inch-12-Inch-Tongue-Groove/dp/B000189GSI/ref=sr_1_4?keywords=Channellock+440X+12-Inch+SPEEDGRIP%E2%84%A2+Straight+Jaw+Tongue+%26+Groove+Pliers&amp;qid=1694735165&amp;sr=8-4", "https://www.amazon.com/Channellock-2-Inch-12-Inch-Tongue-Groove/dp/B000189GSI/ref=sr_1_4?keywords=Channellock+440X+12-Inch+SPEEDGRIP%E2%84%A2+Straight+Jaw+Tongue+%26+Groove+Pliers&amp;qid=1694735165&amp;sr=8-4")</f>
        <v/>
      </c>
      <c r="F4856" t="inlineStr">
        <is>
          <t>B000189GSI</t>
        </is>
      </c>
      <c r="G4856">
        <f>_xlfn.IMAGE("https://edmondsonsupply.com/cdn/shop/products/440X.jpg?v=1647104734")</f>
        <v/>
      </c>
      <c r="H4856">
        <f>_xlfn.IMAGE("https://m.media-amazon.com/images/I/71Ywnx9+h8L._AC_UL320_.jpg")</f>
        <v/>
      </c>
      <c r="K4856" t="inlineStr">
        <is>
          <t>32.95</t>
        </is>
      </c>
      <c r="L4856" t="n">
        <v>49.95</v>
      </c>
      <c r="M4856" s="1" t="inlineStr">
        <is>
          <t>51.59%</t>
        </is>
      </c>
      <c r="N4856" s="7" t="n">
        <v>-28.1</v>
      </c>
      <c r="O4856" t="n">
        <v>4.8</v>
      </c>
      <c r="P4856" t="n">
        <v>5484</v>
      </c>
      <c r="R4856" t="inlineStr">
        <is>
          <t>InStock</t>
        </is>
      </c>
      <c r="S4856" t="inlineStr">
        <is>
          <t>45.99</t>
        </is>
      </c>
      <c r="T4856" t="inlineStr">
        <is>
          <t>7633805279448</t>
        </is>
      </c>
    </row>
    <row r="4857" ht="87" customHeight="1">
      <c r="A4857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4857" s="2">
        <f>HYPERLINK("https://edmondsonsupply.com/products/klein-tools-635-7-16-7-16-inch-heavy-duty-nut-driver", "https://edmondsonsupply.com/products/klein-tools-635-7-16-7-16-inch-heavy-duty-nut-driver")</f>
        <v/>
      </c>
      <c r="C4857" t="inlineStr">
        <is>
          <t>Klein Tools 635-7/16 7/16-Inch Heavy-Duty Nut Driver</t>
        </is>
      </c>
      <c r="D4857" t="inlineStr">
        <is>
          <t>Klein Tools S146 7/16-Inch Nut Driver with 6-Inch Hollow Shaft and Comfordome Handle (Pack of 2)</t>
        </is>
      </c>
      <c r="E4857" s="2">
        <f>HYPERLINK("https://www.amazon.com/Klein-Tools-S146-16-Inch-Comfordome/dp/B0CDQJXXMG/ref=sr_1_17?keywords=Klein+Tools+635-7%2F16+7%2F16-Inch+Heavy-Duty+Nut+Driver&amp;qid=1694735398&amp;sr=8-17", "https://www.amazon.com/Klein-Tools-S146-16-Inch-Comfordome/dp/B0CDQJXXMG/ref=sr_1_17?keywords=Klein+Tools+635-7%2F16+7%2F16-Inch+Heavy-Duty+Nut+Driver&amp;qid=1694735398&amp;sr=8-17")</f>
        <v/>
      </c>
      <c r="F4857" t="inlineStr">
        <is>
          <t>B0CDQJXXMG</t>
        </is>
      </c>
      <c r="G4857">
        <f>_xlfn.IMAGE("https://edmondsonsupply.com/cdn/shop/products/635-7-16.jpg?v=1587145128")</f>
        <v/>
      </c>
      <c r="H4857">
        <f>_xlfn.IMAGE("https://m.media-amazon.com/images/I/31MCIAroc5L._AC_UL320_.jpg")</f>
        <v/>
      </c>
      <c r="K4857" t="inlineStr">
        <is>
          <t>14.49</t>
        </is>
      </c>
      <c r="L4857" t="n">
        <v>21.92</v>
      </c>
      <c r="M4857" s="1" t="inlineStr">
        <is>
          <t>51.28%</t>
        </is>
      </c>
      <c r="N4857" s="7" t="n">
        <v>-28.18</v>
      </c>
      <c r="O4857" t="n">
        <v>4.5</v>
      </c>
      <c r="P4857" t="n">
        <v>151</v>
      </c>
      <c r="R4857" t="inlineStr">
        <is>
          <t>InStock</t>
        </is>
      </c>
      <c r="S4857" t="inlineStr">
        <is>
          <t>21.94</t>
        </is>
      </c>
      <c r="T4857" t="inlineStr">
        <is>
          <t>4410745978980</t>
        </is>
      </c>
    </row>
    <row r="4858" ht="87" customHeight="1">
      <c r="A4858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4858" s="2">
        <f>HYPERLINK("https://edmondsonsupply.com/products/diablo-tools-d0704dh-7-1-4-in-x-4-tooth-fiber-cement", "https://edmondsonsupply.com/products/diablo-tools-d0704dh-7-1-4-in-x-4-tooth-fiber-cement")</f>
        <v/>
      </c>
      <c r="C4858" t="inlineStr">
        <is>
          <t>Diablo Tools D0704DH 7-1/4 in. x 4 Tooth Fiber Cement</t>
        </is>
      </c>
      <c r="D4858" t="inlineStr">
        <is>
          <t>Freud D0704DH Diablo 7-1/4"x4T PCD Tip TCG Hardie Fiber Cement Saw BLD,5/8 Arbor, Pack of 2</t>
        </is>
      </c>
      <c r="E4858" s="2">
        <f>HYPERLINK("https://www.amazon.com/Freud-D0704DH-Diablo-Hardie-Cement/dp/B09F4SY859/ref=sr_1_8?keywords=Diablo+Tools+D0704DH+7-1%2F4+in.+x+4+Tooth+Fiber+Cement&amp;qid=1694735024&amp;sr=8-8", "https://www.amazon.com/Freud-D0704DH-Diablo-Hardie-Cement/dp/B09F4SY859/ref=sr_1_8?keywords=Diablo+Tools+D0704DH+7-1%2F4+in.+x+4+Tooth+Fiber+Cement&amp;qid=1694735024&amp;sr=8-8")</f>
        <v/>
      </c>
      <c r="F4858" t="inlineStr">
        <is>
          <t>B09F4SY859</t>
        </is>
      </c>
      <c r="G4858">
        <f>_xlfn.IMAGE("https://edmondsonsupply.com/cdn/shop/products/baadnmj6vhmqufio7ofn.webp?v=1679325375")</f>
        <v/>
      </c>
      <c r="H4858">
        <f>_xlfn.IMAGE("https://m.media-amazon.com/images/I/615anyFfV9L._AC_UL320_.jpg")</f>
        <v/>
      </c>
      <c r="K4858" t="inlineStr">
        <is>
          <t>44.97</t>
        </is>
      </c>
      <c r="L4858" t="n">
        <v>68</v>
      </c>
      <c r="M4858" s="1" t="inlineStr">
        <is>
          <t>51.21%</t>
        </is>
      </c>
      <c r="N4858" s="7" t="n">
        <v>-28.21</v>
      </c>
      <c r="O4858" t="n">
        <v>5</v>
      </c>
      <c r="P4858" t="n">
        <v>2</v>
      </c>
      <c r="R4858" t="inlineStr">
        <is>
          <t>InStock</t>
        </is>
      </c>
      <c r="S4858" t="inlineStr">
        <is>
          <t>67.99</t>
        </is>
      </c>
      <c r="T4858" t="inlineStr">
        <is>
          <t>7964908159192</t>
        </is>
      </c>
    </row>
    <row r="4859" hidden="1" ht="15.75" customHeight="1">
      <c r="A4859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4859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4859" t="inlineStr">
        <is>
          <t>Klein Tools 602-4 1/4-Inch Keystone Screwdriver, 4-Inch Round Shank</t>
        </is>
      </c>
      <c r="D4859" t="inlineStr">
        <is>
          <t>Klein Tools 614-4 Flat Screwdriver, Precision Electronics Screwdriver, 1/8-Inch Cabinet Tip, 4-Inch Shank</t>
        </is>
      </c>
      <c r="E4859" s="2">
        <f>HYPERLINK("https://www.amazon.com/Klein-Tools-614-4-Screwdriver-Electronics/dp/B00B9HICKS/ref=sr_1_21?keywords=Klein+Tools+602-4+1%2F4-Inch+Keystone+Screwdriver%2C+4-Inch+Round+Shank&amp;qid=1694735235&amp;sr=8-21", "https://www.amazon.com/Klein-Tools-614-4-Screwdriver-Electronics/dp/B00B9HICKS/ref=sr_1_21?keywords=Klein+Tools+602-4+1%2F4-Inch+Keystone+Screwdriver%2C+4-Inch+Round+Shank&amp;qid=1694735235&amp;sr=8-21")</f>
        <v/>
      </c>
      <c r="F4859" t="inlineStr">
        <is>
          <t>B00B9HICKS</t>
        </is>
      </c>
      <c r="G4859">
        <f>_xludf.IMAGE("https://edmondsonsupply.com/cdn/shop/products/602-6.jpg?v=1633030821")</f>
        <v/>
      </c>
      <c r="H4859">
        <f>_xludf.IMAGE("https://m.media-amazon.com/images/I/41hS1hfEVDS._AC_UL320_.jpg")</f>
        <v/>
      </c>
      <c r="K4859" t="inlineStr">
        <is>
          <t>9.49</t>
        </is>
      </c>
      <c r="L4859" t="n">
        <v>14.32</v>
      </c>
      <c r="M4859" s="1" t="inlineStr">
        <is>
          <t>50.90%</t>
        </is>
      </c>
      <c r="N4859" s="1" t="n">
        <v>-28.26</v>
      </c>
      <c r="O4859" t="n">
        <v>4.8</v>
      </c>
      <c r="P4859" t="n">
        <v>999</v>
      </c>
      <c r="R4859" t="inlineStr">
        <is>
          <t>InStock</t>
        </is>
      </c>
      <c r="S4859" t="inlineStr">
        <is>
          <t>14.36</t>
        </is>
      </c>
      <c r="T4859" t="inlineStr">
        <is>
          <t>6080792363181</t>
        </is>
      </c>
    </row>
    <row r="4860" hidden="1" ht="15.75" customHeight="1">
      <c r="A4860" s="2">
        <f>HYPERLINK("https://edmondsonsupply.com/collections/electricians-tools/products/diablo-tools-dmapl4110-5-16-in-x-4-in-x-6-in-rebar-demon%E2%84%A2-sds-plus-4-cutter-full-carbide-head-hammer-bit", "https://edmondsonsupply.com/collections/electricians-tools/products/diablo-tools-dmapl4110-5-16-in-x-4-in-x-6-in-rebar-demon%E2%84%A2-sds-plus-4-cutter-full-carbide-head-hammer-bit")</f>
        <v/>
      </c>
      <c r="B4860" s="2">
        <f>HYPERLINK("https://edmondsonsupply.com/products/diablo-tools-dmapl4110-5-16-in-x-4-in-x-6-in-rebar-demon%e2%84%a2-sds-plus-4-cutter-full-carbide-head-hammer-bit", "https://edmondsonsupply.com/products/diablo-tools-dmapl4110-5-16-in-x-4-in-x-6-in-rebar-demon%e2%84%a2-sds-plus-4-cutter-full-carbide-head-hammer-bit")</f>
        <v/>
      </c>
      <c r="C4860" t="inlineStr">
        <is>
          <t>Diablo Tools DMAPL4110 5/16 in. x 4 in. x 6 in. Rebar Demon™ SDS‑Plus 4‑Cutter Full Carbide Head Hammer Bit</t>
        </is>
      </c>
      <c r="D4860" t="inlineStr">
        <is>
          <t>Diablo by Freud DMAPL4050 3/16 in. x 6 in. x 8 in. Rebar Demon SDS-Plus 4-Cutter Full Carbide Head Hammer Bit Multi, One Size</t>
        </is>
      </c>
      <c r="E4860" s="2">
        <f>HYPERLINK("https://www.amazon.com/Diablo-SDS-Plus-4-Cutter-Carbide-Hammer/dp/B089LKWR9L/ref=sr_1_10?keywords=Diablo+Tools+DMAPL4110+5%2F16+in.+x+4+in.+x+6+in.+Rebar+Demon%E2%84%A2+SDS%E2%80%91Plus+4%E2%80%91Cutter+Full+Carbide+Head+Hammer+Bit&amp;qid=1694735288&amp;sr=8-10", "https://www.amazon.com/Diablo-SDS-Plus-4-Cutter-Carbide-Hammer/dp/B089LKWR9L/ref=sr_1_10?keywords=Diablo+Tools+DMAPL4110+5%2F16+in.+x+4+in.+x+6+in.+Rebar+Demon%E2%84%A2+SDS%E2%80%91Plus+4%E2%80%91Cutter+Full+Carbide+Head+Hammer+Bit&amp;qid=1694735288&amp;sr=8-10")</f>
        <v/>
      </c>
      <c r="F4860" t="inlineStr">
        <is>
          <t>B089LKWR9L</t>
        </is>
      </c>
      <c r="G4860">
        <f>_xludf.IMAGE("https://edmondsonsupply.com/cdn/shop/products/DMAPL4110_Main-Image20200701.png?v=1633030426")</f>
        <v/>
      </c>
      <c r="H4860">
        <f>_xludf.IMAGE("https://m.media-amazon.com/images/I/61uukuKzJeL._AC_UL320_.jpg")</f>
        <v/>
      </c>
      <c r="K4860" t="inlineStr">
        <is>
          <t>5.97</t>
        </is>
      </c>
      <c r="L4860" t="n">
        <v>8.99</v>
      </c>
      <c r="M4860" s="1" t="inlineStr">
        <is>
          <t>50.59%</t>
        </is>
      </c>
      <c r="N4860" s="1" t="n">
        <v>-28.35</v>
      </c>
      <c r="O4860" t="n">
        <v>3.7</v>
      </c>
      <c r="P4860" t="n">
        <v>10</v>
      </c>
      <c r="R4860" t="inlineStr">
        <is>
          <t>InStock</t>
        </is>
      </c>
      <c r="S4860" t="inlineStr">
        <is>
          <t>8.44</t>
        </is>
      </c>
      <c r="T4860" t="inlineStr">
        <is>
          <t>5326873100456</t>
        </is>
      </c>
    </row>
    <row r="4861" hidden="1" ht="15.75" customHeight="1">
      <c r="A4861" s="2">
        <f>HYPERLINK("https://edmondsonsupply.com/collections/electricians-tools/products/diablo-tools-dmapl4050-3-16-in-x-6-in-x-8-in-rebar-demon%E2%84%A2-sds-plus-4-cutter-full-carbide-head-hammer-drill-bit", "https://edmondsonsupply.com/collections/electricians-tools/products/diablo-tools-dmapl4050-3-16-in-x-6-in-x-8-in-rebar-demon%E2%84%A2-sds-plus-4-cutter-full-carbide-head-hammer-drill-bit")</f>
        <v/>
      </c>
      <c r="B4861" s="2">
        <f>HYPERLINK("https://edmondsonsupply.com/products/diablo-tools-dmapl4050-3-16-in-x-6-in-x-8-in-rebar-demon%e2%84%a2-sds-plus-4-cutter-full-carbide-head-hammer-drill-bit", "https://edmondsonsupply.com/products/diablo-tools-dmapl4050-3-16-in-x-6-in-x-8-in-rebar-demon%e2%84%a2-sds-plus-4-cutter-full-carbide-head-hammer-drill-bit")</f>
        <v/>
      </c>
      <c r="C4861" t="inlineStr">
        <is>
          <t>Diablo Tools DMAPL4050 3/16 in. x 6 in. x 8 in. Rebar Demon™ SDS‑Plus 4‑Cutter Full Carbide Head Hammer Drill Bit</t>
        </is>
      </c>
      <c r="D4861" t="inlineStr">
        <is>
          <t>Diablo by Freud DMAPL4050 3/16 in. x 6 in. x 8 in. Rebar Demon SDS-Plus 4-Cutter Full Carbide Head Hammer Bit Multi, One Size</t>
        </is>
      </c>
      <c r="E4861" s="2" t="n"/>
      <c r="F4861" t="inlineStr">
        <is>
          <t>B089LKWR9L</t>
        </is>
      </c>
      <c r="G4861">
        <f>_xludf.IMAGE("https://edmondsonsupply.com/cdn/shop/products/DMAPL4050_Main-Image20200701.png?v=1633030632")</f>
        <v/>
      </c>
      <c r="H4861">
        <f>_xludf.IMAGE("https://m.media-amazon.com/images/I/61uukuKzJeL._AC_UL320_.jpg")</f>
        <v/>
      </c>
      <c r="K4861" t="inlineStr">
        <is>
          <t>5.97</t>
        </is>
      </c>
      <c r="L4861" t="n">
        <v>8.99</v>
      </c>
      <c r="M4861" s="1" t="inlineStr">
        <is>
          <t>50.59%</t>
        </is>
      </c>
      <c r="N4861" s="1" t="n">
        <v>-28.35</v>
      </c>
      <c r="O4861" t="n">
        <v>3.7</v>
      </c>
      <c r="P4861" t="n">
        <v>10</v>
      </c>
      <c r="R4861" t="inlineStr">
        <is>
          <t>InStock</t>
        </is>
      </c>
      <c r="S4861" t="inlineStr">
        <is>
          <t>8.82</t>
        </is>
      </c>
      <c r="T4861" t="inlineStr">
        <is>
          <t>5701590188200</t>
        </is>
      </c>
    </row>
    <row r="4862" ht="87" customHeight="1">
      <c r="A4862" s="2">
        <f>HYPERLINK("https://edmondsonsupply.com/collections/electricians-tools/products/milwaukee-2732-20", "https://edmondsonsupply.com/collections/electricians-tools/products/milwaukee-2732-20")</f>
        <v/>
      </c>
      <c r="B4862" s="2">
        <f>HYPERLINK("https://edmondsonsupply.com/products/milwaukee-2732-20", "https://edmondsonsupply.com/products/milwaukee-2732-20")</f>
        <v/>
      </c>
      <c r="C4862" t="inlineStr">
        <is>
          <t>Milwaukee 2732-20 M18 FUEL 7-1/4" Circular Saw-tool only</t>
        </is>
      </c>
      <c r="D4862" t="inlineStr">
        <is>
          <t>Milwaukee 2731-20 M18 Fuel 7-1/4" Circular Saw Bare</t>
        </is>
      </c>
      <c r="E4862" s="2">
        <f>HYPERLINK("https://www.amazon.com/Milwaukee-2731-20-Fuel-Circular-Bare/dp/B00PGQ6D2W/ref=sr_1_7?keywords=Milwaukee+2732-20+M18+FUEL+7-1%2F4%22+Circular+Saw-tool+only&amp;qid=1694735300&amp;sr=8-7", "https://www.amazon.com/Milwaukee-2731-20-Fuel-Circular-Bare/dp/B00PGQ6D2W/ref=sr_1_7?keywords=Milwaukee+2732-20+M18+FUEL+7-1%2F4%22+Circular+Saw-tool+only&amp;qid=1694735300&amp;sr=8-7")</f>
        <v/>
      </c>
      <c r="F4862" t="inlineStr">
        <is>
          <t>B00PGQ6D2W</t>
        </is>
      </c>
      <c r="G4862">
        <f>_xlfn.IMAGE("https://edmondsonsupply.com/cdn/shop/products/2732-20_1.png?v=1591305391")</f>
        <v/>
      </c>
      <c r="H4862">
        <f>_xlfn.IMAGE("https://m.media-amazon.com/images/I/81g8z-i58ML._AC_UL320_.jpg")</f>
        <v/>
      </c>
      <c r="K4862" t="inlineStr">
        <is>
          <t>249.0</t>
        </is>
      </c>
      <c r="L4862" t="n">
        <v>374.95</v>
      </c>
      <c r="M4862" s="1" t="inlineStr">
        <is>
          <t>50.58%</t>
        </is>
      </c>
      <c r="N4862" s="7" t="n">
        <v>-28.5</v>
      </c>
      <c r="O4862" t="n">
        <v>4.4</v>
      </c>
      <c r="P4862" t="n">
        <v>279</v>
      </c>
      <c r="R4862" t="inlineStr">
        <is>
          <t>InStock</t>
        </is>
      </c>
      <c r="S4862" t="inlineStr">
        <is>
          <t>413.0</t>
        </is>
      </c>
      <c r="T4862" t="inlineStr">
        <is>
          <t>5273466601640</t>
        </is>
      </c>
    </row>
    <row r="4863" ht="87" customHeight="1">
      <c r="A4863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4863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4863" t="inlineStr">
        <is>
          <t>Klein Tools 646M Magnetic Nut Driver Set, 6-Inch Shafts, 2-Piece</t>
        </is>
      </c>
      <c r="D4863" t="inlineStr">
        <is>
          <t>Klein Tools 646M Tool Set, Magnetic Nut Drivers Sizes 1/4 and 5/16-Inch, 6-Inch Shafts, 2-Piece &amp; 65064 Hex Head 2-in-1 Nut Driver, 1/4-Inch and 5/16-Inch</t>
        </is>
      </c>
      <c r="E4863" s="2">
        <f>HYPERLINK("https://www.amazon.com/Klein-Tools-Magnetic-Drivers-16-Inch/dp/B0BGPTVP3Z/ref=sr_1_2?keywords=Klein+Tools+646M+Magnetic+Nut+Driver+Set%2C+6-Inch+Shafts%2C+2-Piece&amp;qid=1694735354&amp;sr=8-2", "https://www.amazon.com/Klein-Tools-Magnetic-Drivers-16-Inch/dp/B0BGPTVP3Z/ref=sr_1_2?keywords=Klein+Tools+646M+Magnetic+Nut+Driver+Set%2C+6-Inch+Shafts%2C+2-Piece&amp;qid=1694735354&amp;sr=8-2")</f>
        <v/>
      </c>
      <c r="F4863" t="inlineStr">
        <is>
          <t>B0BGPTVP3Z</t>
        </is>
      </c>
      <c r="G4863">
        <f>_xlfn.IMAGE("https://edmondsonsupply.com/cdn/shop/products/646m.jpg?v=1587146592")</f>
        <v/>
      </c>
      <c r="H4863">
        <f>_xlfn.IMAGE("https://m.media-amazon.com/images/I/41iqeifLYLL._AC_UL320_.jpg")</f>
        <v/>
      </c>
      <c r="K4863" t="inlineStr">
        <is>
          <t>24.99</t>
        </is>
      </c>
      <c r="L4863" t="n">
        <v>37.61</v>
      </c>
      <c r="M4863" s="1" t="inlineStr">
        <is>
          <t>50.50%</t>
        </is>
      </c>
      <c r="N4863" s="7" t="n">
        <v>-28.64</v>
      </c>
      <c r="O4863" t="n">
        <v>5</v>
      </c>
      <c r="P4863" t="n">
        <v>1</v>
      </c>
      <c r="R4863" t="inlineStr">
        <is>
          <t>InStock</t>
        </is>
      </c>
      <c r="S4863" t="inlineStr">
        <is>
          <t>31.74</t>
        </is>
      </c>
      <c r="T4863" t="inlineStr">
        <is>
          <t>4469705932900</t>
        </is>
      </c>
    </row>
    <row r="4864" hidden="1" ht="15.75" customHeight="1">
      <c r="A4864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4864" s="2">
        <f>HYPERLINK("https://edmondsonsupply.com/products/klein-tools-rt110-receptacle-tester", "https://edmondsonsupply.com/products/klein-tools-rt110-receptacle-tester")</f>
        <v/>
      </c>
      <c r="C4864" t="inlineStr">
        <is>
          <t>Klein Tools RT110 Receptacle Tester</t>
        </is>
      </c>
      <c r="D4864" t="inlineStr">
        <is>
          <t>Case Compatible with Klein Tools ET310 AC Circuit Breaker Finder, 80041 Outlet Repair Tool Kit &amp; RT250 GFCI Receptacle Tester, Electrical Tools Storage Organizer Holder Bag for Accessories (Box Only)</t>
        </is>
      </c>
      <c r="E4864" s="2">
        <f>HYPERLINK("https://www.amazon.com/Carrying-Organizer-Integrated-Electrical-Accessories/dp/B09K42VH1T/ref=sr_1_21?keywords=Klein+Tools+RT110+Receptacle+Tester&amp;qid=1694735205&amp;sr=8-21", "https://www.amazon.com/Carrying-Organizer-Integrated-Electrical-Accessories/dp/B09K42VH1T/ref=sr_1_21?keywords=Klein+Tools+RT110+Receptacle+Tester&amp;qid=1694735205&amp;sr=8-21")</f>
        <v/>
      </c>
      <c r="F4864" t="inlineStr">
        <is>
          <t>B09K42VH1T</t>
        </is>
      </c>
      <c r="G4864">
        <f>_xludf.IMAGE("https://edmondsonsupply.com/cdn/shop/products/rt110.jpg?v=1633031036")</f>
        <v/>
      </c>
      <c r="H4864">
        <f>_xludf.IMAGE("https://m.media-amazon.com/images/I/813DgUEGU6L._AC_UL320_.jpg")</f>
        <v/>
      </c>
      <c r="K4864" t="inlineStr">
        <is>
          <t>9.97</t>
        </is>
      </c>
      <c r="L4864" t="n">
        <v>14.99</v>
      </c>
      <c r="M4864" s="1" t="inlineStr">
        <is>
          <t>50.35%</t>
        </is>
      </c>
      <c r="N4864" s="1" t="n">
        <v>-28.9</v>
      </c>
      <c r="O4864" t="n">
        <v>4.6</v>
      </c>
      <c r="P4864" t="n">
        <v>309</v>
      </c>
      <c r="R4864" t="inlineStr">
        <is>
          <t>InStock</t>
        </is>
      </c>
      <c r="S4864" t="inlineStr">
        <is>
          <t>12.12</t>
        </is>
      </c>
      <c r="T4864" t="inlineStr">
        <is>
          <t>6740486619309</t>
        </is>
      </c>
    </row>
    <row r="4865" hidden="1" ht="15.75" customHeight="1">
      <c r="A4865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4865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4865" t="inlineStr">
        <is>
          <t>Klein Tools 6824INS Insulated Screwdriver, 1/4-Inch Cabinet Tip, 4-Inch Round Shank</t>
        </is>
      </c>
      <c r="D4865" t="inlineStr">
        <is>
          <t>Klein Tools 6926INS Insulated Screwdriver, 1000V Slim Profile Tip, 1/4-Inch Cabinet Screwdriver with 6-Inch Shank, Cushion-Grip Handle</t>
        </is>
      </c>
      <c r="E4865" s="2">
        <f>HYPERLINK("https://www.amazon.com/Klein-Tools-6926INS-Screwdriver-Cushion-Grip/dp/B09GL1X5SZ/ref=sr_1_4?keywords=Klein+Tools+6824INS+Insulated+Screwdriver%2C+1%2F4-Inch+Cabinet+Tip%2C+4-Inch+Round+Shank&amp;qid=1694735115&amp;sr=8-4", "https://www.amazon.com/Klein-Tools-6926INS-Screwdriver-Cushion-Grip/dp/B09GL1X5SZ/ref=sr_1_4?keywords=Klein+Tools+6824INS+Insulated+Screwdriver%2C+1%2F4-Inch+Cabinet+Tip%2C+4-Inch+Round+Shank&amp;qid=1694735115&amp;sr=8-4")</f>
        <v/>
      </c>
      <c r="F4865" t="inlineStr">
        <is>
          <t>B09GL1X5SZ</t>
        </is>
      </c>
      <c r="G4865">
        <f>_xludf.IMAGE("https://edmondsonsupply.com/cdn/shop/products/6824ins.jpg?v=1664813487")</f>
        <v/>
      </c>
      <c r="H4865">
        <f>_xludf.IMAGE("https://m.media-amazon.com/images/I/41JbepP5oGL._AC_UL320_.jpg")</f>
        <v/>
      </c>
      <c r="K4865" t="inlineStr">
        <is>
          <t>9.97</t>
        </is>
      </c>
      <c r="L4865" t="n">
        <v>14.99</v>
      </c>
      <c r="M4865" s="1" t="inlineStr">
        <is>
          <t>50.35%</t>
        </is>
      </c>
      <c r="N4865" s="1" t="n">
        <v>-29</v>
      </c>
      <c r="O4865" t="n">
        <v>4.8</v>
      </c>
      <c r="P4865" t="n">
        <v>85</v>
      </c>
      <c r="R4865" t="inlineStr">
        <is>
          <t>InStock</t>
        </is>
      </c>
      <c r="S4865" t="inlineStr">
        <is>
          <t>15.72</t>
        </is>
      </c>
      <c r="T4865" t="inlineStr">
        <is>
          <t>7837703471320</t>
        </is>
      </c>
    </row>
    <row r="4866" hidden="1" ht="15.75" customHeight="1">
      <c r="A4866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4866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4866" t="inlineStr">
        <is>
          <t>Klein Tools 6884INS Insulated Screwdriver, #1 Square Tip, 4-Inch Shank</t>
        </is>
      </c>
      <c r="D4866" t="inlineStr">
        <is>
          <t>Klein Tools 6986INS Insulated Screwdriver, 1000V Slim Profile Tip, #1 Square with 6-Inch Shank, Cushion-Grip Handle</t>
        </is>
      </c>
      <c r="E4866" s="2">
        <f>HYPERLINK("https://www.amazon.com/Klein-Tools-6986INS-Screwdriver-Cushion-Grip/dp/B09GPYQ7DM/ref=sr_1_4?keywords=Klein+Tools+6884INS+Insulated+Screwdriver%2C+%231+Square+Tip%2C+4-Inch+Shank&amp;qid=1694735104&amp;sr=8-4", "https://www.amazon.com/Klein-Tools-6986INS-Screwdriver-Cushion-Grip/dp/B09GPYQ7DM/ref=sr_1_4?keywords=Klein+Tools+6884INS+Insulated+Screwdriver%2C+%231+Square+Tip%2C+4-Inch+Shank&amp;qid=1694735104&amp;sr=8-4")</f>
        <v/>
      </c>
      <c r="F4866" t="inlineStr">
        <is>
          <t>B09GPYQ7DM</t>
        </is>
      </c>
      <c r="G4866">
        <f>_xludf.IMAGE("https://edmondsonsupply.com/cdn/shop/products/6884ins.jpg?v=1664889244")</f>
        <v/>
      </c>
      <c r="H4866">
        <f>_xludf.IMAGE("https://m.media-amazon.com/images/I/41d5Ic37xZL._AC_UL320_.jpg")</f>
        <v/>
      </c>
      <c r="K4866" t="inlineStr">
        <is>
          <t>9.97</t>
        </is>
      </c>
      <c r="L4866" t="n">
        <v>14.99</v>
      </c>
      <c r="M4866" s="1" t="inlineStr">
        <is>
          <t>50.35%</t>
        </is>
      </c>
      <c r="N4866" s="1" t="n">
        <v>-29.23</v>
      </c>
      <c r="O4866" t="n">
        <v>4.8</v>
      </c>
      <c r="P4866" t="n">
        <v>29</v>
      </c>
      <c r="R4866" t="inlineStr">
        <is>
          <t>InStock</t>
        </is>
      </c>
      <c r="S4866" t="inlineStr">
        <is>
          <t>14.98</t>
        </is>
      </c>
      <c r="T4866" t="inlineStr">
        <is>
          <t>7839150735576</t>
        </is>
      </c>
    </row>
    <row r="4867" hidden="1" ht="15.75" customHeight="1">
      <c r="A4867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4867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4867" t="inlineStr">
        <is>
          <t>Klein Tools 6884INS Insulated Screwdriver, #1 Square Tip, 4-Inch Shank</t>
        </is>
      </c>
      <c r="D4867" t="inlineStr">
        <is>
          <t>Klein Tools 6926INS Insulated Screwdriver, 1000V Slim Profile Tip, 1/4-Inch Cabinet Screwdriver with 6-Inch Shank, Cushion-Grip Handle</t>
        </is>
      </c>
      <c r="E4867" s="2">
        <f>HYPERLINK("https://www.amazon.com/Klein-Tools-6926INS-Screwdriver-Cushion-Grip/dp/B09GL1X5SZ/ref=sr_1_17?keywords=Klein+Tools+6884INS+Insulated+Screwdriver%2C+%231+Square+Tip%2C+4-Inch+Shank&amp;qid=1694735104&amp;sr=8-17", "https://www.amazon.com/Klein-Tools-6926INS-Screwdriver-Cushion-Grip/dp/B09GL1X5SZ/ref=sr_1_17?keywords=Klein+Tools+6884INS+Insulated+Screwdriver%2C+%231+Square+Tip%2C+4-Inch+Shank&amp;qid=1694735104&amp;sr=8-17")</f>
        <v/>
      </c>
      <c r="F4867" t="inlineStr">
        <is>
          <t>B09GL1X5SZ</t>
        </is>
      </c>
      <c r="G4867">
        <f>_xludf.IMAGE("https://edmondsonsupply.com/cdn/shop/products/6884ins.jpg?v=1664889244")</f>
        <v/>
      </c>
      <c r="H4867">
        <f>_xludf.IMAGE("https://m.media-amazon.com/images/I/41JbepP5oGL._AC_UL320_.jpg")</f>
        <v/>
      </c>
      <c r="K4867" t="inlineStr">
        <is>
          <t>9.97</t>
        </is>
      </c>
      <c r="L4867" t="n">
        <v>14.99</v>
      </c>
      <c r="M4867" s="1" t="inlineStr">
        <is>
          <t>50.35%</t>
        </is>
      </c>
      <c r="N4867" s="1" t="n">
        <v>-29.43</v>
      </c>
      <c r="O4867" t="n">
        <v>4.8</v>
      </c>
      <c r="P4867" t="n">
        <v>85</v>
      </c>
      <c r="R4867" t="inlineStr">
        <is>
          <t>InStock</t>
        </is>
      </c>
      <c r="S4867" t="inlineStr">
        <is>
          <t>14.98</t>
        </is>
      </c>
      <c r="T4867" t="inlineStr">
        <is>
          <t>7839150735576</t>
        </is>
      </c>
    </row>
    <row r="4868" hidden="1" ht="15.75" customHeight="1">
      <c r="A4868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4868" s="2">
        <f>HYPERLINK("https://edmondsonsupply.com/products/klein-tools-31918-bi-metal-hole-saw-1-1-8-inch", "https://edmondsonsupply.com/products/klein-tools-31918-bi-metal-hole-saw-1-1-8-inch")</f>
        <v/>
      </c>
      <c r="C4868" t="inlineStr">
        <is>
          <t>Klein Tools 31918 Bi-Metal Hole Saw, 1-1/8-Inch</t>
        </is>
      </c>
      <c r="D4868" t="inlineStr">
        <is>
          <t>LENOX Tools Hole Saw, Bi-Metal, Speed Slot, 1-1/8-Inch (3001818L)</t>
        </is>
      </c>
      <c r="E4868" s="2">
        <f>HYPERLINK("https://www.amazon.com/LENOX-Tools-Bi-Metal-Speed-Technology/dp/B00024389Y/ref=sr_1_13?keywords=Klein+Tools+31918+Bi-Metal+Hole+Saw%2C+1-1%2F8-Inch&amp;qid=1694735078&amp;sr=8-13", "https://www.amazon.com/LENOX-Tools-Bi-Metal-Speed-Technology/dp/B00024389Y/ref=sr_1_13?keywords=Klein+Tools+31918+Bi-Metal+Hole+Saw%2C+1-1%2F8-Inch&amp;qid=1694735078&amp;sr=8-13")</f>
        <v/>
      </c>
      <c r="F4868" t="inlineStr">
        <is>
          <t>B00024389Y</t>
        </is>
      </c>
      <c r="G4868">
        <f>_xludf.IMAGE("https://edmondsonsupply.com/cdn/shop/products/31918.jpg?v=1669739998")</f>
        <v/>
      </c>
      <c r="H4868">
        <f>_xludf.IMAGE("https://m.media-amazon.com/images/I/41qQLggkZ8L._AC_UL320_.jpg")</f>
        <v/>
      </c>
      <c r="K4868" t="inlineStr">
        <is>
          <t>7.99</t>
        </is>
      </c>
      <c r="L4868" t="n">
        <v>12.01</v>
      </c>
      <c r="M4868" s="1" t="inlineStr">
        <is>
          <t>50.31%</t>
        </is>
      </c>
      <c r="N4868" s="1" t="n">
        <v>-29.46</v>
      </c>
      <c r="O4868" t="n">
        <v>4.5</v>
      </c>
      <c r="P4868" t="n">
        <v>83</v>
      </c>
      <c r="R4868" t="inlineStr">
        <is>
          <t>InStock</t>
        </is>
      </c>
      <c r="S4868" t="inlineStr">
        <is>
          <t>11.2</t>
        </is>
      </c>
      <c r="T4868" t="inlineStr">
        <is>
          <t>7896138678488</t>
        </is>
      </c>
    </row>
    <row r="4869" hidden="1" ht="15.75" customHeight="1">
      <c r="A4869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4869" s="2">
        <f>HYPERLINK("https://edmondsonsupply.com/products/klein-tools-rt110-receptacle-tester", "https://edmondsonsupply.com/products/klein-tools-rt110-receptacle-tester")</f>
        <v/>
      </c>
      <c r="C4869" t="inlineStr">
        <is>
          <t>Klein Tools RT110 Receptacle Tester</t>
        </is>
      </c>
      <c r="D4869" t="inlineStr">
        <is>
          <t>CaseSack case compactable with Klein Tools RT250 GFCI Receptacle Tester</t>
        </is>
      </c>
      <c r="E4869" s="2">
        <f>HYPERLINK("https://www.amazon.com/CaseSack-Receptacle-compactable-compact-accessory/dp/B09KTJKQT3/ref=sr_1_25?keywords=Klein+Tools+RT110+Receptacle+Tester&amp;qid=1694735205&amp;sr=8-25", "https://www.amazon.com/CaseSack-Receptacle-compactable-compact-accessory/dp/B09KTJKQT3/ref=sr_1_25?keywords=Klein+Tools+RT110+Receptacle+Tester&amp;qid=1694735205&amp;sr=8-25")</f>
        <v/>
      </c>
      <c r="F4869" t="inlineStr">
        <is>
          <t>B09KTJKQT3</t>
        </is>
      </c>
      <c r="G4869">
        <f>_xludf.IMAGE("https://edmondsonsupply.com/cdn/shop/products/rt110.jpg?v=1633031036")</f>
        <v/>
      </c>
      <c r="H4869">
        <f>_xludf.IMAGE("https://m.media-amazon.com/images/I/91HdYrul0TL._AC_UL320_.jpg")</f>
        <v/>
      </c>
      <c r="K4869" t="inlineStr">
        <is>
          <t>9.97</t>
        </is>
      </c>
      <c r="L4869" t="n">
        <v>14.98</v>
      </c>
      <c r="M4869" s="1" t="inlineStr">
        <is>
          <t>50.25%</t>
        </is>
      </c>
      <c r="N4869" s="1" t="n">
        <v>-29.46</v>
      </c>
      <c r="O4869" t="n">
        <v>4.3</v>
      </c>
      <c r="P4869" t="n">
        <v>21</v>
      </c>
      <c r="R4869" t="inlineStr">
        <is>
          <t>InStock</t>
        </is>
      </c>
      <c r="S4869" t="inlineStr">
        <is>
          <t>12.12</t>
        </is>
      </c>
      <c r="T4869" t="inlineStr">
        <is>
          <t>6740486619309</t>
        </is>
      </c>
    </row>
    <row r="4870" ht="87" customHeight="1">
      <c r="A4870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4870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4870" t="inlineStr">
        <is>
          <t>Diablo Tools DOU125JBW 1-1/4 in. Universal Fit Bi-Metal Oscillating Blades for Clean Wood</t>
        </is>
      </c>
      <c r="D4870" t="inlineStr">
        <is>
          <t>Diablo 1-1/4 in. Starlock Bi-Metal Oscillating Blades for Clean Wood (3-Pack)</t>
        </is>
      </c>
      <c r="E4870" s="2">
        <f>HYPERLINK("https://www.amazon.com/Diablo-DOS125JBW3-Starlock-Bi-Metal-Oscillating/dp/B089KWG9Z3/ref=sr_1_10?keywords=Diablo+Tools+DOU125JBW+1-1%2F4+in.+Universal+Fit+Bi-Metal+Oscillating+Blades+for+Clean+Wood&amp;qid=1694735180&amp;sr=8-10", "https://www.amazon.com/Diablo-DOS125JBW3-Starlock-Bi-Metal-Oscillating/dp/B089KWG9Z3/ref=sr_1_10?keywords=Diablo+Tools+DOU125JBW+1-1%2F4+in.+Universal+Fit+Bi-Metal+Oscillating+Blades+for+Clean+Wood&amp;qid=1694735180&amp;sr=8-10")</f>
        <v/>
      </c>
      <c r="F4870" t="inlineStr">
        <is>
          <t>B089KWG9Z3</t>
        </is>
      </c>
      <c r="G4870">
        <f>_xlfn.IMAGE("https://edmondsonsupply.com/cdn/shop/products/DOU125JBW_Main-Image.png?v=1633638363")</f>
        <v/>
      </c>
      <c r="H4870">
        <f>_xlfn.IMAGE("https://m.media-amazon.com/images/I/61pZ45bX2GL._AC_UL320_.jpg")</f>
        <v/>
      </c>
      <c r="K4870" t="inlineStr">
        <is>
          <t>17.97</t>
        </is>
      </c>
      <c r="L4870" t="n">
        <v>27</v>
      </c>
      <c r="M4870" s="1" t="inlineStr">
        <is>
          <t>50.25%</t>
        </is>
      </c>
      <c r="N4870" s="7" t="n">
        <v>-29.49</v>
      </c>
      <c r="O4870" t="n">
        <v>4.4</v>
      </c>
      <c r="P4870" t="n">
        <v>45</v>
      </c>
      <c r="R4870" t="inlineStr">
        <is>
          <t>InStock</t>
        </is>
      </c>
      <c r="S4870" t="inlineStr">
        <is>
          <t>22.35</t>
        </is>
      </c>
      <c r="T4870" t="inlineStr">
        <is>
          <t>7000455807149</t>
        </is>
      </c>
    </row>
    <row r="4871" ht="87" customHeight="1">
      <c r="A4871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4871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4871" t="inlineStr">
        <is>
          <t>Klein Tools 1550-2 2 Blade Pocket Knife, Steel, 2-1/2-Inch Blade</t>
        </is>
      </c>
      <c r="D4871" t="inlineStr">
        <is>
          <t>Klein Tools 44033 Pocket Knife with 2-1/4-Inch Drop Point Blade</t>
        </is>
      </c>
      <c r="E4871" s="2">
        <f>HYPERLINK("https://www.amazon.com/Compact-Pocket-Klein-Tools-44033/dp/B000DLC0HC/ref=sr_1_10?keywords=Klein+Tools+1550-2+2+Blade+Pocket+Knife%2C+Steel%2C+2-1%2F2-Inch+Blade&amp;qid=1694735141&amp;sr=8-10", "https://www.amazon.com/Compact-Pocket-Klein-Tools-44033/dp/B000DLC0HC/ref=sr_1_10?keywords=Klein+Tools+1550-2+2+Blade+Pocket+Knife%2C+Steel%2C+2-1%2F2-Inch+Blade&amp;qid=1694735141&amp;sr=8-10")</f>
        <v/>
      </c>
      <c r="F4871" t="inlineStr">
        <is>
          <t>B000DLC0HC</t>
        </is>
      </c>
      <c r="G4871">
        <f>_xlfn.IMAGE("https://edmondsonsupply.com/cdn/shop/products/15502_b.jpg?v=1658020543")</f>
        <v/>
      </c>
      <c r="H4871">
        <f>_xlfn.IMAGE("https://m.media-amazon.com/images/I/41lVRYcGPKL._AC_UL320_.jpg")</f>
        <v/>
      </c>
      <c r="K4871" t="inlineStr">
        <is>
          <t>29.99</t>
        </is>
      </c>
      <c r="L4871" t="n">
        <v>45.06</v>
      </c>
      <c r="M4871" s="1" t="inlineStr">
        <is>
          <t>50.25%</t>
        </is>
      </c>
      <c r="N4871" s="7" t="n">
        <v>-30.01</v>
      </c>
      <c r="O4871" t="n">
        <v>4.8</v>
      </c>
      <c r="P4871" t="n">
        <v>191</v>
      </c>
      <c r="R4871" t="inlineStr">
        <is>
          <t>InStock</t>
        </is>
      </c>
      <c r="S4871" t="inlineStr">
        <is>
          <t>45.52</t>
        </is>
      </c>
      <c r="T4871" t="inlineStr">
        <is>
          <t>2766536409188</t>
        </is>
      </c>
    </row>
    <row r="4872" ht="87" customHeight="1">
      <c r="A4872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4872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4872" t="inlineStr">
        <is>
          <t>Diablo Tools DOU250BW 2-1/2 in. Universal Fit Bi-Metal Oscillating Blade for Nail-Embedded Wood</t>
        </is>
      </c>
      <c r="D4872" t="inlineStr">
        <is>
          <t>Diablo 2-1/2" Universal Fit Bi-Metal Osc. Blades for Nail-Embedded Wood,3Pk</t>
        </is>
      </c>
      <c r="E4872" s="2">
        <f>HYPERLINK("https://www.amazon.com/Diablo-Universal-Bi-Metal-Blades-Nail-Embedded/dp/B089KW4T8J/ref=sr_1_4?keywords=Diablo+Tools+DOU250BW+2-1%2F2+in.+Universal+Fit+Bi-Metal+Oscillating+Blade+for+Nail-Embedded+Wood&amp;qid=1694734995&amp;sr=8-4", "https://www.amazon.com/Diablo-Universal-Bi-Metal-Blades-Nail-Embedded/dp/B089KW4T8J/ref=sr_1_4?keywords=Diablo+Tools+DOU250BW+2-1%2F2+in.+Universal+Fit+Bi-Metal+Oscillating+Blade+for+Nail-Embedded+Wood&amp;qid=1694734995&amp;sr=8-4")</f>
        <v/>
      </c>
      <c r="F4872" t="inlineStr">
        <is>
          <t>B089KW4T8J</t>
        </is>
      </c>
      <c r="G4872">
        <f>_xlfn.IMAGE("https://edmondsonsupply.com/cdn/shop/files/xcched1uye7bv2s0ryod.webp?v=1685717397")</f>
        <v/>
      </c>
      <c r="H4872">
        <f>_xlfn.IMAGE("https://m.media-amazon.com/images/I/71fhfiK3NaL._AC_UL320_.jpg")</f>
        <v/>
      </c>
      <c r="K4872" t="inlineStr">
        <is>
          <t>19.97</t>
        </is>
      </c>
      <c r="L4872" t="n">
        <v>30</v>
      </c>
      <c r="M4872" s="1" t="inlineStr">
        <is>
          <t>50.23%</t>
        </is>
      </c>
      <c r="N4872" s="7" t="n">
        <v>-30.03</v>
      </c>
      <c r="O4872" t="n">
        <v>4.8</v>
      </c>
      <c r="P4872" t="n">
        <v>37</v>
      </c>
      <c r="R4872" t="inlineStr">
        <is>
          <t>InStock</t>
        </is>
      </c>
      <c r="S4872" t="inlineStr">
        <is>
          <t>24.85</t>
        </is>
      </c>
      <c r="T4872" t="inlineStr">
        <is>
          <t>7999559598296</t>
        </is>
      </c>
    </row>
    <row r="4873" ht="87" customHeight="1">
      <c r="A4873" s="2">
        <f>HYPERLINK("https://edmondsonsupply.com/collections/electricians-tools/products/klein-tools-65129-2-in-1-nut-driver-hex-head-slide-drive%E2%84%A2-6-inch", "https://edmondsonsupply.com/collections/electricians-tools/products/klein-tools-65129-2-in-1-nut-driver-hex-head-slide-drive%E2%84%A2-6-inch")</f>
        <v/>
      </c>
      <c r="B4873" s="2">
        <f>HYPERLINK("https://edmondsonsupply.com/products/klein-tools-65129-2-in-1-nut-driver-hex-head-slide-drive%e2%84%a2-6-inch", "https://edmondsonsupply.com/products/klein-tools-65129-2-in-1-nut-driver-hex-head-slide-drive%e2%84%a2-6-inch")</f>
        <v/>
      </c>
      <c r="C4873" t="inlineStr">
        <is>
          <t>Klein Tools 65129 2-in-1 Nut Driver, Hex Head Slide Drive™, 6-Inch</t>
        </is>
      </c>
      <c r="D4873" t="inlineStr">
        <is>
          <t>Klein Tools 80065 Schrader Driver Kit with Multi-Bit 11-in-1 Screwdriver / Nut Driver and 2-in-1 Nut Driver, Hex Head Slide Drive, 2-Piece</t>
        </is>
      </c>
      <c r="E4873" s="2">
        <f>HYPERLINK("https://www.amazon.com/Klein-Tools-80065-Multi-Bit-Screwdriver/dp/B09SGPJ79X/ref=sr_1_4?keywords=Klein+Tools+65129+2-in-1+Nut+Driver%2C+Hex+Head+Slide+Drive%E2%84%A2%2C+6-Inch&amp;qid=1694735118&amp;sr=8-4", "https://www.amazon.com/Klein-Tools-80065-Multi-Bit-Screwdriver/dp/B09SGPJ79X/ref=sr_1_4?keywords=Klein+Tools+65129+2-in-1+Nut+Driver%2C+Hex+Head+Slide+Drive%E2%84%A2%2C+6-Inch&amp;qid=1694735118&amp;sr=8-4")</f>
        <v/>
      </c>
      <c r="F4873" t="inlineStr">
        <is>
          <t>B09SGPJ79X</t>
        </is>
      </c>
      <c r="G4873">
        <f>_xlfn.IMAGE("https://edmondsonsupply.com/cdn/shop/products/65129.jpg?v=1664459800")</f>
        <v/>
      </c>
      <c r="H4873">
        <f>_xlfn.IMAGE("https://m.media-amazon.com/images/I/41GX7DrqSFL._AC_UL320_.jpg")</f>
        <v/>
      </c>
      <c r="K4873" t="inlineStr">
        <is>
          <t>19.97</t>
        </is>
      </c>
      <c r="L4873" t="n">
        <v>29.99</v>
      </c>
      <c r="M4873" s="1" t="inlineStr">
        <is>
          <t>50.18%</t>
        </is>
      </c>
      <c r="N4873" s="7" t="n">
        <v>-30.03</v>
      </c>
      <c r="O4873" t="n">
        <v>4.8</v>
      </c>
      <c r="P4873" t="n">
        <v>4201</v>
      </c>
      <c r="R4873" t="inlineStr">
        <is>
          <t>InStock</t>
        </is>
      </c>
      <c r="S4873" t="inlineStr">
        <is>
          <t>31.06</t>
        </is>
      </c>
      <c r="T4873" t="inlineStr">
        <is>
          <t>7833473155288</t>
        </is>
      </c>
    </row>
    <row r="4874" hidden="1" ht="15.75" customHeight="1">
      <c r="A4874" s="2">
        <f>HYPERLINK("https://edmondsonsupply.com/collections/electricians-tools/products/diablo-tools-dmamx1010", "https://edmondsonsupply.com/collections/electricians-tools/products/diablo-tools-dmamx1010")</f>
        <v/>
      </c>
      <c r="B4874" s="2">
        <f>HYPERLINK("https://edmondsonsupply.com/products/diablo-tools-dmamx1010", "https://edmondsonsupply.com/products/diablo-tools-dmamx1010")</f>
        <v/>
      </c>
      <c r="C4874" t="inlineStr">
        <is>
          <t>Diablo Tools DMAMX1010 3/8 in. x 8 in. x 13 in. Rebar Demon SDS‑Max 4‑Cutter Full Carbide Head Hammer Bit</t>
        </is>
      </c>
      <c r="D4874" t="inlineStr">
        <is>
          <t>Diablo DMAMX1180 7/8 in. x 16 in. x 21 in. Rebar Demon™ SDS-Max 4-Cutter Full Carbide Head Hammer Bit</t>
        </is>
      </c>
      <c r="E4874" s="2">
        <f>HYPERLINK("https://www.amazon.com/Diablo-SDS-Max-4-Cutter-Carbide-Hammer/dp/B089KWFF8B/ref=sr_1_19?keywords=Diablo+Tools+DMAMX1010+3%2F8+in.+x+8+in.+x+13+in.+Rebar+Demon+SDS%E2%80%91Max+4%E2%80%91Cutter+Full+Carbide+Head+Hammer+Bit&amp;qid=1694735277&amp;sr=8-19", "https://www.amazon.com/Diablo-SDS-Max-4-Cutter-Carbide-Hammer/dp/B089KWFF8B/ref=sr_1_19?keywords=Diablo+Tools+DMAMX1010+3%2F8+in.+x+8+in.+x+13+in.+Rebar+Demon+SDS%E2%80%91Max+4%E2%80%91Cutter+Full+Carbide+Head+Hammer+Bit&amp;qid=1694735277&amp;sr=8-19")</f>
        <v/>
      </c>
      <c r="F4874" t="inlineStr">
        <is>
          <t>B089KWFF8B</t>
        </is>
      </c>
      <c r="G4874">
        <f>_xludf.IMAGE("https://edmondsonsupply.com/cdn/shop/products/DMAMX1010_Main-Image20200701.png?v=1609797900")</f>
        <v/>
      </c>
      <c r="H4874">
        <f>_xludf.IMAGE("https://m.media-amazon.com/images/I/611fTcYRNFL._AC_UL320_.jpg")</f>
        <v/>
      </c>
      <c r="K4874" t="inlineStr">
        <is>
          <t>34.97</t>
        </is>
      </c>
      <c r="L4874" t="n">
        <v>52.51</v>
      </c>
      <c r="M4874" s="1" t="inlineStr">
        <is>
          <t>50.16%</t>
        </is>
      </c>
      <c r="N4874" s="1" t="n">
        <v>-30.09</v>
      </c>
      <c r="O4874" t="n">
        <v>3.5</v>
      </c>
      <c r="P4874" t="n">
        <v>3</v>
      </c>
      <c r="R4874" t="inlineStr">
        <is>
          <t>InStock</t>
        </is>
      </c>
      <c r="S4874" t="inlineStr">
        <is>
          <t>43.11</t>
        </is>
      </c>
      <c r="T4874" t="inlineStr">
        <is>
          <t>5463785701544</t>
        </is>
      </c>
    </row>
    <row r="4875" ht="87" customHeight="1">
      <c r="A4875" s="2">
        <f>HYPERLINK("https://edmondsonsupply.com/collections/electricians-tools/products/klein-tools-51606", "https://edmondsonsupply.com/collections/electricians-tools/products/klein-tools-51606")</f>
        <v/>
      </c>
      <c r="B4875" s="2">
        <f>HYPERLINK("https://edmondsonsupply.com/products/klein-tools-51606", "https://edmondsonsupply.com/products/klein-tools-51606")</f>
        <v/>
      </c>
      <c r="C4875" t="inlineStr">
        <is>
          <t>Klein Tools 51606 Aluminum Conduit Bender Full Assembly, 1/2-Inch EMT with Angle Setter™</t>
        </is>
      </c>
      <c r="D4875" t="inlineStr">
        <is>
          <t>Klein Tools 51603 Iron Conduit Bender Full Assembly, 1/2-Inch EMT, Wide Foot Pedal, Benchmark Symbols and Angle Setter</t>
        </is>
      </c>
      <c r="E4875" s="2">
        <f>HYPERLINK("https://www.amazon.com/Klein-Tools-51603-Conduit-Features/dp/B08W6GJTHW/ref=sr_1_5?keywords=Klein+Tools+51606+Aluminum+Conduit+Bender+Full+Assembly%2C+1%2F2-Inch+EMT+with+Angle+Setter%E2%84%A2&amp;qid=1694735120&amp;sr=8-5", "https://www.amazon.com/Klein-Tools-51603-Conduit-Features/dp/B08W6GJTHW/ref=sr_1_5?keywords=Klein+Tools+51606+Aluminum+Conduit+Bender+Full+Assembly%2C+1%2F2-Inch+EMT+with+Angle+Setter%E2%84%A2&amp;qid=1694735120&amp;sr=8-5")</f>
        <v/>
      </c>
      <c r="F4875" t="inlineStr">
        <is>
          <t>B08W6GJTHW</t>
        </is>
      </c>
      <c r="G4875">
        <f>_xlfn.IMAGE("https://edmondsonsupply.com/cdn/shop/products/51606.jpg?v=1663942126")</f>
        <v/>
      </c>
      <c r="H4875">
        <f>_xlfn.IMAGE("https://m.media-amazon.com/images/I/31lf3y-9bSL._AC_UL320_.jpg")</f>
        <v/>
      </c>
      <c r="K4875" t="inlineStr">
        <is>
          <t>39.97</t>
        </is>
      </c>
      <c r="L4875" t="n">
        <v>59.99</v>
      </c>
      <c r="M4875" s="1" t="inlineStr">
        <is>
          <t>50.09%</t>
        </is>
      </c>
      <c r="N4875" s="7" t="n">
        <v>-30.52</v>
      </c>
      <c r="O4875" t="n">
        <v>4.9</v>
      </c>
      <c r="P4875" t="n">
        <v>31</v>
      </c>
      <c r="R4875" t="inlineStr">
        <is>
          <t>InStock</t>
        </is>
      </c>
      <c r="S4875" t="inlineStr">
        <is>
          <t>55.98</t>
        </is>
      </c>
      <c r="T4875" t="inlineStr">
        <is>
          <t>7827248447704</t>
        </is>
      </c>
    </row>
    <row r="4876" ht="87" customHeight="1">
      <c r="A4876" s="2">
        <f>HYPERLINK("https://edmondsonsupply.com/collections/electricians-tools/products/klein-tools-65129-2-in-1-nut-driver-hex-head-slide-drive%E2%84%A2-6-inch", "https://edmondsonsupply.com/collections/electricians-tools/products/klein-tools-65129-2-in-1-nut-driver-hex-head-slide-drive%E2%84%A2-6-inch")</f>
        <v/>
      </c>
      <c r="B4876" s="2">
        <f>HYPERLINK("https://edmondsonsupply.com/products/klein-tools-65129-2-in-1-nut-driver-hex-head-slide-drive%e2%84%a2-6-inch", "https://edmondsonsupply.com/products/klein-tools-65129-2-in-1-nut-driver-hex-head-slide-drive%e2%84%a2-6-inch")</f>
        <v/>
      </c>
      <c r="C4876" t="inlineStr">
        <is>
          <t>Klein Tools 65129 2-in-1 Nut Driver, Hex Head Slide Drive™, 6-Inch</t>
        </is>
      </c>
      <c r="D4876" t="inlineStr">
        <is>
          <t>Klein Tools 32807MAG 7-in-1 Nut Driver, Magnetic Driver has SAE Hex Nut Sizes 1/4 to 9/16-Inch, Cushion Grip Handle for Added Torque</t>
        </is>
      </c>
      <c r="E4876" s="2">
        <f>HYPERLINK("https://www.amazon.com/Driver-Magnetic-Klein-Tools-32807MAG/dp/B07D4M51DQ/ref=sr_1_7?keywords=Klein+Tools+65129+2-in-1+Nut+Driver%2C+Hex+Head+Slide+Drive%E2%84%A2%2C+6-Inch&amp;qid=1694735118&amp;sr=8-7", "https://www.amazon.com/Driver-Magnetic-Klein-Tools-32807MAG/dp/B07D4M51DQ/ref=sr_1_7?keywords=Klein+Tools+65129+2-in-1+Nut+Driver%2C+Hex+Head+Slide+Drive%E2%84%A2%2C+6-Inch&amp;qid=1694735118&amp;sr=8-7")</f>
        <v/>
      </c>
      <c r="F4876" t="inlineStr">
        <is>
          <t>B07D4M51DQ</t>
        </is>
      </c>
      <c r="G4876">
        <f>_xlfn.IMAGE("https://edmondsonsupply.com/cdn/shop/products/65129.jpg?v=1664459800")</f>
        <v/>
      </c>
      <c r="H4876">
        <f>_xlfn.IMAGE("https://m.media-amazon.com/images/I/61gwAJBzDAL._AC_UL320_.jpg")</f>
        <v/>
      </c>
      <c r="K4876" t="inlineStr">
        <is>
          <t>19.97</t>
        </is>
      </c>
      <c r="L4876" t="n">
        <v>29.97</v>
      </c>
      <c r="M4876" s="1" t="inlineStr">
        <is>
          <t>50.08%</t>
        </is>
      </c>
      <c r="N4876" s="7" t="n">
        <v>-30.67</v>
      </c>
      <c r="O4876" t="n">
        <v>4.7</v>
      </c>
      <c r="P4876" t="n">
        <v>9145</v>
      </c>
      <c r="R4876" t="inlineStr">
        <is>
          <t>InStock</t>
        </is>
      </c>
      <c r="S4876" t="inlineStr">
        <is>
          <t>31.06</t>
        </is>
      </c>
      <c r="T4876" t="inlineStr">
        <is>
          <t>7833473155288</t>
        </is>
      </c>
    </row>
    <row r="4877" hidden="1" ht="15.75" customHeight="1">
      <c r="A4877" s="2">
        <f>HYPERLINK("https://edmondsonsupply.com/collections/electricians-tools/products/klein-tools-607-3-mini-screwdriver-3-32-inch-cabinet-tip-3-inch", "https://edmondsonsupply.com/collections/electricians-tools/products/klein-tools-607-3-mini-screwdriver-3-32-inch-cabinet-tip-3-inch")</f>
        <v/>
      </c>
      <c r="B4877" s="2">
        <f>HYPERLINK("https://edmondsonsupply.com/products/klein-tools-607-3-mini-screwdriver-3-32-inch-cabinet-tip-3-inch", "https://edmondsonsupply.com/products/klein-tools-607-3-mini-screwdriver-3-32-inch-cabinet-tip-3-inch")</f>
        <v/>
      </c>
      <c r="C4877" t="inlineStr">
        <is>
          <t>Klein Tools 607-3 Mini Screwdriver, 3/32-Inch Cabinet Tip, 3-Inch</t>
        </is>
      </c>
      <c r="D4877" t="inlineStr">
        <is>
          <t>Klein Tools 670-6 Screwdriver, 3/16-Inch Cabinet Tip, Rapi-Driv with 6-Inch Shank</t>
        </is>
      </c>
      <c r="E4877" s="2">
        <f>HYPERLINK("https://www.amazon.com/Klein-Tools-670-6-Screwdriver-Rapi-Driv/dp/B000BO9T3Y/ref=sr_1_18?keywords=Klein+Tools+607-3+Mini+Screwdriver%2C+3%2F32-Inch+Cabinet+Tip%2C+3-Inch&amp;qid=1694735237&amp;sr=8-18", "https://www.amazon.com/Klein-Tools-670-6-Screwdriver-Rapi-Driv/dp/B000BO9T3Y/ref=sr_1_18?keywords=Klein+Tools+607-3+Mini+Screwdriver%2C+3%2F32-Inch+Cabinet+Tip%2C+3-Inch&amp;qid=1694735237&amp;sr=8-18")</f>
        <v/>
      </c>
      <c r="F4877" t="inlineStr">
        <is>
          <t>B000BO9T3Y</t>
        </is>
      </c>
      <c r="G4877">
        <f>_xludf.IMAGE("https://edmondsonsupply.com/cdn/shop/products/607-3_5e9ac034-1968-449c-957e-7d3aa01f1413.jpg?v=1633030814")</f>
        <v/>
      </c>
      <c r="H4877">
        <f>_xludf.IMAGE("https://m.media-amazon.com/images/I/31+1RSUdZ+S._AC_UL320_.jpg")</f>
        <v/>
      </c>
      <c r="K4877" t="inlineStr">
        <is>
          <t>6.99</t>
        </is>
      </c>
      <c r="L4877" t="n">
        <v>10.49</v>
      </c>
      <c r="M4877" s="1" t="inlineStr">
        <is>
          <t>50.07%</t>
        </is>
      </c>
      <c r="N4877" s="1" t="n">
        <v>-30.79</v>
      </c>
      <c r="O4877" t="n">
        <v>4.8</v>
      </c>
      <c r="P4877" t="n">
        <v>1603</v>
      </c>
      <c r="R4877" t="inlineStr">
        <is>
          <t>InStock</t>
        </is>
      </c>
      <c r="S4877" t="inlineStr">
        <is>
          <t>10.58</t>
        </is>
      </c>
      <c r="T4877" t="inlineStr">
        <is>
          <t>6068127203501</t>
        </is>
      </c>
    </row>
    <row r="4878" ht="87" customHeight="1">
      <c r="A4878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4878" s="2">
        <f>HYPERLINK("https://edmondsonsupply.com/products/klein-tools-rt250-gfci-receptacle-tester-with-lcd", "https://edmondsonsupply.com/products/klein-tools-rt250-gfci-receptacle-tester-with-lcd")</f>
        <v/>
      </c>
      <c r="C4878" t="inlineStr">
        <is>
          <t>Klein Tools RT250 GFCI Receptacle Tester with LCD</t>
        </is>
      </c>
      <c r="D4878" t="inlineStr">
        <is>
          <t>Replacement Test Lead Set, Right Angle Klein Tools 69410 &amp; RT250 GFCI Outlet Tester with LCD Display, Electric Voltage Tester for Standard 3-Wire 120V Electrical Receptacles</t>
        </is>
      </c>
      <c r="E4878" s="2">
        <f>HYPERLINK("https://www.amazon.com/Replacement-Klein-Tools-Electrical-Receptacles/dp/B0BGJ69SMJ/ref=sr_1_15?keywords=Klein+Tools+RT250+GFCI+Receptacle+Tester+with+LCD&amp;qid=1694735148&amp;sr=8-15", "https://www.amazon.com/Replacement-Klein-Tools-Electrical-Receptacles/dp/B0BGJ69SMJ/ref=sr_1_15?keywords=Klein+Tools+RT250+GFCI+Receptacle+Tester+with+LCD&amp;qid=1694735148&amp;sr=8-15")</f>
        <v/>
      </c>
      <c r="F4878" t="inlineStr">
        <is>
          <t>B0BGJ69SMJ</t>
        </is>
      </c>
      <c r="G4878">
        <f>_xlfn.IMAGE("https://edmondsonsupply.com/cdn/shop/products/rt250_photo_c.jpg?v=1661363824")</f>
        <v/>
      </c>
      <c r="H4878">
        <f>_xlfn.IMAGE("https://m.media-amazon.com/images/I/51+yNSQ4-9L._AC_UL320_.jpg")</f>
        <v/>
      </c>
      <c r="K4878" t="inlineStr">
        <is>
          <t>21.97</t>
        </is>
      </c>
      <c r="L4878" t="n">
        <v>32.97</v>
      </c>
      <c r="M4878" s="1" t="inlineStr">
        <is>
          <t>50.07%</t>
        </is>
      </c>
      <c r="N4878" s="7" t="n">
        <v>-30.8</v>
      </c>
      <c r="O4878" t="n">
        <v>4.5</v>
      </c>
      <c r="P4878" t="n">
        <v>10</v>
      </c>
      <c r="R4878" t="inlineStr">
        <is>
          <t>InStock</t>
        </is>
      </c>
      <c r="S4878" t="inlineStr">
        <is>
          <t>30.78</t>
        </is>
      </c>
      <c r="T4878" t="inlineStr">
        <is>
          <t>7793138729176</t>
        </is>
      </c>
    </row>
    <row r="4879" hidden="1" ht="15.75" customHeight="1">
      <c r="A4879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4879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4879" t="inlineStr">
        <is>
          <t>Diablo Tools DMAPL4080 1/4 in. x 6 in. x 8 in. Rebar Demon™ SDS-Plus 4-Cutter Full Carbide Head Hammer Bit</t>
        </is>
      </c>
      <c r="D4879" t="inlineStr">
        <is>
          <t>Diablo 7/16" x 4"x6" Rebar Demon™ SDS-Plus 4-Cutter Full Carbide Head Hammer Bit</t>
        </is>
      </c>
      <c r="E4879" s="2">
        <f>HYPERLINK("https://www.amazon.com/Diablo-SDS-Plus-4-Cutter-Carbide-Hammer/dp/B089LLFMWR/ref=sr_1_32?keywords=Diablo+Tools+DMAPL4080+1%2F4+in.+x+6+in.+x+8+in.+Rebar+Demon%E2%84%A2+SDS-Plus+4-Cutter+Full+Carbide+Head+Hammer+Bit&amp;qid=1694735294&amp;sr=8-32", "https://www.amazon.com/Diablo-SDS-Plus-4-Cutter-Carbide-Hammer/dp/B089LLFMWR/ref=sr_1_32?keywords=Diablo+Tools+DMAPL4080+1%2F4+in.+x+6+in.+x+8+in.+Rebar+Demon%E2%84%A2+SDS-Plus+4-Cutter+Full+Carbide+Head+Hammer+Bit&amp;qid=1694735294&amp;sr=8-32")</f>
        <v/>
      </c>
      <c r="F4879" t="inlineStr">
        <is>
          <t>B089LLFMWR</t>
        </is>
      </c>
      <c r="G4879">
        <f>_xludf.IMAGE("https://edmondsonsupply.com/cdn/shop/products/DMAPL4080_1.jpg?v=1633030359")</f>
        <v/>
      </c>
      <c r="H4879">
        <f>_xludf.IMAGE("https://m.media-amazon.com/images/I/61dJRePds4L._AC_UL320_.jpg")</f>
        <v/>
      </c>
      <c r="K4879" t="inlineStr">
        <is>
          <t>7.47</t>
        </is>
      </c>
      <c r="L4879" t="n">
        <v>11.21</v>
      </c>
      <c r="M4879" s="1" t="inlineStr">
        <is>
          <t>50.07%</t>
        </is>
      </c>
      <c r="N4879" s="1" t="n">
        <v>-31.01</v>
      </c>
      <c r="O4879" t="n">
        <v>4.5</v>
      </c>
      <c r="P4879" t="n">
        <v>8</v>
      </c>
      <c r="R4879" t="inlineStr">
        <is>
          <t>InStock</t>
        </is>
      </c>
      <c r="S4879" t="inlineStr">
        <is>
          <t>undefined</t>
        </is>
      </c>
      <c r="T4879" t="inlineStr">
        <is>
          <t>5286767919272</t>
        </is>
      </c>
    </row>
    <row r="4880" hidden="1" ht="15.75" customHeight="1">
      <c r="A4880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880" s="2">
        <f>HYPERLINK("https://edmondsonsupply.com/products/klein-tools-s10-5-16-inch-nut-driver-3-inch-hollow-shaft", "https://edmondsonsupply.com/products/klein-tools-s10-5-16-inch-nut-driver-3-inch-hollow-shaft")</f>
        <v/>
      </c>
      <c r="C4880" t="inlineStr">
        <is>
          <t>Klein Tools S10 5/16-Inch Nut Driver 3-Inch Hollow Shaft</t>
        </is>
      </c>
      <c r="D4880" t="inlineStr">
        <is>
          <t>Klein Tools 635-5/16 5/16-Inch Heavy-Duty Nut Driver</t>
        </is>
      </c>
      <c r="E4880" s="2">
        <f>HYPERLINK("https://www.amazon.com/Heavy-Duty-Driver-16-Inch-Klein-Tools/dp/B01D6FKW58/ref=sr_1_11?keywords=Klein+Tools+S10+5%2F16-Inch+Nut+Driver+3-Inch+Hollow+Shaft&amp;qid=1694735234&amp;sr=8-11", "https://www.amazon.com/Heavy-Duty-Driver-16-Inch-Klein-Tools/dp/B01D6FKW58/ref=sr_1_11?keywords=Klein+Tools+S10+5%2F16-Inch+Nut+Driver+3-Inch+Hollow+Shaft&amp;qid=1694735234&amp;sr=8-11")</f>
        <v/>
      </c>
      <c r="F4880" t="inlineStr">
        <is>
          <t>B01D6FKW58</t>
        </is>
      </c>
      <c r="G4880">
        <f>_xludf.IMAGE("https://edmondsonsupply.com/cdn/shop/products/s10_38acacb8-6c8e-49ef-8ed3-7160ab53875a.jpg?v=1633030893")</f>
        <v/>
      </c>
      <c r="H4880">
        <f>_xludf.IMAGE("https://m.media-amazon.com/images/I/41FuKJjYruL._AC_UL320_.jpg")</f>
        <v/>
      </c>
      <c r="K4880" t="inlineStr">
        <is>
          <t>7.99</t>
        </is>
      </c>
      <c r="L4880" t="n">
        <v>11.99</v>
      </c>
      <c r="M4880" s="1" t="inlineStr">
        <is>
          <t>50.06%</t>
        </is>
      </c>
      <c r="N4880" s="1" t="n">
        <v>-31.4</v>
      </c>
      <c r="O4880" t="n">
        <v>4.7</v>
      </c>
      <c r="P4880" t="n">
        <v>999</v>
      </c>
      <c r="R4880" t="inlineStr">
        <is>
          <t>InStock</t>
        </is>
      </c>
      <c r="S4880" t="inlineStr">
        <is>
          <t>12.06</t>
        </is>
      </c>
      <c r="T4880" t="inlineStr">
        <is>
          <t>6223447031981</t>
        </is>
      </c>
    </row>
    <row r="4881" hidden="1" ht="15.75" customHeight="1">
      <c r="A4881" s="2">
        <f>HYPERLINK("https://edmondsonsupply.com/collections/electricians-tools/products/klein-tools-608-10-1-8-inch-cabinet-tip-mini-screwdriver-10-inch", "https://edmondsonsupply.com/collections/electricians-tools/products/klein-tools-608-10-1-8-inch-cabinet-tip-mini-screwdriver-10-inch")</f>
        <v/>
      </c>
      <c r="B4881" s="2">
        <f>HYPERLINK("https://edmondsonsupply.com/products/klein-tools-608-10-1-8-inch-cabinet-tip-mini-screwdriver-10-inch", "https://edmondsonsupply.com/products/klein-tools-608-10-1-8-inch-cabinet-tip-mini-screwdriver-10-inch")</f>
        <v/>
      </c>
      <c r="C4881" t="inlineStr">
        <is>
          <t>Klein Tools 608-10 1/8-Inch Cabinet Tip Mini Screwdriver 10-Inch</t>
        </is>
      </c>
      <c r="D4881" t="inlineStr">
        <is>
          <t>Klein Tools 6926INS Insulated Screwdriver, 1000V Slim Profile Tip, 1/4-Inch Cabinet Screwdriver with 6-Inch Shank, Cushion-Grip Handle</t>
        </is>
      </c>
      <c r="E4881" s="2">
        <f>HYPERLINK("https://www.amazon.com/Klein-Tools-6926INS-Screwdriver-Cushion-Grip/dp/B09GL1X5SZ/ref=sr_1_40?keywords=Klein+Tools+608-10+1%2F8-Inch+Cabinet+Tip+Mini+Screwdriver+10-Inch&amp;qid=1694735289&amp;sr=8-40", "https://www.amazon.com/Klein-Tools-6926INS-Screwdriver-Cushion-Grip/dp/B09GL1X5SZ/ref=sr_1_40?keywords=Klein+Tools+608-10+1%2F8-Inch+Cabinet+Tip+Mini+Screwdriver+10-Inch&amp;qid=1694735289&amp;sr=8-40")</f>
        <v/>
      </c>
      <c r="F4881" t="inlineStr">
        <is>
          <t>B09GL1X5SZ</t>
        </is>
      </c>
      <c r="G4881">
        <f>_xludf.IMAGE("https://edmondsonsupply.com/cdn/shop/products/608-6_3d55df43-d6b6-4261-9983-f7b4b6f422c4.jpg?v=1633030486")</f>
        <v/>
      </c>
      <c r="H4881">
        <f>_xludf.IMAGE("https://m.media-amazon.com/images/I/41JbepP5oGL._AC_UL320_.jpg")</f>
        <v/>
      </c>
      <c r="K4881" t="inlineStr">
        <is>
          <t>9.99</t>
        </is>
      </c>
      <c r="L4881" t="n">
        <v>14.99</v>
      </c>
      <c r="M4881" s="1" t="inlineStr">
        <is>
          <t>50.05%</t>
        </is>
      </c>
      <c r="N4881" s="1" t="n">
        <v>-31.4</v>
      </c>
      <c r="O4881" t="n">
        <v>4.8</v>
      </c>
      <c r="P4881" t="n">
        <v>85</v>
      </c>
      <c r="R4881" t="inlineStr">
        <is>
          <t>InStock</t>
        </is>
      </c>
      <c r="S4881" t="inlineStr">
        <is>
          <t>15.1</t>
        </is>
      </c>
      <c r="T4881" t="inlineStr">
        <is>
          <t>5371101610152</t>
        </is>
      </c>
    </row>
    <row r="4882" hidden="1" ht="15.75" customHeight="1">
      <c r="A4882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4882" s="2">
        <f>HYPERLINK("https://edmondsonsupply.com/products/klein-tools-31922-bi-metal-hole-saw-1-3-8-inch", "https://edmondsonsupply.com/products/klein-tools-31922-bi-metal-hole-saw-1-3-8-inch")</f>
        <v/>
      </c>
      <c r="C4882" t="inlineStr">
        <is>
          <t>Klein Tools 31922 Bi-Metal Hole Saw, 1-3/8-Inch</t>
        </is>
      </c>
      <c r="D4882" t="inlineStr">
        <is>
          <t>Klein Tools 31534 Bi-Metal Hole Saw, 2-1/8-Inch</t>
        </is>
      </c>
      <c r="E4882" s="2">
        <f>HYPERLINK("https://www.amazon.com/Klein-Tools-31534-Bi-Metal-8-Inch/dp/B0009OIJFA/ref=sr_1_9?keywords=Klein+Tools+31922+Bi-Metal+Hole+Saw%2C+1-3%2F8-Inch&amp;qid=1694735176&amp;sr=8-9", "https://www.amazon.com/Klein-Tools-31534-Bi-Metal-8-Inch/dp/B0009OIJFA/ref=sr_1_9?keywords=Klein+Tools+31922+Bi-Metal+Hole+Saw%2C+1-3%2F8-Inch&amp;qid=1694735176&amp;sr=8-9")</f>
        <v/>
      </c>
      <c r="F4882" t="inlineStr">
        <is>
          <t>B0009OIJFA</t>
        </is>
      </c>
      <c r="G4882">
        <f>_xludf.IMAGE("https://edmondsonsupply.com/cdn/shop/products/31922.jpg?v=1663943738")</f>
        <v/>
      </c>
      <c r="H4882">
        <f>_xludf.IMAGE("https://m.media-amazon.com/images/I/31Wk-f8wwaL._AC_UL320_.jpg")</f>
        <v/>
      </c>
      <c r="K4882" t="inlineStr">
        <is>
          <t>9.99</t>
        </is>
      </c>
      <c r="L4882" t="n">
        <v>14.99</v>
      </c>
      <c r="M4882" s="1" t="inlineStr">
        <is>
          <t>50.05%</t>
        </is>
      </c>
      <c r="N4882" s="1" t="n">
        <v>-31.4</v>
      </c>
      <c r="O4882" t="n">
        <v>5</v>
      </c>
      <c r="P4882" t="n">
        <v>5</v>
      </c>
      <c r="R4882" t="inlineStr">
        <is>
          <t>InStock</t>
        </is>
      </c>
      <c r="S4882" t="inlineStr">
        <is>
          <t>14.0</t>
        </is>
      </c>
      <c r="T4882" t="inlineStr">
        <is>
          <t>7827257819352</t>
        </is>
      </c>
    </row>
    <row r="4883" ht="87" customHeight="1">
      <c r="A4883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4883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4883" t="inlineStr">
        <is>
          <t>Klein Tools 635-1/4 1/4-Inch Nut Driver, Magnetic Tip, 4-Inch Shaft</t>
        </is>
      </c>
      <c r="D4883" t="inlineStr">
        <is>
          <t>Klein Tools 610M Tool Set, Magnetic Nut Driver Set with Stubby Nut Driver Sizes 1/4 and 5/16-Inch, Full Hollow Shaft, 2-Piece</t>
        </is>
      </c>
      <c r="E4883" s="2">
        <f>HYPERLINK("https://www.amazon.com/Klein-Tools-610M-16-Inch-Magnetic/dp/B00093DZO6/ref=sr_1_12?keywords=Klein+Tools+635-1%2F4+1%2F4-Inch+Nut+Driver%2C+Magnetic+Tip%2C+4-Inch+Shaft&amp;qid=1694735101&amp;sr=8-12", "https://www.amazon.com/Klein-Tools-610M-16-Inch-Magnetic/dp/B00093DZO6/ref=sr_1_12?keywords=Klein+Tools+635-1%2F4+1%2F4-Inch+Nut+Driver%2C+Magnetic+Tip%2C+4-Inch+Shaft&amp;qid=1694735101&amp;sr=8-12")</f>
        <v/>
      </c>
      <c r="F4883" t="inlineStr">
        <is>
          <t>B00093DZO6</t>
        </is>
      </c>
      <c r="G4883">
        <f>_xlfn.IMAGE("https://edmondsonsupply.com/cdn/shop/products/635-1-4.jpg?v=1666811523")</f>
        <v/>
      </c>
      <c r="H4883">
        <f>_xlfn.IMAGE("https://m.media-amazon.com/images/I/51lgiheW64L._AC_UL320_.jpg")</f>
        <v/>
      </c>
      <c r="K4883" t="inlineStr">
        <is>
          <t>11.99</t>
        </is>
      </c>
      <c r="L4883" t="n">
        <v>17.99</v>
      </c>
      <c r="M4883" s="1" t="inlineStr">
        <is>
          <t>50.04%</t>
        </is>
      </c>
      <c r="N4883" s="7" t="n">
        <v>-31.57</v>
      </c>
      <c r="O4883" t="n">
        <v>4.8</v>
      </c>
      <c r="P4883" t="n">
        <v>559</v>
      </c>
      <c r="R4883" t="inlineStr">
        <is>
          <t>InStock</t>
        </is>
      </c>
      <c r="S4883" t="inlineStr">
        <is>
          <t>18.18</t>
        </is>
      </c>
      <c r="T4883" t="inlineStr">
        <is>
          <t>7866294010072</t>
        </is>
      </c>
    </row>
    <row r="4884" hidden="1" ht="15.75" customHeight="1">
      <c r="A4884" s="2">
        <f>HYPERLINK("https://edmondsonsupply.com/collections/electricians-tools/products/klein-tools-88910-mini-tube-cutter", "https://edmondsonsupply.com/collections/electricians-tools/products/klein-tools-88910-mini-tube-cutter")</f>
        <v/>
      </c>
      <c r="B4884" s="2">
        <f>HYPERLINK("https://edmondsonsupply.com/products/klein-tools-88910-mini-tube-cutter", "https://edmondsonsupply.com/products/klein-tools-88910-mini-tube-cutter")</f>
        <v/>
      </c>
      <c r="C4884" t="inlineStr">
        <is>
          <t>Klein Tools 88910 Mini Tube Cutter</t>
        </is>
      </c>
      <c r="D4884" t="inlineStr">
        <is>
          <t>Klein Tools 88977 Professional Mini Tube Cutter</t>
        </is>
      </c>
      <c r="E4884" s="2">
        <f>HYPERLINK("https://www.amazon.com/Klein-Tools-88977-Professional-Cutter/dp/B005TU32JC/ref=sr_1_3?keywords=Klein+Tools+88910+Mini+Tube+Cutter&amp;qid=1694735177&amp;sr=8-3", "https://www.amazon.com/Klein-Tools-88977-Professional-Cutter/dp/B005TU32JC/ref=sr_1_3?keywords=Klein+Tools+88910+Mini+Tube+Cutter&amp;qid=1694735177&amp;sr=8-3")</f>
        <v/>
      </c>
      <c r="F4884" t="inlineStr">
        <is>
          <t>B005TU32JC</t>
        </is>
      </c>
      <c r="G4884">
        <f>_xludf.IMAGE("https://edmondsonsupply.com/cdn/shop/products/88910.jpg?v=1638577903")</f>
        <v/>
      </c>
      <c r="H4884">
        <f>_xludf.IMAGE("https://m.media-amazon.com/images/I/61SWwVVJuLL._AC_UL320_.jpg")</f>
        <v/>
      </c>
      <c r="K4884" t="inlineStr">
        <is>
          <t>19.99</t>
        </is>
      </c>
      <c r="L4884" t="n">
        <v>29.99</v>
      </c>
      <c r="M4884" s="1" t="inlineStr">
        <is>
          <t>50.03%</t>
        </is>
      </c>
      <c r="N4884" s="1" t="n">
        <v>-31.59</v>
      </c>
      <c r="O4884" t="n">
        <v>3.3</v>
      </c>
      <c r="P4884" t="n">
        <v>6</v>
      </c>
      <c r="R4884" t="inlineStr">
        <is>
          <t>InStock</t>
        </is>
      </c>
      <c r="S4884" t="inlineStr">
        <is>
          <t>27.36</t>
        </is>
      </c>
      <c r="T4884" t="inlineStr">
        <is>
          <t>7539584631000</t>
        </is>
      </c>
    </row>
    <row r="4885" ht="87" customHeight="1">
      <c r="A4885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4885" s="2">
        <f>HYPERLINK("https://edmondsonsupply.com/products/klein-tools-d507-8-adjustable-wrench-extra-capacity-8-inch", "https://edmondsonsupply.com/products/klein-tools-d507-8-adjustable-wrench-extra-capacity-8-inch")</f>
        <v/>
      </c>
      <c r="C4885" t="inlineStr">
        <is>
          <t>Klein Tools D507-8 Adjustable Wrench, Extra Capacity 8-Inch</t>
        </is>
      </c>
      <c r="D4885" t="inlineStr">
        <is>
          <t>Klein Tools D86936 Adjustable Wrench, Forged with Slimmer Jaw and a High Polish Chrome Finish, 8-inch</t>
        </is>
      </c>
      <c r="E4885" s="2">
        <f>HYPERLINK("https://www.amazon.com/Slim-Jaw-Adjustable-Klein-Tools-D86936/dp/B075X84TBJ/ref=sr_1_6?keywords=Klein+Tools+D507-8+Adjustable+Wrench%2C+Extra+Capacity+8-Inch&amp;qid=1694734984&amp;sr=8-6", "https://www.amazon.com/Slim-Jaw-Adjustable-Klein-Tools-D86936/dp/B075X84TBJ/ref=sr_1_6?keywords=Klein+Tools+D507-8+Adjustable+Wrench%2C+Extra+Capacity+8-Inch&amp;qid=1694734984&amp;sr=8-6")</f>
        <v/>
      </c>
      <c r="F4885" t="inlineStr">
        <is>
          <t>B075X84TBJ</t>
        </is>
      </c>
      <c r="G4885">
        <f>_xlfn.IMAGE("https://edmondsonsupply.com/cdn/shop/products/d5078_b.jpg?v=1666010497")</f>
        <v/>
      </c>
      <c r="H4885">
        <f>_xlfn.IMAGE("https://m.media-amazon.com/images/I/41CJoXWRm0L._AC_UL320_.jpg")</f>
        <v/>
      </c>
      <c r="K4885" t="inlineStr">
        <is>
          <t>29.99</t>
        </is>
      </c>
      <c r="L4885" t="n">
        <v>44.99</v>
      </c>
      <c r="M4885" s="1" t="inlineStr">
        <is>
          <t>50.02%</t>
        </is>
      </c>
      <c r="N4885" s="7" t="n">
        <v>-31.59</v>
      </c>
      <c r="O4885" t="n">
        <v>4.7</v>
      </c>
      <c r="P4885" t="n">
        <v>86</v>
      </c>
      <c r="R4885" t="inlineStr">
        <is>
          <t>InStock</t>
        </is>
      </c>
      <c r="S4885" t="inlineStr">
        <is>
          <t>45.44</t>
        </is>
      </c>
      <c r="T4885" t="inlineStr">
        <is>
          <t>4353085014116</t>
        </is>
      </c>
    </row>
    <row r="4886" ht="87" customHeight="1">
      <c r="A4886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4886" s="2">
        <f>HYPERLINK("https://edmondsonsupply.com/products/klein-tools-51608-1-2-inch-iron-conduit-bender-head", "https://edmondsonsupply.com/products/klein-tools-51608-1-2-inch-iron-conduit-bender-head")</f>
        <v/>
      </c>
      <c r="C4886" t="inlineStr">
        <is>
          <t>Klein Tools 51608 1/2-inch Iron Conduit Bender Head</t>
        </is>
      </c>
      <c r="D4886" t="inlineStr">
        <is>
          <t>Klein Tools 51603 Iron Conduit Bender Full Assembly, 1/2-Inch EMT, Wide Foot Pedal, Benchmark Symbols and Angle Setter</t>
        </is>
      </c>
      <c r="E4886" s="2">
        <f>HYPERLINK("https://www.amazon.com/Klein-Tools-51603-Conduit-Features/dp/B08W6GJTHW/ref=sr_1_5?keywords=Klein+Tools+51608+1%2F2-inch+Iron+Conduit+Bender+Head&amp;qid=1694735173&amp;sr=8-5", "https://www.amazon.com/Klein-Tools-51603-Conduit-Features/dp/B08W6GJTHW/ref=sr_1_5?keywords=Klein+Tools+51608+1%2F2-inch+Iron+Conduit+Bender+Head&amp;qid=1694735173&amp;sr=8-5")</f>
        <v/>
      </c>
      <c r="F4886" t="inlineStr">
        <is>
          <t>B08W6GJTHW</t>
        </is>
      </c>
      <c r="G4886">
        <f>_xlfn.IMAGE("https://edmondsonsupply.com/cdn/shop/products/51608.jpg?v=1643679335")</f>
        <v/>
      </c>
      <c r="H4886">
        <f>_xlfn.IMAGE("https://m.media-amazon.com/images/I/31lf3y-9bSL._AC_UL320_.jpg")</f>
        <v/>
      </c>
      <c r="K4886" t="inlineStr">
        <is>
          <t>39.99</t>
        </is>
      </c>
      <c r="L4886" t="n">
        <v>59.99</v>
      </c>
      <c r="M4886" s="1" t="inlineStr">
        <is>
          <t>50.01%</t>
        </is>
      </c>
      <c r="N4886" s="7" t="n">
        <v>-31.71</v>
      </c>
      <c r="O4886" t="n">
        <v>4.9</v>
      </c>
      <c r="P4886" t="n">
        <v>31</v>
      </c>
      <c r="R4886" t="inlineStr">
        <is>
          <t>InStock</t>
        </is>
      </c>
      <c r="S4886" t="inlineStr">
        <is>
          <t>60.66</t>
        </is>
      </c>
      <c r="T4886" t="inlineStr">
        <is>
          <t>7597417693400</t>
        </is>
      </c>
    </row>
    <row r="4887" ht="87" customHeight="1">
      <c r="A4887" s="2">
        <f>HYPERLINK("https://edmondsonsupply.com/collections/electricians-tools/products/crescent-wiss-m1p-9-3-4-compound-action-straight-and-left-aviation-snips", "https://edmondsonsupply.com/collections/electricians-tools/products/crescent-wiss-m1p-9-3-4-compound-action-straight-and-left-aviation-snips")</f>
        <v/>
      </c>
      <c r="B4887" s="2">
        <f>HYPERLINK("https://edmondsonsupply.com/products/crescent-wiss-m1p-9-3-4-compound-action-straight-and-left-aviation-snips", "https://edmondsonsupply.com/products/crescent-wiss-m1p-9-3-4-compound-action-straight-and-left-aviation-snips")</f>
        <v/>
      </c>
      <c r="C4887" t="inlineStr">
        <is>
          <t>Crescent Wiss M1P 9-3/4" Compound Action Straight and Left Aviation Snips</t>
        </is>
      </c>
      <c r="D4887" t="inlineStr">
        <is>
          <t>Crescent Wiss 9-3/4" Straight and Left Aviation Snips - M1R with Crescent Wiss 9-3/4" Straight, Left and Right Cut MetalMaster Compound Action Snips - M3R</t>
        </is>
      </c>
      <c r="E4887" s="2">
        <f>HYPERLINK("https://www.amazon.com/Crescent-Wiss-Straight-Aviation-Snips/dp/B093TXCS3X/ref=sr_1_2?keywords=Crescent+Wiss+M1P+9-3%2F4%22+Compound+Action+Straight+and+Left+Aviation+Snips&amp;qid=1694735008&amp;sr=8-2", "https://www.amazon.com/Crescent-Wiss-Straight-Aviation-Snips/dp/B093TXCS3X/ref=sr_1_2?keywords=Crescent+Wiss+M1P+9-3%2F4%22+Compound+Action+Straight+and+Left+Aviation+Snips&amp;qid=1694735008&amp;sr=8-2")</f>
        <v/>
      </c>
      <c r="F4887" t="inlineStr">
        <is>
          <t>B093TXCS3X</t>
        </is>
      </c>
      <c r="G4887">
        <f>_xlfn.IMAGE("https://edmondsonsupply.com/cdn/shop/products/WIS_M1P_IMG_ANG_01.jpg?v=1679672536")</f>
        <v/>
      </c>
      <c r="H4887">
        <f>_xlfn.IMAGE("https://m.media-amazon.com/images/I/41SEWCwniGS._AC_UL320_.jpg")</f>
        <v/>
      </c>
      <c r="K4887" t="inlineStr">
        <is>
          <t>19.99</t>
        </is>
      </c>
      <c r="L4887" t="n">
        <v>29.98</v>
      </c>
      <c r="M4887" s="1" t="inlineStr">
        <is>
          <t>49.97%</t>
        </is>
      </c>
      <c r="N4887" s="7" t="n">
        <v>-31.78</v>
      </c>
      <c r="O4887" t="n">
        <v>5</v>
      </c>
      <c r="P4887" t="n">
        <v>1</v>
      </c>
      <c r="R4887" t="inlineStr">
        <is>
          <t>InStock</t>
        </is>
      </c>
      <c r="S4887" t="inlineStr">
        <is>
          <t>36.51</t>
        </is>
      </c>
      <c r="T4887" t="inlineStr">
        <is>
          <t>7966222221528</t>
        </is>
      </c>
    </row>
    <row r="4888" ht="87" customHeight="1">
      <c r="A4888" s="2">
        <f>HYPERLINK("https://edmondsonsupply.com/collections/electricians-tools/products/crescent-wiss-m3p-9-3-4-compound-action-straight-left-and-right-cut-snips", "https://edmondsonsupply.com/collections/electricians-tools/products/crescent-wiss-m3p-9-3-4-compound-action-straight-left-and-right-cut-snips")</f>
        <v/>
      </c>
      <c r="B4888" s="2">
        <f>HYPERLINK("https://edmondsonsupply.com/products/crescent-wiss-m3p-9-3-4-compound-action-straight-left-and-right-cut-snips", "https://edmondsonsupply.com/products/crescent-wiss-m3p-9-3-4-compound-action-straight-left-and-right-cut-snips")</f>
        <v/>
      </c>
      <c r="C4888" t="inlineStr">
        <is>
          <t>Crescent Wiss M3P 9-3/4" Compound Action Straight, Left and Right Cut Snips</t>
        </is>
      </c>
      <c r="D4888" t="inlineStr">
        <is>
          <t>Crescent Wiss 9-3/4" Straight and Left Aviation Snips - M1R with Crescent Wiss 9-3/4" Straight, Left and Right Cut MetalMaster Compound Action Snips - M3R</t>
        </is>
      </c>
      <c r="E4888" s="2">
        <f>HYPERLINK("https://www.amazon.com/Crescent-Wiss-Straight-Aviation-Snips/dp/B093TXCS3X/ref=sr_1_1?keywords=Crescent+Wiss+M3P+9-3%2F4%22+Compound+Action+Straight%2C+Left+and+Right+Cut+Snips&amp;qid=1694735014&amp;sr=8-1", "https://www.amazon.com/Crescent-Wiss-Straight-Aviation-Snips/dp/B093TXCS3X/ref=sr_1_1?keywords=Crescent+Wiss+M3P+9-3%2F4%22+Compound+Action+Straight%2C+Left+and+Right+Cut+Snips&amp;qid=1694735014&amp;sr=8-1")</f>
        <v/>
      </c>
      <c r="F4888" t="inlineStr">
        <is>
          <t>B093TXCS3X</t>
        </is>
      </c>
      <c r="G4888">
        <f>_xlfn.IMAGE("https://edmondsonsupply.com/cdn/shop/products/WIS_M3P_IMG_ANG_01.jpg?v=1679675102")</f>
        <v/>
      </c>
      <c r="H4888">
        <f>_xlfn.IMAGE("https://m.media-amazon.com/images/I/41SEWCwniGS._AC_UL320_.jpg")</f>
        <v/>
      </c>
      <c r="K4888" t="inlineStr">
        <is>
          <t>19.99</t>
        </is>
      </c>
      <c r="L4888" t="n">
        <v>29.98</v>
      </c>
      <c r="M4888" s="1" t="inlineStr">
        <is>
          <t>49.97%</t>
        </is>
      </c>
      <c r="N4888" s="7" t="n">
        <v>-31.81</v>
      </c>
      <c r="O4888" t="n">
        <v>5</v>
      </c>
      <c r="P4888" t="n">
        <v>1</v>
      </c>
      <c r="R4888" t="inlineStr">
        <is>
          <t>InStock</t>
        </is>
      </c>
      <c r="S4888" t="inlineStr">
        <is>
          <t>36.51</t>
        </is>
      </c>
      <c r="T4888" t="inlineStr">
        <is>
          <t>7966280843480</t>
        </is>
      </c>
    </row>
    <row r="4889" ht="87" customHeight="1">
      <c r="A4889" s="2">
        <f>HYPERLINK("https://edmondsonsupply.com/collections/electricians-tools/products/crescent-wiss-m2p-9-3-4-compound-action-straight-and-right-cut-aviation-snips", "https://edmondsonsupply.com/collections/electricians-tools/products/crescent-wiss-m2p-9-3-4-compound-action-straight-and-right-cut-aviation-snips")</f>
        <v/>
      </c>
      <c r="B4889" s="2">
        <f>HYPERLINK("https://edmondsonsupply.com/products/crescent-wiss-m2p-9-3-4-compound-action-straight-and-right-cut-aviation-snips", "https://edmondsonsupply.com/products/crescent-wiss-m2p-9-3-4-compound-action-straight-and-right-cut-aviation-snips")</f>
        <v/>
      </c>
      <c r="C4889" t="inlineStr">
        <is>
          <t>Crescent Wiss M2P 9-3/4" Compound Action Straight and Right Cut Aviation Snips</t>
        </is>
      </c>
      <c r="D4889" t="inlineStr">
        <is>
          <t>Crescent Wiss 9-3/4" Straight and Left Aviation Snips - M1R with Crescent Wiss 9-3/4" Straight, Left and Right Cut MetalMaster Compound Action Snips - M3R</t>
        </is>
      </c>
      <c r="E4889" s="2">
        <f>HYPERLINK("https://www.amazon.com/Crescent-Wiss-Straight-Aviation-Snips/dp/B093TXCS3X/ref=sr_1_2?keywords=Crescent+Wiss+M2P+9-3%2F4%22+Compound+Action+Straight+and+Right+Cut+Aviation+Snips&amp;qid=1694735015&amp;sr=8-2", "https://www.amazon.com/Crescent-Wiss-Straight-Aviation-Snips/dp/B093TXCS3X/ref=sr_1_2?keywords=Crescent+Wiss+M2P+9-3%2F4%22+Compound+Action+Straight+and+Right+Cut+Aviation+Snips&amp;qid=1694735015&amp;sr=8-2")</f>
        <v/>
      </c>
      <c r="F4889" t="inlineStr">
        <is>
          <t>B093TXCS3X</t>
        </is>
      </c>
      <c r="G4889">
        <f>_xlfn.IMAGE("https://edmondsonsupply.com/cdn/shop/products/WIS_M2P_IMG_ANG_01.jpg?v=1679674099")</f>
        <v/>
      </c>
      <c r="H4889">
        <f>_xlfn.IMAGE("https://m.media-amazon.com/images/I/41SEWCwniGS._AC_UL320_.jpg")</f>
        <v/>
      </c>
      <c r="K4889" t="inlineStr">
        <is>
          <t>19.99</t>
        </is>
      </c>
      <c r="L4889" t="n">
        <v>29.98</v>
      </c>
      <c r="M4889" s="1" t="inlineStr">
        <is>
          <t>49.97%</t>
        </is>
      </c>
      <c r="N4889" s="7" t="n">
        <v>-31.81</v>
      </c>
      <c r="O4889" t="n">
        <v>5</v>
      </c>
      <c r="P4889" t="n">
        <v>1</v>
      </c>
      <c r="R4889" t="inlineStr">
        <is>
          <t>InStock</t>
        </is>
      </c>
      <c r="S4889" t="inlineStr">
        <is>
          <t>36.51</t>
        </is>
      </c>
      <c r="T4889" t="inlineStr">
        <is>
          <t>7966255579352</t>
        </is>
      </c>
    </row>
    <row r="4890" ht="87" customHeight="1">
      <c r="A4890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4890" s="2">
        <f>HYPERLINK("https://edmondsonsupply.com/products/klein-tools-635-7-16-7-16-inch-heavy-duty-nut-driver", "https://edmondsonsupply.com/products/klein-tools-635-7-16-7-16-inch-heavy-duty-nut-driver")</f>
        <v/>
      </c>
      <c r="C4890" t="inlineStr">
        <is>
          <t>Klein Tools 635-7/16 7/16-Inch Heavy-Duty Nut Driver</t>
        </is>
      </c>
      <c r="D4890" t="inlineStr">
        <is>
          <t>Klein 646-7/16 7/16" Nut Driver, Heavy Duty</t>
        </is>
      </c>
      <c r="E4890" s="2">
        <f>HYPERLINK("https://www.amazon.com/Klein-646-7-Driver-Heavy-Duty/dp/B009EB746E/ref=sr_1_15?keywords=Klein+Tools+635-7%2F16+7%2F16-Inch+Heavy-Duty+Nut+Driver&amp;qid=1694735398&amp;sr=8-15", "https://www.amazon.com/Klein-646-7-Driver-Heavy-Duty/dp/B009EB746E/ref=sr_1_15?keywords=Klein+Tools+635-7%2F16+7%2F16-Inch+Heavy-Duty+Nut+Driver&amp;qid=1694735398&amp;sr=8-15")</f>
        <v/>
      </c>
      <c r="F4890" t="inlineStr">
        <is>
          <t>B009EB746E</t>
        </is>
      </c>
      <c r="G4890">
        <f>_xlfn.IMAGE("https://edmondsonsupply.com/cdn/shop/products/635-7-16.jpg?v=1587145128")</f>
        <v/>
      </c>
      <c r="H4890">
        <f>_xlfn.IMAGE("https://m.media-amazon.com/images/I/51aw3M4+OOL._AC_UL320_.jpg")</f>
        <v/>
      </c>
      <c r="K4890" t="inlineStr">
        <is>
          <t>14.49</t>
        </is>
      </c>
      <c r="L4890" t="n">
        <v>21.73</v>
      </c>
      <c r="M4890" s="1" t="inlineStr">
        <is>
          <t>49.97%</t>
        </is>
      </c>
      <c r="N4890" s="7" t="n">
        <v>-31.94</v>
      </c>
      <c r="O4890" t="n">
        <v>5</v>
      </c>
      <c r="P4890" t="n">
        <v>4</v>
      </c>
      <c r="R4890" t="inlineStr">
        <is>
          <t>InStock</t>
        </is>
      </c>
      <c r="S4890" t="inlineStr">
        <is>
          <t>21.94</t>
        </is>
      </c>
      <c r="T4890" t="inlineStr">
        <is>
          <t>4410745978980</t>
        </is>
      </c>
    </row>
    <row r="4891" ht="87" customHeight="1">
      <c r="A4891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4891" s="2">
        <f>HYPERLINK("https://edmondsonsupply.com/products/klein-tools-et45-ac-dc-voltage-tester", "https://edmondsonsupply.com/products/klein-tools-et45-ac-dc-voltage-tester")</f>
        <v/>
      </c>
      <c r="C4891" t="inlineStr">
        <is>
          <t>Klein Tools ET45 AC/DC Voltage Tester</t>
        </is>
      </c>
      <c r="D4891" t="inlineStr">
        <is>
          <t>Klein Tools ET45VP Electrical Test Kit with GFCI Outlet Tester and AC/DC Voltage Tester, Orange</t>
        </is>
      </c>
      <c r="E4891" s="2">
        <f>HYPERLINK("https://www.amazon.com/Receptacle-Electrical-Klein-Tools-ET45VP/dp/B08Y63ZG1B/ref=sr_1_3?keywords=Klein+Tools+ET45+AC%2FDC+Voltage+Tester&amp;qid=1694735227&amp;sr=8-3", "https://www.amazon.com/Receptacle-Electrical-Klein-Tools-ET45VP/dp/B08Y63ZG1B/ref=sr_1_3?keywords=Klein+Tools+ET45+AC%2FDC+Voltage+Tester&amp;qid=1694735227&amp;sr=8-3")</f>
        <v/>
      </c>
      <c r="F4891" t="inlineStr">
        <is>
          <t>B08Y63ZG1B</t>
        </is>
      </c>
      <c r="G4891">
        <f>_xlfn.IMAGE("https://edmondsonsupply.com/cdn/shop/products/et45.jpg?v=1647786270")</f>
        <v/>
      </c>
      <c r="H4891">
        <f>_xlfn.IMAGE("https://m.media-amazon.com/images/I/51g9gSN+3SL._AC_UL320_.jpg")</f>
        <v/>
      </c>
      <c r="K4891" t="inlineStr">
        <is>
          <t>11.99</t>
        </is>
      </c>
      <c r="L4891" t="n">
        <v>17.97</v>
      </c>
      <c r="M4891" s="1" t="inlineStr">
        <is>
          <t>49.87%</t>
        </is>
      </c>
      <c r="N4891" s="7" t="n">
        <v>-32</v>
      </c>
      <c r="O4891" t="n">
        <v>4.6</v>
      </c>
      <c r="P4891" t="n">
        <v>240</v>
      </c>
      <c r="R4891" t="inlineStr">
        <is>
          <t>InStock</t>
        </is>
      </c>
      <c r="S4891" t="inlineStr">
        <is>
          <t>16.72</t>
        </is>
      </c>
      <c r="T4891" t="inlineStr">
        <is>
          <t>3688633630820</t>
        </is>
      </c>
    </row>
    <row r="4892" ht="87" customHeight="1">
      <c r="A4892" s="2">
        <f>HYPERLINK("https://edmondsonsupply.com/collections/electricians-tools/products/milwaukee-48-22-8485-packout%E2%84%A2-mounting-plate", "https://edmondsonsupply.com/collections/electricians-tools/products/milwaukee-48-22-8485-packout%E2%84%A2-mounting-plate")</f>
        <v/>
      </c>
      <c r="B4892" s="2">
        <f>HYPERLINK("https://edmondsonsupply.com/products/milwaukee-48-22-8485-packout%e2%84%a2-mounting-plate", "https://edmondsonsupply.com/products/milwaukee-48-22-8485-packout%e2%84%a2-mounting-plate")</f>
        <v/>
      </c>
      <c r="C4892" t="inlineStr">
        <is>
          <t>Milwaukee 48-22-8485 PACKOUT™ Mounting Plate</t>
        </is>
      </c>
      <c r="D4892" t="inlineStr">
        <is>
          <t>TJPoto # 48-22-8486 Packout Compact Durable Mounting Plate Replacement Part New for Milwaukee</t>
        </is>
      </c>
      <c r="E4892" s="2">
        <f>HYPERLINK("https://www.amazon.com/TJPoto-48-22-8486-Mounting-Replacement-Milwaukee/dp/B0BN1KMY22/ref=sr_1_20?keywords=Milwaukee+48-22-8485+PACKOUT%E2%84%A2+Mounting+Plate&amp;qid=1694735032&amp;sr=8-20", "https://www.amazon.com/TJPoto-48-22-8486-Mounting-Replacement-Milwaukee/dp/B0BN1KMY22/ref=sr_1_20?keywords=Milwaukee+48-22-8485+PACKOUT%E2%84%A2+Mounting+Plate&amp;qid=1694735032&amp;sr=8-20")</f>
        <v/>
      </c>
      <c r="F4892" t="inlineStr">
        <is>
          <t>B0BN1KMY22</t>
        </is>
      </c>
      <c r="G4892">
        <f>_xlfn.IMAGE("https://edmondsonsupply.com/cdn/shop/products/48-22-8485_3.png?v=1677252283")</f>
        <v/>
      </c>
      <c r="H4892">
        <f>_xlfn.IMAGE("https://m.media-amazon.com/images/I/51dVvw1QmgL._AC_UL320_.jpg")</f>
        <v/>
      </c>
      <c r="K4892" t="inlineStr">
        <is>
          <t>29.97</t>
        </is>
      </c>
      <c r="L4892" t="n">
        <v>44.9</v>
      </c>
      <c r="M4892" s="1" t="inlineStr">
        <is>
          <t>49.82%</t>
        </is>
      </c>
      <c r="N4892" s="7" t="n">
        <v>-32.01</v>
      </c>
      <c r="O4892" t="n">
        <v>4.6</v>
      </c>
      <c r="P4892" t="n">
        <v>3</v>
      </c>
      <c r="R4892" t="inlineStr">
        <is>
          <t>InStock</t>
        </is>
      </c>
      <c r="S4892" t="inlineStr">
        <is>
          <t>50.0</t>
        </is>
      </c>
      <c r="T4892" t="inlineStr">
        <is>
          <t>7950727413976</t>
        </is>
      </c>
    </row>
    <row r="4893" hidden="1" ht="15.75" customHeight="1">
      <c r="A4893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4893" s="2">
        <f>HYPERLINK("https://edmondsonsupply.com/products/klein-tools-608-6-1-8-inch-cabinet-tip-mini-screwdriver-6-inch", "https://edmondsonsupply.com/products/klein-tools-608-6-1-8-inch-cabinet-tip-mini-screwdriver-6-inch")</f>
        <v/>
      </c>
      <c r="C4893" t="inlineStr">
        <is>
          <t>Klein Tools 608-6 1/8-Inch Cabinet Tip Mini Screwdriver, 6-Inch</t>
        </is>
      </c>
      <c r="D4893" t="inlineStr">
        <is>
          <t>Klein Tools 6866INS Insulated Screwdriver, 1000V 5/16-Inch Cabinet Tip, Screwdriver with 6-Inch Shank, Tip-Ident, Cushion-Grip Handle</t>
        </is>
      </c>
      <c r="E4893" s="2">
        <f>HYPERLINK("https://www.amazon.com/Klein-Tools-6866INS-Screwdriver-Cushion-Grip/dp/B0BF73PSWC/ref=sr_1_12?keywords=Klein+Tools+608-6+1%2F8-Inch+Cabinet+Tip+Mini+Screwdriver%2C+6-Inch&amp;qid=1694735278&amp;sr=8-12", "https://www.amazon.com/Klein-Tools-6866INS-Screwdriver-Cushion-Grip/dp/B0BF73PSWC/ref=sr_1_12?keywords=Klein+Tools+608-6+1%2F8-Inch+Cabinet+Tip+Mini+Screwdriver%2C+6-Inch&amp;qid=1694735278&amp;sr=8-12")</f>
        <v/>
      </c>
      <c r="F4893" t="inlineStr">
        <is>
          <t>B0BF73PSWC</t>
        </is>
      </c>
      <c r="G4893">
        <f>_xludf.IMAGE("https://edmondsonsupply.com/cdn/shop/products/608-6.jpg?v=1633030486")</f>
        <v/>
      </c>
      <c r="H4893">
        <f>_xludf.IMAGE("https://m.media-amazon.com/images/I/41Sx5h6xG-L._AC_UL320_.jpg")</f>
        <v/>
      </c>
      <c r="K4893" t="inlineStr">
        <is>
          <t>7.99</t>
        </is>
      </c>
      <c r="L4893" t="n">
        <v>11.97</v>
      </c>
      <c r="M4893" s="1" t="inlineStr">
        <is>
          <t>49.81%</t>
        </is>
      </c>
      <c r="N4893" s="1" t="n">
        <v>-32.06</v>
      </c>
      <c r="O4893" t="n">
        <v>4.9</v>
      </c>
      <c r="P4893" t="n">
        <v>202</v>
      </c>
      <c r="R4893" t="inlineStr">
        <is>
          <t>InStock</t>
        </is>
      </c>
      <c r="S4893" t="inlineStr">
        <is>
          <t>12.1</t>
        </is>
      </c>
      <c r="T4893" t="inlineStr">
        <is>
          <t>5371087683752</t>
        </is>
      </c>
    </row>
    <row r="4894" hidden="1" ht="15.75" customHeight="1">
      <c r="A4894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4894" s="2">
        <f>HYPERLINK("https://edmondsonsupply.com/products/klein-tools-s10-5-16-inch-nut-driver-3-inch-hollow-shaft", "https://edmondsonsupply.com/products/klein-tools-s10-5-16-inch-nut-driver-3-inch-hollow-shaft")</f>
        <v/>
      </c>
      <c r="C4894" t="inlineStr">
        <is>
          <t>Klein Tools S10 5/16-Inch Nut Driver 3-Inch Hollow Shaft</t>
        </is>
      </c>
      <c r="D4894" t="inlineStr">
        <is>
          <t>1/4-Inch Tip Nut Driver with 3-Inch Hollow Shaft and Cushion Grip Handle Klein Tools 630-1/4</t>
        </is>
      </c>
      <c r="E4894" s="2">
        <f>HYPERLINK("https://www.amazon.com/4-Inch-Cushion-Klein-Tools-630-1/dp/B00093DZR8/ref=sr_1_19?keywords=Klein+Tools+S10+5%2F16-Inch+Nut+Driver+3-Inch+Hollow+Shaft&amp;qid=1694735234&amp;sr=8-19", "https://www.amazon.com/4-Inch-Cushion-Klein-Tools-630-1/dp/B00093DZR8/ref=sr_1_19?keywords=Klein+Tools+S10+5%2F16-Inch+Nut+Driver+3-Inch+Hollow+Shaft&amp;qid=1694735234&amp;sr=8-19")</f>
        <v/>
      </c>
      <c r="F4894" t="inlineStr">
        <is>
          <t>B00093DZR8</t>
        </is>
      </c>
      <c r="G4894">
        <f>_xludf.IMAGE("https://edmondsonsupply.com/cdn/shop/products/s10_38acacb8-6c8e-49ef-8ed3-7160ab53875a.jpg?v=1633030893")</f>
        <v/>
      </c>
      <c r="H4894">
        <f>_xludf.IMAGE("https://m.media-amazon.com/images/I/41gchQgPtfL._AC_UL320_.jpg")</f>
        <v/>
      </c>
      <c r="K4894" t="inlineStr">
        <is>
          <t>7.99</t>
        </is>
      </c>
      <c r="L4894" t="n">
        <v>11.97</v>
      </c>
      <c r="M4894" s="1" t="inlineStr">
        <is>
          <t>49.81%</t>
        </is>
      </c>
      <c r="N4894" s="1" t="n">
        <v>-32.11</v>
      </c>
      <c r="O4894" t="n">
        <v>4.8</v>
      </c>
      <c r="P4894" t="n">
        <v>59</v>
      </c>
      <c r="R4894" t="inlineStr">
        <is>
          <t>InStock</t>
        </is>
      </c>
      <c r="S4894" t="inlineStr">
        <is>
          <t>12.06</t>
        </is>
      </c>
      <c r="T4894" t="inlineStr">
        <is>
          <t>6223447031981</t>
        </is>
      </c>
    </row>
    <row r="4895" ht="87" customHeight="1">
      <c r="A4895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4895" s="2">
        <f>HYPERLINK("https://edmondsonsupply.com/products/klein-tools-635-1-2-1-2-inch-heavy-duty-nut-driver", "https://edmondsonsupply.com/products/klein-tools-635-1-2-1-2-inch-heavy-duty-nut-driver")</f>
        <v/>
      </c>
      <c r="C4895" t="inlineStr">
        <is>
          <t>Klein Tools 635-1/2 1/2-Inch Heavy-Duty Nut Driver</t>
        </is>
      </c>
      <c r="D4895" t="inlineStr">
        <is>
          <t>Klein Tools 646-1/2-INS Insulated Nut Driver, 1/2-Inch Hex, Cushion Grip Handle, 6-Inch Round Hollow Shaft</t>
        </is>
      </c>
      <c r="E4895" s="2">
        <f>HYPERLINK("https://www.amazon.com/Insulated-Klein-Tools-646-1-2-INS/dp/B000MKH5ZG/ref=sr_1_7?keywords=Klein+Tools+635-1%2F2+1%2F2-Inch+Heavy-Duty+Nut+Driver&amp;qid=1694735353&amp;sr=8-7", "https://www.amazon.com/Insulated-Klein-Tools-646-1-2-INS/dp/B000MKH5ZG/ref=sr_1_7?keywords=Klein+Tools+635-1%2F2+1%2F2-Inch+Heavy-Duty+Nut+Driver&amp;qid=1694735353&amp;sr=8-7")</f>
        <v/>
      </c>
      <c r="F4895" t="inlineStr">
        <is>
          <t>B000MKH5ZG</t>
        </is>
      </c>
      <c r="G4895">
        <f>_xlfn.IMAGE("https://edmondsonsupply.com/cdn/shop/products/635-1-2.jpg?v=1587147726")</f>
        <v/>
      </c>
      <c r="H4895">
        <f>_xlfn.IMAGE("https://m.media-amazon.com/images/I/41LhqEbpChL._AC_UL320_.jpg")</f>
        <v/>
      </c>
      <c r="K4895" t="inlineStr">
        <is>
          <t>14.99</t>
        </is>
      </c>
      <c r="L4895" t="n">
        <v>22.45</v>
      </c>
      <c r="M4895" s="1" t="inlineStr">
        <is>
          <t>49.77%</t>
        </is>
      </c>
      <c r="N4895" s="7" t="n">
        <v>-32.17</v>
      </c>
      <c r="O4895" t="n">
        <v>4.7</v>
      </c>
      <c r="P4895" t="n">
        <v>272</v>
      </c>
      <c r="R4895" t="inlineStr">
        <is>
          <t>InStock</t>
        </is>
      </c>
      <c r="S4895" t="inlineStr">
        <is>
          <t>22.78</t>
        </is>
      </c>
      <c r="T4895" t="inlineStr">
        <is>
          <t>4473296945252</t>
        </is>
      </c>
    </row>
    <row r="4896" ht="87" customHeight="1">
      <c r="A4896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4896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4896" t="inlineStr">
        <is>
          <t>Milwaukee 48-39-0572 18 TPI Standard Compact Portable Band Saw Blade BULK 100</t>
        </is>
      </c>
      <c r="D4896" t="inlineStr">
        <is>
          <t>Milwaukee 48-39-0521 3 Pack 18 TPI Compact Portable Band Saw Blade</t>
        </is>
      </c>
      <c r="E4896" s="2">
        <f>HYPERLINK("https://www.amazon.com/Milwaukee-48-39-0521-Compact-Portable-Blade/dp/B002ZC81DO/ref=sr_1_1?keywords=Milwaukee+48-39-0572+18+TPI+Standard+Compact+Portable+Band+Saw+Blade+BULK+100&amp;qid=1694735025&amp;sr=8-1", "https://www.amazon.com/Milwaukee-48-39-0521-Compact-Portable-Blade/dp/B002ZC81DO/ref=sr_1_1?keywords=Milwaukee+48-39-0572+18+TPI+Standard+Compact+Portable+Band+Saw+Blade+BULK+100&amp;qid=1694735025&amp;sr=8-1")</f>
        <v/>
      </c>
      <c r="F4896" t="inlineStr">
        <is>
          <t>B002ZC81DO</t>
        </is>
      </c>
      <c r="G4896">
        <f>_xlfn.IMAGE("https://edmondsonsupply.com/cdn/shop/products/21432_48-39-0510.jpg?v=1678901662")</f>
        <v/>
      </c>
      <c r="H4896">
        <f>_xlfn.IMAGE("https://m.media-amazon.com/images/I/41tfNWcm0oL._AC_UL320_.jpg")</f>
        <v/>
      </c>
      <c r="K4896" t="inlineStr">
        <is>
          <t>21.97</t>
        </is>
      </c>
      <c r="L4896" t="n">
        <v>32.9</v>
      </c>
      <c r="M4896" s="1" t="inlineStr">
        <is>
          <t>49.75%</t>
        </is>
      </c>
      <c r="N4896" s="7" t="n">
        <v>-32.18</v>
      </c>
      <c r="O4896" t="n">
        <v>4.3</v>
      </c>
      <c r="P4896" t="n">
        <v>32</v>
      </c>
      <c r="R4896" t="inlineStr">
        <is>
          <t>InStock</t>
        </is>
      </c>
      <c r="S4896" t="inlineStr">
        <is>
          <t>27.5</t>
        </is>
      </c>
      <c r="T4896" t="inlineStr">
        <is>
          <t>7962068549848</t>
        </is>
      </c>
    </row>
    <row r="4897" ht="87" customHeight="1">
      <c r="A4897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4897" s="2">
        <f>HYPERLINK("https://edmondsonsupply.com/products/klein-tools-d502-10-pump-pliers-10-inch", "https://edmondsonsupply.com/products/klein-tools-d502-10-pump-pliers-10-inch")</f>
        <v/>
      </c>
      <c r="C4897" t="inlineStr">
        <is>
          <t>Klein Tools D502-10 Pump Pliers, 10-Inch</t>
        </is>
      </c>
      <c r="D4897" t="inlineStr">
        <is>
          <t>Klein Tools D502-6TT Pump Pliers, 6-Inch</t>
        </is>
      </c>
      <c r="E4897" s="2">
        <f>HYPERLINK("https://www.amazon.com/Pliers-10-Inch-Klein-Tools-D502-10TT/dp/B072BQM873/ref=sr_1_3?keywords=Klein+Tools+D502-10+Pump+Pliers%2C+10-Inch&amp;qid=1694735235&amp;sr=8-3", "https://www.amazon.com/Pliers-10-Inch-Klein-Tools-D502-10TT/dp/B072BQM873/ref=sr_1_3?keywords=Klein+Tools+D502-10+Pump+Pliers%2C+10-Inch&amp;qid=1694735235&amp;sr=8-3")</f>
        <v/>
      </c>
      <c r="F4897" t="inlineStr">
        <is>
          <t>B072BQM873</t>
        </is>
      </c>
      <c r="G4897">
        <f>_xlfn.IMAGE("https://edmondsonsupply.com/cdn/shop/products/d50210_alt1.jpg?v=1633030884")</f>
        <v/>
      </c>
      <c r="H4897">
        <f>_xlfn.IMAGE("https://m.media-amazon.com/images/I/41M283brlxL._AC_UL320_.jpg")</f>
        <v/>
      </c>
      <c r="K4897" t="inlineStr">
        <is>
          <t>24.99</t>
        </is>
      </c>
      <c r="L4897" t="n">
        <v>37.4</v>
      </c>
      <c r="M4897" s="1" t="inlineStr">
        <is>
          <t>49.66%</t>
        </is>
      </c>
      <c r="N4897" s="7" t="n">
        <v>-32.43</v>
      </c>
      <c r="O4897" t="n">
        <v>5</v>
      </c>
      <c r="P4897" t="n">
        <v>2</v>
      </c>
      <c r="R4897" t="inlineStr">
        <is>
          <t>InStock</t>
        </is>
      </c>
      <c r="S4897" t="inlineStr">
        <is>
          <t>37.84</t>
        </is>
      </c>
      <c r="T4897" t="inlineStr">
        <is>
          <t>6203936669869</t>
        </is>
      </c>
    </row>
    <row r="4898" hidden="1" ht="15.75" customHeight="1">
      <c r="A4898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4898" s="2">
        <f>HYPERLINK("https://edmondsonsupply.com/products/klein-tools-s8-1-4-inch-hollow-shaft-nut-driver-3-inch-shaft", "https://edmondsonsupply.com/products/klein-tools-s8-1-4-inch-hollow-shaft-nut-driver-3-inch-shaft")</f>
        <v/>
      </c>
      <c r="C4898" t="inlineStr">
        <is>
          <t>Klein Tools S8 1/4-Inch Hollow Shaft Nut Driver, 3-Inch Shaft</t>
        </is>
      </c>
      <c r="D4898" t="inlineStr">
        <is>
          <t>Klein Tools 635-1/4 1/4-Inch Heavy Duty Nut Driver with Magnetic Tip, 4-Inch Hollow Shaft, Cushion Grip Handle</t>
        </is>
      </c>
      <c r="E4898" s="2">
        <f>HYPERLINK("https://www.amazon.com/4-Inch-Magnetic-Cushion-Klein-Tools/dp/B01D6DZRFA/ref=sr_1_6?keywords=Klein+Tools+S8+1%2F4-Inch+Hollow+Shaft+Nut+Driver%2C+3-Inch+Shaft&amp;qid=1694735248&amp;sr=8-6", "https://www.amazon.com/4-Inch-Magnetic-Cushion-Klein-Tools/dp/B01D6DZRFA/ref=sr_1_6?keywords=Klein+Tools+S8+1%2F4-Inch+Hollow+Shaft+Nut+Driver%2C+3-Inch+Shaft&amp;qid=1694735248&amp;sr=8-6")</f>
        <v/>
      </c>
      <c r="F4898" t="inlineStr">
        <is>
          <t>B01D6DZRFA</t>
        </is>
      </c>
      <c r="G4898">
        <f>_xludf.IMAGE("https://edmondsonsupply.com/cdn/shop/products/s10.jpg?v=1633030797")</f>
        <v/>
      </c>
      <c r="H4898">
        <f>_xludf.IMAGE("https://m.media-amazon.com/images/I/41DrStZKvjL._AC_UL320_.jpg")</f>
        <v/>
      </c>
      <c r="K4898" t="inlineStr">
        <is>
          <t>7.29</t>
        </is>
      </c>
      <c r="L4898" t="n">
        <v>10.91</v>
      </c>
      <c r="M4898" s="1" t="inlineStr">
        <is>
          <t>49.66%</t>
        </is>
      </c>
      <c r="N4898" s="1" t="n">
        <v>-32.46</v>
      </c>
      <c r="O4898" t="n">
        <v>4.7</v>
      </c>
      <c r="P4898" t="n">
        <v>999</v>
      </c>
      <c r="R4898" t="inlineStr">
        <is>
          <t>InStock</t>
        </is>
      </c>
      <c r="S4898" t="inlineStr">
        <is>
          <t>10.74</t>
        </is>
      </c>
      <c r="T4898" t="inlineStr">
        <is>
          <t>6000424485032</t>
        </is>
      </c>
    </row>
    <row r="4899" ht="87" customHeight="1">
      <c r="A4899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4899" s="2">
        <f>HYPERLINK("https://edmondsonsupply.com/products/klein-tools-32900-7-in-1-impact-flip-socket-with-handle", "https://edmondsonsupply.com/products/klein-tools-32900-7-in-1-impact-flip-socket-with-handle")</f>
        <v/>
      </c>
      <c r="C4899" t="inlineStr">
        <is>
          <t>Klein Tools 32900 7-in-1 Impact Flip Socket with Handle</t>
        </is>
      </c>
      <c r="D4899" t="inlineStr">
        <is>
          <t>Impact Driver, 7-in-1 Impact Flip Socket Set &amp; 14-in-1 Adjustable Screwdriver with Flip Socket, HVAC Nut Drivers and Bits, Impact Rated Klein Tools 32304</t>
        </is>
      </c>
      <c r="E4899" s="2">
        <f>HYPERLINK("https://www.amazon.com/Adjustable-Screwdriver-Drivers-Klein-Tools/dp/B09Y84RPSB/ref=sr_1_9?keywords=Klein+Tools+32900+7-in-1+Impact+Flip+Socket+with+Handle&amp;qid=1694735103&amp;sr=8-9", "https://www.amazon.com/Adjustable-Screwdriver-Drivers-Klein-Tools/dp/B09Y84RPSB/ref=sr_1_9?keywords=Klein+Tools+32900+7-in-1+Impact+Flip+Socket+with+Handle&amp;qid=1694735103&amp;sr=8-9")</f>
        <v/>
      </c>
      <c r="F4899" t="inlineStr">
        <is>
          <t>B09Y84RPSB</t>
        </is>
      </c>
      <c r="G4899">
        <f>_xlfn.IMAGE("https://edmondsonsupply.com/cdn/shop/products/32900_b.jpg?v=1666024787")</f>
        <v/>
      </c>
      <c r="H4899">
        <f>_xlfn.IMAGE("https://m.media-amazon.com/images/I/41KTNungRUL._AC_UL320_.jpg")</f>
        <v/>
      </c>
      <c r="K4899" t="inlineStr">
        <is>
          <t>29.97</t>
        </is>
      </c>
      <c r="L4899" t="n">
        <v>44.76</v>
      </c>
      <c r="M4899" s="1" t="inlineStr">
        <is>
          <t>49.35%</t>
        </is>
      </c>
      <c r="N4899" s="7" t="n">
        <v>-32.54</v>
      </c>
      <c r="O4899" t="n">
        <v>4.8</v>
      </c>
      <c r="P4899" t="n">
        <v>87</v>
      </c>
      <c r="R4899" t="inlineStr">
        <is>
          <t>InStock</t>
        </is>
      </c>
      <c r="S4899" t="inlineStr">
        <is>
          <t>45.0</t>
        </is>
      </c>
      <c r="T4899" t="inlineStr">
        <is>
          <t>7856651239640</t>
        </is>
      </c>
    </row>
    <row r="4900" ht="87" customHeight="1">
      <c r="A4900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900" s="2">
        <f>HYPERLINK("https://edmondsonsupply.com/products/klein-tools-d203-8-pliers-long-nose-side-cutters-8-inch", "https://edmondsonsupply.com/products/klein-tools-d203-8-pliers-long-nose-side-cutters-8-inch")</f>
        <v/>
      </c>
      <c r="C4900" t="inlineStr">
        <is>
          <t>Klein Tools D203-8 Pliers, Needle Nose Side-Cutters, 8-Inch</t>
        </is>
      </c>
      <c r="D4900" t="inlineStr">
        <is>
          <t>Klein Tools D302-6 Needle Nose Pliers, Long Nose Side Cutters, Alligator Pliers with Curved Handle, 6-1/2-Inch</t>
        </is>
      </c>
      <c r="E4900" s="2">
        <f>HYPERLINK("https://www.amazon.com/Curved-Long-Nose-Klein-Tools-D302-6/dp/B000G6CAGK/ref=sr_1_20?keywords=Klein+Tools+D203-8+Pliers%2C+Needle+Nose+Side-Cutters%2C+8-Inch&amp;qid=1694735240&amp;sr=8-20", "https://www.amazon.com/Curved-Long-Nose-Klein-Tools-D302-6/dp/B000G6CAGK/ref=sr_1_20?keywords=Klein+Tools+D203-8+Pliers%2C+Needle+Nose+Side-Cutters%2C+8-Inch&amp;qid=1694735240&amp;sr=8-20")</f>
        <v/>
      </c>
      <c r="F4900" t="inlineStr">
        <is>
          <t>B000G6CAGK</t>
        </is>
      </c>
      <c r="G4900">
        <f>_xlfn.IMAGE("https://edmondsonsupply.com/cdn/shop/products/d2038.jpg?v=1633030802")</f>
        <v/>
      </c>
      <c r="H4900">
        <f>_xlfn.IMAGE("https://m.media-amazon.com/images/I/31HPclIh6JL._AC_UL320_.jpg")</f>
        <v/>
      </c>
      <c r="K4900" t="inlineStr">
        <is>
          <t>29.97</t>
        </is>
      </c>
      <c r="L4900" t="n">
        <v>44.74</v>
      </c>
      <c r="M4900" s="1" t="inlineStr">
        <is>
          <t>49.28%</t>
        </is>
      </c>
      <c r="N4900" s="7" t="n">
        <v>-32.58</v>
      </c>
      <c r="O4900" t="n">
        <v>4.7</v>
      </c>
      <c r="P4900" t="n">
        <v>83</v>
      </c>
      <c r="R4900" t="inlineStr">
        <is>
          <t>InStock</t>
        </is>
      </c>
      <c r="S4900" t="inlineStr">
        <is>
          <t>44.84</t>
        </is>
      </c>
      <c r="T4900" t="inlineStr">
        <is>
          <t>6005724577960</t>
        </is>
      </c>
    </row>
    <row r="4901" ht="87" customHeight="1">
      <c r="A4901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4901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4901" t="inlineStr">
        <is>
          <t>Klein Tools 32768 3-in-1 Impact Flip Socket Set, 1/4-Inch, 5/16-Inch, 2-Piece</t>
        </is>
      </c>
      <c r="D4901" t="inlineStr">
        <is>
          <t>Klein Tools 646M Tool Set, Magnetic Nut Drivers Sizes 1/4 and 5/16-Inch, 6-Inch Shafts, 2-Piece</t>
        </is>
      </c>
      <c r="E4901" s="2">
        <f>HYPERLINK("https://www.amazon.com/Magnetic-16-Inch-Klein-Tools-646M/dp/B000936QV0/ref=sr_1_23?keywords=Klein+Tools+32768+3-in-1+Impact+Flip+Socket+Set%2C+1%2F4-Inch%2C+5%2F16-Inch%2C+2-Piece&amp;qid=1694735099&amp;sr=8-23", "https://www.amazon.com/Magnetic-16-Inch-Klein-Tools-646M/dp/B000936QV0/ref=sr_1_23?keywords=Klein+Tools+32768+3-in-1+Impact+Flip+Socket+Set%2C+1%2F4-Inch%2C+5%2F16-Inch%2C+2-Piece&amp;qid=1694735099&amp;sr=8-23")</f>
        <v/>
      </c>
      <c r="F4901" t="inlineStr">
        <is>
          <t>B000936QV0</t>
        </is>
      </c>
      <c r="G4901">
        <f>_xlfn.IMAGE("https://edmondsonsupply.com/cdn/shop/products/32768.jpg?v=1666022946")</f>
        <v/>
      </c>
      <c r="H4901">
        <f>_xlfn.IMAGE("https://m.media-amazon.com/images/I/41lkJ6KRq9L._AC_UL320_.jpg")</f>
        <v/>
      </c>
      <c r="K4901" t="inlineStr">
        <is>
          <t>14.97</t>
        </is>
      </c>
      <c r="L4901" t="n">
        <v>22.34</v>
      </c>
      <c r="M4901" s="1" t="inlineStr">
        <is>
          <t>49.23%</t>
        </is>
      </c>
      <c r="N4901" s="7" t="n">
        <v>-32.74</v>
      </c>
      <c r="O4901" t="n">
        <v>4.8</v>
      </c>
      <c r="P4901" t="n">
        <v>1652</v>
      </c>
      <c r="R4901" t="inlineStr">
        <is>
          <t>InStock</t>
        </is>
      </c>
      <c r="S4901" t="inlineStr">
        <is>
          <t>21.98</t>
        </is>
      </c>
      <c r="T4901" t="inlineStr">
        <is>
          <t>7856621977816</t>
        </is>
      </c>
    </row>
    <row r="4902" ht="87" customHeight="1">
      <c r="A4902" s="2">
        <f>HYPERLINK("https://edmondsonsupply.com/collections/electricians-tools/products/milwaukee-2880-22-m18-fuel%E2%84%A2-4-1-2-5-grinder-paddle-switch-no-lock-kit", "https://edmondsonsupply.com/collections/electricians-tools/products/milwaukee-2880-22-m18-fuel%E2%84%A2-4-1-2-5-grinder-paddle-switch-no-lock-kit")</f>
        <v/>
      </c>
      <c r="B4902" s="2">
        <f>HYPERLINK("https://edmondsonsupply.com/products/milwaukee-2880-22-m18-fuel%e2%84%a2-4-1-2-5-grinder-paddle-switch-no-lock-kit", "https://edmondsonsupply.com/products/milwaukee-2880-22-m18-fuel%e2%84%a2-4-1-2-5-grinder-paddle-switch-no-lock-kit")</f>
        <v/>
      </c>
      <c r="C4902" t="inlineStr">
        <is>
          <t>Milwaukee 2880-22 M18 FUEL™ 4-1/2" / 5" Grinder Paddle Switch, No-Lock (Kit)</t>
        </is>
      </c>
      <c r="D4902" t="inlineStr">
        <is>
          <t>Milwaukee 2780-22 M18 Fuel 4-1/2" / 5" Grinder, Paddle Switch No-Lock</t>
        </is>
      </c>
      <c r="E4902" s="2">
        <f>HYPERLINK("https://www.amazon.com/Milwaukee-2780-22-Grinder-Paddle-No-Lock/dp/B01N45B1K5/ref=sr_1_2?keywords=Milwaukee+2880-22+M18+FUEL%E2%84%A2+4-1%2F2%22+%2F+5%22+Grinder+Paddle+Switch%2C+No-Lock+%28Kit%29&amp;qid=1694735090&amp;sr=8-2", "https://www.amazon.com/Milwaukee-2780-22-Grinder-Paddle-No-Lock/dp/B01N45B1K5/ref=sr_1_2?keywords=Milwaukee+2880-22+M18+FUEL%E2%84%A2+4-1%2F2%22+%2F+5%22+Grinder+Paddle+Switch%2C+No-Lock+%28Kit%29&amp;qid=1694735090&amp;sr=8-2")</f>
        <v/>
      </c>
      <c r="F4902" t="inlineStr">
        <is>
          <t>B01N45B1K5</t>
        </is>
      </c>
      <c r="G4902">
        <f>_xlfn.IMAGE("https://edmondsonsupply.com/cdn/shop/products/2880-22_1.png?v=1668015986")</f>
        <v/>
      </c>
      <c r="H4902">
        <f>_xlfn.IMAGE("https://m.media-amazon.com/images/I/61hjyVlQ1pL._AC_UL320_.jpg")</f>
        <v/>
      </c>
      <c r="K4902" t="inlineStr">
        <is>
          <t>449.0</t>
        </is>
      </c>
      <c r="L4902" t="n">
        <v>669.99</v>
      </c>
      <c r="M4902" s="1" t="inlineStr">
        <is>
          <t>49.22%</t>
        </is>
      </c>
      <c r="N4902" s="7" t="n">
        <v>-32.78</v>
      </c>
      <c r="O4902" t="n">
        <v>5</v>
      </c>
      <c r="P4902" t="n">
        <v>2</v>
      </c>
      <c r="R4902" t="inlineStr">
        <is>
          <t>OutOfStock</t>
        </is>
      </c>
      <c r="S4902" t="inlineStr">
        <is>
          <t>792.0</t>
        </is>
      </c>
      <c r="T4902" t="inlineStr">
        <is>
          <t>7879707033816</t>
        </is>
      </c>
    </row>
    <row r="4903" hidden="1" ht="15.75" customHeight="1">
      <c r="A4903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4903" s="2">
        <f>HYPERLINK("https://edmondsonsupply.com/products/klein-tools-jth9m5-5-mm-hex-key-journeyman-t-handle-9-inch", "https://edmondsonsupply.com/products/klein-tools-jth9m5-5-mm-hex-key-journeyman-t-handle-9-inch")</f>
        <v/>
      </c>
      <c r="C4903" t="inlineStr">
        <is>
          <t>Klein Tools JTH9M5 5 mm Hex Key, Journeyman T-Handle 9-Inch</t>
        </is>
      </c>
      <c r="D4903" t="inlineStr">
        <is>
          <t>Klein Tools JTH9E14 5/16-Inch Hex Key, Journeyman T-Handle, 9-Inch</t>
        </is>
      </c>
      <c r="E4903" s="2">
        <f>HYPERLINK("https://www.amazon.com/Journeyman-T-Handle-Klein-Tools-JTH9E14/dp/B004QVAH4I/ref=sr_1_5?keywords=Klein+Tools+JTH9M5+5+mm+Hex+Key%2C+Journeyman+T-Handle+9-Inch&amp;qid=1694735207&amp;sr=8-5", "https://www.amazon.com/Journeyman-T-Handle-Klein-Tools-JTH9E14/dp/B004QVAH4I/ref=sr_1_5?keywords=Klein+Tools+JTH9M5+5+mm+Hex+Key%2C+Journeyman+T-Handle+9-Inch&amp;qid=1694735207&amp;sr=8-5")</f>
        <v/>
      </c>
      <c r="F4903" t="inlineStr">
        <is>
          <t>B004QVAH4I</t>
        </is>
      </c>
      <c r="G4903">
        <f>_xludf.IMAGE("https://edmondsonsupply.com/cdn/shop/products/jth9m_84ad507b-889a-4b5c-80a2-9633c898cd48.jpg?v=1633031048")</f>
        <v/>
      </c>
      <c r="H4903">
        <f>_xludf.IMAGE("https://m.media-amazon.com/images/I/51Yb8h41vLL._AC_UL320_.jpg")</f>
        <v/>
      </c>
      <c r="K4903" t="inlineStr">
        <is>
          <t>4.99</t>
        </is>
      </c>
      <c r="L4903" t="n">
        <v>7.44</v>
      </c>
      <c r="M4903" s="1" t="inlineStr">
        <is>
          <t>49.10%</t>
        </is>
      </c>
      <c r="N4903" s="1" t="n">
        <v>-32.79</v>
      </c>
      <c r="O4903" t="n">
        <v>4.8</v>
      </c>
      <c r="P4903" t="n">
        <v>114</v>
      </c>
      <c r="R4903" t="inlineStr">
        <is>
          <t>InStock</t>
        </is>
      </c>
      <c r="S4903" t="inlineStr">
        <is>
          <t>7.58</t>
        </is>
      </c>
      <c r="T4903" t="inlineStr">
        <is>
          <t>6772921532589</t>
        </is>
      </c>
    </row>
    <row r="4904" hidden="1" ht="15.75" customHeight="1">
      <c r="A4904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4904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4904" t="inlineStr">
        <is>
          <t>Klein Tools JTH6E10BE 5/32-Inch Ball Hex Key, Journeyman T-Handle 6-Inch</t>
        </is>
      </c>
      <c r="D4904" t="inlineStr">
        <is>
          <t>Klein Tools JTH9E14 5/16-Inch Hex Key, Journeyman T-Handle, 9-Inch</t>
        </is>
      </c>
      <c r="E4904" s="2">
        <f>HYPERLINK("https://www.amazon.com/Journeyman-T-Handle-Klein-Tools-JTH9E14/dp/B004QVAH4I/ref=sr_1_13?keywords=Klein+Tools+JTH6E10BE+5%2F32-Inch+Ball+Hex+Key%2C+Journeyman+T-Handle+6-Inch&amp;qid=1694735255&amp;sr=8-13", "https://www.amazon.com/Journeyman-T-Handle-Klein-Tools-JTH9E14/dp/B004QVAH4I/ref=sr_1_13?keywords=Klein+Tools+JTH6E10BE+5%2F32-Inch+Ball+Hex+Key%2C+Journeyman+T-Handle+6-Inch&amp;qid=1694735255&amp;sr=8-13")</f>
        <v/>
      </c>
      <c r="F4904" t="inlineStr">
        <is>
          <t>B004QVAH4I</t>
        </is>
      </c>
      <c r="G4904">
        <f>_xludf.IMAGE("https://edmondsonsupply.com/cdn/shop/products/jth6e13be_363de34a-e666-474d-81cd-df9068957d9f.jpg?v=1604059577")</f>
        <v/>
      </c>
      <c r="H4904">
        <f>_xludf.IMAGE("https://m.media-amazon.com/images/I/51Yb8h41vLL._AC_UL320_.jpg")</f>
        <v/>
      </c>
      <c r="K4904" t="inlineStr">
        <is>
          <t>4.99</t>
        </is>
      </c>
      <c r="L4904" t="n">
        <v>7.44</v>
      </c>
      <c r="M4904" s="1" t="inlineStr">
        <is>
          <t>49.10%</t>
        </is>
      </c>
      <c r="N4904" s="1" t="n">
        <v>-32.89</v>
      </c>
      <c r="O4904" t="n">
        <v>4.8</v>
      </c>
      <c r="P4904" t="n">
        <v>114</v>
      </c>
      <c r="R4904" t="inlineStr">
        <is>
          <t>InStock</t>
        </is>
      </c>
      <c r="S4904" t="inlineStr">
        <is>
          <t>7.52</t>
        </is>
      </c>
      <c r="T4904" t="inlineStr">
        <is>
          <t>5999019819176</t>
        </is>
      </c>
    </row>
    <row r="4905" ht="87" customHeight="1">
      <c r="A4905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4905" s="2">
        <f>HYPERLINK("https://edmondsonsupply.com/products/klein-tools-635-1-2-1-2-inch-heavy-duty-nut-driver", "https://edmondsonsupply.com/products/klein-tools-635-1-2-1-2-inch-heavy-duty-nut-driver")</f>
        <v/>
      </c>
      <c r="C4905" t="inlineStr">
        <is>
          <t>Klein Tools 635-1/2 1/2-Inch Heavy-Duty Nut Driver</t>
        </is>
      </c>
      <c r="D4905" t="inlineStr">
        <is>
          <t>Klein Tools 646M Tool Set, Magnetic Nut Drivers Sizes 1/4 and 5/16-Inch, 6-Inch Shafts, 2-Piece</t>
        </is>
      </c>
      <c r="E4905" s="2">
        <f>HYPERLINK("https://www.amazon.com/Magnetic-16-Inch-Klein-Tools-646M/dp/B000936QV0/ref=sr_1_23?keywords=Klein+Tools+635-1%2F2+1%2F2-Inch+Heavy-Duty+Nut+Driver&amp;qid=1694735353&amp;sr=8-23", "https://www.amazon.com/Magnetic-16-Inch-Klein-Tools-646M/dp/B000936QV0/ref=sr_1_23?keywords=Klein+Tools+635-1%2F2+1%2F2-Inch+Heavy-Duty+Nut+Driver&amp;qid=1694735353&amp;sr=8-23")</f>
        <v/>
      </c>
      <c r="F4905" t="inlineStr">
        <is>
          <t>B000936QV0</t>
        </is>
      </c>
      <c r="G4905">
        <f>_xlfn.IMAGE("https://edmondsonsupply.com/cdn/shop/products/635-1-2.jpg?v=1587147726")</f>
        <v/>
      </c>
      <c r="H4905">
        <f>_xlfn.IMAGE("https://m.media-amazon.com/images/I/41lkJ6KRq9L._AC_UL320_.jpg")</f>
        <v/>
      </c>
      <c r="K4905" t="inlineStr">
        <is>
          <t>14.99</t>
        </is>
      </c>
      <c r="L4905" t="n">
        <v>22.34</v>
      </c>
      <c r="M4905" s="1" t="inlineStr">
        <is>
          <t>49.03%</t>
        </is>
      </c>
      <c r="N4905" s="7" t="n">
        <v>-32.97</v>
      </c>
      <c r="O4905" t="n">
        <v>4.8</v>
      </c>
      <c r="P4905" t="n">
        <v>1652</v>
      </c>
      <c r="R4905" t="inlineStr">
        <is>
          <t>InStock</t>
        </is>
      </c>
      <c r="S4905" t="inlineStr">
        <is>
          <t>22.78</t>
        </is>
      </c>
      <c r="T4905" t="inlineStr">
        <is>
          <t>4473296945252</t>
        </is>
      </c>
    </row>
    <row r="4906" ht="87" customHeight="1">
      <c r="A4906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4906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4906" t="inlineStr">
        <is>
          <t>Klein Tools CL390 AC/DC Digital Clamp Meter, Auto-Ranging 400 Amp</t>
        </is>
      </c>
      <c r="D4906" t="inlineStr">
        <is>
          <t>Klein Tools CL390 Digital Clamp Meter, Reverse Contrast Display, Auto Ranging 400A AC/DC, AC/DC Voltage,TRMS, DC Microamps, Temp, NCVT, More &amp; ET310 AC Circuit Breaker Finder</t>
        </is>
      </c>
      <c r="E4906" s="2">
        <f>HYPERLINK("https://www.amazon.com/Klein-Tools-Digital-Contrast-Microamps/dp/B09T6X3TL9/ref=sr_1_5?keywords=Klein+Tools+CL390+AC%2FDC+Digital+Clamp+Meter%2C+Auto-Ranging+400+Amp&amp;qid=1694735129&amp;sr=8-5", "https://www.amazon.com/Klein-Tools-Digital-Contrast-Microamps/dp/B09T6X3TL9/ref=sr_1_5?keywords=Klein+Tools+CL390+AC%2FDC+Digital+Clamp+Meter%2C+Auto-Ranging+400+Amp&amp;qid=1694735129&amp;sr=8-5")</f>
        <v/>
      </c>
      <c r="F4906" t="inlineStr">
        <is>
          <t>B09T6X3TL9</t>
        </is>
      </c>
      <c r="G4906">
        <f>_xlfn.IMAGE("https://edmondsonsupply.com/cdn/shop/products/cl390.jpg?v=1662670722")</f>
        <v/>
      </c>
      <c r="H4906">
        <f>_xlfn.IMAGE("https://m.media-amazon.com/images/I/51OYmfiB8vL._AC_UY218_.jpg")</f>
        <v/>
      </c>
      <c r="K4906" t="inlineStr">
        <is>
          <t>99.97</t>
        </is>
      </c>
      <c r="L4906" t="n">
        <v>148.93</v>
      </c>
      <c r="M4906" s="1" t="inlineStr">
        <is>
          <t>48.97%</t>
        </is>
      </c>
      <c r="N4906" s="7" t="n">
        <v>-33</v>
      </c>
      <c r="O4906" t="n">
        <v>5</v>
      </c>
      <c r="P4906" t="n">
        <v>2</v>
      </c>
      <c r="R4906" t="inlineStr">
        <is>
          <t>InStock</t>
        </is>
      </c>
      <c r="S4906" t="inlineStr">
        <is>
          <t>133.3</t>
        </is>
      </c>
      <c r="T4906" t="inlineStr">
        <is>
          <t>7809430585560</t>
        </is>
      </c>
    </row>
    <row r="4907" hidden="1" ht="15.75" customHeight="1">
      <c r="A4907" s="2">
        <f>HYPERLINK("https://edmondsonsupply.com/collections/electricians-tools/products/greenlee-dtap8-32-drill-tap-8-32", "https://edmondsonsupply.com/collections/electricians-tools/products/greenlee-dtap8-32-drill-tap-8-32")</f>
        <v/>
      </c>
      <c r="B4907" s="2">
        <f>HYPERLINK("https://edmondsonsupply.com/products/greenlee-dtap8-32-drill-tap-8-32", "https://edmondsonsupply.com/products/greenlee-dtap8-32-drill-tap-8-32")</f>
        <v/>
      </c>
      <c r="C4907" t="inlineStr">
        <is>
          <t>Greenlee DTAP8-32 Drill/Tap, 8-32</t>
        </is>
      </c>
      <c r="D4907" t="inlineStr">
        <is>
          <t>DEWALT DWADTQTR832 Impact Ready 8-32 UNC Drill Tap, 1/4" Capacity</t>
        </is>
      </c>
      <c r="E4907" s="2">
        <f>HYPERLINK("https://www.amazon.com/DEWALT-DWADTQTR832-Impact-Ready-Capacity/dp/B01GWSYQ5S/ref=sr_1_29?keywords=Greenlee+DTAP8-32+Drill%2FTap%2C+8-32&amp;qid=1694735400&amp;sr=8-29", "https://www.amazon.com/DEWALT-DWADTQTR832-Impact-Ready-Capacity/dp/B01GWSYQ5S/ref=sr_1_29?keywords=Greenlee+DTAP8-32+Drill%2FTap%2C+8-32&amp;qid=1694735400&amp;sr=8-29")</f>
        <v/>
      </c>
      <c r="F4907" t="inlineStr">
        <is>
          <t>B01GWSYQ5S</t>
        </is>
      </c>
      <c r="G4907">
        <f>_xludf.IMAGE("https://edmondsonsupply.com/cdn/shop/products/DTAP8-32.jpg?v=1633030185")</f>
        <v/>
      </c>
      <c r="H4907">
        <f>_xludf.IMAGE("https://m.media-amazon.com/images/I/312yHQof3JL._AC_UL320_.jpg")</f>
        <v/>
      </c>
      <c r="K4907" t="inlineStr">
        <is>
          <t>8.29</t>
        </is>
      </c>
      <c r="L4907" t="n">
        <v>12.35</v>
      </c>
      <c r="M4907" s="1" t="inlineStr">
        <is>
          <t>48.97%</t>
        </is>
      </c>
      <c r="N4907" s="1" t="n">
        <v>-33.04</v>
      </c>
      <c r="O4907" t="n">
        <v>4.6</v>
      </c>
      <c r="P4907" t="n">
        <v>24</v>
      </c>
      <c r="R4907" t="inlineStr">
        <is>
          <t>InStock</t>
        </is>
      </c>
      <c r="S4907" t="inlineStr">
        <is>
          <t>9.7</t>
        </is>
      </c>
      <c r="T4907" t="inlineStr">
        <is>
          <t>4395862392932</t>
        </is>
      </c>
    </row>
    <row r="4908" hidden="1" ht="15.75" customHeight="1">
      <c r="A4908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4908" s="2">
        <f>HYPERLINK("https://edmondsonsupply.com/products/klein-tools-jth9m5-5-mm-hex-key-journeyman-t-handle-9-inch", "https://edmondsonsupply.com/products/klein-tools-jth9m5-5-mm-hex-key-journeyman-t-handle-9-inch")</f>
        <v/>
      </c>
      <c r="C4908" t="inlineStr">
        <is>
          <t>Klein Tools JTH9M5 5 mm Hex Key, Journeyman T-Handle 9-Inch</t>
        </is>
      </c>
      <c r="D4908" t="inlineStr">
        <is>
          <t>Klein Tools JTH6M5BE 5 mm Ball-End Hex Key, Journeyman T-Handle, 6-Inch</t>
        </is>
      </c>
      <c r="E4908" s="2">
        <f>HYPERLINK("https://www.amazon.com/Journeyman-T-Handle-Klein-Tools-JTH6M5BE/dp/B005G3959S/ref=sr_1_4?keywords=Klein+Tools+JTH9M5+5+mm+Hex+Key%2C+Journeyman+T-Handle+9-Inch&amp;qid=1694735207&amp;sr=8-4", "https://www.amazon.com/Journeyman-T-Handle-Klein-Tools-JTH6M5BE/dp/B005G3959S/ref=sr_1_4?keywords=Klein+Tools+JTH9M5+5+mm+Hex+Key%2C+Journeyman+T-Handle+9-Inch&amp;qid=1694735207&amp;sr=8-4")</f>
        <v/>
      </c>
      <c r="F4908" t="inlineStr">
        <is>
          <t>B005G3959S</t>
        </is>
      </c>
      <c r="G4908">
        <f>_xludf.IMAGE("https://edmondsonsupply.com/cdn/shop/products/jth9m_84ad507b-889a-4b5c-80a2-9633c898cd48.jpg?v=1633031048")</f>
        <v/>
      </c>
      <c r="H4908">
        <f>_xludf.IMAGE("https://m.media-amazon.com/images/I/51huXA+ij8L._AC_UL320_.jpg")</f>
        <v/>
      </c>
      <c r="K4908" t="inlineStr">
        <is>
          <t>4.99</t>
        </is>
      </c>
      <c r="L4908" t="n">
        <v>7.43</v>
      </c>
      <c r="M4908" s="1" t="inlineStr">
        <is>
          <t>48.90%</t>
        </is>
      </c>
      <c r="N4908" s="1" t="n">
        <v>-33.14</v>
      </c>
      <c r="O4908" t="n">
        <v>4.8</v>
      </c>
      <c r="P4908" t="n">
        <v>985</v>
      </c>
      <c r="R4908" t="inlineStr">
        <is>
          <t>InStock</t>
        </is>
      </c>
      <c r="S4908" t="inlineStr">
        <is>
          <t>7.58</t>
        </is>
      </c>
      <c r="T4908" t="inlineStr">
        <is>
          <t>6772921532589</t>
        </is>
      </c>
    </row>
    <row r="4909" hidden="1" ht="15.75" customHeight="1">
      <c r="A4909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4909" s="2">
        <f>HYPERLINK("https://edmondsonsupply.com/products/klein-tools-66077-flip-impact-socket-7-16-and-3-8-inch", "https://edmondsonsupply.com/products/klein-tools-66077-flip-impact-socket-7-16-and-3-8-inch")</f>
        <v/>
      </c>
      <c r="C4909" t="inlineStr">
        <is>
          <t>Klein Tools 66077 Flip Impact Socket, 7/16 and 3/8-Inch</t>
        </is>
      </c>
      <c r="D4909" t="inlineStr">
        <is>
          <t>Klein Tools 66075 Impact Driver Flip Socket, 11/16- and 5/8-Inch Sizes, Use with Klein Tools Compact Impact Wrenches BAT20CW, BAT20CW1</t>
        </is>
      </c>
      <c r="E4909" s="2">
        <f>HYPERLINK("https://www.amazon.com/Klein-Tools-66075-Wrenches-BAT20CW1/dp/B0B33YLHPQ/ref=sr_1_28?keywords=Klein+Tools+66077+Flip+Impact+Socket%2C+7%2F16+and+3%2F8-Inch&amp;qid=1694735129&amp;sr=8-28", "https://www.amazon.com/Klein-Tools-66075-Wrenches-BAT20CW1/dp/B0B33YLHPQ/ref=sr_1_28?keywords=Klein+Tools+66077+Flip+Impact+Socket%2C+7%2F16+and+3%2F8-Inch&amp;qid=1694735129&amp;sr=8-28")</f>
        <v/>
      </c>
      <c r="F4909" t="inlineStr">
        <is>
          <t>B0B33YLHPQ</t>
        </is>
      </c>
      <c r="G4909">
        <f>_xludf.IMAGE("https://edmondsonsupply.com/cdn/shop/products/66077.jpg?v=1663082226")</f>
        <v/>
      </c>
      <c r="H4909">
        <f>_xludf.IMAGE("https://m.media-amazon.com/images/I/51OgCXHWbtL._AC_UL320_.jpg")</f>
        <v/>
      </c>
      <c r="K4909" t="inlineStr">
        <is>
          <t>10.43</t>
        </is>
      </c>
      <c r="L4909" t="n">
        <v>15.49</v>
      </c>
      <c r="M4909" s="1" t="inlineStr">
        <is>
          <t>48.51%</t>
        </is>
      </c>
      <c r="N4909" s="1" t="n">
        <v>-33.3</v>
      </c>
      <c r="O4909" t="n">
        <v>1</v>
      </c>
      <c r="P4909" t="n">
        <v>1</v>
      </c>
      <c r="R4909" t="inlineStr">
        <is>
          <t>InStock</t>
        </is>
      </c>
      <c r="S4909" t="inlineStr">
        <is>
          <t>14.6</t>
        </is>
      </c>
      <c r="T4909" t="inlineStr">
        <is>
          <t>7814113165528</t>
        </is>
      </c>
    </row>
    <row r="4910" ht="87" customHeight="1">
      <c r="A4910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4910" s="2">
        <f>HYPERLINK("https://edmondsonsupply.com/products/rack-a-tiers-11455-wire-dispenser", "https://edmondsonsupply.com/products/rack-a-tiers-11455-wire-dispenser")</f>
        <v/>
      </c>
      <c r="C4910" t="inlineStr">
        <is>
          <t>Rack-A-Tiers 11455 Wire Dispenser</t>
        </is>
      </c>
      <c r="D4910" t="inlineStr">
        <is>
          <t>Rack-A-Tiers Tug Wise - Compact Wire Dispenser up to 500lbs (11931)</t>
        </is>
      </c>
      <c r="E4910" s="2">
        <f>HYPERLINK("https://www.amazon.com/Rack-A-Tiers-11931-Tug-Wise-standard-Model/dp/B0127EQXC0/ref=sr_1_12?keywords=Rack-A-Tiers+11455+Wire+Dispenser&amp;qid=1694734977&amp;sr=8-12", "https://www.amazon.com/Rack-A-Tiers-11931-Tug-Wise-standard-Model/dp/B0127EQXC0/ref=sr_1_12?keywords=Rack-A-Tiers+11455+Wire+Dispenser&amp;qid=1694734977&amp;sr=8-12")</f>
        <v/>
      </c>
      <c r="F4910" t="inlineStr">
        <is>
          <t>B0127EQXC0</t>
        </is>
      </c>
      <c r="G4910">
        <f>_xlfn.IMAGE("https://edmondsonsupply.com/cdn/shop/products/11455.png?v=1587150070")</f>
        <v/>
      </c>
      <c r="H4910">
        <f>_xlfn.IMAGE("https://m.media-amazon.com/images/I/31TPv8cfiPL._AC_UL320_.jpg")</f>
        <v/>
      </c>
      <c r="K4910" t="inlineStr">
        <is>
          <t>105.39</t>
        </is>
      </c>
      <c r="L4910" t="n">
        <v>156.47</v>
      </c>
      <c r="M4910" s="1" t="inlineStr">
        <is>
          <t>48.47%</t>
        </is>
      </c>
      <c r="N4910" s="7" t="n">
        <v>-33.3</v>
      </c>
      <c r="O4910" t="n">
        <v>4.4</v>
      </c>
      <c r="P4910" t="n">
        <v>7</v>
      </c>
      <c r="R4910" t="inlineStr">
        <is>
          <t>InStock</t>
        </is>
      </c>
      <c r="S4910" t="inlineStr">
        <is>
          <t>112.99</t>
        </is>
      </c>
      <c r="T4910" t="inlineStr">
        <is>
          <t>3259201126500</t>
        </is>
      </c>
    </row>
    <row r="4911" ht="87" customHeight="1">
      <c r="A4911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4911" s="2">
        <f>HYPERLINK("https://edmondsonsupply.com/products/klein-tools-vdv526-200-lan-scout-%c2%ae-jr-2-cable-tester", "https://edmondsonsupply.com/products/klein-tools-vdv526-200-lan-scout-%c2%ae-jr-2-cable-tester")</f>
        <v/>
      </c>
      <c r="C4911" t="inlineStr">
        <is>
          <t>Klein Tools VDV526-200 LAN Scout ® Jr. 2 Cable Tester</t>
        </is>
      </c>
      <c r="D4911" t="inlineStr">
        <is>
          <t>Klein Tools VDV526-200 Cable Tester, LAN Scout Jr. 2 Ethernet Cable Tester &amp; 80024 Racheting Data Cable and CAT6 Plug 50-Pack Tool Kit, Pass Thru Installation Tool Kit, 2-Piece</t>
        </is>
      </c>
      <c r="E4911" s="2">
        <f>HYPERLINK("https://www.amazon.com/Klein-Tools-VDV526-200-Racheting-Installation/dp/B09T6ZR6BP/ref=sr_1_4?keywords=Klein+Tools+VDV526-200+LAN+Scout+%C2%AE+Jr.+2+Cable+Tester&amp;qid=1694735126&amp;sr=8-4", "https://www.amazon.com/Klein-Tools-VDV526-200-Racheting-Installation/dp/B09T6ZR6BP/ref=sr_1_4?keywords=Klein+Tools+VDV526-200+LAN+Scout+%C2%AE+Jr.+2+Cable+Tester&amp;qid=1694735126&amp;sr=8-4")</f>
        <v/>
      </c>
      <c r="F4911" t="inlineStr">
        <is>
          <t>B09T6ZR6BP</t>
        </is>
      </c>
      <c r="G4911">
        <f>_xlfn.IMAGE("https://edmondsonsupply.com/cdn/shop/products/vdv526200.jpg?v=1663689949")</f>
        <v/>
      </c>
      <c r="H4911">
        <f>_xlfn.IMAGE("https://m.media-amazon.com/images/I/51KxuoR6hnL._AC_UY218_.jpg")</f>
        <v/>
      </c>
      <c r="K4911" t="inlineStr">
        <is>
          <t>54.97</t>
        </is>
      </c>
      <c r="L4911" t="n">
        <v>81.55</v>
      </c>
      <c r="M4911" s="1" t="inlineStr">
        <is>
          <t>48.35%</t>
        </is>
      </c>
      <c r="N4911" s="7" t="n">
        <v>-33.3</v>
      </c>
      <c r="O4911" t="n">
        <v>5</v>
      </c>
      <c r="P4911" t="n">
        <v>7</v>
      </c>
      <c r="R4911" t="inlineStr">
        <is>
          <t>InStock</t>
        </is>
      </c>
      <c r="S4911" t="inlineStr">
        <is>
          <t>82.5</t>
        </is>
      </c>
      <c r="T4911" t="inlineStr">
        <is>
          <t>7823726182616</t>
        </is>
      </c>
    </row>
    <row r="4912" ht="87" customHeight="1">
      <c r="A4912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4912" s="2">
        <f>HYPERLINK("https://edmondsonsupply.com/products/klein-tools-56028-flashlight-with-worklight-led-flashlight", "https://edmondsonsupply.com/products/klein-tools-56028-flashlight-with-worklight-led-flashlight")</f>
        <v/>
      </c>
      <c r="C4912" t="inlineStr">
        <is>
          <t>Klein Tools 56028 LED Flashlight with Work Light</t>
        </is>
      </c>
      <c r="D4912" t="inlineStr">
        <is>
          <t>Klein Tools 56403 LED Light, Rechargeable Flashlight / Worklight with Kickstand and Carabiner, Charges Small Electronics, for Work, Camping</t>
        </is>
      </c>
      <c r="E4912" s="2">
        <f>HYPERLINK("https://www.amazon.com/Klein-Tools-56403-Rechargeable-Illumination/dp/B07V4FTX6C/ref=sr_1_3?keywords=Klein+Tools+56028+LED+Flashlight+with+Work+Light&amp;qid=1694735208&amp;sr=8-3", "https://www.amazon.com/Klein-Tools-56403-Rechargeable-Illumination/dp/B07V4FTX6C/ref=sr_1_3?keywords=Klein+Tools+56028+LED+Flashlight+with+Work+Light&amp;qid=1694735208&amp;sr=8-3")</f>
        <v/>
      </c>
      <c r="F4912" t="inlineStr">
        <is>
          <t>B07V4FTX6C</t>
        </is>
      </c>
      <c r="G4912">
        <f>_xlfn.IMAGE("https://edmondsonsupply.com/cdn/shop/products/56028.jpg?v=1587148656")</f>
        <v/>
      </c>
      <c r="H4912">
        <f>_xlfn.IMAGE("https://m.media-amazon.com/images/I/61Gs90A8wDL._AC_UL320_.jpg")</f>
        <v/>
      </c>
      <c r="K4912" t="inlineStr">
        <is>
          <t>26.97</t>
        </is>
      </c>
      <c r="L4912" t="n">
        <v>39.97</v>
      </c>
      <c r="M4912" s="1" t="inlineStr">
        <is>
          <t>48.20%</t>
        </is>
      </c>
      <c r="N4912" s="7" t="n">
        <v>-33.3</v>
      </c>
      <c r="O4912" t="n">
        <v>4.8</v>
      </c>
      <c r="P4912" t="n">
        <v>2746</v>
      </c>
      <c r="R4912" t="inlineStr">
        <is>
          <t>InStock</t>
        </is>
      </c>
      <c r="S4912" t="inlineStr">
        <is>
          <t>41.04</t>
        </is>
      </c>
      <c r="T4912" t="inlineStr">
        <is>
          <t>1778913050724</t>
        </is>
      </c>
    </row>
    <row r="4913" ht="87" customHeight="1">
      <c r="A4913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4913" s="2">
        <f>HYPERLINK("https://edmondsonsupply.com/products/klein-tools-56028-flashlight-with-worklight-led-flashlight", "https://edmondsonsupply.com/products/klein-tools-56028-flashlight-with-worklight-led-flashlight")</f>
        <v/>
      </c>
      <c r="C4913" t="inlineStr">
        <is>
          <t>Klein Tools 56028 LED Flashlight with Work Light</t>
        </is>
      </c>
      <c r="D4913" t="inlineStr">
        <is>
          <t>Klein Tools 56040 LED Rechargeable Flashlight, 350 Lumens, Twist Focus, Laser Pointer, Hands-Free, USB Charging Cable, for Work and Outdoor</t>
        </is>
      </c>
      <c r="E4913" s="2">
        <f>HYPERLINK("https://www.amazon.com/Klein-56040-Rechargeable-Focus-Flashlight/dp/B0828NGD4V/ref=sr_1_4?keywords=Klein+Tools+56028+LED+Flashlight+with+Work+Light&amp;qid=1694735208&amp;sr=8-4", "https://www.amazon.com/Klein-56040-Rechargeable-Focus-Flashlight/dp/B0828NGD4V/ref=sr_1_4?keywords=Klein+Tools+56028+LED+Flashlight+with+Work+Light&amp;qid=1694735208&amp;sr=8-4")</f>
        <v/>
      </c>
      <c r="F4913" t="inlineStr">
        <is>
          <t>B0828NGD4V</t>
        </is>
      </c>
      <c r="G4913">
        <f>_xlfn.IMAGE("https://edmondsonsupply.com/cdn/shop/products/56028.jpg?v=1587148656")</f>
        <v/>
      </c>
      <c r="H4913">
        <f>_xlfn.IMAGE("https://m.media-amazon.com/images/I/51XNgm063EL._AC_UL320_.jpg")</f>
        <v/>
      </c>
      <c r="K4913" t="inlineStr">
        <is>
          <t>26.97</t>
        </is>
      </c>
      <c r="L4913" t="n">
        <v>39.97</v>
      </c>
      <c r="M4913" s="1" t="inlineStr">
        <is>
          <t>48.20%</t>
        </is>
      </c>
      <c r="N4913" s="7" t="n">
        <v>-33.32</v>
      </c>
      <c r="O4913" t="n">
        <v>4.6</v>
      </c>
      <c r="P4913" t="n">
        <v>468</v>
      </c>
      <c r="R4913" t="inlineStr">
        <is>
          <t>InStock</t>
        </is>
      </c>
      <c r="S4913" t="inlineStr">
        <is>
          <t>41.04</t>
        </is>
      </c>
      <c r="T4913" t="inlineStr">
        <is>
          <t>1778913050724</t>
        </is>
      </c>
    </row>
    <row r="4914" ht="87" customHeight="1">
      <c r="A4914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4914" s="2">
        <f>HYPERLINK("https://edmondsonsupply.com/products/klein-tools-56028-flashlight-with-worklight-led-flashlight", "https://edmondsonsupply.com/products/klein-tools-56028-flashlight-with-worklight-led-flashlight")</f>
        <v/>
      </c>
      <c r="C4914" t="inlineStr">
        <is>
          <t>Klein Tools 56028 LED Flashlight with Work Light</t>
        </is>
      </c>
      <c r="D4914" t="inlineStr">
        <is>
          <t>Klein Tools 56412 Rechargeable LED Flashlight with Worklight, 500 Lumens, USB Charging Cable, Pocket Clip, Battery Life Indicator, Magnetic</t>
        </is>
      </c>
      <c r="E4914" s="2">
        <f>HYPERLINK("https://www.amazon.com/Rechargeable-Flashlight-Worklight-Klein-Tools/dp/B0947YMH51/ref=sr_1_1?keywords=Klein+Tools+56028+LED+Flashlight+with+Work+Light&amp;qid=1694735208&amp;sr=8-1", "https://www.amazon.com/Rechargeable-Flashlight-Worklight-Klein-Tools/dp/B0947YMH51/ref=sr_1_1?keywords=Klein+Tools+56028+LED+Flashlight+with+Work+Light&amp;qid=1694735208&amp;sr=8-1")</f>
        <v/>
      </c>
      <c r="F4914" t="inlineStr">
        <is>
          <t>B0947YMH51</t>
        </is>
      </c>
      <c r="G4914">
        <f>_xlfn.IMAGE("https://edmondsonsupply.com/cdn/shop/products/56028.jpg?v=1587148656")</f>
        <v/>
      </c>
      <c r="H4914">
        <f>_xlfn.IMAGE("https://m.media-amazon.com/images/I/51Of8ojN4aS._AC_UL320_.jpg")</f>
        <v/>
      </c>
      <c r="K4914" t="inlineStr">
        <is>
          <t>26.97</t>
        </is>
      </c>
      <c r="L4914" t="n">
        <v>39.97</v>
      </c>
      <c r="M4914" s="1" t="inlineStr">
        <is>
          <t>48.20%</t>
        </is>
      </c>
      <c r="N4914" s="7" t="n">
        <v>-33.33</v>
      </c>
      <c r="O4914" t="n">
        <v>4.6</v>
      </c>
      <c r="P4914" t="n">
        <v>418</v>
      </c>
      <c r="R4914" t="inlineStr">
        <is>
          <t>InStock</t>
        </is>
      </c>
      <c r="S4914" t="inlineStr">
        <is>
          <t>41.04</t>
        </is>
      </c>
      <c r="T4914" t="inlineStr">
        <is>
          <t>1778913050724</t>
        </is>
      </c>
    </row>
    <row r="4915" hidden="1" ht="15.75" customHeight="1">
      <c r="A4915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4915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4915" t="inlineStr">
        <is>
          <t>Channellock 430X 10-Inch SPEEDGRIP™ Straight Jaw Tongue &amp; Groove Pliers</t>
        </is>
      </c>
      <c r="D4915" t="inlineStr">
        <is>
          <t>Channellock 440 Tongue and Groove Pliers | 12-Inch Straight Jaw Groove Joint Plier with Comfort Grips, Black, Blue, Silver &amp; Tongue and Groove Pliers, 9-1/2 In</t>
        </is>
      </c>
      <c r="E4915" s="2">
        <f>HYPERLINK("https://www.amazon.com/Channellock-Tongue-12-Inch-Straight-Comfort/dp/B0BFXKVMMD/ref=sr_1_23?keywords=Channellock+430X+10-Inch+SPEEDGRIP%E2%84%A2+Straight+Jaw+Tongue+%26+Groove+Pliers&amp;qid=1694735165&amp;sr=8-23", "https://www.amazon.com/Channellock-Tongue-12-Inch-Straight-Comfort/dp/B0BFXKVMMD/ref=sr_1_23?keywords=Channellock+430X+10-Inch+SPEEDGRIP%E2%84%A2+Straight+Jaw+Tongue+%26+Groove+Pliers&amp;qid=1694735165&amp;sr=8-23")</f>
        <v/>
      </c>
      <c r="F4915" t="inlineStr">
        <is>
          <t>B0BFXKVMMD</t>
        </is>
      </c>
      <c r="G4915">
        <f>_xludf.IMAGE("https://edmondsonsupply.com/cdn/shop/products/430X.jpg?v=1647100497")</f>
        <v/>
      </c>
      <c r="H4915">
        <f>_xludf.IMAGE("https://m.media-amazon.com/images/I/41AZjjLwtIL._AC_UL320_.jpg")</f>
        <v/>
      </c>
      <c r="K4915" t="inlineStr">
        <is>
          <t>26.95</t>
        </is>
      </c>
      <c r="L4915" t="n">
        <v>39.94</v>
      </c>
      <c r="M4915" s="1" t="inlineStr">
        <is>
          <t>48.20%</t>
        </is>
      </c>
      <c r="N4915" s="1" t="n">
        <v>-33.34</v>
      </c>
      <c r="O4915" t="n">
        <v>3</v>
      </c>
      <c r="P4915" t="n">
        <v>1</v>
      </c>
      <c r="R4915" t="inlineStr">
        <is>
          <t>InStock</t>
        </is>
      </c>
      <c r="S4915" t="inlineStr">
        <is>
          <t>40.47</t>
        </is>
      </c>
      <c r="T4915" t="inlineStr">
        <is>
          <t>7633790238936</t>
        </is>
      </c>
    </row>
    <row r="4916" ht="87" customHeight="1">
      <c r="A4916" s="2">
        <f>HYPERLINK("https://edmondsonsupply.com/collections/electricians-tools/products/crescent-wiss-m8p-9-4-5-offset-straight-left-and-right-cut-aviation-snips", "https://edmondsonsupply.com/collections/electricians-tools/products/crescent-wiss-m8p-9-4-5-offset-straight-left-and-right-cut-aviation-snips")</f>
        <v/>
      </c>
      <c r="B4916" s="2">
        <f>HYPERLINK("https://edmondsonsupply.com/products/crescent-wiss-m8p-9-4-5-offset-straight-left-and-right-cut-aviation-snips", "https://edmondsonsupply.com/products/crescent-wiss-m8p-9-4-5-offset-straight-left-and-right-cut-aviation-snips")</f>
        <v/>
      </c>
      <c r="C4916" t="inlineStr">
        <is>
          <t>Crescent Wiss M8P 9-4/5" Offset Straight, Left and Right Cut Aviation Snips</t>
        </is>
      </c>
      <c r="D4916" t="inlineStr">
        <is>
          <t>Crescent Wiss 9-1/4" Metalmaster Offset Straight and Left Cut Aviation Snips - M6R &amp; Crescent Wiss 9-1/4" Metalmaster Offset Straight and Right Cut Aviation Snips - M7R</t>
        </is>
      </c>
      <c r="E4916" s="2">
        <f>HYPERLINK("https://www.amazon.com/Crescent-Wiss-Metalmaster-Straight-Aviation/dp/B087492PJS/ref=sr_1_1?keywords=Crescent+Wiss+M8P+9-4%2F5%22+Offset+Straight%2C+Left+and+Right+Cut+Aviation+Snips&amp;qid=1694735009&amp;sr=8-1", "https://www.amazon.com/Crescent-Wiss-Metalmaster-Straight-Aviation/dp/B087492PJS/ref=sr_1_1?keywords=Crescent+Wiss+M8P+9-4%2F5%22+Offset+Straight%2C+Left+and+Right+Cut+Aviation+Snips&amp;qid=1694735009&amp;sr=8-1")</f>
        <v/>
      </c>
      <c r="F4916" t="inlineStr">
        <is>
          <t>B087492PJS</t>
        </is>
      </c>
      <c r="G4916">
        <f>_xlfn.IMAGE("https://edmondsonsupply.com/cdn/shop/products/WIS_M8P_IMG_ANG_01.jpg?v=1679676030")</f>
        <v/>
      </c>
      <c r="H4916">
        <f>_xlfn.IMAGE("https://m.media-amazon.com/images/I/71EUUFflT7S._AC_UL320_.jpg")</f>
        <v/>
      </c>
      <c r="K4916" t="inlineStr">
        <is>
          <t>22.99</t>
        </is>
      </c>
      <c r="L4916" t="n">
        <v>33.98</v>
      </c>
      <c r="M4916" s="1" t="inlineStr">
        <is>
          <t>47.80%</t>
        </is>
      </c>
      <c r="N4916" s="7" t="n">
        <v>-33.35</v>
      </c>
      <c r="O4916" t="n">
        <v>4.1</v>
      </c>
      <c r="P4916" t="n">
        <v>34</v>
      </c>
      <c r="R4916" t="inlineStr">
        <is>
          <t>InStock</t>
        </is>
      </c>
      <c r="S4916" t="inlineStr">
        <is>
          <t>41.64</t>
        </is>
      </c>
      <c r="T4916" t="inlineStr">
        <is>
          <t>7966309351640</t>
        </is>
      </c>
    </row>
    <row r="4917" ht="87" customHeight="1">
      <c r="A4917" s="2">
        <f>HYPERLINK("https://edmondsonsupply.com/collections/electricians-tools/products/crescent-wiss-9-1-4-offset-straight-and-left-cut-aviation-snips", "https://edmondsonsupply.com/collections/electricians-tools/products/crescent-wiss-9-1-4-offset-straight-and-left-cut-aviation-snips")</f>
        <v/>
      </c>
      <c r="B4917" s="2">
        <f>HYPERLINK("https://edmondsonsupply.com/products/crescent-wiss-9-1-4-offset-straight-and-left-cut-aviation-snips", "https://edmondsonsupply.com/products/crescent-wiss-9-1-4-offset-straight-and-left-cut-aviation-snips")</f>
        <v/>
      </c>
      <c r="C4917" t="inlineStr">
        <is>
          <t>Crescent Wiss M6P 9-1/4" Offset Straight and Left Cut Aviation Snips</t>
        </is>
      </c>
      <c r="D4917" t="inlineStr">
        <is>
          <t>Crescent Wiss 9-1/4" Metalmaster Offset Straight and Left Cut Aviation Snips - M6R &amp; Crescent Wiss 9-1/4" Metalmaster Offset Straight and Right Cut Aviation Snips - M7R</t>
        </is>
      </c>
      <c r="E4917" s="2">
        <f>HYPERLINK("https://www.amazon.com/Crescent-Wiss-Metalmaster-Straight-Aviation/dp/B087492PJS/ref=sr_1_2?keywords=Crescent+Wiss+M6P+9-1%2F4%22+Offset+Straight+and+Left+Cut+Aviation+Snips&amp;qid=1694735010&amp;sr=8-2", "https://www.amazon.com/Crescent-Wiss-Metalmaster-Straight-Aviation/dp/B087492PJS/ref=sr_1_2?keywords=Crescent+Wiss+M6P+9-1%2F4%22+Offset+Straight+and+Left+Cut+Aviation+Snips&amp;qid=1694735010&amp;sr=8-2")</f>
        <v/>
      </c>
      <c r="F4917" t="inlineStr">
        <is>
          <t>B087492PJS</t>
        </is>
      </c>
      <c r="G4917">
        <f>_xlfn.IMAGE("https://edmondsonsupply.com/cdn/shop/products/WIS_M6P_IMG_MAIN_01.jpg?v=1679497499")</f>
        <v/>
      </c>
      <c r="H4917">
        <f>_xlfn.IMAGE("https://m.media-amazon.com/images/I/71EUUFflT7S._AC_UL320_.jpg")</f>
        <v/>
      </c>
      <c r="K4917" t="inlineStr">
        <is>
          <t>22.99</t>
        </is>
      </c>
      <c r="L4917" t="n">
        <v>33.98</v>
      </c>
      <c r="M4917" s="1" t="inlineStr">
        <is>
          <t>47.80%</t>
        </is>
      </c>
      <c r="N4917" s="7" t="n">
        <v>-33.37</v>
      </c>
      <c r="O4917" t="n">
        <v>4.1</v>
      </c>
      <c r="P4917" t="n">
        <v>34</v>
      </c>
      <c r="R4917" t="inlineStr">
        <is>
          <t>InStock</t>
        </is>
      </c>
      <c r="S4917" t="inlineStr">
        <is>
          <t>41.64</t>
        </is>
      </c>
      <c r="T4917" t="inlineStr">
        <is>
          <t>7965651960024</t>
        </is>
      </c>
    </row>
    <row r="4918" ht="87" customHeight="1">
      <c r="A4918" s="2">
        <f>HYPERLINK("https://edmondsonsupply.com/collections/electricians-tools/products/crescent-wiss-m7p-9-1-4-offset-straight-and-right-cut-aviation-snips", "https://edmondsonsupply.com/collections/electricians-tools/products/crescent-wiss-m7p-9-1-4-offset-straight-and-right-cut-aviation-snips")</f>
        <v/>
      </c>
      <c r="B4918" s="2">
        <f>HYPERLINK("https://edmondsonsupply.com/products/crescent-wiss-m7p-9-1-4-offset-straight-and-right-cut-aviation-snips", "https://edmondsonsupply.com/products/crescent-wiss-m7p-9-1-4-offset-straight-and-right-cut-aviation-snips")</f>
        <v/>
      </c>
      <c r="C4918" t="inlineStr">
        <is>
          <t>Crescent Wiss M7P 9-1/4" Offset Straight and Right Cut Aviation Snips</t>
        </is>
      </c>
      <c r="D4918" t="inlineStr">
        <is>
          <t>Crescent Wiss 9-1/4" Metalmaster Offset Straight and Left Cut Aviation Snips - M6R &amp; Crescent Wiss 9-1/4" Metalmaster Offset Straight and Right Cut Aviation Snips - M7R</t>
        </is>
      </c>
      <c r="E4918" s="2">
        <f>HYPERLINK("https://www.amazon.com/Crescent-Wiss-Metalmaster-Straight-Aviation/dp/B087492PJS/ref=sr_1_2?keywords=Crescent+Wiss+M7P+9-1%2F4%22+Offset+Straight+and+Right+Cut+Aviation+Snips&amp;qid=1694735008&amp;sr=8-2", "https://www.amazon.com/Crescent-Wiss-Metalmaster-Straight-Aviation/dp/B087492PJS/ref=sr_1_2?keywords=Crescent+Wiss+M7P+9-1%2F4%22+Offset+Straight+and+Right+Cut+Aviation+Snips&amp;qid=1694735008&amp;sr=8-2")</f>
        <v/>
      </c>
      <c r="F4918" t="inlineStr">
        <is>
          <t>B087492PJS</t>
        </is>
      </c>
      <c r="G4918">
        <f>_xlfn.IMAGE("https://edmondsonsupply.com/cdn/shop/products/WIS_M7P_IMG_ANG_01.jpg?v=1679669941")</f>
        <v/>
      </c>
      <c r="H4918">
        <f>_xlfn.IMAGE("https://m.media-amazon.com/images/I/71EUUFflT7S._AC_UL320_.jpg")</f>
        <v/>
      </c>
      <c r="K4918" t="inlineStr">
        <is>
          <t>22.99</t>
        </is>
      </c>
      <c r="L4918" t="n">
        <v>33.98</v>
      </c>
      <c r="M4918" s="1" t="inlineStr">
        <is>
          <t>47.80%</t>
        </is>
      </c>
      <c r="N4918" s="7" t="n">
        <v>-33.37</v>
      </c>
      <c r="O4918" t="n">
        <v>4.1</v>
      </c>
      <c r="P4918" t="n">
        <v>34</v>
      </c>
      <c r="R4918" t="inlineStr">
        <is>
          <t>InStock</t>
        </is>
      </c>
      <c r="S4918" t="inlineStr">
        <is>
          <t>41.64</t>
        </is>
      </c>
      <c r="T4918" t="inlineStr">
        <is>
          <t>7966220681432</t>
        </is>
      </c>
    </row>
    <row r="4919" ht="87" customHeight="1">
      <c r="A4919" s="2">
        <f>HYPERLINK("https://edmondsonsupply.com/collections/electricians-tools/products/klein-tools-vdv526-052-cable-tester-lan-scout%C2%AE-jr-continuity-tester", "https://edmondsonsupply.com/collections/electricians-tools/products/klein-tools-vdv526-052-cable-tester-lan-scout%C2%AE-jr-continuity-tester")</f>
        <v/>
      </c>
      <c r="B4919" s="2">
        <f>HYPERLINK("https://edmondsonsupply.com/products/klein-tools-vdv526-052-cable-tester-lan-scout%c2%ae-jr-continuity-tester", "https://edmondsonsupply.com/products/klein-tools-vdv526-052-cable-tester-lan-scout%c2%ae-jr-continuity-tester")</f>
        <v/>
      </c>
      <c r="C4919" t="inlineStr">
        <is>
          <t>Klein Tools VDV526-052 Cable Tester, LAN Scout® Jr. Continuity Tester</t>
        </is>
      </c>
      <c r="D4919" t="inlineStr">
        <is>
          <t>Klein Tools VDV526-200 Cable Tester, LAN Scout Jr. 2 Ethernet Cable Tester for CAT 5e, CAT 6/6A Cables with RJ45 Connections &amp; VDV226-011-SEN Crimper, All-in-One Ratcheting Modular Data Cable Crimper</t>
        </is>
      </c>
      <c r="E4919" s="2">
        <f>HYPERLINK("https://www.amazon.com/Klein-Tools-VDV526-200-Connections-VDV226-011-SEN/dp/B0B68N3CXD/ref=sr_1_6?keywords=Klein+Tools+VDV526-052+Cable+Tester%2C+LAN+Scout%C2%AE+Jr.+Continuity+Tester&amp;qid=1694734999&amp;sr=8-6", "https://www.amazon.com/Klein-Tools-VDV526-200-Connections-VDV226-011-SEN/dp/B0B68N3CXD/ref=sr_1_6?keywords=Klein+Tools+VDV526-052+Cable+Tester%2C+LAN+Scout%C2%AE+Jr.+Continuity+Tester&amp;qid=1694734999&amp;sr=8-6")</f>
        <v/>
      </c>
      <c r="F4919" t="inlineStr">
        <is>
          <t>B0B68N3CXD</t>
        </is>
      </c>
      <c r="G4919">
        <f>_xlfn.IMAGE("https://edmondsonsupply.com/cdn/shop/files/vdv526-052.jpg?v=1685032494")</f>
        <v/>
      </c>
      <c r="H4919">
        <f>_xlfn.IMAGE("https://m.media-amazon.com/images/I/518UGdBFRNL._AC_UY218_.jpg")</f>
        <v/>
      </c>
      <c r="K4919" t="inlineStr">
        <is>
          <t>59.97</t>
        </is>
      </c>
      <c r="L4919" t="n">
        <v>88.53</v>
      </c>
      <c r="M4919" s="1" t="inlineStr">
        <is>
          <t>47.62%</t>
        </is>
      </c>
      <c r="N4919" s="7" t="n">
        <v>-33.37</v>
      </c>
      <c r="O4919" t="n">
        <v>5</v>
      </c>
      <c r="P4919" t="n">
        <v>3</v>
      </c>
      <c r="R4919" t="inlineStr">
        <is>
          <t>InStock</t>
        </is>
      </c>
      <c r="S4919" t="inlineStr">
        <is>
          <t>96.68</t>
        </is>
      </c>
      <c r="T4919" t="inlineStr">
        <is>
          <t>7995835678936</t>
        </is>
      </c>
    </row>
    <row r="4920" ht="87" customHeight="1">
      <c r="A4920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920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920" t="inlineStr">
        <is>
          <t>Klein Tools ET310 Digital Circuit Breaker Finder with GFCI Outlet Tester</t>
        </is>
      </c>
      <c r="D4920" t="inlineStr">
        <is>
          <t>Klein Tools ET310 AC Circuit Breaker Finder with Integrated GFCI Outlet Tester &amp; Fluke 1AC-A1-II VoltAlert Non-Contact Voltage Tester</t>
        </is>
      </c>
      <c r="E4920" s="2">
        <f>HYPERLINK("https://www.amazon.com/Klein-Tools-Integrated-1AC-A1-II-Non-Contact/dp/B08V632CP2/ref=sr_1_36?keywords=Klein+Tools+ET310+Digital+Circuit+Breaker+Finder+with+GFCI+Outlet+Tester&amp;qid=1694734974&amp;sr=8-36", "https://www.amazon.com/Klein-Tools-Integrated-1AC-A1-II-Non-Contact/dp/B08V632CP2/ref=sr_1_36?keywords=Klein+Tools+ET310+Digital+Circuit+Breaker+Finder+with+GFCI+Outlet+Tester&amp;qid=1694734974&amp;sr=8-36")</f>
        <v/>
      </c>
      <c r="F4920" t="inlineStr">
        <is>
          <t>B08V632CP2</t>
        </is>
      </c>
      <c r="G4920">
        <f>_xlfn.IMAGE("https://edmondsonsupply.com/cdn/shop/products/et310_c.jpg?v=1646963918")</f>
        <v/>
      </c>
      <c r="H4920">
        <f>_xlfn.IMAGE("https://m.media-amazon.com/images/I/51fOCY6A-aL._AC_UL320_.jpg")</f>
        <v/>
      </c>
      <c r="K4920" t="inlineStr">
        <is>
          <t>49.97</t>
        </is>
      </c>
      <c r="L4920" t="n">
        <v>73.70999999999999</v>
      </c>
      <c r="M4920" s="1" t="inlineStr">
        <is>
          <t>47.51%</t>
        </is>
      </c>
      <c r="N4920" s="7" t="n">
        <v>-33.38</v>
      </c>
      <c r="O4920" t="n">
        <v>4.6</v>
      </c>
      <c r="P4920" t="n">
        <v>13</v>
      </c>
      <c r="R4920" t="inlineStr">
        <is>
          <t>InStock</t>
        </is>
      </c>
      <c r="S4920" t="inlineStr">
        <is>
          <t>75.1</t>
        </is>
      </c>
      <c r="T4920" t="inlineStr">
        <is>
          <t>3389551280228</t>
        </is>
      </c>
    </row>
    <row r="4921" hidden="1" ht="15.75" customHeight="1">
      <c r="A4921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4921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4921" t="inlineStr">
        <is>
          <t>Klein Tools 602-4 1/4-Inch Keystone Screwdriver, 4-Inch Round Shank</t>
        </is>
      </c>
      <c r="D4921" t="inlineStr">
        <is>
          <t>Klein Tools 6984INS Insulated Screwdriver, 1000V Slim Profile Tip, #1 Square with 4-Inch Shank, Cushion-Grip Handle</t>
        </is>
      </c>
      <c r="E4921" s="2">
        <f>HYPERLINK("https://www.amazon.com/Klein-Tools-6984INS-Screwdriver-Cushion-Grip/dp/B09GPZ5P2M/ref=sr_1_17?keywords=Klein+Tools+602-4+1%2F4-Inch+Keystone+Screwdriver%2C+4-Inch+Round+Shank&amp;qid=1694735235&amp;sr=8-17", "https://www.amazon.com/Klein-Tools-6984INS-Screwdriver-Cushion-Grip/dp/B09GPZ5P2M/ref=sr_1_17?keywords=Klein+Tools+602-4+1%2F4-Inch+Keystone+Screwdriver%2C+4-Inch+Round+Shank&amp;qid=1694735235&amp;sr=8-17")</f>
        <v/>
      </c>
      <c r="F4921" t="inlineStr">
        <is>
          <t>B09GPZ5P2M</t>
        </is>
      </c>
      <c r="G4921">
        <f>_xludf.IMAGE("https://edmondsonsupply.com/cdn/shop/products/602-6.jpg?v=1633030821")</f>
        <v/>
      </c>
      <c r="H4921">
        <f>_xludf.IMAGE("https://m.media-amazon.com/images/I/41uj4ogsy3L._AC_UL320_.jpg")</f>
        <v/>
      </c>
      <c r="K4921" t="inlineStr">
        <is>
          <t>9.49</t>
        </is>
      </c>
      <c r="L4921" t="n">
        <v>13.99</v>
      </c>
      <c r="M4921" s="1" t="inlineStr">
        <is>
          <t>47.42%</t>
        </is>
      </c>
      <c r="N4921" s="1" t="n">
        <v>-33.73</v>
      </c>
      <c r="O4921" t="n">
        <v>4.8</v>
      </c>
      <c r="P4921" t="n">
        <v>107</v>
      </c>
      <c r="R4921" t="inlineStr">
        <is>
          <t>InStock</t>
        </is>
      </c>
      <c r="S4921" t="inlineStr">
        <is>
          <t>14.36</t>
        </is>
      </c>
      <c r="T4921" t="inlineStr">
        <is>
          <t>6080792363181</t>
        </is>
      </c>
    </row>
    <row r="4922" hidden="1" ht="15.75" customHeight="1">
      <c r="A4922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4922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4922" t="inlineStr">
        <is>
          <t>Klein Tools 602-4 1/4-Inch Keystone Screwdriver, 4-Inch Round Shank</t>
        </is>
      </c>
      <c r="D4922" t="inlineStr">
        <is>
          <t>Klein Tools 6944INS Insulated Screwdriver, 1000V Slim Profile Tip, #2 Square with 4-Inch Shank, Cushion-Grip Handle</t>
        </is>
      </c>
      <c r="E4922" s="2">
        <f>HYPERLINK("https://www.amazon.com/Klein-Tools-6944INS-Screwdriver-Cushion-Grip/dp/B09GPYTZV3/ref=sr_1_15?keywords=Klein+Tools+602-4+1%2F4-Inch+Keystone+Screwdriver%2C+4-Inch+Round+Shank&amp;qid=1694735235&amp;sr=8-15", "https://www.amazon.com/Klein-Tools-6944INS-Screwdriver-Cushion-Grip/dp/B09GPYTZV3/ref=sr_1_15?keywords=Klein+Tools+602-4+1%2F4-Inch+Keystone+Screwdriver%2C+4-Inch+Round+Shank&amp;qid=1694735235&amp;sr=8-15")</f>
        <v/>
      </c>
      <c r="F4922" t="inlineStr">
        <is>
          <t>B09GPYTZV3</t>
        </is>
      </c>
      <c r="G4922">
        <f>_xludf.IMAGE("https://edmondsonsupply.com/cdn/shop/products/602-6.jpg?v=1633030821")</f>
        <v/>
      </c>
      <c r="H4922">
        <f>_xludf.IMAGE("https://m.media-amazon.com/images/I/41PzygwLx+L._AC_UL320_.jpg")</f>
        <v/>
      </c>
      <c r="K4922" t="inlineStr">
        <is>
          <t>9.49</t>
        </is>
      </c>
      <c r="L4922" t="n">
        <v>13.99</v>
      </c>
      <c r="M4922" s="1" t="inlineStr">
        <is>
          <t>47.42%</t>
        </is>
      </c>
      <c r="N4922" s="1" t="n">
        <v>-33.82</v>
      </c>
      <c r="O4922" t="n">
        <v>4.7</v>
      </c>
      <c r="P4922" t="n">
        <v>93</v>
      </c>
      <c r="R4922" t="inlineStr">
        <is>
          <t>InStock</t>
        </is>
      </c>
      <c r="S4922" t="inlineStr">
        <is>
          <t>14.36</t>
        </is>
      </c>
      <c r="T4922" t="inlineStr">
        <is>
          <t>6080792363181</t>
        </is>
      </c>
    </row>
    <row r="4923" hidden="1" ht="15.75" customHeight="1">
      <c r="A4923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4923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4923" t="inlineStr">
        <is>
          <t>Klein Tools JTH6M5 5 mm Hex Key, Journeyman T-Handle, 6-Inch</t>
        </is>
      </c>
      <c r="D4923" t="inlineStr">
        <is>
          <t>Klein Tools JTH9M3 3 mm Hex Key, Journeyman T-Handle, 9-Inch</t>
        </is>
      </c>
      <c r="E4923" s="2">
        <f>HYPERLINK("https://www.amazon.com/Journeyman-T-Handle-Klein-Tools-JTH9M3/dp/B005G3HJ28/ref=sr_1_11?keywords=Klein+Tools+JTH6M5+5+mm+Hex+Key%2C+Journeyman+T-Handle%2C+6-Inch&amp;qid=1694735404&amp;sr=8-11", "https://www.amazon.com/Journeyman-T-Handle-Klein-Tools-JTH9M3/dp/B005G3HJ28/ref=sr_1_11?keywords=Klein+Tools+JTH6M5+5+mm+Hex+Key%2C+Journeyman+T-Handle%2C+6-Inch&amp;qid=1694735404&amp;sr=8-11")</f>
        <v/>
      </c>
      <c r="F4923" t="inlineStr">
        <is>
          <t>B005G3HJ28</t>
        </is>
      </c>
      <c r="G4923">
        <f>_xludf.IMAGE("https://edmondsonsupply.com/cdn/shop/products/jth6m8_86ab4962-b2b5-468b-a9d8-cba525456227.jpg?v=1587150411")</f>
        <v/>
      </c>
      <c r="H4923">
        <f>_xludf.IMAGE("https://m.media-amazon.com/images/I/51MZtGjDOtL._AC_UL320_.jpg")</f>
        <v/>
      </c>
      <c r="K4923" t="inlineStr">
        <is>
          <t>3.99</t>
        </is>
      </c>
      <c r="L4923" t="n">
        <v>5.88</v>
      </c>
      <c r="M4923" s="1" t="inlineStr">
        <is>
          <t>47.37%</t>
        </is>
      </c>
      <c r="N4923" s="1" t="n">
        <v>-33.82</v>
      </c>
      <c r="O4923" t="n">
        <v>4.6</v>
      </c>
      <c r="P4923" t="n">
        <v>179</v>
      </c>
      <c r="R4923" t="inlineStr">
        <is>
          <t>InStock</t>
        </is>
      </c>
      <c r="S4923" t="inlineStr">
        <is>
          <t>6.04</t>
        </is>
      </c>
      <c r="T4923" t="inlineStr">
        <is>
          <t>4391573028964</t>
        </is>
      </c>
    </row>
    <row r="4924" hidden="1" ht="15.75" customHeight="1">
      <c r="A4924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4924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4924" t="inlineStr">
        <is>
          <t>Klein Tools JTH4E06 3/32-Inch Hex Key, Journeyman T-Handle, 4-Inch</t>
        </is>
      </c>
      <c r="D4924" t="inlineStr">
        <is>
          <t>Klein Tools JTH9M3 3 mm Hex Key, Journeyman T-Handle, 9-Inch</t>
        </is>
      </c>
      <c r="E4924" s="2">
        <f>HYPERLINK("https://www.amazon.com/Journeyman-T-Handle-Klein-Tools-JTH9M3/dp/B005G3HJ28/ref=sr_1_12?keywords=Klein+Tools+JTH4E06+3%2F32-Inch+Hex+Key%2C+Journeyman+T-Handle%2C+4-Inch&amp;qid=1694735173&amp;sr=8-12", "https://www.amazon.com/Journeyman-T-Handle-Klein-Tools-JTH9M3/dp/B005G3HJ28/ref=sr_1_12?keywords=Klein+Tools+JTH4E06+3%2F32-Inch+Hex+Key%2C+Journeyman+T-Handle%2C+4-Inch&amp;qid=1694735173&amp;sr=8-12")</f>
        <v/>
      </c>
      <c r="F4924" t="inlineStr">
        <is>
          <t>B005G3HJ28</t>
        </is>
      </c>
      <c r="G4924">
        <f>_xludf.IMAGE("https://edmondsonsupply.com/cdn/shop/products/jth4e06.jpg?v=1635112029")</f>
        <v/>
      </c>
      <c r="H4924">
        <f>_xludf.IMAGE("https://m.media-amazon.com/images/I/51MZtGjDOtL._AC_UL320_.jpg")</f>
        <v/>
      </c>
      <c r="K4924" t="inlineStr">
        <is>
          <t>3.99</t>
        </is>
      </c>
      <c r="L4924" t="n">
        <v>5.88</v>
      </c>
      <c r="M4924" s="1" t="inlineStr">
        <is>
          <t>47.37%</t>
        </is>
      </c>
      <c r="N4924" s="1" t="n">
        <v>-33.84</v>
      </c>
      <c r="O4924" t="n">
        <v>4.6</v>
      </c>
      <c r="P4924" t="n">
        <v>179</v>
      </c>
      <c r="R4924" t="inlineStr">
        <is>
          <t>InStock</t>
        </is>
      </c>
      <c r="S4924" t="inlineStr">
        <is>
          <t>6.04</t>
        </is>
      </c>
      <c r="T4924" t="inlineStr">
        <is>
          <t>7032648794285</t>
        </is>
      </c>
    </row>
    <row r="4925" hidden="1" ht="15.75" customHeight="1">
      <c r="A4925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4925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4925" t="inlineStr">
        <is>
          <t>Klein Tools JTH6E06 3/32-Inch Hex Key, Journeyman T-Handle, 6-Inch</t>
        </is>
      </c>
      <c r="D4925" t="inlineStr">
        <is>
          <t>Klein Tools JTH9M3 3 mm Hex Key, Journeyman T-Handle, 9-Inch</t>
        </is>
      </c>
      <c r="E4925" s="2">
        <f>HYPERLINK("https://www.amazon.com/Journeyman-T-Handle-Klein-Tools-JTH9M3/dp/B005G3HJ28/ref=sr_1_14?keywords=Klein+Tools+JTH6E06+3%2F32-Inch+Hex+Key%2C+Journeyman+T-Handle%2C+6-Inch&amp;qid=1694735341&amp;sr=8-14", "https://www.amazon.com/Journeyman-T-Handle-Klein-Tools-JTH9M3/dp/B005G3HJ28/ref=sr_1_14?keywords=Klein+Tools+JTH6E06+3%2F32-Inch+Hex+Key%2C+Journeyman+T-Handle%2C+6-Inch&amp;qid=1694735341&amp;sr=8-14")</f>
        <v/>
      </c>
      <c r="F4925" t="inlineStr">
        <is>
          <t>B005G3HJ28</t>
        </is>
      </c>
      <c r="G4925">
        <f>_xludf.IMAGE("https://edmondsonsupply.com/cdn/shop/products/jth6e15_f3f40e05-27ea-4df2-91fc-a673e8aa5e4b.jpg?v=1587150971")</f>
        <v/>
      </c>
      <c r="H4925">
        <f>_xludf.IMAGE("https://m.media-amazon.com/images/I/51MZtGjDOtL._AC_UL320_.jpg")</f>
        <v/>
      </c>
      <c r="K4925" t="inlineStr">
        <is>
          <t>3.99</t>
        </is>
      </c>
      <c r="L4925" t="n">
        <v>5.88</v>
      </c>
      <c r="M4925" s="1" t="inlineStr">
        <is>
          <t>47.37%</t>
        </is>
      </c>
      <c r="N4925" s="1" t="n">
        <v>-34.23</v>
      </c>
      <c r="O4925" t="n">
        <v>4.6</v>
      </c>
      <c r="P4925" t="n">
        <v>179</v>
      </c>
      <c r="R4925" t="inlineStr">
        <is>
          <t>InStock</t>
        </is>
      </c>
      <c r="S4925" t="inlineStr">
        <is>
          <t>6.04</t>
        </is>
      </c>
      <c r="T4925" t="inlineStr">
        <is>
          <t>4512703709284</t>
        </is>
      </c>
    </row>
    <row r="4926" hidden="1" ht="15.75" customHeight="1">
      <c r="A4926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4926" s="2">
        <f>HYPERLINK("https://edmondsonsupply.com/products/klein-tools-jth6m2-2-mm-hex-key-journeyman-t-handle-6-inch", "https://edmondsonsupply.com/products/klein-tools-jth6m2-2-mm-hex-key-journeyman-t-handle-6-inch")</f>
        <v/>
      </c>
      <c r="C4926" t="inlineStr">
        <is>
          <t>Klein Tools JTH6M2 2 mm Hex Key, Journeyman T-Handle, 6-Inch</t>
        </is>
      </c>
      <c r="D4926" t="inlineStr">
        <is>
          <t>Klein Tools JTH9M3 3 mm Hex Key, Journeyman T-Handle, 9-Inch</t>
        </is>
      </c>
      <c r="E4926" s="2">
        <f>HYPERLINK("https://www.amazon.com/Journeyman-T-Handle-Klein-Tools-JTH9M3/dp/B005G3HJ28/ref=sr_1_13?keywords=Klein+Tools+JTH6M2+2+mm+Hex+Key%2C+Journeyman+T-Handle%2C+6-Inch&amp;qid=1694735354&amp;sr=8-13", "https://www.amazon.com/Journeyman-T-Handle-Klein-Tools-JTH9M3/dp/B005G3HJ28/ref=sr_1_13?keywords=Klein+Tools+JTH6M2+2+mm+Hex+Key%2C+Journeyman+T-Handle%2C+6-Inch&amp;qid=1694735354&amp;sr=8-13")</f>
        <v/>
      </c>
      <c r="F4926" t="inlineStr">
        <is>
          <t>B005G3HJ28</t>
        </is>
      </c>
      <c r="G4926">
        <f>_xludf.IMAGE("https://edmondsonsupply.com/cdn/shop/products/jth6m8_a05a7009-87dd-4391-9f0b-ef31a782bd36.jpg?v=1587147558")</f>
        <v/>
      </c>
      <c r="H4926">
        <f>_xludf.IMAGE("https://m.media-amazon.com/images/I/51MZtGjDOtL._AC_UL320_.jpg")</f>
        <v/>
      </c>
      <c r="K4926" t="inlineStr">
        <is>
          <t>3.99</t>
        </is>
      </c>
      <c r="L4926" t="n">
        <v>5.88</v>
      </c>
      <c r="M4926" s="1" t="inlineStr">
        <is>
          <t>47.37%</t>
        </is>
      </c>
      <c r="N4926" s="1" t="n">
        <v>-34.37</v>
      </c>
      <c r="O4926" t="n">
        <v>4.6</v>
      </c>
      <c r="P4926" t="n">
        <v>179</v>
      </c>
      <c r="R4926" t="inlineStr">
        <is>
          <t>InStock</t>
        </is>
      </c>
      <c r="S4926" t="inlineStr">
        <is>
          <t>6.06</t>
        </is>
      </c>
      <c r="T4926" t="inlineStr">
        <is>
          <t>4506082738276</t>
        </is>
      </c>
    </row>
    <row r="4927" ht="87" customHeight="1">
      <c r="A4927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4927" s="2">
        <f>HYPERLINK("https://edmondsonsupply.com/products/diablo-tools-dag1110-7-8-in-x-7-1-2-in-auger-bit", "https://edmondsonsupply.com/products/diablo-tools-dag1110-7-8-in-x-7-1-2-in-auger-bit")</f>
        <v/>
      </c>
      <c r="C4927" t="inlineStr">
        <is>
          <t>Diablo Tools DAG1110 7/8 in. x 7-1/2 in. Auger Bit</t>
        </is>
      </c>
      <c r="D4927" t="inlineStr">
        <is>
          <t>Diablo 3/4 in. x 17-1/2 in. Auger Bit</t>
        </is>
      </c>
      <c r="E4927" s="2">
        <f>HYPERLINK("https://www.amazon.com/Diablo-17-1-Auger-Bit/dp/B089LHKRPP/ref=sr_1_39?keywords=Diablo+Tools+DAG1110+7%2F8+in.+x+7-1%2F2+in.+Auger+Bit&amp;qid=1694735001&amp;sr=8-39", "https://www.amazon.com/Diablo-17-1-Auger-Bit/dp/B089LHKRPP/ref=sr_1_39?keywords=Diablo+Tools+DAG1110+7%2F8+in.+x+7-1%2F2+in.+Auger+Bit&amp;qid=1694735001&amp;sr=8-39")</f>
        <v/>
      </c>
      <c r="F4927" t="inlineStr">
        <is>
          <t>B089LHKRPP</t>
        </is>
      </c>
      <c r="G4927">
        <f>_xlfn.IMAGE("https://edmondsonsupply.com/cdn/shop/products/yel7mbaiyy08ii0assd5.webp?v=1680187136")</f>
        <v/>
      </c>
      <c r="H4927">
        <f>_xlfn.IMAGE("https://m.media-amazon.com/images/I/61aMNURt08L._AC_UL320_.jpg")</f>
        <v/>
      </c>
      <c r="K4927" t="inlineStr">
        <is>
          <t>16.97</t>
        </is>
      </c>
      <c r="L4927" t="n">
        <v>25</v>
      </c>
      <c r="M4927" s="1" t="inlineStr">
        <is>
          <t>47.32%</t>
        </is>
      </c>
      <c r="N4927" s="7" t="n">
        <v>-34.44</v>
      </c>
      <c r="O4927" t="n">
        <v>4.6</v>
      </c>
      <c r="P4927" t="n">
        <v>61</v>
      </c>
      <c r="R4927" t="inlineStr">
        <is>
          <t>InStock</t>
        </is>
      </c>
      <c r="S4927" t="inlineStr">
        <is>
          <t>23.76</t>
        </is>
      </c>
      <c r="T4927" t="inlineStr">
        <is>
          <t>7970459549912</t>
        </is>
      </c>
    </row>
    <row r="4928" ht="87" customHeight="1">
      <c r="A4928" s="2">
        <f>HYPERLINK("https://edmondsonsupply.com/collections/electricians-tools/products/milwaukee-0880-20", "https://edmondsonsupply.com/collections/electricians-tools/products/milwaukee-0880-20")</f>
        <v/>
      </c>
      <c r="B4928" s="2">
        <f>HYPERLINK("https://edmondsonsupply.com/products/milwaukee-0880-20", "https://edmondsonsupply.com/products/milwaukee-0880-20")</f>
        <v/>
      </c>
      <c r="C4928" t="inlineStr">
        <is>
          <t>Milwaukee 0880-20 M18 2-Gallon Wet/Dry Vacuum (bare tool)</t>
        </is>
      </c>
      <c r="D4928" t="inlineStr">
        <is>
          <t>Milwaukee 0970-20 M18 Fuel 18V PACKOUT 2.5 Gallon Wet/Dry Vacuum Bare Tool</t>
        </is>
      </c>
      <c r="E4928" s="2">
        <f>HYPERLINK("https://www.amazon.com/Milwaukee-0970-20-PACKOUT-Gallon-Vacuum/dp/B09RQ6WNZ8/ref=sr_1_6?keywords=Milwaukee+0880-20+M18+2-Gallon+Wet%2FDry+Vacuum+%28bare+tool%29&amp;qid=1694735279&amp;sr=8-6", "https://www.amazon.com/Milwaukee-0970-20-PACKOUT-Gallon-Vacuum/dp/B09RQ6WNZ8/ref=sr_1_6?keywords=Milwaukee+0880-20+M18+2-Gallon+Wet%2FDry+Vacuum+%28bare+tool%29&amp;qid=1694735279&amp;sr=8-6")</f>
        <v/>
      </c>
      <c r="F4928" t="inlineStr">
        <is>
          <t>B09RQ6WNZ8</t>
        </is>
      </c>
      <c r="G4928">
        <f>_xlfn.IMAGE("https://edmondsonsupply.com/cdn/shop/products/0880-20_2.png?v=1593890228")</f>
        <v/>
      </c>
      <c r="H4928">
        <f>_xlfn.IMAGE("https://m.media-amazon.com/images/I/71yMHJwu0eL._AC_UL320_.jpg")</f>
        <v/>
      </c>
      <c r="K4928" t="inlineStr">
        <is>
          <t>129.0</t>
        </is>
      </c>
      <c r="L4928" t="n">
        <v>189.95</v>
      </c>
      <c r="M4928" s="1" t="inlineStr">
        <is>
          <t>47.25%</t>
        </is>
      </c>
      <c r="N4928" s="7" t="n">
        <v>-34.5</v>
      </c>
      <c r="O4928" t="n">
        <v>4.5</v>
      </c>
      <c r="P4928" t="n">
        <v>74</v>
      </c>
      <c r="R4928" t="inlineStr">
        <is>
          <t>InStock</t>
        </is>
      </c>
      <c r="S4928" t="inlineStr">
        <is>
          <t>220.0</t>
        </is>
      </c>
      <c r="T4928" t="inlineStr">
        <is>
          <t>5376375586984</t>
        </is>
      </c>
    </row>
    <row r="4929" hidden="1" ht="15.75" customHeight="1">
      <c r="A4929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4929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4929" t="inlineStr">
        <is>
          <t>Klein Tools 602-4 1/4-Inch Keystone Screwdriver, 4-Inch Round Shank</t>
        </is>
      </c>
      <c r="D4929" t="inlineStr">
        <is>
          <t>Klein Tools 6924INS 1000V Slim Tip Insulated Screwdriver, 4-Inch Round Shank, 1/4-Inch Cabinet Tip, Cushion Grip Handle</t>
        </is>
      </c>
      <c r="E4929" s="2">
        <f>HYPERLINK("https://www.amazon.com/Klein-Tools-6924INS-Insulated-Screwdriver/dp/B088NRM4CC/ref=sr_1_5?keywords=Klein+Tools+602-4+1%2F4-Inch+Keystone+Screwdriver%2C+4-Inch+Round+Shank&amp;qid=1694735235&amp;sr=8-5", "https://www.amazon.com/Klein-Tools-6924INS-Insulated-Screwdriver/dp/B088NRM4CC/ref=sr_1_5?keywords=Klein+Tools+602-4+1%2F4-Inch+Keystone+Screwdriver%2C+4-Inch+Round+Shank&amp;qid=1694735235&amp;sr=8-5")</f>
        <v/>
      </c>
      <c r="F4929" t="inlineStr">
        <is>
          <t>B088NRM4CC</t>
        </is>
      </c>
      <c r="G4929">
        <f>_xludf.IMAGE("https://edmondsonsupply.com/cdn/shop/products/602-6.jpg?v=1633030821")</f>
        <v/>
      </c>
      <c r="H4929">
        <f>_xludf.IMAGE("https://m.media-amazon.com/images/I/419wtU12P3L._AC_UL320_.jpg")</f>
        <v/>
      </c>
      <c r="K4929" t="inlineStr">
        <is>
          <t>9.49</t>
        </is>
      </c>
      <c r="L4929" t="n">
        <v>13.97</v>
      </c>
      <c r="M4929" s="1" t="inlineStr">
        <is>
          <t>47.21%</t>
        </is>
      </c>
      <c r="N4929" s="1" t="n">
        <v>-34.58</v>
      </c>
      <c r="O4929" t="n">
        <v>4.8</v>
      </c>
      <c r="P4929" t="n">
        <v>1358</v>
      </c>
      <c r="R4929" t="inlineStr">
        <is>
          <t>InStock</t>
        </is>
      </c>
      <c r="S4929" t="inlineStr">
        <is>
          <t>14.36</t>
        </is>
      </c>
      <c r="T4929" t="inlineStr">
        <is>
          <t>6080792363181</t>
        </is>
      </c>
    </row>
    <row r="4930" ht="87" customHeight="1">
      <c r="A4930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930" s="2">
        <f>HYPERLINK("https://edmondsonsupply.com/products/klein-tools-d203-8-pliers-long-nose-side-cutters-8-inch", "https://edmondsonsupply.com/products/klein-tools-d203-8-pliers-long-nose-side-cutters-8-inch")</f>
        <v/>
      </c>
      <c r="C4930" t="inlineStr">
        <is>
          <t>Klein Tools D203-8 Pliers, Needle Nose Side-Cutters, 8-Inch</t>
        </is>
      </c>
      <c r="D4930" t="inlineStr">
        <is>
          <t>Klein Tools J2138NE Pliers, 8-Inch Side Cutters, High Leverage Lineman's Pliers Cut Copper, Aluminum and other Soft Metals</t>
        </is>
      </c>
      <c r="E4930" s="2">
        <f>HYPERLINK("https://www.amazon.com/Klein-Tools-J2138NE-Journeyman-Leverage/dp/B002LNR3KE/ref=sr_1_22?keywords=Klein+Tools+D203-8+Pliers%2C+Needle+Nose+Side-Cutters%2C+8-Inch&amp;qid=1694735240&amp;sr=8-22", "https://www.amazon.com/Klein-Tools-J2138NE-Journeyman-Leverage/dp/B002LNR3KE/ref=sr_1_22?keywords=Klein+Tools+D203-8+Pliers%2C+Needle+Nose+Side-Cutters%2C+8-Inch&amp;qid=1694735240&amp;sr=8-22")</f>
        <v/>
      </c>
      <c r="F4930" t="inlineStr">
        <is>
          <t>B002LNR3KE</t>
        </is>
      </c>
      <c r="G4930">
        <f>_xlfn.IMAGE("https://edmondsonsupply.com/cdn/shop/products/d2038.jpg?v=1633030802")</f>
        <v/>
      </c>
      <c r="H4930">
        <f>_xlfn.IMAGE("https://m.media-amazon.com/images/I/51YYIBtCqjL._AC_UL320_.jpg")</f>
        <v/>
      </c>
      <c r="K4930" t="inlineStr">
        <is>
          <t>29.97</t>
        </is>
      </c>
      <c r="L4930" t="n">
        <v>44.11</v>
      </c>
      <c r="M4930" s="1" t="inlineStr">
        <is>
          <t>47.18%</t>
        </is>
      </c>
      <c r="N4930" s="7" t="n">
        <v>-34.64</v>
      </c>
      <c r="O4930" t="n">
        <v>4.6</v>
      </c>
      <c r="P4930" t="n">
        <v>46</v>
      </c>
      <c r="R4930" t="inlineStr">
        <is>
          <t>InStock</t>
        </is>
      </c>
      <c r="S4930" t="inlineStr">
        <is>
          <t>44.84</t>
        </is>
      </c>
      <c r="T4930" t="inlineStr">
        <is>
          <t>6005724577960</t>
        </is>
      </c>
    </row>
    <row r="4931" ht="87" customHeight="1">
      <c r="A4931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4931" s="2">
        <f>HYPERLINK("https://edmondsonsupply.com/products/diablo-tools-dag1110-7-8-in-x-7-1-2-in-auger-bit", "https://edmondsonsupply.com/products/diablo-tools-dag1110-7-8-in-x-7-1-2-in-auger-bit")</f>
        <v/>
      </c>
      <c r="C4931" t="inlineStr">
        <is>
          <t>Diablo Tools DAG1110 7/8 in. x 7-1/2 in. Auger Bit</t>
        </is>
      </c>
      <c r="D4931" t="inlineStr">
        <is>
          <t>Diablo 5/8 in. x 17-1/2 in. Auger Bit</t>
        </is>
      </c>
      <c r="E4931" s="2">
        <f>HYPERLINK("https://www.amazon.com/Diablo-Freud-DAG3050-17-1-Auger/dp/B089KWL81X/ref=sr_1_37?keywords=Diablo+Tools+DAG1110+7%2F8+in.+x+7-1%2F2+in.+Auger+Bit&amp;qid=1694735001&amp;sr=8-37", "https://www.amazon.com/Diablo-Freud-DAG3050-17-1-Auger/dp/B089KWL81X/ref=sr_1_37?keywords=Diablo+Tools+DAG1110+7%2F8+in.+x+7-1%2F2+in.+Auger+Bit&amp;qid=1694735001&amp;sr=8-37")</f>
        <v/>
      </c>
      <c r="F4931" t="inlineStr">
        <is>
          <t>B089KWL81X</t>
        </is>
      </c>
      <c r="G4931">
        <f>_xlfn.IMAGE("https://edmondsonsupply.com/cdn/shop/products/yel7mbaiyy08ii0assd5.webp?v=1680187136")</f>
        <v/>
      </c>
      <c r="H4931">
        <f>_xlfn.IMAGE("https://m.media-amazon.com/images/I/61DWkFmOdeL._AC_UL320_.jpg")</f>
        <v/>
      </c>
      <c r="K4931" t="inlineStr">
        <is>
          <t>16.97</t>
        </is>
      </c>
      <c r="L4931" t="n">
        <v>24.97</v>
      </c>
      <c r="M4931" s="1" t="inlineStr">
        <is>
          <t>47.14%</t>
        </is>
      </c>
      <c r="N4931" s="7" t="n">
        <v>-34.66</v>
      </c>
      <c r="O4931" t="n">
        <v>4.3</v>
      </c>
      <c r="P4931" t="n">
        <v>20</v>
      </c>
      <c r="R4931" t="inlineStr">
        <is>
          <t>InStock</t>
        </is>
      </c>
      <c r="S4931" t="inlineStr">
        <is>
          <t>23.76</t>
        </is>
      </c>
      <c r="T4931" t="inlineStr">
        <is>
          <t>7970459549912</t>
        </is>
      </c>
    </row>
    <row r="4932" ht="87" customHeight="1">
      <c r="A4932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4932" s="2">
        <f>HYPERLINK("https://edmondsonsupply.com/products/diablo-tools-dag1110-7-8-in-x-7-1-2-in-auger-bit", "https://edmondsonsupply.com/products/diablo-tools-dag1110-7-8-in-x-7-1-2-in-auger-bit")</f>
        <v/>
      </c>
      <c r="C4932" t="inlineStr">
        <is>
          <t>Diablo Tools DAG1110 7/8 in. x 7-1/2 in. Auger Bit</t>
        </is>
      </c>
      <c r="D4932" t="inlineStr">
        <is>
          <t>Diablo 7/8 in. x 13 in. Auger Bit</t>
        </is>
      </c>
      <c r="E4932" s="2">
        <f>HYPERLINK("https://www.amazon.com/Diablo-DAG2090-13-Auger-Bit/dp/B089KXGJV4/ref=sr_1_32?keywords=Diablo+Tools+DAG1110+7%2F8+in.+x+7-1%2F2+in.+Auger+Bit&amp;qid=1694735001&amp;sr=8-32", "https://www.amazon.com/Diablo-DAG2090-13-Auger-Bit/dp/B089KXGJV4/ref=sr_1_32?keywords=Diablo+Tools+DAG1110+7%2F8+in.+x+7-1%2F2+in.+Auger+Bit&amp;qid=1694735001&amp;sr=8-32")</f>
        <v/>
      </c>
      <c r="F4932" t="inlineStr">
        <is>
          <t>B089KXGJV4</t>
        </is>
      </c>
      <c r="G4932">
        <f>_xlfn.IMAGE("https://edmondsonsupply.com/cdn/shop/products/yel7mbaiyy08ii0assd5.webp?v=1680187136")</f>
        <v/>
      </c>
      <c r="H4932">
        <f>_xlfn.IMAGE("https://m.media-amazon.com/images/I/6142CVY6CTL._AC_UL320_.jpg")</f>
        <v/>
      </c>
      <c r="K4932" t="inlineStr">
        <is>
          <t>16.97</t>
        </is>
      </c>
      <c r="L4932" t="n">
        <v>24.96</v>
      </c>
      <c r="M4932" s="1" t="inlineStr">
        <is>
          <t>47.08%</t>
        </is>
      </c>
      <c r="N4932" s="7" t="n">
        <v>-34.68</v>
      </c>
      <c r="O4932" t="n">
        <v>4.6</v>
      </c>
      <c r="P4932" t="n">
        <v>14</v>
      </c>
      <c r="R4932" t="inlineStr">
        <is>
          <t>InStock</t>
        </is>
      </c>
      <c r="S4932" t="inlineStr">
        <is>
          <t>23.76</t>
        </is>
      </c>
      <c r="T4932" t="inlineStr">
        <is>
          <t>7970459549912</t>
        </is>
      </c>
    </row>
    <row r="4933" ht="87" customHeight="1">
      <c r="A4933" s="2">
        <f>HYPERLINK("https://edmondsonsupply.com/collections/electricians-tools/products/milwaukee-49-56-0509-diamond-max%E2%84%A2-hole-saws", "https://edmondsonsupply.com/collections/electricians-tools/products/milwaukee-49-56-0509-diamond-max%E2%84%A2-hole-saws")</f>
        <v/>
      </c>
      <c r="B4933" s="2">
        <f>HYPERLINK("https://edmondsonsupply.com/products/milwaukee-49-56-0509-diamond-max%e2%84%a2-hole-saws", "https://edmondsonsupply.com/products/milwaukee-49-56-0509-diamond-max%e2%84%a2-hole-saws")</f>
        <v/>
      </c>
      <c r="C4933" t="inlineStr">
        <is>
          <t>Milwaukee 49-56-0509 3/8" Diamond MAX™ Hole Saw</t>
        </is>
      </c>
      <c r="D4933" t="inlineStr">
        <is>
          <t>Milwaukee 49-56-0513 5/8"  Diamond One-Piece Hole Saw</t>
        </is>
      </c>
      <c r="E4933" s="2">
        <f>HYPERLINK("https://www.amazon.com/Milwaukee-49-56-0513-Diamond-One-Piece-Hole/dp/B00LCUC50A/ref=sr_1_8?keywords=Milwaukee+49-56-0509+3%2F8%22+Diamond+MAX%E2%84%A2+Hole+Saw&amp;qid=1694735061&amp;sr=8-8", "https://www.amazon.com/Milwaukee-49-56-0513-Diamond-One-Piece-Hole/dp/B00LCUC50A/ref=sr_1_8?keywords=Milwaukee+49-56-0509+3%2F8%22+Diamond+MAX%E2%84%A2+Hole+Saw&amp;qid=1694735061&amp;sr=8-8")</f>
        <v/>
      </c>
      <c r="F4933" t="inlineStr">
        <is>
          <t>B00LCUC50A</t>
        </is>
      </c>
      <c r="G4933">
        <f>_xlfn.IMAGE("https://edmondsonsupply.com/cdn/shop/products/images.jpg?v=1678461630")</f>
        <v/>
      </c>
      <c r="H4933">
        <f>_xlfn.IMAGE("https://m.media-amazon.com/images/I/61kXBTILFoL._AC_UL320_.jpg")</f>
        <v/>
      </c>
      <c r="K4933" t="inlineStr">
        <is>
          <t>19.98</t>
        </is>
      </c>
      <c r="L4933" t="n">
        <v>29.37</v>
      </c>
      <c r="M4933" s="1" t="inlineStr">
        <is>
          <t>47.00%</t>
        </is>
      </c>
      <c r="N4933" s="7" t="n">
        <v>-34.72</v>
      </c>
      <c r="O4933" t="n">
        <v>4.7</v>
      </c>
      <c r="P4933" t="n">
        <v>33</v>
      </c>
      <c r="R4933" t="inlineStr">
        <is>
          <t>InStock</t>
        </is>
      </c>
      <c r="S4933" t="inlineStr">
        <is>
          <t>30.9</t>
        </is>
      </c>
      <c r="T4933" t="inlineStr">
        <is>
          <t>7910281019608</t>
        </is>
      </c>
    </row>
    <row r="4934" hidden="1" ht="15.75" customHeight="1">
      <c r="A4934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4934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4934" t="inlineStr">
        <is>
          <t>Diablo Tools DMAPL4020 5/32 in. x 4 in. x 6 in. Rebar Demon™ SDS-Plus 4-Cutter Full Carbide Head Hammer Bit</t>
        </is>
      </c>
      <c r="D4934" t="inlineStr">
        <is>
          <t>Diablo by Freud DMAPL4010 5/32 in. x 2 in. x 4 in. Rebar Demon SDS-Plus 4-Cutter Full Carbide Head Hammer Bit</t>
        </is>
      </c>
      <c r="E4934" s="2">
        <f>HYPERLINK("https://www.amazon.com/Diablo-SDS-Plus-4-Cutter-Carbide-Hammer/dp/B089KWVTD3/ref=sr_1_2?keywords=Diablo+Tools+DMAPL4020+5%2F32+in.+x+4+in.+x+6+in.+Rebar+Demon%E2%84%A2+SDS-Plus+4-Cutter+Full+Carbide+Head+Hammer+Bit&amp;qid=1694735291&amp;sr=8-2", "https://www.amazon.com/Diablo-SDS-Plus-4-Cutter-Carbide-Hammer/dp/B089KWVTD3/ref=sr_1_2?keywords=Diablo+Tools+DMAPL4020+5%2F32+in.+x+4+in.+x+6+in.+Rebar+Demon%E2%84%A2+SDS-Plus+4-Cutter+Full+Carbide+Head+Hammer+Bit&amp;qid=1694735291&amp;sr=8-2")</f>
        <v/>
      </c>
      <c r="F4934" t="inlineStr">
        <is>
          <t>B089KWVTD3</t>
        </is>
      </c>
      <c r="G4934">
        <f>_xludf.IMAGE("https://edmondsonsupply.com/cdn/shop/products/DMAPL4020_1.jpg?v=1633030415")</f>
        <v/>
      </c>
      <c r="H4934">
        <f>_xludf.IMAGE("https://m.media-amazon.com/images/I/61IkB-DVS1L._AC_UL320_.jpg")</f>
        <v/>
      </c>
      <c r="K4934" t="inlineStr">
        <is>
          <t>6.47</t>
        </is>
      </c>
      <c r="L4934" t="n">
        <v>9.5</v>
      </c>
      <c r="M4934" s="1" t="inlineStr">
        <is>
          <t>46.83%</t>
        </is>
      </c>
      <c r="N4934" s="1" t="n">
        <v>-34.84</v>
      </c>
      <c r="O4934" t="n">
        <v>4.7</v>
      </c>
      <c r="P4934" t="n">
        <v>4</v>
      </c>
      <c r="R4934" t="inlineStr">
        <is>
          <t>InStock</t>
        </is>
      </c>
      <c r="S4934" t="inlineStr">
        <is>
          <t>9.44</t>
        </is>
      </c>
      <c r="T4934" t="inlineStr">
        <is>
          <t>5313711046824</t>
        </is>
      </c>
    </row>
    <row r="4935" ht="87" customHeight="1">
      <c r="A4935" s="2">
        <f>HYPERLINK("https://edmondsonsupply.com/collections/electricians-tools/products/diablo-tools-d0724da-7-1-4-in-24-tooth-%E2%84%A2-framing-demolition-saw-blade", "https://edmondsonsupply.com/collections/electricians-tools/products/diablo-tools-d0724da-7-1-4-in-24-tooth-%E2%84%A2-framing-demolition-saw-blade")</f>
        <v/>
      </c>
      <c r="B4935" s="2">
        <f>HYPERLINK("https://edmondsonsupply.com/products/diablo-tools-d0724da-7-1-4-in-24-tooth-%e2%84%a2-framing-demolition-saw-blade", "https://edmondsonsupply.com/products/diablo-tools-d0724da-7-1-4-in-24-tooth-%e2%84%a2-framing-demolition-saw-blade")</f>
        <v/>
      </c>
      <c r="C4935" t="inlineStr">
        <is>
          <t>Diablo Tools D0724DA 7-1/4 in. 24-Tooth ™ Framing/Demolition Saw Blade</t>
        </is>
      </c>
      <c r="D4935" t="inlineStr">
        <is>
          <t>Freud Diablo 7-1/4-Inch 24 Tooth Framing Circular Saw Blades (2-Pack)</t>
        </is>
      </c>
      <c r="E4935" s="2">
        <f>HYPERLINK("https://www.amazon.com/Diablo-2-Pack-Framing-Circular-Blades/dp/B09K81GP9V/ref=sr_1_4?keywords=Diablo+Tools+D0724DA+7-1%2F4+in.+24-Tooth+%E2%84%A2+Framing%2FDemolition+Saw+Blade&amp;qid=1694735025&amp;sr=8-4", "https://www.amazon.com/Diablo-2-Pack-Framing-Circular-Blades/dp/B09K81GP9V/ref=sr_1_4?keywords=Diablo+Tools+D0724DA+7-1%2F4+in.+24-Tooth+%E2%84%A2+Framing%2FDemolition+Saw+Blade&amp;qid=1694735025&amp;sr=8-4")</f>
        <v/>
      </c>
      <c r="F4935" t="inlineStr">
        <is>
          <t>B09K81GP9V</t>
        </is>
      </c>
      <c r="G4935">
        <f>_xlfn.IMAGE("https://edmondsonsupply.com/cdn/shop/products/ms7ofgpqtqo0aptxxu1k.webp?v=1678973703")</f>
        <v/>
      </c>
      <c r="H4935">
        <f>_xlfn.IMAGE("https://m.media-amazon.com/images/I/61MhRzf0xyL._AC_UL320_.jpg")</f>
        <v/>
      </c>
      <c r="K4935" t="inlineStr">
        <is>
          <t>14.97</t>
        </is>
      </c>
      <c r="L4935" t="n">
        <v>21.98</v>
      </c>
      <c r="M4935" s="1" t="inlineStr">
        <is>
          <t>46.83%</t>
        </is>
      </c>
      <c r="N4935" s="7" t="n">
        <v>-34.85</v>
      </c>
      <c r="O4935" t="n">
        <v>4.7</v>
      </c>
      <c r="P4935" t="n">
        <v>8</v>
      </c>
      <c r="R4935" t="inlineStr">
        <is>
          <t>InStock</t>
        </is>
      </c>
      <c r="S4935" t="inlineStr">
        <is>
          <t>22.22</t>
        </is>
      </c>
      <c r="T4935" t="inlineStr">
        <is>
          <t>7962610204888</t>
        </is>
      </c>
    </row>
    <row r="4936" ht="87" customHeight="1">
      <c r="A4936" s="2">
        <f>HYPERLINK("https://edmondsonsupply.com/collections/electricians-tools/products/milwaukee-48-22-8452", "https://edmondsonsupply.com/collections/electricians-tools/products/milwaukee-48-22-8452")</f>
        <v/>
      </c>
      <c r="B4936" s="2">
        <f>HYPERLINK("https://edmondsonsupply.com/products/milwaukee-48-22-8452", "https://edmondsonsupply.com/products/milwaukee-48-22-8452")</f>
        <v/>
      </c>
      <c r="C4936" t="inlineStr">
        <is>
          <t>Milwaukee 48-22-8452 Customizable Foam Insert for PACKOUT™ Drawer Tool Boxes</t>
        </is>
      </c>
      <c r="D4936" t="inlineStr">
        <is>
          <t>48-22-8451 For Milwaukee Packout Foam Inserts|Foam Custom Tool Drawer Inserts Fit Milwaukee Packout Drawer Tool Boxes-2PC</t>
        </is>
      </c>
      <c r="E4936" s="2">
        <f>HYPERLINK("https://www.amazon.com/48-22-8451-Milwaukee-Packout-Inserts-Boxes-2PC/dp/B0BZTT7L29/ref=sr_1_6?keywords=Milwaukee+48-22-8452+Customizable+Foam+Insert+for+PACKOUT%E2%84%A2+Drawer+Tool+Boxes&amp;qid=1694735128&amp;sr=8-6", "https://www.amazon.com/48-22-8451-Milwaukee-Packout-Inserts-Boxes-2PC/dp/B0BZTT7L29/ref=sr_1_6?keywords=Milwaukee+48-22-8452+Customizable+Foam+Insert+for+PACKOUT%E2%84%A2+Drawer+Tool+Boxes&amp;qid=1694735128&amp;sr=8-6")</f>
        <v/>
      </c>
      <c r="F4936" t="inlineStr">
        <is>
          <t>B0BZTT7L29</t>
        </is>
      </c>
      <c r="G4936">
        <f>_xlfn.IMAGE("https://edmondsonsupply.com/cdn/shop/products/48-22-8452_4.png?v=1663605573")</f>
        <v/>
      </c>
      <c r="H4936">
        <f>_xlfn.IMAGE("https://m.media-amazon.com/images/I/81FbhALEbKL._AC_UL320_.jpg")</f>
        <v/>
      </c>
      <c r="K4936" t="inlineStr">
        <is>
          <t>24.99</t>
        </is>
      </c>
      <c r="L4936" t="n">
        <v>36.69</v>
      </c>
      <c r="M4936" s="1" t="inlineStr">
        <is>
          <t>46.82%</t>
        </is>
      </c>
      <c r="N4936" s="7" t="n">
        <v>-34.98</v>
      </c>
      <c r="O4936" t="n">
        <v>4.1</v>
      </c>
      <c r="P4936" t="n">
        <v>8</v>
      </c>
      <c r="R4936" t="inlineStr">
        <is>
          <t>InStock</t>
        </is>
      </c>
      <c r="S4936" t="inlineStr">
        <is>
          <t>40.7</t>
        </is>
      </c>
      <c r="T4936" t="inlineStr">
        <is>
          <t>7822974058712</t>
        </is>
      </c>
    </row>
    <row r="4937" ht="87" customHeight="1">
      <c r="A4937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937" s="2">
        <f>HYPERLINK("https://edmondsonsupply.com/products/klein-tools-11057-klein-kurve%c2%ae-wire-stripper-and-cutter", "https://edmondsonsupply.com/products/klein-tools-11057-klein-kurve%c2%ae-wire-stripper-and-cutter")</f>
        <v/>
      </c>
      <c r="C4937" t="inlineStr">
        <is>
          <t>Klein Tools 11057 Klein-Kurve® Wire Stripper and Cutter</t>
        </is>
      </c>
      <c r="D4937" t="inlineStr">
        <is>
          <t>Klein Tools 11046 Wire Stripper/Cutter 16-26 AWG Stranded &amp; 11047 Wire Stripper/Cutter, Compact, Lightweight, Hardened Steel, Precision Ground, for Stranded and Solid Wires</t>
        </is>
      </c>
      <c r="E4937" s="2">
        <f>HYPERLINK("https://www.amazon.com/Klein-Tools-Stripper-Lightweight-Precision/dp/B0BNL5MC4G/ref=sr_1_23?keywords=Klein+Tools+11057+Klein-Kurve%C2%AE+Wire+Stripper+and+Cutter&amp;qid=1694735357&amp;sr=8-23", "https://www.amazon.com/Klein-Tools-Stripper-Lightweight-Precision/dp/B0BNL5MC4G/ref=sr_1_23?keywords=Klein+Tools+11057+Klein-Kurve%C2%AE+Wire+Stripper+and+Cutter&amp;qid=1694735357&amp;sr=8-23")</f>
        <v/>
      </c>
      <c r="F4937" t="inlineStr">
        <is>
          <t>B0BNL5MC4G</t>
        </is>
      </c>
      <c r="G4937">
        <f>_xlfn.IMAGE("https://edmondsonsupply.com/cdn/shop/products/11057.jpg?v=1587146927")</f>
        <v/>
      </c>
      <c r="H4937">
        <f>_xlfn.IMAGE("https://m.media-amazon.com/images/I/41uWm6Rw+pL._AC_UL320_.jpg")</f>
        <v/>
      </c>
      <c r="K4937" t="inlineStr">
        <is>
          <t>20.97</t>
        </is>
      </c>
      <c r="L4937" t="n">
        <v>30.75</v>
      </c>
      <c r="M4937" s="1" t="inlineStr">
        <is>
          <t>46.64%</t>
        </is>
      </c>
      <c r="N4937" s="7" t="n">
        <v>-34.98</v>
      </c>
      <c r="O4937" t="n">
        <v>4.6</v>
      </c>
      <c r="P4937" t="n">
        <v>7</v>
      </c>
      <c r="R4937" t="inlineStr">
        <is>
          <t>InStock</t>
        </is>
      </c>
      <c r="S4937" t="inlineStr">
        <is>
          <t>32.72</t>
        </is>
      </c>
      <c r="T4937" t="inlineStr">
        <is>
          <t>4455254720612</t>
        </is>
      </c>
    </row>
    <row r="4938" hidden="1" ht="15.75" customHeight="1">
      <c r="A4938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4938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4938" t="inlineStr">
        <is>
          <t>Diablo Tools DMAPL4010 5/32 in. x 2 in. x 4 in. Rebar Demon™ SDS-Plus 4-Cutter Full Carbide Head Hammer Bit</t>
        </is>
      </c>
      <c r="D4938" t="inlineStr">
        <is>
          <t>Diablo by Freud DMAPL4010 5/32 in. x 2 in. x 4 in. Rebar Demon SDS-Plus 4-Cutter Full Carbide Head Hammer Bit</t>
        </is>
      </c>
      <c r="E4938" s="2">
        <f>HYPERLINK("https://www.amazon.com/Diablo-SDS-Plus-4-Cutter-Carbide-Hammer/dp/B089KWVTD3/ref=sr_1_1?keywords=Diablo+Tools+DMAPL4010+5%2F32+in.+x+2+in.+x+4+in.+Rebar+Demon%E2%84%A2+SDS-Plus+4-Cutter+Full+Carbide+Head+Hammer+Bit&amp;qid=1694735296&amp;sr=8-1", "https://www.amazon.com/Diablo-SDS-Plus-4-Cutter-Carbide-Hammer/dp/B089KWVTD3/ref=sr_1_1?keywords=Diablo+Tools+DMAPL4010+5%2F32+in.+x+2+in.+x+4+in.+Rebar+Demon%E2%84%A2+SDS-Plus+4-Cutter+Full+Carbide+Head+Hammer+Bit&amp;qid=1694735296&amp;sr=8-1")</f>
        <v/>
      </c>
      <c r="F4938" t="inlineStr">
        <is>
          <t>B089KWVTD3</t>
        </is>
      </c>
      <c r="G4938">
        <f>_xludf.IMAGE("https://edmondsonsupply.com/cdn/shop/products/DMAPL4010.jpg?v=1633030357")</f>
        <v/>
      </c>
      <c r="H4938">
        <f>_xludf.IMAGE("https://m.media-amazon.com/images/I/61IkB-DVS1L._AC_UL320_.jpg")</f>
        <v/>
      </c>
      <c r="K4938" t="inlineStr">
        <is>
          <t>6.48</t>
        </is>
      </c>
      <c r="L4938" t="n">
        <v>9.5</v>
      </c>
      <c r="M4938" s="1" t="inlineStr">
        <is>
          <t>46.60%</t>
        </is>
      </c>
      <c r="N4938" s="1" t="n">
        <v>-34.98</v>
      </c>
      <c r="O4938" t="n">
        <v>4.7</v>
      </c>
      <c r="P4938" t="n">
        <v>4</v>
      </c>
      <c r="R4938" t="inlineStr">
        <is>
          <t>InStock</t>
        </is>
      </c>
      <c r="S4938" t="inlineStr">
        <is>
          <t>10.3</t>
        </is>
      </c>
      <c r="T4938" t="inlineStr">
        <is>
          <t>5286308380840</t>
        </is>
      </c>
    </row>
    <row r="4939" ht="87" customHeight="1">
      <c r="A4939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4939" s="2">
        <f>HYPERLINK("https://edmondsonsupply.com/products/klein-tools-1011m-metric-wire-stripper-cutter-stranded-wire", "https://edmondsonsupply.com/products/klein-tools-1011m-metric-wire-stripper-cutter-stranded-wire")</f>
        <v/>
      </c>
      <c r="C4939" t="inlineStr">
        <is>
          <t>Klein Tools 1011M Metric Wire Stripper/Cutter Stranded Wire</t>
        </is>
      </c>
      <c r="D4939" t="inlineStr">
        <is>
          <t>Klein Tools 11061 Wire Stripper / Wire Cutter for Solid and Stranded AWG Wire, Heavy Duty Kleins are Self Adjusting,Blue/Black</t>
        </is>
      </c>
      <c r="E4939" s="2">
        <f>HYPERLINK("https://www.amazon.com/Self-Adjusting-Stripper-Klein-Tools-11061/dp/B00CXKOEQ6/ref=sr_1_6?keywords=Klein+Tools+1011M+Metric+Wire+Stripper%2FCutter+Stranded+Wire&amp;qid=1694735312&amp;sr=8-6", "https://www.amazon.com/Self-Adjusting-Stripper-Klein-Tools-11061/dp/B00CXKOEQ6/ref=sr_1_6?keywords=Klein+Tools+1011M+Metric+Wire+Stripper%2FCutter+Stranded+Wire&amp;qid=1694735312&amp;sr=8-6")</f>
        <v/>
      </c>
      <c r="F4939" t="inlineStr">
        <is>
          <t>B00CXKOEQ6</t>
        </is>
      </c>
      <c r="G4939">
        <f>_xlfn.IMAGE("https://edmondsonsupply.com/cdn/shop/products/1011m.jpg?v=1633030273")</f>
        <v/>
      </c>
      <c r="H4939">
        <f>_xlfn.IMAGE("https://m.media-amazon.com/images/I/61nMz2jkNIL._AC_UL320_.jpg")</f>
        <v/>
      </c>
      <c r="K4939" t="inlineStr">
        <is>
          <t>14.99</t>
        </is>
      </c>
      <c r="L4939" t="n">
        <v>21.97</v>
      </c>
      <c r="M4939" s="1" t="inlineStr">
        <is>
          <t>46.56%</t>
        </is>
      </c>
      <c r="N4939" s="7" t="n">
        <v>-34.99</v>
      </c>
      <c r="O4939" t="n">
        <v>4.6</v>
      </c>
      <c r="P4939" t="n">
        <v>7723</v>
      </c>
      <c r="R4939" t="inlineStr">
        <is>
          <t>InStock</t>
        </is>
      </c>
      <c r="S4939" t="inlineStr">
        <is>
          <t>22.72</t>
        </is>
      </c>
      <c r="T4939" t="inlineStr">
        <is>
          <t>5237017772200</t>
        </is>
      </c>
    </row>
    <row r="4940" ht="87" customHeight="1">
      <c r="A4940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4940" s="2">
        <f>HYPERLINK("https://edmondsonsupply.com/products/klein-tools-d203-8-pliers-long-nose-side-cutters-8-inch", "https://edmondsonsupply.com/products/klein-tools-d203-8-pliers-long-nose-side-cutters-8-inch")</f>
        <v/>
      </c>
      <c r="C4940" t="inlineStr">
        <is>
          <t>Klein Tools D203-8 Pliers, Needle Nose Side-Cutters, 8-Inch</t>
        </is>
      </c>
      <c r="D4940" t="inlineStr">
        <is>
          <t>Klein Tools D335-51/2C Linemans Pliers, Needle Nose Side Cutters, Spring Loaded, 5-Inch, Extra Slim</t>
        </is>
      </c>
      <c r="E4940" s="2">
        <f>HYPERLINK("https://www.amazon.com/Linemans-Klein-Tools-D335-51-2C/dp/B00093D500/ref=sr_1_15?keywords=Klein+Tools+D203-8+Pliers%2C+Needle+Nose+Side-Cutters%2C+8-Inch&amp;qid=1694735240&amp;sr=8-15", "https://www.amazon.com/Linemans-Klein-Tools-D335-51-2C/dp/B00093D500/ref=sr_1_15?keywords=Klein+Tools+D203-8+Pliers%2C+Needle+Nose+Side-Cutters%2C+8-Inch&amp;qid=1694735240&amp;sr=8-15")</f>
        <v/>
      </c>
      <c r="F4940" t="inlineStr">
        <is>
          <t>B00093D500</t>
        </is>
      </c>
      <c r="G4940">
        <f>_xlfn.IMAGE("https://edmondsonsupply.com/cdn/shop/products/d2038.jpg?v=1633030802")</f>
        <v/>
      </c>
      <c r="H4940">
        <f>_xlfn.IMAGE("https://m.media-amazon.com/images/I/41OK-XwWDzL._AC_UL320_.jpg")</f>
        <v/>
      </c>
      <c r="K4940" t="inlineStr">
        <is>
          <t>29.97</t>
        </is>
      </c>
      <c r="L4940" t="n">
        <v>43.89</v>
      </c>
      <c r="M4940" s="1" t="inlineStr">
        <is>
          <t>46.45%</t>
        </is>
      </c>
      <c r="N4940" s="7" t="n">
        <v>-35.06</v>
      </c>
      <c r="O4940" t="n">
        <v>4.7</v>
      </c>
      <c r="P4940" t="n">
        <v>206</v>
      </c>
      <c r="R4940" t="inlineStr">
        <is>
          <t>InStock</t>
        </is>
      </c>
      <c r="S4940" t="inlineStr">
        <is>
          <t>44.84</t>
        </is>
      </c>
      <c r="T4940" t="inlineStr">
        <is>
          <t>6005724577960</t>
        </is>
      </c>
    </row>
    <row r="4941" ht="87" customHeight="1">
      <c r="A4941" s="2">
        <f>HYPERLINK("https://edmondsonsupply.com/collections/electricians-tools/products/channellock-528", "https://edmondsonsupply.com/collections/electricians-tools/products/channellock-528")</f>
        <v/>
      </c>
      <c r="B4941" s="2">
        <f>HYPERLINK("https://edmondsonsupply.com/products/channellock-528", "https://edmondsonsupply.com/products/channellock-528")</f>
        <v/>
      </c>
      <c r="C4941" t="inlineStr">
        <is>
          <t>Channellock 528 8-Inch Slip Joint Pliers</t>
        </is>
      </c>
      <c r="D4941" t="inlineStr">
        <is>
          <t>Williams PL-8C 8-Inch Combination Slip Joint Pliers</t>
        </is>
      </c>
      <c r="E4941" s="2">
        <f>HYPERLINK("https://www.amazon.com/Williams-PL-8C-8-Inch-Combination-Pliers/dp/B0012OLHSW/ref=sr_1_39?keywords=Channellock+528+8-Inch+Slip+Joint+Pliers&amp;qid=1694735315&amp;sr=8-39", "https://www.amazon.com/Williams-PL-8C-8-Inch-Combination-Pliers/dp/B0012OLHSW/ref=sr_1_39?keywords=Channellock+528+8-Inch+Slip+Joint+Pliers&amp;qid=1694735315&amp;sr=8-39")</f>
        <v/>
      </c>
      <c r="F4941" t="inlineStr">
        <is>
          <t>B0012OLHSW</t>
        </is>
      </c>
      <c r="G4941">
        <f>_xlfn.IMAGE("https://edmondsonsupply.com/cdn/shop/products/528-683x1024.jpg?v=1633030323")</f>
        <v/>
      </c>
      <c r="H4941">
        <f>_xlfn.IMAGE("https://m.media-amazon.com/images/I/71K2Cs3IYTL._AC_UL320_.jpg")</f>
        <v/>
      </c>
      <c r="K4941" t="inlineStr">
        <is>
          <t>12.95</t>
        </is>
      </c>
      <c r="L4941" t="n">
        <v>18.96</v>
      </c>
      <c r="M4941" s="1" t="inlineStr">
        <is>
          <t>46.41%</t>
        </is>
      </c>
      <c r="N4941" s="7" t="n">
        <v>-35.13</v>
      </c>
      <c r="O4941" t="n">
        <v>4.6</v>
      </c>
      <c r="P4941" t="n">
        <v>39</v>
      </c>
      <c r="R4941" t="inlineStr">
        <is>
          <t>InStock</t>
        </is>
      </c>
      <c r="S4941" t="inlineStr">
        <is>
          <t>17.55</t>
        </is>
      </c>
      <c r="T4941" t="inlineStr">
        <is>
          <t>5245868966056</t>
        </is>
      </c>
    </row>
    <row r="4942" ht="87" customHeight="1">
      <c r="A4942" s="2">
        <f>HYPERLINK("https://edmondsonsupply.com/collections/electricians-tools/products/milwaukee-49-56-0509-diamond-max%E2%84%A2-hole-saws", "https://edmondsonsupply.com/collections/electricians-tools/products/milwaukee-49-56-0509-diamond-max%E2%84%A2-hole-saws")</f>
        <v/>
      </c>
      <c r="B4942" s="2">
        <f>HYPERLINK("https://edmondsonsupply.com/products/milwaukee-49-56-0509-diamond-max%e2%84%a2-hole-saws", "https://edmondsonsupply.com/products/milwaukee-49-56-0509-diamond-max%e2%84%a2-hole-saws")</f>
        <v/>
      </c>
      <c r="C4942" t="inlineStr">
        <is>
          <t>Milwaukee 49-56-0509 3/8" Diamond MAX™ Hole Saw</t>
        </is>
      </c>
      <c r="D4942" t="inlineStr">
        <is>
          <t>Milwaukee 49-56-5615 1‐1/8" Diamond Hole Saw</t>
        </is>
      </c>
      <c r="E4942" s="2">
        <f>HYPERLINK("https://www.amazon.com/Milwaukee-49-56-5615-1-1-Diamond-Hole/dp/B00LCU3VBC/ref=sr_1_18?keywords=Milwaukee+49-56-0509+3%2F8%22+Diamond+MAX%E2%84%A2+Hole+Saw&amp;qid=1694735061&amp;sr=8-18", "https://www.amazon.com/Milwaukee-49-56-5615-1-1-Diamond-Hole/dp/B00LCU3VBC/ref=sr_1_18?keywords=Milwaukee+49-56-0509+3%2F8%22+Diamond+MAX%E2%84%A2+Hole+Saw&amp;qid=1694735061&amp;sr=8-18")</f>
        <v/>
      </c>
      <c r="F4942" t="inlineStr">
        <is>
          <t>B00LCU3VBC</t>
        </is>
      </c>
      <c r="G4942">
        <f>_xlfn.IMAGE("https://edmondsonsupply.com/cdn/shop/products/images.jpg?v=1678461630")</f>
        <v/>
      </c>
      <c r="H4942">
        <f>_xlfn.IMAGE("https://m.media-amazon.com/images/I/61JMxjIKXUL._AC_UL320_.jpg")</f>
        <v/>
      </c>
      <c r="K4942" t="inlineStr">
        <is>
          <t>19.98</t>
        </is>
      </c>
      <c r="L4942" t="n">
        <v>29.22</v>
      </c>
      <c r="M4942" s="1" t="inlineStr">
        <is>
          <t>46.25%</t>
        </is>
      </c>
      <c r="N4942" s="7" t="n">
        <v>-35.19</v>
      </c>
      <c r="O4942" t="n">
        <v>5</v>
      </c>
      <c r="P4942" t="n">
        <v>6</v>
      </c>
      <c r="R4942" t="inlineStr">
        <is>
          <t>InStock</t>
        </is>
      </c>
      <c r="S4942" t="inlineStr">
        <is>
          <t>30.9</t>
        </is>
      </c>
      <c r="T4942" t="inlineStr">
        <is>
          <t>7910281019608</t>
        </is>
      </c>
    </row>
    <row r="4943" ht="87" customHeight="1">
      <c r="A4943" s="2">
        <f>HYPERLINK("https://edmondsonsupply.com/collections/electricians-tools/products/milwaukee-48-22-7218-18-aluminum-pipe-wrench", "https://edmondsonsupply.com/collections/electricians-tools/products/milwaukee-48-22-7218-18-aluminum-pipe-wrench")</f>
        <v/>
      </c>
      <c r="B4943" s="2">
        <f>HYPERLINK("https://edmondsonsupply.com/products/milwaukee-48-22-7218-18-aluminum-pipe-wrench", "https://edmondsonsupply.com/products/milwaukee-48-22-7218-18-aluminum-pipe-wrench")</f>
        <v/>
      </c>
      <c r="C4943" t="inlineStr">
        <is>
          <t>Milwaukee 48-22-7218 18" Aluminum Pipe Wrench</t>
        </is>
      </c>
      <c r="D4943" t="inlineStr">
        <is>
          <t>MILWAUKEE ELEC TOOL 48 22 7224 Milwaukee 24 In. Aluminum Pipe Wrench</t>
        </is>
      </c>
      <c r="E4943" s="2">
        <f>HYPERLINK("https://www.amazon.com/MILWAUKEE-48-22-7224-Milwaukee/dp/B01HOXID1I/ref=sr_1_7?keywords=Milwaukee+48-22-7218+18%22+Aluminum+Pipe+Wrench&amp;qid=1694735004&amp;sr=8-7", "https://www.amazon.com/MILWAUKEE-48-22-7224-Milwaukee/dp/B01HOXID1I/ref=sr_1_7?keywords=Milwaukee+48-22-7218+18%22+Aluminum+Pipe+Wrench&amp;qid=1694735004&amp;sr=8-7")</f>
        <v/>
      </c>
      <c r="F4943" t="inlineStr">
        <is>
          <t>B01HOXID1I</t>
        </is>
      </c>
      <c r="G4943">
        <f>_xlfn.IMAGE("https://edmondsonsupply.com/cdn/shop/products/48-22-7218_2_1_742fcb03-c548-4ed9-8aa1-934894b7f36d.png?v=1680096673")</f>
        <v/>
      </c>
      <c r="H4943">
        <f>_xlfn.IMAGE("https://m.media-amazon.com/images/I/7198DLJ590L._AC_UL320_.jpg")</f>
        <v/>
      </c>
      <c r="K4943" t="inlineStr">
        <is>
          <t>64.97</t>
        </is>
      </c>
      <c r="L4943" t="n">
        <v>94.98999999999999</v>
      </c>
      <c r="M4943" s="1" t="inlineStr">
        <is>
          <t>46.21%</t>
        </is>
      </c>
      <c r="N4943" s="7" t="n">
        <v>-35.31</v>
      </c>
      <c r="O4943" t="n">
        <v>4.6</v>
      </c>
      <c r="P4943" t="n">
        <v>44</v>
      </c>
      <c r="R4943" t="inlineStr">
        <is>
          <t>InStock</t>
        </is>
      </c>
      <c r="S4943" t="inlineStr">
        <is>
          <t>103.5</t>
        </is>
      </c>
      <c r="T4943" t="inlineStr">
        <is>
          <t>7969546404056</t>
        </is>
      </c>
    </row>
    <row r="4944" hidden="1" ht="15.75" customHeight="1">
      <c r="A4944" s="2">
        <f>HYPERLINK("https://edmondsonsupply.com/collections/electricians-tools/products/diablo-tools-dmapl2300-1-2-in-x-4-in-x-6-in-sds-plus-2-cutter", "https://edmondsonsupply.com/collections/electricians-tools/products/diablo-tools-dmapl2300-1-2-in-x-4-in-x-6-in-sds-plus-2-cutter")</f>
        <v/>
      </c>
      <c r="B4944" s="2">
        <f>HYPERLINK("https://edmondsonsupply.com/products/diablo-tools-dmapl2300-1-2-in-x-4-in-x-6-in-sds-plus-2-cutter", "https://edmondsonsupply.com/products/diablo-tools-dmapl2300-1-2-in-x-4-in-x-6-in-sds-plus-2-cutter")</f>
        <v/>
      </c>
      <c r="C4944" t="inlineStr">
        <is>
          <t>Diablo Tools DMAPL2300 1/2 in. x 4 in. x 6 in. SDS‑Plus 2‑Cutter</t>
        </is>
      </c>
      <c r="D4944" t="inlineStr">
        <is>
          <t>Diablo by Freud DMARG1150 1/2 in. x 4 in. x 6 in. SPEEDemon Red Granite Carbide Tipped Hammer Drill Bit</t>
        </is>
      </c>
      <c r="E4944" s="2">
        <f>HYPERLINK("https://www.amazon.com/Diablo-Freud-DMARG1150-SPEEDemon-Granite/dp/B089LKXD71/ref=sr_1_6?keywords=Diablo+Tools+DMAPL2300+1%2F2+in.+x+4+in.+x+6+in.+SDS%E2%80%91Plus+2%E2%80%91Cutter&amp;qid=1694735256&amp;sr=8-6", "https://www.amazon.com/Diablo-Freud-DMARG1150-SPEEDemon-Granite/dp/B089LKXD71/ref=sr_1_6?keywords=Diablo+Tools+DMAPL2300+1%2F2+in.+x+4+in.+x+6+in.+SDS%E2%80%91Plus+2%E2%80%91Cutter&amp;qid=1694735256&amp;sr=8-6")</f>
        <v/>
      </c>
      <c r="F4944" t="inlineStr">
        <is>
          <t>B089LKXD71</t>
        </is>
      </c>
      <c r="G4944">
        <f>_xludf.IMAGE("https://edmondsonsupply.com/cdn/shop/products/DMAPL2300-P25_Main-Image20200701_f135ab9e-1d6a-4464-ad6a-807f2f571e10.png?v=1633030655")</f>
        <v/>
      </c>
      <c r="H4944">
        <f>_xludf.IMAGE("https://m.media-amazon.com/images/I/61Irr3Gr9YL._AC_UL320_.jpg")</f>
        <v/>
      </c>
      <c r="K4944" t="inlineStr">
        <is>
          <t>6.97</t>
        </is>
      </c>
      <c r="L4944" t="n">
        <v>10.19</v>
      </c>
      <c r="M4944" s="1" t="inlineStr">
        <is>
          <t>46.20%</t>
        </is>
      </c>
      <c r="N4944" s="1" t="n">
        <v>-35.31</v>
      </c>
      <c r="O4944" t="n">
        <v>4.3</v>
      </c>
      <c r="P4944" t="n">
        <v>19</v>
      </c>
      <c r="R4944" t="inlineStr">
        <is>
          <t>InStock</t>
        </is>
      </c>
      <c r="S4944" t="inlineStr">
        <is>
          <t>8.4</t>
        </is>
      </c>
      <c r="T4944" t="inlineStr">
        <is>
          <t>5740710887592</t>
        </is>
      </c>
    </row>
    <row r="4945" ht="87" customHeight="1">
      <c r="A4945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4945" s="2">
        <f>HYPERLINK("https://edmondsonsupply.com/products/milwaukee-49-56-0505-1-4-diamond-max%e2%84%a2-hole-saw", "https://edmondsonsupply.com/products/milwaukee-49-56-0505-1-4-diamond-max%e2%84%a2-hole-saw")</f>
        <v/>
      </c>
      <c r="C4945" t="inlineStr">
        <is>
          <t>Milwaukee 49-56-0505 1/4" Diamond MAX™ Hole Saw</t>
        </is>
      </c>
      <c r="D4945" t="inlineStr">
        <is>
          <t>Milwaukee 49-56-5615 1‐1/8" Diamond Hole Saw</t>
        </is>
      </c>
      <c r="E4945" s="2">
        <f>HYPERLINK("https://www.amazon.com/Milwaukee-49-56-5615-1-1-Diamond-Hole/dp/B00LCU3VBC/ref=sr_1_16?keywords=Milwaukee+49-56-0505+1%2F4%22+Diamond+MAX%E2%84%A2+Hole+Saw&amp;qid=1694735000&amp;sr=8-16", "https://www.amazon.com/Milwaukee-49-56-5615-1-1-Diamond-Hole/dp/B00LCU3VBC/ref=sr_1_16?keywords=Milwaukee+49-56-0505+1%2F4%22+Diamond+MAX%E2%84%A2+Hole+Saw&amp;qid=1694735000&amp;sr=8-16")</f>
        <v/>
      </c>
      <c r="F4945" t="inlineStr">
        <is>
          <t>B00LCU3VBC</t>
        </is>
      </c>
      <c r="G4945">
        <f>_xlfn.IMAGE("https://edmondsonsupply.com/cdn/shop/products/49-56-0507_1.png?v=1680111300")</f>
        <v/>
      </c>
      <c r="H4945">
        <f>_xlfn.IMAGE("https://m.media-amazon.com/images/I/61JMxjIKXUL._AC_UL320_.jpg")</f>
        <v/>
      </c>
      <c r="K4945" t="inlineStr">
        <is>
          <t>19.99</t>
        </is>
      </c>
      <c r="L4945" t="n">
        <v>29.22</v>
      </c>
      <c r="M4945" s="1" t="inlineStr">
        <is>
          <t>46.17%</t>
        </is>
      </c>
      <c r="N4945" s="7" t="n">
        <v>-35.34</v>
      </c>
      <c r="O4945" t="n">
        <v>5</v>
      </c>
      <c r="P4945" t="n">
        <v>6</v>
      </c>
      <c r="R4945" t="inlineStr">
        <is>
          <t>InStock</t>
        </is>
      </c>
      <c r="S4945" t="inlineStr">
        <is>
          <t>26.6</t>
        </is>
      </c>
      <c r="T4945" t="inlineStr">
        <is>
          <t>7969746485464</t>
        </is>
      </c>
    </row>
    <row r="4946" ht="87" customHeight="1">
      <c r="A4946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4946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4946" t="inlineStr">
        <is>
          <t>Diablo Tools DOU250BW 2-1/2 in. Universal Fit Bi-Metal Oscillating Blade for Nail-Embedded Wood</t>
        </is>
      </c>
      <c r="D4946" t="inlineStr">
        <is>
          <t>Diablo by Freud DOU125JBW3 1-1/4 in. Universal Fit Bi-Metal Oscillating Blades for Clean Wood (3-Pack)</t>
        </is>
      </c>
      <c r="E4946" s="2">
        <f>HYPERLINK("https://www.amazon.com/Diablo-Freud-DOU125JBW3-Universal-Oscillating/dp/B089KX3SWM/ref=sr_1_10?keywords=Diablo+Tools+DOU250BW+2-1%2F2+in.+Universal+Fit+Bi-Metal+Oscillating+Blade+for+Nail-Embedded+Wood&amp;qid=1694734995&amp;sr=8-10", "https://www.amazon.com/Diablo-Freud-DOU125JBW3-Universal-Oscillating/dp/B089KX3SWM/ref=sr_1_10?keywords=Diablo+Tools+DOU250BW+2-1%2F2+in.+Universal+Fit+Bi-Metal+Oscillating+Blade+for+Nail-Embedded+Wood&amp;qid=1694734995&amp;sr=8-10")</f>
        <v/>
      </c>
      <c r="F4946" t="inlineStr">
        <is>
          <t>B089KX3SWM</t>
        </is>
      </c>
      <c r="G4946">
        <f>_xlfn.IMAGE("https://edmondsonsupply.com/cdn/shop/files/xcched1uye7bv2s0ryod.webp?v=1685717397")</f>
        <v/>
      </c>
      <c r="H4946">
        <f>_xlfn.IMAGE("https://m.media-amazon.com/images/I/61wFHtmEH5L._AC_UL320_.jpg")</f>
        <v/>
      </c>
      <c r="K4946" t="inlineStr">
        <is>
          <t>19.97</t>
        </is>
      </c>
      <c r="L4946" t="n">
        <v>29.19</v>
      </c>
      <c r="M4946" s="1" t="inlineStr">
        <is>
          <t>46.17%</t>
        </is>
      </c>
      <c r="N4946" s="7" t="n">
        <v>-35.36</v>
      </c>
      <c r="O4946" t="n">
        <v>4.5</v>
      </c>
      <c r="P4946" t="n">
        <v>48</v>
      </c>
      <c r="R4946" t="inlineStr">
        <is>
          <t>InStock</t>
        </is>
      </c>
      <c r="S4946" t="inlineStr">
        <is>
          <t>24.85</t>
        </is>
      </c>
      <c r="T4946" t="inlineStr">
        <is>
          <t>7999559598296</t>
        </is>
      </c>
    </row>
    <row r="4947" ht="87" customHeight="1">
      <c r="A4947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4947" s="2">
        <f>HYPERLINK("https://edmondsonsupply.com/products/klein-tools-630-5-8-nut-driver-5-8-inch-4-inch-hollow-shaft", "https://edmondsonsupply.com/products/klein-tools-630-5-8-nut-driver-5-8-inch-4-inch-hollow-shaft")</f>
        <v/>
      </c>
      <c r="C4947" t="inlineStr">
        <is>
          <t>Klein Tools 630-5/8 Nut Driver, 5/8-Inch, 4-Inch Hollow Shaft</t>
        </is>
      </c>
      <c r="D4947" t="inlineStr">
        <is>
          <t>Klein Tools S20 5/8-Inch Nut Driver with 4-Inch Hollow Shaft and Comfordome Handle</t>
        </is>
      </c>
      <c r="E4947" s="2">
        <f>HYPERLINK("https://www.amazon.com/8-Inch-Comfordome-Klein-Tools-S20/dp/B0002RIA2Q/ref=sr_1_2?keywords=Klein+Tools+630-5%2F8+Nut+Driver%2C+5%2F8-Inch%2C+4-Inch+Hollow+Shaft&amp;qid=1694735205&amp;sr=8-2", "https://www.amazon.com/8-Inch-Comfordome-Klein-Tools-S20/dp/B0002RIA2Q/ref=sr_1_2?keywords=Klein+Tools+630-5%2F8+Nut+Driver%2C+5%2F8-Inch%2C+4-Inch+Hollow+Shaft&amp;qid=1694735205&amp;sr=8-2")</f>
        <v/>
      </c>
      <c r="F4947" t="inlineStr">
        <is>
          <t>B0002RIA2Q</t>
        </is>
      </c>
      <c r="G4947">
        <f>_xlfn.IMAGE("https://edmondsonsupply.com/cdn/shop/products/630-1-2_df0ca74a-79e7-41f4-ad94-60312e01e692.jpg?v=1633031052")</f>
        <v/>
      </c>
      <c r="H4947">
        <f>_xlfn.IMAGE("https://m.media-amazon.com/images/I/51ES8ZYN+AL._AC_UL320_.jpg")</f>
        <v/>
      </c>
      <c r="K4947" t="inlineStr">
        <is>
          <t>12.49</t>
        </is>
      </c>
      <c r="L4947" t="n">
        <v>18.25</v>
      </c>
      <c r="M4947" s="1" t="inlineStr">
        <is>
          <t>46.12%</t>
        </is>
      </c>
      <c r="N4947" s="7" t="n">
        <v>-35.68</v>
      </c>
      <c r="O4947" t="n">
        <v>4.5</v>
      </c>
      <c r="P4947" t="n">
        <v>224</v>
      </c>
      <c r="R4947" t="inlineStr">
        <is>
          <t>InStock</t>
        </is>
      </c>
      <c r="S4947" t="inlineStr">
        <is>
          <t>18.92</t>
        </is>
      </c>
      <c r="T4947" t="inlineStr">
        <is>
          <t>6781025386669</t>
        </is>
      </c>
    </row>
    <row r="4948" ht="87" customHeight="1">
      <c r="A4948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4948" s="2">
        <f>HYPERLINK("https://edmondsonsupply.com/products/klein-tools-31944-bi-metal-hole-saw-2-3-4-inch", "https://edmondsonsupply.com/products/klein-tools-31944-bi-metal-hole-saw-2-3-4-inch")</f>
        <v/>
      </c>
      <c r="C4948" t="inlineStr">
        <is>
          <t>Klein Tools 31944 Bi-Metal Hole Saw, 2-3/4-Inch</t>
        </is>
      </c>
      <c r="D4948" t="inlineStr">
        <is>
          <t>LENOX Tools Hole Saw, Bi-Metal, Speed Slot, 3-1/2-Inch (1772012)</t>
        </is>
      </c>
      <c r="E4948" s="2">
        <f>HYPERLINK("https://www.amazon.com/LENOX-Tools-Bi-Metal-Speed-Technology/dp/B001HRME3Q/ref=sr_1_19?keywords=Klein+Tools+31944+Bi-Metal+Hole+Saw%2C+2-3%2F4-Inch&amp;qid=1694735356&amp;sr=8-19", "https://www.amazon.com/LENOX-Tools-Bi-Metal-Speed-Technology/dp/B001HRME3Q/ref=sr_1_19?keywords=Klein+Tools+31944+Bi-Metal+Hole+Saw%2C+2-3%2F4-Inch&amp;qid=1694735356&amp;sr=8-19")</f>
        <v/>
      </c>
      <c r="F4948" t="inlineStr">
        <is>
          <t>B001HRME3Q</t>
        </is>
      </c>
      <c r="G4948">
        <f>_xlfn.IMAGE("https://edmondsonsupply.com/cdn/shop/products/31944.jpg?v=1587150512")</f>
        <v/>
      </c>
      <c r="H4948">
        <f>_xlfn.IMAGE("https://m.media-amazon.com/images/I/61dnc3rYmwL._AC_UL320_.jpg")</f>
        <v/>
      </c>
      <c r="K4948" t="inlineStr">
        <is>
          <t>12.99</t>
        </is>
      </c>
      <c r="L4948" t="n">
        <v>18.97</v>
      </c>
      <c r="M4948" s="1" t="inlineStr">
        <is>
          <t>46.04%</t>
        </is>
      </c>
      <c r="N4948" s="7" t="n">
        <v>-35.9</v>
      </c>
      <c r="O4948" t="n">
        <v>4.6</v>
      </c>
      <c r="P4948" t="n">
        <v>121</v>
      </c>
      <c r="R4948" t="inlineStr">
        <is>
          <t>InStock</t>
        </is>
      </c>
      <c r="S4948" t="inlineStr">
        <is>
          <t>18.24</t>
        </is>
      </c>
      <c r="T4948" t="inlineStr">
        <is>
          <t>4433553326180</t>
        </is>
      </c>
    </row>
    <row r="4949" ht="87" customHeight="1">
      <c r="A4949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4949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4949" t="inlineStr">
        <is>
          <t>Klein Tools 6816INS Insulated Screwdriver, 3/16-Inch Cabinet Tip, 6-Inch Round Shank</t>
        </is>
      </c>
      <c r="D4949" t="inlineStr">
        <is>
          <t>Klein Tools 607-3-INS Insulated Screwdriver, 3/32-Inch Cabinet Tip with 3-Inch Shank</t>
        </is>
      </c>
      <c r="E4949" s="2">
        <f>HYPERLINK("https://www.amazon.com/Insulated-Screwdriver-Klein-Tools-607-3-INS/dp/B00J9S35OW/ref=sr_1_12?keywords=Klein+Tools+6816INS+Insulated+Screwdriver%2C+3%2F16-Inch+Cabinet+Tip%2C+6-Inch+Round+Shank&amp;qid=1694735104&amp;sr=8-12", "https://www.amazon.com/Insulated-Screwdriver-Klein-Tools-607-3-INS/dp/B00J9S35OW/ref=sr_1_12?keywords=Klein+Tools+6816INS+Insulated+Screwdriver%2C+3%2F16-Inch+Cabinet+Tip%2C+6-Inch+Round+Shank&amp;qid=1694735104&amp;sr=8-12")</f>
        <v/>
      </c>
      <c r="F4949" t="inlineStr">
        <is>
          <t>B00J9S35OW</t>
        </is>
      </c>
      <c r="G4949">
        <f>_xlfn.IMAGE("https://edmondsonsupply.com/cdn/shop/products/6816ins.jpg?v=1664812840")</f>
        <v/>
      </c>
      <c r="H4949">
        <f>_xlfn.IMAGE("https://m.media-amazon.com/images/I/51qSRHnYpuL._AC_UL320_.jpg")</f>
        <v/>
      </c>
      <c r="K4949" t="inlineStr">
        <is>
          <t>11.97</t>
        </is>
      </c>
      <c r="L4949" t="n">
        <v>17.48</v>
      </c>
      <c r="M4949" s="1" t="inlineStr">
        <is>
          <t>46.03%</t>
        </is>
      </c>
      <c r="N4949" s="7" t="n">
        <v>-35.91</v>
      </c>
      <c r="O4949" t="n">
        <v>4.2</v>
      </c>
      <c r="P4949" t="n">
        <v>62</v>
      </c>
      <c r="R4949" t="inlineStr">
        <is>
          <t>InStock</t>
        </is>
      </c>
      <c r="S4949" t="inlineStr">
        <is>
          <t>17.98</t>
        </is>
      </c>
      <c r="T4949" t="inlineStr">
        <is>
          <t>7837697966296</t>
        </is>
      </c>
    </row>
    <row r="4950" ht="87" customHeight="1">
      <c r="A4950" s="2">
        <f>HYPERLINK("https://edmondsonsupply.com/collections/electricians-tools/products/klein-tools-2139nerins-insulated-pliers-side-cutters-9-inch", "https://edmondsonsupply.com/collections/electricians-tools/products/klein-tools-2139nerins-insulated-pliers-side-cutters-9-inch")</f>
        <v/>
      </c>
      <c r="B4950" s="2">
        <f>HYPERLINK("https://edmondsonsupply.com/products/klein-tools-2139nerins-insulated-pliers-side-cutters-9-inch", "https://edmondsonsupply.com/products/klein-tools-2139nerins-insulated-pliers-side-cutters-9-inch")</f>
        <v/>
      </c>
      <c r="C4950" t="inlineStr">
        <is>
          <t>Klein Tools 2139NERINS Insulated Pliers, Side Cutters, 9-Inch</t>
        </is>
      </c>
      <c r="D4950" t="inlineStr">
        <is>
          <t>Klein Tools 2139NEEINS Slim Handle Insulated Side Cutter Pliers, Streamline New England Nose with Knurled Jaws, 9-Inch</t>
        </is>
      </c>
      <c r="E4950" s="2">
        <f>HYPERLINK("https://www.amazon.com/Klein-Tools-2139NEEINS-Cutting-Pliers/dp/B00JGG5RNE/ref=sr_1_3?keywords=Klein+Tools+2139NERINS+Insulated+Pliers%2C+Side+Cutters%2C+9-Inch&amp;qid=1694735098&amp;sr=8-3", "https://www.amazon.com/Klein-Tools-2139NEEINS-Cutting-Pliers/dp/B00JGG5RNE/ref=sr_1_3?keywords=Klein+Tools+2139NERINS+Insulated+Pliers%2C+Side+Cutters%2C+9-Inch&amp;qid=1694735098&amp;sr=8-3")</f>
        <v/>
      </c>
      <c r="F4950" t="inlineStr">
        <is>
          <t>B00JGG5RNE</t>
        </is>
      </c>
      <c r="G4950">
        <f>_xlfn.IMAGE("https://edmondsonsupply.com/cdn/shop/products/2139nerins.jpg?v=1667237928")</f>
        <v/>
      </c>
      <c r="H4950">
        <f>_xlfn.IMAGE("https://m.media-amazon.com/images/I/51eEwVZhacL._AC_UL320_.jpg")</f>
        <v/>
      </c>
      <c r="K4950" t="inlineStr">
        <is>
          <t>44.97</t>
        </is>
      </c>
      <c r="L4950" t="n">
        <v>65.59999999999999</v>
      </c>
      <c r="M4950" s="1" t="inlineStr">
        <is>
          <t>45.88%</t>
        </is>
      </c>
      <c r="N4950" s="7" t="n">
        <v>-35.98</v>
      </c>
      <c r="O4950" t="n">
        <v>4.7</v>
      </c>
      <c r="P4950" t="n">
        <v>241</v>
      </c>
      <c r="R4950" t="inlineStr">
        <is>
          <t>InStock</t>
        </is>
      </c>
      <c r="S4950" t="inlineStr">
        <is>
          <t>62.98</t>
        </is>
      </c>
      <c r="T4950" t="inlineStr">
        <is>
          <t>7871534235864</t>
        </is>
      </c>
    </row>
    <row r="4951" hidden="1" ht="15.75" customHeight="1">
      <c r="A4951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4951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4951" t="inlineStr">
        <is>
          <t>Klein Tools JTH6E06 3/32-Inch Hex Key, Journeyman T-Handle, 6-Inch</t>
        </is>
      </c>
      <c r="D4951" t="inlineStr">
        <is>
          <t>Klein Tools LL6 Long Arm Hex Key, 3/32-Inch</t>
        </is>
      </c>
      <c r="E4951" s="2">
        <f>HYPERLINK("https://www.amazon.com/Long-32-Inch-Klein-Tools-LL6/dp/B00093D5DC/ref=sr_1_21?keywords=Klein+Tools+JTH6E06+3%2F32-Inch+Hex+Key%2C+Journeyman+T-Handle%2C+6-Inch&amp;qid=1694735341&amp;sr=8-21", "https://www.amazon.com/Long-32-Inch-Klein-Tools-LL6/dp/B00093D5DC/ref=sr_1_21?keywords=Klein+Tools+JTH6E06+3%2F32-Inch+Hex+Key%2C+Journeyman+T-Handle%2C+6-Inch&amp;qid=1694735341&amp;sr=8-21")</f>
        <v/>
      </c>
      <c r="F4951" t="inlineStr">
        <is>
          <t>B00093D5DC</t>
        </is>
      </c>
      <c r="G4951">
        <f>_xludf.IMAGE("https://edmondsonsupply.com/cdn/shop/products/jth6e15_f3f40e05-27ea-4df2-91fc-a673e8aa5e4b.jpg?v=1587150971")</f>
        <v/>
      </c>
      <c r="H4951">
        <f>_xludf.IMAGE("https://m.media-amazon.com/images/I/41uBhOZ7uKL._AC_UL320_.jpg")</f>
        <v/>
      </c>
      <c r="K4951" t="inlineStr">
        <is>
          <t>3.99</t>
        </is>
      </c>
      <c r="L4951" t="n">
        <v>5.82</v>
      </c>
      <c r="M4951" s="1" t="inlineStr">
        <is>
          <t>45.86%</t>
        </is>
      </c>
      <c r="N4951" s="1" t="n">
        <v>-35.99</v>
      </c>
      <c r="O4951" t="n">
        <v>4.6</v>
      </c>
      <c r="P4951" t="n">
        <v>43</v>
      </c>
      <c r="R4951" t="inlineStr">
        <is>
          <t>InStock</t>
        </is>
      </c>
      <c r="S4951" t="inlineStr">
        <is>
          <t>6.04</t>
        </is>
      </c>
      <c r="T4951" t="inlineStr">
        <is>
          <t>4512703709284</t>
        </is>
      </c>
    </row>
    <row r="4952" hidden="1" ht="15.75" customHeight="1">
      <c r="A4952" s="2">
        <f>HYPERLINK("https://edmondsonsupply.com/collections/electricians-tools/products/klein-tools-aepjs3-bluetooth%C2%AE-jobsite-speaker-with-magnet-and-hook", "https://edmondsonsupply.com/collections/electricians-tools/products/klein-tools-aepjs3-bluetooth%C2%AE-jobsite-speaker-with-magnet-and-hook")</f>
        <v/>
      </c>
      <c r="B4952" s="2">
        <f>HYPERLINK("https://edmondsonsupply.com/products/klein-tools-aepjs3-bluetooth%c2%ae-jobsite-speaker-with-magnet-and-hook", "https://edmondsonsupply.com/products/klein-tools-aepjs3-bluetooth%c2%ae-jobsite-speaker-with-magnet-and-hook")</f>
        <v/>
      </c>
      <c r="C4952" t="inlineStr">
        <is>
          <t>Klein Tools AEPJS3 Bluetooth® Jobsite Speaker with Magnet and Hook</t>
        </is>
      </c>
      <c r="D4952" t="inlineStr">
        <is>
          <t>Klein Tools AEPJS3 Bluetooth 4.2 Speaker, with Magnet and Hook &amp; 56403 LED Light, Rechargeable Flashlight/Worklight with Kickstand and Carabiner, Charges Small Electronics, for Work, Camping</t>
        </is>
      </c>
      <c r="E4952" s="2">
        <f>HYPERLINK("https://www.amazon.com/Klein-Tools-Rechargeable-Flashlight-Electronics/dp/B0BBMCPTPL/ref=sr_1_4?keywords=Klein+Tools+AEPJS3+Bluetooth%C2%AE+Jobsite+Speaker+with+Magnet+and+Hook&amp;qid=1694735122&amp;sr=8-4", "https://www.amazon.com/Klein-Tools-Rechargeable-Flashlight-Electronics/dp/B0BBMCPTPL/ref=sr_1_4?keywords=Klein+Tools+AEPJS3+Bluetooth%C2%AE+Jobsite+Speaker+with+Magnet+and+Hook&amp;qid=1694735122&amp;sr=8-4")</f>
        <v/>
      </c>
      <c r="F4952" t="inlineStr">
        <is>
          <t>B0BBMCPTPL</t>
        </is>
      </c>
      <c r="G4952">
        <f>_xludf.IMAGE("https://edmondsonsupply.com/cdn/shop/products/aepjs3_b.jpg?v=1663946789")</f>
        <v/>
      </c>
      <c r="H4952">
        <f>_xludf.IMAGE("https://m.media-amazon.com/images/I/618c+wFF+1L._AC_UY218_.jpg")</f>
        <v/>
      </c>
      <c r="K4952" t="inlineStr">
        <is>
          <t>79.97</t>
        </is>
      </c>
      <c r="L4952" t="n">
        <v>116.49</v>
      </c>
      <c r="M4952" s="1" t="inlineStr">
        <is>
          <t>45.67%</t>
        </is>
      </c>
      <c r="N4952" s="1" t="n">
        <v>-36.29</v>
      </c>
      <c r="O4952" t="n">
        <v>1.9</v>
      </c>
      <c r="P4952" t="n">
        <v>2</v>
      </c>
      <c r="R4952" t="inlineStr">
        <is>
          <t>InStock</t>
        </is>
      </c>
      <c r="S4952" t="inlineStr">
        <is>
          <t>111.94</t>
        </is>
      </c>
      <c r="T4952" t="inlineStr">
        <is>
          <t>7827292553432</t>
        </is>
      </c>
    </row>
    <row r="4953" ht="87" customHeight="1">
      <c r="A4953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4953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4953" t="inlineStr">
        <is>
          <t>Diablo Tools DOU125BF 1-1/4 in. Universal Fit Bi-Metal Oscillating Blade for Metal</t>
        </is>
      </c>
      <c r="D4953" t="inlineStr">
        <is>
          <t>Diablo by Freud DOS125BW3 1-1/4 in. Starlock Bi-Metal Oscillating Blades for Nail-Embedded Wood (3-Pack)</t>
        </is>
      </c>
      <c r="E4953" s="2">
        <f>HYPERLINK("https://www.amazon.com/Diablo-Starlock-Bi-Metal-Oscillating-Nail-Embedded/dp/B089KX5FJS/ref=sr_1_23?keywords=Diablo+Tools+DOU125BF+1-1%2F4+in.+Universal+Fit+Bi-Metal+Oscillating+Blade+for+Metal&amp;qid=1694734995&amp;sr=8-23", "https://www.amazon.com/Diablo-Starlock-Bi-Metal-Oscillating-Nail-Embedded/dp/B089KX5FJS/ref=sr_1_23?keywords=Diablo+Tools+DOU125BF+1-1%2F4+in.+Universal+Fit+Bi-Metal+Oscillating+Blade+for+Metal&amp;qid=1694734995&amp;sr=8-23")</f>
        <v/>
      </c>
      <c r="F4953" t="inlineStr">
        <is>
          <t>B089KX5FJS</t>
        </is>
      </c>
      <c r="G4953">
        <f>_xlfn.IMAGE("https://edmondsonsupply.com/cdn/shop/files/k1d1qiwmm4npznsdbwtg.webp?v=1685467858")</f>
        <v/>
      </c>
      <c r="H4953">
        <f>_xlfn.IMAGE("https://m.media-amazon.com/images/I/717H6O1AhYL._AC_UL320_.jpg")</f>
        <v/>
      </c>
      <c r="K4953" t="inlineStr">
        <is>
          <t>18.97</t>
        </is>
      </c>
      <c r="L4953" t="n">
        <v>27.63</v>
      </c>
      <c r="M4953" s="1" t="inlineStr">
        <is>
          <t>45.65%</t>
        </is>
      </c>
      <c r="N4953" s="7" t="n">
        <v>-36.69</v>
      </c>
      <c r="O4953" t="n">
        <v>4.7</v>
      </c>
      <c r="P4953" t="n">
        <v>65</v>
      </c>
      <c r="R4953" t="inlineStr">
        <is>
          <t>InStock</t>
        </is>
      </c>
      <c r="S4953" t="inlineStr">
        <is>
          <t>22.35</t>
        </is>
      </c>
      <c r="T4953" t="inlineStr">
        <is>
          <t>7997877584088</t>
        </is>
      </c>
    </row>
    <row r="4954" hidden="1" ht="15.75" customHeight="1">
      <c r="A4954" s="2">
        <f>HYPERLINK("https://edmondsonsupply.com/collections/electricians-tools/products/greenlee-dtap6-32-drill-tap-6-32", "https://edmondsonsupply.com/collections/electricians-tools/products/greenlee-dtap6-32-drill-tap-6-32")</f>
        <v/>
      </c>
      <c r="B4954" s="2">
        <f>HYPERLINK("https://edmondsonsupply.com/products/greenlee-dtap6-32-drill-tap-6-32", "https://edmondsonsupply.com/products/greenlee-dtap6-32-drill-tap-6-32")</f>
        <v/>
      </c>
      <c r="C4954" t="inlineStr">
        <is>
          <t>Greenlee DTAP6-32 Drill/Tap, 6-32</t>
        </is>
      </c>
      <c r="D4954" t="inlineStr">
        <is>
          <t>Drill America #6-32 x 6" High Speed Steel Pulley Tap, DWT Series</t>
        </is>
      </c>
      <c r="E4954" s="2">
        <f>HYPERLINK("https://www.amazon.com/Drill-America-Qualtech-High-Speed-Extension/dp/B00FXKB4E8/ref=sr_1_33?keywords=Greenlee+DTAP6-32+Drill%2FTap%2C+6-32&amp;qid=1694735395&amp;sr=8-33", "https://www.amazon.com/Drill-America-Qualtech-High-Speed-Extension/dp/B00FXKB4E8/ref=sr_1_33?keywords=Greenlee+DTAP6-32+Drill%2FTap%2C+6-32&amp;qid=1694735395&amp;sr=8-33")</f>
        <v/>
      </c>
      <c r="F4954" t="inlineStr">
        <is>
          <t>B00FXKB4E8</t>
        </is>
      </c>
      <c r="G4954">
        <f>_xludf.IMAGE("https://edmondsonsupply.com/cdn/shop/products/6-32.jpg?v=1587149860")</f>
        <v/>
      </c>
      <c r="H4954">
        <f>_xludf.IMAGE("https://m.media-amazon.com/images/I/61-NzPnpqtL._AC_UL320_.jpg")</f>
        <v/>
      </c>
      <c r="K4954" t="inlineStr">
        <is>
          <t>8.99</t>
        </is>
      </c>
      <c r="L4954" t="n">
        <v>13.09</v>
      </c>
      <c r="M4954" s="1" t="inlineStr">
        <is>
          <t>45.61%</t>
        </is>
      </c>
      <c r="N4954" s="1" t="n">
        <v>-36.79</v>
      </c>
      <c r="O4954" t="n">
        <v>4.5</v>
      </c>
      <c r="P4954" t="n">
        <v>174</v>
      </c>
      <c r="R4954" t="inlineStr">
        <is>
          <t>OutOfStock</t>
        </is>
      </c>
      <c r="S4954" t="inlineStr">
        <is>
          <t>9.7</t>
        </is>
      </c>
      <c r="T4954" t="inlineStr">
        <is>
          <t>4395858395236</t>
        </is>
      </c>
    </row>
    <row r="4955" hidden="1" ht="15.75" customHeight="1">
      <c r="A4955" s="2">
        <f>HYPERLINK("https://edmondsonsupply.com/collections/electricians-tools/products/klein-tools-jth6e07be-7-64-inch-ball-end-hex-key-journeyman%E2%84%A2-t-handle-6-inch", "https://edmondsonsupply.com/collections/electricians-tools/products/klein-tools-jth6e07be-7-64-inch-ball-end-hex-key-journeyman%E2%84%A2-t-handle-6-inch")</f>
        <v/>
      </c>
      <c r="B4955" s="2">
        <f>HYPERLINK("https://edmondsonsupply.com/products/klein-tools-jth6e07be-7-64-inch-ball-end-hex-key-journeyman%e2%84%a2-t-handle-6-inch", "https://edmondsonsupply.com/products/klein-tools-jth6e07be-7-64-inch-ball-end-hex-key-journeyman%e2%84%a2-t-handle-6-inch")</f>
        <v/>
      </c>
      <c r="C4955" t="inlineStr">
        <is>
          <t>Klein Tools JTH6E07BE 7/64-Inch Ball-End Hex Key, Journeyman™ T-Handle, 6-Inch</t>
        </is>
      </c>
      <c r="D4955" t="inlineStr">
        <is>
          <t>Klein Tools JTH6E09BE 9/64-Inch Ball-End Hex Key with Journeyman T-Handle, 6-Inch</t>
        </is>
      </c>
      <c r="E4955" s="2">
        <f>HYPERLINK("https://www.amazon.com/Ball-End-Journeyman-Klein-Tools-JTH6E09BE/dp/B004QW2H9U/ref=sr_1_4?keywords=Klein+Tools+JTH6E07BE+7%2F64-Inch+Ball-End+Hex+Key%2C+Journeyman%E2%84%A2+T-Handle%2C+6-Inch&amp;qid=1694735092&amp;sr=8-4", "https://www.amazon.com/Ball-End-Journeyman-Klein-Tools-JTH6E09BE/dp/B004QW2H9U/ref=sr_1_4?keywords=Klein+Tools+JTH6E07BE+7%2F64-Inch+Ball-End+Hex+Key%2C+Journeyman%E2%84%A2+T-Handle%2C+6-Inch&amp;qid=1694735092&amp;sr=8-4")</f>
        <v/>
      </c>
      <c r="F4955" t="inlineStr">
        <is>
          <t>B004QW2H9U</t>
        </is>
      </c>
      <c r="G4955">
        <f>_xludf.IMAGE("https://edmondsonsupply.com/cdn/shop/products/jth6e13be_1.jpg?v=1667224705")</f>
        <v/>
      </c>
      <c r="H4955">
        <f>_xludf.IMAGE("https://m.media-amazon.com/images/I/51f9vBFVXgL._AC_UL320_.jpg")</f>
        <v/>
      </c>
      <c r="K4955" t="inlineStr">
        <is>
          <t>4.99</t>
        </is>
      </c>
      <c r="L4955" t="n">
        <v>7.26</v>
      </c>
      <c r="M4955" s="1" t="inlineStr">
        <is>
          <t>45.49%</t>
        </is>
      </c>
      <c r="N4955" s="1" t="n">
        <v>-36.83</v>
      </c>
      <c r="O4955" t="n">
        <v>4.9</v>
      </c>
      <c r="P4955" t="n">
        <v>65</v>
      </c>
      <c r="R4955" t="inlineStr">
        <is>
          <t>InStock</t>
        </is>
      </c>
      <c r="S4955" t="inlineStr">
        <is>
          <t>7.54</t>
        </is>
      </c>
      <c r="T4955" t="inlineStr">
        <is>
          <t>7871470731480</t>
        </is>
      </c>
    </row>
    <row r="4956" ht="87" customHeight="1">
      <c r="A4956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4956" s="2">
        <f>HYPERLINK("https://edmondsonsupply.com/products/klein-tools-j203-8-pliers-needle-nose-side-cutters-8-inch", "https://edmondsonsupply.com/products/klein-tools-j203-8-pliers-needle-nose-side-cutters-8-inch")</f>
        <v/>
      </c>
      <c r="C4956" t="inlineStr">
        <is>
          <t>Klein Tools J203-8 Pliers, Needle Nose Side-Cutters, 8-Inch</t>
        </is>
      </c>
      <c r="D4956" t="inlineStr">
        <is>
          <t>Klein Tools J20008 Pliers, 8-Inch Side Cutters, High Leverage Lineman's Pliers Cut ACSR, Screws, Nails, Hard Wire</t>
        </is>
      </c>
      <c r="E4956" s="2">
        <f>HYPERLINK("https://www.amazon.com/Journeyman-Cutters-High-Leverage-Klein-Tools/dp/B002LPZLSI/ref=sr_1_20?keywords=Klein+Tools+J203-8+Pliers%2C+Needle+Nose+Side-Cutters%2C+8-Inch&amp;qid=1694735171&amp;sr=8-20", "https://www.amazon.com/Journeyman-Cutters-High-Leverage-Klein-Tools/dp/B002LPZLSI/ref=sr_1_20?keywords=Klein+Tools+J203-8+Pliers%2C+Needle+Nose+Side-Cutters%2C+8-Inch&amp;qid=1694735171&amp;sr=8-20")</f>
        <v/>
      </c>
      <c r="F4956" t="inlineStr">
        <is>
          <t>B002LPZLSI</t>
        </is>
      </c>
      <c r="G4956">
        <f>_xlfn.IMAGE("https://edmondsonsupply.com/cdn/shop/products/j2038.jpg?v=1644709677")</f>
        <v/>
      </c>
      <c r="H4956">
        <f>_xlfn.IMAGE("https://m.media-amazon.com/images/I/61eewofIaVL._AC_UL320_.jpg")</f>
        <v/>
      </c>
      <c r="K4956" t="inlineStr">
        <is>
          <t>38.49</t>
        </is>
      </c>
      <c r="L4956" t="n">
        <v>55.99</v>
      </c>
      <c r="M4956" s="1" t="inlineStr">
        <is>
          <t>45.47%</t>
        </is>
      </c>
      <c r="N4956" s="7" t="n">
        <v>-37</v>
      </c>
      <c r="O4956" t="n">
        <v>4.3</v>
      </c>
      <c r="P4956" t="n">
        <v>21</v>
      </c>
      <c r="R4956" t="inlineStr">
        <is>
          <t>InStock</t>
        </is>
      </c>
      <c r="S4956" t="inlineStr">
        <is>
          <t>58.32</t>
        </is>
      </c>
      <c r="T4956" t="inlineStr">
        <is>
          <t>7606180249816</t>
        </is>
      </c>
    </row>
    <row r="4957" ht="87" customHeight="1">
      <c r="A4957" s="2">
        <f>HYPERLINK("https://edmondsonsupply.com/collections/electricians-tools/products/klein-tools-635-4-nut-driver-set-magnetic-nut-drivers-heavy-duty-4-piece", "https://edmondsonsupply.com/collections/electricians-tools/products/klein-tools-635-4-nut-driver-set-magnetic-nut-drivers-heavy-duty-4-piece")</f>
        <v/>
      </c>
      <c r="B4957" s="2">
        <f>HYPERLINK("https://edmondsonsupply.com/products/klein-tools-635-4-nut-driver-set-magnetic-nut-drivers-heavy-duty-4-piece", "https://edmondsonsupply.com/products/klein-tools-635-4-nut-driver-set-magnetic-nut-drivers-heavy-duty-4-piece")</f>
        <v/>
      </c>
      <c r="C4957" t="inlineStr">
        <is>
          <t>Klein Tools 635-4 Nut Driver Set, Magnetic Nut Drivers, Heavy Duty, 4-Piece</t>
        </is>
      </c>
      <c r="D4957" t="inlineStr">
        <is>
          <t>Klein Tools 647M Tool Set, Magnetic Nut Drivers Sizes 3/16, 1/4, 5/16, 11/32, 3/8, 7/16, 1/2-Inch, 6-Inch Hollow Shafts, 7-Piece</t>
        </is>
      </c>
      <c r="E4957" s="2">
        <f>HYPERLINK("https://www.amazon.com/Klein-Tools-647M-Magnetic-7-Piece/dp/B000MKIUYQ/ref=sr_1_11?keywords=Klein+Tools+635-4+Nut+Driver+Set%2C+Magnetic+Nut+Drivers%2C+Heavy+Duty%2C+4-Piece&amp;qid=1694735170&amp;sr=8-11", "https://www.amazon.com/Klein-Tools-647M-Magnetic-7-Piece/dp/B000MKIUYQ/ref=sr_1_11?keywords=Klein+Tools+635-4+Nut+Driver+Set%2C+Magnetic+Nut+Drivers%2C+Heavy+Duty%2C+4-Piece&amp;qid=1694735170&amp;sr=8-11")</f>
        <v/>
      </c>
      <c r="F4957" t="inlineStr">
        <is>
          <t>B000MKIUYQ</t>
        </is>
      </c>
      <c r="G4957">
        <f>_xlfn.IMAGE("https://edmondsonsupply.com/cdn/shop/products/635-4.jpg?v=1640815398")</f>
        <v/>
      </c>
      <c r="H4957">
        <f>_xlfn.IMAGE("https://m.media-amazon.com/images/I/61PNUE211uL._AC_UL320_.jpg")</f>
        <v/>
      </c>
      <c r="K4957" t="inlineStr">
        <is>
          <t>54.99</t>
        </is>
      </c>
      <c r="L4957" t="n">
        <v>79.98999999999999</v>
      </c>
      <c r="M4957" s="1" t="inlineStr">
        <is>
          <t>45.46%</t>
        </is>
      </c>
      <c r="N4957" s="7" t="n">
        <v>-37.11</v>
      </c>
      <c r="O4957" t="n">
        <v>4.8</v>
      </c>
      <c r="P4957" t="n">
        <v>985</v>
      </c>
      <c r="R4957" t="inlineStr">
        <is>
          <t>InStock</t>
        </is>
      </c>
      <c r="S4957" t="inlineStr">
        <is>
          <t>83.32</t>
        </is>
      </c>
      <c r="T4957" t="inlineStr">
        <is>
          <t>7559649984728</t>
        </is>
      </c>
    </row>
    <row r="4958" ht="87" customHeight="1">
      <c r="A4958" s="2">
        <f>HYPERLINK("https://edmondsonsupply.com/collections/electricians-tools/products/klein-tools-5416tsr-tool-bag-bolt-bag-with-drain-holes-no-4-canvas-5-x-9-x-10-inch", "https://edmondsonsupply.com/collections/electricians-tools/products/klein-tools-5416tsr-tool-bag-bolt-bag-with-drain-holes-no-4-canvas-5-x-9-x-10-inch")</f>
        <v/>
      </c>
      <c r="B4958" s="2">
        <f>HYPERLINK("https://edmondsonsupply.com/products/klein-tools-5416tsr-tool-bag-bolt-bag-with-drain-holes-no-4-canvas-5-x-9-x-10-inch", "https://edmondsonsupply.com/products/klein-tools-5416tsr-tool-bag-bolt-bag-with-drain-holes-no-4-canvas-5-x-9-x-10-inch")</f>
        <v/>
      </c>
      <c r="C4958" t="inlineStr">
        <is>
          <t>Klein Tools 5416TSR Tool Bag, Bolt Bag with Drain Holes, No. 4 Canvas, 5 x 9 x 10-Inch</t>
        </is>
      </c>
      <c r="D4958" t="inlineStr">
        <is>
          <t>Klein Tools 5416TC Tool Bag, Top Closing Bolt Bag with 3-Inch Drawstring, Load Rated with Tunnel Connect, 5 x 10 x 9-Inch</t>
        </is>
      </c>
      <c r="E4958" s="2">
        <f>HYPERLINK("https://www.amazon.com/Closing-Bolt-Klein-Tools-5416TC/dp/B00C0Z1YVW/ref=sr_1_5?keywords=Klein+Tools+5416TSR+Tool+Bag%2C+Bolt+Bag+with+Drain+Holes%2C+No.+4+Canvas%2C+5+x+9+x+10-Inch&amp;qid=1694735252&amp;sr=8-5", "https://www.amazon.com/Closing-Bolt-Klein-Tools-5416TC/dp/B00C0Z1YVW/ref=sr_1_5?keywords=Klein+Tools+5416TSR+Tool+Bag%2C+Bolt+Bag+with+Drain+Holes%2C+No.+4+Canvas%2C+5+x+9+x+10-Inch&amp;qid=1694735252&amp;sr=8-5")</f>
        <v/>
      </c>
      <c r="F4958" t="inlineStr">
        <is>
          <t>B00C0Z1YVW</t>
        </is>
      </c>
      <c r="G4958">
        <f>_xlfn.IMAGE("https://edmondsonsupply.com/cdn/shop/products/5416tsr.jpg?v=1633030723")</f>
        <v/>
      </c>
      <c r="H4958">
        <f>_xlfn.IMAGE("https://m.media-amazon.com/images/I/61aDqYITs+L._AC_UL320_.jpg")</f>
        <v/>
      </c>
      <c r="K4958" t="inlineStr">
        <is>
          <t>19.94</t>
        </is>
      </c>
      <c r="L4958" t="n">
        <v>29</v>
      </c>
      <c r="M4958" s="1" t="inlineStr">
        <is>
          <t>45.44%</t>
        </is>
      </c>
      <c r="N4958" s="7" t="n">
        <v>-37.19</v>
      </c>
      <c r="O4958" t="n">
        <v>4.7</v>
      </c>
      <c r="P4958" t="n">
        <v>324</v>
      </c>
      <c r="R4958" t="inlineStr">
        <is>
          <t>InStock</t>
        </is>
      </c>
      <c r="S4958" t="inlineStr">
        <is>
          <t>31.64</t>
        </is>
      </c>
      <c r="T4958" t="inlineStr">
        <is>
          <t>5867208868008</t>
        </is>
      </c>
    </row>
    <row r="4959" ht="87" customHeight="1">
      <c r="A4959" s="2">
        <f>HYPERLINK("https://edmondsonsupply.com/collections/electricians-tools/products/klein-tools-ir1-infrared-digital-thermometer-with-targeting-laser-10-1", "https://edmondsonsupply.com/collections/electricians-tools/products/klein-tools-ir1-infrared-digital-thermometer-with-targeting-laser-10-1")</f>
        <v/>
      </c>
      <c r="B4959" s="2">
        <f>HYPERLINK("https://edmondsonsupply.com/products/klein-tools-ir1-infrared-digital-thermometer-with-targeting-laser-10-1", "https://edmondsonsupply.com/products/klein-tools-ir1-infrared-digital-thermometer-with-targeting-laser-10-1")</f>
        <v/>
      </c>
      <c r="C4959" t="inlineStr">
        <is>
          <t>Klein Tools IR1 Infrared Digital Thermometer with Targeting Laser, 10:1</t>
        </is>
      </c>
      <c r="D4959" t="inlineStr">
        <is>
          <t>Klein Tools IR1 Infrared Thermometer, Digital Laser Gun is Non-Contact Thermometer with a Temperature Range -4 to 752-Degree Fahrenheit &amp; ET05 Digital Pocket Thermometer</t>
        </is>
      </c>
      <c r="E4959" s="2">
        <f>HYPERLINK("https://www.amazon.com/Klein-Tools-Thermometer-Non-Contact-Temperature/dp/B0BC88SF8V/ref=sr_1_2?keywords=Klein+Tools+IR1+Infrared+Digital+Thermometer+with+Targeting+Laser%2C+10%3A1&amp;qid=1694735137&amp;sr=8-2", "https://www.amazon.com/Klein-Tools-Thermometer-Non-Contact-Temperature/dp/B0BC88SF8V/ref=sr_1_2?keywords=Klein+Tools+IR1+Infrared+Digital+Thermometer+with+Targeting+Laser%2C+10%3A1&amp;qid=1694735137&amp;sr=8-2")</f>
        <v/>
      </c>
      <c r="F4959" t="inlineStr">
        <is>
          <t>B0BC88SF8V</t>
        </is>
      </c>
      <c r="G4959">
        <f>_xlfn.IMAGE("https://edmondsonsupply.com/cdn/shop/products/ir1.jpg?v=1659112251")</f>
        <v/>
      </c>
      <c r="H4959">
        <f>_xlfn.IMAGE("https://m.media-amazon.com/images/I/41SkeuD-HkL._AC_UY218_.jpg")</f>
        <v/>
      </c>
      <c r="K4959" t="inlineStr">
        <is>
          <t>32.99</t>
        </is>
      </c>
      <c r="L4959" t="n">
        <v>47.96</v>
      </c>
      <c r="M4959" s="1" t="inlineStr">
        <is>
          <t>45.38%</t>
        </is>
      </c>
      <c r="N4959" s="7" t="n">
        <v>-37.2</v>
      </c>
      <c r="O4959" t="n">
        <v>5</v>
      </c>
      <c r="P4959" t="n">
        <v>4</v>
      </c>
      <c r="R4959" t="inlineStr">
        <is>
          <t>InStock</t>
        </is>
      </c>
      <c r="S4959" t="inlineStr">
        <is>
          <t>48.5</t>
        </is>
      </c>
      <c r="T4959" t="inlineStr">
        <is>
          <t>7766524231896</t>
        </is>
      </c>
    </row>
    <row r="4960" ht="87" customHeight="1">
      <c r="A4960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960" s="2">
        <f>HYPERLINK("https://edmondsonsupply.com/products/klein-tools-ncvt1xt-non-contact-voltage-tester-70-to-1000v-ac", "https://edmondsonsupply.com/products/klein-tools-ncvt1xt-non-contact-voltage-tester-70-to-1000v-ac")</f>
        <v/>
      </c>
      <c r="C4960" t="inlineStr">
        <is>
          <t>Klein Tools NCVT1XT Non-Contact Voltage Tester, 70 to 1000V AC</t>
        </is>
      </c>
      <c r="D4960" t="inlineStr">
        <is>
          <t>Klein Tools NCVT2PKIT Non-Contact Voltage Tester with Outlet Tester, 12-48V AC or 48 - 1000V AC Dual Range for Broad Application</t>
        </is>
      </c>
      <c r="E4960" s="2">
        <f>HYPERLINK("https://www.amazon.com/Klein-Tools-NCVT2PKIT-Non-Contact-Application/dp/B08FPHS6HL/ref=sr_1_8?keywords=Klein+Tools+NCVT1XT+Non-Contact+Voltage+Tester%2C+70+to+1000V+AC&amp;qid=1694735046&amp;sr=8-8", "https://www.amazon.com/Klein-Tools-NCVT2PKIT-Non-Contact-Application/dp/B08FPHS6HL/ref=sr_1_8?keywords=Klein+Tools+NCVT1XT+Non-Contact+Voltage+Tester%2C+70+to+1000V+AC&amp;qid=1694735046&amp;sr=8-8")</f>
        <v/>
      </c>
      <c r="F4960" t="inlineStr">
        <is>
          <t>B08FPHS6HL</t>
        </is>
      </c>
      <c r="G4960">
        <f>_xlfn.IMAGE("https://edmondsonsupply.com/cdn/shop/products/ncvt1xt.jpg?v=1674496568")</f>
        <v/>
      </c>
      <c r="H4960">
        <f>_xlfn.IMAGE("https://m.media-amazon.com/images/I/511RscwJPxL._AC_UL320_.jpg")</f>
        <v/>
      </c>
      <c r="K4960" t="inlineStr">
        <is>
          <t>19.97</t>
        </is>
      </c>
      <c r="L4960" t="n">
        <v>28.99</v>
      </c>
      <c r="M4960" s="1" t="inlineStr">
        <is>
          <t>45.17%</t>
        </is>
      </c>
      <c r="N4960" s="7" t="n">
        <v>-37.49</v>
      </c>
      <c r="O4960" t="n">
        <v>4.8</v>
      </c>
      <c r="P4960" t="n">
        <v>3246</v>
      </c>
      <c r="R4960" t="inlineStr">
        <is>
          <t>InStock</t>
        </is>
      </c>
      <c r="S4960" t="inlineStr">
        <is>
          <t>26.32</t>
        </is>
      </c>
      <c r="T4960" t="inlineStr">
        <is>
          <t>7931947155672</t>
        </is>
      </c>
    </row>
    <row r="4961" hidden="1" ht="15.75" customHeight="1">
      <c r="A4961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4961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4961" t="inlineStr">
        <is>
          <t>Diablo Tools DMAPL4070 1/4 in. x 4 in. x 6 in. Rebar Demon™ SDS-Plus 4-Cutter Full Carbide Head Hammer Bit</t>
        </is>
      </c>
      <c r="D4961" t="inlineStr">
        <is>
          <t>Diablo by Freud DMAPL4160 3/8 in. x 10 in. x 12 in. Rebar Demon SDS-Plus 4-Cutter Full Carbide Head Hammer Bit</t>
        </is>
      </c>
      <c r="E4961" s="2">
        <f>HYPERLINK("https://www.amazon.com/Diablo-Freud-DMAPL4160-SDS-Plus-4-Cutter/dp/B089KX25B7/ref=sr_1_21?keywords=Diablo+Tools+DMAPL4070+1%2F4+in.+x+4+in.+x+6+in.+Rebar+Demon%E2%84%A2+SDS-Plus+4-Cutter+Full+Carbide+Head+Hammer+Bit&amp;qid=1694735303&amp;sr=8-21", "https://www.amazon.com/Diablo-Freud-DMAPL4160-SDS-Plus-4-Cutter/dp/B089KX25B7/ref=sr_1_21?keywords=Diablo+Tools+DMAPL4070+1%2F4+in.+x+4+in.+x+6+in.+Rebar+Demon%E2%84%A2+SDS-Plus+4-Cutter+Full+Carbide+Head+Hammer+Bit&amp;qid=1694735303&amp;sr=8-21")</f>
        <v/>
      </c>
      <c r="F4961" t="inlineStr">
        <is>
          <t>B089KX25B7</t>
        </is>
      </c>
      <c r="G4961">
        <f>_xludf.IMAGE("https://edmondsonsupply.com/cdn/shop/products/DMAPL4070_Main-Image20200701.png?v=1633030350")</f>
        <v/>
      </c>
      <c r="H4961">
        <f>_xludf.IMAGE("https://m.media-amazon.com/images/I/61MHnm3+2bL._AC_UL320_.jpg")</f>
        <v/>
      </c>
      <c r="K4961" t="inlineStr">
        <is>
          <t>8.97</t>
        </is>
      </c>
      <c r="L4961" t="n">
        <v>13.01</v>
      </c>
      <c r="M4961" s="1" t="inlineStr">
        <is>
          <t>45.04%</t>
        </is>
      </c>
      <c r="N4961" s="1" t="n">
        <v>-37.49</v>
      </c>
      <c r="O4961" t="n">
        <v>4.5</v>
      </c>
      <c r="P4961" t="n">
        <v>39</v>
      </c>
      <c r="R4961" t="inlineStr">
        <is>
          <t>InStock</t>
        </is>
      </c>
      <c r="S4961" t="inlineStr">
        <is>
          <t>undefined</t>
        </is>
      </c>
      <c r="T4961" t="inlineStr">
        <is>
          <t>5283100197032</t>
        </is>
      </c>
    </row>
    <row r="4962" ht="87" customHeight="1">
      <c r="A4962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4962" s="2">
        <f>HYPERLINK("https://edmondsonsupply.com/products/klein-tools-ncvt1xt-non-contact-voltage-tester-70-to-1000v-ac", "https://edmondsonsupply.com/products/klein-tools-ncvt1xt-non-contact-voltage-tester-70-to-1000v-ac")</f>
        <v/>
      </c>
      <c r="C4962" t="inlineStr">
        <is>
          <t>Klein Tools NCVT1XT Non-Contact Voltage Tester, 70 to 1000V AC</t>
        </is>
      </c>
      <c r="D4962" t="inlineStr">
        <is>
          <t>Klein Tools NCVT-2 Voltage Tester, Non-Contact Dual Range Voltage Tester Pen for Standard and Low Voltage, with 3 m Drop Protection</t>
        </is>
      </c>
      <c r="E4962" s="2">
        <f>HYPERLINK("https://www.amazon.com/Klein-Tools-NCVT-2-Standard-Protection/dp/B004FXJOQO/ref=sr_1_14?keywords=Klein+Tools+NCVT1XT+Non-Contact+Voltage+Tester%2C+70+to+1000V+AC&amp;qid=1694735046&amp;sr=8-14", "https://www.amazon.com/Klein-Tools-NCVT-2-Standard-Protection/dp/B004FXJOQO/ref=sr_1_14?keywords=Klein+Tools+NCVT1XT+Non-Contact+Voltage+Tester%2C+70+to+1000V+AC&amp;qid=1694735046&amp;sr=8-14")</f>
        <v/>
      </c>
      <c r="F4962" t="inlineStr">
        <is>
          <t>B004FXJOQO</t>
        </is>
      </c>
      <c r="G4962">
        <f>_xlfn.IMAGE("https://edmondsonsupply.com/cdn/shop/products/ncvt1xt.jpg?v=1674496568")</f>
        <v/>
      </c>
      <c r="H4962">
        <f>_xlfn.IMAGE("https://m.media-amazon.com/images/I/514tywDAdHL._AC_UL320_.jpg")</f>
        <v/>
      </c>
      <c r="K4962" t="inlineStr">
        <is>
          <t>19.97</t>
        </is>
      </c>
      <c r="L4962" t="n">
        <v>28.95</v>
      </c>
      <c r="M4962" s="1" t="inlineStr">
        <is>
          <t>44.97%</t>
        </is>
      </c>
      <c r="N4962" s="7" t="n">
        <v>-37.5</v>
      </c>
      <c r="O4962" t="n">
        <v>4.6</v>
      </c>
      <c r="P4962" t="n">
        <v>5762</v>
      </c>
      <c r="R4962" t="inlineStr">
        <is>
          <t>InStock</t>
        </is>
      </c>
      <c r="S4962" t="inlineStr">
        <is>
          <t>26.32</t>
        </is>
      </c>
      <c r="T4962" t="inlineStr">
        <is>
          <t>7931947155672</t>
        </is>
      </c>
    </row>
    <row r="4963" ht="87" customHeight="1">
      <c r="A4963" s="2">
        <f>HYPERLINK("https://edmondsonsupply.com/collections/electricians-tools/products/milwaukee-48-22-7212-12-aluminum-pipe-wrench", "https://edmondsonsupply.com/collections/electricians-tools/products/milwaukee-48-22-7212-12-aluminum-pipe-wrench")</f>
        <v/>
      </c>
      <c r="B4963" s="2">
        <f>HYPERLINK("https://edmondsonsupply.com/products/milwaukee-48-22-7212-12-aluminum-pipe-wrench", "https://edmondsonsupply.com/products/milwaukee-48-22-7212-12-aluminum-pipe-wrench")</f>
        <v/>
      </c>
      <c r="C4963" t="inlineStr">
        <is>
          <t>Milwaukee 48-22-7212 12" Aluminum Pipe Wrench</t>
        </is>
      </c>
      <c r="D4963" t="inlineStr">
        <is>
          <t>Milwaukee 48-22-7213 10 in. Aluminum Pipe Wrench with POWERLENGTH Handle</t>
        </is>
      </c>
      <c r="E4963" s="2">
        <f>HYPERLINK("https://www.amazon.com/Milwaukee-48-22-7213-Aluminum-Wrench-POWERLENGTH/dp/B09VQ6CYDG/ref=sr_1_3?keywords=Milwaukee+48-22-7212+12%22+Aluminum+Pipe+Wrench&amp;qid=1694735005&amp;sr=8-3", "https://www.amazon.com/Milwaukee-48-22-7213-Aluminum-Wrench-POWERLENGTH/dp/B09VQ6CYDG/ref=sr_1_3?keywords=Milwaukee+48-22-7212+12%22+Aluminum+Pipe+Wrench&amp;qid=1694735005&amp;sr=8-3")</f>
        <v/>
      </c>
      <c r="F4963" t="inlineStr">
        <is>
          <t>B09VQ6CYDG</t>
        </is>
      </c>
      <c r="G4963">
        <f>_xlfn.IMAGE("https://edmondsonsupply.com/cdn/shop/products/48-22-7218_2_1.png?v=1680096437")</f>
        <v/>
      </c>
      <c r="H4963">
        <f>_xlfn.IMAGE("https://m.media-amazon.com/images/I/51qzHa1LxNL._AC_UL320_.jpg")</f>
        <v/>
      </c>
      <c r="K4963" t="inlineStr">
        <is>
          <t>49.97</t>
        </is>
      </c>
      <c r="L4963" t="n">
        <v>72.36</v>
      </c>
      <c r="M4963" s="1" t="inlineStr">
        <is>
          <t>44.81%</t>
        </is>
      </c>
      <c r="N4963" s="7" t="n">
        <v>-37.53</v>
      </c>
      <c r="O4963" t="n">
        <v>5</v>
      </c>
      <c r="P4963" t="n">
        <v>6</v>
      </c>
      <c r="R4963" t="inlineStr">
        <is>
          <t>InStock</t>
        </is>
      </c>
      <c r="S4963" t="inlineStr">
        <is>
          <t>75.4</t>
        </is>
      </c>
      <c r="T4963" t="inlineStr">
        <is>
          <t>7969537458392</t>
        </is>
      </c>
    </row>
    <row r="4964" ht="87" customHeight="1">
      <c r="A4964" s="2">
        <f>HYPERLINK("https://edmondsonsupply.com/collections/electricians-tools/products/milwaukee-48-22-7214-14-aluminum-pipe-wrench", "https://edmondsonsupply.com/collections/electricians-tools/products/milwaukee-48-22-7214-14-aluminum-pipe-wrench")</f>
        <v/>
      </c>
      <c r="B4964" s="2">
        <f>HYPERLINK("https://edmondsonsupply.com/products/milwaukee-48-22-7214-14-aluminum-pipe-wrench", "https://edmondsonsupply.com/products/milwaukee-48-22-7214-14-aluminum-pipe-wrench")</f>
        <v/>
      </c>
      <c r="C4964" t="inlineStr">
        <is>
          <t>Milwaukee 48-22-7214 14" Aluminum Pipe Wrench</t>
        </is>
      </c>
      <c r="D4964" t="inlineStr">
        <is>
          <t>Milwaukee 48-22-7213 10 in. Aluminum Pipe Wrench with POWERLENGTH Handle</t>
        </is>
      </c>
      <c r="E4964" s="2">
        <f>HYPERLINK("https://www.amazon.com/Milwaukee-48-22-7213-Aluminum-Wrench-POWERLENGTH/dp/B09VQ6CYDG/ref=sr_1_5?keywords=Milwaukee+48-22-7214+14%22+Aluminum+Pipe+Wrench&amp;qid=1694735045&amp;sr=8-5", "https://www.amazon.com/Milwaukee-48-22-7213-Aluminum-Wrench-POWERLENGTH/dp/B09VQ6CYDG/ref=sr_1_5?keywords=Milwaukee+48-22-7214+14%22+Aluminum+Pipe+Wrench&amp;qid=1694735045&amp;sr=8-5")</f>
        <v/>
      </c>
      <c r="F4964" t="inlineStr">
        <is>
          <t>B09VQ6CYDG</t>
        </is>
      </c>
      <c r="G4964">
        <f>_xlfn.IMAGE("https://edmondsonsupply.com/cdn/shop/products/48-22-7218_2.png?v=1675700722")</f>
        <v/>
      </c>
      <c r="H4964">
        <f>_xlfn.IMAGE("https://m.media-amazon.com/images/I/51qzHa1LxNL._AC_UL320_.jpg")</f>
        <v/>
      </c>
      <c r="K4964" t="inlineStr">
        <is>
          <t>49.97</t>
        </is>
      </c>
      <c r="L4964" t="n">
        <v>72.36</v>
      </c>
      <c r="M4964" s="1" t="inlineStr">
        <is>
          <t>44.81%</t>
        </is>
      </c>
      <c r="N4964" s="7" t="n">
        <v>-37.56</v>
      </c>
      <c r="O4964" t="n">
        <v>5</v>
      </c>
      <c r="P4964" t="n">
        <v>6</v>
      </c>
      <c r="R4964" t="inlineStr">
        <is>
          <t>InStock</t>
        </is>
      </c>
      <c r="S4964" t="inlineStr">
        <is>
          <t>75.5</t>
        </is>
      </c>
      <c r="T4964" t="inlineStr">
        <is>
          <t>7940127719640</t>
        </is>
      </c>
    </row>
    <row r="4965" ht="87" customHeight="1">
      <c r="A4965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4965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4965" t="inlineStr">
        <is>
          <t>Klein Tools ET45VP AC/DC Voltage and GFCI Receptacle Outlet Test Kit</t>
        </is>
      </c>
      <c r="D4965" t="inlineStr">
        <is>
          <t>Klein Tools 80097 Beginner Tester Kit with GFCI Outlet and Receptacle Tester, Electronic Voltage Tester, Non-Contact Voltage Tester, 3-Piece Red</t>
        </is>
      </c>
      <c r="E4965" s="2">
        <f>HYPERLINK("https://www.amazon.com/Klein-Tools-80097-Beginner-3-Piece/dp/B0B7Z178B1/ref=sr_1_4?keywords=Klein+Tools+ET45VP+AC%2FDC+Voltage+and+GFCI+Receptacle+Outlet+Test+Kit&amp;qid=1694735138&amp;sr=8-4", "https://www.amazon.com/Klein-Tools-80097-Beginner-3-Piece/dp/B0B7Z178B1/ref=sr_1_4?keywords=Klein+Tools+ET45VP+AC%2FDC+Voltage+and+GFCI+Receptacle+Outlet+Test+Kit&amp;qid=1694735138&amp;sr=8-4")</f>
        <v/>
      </c>
      <c r="F4965" t="inlineStr">
        <is>
          <t>B0B7Z178B1</t>
        </is>
      </c>
      <c r="G4965">
        <f>_xlfn.IMAGE("https://edmondsonsupply.com/cdn/shop/products/et45vp.jpg?v=1660755922")</f>
        <v/>
      </c>
      <c r="H4965">
        <f>_xlfn.IMAGE("https://m.media-amazon.com/images/I/51TWbZ0INyL._AC_UL320_.jpg")</f>
        <v/>
      </c>
      <c r="K4965" t="inlineStr">
        <is>
          <t>17.97</t>
        </is>
      </c>
      <c r="L4965" t="n">
        <v>25.99</v>
      </c>
      <c r="M4965" s="1" t="inlineStr">
        <is>
          <t>44.63%</t>
        </is>
      </c>
      <c r="N4965" s="7" t="n">
        <v>-37.6</v>
      </c>
      <c r="O4965" t="n">
        <v>4.7</v>
      </c>
      <c r="P4965" t="n">
        <v>118</v>
      </c>
      <c r="R4965" t="inlineStr">
        <is>
          <t>InStock</t>
        </is>
      </c>
      <c r="S4965" t="inlineStr">
        <is>
          <t>25.82</t>
        </is>
      </c>
      <c r="T4965" t="inlineStr">
        <is>
          <t>7783562084568</t>
        </is>
      </c>
    </row>
    <row r="4966" ht="87" customHeight="1">
      <c r="A4966" s="2">
        <f>HYPERLINK("https://edmondsonsupply.com/collections/electricians-tools/products/klein-tools-2139nerins-insulated-pliers-side-cutters-9-inch", "https://edmondsonsupply.com/collections/electricians-tools/products/klein-tools-2139nerins-insulated-pliers-side-cutters-9-inch")</f>
        <v/>
      </c>
      <c r="B4966" s="2">
        <f>HYPERLINK("https://edmondsonsupply.com/products/klein-tools-2139nerins-insulated-pliers-side-cutters-9-inch", "https://edmondsonsupply.com/products/klein-tools-2139nerins-insulated-pliers-side-cutters-9-inch")</f>
        <v/>
      </c>
      <c r="C4966" t="inlineStr">
        <is>
          <t>Klein Tools 2139NERINS Insulated Pliers, Side Cutters, 9-Inch</t>
        </is>
      </c>
      <c r="D4966" t="inlineStr">
        <is>
          <t>Klein Tools 12098-INS Insulated Universal Combination Pliers, Side Cutters with Crimper, 8-Inch</t>
        </is>
      </c>
      <c r="E4966" s="2">
        <f>HYPERLINK("https://www.amazon.com/Insulated-Combination-Klein-Tools-12098-INS/dp/B0002RI4V8/ref=sr_1_25?keywords=Klein+Tools+2139NERINS+Insulated+Pliers%2C+Side+Cutters%2C+9-Inch&amp;qid=1694735098&amp;sr=8-25", "https://www.amazon.com/Insulated-Combination-Klein-Tools-12098-INS/dp/B0002RI4V8/ref=sr_1_25?keywords=Klein+Tools+2139NERINS+Insulated+Pliers%2C+Side+Cutters%2C+9-Inch&amp;qid=1694735098&amp;sr=8-25")</f>
        <v/>
      </c>
      <c r="F4966" t="inlineStr">
        <is>
          <t>B0002RI4V8</t>
        </is>
      </c>
      <c r="G4966">
        <f>_xlfn.IMAGE("https://edmondsonsupply.com/cdn/shop/products/2139nerins.jpg?v=1667237928")</f>
        <v/>
      </c>
      <c r="H4966">
        <f>_xlfn.IMAGE("https://m.media-amazon.com/images/I/51I3JjFrgcL._AC_UL320_.jpg")</f>
        <v/>
      </c>
      <c r="K4966" t="inlineStr">
        <is>
          <t>44.97</t>
        </is>
      </c>
      <c r="L4966" t="n">
        <v>64.98999999999999</v>
      </c>
      <c r="M4966" s="1" t="inlineStr">
        <is>
          <t>44.52%</t>
        </is>
      </c>
      <c r="N4966" s="7" t="n">
        <v>-37.95</v>
      </c>
      <c r="O4966" t="n">
        <v>5</v>
      </c>
      <c r="P4966" t="n">
        <v>10</v>
      </c>
      <c r="R4966" t="inlineStr">
        <is>
          <t>InStock</t>
        </is>
      </c>
      <c r="S4966" t="inlineStr">
        <is>
          <t>62.98</t>
        </is>
      </c>
      <c r="T4966" t="inlineStr">
        <is>
          <t>7871534235864</t>
        </is>
      </c>
    </row>
    <row r="4967" hidden="1" ht="15.75" customHeight="1">
      <c r="A4967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4967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4967" t="inlineStr">
        <is>
          <t>Klein Tools 630-3/8 3/8-Inch Nut Driver with 3-Inch Hollow Shaft</t>
        </is>
      </c>
      <c r="D4967" t="inlineStr">
        <is>
          <t>Klein Tools 635-3/8 3/8-Inch Heavy-Duty Nut Driver</t>
        </is>
      </c>
      <c r="E4967" s="2">
        <f>HYPERLINK("https://www.amazon.com/8-Inch-Heavy-Duty-Driver-Klein-Tools/dp/B01D6E8NSM/ref=sr_1_11?keywords=Klein+Tools+630-3%2F8+3%2F8-Inch+Nut+Driver+with+3-Inch+Hollow+Shaft&amp;qid=1694735236&amp;sr=8-11", "https://www.amazon.com/8-Inch-Heavy-Duty-Driver-Klein-Tools/dp/B01D6E8NSM/ref=sr_1_11?keywords=Klein+Tools+630-3%2F8+3%2F8-Inch+Nut+Driver+with+3-Inch+Hollow+Shaft&amp;qid=1694735236&amp;sr=8-11")</f>
        <v/>
      </c>
      <c r="F4967" t="inlineStr">
        <is>
          <t>B01D6E8NSM</t>
        </is>
      </c>
      <c r="G4967">
        <f>_xludf.IMAGE("https://edmondsonsupply.com/cdn/shop/products/630-1-2_e23f9fbd-a282-44d7-b743-2cfe0f84edfa.jpg?v=1633030906")</f>
        <v/>
      </c>
      <c r="H4967">
        <f>_xludf.IMAGE("https://m.media-amazon.com/images/I/41Iii738a4L._AC_UL320_.jpg")</f>
        <v/>
      </c>
      <c r="K4967" t="inlineStr">
        <is>
          <t>8.99</t>
        </is>
      </c>
      <c r="L4967" t="n">
        <v>12.99</v>
      </c>
      <c r="M4967" s="1" t="inlineStr">
        <is>
          <t>44.49%</t>
        </is>
      </c>
      <c r="N4967" s="1" t="n">
        <v>-38</v>
      </c>
      <c r="O4967" t="n">
        <v>4.7</v>
      </c>
      <c r="P4967" t="n">
        <v>89</v>
      </c>
      <c r="R4967" t="inlineStr">
        <is>
          <t>InStock</t>
        </is>
      </c>
      <c r="S4967" t="inlineStr">
        <is>
          <t>11.74</t>
        </is>
      </c>
      <c r="T4967" t="inlineStr">
        <is>
          <t>6244382376109</t>
        </is>
      </c>
    </row>
    <row r="4968" hidden="1" ht="15.75" customHeight="1">
      <c r="A4968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4968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4968" t="inlineStr">
        <is>
          <t>Klein Tools 630-1/4 1/4-Inch Nut Driver 3-Inch Shaft Cushion Grip</t>
        </is>
      </c>
      <c r="D4968" t="inlineStr">
        <is>
          <t>Klein Tools 640-7/16 7/16-Inch Coated Nut Driver with 3-Inch Hollow Shaft and Cushion Grip Handle</t>
        </is>
      </c>
      <c r="E4968" s="2">
        <f>HYPERLINK("https://www.amazon.com/16-Inch-Klein-Tools-640-7-16/dp/B00093DZYG/ref=sr_1_12?keywords=Klein+Tools+630-1%2F4+1%2F4-Inch+Nut+Driver+3-Inch+Shaft+Cushion+Grip&amp;qid=1694735346&amp;sr=8-12", "https://www.amazon.com/16-Inch-Klein-Tools-640-7-16/dp/B00093DZYG/ref=sr_1_12?keywords=Klein+Tools+630-1%2F4+1%2F4-Inch+Nut+Driver+3-Inch+Shaft+Cushion+Grip&amp;qid=1694735346&amp;sr=8-12")</f>
        <v/>
      </c>
      <c r="F4968" t="inlineStr">
        <is>
          <t>B00093DZYG</t>
        </is>
      </c>
      <c r="G4968">
        <f>_xludf.IMAGE("https://edmondsonsupply.com/cdn/shop/products/630-1-2_4777cf99-f2bc-4f84-bc42-7e765e2a9c37.jpg?v=1587150448")</f>
        <v/>
      </c>
      <c r="H4968">
        <f>_xludf.IMAGE("https://m.media-amazon.com/images/I/61eCMBwqqTL._AC_UL320_.jpg")</f>
        <v/>
      </c>
      <c r="K4968" t="inlineStr">
        <is>
          <t>8.99</t>
        </is>
      </c>
      <c r="L4968" t="n">
        <v>12.99</v>
      </c>
      <c r="M4968" s="1" t="inlineStr">
        <is>
          <t>44.49%</t>
        </is>
      </c>
      <c r="N4968" s="1" t="n">
        <v>-38.08</v>
      </c>
      <c r="O4968" t="n">
        <v>4.1</v>
      </c>
      <c r="P4968" t="n">
        <v>20</v>
      </c>
      <c r="R4968" t="inlineStr">
        <is>
          <t>InStock</t>
        </is>
      </c>
      <c r="S4968" t="inlineStr">
        <is>
          <t>11.36</t>
        </is>
      </c>
      <c r="T4968" t="inlineStr">
        <is>
          <t>4490760355940</t>
        </is>
      </c>
    </row>
    <row r="4969" hidden="1" ht="15.75" customHeight="1">
      <c r="A4969" s="2">
        <f>HYPERLINK("https://edmondsonsupply.com/collections/electricians-tools/products/klein-tools-jth9e14-5-16-inch-hex-key-journeyman%E2%84%A2-t-handle-9-inch", "https://edmondsonsupply.com/collections/electricians-tools/products/klein-tools-jth9e14-5-16-inch-hex-key-journeyman%E2%84%A2-t-handle-9-inch")</f>
        <v/>
      </c>
      <c r="B4969" s="2">
        <f>HYPERLINK("https://edmondsonsupply.com/products/klein-tools-jth9e14-5-16-inch-hex-key-journeyman%e2%84%a2-t-handle-9-inch", "https://edmondsonsupply.com/products/klein-tools-jth9e14-5-16-inch-hex-key-journeyman%e2%84%a2-t-handle-9-inch")</f>
        <v/>
      </c>
      <c r="C4969" t="inlineStr">
        <is>
          <t>Klein Tools JTH9E14 5/16-Inch Hex Key, Journeyman™ T-Handle, 9-Inch</t>
        </is>
      </c>
      <c r="D4969" t="inlineStr">
        <is>
          <t>Klein Tools JTH6E14 5/16-Inch Hex Key, Journeyman T-Handle, 6-Inch</t>
        </is>
      </c>
      <c r="E4969" s="2">
        <f>HYPERLINK("https://www.amazon.com/Journeyman-T-Handle-Klein-Tools-JTH6E14/dp/B004ITSTL6/ref=sr_1_3?keywords=Klein+Tools+JTH9E14+5%2F16-Inch+Hex+Key%2C+Journeyman%E2%84%A2+T-Handle%2C+9-Inch&amp;qid=1694735101&amp;sr=8-3", "https://www.amazon.com/Journeyman-T-Handle-Klein-Tools-JTH6E14/dp/B004ITSTL6/ref=sr_1_3?keywords=Klein+Tools+JTH9E14+5%2F16-Inch+Hex+Key%2C+Journeyman%E2%84%A2+T-Handle%2C+9-Inch&amp;qid=1694735101&amp;sr=8-3")</f>
        <v/>
      </c>
      <c r="F4969" t="inlineStr">
        <is>
          <t>B004ITSTL6</t>
        </is>
      </c>
      <c r="G4969">
        <f>_xludf.IMAGE("https://edmondsonsupply.com/cdn/shop/products/jth6e15_f4984146-222a-4a1f-9fb4-94d2ee6d0a9d.jpg?v=1665597420")</f>
        <v/>
      </c>
      <c r="H4969">
        <f>_xludf.IMAGE("https://m.media-amazon.com/images/I/51FYt5m7vZL._AC_UL320_.jpg")</f>
        <v/>
      </c>
      <c r="K4969" t="inlineStr">
        <is>
          <t>7.99</t>
        </is>
      </c>
      <c r="L4969" t="n">
        <v>11.54</v>
      </c>
      <c r="M4969" s="1" t="inlineStr">
        <is>
          <t>44.43%</t>
        </is>
      </c>
      <c r="N4969" s="1" t="n">
        <v>-38.31</v>
      </c>
      <c r="O4969" t="n">
        <v>4.8</v>
      </c>
      <c r="P4969" t="n">
        <v>2477</v>
      </c>
      <c r="R4969" t="inlineStr">
        <is>
          <t>InStock</t>
        </is>
      </c>
      <c r="S4969" t="inlineStr">
        <is>
          <t>12.12</t>
        </is>
      </c>
      <c r="T4969" t="inlineStr">
        <is>
          <t>7850142204120</t>
        </is>
      </c>
    </row>
    <row r="4970" ht="87" customHeight="1">
      <c r="A4970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4970" s="2">
        <f>HYPERLINK("https://edmondsonsupply.com/products/milwaukee-49-56-0505-1-4-diamond-max%e2%84%a2-hole-saw", "https://edmondsonsupply.com/products/milwaukee-49-56-0505-1-4-diamond-max%e2%84%a2-hole-saw")</f>
        <v/>
      </c>
      <c r="C4970" t="inlineStr">
        <is>
          <t>Milwaukee 49-56-0505 1/4" Diamond MAX™ Hole Saw</t>
        </is>
      </c>
      <c r="D4970" t="inlineStr">
        <is>
          <t>Milwaukee 49-56-0513 5/8"  Diamond One-Piece Hole Saw</t>
        </is>
      </c>
      <c r="E4970" s="2">
        <f>HYPERLINK("https://www.amazon.com/Milwaukee-49-56-0513-Diamond-One-Piece-Hole/dp/B00LCUC50A/ref=sr_1_8?keywords=Milwaukee+49-56-0505+1%2F4%22+Diamond+MAX%E2%84%A2+Hole+Saw&amp;qid=1694735000&amp;sr=8-8", "https://www.amazon.com/Milwaukee-49-56-0513-Diamond-One-Piece-Hole/dp/B00LCUC50A/ref=sr_1_8?keywords=Milwaukee+49-56-0505+1%2F4%22+Diamond+MAX%E2%84%A2+Hole+Saw&amp;qid=1694735000&amp;sr=8-8")</f>
        <v/>
      </c>
      <c r="F4970" t="inlineStr">
        <is>
          <t>B00LCUC50A</t>
        </is>
      </c>
      <c r="G4970">
        <f>_xlfn.IMAGE("https://edmondsonsupply.com/cdn/shop/products/49-56-0507_1.png?v=1680111300")</f>
        <v/>
      </c>
      <c r="H4970">
        <f>_xlfn.IMAGE("https://m.media-amazon.com/images/I/61kXBTILFoL._AC_UL320_.jpg")</f>
        <v/>
      </c>
      <c r="K4970" t="inlineStr">
        <is>
          <t>19.99</t>
        </is>
      </c>
      <c r="L4970" t="n">
        <v>28.87</v>
      </c>
      <c r="M4970" s="1" t="inlineStr">
        <is>
          <t>44.42%</t>
        </is>
      </c>
      <c r="N4970" s="7" t="n">
        <v>-38.4</v>
      </c>
      <c r="O4970" t="n">
        <v>4.7</v>
      </c>
      <c r="P4970" t="n">
        <v>33</v>
      </c>
      <c r="R4970" t="inlineStr">
        <is>
          <t>InStock</t>
        </is>
      </c>
      <c r="S4970" t="inlineStr">
        <is>
          <t>26.6</t>
        </is>
      </c>
      <c r="T4970" t="inlineStr">
        <is>
          <t>7969746485464</t>
        </is>
      </c>
    </row>
    <row r="4971" hidden="1" ht="15.75" customHeight="1">
      <c r="A4971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4971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4971" t="inlineStr">
        <is>
          <t>Klein Tools 630-3/8 3/8-Inch Nut Driver with 3-Inch Hollow Shaft</t>
        </is>
      </c>
      <c r="D4971" t="inlineStr">
        <is>
          <t>Klein Tools S126M 3/8-Inch Magnetic Nut Driver with 6-Inch Solid Shaft and Comfordome Handle</t>
        </is>
      </c>
      <c r="E4971" s="2">
        <f>HYPERLINK("https://www.amazon.com/Magnetic-Comfordome-Klein-Tools-S126M/dp/B0009OODZU/ref=sr_1_12?keywords=Klein+Tools+630-3%2F8+3%2F8-Inch+Nut+Driver+with+3-Inch+Hollow+Shaft&amp;qid=1694735236&amp;sr=8-12", "https://www.amazon.com/Magnetic-Comfordome-Klein-Tools-S126M/dp/B0009OODZU/ref=sr_1_12?keywords=Klein+Tools+630-3%2F8+3%2F8-Inch+Nut+Driver+with+3-Inch+Hollow+Shaft&amp;qid=1694735236&amp;sr=8-12")</f>
        <v/>
      </c>
      <c r="F4971" t="inlineStr">
        <is>
          <t>B0009OODZU</t>
        </is>
      </c>
      <c r="G4971">
        <f>_xludf.IMAGE("https://edmondsonsupply.com/cdn/shop/products/630-1-2_e23f9fbd-a282-44d7-b743-2cfe0f84edfa.jpg?v=1633030906")</f>
        <v/>
      </c>
      <c r="H4971">
        <f>_xludf.IMAGE("https://m.media-amazon.com/images/I/318IOnHWWJL._AC_UL320_.jpg")</f>
        <v/>
      </c>
      <c r="K4971" t="inlineStr">
        <is>
          <t>8.99</t>
        </is>
      </c>
      <c r="L4971" t="n">
        <v>12.97</v>
      </c>
      <c r="M4971" s="1" t="inlineStr">
        <is>
          <t>44.27%</t>
        </is>
      </c>
      <c r="N4971" s="1" t="n">
        <v>-38.47</v>
      </c>
      <c r="O4971" t="n">
        <v>4.6</v>
      </c>
      <c r="P4971" t="n">
        <v>231</v>
      </c>
      <c r="R4971" t="inlineStr">
        <is>
          <t>InStock</t>
        </is>
      </c>
      <c r="S4971" t="inlineStr">
        <is>
          <t>11.74</t>
        </is>
      </c>
      <c r="T4971" t="inlineStr">
        <is>
          <t>6244382376109</t>
        </is>
      </c>
    </row>
    <row r="4972" ht="87" customHeight="1">
      <c r="A4972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4972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4972" t="inlineStr">
        <is>
          <t>Diablo Tools DMAMX1360 1-1/2 in. x 16 in. x 21 in. Rebar Demon™ SDS-Max 4-Cutter Carbide-Tipped Hammer Drill Bit</t>
        </is>
      </c>
      <c r="D4972" t="inlineStr">
        <is>
          <t>Diablo DMAMX1390 1-3/4 in. x 16 in. x 21 in. Rebar Demon™ SDS-Max 4-Cutter Carbide-Tipped Hammer Bit</t>
        </is>
      </c>
      <c r="E4972" s="2">
        <f>HYPERLINK("https://www.amazon.com/Diablo-DMAMX1390-SDS-Max-4-Cutter-Carbide-Tipped/dp/B089KW6C8V/ref=sr_1_2?keywords=Diablo+Tools+DMAMX1360+1-1%2F2+in.+x+16+in.+x+21+in.+Rebar+Demon%E2%84%A2+SDS-Max+4-Cutter+Carbide-Tipped+Hammer+Drill+Bit&amp;qid=1694735042&amp;sr=8-2", "https://www.amazon.com/Diablo-DMAMX1390-SDS-Max-4-Cutter-Carbide-Tipped/dp/B089KW6C8V/ref=sr_1_2?keywords=Diablo+Tools+DMAMX1360+1-1%2F2+in.+x+16+in.+x+21+in.+Rebar+Demon%E2%84%A2+SDS-Max+4-Cutter+Carbide-Tipped+Hammer+Drill+Bit&amp;qid=1694735042&amp;sr=8-2")</f>
        <v/>
      </c>
      <c r="F4972" t="inlineStr">
        <is>
          <t>B089KW6C8V</t>
        </is>
      </c>
      <c r="G4972">
        <f>_xlfn.IMAGE("https://edmondsonsupply.com/cdn/shop/products/z2umcsdaj3y4uvsfnxoh.webp?v=1677257156")</f>
        <v/>
      </c>
      <c r="H4972">
        <f>_xlfn.IMAGE("https://m.media-amazon.com/images/I/61J-83UaGmL._AC_UL320_.jpg")</f>
        <v/>
      </c>
      <c r="K4972" t="inlineStr">
        <is>
          <t>93.87</t>
        </is>
      </c>
      <c r="L4972" t="n">
        <v>135.21</v>
      </c>
      <c r="M4972" s="1" t="inlineStr">
        <is>
          <t>44.04%</t>
        </is>
      </c>
      <c r="N4972" s="7" t="n">
        <v>-38.49</v>
      </c>
      <c r="O4972" t="n">
        <v>5</v>
      </c>
      <c r="P4972" t="n">
        <v>9</v>
      </c>
      <c r="R4972" t="inlineStr">
        <is>
          <t>InStock</t>
        </is>
      </c>
      <c r="S4972" t="inlineStr">
        <is>
          <t>149.01</t>
        </is>
      </c>
      <c r="T4972" t="inlineStr">
        <is>
          <t>7950786855128</t>
        </is>
      </c>
    </row>
    <row r="4973" ht="87" customHeight="1">
      <c r="A4973" s="2">
        <f>HYPERLINK("https://edmondsonsupply.com/collections/electricians-tools/products/klein-tools-650-cushion-grip-scratch-awl", "https://edmondsonsupply.com/collections/electricians-tools/products/klein-tools-650-cushion-grip-scratch-awl")</f>
        <v/>
      </c>
      <c r="B4973" s="2">
        <f>HYPERLINK("https://edmondsonsupply.com/products/klein-tools-650-cushion-grip-scratch-awl", "https://edmondsonsupply.com/products/klein-tools-650-cushion-grip-scratch-awl")</f>
        <v/>
      </c>
      <c r="C4973" t="inlineStr">
        <is>
          <t>Klein Tools 650 Cushion-Grip Scratch Awl</t>
        </is>
      </c>
      <c r="D4973" t="inlineStr">
        <is>
          <t>Klein Tools 650DD Demolition Scratch Awl</t>
        </is>
      </c>
      <c r="E4973" s="2">
        <f>HYPERLINK("https://www.amazon.com/Demolition-Scratch-Klein-Tools-650DD/dp/B00LUBVL9C/ref=sr_1_3?keywords=Klein+Tools+650+Cushion-Grip+Scratch+Awl&amp;qid=1694735241&amp;sr=8-3", "https://www.amazon.com/Demolition-Scratch-Klein-Tools-650DD/dp/B00LUBVL9C/ref=sr_1_3?keywords=Klein+Tools+650+Cushion-Grip+Scratch+Awl&amp;qid=1694735241&amp;sr=8-3")</f>
        <v/>
      </c>
      <c r="F4973" t="inlineStr">
        <is>
          <t>B00LUBVL9C</t>
        </is>
      </c>
      <c r="G4973">
        <f>_xlfn.IMAGE("https://edmondsonsupply.com/cdn/shop/products/650.jpg?v=1633030813")</f>
        <v/>
      </c>
      <c r="H4973">
        <f>_xlfn.IMAGE("https://m.media-amazon.com/images/I/41Rko-I--ML._AC_UL320_.jpg")</f>
        <v/>
      </c>
      <c r="K4973" t="inlineStr">
        <is>
          <t>12.49</t>
        </is>
      </c>
      <c r="L4973" t="n">
        <v>17.99</v>
      </c>
      <c r="M4973" s="1" t="inlineStr">
        <is>
          <t>44.04%</t>
        </is>
      </c>
      <c r="N4973" s="7" t="n">
        <v>-38.51</v>
      </c>
      <c r="O4973" t="n">
        <v>4.7</v>
      </c>
      <c r="P4973" t="n">
        <v>361</v>
      </c>
      <c r="R4973" t="inlineStr">
        <is>
          <t>InStock</t>
        </is>
      </c>
      <c r="S4973" t="inlineStr">
        <is>
          <t>18.92</t>
        </is>
      </c>
      <c r="T4973" t="inlineStr">
        <is>
          <t>6064841916589</t>
        </is>
      </c>
    </row>
    <row r="4974" ht="87" customHeight="1">
      <c r="A4974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4974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4974" t="inlineStr">
        <is>
          <t>Klein Tools ET310 Digital Circuit Breaker Finder with GFCI Outlet Tester</t>
        </is>
      </c>
      <c r="D4974" t="inlineStr">
        <is>
          <t>Klein Tools ET310 AC Circuit Breaker Finder with Integrated GFCI Outlet Tester &amp; RT250 GFCI Receptacle Tester with LCD Display, for Standard 3-Wire 120V Electrical Outlets</t>
        </is>
      </c>
      <c r="E4974" s="2">
        <f>HYPERLINK("https://www.amazon.com/Klein-Tools-Integrated-Receptacle-Electrical/dp/B09P85276K/ref=sr_1_8?keywords=Klein+Tools+ET310+Digital+Circuit+Breaker+Finder+with+GFCI+Outlet+Tester&amp;qid=1694734974&amp;sr=8-8", "https://www.amazon.com/Klein-Tools-Integrated-Receptacle-Electrical/dp/B09P85276K/ref=sr_1_8?keywords=Klein+Tools+ET310+Digital+Circuit+Breaker+Finder+with+GFCI+Outlet+Tester&amp;qid=1694734974&amp;sr=8-8")</f>
        <v/>
      </c>
      <c r="F4974" t="inlineStr">
        <is>
          <t>B09P85276K</t>
        </is>
      </c>
      <c r="G4974">
        <f>_xlfn.IMAGE("https://edmondsonsupply.com/cdn/shop/products/et310_c.jpg?v=1646963918")</f>
        <v/>
      </c>
      <c r="H4974">
        <f>_xlfn.IMAGE("https://m.media-amazon.com/images/I/51AwhghGlRL._AC_UL320_.jpg")</f>
        <v/>
      </c>
      <c r="K4974" t="inlineStr">
        <is>
          <t>49.97</t>
        </is>
      </c>
      <c r="L4974" t="n">
        <v>71.94</v>
      </c>
      <c r="M4974" s="1" t="inlineStr">
        <is>
          <t>43.97%</t>
        </is>
      </c>
      <c r="N4974" s="7" t="n">
        <v>-38.51</v>
      </c>
      <c r="O4974" t="n">
        <v>4.8</v>
      </c>
      <c r="P4974" t="n">
        <v>233</v>
      </c>
      <c r="R4974" t="inlineStr">
        <is>
          <t>InStock</t>
        </is>
      </c>
      <c r="S4974" t="inlineStr">
        <is>
          <t>75.1</t>
        </is>
      </c>
      <c r="T4974" t="inlineStr">
        <is>
          <t>3389551280228</t>
        </is>
      </c>
    </row>
    <row r="4975" ht="87" customHeight="1">
      <c r="A4975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4975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4975" t="inlineStr">
        <is>
          <t>Klein Tools 32288 8-in-1 Insulated Interchangeable Screwdriver Set</t>
        </is>
      </c>
      <c r="D4975" t="inlineStr">
        <is>
          <t>Klein Tools 32288 Insulated Screwdriver, 8-in-1 Screwdriver Set &amp; RT250 GFCI Receptacle Tester with LCD Display, for Standard 3-Wire 120V Electrical Outlets</t>
        </is>
      </c>
      <c r="E4975" s="2">
        <f>HYPERLINK("https://www.amazon.com/Klein-Tools-Screwdriver-Receptacle-Electrical/dp/B0BC81C7T9/ref=sr_1_10?keywords=Klein+Tools+32288+8-in-1+Insulated+Interchangeable+Screwdriver+Set&amp;qid=1694734974&amp;sr=8-10", "https://www.amazon.com/Klein-Tools-Screwdriver-Receptacle-Electrical/dp/B0BC81C7T9/ref=sr_1_10?keywords=Klein+Tools+32288+8-in-1+Insulated+Interchangeable+Screwdriver+Set&amp;qid=1694734974&amp;sr=8-10")</f>
        <v/>
      </c>
      <c r="F4975" t="inlineStr">
        <is>
          <t>B0BC81C7T9</t>
        </is>
      </c>
      <c r="G4975">
        <f>_xlfn.IMAGE("https://edmondsonsupply.com/cdn/shop/products/32288.jpg?v=1587146849")</f>
        <v/>
      </c>
      <c r="H4975">
        <f>_xlfn.IMAGE("https://m.media-amazon.com/images/I/5148u43zoXL._AC_UL320_.jpg")</f>
        <v/>
      </c>
      <c r="K4975" t="inlineStr">
        <is>
          <t>49.99</t>
        </is>
      </c>
      <c r="L4975" t="n">
        <v>71.95999999999999</v>
      </c>
      <c r="M4975" s="1" t="inlineStr">
        <is>
          <t>43.95%</t>
        </is>
      </c>
      <c r="N4975" s="7" t="n">
        <v>-38.51</v>
      </c>
      <c r="O4975" t="n">
        <v>5</v>
      </c>
      <c r="P4975" t="n">
        <v>1</v>
      </c>
      <c r="R4975" t="inlineStr">
        <is>
          <t>InStock</t>
        </is>
      </c>
      <c r="S4975" t="inlineStr">
        <is>
          <t>69.98</t>
        </is>
      </c>
      <c r="T4975" t="inlineStr">
        <is>
          <t>4094849613924</t>
        </is>
      </c>
    </row>
    <row r="4976" hidden="1" ht="15.75" customHeight="1">
      <c r="A4976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4976" s="2">
        <f>HYPERLINK("https://edmondsonsupply.com/products/klein-tools-66077-flip-impact-socket-7-16-and-3-8-inch", "https://edmondsonsupply.com/products/klein-tools-66077-flip-impact-socket-7-16-and-3-8-inch")</f>
        <v/>
      </c>
      <c r="C4976" t="inlineStr">
        <is>
          <t>Klein Tools 66077 Flip Impact Socket, 7/16 and 3/8-Inch</t>
        </is>
      </c>
      <c r="D4976" t="inlineStr">
        <is>
          <t>Klein Tools 32768 Impact Driver, 3-in-1 Impact Flip Socket and Bit Holder, 1/4 and 5/16-Inch Hex Drivers, 3 and 5-Inch Lengths, 2-Piece Set</t>
        </is>
      </c>
      <c r="E4976" s="2">
        <f>HYPERLINK("https://www.amazon.com/16-Inch-Drivers-Klein-Tools-32768/dp/B09Q52LQ5G/ref=sr_1_5?keywords=Klein+Tools+66077+Flip+Impact+Socket%2C+7%2F16+and+3%2F8-Inch&amp;qid=1694735129&amp;sr=8-5", "https://www.amazon.com/16-Inch-Drivers-Klein-Tools-32768/dp/B09Q52LQ5G/ref=sr_1_5?keywords=Klein+Tools+66077+Flip+Impact+Socket%2C+7%2F16+and+3%2F8-Inch&amp;qid=1694735129&amp;sr=8-5")</f>
        <v/>
      </c>
      <c r="F4976" t="inlineStr">
        <is>
          <t>B09Q52LQ5G</t>
        </is>
      </c>
      <c r="G4976">
        <f>_xludf.IMAGE("https://edmondsonsupply.com/cdn/shop/products/66077.jpg?v=1663082226")</f>
        <v/>
      </c>
      <c r="H4976">
        <f>_xludf.IMAGE("https://m.media-amazon.com/images/I/51WsqEdVfRL._AC_UL320_.jpg")</f>
        <v/>
      </c>
      <c r="K4976" t="inlineStr">
        <is>
          <t>10.43</t>
        </is>
      </c>
      <c r="L4976" t="n">
        <v>14.99</v>
      </c>
      <c r="M4976" s="1" t="inlineStr">
        <is>
          <t>43.72%</t>
        </is>
      </c>
      <c r="N4976" s="1" t="n">
        <v>-38.68</v>
      </c>
      <c r="O4976" t="n">
        <v>4.4</v>
      </c>
      <c r="P4976" t="n">
        <v>1270</v>
      </c>
      <c r="R4976" t="inlineStr">
        <is>
          <t>InStock</t>
        </is>
      </c>
      <c r="S4976" t="inlineStr">
        <is>
          <t>14.6</t>
        </is>
      </c>
      <c r="T4976" t="inlineStr">
        <is>
          <t>7814113165528</t>
        </is>
      </c>
    </row>
    <row r="4977" hidden="1" ht="15.75" customHeight="1">
      <c r="A4977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4977" s="2">
        <f>HYPERLINK("https://edmondsonsupply.com/products/diablo-tools-dmapl2240-3-8-in-x-10-in-x-12-in-sds-plus-2-cutter", "https://edmondsonsupply.com/products/diablo-tools-dmapl2240-3-8-in-x-10-in-x-12-in-sds-plus-2-cutter")</f>
        <v/>
      </c>
      <c r="C4977" t="inlineStr">
        <is>
          <t>Diablo Tools DMAPL2240 3/8 in. x 10 in. x 12 in. SDS-Plus 2-Cutter</t>
        </is>
      </c>
      <c r="D4977" t="inlineStr">
        <is>
          <t>Diablo DMAPL4055 3/16 in. x 10 in. x 12 in. Rebar Demon™ SDS-Plus 4-Cutter Full Carbide Head Hammer Bit</t>
        </is>
      </c>
      <c r="E4977" s="2">
        <f>HYPERLINK("https://www.amazon.com/Diablo-DMAPL4055-SDS-Plus-4-Cutter-Carbide/dp/B089LJCD42/ref=sr_1_23?keywords=Diablo+Tools+DMAPL2240+3%2F8+in.+x+10+in.+x+12+in.+SDS-Plus+2-Cutter&amp;qid=1694735297&amp;sr=8-23", "https://www.amazon.com/Diablo-DMAPL4055-SDS-Plus-4-Cutter-Carbide/dp/B089LJCD42/ref=sr_1_23?keywords=Diablo+Tools+DMAPL2240+3%2F8+in.+x+10+in.+x+12+in.+SDS-Plus+2-Cutter&amp;qid=1694735297&amp;sr=8-23")</f>
        <v/>
      </c>
      <c r="F4977" t="inlineStr">
        <is>
          <t>B089LJCD42</t>
        </is>
      </c>
      <c r="G4977">
        <f>_xludf.IMAGE("https://edmondsonsupply.com/cdn/shop/products/DMAPL2240-P25.jpg?v=1633030355")</f>
        <v/>
      </c>
      <c r="H4977">
        <f>_xludf.IMAGE("https://m.media-amazon.com/images/I/61cDOAhkb4L._AC_UL320_.jpg")</f>
        <v/>
      </c>
      <c r="K4977" t="inlineStr">
        <is>
          <t>10.97</t>
        </is>
      </c>
      <c r="L4977" t="n">
        <v>15.76</v>
      </c>
      <c r="M4977" s="1" t="inlineStr">
        <is>
          <t>43.66%</t>
        </is>
      </c>
      <c r="N4977" s="1" t="n">
        <v>-38.87</v>
      </c>
      <c r="O4977" t="n">
        <v>2</v>
      </c>
      <c r="P4977" t="n">
        <v>1</v>
      </c>
      <c r="R4977" t="inlineStr">
        <is>
          <t>InStock</t>
        </is>
      </c>
      <c r="S4977" t="inlineStr">
        <is>
          <t>12.38</t>
        </is>
      </c>
      <c r="T4977" t="inlineStr">
        <is>
          <t>5286161252520</t>
        </is>
      </c>
    </row>
    <row r="4978" hidden="1" ht="15.75" customHeight="1">
      <c r="A497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497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4978" t="inlineStr">
        <is>
          <t>Diablo Tools DMAPL4220 5/8 in. x 6 in. x 8 in. Rebar Demon™ SDS-Plus 4-Cutter Full Carbide Head Hammer Bit</t>
        </is>
      </c>
      <c r="D4978" t="inlineStr">
        <is>
          <t>Diablo DMAPL4055 3/16 in. x 10 in. x 12 in. Rebar Demon™ SDS-Plus 4-Cutter Full Carbide Head Hammer Bit</t>
        </is>
      </c>
      <c r="E4978" s="2">
        <f>HYPERLINK("https://www.amazon.com/Diablo-DMAPL4055-SDS-Plus-4-Cutter-Carbide/dp/B089LJCD42/ref=sr_1_28?keywords=Diablo+Tools+DMAPL4220+5%2F8+in.+x+6+in.+x+8+in.+Rebar+Demon%E2%84%A2+SDS-Plus+4-Cutter+Full+Carbide+Head+Hammer+Bit&amp;qid=1694735306&amp;sr=8-28", "https://www.amazon.com/Diablo-DMAPL4055-SDS-Plus-4-Cutter-Carbide/dp/B089LJCD42/ref=sr_1_28?keywords=Diablo+Tools+DMAPL4220+5%2F8+in.+x+6+in.+x+8+in.+Rebar+Demon%E2%84%A2+SDS-Plus+4-Cutter+Full+Carbide+Head+Hammer+Bit&amp;qid=1694735306&amp;sr=8-28")</f>
        <v/>
      </c>
      <c r="F4978" t="inlineStr">
        <is>
          <t>B089LJCD42</t>
        </is>
      </c>
      <c r="G4978">
        <f>_xludf.IMAGE("https://edmondsonsupply.com/cdn/shop/products/DMAPL4220.jpg?v=1633030355")</f>
        <v/>
      </c>
      <c r="H4978">
        <f>_xludf.IMAGE("https://m.media-amazon.com/images/I/61cDOAhkb4L._AC_UL320_.jpg")</f>
        <v/>
      </c>
      <c r="K4978" t="inlineStr">
        <is>
          <t>10.97</t>
        </is>
      </c>
      <c r="L4978" t="n">
        <v>15.76</v>
      </c>
      <c r="M4978" s="1" t="inlineStr">
        <is>
          <t>43.66%</t>
        </is>
      </c>
      <c r="N4978" s="1" t="n">
        <v>-38.88</v>
      </c>
      <c r="O4978" t="n">
        <v>2</v>
      </c>
      <c r="P4978" t="n">
        <v>1</v>
      </c>
      <c r="R4978" t="inlineStr">
        <is>
          <t>InStock</t>
        </is>
      </c>
      <c r="S4978" t="inlineStr">
        <is>
          <t>17.16</t>
        </is>
      </c>
      <c r="T4978" t="inlineStr">
        <is>
          <t>5286142148776</t>
        </is>
      </c>
    </row>
    <row r="4979" hidden="1" ht="15.75" customHeight="1">
      <c r="A4979" s="2">
        <f>HYPERLINK("https://edmondsonsupply.com/collections/electricians-tools/products/diablo-tools-dmamm1030-3-16-in-x-4-in-x-6-in-multi-material-carbide-tipped-hammer-drill-bit", "https://edmondsonsupply.com/collections/electricians-tools/products/diablo-tools-dmamm1030-3-16-in-x-4-in-x-6-in-multi-material-carbide-tipped-hammer-drill-bit")</f>
        <v/>
      </c>
      <c r="B4979" s="2">
        <f>HYPERLINK("https://edmondsonsupply.com/products/diablo-tools-dmamm1030-3-16-in-x-4-in-x-6-in-multi-material-carbide-tipped-hammer-drill-bit", "https://edmondsonsupply.com/products/diablo-tools-dmamm1030-3-16-in-x-4-in-x-6-in-multi-material-carbide-tipped-hammer-drill-bit")</f>
        <v/>
      </c>
      <c r="C4979" t="inlineStr">
        <is>
          <t>Diablo Tools DMAMM1030 3/16 in. x 4 in. x 6 in. Multi-Material Carbide Tipped Hammer Drill Bit</t>
        </is>
      </c>
      <c r="D4979" t="inlineStr">
        <is>
          <t>VALYRIANTOOL 24-Pack 3/16 Inch x 4 Inch SDS Plus Rotary Hammer Drill Bits Set, Carbide Tipped for Brick, Masonry, Stone and Concrete (3/16" x 2" x 4")</t>
        </is>
      </c>
      <c r="E4979" s="2">
        <f>HYPERLINK("https://www.amazon.com/VALYRIANTOOL-24-Pack-Carbide-Masonry-Concrete/dp/B0B67S3WZR/ref=sr_1_12?keywords=Diablo+Tools+DMAMM1030+3%2F16+in.+x+4+in.+x+6+in.+Multi-Material+Carbide+Tipped+Hammer+Drill+Bit&amp;qid=1694735000&amp;sr=8-12", "https://www.amazon.com/VALYRIANTOOL-24-Pack-Carbide-Masonry-Concrete/dp/B0B67S3WZR/ref=sr_1_12?keywords=Diablo+Tools+DMAMM1030+3%2F16+in.+x+4+in.+x+6+in.+Multi-Material+Carbide+Tipped+Hammer+Drill+Bit&amp;qid=1694735000&amp;sr=8-12")</f>
        <v/>
      </c>
      <c r="F4979" t="inlineStr">
        <is>
          <t>B0B67S3WZR</t>
        </is>
      </c>
      <c r="G4979">
        <f>_xludf.IMAGE("https://edmondsonsupply.com/cdn/shop/products/o0c0wf8feit5uxkyh0x8.webp?v=1680186241")</f>
        <v/>
      </c>
      <c r="H4979">
        <f>_xludf.IMAGE("https://m.media-amazon.com/images/I/61D6EXK5R-L._AC_UL320_.jpg")</f>
        <v/>
      </c>
      <c r="K4979" t="inlineStr">
        <is>
          <t>6.97</t>
        </is>
      </c>
      <c r="L4979" t="n">
        <v>9.99</v>
      </c>
      <c r="M4979" s="1" t="inlineStr">
        <is>
          <t>43.33%</t>
        </is>
      </c>
      <c r="N4979" s="1" t="n">
        <v>-39.27</v>
      </c>
      <c r="O4979" t="n">
        <v>3.6</v>
      </c>
      <c r="P4979" t="n">
        <v>4</v>
      </c>
      <c r="R4979" t="inlineStr">
        <is>
          <t>InStock</t>
        </is>
      </c>
      <c r="S4979" t="inlineStr">
        <is>
          <t>undefined</t>
        </is>
      </c>
      <c r="T4979" t="inlineStr">
        <is>
          <t>7970452766936</t>
        </is>
      </c>
    </row>
    <row r="4980" hidden="1" ht="15.75" customHeight="1">
      <c r="A4980" s="2">
        <f>HYPERLINK("https://edmondsonsupply.com/collections/electricians-tools/products/diablo-tools-dmamm1030-3-16-in-x-4-in-x-6-in-multi-material-carbide-tipped-hammer-drill-bit", "https://edmondsonsupply.com/collections/electricians-tools/products/diablo-tools-dmamm1030-3-16-in-x-4-in-x-6-in-multi-material-carbide-tipped-hammer-drill-bit")</f>
        <v/>
      </c>
      <c r="B4980" s="2">
        <f>HYPERLINK("https://edmondsonsupply.com/products/diablo-tools-dmamm1030-3-16-in-x-4-in-x-6-in-multi-material-carbide-tipped-hammer-drill-bit", "https://edmondsonsupply.com/products/diablo-tools-dmamm1030-3-16-in-x-4-in-x-6-in-multi-material-carbide-tipped-hammer-drill-bit")</f>
        <v/>
      </c>
      <c r="C4980" t="inlineStr">
        <is>
          <t>Diablo Tools DMAMM1030 3/16 in. x 4 in. x 6 in. Multi-Material Carbide Tipped Hammer Drill Bit</t>
        </is>
      </c>
      <c r="D4980" t="inlineStr">
        <is>
          <t>VALYRIANTOOL 10-Pack 3/16 Inch x 6 Inch SDS Plus Rotary Hammer Drill Bits Set, Carbide Tipped for Brick, Masonry, Stone and Concrete (3/16" x 4" x 6")</t>
        </is>
      </c>
      <c r="E4980" s="2">
        <f>HYPERLINK("https://www.amazon.com/VALYRIANTOOL-10-Pack-Carbide-Masonry-Concrete/dp/B07W6KYD3F/ref=sr_1_10?keywords=Diablo+Tools+DMAMM1030+3%2F16+in.+x+4+in.+x+6+in.+Multi-Material+Carbide+Tipped+Hammer+Drill+Bit&amp;qid=1694735000&amp;sr=8-10", "https://www.amazon.com/VALYRIANTOOL-10-Pack-Carbide-Masonry-Concrete/dp/B07W6KYD3F/ref=sr_1_10?keywords=Diablo+Tools+DMAMM1030+3%2F16+in.+x+4+in.+x+6+in.+Multi-Material+Carbide+Tipped+Hammer+Drill+Bit&amp;qid=1694735000&amp;sr=8-10")</f>
        <v/>
      </c>
      <c r="F4980" t="inlineStr">
        <is>
          <t>B07W6KYD3F</t>
        </is>
      </c>
      <c r="G4980">
        <f>_xludf.IMAGE("https://edmondsonsupply.com/cdn/shop/products/o0c0wf8feit5uxkyh0x8.webp?v=1680186241")</f>
        <v/>
      </c>
      <c r="H4980">
        <f>_xludf.IMAGE("https://m.media-amazon.com/images/I/61gzmHF8KQL._AC_UL320_.jpg")</f>
        <v/>
      </c>
      <c r="K4980" t="inlineStr">
        <is>
          <t>6.97</t>
        </is>
      </c>
      <c r="L4980" t="n">
        <v>9.99</v>
      </c>
      <c r="M4980" s="1" t="inlineStr">
        <is>
          <t>43.33%</t>
        </is>
      </c>
      <c r="N4980" s="1" t="n">
        <v>-39.3</v>
      </c>
      <c r="O4980" t="n">
        <v>4.3</v>
      </c>
      <c r="P4980" t="n">
        <v>47</v>
      </c>
      <c r="R4980" t="inlineStr">
        <is>
          <t>InStock</t>
        </is>
      </c>
      <c r="S4980" t="inlineStr">
        <is>
          <t>undefined</t>
        </is>
      </c>
      <c r="T4980" t="inlineStr">
        <is>
          <t>7970452766936</t>
        </is>
      </c>
    </row>
    <row r="4981" hidden="1" ht="15.75" customHeight="1">
      <c r="A4981" s="2">
        <f>HYPERLINK("https://edmondsonsupply.com/collections/electricians-tools/products/diablo-tools-dmamm1030-3-16-in-x-4-in-x-6-in-multi-material-carbide-tipped-hammer-drill-bit", "https://edmondsonsupply.com/collections/electricians-tools/products/diablo-tools-dmamm1030-3-16-in-x-4-in-x-6-in-multi-material-carbide-tipped-hammer-drill-bit")</f>
        <v/>
      </c>
      <c r="B4981" s="2">
        <f>HYPERLINK("https://edmondsonsupply.com/products/diablo-tools-dmamm1030-3-16-in-x-4-in-x-6-in-multi-material-carbide-tipped-hammer-drill-bit", "https://edmondsonsupply.com/products/diablo-tools-dmamm1030-3-16-in-x-4-in-x-6-in-multi-material-carbide-tipped-hammer-drill-bit")</f>
        <v/>
      </c>
      <c r="C4981" t="inlineStr">
        <is>
          <t>Diablo Tools DMAMM1030 3/16 in. x 4 in. x 6 in. Multi-Material Carbide Tipped Hammer Drill Bit</t>
        </is>
      </c>
      <c r="D4981" t="inlineStr">
        <is>
          <t>Diablo by Freud DMAPL2920 3/16 in. x 3-1/2 in. x 6 in. SDS-Plus Full Carbide Head Concrete Anchor Hammer Drill Bit Multi, One Size</t>
        </is>
      </c>
      <c r="E4981" s="2">
        <f>HYPERLINK("https://www.amazon.com/Diablo-Carbide-Concrete-Anchor-Hammer/dp/B089KWDK51/ref=sr_1_13?keywords=Diablo+Tools+DMAMM1030+3%2F16+in.+x+4+in.+x+6+in.+Multi-Material+Carbide+Tipped+Hammer+Drill+Bit&amp;qid=1694735000&amp;sr=8-13", "https://www.amazon.com/Diablo-Carbide-Concrete-Anchor-Hammer/dp/B089KWDK51/ref=sr_1_13?keywords=Diablo+Tools+DMAMM1030+3%2F16+in.+x+4+in.+x+6+in.+Multi-Material+Carbide+Tipped+Hammer+Drill+Bit&amp;qid=1694735000&amp;sr=8-13")</f>
        <v/>
      </c>
      <c r="F4981" t="inlineStr">
        <is>
          <t>B089KWDK51</t>
        </is>
      </c>
      <c r="G4981">
        <f>_xludf.IMAGE("https://edmondsonsupply.com/cdn/shop/products/o0c0wf8feit5uxkyh0x8.webp?v=1680186241")</f>
        <v/>
      </c>
      <c r="H4981">
        <f>_xludf.IMAGE("https://m.media-amazon.com/images/I/61VCLLn-a7L._AC_UL320_.jpg")</f>
        <v/>
      </c>
      <c r="K4981" t="inlineStr">
        <is>
          <t>6.97</t>
        </is>
      </c>
      <c r="L4981" t="n">
        <v>9.99</v>
      </c>
      <c r="M4981" s="1" t="inlineStr">
        <is>
          <t>43.33%</t>
        </is>
      </c>
      <c r="N4981" s="1" t="n">
        <v>-39.45</v>
      </c>
      <c r="O4981" t="n">
        <v>3</v>
      </c>
      <c r="P4981" t="n">
        <v>1</v>
      </c>
      <c r="R4981" t="inlineStr">
        <is>
          <t>InStock</t>
        </is>
      </c>
      <c r="S4981" t="inlineStr">
        <is>
          <t>undefined</t>
        </is>
      </c>
      <c r="T4981" t="inlineStr">
        <is>
          <t>7970452766936</t>
        </is>
      </c>
    </row>
    <row r="4982" ht="87" customHeight="1">
      <c r="A4982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4982" s="2">
        <f>HYPERLINK("https://edmondsonsupply.com/products/klein-tools-935ab4v-accu-bend%e2%84%a2-level-4-vial-rem", "https://edmondsonsupply.com/products/klein-tools-935ab4v-accu-bend%e2%84%a2-level-4-vial-rem")</f>
        <v/>
      </c>
      <c r="C4982" t="inlineStr">
        <is>
          <t>Klein Tools 935AB4V ACCU-BEND™ Level, 4-Vial</t>
        </is>
      </c>
      <c r="D4982" t="inlineStr">
        <is>
          <t>Klein Tools 935AB4V Level, Torpedo Level is a Magnetic Conduit Level with 4 Vials, V-Groove and Magnet Track, High Viz Orange &amp; 935AB1V Level, Offset Conduit Bending Level, 1 Vial</t>
        </is>
      </c>
      <c r="E4982" s="2">
        <f>HYPERLINK("https://www.amazon.com/Klein-Tools-935AB4V-Magnetic-V-Groove/dp/B093PWX8G7/ref=sr_1_3?keywords=Klein+Tools+935AB4V+ACCU-BEND%E2%84%A2+Level%2C+4-Vial&amp;qid=1694735422&amp;sr=8-3", "https://www.amazon.com/Klein-Tools-935AB4V-Magnetic-V-Groove/dp/B093PWX8G7/ref=sr_1_3?keywords=Klein+Tools+935AB4V+ACCU-BEND%E2%84%A2+Level%2C+4-Vial&amp;qid=1694735422&amp;sr=8-3")</f>
        <v/>
      </c>
      <c r="F4982" t="inlineStr">
        <is>
          <t>B093PWX8G7</t>
        </is>
      </c>
      <c r="G4982">
        <f>_xlfn.IMAGE("https://edmondsonsupply.com/cdn/shop/files/935ab4v_b.jpg?v=1685715011")</f>
        <v/>
      </c>
      <c r="H4982">
        <f>_xlfn.IMAGE("https://m.media-amazon.com/images/I/51s0xzw+gnS._AC_UL320_.jpg")</f>
        <v/>
      </c>
      <c r="K4982" t="inlineStr">
        <is>
          <t>29.97</t>
        </is>
      </c>
      <c r="L4982" t="n">
        <v>42.94</v>
      </c>
      <c r="M4982" s="1" t="inlineStr">
        <is>
          <t>43.28%</t>
        </is>
      </c>
      <c r="N4982" s="7" t="n">
        <v>-39.65</v>
      </c>
      <c r="O4982" t="n">
        <v>4.9</v>
      </c>
      <c r="P4982" t="n">
        <v>64</v>
      </c>
      <c r="R4982" t="inlineStr">
        <is>
          <t>InStock</t>
        </is>
      </c>
      <c r="S4982" t="inlineStr">
        <is>
          <t>42.0</t>
        </is>
      </c>
      <c r="T4982" t="inlineStr">
        <is>
          <t>2766878081124</t>
        </is>
      </c>
    </row>
    <row r="4983" hidden="1" ht="15.75" customHeight="1">
      <c r="A4983" s="2">
        <f>HYPERLINK("https://edmondsonsupply.com/collections/electricians-tools/products/klein-tools-70581-8-key-folding-hex-key-set-1-20-to-5-32-inch-sae", "https://edmondsonsupply.com/collections/electricians-tools/products/klein-tools-70581-8-key-folding-hex-key-set-1-20-to-5-32-inch-sae")</f>
        <v/>
      </c>
      <c r="B4983" s="2">
        <f>HYPERLINK("https://edmondsonsupply.com/products/klein-tools-70581-8-key-folding-hex-key-set-1-20-to-5-32-inch-sae", "https://edmondsonsupply.com/products/klein-tools-70581-8-key-folding-hex-key-set-1-20-to-5-32-inch-sae")</f>
        <v/>
      </c>
      <c r="C4983" t="inlineStr">
        <is>
          <t>Klein Tools 70581 Folding Hex Key Set, 8-Key, SAE Sizes</t>
        </is>
      </c>
      <c r="D4983" t="inlineStr">
        <is>
          <t>Klein Tools 70570 Grip-It Hex Key Set, 5-Key, SAE Sizes</t>
        </is>
      </c>
      <c r="E4983" s="2">
        <f>HYPERLINK("https://www.amazon.com/Grip-Five-Key-Hex-Set/dp/B0002RI8OQ/ref=sr_1_5?keywords=Klein+Tools+70581+Folding+Hex+Key+Set%2C+8-Key%2C+SAE+Sizes&amp;qid=1694735356&amp;sr=8-5", "https://www.amazon.com/Grip-Five-Key-Hex-Set/dp/B0002RI8OQ/ref=sr_1_5?keywords=Klein+Tools+70581+Folding+Hex+Key+Set%2C+8-Key%2C+SAE+Sizes&amp;qid=1694735356&amp;sr=8-5")</f>
        <v/>
      </c>
      <c r="F4983" t="inlineStr">
        <is>
          <t>B0002RI8OQ</t>
        </is>
      </c>
      <c r="G4983">
        <f>_xludf.IMAGE("https://edmondsonsupply.com/cdn/shop/products/70581.jpg?v=1587143189")</f>
        <v/>
      </c>
      <c r="H4983">
        <f>_xludf.IMAGE("https://m.media-amazon.com/images/I/5115q-e5mbL._AC_UL320_.jpg")</f>
        <v/>
      </c>
      <c r="K4983" t="inlineStr">
        <is>
          <t>6.97</t>
        </is>
      </c>
      <c r="L4983" t="n">
        <v>9.98</v>
      </c>
      <c r="M4983" s="1" t="inlineStr">
        <is>
          <t>43.19%</t>
        </is>
      </c>
      <c r="N4983" s="1" t="n">
        <v>-39.7</v>
      </c>
      <c r="O4983" t="n">
        <v>4.6</v>
      </c>
      <c r="P4983" t="n">
        <v>159</v>
      </c>
      <c r="R4983" t="inlineStr">
        <is>
          <t>InStock</t>
        </is>
      </c>
      <c r="S4983" t="inlineStr">
        <is>
          <t>10.56</t>
        </is>
      </c>
      <c r="T4983" t="inlineStr">
        <is>
          <t>4432219865188</t>
        </is>
      </c>
    </row>
    <row r="4984" ht="87" customHeight="1">
      <c r="A4984" s="2">
        <f>HYPERLINK("https://edmondsonsupply.com/collections/electricians-tools/products/diablo-tools-dag", "https://edmondsonsupply.com/collections/electricians-tools/products/diablo-tools-dag")</f>
        <v/>
      </c>
      <c r="B4984" s="2">
        <f>HYPERLINK("https://edmondsonsupply.com/products/diablo-tools-dag", "https://edmondsonsupply.com/products/diablo-tools-dag")</f>
        <v/>
      </c>
      <c r="C4984" t="inlineStr">
        <is>
          <t>Diablo Tools DAG3010 3/8 in. x 17-1/2 in. Auger Bit</t>
        </is>
      </c>
      <c r="D4984" t="inlineStr">
        <is>
          <t>Diablo 3/4 in. x 17-1/2 in. Auger Bit</t>
        </is>
      </c>
      <c r="E4984" s="2">
        <f>HYPERLINK("https://www.amazon.com/Diablo-17-1-Auger-Bit/dp/B089LHKRPP/ref=sr_1_8?keywords=Diablo+Tools+DAG3010+3%2F8+in.+x+17-1%2F2+in.+Auger+Bit&amp;qid=1694735073&amp;sr=8-8", "https://www.amazon.com/Diablo-17-1-Auger-Bit/dp/B089LHKRPP/ref=sr_1_8?keywords=Diablo+Tools+DAG3010+3%2F8+in.+x+17-1%2F2+in.+Auger+Bit&amp;qid=1694735073&amp;sr=8-8")</f>
        <v/>
      </c>
      <c r="F4984" t="inlineStr">
        <is>
          <t>B089LHKRPP</t>
        </is>
      </c>
      <c r="G4984">
        <f>_xlfn.IMAGE("https://edmondsonsupply.com/cdn/shop/products/xfctdbahz5wx3g461fm8.webp?v=1669991052")</f>
        <v/>
      </c>
      <c r="H4984">
        <f>_xlfn.IMAGE("https://m.media-amazon.com/images/I/61aMNURt08L._AC_UL320_.jpg")</f>
        <v/>
      </c>
      <c r="K4984" t="inlineStr">
        <is>
          <t>17.47</t>
        </is>
      </c>
      <c r="L4984" t="n">
        <v>25</v>
      </c>
      <c r="M4984" s="1" t="inlineStr">
        <is>
          <t>43.10%</t>
        </is>
      </c>
      <c r="N4984" s="7" t="n">
        <v>-39.99</v>
      </c>
      <c r="O4984" t="n">
        <v>4.6</v>
      </c>
      <c r="P4984" t="n">
        <v>61</v>
      </c>
      <c r="R4984" t="inlineStr">
        <is>
          <t>InStock</t>
        </is>
      </c>
      <c r="S4984" t="inlineStr">
        <is>
          <t>25.04</t>
        </is>
      </c>
      <c r="T4984" t="inlineStr">
        <is>
          <t>7897480921304</t>
        </is>
      </c>
    </row>
    <row r="4985" ht="87" customHeight="1">
      <c r="A4985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4985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4985" t="inlineStr">
        <is>
          <t>Klein Tools 600-6 5/16-Inch Keystone Screwdriver 6-Inch SQ Shank</t>
        </is>
      </c>
      <c r="D4985" t="inlineStr">
        <is>
          <t>Klein Tools 602-7DD 5/16-Inch Keystone Demolition Driver, 7-Inch Shank</t>
        </is>
      </c>
      <c r="E4985" s="2">
        <f>HYPERLINK("https://www.amazon.com/16-Inch-Keystone-Demolition-Klein-Tools/dp/B00B9HIBYA/ref=sr_1_6?keywords=Klein+Tools+600-6+5%2F16-Inch+Keystone+Screwdriver+6-Inch+SQ+Shank&amp;qid=1694735292&amp;sr=8-6", "https://www.amazon.com/16-Inch-Keystone-Demolition-Klein-Tools/dp/B00B9HIBYA/ref=sr_1_6?keywords=Klein+Tools+600-6+5%2F16-Inch+Keystone+Screwdriver+6-Inch+SQ+Shank&amp;qid=1694735292&amp;sr=8-6")</f>
        <v/>
      </c>
      <c r="F4985" t="inlineStr">
        <is>
          <t>B00B9HIBYA</t>
        </is>
      </c>
      <c r="G4985">
        <f>_xlfn.IMAGE("https://edmondsonsupply.com/cdn/shop/products/600-6.jpg?v=1633030381")</f>
        <v/>
      </c>
      <c r="H4985">
        <f>_xlfn.IMAGE("https://m.media-amazon.com/images/I/41sh3Q2vVYL._AC_UL320_.jpg")</f>
        <v/>
      </c>
      <c r="K4985" t="inlineStr">
        <is>
          <t>13.97</t>
        </is>
      </c>
      <c r="L4985" t="n">
        <v>19.99</v>
      </c>
      <c r="M4985" s="1" t="inlineStr">
        <is>
          <t>43.09%</t>
        </is>
      </c>
      <c r="N4985" s="7" t="n">
        <v>-40.01</v>
      </c>
      <c r="O4985" t="n">
        <v>4.8</v>
      </c>
      <c r="P4985" t="n">
        <v>1374</v>
      </c>
      <c r="R4985" t="inlineStr">
        <is>
          <t>InStock</t>
        </is>
      </c>
      <c r="S4985" t="inlineStr">
        <is>
          <t>18.5</t>
        </is>
      </c>
      <c r="T4985" t="inlineStr">
        <is>
          <t>5296722542760</t>
        </is>
      </c>
    </row>
    <row r="4986" ht="87" customHeight="1">
      <c r="A4986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4986" s="2">
        <f>HYPERLINK("https://edmondsonsupply.com/products/klein-tools-32500mag-11-in-1-magnetic-screwdriver-nut-driver", "https://edmondsonsupply.com/products/klein-tools-32500mag-11-in-1-magnetic-screwdriver-nut-driver")</f>
        <v/>
      </c>
      <c r="C4986" t="inlineStr">
        <is>
          <t>Klein Tools 32500MAG 11-in-1 Magnetic Screwdriver / Nut Driver</t>
        </is>
      </c>
      <c r="D4986" t="inlineStr">
        <is>
          <t>Klein Tools 32535 10-in-1 10 Fold Screwdriver / Nut Driver</t>
        </is>
      </c>
      <c r="E4986" s="2">
        <f>HYPERLINK("https://www.amazon.com/Klein-Tools-32535-10-Fold-Screwdriver/dp/B0031BX54I/ref=sr_1_28?keywords=Klein+Tools+32500MAG+11-in-1+Magnetic+Screwdriver+%2F+Nut+Driver&amp;qid=1694735235&amp;sr=8-28", "https://www.amazon.com/Klein-Tools-32535-10-Fold-Screwdriver/dp/B0031BX54I/ref=sr_1_28?keywords=Klein+Tools+32500MAG+11-in-1+Magnetic+Screwdriver+%2F+Nut+Driver&amp;qid=1694735235&amp;sr=8-28")</f>
        <v/>
      </c>
      <c r="F4986" t="inlineStr">
        <is>
          <t>B0031BX54I</t>
        </is>
      </c>
      <c r="G4986">
        <f>_xlfn.IMAGE("https://edmondsonsupply.com/cdn/shop/products/32500mag.jpg?v=1633030832")</f>
        <v/>
      </c>
      <c r="H4986">
        <f>_xlfn.IMAGE("https://m.media-amazon.com/images/I/51e7QvMcFLL._AC_UL320_.jpg")</f>
        <v/>
      </c>
      <c r="K4986" t="inlineStr">
        <is>
          <t>20.97</t>
        </is>
      </c>
      <c r="L4986" t="n">
        <v>29.99</v>
      </c>
      <c r="M4986" s="1" t="inlineStr">
        <is>
          <t>43.01%</t>
        </is>
      </c>
      <c r="N4986" s="7" t="n">
        <v>-40.01</v>
      </c>
      <c r="O4986" t="n">
        <v>4.6</v>
      </c>
      <c r="P4986" t="n">
        <v>871</v>
      </c>
      <c r="R4986" t="inlineStr">
        <is>
          <t>InStock</t>
        </is>
      </c>
      <c r="S4986" t="inlineStr">
        <is>
          <t>29.38</t>
        </is>
      </c>
      <c r="T4986" t="inlineStr">
        <is>
          <t>6082199814317</t>
        </is>
      </c>
    </row>
    <row r="4987" ht="87" customHeight="1">
      <c r="A4987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4987" s="2">
        <f>HYPERLINK("https://edmondsonsupply.com/products/klein-tools-32500mag-11-in-1-magnetic-screwdriver-nut-driver", "https://edmondsonsupply.com/products/klein-tools-32500mag-11-in-1-magnetic-screwdriver-nut-driver")</f>
        <v/>
      </c>
      <c r="C4987" t="inlineStr">
        <is>
          <t>Klein Tools 32500MAG 11-in-1 Magnetic Screwdriver / Nut Driver</t>
        </is>
      </c>
      <c r="D4987" t="inlineStr">
        <is>
          <t>Klein Tools 80045 Screwdriver and Nut Driver Tool Kit, Includes Magnetic 11 in 1, Multi-Bit Stubby and Electronics Screwdrivers, 3-Piece</t>
        </is>
      </c>
      <c r="E4987" s="2">
        <f>HYPERLINK("https://www.amazon.com/Klein-Tools-80045-Screwdriver-Screwdrivers/dp/B0977S63RW/ref=sr_1_2?keywords=Klein+Tools+32500MAG+11-in-1+Magnetic+Screwdriver+%2F+Nut+Driver&amp;qid=1694735235&amp;sr=8-2", "https://www.amazon.com/Klein-Tools-80045-Screwdriver-Screwdrivers/dp/B0977S63RW/ref=sr_1_2?keywords=Klein+Tools+32500MAG+11-in-1+Magnetic+Screwdriver+%2F+Nut+Driver&amp;qid=1694735235&amp;sr=8-2")</f>
        <v/>
      </c>
      <c r="F4987" t="inlineStr">
        <is>
          <t>B0977S63RW</t>
        </is>
      </c>
      <c r="G4987">
        <f>_xlfn.IMAGE("https://edmondsonsupply.com/cdn/shop/products/32500mag.jpg?v=1633030832")</f>
        <v/>
      </c>
      <c r="H4987">
        <f>_xlfn.IMAGE("https://m.media-amazon.com/images/I/51utneNxWTS._AC_UL320_.jpg")</f>
        <v/>
      </c>
      <c r="K4987" t="inlineStr">
        <is>
          <t>20.97</t>
        </is>
      </c>
      <c r="L4987" t="n">
        <v>29.99</v>
      </c>
      <c r="M4987" s="1" t="inlineStr">
        <is>
          <t>43.01%</t>
        </is>
      </c>
      <c r="N4987" s="7" t="n">
        <v>-40.01</v>
      </c>
      <c r="O4987" t="n">
        <v>4.7</v>
      </c>
      <c r="P4987" t="n">
        <v>9173</v>
      </c>
      <c r="R4987" t="inlineStr">
        <is>
          <t>InStock</t>
        </is>
      </c>
      <c r="S4987" t="inlineStr">
        <is>
          <t>29.38</t>
        </is>
      </c>
      <c r="T4987" t="inlineStr">
        <is>
          <t>6082199814317</t>
        </is>
      </c>
    </row>
    <row r="4988" ht="87" customHeight="1">
      <c r="A4988" s="2">
        <f>HYPERLINK("https://edmondsonsupply.com/collections/electricians-tools/products/diablo-tools-dmaplcc1010-1-in-sds-plus-thin-wall-carbide-tipped-core-bit", "https://edmondsonsupply.com/collections/electricians-tools/products/diablo-tools-dmaplcc1010-1-in-sds-plus-thin-wall-carbide-tipped-core-bit")</f>
        <v/>
      </c>
      <c r="B4988" s="2">
        <f>HYPERLINK("https://edmondsonsupply.com/products/diablo-tools-dmaplcc1010-1-in-sds-plus-thin-wall-carbide-tipped-core-bit", "https://edmondsonsupply.com/products/diablo-tools-dmaplcc1010-1-in-sds-plus-thin-wall-carbide-tipped-core-bit")</f>
        <v/>
      </c>
      <c r="C4988" t="inlineStr">
        <is>
          <t>Diablo Tools DMAPLCC1010 1 in. SDS‑Plus Thin Wall Carbide Tipped Core Bit</t>
        </is>
      </c>
      <c r="D4988" t="inlineStr">
        <is>
          <t>Diablo DMAPLCC1060 2-9/16 in. SDS-Plus Thin Wall Carbide Tipped Core Bit</t>
        </is>
      </c>
      <c r="E4988" s="2">
        <f>HYPERLINK("https://www.amazon.com/Diablo-DMAPLCC1060-SDS-Plus-Carbide-Tipped/dp/B089M6MV7R/ref=sr_1_2?keywords=Diablo+Tools+DMAPLCC1010+1+in.+SDS%E2%80%91Plus+Thin+Wall+Carbide+Tipped+Core+Bit&amp;qid=1694735288&amp;sr=8-2", "https://www.amazon.com/Diablo-DMAPLCC1060-SDS-Plus-Carbide-Tipped/dp/B089M6MV7R/ref=sr_1_2?keywords=Diablo+Tools+DMAPLCC1010+1+in.+SDS%E2%80%91Plus+Thin+Wall+Carbide+Tipped+Core+Bit&amp;qid=1694735288&amp;sr=8-2")</f>
        <v/>
      </c>
      <c r="F4988" t="inlineStr">
        <is>
          <t>B089M6MV7R</t>
        </is>
      </c>
      <c r="G4988">
        <f>_xlfn.IMAGE("https://edmondsonsupply.com/cdn/shop/products/DMAPLCC1010_Main-Image20200513.png?v=1633030478")</f>
        <v/>
      </c>
      <c r="H4988">
        <f>_xlfn.IMAGE("https://m.media-amazon.com/images/I/81PPtfOvyLL._AC_UL320_.jpg")</f>
        <v/>
      </c>
      <c r="K4988" t="inlineStr">
        <is>
          <t>34.97</t>
        </is>
      </c>
      <c r="L4988" t="n">
        <v>49.99</v>
      </c>
      <c r="M4988" s="1" t="inlineStr">
        <is>
          <t>42.95%</t>
        </is>
      </c>
      <c r="N4988" s="7" t="n">
        <v>-40.01</v>
      </c>
      <c r="O4988" t="n">
        <v>4.8</v>
      </c>
      <c r="P4988" t="n">
        <v>7</v>
      </c>
      <c r="R4988" t="inlineStr">
        <is>
          <t>InStock</t>
        </is>
      </c>
      <c r="S4988" t="inlineStr">
        <is>
          <t>50.0</t>
        </is>
      </c>
      <c r="T4988" t="inlineStr">
        <is>
          <t>5369335185576</t>
        </is>
      </c>
    </row>
    <row r="4989" ht="87" customHeight="1">
      <c r="A4989" s="2">
        <f>HYPERLINK("https://edmondsonsupply.com/collections/electricians-tools/products/klein-tools-50550-glow-in-the-dark-fish-tape-20-foot", "https://edmondsonsupply.com/collections/electricians-tools/products/klein-tools-50550-glow-in-the-dark-fish-tape-20-foot")</f>
        <v/>
      </c>
      <c r="B4989" s="2">
        <f>HYPERLINK("https://edmondsonsupply.com/products/klein-tools-50550-glow-in-the-dark-fish-tape-20-foot", "https://edmondsonsupply.com/products/klein-tools-50550-glow-in-the-dark-fish-tape-20-foot")</f>
        <v/>
      </c>
      <c r="C4989" t="inlineStr">
        <is>
          <t>Klein Tools 50550 Glow in the Dark Fish Tape, 20-Foot</t>
        </is>
      </c>
      <c r="D4989" t="inlineStr">
        <is>
          <t>Klein Tools 80050 Fish Tape, Glow Fish Tape Kit with 20-Foot Fiberglass Tape, Illuminated Fish Rod Tip and Fish Rod Attachments, 6-Piece</t>
        </is>
      </c>
      <c r="E4989" s="2">
        <f>HYPERLINK("https://www.amazon.com/Illuminated-Attachments-Klein-Tools-80050/dp/B09FRBGCZD/ref=sr_1_3?keywords=Klein+Tools+50550+Glow+in+the+Dark+Fish+Tape%2C+20-Foot&amp;qid=1694735158&amp;sr=8-3", "https://www.amazon.com/Illuminated-Attachments-Klein-Tools-80050/dp/B09FRBGCZD/ref=sr_1_3?keywords=Klein+Tools+50550+Glow+in+the+Dark+Fish+Tape%2C+20-Foot&amp;qid=1694735158&amp;sr=8-3")</f>
        <v/>
      </c>
      <c r="F4989" t="inlineStr">
        <is>
          <t>B09FRBGCZD</t>
        </is>
      </c>
      <c r="G4989">
        <f>_xlfn.IMAGE("https://edmondsonsupply.com/cdn/shop/products/50550_c.jpg?v=1650066147")</f>
        <v/>
      </c>
      <c r="H4989">
        <f>_xlfn.IMAGE("https://m.media-amazon.com/images/I/51K8WFeudSL._AC_UL320_.jpg")</f>
        <v/>
      </c>
      <c r="K4989" t="inlineStr">
        <is>
          <t>34.97</t>
        </is>
      </c>
      <c r="L4989" t="n">
        <v>49.99</v>
      </c>
      <c r="M4989" s="1" t="inlineStr">
        <is>
          <t>42.95%</t>
        </is>
      </c>
      <c r="N4989" s="7" t="n">
        <v>-40.04</v>
      </c>
      <c r="O4989" t="n">
        <v>4.3</v>
      </c>
      <c r="P4989" t="n">
        <v>22</v>
      </c>
      <c r="R4989" t="inlineStr">
        <is>
          <t>InStock</t>
        </is>
      </c>
      <c r="S4989" t="inlineStr">
        <is>
          <t>52.46</t>
        </is>
      </c>
      <c r="T4989" t="inlineStr">
        <is>
          <t>7664909615320</t>
        </is>
      </c>
    </row>
    <row r="4990" ht="87" customHeight="1">
      <c r="A4990" s="2">
        <f>HYPERLINK("https://edmondsonsupply.com/collections/electricians-tools/products/diablo-tools-dag", "https://edmondsonsupply.com/collections/electricians-tools/products/diablo-tools-dag")</f>
        <v/>
      </c>
      <c r="B4990" s="2">
        <f>HYPERLINK("https://edmondsonsupply.com/products/diablo-tools-dag", "https://edmondsonsupply.com/products/diablo-tools-dag")</f>
        <v/>
      </c>
      <c r="C4990" t="inlineStr">
        <is>
          <t>Diablo Tools DAG3010 3/8 in. x 17-1/2 in. Auger Bit</t>
        </is>
      </c>
      <c r="D4990" t="inlineStr">
        <is>
          <t>Diablo 5/8 in. x 17-1/2 in. Auger Bit</t>
        </is>
      </c>
      <c r="E4990" s="2">
        <f>HYPERLINK("https://www.amazon.com/Diablo-Freud-DAG3050-17-1-Auger/dp/B089KWL81X/ref=sr_1_4?keywords=Diablo+Tools+DAG3010+3%2F8+in.+x+17-1%2F2+in.+Auger+Bit&amp;qid=1694735073&amp;sr=8-4", "https://www.amazon.com/Diablo-Freud-DAG3050-17-1-Auger/dp/B089KWL81X/ref=sr_1_4?keywords=Diablo+Tools+DAG3010+3%2F8+in.+x+17-1%2F2+in.+Auger+Bit&amp;qid=1694735073&amp;sr=8-4")</f>
        <v/>
      </c>
      <c r="F4990" t="inlineStr">
        <is>
          <t>B089KWL81X</t>
        </is>
      </c>
      <c r="G4990">
        <f>_xlfn.IMAGE("https://edmondsonsupply.com/cdn/shop/products/xfctdbahz5wx3g461fm8.webp?v=1669991052")</f>
        <v/>
      </c>
      <c r="H4990">
        <f>_xlfn.IMAGE("https://m.media-amazon.com/images/I/61DWkFmOdeL._AC_UL320_.jpg")</f>
        <v/>
      </c>
      <c r="K4990" t="inlineStr">
        <is>
          <t>17.47</t>
        </is>
      </c>
      <c r="L4990" t="n">
        <v>24.97</v>
      </c>
      <c r="M4990" s="1" t="inlineStr">
        <is>
          <t>42.93%</t>
        </is>
      </c>
      <c r="N4990" s="7" t="n">
        <v>-40.08</v>
      </c>
      <c r="O4990" t="n">
        <v>4.3</v>
      </c>
      <c r="P4990" t="n">
        <v>20</v>
      </c>
      <c r="R4990" t="inlineStr">
        <is>
          <t>InStock</t>
        </is>
      </c>
      <c r="S4990" t="inlineStr">
        <is>
          <t>25.04</t>
        </is>
      </c>
      <c r="T4990" t="inlineStr">
        <is>
          <t>7897480921304</t>
        </is>
      </c>
    </row>
    <row r="4991" ht="87" customHeight="1">
      <c r="A4991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991" s="2">
        <f>HYPERLINK("https://edmondsonsupply.com/products/klein-tools-11057-klein-kurve%c2%ae-wire-stripper-and-cutter", "https://edmondsonsupply.com/products/klein-tools-11057-klein-kurve%c2%ae-wire-stripper-and-cutter")</f>
        <v/>
      </c>
      <c r="C4991" t="inlineStr">
        <is>
          <t>Klein Tools 11057 Klein-Kurve® Wire Stripper and Cutter</t>
        </is>
      </c>
      <c r="D4991" t="inlineStr">
        <is>
          <t>Klein Tools K1412 Wire Cutter / Wire Stripper, Dual NM Cable Stripper / Cutter Cuts Solid Copper Wire, Strips 12 and 14 AWG Solid Wire,Yellow/White</t>
        </is>
      </c>
      <c r="E4991" s="2">
        <f>HYPERLINK("https://www.amazon.com/Cutter-Stripper-Klein-Tools-K1412/dp/B000F9HIEC/ref=sr_1_16?keywords=Klein+Tools+11057+Klein-Kurve%C2%AE+Wire+Stripper+and+Cutter&amp;qid=1694735357&amp;sr=8-16", "https://www.amazon.com/Cutter-Stripper-Klein-Tools-K1412/dp/B000F9HIEC/ref=sr_1_16?keywords=Klein+Tools+11057+Klein-Kurve%C2%AE+Wire+Stripper+and+Cutter&amp;qid=1694735357&amp;sr=8-16")</f>
        <v/>
      </c>
      <c r="F4991" t="inlineStr">
        <is>
          <t>B000F9HIEC</t>
        </is>
      </c>
      <c r="G4991">
        <f>_xlfn.IMAGE("https://edmondsonsupply.com/cdn/shop/products/11057.jpg?v=1587146927")</f>
        <v/>
      </c>
      <c r="H4991">
        <f>_xlfn.IMAGE("https://m.media-amazon.com/images/I/41sdPMsHXcL._AC_UL320_.jpg")</f>
        <v/>
      </c>
      <c r="K4991" t="inlineStr">
        <is>
          <t>20.97</t>
        </is>
      </c>
      <c r="L4991" t="n">
        <v>29.97</v>
      </c>
      <c r="M4991" s="1" t="inlineStr">
        <is>
          <t>42.92%</t>
        </is>
      </c>
      <c r="N4991" s="7" t="n">
        <v>-40.11</v>
      </c>
      <c r="O4991" t="n">
        <v>4.8</v>
      </c>
      <c r="P4991" t="n">
        <v>1847</v>
      </c>
      <c r="R4991" t="inlineStr">
        <is>
          <t>InStock</t>
        </is>
      </c>
      <c r="S4991" t="inlineStr">
        <is>
          <t>32.72</t>
        </is>
      </c>
      <c r="T4991" t="inlineStr">
        <is>
          <t>4455254720612</t>
        </is>
      </c>
    </row>
    <row r="4992" ht="87" customHeight="1">
      <c r="A4992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4992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4992" t="inlineStr">
        <is>
          <t>Klein Tools K11095 Klein-Kurve® Wire Stripper / Cutter, 8-20 AWG</t>
        </is>
      </c>
      <c r="D4992" t="inlineStr">
        <is>
          <t>Klein Tools 11055RINS 1000V Insulated Klein Kurve Wire Stripper/Cutter Cuts and Strips 10-18 Solid and 12-20 Stranded AWG Wire, Orange</t>
        </is>
      </c>
      <c r="E4992" s="2">
        <f>HYPERLINK("https://www.amazon.com/Klein-Tools-11055RINS-Insulated-Stripper/dp/B0BFZBQ9XF/ref=sr_1_7?keywords=Klein+Tools+K11095+Klein-Kurve%C2%AE+Wire+Stripper+%2F+Cutter%2C+8-20+AWG&amp;qid=1694735132&amp;sr=8-7", "https://www.amazon.com/Klein-Tools-11055RINS-Insulated-Stripper/dp/B0BFZBQ9XF/ref=sr_1_7?keywords=Klein+Tools+K11095+Klein-Kurve%C2%AE+Wire+Stripper+%2F+Cutter%2C+8-20+AWG&amp;qid=1694735132&amp;sr=8-7")</f>
        <v/>
      </c>
      <c r="F4992" t="inlineStr">
        <is>
          <t>B0BFZBQ9XF</t>
        </is>
      </c>
      <c r="G4992">
        <f>_xlfn.IMAGE("https://edmondsonsupply.com/cdn/shop/products/k11095_b_front_vertical.jpg?v=1661364611")</f>
        <v/>
      </c>
      <c r="H4992">
        <f>_xlfn.IMAGE("https://m.media-amazon.com/images/I/41Pemveg6bL._AC_UL320_.jpg")</f>
        <v/>
      </c>
      <c r="K4992" t="inlineStr">
        <is>
          <t>20.97</t>
        </is>
      </c>
      <c r="L4992" t="n">
        <v>29.97</v>
      </c>
      <c r="M4992" s="1" t="inlineStr">
        <is>
          <t>42.92%</t>
        </is>
      </c>
      <c r="N4992" s="7" t="n">
        <v>-40.56</v>
      </c>
      <c r="O4992" t="n">
        <v>4.6</v>
      </c>
      <c r="P4992" t="n">
        <v>54</v>
      </c>
      <c r="R4992" t="inlineStr">
        <is>
          <t>InStock</t>
        </is>
      </c>
      <c r="S4992" t="inlineStr">
        <is>
          <t>29.38</t>
        </is>
      </c>
      <c r="T4992" t="inlineStr">
        <is>
          <t>7793145315544</t>
        </is>
      </c>
    </row>
    <row r="4993" ht="87" customHeight="1">
      <c r="A4993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4993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4993" t="inlineStr">
        <is>
          <t>Klein Tools K11095 Klein-Kurve® Wire Stripper / Cutter, 8-20 AWG</t>
        </is>
      </c>
      <c r="D4993" t="inlineStr">
        <is>
          <t>Klein Tools 11063W Wire Cutter / Wire Stripper, Heavy Duty Automatic Wire Stripper Tool for 8-20 AWG Solid and 10-22 AWG Stranded Electrical Wire,Blue/Black</t>
        </is>
      </c>
      <c r="E4993" s="2">
        <f>HYPERLINK("https://www.amazon.com/Stripper-Electrical-Klein-Tools-11063W/dp/B00BC39YFQ/ref=sr_1_10?keywords=Klein+Tools+K11095+Klein-Kurve%C2%AE+Wire+Stripper+%2F+Cutter%2C+8-20+AWG&amp;qid=1694735132&amp;sr=8-10", "https://www.amazon.com/Stripper-Electrical-Klein-Tools-11063W/dp/B00BC39YFQ/ref=sr_1_10?keywords=Klein+Tools+K11095+Klein-Kurve%C2%AE+Wire+Stripper+%2F+Cutter%2C+8-20+AWG&amp;qid=1694735132&amp;sr=8-10")</f>
        <v/>
      </c>
      <c r="F4993" t="inlineStr">
        <is>
          <t>B00BC39YFQ</t>
        </is>
      </c>
      <c r="G4993">
        <f>_xlfn.IMAGE("https://edmondsonsupply.com/cdn/shop/products/k11095_b_front_vertical.jpg?v=1661364611")</f>
        <v/>
      </c>
      <c r="H4993">
        <f>_xlfn.IMAGE("https://m.media-amazon.com/images/I/51cWJR-r31L._AC_UL320_.jpg")</f>
        <v/>
      </c>
      <c r="K4993" t="inlineStr">
        <is>
          <t>20.97</t>
        </is>
      </c>
      <c r="L4993" t="n">
        <v>29.97</v>
      </c>
      <c r="M4993" s="1" t="inlineStr">
        <is>
          <t>42.92%</t>
        </is>
      </c>
      <c r="N4993" s="7" t="n">
        <v>-40.61</v>
      </c>
      <c r="O4993" t="n">
        <v>4.8</v>
      </c>
      <c r="P4993" t="n">
        <v>9108</v>
      </c>
      <c r="R4993" t="inlineStr">
        <is>
          <t>InStock</t>
        </is>
      </c>
      <c r="S4993" t="inlineStr">
        <is>
          <t>29.38</t>
        </is>
      </c>
      <c r="T4993" t="inlineStr">
        <is>
          <t>7793145315544</t>
        </is>
      </c>
    </row>
    <row r="4994" ht="87" customHeight="1">
      <c r="A4994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994" s="2">
        <f>HYPERLINK("https://edmondsonsupply.com/products/klein-tools-11057-klein-kurve%c2%ae-wire-stripper-and-cutter", "https://edmondsonsupply.com/products/klein-tools-11057-klein-kurve%c2%ae-wire-stripper-and-cutter")</f>
        <v/>
      </c>
      <c r="C4994" t="inlineStr">
        <is>
          <t>Klein Tools 11057 Klein-Kurve® Wire Stripper and Cutter</t>
        </is>
      </c>
      <c r="D4994" t="inlineStr">
        <is>
          <t>Klein Tools 11055RINS 1000V Insulated Klein Kurve Wire Stripper/Cutter Cuts and Strips 10-18 Solid and 12-20 Stranded AWG Wire, Orange</t>
        </is>
      </c>
      <c r="E4994" s="2">
        <f>HYPERLINK("https://www.amazon.com/Klein-Tools-11055RINS-Insulated-Stripper/dp/B0BFZBQ9XF/ref=sr_1_12?keywords=Klein+Tools+11057+Klein-Kurve%C2%AE+Wire+Stripper+and+Cutter&amp;qid=1694735357&amp;sr=8-12", "https://www.amazon.com/Klein-Tools-11055RINS-Insulated-Stripper/dp/B0BFZBQ9XF/ref=sr_1_12?keywords=Klein+Tools+11057+Klein-Kurve%C2%AE+Wire+Stripper+and+Cutter&amp;qid=1694735357&amp;sr=8-12")</f>
        <v/>
      </c>
      <c r="F4994" t="inlineStr">
        <is>
          <t>B0BFZBQ9XF</t>
        </is>
      </c>
      <c r="G4994">
        <f>_xlfn.IMAGE("https://edmondsonsupply.com/cdn/shop/products/11057.jpg?v=1587146927")</f>
        <v/>
      </c>
      <c r="H4994">
        <f>_xlfn.IMAGE("https://m.media-amazon.com/images/I/41Pemveg6bL._AC_UL320_.jpg")</f>
        <v/>
      </c>
      <c r="K4994" t="inlineStr">
        <is>
          <t>20.97</t>
        </is>
      </c>
      <c r="L4994" t="n">
        <v>29.97</v>
      </c>
      <c r="M4994" s="1" t="inlineStr">
        <is>
          <t>42.92%</t>
        </is>
      </c>
      <c r="N4994" s="7" t="n">
        <v>-40.62</v>
      </c>
      <c r="O4994" t="n">
        <v>4.6</v>
      </c>
      <c r="P4994" t="n">
        <v>54</v>
      </c>
      <c r="R4994" t="inlineStr">
        <is>
          <t>InStock</t>
        </is>
      </c>
      <c r="S4994" t="inlineStr">
        <is>
          <t>32.72</t>
        </is>
      </c>
      <c r="T4994" t="inlineStr">
        <is>
          <t>4455254720612</t>
        </is>
      </c>
    </row>
    <row r="4995" ht="87" customHeight="1">
      <c r="A4995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4995" s="2">
        <f>HYPERLINK("https://edmondsonsupply.com/products/klein-tools-32500mag-11-in-1-magnetic-screwdriver-nut-driver", "https://edmondsonsupply.com/products/klein-tools-32500mag-11-in-1-magnetic-screwdriver-nut-driver")</f>
        <v/>
      </c>
      <c r="C4995" t="inlineStr">
        <is>
          <t>Klein Tools 32500MAG 11-in-1 Magnetic Screwdriver / Nut Driver</t>
        </is>
      </c>
      <c r="D4995" t="inlineStr">
        <is>
          <t>Klein Tools 32807MAG 7-in-1 Nut Driver, Magnetic Driver has SAE Hex Nut Sizes 1/4 to 9/16-Inch, Cushion Grip Handle for Added Torque</t>
        </is>
      </c>
      <c r="E4995" s="2">
        <f>HYPERLINK("https://www.amazon.com/Driver-Magnetic-Klein-Tools-32807MAG/dp/B07D4M51DQ/ref=sr_1_11?keywords=Klein+Tools+32500MAG+11-in-1+Magnetic+Screwdriver+%2F+Nut+Driver&amp;qid=1694735235&amp;sr=8-11", "https://www.amazon.com/Driver-Magnetic-Klein-Tools-32807MAG/dp/B07D4M51DQ/ref=sr_1_11?keywords=Klein+Tools+32500MAG+11-in-1+Magnetic+Screwdriver+%2F+Nut+Driver&amp;qid=1694735235&amp;sr=8-11")</f>
        <v/>
      </c>
      <c r="F4995" t="inlineStr">
        <is>
          <t>B07D4M51DQ</t>
        </is>
      </c>
      <c r="G4995">
        <f>_xlfn.IMAGE("https://edmondsonsupply.com/cdn/shop/products/32500mag.jpg?v=1633030832")</f>
        <v/>
      </c>
      <c r="H4995">
        <f>_xlfn.IMAGE("https://m.media-amazon.com/images/I/61gwAJBzDAL._AC_UL320_.jpg")</f>
        <v/>
      </c>
      <c r="K4995" t="inlineStr">
        <is>
          <t>20.97</t>
        </is>
      </c>
      <c r="L4995" t="n">
        <v>29.97</v>
      </c>
      <c r="M4995" s="1" t="inlineStr">
        <is>
          <t>42.92%</t>
        </is>
      </c>
      <c r="N4995" s="7" t="n">
        <v>-40.65</v>
      </c>
      <c r="O4995" t="n">
        <v>4.7</v>
      </c>
      <c r="P4995" t="n">
        <v>9145</v>
      </c>
      <c r="R4995" t="inlineStr">
        <is>
          <t>InStock</t>
        </is>
      </c>
      <c r="S4995" t="inlineStr">
        <is>
          <t>29.38</t>
        </is>
      </c>
      <c r="T4995" t="inlineStr">
        <is>
          <t>6082199814317</t>
        </is>
      </c>
    </row>
    <row r="4996" ht="87" customHeight="1">
      <c r="A4996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4996" s="2">
        <f>HYPERLINK("https://edmondsonsupply.com/products/klein-tools-11057-klein-kurve%c2%ae-wire-stripper-and-cutter", "https://edmondsonsupply.com/products/klein-tools-11057-klein-kurve%c2%ae-wire-stripper-and-cutter")</f>
        <v/>
      </c>
      <c r="C4996" t="inlineStr">
        <is>
          <t>Klein Tools 11057 Klein-Kurve® Wire Stripper and Cutter</t>
        </is>
      </c>
      <c r="D4996" t="inlineStr">
        <is>
          <t>Klein Tools 11063W Wire Cutter / Wire Stripper, Heavy Duty Automatic Wire Stripper Tool for 8-20 AWG Solid and 10-22 AWG Stranded Electrical Wire,Blue/Black</t>
        </is>
      </c>
      <c r="E4996" s="2">
        <f>HYPERLINK("https://www.amazon.com/Stripper-Electrical-Klein-Tools-11063W/dp/B00BC39YFQ/ref=sr_1_20?keywords=Klein+Tools+11057+Klein-Kurve%C2%AE+Wire+Stripper+and+Cutter&amp;qid=1694735357&amp;sr=8-20", "https://www.amazon.com/Stripper-Electrical-Klein-Tools-11063W/dp/B00BC39YFQ/ref=sr_1_20?keywords=Klein+Tools+11057+Klein-Kurve%C2%AE+Wire+Stripper+and+Cutter&amp;qid=1694735357&amp;sr=8-20")</f>
        <v/>
      </c>
      <c r="F4996" t="inlineStr">
        <is>
          <t>B00BC39YFQ</t>
        </is>
      </c>
      <c r="G4996">
        <f>_xlfn.IMAGE("https://edmondsonsupply.com/cdn/shop/products/11057.jpg?v=1587146927")</f>
        <v/>
      </c>
      <c r="H4996">
        <f>_xlfn.IMAGE("https://m.media-amazon.com/images/I/51cWJR-r31L._AC_UL320_.jpg")</f>
        <v/>
      </c>
      <c r="K4996" t="inlineStr">
        <is>
          <t>20.97</t>
        </is>
      </c>
      <c r="L4996" t="n">
        <v>29.97</v>
      </c>
      <c r="M4996" s="1" t="inlineStr">
        <is>
          <t>42.92%</t>
        </is>
      </c>
      <c r="N4996" s="7" t="n">
        <v>-40.67</v>
      </c>
      <c r="O4996" t="n">
        <v>4.8</v>
      </c>
      <c r="P4996" t="n">
        <v>9108</v>
      </c>
      <c r="R4996" t="inlineStr">
        <is>
          <t>InStock</t>
        </is>
      </c>
      <c r="S4996" t="inlineStr">
        <is>
          <t>32.72</t>
        </is>
      </c>
      <c r="T4996" t="inlineStr">
        <is>
          <t>4455254720612</t>
        </is>
      </c>
    </row>
    <row r="4997" ht="87" customHeight="1">
      <c r="A4997" s="2">
        <f>HYPERLINK("https://edmondsonsupply.com/collections/electricians-tools/products/klein-tools-d506-4-adjustable-wrench-plastic-dipped-4-inch", "https://edmondsonsupply.com/collections/electricians-tools/products/klein-tools-d506-4-adjustable-wrench-plastic-dipped-4-inch")</f>
        <v/>
      </c>
      <c r="B4997" s="2">
        <f>HYPERLINK("https://edmondsonsupply.com/products/klein-tools-d506-4-adjustable-wrench-plastic-dipped-4-inch", "https://edmondsonsupply.com/products/klein-tools-d506-4-adjustable-wrench-plastic-dipped-4-inch")</f>
        <v/>
      </c>
      <c r="C4997" t="inlineStr">
        <is>
          <t>Klein Tools D506-4 Adjustable Wrench, Plastic Dipped, 4-Inch</t>
        </is>
      </c>
      <c r="D4997" t="inlineStr">
        <is>
          <t>Klein Tools D86934 Adjustable Wrench, Forged with Slimmer Jaw and a High Polish Chrome Finish, 6-inch</t>
        </is>
      </c>
      <c r="E4997" s="2">
        <f>HYPERLINK("https://www.amazon.com/Slim-Jaw-Adjustable-Klein-Tools-D86934/dp/B075ZVKW4X/ref=sr_1_9?keywords=Klein+Tools+D506-4+Adjustable+Wrench%2C+Plastic+Dipped%2C+4-Inch&amp;qid=1694735411&amp;sr=8-9", "https://www.amazon.com/Slim-Jaw-Adjustable-Klein-Tools-D86934/dp/B075ZVKW4X/ref=sr_1_9?keywords=Klein+Tools+D506-4+Adjustable+Wrench%2C+Plastic+Dipped%2C+4-Inch&amp;qid=1694735411&amp;sr=8-9")</f>
        <v/>
      </c>
      <c r="F4997" t="inlineStr">
        <is>
          <t>B075ZVKW4X</t>
        </is>
      </c>
      <c r="G4997">
        <f>_xlfn.IMAGE("https://edmondsonsupply.com/cdn/shop/products/d5064.jpg?v=1587144913")</f>
        <v/>
      </c>
      <c r="H4997">
        <f>_xlfn.IMAGE("https://m.media-amazon.com/images/I/51Z4DTANB5L._AC_UL320_.jpg")</f>
        <v/>
      </c>
      <c r="K4997" t="inlineStr">
        <is>
          <t>24.49</t>
        </is>
      </c>
      <c r="L4997" t="n">
        <v>34.99</v>
      </c>
      <c r="M4997" s="1" t="inlineStr">
        <is>
          <t>42.87%</t>
        </is>
      </c>
      <c r="N4997" s="7" t="n">
        <v>-40.82</v>
      </c>
      <c r="O4997" t="n">
        <v>4.6</v>
      </c>
      <c r="P4997" t="n">
        <v>162</v>
      </c>
      <c r="R4997" t="inlineStr">
        <is>
          <t>InStock</t>
        </is>
      </c>
      <c r="S4997" t="inlineStr">
        <is>
          <t>37.1</t>
        </is>
      </c>
      <c r="T4997" t="inlineStr">
        <is>
          <t>4387858055268</t>
        </is>
      </c>
    </row>
    <row r="4998" hidden="1" ht="15.75" customHeight="1">
      <c r="A4998" s="2">
        <f>HYPERLINK("https://edmondsonsupply.com/collections/electricians-tools/products/fluke-80ak-a-thermocouple-adapter-type-k", "https://edmondsonsupply.com/collections/electricians-tools/products/fluke-80ak-a-thermocouple-adapter-type-k")</f>
        <v/>
      </c>
      <c r="B4998" s="2">
        <f>HYPERLINK("https://edmondsonsupply.com/products/fluke-80ak-a-thermocouple-adapter-type-k", "https://edmondsonsupply.com/products/fluke-80ak-a-thermocouple-adapter-type-k")</f>
        <v/>
      </c>
      <c r="C4998" t="inlineStr">
        <is>
          <t>Fluke 80AK-A Thermocouple Adapter, Type K</t>
        </is>
      </c>
      <c r="D4998" t="inlineStr">
        <is>
          <t>Fluke 80PK-11 Type-K Velcro Thermocouple Temperature Probe</t>
        </is>
      </c>
      <c r="E4998" s="2">
        <f>HYPERLINK("https://www.amazon.com/Fluke-80PK-11-Type-K-Thermocouple-Temperature/dp/B000R81U3G/ref=sr_1_11?keywords=Fluke+80AK-A+Thermocouple+Adapter%2C+Type+K&amp;qid=1694735126&amp;sr=8-11", "https://www.amazon.com/Fluke-80PK-11-Type-K-Thermocouple-Temperature/dp/B000R81U3G/ref=sr_1_11?keywords=Fluke+80AK-A+Thermocouple+Adapter%2C+Type+K&amp;qid=1694735126&amp;sr=8-11")</f>
        <v/>
      </c>
      <c r="F4998" t="inlineStr">
        <is>
          <t>B000R81U3G</t>
        </is>
      </c>
      <c r="G4998">
        <f>_xludf.IMAGE("https://edmondsonsupply.com/cdn/shop/products/f-80ak-a_01a_h-1500x1000.webp?v=1662642921")</f>
        <v/>
      </c>
      <c r="H4998">
        <f>_xludf.IMAGE("https://m.media-amazon.com/images/I/51HSoQzN4JL._AC_UY218_.jpg")</f>
        <v/>
      </c>
      <c r="K4998" t="inlineStr">
        <is>
          <t>39.99</t>
        </is>
      </c>
      <c r="L4998" t="n">
        <v>57.12</v>
      </c>
      <c r="M4998" s="1" t="inlineStr">
        <is>
          <t>42.84%</t>
        </is>
      </c>
      <c r="N4998" s="1" t="n">
        <v>-40.82</v>
      </c>
      <c r="O4998" t="n">
        <v>3.7</v>
      </c>
      <c r="P4998" t="n">
        <v>19</v>
      </c>
      <c r="R4998" t="inlineStr">
        <is>
          <t>InStock</t>
        </is>
      </c>
      <c r="S4998" t="inlineStr">
        <is>
          <t>42.99</t>
        </is>
      </c>
      <c r="T4998" t="inlineStr">
        <is>
          <t>7808997687512</t>
        </is>
      </c>
    </row>
    <row r="4999" ht="87" customHeight="1">
      <c r="A4999" s="2">
        <f>HYPERLINK("https://edmondsonsupply.com/collections/electricians-tools/products/milwaukee-2553-22", "https://edmondsonsupply.com/collections/electricians-tools/products/milwaukee-2553-22")</f>
        <v/>
      </c>
      <c r="B4999" s="2">
        <f>HYPERLINK("https://edmondsonsupply.com/products/milwaukee-2553-22", "https://edmondsonsupply.com/products/milwaukee-2553-22")</f>
        <v/>
      </c>
      <c r="C4999" t="inlineStr">
        <is>
          <t>Milwaukee 2553-22 M12 FUEL™ 1/4" Hex Impact Driver Kit</t>
        </is>
      </c>
      <c r="D4999" t="inlineStr">
        <is>
          <t>Milwaukee Electric Tools 2596-22 M12 Fuel 2Pc Kit - 1/2" Drill &amp; 1/4" Hex Impact</t>
        </is>
      </c>
      <c r="E4999" s="2">
        <f>HYPERLINK("https://www.amazon.com/Milwaukee-Electric-Tools-2596-22-Fuel/dp/B07995PHW4/ref=sr_1_1?keywords=Milwaukee+2553-22+M12+FUEL%E2%84%A2+1%2F4%22+Hex+Impact+Driver+Kit&amp;qid=1694735083&amp;sr=8-1", "https://www.amazon.com/Milwaukee-Electric-Tools-2596-22-Fuel/dp/B07995PHW4/ref=sr_1_1?keywords=Milwaukee+2553-22+M12+FUEL%E2%84%A2+1%2F4%22+Hex+Impact+Driver+Kit&amp;qid=1694735083&amp;sr=8-1")</f>
        <v/>
      </c>
      <c r="F4999" t="inlineStr">
        <is>
          <t>B07995PHW4</t>
        </is>
      </c>
      <c r="G4999">
        <f>_xlfn.IMAGE("https://edmondsonsupply.com/cdn/shop/products/2553-22_Kit.webp?v=1668445129")</f>
        <v/>
      </c>
      <c r="H4999">
        <f>_xlfn.IMAGE("https://m.media-amazon.com/images/I/61-YxAu4y9L._AC_UL320_.jpg")</f>
        <v/>
      </c>
      <c r="K4999" t="inlineStr">
        <is>
          <t>169.0</t>
        </is>
      </c>
      <c r="L4999" t="n">
        <v>241.39</v>
      </c>
      <c r="M4999" s="1" t="inlineStr">
        <is>
          <t>42.83%</t>
        </is>
      </c>
      <c r="N4999" s="7" t="n">
        <v>-40.98</v>
      </c>
      <c r="O4999" t="n">
        <v>4.5</v>
      </c>
      <c r="P4999" t="n">
        <v>72</v>
      </c>
      <c r="R4999" t="inlineStr">
        <is>
          <t>InStock</t>
        </is>
      </c>
      <c r="S4999" t="inlineStr">
        <is>
          <t>299.0</t>
        </is>
      </c>
      <c r="T4999" t="inlineStr">
        <is>
          <t>7884423528664</t>
        </is>
      </c>
    </row>
    <row r="5000" ht="87" customHeight="1">
      <c r="A5000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5000" s="2">
        <f>HYPERLINK("https://edmondsonsupply.com/products/amprobe-st-102b-receptacle-tester-with-gfci", "https://edmondsonsupply.com/products/amprobe-st-102b-receptacle-tester-with-gfci")</f>
        <v/>
      </c>
      <c r="C5000" t="inlineStr">
        <is>
          <t>Amprobe ST-102B Receptacle Tester with GFCI</t>
        </is>
      </c>
      <c r="D5000" t="inlineStr">
        <is>
          <t>Klein Tools NCVT1PKIT Electrical Tester Kit with Non-Contact Volt Tester, 50 to 1000V AC and GFCI Receptacle Tester, 2-Piece</t>
        </is>
      </c>
      <c r="E5000" s="2">
        <f>HYPERLINK("https://www.amazon.com/Klein-Tools-NCVT1PKIT-Electrical-Non-Contact/dp/B0BS5SCNJ1/ref=sr_1_8?keywords=Amprobe+ST-102B+Receptacle+Tester+with+GFCI&amp;qid=1694735128&amp;sr=8-8", "https://www.amazon.com/Klein-Tools-NCVT1PKIT-Electrical-Non-Contact/dp/B0BS5SCNJ1/ref=sr_1_8?keywords=Amprobe+ST-102B+Receptacle+Tester+with+GFCI&amp;qid=1694735128&amp;sr=8-8")</f>
        <v/>
      </c>
      <c r="F5000" t="inlineStr">
        <is>
          <t>B0BS5SCNJ1</t>
        </is>
      </c>
      <c r="G5000">
        <f>_xlfn.IMAGE("https://edmondsonsupply.com/cdn/shop/products/PD_ST102B1.jpg?v=1662641155")</f>
        <v/>
      </c>
      <c r="H5000">
        <f>_xlfn.IMAGE("https://m.media-amazon.com/images/I/51CD2DGal7L._AC_UL320_.jpg")</f>
        <v/>
      </c>
      <c r="K5000" t="inlineStr">
        <is>
          <t>17.49</t>
        </is>
      </c>
      <c r="L5000" t="n">
        <v>24.97</v>
      </c>
      <c r="M5000" s="1" t="inlineStr">
        <is>
          <t>42.77%</t>
        </is>
      </c>
      <c r="N5000" s="7" t="n">
        <v>-41.03</v>
      </c>
      <c r="O5000" t="n">
        <v>4.4</v>
      </c>
      <c r="P5000" t="n">
        <v>31</v>
      </c>
      <c r="R5000" t="inlineStr">
        <is>
          <t>InStock</t>
        </is>
      </c>
      <c r="S5000" t="inlineStr">
        <is>
          <t>19.99</t>
        </is>
      </c>
      <c r="T5000" t="inlineStr">
        <is>
          <t>7808944570584</t>
        </is>
      </c>
    </row>
    <row r="5001" hidden="1" ht="15.75" customHeight="1">
      <c r="A5001" s="2">
        <f>HYPERLINK("https://edmondsonsupply.com/collections/electricians-tools/products/reed-mfg-dhr12-1-2npt-r12-drophead-1-2-npt", "https://edmondsonsupply.com/collections/electricians-tools/products/reed-mfg-dhr12-1-2npt-r12-drophead-1-2-npt")</f>
        <v/>
      </c>
      <c r="B5001" s="2">
        <f>HYPERLINK("https://edmondsonsupply.com/products/reed-mfg-dhr12-1-2npt-r12-drophead-1-2-npt", "https://edmondsonsupply.com/products/reed-mfg-dhr12-1-2npt-r12-drophead-1-2-npt")</f>
        <v/>
      </c>
      <c r="C5001" t="inlineStr">
        <is>
          <t>Reed Mfg DHR12 1/2NPT R12+ Drophead, 1/2" NPT</t>
        </is>
      </c>
      <c r="D5001" t="inlineStr">
        <is>
          <t>Reed Tool DHR12 1 1/2NPT R12+ Drophead, 1-1/2-Inch NPT</t>
        </is>
      </c>
      <c r="E5001" s="2">
        <f>HYPERLINK("https://www.amazon.com/Reed-Tool-DHR12-2NPT-Drophead/dp/B000ZGXUMY/ref=sr_1_1?keywords=Reed+Mfg+DHR12+1%2F2NPT+R12%2B+Drophead%2C+1%2F2%22+NPT&amp;qid=1694735220&amp;sr=8-1", "https://www.amazon.com/Reed-Tool-DHR12-2NPT-Drophead/dp/B000ZGXUMY/ref=sr_1_1?keywords=Reed+Mfg+DHR12+1%2F2NPT+R12%2B+Drophead%2C+1%2F2%22+NPT&amp;qid=1694735220&amp;sr=8-1")</f>
        <v/>
      </c>
      <c r="F5001" t="inlineStr">
        <is>
          <t>B000ZGXUMY</t>
        </is>
      </c>
      <c r="G5001">
        <f>_xludf.IMAGE("https://edmondsonsupply.com/cdn/shop/products/05626-DHR12-1-2NPT-RGB.jpg?v=1633031013")</f>
        <v/>
      </c>
      <c r="H5001">
        <f>_xludf.IMAGE("https://m.media-amazon.com/images/I/61Y5u+qPi2L._AC_UY218_.jpg")</f>
        <v/>
      </c>
      <c r="K5001" t="inlineStr">
        <is>
          <t>121.16</t>
        </is>
      </c>
      <c r="L5001" t="n">
        <v>172.93</v>
      </c>
      <c r="M5001" s="1" t="inlineStr">
        <is>
          <t>42.73%</t>
        </is>
      </c>
      <c r="N5001" s="1" t="n">
        <v>-41.18</v>
      </c>
      <c r="O5001" t="n">
        <v>1</v>
      </c>
      <c r="P5001" t="n">
        <v>1</v>
      </c>
      <c r="R5001" t="inlineStr">
        <is>
          <t>InStock</t>
        </is>
      </c>
      <c r="S5001" t="inlineStr">
        <is>
          <t>140.16</t>
        </is>
      </c>
      <c r="T5001" t="inlineStr">
        <is>
          <t>6698071261357</t>
        </is>
      </c>
    </row>
    <row r="5002" hidden="1" ht="15.75" customHeight="1">
      <c r="A5002" s="2">
        <f>HYPERLINK("https://edmondsonsupply.com/collections/electricians-tools/products/diablo-tools-dsp2150-1-3-8-in-x-6-in-spade-bit", "https://edmondsonsupply.com/collections/electricians-tools/products/diablo-tools-dsp2150-1-3-8-in-x-6-in-spade-bit")</f>
        <v/>
      </c>
      <c r="B5002" s="2">
        <f>HYPERLINK("https://edmondsonsupply.com/products/diablo-tools-dsp2150-1-3-8-in-x-6-in-spade-bit", "https://edmondsonsupply.com/products/diablo-tools-dsp2150-1-3-8-in-x-6-in-spade-bit")</f>
        <v/>
      </c>
      <c r="C5002" t="inlineStr">
        <is>
          <t>Diablo Tools DSP2160 1-3/8 in. x 6 in. SPEEDemon™ Spade Bit</t>
        </is>
      </c>
      <c r="D5002" t="inlineStr">
        <is>
          <t>Diablo by Freud DSP3010 3/8 in. x 16 in. SPEEDemon Spade Bit</t>
        </is>
      </c>
      <c r="E5002" s="2">
        <f>HYPERLINK("https://www.amazon.com/Diablo-16-SPEEDemon-Spade-Bit/dp/B089LKXD6Z/ref=sr_1_19?keywords=Diablo+Tools+DSP2160+1-3%2F8+in.+x+6+in.+SPEEDemon%E2%84%A2+Spade+Bit&amp;qid=1694735162&amp;sr=8-19", "https://www.amazon.com/Diablo-16-SPEEDemon-Spade-Bit/dp/B089LKXD6Z/ref=sr_1_19?keywords=Diablo+Tools+DSP2160+1-3%2F8+in.+x+6+in.+SPEEDemon%E2%84%A2+Spade+Bit&amp;qid=1694735162&amp;sr=8-19")</f>
        <v/>
      </c>
      <c r="F5002" t="inlineStr">
        <is>
          <t>B089LKXD6Z</t>
        </is>
      </c>
      <c r="G5002">
        <f>_xludf.IMAGE("https://edmondsonsupply.com/cdn/shop/products/DSP2160.webp?v=1647634103")</f>
        <v/>
      </c>
      <c r="H5002">
        <f>_xludf.IMAGE("https://m.media-amazon.com/images/I/616SIXUQ4mL._AC_UL320_.jpg")</f>
        <v/>
      </c>
      <c r="K5002" t="inlineStr">
        <is>
          <t>6.97</t>
        </is>
      </c>
      <c r="L5002" t="n">
        <v>9.93</v>
      </c>
      <c r="M5002" s="1" t="inlineStr">
        <is>
          <t>42.47%</t>
        </is>
      </c>
      <c r="N5002" s="1" t="n">
        <v>-41.24</v>
      </c>
      <c r="O5002" t="n">
        <v>4.3</v>
      </c>
      <c r="P5002" t="n">
        <v>10</v>
      </c>
      <c r="R5002" t="inlineStr">
        <is>
          <t>InStock</t>
        </is>
      </c>
      <c r="S5002" t="inlineStr">
        <is>
          <t>undefined</t>
        </is>
      </c>
      <c r="T5002" t="inlineStr">
        <is>
          <t>7639189782744</t>
        </is>
      </c>
    </row>
    <row r="5003" ht="87" customHeight="1">
      <c r="A5003" s="2">
        <f>HYPERLINK("https://edmondsonsupply.com/collections/electricians-tools/products/klein-tools-aepjs2-bluetooth%C2%AE-speaker-with-magnetic-strap", "https://edmondsonsupply.com/collections/electricians-tools/products/klein-tools-aepjs2-bluetooth%C2%AE-speaker-with-magnetic-strap")</f>
        <v/>
      </c>
      <c r="B5003" s="2">
        <f>HYPERLINK("https://edmondsonsupply.com/products/klein-tools-aepjs2-bluetooth%c2%ae-speaker-with-magnetic-strap", "https://edmondsonsupply.com/products/klein-tools-aepjs2-bluetooth%c2%ae-speaker-with-magnetic-strap")</f>
        <v/>
      </c>
      <c r="C5003" t="inlineStr">
        <is>
          <t>Klein Tools AEPJS2 Bluetooth® Speaker with Magnetic Strap</t>
        </is>
      </c>
      <c r="D5003" t="inlineStr">
        <is>
          <t>Klein Tools AEPJS2 Bluetooth Speaker with Magnetic Strip and Hook, Rechargeable &amp; 32308 Multi-bit Stubby Screwdriver, Impact Rated 8-in-1 Adjustable Magnetic Tool with Phillips</t>
        </is>
      </c>
      <c r="E5003" s="2">
        <f>HYPERLINK("https://www.amazon.com/Klein-Tools-Rechargeable-Screwdriver-Adjustable/dp/B0C3B63K1S/ref=sr_1_2?keywords=Klein+Tools+AEPJS2+Bluetooth%C2%AE+Speaker+with+Magnetic+Strap&amp;qid=1694735381&amp;sr=8-2", "https://www.amazon.com/Klein-Tools-Rechargeable-Screwdriver-Adjustable/dp/B0C3B63K1S/ref=sr_1_2?keywords=Klein+Tools+AEPJS2+Bluetooth%C2%AE+Speaker+with+Magnetic+Strap&amp;qid=1694735381&amp;sr=8-2")</f>
        <v/>
      </c>
      <c r="F5003" t="inlineStr">
        <is>
          <t>B0C3B63K1S</t>
        </is>
      </c>
      <c r="G5003">
        <f>_xlfn.IMAGE("https://edmondsonsupply.com/cdn/shop/products/aepjs2.jpg?v=1587144958")</f>
        <v/>
      </c>
      <c r="H5003">
        <f>_xlfn.IMAGE("https://m.media-amazon.com/images/I/617UyZytnXL._AC_UY218_.jpg")</f>
        <v/>
      </c>
      <c r="K5003" t="inlineStr">
        <is>
          <t>39.97</t>
        </is>
      </c>
      <c r="L5003" t="n">
        <v>56.94</v>
      </c>
      <c r="M5003" s="1" t="inlineStr">
        <is>
          <t>42.46%</t>
        </is>
      </c>
      <c r="N5003" s="7" t="n">
        <v>-41.39</v>
      </c>
      <c r="O5003" t="n">
        <v>5</v>
      </c>
      <c r="P5003" t="n">
        <v>1</v>
      </c>
      <c r="R5003" t="inlineStr">
        <is>
          <t>InStock</t>
        </is>
      </c>
      <c r="S5003" t="inlineStr">
        <is>
          <t>56.0</t>
        </is>
      </c>
      <c r="T5003" t="inlineStr">
        <is>
          <t>4412117614692</t>
        </is>
      </c>
    </row>
    <row r="5004" ht="87" customHeight="1">
      <c r="A5004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5004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5004" t="inlineStr">
        <is>
          <t>Diablo Tools DOU125BF 1-1/4 in. Universal Fit Bi-Metal Oscillating Blade for Metal</t>
        </is>
      </c>
      <c r="D5004" t="inlineStr">
        <is>
          <t>Diablo 1-1/4 in. Starlock Bi-Metal Oscillating Blades for Clean Wood (3-Pack)</t>
        </is>
      </c>
      <c r="E5004" s="2">
        <f>HYPERLINK("https://www.amazon.com/Diablo-DOS125JBW3-Starlock-Bi-Metal-Oscillating/dp/B089KWG9Z3/ref=sr_1_17?keywords=Diablo+Tools+DOU125BF+1-1%2F4+in.+Universal+Fit+Bi-Metal+Oscillating+Blade+for+Metal&amp;qid=1694734995&amp;sr=8-17", "https://www.amazon.com/Diablo-DOS125JBW3-Starlock-Bi-Metal-Oscillating/dp/B089KWG9Z3/ref=sr_1_17?keywords=Diablo+Tools+DOU125BF+1-1%2F4+in.+Universal+Fit+Bi-Metal+Oscillating+Blade+for+Metal&amp;qid=1694734995&amp;sr=8-17")</f>
        <v/>
      </c>
      <c r="F5004" t="inlineStr">
        <is>
          <t>B089KWG9Z3</t>
        </is>
      </c>
      <c r="G5004">
        <f>_xlfn.IMAGE("https://edmondsonsupply.com/cdn/shop/files/k1d1qiwmm4npznsdbwtg.webp?v=1685467858")</f>
        <v/>
      </c>
      <c r="H5004">
        <f>_xlfn.IMAGE("https://m.media-amazon.com/images/I/61pZ45bX2GL._AC_UL320_.jpg")</f>
        <v/>
      </c>
      <c r="K5004" t="inlineStr">
        <is>
          <t>18.97</t>
        </is>
      </c>
      <c r="L5004" t="n">
        <v>27</v>
      </c>
      <c r="M5004" s="1" t="inlineStr">
        <is>
          <t>42.33%</t>
        </is>
      </c>
      <c r="N5004" s="7" t="n">
        <v>-41.47</v>
      </c>
      <c r="O5004" t="n">
        <v>4.4</v>
      </c>
      <c r="P5004" t="n">
        <v>45</v>
      </c>
      <c r="R5004" t="inlineStr">
        <is>
          <t>InStock</t>
        </is>
      </c>
      <c r="S5004" t="inlineStr">
        <is>
          <t>22.35</t>
        </is>
      </c>
      <c r="T5004" t="inlineStr">
        <is>
          <t>7997877584088</t>
        </is>
      </c>
    </row>
    <row r="5005" hidden="1" ht="15.75" customHeight="1">
      <c r="A5005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5005" s="2">
        <f>HYPERLINK("https://edmondsonsupply.com/products/klein-tools-605-4-1-4-inch-cabinet-tip-screwdriver-4-inch-shank", "https://edmondsonsupply.com/products/klein-tools-605-4-1-4-inch-cabinet-tip-screwdriver-4-inch-shank")</f>
        <v/>
      </c>
      <c r="C5005" t="inlineStr">
        <is>
          <t>Klein Tools 605-4 1/4-Inch Cabinet Tip Screwdriver 4-Inch Shank</t>
        </is>
      </c>
      <c r="D5005" t="inlineStr">
        <is>
          <t>Klein Tools 85742 Screwdriver Set, 3/16 Cabinet and 2 Phillips Precision Machined Tips, Cushion-Grip Handles, Round Shank, 2-Piece</t>
        </is>
      </c>
      <c r="E5005" s="2">
        <f>HYPERLINK("https://www.amazon.com/Screwdriver-Cushion-Grip-Klein-Tools-85742/dp/B0917X34P6/ref=sr_1_20?keywords=Klein+Tools+605-4+1%2F4-Inch+Cabinet+Tip+Screwdriver+4-Inch+Shank&amp;qid=1694735099&amp;sr=8-20", "https://www.amazon.com/Screwdriver-Cushion-Grip-Klein-Tools-85742/dp/B0917X34P6/ref=sr_1_20?keywords=Klein+Tools+605-4+1%2F4-Inch+Cabinet+Tip+Screwdriver+4-Inch+Shank&amp;qid=1694735099&amp;sr=8-20")</f>
        <v/>
      </c>
      <c r="F5005" t="inlineStr">
        <is>
          <t>B0917X34P6</t>
        </is>
      </c>
      <c r="G5005">
        <f>_xludf.IMAGE("https://edmondsonsupply.com/cdn/shop/products/605-6_ac5e56ca-920d-4d55-842f-c7dc8361f892.jpg?v=1665688377")</f>
        <v/>
      </c>
      <c r="H5005">
        <f>_xludf.IMAGE("https://m.media-amazon.com/images/I/51oASlfAJbS._AC_UL320_.jpg")</f>
        <v/>
      </c>
      <c r="K5005" t="inlineStr">
        <is>
          <t>8.99</t>
        </is>
      </c>
      <c r="L5005" t="n">
        <v>12.76</v>
      </c>
      <c r="M5005" s="1" t="inlineStr">
        <is>
          <t>41.94%</t>
        </is>
      </c>
      <c r="N5005" s="1" t="n">
        <v>-41.48</v>
      </c>
      <c r="O5005" t="n">
        <v>4.7</v>
      </c>
      <c r="P5005" t="n">
        <v>89</v>
      </c>
      <c r="R5005" t="inlineStr">
        <is>
          <t>InStock</t>
        </is>
      </c>
      <c r="S5005" t="inlineStr">
        <is>
          <t>13.6</t>
        </is>
      </c>
      <c r="T5005" t="inlineStr">
        <is>
          <t>7852059132120</t>
        </is>
      </c>
    </row>
    <row r="5006" hidden="1" ht="15.75" customHeight="1">
      <c r="A5006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5006" s="2">
        <f>HYPERLINK("https://edmondsonsupply.com/products/klein-tools-s10-5-16-inch-nut-driver-3-inch-hollow-shaft", "https://edmondsonsupply.com/products/klein-tools-s10-5-16-inch-nut-driver-3-inch-hollow-shaft")</f>
        <v/>
      </c>
      <c r="C5006" t="inlineStr">
        <is>
          <t>Klein Tools S10 5/16-Inch Nut Driver 3-Inch Hollow Shaft</t>
        </is>
      </c>
      <c r="D5006" t="inlineStr">
        <is>
          <t>Klein Tools 610-5/16M 5/16-Inch Magnetic Tip Nut Driver with 1-1/2-Inch Hollow Shaft and Cushion Grip Handle</t>
        </is>
      </c>
      <c r="E5006" s="2">
        <f>HYPERLINK("https://www.amazon.com/Magnetic-Klein-Tools-610-5-16M/dp/B00093DZP0/ref=sr_1_10?keywords=Klein+Tools+S10+5%2F16-Inch+Nut+Driver+3-Inch+Hollow+Shaft&amp;qid=1694735234&amp;sr=8-10", "https://www.amazon.com/Magnetic-Klein-Tools-610-5-16M/dp/B00093DZP0/ref=sr_1_10?keywords=Klein+Tools+S10+5%2F16-Inch+Nut+Driver+3-Inch+Hollow+Shaft&amp;qid=1694735234&amp;sr=8-10")</f>
        <v/>
      </c>
      <c r="F5006" t="inlineStr">
        <is>
          <t>B00093DZP0</t>
        </is>
      </c>
      <c r="G5006">
        <f>_xludf.IMAGE("https://edmondsonsupply.com/cdn/shop/products/s10_38acacb8-6c8e-49ef-8ed3-7160ab53875a.jpg?v=1633030893")</f>
        <v/>
      </c>
      <c r="H5006">
        <f>_xludf.IMAGE("https://m.media-amazon.com/images/I/41rQZ0-NNZL._AC_UL320_.jpg")</f>
        <v/>
      </c>
      <c r="K5006" t="inlineStr">
        <is>
          <t>7.99</t>
        </is>
      </c>
      <c r="L5006" t="n">
        <v>11.34</v>
      </c>
      <c r="M5006" s="1" t="inlineStr">
        <is>
          <t>41.93%</t>
        </is>
      </c>
      <c r="N5006" s="1" t="n">
        <v>-41.58</v>
      </c>
      <c r="O5006" t="n">
        <v>4.7</v>
      </c>
      <c r="P5006" t="n">
        <v>258</v>
      </c>
      <c r="R5006" t="inlineStr">
        <is>
          <t>InStock</t>
        </is>
      </c>
      <c r="S5006" t="inlineStr">
        <is>
          <t>12.06</t>
        </is>
      </c>
      <c r="T5006" t="inlineStr">
        <is>
          <t>6223447031981</t>
        </is>
      </c>
    </row>
    <row r="5007" ht="87" customHeight="1">
      <c r="A5007" s="2">
        <f>HYPERLINK("https://edmondsonsupply.com/collections/electricians-tools/products/milwaukee-2960-22-m18-fuel%E2%84%A2-3-8-mid-torque-impact-wrench-w-friction-ring-kit", "https://edmondsonsupply.com/collections/electricians-tools/products/milwaukee-2960-22-m18-fuel%E2%84%A2-3-8-mid-torque-impact-wrench-w-friction-ring-kit")</f>
        <v/>
      </c>
      <c r="B5007" s="2">
        <f>HYPERLINK("https://edmondsonsupply.com/products/milwaukee-2960-22-m18-fuel%e2%84%a2-3-8-mid-torque-impact-wrench-w-friction-ring-kit", "https://edmondsonsupply.com/products/milwaukee-2960-22-m18-fuel%e2%84%a2-3-8-mid-torque-impact-wrench-w-friction-ring-kit")</f>
        <v/>
      </c>
      <c r="C5007" t="inlineStr">
        <is>
          <t>Milwaukee 2960-22 M18 FUEL™ 3/8 " Mid-Torque Impact Wrench w/ Friction Ring Kit</t>
        </is>
      </c>
      <c r="D5007" t="inlineStr">
        <is>
          <t>Milwaukee M18 FUEL Mid-Torque 3/8" Impact Wrench with Friction Ring Kit - (2) 5.0Ah Batteries &amp; Charger</t>
        </is>
      </c>
      <c r="E5007" s="2">
        <f>HYPERLINK("https://www.amazon.com/Milwaukee-Mid-Torque-Impact-Wrench-Friction/dp/B08P3RPQ4M/ref=sr_1_3?keywords=Milwaukee+2960-22+M18+FUEL%E2%84%A2+3%2F8+%22+Mid-Torque+Impact+Wrench+w%2F+Friction+Ring+Kit&amp;qid=1694735132&amp;sr=8-3", "https://www.amazon.com/Milwaukee-Mid-Torque-Impact-Wrench-Friction/dp/B08P3RPQ4M/ref=sr_1_3?keywords=Milwaukee+2960-22+M18+FUEL%E2%84%A2+3%2F8+%22+Mid-Torque+Impact+Wrench+w%2F+Friction+Ring+Kit&amp;qid=1694735132&amp;sr=8-3")</f>
        <v/>
      </c>
      <c r="F5007" t="inlineStr">
        <is>
          <t>B08P3RPQ4M</t>
        </is>
      </c>
      <c r="G5007">
        <f>_xlfn.IMAGE("https://edmondsonsupply.com/cdn/shop/products/2960-22_Kit_1.png?v=1661616340")</f>
        <v/>
      </c>
      <c r="H5007">
        <f>_xlfn.IMAGE("https://m.media-amazon.com/images/I/41WfocGQmdL._AC_UL320_.jpg")</f>
        <v/>
      </c>
      <c r="K5007" t="inlineStr">
        <is>
          <t>459.0</t>
        </is>
      </c>
      <c r="L5007" t="n">
        <v>650.5</v>
      </c>
      <c r="M5007" s="1" t="inlineStr">
        <is>
          <t>41.72%</t>
        </is>
      </c>
      <c r="N5007" s="7" t="n">
        <v>-42.16</v>
      </c>
      <c r="O5007" t="n">
        <v>5</v>
      </c>
      <c r="P5007" t="n">
        <v>1</v>
      </c>
      <c r="R5007" t="inlineStr">
        <is>
          <t>InStock</t>
        </is>
      </c>
      <c r="S5007" t="inlineStr">
        <is>
          <t>755.0</t>
        </is>
      </c>
      <c r="T5007" t="inlineStr">
        <is>
          <t>7795189809368</t>
        </is>
      </c>
    </row>
    <row r="5008" ht="87" customHeight="1">
      <c r="A5008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5008" s="2">
        <f>HYPERLINK("https://edmondsonsupply.com/products/klein-tools-d507-10-adjustable-wrench-extra-capacity-10-inch", "https://edmondsonsupply.com/products/klein-tools-d507-10-adjustable-wrench-extra-capacity-10-inch")</f>
        <v/>
      </c>
      <c r="C5008" t="inlineStr">
        <is>
          <t>Klein Tools D507-10 Adjustable Wrench Extra Capacity, 10-Inch</t>
        </is>
      </c>
      <c r="D5008" t="inlineStr">
        <is>
          <t>Klein Tools D507-12 Adjustable Drive Wrench, Forged with Extra Capacity Jaw and High Polish Chrome Finish, 12-inch</t>
        </is>
      </c>
      <c r="E5008" s="2">
        <f>HYPERLINK("https://www.amazon.com/Adjustable-Capacity-Klein-Tools-D507-12/dp/B000936OVW/ref=sr_1_3?keywords=Klein+Tools+D507-10+Adjustable+Wrench+Extra+Capacity%2C+10-Inch&amp;qid=1694735353&amp;sr=8-3", "https://www.amazon.com/Adjustable-Capacity-Klein-Tools-D507-12/dp/B000936OVW/ref=sr_1_3?keywords=Klein+Tools+D507-10+Adjustable+Wrench+Extra+Capacity%2C+10-Inch&amp;qid=1694735353&amp;sr=8-3")</f>
        <v/>
      </c>
      <c r="F5008" t="inlineStr">
        <is>
          <t>B000936OVW</t>
        </is>
      </c>
      <c r="G5008">
        <f>_xlfn.IMAGE("https://edmondsonsupply.com/cdn/shop/products/d50710.jpg?v=1666011197")</f>
        <v/>
      </c>
      <c r="H5008">
        <f>_xlfn.IMAGE("https://m.media-amazon.com/images/I/51Bvc2AeFZL._AC_UL320_.jpg")</f>
        <v/>
      </c>
      <c r="K5008" t="inlineStr">
        <is>
          <t>35.99</t>
        </is>
      </c>
      <c r="L5008" t="n">
        <v>50.99</v>
      </c>
      <c r="M5008" s="1" t="inlineStr">
        <is>
          <t>41.68%</t>
        </is>
      </c>
      <c r="N5008" s="7" t="n">
        <v>-42.24</v>
      </c>
      <c r="O5008" t="n">
        <v>4.8</v>
      </c>
      <c r="P5008" t="n">
        <v>383</v>
      </c>
      <c r="R5008" t="inlineStr">
        <is>
          <t>InStock</t>
        </is>
      </c>
      <c r="S5008" t="inlineStr">
        <is>
          <t>54.54</t>
        </is>
      </c>
      <c r="T5008" t="inlineStr">
        <is>
          <t>4436115554404</t>
        </is>
      </c>
    </row>
    <row r="5009" hidden="1" ht="15.75" customHeight="1">
      <c r="A5009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5009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5009" t="inlineStr">
        <is>
          <t>Klein Tools 630-5/16M 5/16-Inch Magnetic Nut Driver with Hollow Shaft</t>
        </is>
      </c>
      <c r="D5009" t="inlineStr">
        <is>
          <t>Klein Tools 610 Tool Set, Nut Driver Set with Stubby Nut Driver Sizes 1/4 and 5/16-Inch, Full Hollow Shaft, 2-Piece</t>
        </is>
      </c>
      <c r="E5009" s="2">
        <f>HYPERLINK("https://www.amazon.com/Klein-Tools-610-16-Inch-2-Piece/dp/B000CSKRCQ/ref=sr_1_15?keywords=Klein+Tools+630-5%2F16M+5%2F16-Inch+Magnetic+Nut+Driver+with+Hollow+Shaft&amp;qid=1694735398&amp;sr=8-15", "https://www.amazon.com/Klein-Tools-610-16-Inch-2-Piece/dp/B000CSKRCQ/ref=sr_1_15?keywords=Klein+Tools+630-5%2F16M+5%2F16-Inch+Magnetic+Nut+Driver+with+Hollow+Shaft&amp;qid=1694735398&amp;sr=8-15")</f>
        <v/>
      </c>
      <c r="F5009" t="inlineStr">
        <is>
          <t>B000CSKRCQ</t>
        </is>
      </c>
      <c r="G5009">
        <f>_xludf.IMAGE("https://edmondsonsupply.com/cdn/shop/products/630-5-16m.jpg?v=1587148610")</f>
        <v/>
      </c>
      <c r="H5009">
        <f>_xludf.IMAGE("https://m.media-amazon.com/images/I/51+8QhofFWL._AC_UL320_.jpg")</f>
        <v/>
      </c>
      <c r="K5009" t="inlineStr">
        <is>
          <t>9.99</t>
        </is>
      </c>
      <c r="L5009" t="n">
        <v>14.14</v>
      </c>
      <c r="M5009" s="1" t="inlineStr">
        <is>
          <t>41.54%</t>
        </is>
      </c>
      <c r="N5009" s="1" t="n">
        <v>-42.46</v>
      </c>
      <c r="O5009" t="n">
        <v>4.9</v>
      </c>
      <c r="P5009" t="n">
        <v>19</v>
      </c>
      <c r="R5009" t="inlineStr">
        <is>
          <t>InStock</t>
        </is>
      </c>
      <c r="S5009" t="inlineStr">
        <is>
          <t>15.12</t>
        </is>
      </c>
      <c r="T5009" t="inlineStr">
        <is>
          <t>4391884324964</t>
        </is>
      </c>
    </row>
    <row r="5010" ht="87" customHeight="1">
      <c r="A5010" s="2">
        <f>HYPERLINK("https://edmondsonsupply.com/collections/electricians-tools/products/channellock-3017", "https://edmondsonsupply.com/collections/electricians-tools/products/channellock-3017")</f>
        <v/>
      </c>
      <c r="B5010" s="2">
        <f>HYPERLINK("https://edmondsonsupply.com/products/channellock-3017", "https://edmondsonsupply.com/products/channellock-3017")</f>
        <v/>
      </c>
      <c r="C5010" t="inlineStr">
        <is>
          <t>Channellock 3017 8-Inch Long Nose Pliers</t>
        </is>
      </c>
      <c r="D5010" t="inlineStr">
        <is>
          <t>Channellock 718 8-Inch Flat Nose Pliers | Duckbill Jaw Pliers with Extra Long Nose and Crosshatch Teeth Pattern Designed for Hard-to-Reach Places | Forged of High Carbon Steel | Made in the USA</t>
        </is>
      </c>
      <c r="E5010" s="2">
        <f>HYPERLINK("https://www.amazon.com/Channellock-718-Duckbill-Crosshatch-Designed/dp/B001BPYPFE/ref=sr_1_7?keywords=Channellock+3017+8-Inch+Long+Nose+Pliers&amp;qid=1694735304&amp;sr=8-7", "https://www.amazon.com/Channellock-718-Duckbill-Crosshatch-Designed/dp/B001BPYPFE/ref=sr_1_7?keywords=Channellock+3017+8-Inch+Long+Nose+Pliers&amp;qid=1694735304&amp;sr=8-7")</f>
        <v/>
      </c>
      <c r="F5010" t="inlineStr">
        <is>
          <t>B001BPYPFE</t>
        </is>
      </c>
      <c r="G5010">
        <f>_xlfn.IMAGE("https://edmondsonsupply.com/cdn/shop/products/3017-683x1024.jpg?v=1633030322")</f>
        <v/>
      </c>
      <c r="H5010">
        <f>_xlfn.IMAGE("https://m.media-amazon.com/images/I/713AIwRxOiL._AC_UL320_.jpg")</f>
        <v/>
      </c>
      <c r="K5010" t="inlineStr">
        <is>
          <t>19.95</t>
        </is>
      </c>
      <c r="L5010" t="n">
        <v>28.18</v>
      </c>
      <c r="M5010" s="1" t="inlineStr">
        <is>
          <t>41.25%</t>
        </is>
      </c>
      <c r="N5010" s="7" t="n">
        <v>-43.32</v>
      </c>
      <c r="O5010" t="n">
        <v>4.8</v>
      </c>
      <c r="P5010" t="n">
        <v>736</v>
      </c>
      <c r="R5010" t="inlineStr">
        <is>
          <t>InStock</t>
        </is>
      </c>
      <c r="S5010" t="inlineStr">
        <is>
          <t>29.97</t>
        </is>
      </c>
      <c r="T5010" t="inlineStr">
        <is>
          <t>5245817159848</t>
        </is>
      </c>
    </row>
    <row r="5011" ht="87" customHeight="1">
      <c r="A5011" s="2">
        <f>HYPERLINK("https://edmondsonsupply.com/collections/electricians-tools/products/channellock-3017", "https://edmondsonsupply.com/collections/electricians-tools/products/channellock-3017")</f>
        <v/>
      </c>
      <c r="B5011" s="2">
        <f>HYPERLINK("https://edmondsonsupply.com/products/channellock-3017", "https://edmondsonsupply.com/products/channellock-3017")</f>
        <v/>
      </c>
      <c r="C5011" t="inlineStr">
        <is>
          <t>Channellock 3017 8-Inch Long Nose Pliers</t>
        </is>
      </c>
      <c r="D5011" t="inlineStr">
        <is>
          <t>KNIPEX Tools - Long Nose Pliers With Cutter, Multi-Component (2612200), Multi-Colour, 8 inches</t>
        </is>
      </c>
      <c r="E5011" s="2">
        <f>HYPERLINK("https://www.amazon.com/KNIPEX-Tools-Multi-Component-2612200-Multi-Colour/dp/B000X4MOVG/ref=sr_1_18?keywords=Channellock+3017+8-Inch+Long+Nose+Pliers&amp;qid=1694735304&amp;sr=8-18", "https://www.amazon.com/KNIPEX-Tools-Multi-Component-2612200-Multi-Colour/dp/B000X4MOVG/ref=sr_1_18?keywords=Channellock+3017+8-Inch+Long+Nose+Pliers&amp;qid=1694735304&amp;sr=8-18")</f>
        <v/>
      </c>
      <c r="F5011" t="inlineStr">
        <is>
          <t>B000X4MOVG</t>
        </is>
      </c>
      <c r="G5011">
        <f>_xlfn.IMAGE("https://edmondsonsupply.com/cdn/shop/products/3017-683x1024.jpg?v=1633030322")</f>
        <v/>
      </c>
      <c r="H5011">
        <f>_xlfn.IMAGE("https://m.media-amazon.com/images/I/71S2IlnkHeL._AC_UL320_.jpg")</f>
        <v/>
      </c>
      <c r="K5011" t="inlineStr">
        <is>
          <t>19.95</t>
        </is>
      </c>
      <c r="L5011" t="n">
        <v>28.17</v>
      </c>
      <c r="M5011" s="1" t="inlineStr">
        <is>
          <t>41.20%</t>
        </is>
      </c>
      <c r="N5011" s="7" t="n">
        <v>-43.32</v>
      </c>
      <c r="O5011" t="n">
        <v>4.8</v>
      </c>
      <c r="P5011" t="n">
        <v>2577</v>
      </c>
      <c r="R5011" t="inlineStr">
        <is>
          <t>InStock</t>
        </is>
      </c>
      <c r="S5011" t="inlineStr">
        <is>
          <t>29.97</t>
        </is>
      </c>
      <c r="T5011" t="inlineStr">
        <is>
          <t>5245817159848</t>
        </is>
      </c>
    </row>
    <row r="5012" hidden="1" ht="15.75" customHeight="1">
      <c r="A5012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012" s="2">
        <f>HYPERLINK("https://edmondsonsupply.com/products/diablo-tools-dsp2130-p2-1-in-x-6-in-spade-bit", "https://edmondsonsupply.com/products/diablo-tools-dsp2130-p2-1-in-x-6-in-spade-bit")</f>
        <v/>
      </c>
      <c r="C5012" t="inlineStr">
        <is>
          <t>Diablo Tools DSP2130-P2 1 in. x 6 in. Spade Bit</t>
        </is>
      </c>
      <c r="D5012" t="inlineStr">
        <is>
          <t>Diablo 1-1/4 in. x 6 in. SPEEDemon Spade Bit (2-Pack)</t>
        </is>
      </c>
      <c r="E5012" s="2">
        <f>HYPERLINK("https://www.amazon.com/Diablo-1-1-SPEEDemon-Spade-2-Pack/dp/B089LG8GXW/ref=sr_1_28?keywords=Diablo+Tools+DSP2130-P2+1+in.+x+6+in.+Spade+Bit&amp;qid=1694735066&amp;sr=8-28", "https://www.amazon.com/Diablo-1-1-SPEEDemon-Spade-2-Pack/dp/B089LG8GXW/ref=sr_1_28?keywords=Diablo+Tools+DSP2130-P2+1+in.+x+6+in.+Spade+Bit&amp;qid=1694735066&amp;sr=8-28")</f>
        <v/>
      </c>
      <c r="F5012" t="inlineStr">
        <is>
          <t>B089LG8GXW</t>
        </is>
      </c>
      <c r="G5012">
        <f>_xludf.IMAGE("https://edmondsonsupply.com/cdn/shop/products/peyjwqlntvnioikkr5be.webp?v=1670515689")</f>
        <v/>
      </c>
      <c r="H5012">
        <f>_xludf.IMAGE("https://m.media-amazon.com/images/I/61KC4haIgvL._AC_UL320_.jpg")</f>
        <v/>
      </c>
      <c r="K5012" t="inlineStr">
        <is>
          <t>6.39</t>
        </is>
      </c>
      <c r="L5012" t="n">
        <v>8.99</v>
      </c>
      <c r="M5012" s="1" t="inlineStr">
        <is>
          <t>40.69%</t>
        </is>
      </c>
      <c r="N5012" s="1" t="n">
        <v>-43.35</v>
      </c>
      <c r="O5012" t="n">
        <v>4.5</v>
      </c>
      <c r="P5012" t="n">
        <v>22</v>
      </c>
      <c r="R5012" t="inlineStr">
        <is>
          <t>InStock</t>
        </is>
      </c>
      <c r="S5012" t="inlineStr">
        <is>
          <t>undefined</t>
        </is>
      </c>
      <c r="T5012" t="inlineStr">
        <is>
          <t>7901272047832</t>
        </is>
      </c>
    </row>
    <row r="5013" hidden="1" ht="15.75" customHeight="1">
      <c r="A5013" s="2">
        <f>HYPERLINK("https://edmondsonsupply.com/collections/electricians-tools/products/klein-tools-6844ins-insulated-screwdriver-2-square-tip-4-inch-round-shank", "https://edmondsonsupply.com/collections/electricians-tools/products/klein-tools-6844ins-insulated-screwdriver-2-square-tip-4-inch-round-shank")</f>
        <v/>
      </c>
      <c r="B5013" s="2">
        <f>HYPERLINK("https://edmondsonsupply.com/products/klein-tools-6844ins-insulated-screwdriver-2-square-tip-4-inch-round-shank", "https://edmondsonsupply.com/products/klein-tools-6844ins-insulated-screwdriver-2-square-tip-4-inch-round-shank")</f>
        <v/>
      </c>
      <c r="C5013" t="inlineStr">
        <is>
          <t>Klein Tools 6844INS Insulated Screwdriver, #2 Square Tip, 4-Inch Round Shank</t>
        </is>
      </c>
      <c r="D5013" t="inlineStr">
        <is>
          <t>Klein Tools 6944INS Insulated Screwdriver, 1000V Slim Profile Tip, #2 Square with 4-Inch Shank, Cushion-Grip Handle</t>
        </is>
      </c>
      <c r="E5013" s="2">
        <f>HYPERLINK("https://www.amazon.com/Klein-Tools-6944INS-Screwdriver-Cushion-Grip/dp/B09GPYTZV3/ref=sr_1_4?keywords=Klein+Tools+6844INS+Insulated+Screwdriver%2C+%232+Square+Tip%2C+4-Inch+Round+Shank&amp;qid=1694735101&amp;sr=8-4", "https://www.amazon.com/Klein-Tools-6944INS-Screwdriver-Cushion-Grip/dp/B09GPYTZV3/ref=sr_1_4?keywords=Klein+Tools+6844INS+Insulated+Screwdriver%2C+%232+Square+Tip%2C+4-Inch+Round+Shank&amp;qid=1694735101&amp;sr=8-4")</f>
        <v/>
      </c>
      <c r="F5013" t="inlineStr">
        <is>
          <t>B09GPYTZV3</t>
        </is>
      </c>
      <c r="G5013">
        <f>_xludf.IMAGE("https://edmondsonsupply.com/cdn/shop/products/6844ins.jpg?v=1664817203")</f>
        <v/>
      </c>
      <c r="H5013">
        <f>_xludf.IMAGE("https://m.media-amazon.com/images/I/41PzygwLx+L._AC_UL320_.jpg")</f>
        <v/>
      </c>
      <c r="K5013" t="inlineStr">
        <is>
          <t>9.97</t>
        </is>
      </c>
      <c r="L5013" t="n">
        <v>13.99</v>
      </c>
      <c r="M5013" s="1" t="inlineStr">
        <is>
          <t>40.32%</t>
        </is>
      </c>
      <c r="N5013" s="1" t="n">
        <v>-43.35</v>
      </c>
      <c r="O5013" t="n">
        <v>4.7</v>
      </c>
      <c r="P5013" t="n">
        <v>93</v>
      </c>
      <c r="R5013" t="inlineStr">
        <is>
          <t>InStock</t>
        </is>
      </c>
      <c r="S5013" t="inlineStr">
        <is>
          <t>15.12</t>
        </is>
      </c>
      <c r="T5013" t="inlineStr">
        <is>
          <t>7837735551192</t>
        </is>
      </c>
    </row>
    <row r="5014" hidden="1" ht="15.75" customHeight="1">
      <c r="A5014" s="2">
        <f>HYPERLINK("https://edmondsonsupply.com/collections/electricians-tools/products/klein-tools-6844ins-insulated-screwdriver-2-square-tip-4-inch-round-shank", "https://edmondsonsupply.com/collections/electricians-tools/products/klein-tools-6844ins-insulated-screwdriver-2-square-tip-4-inch-round-shank")</f>
        <v/>
      </c>
      <c r="B5014" s="2">
        <f>HYPERLINK("https://edmondsonsupply.com/products/klein-tools-6844ins-insulated-screwdriver-2-square-tip-4-inch-round-shank", "https://edmondsonsupply.com/products/klein-tools-6844ins-insulated-screwdriver-2-square-tip-4-inch-round-shank")</f>
        <v/>
      </c>
      <c r="C5014" t="inlineStr">
        <is>
          <t>Klein Tools 6844INS Insulated Screwdriver, #2 Square Tip, 4-Inch Round Shank</t>
        </is>
      </c>
      <c r="D5014" t="inlineStr">
        <is>
          <t>Klein Tools 6984INS Insulated Screwdriver, 1000V Slim Profile Tip, #1 Square with 4-Inch Shank, Cushion-Grip Handle</t>
        </is>
      </c>
      <c r="E5014" s="2">
        <f>HYPERLINK("https://www.amazon.com/Klein-Tools-6984INS-Screwdriver-Cushion-Grip/dp/B09GPZ5P2M/ref=sr_1_5?keywords=Klein+Tools+6844INS+Insulated+Screwdriver%2C+%232+Square+Tip%2C+4-Inch+Round+Shank&amp;qid=1694735101&amp;sr=8-5", "https://www.amazon.com/Klein-Tools-6984INS-Screwdriver-Cushion-Grip/dp/B09GPZ5P2M/ref=sr_1_5?keywords=Klein+Tools+6844INS+Insulated+Screwdriver%2C+%232+Square+Tip%2C+4-Inch+Round+Shank&amp;qid=1694735101&amp;sr=8-5")</f>
        <v/>
      </c>
      <c r="F5014" t="inlineStr">
        <is>
          <t>B09GPZ5P2M</t>
        </is>
      </c>
      <c r="G5014">
        <f>_xludf.IMAGE("https://edmondsonsupply.com/cdn/shop/products/6844ins.jpg?v=1664817203")</f>
        <v/>
      </c>
      <c r="H5014">
        <f>_xludf.IMAGE("https://m.media-amazon.com/images/I/41uj4ogsy3L._AC_UL320_.jpg")</f>
        <v/>
      </c>
      <c r="K5014" t="inlineStr">
        <is>
          <t>9.97</t>
        </is>
      </c>
      <c r="L5014" t="n">
        <v>13.99</v>
      </c>
      <c r="M5014" s="1" t="inlineStr">
        <is>
          <t>40.32%</t>
        </is>
      </c>
      <c r="N5014" s="1" t="n">
        <v>-43.93</v>
      </c>
      <c r="O5014" t="n">
        <v>4.8</v>
      </c>
      <c r="P5014" t="n">
        <v>107</v>
      </c>
      <c r="R5014" t="inlineStr">
        <is>
          <t>InStock</t>
        </is>
      </c>
      <c r="S5014" t="inlineStr">
        <is>
          <t>15.12</t>
        </is>
      </c>
      <c r="T5014" t="inlineStr">
        <is>
          <t>7837735551192</t>
        </is>
      </c>
    </row>
    <row r="5015" hidden="1" ht="15.75" customHeight="1">
      <c r="A5015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5015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5015" t="inlineStr">
        <is>
          <t>Klein Tools 6884INS Insulated Screwdriver, #1 Square Tip, 4-Inch Shank</t>
        </is>
      </c>
      <c r="D5015" t="inlineStr">
        <is>
          <t>Klein Tools 6984INS Insulated Screwdriver, 1000V Slim Profile Tip, #1 Square with 4-Inch Shank, Cushion-Grip Handle</t>
        </is>
      </c>
      <c r="E5015" s="2">
        <f>HYPERLINK("https://www.amazon.com/Klein-Tools-6984INS-Screwdriver-Cushion-Grip/dp/B09GPZ5P2M/ref=sr_1_2?keywords=Klein+Tools+6884INS+Insulated+Screwdriver%2C+%231+Square+Tip%2C+4-Inch+Shank&amp;qid=1694735104&amp;sr=8-2", "https://www.amazon.com/Klein-Tools-6984INS-Screwdriver-Cushion-Grip/dp/B09GPZ5P2M/ref=sr_1_2?keywords=Klein+Tools+6884INS+Insulated+Screwdriver%2C+%231+Square+Tip%2C+4-Inch+Shank&amp;qid=1694735104&amp;sr=8-2")</f>
        <v/>
      </c>
      <c r="F5015" t="inlineStr">
        <is>
          <t>B09GPZ5P2M</t>
        </is>
      </c>
      <c r="G5015">
        <f>_xludf.IMAGE("https://edmondsonsupply.com/cdn/shop/products/6884ins.jpg?v=1664889244")</f>
        <v/>
      </c>
      <c r="H5015">
        <f>_xludf.IMAGE("https://m.media-amazon.com/images/I/41uj4ogsy3L._AC_UL320_.jpg")</f>
        <v/>
      </c>
      <c r="K5015" t="inlineStr">
        <is>
          <t>9.97</t>
        </is>
      </c>
      <c r="L5015" t="n">
        <v>13.99</v>
      </c>
      <c r="M5015" s="1" t="inlineStr">
        <is>
          <t>40.32%</t>
        </is>
      </c>
      <c r="N5015" s="1" t="n">
        <v>-44.14</v>
      </c>
      <c r="O5015" t="n">
        <v>4.8</v>
      </c>
      <c r="P5015" t="n">
        <v>107</v>
      </c>
      <c r="R5015" t="inlineStr">
        <is>
          <t>InStock</t>
        </is>
      </c>
      <c r="S5015" t="inlineStr">
        <is>
          <t>14.98</t>
        </is>
      </c>
      <c r="T5015" t="inlineStr">
        <is>
          <t>7839150735576</t>
        </is>
      </c>
    </row>
    <row r="5016" hidden="1" ht="15.75" customHeight="1">
      <c r="A5016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016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016" t="inlineStr">
        <is>
          <t>Klein Tools 6824INS Insulated Screwdriver, 1/4-Inch Cabinet Tip, 4-Inch Round Shank</t>
        </is>
      </c>
      <c r="D5016" t="inlineStr">
        <is>
          <t>Klein Tools 6944INS Insulated Screwdriver, 1000V Slim Profile Tip, #2 Square with 4-Inch Shank, Cushion-Grip Handle</t>
        </is>
      </c>
      <c r="E5016" s="2">
        <f>HYPERLINK("https://www.amazon.com/Klein-Tools-6944INS-Screwdriver-Cushion-Grip/dp/B09GPYTZV3/ref=sr_1_14?keywords=Klein+Tools+6824INS+Insulated+Screwdriver%2C+1%2F4-Inch+Cabinet+Tip%2C+4-Inch+Round+Shank&amp;qid=1694735115&amp;sr=8-14", "https://www.amazon.com/Klein-Tools-6944INS-Screwdriver-Cushion-Grip/dp/B09GPYTZV3/ref=sr_1_14?keywords=Klein+Tools+6824INS+Insulated+Screwdriver%2C+1%2F4-Inch+Cabinet+Tip%2C+4-Inch+Round+Shank&amp;qid=1694735115&amp;sr=8-14")</f>
        <v/>
      </c>
      <c r="F5016" t="inlineStr">
        <is>
          <t>B09GPYTZV3</t>
        </is>
      </c>
      <c r="G5016">
        <f>_xludf.IMAGE("https://edmondsonsupply.com/cdn/shop/products/6824ins.jpg?v=1664813487")</f>
        <v/>
      </c>
      <c r="H5016">
        <f>_xludf.IMAGE("https://m.media-amazon.com/images/I/41PzygwLx+L._AC_UL320_.jpg")</f>
        <v/>
      </c>
      <c r="K5016" t="inlineStr">
        <is>
          <t>9.97</t>
        </is>
      </c>
      <c r="L5016" t="n">
        <v>13.99</v>
      </c>
      <c r="M5016" s="1" t="inlineStr">
        <is>
          <t>40.32%</t>
        </is>
      </c>
      <c r="N5016" s="1" t="n">
        <v>-44.43</v>
      </c>
      <c r="O5016" t="n">
        <v>4.7</v>
      </c>
      <c r="P5016" t="n">
        <v>93</v>
      </c>
      <c r="R5016" t="inlineStr">
        <is>
          <t>InStock</t>
        </is>
      </c>
      <c r="S5016" t="inlineStr">
        <is>
          <t>15.72</t>
        </is>
      </c>
      <c r="T5016" t="inlineStr">
        <is>
          <t>7837703471320</t>
        </is>
      </c>
    </row>
    <row r="5017" hidden="1" ht="15.75" customHeight="1">
      <c r="A5017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5017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5017" t="inlineStr">
        <is>
          <t>Klein Tools 6884INS Insulated Screwdriver, #1 Square Tip, 4-Inch Shank</t>
        </is>
      </c>
      <c r="D5017" t="inlineStr">
        <is>
          <t>Klein Tools 6944INS Insulated Screwdriver, 1000V Slim Profile Tip, #2 Square with 4-Inch Shank, Cushion-Grip Handle</t>
        </is>
      </c>
      <c r="E5017" s="2">
        <f>HYPERLINK("https://www.amazon.com/Klein-Tools-6944INS-Screwdriver-Cushion-Grip/dp/B09GPYTZV3/ref=sr_1_6?keywords=Klein+Tools+6884INS+Insulated+Screwdriver%2C+%231+Square+Tip%2C+4-Inch+Shank&amp;qid=1694735104&amp;sr=8-6", "https://www.amazon.com/Klein-Tools-6944INS-Screwdriver-Cushion-Grip/dp/B09GPYTZV3/ref=sr_1_6?keywords=Klein+Tools+6884INS+Insulated+Screwdriver%2C+%231+Square+Tip%2C+4-Inch+Shank&amp;qid=1694735104&amp;sr=8-6")</f>
        <v/>
      </c>
      <c r="F5017" t="inlineStr">
        <is>
          <t>B09GPYTZV3</t>
        </is>
      </c>
      <c r="G5017">
        <f>_xludf.IMAGE("https://edmondsonsupply.com/cdn/shop/products/6884ins.jpg?v=1664889244")</f>
        <v/>
      </c>
      <c r="H5017">
        <f>_xludf.IMAGE("https://m.media-amazon.com/images/I/41PzygwLx+L._AC_UL320_.jpg")</f>
        <v/>
      </c>
      <c r="K5017" t="inlineStr">
        <is>
          <t>9.97</t>
        </is>
      </c>
      <c r="L5017" t="n">
        <v>13.99</v>
      </c>
      <c r="M5017" s="1" t="inlineStr">
        <is>
          <t>40.32%</t>
        </is>
      </c>
      <c r="N5017" s="1" t="n">
        <v>-45</v>
      </c>
      <c r="O5017" t="n">
        <v>4.7</v>
      </c>
      <c r="P5017" t="n">
        <v>93</v>
      </c>
      <c r="R5017" t="inlineStr">
        <is>
          <t>InStock</t>
        </is>
      </c>
      <c r="S5017" t="inlineStr">
        <is>
          <t>14.98</t>
        </is>
      </c>
      <c r="T5017" t="inlineStr">
        <is>
          <t>7839150735576</t>
        </is>
      </c>
    </row>
    <row r="5018" hidden="1" ht="15.75" customHeight="1">
      <c r="A5018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018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018" t="inlineStr">
        <is>
          <t>Klein Tools 6824INS Insulated Screwdriver, 1/4-Inch Cabinet Tip, 4-Inch Round Shank</t>
        </is>
      </c>
      <c r="D5018" t="inlineStr">
        <is>
          <t>Klein Tools 6984INS Insulated Screwdriver, 1000V Slim Profile Tip, #1 Square with 4-Inch Shank, Cushion-Grip Handle</t>
        </is>
      </c>
      <c r="E5018" s="2">
        <f>HYPERLINK("https://www.amazon.com/Klein-Tools-6984INS-Screwdriver-Cushion-Grip/dp/B09GPZ5P2M/ref=sr_1_11?keywords=Klein+Tools+6824INS+Insulated+Screwdriver%2C+1%2F4-Inch+Cabinet+Tip%2C+4-Inch+Round+Shank&amp;qid=1694735115&amp;sr=8-11", "https://www.amazon.com/Klein-Tools-6984INS-Screwdriver-Cushion-Grip/dp/B09GPZ5P2M/ref=sr_1_11?keywords=Klein+Tools+6824INS+Insulated+Screwdriver%2C+1%2F4-Inch+Cabinet+Tip%2C+4-Inch+Round+Shank&amp;qid=1694735115&amp;sr=8-11")</f>
        <v/>
      </c>
      <c r="F5018" t="inlineStr">
        <is>
          <t>B09GPZ5P2M</t>
        </is>
      </c>
      <c r="G5018">
        <f>_xludf.IMAGE("https://edmondsonsupply.com/cdn/shop/products/6824ins.jpg?v=1664813487")</f>
        <v/>
      </c>
      <c r="H5018">
        <f>_xludf.IMAGE("https://m.media-amazon.com/images/I/41uj4ogsy3L._AC_UL320_.jpg")</f>
        <v/>
      </c>
      <c r="K5018" t="inlineStr">
        <is>
          <t>9.97</t>
        </is>
      </c>
      <c r="L5018" t="n">
        <v>13.99</v>
      </c>
      <c r="M5018" s="1" t="inlineStr">
        <is>
          <t>40.32%</t>
        </is>
      </c>
      <c r="N5018" s="1" t="n">
        <v>-45.03</v>
      </c>
      <c r="O5018" t="n">
        <v>4.8</v>
      </c>
      <c r="P5018" t="n">
        <v>107</v>
      </c>
      <c r="R5018" t="inlineStr">
        <is>
          <t>InStock</t>
        </is>
      </c>
      <c r="S5018" t="inlineStr">
        <is>
          <t>15.72</t>
        </is>
      </c>
      <c r="T5018" t="inlineStr">
        <is>
          <t>7837703471320</t>
        </is>
      </c>
    </row>
    <row r="5019" hidden="1" ht="15.75" customHeight="1">
      <c r="A5019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5019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5019" t="inlineStr">
        <is>
          <t>Diablo Tools DMARG1120 3/8 in. x 4 in. x 6 in. SPEEDemon™ Red Granite Carbide Tipped Hammer Drill Bit</t>
        </is>
      </c>
      <c r="D5019" t="inlineStr">
        <is>
          <t>Diablo by Freud DMARG1150 1/2 in. x 4 in. x 6 in. SPEEDemon Red Granite Carbide Tipped Hammer Drill Bit</t>
        </is>
      </c>
      <c r="E5019" s="2">
        <f>HYPERLINK("https://www.amazon.com/Diablo-Freud-DMARG1150-SPEEDemon-Granite/dp/B089LKXD71/ref=sr_1_2?keywords=Diablo+Tools+DMARG1120+3%2F8+in.+x+4+in.+x+6+in.+SPEEDemon%E2%84%A2+Red+Granite+Carbide+Tipped+Hammer+Drill+Bit&amp;qid=1694735289&amp;sr=8-2", "https://www.amazon.com/Diablo-Freud-DMARG1150-SPEEDemon-Granite/dp/B089LKXD71/ref=sr_1_2?keywords=Diablo+Tools+DMARG1120+3%2F8+in.+x+4+in.+x+6+in.+SPEEDemon%E2%84%A2+Red+Granite+Carbide+Tipped+Hammer+Drill+Bit&amp;qid=1694735289&amp;sr=8-2")</f>
        <v/>
      </c>
      <c r="F5019" t="inlineStr">
        <is>
          <t>B089LKXD71</t>
        </is>
      </c>
      <c r="G5019">
        <f>_xludf.IMAGE("https://edmondsonsupply.com/cdn/shop/products/DMARG1120_Main-Image20200513.png?v=1633030510")</f>
        <v/>
      </c>
      <c r="H5019">
        <f>_xludf.IMAGE("https://m.media-amazon.com/images/I/61Irr3Gr9YL._AC_UL320_.jpg")</f>
        <v/>
      </c>
      <c r="K5019" t="inlineStr">
        <is>
          <t>7.27</t>
        </is>
      </c>
      <c r="L5019" t="n">
        <v>10.19</v>
      </c>
      <c r="M5019" s="1" t="inlineStr">
        <is>
          <t>40.17%</t>
        </is>
      </c>
      <c r="N5019" s="1" t="n">
        <v>-45.08</v>
      </c>
      <c r="O5019" t="n">
        <v>4.3</v>
      </c>
      <c r="P5019" t="n">
        <v>19</v>
      </c>
      <c r="R5019" t="inlineStr">
        <is>
          <t>InStock</t>
        </is>
      </c>
      <c r="S5019" t="inlineStr">
        <is>
          <t>undefined</t>
        </is>
      </c>
      <c r="T5019" t="inlineStr">
        <is>
          <t>5386498834600</t>
        </is>
      </c>
    </row>
    <row r="5020" hidden="1" ht="15.75" customHeight="1">
      <c r="A5020" s="2">
        <f>HYPERLINK("https://edmondsonsupply.com/collections/electricians-tools/products/klein-tools-32478-bit-for-32476-and-32460-1-ph-3-16-inch-sl", "https://edmondsonsupply.com/collections/electricians-tools/products/klein-tools-32478-bit-for-32476-and-32460-1-ph-3-16-inch-sl")</f>
        <v/>
      </c>
      <c r="B5020" s="2">
        <f>HYPERLINK("https://edmondsonsupply.com/products/klein-tools-32478-bit-for-32476-and-32460-1-ph-3-16-inch-sl", "https://edmondsonsupply.com/products/klein-tools-32478-bit-for-32476-and-32460-1-ph-3-16-inch-sl")</f>
        <v/>
      </c>
      <c r="C5020" t="inlineStr">
        <is>
          <t>Klein Tools 32478 Bit for 32476 and 32460, #1 PH 3/16-Inch SL</t>
        </is>
      </c>
      <c r="D5020" t="inlineStr">
        <is>
          <t>Klein Tools 32482 Replacement Bit, #1 Phillips, 3/16-Inch Slotted for 10-in-1 and 11-in-1 Screwdriver/Nut Driver</t>
        </is>
      </c>
      <c r="E5020" s="2">
        <f>HYPERLINK("https://www.amazon.com/Klein-Tools-Replacement-Phillips-Screwdriver/dp/B000936PTS/ref=sr_1_1?keywords=Klein+Tools+32478+Bit+for+32476+and+32460%2C+%231+PH+3%2F16-Inch+SL&amp;qid=1694735219&amp;sr=8-1", "https://www.amazon.com/Klein-Tools-Replacement-Phillips-Screwdriver/dp/B000936PTS/ref=sr_1_1?keywords=Klein+Tools+32478+Bit+for+32476+and+32460%2C+%231+PH+3%2F16-Inch+SL&amp;qid=1694735219&amp;sr=8-1")</f>
        <v/>
      </c>
      <c r="F5020" t="inlineStr">
        <is>
          <t>B000936PTS</t>
        </is>
      </c>
      <c r="G5020">
        <f>_xludf.IMAGE("https://edmondsonsupply.com/cdn/shop/products/32478.jpg?v=1633031086")</f>
        <v/>
      </c>
      <c r="H5020">
        <f>_xludf.IMAGE("https://m.media-amazon.com/images/I/51kEiCqvjBL._AC_UL320_.jpg")</f>
        <v/>
      </c>
      <c r="K5020" t="inlineStr">
        <is>
          <t>3.29</t>
        </is>
      </c>
      <c r="L5020" t="n">
        <v>4.61</v>
      </c>
      <c r="M5020" s="1" t="inlineStr">
        <is>
          <t>40.12%</t>
        </is>
      </c>
      <c r="N5020" s="1" t="n">
        <v>-45.19</v>
      </c>
      <c r="O5020" t="n">
        <v>4.7</v>
      </c>
      <c r="P5020" t="n">
        <v>4262</v>
      </c>
      <c r="R5020" t="inlineStr">
        <is>
          <t>InStock</t>
        </is>
      </c>
      <c r="S5020" t="inlineStr">
        <is>
          <t>5.0</t>
        </is>
      </c>
      <c r="T5020" t="inlineStr">
        <is>
          <t>6831095742637</t>
        </is>
      </c>
    </row>
    <row r="5021" hidden="1" ht="15.75" customHeight="1">
      <c r="A5021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021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021" t="inlineStr">
        <is>
          <t>Klein Tools 6824INS Insulated Screwdriver, 1/4-Inch Cabinet Tip, 4-Inch Round Shank</t>
        </is>
      </c>
      <c r="D5021" t="inlineStr">
        <is>
          <t>Klein Tools 6924INS 1000V Slim Tip Insulated Screwdriver, 4-Inch Round Shank, 1/4-Inch Cabinet Tip, Cushion Grip Handle</t>
        </is>
      </c>
      <c r="E5021" s="2">
        <f>HYPERLINK("https://www.amazon.com/Klein-Tools-6924INS-Insulated-Screwdriver/dp/B088NRM4CC/ref=sr_1_2?keywords=Klein+Tools+6824INS+Insulated+Screwdriver%2C+1%2F4-Inch+Cabinet+Tip%2C+4-Inch+Round+Shank&amp;qid=1694735115&amp;sr=8-2", "https://www.amazon.com/Klein-Tools-6924INS-Insulated-Screwdriver/dp/B088NRM4CC/ref=sr_1_2?keywords=Klein+Tools+6824INS+Insulated+Screwdriver%2C+1%2F4-Inch+Cabinet+Tip%2C+4-Inch+Round+Shank&amp;qid=1694735115&amp;sr=8-2")</f>
        <v/>
      </c>
      <c r="F5021" t="inlineStr">
        <is>
          <t>B088NRM4CC</t>
        </is>
      </c>
      <c r="G5021">
        <f>_xludf.IMAGE("https://edmondsonsupply.com/cdn/shop/products/6824ins.jpg?v=1664813487")</f>
        <v/>
      </c>
      <c r="H5021">
        <f>_xludf.IMAGE("https://m.media-amazon.com/images/I/419wtU12P3L._AC_UL320_.jpg")</f>
        <v/>
      </c>
      <c r="K5021" t="inlineStr">
        <is>
          <t>9.97</t>
        </is>
      </c>
      <c r="L5021" t="n">
        <v>13.97</v>
      </c>
      <c r="M5021" s="1" t="inlineStr">
        <is>
          <t>40.12%</t>
        </is>
      </c>
      <c r="N5021" s="1" t="n">
        <v>-45.2</v>
      </c>
      <c r="O5021" t="n">
        <v>4.8</v>
      </c>
      <c r="P5021" t="n">
        <v>1358</v>
      </c>
      <c r="R5021" t="inlineStr">
        <is>
          <t>InStock</t>
        </is>
      </c>
      <c r="S5021" t="inlineStr">
        <is>
          <t>15.72</t>
        </is>
      </c>
      <c r="T5021" t="inlineStr">
        <is>
          <t>7837703471320</t>
        </is>
      </c>
    </row>
    <row r="5022" ht="87" customHeight="1">
      <c r="A5022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5022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5022" t="inlineStr">
        <is>
          <t>Klein Tools 66004 2-in-1 Impact Socket, 6-Point, 3/4 and 9/16-Inch</t>
        </is>
      </c>
      <c r="D5022" t="inlineStr">
        <is>
          <t>Klein Tools 66065 2-in-1 Deep Impact Socket, 6-Point 1-Inch and 13/16-Inch Hex Socket Sizes, Use with Impact Wrenches BAT20-CW, BAT20-CW</t>
        </is>
      </c>
      <c r="E5022" s="2">
        <f>HYPERLINK("https://www.amazon.com/Klein-Tools-66065-Wrenches-BAT20-CW/dp/B09NDPWW3X/ref=sr_1_7?keywords=Klein+Tools+66004+2-in-1+Impact+Socket%2C+6-Point%2C+3%2F4+and+9%2F16-Inch&amp;qid=1694735397&amp;sr=8-7", "https://www.amazon.com/Klein-Tools-66065-Wrenches-BAT20-CW/dp/B09NDPWW3X/ref=sr_1_7?keywords=Klein+Tools+66004+2-in-1+Impact+Socket%2C+6-Point%2C+3%2F4+and+9%2F16-Inch&amp;qid=1694735397&amp;sr=8-7")</f>
        <v/>
      </c>
      <c r="F5022" t="inlineStr">
        <is>
          <t>B09NDPWW3X</t>
        </is>
      </c>
      <c r="G5022">
        <f>_xlfn.IMAGE("https://edmondsonsupply.com/cdn/shop/products/66004.jpg?v=1664131249")</f>
        <v/>
      </c>
      <c r="H5022">
        <f>_xlfn.IMAGE("https://m.media-amazon.com/images/I/815Ioz0XAyL._AC_UL320_.jpg")</f>
        <v/>
      </c>
      <c r="K5022" t="inlineStr">
        <is>
          <t>39.99</t>
        </is>
      </c>
      <c r="L5022" t="n">
        <v>56.03</v>
      </c>
      <c r="M5022" s="1" t="inlineStr">
        <is>
          <t>40.11%</t>
        </is>
      </c>
      <c r="N5022" s="7" t="n">
        <v>-45.31</v>
      </c>
      <c r="O5022" t="n">
        <v>5</v>
      </c>
      <c r="P5022" t="n">
        <v>1</v>
      </c>
      <c r="R5022" t="inlineStr">
        <is>
          <t>InStock</t>
        </is>
      </c>
      <c r="S5022" t="inlineStr">
        <is>
          <t>68.0</t>
        </is>
      </c>
      <c r="T5022" t="inlineStr">
        <is>
          <t>4406308110436</t>
        </is>
      </c>
    </row>
    <row r="5023" ht="87" customHeight="1">
      <c r="A5023" s="2">
        <f>HYPERLINK("https://edmondsonsupply.com/collections/electricians-tools/products/channellock-3017", "https://edmondsonsupply.com/collections/electricians-tools/products/channellock-3017")</f>
        <v/>
      </c>
      <c r="B5023" s="2">
        <f>HYPERLINK("https://edmondsonsupply.com/products/channellock-3017", "https://edmondsonsupply.com/products/channellock-3017")</f>
        <v/>
      </c>
      <c r="C5023" t="inlineStr">
        <is>
          <t>Channellock 3017 8-Inch Long Nose Pliers</t>
        </is>
      </c>
      <c r="D5023" t="inlineStr">
        <is>
          <t>Channellock 738 8-Inch Needle Nose Long Reach Plier,High carbon Polished steel, CHANNELLOCK BLUE grips</t>
        </is>
      </c>
      <c r="E5023" s="2">
        <f>HYPERLINK("https://www.amazon.com/Channellock-738-8-Inch-Needle-Reach/dp/B000GHWDXE/ref=sr_1_3?keywords=Channellock+3017+8-Inch+Long+Nose+Pliers&amp;qid=1694735304&amp;sr=8-3", "https://www.amazon.com/Channellock-738-8-Inch-Needle-Reach/dp/B000GHWDXE/ref=sr_1_3?keywords=Channellock+3017+8-Inch+Long+Nose+Pliers&amp;qid=1694735304&amp;sr=8-3")</f>
        <v/>
      </c>
      <c r="F5023" t="inlineStr">
        <is>
          <t>B000GHWDXE</t>
        </is>
      </c>
      <c r="G5023">
        <f>_xlfn.IMAGE("https://edmondsonsupply.com/cdn/shop/products/3017-683x1024.jpg?v=1633030322")</f>
        <v/>
      </c>
      <c r="H5023">
        <f>_xlfn.IMAGE("https://m.media-amazon.com/images/I/71KTK5Obm0L._AC_UL320_.jpg")</f>
        <v/>
      </c>
      <c r="K5023" t="inlineStr">
        <is>
          <t>19.95</t>
        </is>
      </c>
      <c r="L5023" t="n">
        <v>27.95</v>
      </c>
      <c r="M5023" s="1" t="inlineStr">
        <is>
          <t>40.10%</t>
        </is>
      </c>
      <c r="N5023" s="7" t="n">
        <v>-45.45</v>
      </c>
      <c r="O5023" t="n">
        <v>4.7</v>
      </c>
      <c r="P5023" t="n">
        <v>331</v>
      </c>
      <c r="R5023" t="inlineStr">
        <is>
          <t>InStock</t>
        </is>
      </c>
      <c r="S5023" t="inlineStr">
        <is>
          <t>29.97</t>
        </is>
      </c>
      <c r="T5023" t="inlineStr">
        <is>
          <t>5245817159848</t>
        </is>
      </c>
    </row>
    <row r="5024" ht="87" customHeight="1">
      <c r="A5024" s="2">
        <f>HYPERLINK("https://edmondsonsupply.com/collections/electricians-tools/products/klein-tools-1011-wire-stripper-cutter-10-20-12-22-awg", "https://edmondsonsupply.com/collections/electricians-tools/products/klein-tools-1011-wire-stripper-cutter-10-20-12-22-awg")</f>
        <v/>
      </c>
      <c r="B5024" s="2">
        <f>HYPERLINK("https://edmondsonsupply.com/products/klein-tools-1011-wire-stripper-cutter-10-20-12-22-awg", "https://edmondsonsupply.com/products/klein-tools-1011-wire-stripper-cutter-10-20-12-22-awg")</f>
        <v/>
      </c>
      <c r="C5024" t="inlineStr">
        <is>
          <t>Klein Tools 1011 Wire Stripper/Cutter 10-20 Solid, 12-22 AWG Stranded</t>
        </is>
      </c>
      <c r="D5024" t="inlineStr">
        <is>
          <t>Klein Tools 11057 Wire Cutter / Wire Stripper, Heavy Duty Wire Cutter Stripper for 20-30 AWG Solid Wire and 22-32 AWG Stranded Wire, One Size, Blue/Red</t>
        </is>
      </c>
      <c r="E5024" s="2">
        <f>HYPERLINK("https://www.amazon.com/Stripper-Stranded-Klein-Tools-11057/dp/B000XEUPMQ/ref=sr_1_9?keywords=Klein+Tools+1011+Wire+Stripper%2FCutter+10-20+Solid%2C+12-22+AWG+Stranded&amp;qid=1694735342&amp;sr=8-9", "https://www.amazon.com/Stripper-Stranded-Klein-Tools-11057/dp/B000XEUPMQ/ref=sr_1_9?keywords=Klein+Tools+1011+Wire+Stripper%2FCutter+10-20+Solid%2C+12-22+AWG+Stranded&amp;qid=1694735342&amp;sr=8-9")</f>
        <v/>
      </c>
      <c r="F5024" t="inlineStr">
        <is>
          <t>B000XEUPMQ</t>
        </is>
      </c>
      <c r="G5024">
        <f>_xlfn.IMAGE("https://edmondsonsupply.com/cdn/shop/products/1011.jpg?v=1587146937")</f>
        <v/>
      </c>
      <c r="H5024">
        <f>_xlfn.IMAGE("https://m.media-amazon.com/images/I/71HgWc6UcZL._AC_UL320_.jpg")</f>
        <v/>
      </c>
      <c r="K5024" t="inlineStr">
        <is>
          <t>14.97</t>
        </is>
      </c>
      <c r="L5024" t="n">
        <v>20.97</v>
      </c>
      <c r="M5024" s="1" t="inlineStr">
        <is>
          <t>40.08%</t>
        </is>
      </c>
      <c r="N5024" s="7" t="n">
        <v>-45.48</v>
      </c>
      <c r="O5024" t="n">
        <v>4.8</v>
      </c>
      <c r="P5024" t="n">
        <v>2986</v>
      </c>
      <c r="R5024" t="inlineStr">
        <is>
          <t>InStock</t>
        </is>
      </c>
      <c r="S5024" t="inlineStr">
        <is>
          <t>19.92</t>
        </is>
      </c>
      <c r="T5024" t="inlineStr">
        <is>
          <t>4505307414628</t>
        </is>
      </c>
    </row>
    <row r="5025" ht="87" customHeight="1">
      <c r="A5025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5025" s="2">
        <f>HYPERLINK("https://edmondsonsupply.com/products/milwaukee-49-56-0505-1-4-diamond-max%e2%84%a2-hole-saw", "https://edmondsonsupply.com/products/milwaukee-49-56-0505-1-4-diamond-max%e2%84%a2-hole-saw")</f>
        <v/>
      </c>
      <c r="C5025" t="inlineStr">
        <is>
          <t>Milwaukee 49-56-0505 1/4" Diamond MAX™ Hole Saw</t>
        </is>
      </c>
      <c r="D5025" t="inlineStr">
        <is>
          <t>Milwaukee 49-56-0517 1" Diamond One-Piece Hole Saw</t>
        </is>
      </c>
      <c r="E5025" s="2">
        <f>HYPERLINK("https://www.amazon.com/Milwaukee-49-56-0517-Diamond-One-Piece-Hole/dp/B00KYE3SE2/ref=sr_1_5?keywords=Milwaukee+49-56-0505+1%2F4%22+Diamond+MAX%E2%84%A2+Hole+Saw&amp;qid=1694735000&amp;sr=8-5", "https://www.amazon.com/Milwaukee-49-56-0517-Diamond-One-Piece-Hole/dp/B00KYE3SE2/ref=sr_1_5?keywords=Milwaukee+49-56-0505+1%2F4%22+Diamond+MAX%E2%84%A2+Hole+Saw&amp;qid=1694735000&amp;sr=8-5")</f>
        <v/>
      </c>
      <c r="F5025" t="inlineStr">
        <is>
          <t>B00KYE3SE2</t>
        </is>
      </c>
      <c r="G5025">
        <f>_xlfn.IMAGE("https://edmondsonsupply.com/cdn/shop/products/49-56-0507_1.png?v=1680111300")</f>
        <v/>
      </c>
      <c r="H5025">
        <f>_xlfn.IMAGE("https://m.media-amazon.com/images/I/61ibajpYgtL._AC_UL320_.jpg")</f>
        <v/>
      </c>
      <c r="K5025" t="inlineStr">
        <is>
          <t>19.99</t>
        </is>
      </c>
      <c r="L5025" t="n">
        <v>28</v>
      </c>
      <c r="M5025" s="1" t="inlineStr">
        <is>
          <t>40.07%</t>
        </is>
      </c>
      <c r="N5025" s="7" t="n">
        <v>-45.64</v>
      </c>
      <c r="O5025" t="n">
        <v>4.7</v>
      </c>
      <c r="P5025" t="n">
        <v>67</v>
      </c>
      <c r="R5025" t="inlineStr">
        <is>
          <t>InStock</t>
        </is>
      </c>
      <c r="S5025" t="inlineStr">
        <is>
          <t>26.6</t>
        </is>
      </c>
      <c r="T5025" t="inlineStr">
        <is>
          <t>7969746485464</t>
        </is>
      </c>
    </row>
    <row r="5026" ht="87" customHeight="1">
      <c r="A5026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5026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5026" t="inlineStr">
        <is>
          <t>Klein Tools CL220 Digital Clamp Meter, AC Auto-Ranging 400 Amp with Temp</t>
        </is>
      </c>
      <c r="D5026" t="inlineStr">
        <is>
          <t>Klein Tools CL390 Digital Clamp Meter, Reverse Contrast Display, Auto Ranging 400A AC/DC Voltage,TRMS, DC Microamps, Temp, NCVT, More</t>
        </is>
      </c>
      <c r="E5026" s="2">
        <f>HYPERLINK("https://www.amazon.com/Klein-Tools-CL390-Electronic-Resistance/dp/B08DTDCG7T/ref=sr_1_4?keywords=Klein+Tools+CL220+Digital+Clamp+Meter%2C+AC+Auto-Ranging+400+Amp+with+Temp&amp;qid=1694735238&amp;sr=8-4", "https://www.amazon.com/Klein-Tools-CL390-Electronic-Resistance/dp/B08DTDCG7T/ref=sr_1_4?keywords=Klein+Tools+CL220+Digital+Clamp+Meter%2C+AC+Auto-Ranging+400+Amp+with+Temp&amp;qid=1694735238&amp;sr=8-4")</f>
        <v/>
      </c>
      <c r="F5026" t="inlineStr">
        <is>
          <t>B08DTDCG7T</t>
        </is>
      </c>
      <c r="G5026">
        <f>_xlfn.IMAGE("https://edmondsonsupply.com/cdn/shop/products/cl220.jpg?v=1633030821")</f>
        <v/>
      </c>
      <c r="H5026">
        <f>_xlfn.IMAGE("https://m.media-amazon.com/images/I/61RaYUw45bL._AC_UY218_.jpg")</f>
        <v/>
      </c>
      <c r="K5026" t="inlineStr">
        <is>
          <t>69.97</t>
        </is>
      </c>
      <c r="L5026" t="n">
        <v>97.98999999999999</v>
      </c>
      <c r="M5026" s="1" t="inlineStr">
        <is>
          <t>40.05%</t>
        </is>
      </c>
      <c r="N5026" s="7" t="n">
        <v>-45.64</v>
      </c>
      <c r="O5026" t="n">
        <v>4.6</v>
      </c>
      <c r="P5026" t="n">
        <v>1094</v>
      </c>
      <c r="R5026" t="inlineStr">
        <is>
          <t>InStock</t>
        </is>
      </c>
      <c r="S5026" t="inlineStr">
        <is>
          <t>93.22</t>
        </is>
      </c>
      <c r="T5026" t="inlineStr">
        <is>
          <t>6080846463149</t>
        </is>
      </c>
    </row>
    <row r="5027" ht="87" customHeight="1">
      <c r="A5027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027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027" t="inlineStr">
        <is>
          <t>Klein Tools 11055RINS Insulated Klein-Kurve® Wire Stripper and Cutter</t>
        </is>
      </c>
      <c r="D5027" t="inlineStr">
        <is>
          <t>Klein Tools J63225N Journeyman High-Leverage Wire Cable Cutter and Stripper for Cutting Aluminum, Soft Copper and Communications Cable,Red/Black</t>
        </is>
      </c>
      <c r="E5027" s="2">
        <f>HYPERLINK("https://www.amazon.com/High-Leverage-Communications-Klein-Tools-J63225N/dp/B08R8SNQCL/ref=sr_1_42?keywords=Klein+Tools+11055RINS+Insulated+Klein-Kurve%C2%AE+Wire+Stripper+and+Cutter&amp;qid=1694735096&amp;sr=8-42", "https://www.amazon.com/High-Leverage-Communications-Klein-Tools-J63225N/dp/B08R8SNQCL/ref=sr_1_42?keywords=Klein+Tools+11055RINS+Insulated+Klein-Kurve%C2%AE+Wire+Stripper+and+Cutter&amp;qid=1694735096&amp;sr=8-42")</f>
        <v/>
      </c>
      <c r="F5027" t="inlineStr">
        <is>
          <t>B08R8SNQCL</t>
        </is>
      </c>
      <c r="G5027">
        <f>_xlfn.IMAGE("https://edmondsonsupply.com/cdn/shop/products/11055rins.jpg?v=1667236979")</f>
        <v/>
      </c>
      <c r="H5027">
        <f>_xlfn.IMAGE("https://m.media-amazon.com/images/I/61+P5wW4RkL._AC_UL320_.jpg")</f>
        <v/>
      </c>
      <c r="K5027" t="inlineStr">
        <is>
          <t>29.97</t>
        </is>
      </c>
      <c r="L5027" t="n">
        <v>41.97</v>
      </c>
      <c r="M5027" s="1" t="inlineStr">
        <is>
          <t>40.04%</t>
        </is>
      </c>
      <c r="N5027" s="7" t="n">
        <v>-45.74</v>
      </c>
      <c r="O5027" t="n">
        <v>4.7</v>
      </c>
      <c r="P5027" t="n">
        <v>424</v>
      </c>
      <c r="R5027" t="inlineStr">
        <is>
          <t>InStock</t>
        </is>
      </c>
      <c r="S5027" t="inlineStr">
        <is>
          <t>41.98</t>
        </is>
      </c>
      <c r="T5027" t="inlineStr">
        <is>
          <t>7871527813336</t>
        </is>
      </c>
    </row>
    <row r="5028" hidden="1" ht="15.75" customHeight="1">
      <c r="A5028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5028" s="2">
        <f>HYPERLINK("https://edmondsonsupply.com/products/klein-tools-31922-bi-metal-hole-saw-1-3-8-inch", "https://edmondsonsupply.com/products/klein-tools-31922-bi-metal-hole-saw-1-3-8-inch")</f>
        <v/>
      </c>
      <c r="C5028" t="inlineStr">
        <is>
          <t>Klein Tools 31922 Bi-Metal Hole Saw, 1-3/8-Inch</t>
        </is>
      </c>
      <c r="D5028" t="inlineStr">
        <is>
          <t>Klein Tools 31958 Bi-Metal Hole Saw, Heavy-Duty 3 5/8-Inch Steel Cutting Hole Saw with Multiple Leverage Points</t>
        </is>
      </c>
      <c r="E5028" s="2">
        <f>HYPERLINK("https://www.amazon.com/Bi-Metal-8-Inch-Klein-Tools-31958/dp/B01987566S/ref=sr_1_13?keywords=Klein+Tools+31922+Bi-Metal+Hole+Saw%2C+1-3%2F8-Inch&amp;qid=1694735176&amp;sr=8-13", "https://www.amazon.com/Bi-Metal-8-Inch-Klein-Tools-31958/dp/B01987566S/ref=sr_1_13?keywords=Klein+Tools+31922+Bi-Metal+Hole+Saw%2C+1-3%2F8-Inch&amp;qid=1694735176&amp;sr=8-13")</f>
        <v/>
      </c>
      <c r="F5028" t="inlineStr">
        <is>
          <t>B01987566S</t>
        </is>
      </c>
      <c r="G5028">
        <f>_xludf.IMAGE("https://edmondsonsupply.com/cdn/shop/products/31922.jpg?v=1663943738")</f>
        <v/>
      </c>
      <c r="H5028">
        <f>_xludf.IMAGE("https://m.media-amazon.com/images/I/417oWF+SE6L._AC_UL320_.jpg")</f>
        <v/>
      </c>
      <c r="K5028" t="inlineStr">
        <is>
          <t>9.99</t>
        </is>
      </c>
      <c r="L5028" t="n">
        <v>13.99</v>
      </c>
      <c r="M5028" s="1" t="inlineStr">
        <is>
          <t>40.04%</t>
        </is>
      </c>
      <c r="N5028" s="1" t="n">
        <v>-45.84</v>
      </c>
      <c r="O5028" t="n">
        <v>4.6</v>
      </c>
      <c r="P5028" t="n">
        <v>252</v>
      </c>
      <c r="R5028" t="inlineStr">
        <is>
          <t>InStock</t>
        </is>
      </c>
      <c r="S5028" t="inlineStr">
        <is>
          <t>14.0</t>
        </is>
      </c>
      <c r="T5028" t="inlineStr">
        <is>
          <t>7827257819352</t>
        </is>
      </c>
    </row>
    <row r="5029" hidden="1" ht="15.75" customHeight="1">
      <c r="A5029" s="2">
        <f>HYPERLINK("https://edmondsonsupply.com/collections/electricians-tools/products/klein-tools-60466-neck-and-face-warming-half-band-black", "https://edmondsonsupply.com/collections/electricians-tools/products/klein-tools-60466-neck-and-face-warming-half-band-black")</f>
        <v/>
      </c>
      <c r="B5029" s="2">
        <f>HYPERLINK("https://edmondsonsupply.com/products/klein-tools-60466-neck-and-face-warming-half-band-black", "https://edmondsonsupply.com/products/klein-tools-60466-neck-and-face-warming-half-band-black")</f>
        <v/>
      </c>
      <c r="C5029" t="inlineStr">
        <is>
          <t>Klein Tools 60466 Neck and Face Warming Half-Band, Black</t>
        </is>
      </c>
      <c r="D5029" t="inlineStr">
        <is>
          <t>Klein Tools 60455 Neck and Face Warming Band, Gaiter/Balaclava Made of Breathable Fleece Fabric for Warmth, Black</t>
        </is>
      </c>
      <c r="E5029" s="2">
        <f>HYPERLINK("https://www.amazon.com/Klein-Tools-Standard-Balaclava-Black/dp/B08L5JYT8W/ref=sr_1_2?keywords=Klein+Tools+60466+Neck+and+Face+Warming+Half-Band%2C+Black&amp;qid=1694735139&amp;sr=8-2", "https://www.amazon.com/Klein-Tools-Standard-Balaclava-Black/dp/B08L5JYT8W/ref=sr_1_2?keywords=Klein+Tools+60466+Neck+and+Face+Warming+Half-Band%2C+Black&amp;qid=1694735139&amp;sr=8-2")</f>
        <v/>
      </c>
      <c r="F5029" t="inlineStr">
        <is>
          <t>B08L5JYT8W</t>
        </is>
      </c>
      <c r="G5029">
        <f>_xludf.IMAGE("https://edmondsonsupply.com/cdn/shop/products/60466_callout_1.jpg?v=1659114198")</f>
        <v/>
      </c>
      <c r="H5029">
        <f>_xludf.IMAGE("https://m.media-amazon.com/images/I/51r6HCmqqNL._AC_UL320_.jpg")</f>
        <v/>
      </c>
      <c r="K5029" t="inlineStr">
        <is>
          <t>9.99</t>
        </is>
      </c>
      <c r="L5029" t="n">
        <v>13.99</v>
      </c>
      <c r="M5029" s="1" t="inlineStr">
        <is>
          <t>40.04%</t>
        </is>
      </c>
      <c r="N5029" s="1" t="n">
        <v>-45.85</v>
      </c>
      <c r="O5029" t="n">
        <v>4.4</v>
      </c>
      <c r="P5029" t="n">
        <v>91</v>
      </c>
      <c r="R5029" t="inlineStr">
        <is>
          <t>InStock</t>
        </is>
      </c>
      <c r="S5029" t="inlineStr">
        <is>
          <t>13.98</t>
        </is>
      </c>
      <c r="T5029" t="inlineStr">
        <is>
          <t>7766557262040</t>
        </is>
      </c>
    </row>
    <row r="5030" hidden="1" ht="15.75" customHeight="1">
      <c r="A5030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5030" s="2">
        <f>HYPERLINK("https://edmondsonsupply.com/products/klein-tools-rt310-afci-gfci-outlet-tester", "https://edmondsonsupply.com/products/klein-tools-rt310-afci-gfci-outlet-tester")</f>
        <v/>
      </c>
      <c r="C5030" t="inlineStr">
        <is>
          <t>Klein Tools RT310 AFCI / GFCI Outlet Tester</t>
        </is>
      </c>
      <c r="D5030" t="inlineStr">
        <is>
          <t>Klein Tools RT310 Outlet Tester, AFCI and GFCI Receptacle Tester for North American AC Electrical Outlets &amp; Klein Tools 69401 Multimeter Carrying Case</t>
        </is>
      </c>
      <c r="E5030" s="2">
        <f>HYPERLINK("https://www.amazon.com/Klein-Tools-Receptacle-Electrical-Multimeter/dp/B0BNL4NYN9/ref=sr_1_5?keywords=Klein+Tools+RT310+AFCI+%2F+GFCI+Outlet+Tester&amp;qid=1694734989&amp;sr=8-5", "https://www.amazon.com/Klein-Tools-Receptacle-Electrical-Multimeter/dp/B0BNL4NYN9/ref=sr_1_5?keywords=Klein+Tools+RT310+AFCI+%2F+GFCI+Outlet+Tester&amp;qid=1694734989&amp;sr=8-5")</f>
        <v/>
      </c>
      <c r="F5030" t="inlineStr">
        <is>
          <t>B0BNL4NYN9</t>
        </is>
      </c>
      <c r="G5030">
        <f>_xludf.IMAGE("https://edmondsonsupply.com/cdn/shop/products/rt310.jpg?v=1587148552")</f>
        <v/>
      </c>
      <c r="H5030">
        <f>_xludf.IMAGE("https://m.media-amazon.com/images/I/51rZF3lboNL._AC_UL320_.jpg")</f>
        <v/>
      </c>
      <c r="K5030" t="inlineStr">
        <is>
          <t>39.97</t>
        </is>
      </c>
      <c r="L5030" t="n">
        <v>55.97</v>
      </c>
      <c r="M5030" s="1" t="inlineStr">
        <is>
          <t>40.03%</t>
        </is>
      </c>
      <c r="N5030" s="1" t="n">
        <v>-45.99</v>
      </c>
      <c r="O5030" t="n">
        <v>2.9</v>
      </c>
      <c r="P5030" t="n">
        <v>2</v>
      </c>
      <c r="R5030" t="inlineStr">
        <is>
          <t>InStock</t>
        </is>
      </c>
      <c r="S5030" t="inlineStr">
        <is>
          <t>57.9</t>
        </is>
      </c>
      <c r="T5030" t="inlineStr">
        <is>
          <t>3372527779940</t>
        </is>
      </c>
    </row>
    <row r="5031" ht="87" customHeight="1">
      <c r="A5031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5031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5031" t="inlineStr">
        <is>
          <t>Klein Tools 69149P Test Kit with Multimeter, Non-Contact Volt Tester, Receptacle Tester</t>
        </is>
      </c>
      <c r="D5031" t="inlineStr">
        <is>
          <t>Klein Tools 69149P Multimeter Test Kit, Klein Digital Multimeter, Noncontact Voltage Tester and Outlet Tester, Leads and Batteries Included &amp; 69401 Multimeter Carrying Case</t>
        </is>
      </c>
      <c r="E5031" s="2">
        <f>HYPERLINK("https://www.amazon.com/Klein-Tools-Multimeter-Noncontact-Batteries/dp/B0BC819G7C/ref=sr_1_3?keywords=Klein+Tools+69149P+Test+Kit+with+Multimeter%2C+Non-Contact+Volt+Tester%2C+Receptacle+Tester&amp;qid=1694735230&amp;sr=8-3", "https://www.amazon.com/Klein-Tools-Multimeter-Noncontact-Batteries/dp/B0BC819G7C/ref=sr_1_3?keywords=Klein+Tools+69149P+Test+Kit+with+Multimeter%2C+Non-Contact+Volt+Tester%2C+Receptacle+Tester&amp;qid=1694735230&amp;sr=8-3")</f>
        <v/>
      </c>
      <c r="F5031" t="inlineStr">
        <is>
          <t>B0BC819G7C</t>
        </is>
      </c>
      <c r="G5031">
        <f>_xlfn.IMAGE("https://edmondsonsupply.com/cdn/shop/products/69149p.jpg?v=1664479017")</f>
        <v/>
      </c>
      <c r="H5031">
        <f>_xlfn.IMAGE("https://m.media-amazon.com/images/I/61-QuyRIr7L._AC_UL320_.jpg")</f>
        <v/>
      </c>
      <c r="K5031" t="inlineStr">
        <is>
          <t>39.97</t>
        </is>
      </c>
      <c r="L5031" t="n">
        <v>55.97</v>
      </c>
      <c r="M5031" s="1" t="inlineStr">
        <is>
          <t>40.03%</t>
        </is>
      </c>
      <c r="N5031" s="7" t="n">
        <v>-46.1</v>
      </c>
      <c r="O5031" t="n">
        <v>5</v>
      </c>
      <c r="P5031" t="n">
        <v>2</v>
      </c>
      <c r="R5031" t="inlineStr">
        <is>
          <t>InStock</t>
        </is>
      </c>
      <c r="S5031" t="inlineStr">
        <is>
          <t>63.9</t>
        </is>
      </c>
      <c r="T5031" t="inlineStr">
        <is>
          <t>6584860606637</t>
        </is>
      </c>
    </row>
    <row r="5032" ht="87" customHeight="1">
      <c r="A5032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5032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5032" t="inlineStr">
        <is>
          <t>Diablo Tools DMAPL2380 9/16 in. x 10 in. x 12 in. SDS-Plus 2-Cutter</t>
        </is>
      </c>
      <c r="D5032" t="inlineStr">
        <is>
          <t>BOSCH RC2094 9/16 In. x 12 In. SDS-plus Rebar Cutter</t>
        </is>
      </c>
      <c r="E5032" s="2">
        <f>HYPERLINK("https://www.amazon.com/Bosch-RC2094-SDS-plus-Rebar-Cutter/dp/B001QFYPW2/ref=sr_1_19?keywords=Diablo+Tools+DMAPL2380+9%2F16+in.+x+10+in.+x+12+in.+SDS-Plus+2-Cutter&amp;qid=1694735296&amp;sr=8-19", "https://www.amazon.com/Bosch-RC2094-SDS-plus-Rebar-Cutter/dp/B001QFYPW2/ref=sr_1_19?keywords=Diablo+Tools+DMAPL2380+9%2F16+in.+x+10+in.+x+12+in.+SDS-Plus+2-Cutter&amp;qid=1694735296&amp;sr=8-19")</f>
        <v/>
      </c>
      <c r="F5032" t="inlineStr">
        <is>
          <t>B001QFYPW2</t>
        </is>
      </c>
      <c r="G5032">
        <f>_xlfn.IMAGE("https://edmondsonsupply.com/cdn/shop/products/pn8n58bx2f87ihetrrnf.webp?v=1670435143")</f>
        <v/>
      </c>
      <c r="H5032">
        <f>_xlfn.IMAGE("https://m.media-amazon.com/images/I/51q4Rsn5SNL._AC_UL320_.jpg")</f>
        <v/>
      </c>
      <c r="K5032" t="inlineStr">
        <is>
          <t>14.99</t>
        </is>
      </c>
      <c r="L5032" t="n">
        <v>20.99</v>
      </c>
      <c r="M5032" s="1" t="inlineStr">
        <is>
          <t>40.03%</t>
        </is>
      </c>
      <c r="N5032" s="7" t="n">
        <v>-46.39</v>
      </c>
      <c r="O5032" t="n">
        <v>4.3</v>
      </c>
      <c r="P5032" t="n">
        <v>375</v>
      </c>
      <c r="R5032" t="inlineStr">
        <is>
          <t>InStock</t>
        </is>
      </c>
      <c r="S5032" t="inlineStr">
        <is>
          <t>21.48</t>
        </is>
      </c>
      <c r="T5032" t="inlineStr">
        <is>
          <t>5286298222760</t>
        </is>
      </c>
    </row>
    <row r="5033" ht="87" customHeight="1">
      <c r="A5033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5033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5033" t="inlineStr">
        <is>
          <t>Klein Tools 32288 8-in-1 Insulated Interchangeable Screwdriver Set</t>
        </is>
      </c>
      <c r="D5033" t="inlineStr">
        <is>
          <t>Klein Tools 32288 Insulated Screwdriver, 8-in-1 Screwdriver Set &amp; 32293 Insulated Screwdriver, 2-in-1 Screwdriver Set with Flip Blade, 2 Phillips and1/4-Inch Slotted Tips, Double-Ended Blades</t>
        </is>
      </c>
      <c r="E5033" s="2">
        <f>HYPERLINK("https://www.amazon.com/Klein-Tools-Insulated-Screwdriver-Double-Ended/dp/B08ZNQFGYR/ref=sr_1_2?keywords=Klein+Tools+32288+8-in-1+Insulated+Interchangeable+Screwdriver+Set&amp;qid=1694734974&amp;sr=8-2", "https://www.amazon.com/Klein-Tools-Insulated-Screwdriver-Double-Ended/dp/B08ZNQFGYR/ref=sr_1_2?keywords=Klein+Tools+32288+8-in-1+Insulated+Interchangeable+Screwdriver+Set&amp;qid=1694734974&amp;sr=8-2")</f>
        <v/>
      </c>
      <c r="F5033" t="inlineStr">
        <is>
          <t>B08ZNQFGYR</t>
        </is>
      </c>
      <c r="G5033">
        <f>_xlfn.IMAGE("https://edmondsonsupply.com/cdn/shop/products/32288.jpg?v=1587146849")</f>
        <v/>
      </c>
      <c r="H5033">
        <f>_xlfn.IMAGE("https://m.media-amazon.com/images/I/51PAxTnXGXS._AC_UL320_.jpg")</f>
        <v/>
      </c>
      <c r="K5033" t="inlineStr">
        <is>
          <t>49.99</t>
        </is>
      </c>
      <c r="L5033" t="n">
        <v>69.97</v>
      </c>
      <c r="M5033" s="1" t="inlineStr">
        <is>
          <t>39.97%</t>
        </is>
      </c>
      <c r="N5033" s="7" t="n">
        <v>-46.46</v>
      </c>
      <c r="O5033" t="n">
        <v>5</v>
      </c>
      <c r="P5033" t="n">
        <v>7</v>
      </c>
      <c r="R5033" t="inlineStr">
        <is>
          <t>InStock</t>
        </is>
      </c>
      <c r="S5033" t="inlineStr">
        <is>
          <t>69.98</t>
        </is>
      </c>
      <c r="T5033" t="inlineStr">
        <is>
          <t>4094849613924</t>
        </is>
      </c>
    </row>
    <row r="5034" ht="87" customHeight="1">
      <c r="A5034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5034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5034" t="inlineStr">
        <is>
          <t>Klein Tools ET310 Digital Circuit Breaker Finder with GFCI Outlet Tester</t>
        </is>
      </c>
      <c r="D5034" t="inlineStr">
        <is>
          <t>Klein Tools Digital Circuit Breaker Finder with GFCI Outlet Tester ET310 &amp; Circuit Breaker Finder Accessory Kit, Circuit Breaker Leads, Circuit Breaker Adapters 69411</t>
        </is>
      </c>
      <c r="E5034" s="2">
        <f>HYPERLINK("https://www.amazon.com/Klein-Tools-Digital-Accessory-Adapters/dp/B08MG1LZJS/ref=sr_1_2?keywords=Klein+Tools+ET310+Digital+Circuit+Breaker+Finder+with+GFCI+Outlet+Tester&amp;qid=1694734974&amp;sr=8-2", "https://www.amazon.com/Klein-Tools-Digital-Accessory-Adapters/dp/B08MG1LZJS/ref=sr_1_2?keywords=Klein+Tools+ET310+Digital+Circuit+Breaker+Finder+with+GFCI+Outlet+Tester&amp;qid=1694734974&amp;sr=8-2")</f>
        <v/>
      </c>
      <c r="F5034" t="inlineStr">
        <is>
          <t>B08MG1LZJS</t>
        </is>
      </c>
      <c r="G5034">
        <f>_xlfn.IMAGE("https://edmondsonsupply.com/cdn/shop/products/et310_c.jpg?v=1646963918")</f>
        <v/>
      </c>
      <c r="H5034">
        <f>_xlfn.IMAGE("https://m.media-amazon.com/images/I/51MAo0prl5L._AC_UL320_.jpg")</f>
        <v/>
      </c>
      <c r="K5034" t="inlineStr">
        <is>
          <t>49.97</t>
        </is>
      </c>
      <c r="L5034" t="n">
        <v>69.94</v>
      </c>
      <c r="M5034" s="1" t="inlineStr">
        <is>
          <t>39.96%</t>
        </is>
      </c>
      <c r="N5034" s="7" t="n">
        <v>-46.68</v>
      </c>
      <c r="O5034" t="n">
        <v>4.7</v>
      </c>
      <c r="P5034" t="n">
        <v>2054</v>
      </c>
      <c r="R5034" t="inlineStr">
        <is>
          <t>InStock</t>
        </is>
      </c>
      <c r="S5034" t="inlineStr">
        <is>
          <t>75.1</t>
        </is>
      </c>
      <c r="T5034" t="inlineStr">
        <is>
          <t>3389551280228</t>
        </is>
      </c>
    </row>
    <row r="5035" hidden="1" ht="15.75" customHeight="1">
      <c r="A5035" s="2">
        <f>HYPERLINK("https://edmondsonsupply.com/collections/electricians-tools/products/klein-tools-66079-flip-impact-socket-adapter-small-1-4-to-1-4-inch", "https://edmondsonsupply.com/collections/electricians-tools/products/klein-tools-66079-flip-impact-socket-adapter-small-1-4-to-1-4-inch")</f>
        <v/>
      </c>
      <c r="B5035" s="2">
        <f>HYPERLINK("https://edmondsonsupply.com/products/klein-tools-66079-flip-impact-socket-adapter-small-1-4-to-1-4-inch", "https://edmondsonsupply.com/products/klein-tools-66079-flip-impact-socket-adapter-small-1-4-to-1-4-inch")</f>
        <v/>
      </c>
      <c r="C5035" t="inlineStr">
        <is>
          <t>Klein Tools 66079 Flip Impact Socket Adapter, Small, 1/4 to 1/4-Inch</t>
        </is>
      </c>
      <c r="D5035" t="inlineStr">
        <is>
          <t>Klein Tools 66079 Impact Flip Socket Adapter, Small 1/4 to 1/4 -Inch Hex Adapter, Use with Klein Tools Flip Impact Socket Set 66070</t>
        </is>
      </c>
      <c r="E5035" s="2">
        <f>HYPERLINK("https://www.amazon.com/Klein-Tools-66079-Impact-Adapter/dp/B0B33WGYX5/ref=sr_1_1?keywords=Klein+Tools+66079+Flip+Impact+Socket+Adapter%2C+Small%2C+1%2F4+to+1%2F4-Inch&amp;qid=1694734974&amp;sr=8-1", "https://www.amazon.com/Klein-Tools-66079-Impact-Adapter/dp/B0B33WGYX5/ref=sr_1_1?keywords=Klein+Tools+66079+Flip+Impact+Socket+Adapter%2C+Small%2C+1%2F4+to+1%2F4-Inch&amp;qid=1694734974&amp;sr=8-1")</f>
        <v/>
      </c>
      <c r="F5035" t="inlineStr">
        <is>
          <t>B0B33WGYX5</t>
        </is>
      </c>
      <c r="G5035">
        <f>_xludf.IMAGE("https://edmondsonsupply.com/cdn/shop/products/66079.jpg?v=1669735923")</f>
        <v/>
      </c>
      <c r="H5035">
        <f>_xludf.IMAGE("https://m.media-amazon.com/images/I/41eZRUf3qGL._AC_UL320_.jpg")</f>
        <v/>
      </c>
      <c r="K5035" t="inlineStr">
        <is>
          <t>6.86</t>
        </is>
      </c>
      <c r="L5035" t="n">
        <v>9.6</v>
      </c>
      <c r="M5035" s="1" t="inlineStr">
        <is>
          <t>39.94%</t>
        </is>
      </c>
      <c r="N5035" s="1" t="n">
        <v>-46.69</v>
      </c>
      <c r="O5035" t="n">
        <v>3.8</v>
      </c>
      <c r="P5035" t="n">
        <v>5</v>
      </c>
      <c r="R5035" t="inlineStr">
        <is>
          <t>InStock</t>
        </is>
      </c>
      <c r="S5035" t="inlineStr">
        <is>
          <t>9.6</t>
        </is>
      </c>
      <c r="T5035" t="inlineStr">
        <is>
          <t>7896124555480</t>
        </is>
      </c>
    </row>
    <row r="5036" ht="87" customHeight="1">
      <c r="A5036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5036" s="2">
        <f>HYPERLINK("https://edmondsonsupply.com/products/klein-tools-1011m-metric-wire-stripper-cutter-stranded-wire", "https://edmondsonsupply.com/products/klein-tools-1011m-metric-wire-stripper-cutter-stranded-wire")</f>
        <v/>
      </c>
      <c r="C5036" t="inlineStr">
        <is>
          <t>Klein Tools 1011M Metric Wire Stripper/Cutter Stranded Wire</t>
        </is>
      </c>
      <c r="D5036" t="inlineStr">
        <is>
          <t>Klein Tools 11057 Wire Cutter / Wire Stripper, Heavy Duty Wire Cutter Stripper for 20-30 AWG Solid Wire and 22-32 AWG Stranded Wire, One Size, Blue/Red</t>
        </is>
      </c>
      <c r="E5036" s="2">
        <f>HYPERLINK("https://www.amazon.com/Stripper-Stranded-Klein-Tools-11057/dp/B000XEUPMQ/ref=sr_1_15?keywords=Klein+Tools+1011M+Metric+Wire+Stripper%2FCutter+Stranded+Wire&amp;qid=1694735312&amp;sr=8-15", "https://www.amazon.com/Stripper-Stranded-Klein-Tools-11057/dp/B000XEUPMQ/ref=sr_1_15?keywords=Klein+Tools+1011M+Metric+Wire+Stripper%2FCutter+Stranded+Wire&amp;qid=1694735312&amp;sr=8-15")</f>
        <v/>
      </c>
      <c r="F5036" t="inlineStr">
        <is>
          <t>B000XEUPMQ</t>
        </is>
      </c>
      <c r="G5036">
        <f>_xlfn.IMAGE("https://edmondsonsupply.com/cdn/shop/products/1011m.jpg?v=1633030273")</f>
        <v/>
      </c>
      <c r="H5036">
        <f>_xlfn.IMAGE("https://m.media-amazon.com/images/I/71HgWc6UcZL._AC_UL320_.jpg")</f>
        <v/>
      </c>
      <c r="K5036" t="inlineStr">
        <is>
          <t>14.99</t>
        </is>
      </c>
      <c r="L5036" t="n">
        <v>20.97</v>
      </c>
      <c r="M5036" s="1" t="inlineStr">
        <is>
          <t>39.89%</t>
        </is>
      </c>
      <c r="N5036" s="7" t="n">
        <v>-46.75</v>
      </c>
      <c r="O5036" t="n">
        <v>4.8</v>
      </c>
      <c r="P5036" t="n">
        <v>2986</v>
      </c>
      <c r="R5036" t="inlineStr">
        <is>
          <t>InStock</t>
        </is>
      </c>
      <c r="S5036" t="inlineStr">
        <is>
          <t>22.72</t>
        </is>
      </c>
      <c r="T5036" t="inlineStr">
        <is>
          <t>5237017772200</t>
        </is>
      </c>
    </row>
    <row r="5037" ht="87" customHeight="1">
      <c r="A5037" s="2">
        <f>HYPERLINK("https://edmondsonsupply.com/collections/electricians-tools/products/diablo-tools-dmarg1180", "https://edmondsonsupply.com/collections/electricians-tools/products/diablo-tools-dmarg1180")</f>
        <v/>
      </c>
      <c r="B5037" s="2">
        <f>HYPERLINK("https://edmondsonsupply.com/products/diablo-tools-dmarg1180", "https://edmondsonsupply.com/products/diablo-tools-dmarg1180")</f>
        <v/>
      </c>
      <c r="C5037" t="inlineStr">
        <is>
          <t>Diablo Tools DMARG1180 5/8 in. x 10 in. x 12 in. SPEEDemon™ Red Granite Carbide Tipped Hammer Drill Bit</t>
        </is>
      </c>
      <c r="D5037" t="inlineStr">
        <is>
          <t>Diablo 1 in. x 10" x 12" SPEEDemon™ Red Granite Carbide Tipped Hammer Drill Bit</t>
        </is>
      </c>
      <c r="E5037" s="2">
        <f>HYPERLINK("https://www.amazon.com/Diablo-Freud-DMARG1210-SPEEDemon-Granite/dp/B089KW1B5V/ref=sr_1_2?keywords=Diablo+Tools+DMARG1180+5%2F8+in.+x+10+in.+x+12+in.+SPEEDemon%E2%84%A2+Red+Granite+Carbide+Tipped+Hammer+Drill+Bit&amp;qid=1694735299&amp;sr=8-2", "https://www.amazon.com/Diablo-Freud-DMARG1210-SPEEDemon-Granite/dp/B089KW1B5V/ref=sr_1_2?keywords=Diablo+Tools+DMARG1180+5%2F8+in.+x+10+in.+x+12+in.+SPEEDemon%E2%84%A2+Red+Granite+Carbide+Tipped+Hammer+Drill+Bit&amp;qid=1694735299&amp;sr=8-2")</f>
        <v/>
      </c>
      <c r="F5037" t="inlineStr">
        <is>
          <t>B089KW1B5V</t>
        </is>
      </c>
      <c r="G5037">
        <f>_xlfn.IMAGE("https://edmondsonsupply.com/cdn/shop/products/DMARG1180_Main-Image.png?v=1633030424")</f>
        <v/>
      </c>
      <c r="H5037">
        <f>_xlfn.IMAGE("https://m.media-amazon.com/images/I/61+EqrM-43L._AC_UL320_.jpg")</f>
        <v/>
      </c>
      <c r="K5037" t="inlineStr">
        <is>
          <t>18.97</t>
        </is>
      </c>
      <c r="L5037" t="n">
        <v>26.49</v>
      </c>
      <c r="M5037" s="1" t="inlineStr">
        <is>
          <t>39.64%</t>
        </is>
      </c>
      <c r="N5037" s="7" t="n">
        <v>-46.75</v>
      </c>
      <c r="O5037" t="n">
        <v>4.7</v>
      </c>
      <c r="P5037" t="n">
        <v>31</v>
      </c>
      <c r="R5037" t="inlineStr">
        <is>
          <t>InStock</t>
        </is>
      </c>
      <c r="S5037" t="inlineStr">
        <is>
          <t>undefined</t>
        </is>
      </c>
      <c r="T5037" t="inlineStr">
        <is>
          <t>5323605278888</t>
        </is>
      </c>
    </row>
    <row r="5038" ht="87" customHeight="1">
      <c r="A5038" s="2">
        <f>HYPERLINK("https://edmondsonsupply.com/collections/electricians-tools/products/klein-tools-203-6-eins-long-nose-side-cutter-pliers-6-inch-slim-insulated", "https://edmondsonsupply.com/collections/electricians-tools/products/klein-tools-203-6-eins-long-nose-side-cutter-pliers-6-inch-slim-insulated")</f>
        <v/>
      </c>
      <c r="B5038" s="2">
        <f>HYPERLINK("https://edmondsonsupply.com/products/klein-tools-203-6-eins-long-nose-side-cutter-pliers-6-inch-slim-insulated", "https://edmondsonsupply.com/products/klein-tools-203-6-eins-long-nose-side-cutter-pliers-6-inch-slim-insulated")</f>
        <v/>
      </c>
      <c r="C5038" t="inlineStr">
        <is>
          <t>Klein Tools 2036EINS Long Nose Side Cutter Pliers 6-Inch Slim Insulated</t>
        </is>
      </c>
      <c r="D5038" t="inlineStr">
        <is>
          <t>Klein Tools 2139NEEINS Slim Handle Insulated Side Cutter Pliers, Streamline New England Nose with Knurled Jaws, 9-Inch</t>
        </is>
      </c>
      <c r="E5038" s="2">
        <f>HYPERLINK("https://www.amazon.com/Klein-Tools-2139NEEINS-Cutting-Pliers/dp/B00JGG5RNE/ref=sr_1_5?keywords=Klein+Tools+2036EINS+Long+Nose+Side+Cutter+Pliers+6-Inch+Slim+Insulated&amp;qid=1694735202&amp;sr=8-5", "https://www.amazon.com/Klein-Tools-2139NEEINS-Cutting-Pliers/dp/B00JGG5RNE/ref=sr_1_5?keywords=Klein+Tools+2036EINS+Long+Nose+Side+Cutter+Pliers+6-Inch+Slim+Insulated&amp;qid=1694735202&amp;sr=8-5")</f>
        <v/>
      </c>
      <c r="F5038" t="inlineStr">
        <is>
          <t>B00JGG5RNE</t>
        </is>
      </c>
      <c r="G5038">
        <f>_xlfn.IMAGE("https://edmondsonsupply.com/cdn/shop/products/2036eins.jpg?v=1633031077")</f>
        <v/>
      </c>
      <c r="H5038">
        <f>_xlfn.IMAGE("https://m.media-amazon.com/images/I/51eEwVZhacL._AC_UL320_.jpg")</f>
        <v/>
      </c>
      <c r="K5038" t="inlineStr">
        <is>
          <t>46.99</t>
        </is>
      </c>
      <c r="L5038" t="n">
        <v>65.59999999999999</v>
      </c>
      <c r="M5038" s="1" t="inlineStr">
        <is>
          <t>39.60%</t>
        </is>
      </c>
      <c r="N5038" s="7" t="n">
        <v>-47.34</v>
      </c>
      <c r="O5038" t="n">
        <v>4.7</v>
      </c>
      <c r="P5038" t="n">
        <v>241</v>
      </c>
      <c r="R5038" t="inlineStr">
        <is>
          <t>InStock</t>
        </is>
      </c>
      <c r="S5038" t="inlineStr">
        <is>
          <t>71.2</t>
        </is>
      </c>
      <c r="T5038" t="inlineStr">
        <is>
          <t>6829261029549</t>
        </is>
      </c>
    </row>
    <row r="5039" hidden="1" ht="15.75" customHeight="1">
      <c r="A5039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5039" s="2">
        <f>HYPERLINK("https://edmondsonsupply.com/products/klein-tools-66076-flip-impact-socket-9-16-and-1-2-inch", "https://edmondsonsupply.com/products/klein-tools-66076-flip-impact-socket-9-16-and-1-2-inch")</f>
        <v/>
      </c>
      <c r="C5039" t="inlineStr">
        <is>
          <t>Klein Tools 66076 Flip Impact Socket, 9/16 and 1/2-Inch</t>
        </is>
      </c>
      <c r="D5039" t="inlineStr">
        <is>
          <t>Klein Tools 32768 Impact Driver, 3-in-1 Impact Flip Socket and Bit Holder, 1/4 and 5/16-Inch Hex Drivers, 3 and 5-Inch Lengths, 2-Piece Set</t>
        </is>
      </c>
      <c r="E5039" s="2">
        <f>HYPERLINK("https://www.amazon.com/16-Inch-Drivers-Klein-Tools-32768/dp/B09Q52LQ5G/ref=sr_1_11?keywords=Klein+Tools+66076+Flip+Impact+Socket%2C+9%2F16+and+1%2F2-Inch&amp;qid=1694735129&amp;sr=8-11", "https://www.amazon.com/16-Inch-Drivers-Klein-Tools-32768/dp/B09Q52LQ5G/ref=sr_1_11?keywords=Klein+Tools+66076+Flip+Impact+Socket%2C+9%2F16+and+1%2F2-Inch&amp;qid=1694735129&amp;sr=8-11")</f>
        <v/>
      </c>
      <c r="F5039" t="inlineStr">
        <is>
          <t>B09Q52LQ5G</t>
        </is>
      </c>
      <c r="G5039">
        <f>_xludf.IMAGE("https://edmondsonsupply.com/cdn/shop/products/66076.jpg?v=1663083814")</f>
        <v/>
      </c>
      <c r="H5039">
        <f>_xludf.IMAGE("https://m.media-amazon.com/images/I/51WsqEdVfRL._AC_UL320_.jpg")</f>
        <v/>
      </c>
      <c r="K5039" t="inlineStr">
        <is>
          <t>10.71</t>
        </is>
      </c>
      <c r="L5039" t="n">
        <v>14.95</v>
      </c>
      <c r="M5039" s="1" t="inlineStr">
        <is>
          <t>39.59%</t>
        </is>
      </c>
      <c r="N5039" s="1" t="n">
        <v>-47.49</v>
      </c>
      <c r="O5039" t="n">
        <v>4.4</v>
      </c>
      <c r="P5039" t="n">
        <v>1270</v>
      </c>
      <c r="R5039" t="inlineStr">
        <is>
          <t>InStock</t>
        </is>
      </c>
      <c r="S5039" t="inlineStr">
        <is>
          <t>15.0</t>
        </is>
      </c>
      <c r="T5039" t="inlineStr">
        <is>
          <t>7814133874904</t>
        </is>
      </c>
    </row>
    <row r="5040" ht="87" customHeight="1">
      <c r="A5040" s="2">
        <f>HYPERLINK("https://edmondsonsupply.com/collections/electricians-tools/products/klein-tools-88904-professional-tubing-cutter", "https://edmondsonsupply.com/collections/electricians-tools/products/klein-tools-88904-professional-tubing-cutter")</f>
        <v/>
      </c>
      <c r="B5040" s="2">
        <f>HYPERLINK("https://edmondsonsupply.com/products/klein-tools-88904-professional-tubing-cutter", "https://edmondsonsupply.com/products/klein-tools-88904-professional-tubing-cutter")</f>
        <v/>
      </c>
      <c r="C5040" t="inlineStr">
        <is>
          <t>Klein Tools 88904 Professional Tube Cutter</t>
        </is>
      </c>
      <c r="D5040" t="inlineStr">
        <is>
          <t>Klein Tools 88904 Professional Tube Cutter, 4-Roller Tracking System, Accurate Cutting for HVAC, Reaming Tool, Includes Extra Cutting Wheel &amp; 88910 Mini Tube Cutter</t>
        </is>
      </c>
      <c r="E5040" s="2">
        <f>HYPERLINK("https://www.amazon.com/Klein-Tools-Professiol-4-Roller-Tracking/dp/B0BHVPRYWJ/ref=sr_1_3?keywords=Klein+Tools+88904+Professional+Tube+Cutter&amp;qid=1694735401&amp;sr=8-3", "https://www.amazon.com/Klein-Tools-Professiol-4-Roller-Tracking/dp/B0BHVPRYWJ/ref=sr_1_3?keywords=Klein+Tools+88904+Professional+Tube+Cutter&amp;qid=1694735401&amp;sr=8-3")</f>
        <v/>
      </c>
      <c r="F5040" t="inlineStr">
        <is>
          <t>B0BHVPRYWJ</t>
        </is>
      </c>
      <c r="G5040">
        <f>_xlfn.IMAGE("https://edmondsonsupply.com/cdn/shop/products/88904.jpg?v=1587147687")</f>
        <v/>
      </c>
      <c r="H5040">
        <f>_xlfn.IMAGE("https://m.media-amazon.com/images/I/41IGLJnFXYL._AC_UL320_.jpg")</f>
        <v/>
      </c>
      <c r="K5040" t="inlineStr">
        <is>
          <t>41.99</t>
        </is>
      </c>
      <c r="L5040" t="n">
        <v>58.59</v>
      </c>
      <c r="M5040" s="1" t="inlineStr">
        <is>
          <t>39.53%</t>
        </is>
      </c>
      <c r="N5040" s="7" t="n">
        <v>-47.7</v>
      </c>
      <c r="O5040" t="n">
        <v>5</v>
      </c>
      <c r="P5040" t="n">
        <v>2</v>
      </c>
      <c r="R5040" t="inlineStr">
        <is>
          <t>InStock</t>
        </is>
      </c>
      <c r="S5040" t="inlineStr">
        <is>
          <t>62.74</t>
        </is>
      </c>
      <c r="T5040" t="inlineStr">
        <is>
          <t>3728177594468</t>
        </is>
      </c>
    </row>
    <row r="5041" ht="87" customHeight="1">
      <c r="A5041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5041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5041" t="inlineStr">
        <is>
          <t>Klein Tools NCVT-2P Dual Range Non-Contact Voltage Tester 12 - 1000V AC</t>
        </is>
      </c>
      <c r="D5041" t="inlineStr">
        <is>
          <t>Klein Tools NCVT-3 Voltage Tester, Non-Contact Dual Range Voltage Tester Pen for AC Testing with Integrated Flashlight</t>
        </is>
      </c>
      <c r="E5041" s="2">
        <f>HYPERLINK("https://www.amazon.com/Non-Contact-Voltage-Flashlight-Klein-Tools/dp/B00XJQ9ZE4/ref=sr_1_11?keywords=Klein+Tools+NCVT-2P+Dual+Range+Non-Contact+Voltage+Tester+12+-+1000V+AC&amp;qid=1694735236&amp;sr=8-11", "https://www.amazon.com/Non-Contact-Voltage-Flashlight-Klein-Tools/dp/B00XJQ9ZE4/ref=sr_1_11?keywords=Klein+Tools+NCVT-2P+Dual+Range+Non-Contact+Voltage+Tester+12+-+1000V+AC&amp;qid=1694735236&amp;sr=8-11")</f>
        <v/>
      </c>
      <c r="F5041" t="inlineStr">
        <is>
          <t>B00XJQ9ZE4</t>
        </is>
      </c>
      <c r="G5041">
        <f>_xlfn.IMAGE("https://edmondsonsupply.com/cdn/shop/products/ncvt2p.jpg?v=1633030824")</f>
        <v/>
      </c>
      <c r="H5041">
        <f>_xlfn.IMAGE("https://m.media-amazon.com/images/I/51dcyyMwUjL._AC_UL320_.jpg")</f>
        <v/>
      </c>
      <c r="K5041" t="inlineStr">
        <is>
          <t>27.97</t>
        </is>
      </c>
      <c r="L5041" t="n">
        <v>38.99</v>
      </c>
      <c r="M5041" s="1" t="inlineStr">
        <is>
          <t>39.40%</t>
        </is>
      </c>
      <c r="N5041" s="7" t="n">
        <v>-47.76</v>
      </c>
      <c r="O5041" t="n">
        <v>4.5</v>
      </c>
      <c r="P5041" t="n">
        <v>1679</v>
      </c>
      <c r="R5041" t="inlineStr">
        <is>
          <t>InStock</t>
        </is>
      </c>
      <c r="S5041" t="inlineStr">
        <is>
          <t>35.76</t>
        </is>
      </c>
      <c r="T5041" t="inlineStr">
        <is>
          <t>6080875626669</t>
        </is>
      </c>
    </row>
    <row r="5042" hidden="1" ht="15.75" customHeight="1">
      <c r="A5042" s="2">
        <f>HYPERLINK("https://edmondsonsupply.com/collections/electricians-tools/products/milwaukee-48-20-7431-1-4-in-x-4-in-x-6-in-sds-plus-m2-2-cutter-hammer-drill-bit", "https://edmondsonsupply.com/collections/electricians-tools/products/milwaukee-48-20-7431-1-4-in-x-4-in-x-6-in-sds-plus-m2-2-cutter-hammer-drill-bit")</f>
        <v/>
      </c>
      <c r="B5042" s="2">
        <f>HYPERLINK("https://edmondsonsupply.com/products/milwaukee-48-20-7431-1-4-in-x-4-in-x-6-in-sds-plus-m2-2-cutter-hammer-drill-bit", "https://edmondsonsupply.com/products/milwaukee-48-20-7431-1-4-in-x-4-in-x-6-in-sds-plus-m2-2-cutter-hammer-drill-bit")</f>
        <v/>
      </c>
      <c r="C5042" t="inlineStr">
        <is>
          <t>Milwaukee 48-20-7431 1/4 in. x 4 in. x 6 in. SDS Plus M2 2-Cutter Hammer Drill Bit</t>
        </is>
      </c>
      <c r="D5042" t="inlineStr">
        <is>
          <t>BOSCH HC2041 1/4 In. x 4 In. x 6 In. Bulldog SDS-Plus Rotary Hammer Bit</t>
        </is>
      </c>
      <c r="E5042" s="2">
        <f>HYPERLINK("https://www.amazon.com/Bosch-HC2041-SDS-plus-Bulldog-Rotary/dp/B000GAV9WM/ref=sr_1_2?keywords=Milwaukee+48-20-7431+1%2F4+in.+x+4+in.+x+6+in.+SDS+Plus+M2+2-Cutter+Hammer+Drill+Bit&amp;qid=1694735415&amp;sr=8-2", "https://www.amazon.com/Bosch-HC2041-SDS-plus-Bulldog-Rotary/dp/B000GAV9WM/ref=sr_1_2?keywords=Milwaukee+48-20-7431+1%2F4+in.+x+4+in.+x+6+in.+SDS+Plus+M2+2-Cutter+Hammer+Drill+Bit&amp;qid=1694735415&amp;sr=8-2")</f>
        <v/>
      </c>
      <c r="F5042" t="inlineStr">
        <is>
          <t>B000GAV9WM</t>
        </is>
      </c>
      <c r="G5042">
        <f>_xludf.IMAGE("https://edmondsonsupply.com/cdn/shop/products/48-20-7431.png?v=1587147395")</f>
        <v/>
      </c>
      <c r="H5042">
        <f>_xludf.IMAGE("https://m.media-amazon.com/images/I/71R4PR9RToL._AC_UL320_.jpg")</f>
        <v/>
      </c>
      <c r="K5042" t="inlineStr">
        <is>
          <t>3.58</t>
        </is>
      </c>
      <c r="L5042" t="n">
        <v>4.99</v>
      </c>
      <c r="M5042" s="1" t="inlineStr">
        <is>
          <t>39.39%</t>
        </is>
      </c>
      <c r="N5042" s="1" t="n">
        <v>-47.81</v>
      </c>
      <c r="O5042" t="n">
        <v>4.7</v>
      </c>
      <c r="P5042" t="n">
        <v>9679</v>
      </c>
      <c r="R5042" t="inlineStr">
        <is>
          <t>OutOfStock</t>
        </is>
      </c>
      <c r="S5042" t="inlineStr">
        <is>
          <t>7.4</t>
        </is>
      </c>
      <c r="T5042" t="inlineStr">
        <is>
          <t>4384186302564</t>
        </is>
      </c>
    </row>
    <row r="5043" ht="87" customHeight="1">
      <c r="A5043" s="2">
        <f>HYPERLINK("https://edmondsonsupply.com/collections/electricians-tools/products/diablo-tools-dou125cf-1-1-4-universal-fit-carbide-oscillating-blade-for-metal", "https://edmondsonsupply.com/collections/electricians-tools/products/diablo-tools-dou125cf-1-1-4-universal-fit-carbide-oscillating-blade-for-metal")</f>
        <v/>
      </c>
      <c r="B5043" s="2">
        <f>HYPERLINK("https://edmondsonsupply.com/products/diablo-tools-dou125cf-1-1-4-universal-fit-carbide-oscillating-blade-for-metal", "https://edmondsonsupply.com/products/diablo-tools-dou125cf-1-1-4-universal-fit-carbide-oscillating-blade-for-metal")</f>
        <v/>
      </c>
      <c r="C5043" t="inlineStr">
        <is>
          <t>Diablo Tools DOU125CF 1-1/4" Universal Fit Carbide Oscillating Blade for Metal</t>
        </is>
      </c>
      <c r="D5043" t="inlineStr">
        <is>
          <t>Diablo by Freud DOU125CF3 1-1/4 in. Universal Fit Carbide Oscillating Blades for Metal (3-Pack)</t>
        </is>
      </c>
      <c r="E5043" s="2">
        <f>HYPERLINK("https://www.amazon.com/Diablo-Freud-DOU125CF3-Universal-Oscillating/dp/B089LKXD7L/ref=sr_1_2?keywords=Diablo+Tools+DOU125CF+1-1%2F4%22+Universal+Fit+Carbide+Oscillating+Blade+for+Metal&amp;qid=1694735180&amp;sr=8-2", "https://www.amazon.com/Diablo-Freud-DOU125CF3-Universal-Oscillating/dp/B089LKXD7L/ref=sr_1_2?keywords=Diablo+Tools+DOU125CF+1-1%2F4%22+Universal+Fit+Carbide+Oscillating+Blade+for+Metal&amp;qid=1694735180&amp;sr=8-2")</f>
        <v/>
      </c>
      <c r="F5043" t="inlineStr">
        <is>
          <t>B089LKXD7L</t>
        </is>
      </c>
      <c r="G5043">
        <f>_xlfn.IMAGE("https://edmondsonsupply.com/cdn/shop/products/DOU125CF_Main-Image.png?v=1633637708")</f>
        <v/>
      </c>
      <c r="H5043">
        <f>_xlfn.IMAGE("https://m.media-amazon.com/images/I/71izb0UUOkL._AC_UL320_.jpg")</f>
        <v/>
      </c>
      <c r="K5043" t="inlineStr">
        <is>
          <t>22.97</t>
        </is>
      </c>
      <c r="L5043" t="n">
        <v>32</v>
      </c>
      <c r="M5043" s="1" t="inlineStr">
        <is>
          <t>39.31%</t>
        </is>
      </c>
      <c r="N5043" s="7" t="n">
        <v>-47.92</v>
      </c>
      <c r="O5043" t="n">
        <v>4.5</v>
      </c>
      <c r="P5043" t="n">
        <v>164</v>
      </c>
      <c r="R5043" t="inlineStr">
        <is>
          <t>InStock</t>
        </is>
      </c>
      <c r="S5043" t="inlineStr">
        <is>
          <t>27.86</t>
        </is>
      </c>
      <c r="T5043" t="inlineStr">
        <is>
          <t>7000434999469</t>
        </is>
      </c>
    </row>
    <row r="5044" ht="87" customHeight="1">
      <c r="A5044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5044" s="2">
        <f>HYPERLINK("https://edmondsonsupply.com/products/klein-tools-11057-klein-kurve%c2%ae-wire-stripper-and-cutter", "https://edmondsonsupply.com/products/klein-tools-11057-klein-kurve%c2%ae-wire-stripper-and-cutter")</f>
        <v/>
      </c>
      <c r="C5044" t="inlineStr">
        <is>
          <t>Klein Tools 11057 Klein-Kurve® Wire Stripper and Cutter</t>
        </is>
      </c>
      <c r="D5044" t="inlineStr">
        <is>
          <t>Klein Tools 11057 Wire Cutter/Wire Stripper, Heavy Duty Wire Cutter Stripper for 20-30 AWG Solid Wire and 22-32 AWG Stranded Wire &amp; Hakko-CHP-170 Micro Cutter - Red</t>
        </is>
      </c>
      <c r="E5044" s="2">
        <f>HYPERLINK("https://www.amazon.com/Klein-Tools-Stripper-Stranded-Hakko-CHP-170/dp/B0BD3ZXX4S/ref=sr_1_2?keywords=Klein+Tools+11057+Klein-Kurve%C2%AE+Wire+Stripper+and+Cutter&amp;qid=1694735357&amp;sr=8-2", "https://www.amazon.com/Klein-Tools-Stripper-Stranded-Hakko-CHP-170/dp/B0BD3ZXX4S/ref=sr_1_2?keywords=Klein+Tools+11057+Klein-Kurve%C2%AE+Wire+Stripper+and+Cutter&amp;qid=1694735357&amp;sr=8-2")</f>
        <v/>
      </c>
      <c r="F5044" t="inlineStr">
        <is>
          <t>B0BD3ZXX4S</t>
        </is>
      </c>
      <c r="G5044">
        <f>_xlfn.IMAGE("https://edmondsonsupply.com/cdn/shop/products/11057.jpg?v=1587146927")</f>
        <v/>
      </c>
      <c r="H5044">
        <f>_xlfn.IMAGE("https://m.media-amazon.com/images/I/51xzAOv8sfL._AC_UL320_.jpg")</f>
        <v/>
      </c>
      <c r="K5044" t="inlineStr">
        <is>
          <t>20.97</t>
        </is>
      </c>
      <c r="L5044" t="n">
        <v>29.21</v>
      </c>
      <c r="M5044" s="1" t="inlineStr">
        <is>
          <t>39.29%</t>
        </is>
      </c>
      <c r="N5044" s="7" t="n">
        <v>-47.92</v>
      </c>
      <c r="O5044" t="n">
        <v>5</v>
      </c>
      <c r="P5044" t="n">
        <v>3</v>
      </c>
      <c r="R5044" t="inlineStr">
        <is>
          <t>InStock</t>
        </is>
      </c>
      <c r="S5044" t="inlineStr">
        <is>
          <t>32.72</t>
        </is>
      </c>
      <c r="T5044" t="inlineStr">
        <is>
          <t>4455254720612</t>
        </is>
      </c>
    </row>
    <row r="5045" ht="87" customHeight="1">
      <c r="A5045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5045" s="2">
        <f>HYPERLINK("https://edmondsonsupply.com/products/klein-tools-vdv427-014-punchdown-tool-krone-blade", "https://edmondsonsupply.com/products/klein-tools-vdv427-014-punchdown-tool-krone-blade")</f>
        <v/>
      </c>
      <c r="C5045" t="inlineStr">
        <is>
          <t>Klein Tools VDV427014 Punchdown Tool Krone Blade</t>
        </is>
      </c>
      <c r="D5045" t="inlineStr">
        <is>
          <t>Klein Tools VDV427-110 Impact Punchdown Tool Extended Reach 110 MIM Replacement Blade with Bayonet-Style, Twist-and-Lock Socket</t>
        </is>
      </c>
      <c r="E5045" s="2">
        <f>HYPERLINK("https://www.amazon.com/Klein-Tools-VDV427-110-Replacement-Bayonet-Style/dp/B088V99QGN/ref=sr_1_10?keywords=Klein+Tools+VDV427014+Punchdown+Tool+Krone+Blade&amp;qid=1694735425&amp;sr=8-10", "https://www.amazon.com/Klein-Tools-VDV427-110-Replacement-Bayonet-Style/dp/B088V99QGN/ref=sr_1_10?keywords=Klein+Tools+VDV427014+Punchdown+Tool+Krone+Blade&amp;qid=1694735425&amp;sr=8-10")</f>
        <v/>
      </c>
      <c r="F5045" t="inlineStr">
        <is>
          <t>B088V99QGN</t>
        </is>
      </c>
      <c r="G5045">
        <f>_xlfn.IMAGE("https://edmondsonsupply.com/cdn/shop/products/vdv427-014.jpg?v=1587143002")</f>
        <v/>
      </c>
      <c r="H5045">
        <f>_xlfn.IMAGE("https://m.media-amazon.com/images/I/51k4tiMr31L._AC_UL320_.jpg")</f>
        <v/>
      </c>
      <c r="K5045" t="inlineStr">
        <is>
          <t>11.49</t>
        </is>
      </c>
      <c r="L5045" t="n">
        <v>15.99</v>
      </c>
      <c r="M5045" s="1" t="inlineStr">
        <is>
          <t>39.16%</t>
        </is>
      </c>
      <c r="N5045" s="7" t="n">
        <v>-47.96</v>
      </c>
      <c r="O5045" t="n">
        <v>4.7</v>
      </c>
      <c r="P5045" t="n">
        <v>148</v>
      </c>
      <c r="R5045" t="inlineStr">
        <is>
          <t>InStock</t>
        </is>
      </c>
      <c r="S5045" t="inlineStr">
        <is>
          <t>17.26</t>
        </is>
      </c>
      <c r="T5045" t="inlineStr">
        <is>
          <t>4359135592548</t>
        </is>
      </c>
    </row>
    <row r="5046" ht="87" customHeight="1">
      <c r="A5046" s="2">
        <f>HYPERLINK("https://edmondsonsupply.com/collections/electricians-tools/products/channellock-317", "https://edmondsonsupply.com/collections/electricians-tools/products/channellock-317")</f>
        <v/>
      </c>
      <c r="B5046" s="2">
        <f>HYPERLINK("https://edmondsonsupply.com/products/channellock-317", "https://edmondsonsupply.com/products/channellock-317")</f>
        <v/>
      </c>
      <c r="C5046" t="inlineStr">
        <is>
          <t>Channellock 317 8-Inch Long Nose Pliers with Side Cutter</t>
        </is>
      </c>
      <c r="D5046" t="inlineStr">
        <is>
          <t>Channellock 748 8-Inch Long Reach End Cutting Pliers | Nipper End Cutter with Extra Long Flat Nose | Designed for Hard to Reach Places | Forged from High Carbon Steel | Made in the USA , Blue</t>
        </is>
      </c>
      <c r="E5046" s="2">
        <f>HYPERLINK("https://www.amazon.com/Channellock-748-8-Inch-Cutter-Reach/dp/B00065TGQI/ref=sr_1_5?keywords=Channellock+317+8-Inch+Long+Nose+Pliers+with+Side+Cutter&amp;qid=1694735322&amp;sr=8-5", "https://www.amazon.com/Channellock-748-8-Inch-Cutter-Reach/dp/B00065TGQI/ref=sr_1_5?keywords=Channellock+317+8-Inch+Long+Nose+Pliers+with+Side+Cutter&amp;qid=1694735322&amp;sr=8-5")</f>
        <v/>
      </c>
      <c r="F5046" t="inlineStr">
        <is>
          <t>B00065TGQI</t>
        </is>
      </c>
      <c r="G5046">
        <f>_xlfn.IMAGE("https://edmondsonsupply.com/cdn/shop/products/317-683x1024.jpg?v=1633030326")</f>
        <v/>
      </c>
      <c r="H5046">
        <f>_xlfn.IMAGE("https://m.media-amazon.com/images/I/71vJgyQdlPL._AC_UL320_.jpg")</f>
        <v/>
      </c>
      <c r="K5046" t="inlineStr">
        <is>
          <t>24.95</t>
        </is>
      </c>
      <c r="L5046" t="n">
        <v>34.69</v>
      </c>
      <c r="M5046" s="1" t="inlineStr">
        <is>
          <t>39.04%</t>
        </is>
      </c>
      <c r="N5046" s="7" t="n">
        <v>-48.28</v>
      </c>
      <c r="O5046" t="n">
        <v>4.6</v>
      </c>
      <c r="P5046" t="n">
        <v>519</v>
      </c>
      <c r="R5046" t="inlineStr">
        <is>
          <t>InStock</t>
        </is>
      </c>
      <c r="S5046" t="inlineStr">
        <is>
          <t>35.15</t>
        </is>
      </c>
      <c r="T5046" t="inlineStr">
        <is>
          <t>5247343526056</t>
        </is>
      </c>
    </row>
    <row r="5047" hidden="1" ht="15.75" customHeight="1">
      <c r="A5047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5047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5047" t="inlineStr">
        <is>
          <t>Diablo Tools DMAPL4020 5/32 in. x 4 in. x 6 in. Rebar Demon™ SDS-Plus 4-Cutter Full Carbide Head Hammer Bit</t>
        </is>
      </c>
      <c r="D5047" t="inlineStr">
        <is>
          <t>Diablo by Freud DMAPL4050 3/16 in. x 6 in. x 8 in. Rebar Demon SDS-Plus 4-Cutter Full Carbide Head Hammer Bit Multi, One Size</t>
        </is>
      </c>
      <c r="E5047" s="2">
        <f>HYPERLINK("https://www.amazon.com/Diablo-SDS-Plus-4-Cutter-Carbide-Hammer/dp/B089LKWR9L/ref=sr_1_30?keywords=Diablo+Tools+DMAPL4020+5%2F32+in.+x+4+in.+x+6+in.+Rebar+Demon%E2%84%A2+SDS-Plus+4-Cutter+Full+Carbide+Head+Hammer+Bit&amp;qid=1694735291&amp;sr=8-30", "https://www.amazon.com/Diablo-SDS-Plus-4-Cutter-Carbide-Hammer/dp/B089LKWR9L/ref=sr_1_30?keywords=Diablo+Tools+DMAPL4020+5%2F32+in.+x+4+in.+x+6+in.+Rebar+Demon%E2%84%A2+SDS-Plus+4-Cutter+Full+Carbide+Head+Hammer+Bit&amp;qid=1694735291&amp;sr=8-30")</f>
        <v/>
      </c>
      <c r="F5047" t="inlineStr">
        <is>
          <t>B089LKWR9L</t>
        </is>
      </c>
      <c r="G5047">
        <f>_xludf.IMAGE("https://edmondsonsupply.com/cdn/shop/products/DMAPL4020_1.jpg?v=1633030415")</f>
        <v/>
      </c>
      <c r="H5047">
        <f>_xludf.IMAGE("https://m.media-amazon.com/images/I/61uukuKzJeL._AC_UL320_.jpg")</f>
        <v/>
      </c>
      <c r="K5047" t="inlineStr">
        <is>
          <t>6.47</t>
        </is>
      </c>
      <c r="L5047" t="n">
        <v>8.99</v>
      </c>
      <c r="M5047" s="1" t="inlineStr">
        <is>
          <t>38.95%</t>
        </is>
      </c>
      <c r="N5047" s="1" t="n">
        <v>-48.34</v>
      </c>
      <c r="O5047" t="n">
        <v>3.7</v>
      </c>
      <c r="P5047" t="n">
        <v>10</v>
      </c>
      <c r="R5047" t="inlineStr">
        <is>
          <t>InStock</t>
        </is>
      </c>
      <c r="S5047" t="inlineStr">
        <is>
          <t>9.44</t>
        </is>
      </c>
      <c r="T5047" t="inlineStr">
        <is>
          <t>5313711046824</t>
        </is>
      </c>
    </row>
    <row r="5048" hidden="1" ht="15.75" customHeight="1">
      <c r="A5048" s="2">
        <f>HYPERLINK("https://edmondsonsupply.com/collections/electricians-tools/products/klein-tools-6844ins-insulated-screwdriver-2-square-tip-4-inch-round-shank", "https://edmondsonsupply.com/collections/electricians-tools/products/klein-tools-6844ins-insulated-screwdriver-2-square-tip-4-inch-round-shank")</f>
        <v/>
      </c>
      <c r="B5048" s="2">
        <f>HYPERLINK("https://edmondsonsupply.com/products/klein-tools-6844ins-insulated-screwdriver-2-square-tip-4-inch-round-shank", "https://edmondsonsupply.com/products/klein-tools-6844ins-insulated-screwdriver-2-square-tip-4-inch-round-shank")</f>
        <v/>
      </c>
      <c r="C5048" t="inlineStr">
        <is>
          <t>Klein Tools 6844INS Insulated Screwdriver, #2 Square Tip, 4-Inch Round Shank</t>
        </is>
      </c>
      <c r="D5048" t="inlineStr">
        <is>
          <t>Klein Tools 6946INS 1000V Slim Tip Insulated Screwdriver, 6-Inch Round Shank, #2 Square Tip, Cushion Grip Handle</t>
        </is>
      </c>
      <c r="E5048" s="2">
        <f>HYPERLINK("https://www.amazon.com/Klein-Tools-6946INS-Insulated-Screwdriver/dp/B088NN95Q5/ref=sr_1_3?keywords=Klein+Tools+6844INS+Insulated+Screwdriver%2C+%232+Square+Tip%2C+4-Inch+Round+Shank&amp;qid=1694735101&amp;sr=8-3", "https://www.amazon.com/Klein-Tools-6946INS-Insulated-Screwdriver/dp/B088NN95Q5/ref=sr_1_3?keywords=Klein+Tools+6844INS+Insulated+Screwdriver%2C+%232+Square+Tip%2C+4-Inch+Round+Shank&amp;qid=1694735101&amp;sr=8-3")</f>
        <v/>
      </c>
      <c r="F5048" t="inlineStr">
        <is>
          <t>B088NN95Q5</t>
        </is>
      </c>
      <c r="G5048">
        <f>_xludf.IMAGE("https://edmondsonsupply.com/cdn/shop/products/6844ins.jpg?v=1664817203")</f>
        <v/>
      </c>
      <c r="H5048">
        <f>_xludf.IMAGE("https://m.media-amazon.com/images/I/414Kb+NSPsS._AC_UL320_.jpg")</f>
        <v/>
      </c>
      <c r="K5048" t="inlineStr">
        <is>
          <t>9.97</t>
        </is>
      </c>
      <c r="L5048" t="n">
        <v>13.85</v>
      </c>
      <c r="M5048" s="1" t="inlineStr">
        <is>
          <t>38.92%</t>
        </is>
      </c>
      <c r="N5048" s="1" t="n">
        <v>-48.56</v>
      </c>
      <c r="O5048" t="n">
        <v>4.8</v>
      </c>
      <c r="P5048" t="n">
        <v>1358</v>
      </c>
      <c r="R5048" t="inlineStr">
        <is>
          <t>InStock</t>
        </is>
      </c>
      <c r="S5048" t="inlineStr">
        <is>
          <t>15.12</t>
        </is>
      </c>
      <c r="T5048" t="inlineStr">
        <is>
          <t>7837735551192</t>
        </is>
      </c>
    </row>
    <row r="5049" hidden="1" ht="15.75" customHeight="1">
      <c r="A5049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5049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5049" t="inlineStr">
        <is>
          <t>Klein Tools 6884INS Insulated Screwdriver, #1 Square Tip, 4-Inch Shank</t>
        </is>
      </c>
      <c r="D5049" t="inlineStr">
        <is>
          <t>Klein Tools 6946INS 1000V Slim Tip Insulated Screwdriver, 6-Inch Round Shank, #2 Square Tip, Cushion Grip Handle</t>
        </is>
      </c>
      <c r="E5049" s="2">
        <f>HYPERLINK("https://www.amazon.com/Klein-Tools-6946INS-Insulated-Screwdriver/dp/B088NN95Q5/ref=sr_1_11?keywords=Klein+Tools+6884INS+Insulated+Screwdriver%2C+%231+Square+Tip%2C+4-Inch+Shank&amp;qid=1694735104&amp;sr=8-11", "https://www.amazon.com/Klein-Tools-6946INS-Insulated-Screwdriver/dp/B088NN95Q5/ref=sr_1_11?keywords=Klein+Tools+6884INS+Insulated+Screwdriver%2C+%231+Square+Tip%2C+4-Inch+Shank&amp;qid=1694735104&amp;sr=8-11")</f>
        <v/>
      </c>
      <c r="F5049" t="inlineStr">
        <is>
          <t>B088NN95Q5</t>
        </is>
      </c>
      <c r="G5049">
        <f>_xludf.IMAGE("https://edmondsonsupply.com/cdn/shop/products/6884ins.jpg?v=1664889244")</f>
        <v/>
      </c>
      <c r="H5049">
        <f>_xludf.IMAGE("https://m.media-amazon.com/images/I/414Kb+NSPsS._AC_UL320_.jpg")</f>
        <v/>
      </c>
      <c r="K5049" t="inlineStr">
        <is>
          <t>9.97</t>
        </is>
      </c>
      <c r="L5049" t="n">
        <v>13.85</v>
      </c>
      <c r="M5049" s="1" t="inlineStr">
        <is>
          <t>38.92%</t>
        </is>
      </c>
      <c r="N5049" s="1" t="n">
        <v>-48.62</v>
      </c>
      <c r="O5049" t="n">
        <v>4.8</v>
      </c>
      <c r="P5049" t="n">
        <v>1358</v>
      </c>
      <c r="R5049" t="inlineStr">
        <is>
          <t>InStock</t>
        </is>
      </c>
      <c r="S5049" t="inlineStr">
        <is>
          <t>14.98</t>
        </is>
      </c>
      <c r="T5049" t="inlineStr">
        <is>
          <t>7839150735576</t>
        </is>
      </c>
    </row>
    <row r="5050" ht="87" customHeight="1">
      <c r="A5050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5050" s="2">
        <f>HYPERLINK("https://edmondsonsupply.com/products/klein-tools-d507-10-adjustable-wrench-extra-capacity-10-inch", "https://edmondsonsupply.com/products/klein-tools-d507-10-adjustable-wrench-extra-capacity-10-inch")</f>
        <v/>
      </c>
      <c r="C5050" t="inlineStr">
        <is>
          <t>Klein Tools D507-10 Adjustable Wrench Extra Capacity, 10-Inch</t>
        </is>
      </c>
      <c r="D5050" t="inlineStr">
        <is>
          <t>Klein Tools 3227 Extra Wide Adjustable Wrench, Construction Spud Wrench for Up to 1-7/16-Inch Nuts and Bolts, 10-Inch, with Tether Hole</t>
        </is>
      </c>
      <c r="E5050" s="2">
        <f>HYPERLINK("https://www.amazon.com/Adjustable-10-Inch-Klein-Tools-3227/dp/B004FSK9WW/ref=sr_1_11?keywords=Klein+Tools+D507-10+Adjustable+Wrench+Extra+Capacity%2C+10-Inch&amp;qid=1694735353&amp;sr=8-11", "https://www.amazon.com/Adjustable-10-Inch-Klein-Tools-3227/dp/B004FSK9WW/ref=sr_1_11?keywords=Klein+Tools+D507-10+Adjustable+Wrench+Extra+Capacity%2C+10-Inch&amp;qid=1694735353&amp;sr=8-11")</f>
        <v/>
      </c>
      <c r="F5050" t="inlineStr">
        <is>
          <t>B004FSK9WW</t>
        </is>
      </c>
      <c r="G5050">
        <f>_xlfn.IMAGE("https://edmondsonsupply.com/cdn/shop/products/d50710.jpg?v=1666011197")</f>
        <v/>
      </c>
      <c r="H5050">
        <f>_xlfn.IMAGE("https://m.media-amazon.com/images/I/510YdLGxeeL._AC_UL320_.jpg")</f>
        <v/>
      </c>
      <c r="K5050" t="inlineStr">
        <is>
          <t>35.99</t>
        </is>
      </c>
      <c r="L5050" t="n">
        <v>49.99</v>
      </c>
      <c r="M5050" s="1" t="inlineStr">
        <is>
          <t>38.90%</t>
        </is>
      </c>
      <c r="N5050" s="7" t="n">
        <v>-48.64</v>
      </c>
      <c r="O5050" t="n">
        <v>4.8</v>
      </c>
      <c r="P5050" t="n">
        <v>864</v>
      </c>
      <c r="R5050" t="inlineStr">
        <is>
          <t>InStock</t>
        </is>
      </c>
      <c r="S5050" t="inlineStr">
        <is>
          <t>54.54</t>
        </is>
      </c>
      <c r="T5050" t="inlineStr">
        <is>
          <t>4436115554404</t>
        </is>
      </c>
    </row>
    <row r="5051" hidden="1" ht="15.75" customHeight="1">
      <c r="A5051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5051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5051" t="inlineStr">
        <is>
          <t>Diablo Tools DMAPL4010 5/32 in. x 2 in. x 4 in. Rebar Demon™ SDS-Plus 4-Cutter Full Carbide Head Hammer Bit</t>
        </is>
      </c>
      <c r="D5051" t="inlineStr">
        <is>
          <t>Diablo by Freud DMAPL4050 3/16 in. x 6 in. x 8 in. Rebar Demon SDS-Plus 4-Cutter Full Carbide Head Hammer Bit Multi, One Size</t>
        </is>
      </c>
      <c r="E5051" s="2">
        <f>HYPERLINK("https://www.amazon.com/Diablo-SDS-Plus-4-Cutter-Carbide-Hammer/dp/B089LKWR9L/ref=sr_1_32?keywords=Diablo+Tools+DMAPL4010+5%2F32+in.+x+2+in.+x+4+in.+Rebar+Demon%E2%84%A2+SDS-Plus+4-Cutter+Full+Carbide+Head+Hammer+Bit&amp;qid=1694735296&amp;sr=8-32", "https://www.amazon.com/Diablo-SDS-Plus-4-Cutter-Carbide-Hammer/dp/B089LKWR9L/ref=sr_1_32?keywords=Diablo+Tools+DMAPL4010+5%2F32+in.+x+2+in.+x+4+in.+Rebar+Demon%E2%84%A2+SDS-Plus+4-Cutter+Full+Carbide+Head+Hammer+Bit&amp;qid=1694735296&amp;sr=8-32")</f>
        <v/>
      </c>
      <c r="F5051" t="inlineStr">
        <is>
          <t>B089LKWR9L</t>
        </is>
      </c>
      <c r="G5051">
        <f>_xludf.IMAGE("https://edmondsonsupply.com/cdn/shop/products/DMAPL4010.jpg?v=1633030357")</f>
        <v/>
      </c>
      <c r="H5051">
        <f>_xludf.IMAGE("https://m.media-amazon.com/images/I/61uukuKzJeL._AC_UL320_.jpg")</f>
        <v/>
      </c>
      <c r="K5051" t="inlineStr">
        <is>
          <t>6.48</t>
        </is>
      </c>
      <c r="L5051" t="n">
        <v>8.99</v>
      </c>
      <c r="M5051" s="1" t="inlineStr">
        <is>
          <t>38.73%</t>
        </is>
      </c>
      <c r="N5051" s="1" t="n">
        <v>-48.7</v>
      </c>
      <c r="O5051" t="n">
        <v>3.7</v>
      </c>
      <c r="P5051" t="n">
        <v>10</v>
      </c>
      <c r="R5051" t="inlineStr">
        <is>
          <t>InStock</t>
        </is>
      </c>
      <c r="S5051" t="inlineStr">
        <is>
          <t>10.3</t>
        </is>
      </c>
      <c r="T5051" t="inlineStr">
        <is>
          <t>5286308380840</t>
        </is>
      </c>
    </row>
    <row r="5052" hidden="1" ht="15.75" customHeight="1">
      <c r="A5052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5052" s="2">
        <f>HYPERLINK("https://edmondsonsupply.com/products/klein-tools-646-7-16-7-16-inch-nut-driver-6-inch-hollow-shaft", "https://edmondsonsupply.com/products/klein-tools-646-7-16-7-16-inch-nut-driver-6-inch-hollow-shaft")</f>
        <v/>
      </c>
      <c r="C5052" t="inlineStr">
        <is>
          <t>Klein Tools 646-7/16 7/16-Inch Nut Driver, 6-Inch Hollow Shaft</t>
        </is>
      </c>
      <c r="D5052" t="inlineStr">
        <is>
          <t>Klein Tools 635-7/16 7/16-Inch Heavy-Duty Nut Driver</t>
        </is>
      </c>
      <c r="E5052" s="2">
        <f>HYPERLINK("https://www.amazon.com/16-Inch-Heavy-Duty-Driver-Klein-Tools/dp/B01D6FPYRE/ref=sr_1_9?keywords=Klein+Tools+646-7%2F16+7%2F16-Inch+Nut+Driver%2C+6-Inch+Hollow+Shaft&amp;qid=1694735415&amp;sr=8-9", "https://www.amazon.com/16-Inch-Heavy-Duty-Driver-Klein-Tools/dp/B01D6FPYRE/ref=sr_1_9?keywords=Klein+Tools+646-7%2F16+7%2F16-Inch+Nut+Driver%2C+6-Inch+Hollow+Shaft&amp;qid=1694735415&amp;sr=8-9")</f>
        <v/>
      </c>
      <c r="F5052" t="inlineStr">
        <is>
          <t>B01D6FPYRE</t>
        </is>
      </c>
      <c r="G5052">
        <f>_xludf.IMAGE("https://edmondsonsupply.com/cdn/shop/products/646-1-2_64980020-d246-4b4b-829a-c848cc375d64.jpg?v=1587148603")</f>
        <v/>
      </c>
      <c r="H5052">
        <f>_xludf.IMAGE("https://m.media-amazon.com/images/I/41wh4vxYIPL._AC_UL320_.jpg")</f>
        <v/>
      </c>
      <c r="K5052" t="inlineStr">
        <is>
          <t>9.49</t>
        </is>
      </c>
      <c r="L5052" t="n">
        <v>13.16</v>
      </c>
      <c r="M5052" s="1" t="inlineStr">
        <is>
          <t>38.67%</t>
        </is>
      </c>
      <c r="N5052" s="1" t="n">
        <v>-48.78</v>
      </c>
      <c r="O5052" t="n">
        <v>4.7</v>
      </c>
      <c r="P5052" t="n">
        <v>999</v>
      </c>
      <c r="R5052" t="inlineStr">
        <is>
          <t>InStock</t>
        </is>
      </c>
      <c r="S5052" t="inlineStr">
        <is>
          <t>14.42</t>
        </is>
      </c>
      <c r="T5052" t="inlineStr">
        <is>
          <t>4391246889060</t>
        </is>
      </c>
    </row>
    <row r="5053" hidden="1" ht="15.75" customHeight="1">
      <c r="A5053" s="2">
        <f>HYPERLINK("https://edmondsonsupply.com/collections/electricians-tools/products/klein-tools-608-10-1-8-inch-cabinet-tip-mini-screwdriver-10-inch", "https://edmondsonsupply.com/collections/electricians-tools/products/klein-tools-608-10-1-8-inch-cabinet-tip-mini-screwdriver-10-inch")</f>
        <v/>
      </c>
      <c r="B5053" s="2">
        <f>HYPERLINK("https://edmondsonsupply.com/products/klein-tools-608-10-1-8-inch-cabinet-tip-mini-screwdriver-10-inch", "https://edmondsonsupply.com/products/klein-tools-608-10-1-8-inch-cabinet-tip-mini-screwdriver-10-inch")</f>
        <v/>
      </c>
      <c r="C5053" t="inlineStr">
        <is>
          <t>Klein Tools 608-10 1/8-Inch Cabinet Tip Mini Screwdriver 10-Inch</t>
        </is>
      </c>
      <c r="D5053" t="inlineStr">
        <is>
          <t>Klein Tools 6916INS 1000V Slim Tip Insulated Screwdriver, 6-Inch Round Shank, 3/16-Inch Cabinet Tip, Cushion Grip Handle</t>
        </is>
      </c>
      <c r="E5053" s="2">
        <f>HYPERLINK("https://www.amazon.com/Klein-Tools-6916INS-Insulated-Screwdriver/dp/B089DR97MJ/ref=sr_1_26?keywords=Klein+Tools+608-10+1%2F8-Inch+Cabinet+Tip+Mini+Screwdriver+10-Inch&amp;qid=1694735289&amp;sr=8-26", "https://www.amazon.com/Klein-Tools-6916INS-Insulated-Screwdriver/dp/B089DR97MJ/ref=sr_1_26?keywords=Klein+Tools+608-10+1%2F8-Inch+Cabinet+Tip+Mini+Screwdriver+10-Inch&amp;qid=1694735289&amp;sr=8-26")</f>
        <v/>
      </c>
      <c r="F5053" t="inlineStr">
        <is>
          <t>B089DR97MJ</t>
        </is>
      </c>
      <c r="G5053">
        <f>_xludf.IMAGE("https://edmondsonsupply.com/cdn/shop/products/608-6_3d55df43-d6b6-4261-9983-f7b4b6f422c4.jpg?v=1633030486")</f>
        <v/>
      </c>
      <c r="H5053">
        <f>_xludf.IMAGE("https://m.media-amazon.com/images/I/41JpJG+Jh0L._AC_UL320_.jpg")</f>
        <v/>
      </c>
      <c r="K5053" t="inlineStr">
        <is>
          <t>9.99</t>
        </is>
      </c>
      <c r="L5053" t="n">
        <v>13.85</v>
      </c>
      <c r="M5053" s="1" t="inlineStr">
        <is>
          <t>38.64%</t>
        </is>
      </c>
      <c r="N5053" s="1" t="n">
        <v>-49.01</v>
      </c>
      <c r="O5053" t="n">
        <v>4.8</v>
      </c>
      <c r="P5053" t="n">
        <v>1358</v>
      </c>
      <c r="R5053" t="inlineStr">
        <is>
          <t>InStock</t>
        </is>
      </c>
      <c r="S5053" t="inlineStr">
        <is>
          <t>15.1</t>
        </is>
      </c>
      <c r="T5053" t="inlineStr">
        <is>
          <t>5371101610152</t>
        </is>
      </c>
    </row>
    <row r="5054" ht="87" customHeight="1">
      <c r="A5054" s="2">
        <f>HYPERLINK("https://edmondsonsupply.com/collections/electricians-tools/products/klein-tools-70580-folding-hex-key-set-six-key-metric-sizes", "https://edmondsonsupply.com/collections/electricians-tools/products/klein-tools-70580-folding-hex-key-set-six-key-metric-sizes")</f>
        <v/>
      </c>
      <c r="B5054" s="2">
        <f>HYPERLINK("https://edmondsonsupply.com/products/klein-tools-70580-folding-hex-key-set-six-key-metric-sizes", "https://edmondsonsupply.com/products/klein-tools-70580-folding-hex-key-set-six-key-metric-sizes")</f>
        <v/>
      </c>
      <c r="C5054" t="inlineStr">
        <is>
          <t>Klein Tools 70580 Folding Hex Key Set, 6-Key, Metric Sizes</t>
        </is>
      </c>
      <c r="D5054" t="inlineStr">
        <is>
          <t>Klein Tools 70586 Folding TORX Key Set, 8-Key, SAE Sizes</t>
        </is>
      </c>
      <c r="E5054" s="2">
        <f>HYPERLINK("https://www.amazon.com/Folding-TORX-Klein-Tools-70586/dp/B0002RI8RI/ref=sr_1_20?keywords=Klein+Tools+70580+Folding+Hex+Key+Set%2C+6-Key%2C+Metric+Sizes&amp;qid=1694735390&amp;sr=8-20", "https://www.amazon.com/Folding-TORX-Klein-Tools-70586/dp/B0002RI8RI/ref=sr_1_20?keywords=Klein+Tools+70580+Folding+Hex+Key+Set%2C+6-Key%2C+Metric+Sizes&amp;qid=1694735390&amp;sr=8-20")</f>
        <v/>
      </c>
      <c r="F5054" t="inlineStr">
        <is>
          <t>B0002RI8RI</t>
        </is>
      </c>
      <c r="G5054">
        <f>_xlfn.IMAGE("https://edmondsonsupply.com/cdn/shop/products/70580.jpg?v=1587148596")</f>
        <v/>
      </c>
      <c r="H5054">
        <f>_xlfn.IMAGE("https://m.media-amazon.com/images/I/51FSDo5VcWL._AC_UL320_.jpg")</f>
        <v/>
      </c>
      <c r="K5054" t="inlineStr">
        <is>
          <t>12.99</t>
        </is>
      </c>
      <c r="L5054" t="n">
        <v>17.99</v>
      </c>
      <c r="M5054" s="1" t="inlineStr">
        <is>
          <t>38.49%</t>
        </is>
      </c>
      <c r="N5054" s="7" t="n">
        <v>-49.22</v>
      </c>
      <c r="O5054" t="n">
        <v>4.8</v>
      </c>
      <c r="P5054" t="n">
        <v>163</v>
      </c>
      <c r="R5054" t="inlineStr">
        <is>
          <t>InStock</t>
        </is>
      </c>
      <c r="S5054" t="inlineStr">
        <is>
          <t>18.32</t>
        </is>
      </c>
      <c r="T5054" t="inlineStr">
        <is>
          <t>4410310328420</t>
        </is>
      </c>
    </row>
    <row r="5055" ht="87" customHeight="1">
      <c r="A5055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5055" s="2">
        <f>HYPERLINK("https://edmondsonsupply.com/products/klein-tools-31944-bi-metal-hole-saw-2-3-4-inch", "https://edmondsonsupply.com/products/klein-tools-31944-bi-metal-hole-saw-2-3-4-inch")</f>
        <v/>
      </c>
      <c r="C5055" t="inlineStr">
        <is>
          <t>Klein Tools 31944 Bi-Metal Hole Saw, 2-3/4-Inch</t>
        </is>
      </c>
      <c r="D5055" t="inlineStr">
        <is>
          <t>LENOX Tools Hole Saw, Bi-Metal, Speed Slot, 2-1/8-Inch (1772003)</t>
        </is>
      </c>
      <c r="E5055" s="2">
        <f>HYPERLINK("https://www.amazon.com/LENOX-Tools-Bi-Metal-Speed-Technology/dp/B001TUFGMW/ref=sr_1_38?keywords=Klein+Tools+31944+Bi-Metal+Hole+Saw%2C+2-3%2F4-Inch&amp;qid=1694735356&amp;sr=8-38", "https://www.amazon.com/LENOX-Tools-Bi-Metal-Speed-Technology/dp/B001TUFGMW/ref=sr_1_38?keywords=Klein+Tools+31944+Bi-Metal+Hole+Saw%2C+2-3%2F4-Inch&amp;qid=1694735356&amp;sr=8-38")</f>
        <v/>
      </c>
      <c r="F5055" t="inlineStr">
        <is>
          <t>B001TUFGMW</t>
        </is>
      </c>
      <c r="G5055">
        <f>_xlfn.IMAGE("https://edmondsonsupply.com/cdn/shop/products/31944.jpg?v=1587150512")</f>
        <v/>
      </c>
      <c r="H5055">
        <f>_xlfn.IMAGE("https://m.media-amazon.com/images/I/61Wh6qJTgZL._AC_UL320_.jpg")</f>
        <v/>
      </c>
      <c r="K5055" t="inlineStr">
        <is>
          <t>12.99</t>
        </is>
      </c>
      <c r="L5055" t="n">
        <v>17.99</v>
      </c>
      <c r="M5055" s="1" t="inlineStr">
        <is>
          <t>38.49%</t>
        </is>
      </c>
      <c r="N5055" s="7" t="n">
        <v>-49.23</v>
      </c>
      <c r="O5055" t="n">
        <v>4.5</v>
      </c>
      <c r="P5055" t="n">
        <v>48</v>
      </c>
      <c r="R5055" t="inlineStr">
        <is>
          <t>InStock</t>
        </is>
      </c>
      <c r="S5055" t="inlineStr">
        <is>
          <t>18.24</t>
        </is>
      </c>
      <c r="T5055" t="inlineStr">
        <is>
          <t>4433553326180</t>
        </is>
      </c>
    </row>
    <row r="5056" ht="87" customHeight="1">
      <c r="A5056" s="2">
        <f>HYPERLINK("https://edmondsonsupply.com/collections/electricians-tools/products/klein-tools-et310trans-replacement-transmitter-for-et310", "https://edmondsonsupply.com/collections/electricians-tools/products/klein-tools-et310trans-replacement-transmitter-for-et310")</f>
        <v/>
      </c>
      <c r="B5056" s="2">
        <f>HYPERLINK("https://edmondsonsupply.com/products/klein-tools-et310trans-replacement-transmitter-for-et310", "https://edmondsonsupply.com/products/klein-tools-et310trans-replacement-transmitter-for-et310")</f>
        <v/>
      </c>
      <c r="C5056" t="inlineStr">
        <is>
          <t>Klein Tools ET310TRANS Replacement Transmitter for ET310</t>
        </is>
      </c>
      <c r="D5056" t="inlineStr">
        <is>
          <t>Aenllosi Hard Carrying Case Replacement for Klein Tools ET310 AC Circuit Breaker Finder GFCI Tester Tool Kit</t>
        </is>
      </c>
      <c r="E5056" s="2">
        <f>HYPERLINK("https://www.amazon.com/Aenllosi-Carrying-Replacement-Circuit-Breaker/dp/B0BKZDJFFB/ref=sr_1_2?keywords=Klein+Tools+ET310TRANS+Replacement+Transmitter+for+ET310&amp;qid=1694735125&amp;sr=8-2", "https://www.amazon.com/Aenllosi-Carrying-Replacement-Circuit-Breaker/dp/B0BKZDJFFB/ref=sr_1_2?keywords=Klein+Tools+ET310TRANS+Replacement+Transmitter+for+ET310&amp;qid=1694735125&amp;sr=8-2")</f>
        <v/>
      </c>
      <c r="F5056" t="inlineStr">
        <is>
          <t>B0BKZDJFFB</t>
        </is>
      </c>
      <c r="G5056">
        <f>_xlfn.IMAGE("https://edmondsonsupply.com/cdn/shop/products/et310trans.jpg?v=1663678062")</f>
        <v/>
      </c>
      <c r="H5056">
        <f>_xlfn.IMAGE("https://m.media-amazon.com/images/I/91ehSVRCVLL._AC_UL320_.jpg")</f>
        <v/>
      </c>
      <c r="K5056" t="inlineStr">
        <is>
          <t>12.99</t>
        </is>
      </c>
      <c r="L5056" t="n">
        <v>17.99</v>
      </c>
      <c r="M5056" s="1" t="inlineStr">
        <is>
          <t>38.49%</t>
        </is>
      </c>
      <c r="N5056" s="7" t="n">
        <v>-49.66</v>
      </c>
      <c r="O5056" t="n">
        <v>4.8</v>
      </c>
      <c r="P5056" t="n">
        <v>227</v>
      </c>
      <c r="R5056" t="inlineStr">
        <is>
          <t>InStock</t>
        </is>
      </c>
      <c r="S5056" t="inlineStr">
        <is>
          <t>19.58</t>
        </is>
      </c>
      <c r="T5056" t="inlineStr">
        <is>
          <t>7823606907096</t>
        </is>
      </c>
    </row>
    <row r="5057" hidden="1" ht="15.75" customHeight="1">
      <c r="A5057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5057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5057" t="inlineStr">
        <is>
          <t>Klein Tools JTH6E10BE 5/32-Inch Ball Hex Key, Journeyman T-Handle 6-Inch</t>
        </is>
      </c>
      <c r="D5057" t="inlineStr">
        <is>
          <t>Klein Tools JTH6M4BE 4 mm Ball End Hex Key with Journeyman T-Handle, 6-Inch</t>
        </is>
      </c>
      <c r="E5057" s="2">
        <f>HYPERLINK("https://www.amazon.com/Journeyman-T-Handle-Klein-Tools-JTH6M4BE/dp/B005G3951G/ref=sr_1_5?keywords=Klein+Tools+JTH6E10BE+5%2F32-Inch+Ball+Hex+Key%2C+Journeyman+T-Handle+6-Inch&amp;qid=1694735255&amp;sr=8-5", "https://www.amazon.com/Journeyman-T-Handle-Klein-Tools-JTH6M4BE/dp/B005G3951G/ref=sr_1_5?keywords=Klein+Tools+JTH6E10BE+5%2F32-Inch+Ball+Hex+Key%2C+Journeyman+T-Handle+6-Inch&amp;qid=1694735255&amp;sr=8-5")</f>
        <v/>
      </c>
      <c r="F5057" t="inlineStr">
        <is>
          <t>B005G3951G</t>
        </is>
      </c>
      <c r="G5057">
        <f>_xludf.IMAGE("https://edmondsonsupply.com/cdn/shop/products/jth6e13be_363de34a-e666-474d-81cd-df9068957d9f.jpg?v=1604059577")</f>
        <v/>
      </c>
      <c r="H5057">
        <f>_xludf.IMAGE("https://m.media-amazon.com/images/I/51huXA+ij8L._AC_UL320_.jpg")</f>
        <v/>
      </c>
      <c r="K5057" t="inlineStr">
        <is>
          <t>4.99</t>
        </is>
      </c>
      <c r="L5057" t="n">
        <v>6.91</v>
      </c>
      <c r="M5057" s="1" t="inlineStr">
        <is>
          <t>38.48%</t>
        </is>
      </c>
      <c r="N5057" s="1" t="n">
        <v>-49.88</v>
      </c>
      <c r="O5057" t="n">
        <v>4.8</v>
      </c>
      <c r="P5057" t="n">
        <v>985</v>
      </c>
      <c r="R5057" t="inlineStr">
        <is>
          <t>InStock</t>
        </is>
      </c>
      <c r="S5057" t="inlineStr">
        <is>
          <t>7.52</t>
        </is>
      </c>
      <c r="T5057" t="inlineStr">
        <is>
          <t>5999019819176</t>
        </is>
      </c>
    </row>
    <row r="5058" hidden="1" ht="15.75" customHeight="1">
      <c r="A5058" s="2">
        <f>HYPERLINK("https://edmondsonsupply.com/collections/electricians-tools/products/klein-tools-jth6m2be-2-mm-hex-key-journeyman%E2%84%A2-t-handle-6-inch", "https://edmondsonsupply.com/collections/electricians-tools/products/klein-tools-jth6m2be-2-mm-hex-key-journeyman%E2%84%A2-t-handle-6-inch")</f>
        <v/>
      </c>
      <c r="B5058" s="2">
        <f>HYPERLINK("https://edmondsonsupply.com/products/klein-tools-jth6m2be-2-mm-hex-key-journeyman%e2%84%a2-t-handle-6-inch", "https://edmondsonsupply.com/products/klein-tools-jth6m2be-2-mm-hex-key-journeyman%e2%84%a2-t-handle-6-inch")</f>
        <v/>
      </c>
      <c r="C5058" t="inlineStr">
        <is>
          <t>Klein Tools JTH6M2BE 2 mm Hex Key, Journeyman™ T-Handle, 6-Inch</t>
        </is>
      </c>
      <c r="D5058" t="inlineStr">
        <is>
          <t>Klein Tools JTH6M2BE 2 mm Hex Key, Journeyman T-Handle, 6-Inch</t>
        </is>
      </c>
      <c r="E5058" s="2">
        <f>HYPERLINK("https://www.amazon.com/Journeyman-T-Handle-Klein-Tools-JTH6M2BE/dp/B005G2RMIU/ref=sr_1_1?keywords=Klein+Tools+JTH6M2BE+2+mm+Hex+Key%2C+Journeyman%E2%84%A2+T-Handle%2C+6-Inch&amp;qid=1694735007&amp;sr=8-1", "https://www.amazon.com/Journeyman-T-Handle-Klein-Tools-JTH6M2BE/dp/B005G2RMIU/ref=sr_1_1?keywords=Klein+Tools+JTH6M2BE+2+mm+Hex+Key%2C+Journeyman%E2%84%A2+T-Handle%2C+6-Inch&amp;qid=1694735007&amp;sr=8-1")</f>
        <v/>
      </c>
      <c r="F5058" t="inlineStr">
        <is>
          <t>B005G2RMIU</t>
        </is>
      </c>
      <c r="G5058">
        <f>_xludf.IMAGE("https://edmondsonsupply.com/cdn/shop/products/jth6m8be_dc02c4f5-6424-4dc9-9167-b95380a96ebb.jpg?v=1679428749")</f>
        <v/>
      </c>
      <c r="H5058">
        <f>_xludf.IMAGE("https://m.media-amazon.com/images/I/51huXA+ij8L._AC_UL320_.jpg")</f>
        <v/>
      </c>
      <c r="K5058" t="inlineStr">
        <is>
          <t>4.99</t>
        </is>
      </c>
      <c r="L5058" t="n">
        <v>6.91</v>
      </c>
      <c r="M5058" s="1" t="inlineStr">
        <is>
          <t>38.48%</t>
        </is>
      </c>
      <c r="N5058" s="1" t="n">
        <v>-49.93</v>
      </c>
      <c r="O5058" t="n">
        <v>4.8</v>
      </c>
      <c r="P5058" t="n">
        <v>985</v>
      </c>
      <c r="R5058" t="inlineStr">
        <is>
          <t>InStock</t>
        </is>
      </c>
      <c r="S5058" t="inlineStr">
        <is>
          <t>7.56</t>
        </is>
      </c>
      <c r="T5058" t="inlineStr">
        <is>
          <t>7965318480088</t>
        </is>
      </c>
    </row>
    <row r="5059" hidden="1" ht="15.75" customHeight="1">
      <c r="A5059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5059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5059" t="inlineStr">
        <is>
          <t>Klein Tools JTH6M25BE 2.5 mm Ball Hex Key Journeyman T-Handle 6-Inch</t>
        </is>
      </c>
      <c r="D5059" t="inlineStr">
        <is>
          <t>Klein Tools JTH6M25BE 2.5 mm Ball End Hex Key with Journeyman T-Handle, 6-Inch</t>
        </is>
      </c>
      <c r="E5059" s="2">
        <f>HYPERLINK("https://www.amazon.com/Journeyman-T-Handle-Klein-Tools-JTH6M25BE/dp/B005G2RMPS/ref=sr_1_1?keywords=Klein+Tools+JTH6M25BE+2.5+mm+Ball+Hex+Key+Journeyman+T-Handle+6-Inch&amp;qid=1694735267&amp;sr=8-1", "https://www.amazon.com/Journeyman-T-Handle-Klein-Tools-JTH6M25BE/dp/B005G2RMPS/ref=sr_1_1?keywords=Klein+Tools+JTH6M25BE+2.5+mm+Ball+Hex+Key+Journeyman+T-Handle+6-Inch&amp;qid=1694735267&amp;sr=8-1")</f>
        <v/>
      </c>
      <c r="F5059" t="inlineStr">
        <is>
          <t>B005G2RMPS</t>
        </is>
      </c>
      <c r="G5059">
        <f>_xludf.IMAGE("https://edmondsonsupply.com/cdn/shop/products/jth6m8be_af5f0d75-5d0d-4973-9134-931620c84f2d.jpg?v=1633030574")</f>
        <v/>
      </c>
      <c r="H5059">
        <f>_xludf.IMAGE("https://m.media-amazon.com/images/I/51huXA+ij8L._AC_UL320_.jpg")</f>
        <v/>
      </c>
      <c r="K5059" t="inlineStr">
        <is>
          <t>4.99</t>
        </is>
      </c>
      <c r="L5059" t="n">
        <v>6.91</v>
      </c>
      <c r="M5059" s="1" t="inlineStr">
        <is>
          <t>38.48%</t>
        </is>
      </c>
      <c r="N5059" s="1" t="n">
        <v>-49.99</v>
      </c>
      <c r="O5059" t="n">
        <v>4.8</v>
      </c>
      <c r="P5059" t="n">
        <v>985</v>
      </c>
      <c r="R5059" t="inlineStr">
        <is>
          <t>InStock</t>
        </is>
      </c>
      <c r="S5059" t="inlineStr">
        <is>
          <t>7.56</t>
        </is>
      </c>
      <c r="T5059" t="inlineStr">
        <is>
          <t>5525435973800</t>
        </is>
      </c>
    </row>
    <row r="5060" ht="87" customHeight="1">
      <c r="A5060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5060" s="2">
        <f>HYPERLINK("https://edmondsonsupply.com/products/diablo-tools-dmapl2320-1-2-in-x-10-in-x-12-in-sds-plus-2-cutter", "https://edmondsonsupply.com/products/diablo-tools-dmapl2320-1-2-in-x-10-in-x-12-in-sds-plus-2-cutter")</f>
        <v/>
      </c>
      <c r="C5060" t="inlineStr">
        <is>
          <t>Diablo Tools DMAPL2320 1/2 in. x 10 in. x 12 in. SDS-Plus 2-Cutter</t>
        </is>
      </c>
      <c r="D5060" t="inlineStr">
        <is>
          <t>Diablo DMAPLCH2000 1.5 in. x 10 in. SDS-Plus Wide Chisel</t>
        </is>
      </c>
      <c r="E5060" s="2">
        <f>HYPERLINK("https://www.amazon.com/Diablo-1-5-SDS-Plus-Wide-Chisel/dp/B089KWFSYW/ref=sr_1_38?keywords=Diablo+Tools+DMAPL2320+1%2F2+in.+x+10+in.+x+12+in.+SDS-Plus+2-Cutter&amp;qid=1694735300&amp;sr=8-38", "https://www.amazon.com/Diablo-1-5-SDS-Plus-Wide-Chisel/dp/B089KWFSYW/ref=sr_1_38?keywords=Diablo+Tools+DMAPL2320+1%2F2+in.+x+10+in.+x+12+in.+SDS-Plus+2-Cutter&amp;qid=1694735300&amp;sr=8-38")</f>
        <v/>
      </c>
      <c r="F5060" t="inlineStr">
        <is>
          <t>B089KWFSYW</t>
        </is>
      </c>
      <c r="G5060">
        <f>_xlfn.IMAGE("https://edmondsonsupply.com/cdn/shop/products/DMAPL2320.jpg?v=1633030356")</f>
        <v/>
      </c>
      <c r="H5060">
        <f>_xlfn.IMAGE("https://m.media-amazon.com/images/I/61xOjuKdvVL._AC_UL320_.jpg")</f>
        <v/>
      </c>
      <c r="K5060" t="inlineStr">
        <is>
          <t>12.97</t>
        </is>
      </c>
      <c r="L5060" t="n">
        <v>17.95</v>
      </c>
      <c r="M5060" s="1" t="inlineStr">
        <is>
          <t>38.40%</t>
        </is>
      </c>
      <c r="N5060" s="7" t="n">
        <v>-49.99</v>
      </c>
      <c r="O5060" t="n">
        <v>5</v>
      </c>
      <c r="P5060" t="n">
        <v>4</v>
      </c>
      <c r="R5060" t="inlineStr">
        <is>
          <t>InStock</t>
        </is>
      </c>
      <c r="S5060" t="inlineStr">
        <is>
          <t>14.25</t>
        </is>
      </c>
      <c r="T5060" t="inlineStr">
        <is>
          <t>5286282264744</t>
        </is>
      </c>
    </row>
    <row r="5061" ht="87" customHeight="1">
      <c r="A5061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5061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5061" t="inlineStr">
        <is>
          <t>Diablo Tools DOU250BW 2-1/2 in. Universal Fit Bi-Metal Oscillating Blade for Nail-Embedded Wood</t>
        </is>
      </c>
      <c r="D5061" t="inlineStr">
        <is>
          <t>Diablo by Freud DOS125BW3 1-1/4 in. Starlock Bi-Metal Oscillating Blades for Nail-Embedded Wood (3-Pack)</t>
        </is>
      </c>
      <c r="E5061" s="2">
        <f>HYPERLINK("https://www.amazon.com/Diablo-Starlock-Bi-Metal-Oscillating-Nail-Embedded/dp/B089KX5FJS/ref=sr_1_9?keywords=Diablo+Tools+DOU250BW+2-1%2F2+in.+Universal+Fit+Bi-Metal+Oscillating+Blade+for+Nail-Embedded+Wood&amp;qid=1694734995&amp;sr=8-9", "https://www.amazon.com/Diablo-Starlock-Bi-Metal-Oscillating-Nail-Embedded/dp/B089KX5FJS/ref=sr_1_9?keywords=Diablo+Tools+DOU250BW+2-1%2F2+in.+Universal+Fit+Bi-Metal+Oscillating+Blade+for+Nail-Embedded+Wood&amp;qid=1694734995&amp;sr=8-9")</f>
        <v/>
      </c>
      <c r="F5061" t="inlineStr">
        <is>
          <t>B089KX5FJS</t>
        </is>
      </c>
      <c r="G5061">
        <f>_xlfn.IMAGE("https://edmondsonsupply.com/cdn/shop/files/xcched1uye7bv2s0ryod.webp?v=1685717397")</f>
        <v/>
      </c>
      <c r="H5061">
        <f>_xlfn.IMAGE("https://m.media-amazon.com/images/I/717H6O1AhYL._AC_UL320_.jpg")</f>
        <v/>
      </c>
      <c r="K5061" t="inlineStr">
        <is>
          <t>19.97</t>
        </is>
      </c>
      <c r="L5061" t="n">
        <v>27.63</v>
      </c>
      <c r="M5061" s="1" t="inlineStr">
        <is>
          <t>38.36%</t>
        </is>
      </c>
      <c r="N5061" s="7" t="n">
        <v>-50.02</v>
      </c>
      <c r="O5061" t="n">
        <v>4.7</v>
      </c>
      <c r="P5061" t="n">
        <v>65</v>
      </c>
      <c r="R5061" t="inlineStr">
        <is>
          <t>InStock</t>
        </is>
      </c>
      <c r="S5061" t="inlineStr">
        <is>
          <t>24.85</t>
        </is>
      </c>
      <c r="T5061" t="inlineStr">
        <is>
          <t>7999559598296</t>
        </is>
      </c>
    </row>
    <row r="5062" hidden="1" ht="15.75" customHeight="1">
      <c r="A5062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5062" s="2">
        <f>HYPERLINK("https://edmondsonsupply.com/products/klein-tools-cl110-digital-clamp-meter-ac-auto-ranging-400-amp", "https://edmondsonsupply.com/products/klein-tools-cl110-digital-clamp-meter-ac-auto-ranging-400-amp")</f>
        <v/>
      </c>
      <c r="C5062" t="inlineStr">
        <is>
          <t>Klein Tools CL120 Digital Clamp Meter, AC Auto-Ranging 400 Amp</t>
        </is>
      </c>
      <c r="D5062" t="inlineStr">
        <is>
          <t>Klein Tools CL220 Digital Clamp Meter, Auto-Ranging 400 Amp AC, AC/DC Voltage, TRMS, Resistance, Continuity, NCVT Detection, and Temp &amp; 69417 Rare-Earth Magnetic Hanger, with Strap</t>
        </is>
      </c>
      <c r="E5062" s="2">
        <f>HYPERLINK("https://www.amazon.com/Klein-Tools-Auto-Ranging-Resistance-Continuity/dp/B0BC885SQJ/ref=sr_1_15?keywords=Klein+Tools+CL120+Digital+Clamp+Meter%2C+AC+Auto-Ranging+400+Amp&amp;qid=1694735357&amp;sr=8-15", "https://www.amazon.com/Klein-Tools-Auto-Ranging-Resistance-Continuity/dp/B0BC885SQJ/ref=sr_1_15?keywords=Klein+Tools+CL120+Digital+Clamp+Meter%2C+AC+Auto-Ranging+400+Amp&amp;qid=1694735357&amp;sr=8-15")</f>
        <v/>
      </c>
      <c r="F5062" t="inlineStr">
        <is>
          <t>B0BC885SQJ</t>
        </is>
      </c>
      <c r="G5062">
        <f>_xludf.IMAGE("https://edmondsonsupply.com/cdn/shop/products/cl120.jpg?v=1633030212")</f>
        <v/>
      </c>
      <c r="H5062">
        <f>_xludf.IMAGE("https://m.media-amazon.com/images/I/51eYCwafd6L._AC_UY218_.jpg")</f>
        <v/>
      </c>
      <c r="K5062" t="inlineStr">
        <is>
          <t>59.97</t>
        </is>
      </c>
      <c r="L5062" t="n">
        <v>82.97</v>
      </c>
      <c r="M5062" s="1" t="inlineStr">
        <is>
          <t>38.35%</t>
        </is>
      </c>
      <c r="N5062" s="1" t="n">
        <v>-50.22</v>
      </c>
      <c r="O5062" t="n">
        <v>4</v>
      </c>
      <c r="P5062" t="n">
        <v>1</v>
      </c>
      <c r="R5062" t="inlineStr">
        <is>
          <t>InStock</t>
        </is>
      </c>
      <c r="S5062" t="inlineStr">
        <is>
          <t>85.26</t>
        </is>
      </c>
      <c r="T5062" t="inlineStr">
        <is>
          <t>4432351527012</t>
        </is>
      </c>
    </row>
    <row r="5063" ht="87" customHeight="1">
      <c r="A5063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063" s="2">
        <f>HYPERLINK("https://edmondsonsupply.com/products/diablo-tools-dag1110-7-8-in-x-7-1-2-in-auger-bit", "https://edmondsonsupply.com/products/diablo-tools-dag1110-7-8-in-x-7-1-2-in-auger-bit")</f>
        <v/>
      </c>
      <c r="C5063" t="inlineStr">
        <is>
          <t>Diablo Tools DAG1110 7/8 in. x 7-1/2 in. Auger Bit</t>
        </is>
      </c>
      <c r="D5063" t="inlineStr">
        <is>
          <t>Diablo 1/2 in. x 17-1/2 in. Auger Bit</t>
        </is>
      </c>
      <c r="E5063" s="2">
        <f>HYPERLINK("https://www.amazon.com/Diablo-Freud-DAG3030-17-1-Auger/dp/B089KVBK8P/ref=sr_1_28?keywords=Diablo+Tools+DAG1110+7%2F8+in.+x+7-1%2F2+in.+Auger+Bit&amp;qid=1694735001&amp;sr=8-28", "https://www.amazon.com/Diablo-Freud-DAG3030-17-1-Auger/dp/B089KVBK8P/ref=sr_1_28?keywords=Diablo+Tools+DAG1110+7%2F8+in.+x+7-1%2F2+in.+Auger+Bit&amp;qid=1694735001&amp;sr=8-28")</f>
        <v/>
      </c>
      <c r="F5063" t="inlineStr">
        <is>
          <t>B089KVBK8P</t>
        </is>
      </c>
      <c r="G5063">
        <f>_xlfn.IMAGE("https://edmondsonsupply.com/cdn/shop/products/yel7mbaiyy08ii0assd5.webp?v=1680187136")</f>
        <v/>
      </c>
      <c r="H5063">
        <f>_xlfn.IMAGE("https://m.media-amazon.com/images/I/61gYTsV7rCL._AC_UL320_.jpg")</f>
        <v/>
      </c>
      <c r="K5063" t="inlineStr">
        <is>
          <t>16.97</t>
        </is>
      </c>
      <c r="L5063" t="n">
        <v>23.45</v>
      </c>
      <c r="M5063" s="1" t="inlineStr">
        <is>
          <t>38.19%</t>
        </is>
      </c>
      <c r="N5063" s="7" t="n">
        <v>-50.57</v>
      </c>
      <c r="O5063" t="n">
        <v>4.4</v>
      </c>
      <c r="P5063" t="n">
        <v>12</v>
      </c>
      <c r="R5063" t="inlineStr">
        <is>
          <t>InStock</t>
        </is>
      </c>
      <c r="S5063" t="inlineStr">
        <is>
          <t>23.76</t>
        </is>
      </c>
      <c r="T5063" t="inlineStr">
        <is>
          <t>7970459549912</t>
        </is>
      </c>
    </row>
    <row r="5064" ht="87" customHeight="1">
      <c r="A5064" s="2">
        <f>HYPERLINK("https://edmondsonsupply.com/collections/electricians-tools/products/klein-tools-69190-magnetic-hanger", "https://edmondsonsupply.com/collections/electricians-tools/products/klein-tools-69190-magnetic-hanger")</f>
        <v/>
      </c>
      <c r="B5064" s="2">
        <f>HYPERLINK("https://edmondsonsupply.com/products/klein-tools-69190-magnetic-hanger", "https://edmondsonsupply.com/products/klein-tools-69190-magnetic-hanger")</f>
        <v/>
      </c>
      <c r="C5064" t="inlineStr">
        <is>
          <t>Klein Tools 69190 Magnetic Hanger</t>
        </is>
      </c>
      <c r="D5064" t="inlineStr">
        <is>
          <t>Klein Tools 69417 Rare-Earth Magnetic Hanger, with Strap &amp; 69401 Multimeter Carrying Case</t>
        </is>
      </c>
      <c r="E5064" s="2">
        <f>HYPERLINK("https://www.amazon.com/Klein-Tools-Rare-Earth-Magnetic-Multimeter/dp/B0BGJ66GX4/ref=sr_1_5?keywords=Klein+Tools+69190+Magnetic+Hanger&amp;qid=1694735208&amp;sr=8-5", "https://www.amazon.com/Klein-Tools-Rare-Earth-Magnetic-Multimeter/dp/B0BGJ66GX4/ref=sr_1_5?keywords=Klein+Tools+69190+Magnetic+Hanger&amp;qid=1694735208&amp;sr=8-5")</f>
        <v/>
      </c>
      <c r="F5064" t="inlineStr">
        <is>
          <t>B0BGJ66GX4</t>
        </is>
      </c>
      <c r="G5064">
        <f>_xlfn.IMAGE("https://edmondsonsupply.com/cdn/shop/products/69190.jpg?v=1633031095")</f>
        <v/>
      </c>
      <c r="H5064">
        <f>_xlfn.IMAGE("https://m.media-amazon.com/images/I/51Em03gaEVL._AC_UL320_.jpg")</f>
        <v/>
      </c>
      <c r="K5064" t="inlineStr">
        <is>
          <t>20.99</t>
        </is>
      </c>
      <c r="L5064" t="n">
        <v>29</v>
      </c>
      <c r="M5064" s="1" t="inlineStr">
        <is>
          <t>38.16%</t>
        </is>
      </c>
      <c r="N5064" s="7" t="n">
        <v>-50.67</v>
      </c>
      <c r="O5064" t="n">
        <v>5</v>
      </c>
      <c r="P5064" t="n">
        <v>2</v>
      </c>
      <c r="R5064" t="inlineStr">
        <is>
          <t>InStock</t>
        </is>
      </c>
      <c r="S5064" t="inlineStr">
        <is>
          <t>31.34</t>
        </is>
      </c>
      <c r="T5064" t="inlineStr">
        <is>
          <t>6840979521709</t>
        </is>
      </c>
    </row>
    <row r="5065" ht="87" customHeight="1">
      <c r="A5065" s="2">
        <f>HYPERLINK("https://edmondsonsupply.com/collections/electricians-tools/products/uniweld-70075-ratchet-wrenches", "https://edmondsonsupply.com/collections/electricians-tools/products/uniweld-70075-ratchet-wrenches")</f>
        <v/>
      </c>
      <c r="B5065" s="2">
        <f>HYPERLINK("https://edmondsonsupply.com/products/uniweld-70075-ratchet-wrenches", "https://edmondsonsupply.com/products/uniweld-70075-ratchet-wrenches")</f>
        <v/>
      </c>
      <c r="C5065" t="inlineStr">
        <is>
          <t>Uniweld 70075 Heavy Duty Offset Ratchet Wrench+</t>
        </is>
      </c>
      <c r="D5065" t="inlineStr">
        <is>
          <t>DURATECH 5 Pc Double Offset Box End Reversible Ratcheting Wrench Set, SAE, Heavy-duty, Matte Chrome Plated, Ratchet Spanner Crooked for Narrow Spaces (1/4-7/8 inch)</t>
        </is>
      </c>
      <c r="E5065" s="2">
        <f>HYPERLINK("https://www.amazon.com/DuraTech-Reversible-Ratcheting-Heavy-duty-Ratchet/dp/B08RZ1SVXG/ref=sr_1_5?keywords=Uniweld+70075+Heavy+Duty+Offset+Ratchet+Wrench&amp;qid=1694735141&amp;sr=8-5", "https://www.amazon.com/DuraTech-Reversible-Ratcheting-Heavy-duty-Ratchet/dp/B08RZ1SVXG/ref=sr_1_5?keywords=Uniweld+70075+Heavy+Duty+Offset+Ratchet+Wrench&amp;qid=1694735141&amp;sr=8-5")</f>
        <v/>
      </c>
      <c r="F5065" t="inlineStr">
        <is>
          <t>B08RZ1SVXG</t>
        </is>
      </c>
      <c r="G5065">
        <f>_xlfn.IMAGE("https://edmondsonsupply.com/cdn/shop/products/70075_pkg.jpg?v=1656078756")</f>
        <v/>
      </c>
      <c r="H5065">
        <f>_xlfn.IMAGE("https://m.media-amazon.com/images/I/71xcfdKeptL._AC_UL320_.jpg")</f>
        <v/>
      </c>
      <c r="K5065" t="inlineStr">
        <is>
          <t>20.99</t>
        </is>
      </c>
      <c r="L5065" t="n">
        <v>28.99</v>
      </c>
      <c r="M5065" s="1" t="inlineStr">
        <is>
          <t>38.11%</t>
        </is>
      </c>
      <c r="N5065" s="7" t="n">
        <v>-50.84</v>
      </c>
      <c r="O5065" t="n">
        <v>4.6</v>
      </c>
      <c r="P5065" t="n">
        <v>1901</v>
      </c>
      <c r="R5065" t="inlineStr">
        <is>
          <t>InStock</t>
        </is>
      </c>
      <c r="S5065" t="inlineStr">
        <is>
          <t>27.14</t>
        </is>
      </c>
      <c r="T5065" t="inlineStr">
        <is>
          <t>7729212063960</t>
        </is>
      </c>
    </row>
    <row r="5066" hidden="1" ht="15.75" customHeight="1">
      <c r="A5066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5066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5066" t="inlineStr">
        <is>
          <t>Diablo Tools DMARG1120 3/8 in. x 4 in. x 6 in. SPEEDemon™ Red Granite Carbide Tipped Hammer Drill Bit</t>
        </is>
      </c>
      <c r="D5066" t="inlineStr">
        <is>
          <t>Diablo DMARG1110 5/16 in. x 8 in. x 10 in. SPEEDemon™ Red Granite Carbide Tipped Hammer Drill Bit</t>
        </is>
      </c>
      <c r="E5066" s="2">
        <f>HYPERLINK("https://www.amazon.com/Diablo-DMARG1110-SPEEDemon-Granite-Carbide/dp/B089LN9JJL/ref=sr_1_14?keywords=Diablo+Tools+DMARG1120+3%2F8+in.+x+4+in.+x+6+in.+SPEEDemon%E2%84%A2+Red+Granite+Carbide+Tipped+Hammer+Drill+Bit&amp;qid=1694735289&amp;sr=8-14", "https://www.amazon.com/Diablo-DMARG1110-SPEEDemon-Granite-Carbide/dp/B089LN9JJL/ref=sr_1_14?keywords=Diablo+Tools+DMARG1120+3%2F8+in.+x+4+in.+x+6+in.+SPEEDemon%E2%84%A2+Red+Granite+Carbide+Tipped+Hammer+Drill+Bit&amp;qid=1694735289&amp;sr=8-14")</f>
        <v/>
      </c>
      <c r="F5066" t="inlineStr">
        <is>
          <t>B089LN9JJL</t>
        </is>
      </c>
      <c r="G5066">
        <f>_xludf.IMAGE("https://edmondsonsupply.com/cdn/shop/products/DMARG1120_Main-Image20200513.png?v=1633030510")</f>
        <v/>
      </c>
      <c r="H5066">
        <f>_xludf.IMAGE("https://m.media-amazon.com/images/I/61Qf0cC1SJL._AC_UL320_.jpg")</f>
        <v/>
      </c>
      <c r="K5066" t="inlineStr">
        <is>
          <t>7.27</t>
        </is>
      </c>
      <c r="L5066" t="n">
        <v>10.03</v>
      </c>
      <c r="M5066" s="1" t="inlineStr">
        <is>
          <t>37.96%</t>
        </is>
      </c>
      <c r="N5066" s="1" t="n">
        <v>-51.12</v>
      </c>
      <c r="O5066" t="n">
        <v>4.2</v>
      </c>
      <c r="P5066" t="n">
        <v>5</v>
      </c>
      <c r="R5066" t="inlineStr">
        <is>
          <t>InStock</t>
        </is>
      </c>
      <c r="S5066" t="inlineStr">
        <is>
          <t>undefined</t>
        </is>
      </c>
      <c r="T5066" t="inlineStr">
        <is>
          <t>5386498834600</t>
        </is>
      </c>
    </row>
    <row r="5067" hidden="1" ht="15.75" customHeight="1">
      <c r="A5067" s="2">
        <f>HYPERLINK("https://edmondsonsupply.com/collections/electricians-tools/products/klein-tools-jth4e13-1-4-inch-hex-key-journeyman%E2%84%A2-t-handle-4-inch", "https://edmondsonsupply.com/collections/electricians-tools/products/klein-tools-jth4e13-1-4-inch-hex-key-journeyman%E2%84%A2-t-handle-4-inch")</f>
        <v/>
      </c>
      <c r="B5067" s="2">
        <f>HYPERLINK("https://edmondsonsupply.com/products/klein-tools-jth4e13-1-4-inch-hex-key-journeyman%e2%84%a2-t-handle-4-inch", "https://edmondsonsupply.com/products/klein-tools-jth4e13-1-4-inch-hex-key-journeyman%e2%84%a2-t-handle-4-inch")</f>
        <v/>
      </c>
      <c r="C5067" t="inlineStr">
        <is>
          <t>Klein Tools JTH4E13 1/4-Inch Hex Key, Journeyman™ T-Handle, 4-Inch</t>
        </is>
      </c>
      <c r="D5067" t="inlineStr">
        <is>
          <t>Klein Tools BL16 1/4-Inch Hex Key, L-Style Ball-End</t>
        </is>
      </c>
      <c r="E5067" s="2">
        <f>HYPERLINK("https://www.amazon.com/L-Style-Ball-End-Klein-Tools-BL16/dp/B00093D4QK/ref=sr_1_20?keywords=Klein+Tools+JTH4E13+1%2F4-Inch+Hex+Key%2C+Journeyman%E2%84%A2+T-Handle%2C+4-Inch&amp;qid=1694735134&amp;sr=8-20", "https://www.amazon.com/L-Style-Ball-End-Klein-Tools-BL16/dp/B00093D4QK/ref=sr_1_20?keywords=Klein+Tools+JTH4E13+1%2F4-Inch+Hex+Key%2C+Journeyman%E2%84%A2+T-Handle%2C+4-Inch&amp;qid=1694735134&amp;sr=8-20")</f>
        <v/>
      </c>
      <c r="F5067" t="inlineStr">
        <is>
          <t>B00093D4QK</t>
        </is>
      </c>
      <c r="G5067">
        <f>_xludf.IMAGE("https://edmondsonsupply.com/cdn/shop/products/jth4e13.jpg?v=1660919816")</f>
        <v/>
      </c>
      <c r="H5067">
        <f>_xludf.IMAGE("https://m.media-amazon.com/images/I/41LcJXQVZbL._AC_UL320_.jpg")</f>
        <v/>
      </c>
      <c r="K5067" t="inlineStr">
        <is>
          <t>5.99</t>
        </is>
      </c>
      <c r="L5067" t="n">
        <v>8.26</v>
      </c>
      <c r="M5067" s="1" t="inlineStr">
        <is>
          <t>37.90%</t>
        </is>
      </c>
      <c r="N5067" s="1" t="n">
        <v>-51.35</v>
      </c>
      <c r="O5067" t="n">
        <v>4.8</v>
      </c>
      <c r="P5067" t="n">
        <v>14</v>
      </c>
      <c r="R5067" t="inlineStr">
        <is>
          <t>InStock</t>
        </is>
      </c>
      <c r="S5067" t="inlineStr">
        <is>
          <t>9.08</t>
        </is>
      </c>
      <c r="T5067" t="inlineStr">
        <is>
          <t>7786113728728</t>
        </is>
      </c>
    </row>
    <row r="5068" hidden="1" ht="15.75" customHeight="1">
      <c r="A5068" s="2">
        <f>HYPERLINK("https://edmondsonsupply.com/collections/electricians-tools/products/klein-tools-jth6e13-1-4-inch-hex-key-journeyman-t-handle-6-inch", "https://edmondsonsupply.com/collections/electricians-tools/products/klein-tools-jth6e13-1-4-inch-hex-key-journeyman-t-handle-6-inch")</f>
        <v/>
      </c>
      <c r="B5068" s="2">
        <f>HYPERLINK("https://edmondsonsupply.com/products/klein-tools-jth6e13-1-4-inch-hex-key-journeyman-t-handle-6-inch", "https://edmondsonsupply.com/products/klein-tools-jth6e13-1-4-inch-hex-key-journeyman-t-handle-6-inch")</f>
        <v/>
      </c>
      <c r="C5068" t="inlineStr">
        <is>
          <t>Klein Tools JTH6E13 1/4-Inch Hex Key, Journeyman™ T-Handle, 6-Inch</t>
        </is>
      </c>
      <c r="D5068" t="inlineStr">
        <is>
          <t>Klein Tools BL16 1/4-Inch Hex Key, L-Style Ball-End</t>
        </is>
      </c>
      <c r="E5068" s="2">
        <f>HYPERLINK("https://www.amazon.com/L-Style-Ball-End-Klein-Tools-BL16/dp/B00093D4QK/ref=sr_1_23?keywords=Klein+Tools+JTH6E13+1%2F4-Inch+Hex+Key%2C+Journeyman%E2%84%A2+T-Handle%2C+6-Inch&amp;qid=1694735318&amp;sr=8-23", "https://www.amazon.com/L-Style-Ball-End-Klein-Tools-BL16/dp/B00093D4QK/ref=sr_1_23?keywords=Klein+Tools+JTH6E13+1%2F4-Inch+Hex+Key%2C+Journeyman%E2%84%A2+T-Handle%2C+6-Inch&amp;qid=1694735318&amp;sr=8-23")</f>
        <v/>
      </c>
      <c r="F5068" t="inlineStr">
        <is>
          <t>B00093D4QK</t>
        </is>
      </c>
      <c r="G5068">
        <f>_xludf.IMAGE("https://edmondsonsupply.com/cdn/shop/products/jth6e15_6c39ee71-7394-4eeb-8e78-2a1961a59f2c.jpg?v=1589422596")</f>
        <v/>
      </c>
      <c r="H5068">
        <f>_xludf.IMAGE("https://m.media-amazon.com/images/I/41LcJXQVZbL._AC_UL320_.jpg")</f>
        <v/>
      </c>
      <c r="K5068" t="inlineStr">
        <is>
          <t>5.99</t>
        </is>
      </c>
      <c r="L5068" t="n">
        <v>8.26</v>
      </c>
      <c r="M5068" s="1" t="inlineStr">
        <is>
          <t>37.90%</t>
        </is>
      </c>
      <c r="N5068" s="1" t="n">
        <v>-51.39</v>
      </c>
      <c r="O5068" t="n">
        <v>4.8</v>
      </c>
      <c r="P5068" t="n">
        <v>14</v>
      </c>
      <c r="R5068" t="inlineStr">
        <is>
          <t>InStock</t>
        </is>
      </c>
      <c r="S5068" t="inlineStr">
        <is>
          <t>9.08</t>
        </is>
      </c>
      <c r="T5068" t="inlineStr">
        <is>
          <t>4654951628900</t>
        </is>
      </c>
    </row>
    <row r="5069" ht="87" customHeight="1">
      <c r="A5069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5069" s="2">
        <f>HYPERLINK("https://edmondsonsupply.com/products/diablo-tools-d0704dh-7-1-4-in-x-4-tooth-fiber-cement", "https://edmondsonsupply.com/products/diablo-tools-d0704dh-7-1-4-in-x-4-tooth-fiber-cement")</f>
        <v/>
      </c>
      <c r="C5069" t="inlineStr">
        <is>
          <t>Diablo Tools D0704DH 7-1/4 in. x 4 Tooth Fiber Cement</t>
        </is>
      </c>
      <c r="D5069" t="inlineStr">
        <is>
          <t>Freud D0704DH Diablo 7-1/4"x4T PCD Tip TCG Hardie Fiber Cement Saw BLD,5/8 Arbor (Twо Расk)</t>
        </is>
      </c>
      <c r="E5069" s="2">
        <f>HYPERLINK("https://www.amazon.com/Freud-D0704DH-Diablo-Hardie-Cement/dp/B09BQF8L4V/ref=sr_1_3?keywords=Diablo+Tools+D0704DH+7-1%2F4+in.+x+4+Tooth+Fiber+Cement&amp;qid=1694735024&amp;sr=8-3", "https://www.amazon.com/Freud-D0704DH-Diablo-Hardie-Cement/dp/B09BQF8L4V/ref=sr_1_3?keywords=Diablo+Tools+D0704DH+7-1%2F4+in.+x+4+Tooth+Fiber+Cement&amp;qid=1694735024&amp;sr=8-3")</f>
        <v/>
      </c>
      <c r="F5069" t="inlineStr">
        <is>
          <t>B09BQF8L4V</t>
        </is>
      </c>
      <c r="G5069">
        <f>_xlfn.IMAGE("https://edmondsonsupply.com/cdn/shop/products/baadnmj6vhmqufio7ofn.webp?v=1679325375")</f>
        <v/>
      </c>
      <c r="H5069">
        <f>_xlfn.IMAGE("https://m.media-amazon.com/images/I/71C2YUlzPKS._AC_UL320_.jpg")</f>
        <v/>
      </c>
      <c r="K5069" t="inlineStr">
        <is>
          <t>44.97</t>
        </is>
      </c>
      <c r="L5069" t="n">
        <v>62</v>
      </c>
      <c r="M5069" s="1" t="inlineStr">
        <is>
          <t>37.87%</t>
        </is>
      </c>
      <c r="N5069" s="7" t="n">
        <v>-51.42</v>
      </c>
      <c r="O5069" t="n">
        <v>4.3</v>
      </c>
      <c r="P5069" t="n">
        <v>7</v>
      </c>
      <c r="R5069" t="inlineStr">
        <is>
          <t>InStock</t>
        </is>
      </c>
      <c r="S5069" t="inlineStr">
        <is>
          <t>67.99</t>
        </is>
      </c>
      <c r="T5069" t="inlineStr">
        <is>
          <t>7964908159192</t>
        </is>
      </c>
    </row>
    <row r="5070" ht="87" customHeight="1">
      <c r="A5070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5070" s="2">
        <f>HYPERLINK("https://edmondsonsupply.com/products/klein-tools-56334-steel-fish-tape-1-8-inch-x-240-foot", "https://edmondsonsupply.com/products/klein-tools-56334-steel-fish-tape-1-8-inch-x-240-foot")</f>
        <v/>
      </c>
      <c r="C5070" t="inlineStr">
        <is>
          <t>Klein Tools 56334 Steel Fish Tape, 1/8-Inch x 240-Foot</t>
        </is>
      </c>
      <c r="D5070" t="inlineStr">
        <is>
          <t>Klein Tools 56004 Fish Tape, 240-Foot Long x 1/8-Inch Wide Steel Pull Line for Heavy Duty Wire Pulls, Updated Model Cat. No. 56334 Available</t>
        </is>
      </c>
      <c r="E5070" s="2">
        <f>HYPERLINK("https://www.amazon.com/240-Foot-Measuring-Klein-Tools-56004/dp/B0026TDB5Y/ref=sr_1_1?keywords=Klein+Tools+56334+Steel+Fish+Tape%2C+1%2F8-Inch+x+240-Foot&amp;qid=1694735385&amp;sr=8-1", "https://www.amazon.com/240-Foot-Measuring-Klein-Tools-56004/dp/B0026TDB5Y/ref=sr_1_1?keywords=Klein+Tools+56334+Steel+Fish+Tape%2C+1%2F8-Inch+x+240-Foot&amp;qid=1694735385&amp;sr=8-1")</f>
        <v/>
      </c>
      <c r="F5070" t="inlineStr">
        <is>
          <t>B0026TDB5Y</t>
        </is>
      </c>
      <c r="G5070">
        <f>_xlfn.IMAGE("https://edmondsonsupply.com/cdn/shop/products/56334.jpg?v=1587147767")</f>
        <v/>
      </c>
      <c r="H5070">
        <f>_xlfn.IMAGE("https://m.media-amazon.com/images/I/61YlVKsUkcL._AC_UL320_.jpg")</f>
        <v/>
      </c>
      <c r="K5070" t="inlineStr">
        <is>
          <t>84.97</t>
        </is>
      </c>
      <c r="L5070" t="n">
        <v>117.02</v>
      </c>
      <c r="M5070" s="1" t="inlineStr">
        <is>
          <t>37.72%</t>
        </is>
      </c>
      <c r="N5070" s="7" t="n">
        <v>-51.42</v>
      </c>
      <c r="O5070" t="n">
        <v>4.1</v>
      </c>
      <c r="P5070" t="n">
        <v>81</v>
      </c>
      <c r="R5070" t="inlineStr">
        <is>
          <t>InStock</t>
        </is>
      </c>
      <c r="S5070" t="inlineStr">
        <is>
          <t>115.14</t>
        </is>
      </c>
      <c r="T5070" t="inlineStr">
        <is>
          <t>4412213723236</t>
        </is>
      </c>
    </row>
    <row r="5071" ht="87" customHeight="1">
      <c r="A5071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071" s="2">
        <f>HYPERLINK("https://edmondsonsupply.com/products/klein-tools-60407-hard-hat-vented-full-brim-with-headlamp", "https://edmondsonsupply.com/products/klein-tools-60407-hard-hat-vented-full-brim-with-headlamp")</f>
        <v/>
      </c>
      <c r="C5071" t="inlineStr">
        <is>
          <t>Klein Tools 60407 Hard Hat, Vented, Full Brim with Headlamp, White</t>
        </is>
      </c>
      <c r="D5071" t="inlineStr">
        <is>
          <t>Klein Tools Hard Hat, Vented, Full Brim with Headlamp &amp; KHHTOPPAD Hard Hat Pad, Replaceable Machine Washable Top Pad for Klein Tools Hard Hat Suspension System, 3-Pack</t>
        </is>
      </c>
      <c r="E5071" s="2">
        <f>HYPERLINK("https://www.amazon.com/Klein-Tools-KHHTOPPAD-Replaceable-Suspension/dp/B08KGPS8XH/ref=sr_1_9?keywords=Klein+Tools+60407+Hard+Hat%2C+Vented%2C+Full+Brim+with+Headlamp%2C+White&amp;qid=1694735427&amp;sr=8-9", "https://www.amazon.com/Klein-Tools-KHHTOPPAD-Replaceable-Suspension/dp/B08KGPS8XH/ref=sr_1_9?keywords=Klein+Tools+60407+Hard+Hat%2C+Vented%2C+Full+Brim+with+Headlamp%2C+White&amp;qid=1694735427&amp;sr=8-9")</f>
        <v/>
      </c>
      <c r="F5071" t="inlineStr">
        <is>
          <t>B08KGPS8XH</t>
        </is>
      </c>
      <c r="G5071">
        <f>_xlfn.IMAGE("https://edmondsonsupply.com/cdn/shop/products/60407.jpg?v=1587147739")</f>
        <v/>
      </c>
      <c r="H5071">
        <f>_xlfn.IMAGE("https://m.media-amazon.com/images/I/61bjZBPtOIL._AC_UL320_.jpg")</f>
        <v/>
      </c>
      <c r="K5071" t="inlineStr">
        <is>
          <t>54.99</t>
        </is>
      </c>
      <c r="L5071" t="n">
        <v>75.70999999999999</v>
      </c>
      <c r="M5071" s="1" t="inlineStr">
        <is>
          <t>37.68%</t>
        </is>
      </c>
      <c r="N5071" s="7" t="n">
        <v>-51.42</v>
      </c>
      <c r="O5071" t="n">
        <v>4.7</v>
      </c>
      <c r="P5071" t="n">
        <v>19</v>
      </c>
      <c r="R5071" t="inlineStr">
        <is>
          <t>OutOfStock</t>
        </is>
      </c>
      <c r="S5071" t="inlineStr">
        <is>
          <t>82.5</t>
        </is>
      </c>
      <c r="T5071" t="inlineStr">
        <is>
          <t>4357084446820</t>
        </is>
      </c>
    </row>
    <row r="5072" ht="87" customHeight="1">
      <c r="A5072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5072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5072" t="inlineStr">
        <is>
          <t>Diablo Tools DMAMX1230 1 in. x 24 in. x 29 in. Rebar Demon™ SDS-Max 4-Cutter Full Carbide Head Hammer Bit</t>
        </is>
      </c>
      <c r="D5072" t="inlineStr">
        <is>
          <t>Diablo by Freud DMAMX1370 1-1/2 in. x 24 in. x 29 in. Rebar Demon SDS-Max 4-Cutter Carbide-Tipped Hammer Bit</t>
        </is>
      </c>
      <c r="E5072" s="2">
        <f>HYPERLINK("https://www.amazon.com/Diablo-SDS-Max-4-Cutter-Carbide-Tipped-Hammer/dp/B089LN938F/ref=sr_1_38?keywords=Diablo+Tools+DMAMX1230+1+in.+x+24+in.+x+29+in.+Rebar+Demon%E2%84%A2+SDS-Max+4-Cutter+Full+Carbide+Head+Hammer+Bit&amp;qid=1694735297&amp;sr=8-38", "https://www.amazon.com/Diablo-SDS-Max-4-Cutter-Carbide-Tipped-Hammer/dp/B089LN938F/ref=sr_1_38?keywords=Diablo+Tools+DMAMX1230+1+in.+x+24+in.+x+29+in.+Rebar+Demon%E2%84%A2+SDS-Max+4-Cutter+Full+Carbide+Head+Hammer+Bit&amp;qid=1694735297&amp;sr=8-38")</f>
        <v/>
      </c>
      <c r="F5072" t="inlineStr">
        <is>
          <t>B089LN938F</t>
        </is>
      </c>
      <c r="G5072">
        <f>_xlfn.IMAGE("https://edmondsonsupply.com/cdn/shop/products/DMAMX1230_1.jpg?v=1633030364")</f>
        <v/>
      </c>
      <c r="H5072">
        <f>_xlfn.IMAGE("https://m.media-amazon.com/images/I/61V0w9ayfFL._AC_UL320_.jpg")</f>
        <v/>
      </c>
      <c r="K5072" t="inlineStr">
        <is>
          <t>124.97</t>
        </is>
      </c>
      <c r="L5072" t="n">
        <v>171.99</v>
      </c>
      <c r="M5072" s="1" t="inlineStr">
        <is>
          <t>37.63%</t>
        </is>
      </c>
      <c r="N5072" s="7" t="n">
        <v>-51.42</v>
      </c>
      <c r="O5072" t="n">
        <v>5</v>
      </c>
      <c r="P5072" t="n">
        <v>2</v>
      </c>
      <c r="R5072" t="inlineStr">
        <is>
          <t>InStock</t>
        </is>
      </c>
      <c r="S5072" t="inlineStr">
        <is>
          <t>152.89</t>
        </is>
      </c>
      <c r="T5072" t="inlineStr">
        <is>
          <t>5289176072360</t>
        </is>
      </c>
    </row>
    <row r="5073" hidden="1" ht="15.75" customHeight="1">
      <c r="A5073" s="2">
        <f>HYPERLINK("https://edmondsonsupply.com/collections/electricians-tools/products/greenlee-0153-42c", "https://edmondsonsupply.com/collections/electricians-tools/products/greenlee-0153-42c")</f>
        <v/>
      </c>
      <c r="B5073" s="2">
        <f>HYPERLINK("https://edmondsonsupply.com/products/greenlee-0153-42c", "https://edmondsonsupply.com/products/greenlee-0153-42c")</f>
        <v/>
      </c>
      <c r="C5073" t="inlineStr">
        <is>
          <t>Greenlee 0153-42C 6-IN-1 Multi-Tool</t>
        </is>
      </c>
      <c r="D5073" t="inlineStr">
        <is>
          <t>Greenlee 0153-42C 6-in-1 Multi-Tool Screwdriver with Flat-Tip, Phillips, and Hex Bits</t>
        </is>
      </c>
      <c r="E5073" s="2">
        <f>HYPERLINK("https://www.amazon.com/Greenlee-0153-42C-Multi-Tool-Screwdriver/dp/B001HWC25Q/ref=sr_1_2?keywords=Greenlee+0153-42C+6-IN-1+Multi-Tool&amp;qid=1694735387&amp;sr=8-2", "https://www.amazon.com/Greenlee-0153-42C-Multi-Tool-Screwdriver/dp/B001HWC25Q/ref=sr_1_2?keywords=Greenlee+0153-42C+6-IN-1+Multi-Tool&amp;qid=1694735387&amp;sr=8-2")</f>
        <v/>
      </c>
      <c r="F5073" t="inlineStr">
        <is>
          <t>B001HWC25Q</t>
        </is>
      </c>
      <c r="G5073">
        <f>_xludf.IMAGE("https://edmondsonsupply.com/cdn/shop/products/0153-42C.jpg?v=1587148802")</f>
        <v/>
      </c>
      <c r="H5073">
        <f>_xludf.IMAGE("https://m.media-amazon.com/images/I/71ha8bZB+-L._AC_UL320_.jpg")</f>
        <v/>
      </c>
      <c r="K5073" t="inlineStr">
        <is>
          <t>10.59</t>
        </is>
      </c>
      <c r="L5073" t="n">
        <v>14.57</v>
      </c>
      <c r="M5073" s="1" t="inlineStr">
        <is>
          <t>37.58%</t>
        </is>
      </c>
      <c r="N5073" s="1" t="n">
        <v>-51.56</v>
      </c>
      <c r="O5073" t="n">
        <v>4.8</v>
      </c>
      <c r="P5073" t="n">
        <v>1779</v>
      </c>
      <c r="R5073" t="inlineStr">
        <is>
          <t>InStock</t>
        </is>
      </c>
      <c r="S5073" t="inlineStr">
        <is>
          <t>11.35</t>
        </is>
      </c>
      <c r="T5073" t="inlineStr">
        <is>
          <t>4412725166180</t>
        </is>
      </c>
    </row>
    <row r="5074" hidden="1" ht="15.75" customHeight="1">
      <c r="A5074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5074" s="2">
        <f>HYPERLINK("https://edmondsonsupply.com/products/klein-tools-jth9m5-5-mm-hex-key-journeyman-t-handle-9-inch", "https://edmondsonsupply.com/products/klein-tools-jth9m5-5-mm-hex-key-journeyman-t-handle-9-inch")</f>
        <v/>
      </c>
      <c r="C5074" t="inlineStr">
        <is>
          <t>Klein Tools JTH9M5 5 mm Hex Key, Journeyman T-Handle 9-Inch</t>
        </is>
      </c>
      <c r="D5074" t="inlineStr">
        <is>
          <t>Klein Tools JTH9M25 2.5 mm Hex Key with Journeyman T-Handle, 9-Inch</t>
        </is>
      </c>
      <c r="E5074" s="2">
        <f>HYPERLINK("https://www.amazon.com/Journeyman-T-Handle-Klein-Tools-JTH9M25/dp/B005G3HIRY/ref=sr_1_3?keywords=Klein+Tools+JTH9M5+5+mm+Hex+Key%2C+Journeyman+T-Handle+9-Inch&amp;qid=1694735207&amp;sr=8-3", "https://www.amazon.com/Journeyman-T-Handle-Klein-Tools-JTH9M25/dp/B005G3HIRY/ref=sr_1_3?keywords=Klein+Tools+JTH9M5+5+mm+Hex+Key%2C+Journeyman+T-Handle+9-Inch&amp;qid=1694735207&amp;sr=8-3")</f>
        <v/>
      </c>
      <c r="F5074" t="inlineStr">
        <is>
          <t>B005G3HIRY</t>
        </is>
      </c>
      <c r="G5074">
        <f>_xludf.IMAGE("https://edmondsonsupply.com/cdn/shop/products/jth9m_84ad507b-889a-4b5c-80a2-9633c898cd48.jpg?v=1633031048")</f>
        <v/>
      </c>
      <c r="H5074">
        <f>_xludf.IMAGE("https://m.media-amazon.com/images/I/51+1x0vz9XL._AC_UL320_.jpg")</f>
        <v/>
      </c>
      <c r="K5074" t="inlineStr">
        <is>
          <t>4.99</t>
        </is>
      </c>
      <c r="L5074" t="n">
        <v>6.84</v>
      </c>
      <c r="M5074" s="1" t="inlineStr">
        <is>
          <t>37.07%</t>
        </is>
      </c>
      <c r="N5074" s="1" t="n">
        <v>-51.59</v>
      </c>
      <c r="O5074" t="n">
        <v>4.2</v>
      </c>
      <c r="P5074" t="n">
        <v>14</v>
      </c>
      <c r="R5074" t="inlineStr">
        <is>
          <t>InStock</t>
        </is>
      </c>
      <c r="S5074" t="inlineStr">
        <is>
          <t>7.58</t>
        </is>
      </c>
      <c r="T5074" t="inlineStr">
        <is>
          <t>6772921532589</t>
        </is>
      </c>
    </row>
    <row r="5075" hidden="1" ht="15.75" customHeight="1">
      <c r="A5075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5075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5075" t="inlineStr">
        <is>
          <t>Klein Tools JTH6M25BE 2.5 mm Ball Hex Key Journeyman T-Handle 6-Inch</t>
        </is>
      </c>
      <c r="D5075" t="inlineStr">
        <is>
          <t>Klein Tools JTH9M25 2.5 mm Hex Key with Journeyman T-Handle, 9-Inch</t>
        </is>
      </c>
      <c r="E5075" s="2">
        <f>HYPERLINK("https://www.amazon.com/Journeyman-T-Handle-Klein-Tools-JTH9M25/dp/B005G3HIRY/ref=sr_1_5?keywords=Klein+Tools+JTH6M25BE+2.5+mm+Ball+Hex+Key+Journeyman+T-Handle+6-Inch&amp;qid=1694735267&amp;sr=8-5", "https://www.amazon.com/Journeyman-T-Handle-Klein-Tools-JTH9M25/dp/B005G3HIRY/ref=sr_1_5?keywords=Klein+Tools+JTH6M25BE+2.5+mm+Ball+Hex+Key+Journeyman+T-Handle+6-Inch&amp;qid=1694735267&amp;sr=8-5")</f>
        <v/>
      </c>
      <c r="F5075" t="inlineStr">
        <is>
          <t>B005G3HIRY</t>
        </is>
      </c>
      <c r="G5075">
        <f>_xludf.IMAGE("https://edmondsonsupply.com/cdn/shop/products/jth6m8be_af5f0d75-5d0d-4973-9134-931620c84f2d.jpg?v=1633030574")</f>
        <v/>
      </c>
      <c r="H5075">
        <f>_xludf.IMAGE("https://m.media-amazon.com/images/I/51+1x0vz9XL._AC_UL320_.jpg")</f>
        <v/>
      </c>
      <c r="K5075" t="inlineStr">
        <is>
          <t>4.99</t>
        </is>
      </c>
      <c r="L5075" t="n">
        <v>6.84</v>
      </c>
      <c r="M5075" s="1" t="inlineStr">
        <is>
          <t>37.07%</t>
        </is>
      </c>
      <c r="N5075" s="1" t="n">
        <v>-51.59</v>
      </c>
      <c r="O5075" t="n">
        <v>4.2</v>
      </c>
      <c r="P5075" t="n">
        <v>14</v>
      </c>
      <c r="R5075" t="inlineStr">
        <is>
          <t>InStock</t>
        </is>
      </c>
      <c r="S5075" t="inlineStr">
        <is>
          <t>7.56</t>
        </is>
      </c>
      <c r="T5075" t="inlineStr">
        <is>
          <t>5525435973800</t>
        </is>
      </c>
    </row>
    <row r="5076" ht="87" customHeight="1">
      <c r="A5076" s="2">
        <f>HYPERLINK("https://edmondsonsupply.com/collections/electricians-tools/products/klein-tools-32585-4-in-1-electronics-screwdriver-torx%C2%AE", "https://edmondsonsupply.com/collections/electricians-tools/products/klein-tools-32585-4-in-1-electronics-screwdriver-torx%C2%AE")</f>
        <v/>
      </c>
      <c r="B5076" s="2">
        <f>HYPERLINK("https://edmondsonsupply.com/products/klein-tools-32585-4-in-1-electronics-screwdriver-torx%c2%ae", "https://edmondsonsupply.com/products/klein-tools-32585-4-in-1-electronics-screwdriver-torx%c2%ae")</f>
        <v/>
      </c>
      <c r="C5076" t="inlineStr">
        <is>
          <t>Klein Tools 32585 Multi-Bit Electronics Screwdriver, 4-in-1, TORX® Bits</t>
        </is>
      </c>
      <c r="D5076" t="inlineStr">
        <is>
          <t>Klein Tools 32614 Multi-bit Precision Screwdriver Set, 4-in-1 Electronics Pocket Screwdriver, Professional Phillips and Slotted Bits</t>
        </is>
      </c>
      <c r="E5076" s="2">
        <f>HYPERLINK("https://www.amazon.com/Klein-Tools-32614-Screwdriver-Electronics/dp/B07PNC5MPB/ref=sr_1_5?keywords=Klein+Tools+32585+Multi-Bit+Electronics+Screwdriver%2C+4-in-1%2C+TORX%C2%AE+Bits&amp;qid=1694735422&amp;sr=8-5", "https://www.amazon.com/Klein-Tools-32614-Screwdriver-Electronics/dp/B07PNC5MPB/ref=sr_1_5?keywords=Klein+Tools+32585+Multi-Bit+Electronics+Screwdriver%2C+4-in-1%2C+TORX%C2%AE+Bits&amp;qid=1694735422&amp;sr=8-5")</f>
        <v/>
      </c>
      <c r="F5076" t="inlineStr">
        <is>
          <t>B07PNC5MPB</t>
        </is>
      </c>
      <c r="G5076">
        <f>_xlfn.IMAGE("https://edmondsonsupply.com/cdn/shop/products/32585.jpg?v=1587146818")</f>
        <v/>
      </c>
      <c r="H5076">
        <f>_xlfn.IMAGE("https://m.media-amazon.com/images/I/412OaAua5aL._AC_UL320_.jpg")</f>
        <v/>
      </c>
      <c r="K5076" t="inlineStr">
        <is>
          <t>10.97</t>
        </is>
      </c>
      <c r="L5076" t="n">
        <v>15.03</v>
      </c>
      <c r="M5076" s="1" t="inlineStr">
        <is>
          <t>37.01%</t>
        </is>
      </c>
      <c r="N5076" s="7" t="n">
        <v>-52.05</v>
      </c>
      <c r="O5076" t="n">
        <v>4.7</v>
      </c>
      <c r="P5076" t="n">
        <v>9173</v>
      </c>
      <c r="R5076" t="inlineStr">
        <is>
          <t>InStock</t>
        </is>
      </c>
      <c r="S5076" t="inlineStr">
        <is>
          <t>15.66</t>
        </is>
      </c>
      <c r="T5076" t="inlineStr">
        <is>
          <t>4360133247076</t>
        </is>
      </c>
    </row>
    <row r="5077" hidden="1" ht="15.75" customHeight="1">
      <c r="A5077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5077" s="2">
        <f>HYPERLINK("https://edmondsonsupply.com/products/klein-tools-646-7-16-7-16-inch-nut-driver-6-inch-hollow-shaft", "https://edmondsonsupply.com/products/klein-tools-646-7-16-7-16-inch-nut-driver-6-inch-hollow-shaft")</f>
        <v/>
      </c>
      <c r="C5077" t="inlineStr">
        <is>
          <t>Klein Tools 646-7/16 7/16-Inch Nut Driver, 6-Inch Hollow Shaft</t>
        </is>
      </c>
      <c r="D5077" t="inlineStr">
        <is>
          <t>Klein Tools 646-7/16M 7/16-Inch Magnetic Tip Hollow-Shank Nut Driver with 6-Inch Shank</t>
        </is>
      </c>
      <c r="E5077" s="2">
        <f>HYPERLINK("https://www.amazon.com/Hollow-Shank-Klein-Tools-646-7-16M/dp/B000MKIUX2/ref=sr_1_1?keywords=Klein+Tools+646-7%2F16+7%2F16-Inch+Nut+Driver%2C+6-Inch+Hollow+Shaft&amp;qid=1694735415&amp;sr=8-1", "https://www.amazon.com/Hollow-Shank-Klein-Tools-646-7-16M/dp/B000MKIUX2/ref=sr_1_1?keywords=Klein+Tools+646-7%2F16+7%2F16-Inch+Nut+Driver%2C+6-Inch+Hollow+Shaft&amp;qid=1694735415&amp;sr=8-1")</f>
        <v/>
      </c>
      <c r="F5077" t="inlineStr">
        <is>
          <t>B000MKIUX2</t>
        </is>
      </c>
      <c r="G5077">
        <f>_xludf.IMAGE("https://edmondsonsupply.com/cdn/shop/products/646-1-2_64980020-d246-4b4b-829a-c848cc375d64.jpg?v=1587148603")</f>
        <v/>
      </c>
      <c r="H5077">
        <f>_xludf.IMAGE("https://m.media-amazon.com/images/I/41MGj+evvKL._AC_UL320_.jpg")</f>
        <v/>
      </c>
      <c r="K5077" t="inlineStr">
        <is>
          <t>9.49</t>
        </is>
      </c>
      <c r="L5077" t="n">
        <v>12.99</v>
      </c>
      <c r="M5077" s="1" t="inlineStr">
        <is>
          <t>36.88%</t>
        </is>
      </c>
      <c r="N5077" s="1" t="n">
        <v>-52.2</v>
      </c>
      <c r="O5077" t="n">
        <v>4.8</v>
      </c>
      <c r="P5077" t="n">
        <v>2491</v>
      </c>
      <c r="R5077" t="inlineStr">
        <is>
          <t>InStock</t>
        </is>
      </c>
      <c r="S5077" t="inlineStr">
        <is>
          <t>14.42</t>
        </is>
      </c>
      <c r="T5077" t="inlineStr">
        <is>
          <t>4391246889060</t>
        </is>
      </c>
    </row>
    <row r="5078" hidden="1" ht="15.75" customHeight="1">
      <c r="A5078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5078" s="2">
        <f>HYPERLINK("https://edmondsonsupply.com/products/klein-tools-646-7-16-7-16-inch-nut-driver-6-inch-hollow-shaft", "https://edmondsonsupply.com/products/klein-tools-646-7-16-7-16-inch-nut-driver-6-inch-hollow-shaft")</f>
        <v/>
      </c>
      <c r="C5078" t="inlineStr">
        <is>
          <t>Klein Tools 646-7/16 7/16-Inch Nut Driver, 6-Inch Hollow Shaft</t>
        </is>
      </c>
      <c r="D5078" t="inlineStr">
        <is>
          <t>Klein Tools 640-7/16 7/16-Inch Coated Nut Driver with 3-Inch Hollow Shaft and Cushion Grip Handle</t>
        </is>
      </c>
      <c r="E5078" s="2">
        <f>HYPERLINK("https://www.amazon.com/16-Inch-Klein-Tools-640-7-16/dp/B00093DZYG/ref=sr_1_6?keywords=Klein+Tools+646-7%2F16+7%2F16-Inch+Nut+Driver%2C+6-Inch+Hollow+Shaft&amp;qid=1694735415&amp;sr=8-6", "https://www.amazon.com/16-Inch-Klein-Tools-640-7-16/dp/B00093DZYG/ref=sr_1_6?keywords=Klein+Tools+646-7%2F16+7%2F16-Inch+Nut+Driver%2C+6-Inch+Hollow+Shaft&amp;qid=1694735415&amp;sr=8-6")</f>
        <v/>
      </c>
      <c r="F5078" t="inlineStr">
        <is>
          <t>B00093DZYG</t>
        </is>
      </c>
      <c r="G5078">
        <f>_xludf.IMAGE("https://edmondsonsupply.com/cdn/shop/products/646-1-2_64980020-d246-4b4b-829a-c848cc375d64.jpg?v=1587148603")</f>
        <v/>
      </c>
      <c r="H5078">
        <f>_xludf.IMAGE("https://m.media-amazon.com/images/I/61eCMBwqqTL._AC_UL320_.jpg")</f>
        <v/>
      </c>
      <c r="K5078" t="inlineStr">
        <is>
          <t>9.49</t>
        </is>
      </c>
      <c r="L5078" t="n">
        <v>12.99</v>
      </c>
      <c r="M5078" s="1" t="inlineStr">
        <is>
          <t>36.88%</t>
        </is>
      </c>
      <c r="N5078" s="1" t="n">
        <v>-52.85</v>
      </c>
      <c r="O5078" t="n">
        <v>4.1</v>
      </c>
      <c r="P5078" t="n">
        <v>20</v>
      </c>
      <c r="R5078" t="inlineStr">
        <is>
          <t>InStock</t>
        </is>
      </c>
      <c r="S5078" t="inlineStr">
        <is>
          <t>14.42</t>
        </is>
      </c>
      <c r="T5078" t="inlineStr">
        <is>
          <t>4391246889060</t>
        </is>
      </c>
    </row>
    <row r="5079" ht="87" customHeight="1">
      <c r="A5079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5079" s="2">
        <f>HYPERLINK("https://edmondsonsupply.com/products/klein-tools-cl110-digital-clamp-meter-ac-auto-ranging-400-amp", "https://edmondsonsupply.com/products/klein-tools-cl110-digital-clamp-meter-ac-auto-ranging-400-amp")</f>
        <v/>
      </c>
      <c r="C5079" t="inlineStr">
        <is>
          <t>Klein Tools CL120 Digital Clamp Meter, AC Auto-Ranging 400 Amp</t>
        </is>
      </c>
      <c r="D5079" t="inlineStr">
        <is>
          <t>Klein Tools CL320 Digital Clamp Meter, HVAC AC Auto-ranging 400A, AC/DC Voltage, TRMS, DC Microamps, Resistance, Frequency, NCVT, Temp, More</t>
        </is>
      </c>
      <c r="E5079" s="2">
        <f>HYPERLINK("https://www.amazon.com/Klein-Tools-CL320-Digital-Electrical/dp/B08DDTV5KG/ref=sr_1_7?keywords=Klein+Tools+CL120+Digital+Clamp+Meter%2C+AC+Auto-Ranging+400+Amp&amp;qid=1694735357&amp;sr=8-7", "https://www.amazon.com/Klein-Tools-CL320-Digital-Electrical/dp/B08DDTV5KG/ref=sr_1_7?keywords=Klein+Tools+CL120+Digital+Clamp+Meter%2C+AC+Auto-Ranging+400+Amp&amp;qid=1694735357&amp;sr=8-7")</f>
        <v/>
      </c>
      <c r="F5079" t="inlineStr">
        <is>
          <t>B08DDTV5KG</t>
        </is>
      </c>
      <c r="G5079">
        <f>_xlfn.IMAGE("https://edmondsonsupply.com/cdn/shop/products/cl120.jpg?v=1633030212")</f>
        <v/>
      </c>
      <c r="H5079">
        <f>_xlfn.IMAGE("https://m.media-amazon.com/images/I/61qVZZBNj2L._AC_UY218_.jpg")</f>
        <v/>
      </c>
      <c r="K5079" t="inlineStr">
        <is>
          <t>59.97</t>
        </is>
      </c>
      <c r="L5079" t="n">
        <v>81.98999999999999</v>
      </c>
      <c r="M5079" s="1" t="inlineStr">
        <is>
          <t>36.72%</t>
        </is>
      </c>
      <c r="N5079" s="7" t="n">
        <v>-52.94</v>
      </c>
      <c r="O5079" t="n">
        <v>4.8</v>
      </c>
      <c r="P5079" t="n">
        <v>986</v>
      </c>
      <c r="R5079" t="inlineStr">
        <is>
          <t>InStock</t>
        </is>
      </c>
      <c r="S5079" t="inlineStr">
        <is>
          <t>85.26</t>
        </is>
      </c>
      <c r="T5079" t="inlineStr">
        <is>
          <t>4432351527012</t>
        </is>
      </c>
    </row>
    <row r="5080" ht="87" customHeight="1">
      <c r="A5080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080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080" t="inlineStr">
        <is>
          <t>Klein Tools 11055RINS Insulated Klein-Kurve® Wire Stripper and Cutter</t>
        </is>
      </c>
      <c r="D5080" t="inlineStr">
        <is>
          <t>Klein Tools 11053 Klein-Kurve Wire Stripper and Cutter for 6-12 AWG Stranded Wire, 7-1/8-Inch &amp; 11055 Wire Cutter and Wire Stripper, Stranded Wire Cutter, Solid Wire Cutter, Cuts Copper Wire</t>
        </is>
      </c>
      <c r="E5080" s="2">
        <f>HYPERLINK("https://www.amazon.com/Klein-Tools-Klein-Kurve-Stripper-Stranded/dp/B0BHVPT335/ref=sr_1_13?keywords=Klein+Tools+11055RINS+Insulated+Klein-Kurve%C2%AE+Wire+Stripper+and+Cutter&amp;qid=1694735096&amp;sr=8-13", "https://www.amazon.com/Klein-Tools-Klein-Kurve-Stripper-Stranded/dp/B0BHVPT335/ref=sr_1_13?keywords=Klein+Tools+11055RINS+Insulated+Klein-Kurve%C2%AE+Wire+Stripper+and+Cutter&amp;qid=1694735096&amp;sr=8-13")</f>
        <v/>
      </c>
      <c r="F5080" t="inlineStr">
        <is>
          <t>B0BHVPT335</t>
        </is>
      </c>
      <c r="G5080">
        <f>_xlfn.IMAGE("https://edmondsonsupply.com/cdn/shop/products/11055rins.jpg?v=1667236979")</f>
        <v/>
      </c>
      <c r="H5080">
        <f>_xlfn.IMAGE("https://m.media-amazon.com/images/I/41+jddPUDML._AC_UL320_.jpg")</f>
        <v/>
      </c>
      <c r="K5080" t="inlineStr">
        <is>
          <t>29.97</t>
        </is>
      </c>
      <c r="L5080" t="n">
        <v>40.96</v>
      </c>
      <c r="M5080" s="1" t="inlineStr">
        <is>
          <t>36.67%</t>
        </is>
      </c>
      <c r="N5080" s="7" t="n">
        <v>-52.96</v>
      </c>
      <c r="O5080" t="n">
        <v>4.5</v>
      </c>
      <c r="P5080" t="n">
        <v>2</v>
      </c>
      <c r="R5080" t="inlineStr">
        <is>
          <t>InStock</t>
        </is>
      </c>
      <c r="S5080" t="inlineStr">
        <is>
          <t>41.98</t>
        </is>
      </c>
      <c r="T5080" t="inlineStr">
        <is>
          <t>7871527813336</t>
        </is>
      </c>
    </row>
    <row r="5081" hidden="1" ht="15.75" customHeight="1">
      <c r="A5081" s="2">
        <f>HYPERLINK("https://edmondsonsupply.com/collections/electricians-tools/products/diablo-tools-dmapl4020-5-32-in-x-4-in-x-6-in-rebar-demon%E2%84%A2-sds-plus-4-cutter-full-carbide-head-hammer-bit", "https://edmondsonsupply.com/collections/electricians-tools/products/diablo-tools-dmapl4020-5-32-in-x-4-in-x-6-in-rebar-demon%E2%84%A2-sds-plus-4-cutter-full-carbide-head-hammer-bit")</f>
        <v/>
      </c>
      <c r="B5081" s="2">
        <f>HYPERLINK("https://edmondsonsupply.com/products/diablo-tools-dmapl4020-5-32-in-x-4-in-x-6-in-rebar-demon%e2%84%a2-sds-plus-4-cutter-full-carbide-head-hammer-bit", "https://edmondsonsupply.com/products/diablo-tools-dmapl4020-5-32-in-x-4-in-x-6-in-rebar-demon%e2%84%a2-sds-plus-4-cutter-full-carbide-head-hammer-bit")</f>
        <v/>
      </c>
      <c r="C5081" t="inlineStr">
        <is>
          <t>Diablo Tools DMAPL4020 5/32 in. x 4 in. x 6 in. Rebar Demon™ SDS-Plus 4-Cutter Full Carbide Head Hammer Bit</t>
        </is>
      </c>
      <c r="D5081" t="inlineStr">
        <is>
          <t>Diablo by Freud Diablo DMAPL4070 1/4 in. x 4 in. x 6 in. Rebar Demon SDS-Plus 4-Cutter Full Carbide Head Hammer Bit</t>
        </is>
      </c>
      <c r="E5081" s="2">
        <f>HYPERLINK("https://www.amazon.com/Diablo-Freud-DMAPL4070-SDS-Plus-4-Cutter/dp/B089KVLDML/ref=sr_1_3?keywords=Diablo+Tools+DMAPL4020+5%2F32+in.+x+4+in.+x+6+in.+Rebar+Demon%E2%84%A2+SDS-Plus+4-Cutter+Full+Carbide+Head+Hammer+Bit&amp;qid=1694735291&amp;sr=8-3", "https://www.amazon.com/Diablo-Freud-DMAPL4070-SDS-Plus-4-Cutter/dp/B089KVLDML/ref=sr_1_3?keywords=Diablo+Tools+DMAPL4020+5%2F32+in.+x+4+in.+x+6+in.+Rebar+Demon%E2%84%A2+SDS-Plus+4-Cutter+Full+Carbide+Head+Hammer+Bit&amp;qid=1694735291&amp;sr=8-3")</f>
        <v/>
      </c>
      <c r="F5081" t="inlineStr">
        <is>
          <t>B089KVLDML</t>
        </is>
      </c>
      <c r="G5081">
        <f>_xludf.IMAGE("https://edmondsonsupply.com/cdn/shop/products/DMAPL4020_1.jpg?v=1633030415")</f>
        <v/>
      </c>
      <c r="H5081">
        <f>_xludf.IMAGE("https://m.media-amazon.com/images/I/61fLLQz5xPL._AC_UL320_.jpg")</f>
        <v/>
      </c>
      <c r="K5081" t="inlineStr">
        <is>
          <t>6.47</t>
        </is>
      </c>
      <c r="L5081" t="n">
        <v>8.84</v>
      </c>
      <c r="M5081" s="1" t="inlineStr">
        <is>
          <t>36.63%</t>
        </is>
      </c>
      <c r="N5081" s="1" t="n">
        <v>-53.02</v>
      </c>
      <c r="O5081" t="n">
        <v>4.4</v>
      </c>
      <c r="P5081" t="n">
        <v>28</v>
      </c>
      <c r="R5081" t="inlineStr">
        <is>
          <t>InStock</t>
        </is>
      </c>
      <c r="S5081" t="inlineStr">
        <is>
          <t>9.44</t>
        </is>
      </c>
      <c r="T5081" t="inlineStr">
        <is>
          <t>5313711046824</t>
        </is>
      </c>
    </row>
    <row r="5082" ht="87" customHeight="1">
      <c r="A5082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5082" s="2">
        <f>HYPERLINK("https://edmondsonsupply.com/products/klein-tools-32510-magnetic-screwdriver-with-32-tamperproof-bits", "https://edmondsonsupply.com/products/klein-tools-32510-magnetic-screwdriver-with-32-tamperproof-bits")</f>
        <v/>
      </c>
      <c r="C5082" t="inlineStr">
        <is>
          <t>Klein Tools 32510 Magnetic Screwdriver with 32 Tamperproof Bits</t>
        </is>
      </c>
      <c r="D5082" t="inlineStr">
        <is>
          <t>Klein Tools 32510 Magnetic Multibit Screwdriver with Sturdy Torx &amp; 32561 Multi-Bit Screwdriver/Nut Driver, 6-in-1 Stubby Screwdriver with 2 Phillips, 2 Slotted Bits, 2 Nut Drivers</t>
        </is>
      </c>
      <c r="E5082" s="2">
        <f>HYPERLINK("https://www.amazon.com/Klein-Tools-Magnetic-Screwdriver-Multi-Bit/dp/B09Z91NQBS/ref=sr_1_25?keywords=Klein+Tools+32510+Magnetic+Screwdriver+with+32+Tamperproof+Bits&amp;qid=1694735159&amp;sr=8-25", "https://www.amazon.com/Klein-Tools-Magnetic-Screwdriver-Multi-Bit/dp/B09Z91NQBS/ref=sr_1_25?keywords=Klein+Tools+32510+Magnetic+Screwdriver+with+32+Tamperproof+Bits&amp;qid=1694735159&amp;sr=8-25")</f>
        <v/>
      </c>
      <c r="F5082" t="inlineStr">
        <is>
          <t>B09Z91NQBS</t>
        </is>
      </c>
      <c r="G5082">
        <f>_xlfn.IMAGE("https://edmondsonsupply.com/cdn/shop/products/32510_alt2.jpg?v=1653267434")</f>
        <v/>
      </c>
      <c r="H5082">
        <f>_xlfn.IMAGE("https://m.media-amazon.com/images/I/41GklqMIkuL._AC_UL320_.jpg")</f>
        <v/>
      </c>
      <c r="K5082" t="inlineStr">
        <is>
          <t>29.97</t>
        </is>
      </c>
      <c r="L5082" t="n">
        <v>40.94</v>
      </c>
      <c r="M5082" s="1" t="inlineStr">
        <is>
          <t>36.60%</t>
        </is>
      </c>
      <c r="N5082" s="7" t="n">
        <v>-53.02</v>
      </c>
      <c r="O5082" t="n">
        <v>5</v>
      </c>
      <c r="P5082" t="n">
        <v>3</v>
      </c>
      <c r="R5082" t="inlineStr">
        <is>
          <t>InStock</t>
        </is>
      </c>
      <c r="S5082" t="inlineStr">
        <is>
          <t>43.88</t>
        </is>
      </c>
      <c r="T5082" t="inlineStr">
        <is>
          <t>7696117367000</t>
        </is>
      </c>
    </row>
    <row r="5083" ht="87" customHeight="1">
      <c r="A5083" s="2">
        <f>HYPERLINK("https://edmondsonsupply.com/collections/electricians-tools/products/amprobe-thwd-3-relative-humidity-temperature-meter", "https://edmondsonsupply.com/collections/electricians-tools/products/amprobe-thwd-3-relative-humidity-temperature-meter")</f>
        <v/>
      </c>
      <c r="B5083" s="2">
        <f>HYPERLINK("https://edmondsonsupply.com/products/amprobe-thwd-3-relative-humidity-temperature-meter", "https://edmondsonsupply.com/products/amprobe-thwd-3-relative-humidity-temperature-meter")</f>
        <v/>
      </c>
      <c r="C5083" t="inlineStr">
        <is>
          <t>Amprobe THWD-3 Relative Humidity Temperature Meter</t>
        </is>
      </c>
      <c r="D5083" t="inlineStr">
        <is>
          <t>Amprobe-3311844 TR300 Temperature and Relative Humidity Data Logger</t>
        </is>
      </c>
      <c r="E5083" s="2">
        <f>HYPERLINK("https://www.amazon.com/Amprobe-TR300-Temperature-Relative-Humidity/dp/B004ZZVZLY/ref=sr_1_9?keywords=Amprobe+THWD-3+Relative+Humidity+Temperature+Meter&amp;qid=1694735184&amp;sr=8-9", "https://www.amazon.com/Amprobe-TR300-Temperature-Relative-Humidity/dp/B004ZZVZLY/ref=sr_1_9?keywords=Amprobe+THWD-3+Relative+Humidity+Temperature+Meter&amp;qid=1694735184&amp;sr=8-9")</f>
        <v/>
      </c>
      <c r="F5083" t="inlineStr">
        <is>
          <t>B004ZZVZLY</t>
        </is>
      </c>
      <c r="G5083">
        <f>_xlfn.IMAGE("https://edmondsonsupply.com/cdn/shop/products/THWD-3.png?v=1633526329")</f>
        <v/>
      </c>
      <c r="H5083">
        <f>_xlfn.IMAGE("https://m.media-amazon.com/images/I/41szgY8aX6L._AC_UL320_.jpg")</f>
        <v/>
      </c>
      <c r="K5083" t="inlineStr">
        <is>
          <t>176.36</t>
        </is>
      </c>
      <c r="L5083" t="n">
        <v>240.81</v>
      </c>
      <c r="M5083" s="1" t="inlineStr">
        <is>
          <t>36.54%</t>
        </is>
      </c>
      <c r="N5083" s="7" t="n">
        <v>-53.07</v>
      </c>
      <c r="O5083" t="n">
        <v>4.6</v>
      </c>
      <c r="P5083" t="n">
        <v>9</v>
      </c>
      <c r="R5083" t="inlineStr">
        <is>
          <t>InStock</t>
        </is>
      </c>
      <c r="S5083" t="inlineStr">
        <is>
          <t>195.99</t>
        </is>
      </c>
      <c r="T5083" t="inlineStr">
        <is>
          <t>6996577550509</t>
        </is>
      </c>
    </row>
    <row r="5084" ht="87" customHeight="1">
      <c r="A5084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5084" s="2">
        <f>HYPERLINK("https://edmondsonsupply.com/products/klein-tools-56334-steel-fish-tape-1-8-inch-x-240-foot", "https://edmondsonsupply.com/products/klein-tools-56334-steel-fish-tape-1-8-inch-x-240-foot")</f>
        <v/>
      </c>
      <c r="C5084" t="inlineStr">
        <is>
          <t>Klein Tools 56334 Steel Fish Tape, 1/8-Inch x 240-Foot</t>
        </is>
      </c>
      <c r="D5084" t="inlineStr">
        <is>
          <t>Klein Tools 56008 Fish Tape, 1/8-Inch Stainless Steel Fish Tape , Easy-Feed Sloped Handle, 240-Foot, Updated Model Cat. No. 56341 Available</t>
        </is>
      </c>
      <c r="E5084" s="2">
        <f>HYPERLINK("https://www.amazon.com/Stainless-240-Foot-Klein-Tools-56008/dp/B002PDVHXO/ref=sr_1_3?keywords=Klein+Tools+56334+Steel+Fish+Tape%2C+1%2F8-Inch+x+240-Foot&amp;qid=1694735385&amp;sr=8-3", "https://www.amazon.com/Stainless-240-Foot-Klein-Tools-56008/dp/B002PDVHXO/ref=sr_1_3?keywords=Klein+Tools+56334+Steel+Fish+Tape%2C+1%2F8-Inch+x+240-Foot&amp;qid=1694735385&amp;sr=8-3")</f>
        <v/>
      </c>
      <c r="F5084" t="inlineStr">
        <is>
          <t>B002PDVHXO</t>
        </is>
      </c>
      <c r="G5084">
        <f>_xlfn.IMAGE("https://edmondsonsupply.com/cdn/shop/products/56334.jpg?v=1587147767")</f>
        <v/>
      </c>
      <c r="H5084">
        <f>_xlfn.IMAGE("https://m.media-amazon.com/images/I/61xbap4AX1L._AC_UL320_.jpg")</f>
        <v/>
      </c>
      <c r="K5084" t="inlineStr">
        <is>
          <t>84.97</t>
        </is>
      </c>
      <c r="L5084" t="n">
        <v>115.99</v>
      </c>
      <c r="M5084" s="1" t="inlineStr">
        <is>
          <t>36.51%</t>
        </is>
      </c>
      <c r="N5084" s="7" t="n">
        <v>-53.26</v>
      </c>
      <c r="O5084" t="n">
        <v>4.1</v>
      </c>
      <c r="P5084" t="n">
        <v>25</v>
      </c>
      <c r="R5084" t="inlineStr">
        <is>
          <t>InStock</t>
        </is>
      </c>
      <c r="S5084" t="inlineStr">
        <is>
          <t>115.14</t>
        </is>
      </c>
      <c r="T5084" t="inlineStr">
        <is>
          <t>4412213723236</t>
        </is>
      </c>
    </row>
    <row r="5085" hidden="1" ht="15.75" customHeight="1">
      <c r="A5085" s="2">
        <f>HYPERLINK("https://edmondsonsupply.com/collections/electricians-tools/products/diablo-tools-dmapl4010-5-32-in-x-2-in-x-4-in-rebar-demon%E2%84%A2-sds-plus-4-cutter-full-carbide-head-hammer-bit", "https://edmondsonsupply.com/collections/electricians-tools/products/diablo-tools-dmapl4010-5-32-in-x-2-in-x-4-in-rebar-demon%E2%84%A2-sds-plus-4-cutter-full-carbide-head-hammer-bit")</f>
        <v/>
      </c>
      <c r="B5085" s="2">
        <f>HYPERLINK("https://edmondsonsupply.com/products/diablo-tools-dmapl4010-5-32-in-x-2-in-x-4-in-rebar-demon%e2%84%a2-sds-plus-4-cutter-full-carbide-head-hammer-bit", "https://edmondsonsupply.com/products/diablo-tools-dmapl4010-5-32-in-x-2-in-x-4-in-rebar-demon%e2%84%a2-sds-plus-4-cutter-full-carbide-head-hammer-bit")</f>
        <v/>
      </c>
      <c r="C5085" t="inlineStr">
        <is>
          <t>Diablo Tools DMAPL4010 5/32 in. x 2 in. x 4 in. Rebar Demon™ SDS-Plus 4-Cutter Full Carbide Head Hammer Bit</t>
        </is>
      </c>
      <c r="D5085" t="inlineStr">
        <is>
          <t>Diablo by Freud Diablo DMAPL4070 1/4 in. x 4 in. x 6 in. Rebar Demon SDS-Plus 4-Cutter Full Carbide Head Hammer Bit</t>
        </is>
      </c>
      <c r="E5085" s="2">
        <f>HYPERLINK("https://www.amazon.com/Diablo-Freud-DMAPL4070-SDS-Plus-4-Cutter/dp/B089KVLDML/ref=sr_1_2?keywords=Diablo+Tools+DMAPL4010+5%2F32+in.+x+2+in.+x+4+in.+Rebar+Demon%E2%84%A2+SDS-Plus+4-Cutter+Full+Carbide+Head+Hammer+Bit&amp;qid=1694735296&amp;sr=8-2", "https://www.amazon.com/Diablo-Freud-DMAPL4070-SDS-Plus-4-Cutter/dp/B089KVLDML/ref=sr_1_2?keywords=Diablo+Tools+DMAPL4010+5%2F32+in.+x+2+in.+x+4+in.+Rebar+Demon%E2%84%A2+SDS-Plus+4-Cutter+Full+Carbide+Head+Hammer+Bit&amp;qid=1694735296&amp;sr=8-2")</f>
        <v/>
      </c>
      <c r="F5085" t="inlineStr">
        <is>
          <t>B089KVLDML</t>
        </is>
      </c>
      <c r="G5085">
        <f>_xludf.IMAGE("https://edmondsonsupply.com/cdn/shop/products/DMAPL4010.jpg?v=1633030357")</f>
        <v/>
      </c>
      <c r="H5085">
        <f>_xludf.IMAGE("https://m.media-amazon.com/images/I/61fLLQz5xPL._AC_UL320_.jpg")</f>
        <v/>
      </c>
      <c r="K5085" t="inlineStr">
        <is>
          <t>6.48</t>
        </is>
      </c>
      <c r="L5085" t="n">
        <v>8.84</v>
      </c>
      <c r="M5085" s="1" t="inlineStr">
        <is>
          <t>36.42%</t>
        </is>
      </c>
      <c r="N5085" s="1" t="n">
        <v>-53.32</v>
      </c>
      <c r="O5085" t="n">
        <v>4.4</v>
      </c>
      <c r="P5085" t="n">
        <v>28</v>
      </c>
      <c r="R5085" t="inlineStr">
        <is>
          <t>InStock</t>
        </is>
      </c>
      <c r="S5085" t="inlineStr">
        <is>
          <t>10.3</t>
        </is>
      </c>
      <c r="T5085" t="inlineStr">
        <is>
          <t>5286308380840</t>
        </is>
      </c>
    </row>
    <row r="5086" hidden="1" ht="15.75" customHeight="1">
      <c r="A5086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5086" s="2">
        <f>HYPERLINK("https://edmondsonsupply.com/products/klein-tools-31932-bi-metal-hole-saw-2-inch", "https://edmondsonsupply.com/products/klein-tools-31932-bi-metal-hole-saw-2-inch")</f>
        <v/>
      </c>
      <c r="C5086" t="inlineStr">
        <is>
          <t>Klein Tools 31932 Bi-Metal Hole Saw, 2-Inch</t>
        </is>
      </c>
      <c r="D5086" t="inlineStr">
        <is>
          <t>Klein Tools 31534 Bi-Metal Hole Saw, 2-1/8-Inch</t>
        </is>
      </c>
      <c r="E5086" s="2">
        <f>HYPERLINK("https://www.amazon.com/Klein-Tools-31534-Bi-Metal-8-Inch/dp/B0009OIJFA/ref=sr_1_4?keywords=Klein+Tools+31932+Bi-Metal+Hole+Saw%2C+2-Inch&amp;qid=1694735227&amp;sr=8-4", "https://www.amazon.com/Klein-Tools-31534-Bi-Metal-8-Inch/dp/B0009OIJFA/ref=sr_1_4?keywords=Klein+Tools+31932+Bi-Metal+Hole+Saw%2C+2-Inch&amp;qid=1694735227&amp;sr=8-4")</f>
        <v/>
      </c>
      <c r="F5086" t="inlineStr">
        <is>
          <t>B0009OIJFA</t>
        </is>
      </c>
      <c r="G5086">
        <f>_xludf.IMAGE("https://edmondsonsupply.com/cdn/shop/products/31932.jpg?v=1633030939")</f>
        <v/>
      </c>
      <c r="H5086">
        <f>_xludf.IMAGE("https://m.media-amazon.com/images/I/31Wk-f8wwaL._AC_UL320_.jpg")</f>
        <v/>
      </c>
      <c r="K5086" t="inlineStr">
        <is>
          <t>10.99</t>
        </is>
      </c>
      <c r="L5086" t="n">
        <v>14.99</v>
      </c>
      <c r="M5086" s="1" t="inlineStr">
        <is>
          <t>36.40%</t>
        </is>
      </c>
      <c r="N5086" s="1" t="n">
        <v>-53.35</v>
      </c>
      <c r="O5086" t="n">
        <v>5</v>
      </c>
      <c r="P5086" t="n">
        <v>5</v>
      </c>
      <c r="R5086" t="inlineStr">
        <is>
          <t>InStock</t>
        </is>
      </c>
      <c r="S5086" t="inlineStr">
        <is>
          <t>15.42</t>
        </is>
      </c>
      <c r="T5086" t="inlineStr">
        <is>
          <t>6572814434477</t>
        </is>
      </c>
    </row>
    <row r="5087" ht="87" customHeight="1">
      <c r="A5087" s="2">
        <f>HYPERLINK("https://edmondsonsupply.com/collections/electricians-tools/products/klein-tools-32525-tamperproof-bit-set-32-piece", "https://edmondsonsupply.com/collections/electricians-tools/products/klein-tools-32525-tamperproof-bit-set-32-piece")</f>
        <v/>
      </c>
      <c r="B5087" s="2">
        <f>HYPERLINK("https://edmondsonsupply.com/products/klein-tools-32525-tamperproof-bit-set-32-piece", "https://edmondsonsupply.com/products/klein-tools-32525-tamperproof-bit-set-32-piece")</f>
        <v/>
      </c>
      <c r="C5087" t="inlineStr">
        <is>
          <t>Klein Tools 32525 Tamperproof Bit Set, 32 Piece</t>
        </is>
      </c>
      <c r="D5087" t="inlineStr">
        <is>
          <t>Klein Tools 32799 Impact Driver Bit Set, 26 Piece Nut Driver Bit Set with Case</t>
        </is>
      </c>
      <c r="E5087" s="2">
        <f>HYPERLINK("https://www.amazon.com/Klein-Tools-32799-Impact-Driver/dp/B07RK333X1/ref=sr_1_10?keywords=Klein+Tools+32525+Tamperproof+Bit+Set%2C+32+Piece&amp;qid=1694735369&amp;sr=8-10", "https://www.amazon.com/Klein-Tools-32799-Impact-Driver/dp/B07RK333X1/ref=sr_1_10?keywords=Klein+Tools+32525+Tamperproof+Bit+Set%2C+32+Piece&amp;qid=1694735369&amp;sr=8-10")</f>
        <v/>
      </c>
      <c r="F5087" t="inlineStr">
        <is>
          <t>B07RK333X1</t>
        </is>
      </c>
      <c r="G5087">
        <f>_xlfn.IMAGE("https://edmondsonsupply.com/cdn/shop/products/32525.jpg?v=1587143659")</f>
        <v/>
      </c>
      <c r="H5087">
        <f>_xlfn.IMAGE("https://m.media-amazon.com/images/I/61xDt8vJvIL._AC_UL320_.jpg")</f>
        <v/>
      </c>
      <c r="K5087" t="inlineStr">
        <is>
          <t>21.99</t>
        </is>
      </c>
      <c r="L5087" t="n">
        <v>29.99</v>
      </c>
      <c r="M5087" s="1" t="inlineStr">
        <is>
          <t>36.38%</t>
        </is>
      </c>
      <c r="N5087" s="7" t="n">
        <v>-53.35</v>
      </c>
      <c r="O5087" t="n">
        <v>4.7</v>
      </c>
      <c r="P5087" t="n">
        <v>648</v>
      </c>
      <c r="R5087" t="inlineStr">
        <is>
          <t>InStock</t>
        </is>
      </c>
      <c r="S5087" t="inlineStr">
        <is>
          <t>33.32</t>
        </is>
      </c>
      <c r="T5087" t="inlineStr">
        <is>
          <t>4427072307300</t>
        </is>
      </c>
    </row>
    <row r="5088" hidden="1" ht="15.75" customHeight="1">
      <c r="A5088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5088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5088" t="inlineStr">
        <is>
          <t>Klein Tools JTH6E10BE 5/32-Inch Ball Hex Key, Journeyman T-Handle 6-Inch</t>
        </is>
      </c>
      <c r="D5088" t="inlineStr">
        <is>
          <t>Klein Tools JTH6E10BE 5/32-Inch Ball Hex Key with Journeyman T-Handle, 6-Inch</t>
        </is>
      </c>
      <c r="E5088" s="2">
        <f>HYPERLINK("https://www.amazon.com/Journeyman-T-Handle-Klein-Tools-JTH6E10BE/dp/B004QW4EPK/ref=sr_1_1?keywords=Klein+Tools+JTH6E10BE+5%2F32-Inch+Ball+Hex+Key%2C+Journeyman+T-Handle+6-Inch&amp;qid=1694735255&amp;sr=8-1", "https://www.amazon.com/Journeyman-T-Handle-Klein-Tools-JTH6E10BE/dp/B004QW4EPK/ref=sr_1_1?keywords=Klein+Tools+JTH6E10BE+5%2F32-Inch+Ball+Hex+Key%2C+Journeyman+T-Handle+6-Inch&amp;qid=1694735255&amp;sr=8-1")</f>
        <v/>
      </c>
      <c r="F5088" t="inlineStr">
        <is>
          <t>B004QW4EPK</t>
        </is>
      </c>
      <c r="G5088">
        <f>_xludf.IMAGE("https://edmondsonsupply.com/cdn/shop/products/jth6e13be_363de34a-e666-474d-81cd-df9068957d9f.jpg?v=1604059577")</f>
        <v/>
      </c>
      <c r="H5088">
        <f>_xludf.IMAGE("https://m.media-amazon.com/images/I/51f9vBFVXgL._AC_UL320_.jpg")</f>
        <v/>
      </c>
      <c r="K5088" t="inlineStr">
        <is>
          <t>4.99</t>
        </is>
      </c>
      <c r="L5088" t="n">
        <v>6.8</v>
      </c>
      <c r="M5088" s="1" t="inlineStr">
        <is>
          <t>36.27%</t>
        </is>
      </c>
      <c r="N5088" s="1" t="n">
        <v>-53.35</v>
      </c>
      <c r="O5088" t="n">
        <v>4.8</v>
      </c>
      <c r="P5088" t="n">
        <v>454</v>
      </c>
      <c r="R5088" t="inlineStr">
        <is>
          <t>InStock</t>
        </is>
      </c>
      <c r="S5088" t="inlineStr">
        <is>
          <t>7.52</t>
        </is>
      </c>
      <c r="T5088" t="inlineStr">
        <is>
          <t>5999019819176</t>
        </is>
      </c>
    </row>
    <row r="5089" ht="87" customHeight="1">
      <c r="A5089" s="2">
        <f>HYPERLINK("https://edmondsonsupply.com/collections/electricians-tools/products/diablo-tools-dmamx1070", "https://edmondsonsupply.com/collections/electricians-tools/products/diablo-tools-dmamx1070")</f>
        <v/>
      </c>
      <c r="B5089" s="2">
        <f>HYPERLINK("https://edmondsonsupply.com/products/diablo-tools-dmamx1070", "https://edmondsonsupply.com/products/diablo-tools-dmamx1070")</f>
        <v/>
      </c>
      <c r="C5089" t="inlineStr">
        <is>
          <t>Diablo Tools DMAMX1070 9/16 in. x 24 in. x 29 in. Rebar Demon SDS‑Max 4‑Cutter Full Carbide Head Hammer Drill Bit</t>
        </is>
      </c>
      <c r="D5089" t="inlineStr">
        <is>
          <t>Diablo DMAMX1110 5/8 in. x 24 in. x 29 in. Rebar Demon™ SDS-Max 4-Cutter Full Carbide Head Hammer Bit</t>
        </is>
      </c>
      <c r="E5089" s="2">
        <f>HYPERLINK("https://www.amazon.com/Diablo-SDS-Max-4-Cutter-Carbide-Hammer/dp/B089LJ9GHW/ref=sr_1_7?keywords=Diablo+Tools+DMAMX1070+9%2F16+in.+x+24+in.+x+29+in.+Rebar+Demon+SDS%E2%80%91Max+4%E2%80%91Cutter+Full+Carbide+Head+Hammer+Drill+Bit&amp;qid=1694735258&amp;sr=8-7", "https://www.amazon.com/Diablo-SDS-Max-4-Cutter-Carbide-Hammer/dp/B089LJ9GHW/ref=sr_1_7?keywords=Diablo+Tools+DMAMX1070+9%2F16+in.+x+24+in.+x+29+in.+Rebar+Demon+SDS%E2%80%91Max+4%E2%80%91Cutter+Full+Carbide+Head+Hammer+Drill+Bit&amp;qid=1694735258&amp;sr=8-7")</f>
        <v/>
      </c>
      <c r="F5089" t="inlineStr">
        <is>
          <t>B089LJ9GHW</t>
        </is>
      </c>
      <c r="G5089">
        <f>_xlfn.IMAGE("https://edmondsonsupply.com/cdn/shop/products/DMAMX1070_Main-Image20200701.png?v=1609799016")</f>
        <v/>
      </c>
      <c r="H5089">
        <f>_xlfn.IMAGE("https://m.media-amazon.com/images/I/61vWAd-z8eL._AC_UL320_.jpg")</f>
        <v/>
      </c>
      <c r="K5089" t="inlineStr">
        <is>
          <t>57.97</t>
        </is>
      </c>
      <c r="L5089" t="n">
        <v>78.98999999999999</v>
      </c>
      <c r="M5089" s="1" t="inlineStr">
        <is>
          <t>36.26%</t>
        </is>
      </c>
      <c r="N5089" s="7" t="n">
        <v>-53.5</v>
      </c>
      <c r="O5089" t="n">
        <v>4.7</v>
      </c>
      <c r="P5089" t="n">
        <v>4</v>
      </c>
      <c r="R5089" t="inlineStr">
        <is>
          <t>InStock</t>
        </is>
      </c>
      <c r="S5089" t="inlineStr">
        <is>
          <t>70.56</t>
        </is>
      </c>
      <c r="T5089" t="inlineStr">
        <is>
          <t>5660462940328</t>
        </is>
      </c>
    </row>
    <row r="5090" ht="87" customHeight="1">
      <c r="A5090" s="2">
        <f>HYPERLINK("https://edmondsonsupply.com/collections/electricians-tools/products/greenlee-k2bb-1-1-conduit-size-slug-buster%C2%AE-manual-knockout-set", "https://edmondsonsupply.com/collections/electricians-tools/products/greenlee-k2bb-1-1-conduit-size-slug-buster%C2%AE-manual-knockout-set")</f>
        <v/>
      </c>
      <c r="B5090" s="2">
        <f>HYPERLINK("https://edmondsonsupply.com/products/greenlee-k2bb-1-1-conduit-size-slug-buster%c2%ae-manual-knockout-set", "https://edmondsonsupply.com/products/greenlee-k2bb-1-1-conduit-size-slug-buster%c2%ae-manual-knockout-set")</f>
        <v/>
      </c>
      <c r="C5090" t="inlineStr">
        <is>
          <t>Greenlee K2BB-1 1" Conduit Size Slug-Buster® Manual Knockout Set</t>
        </is>
      </c>
      <c r="D5090" t="inlineStr">
        <is>
          <t>Greenlee, K2BB-2 replaces 7211BB-2, 2" Conduit Size Slug-Buster Knockout Set</t>
        </is>
      </c>
      <c r="E5090" s="2">
        <f>HYPERLINK("https://www.amazon.com/Greenlee-K2BB-2-Knockout-Set/dp/B07Y5QXV3N/ref=sr_1_6?keywords=Greenlee+K2BB-1+1%22+Conduit+Size+Slug-Buster%C2%AE+Manual+Knockout+Set&amp;qid=1694735360&amp;sr=8-6", "https://www.amazon.com/Greenlee-K2BB-2-Knockout-Set/dp/B07Y5QXV3N/ref=sr_1_6?keywords=Greenlee+K2BB-1+1%22+Conduit+Size+Slug-Buster%C2%AE+Manual+Knockout+Set&amp;qid=1694735360&amp;sr=8-6")</f>
        <v/>
      </c>
      <c r="F5090" t="inlineStr">
        <is>
          <t>B07Y5QXV3N</t>
        </is>
      </c>
      <c r="G5090">
        <f>_xlfn.IMAGE("https://edmondsonsupply.com/cdn/shop/products/K2BB-1-ASM.jpg?v=1587151444")</f>
        <v/>
      </c>
      <c r="H5090">
        <f>_xlfn.IMAGE("https://m.media-amazon.com/images/I/811L159og+L._AC_UL320_.jpg")</f>
        <v/>
      </c>
      <c r="K5090" t="inlineStr">
        <is>
          <t>92.5</t>
        </is>
      </c>
      <c r="L5090" t="n">
        <v>125.89</v>
      </c>
      <c r="M5090" s="1" t="inlineStr">
        <is>
          <t>36.10%</t>
        </is>
      </c>
      <c r="N5090" s="7" t="n">
        <v>-53.9</v>
      </c>
      <c r="O5090" t="n">
        <v>5</v>
      </c>
      <c r="P5090" t="n">
        <v>9</v>
      </c>
      <c r="R5090" t="inlineStr">
        <is>
          <t>InStock</t>
        </is>
      </c>
      <c r="S5090" t="inlineStr">
        <is>
          <t>92.5</t>
        </is>
      </c>
      <c r="T5090" t="inlineStr">
        <is>
          <t>4431424553060</t>
        </is>
      </c>
    </row>
    <row r="5091" ht="87" customHeight="1">
      <c r="A5091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5091" s="2">
        <f>HYPERLINK("https://edmondsonsupply.com/products/klein-tools-rt250-gfci-receptacle-tester-with-lcd", "https://edmondsonsupply.com/products/klein-tools-rt250-gfci-receptacle-tester-with-lcd")</f>
        <v/>
      </c>
      <c r="C5091" t="inlineStr">
        <is>
          <t>Klein Tools RT250 GFCI Receptacle Tester with LCD</t>
        </is>
      </c>
      <c r="D5091" t="inlineStr">
        <is>
          <t>Klein Tools NCVT3P Dual Range Non Contact Voltage Tester &amp; RT250 GFCI Receptacle Tester with LCD Display, for Standard 3-Wire 120V Electrical Outlets</t>
        </is>
      </c>
      <c r="E5091" s="2">
        <f>HYPERLINK("https://www.amazon.com/Klein-Tools-Receptacle-Standard-Electrical/dp/B0BC861K3W/ref=sr_1_2?keywords=Klein+Tools+RT250+GFCI+Receptacle+Tester+with+LCD&amp;qid=1694735148&amp;sr=8-2", "https://www.amazon.com/Klein-Tools-Receptacle-Standard-Electrical/dp/B0BC861K3W/ref=sr_1_2?keywords=Klein+Tools+RT250+GFCI+Receptacle+Tester+with+LCD&amp;qid=1694735148&amp;sr=8-2")</f>
        <v/>
      </c>
      <c r="F5091" t="inlineStr">
        <is>
          <t>B0BC861K3W</t>
        </is>
      </c>
      <c r="G5091">
        <f>_xlfn.IMAGE("https://edmondsonsupply.com/cdn/shop/products/rt250_photo_c.jpg?v=1661363824")</f>
        <v/>
      </c>
      <c r="H5091">
        <f>_xlfn.IMAGE("https://m.media-amazon.com/images/I/5145pmsV9+L._AC_UL320_.jpg")</f>
        <v/>
      </c>
      <c r="K5091" t="inlineStr">
        <is>
          <t>21.97</t>
        </is>
      </c>
      <c r="L5091" t="n">
        <v>29.88</v>
      </c>
      <c r="M5091" s="1" t="inlineStr">
        <is>
          <t>36.00%</t>
        </is>
      </c>
      <c r="N5091" s="7" t="n">
        <v>-53.94</v>
      </c>
      <c r="O5091" t="n">
        <v>4.4</v>
      </c>
      <c r="P5091" t="n">
        <v>12</v>
      </c>
      <c r="R5091" t="inlineStr">
        <is>
          <t>InStock</t>
        </is>
      </c>
      <c r="S5091" t="inlineStr">
        <is>
          <t>30.78</t>
        </is>
      </c>
      <c r="T5091" t="inlineStr">
        <is>
          <t>7793138729176</t>
        </is>
      </c>
    </row>
    <row r="5092" ht="87" customHeight="1">
      <c r="A5092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5092" s="2">
        <f>HYPERLINK("https://edmondsonsupply.com/products/fluke-179-true-rms-digital-multimeter", "https://edmondsonsupply.com/products/fluke-179-true-rms-digital-multimeter")</f>
        <v/>
      </c>
      <c r="C5092" t="inlineStr">
        <is>
          <t>Fluke 179 True-RMS Digital Multimeter</t>
        </is>
      </c>
      <c r="D5092" t="inlineStr">
        <is>
          <t>Fluke 87V MAX True-RMS Digital Multimeter, Rugged, Waterproof and Dustproof IP67 Rated, Up to 800 Hour Battery Capacity, Built-In Thermometer, Withstands Drops Up To 13 Feet, Includes TL175 Test Leads</t>
        </is>
      </c>
      <c r="E5092" s="2">
        <f>HYPERLINK("https://www.amazon.com/Fluke-87V-True-rms-Digital-Multimeter/dp/B07YQSBJSB/ref=sr_1_13?keywords=Fluke+179+True-RMS+Digital+Multimeter&amp;qid=1694735225&amp;sr=8-13", "https://www.amazon.com/Fluke-87V-True-rms-Digital-Multimeter/dp/B07YQSBJSB/ref=sr_1_13?keywords=Fluke+179+True-RMS+Digital+Multimeter&amp;qid=1694735225&amp;sr=8-13")</f>
        <v/>
      </c>
      <c r="F5092" t="inlineStr">
        <is>
          <t>B07YQSBJSB</t>
        </is>
      </c>
      <c r="G5092">
        <f>_xlfn.IMAGE("https://edmondsonsupply.com/cdn/shop/products/e0021116_431x600_31fa1fdc-90ee-45e4-8560-4be681a24cfe.jpg?v=1633030926")</f>
        <v/>
      </c>
      <c r="H5092">
        <f>_xlfn.IMAGE("https://m.media-amazon.com/images/I/61A-YAUbfBL._AC_UL320_.jpg")</f>
        <v/>
      </c>
      <c r="K5092" t="inlineStr">
        <is>
          <t>394.19</t>
        </is>
      </c>
      <c r="L5092" t="n">
        <v>535.97</v>
      </c>
      <c r="M5092" s="1" t="inlineStr">
        <is>
          <t>35.97%</t>
        </is>
      </c>
      <c r="N5092" s="7" t="n">
        <v>-53.97</v>
      </c>
      <c r="O5092" t="n">
        <v>4.7</v>
      </c>
      <c r="P5092" t="n">
        <v>197</v>
      </c>
      <c r="R5092" t="inlineStr">
        <is>
          <t>OutOfStock</t>
        </is>
      </c>
      <c r="S5092" t="inlineStr">
        <is>
          <t>437.99</t>
        </is>
      </c>
      <c r="T5092" t="inlineStr">
        <is>
          <t>6544506060973</t>
        </is>
      </c>
    </row>
    <row r="5093" ht="87" customHeight="1">
      <c r="A5093" s="2">
        <f>HYPERLINK("https://edmondsonsupply.com/collections/electricians-tools/products/diablo-tools-dmapl4270-27-32-in-x-8-in-x-10-in-rebar-demon%E2%84%A2-sds-plus-4-cutter-full-carbide-head-hammer-bit", "https://edmondsonsupply.com/collections/electricians-tools/products/diablo-tools-dmapl4270-27-32-in-x-8-in-x-10-in-rebar-demon%E2%84%A2-sds-plus-4-cutter-full-carbide-head-hammer-bit")</f>
        <v/>
      </c>
      <c r="B5093" s="2">
        <f>HYPERLINK("https://edmondsonsupply.com/products/diablo-tools-dmapl4270-27-32-in-x-8-in-x-10-in-rebar-demon%e2%84%a2-sds-plus-4-cutter-full-carbide-head-hammer-bit", "https://edmondsonsupply.com/products/diablo-tools-dmapl4270-27-32-in-x-8-in-x-10-in-rebar-demon%e2%84%a2-sds-plus-4-cutter-full-carbide-head-hammer-bit")</f>
        <v/>
      </c>
      <c r="C5093" t="inlineStr">
        <is>
          <t>Diablo Tools DMAPL4270 27/32 in. x 8 in. x 10 in. Rebar Demon™ SDS‑Plus 4‑Cutter Full Carbide Head Hammer Bit</t>
        </is>
      </c>
      <c r="D5093" t="inlineStr">
        <is>
          <t>Diablo by Freud DMAPL4300 1 in. x 8 in. x 10 in. Rebar Demon™ SDS-Plus 4-Cutter Full Carbide Head Hammer Bit</t>
        </is>
      </c>
      <c r="E5093" s="2">
        <f>HYPERLINK("https://www.amazon.com/Diablo-Freud-DMAPL4300-SDS-Plus-4-Cutter/dp/B089LL8JD8/ref=sr_1_2?keywords=Diablo+Tools+DMAPL4270+27%2F32+in.+x+8+in.+x+10+in.+Rebar+Demon%E2%84%A2+SDS%E2%80%91Plus+4%E2%80%91Cutter+Full+Carbide+Head+Hammer+Bit&amp;qid=1694735275&amp;sr=8-2", "https://www.amazon.com/Diablo-Freud-DMAPL4300-SDS-Plus-4-Cutter/dp/B089LL8JD8/ref=sr_1_2?keywords=Diablo+Tools+DMAPL4270+27%2F32+in.+x+8+in.+x+10+in.+Rebar+Demon%E2%84%A2+SDS%E2%80%91Plus+4%E2%80%91Cutter+Full+Carbide+Head+Hammer+Bit&amp;qid=1694735275&amp;sr=8-2")</f>
        <v/>
      </c>
      <c r="F5093" t="inlineStr">
        <is>
          <t>B089LL8JD8</t>
        </is>
      </c>
      <c r="G5093">
        <f>_xlfn.IMAGE("https://edmondsonsupply.com/cdn/shop/products/DMAPL4270_Main-Image20200701.png?v=1633030522")</f>
        <v/>
      </c>
      <c r="H5093">
        <f>_xlfn.IMAGE("https://m.media-amazon.com/images/I/616UiJGsK1L._AC_UL320_.jpg")</f>
        <v/>
      </c>
      <c r="K5093" t="inlineStr">
        <is>
          <t>24.97</t>
        </is>
      </c>
      <c r="L5093" t="n">
        <v>33.95</v>
      </c>
      <c r="M5093" s="1" t="inlineStr">
        <is>
          <t>35.96%</t>
        </is>
      </c>
      <c r="N5093" s="7" t="n">
        <v>-53.99</v>
      </c>
      <c r="O5093" t="n">
        <v>4.5</v>
      </c>
      <c r="P5093" t="n">
        <v>16</v>
      </c>
      <c r="R5093" t="inlineStr">
        <is>
          <t>InStock</t>
        </is>
      </c>
      <c r="S5093" t="inlineStr">
        <is>
          <t>38.89</t>
        </is>
      </c>
      <c r="T5093" t="inlineStr">
        <is>
          <t>5401122537640</t>
        </is>
      </c>
    </row>
    <row r="5094" hidden="1" ht="15.75" customHeight="1">
      <c r="A5094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5094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5094" t="inlineStr">
        <is>
          <t>Klein Tools JTH6E14BE 5/16-Inch Ball End Hex Key with T-Handle, 6-Inch</t>
        </is>
      </c>
      <c r="D5094" t="inlineStr">
        <is>
          <t>Klein Tools JTH6E14 5/16-Inch Hex Key, Journeyman T-Handle, 6-Inch</t>
        </is>
      </c>
      <c r="E5094" s="2">
        <f>HYPERLINK("https://www.amazon.com/Journeyman-T-Handle-Klein-Tools-JTH6E14/dp/B004ITSTL6/ref=sr_1_3?keywords=Klein+Tools+JTH6E14BE+5%2F16-Inch+Ball+End+Hex+Key+with+T-Handle%2C+6-Inch&amp;qid=1694735186&amp;sr=8-3", "https://www.amazon.com/Journeyman-T-Handle-Klein-Tools-JTH6E14/dp/B004ITSTL6/ref=sr_1_3?keywords=Klein+Tools+JTH6E14BE+5%2F16-Inch+Ball+End+Hex+Key+with+T-Handle%2C+6-Inch&amp;qid=1694735186&amp;sr=8-3")</f>
        <v/>
      </c>
      <c r="F5094" t="inlineStr">
        <is>
          <t>B004ITSTL6</t>
        </is>
      </c>
      <c r="G5094">
        <f>_xludf.IMAGE("https://edmondsonsupply.com/cdn/shop/products/jth6e13be_0da4cca6-ce15-419c-bc75-cd610bd9637f.jpg?v=1629825198")</f>
        <v/>
      </c>
      <c r="H5094">
        <f>_xludf.IMAGE("https://m.media-amazon.com/images/I/51FYt5m7vZL._AC_UL320_.jpg")</f>
        <v/>
      </c>
      <c r="K5094" t="inlineStr">
        <is>
          <t>8.49</t>
        </is>
      </c>
      <c r="L5094" t="n">
        <v>11.54</v>
      </c>
      <c r="M5094" s="1" t="inlineStr">
        <is>
          <t>35.92%</t>
        </is>
      </c>
      <c r="N5094" s="1" t="n">
        <v>-54.06</v>
      </c>
      <c r="O5094" t="n">
        <v>4.8</v>
      </c>
      <c r="P5094" t="n">
        <v>2477</v>
      </c>
      <c r="R5094" t="inlineStr">
        <is>
          <t>InStock</t>
        </is>
      </c>
      <c r="S5094" t="inlineStr">
        <is>
          <t>12.88</t>
        </is>
      </c>
      <c r="T5094" t="inlineStr">
        <is>
          <t>6899546161325</t>
        </is>
      </c>
    </row>
    <row r="5095" ht="87" customHeight="1">
      <c r="A5095" s="2">
        <f>HYPERLINK("https://edmondsonsupply.com/collections/electricians-tools/products/milwaukee-48-22-8452", "https://edmondsonsupply.com/collections/electricians-tools/products/milwaukee-48-22-8452")</f>
        <v/>
      </c>
      <c r="B5095" s="2">
        <f>HYPERLINK("https://edmondsonsupply.com/products/milwaukee-48-22-8452", "https://edmondsonsupply.com/products/milwaukee-48-22-8452")</f>
        <v/>
      </c>
      <c r="C5095" t="inlineStr">
        <is>
          <t>Milwaukee 48-22-8452 Customizable Foam Insert for PACKOUT™ Drawer Tool Boxes</t>
        </is>
      </c>
      <c r="D5095" t="inlineStr">
        <is>
          <t>Foam Custom Tool Drawer Inserts 48-22-8452 For Packout Drawer Tool Boxes|Fits Milwaukee 48-22-8442 Packout Foam Inserts</t>
        </is>
      </c>
      <c r="E5095" s="2">
        <f>HYPERLINK("https://www.amazon.com/Custom-Inserts-48-22-8452-Packout-Milwaukee/dp/B0BRMSHYFF/ref=sr_1_2?keywords=Milwaukee+48-22-8452+Customizable+Foam+Insert+for+PACKOUT%E2%84%A2+Drawer+Tool+Boxes&amp;qid=1694735128&amp;sr=8-2", "https://www.amazon.com/Custom-Inserts-48-22-8452-Packout-Milwaukee/dp/B0BRMSHYFF/ref=sr_1_2?keywords=Milwaukee+48-22-8452+Customizable+Foam+Insert+for+PACKOUT%E2%84%A2+Drawer+Tool+Boxes&amp;qid=1694735128&amp;sr=8-2")</f>
        <v/>
      </c>
      <c r="F5095" t="inlineStr">
        <is>
          <t>B0BRMSHYFF</t>
        </is>
      </c>
      <c r="G5095">
        <f>_xlfn.IMAGE("https://edmondsonsupply.com/cdn/shop/products/48-22-8452_4.png?v=1663605573")</f>
        <v/>
      </c>
      <c r="H5095">
        <f>_xlfn.IMAGE("https://m.media-amazon.com/images/I/81k-3Qp4g3L._AC_UL320_.jpg")</f>
        <v/>
      </c>
      <c r="K5095" t="inlineStr">
        <is>
          <t>24.99</t>
        </is>
      </c>
      <c r="L5095" t="n">
        <v>33.96</v>
      </c>
      <c r="M5095" s="1" t="inlineStr">
        <is>
          <t>35.89%</t>
        </is>
      </c>
      <c r="N5095" s="7" t="n">
        <v>-54.54</v>
      </c>
      <c r="O5095" t="n">
        <v>4.8</v>
      </c>
      <c r="P5095" t="n">
        <v>8</v>
      </c>
      <c r="R5095" t="inlineStr">
        <is>
          <t>InStock</t>
        </is>
      </c>
      <c r="S5095" t="inlineStr">
        <is>
          <t>40.7</t>
        </is>
      </c>
      <c r="T5095" t="inlineStr">
        <is>
          <t>7822974058712</t>
        </is>
      </c>
    </row>
    <row r="5096" hidden="1" ht="15.75" customHeight="1">
      <c r="A5096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5096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5096" t="inlineStr">
        <is>
          <t>Diablo Tools DMAPL4040 3/16 in. x 4 in. x 6 in. Rebar Demon™ SDS-Plus 4-Cutter Full Carbide Head Hammer Bit</t>
        </is>
      </c>
      <c r="D5096" t="inlineStr">
        <is>
          <t>Diablo by Freud Diablo DMAPL4210 5/8 in. x 4 in. x 6 in. Rebar Demon SDS-Plus 4-Cutter Full Carbide Head Hammer Bit</t>
        </is>
      </c>
      <c r="E5096" s="2">
        <f>HYPERLINK("https://www.amazon.com/Diablo-Freud-DMAPL4210-SDS-Plus-4-Cutter/dp/B089LGF2KS/ref=sr_1_9?keywords=Diablo+Tools+DMAPL4040+3%2F16+in.+x+4+in.+x+6+in.+Rebar+Demon%E2%84%A2+SDS-Plus+4-Cutter+Full+Carbide+Head+Hammer+Bit&amp;qid=1694735297&amp;sr=8-9", "https://www.amazon.com/Diablo-Freud-DMAPL4210-SDS-Plus-4-Cutter/dp/B089LGF2KS/ref=sr_1_9?keywords=Diablo+Tools+DMAPL4040+3%2F16+in.+x+4+in.+x+6+in.+Rebar+Demon%E2%84%A2+SDS-Plus+4-Cutter+Full+Carbide+Head+Hammer+Bit&amp;qid=1694735297&amp;sr=8-9")</f>
        <v/>
      </c>
      <c r="F5096" t="inlineStr">
        <is>
          <t>B089LGF2KS</t>
        </is>
      </c>
      <c r="G5096">
        <f>_xludf.IMAGE("https://edmondsonsupply.com/cdn/shop/products/DMAPL4040_Main-Image20200701.png?v=1633030358")</f>
        <v/>
      </c>
      <c r="H5096">
        <f>_xludf.IMAGE("https://m.media-amazon.com/images/I/61rU9ZgmndL._AC_UL320_.jpg")</f>
        <v/>
      </c>
      <c r="K5096" t="inlineStr">
        <is>
          <t>8.47</t>
        </is>
      </c>
      <c r="L5096" t="n">
        <v>11.49</v>
      </c>
      <c r="M5096" s="1" t="inlineStr">
        <is>
          <t>35.66%</t>
        </is>
      </c>
      <c r="N5096" s="1" t="n">
        <v>-54.59</v>
      </c>
      <c r="O5096" t="n">
        <v>4.6</v>
      </c>
      <c r="P5096" t="n">
        <v>63</v>
      </c>
      <c r="R5096" t="inlineStr">
        <is>
          <t>InStock</t>
        </is>
      </c>
      <c r="S5096" t="inlineStr">
        <is>
          <t>undefined</t>
        </is>
      </c>
      <c r="T5096" t="inlineStr">
        <is>
          <t>5286740426920</t>
        </is>
      </c>
    </row>
    <row r="5097" ht="87" customHeight="1">
      <c r="A5097" s="2">
        <f>HYPERLINK("https://edmondsonsupply.com/collections/electricians-tools/products/milwaukee-48-22-8452", "https://edmondsonsupply.com/collections/electricians-tools/products/milwaukee-48-22-8452")</f>
        <v/>
      </c>
      <c r="B5097" s="2">
        <f>HYPERLINK("https://edmondsonsupply.com/products/milwaukee-48-22-8452", "https://edmondsonsupply.com/products/milwaukee-48-22-8452")</f>
        <v/>
      </c>
      <c r="C5097" t="inlineStr">
        <is>
          <t>Milwaukee 48-22-8452 Customizable Foam Insert for PACKOUT™ Drawer Tool Boxes</t>
        </is>
      </c>
      <c r="D5097" t="inlineStr">
        <is>
          <t>Packout Foam Inserts 48-22-8452 fits for Milwaukee Packout Drawer Tool Boxes48-22-8442 and 48-22-8443|Foam Custom Tool Drawer Inserts</t>
        </is>
      </c>
      <c r="E5097" s="2">
        <f>HYPERLINK("https://www.amazon.com/48-22-8452-Custom-Inserts-Packout-Milwaukee/dp/B0BRN73CTQ/ref=sr_1_3?keywords=Milwaukee+48-22-8452+Customizable+Foam+Insert+for+PACKOUT%E2%84%A2+Drawer+Tool+Boxes&amp;qid=1694735128&amp;sr=8-3", "https://www.amazon.com/48-22-8452-Custom-Inserts-Packout-Milwaukee/dp/B0BRN73CTQ/ref=sr_1_3?keywords=Milwaukee+48-22-8452+Customizable+Foam+Insert+for+PACKOUT%E2%84%A2+Drawer+Tool+Boxes&amp;qid=1694735128&amp;sr=8-3")</f>
        <v/>
      </c>
      <c r="F5097" t="inlineStr">
        <is>
          <t>B0BRN73CTQ</t>
        </is>
      </c>
      <c r="G5097">
        <f>_xlfn.IMAGE("https://edmondsonsupply.com/cdn/shop/products/48-22-8452_4.png?v=1663605573")</f>
        <v/>
      </c>
      <c r="H5097">
        <f>_xlfn.IMAGE("https://m.media-amazon.com/images/I/61a44mU0JqL._AC_UL320_.jpg")</f>
        <v/>
      </c>
      <c r="K5097" t="inlineStr">
        <is>
          <t>24.99</t>
        </is>
      </c>
      <c r="L5097" t="n">
        <v>33.89</v>
      </c>
      <c r="M5097" s="1" t="inlineStr">
        <is>
          <t>35.61%</t>
        </is>
      </c>
      <c r="N5097" s="7" t="n">
        <v>-54.95</v>
      </c>
      <c r="O5097" t="n">
        <v>4.4</v>
      </c>
      <c r="P5097" t="n">
        <v>9</v>
      </c>
      <c r="R5097" t="inlineStr">
        <is>
          <t>InStock</t>
        </is>
      </c>
      <c r="S5097" t="inlineStr">
        <is>
          <t>40.7</t>
        </is>
      </c>
      <c r="T5097" t="inlineStr">
        <is>
          <t>7822974058712</t>
        </is>
      </c>
    </row>
    <row r="5098" ht="87" customHeight="1">
      <c r="A5098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5098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5098" t="inlineStr">
        <is>
          <t>Diablo Tools DMAPL4100 1/4 in. x 16 in. x 18 in. Rebar Demon™ SDS‑Plus 4‑Cutter Full Carbide Head Hammer Bit</t>
        </is>
      </c>
      <c r="D5098" t="inlineStr">
        <is>
          <t>Diablo by Freud DMAPL4200 1/2 in. x 16 in. x 18 in. Rebar Demon SDS-Plus 4-Cutter Full Carbide Head Hammer Bit</t>
        </is>
      </c>
      <c r="E5098" s="2">
        <f>HYPERLINK("https://www.amazon.com/Diablo-Freud-DMAPL4200-SDS-Plus-4-Cutter/dp/B089KW2QV1/ref=sr_1_3?keywords=Diablo+Tools+DMAPL4100+1%2F4+in.+x+16+in.+x+18+in.+Rebar+Demon%E2%84%A2+SDS%E2%80%91Plus+4%E2%80%91Cutter+Full+Carbide+Head+Hammer+Bit&amp;qid=1694735272&amp;sr=8-3", "https://www.amazon.com/Diablo-Freud-DMAPL4200-SDS-Plus-4-Cutter/dp/B089KW2QV1/ref=sr_1_3?keywords=Diablo+Tools+DMAPL4100+1%2F4+in.+x+16+in.+x+18+in.+Rebar+Demon%E2%84%A2+SDS%E2%80%91Plus+4%E2%80%91Cutter+Full+Carbide+Head+Hammer+Bit&amp;qid=1694735272&amp;sr=8-3")</f>
        <v/>
      </c>
      <c r="F5098" t="inlineStr">
        <is>
          <t>B089KW2QV1</t>
        </is>
      </c>
      <c r="G5098">
        <f>_xlfn.IMAGE("https://edmondsonsupply.com/cdn/shop/products/DMAPL4100_Main-Image20200701.png?v=1633030520")</f>
        <v/>
      </c>
      <c r="H5098">
        <f>_xlfn.IMAGE("https://m.media-amazon.com/images/I/61rW+ROVmNL._AC_UL320_.jpg")</f>
        <v/>
      </c>
      <c r="K5098" t="inlineStr">
        <is>
          <t>16.97</t>
        </is>
      </c>
      <c r="L5098" t="n">
        <v>23</v>
      </c>
      <c r="M5098" s="1" t="inlineStr">
        <is>
          <t>35.53%</t>
        </is>
      </c>
      <c r="N5098" s="7" t="n">
        <v>-54.99</v>
      </c>
      <c r="O5098" t="n">
        <v>4.7</v>
      </c>
      <c r="P5098" t="n">
        <v>18</v>
      </c>
      <c r="R5098" t="inlineStr">
        <is>
          <t>InStock</t>
        </is>
      </c>
      <c r="S5098" t="inlineStr">
        <is>
          <t>undefined</t>
        </is>
      </c>
      <c r="T5098" t="inlineStr">
        <is>
          <t>5399840882856</t>
        </is>
      </c>
    </row>
    <row r="5099" ht="87" customHeight="1">
      <c r="A5099" s="2">
        <f>HYPERLINK("https://edmondsonsupply.com/collections/electricians-tools/products/fluke-902", "https://edmondsonsupply.com/collections/electricians-tools/products/fluke-902")</f>
        <v/>
      </c>
      <c r="B5099" s="2">
        <f>HYPERLINK("https://edmondsonsupply.com/products/fluke-902", "https://edmondsonsupply.com/products/fluke-902")</f>
        <v/>
      </c>
      <c r="C5099" t="inlineStr">
        <is>
          <t>Fluke 902 FC True-RMS HVAC Clamp Meter</t>
        </is>
      </c>
      <c r="D5099" t="inlineStr">
        <is>
          <t>Fluke 375 FC True-RMS AC/DC Clamp Meter, Measures AC/DC Current To 600 A and AC/DC Voltage To 1000 V, CAT III 1000 V, CAT IV 600 V Safety Rating, Includes Batteries and Soft Carrying Case</t>
        </is>
      </c>
      <c r="E5099" s="2">
        <f>HYPERLINK("https://www.amazon.com/Fluke-True-RMS-Measures-Batteries-Carrying/dp/B017OVC1U4/ref=sr_1_2?keywords=Fluke+902+FC+True-RMS+HVAC+Clamp+Meter&amp;qid=1694735309&amp;sr=8-2", "https://www.amazon.com/Fluke-True-RMS-Measures-Batteries-Carrying/dp/B017OVC1U4/ref=sr_1_2?keywords=Fluke+902+FC+True-RMS+HVAC+Clamp+Meter&amp;qid=1694735309&amp;sr=8-2")</f>
        <v/>
      </c>
      <c r="F5099" t="inlineStr">
        <is>
          <t>B017OVC1U4</t>
        </is>
      </c>
      <c r="G5099">
        <f>_xlfn.IMAGE("https://edmondsonsupply.com/cdn/shop/products/902fc.png?v=1633030276")</f>
        <v/>
      </c>
      <c r="H5099">
        <f>_xlfn.IMAGE("https://m.media-amazon.com/images/I/71-9RICQeuL._AC_UY218_.jpg")</f>
        <v/>
      </c>
      <c r="K5099" t="inlineStr">
        <is>
          <t>325.09</t>
        </is>
      </c>
      <c r="L5099" t="n">
        <v>440</v>
      </c>
      <c r="M5099" s="1" t="inlineStr">
        <is>
          <t>35.35%</t>
        </is>
      </c>
      <c r="N5099" s="7" t="n">
        <v>-54.99</v>
      </c>
      <c r="O5099" t="n">
        <v>4.8</v>
      </c>
      <c r="P5099" t="n">
        <v>283</v>
      </c>
      <c r="R5099" t="inlineStr">
        <is>
          <t>InStock</t>
        </is>
      </c>
      <c r="S5099" t="inlineStr">
        <is>
          <t>358.99</t>
        </is>
      </c>
      <c r="T5099" t="inlineStr">
        <is>
          <t>5238372991144</t>
        </is>
      </c>
    </row>
    <row r="5100" ht="87" customHeight="1">
      <c r="A5100" s="2">
        <f>HYPERLINK("https://edmondsonsupply.com/collections/electricians-tools/products/milwaukee-48-22-8485-packout%E2%84%A2-mounting-plate", "https://edmondsonsupply.com/collections/electricians-tools/products/milwaukee-48-22-8485-packout%E2%84%A2-mounting-plate")</f>
        <v/>
      </c>
      <c r="B5100" s="2">
        <f>HYPERLINK("https://edmondsonsupply.com/products/milwaukee-48-22-8485-packout%e2%84%a2-mounting-plate", "https://edmondsonsupply.com/products/milwaukee-48-22-8485-packout%e2%84%a2-mounting-plate")</f>
        <v/>
      </c>
      <c r="C5100" t="inlineStr">
        <is>
          <t>Milwaukee 48-22-8485 PACKOUT™ Mounting Plate</t>
        </is>
      </c>
      <c r="D5100" t="inlineStr">
        <is>
          <t>48-22-8485 for Milwaukee Packout Mounting Plate</t>
        </is>
      </c>
      <c r="E5100" s="2">
        <f>HYPERLINK("https://www.amazon.com/48-22-8485-Milwaukee-Packout-Mounting-Plate/dp/B0BCYT877C/ref=sr_1_7?keywords=Milwaukee+48-22-8485+PACKOUT%E2%84%A2+Mounting+Plate&amp;qid=1694735032&amp;sr=8-7", "https://www.amazon.com/48-22-8485-Milwaukee-Packout-Mounting-Plate/dp/B0BCYT877C/ref=sr_1_7?keywords=Milwaukee+48-22-8485+PACKOUT%E2%84%A2+Mounting+Plate&amp;qid=1694735032&amp;sr=8-7")</f>
        <v/>
      </c>
      <c r="F5100" t="inlineStr">
        <is>
          <t>B0BCYT877C</t>
        </is>
      </c>
      <c r="G5100">
        <f>_xlfn.IMAGE("https://edmondsonsupply.com/cdn/shop/products/48-22-8485_3.png?v=1677252283")</f>
        <v/>
      </c>
      <c r="H5100">
        <f>_xlfn.IMAGE("https://m.media-amazon.com/images/I/51qicuCoO0L._AC_UL320_.jpg")</f>
        <v/>
      </c>
      <c r="K5100" t="inlineStr">
        <is>
          <t>29.97</t>
        </is>
      </c>
      <c r="L5100" t="n">
        <v>40.53</v>
      </c>
      <c r="M5100" s="1" t="inlineStr">
        <is>
          <t>35.24%</t>
        </is>
      </c>
      <c r="N5100" s="7" t="n">
        <v>-54.99</v>
      </c>
      <c r="O5100" t="n">
        <v>5</v>
      </c>
      <c r="P5100" t="n">
        <v>2</v>
      </c>
      <c r="R5100" t="inlineStr">
        <is>
          <t>InStock</t>
        </is>
      </c>
      <c r="S5100" t="inlineStr">
        <is>
          <t>50.0</t>
        </is>
      </c>
      <c r="T5100" t="inlineStr">
        <is>
          <t>7950727413976</t>
        </is>
      </c>
    </row>
    <row r="5101" ht="87" customHeight="1">
      <c r="A5101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5101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5101" t="inlineStr">
        <is>
          <t>Diablo Tools DMAPL4180-P25 1/2 in. x 4 in. x 6 in. Rebar Demon™ SDS-Plus 4-Cutter Full Carbide Head Hammer Bit (25 Pack)</t>
        </is>
      </c>
      <c r="D5101" t="inlineStr">
        <is>
          <t>Diablo by Freud DMAPL4160-P25 3/8 in. x 10 in. x 12 in. Rebar Demon SDS-Plus 4-Cutter Full Carbide Head Hammer Bit (25-Pack)</t>
        </is>
      </c>
      <c r="E5101" s="2" t="n"/>
      <c r="F5101" t="inlineStr">
        <is>
          <t>B089LKWCD1</t>
        </is>
      </c>
      <c r="G5101">
        <f>_xlfn.IMAGE("https://edmondsonsupply.com/cdn/shop/products/DMAPL4180-P25_Additional-Images_0120200331.png?v=1633030573")</f>
        <v/>
      </c>
      <c r="H5101">
        <f>_xlfn.IMAGE("https://m.media-amazon.com/images/I/61MHnm3+2bL._AC_UL320_.jpg")</f>
        <v/>
      </c>
      <c r="K5101" t="inlineStr">
        <is>
          <t>133.97</t>
        </is>
      </c>
      <c r="L5101" t="n">
        <v>180.97</v>
      </c>
      <c r="M5101" s="1" t="inlineStr">
        <is>
          <t>35.08%</t>
        </is>
      </c>
      <c r="N5101" s="7" t="n">
        <v>-54.99</v>
      </c>
      <c r="O5101" t="n">
        <v>5</v>
      </c>
      <c r="P5101" t="n">
        <v>1</v>
      </c>
      <c r="R5101" t="inlineStr">
        <is>
          <t>InStock</t>
        </is>
      </c>
      <c r="S5101" t="inlineStr">
        <is>
          <t>193.66</t>
        </is>
      </c>
      <c r="T5101" t="inlineStr">
        <is>
          <t>5524246659240</t>
        </is>
      </c>
    </row>
    <row r="5102" ht="87" customHeight="1">
      <c r="A5102" s="2">
        <f>HYPERLINK("https://edmondsonsupply.com/collections/electricians-tools/products/klein-tools-19352-conduit-reamer", "https://edmondsonsupply.com/collections/electricians-tools/products/klein-tools-19352-conduit-reamer")</f>
        <v/>
      </c>
      <c r="B5102" s="2">
        <f>HYPERLINK("https://edmondsonsupply.com/products/klein-tools-19352-conduit-reamer", "https://edmondsonsupply.com/products/klein-tools-19352-conduit-reamer")</f>
        <v/>
      </c>
      <c r="C5102" t="inlineStr">
        <is>
          <t>Klein Tools 19352 Conduit Reamer</t>
        </is>
      </c>
      <c r="D5102" t="inlineStr">
        <is>
          <t>Klein Tools 85091 Power Conduit Reamer with Improved Bit Retention, 1/2-, 3/4- and 1-Inch</t>
        </is>
      </c>
      <c r="E5102" s="2">
        <f>HYPERLINK("https://www.amazon.com/Power-Conduit-Reamer-Klein-Tools/dp/B00B9HICKI/ref=sr_1_5?keywords=Klein+Tools+19352+Conduit+Reamer&amp;qid=1694735413&amp;sr=8-5", "https://www.amazon.com/Power-Conduit-Reamer-Klein-Tools/dp/B00B9HICKI/ref=sr_1_5?keywords=Klein+Tools+19352+Conduit+Reamer&amp;qid=1694735413&amp;sr=8-5")</f>
        <v/>
      </c>
      <c r="F5102" t="inlineStr">
        <is>
          <t>B00B9HICKI</t>
        </is>
      </c>
      <c r="G5102">
        <f>_xlfn.IMAGE("https://edmondsonsupply.com/cdn/shop/products/19352.jpg?v=1587145575")</f>
        <v/>
      </c>
      <c r="H5102">
        <f>_xlfn.IMAGE("https://m.media-amazon.com/images/I/41eR1PHplSL._AC_UL320_.jpg")</f>
        <v/>
      </c>
      <c r="K5102" t="inlineStr">
        <is>
          <t>18.49</t>
        </is>
      </c>
      <c r="L5102" t="n">
        <v>24.97</v>
      </c>
      <c r="M5102" s="1" t="inlineStr">
        <is>
          <t>35.05%</t>
        </is>
      </c>
      <c r="N5102" s="7" t="n">
        <v>-55</v>
      </c>
      <c r="O5102" t="n">
        <v>4.4</v>
      </c>
      <c r="P5102" t="n">
        <v>1417</v>
      </c>
      <c r="R5102" t="inlineStr">
        <is>
          <t>InStock</t>
        </is>
      </c>
      <c r="S5102" t="inlineStr">
        <is>
          <t>27.24</t>
        </is>
      </c>
      <c r="T5102" t="inlineStr">
        <is>
          <t>4385945616484</t>
        </is>
      </c>
    </row>
    <row r="5103" hidden="1" ht="15.75" customHeight="1">
      <c r="A5103" s="2">
        <f>HYPERLINK("https://edmondsonsupply.com/collections/electricians-tools/products/diablo-tools-dmapl2400-5-8-in-x-6-in-x-8-in-sds-plus-2-cutter", "https://edmondsonsupply.com/collections/electricians-tools/products/diablo-tools-dmapl2400-5-8-in-x-6-in-x-8-in-sds-plus-2-cutter")</f>
        <v/>
      </c>
      <c r="B5103" s="2">
        <f>HYPERLINK("https://edmondsonsupply.com/products/diablo-tools-dmapl2400-5-8-in-x-6-in-x-8-in-sds-plus-2-cutter", "https://edmondsonsupply.com/products/diablo-tools-dmapl2400-5-8-in-x-6-in-x-8-in-sds-plus-2-cutter")</f>
        <v/>
      </c>
      <c r="C5103" t="inlineStr">
        <is>
          <t>Diablo Tools DMAPL2400 5/8 in. x 6 in. x 8 in. SDS‑Plus 2‑Cutter</t>
        </is>
      </c>
      <c r="D5103" t="inlineStr">
        <is>
          <t>Diablo by Freud DMARG1170 5/8 in. x 4 in. x 6 in. SPEEDemon Red Granite Carbide Tipped Hammer Drill Bit</t>
        </is>
      </c>
      <c r="E5103" s="2">
        <f>HYPERLINK("https://www.amazon.com/Diablo-Freud-DMARG1170-SPEEDemon-Granite/dp/B089LHNF2T/ref=sr_1_37?keywords=Diablo+Tools+DMAPL2400+5%2F8+in.+x+6+in.+x+8+in.+SDS%E2%80%91Plus+2%E2%80%91Cutter&amp;qid=1694735276&amp;sr=8-37", "https://www.amazon.com/Diablo-Freud-DMARG1170-SPEEDemon-Granite/dp/B089LHNF2T/ref=sr_1_37?keywords=Diablo+Tools+DMAPL2400+5%2F8+in.+x+6+in.+x+8+in.+SDS%E2%80%91Plus+2%E2%80%91Cutter&amp;qid=1694735276&amp;sr=8-37")</f>
        <v/>
      </c>
      <c r="F5103" t="inlineStr">
        <is>
          <t>B089LHNF2T</t>
        </is>
      </c>
      <c r="G5103">
        <f>_xludf.IMAGE("https://edmondsonsupply.com/cdn/shop/products/pn8n58bx2f87ihetrrnf_f6b67816-c0ba-4ddd-9eb9-58f843607bd5.webp?v=1676039619")</f>
        <v/>
      </c>
      <c r="H5103">
        <f>_xludf.IMAGE("https://m.media-amazon.com/images/I/61+aCAjnkLL._AC_UL320_.jpg")</f>
        <v/>
      </c>
      <c r="K5103" t="inlineStr">
        <is>
          <t>8.88</t>
        </is>
      </c>
      <c r="L5103" t="n">
        <v>11.99</v>
      </c>
      <c r="M5103" s="1" t="inlineStr">
        <is>
          <t>35.02%</t>
        </is>
      </c>
      <c r="N5103" s="1" t="n">
        <v>-55</v>
      </c>
      <c r="O5103" t="n">
        <v>4.6</v>
      </c>
      <c r="P5103" t="n">
        <v>14</v>
      </c>
      <c r="R5103" t="inlineStr">
        <is>
          <t>InStock</t>
        </is>
      </c>
      <c r="S5103" t="inlineStr">
        <is>
          <t>14.09</t>
        </is>
      </c>
      <c r="T5103" t="inlineStr">
        <is>
          <t>5418407723176</t>
        </is>
      </c>
    </row>
    <row r="5104" ht="87" customHeight="1">
      <c r="A5104" s="2">
        <f>HYPERLINK("https://edmondsonsupply.com/collections/electricians-tools/products/greenlee-1916-ss-stainless-steel-wire-stripper-10-20awg", "https://edmondsonsupply.com/collections/electricians-tools/products/greenlee-1916-ss-stainless-steel-wire-stripper-10-20awg")</f>
        <v/>
      </c>
      <c r="B5104" s="2">
        <f>HYPERLINK("https://edmondsonsupply.com/products/greenlee-1916-ss-stainless-steel-wire-stripper-10-20awg", "https://edmondsonsupply.com/products/greenlee-1916-ss-stainless-steel-wire-stripper-10-20awg")</f>
        <v/>
      </c>
      <c r="C5104" t="inlineStr">
        <is>
          <t>Greenlee 1916-SS Stainless Steel Wire Stripper (10-20AWG)</t>
        </is>
      </c>
      <c r="D5104" t="inlineStr">
        <is>
          <t>Greenlee Hand Tools Stainless Steel Wire Stripper (1916-SS), 10-20AWG</t>
        </is>
      </c>
      <c r="E5104" s="2">
        <f>HYPERLINK("https://www.amazon.com/Greenlee-1916-SS-Stainless-Stripper-10-20AWG/dp/B00GFXD1W0/ref=sr_1_1?keywords=Greenlee+1916-SS+Stainless+Steel+Wire+Stripper+%2810-20AWG%29&amp;qid=1694735243&amp;sr=8-1", "https://www.amazon.com/Greenlee-1916-SS-Stainless-Stripper-10-20AWG/dp/B00GFXD1W0/ref=sr_1_1?keywords=Greenlee+1916-SS+Stainless+Steel+Wire+Stripper+%2810-20AWG%29&amp;qid=1694735243&amp;sr=8-1")</f>
        <v/>
      </c>
      <c r="F5104" t="inlineStr">
        <is>
          <t>B00GFXD1W0</t>
        </is>
      </c>
      <c r="G5104">
        <f>_xlfn.IMAGE("https://edmondsonsupply.com/cdn/shop/products/1916-SS_side_closed.jpg?v=1633030805")</f>
        <v/>
      </c>
      <c r="H5104">
        <f>_xlfn.IMAGE("https://m.media-amazon.com/images/I/71VJqNq2T9L._AC_UL320_.jpg")</f>
        <v/>
      </c>
      <c r="K5104" t="inlineStr">
        <is>
          <t>15.99</t>
        </is>
      </c>
      <c r="L5104" t="n">
        <v>21.55</v>
      </c>
      <c r="M5104" s="1" t="inlineStr">
        <is>
          <t>34.77%</t>
        </is>
      </c>
      <c r="N5104" s="7" t="n">
        <v>-55.04</v>
      </c>
      <c r="O5104" t="n">
        <v>4.5</v>
      </c>
      <c r="P5104" t="n">
        <v>195</v>
      </c>
      <c r="R5104" t="inlineStr">
        <is>
          <t>InStock</t>
        </is>
      </c>
      <c r="S5104" t="inlineStr">
        <is>
          <t>17.45</t>
        </is>
      </c>
      <c r="T5104" t="inlineStr">
        <is>
          <t>6006115172520</t>
        </is>
      </c>
    </row>
    <row r="5105" ht="87" customHeight="1">
      <c r="A5105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105" s="2">
        <f>HYPERLINK("https://edmondsonsupply.com/products/diablo-tools-dag1110-7-8-in-x-7-1-2-in-auger-bit", "https://edmondsonsupply.com/products/diablo-tools-dag1110-7-8-in-x-7-1-2-in-auger-bit")</f>
        <v/>
      </c>
      <c r="C5105" t="inlineStr">
        <is>
          <t>Diablo Tools DAG1110 7/8 in. x 7-1/2 in. Auger Bit</t>
        </is>
      </c>
      <c r="D5105" t="inlineStr">
        <is>
          <t>Wood Owl 7-1/2" Long Ultra Smooth Tri Cut Auger Hand Brace Boring Bit PTEE Coated (7/8" x 7-1/2" 09711)</t>
        </is>
      </c>
      <c r="E5105" s="2">
        <f>HYPERLINK("https://www.amazon.com/Ultra-Smooth-Auger-Boring-Coated/dp/B01N6FSNR4/ref=sr_1_26?keywords=Diablo+Tools+DAG1110+7%2F8+in.+x+7-1%2F2+in.+Auger+Bit&amp;qid=1694735001&amp;sr=8-26", "https://www.amazon.com/Ultra-Smooth-Auger-Boring-Coated/dp/B01N6FSNR4/ref=sr_1_26?keywords=Diablo+Tools+DAG1110+7%2F8+in.+x+7-1%2F2+in.+Auger+Bit&amp;qid=1694735001&amp;sr=8-26")</f>
        <v/>
      </c>
      <c r="F5105" t="inlineStr">
        <is>
          <t>B01N6FSNR4</t>
        </is>
      </c>
      <c r="G5105">
        <f>_xlfn.IMAGE("https://edmondsonsupply.com/cdn/shop/products/yel7mbaiyy08ii0assd5.webp?v=1680187136")</f>
        <v/>
      </c>
      <c r="H5105">
        <f>_xlfn.IMAGE("https://m.media-amazon.com/images/I/518e9fef6PL._AC_UL320_.jpg")</f>
        <v/>
      </c>
      <c r="K5105" t="inlineStr">
        <is>
          <t>16.97</t>
        </is>
      </c>
      <c r="L5105" t="n">
        <v>22.87</v>
      </c>
      <c r="M5105" s="1" t="inlineStr">
        <is>
          <t>34.77%</t>
        </is>
      </c>
      <c r="N5105" s="7" t="n">
        <v>-55.04</v>
      </c>
      <c r="O5105" t="n">
        <v>4.6</v>
      </c>
      <c r="P5105" t="n">
        <v>405</v>
      </c>
      <c r="R5105" t="inlineStr">
        <is>
          <t>InStock</t>
        </is>
      </c>
      <c r="S5105" t="inlineStr">
        <is>
          <t>23.76</t>
        </is>
      </c>
      <c r="T5105" t="inlineStr">
        <is>
          <t>7970459549912</t>
        </is>
      </c>
    </row>
    <row r="5106" hidden="1" ht="15.75" customHeight="1">
      <c r="A5106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5106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5106" t="inlineStr">
        <is>
          <t>Diablo Tools DMAPL4300 1 in. x 8 in. x 10 in. Rebar Demon™ SDS‑Plus 4‑Cutter Full Carbide Head Hammer Drill Bit</t>
        </is>
      </c>
      <c r="D5106" t="inlineStr">
        <is>
          <t>Diablo DMAMX1180 7/8 in. x 16 in. x 21 in. Rebar Demon™ SDS-Max 4-Cutter Full Carbide Head Hammer Bit</t>
        </is>
      </c>
      <c r="E5106" s="2">
        <f>HYPERLINK("https://www.amazon.com/Diablo-SDS-Max-4-Cutter-Carbide-Hammer/dp/B089KWFF8B/ref=sr_1_38?keywords=Diablo+Tools+DMAPL4300+1+in.+x+8+in.+x+10+in.+Rebar+Demon%E2%84%A2+SDS%E2%80%91Plus+4%E2%80%91Cutter+Full+Carbide+Head+Hammer+Drill+Bit&amp;qid=1694735259&amp;sr=8-38", "https://www.amazon.com/Diablo-SDS-Max-4-Cutter-Carbide-Hammer/dp/B089KWFF8B/ref=sr_1_38?keywords=Diablo+Tools+DMAPL4300+1+in.+x+8+in.+x+10+in.+Rebar+Demon%E2%84%A2+SDS%E2%80%91Plus+4%E2%80%91Cutter+Full+Carbide+Head+Hammer+Drill+Bit&amp;qid=1694735259&amp;sr=8-38")</f>
        <v/>
      </c>
      <c r="F5106" t="inlineStr">
        <is>
          <t>B089KWFF8B</t>
        </is>
      </c>
      <c r="G5106">
        <f>_xludf.IMAGE("https://edmondsonsupply.com/cdn/shop/products/DMAPL4300_Additional-Images_0120200225.png?v=1633030652")</f>
        <v/>
      </c>
      <c r="H5106">
        <f>_xludf.IMAGE("https://m.media-amazon.com/images/I/611fTcYRNFL._AC_UL320_.jpg")</f>
        <v/>
      </c>
      <c r="K5106" t="inlineStr">
        <is>
          <t>38.97</t>
        </is>
      </c>
      <c r="L5106" t="n">
        <v>52.51</v>
      </c>
      <c r="M5106" s="1" t="inlineStr">
        <is>
          <t>34.74%</t>
        </is>
      </c>
      <c r="N5106" s="1" t="n">
        <v>-55.06</v>
      </c>
      <c r="O5106" t="n">
        <v>3.5</v>
      </c>
      <c r="P5106" t="n">
        <v>3</v>
      </c>
      <c r="R5106" t="inlineStr">
        <is>
          <t>InStock</t>
        </is>
      </c>
      <c r="S5106" t="inlineStr">
        <is>
          <t>52.66</t>
        </is>
      </c>
      <c r="T5106" t="inlineStr">
        <is>
          <t>5740518637736</t>
        </is>
      </c>
    </row>
    <row r="5107" hidden="1" ht="15.75" customHeight="1">
      <c r="A5107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5107" s="2">
        <f>HYPERLINK("https://edmondsonsupply.com/products/diablo-tools-dmapl2530-1-in-x-16-in-x-18-in-sds-plus-2-cutter", "https://edmondsonsupply.com/products/diablo-tools-dmapl2530-1-in-x-16-in-x-18-in-sds-plus-2-cutter")</f>
        <v/>
      </c>
      <c r="C5107" t="inlineStr">
        <is>
          <t>Diablo Tools DMAPL2530 1 in. x 16 in. x 18 in. SDS-Plus 2-Cutter</t>
        </is>
      </c>
      <c r="D5107" t="inlineStr">
        <is>
          <t>Diablo DMAMX1180 7/8 in. x 16 in. x 21 in. Rebar Demon™ SDS-Max 4-Cutter Full Carbide Head Hammer Bit</t>
        </is>
      </c>
      <c r="E5107" s="2">
        <f>HYPERLINK("https://www.amazon.com/Diablo-SDS-Max-4-Cutter-Carbide-Hammer/dp/B089KWFF8B/ref=sr_1_34?keywords=Diablo+Tools+DMAPL2530+1+in.+x+16+in.+x+18+in.+SDS-Plus+2-Cutter&amp;qid=1694735204&amp;sr=8-34", "https://www.amazon.com/Diablo-SDS-Max-4-Cutter-Carbide-Hammer/dp/B089KWFF8B/ref=sr_1_34?keywords=Diablo+Tools+DMAPL2530+1+in.+x+16+in.+x+18+in.+SDS-Plus+2-Cutter&amp;qid=1694735204&amp;sr=8-34")</f>
        <v/>
      </c>
      <c r="F5107" t="inlineStr">
        <is>
          <t>B089KWFF8B</t>
        </is>
      </c>
      <c r="G5107">
        <f>_xludf.IMAGE("https://edmondsonsupply.com/cdn/shop/products/DMAPL2530_Main-Image20200703.png?v=1627068300")</f>
        <v/>
      </c>
      <c r="H5107">
        <f>_xludf.IMAGE("https://m.media-amazon.com/images/I/611fTcYRNFL._AC_UL320_.jpg")</f>
        <v/>
      </c>
      <c r="K5107" t="inlineStr">
        <is>
          <t>38.97</t>
        </is>
      </c>
      <c r="L5107" t="n">
        <v>52.51</v>
      </c>
      <c r="M5107" s="1" t="inlineStr">
        <is>
          <t>34.74%</t>
        </is>
      </c>
      <c r="N5107" s="1" t="n">
        <v>-55.07</v>
      </c>
      <c r="O5107" t="n">
        <v>3.5</v>
      </c>
      <c r="P5107" t="n">
        <v>3</v>
      </c>
      <c r="R5107" t="inlineStr">
        <is>
          <t>InStock</t>
        </is>
      </c>
      <c r="S5107" t="inlineStr">
        <is>
          <t>50.56</t>
        </is>
      </c>
      <c r="T5107" t="inlineStr">
        <is>
          <t>6839623778477</t>
        </is>
      </c>
    </row>
    <row r="5108" ht="87" customHeight="1">
      <c r="A5108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5108" s="2">
        <f>HYPERLINK("https://edmondsonsupply.com/products/diablo-tools-dag3090-7-8-in-x-17-1-2-in-auger-bit", "https://edmondsonsupply.com/products/diablo-tools-dag3090-7-8-in-x-17-1-2-in-auger-bit")</f>
        <v/>
      </c>
      <c r="C5108" t="inlineStr">
        <is>
          <t>Diablo Tools DAG3090 7/8 in. x 17-1/2 in. Auger Bit</t>
        </is>
      </c>
      <c r="D5108" t="inlineStr">
        <is>
          <t>BOSCH NKLT14 7/8 In. x 17-1/2 In. Daredevil Auger Bit</t>
        </is>
      </c>
      <c r="E5108" s="2">
        <f>HYPERLINK("https://www.amazon.com/BOSCH-NKLT14-17-1-Daredevil-Auger/dp/B003BIFMW4/ref=sr_1_13?keywords=Diablo+Tools+DAG3090+7%2F8+in.+x+17-1%2F2+in.+Auger+Bit&amp;qid=1694735031&amp;sr=8-13", "https://www.amazon.com/BOSCH-NKLT14-17-1-Daredevil-Auger/dp/B003BIFMW4/ref=sr_1_13?keywords=Diablo+Tools+DAG3090+7%2F8+in.+x+17-1%2F2+in.+Auger+Bit&amp;qid=1694735031&amp;sr=8-13")</f>
        <v/>
      </c>
      <c r="F5108" t="inlineStr">
        <is>
          <t>B003BIFMW4</t>
        </is>
      </c>
      <c r="G5108">
        <f>_xlfn.IMAGE("https://edmondsonsupply.com/cdn/shop/products/aorgtpkivjubhtbiiau0.webp?v=1677256849")</f>
        <v/>
      </c>
      <c r="H5108">
        <f>_xlfn.IMAGE("https://m.media-amazon.com/images/I/61DtknokK5L._AC_UL320_.jpg")</f>
        <v/>
      </c>
      <c r="K5108" t="inlineStr">
        <is>
          <t>22.99</t>
        </is>
      </c>
      <c r="L5108" t="n">
        <v>30.97</v>
      </c>
      <c r="M5108" s="1" t="inlineStr">
        <is>
          <t>34.71%</t>
        </is>
      </c>
      <c r="N5108" s="7" t="n">
        <v>-55.07</v>
      </c>
      <c r="O5108" t="n">
        <v>4.4</v>
      </c>
      <c r="P5108" t="n">
        <v>161</v>
      </c>
      <c r="R5108" t="inlineStr">
        <is>
          <t>InStock</t>
        </is>
      </c>
      <c r="S5108" t="inlineStr">
        <is>
          <t>36.28</t>
        </is>
      </c>
      <c r="T5108" t="inlineStr">
        <is>
          <t>7950782136536</t>
        </is>
      </c>
    </row>
    <row r="5109" hidden="1" ht="15.75" customHeight="1">
      <c r="A5109" s="2">
        <f>HYPERLINK("https://edmondsonsupply.com/collections/electricians-tools/products/klein-tools-jth9e14-5-16-inch-hex-key-journeyman%E2%84%A2-t-handle-9-inch", "https://edmondsonsupply.com/collections/electricians-tools/products/klein-tools-jth9e14-5-16-inch-hex-key-journeyman%E2%84%A2-t-handle-9-inch")</f>
        <v/>
      </c>
      <c r="B5109" s="2">
        <f>HYPERLINK("https://edmondsonsupply.com/products/klein-tools-jth9e14-5-16-inch-hex-key-journeyman%e2%84%a2-t-handle-9-inch", "https://edmondsonsupply.com/products/klein-tools-jth9e14-5-16-inch-hex-key-journeyman%e2%84%a2-t-handle-9-inch")</f>
        <v/>
      </c>
      <c r="C5109" t="inlineStr">
        <is>
          <t>Klein Tools JTH9E14 5/16-Inch Hex Key, Journeyman™ T-Handle, 9-Inch</t>
        </is>
      </c>
      <c r="D5109" t="inlineStr">
        <is>
          <t>Klein Tools 70575 Grip-It Hex Key Set, 9-Key, 3-3/4-Inch Handle, SAE Sizes</t>
        </is>
      </c>
      <c r="E5109" s="2">
        <f>HYPERLINK("https://www.amazon.com/Grip-Square-Klein-Tools-70575/dp/B0002RI8PK/ref=sr_1_17?keywords=Klein+Tools+JTH9E14+5%2F16-Inch+Hex+Key%2C+Journeyman%E2%84%A2+T-Handle%2C+9-Inch&amp;qid=1694735101&amp;sr=8-17", "https://www.amazon.com/Grip-Square-Klein-Tools-70575/dp/B0002RI8PK/ref=sr_1_17?keywords=Klein+Tools+JTH9E14+5%2F16-Inch+Hex+Key%2C+Journeyman%E2%84%A2+T-Handle%2C+9-Inch&amp;qid=1694735101&amp;sr=8-17")</f>
        <v/>
      </c>
      <c r="F5109" t="inlineStr">
        <is>
          <t>B0002RI8PK</t>
        </is>
      </c>
      <c r="G5109">
        <f>_xludf.IMAGE("https://edmondsonsupply.com/cdn/shop/products/jth6e15_f4984146-222a-4a1f-9fb4-94d2ee6d0a9d.jpg?v=1665597420")</f>
        <v/>
      </c>
      <c r="H5109">
        <f>_xludf.IMAGE("https://m.media-amazon.com/images/I/51C7aw6OxTL._AC_UL320_.jpg")</f>
        <v/>
      </c>
      <c r="K5109" t="inlineStr">
        <is>
          <t>7.99</t>
        </is>
      </c>
      <c r="L5109" t="n">
        <v>10.74</v>
      </c>
      <c r="M5109" s="1" t="inlineStr">
        <is>
          <t>34.42%</t>
        </is>
      </c>
      <c r="N5109" s="1" t="n">
        <v>-55.08</v>
      </c>
      <c r="O5109" t="n">
        <v>4.4</v>
      </c>
      <c r="P5109" t="n">
        <v>65</v>
      </c>
      <c r="R5109" t="inlineStr">
        <is>
          <t>InStock</t>
        </is>
      </c>
      <c r="S5109" t="inlineStr">
        <is>
          <t>12.12</t>
        </is>
      </c>
      <c r="T5109" t="inlineStr">
        <is>
          <t>7850142204120</t>
        </is>
      </c>
    </row>
    <row r="5110" ht="87" customHeight="1">
      <c r="A5110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5110" s="2">
        <f>HYPERLINK("https://edmondsonsupply.com/products/diablo-tools-dag3090-7-8-in-x-17-1-2-in-auger-bit", "https://edmondsonsupply.com/products/diablo-tools-dag3090-7-8-in-x-17-1-2-in-auger-bit")</f>
        <v/>
      </c>
      <c r="C5110" t="inlineStr">
        <is>
          <t>Diablo Tools DAG3090 7/8 in. x 17-1/2 in. Auger Bit</t>
        </is>
      </c>
      <c r="D5110" t="inlineStr">
        <is>
          <t>Diablo 7/8 in. x 17-1/2 in. Auger Bit</t>
        </is>
      </c>
      <c r="E5110" s="2">
        <f>HYPERLINK("https://www.amazon.com/Diablo-17-1-Auger-Bit/dp/B089LG8GYB/ref=sr_1_1?keywords=Diablo+Tools+DAG3090+7%2F8+in.+x+17-1%2F2+in.+Auger+Bit&amp;qid=1694735031&amp;sr=8-1", "https://www.amazon.com/Diablo-17-1-Auger-Bit/dp/B089LG8GYB/ref=sr_1_1?keywords=Diablo+Tools+DAG3090+7%2F8+in.+x+17-1%2F2+in.+Auger+Bit&amp;qid=1694735031&amp;sr=8-1")</f>
        <v/>
      </c>
      <c r="F5110" t="inlineStr">
        <is>
          <t>B089LG8GYB</t>
        </is>
      </c>
      <c r="G5110">
        <f>_xlfn.IMAGE("https://edmondsonsupply.com/cdn/shop/products/aorgtpkivjubhtbiiau0.webp?v=1677256849")</f>
        <v/>
      </c>
      <c r="H5110">
        <f>_xlfn.IMAGE("https://m.media-amazon.com/images/I/61QXZJGNQTL._AC_UL320_.jpg")</f>
        <v/>
      </c>
      <c r="K5110" t="inlineStr">
        <is>
          <t>22.99</t>
        </is>
      </c>
      <c r="L5110" t="n">
        <v>30.9</v>
      </c>
      <c r="M5110" s="1" t="inlineStr">
        <is>
          <t>34.41%</t>
        </is>
      </c>
      <c r="N5110" s="7" t="n">
        <v>-55.12</v>
      </c>
      <c r="O5110" t="n">
        <v>4.3</v>
      </c>
      <c r="P5110" t="n">
        <v>29</v>
      </c>
      <c r="R5110" t="inlineStr">
        <is>
          <t>InStock</t>
        </is>
      </c>
      <c r="S5110" t="inlineStr">
        <is>
          <t>36.28</t>
        </is>
      </c>
      <c r="T5110" t="inlineStr">
        <is>
          <t>7950782136536</t>
        </is>
      </c>
    </row>
    <row r="5111" ht="87" customHeight="1">
      <c r="A5111" s="2">
        <f>HYPERLINK("https://edmondsonsupply.com/collections/electricians-tools/products/milwaukee-2553-22", "https://edmondsonsupply.com/collections/electricians-tools/products/milwaukee-2553-22")</f>
        <v/>
      </c>
      <c r="B5111" s="2">
        <f>HYPERLINK("https://edmondsonsupply.com/products/milwaukee-2553-22", "https://edmondsonsupply.com/products/milwaukee-2553-22")</f>
        <v/>
      </c>
      <c r="C5111" t="inlineStr">
        <is>
          <t>Milwaukee 2553-22 M12 FUEL™ 1/4" Hex Impact Driver Kit</t>
        </is>
      </c>
      <c r="D5111" t="inlineStr">
        <is>
          <t>Milwaukee 2953-22 18V Cordless Brushless 1/4" Hex Impact Driver Kit with (2) 5.0Ah Lithium Ion Batteries, Charger &amp; Tool Case</t>
        </is>
      </c>
      <c r="E5111" s="2">
        <f>HYPERLINK("https://www.amazon.com/Milwaukee-2953-22-Cordless-Brushless-Batteries/dp/B0BB86J415/ref=sr_1_21?keywords=Milwaukee+2553-22+M12+FUEL%E2%84%A2+1%2F4%22+Hex+Impact+Driver+Kit&amp;qid=1694735083&amp;sr=8-21", "https://www.amazon.com/Milwaukee-2953-22-Cordless-Brushless-Batteries/dp/B0BB86J415/ref=sr_1_21?keywords=Milwaukee+2553-22+M12+FUEL%E2%84%A2+1%2F4%22+Hex+Impact+Driver+Kit&amp;qid=1694735083&amp;sr=8-21")</f>
        <v/>
      </c>
      <c r="F5111" t="inlineStr">
        <is>
          <t>B0BB86J415</t>
        </is>
      </c>
      <c r="G5111">
        <f>_xlfn.IMAGE("https://edmondsonsupply.com/cdn/shop/products/2553-22_Kit.webp?v=1668445129")</f>
        <v/>
      </c>
      <c r="H5111">
        <f>_xlfn.IMAGE("https://m.media-amazon.com/images/I/61sqc+wUkvL._AC_UL320_.jpg")</f>
        <v/>
      </c>
      <c r="K5111" t="inlineStr">
        <is>
          <t>169.0</t>
        </is>
      </c>
      <c r="L5111" t="n">
        <v>227</v>
      </c>
      <c r="M5111" s="1" t="inlineStr">
        <is>
          <t>34.32%</t>
        </is>
      </c>
      <c r="N5111" s="7" t="n">
        <v>-55.18</v>
      </c>
      <c r="O5111" t="n">
        <v>4.7</v>
      </c>
      <c r="P5111" t="n">
        <v>96</v>
      </c>
      <c r="R5111" t="inlineStr">
        <is>
          <t>InStock</t>
        </is>
      </c>
      <c r="S5111" t="inlineStr">
        <is>
          <t>299.0</t>
        </is>
      </c>
      <c r="T5111" t="inlineStr">
        <is>
          <t>7884423528664</t>
        </is>
      </c>
    </row>
    <row r="5112" ht="87" customHeight="1">
      <c r="A5112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5112" s="2">
        <f>HYPERLINK("https://edmondsonsupply.com/products/diablo-tools-dmapl2320-1-2-in-x-10-in-x-12-in-sds-plus-2-cutter", "https://edmondsonsupply.com/products/diablo-tools-dmapl2320-1-2-in-x-10-in-x-12-in-sds-plus-2-cutter")</f>
        <v/>
      </c>
      <c r="C5112" t="inlineStr">
        <is>
          <t>Diablo Tools DMAPL2320 1/2 in. x 10 in. x 12 in. SDS-Plus 2-Cutter</t>
        </is>
      </c>
      <c r="D5112" t="inlineStr">
        <is>
          <t>Diablo by Freud Diablo DMAPL4190 1/2 in. x 10 in. x 12 in. Rebar Demon SDS-Plus 4-Cutter Full Carbide Head Hammer Bit</t>
        </is>
      </c>
      <c r="E5112" s="2">
        <f>HYPERLINK("https://www.amazon.com/Diablo-Freud-DMAPL4190-SDS-Plus-4-Cutter/dp/B089LJZ25M/ref=sr_1_7?keywords=Diablo+Tools+DMAPL2320+1%2F2+in.+x+10+in.+x+12+in.+SDS-Plus+2-Cutter&amp;qid=1694735300&amp;sr=8-7", "https://www.amazon.com/Diablo-Freud-DMAPL4190-SDS-Plus-4-Cutter/dp/B089LJZ25M/ref=sr_1_7?keywords=Diablo+Tools+DMAPL2320+1%2F2+in.+x+10+in.+x+12+in.+SDS-Plus+2-Cutter&amp;qid=1694735300&amp;sr=8-7")</f>
        <v/>
      </c>
      <c r="F5112" t="inlineStr">
        <is>
          <t>B089LJZ25M</t>
        </is>
      </c>
      <c r="G5112">
        <f>_xlfn.IMAGE("https://edmondsonsupply.com/cdn/shop/products/DMAPL2320.jpg?v=1633030356")</f>
        <v/>
      </c>
      <c r="H5112">
        <f>_xlfn.IMAGE("https://m.media-amazon.com/images/I/61dzudnwI8L._AC_UL320_.jpg")</f>
        <v/>
      </c>
      <c r="K5112" t="inlineStr">
        <is>
          <t>12.97</t>
        </is>
      </c>
      <c r="L5112" t="n">
        <v>17.41</v>
      </c>
      <c r="M5112" s="1" t="inlineStr">
        <is>
          <t>34.23%</t>
        </is>
      </c>
      <c r="N5112" s="7" t="n">
        <v>-55.32</v>
      </c>
      <c r="O5112" t="n">
        <v>4.6</v>
      </c>
      <c r="P5112" t="n">
        <v>43</v>
      </c>
      <c r="R5112" t="inlineStr">
        <is>
          <t>InStock</t>
        </is>
      </c>
      <c r="S5112" t="inlineStr">
        <is>
          <t>14.25</t>
        </is>
      </c>
      <c r="T5112" t="inlineStr">
        <is>
          <t>5286282264744</t>
        </is>
      </c>
    </row>
    <row r="5113" ht="87" customHeight="1">
      <c r="A5113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5113" s="2">
        <f>HYPERLINK("https://edmondsonsupply.com/products/klein-tools-1011m-metric-wire-stripper-cutter-stranded-wire", "https://edmondsonsupply.com/products/klein-tools-1011m-metric-wire-stripper-cutter-stranded-wire")</f>
        <v/>
      </c>
      <c r="C5113" t="inlineStr">
        <is>
          <t>Klein Tools 1011M Metric Wire Stripper/Cutter Stranded Wire</t>
        </is>
      </c>
      <c r="D5113" t="inlineStr">
        <is>
          <t>Klein Tools K11095 Klein-Kurve Wire Stripper and Cutter, for 8-18 AWG Solid and 10-20 AWG Stranded Wire,Blue/White</t>
        </is>
      </c>
      <c r="E5113" s="2">
        <f>HYPERLINK("https://www.amazon.com/Klein-Tools-K11095-Klein-Kurve-Stripper/dp/B08TQ83P2C/ref=sr_1_8?keywords=Klein+Tools+1011M+Metric+Wire+Stripper%2FCutter+Stranded+Wire&amp;qid=1694735312&amp;sr=8-8", "https://www.amazon.com/Klein-Tools-K11095-Klein-Kurve-Stripper/dp/B08TQ83P2C/ref=sr_1_8?keywords=Klein+Tools+1011M+Metric+Wire+Stripper%2FCutter+Stranded+Wire&amp;qid=1694735312&amp;sr=8-8")</f>
        <v/>
      </c>
      <c r="F5113" t="inlineStr">
        <is>
          <t>B08TQ83P2C</t>
        </is>
      </c>
      <c r="G5113">
        <f>_xlfn.IMAGE("https://edmondsonsupply.com/cdn/shop/products/1011m.jpg?v=1633030273")</f>
        <v/>
      </c>
      <c r="H5113">
        <f>_xlfn.IMAGE("https://m.media-amazon.com/images/I/5180XMjuiIL._AC_UL320_.jpg")</f>
        <v/>
      </c>
      <c r="K5113" t="inlineStr">
        <is>
          <t>14.99</t>
        </is>
      </c>
      <c r="L5113" t="n">
        <v>20.09</v>
      </c>
      <c r="M5113" s="1" t="inlineStr">
        <is>
          <t>34.02%</t>
        </is>
      </c>
      <c r="N5113" s="7" t="n">
        <v>-55.59</v>
      </c>
      <c r="O5113" t="n">
        <v>4.8</v>
      </c>
      <c r="P5113" t="n">
        <v>438</v>
      </c>
      <c r="R5113" t="inlineStr">
        <is>
          <t>InStock</t>
        </is>
      </c>
      <c r="S5113" t="inlineStr">
        <is>
          <t>22.72</t>
        </is>
      </c>
      <c r="T5113" t="inlineStr">
        <is>
          <t>5237017772200</t>
        </is>
      </c>
    </row>
    <row r="5114" ht="87" customHeight="1">
      <c r="A5114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5114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5114" t="inlineStr">
        <is>
          <t>Klein Tools 32288 8-in-1 Insulated Interchangeable Screwdriver Set</t>
        </is>
      </c>
      <c r="D5114" t="inlineStr">
        <is>
          <t>Klein Tools 85148 Screwdriver Set with Magnetizer / Demagnetizer for Magnetic Tips, Flathead and Phillips, Non-Slip Cushion Grip, 8-Piece</t>
        </is>
      </c>
      <c r="E5114" s="2">
        <f>HYPERLINK("https://www.amazon.com/Klein-Tools-85148-Screwdriver-Demagnetizer/dp/B07W7VCQK3/ref=sr_1_42?keywords=Klein+Tools+32288+8-in-1+Insulated+Interchangeable+Screwdriver+Set&amp;qid=1694734974&amp;sr=8-42", "https://www.amazon.com/Klein-Tools-85148-Screwdriver-Demagnetizer/dp/B07W7VCQK3/ref=sr_1_42?keywords=Klein+Tools+32288+8-in-1+Insulated+Interchangeable+Screwdriver+Set&amp;qid=1694734974&amp;sr=8-42")</f>
        <v/>
      </c>
      <c r="F5114" t="inlineStr">
        <is>
          <t>B07W7VCQK3</t>
        </is>
      </c>
      <c r="G5114">
        <f>_xlfn.IMAGE("https://edmondsonsupply.com/cdn/shop/products/32288.jpg?v=1587146849")</f>
        <v/>
      </c>
      <c r="H5114">
        <f>_xlfn.IMAGE("https://m.media-amazon.com/images/I/61UZQBagY-L._AC_UL320_.jpg")</f>
        <v/>
      </c>
      <c r="K5114" t="inlineStr">
        <is>
          <t>49.99</t>
        </is>
      </c>
      <c r="L5114" t="n">
        <v>66.98999999999999</v>
      </c>
      <c r="M5114" s="1" t="inlineStr">
        <is>
          <t>34.01%</t>
        </is>
      </c>
      <c r="N5114" s="7" t="n">
        <v>-55.62</v>
      </c>
      <c r="O5114" t="n">
        <v>4.9</v>
      </c>
      <c r="P5114" t="n">
        <v>1816</v>
      </c>
      <c r="R5114" t="inlineStr">
        <is>
          <t>InStock</t>
        </is>
      </c>
      <c r="S5114" t="inlineStr">
        <is>
          <t>69.98</t>
        </is>
      </c>
      <c r="T5114" t="inlineStr">
        <is>
          <t>4094849613924</t>
        </is>
      </c>
    </row>
    <row r="5115" ht="87" customHeight="1">
      <c r="A5115" s="2">
        <f>HYPERLINK("https://edmondsonsupply.com/collections/electricians-tools/products/fluke-87v", "https://edmondsonsupply.com/collections/electricians-tools/products/fluke-87v")</f>
        <v/>
      </c>
      <c r="B5115" s="2">
        <f>HYPERLINK("https://edmondsonsupply.com/products/fluke-87v", "https://edmondsonsupply.com/products/fluke-87v")</f>
        <v/>
      </c>
      <c r="C5115" t="inlineStr">
        <is>
          <t>Fluke 87V Industrial Multimeter</t>
        </is>
      </c>
      <c r="D5115" t="inlineStr">
        <is>
          <t>Fluke 87V Multimeter + Hand Tool Starter Kit Bundle</t>
        </is>
      </c>
      <c r="E5115" s="2">
        <f>HYPERLINK("https://www.amazon.com/Fluke-87-5-Multimeter-Starter-Bundle/dp/B07SFZR6Q7/ref=sr_1_12?keywords=Fluke+87V+Industrial+Multimeter&amp;qid=1694735314&amp;sr=8-12", "https://www.amazon.com/Fluke-87-5-Multimeter-Starter-Bundle/dp/B07SFZR6Q7/ref=sr_1_12?keywords=Fluke+87V+Industrial+Multimeter&amp;qid=1694735314&amp;sr=8-12")</f>
        <v/>
      </c>
      <c r="F5115" t="inlineStr">
        <is>
          <t>B07SFZR6Q7</t>
        </is>
      </c>
      <c r="G5115">
        <f>_xlfn.IMAGE("https://edmondsonsupply.com/cdn/shop/products/875.jpg?v=1633030274")</f>
        <v/>
      </c>
      <c r="H5115">
        <f>_xlfn.IMAGE("https://m.media-amazon.com/images/I/61+Okic77TL._AC_UL320_.jpg")</f>
        <v/>
      </c>
      <c r="K5115" t="inlineStr">
        <is>
          <t>459.89</t>
        </is>
      </c>
      <c r="L5115" t="n">
        <v>616.15</v>
      </c>
      <c r="M5115" s="1" t="inlineStr">
        <is>
          <t>33.98%</t>
        </is>
      </c>
      <c r="N5115" s="7" t="n">
        <v>-55.67</v>
      </c>
      <c r="O5115" t="n">
        <v>5</v>
      </c>
      <c r="P5115" t="n">
        <v>2</v>
      </c>
      <c r="R5115" t="inlineStr">
        <is>
          <t>InStock</t>
        </is>
      </c>
      <c r="S5115" t="inlineStr">
        <is>
          <t>521.99</t>
        </is>
      </c>
      <c r="T5115" t="inlineStr">
        <is>
          <t>5238369452200</t>
        </is>
      </c>
    </row>
    <row r="5116" ht="87" customHeight="1">
      <c r="A5116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5116" s="2">
        <f>HYPERLINK("https://edmondsonsupply.com/products/klein-tools-66070-flip-impact-socket-set-7-piece", "https://edmondsonsupply.com/products/klein-tools-66070-flip-impact-socket-set-7-piece")</f>
        <v/>
      </c>
      <c r="C5116" t="inlineStr">
        <is>
          <t>Klein Tools 66070 Flip Impact Socket Set, 7-Piece</t>
        </is>
      </c>
      <c r="D5116" t="inlineStr">
        <is>
          <t>Klein Tools 66070 Impact Socket Set, Impact Driver Flip Socket, Five Sockets with 1/4-Inch Hex and 1/2-Inch Square Socket Adapters, 7-Piece</t>
        </is>
      </c>
      <c r="E5116" s="2">
        <f>HYPERLINK("https://www.amazon.com/Klein-Tools-66070-Impact-7-Piece/dp/B0BGZPWNJQ/ref=sr_1_2?keywords=Klein+Tools+66070+Flip+Impact+Socket+Set%2C+7-Piece&amp;qid=1694734974&amp;sr=8-2", "https://www.amazon.com/Klein-Tools-66070-Impact-7-Piece/dp/B0BGZPWNJQ/ref=sr_1_2?keywords=Klein+Tools+66070+Flip+Impact+Socket+Set%2C+7-Piece&amp;qid=1694734974&amp;sr=8-2")</f>
        <v/>
      </c>
      <c r="F5116" t="inlineStr">
        <is>
          <t>B0BGZPWNJQ</t>
        </is>
      </c>
      <c r="G5116">
        <f>_xlfn.IMAGE("https://edmondsonsupply.com/cdn/shop/products/66070_b.jpg?v=1663251434")</f>
        <v/>
      </c>
      <c r="H5116">
        <f>_xlfn.IMAGE("https://m.media-amazon.com/images/I/519cDb-A9oL._AC_UL320_.jpg")</f>
        <v/>
      </c>
      <c r="K5116" t="inlineStr">
        <is>
          <t>49.97</t>
        </is>
      </c>
      <c r="L5116" t="n">
        <v>66.94</v>
      </c>
      <c r="M5116" s="1" t="inlineStr">
        <is>
          <t>33.96%</t>
        </is>
      </c>
      <c r="N5116" s="7" t="n">
        <v>-55.77</v>
      </c>
      <c r="O5116" t="n">
        <v>4.8</v>
      </c>
      <c r="P5116" t="n">
        <v>18</v>
      </c>
      <c r="R5116" t="inlineStr">
        <is>
          <t>InStock</t>
        </is>
      </c>
      <c r="S5116" t="inlineStr">
        <is>
          <t>69.98</t>
        </is>
      </c>
      <c r="T5116" t="inlineStr">
        <is>
          <t>7817421127896</t>
        </is>
      </c>
    </row>
    <row r="5117" hidden="1" ht="15.75" customHeight="1">
      <c r="A5117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5117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5117" t="inlineStr">
        <is>
          <t>Klein Tools 630-3/8 3/8-Inch Nut Driver with 3-Inch Hollow Shaft</t>
        </is>
      </c>
      <c r="D5117" t="inlineStr">
        <is>
          <t>Wiha 34341 Nut Driver Hollow Shaft with SoftFinish Handle, Inch, 3/8"</t>
        </is>
      </c>
      <c r="E5117" s="2">
        <f>HYPERLINK("https://www.amazon.com/Wiha-34341-Driver-Hollow-SoftFinish/dp/B001ID8Z78/ref=sr_1_31?keywords=Klein+Tools+630-3%2F8+3%2F8-Inch+Nut+Driver+with+3-Inch+Hollow+Shaft&amp;qid=1694735236&amp;sr=8-31", "https://www.amazon.com/Wiha-34341-Driver-Hollow-SoftFinish/dp/B001ID8Z78/ref=sr_1_31?keywords=Klein+Tools+630-3%2F8+3%2F8-Inch+Nut+Driver+with+3-Inch+Hollow+Shaft&amp;qid=1694735236&amp;sr=8-31")</f>
        <v/>
      </c>
      <c r="F5117" t="inlineStr">
        <is>
          <t>B001ID8Z78</t>
        </is>
      </c>
      <c r="G5117">
        <f>_xludf.IMAGE("https://edmondsonsupply.com/cdn/shop/products/630-1-2_e23f9fbd-a282-44d7-b743-2cfe0f84edfa.jpg?v=1633030906")</f>
        <v/>
      </c>
      <c r="H5117">
        <f>_xludf.IMAGE("https://m.media-amazon.com/images/I/71kA5UCY8QL._AC_UL320_.jpg")</f>
        <v/>
      </c>
      <c r="K5117" t="inlineStr">
        <is>
          <t>8.99</t>
        </is>
      </c>
      <c r="L5117" t="n">
        <v>12.04</v>
      </c>
      <c r="M5117" s="1" t="inlineStr">
        <is>
          <t>33.93%</t>
        </is>
      </c>
      <c r="N5117" s="1" t="n">
        <v>-55.99</v>
      </c>
      <c r="O5117" t="n">
        <v>5</v>
      </c>
      <c r="P5117" t="n">
        <v>1</v>
      </c>
      <c r="R5117" t="inlineStr">
        <is>
          <t>InStock</t>
        </is>
      </c>
      <c r="S5117" t="inlineStr">
        <is>
          <t>11.74</t>
        </is>
      </c>
      <c r="T5117" t="inlineStr">
        <is>
          <t>6244382376109</t>
        </is>
      </c>
    </row>
    <row r="5118" hidden="1" ht="15.75" customHeight="1">
      <c r="A5118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5118" s="2">
        <f>HYPERLINK("https://edmondsonsupply.com/products/klein-tools-jth6m2-2-mm-hex-key-journeyman-t-handle-6-inch", "https://edmondsonsupply.com/products/klein-tools-jth6m2-2-mm-hex-key-journeyman-t-handle-6-inch")</f>
        <v/>
      </c>
      <c r="C5118" t="inlineStr">
        <is>
          <t>Klein Tools JTH6M2 2 mm Hex Key, Journeyman T-Handle, 6-Inch</t>
        </is>
      </c>
      <c r="D5118" t="inlineStr">
        <is>
          <t>Klein Tools JTH6E06BE 3/32-Inch Ball End Hex Key with Journeyman T-Handle, 6-Inch</t>
        </is>
      </c>
      <c r="E5118" s="2">
        <f>HYPERLINK("https://www.amazon.com/Journeyman-T-Handle-Klein-Tools-JTH6E06BE/dp/B004QVX826/ref=sr_1_4?keywords=Klein+Tools+JTH6M2+2+mm+Hex+Key%2C+Journeyman+T-Handle%2C+6-Inch&amp;qid=1694735354&amp;sr=8-4", "https://www.amazon.com/Journeyman-T-Handle-Klein-Tools-JTH6E06BE/dp/B004QVX826/ref=sr_1_4?keywords=Klein+Tools+JTH6M2+2+mm+Hex+Key%2C+Journeyman+T-Handle%2C+6-Inch&amp;qid=1694735354&amp;sr=8-4")</f>
        <v/>
      </c>
      <c r="F5118" t="inlineStr">
        <is>
          <t>B004QVX826</t>
        </is>
      </c>
      <c r="G5118">
        <f>_xludf.IMAGE("https://edmondsonsupply.com/cdn/shop/products/jth6m8_a05a7009-87dd-4391-9f0b-ef31a782bd36.jpg?v=1587147558")</f>
        <v/>
      </c>
      <c r="H5118">
        <f>_xludf.IMAGE("https://m.media-amazon.com/images/I/51f9vBFVXgL._AC_UL320_.jpg")</f>
        <v/>
      </c>
      <c r="K5118" t="inlineStr">
        <is>
          <t>3.99</t>
        </is>
      </c>
      <c r="L5118" t="n">
        <v>5.34</v>
      </c>
      <c r="M5118" s="1" t="inlineStr">
        <is>
          <t>33.83%</t>
        </is>
      </c>
      <c r="N5118" s="1" t="n">
        <v>-56.01</v>
      </c>
      <c r="O5118" t="n">
        <v>4.8</v>
      </c>
      <c r="P5118" t="n">
        <v>454</v>
      </c>
      <c r="R5118" t="inlineStr">
        <is>
          <t>InStock</t>
        </is>
      </c>
      <c r="S5118" t="inlineStr">
        <is>
          <t>6.06</t>
        </is>
      </c>
      <c r="T5118" t="inlineStr">
        <is>
          <t>4506082738276</t>
        </is>
      </c>
    </row>
    <row r="5119" hidden="1" ht="15.75" customHeight="1">
      <c r="A5119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5119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5119" t="inlineStr">
        <is>
          <t>Klein Tools JTH4E06 3/32-Inch Hex Key, Journeyman T-Handle, 4-Inch</t>
        </is>
      </c>
      <c r="D5119" t="inlineStr">
        <is>
          <t>Klein Tools JTH6E06BE 3/32-Inch Ball End Hex Key with Journeyman T-Handle, 6-Inch</t>
        </is>
      </c>
      <c r="E5119" s="2">
        <f>HYPERLINK("https://www.amazon.com/Journeyman-T-Handle-Klein-Tools-JTH6E06BE/dp/B004QVX826/ref=sr_1_3?keywords=Klein+Tools+JTH4E06+3%2F32-Inch+Hex+Key%2C+Journeyman+T-Handle%2C+4-Inch&amp;qid=1694735173&amp;sr=8-3", "https://www.amazon.com/Journeyman-T-Handle-Klein-Tools-JTH6E06BE/dp/B004QVX826/ref=sr_1_3?keywords=Klein+Tools+JTH4E06+3%2F32-Inch+Hex+Key%2C+Journeyman+T-Handle%2C+4-Inch&amp;qid=1694735173&amp;sr=8-3")</f>
        <v/>
      </c>
      <c r="F5119" t="inlineStr">
        <is>
          <t>B004QVX826</t>
        </is>
      </c>
      <c r="G5119">
        <f>_xludf.IMAGE("https://edmondsonsupply.com/cdn/shop/products/jth4e06.jpg?v=1635112029")</f>
        <v/>
      </c>
      <c r="H5119">
        <f>_xludf.IMAGE("https://m.media-amazon.com/images/I/51f9vBFVXgL._AC_UL320_.jpg")</f>
        <v/>
      </c>
      <c r="K5119" t="inlineStr">
        <is>
          <t>3.99</t>
        </is>
      </c>
      <c r="L5119" t="n">
        <v>5.34</v>
      </c>
      <c r="M5119" s="1" t="inlineStr">
        <is>
          <t>33.83%</t>
        </is>
      </c>
      <c r="N5119" s="1" t="n">
        <v>-56.03</v>
      </c>
      <c r="O5119" t="n">
        <v>4.8</v>
      </c>
      <c r="P5119" t="n">
        <v>454</v>
      </c>
      <c r="R5119" t="inlineStr">
        <is>
          <t>InStock</t>
        </is>
      </c>
      <c r="S5119" t="inlineStr">
        <is>
          <t>6.04</t>
        </is>
      </c>
      <c r="T5119" t="inlineStr">
        <is>
          <t>7032648794285</t>
        </is>
      </c>
    </row>
    <row r="5120" hidden="1" ht="15.75" customHeight="1">
      <c r="A5120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5120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5120" t="inlineStr">
        <is>
          <t>Klein Tools JTH6E06 3/32-Inch Hex Key, Journeyman T-Handle, 6-Inch</t>
        </is>
      </c>
      <c r="D5120" t="inlineStr">
        <is>
          <t>Klein Tools JTH6E06BE 3/32-Inch Ball End Hex Key with Journeyman T-Handle, 6-Inch</t>
        </is>
      </c>
      <c r="E5120" s="2">
        <f>HYPERLINK("https://www.amazon.com/Journeyman-T-Handle-Klein-Tools-JTH6E06BE/dp/B004QVX826/ref=sr_1_2?keywords=Klein+Tools+JTH6E06+3%2F32-Inch+Hex+Key%2C+Journeyman+T-Handle%2C+6-Inch&amp;qid=1694735341&amp;sr=8-2", "https://www.amazon.com/Journeyman-T-Handle-Klein-Tools-JTH6E06BE/dp/B004QVX826/ref=sr_1_2?keywords=Klein+Tools+JTH6E06+3%2F32-Inch+Hex+Key%2C+Journeyman+T-Handle%2C+6-Inch&amp;qid=1694735341&amp;sr=8-2")</f>
        <v/>
      </c>
      <c r="F5120" t="inlineStr">
        <is>
          <t>B004QVX826</t>
        </is>
      </c>
      <c r="G5120">
        <f>_xludf.IMAGE("https://edmondsonsupply.com/cdn/shop/products/jth6e15_f3f40e05-27ea-4df2-91fc-a673e8aa5e4b.jpg?v=1587150971")</f>
        <v/>
      </c>
      <c r="H5120">
        <f>_xludf.IMAGE("https://m.media-amazon.com/images/I/51f9vBFVXgL._AC_UL320_.jpg")</f>
        <v/>
      </c>
      <c r="K5120" t="inlineStr">
        <is>
          <t>3.99</t>
        </is>
      </c>
      <c r="L5120" t="n">
        <v>5.34</v>
      </c>
      <c r="M5120" s="1" t="inlineStr">
        <is>
          <t>33.83%</t>
        </is>
      </c>
      <c r="N5120" s="1" t="n">
        <v>-56.03</v>
      </c>
      <c r="O5120" t="n">
        <v>4.8</v>
      </c>
      <c r="P5120" t="n">
        <v>454</v>
      </c>
      <c r="R5120" t="inlineStr">
        <is>
          <t>InStock</t>
        </is>
      </c>
      <c r="S5120" t="inlineStr">
        <is>
          <t>6.04</t>
        </is>
      </c>
      <c r="T5120" t="inlineStr">
        <is>
          <t>4512703709284</t>
        </is>
      </c>
    </row>
    <row r="5121" ht="87" customHeight="1">
      <c r="A5121" s="2">
        <f>HYPERLINK("https://edmondsonsupply.com/collections/electricians-tools/products/klein-tools-5416tc-bolt-bag-top-closing-tool-pouch-with-tunnel-connect-5-x-10-x-9-inch", "https://edmondsonsupply.com/collections/electricians-tools/products/klein-tools-5416tc-bolt-bag-top-closing-tool-pouch-with-tunnel-connect-5-x-10-x-9-inch")</f>
        <v/>
      </c>
      <c r="B5121" s="2">
        <f>HYPERLINK("https://edmondsonsupply.com/products/klein-tools-5416tc-bolt-bag-top-closing-tool-pouch-with-tunnel-connect-5-x-10-x-9-inch", "https://edmondsonsupply.com/products/klein-tools-5416tc-bolt-bag-top-closing-tool-pouch-with-tunnel-connect-5-x-10-x-9-inch")</f>
        <v/>
      </c>
      <c r="C5121" t="inlineStr">
        <is>
          <t>Klein Tools 5416TC Bolt Bag, Top Closing Tool Pouch with Tunnel Connect, 5 x 10 x 9-Inch</t>
        </is>
      </c>
      <c r="D5121" t="inlineStr">
        <is>
          <t>Klein Tools 5416TBR Tool Pouch, Bolt Retention Tool Bag Constructed of No. 4 Canvas with Reinforced Bottom, Tunnel Connect, 5 x 10 x 9-Inch</t>
        </is>
      </c>
      <c r="E5121" s="2">
        <f>HYPERLINK("https://www.amazon.com/Retention-10-Inch-Klein-Tools-5416TBR/dp/B06XYVMGZK/ref=sr_1_4?keywords=Klein+Tools+5416TC+Bolt+Bag%2C+Top+Closing+Tool+Pouch+with+Tunnel+Connect%2C+5+x+10+x+9-Inch&amp;qid=1694735257&amp;sr=8-4", "https://www.amazon.com/Retention-10-Inch-Klein-Tools-5416TBR/dp/B06XYVMGZK/ref=sr_1_4?keywords=Klein+Tools+5416TC+Bolt+Bag%2C+Top+Closing+Tool+Pouch+with+Tunnel+Connect%2C+5+x+10+x+9-Inch&amp;qid=1694735257&amp;sr=8-4")</f>
        <v/>
      </c>
      <c r="F5121" t="inlineStr">
        <is>
          <t>B06XYVMGZK</t>
        </is>
      </c>
      <c r="G5121">
        <f>_xlfn.IMAGE("https://edmondsonsupply.com/cdn/shop/products/5416tc.jpg?v=1633030625")</f>
        <v/>
      </c>
      <c r="H5121">
        <f>_xlfn.IMAGE("https://m.media-amazon.com/images/I/61X7uHtI2DL._AC_UL320_.jpg")</f>
        <v/>
      </c>
      <c r="K5121" t="inlineStr">
        <is>
          <t>29.37</t>
        </is>
      </c>
      <c r="L5121" t="n">
        <v>39.29</v>
      </c>
      <c r="M5121" s="1" t="inlineStr">
        <is>
          <t>33.78%</t>
        </is>
      </c>
      <c r="N5121" s="7" t="n">
        <v>-56.04</v>
      </c>
      <c r="O5121" t="n">
        <v>4.2</v>
      </c>
      <c r="P5121" t="n">
        <v>21</v>
      </c>
      <c r="R5121" t="inlineStr">
        <is>
          <t>InStock</t>
        </is>
      </c>
      <c r="S5121" t="inlineStr">
        <is>
          <t>46.6</t>
        </is>
      </c>
      <c r="T5121" t="inlineStr">
        <is>
          <t>5661413802152</t>
        </is>
      </c>
    </row>
    <row r="5122" ht="87" customHeight="1">
      <c r="A5122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5122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5122" t="inlineStr">
        <is>
          <t>Klein Tools 66050E 2-in-1 Metric Impact Socket Set, 12-Point, 5-Piece</t>
        </is>
      </c>
      <c r="D5122" t="inlineStr">
        <is>
          <t>Klein Tools 66010 2-in-1 Impact Socket Set, 6-Piece Tool Set with 12-Point Deep Sockets with 1/2-Inch Drive, Includes Tool Case</t>
        </is>
      </c>
      <c r="E5122" s="2">
        <f>HYPERLINK("https://www.amazon.com/Klein-Tools-66010-High-Torque-12-Point/dp/B07NZS6998/ref=sr_1_3?keywords=Klein+Tools+66050E+2-in-1+Metric+Impact+Socket+Set%2C+12-Point%2C+5-Piece&amp;qid=1694735136&amp;sr=8-3", "https://www.amazon.com/Klein-Tools-66010-High-Torque-12-Point/dp/B07NZS6998/ref=sr_1_3?keywords=Klein+Tools+66050E+2-in-1+Metric+Impact+Socket+Set%2C+12-Point%2C+5-Piece&amp;qid=1694735136&amp;sr=8-3")</f>
        <v/>
      </c>
      <c r="F5122" t="inlineStr">
        <is>
          <t>B07NZS6998</t>
        </is>
      </c>
      <c r="G5122">
        <f>_xlfn.IMAGE("https://edmondsonsupply.com/cdn/shop/products/66050e.jpg?v=1659120052")</f>
        <v/>
      </c>
      <c r="H5122">
        <f>_xlfn.IMAGE("https://m.media-amazon.com/images/I/51QnKGm7EiL._AC_UL320_.jpg")</f>
        <v/>
      </c>
      <c r="K5122" t="inlineStr">
        <is>
          <t>149.54</t>
        </is>
      </c>
      <c r="L5122" t="n">
        <v>199.99</v>
      </c>
      <c r="M5122" s="1" t="inlineStr">
        <is>
          <t>33.74%</t>
        </is>
      </c>
      <c r="N5122" s="7" t="n">
        <v>-56.04</v>
      </c>
      <c r="O5122" t="n">
        <v>4.8</v>
      </c>
      <c r="P5122" t="n">
        <v>380</v>
      </c>
      <c r="R5122" t="inlineStr">
        <is>
          <t>InStock</t>
        </is>
      </c>
      <c r="S5122" t="inlineStr">
        <is>
          <t>249.24</t>
        </is>
      </c>
      <c r="T5122" t="inlineStr">
        <is>
          <t>7766623420632</t>
        </is>
      </c>
    </row>
    <row r="5123" hidden="1" ht="15.75" customHeight="1">
      <c r="A5123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5123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5123" t="inlineStr">
        <is>
          <t>Diablo Tools DMARG1140 7/16 in. x 4 in. x 6 in. SPEEDemon™ Red Granite Carbide Tipped Hammer Drill Bit</t>
        </is>
      </c>
      <c r="D5123" t="inlineStr">
        <is>
          <t>Diablo by Freud DMARG1170 5/8 in. x 4 in. x 6 in. SPEEDemon Red Granite Carbide Tipped Hammer Drill Bit</t>
        </is>
      </c>
      <c r="E5123" s="2">
        <f>HYPERLINK("https://www.amazon.com/Diablo-Freud-DMARG1170-SPEEDemon-Granite/dp/B089LHNF2T/ref=sr_1_29?keywords=Diablo+Tools+DMARG1140+7%2F16+in.+x+4+in.+x+6+in.+SPEEDemon%E2%84%A2+Red+Granite+Carbide+Tipped+Hammer+Drill+Bit&amp;qid=1694735250&amp;sr=8-29", "https://www.amazon.com/Diablo-Freud-DMARG1170-SPEEDemon-Granite/dp/B089LHNF2T/ref=sr_1_29?keywords=Diablo+Tools+DMARG1140+7%2F16+in.+x+4+in.+x+6+in.+SPEEDemon%E2%84%A2+Red+Granite+Carbide+Tipped+Hammer+Drill+Bit&amp;qid=1694735250&amp;sr=8-29")</f>
        <v/>
      </c>
      <c r="F5123" t="inlineStr">
        <is>
          <t>B089LHNF2T</t>
        </is>
      </c>
      <c r="G5123">
        <f>_xludf.IMAGE("https://edmondsonsupply.com/cdn/shop/products/DMARG1140_Main-Image20200513.png?v=1633030765")</f>
        <v/>
      </c>
      <c r="H5123">
        <f>_xludf.IMAGE("https://m.media-amazon.com/images/I/61+aCAjnkLL._AC_UL320_.jpg")</f>
        <v/>
      </c>
      <c r="K5123" t="inlineStr">
        <is>
          <t>8.97</t>
        </is>
      </c>
      <c r="L5123" t="n">
        <v>11.99</v>
      </c>
      <c r="M5123" s="1" t="inlineStr">
        <is>
          <t>33.67%</t>
        </is>
      </c>
      <c r="N5123" s="1" t="n">
        <v>-56.04</v>
      </c>
      <c r="O5123" t="n">
        <v>4.6</v>
      </c>
      <c r="P5123" t="n">
        <v>14</v>
      </c>
      <c r="R5123" t="inlineStr">
        <is>
          <t>InStock</t>
        </is>
      </c>
      <c r="S5123" t="inlineStr">
        <is>
          <t>undefined</t>
        </is>
      </c>
      <c r="T5123" t="inlineStr">
        <is>
          <t>5919026315432</t>
        </is>
      </c>
    </row>
    <row r="5124" ht="87" customHeight="1">
      <c r="A5124" s="2">
        <f>HYPERLINK("https://edmondsonsupply.com/collections/electricians-tools/products/milwaukee-48-22-8452", "https://edmondsonsupply.com/collections/electricians-tools/products/milwaukee-48-22-8452")</f>
        <v/>
      </c>
      <c r="B5124" s="2">
        <f>HYPERLINK("https://edmondsonsupply.com/products/milwaukee-48-22-8452", "https://edmondsonsupply.com/products/milwaukee-48-22-8452")</f>
        <v/>
      </c>
      <c r="C5124" t="inlineStr">
        <is>
          <t>Milwaukee 48-22-8452 Customizable Foam Insert for PACKOUT™ Drawer Tool Boxes</t>
        </is>
      </c>
      <c r="D5124" t="inlineStr">
        <is>
          <t>48-22-8452 packout foam inserts for Milwaukee packout Drawer foam tool box inserts (BLACK)</t>
        </is>
      </c>
      <c r="E5124" s="2">
        <f>HYPERLINK("https://www.amazon.com/48-22-8452-packout-foam-inserts-Milwaukee/dp/B0BYS69XLH/ref=sr_1_1?keywords=Milwaukee+48-22-8452+Customizable+Foam+Insert+for+PACKOUT%E2%84%A2+Drawer+Tool+Boxes&amp;qid=1694735128&amp;sr=8-1", "https://www.amazon.com/48-22-8452-packout-foam-inserts-Milwaukee/dp/B0BYS69XLH/ref=sr_1_1?keywords=Milwaukee+48-22-8452+Customizable+Foam+Insert+for+PACKOUT%E2%84%A2+Drawer+Tool+Boxes&amp;qid=1694735128&amp;sr=8-1")</f>
        <v/>
      </c>
      <c r="F5124" t="inlineStr">
        <is>
          <t>B0BYS69XLH</t>
        </is>
      </c>
      <c r="G5124">
        <f>_xlfn.IMAGE("https://edmondsonsupply.com/cdn/shop/products/48-22-8452_4.png?v=1663605573")</f>
        <v/>
      </c>
      <c r="H5124">
        <f>_xlfn.IMAGE("https://m.media-amazon.com/images/I/61aiyNgIssL._AC_UL320_.jpg")</f>
        <v/>
      </c>
      <c r="K5124" t="inlineStr">
        <is>
          <t>24.99</t>
        </is>
      </c>
      <c r="L5124" t="n">
        <v>33.39</v>
      </c>
      <c r="M5124" s="1" t="inlineStr">
        <is>
          <t>33.61%</t>
        </is>
      </c>
      <c r="N5124" s="7" t="n">
        <v>-56.05</v>
      </c>
      <c r="O5124" t="n">
        <v>4.2</v>
      </c>
      <c r="P5124" t="n">
        <v>37</v>
      </c>
      <c r="R5124" t="inlineStr">
        <is>
          <t>InStock</t>
        </is>
      </c>
      <c r="S5124" t="inlineStr">
        <is>
          <t>40.7</t>
        </is>
      </c>
      <c r="T5124" t="inlineStr">
        <is>
          <t>7822974058712</t>
        </is>
      </c>
    </row>
    <row r="5125" ht="87" customHeight="1">
      <c r="A5125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5125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5125" t="inlineStr">
        <is>
          <t>Diablo Tools DOU125JBW 1-1/4 in. Universal Fit Bi-Metal Oscillating Blades for Clean Wood</t>
        </is>
      </c>
      <c r="D5125" t="inlineStr">
        <is>
          <t>Diablo DOU125BW3 1-1/4 in. Universal Fit Bi-Metal Oscillating Blades for Nail-Embedded Wood (3-Pack)</t>
        </is>
      </c>
      <c r="E5125" s="2">
        <f>HYPERLINK("https://www.amazon.com/Diablo-Universal-Bi-Metal-Blades-Nail-Embedded/dp/B089KW2WVD/ref=sr_1_5?keywords=Diablo+Tools+DOU125JBW+1-1%2F4+in.+Universal+Fit+Bi-Metal+Oscillating+Blades+for+Clean+Wood&amp;qid=1694735180&amp;sr=8-5", "https://www.amazon.com/Diablo-Universal-Bi-Metal-Blades-Nail-Embedded/dp/B089KW2WVD/ref=sr_1_5?keywords=Diablo+Tools+DOU125JBW+1-1%2F4+in.+Universal+Fit+Bi-Metal+Oscillating+Blades+for+Clean+Wood&amp;qid=1694735180&amp;sr=8-5")</f>
        <v/>
      </c>
      <c r="F5125" t="inlineStr">
        <is>
          <t>B089KW2WVD</t>
        </is>
      </c>
      <c r="G5125">
        <f>_xlfn.IMAGE("https://edmondsonsupply.com/cdn/shop/products/DOU125JBW_Main-Image.png?v=1633638363")</f>
        <v/>
      </c>
      <c r="H5125">
        <f>_xlfn.IMAGE("https://m.media-amazon.com/images/I/613ig7mNjfL._AC_UL320_.jpg")</f>
        <v/>
      </c>
      <c r="K5125" t="inlineStr">
        <is>
          <t>17.97</t>
        </is>
      </c>
      <c r="L5125" t="n">
        <v>23.99</v>
      </c>
      <c r="M5125" s="1" t="inlineStr">
        <is>
          <t>33.50%</t>
        </is>
      </c>
      <c r="N5125" s="7" t="n">
        <v>-56.1</v>
      </c>
      <c r="O5125" t="n">
        <v>4.6</v>
      </c>
      <c r="P5125" t="n">
        <v>147</v>
      </c>
      <c r="R5125" t="inlineStr">
        <is>
          <t>InStock</t>
        </is>
      </c>
      <c r="S5125" t="inlineStr">
        <is>
          <t>22.35</t>
        </is>
      </c>
      <c r="T5125" t="inlineStr">
        <is>
          <t>7000455807149</t>
        </is>
      </c>
    </row>
    <row r="5126" ht="87" customHeight="1">
      <c r="A5126" s="2">
        <f>HYPERLINK("https://edmondsonsupply.com/collections/electricians-tools/products/diablo-tools-dou125bw", "https://edmondsonsupply.com/collections/electricians-tools/products/diablo-tools-dou125bw")</f>
        <v/>
      </c>
      <c r="B5126" s="2">
        <f>HYPERLINK("https://edmondsonsupply.com/products/diablo-tools-dou125bw", "https://edmondsonsupply.com/products/diablo-tools-dou125bw")</f>
        <v/>
      </c>
      <c r="C5126" t="inlineStr">
        <is>
          <t>Diablo Tools DOU125BW 1-1/4 in. Universal Fit Bi-Metal Oscillating Blade for Nail-Embedded Wood</t>
        </is>
      </c>
      <c r="D5126" t="inlineStr">
        <is>
          <t>Diablo DOU125BW3 1-1/4 in. Universal Fit Bi-Metal Oscillating Blades for Nail-Embedded Wood (3-Pack)</t>
        </is>
      </c>
      <c r="E5126" s="2">
        <f>HYPERLINK("https://www.amazon.com/Diablo-Universal-Bi-Metal-Blades-Nail-Embedded/dp/B089KW2WVD/ref=sr_1_3?keywords=Diablo+Tools+DOU125BW+1-1%2F4+in.+Universal+Fit+Bi-Metal+Oscillating+Blade+for+Nail-Embedded+Wood&amp;qid=1694735198&amp;sr=8-3", "https://www.amazon.com/Diablo-Universal-Bi-Metal-Blades-Nail-Embedded/dp/B089KW2WVD/ref=sr_1_3?keywords=Diablo+Tools+DOU125BW+1-1%2F4+in.+Universal+Fit+Bi-Metal+Oscillating+Blade+for+Nail-Embedded+Wood&amp;qid=1694735198&amp;sr=8-3")</f>
        <v/>
      </c>
      <c r="F5126" t="inlineStr">
        <is>
          <t>B089KW2WVD</t>
        </is>
      </c>
      <c r="G5126">
        <f>_xlfn.IMAGE("https://edmondsonsupply.com/cdn/shop/products/gnn0wpqc8veb3qhldcrb.webp?v=1676040020")</f>
        <v/>
      </c>
      <c r="H5126">
        <f>_xlfn.IMAGE("https://m.media-amazon.com/images/I/613ig7mNjfL._AC_UL320_.jpg")</f>
        <v/>
      </c>
      <c r="K5126" t="inlineStr">
        <is>
          <t>17.97</t>
        </is>
      </c>
      <c r="L5126" t="n">
        <v>23.99</v>
      </c>
      <c r="M5126" s="1" t="inlineStr">
        <is>
          <t>33.50%</t>
        </is>
      </c>
      <c r="N5126" s="7" t="n">
        <v>-56.11</v>
      </c>
      <c r="O5126" t="n">
        <v>4.6</v>
      </c>
      <c r="P5126" t="n">
        <v>147</v>
      </c>
      <c r="R5126" t="inlineStr">
        <is>
          <t>InStock</t>
        </is>
      </c>
      <c r="S5126" t="inlineStr">
        <is>
          <t>22.79</t>
        </is>
      </c>
      <c r="T5126" t="inlineStr">
        <is>
          <t>6846081433773</t>
        </is>
      </c>
    </row>
    <row r="5127" ht="87" customHeight="1">
      <c r="A5127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127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127" t="inlineStr">
        <is>
          <t>Klein Tools D228-8 Diagonal Cutting Pliers, High-Leverage, 8-Inch</t>
        </is>
      </c>
      <c r="D5127" t="inlineStr">
        <is>
          <t>Klein Tools J2000-48 Pliers, Diagonal Cutting Pliers with Angled Head, Heavy-Duty to Cut ACSR, Screws, Nails, and most Hardened Wire, 8-Inch</t>
        </is>
      </c>
      <c r="E5127" s="2">
        <f>HYPERLINK("https://www.amazon.com/Klein-Tools-J2000-48-Diagonal-Cutters/dp/B0006M6Y8O/ref=sr_1_15?keywords=Klein+Tools+D228-8+Diagonal+Cutting+Pliers%2C+High-Leverage%2C+8-Inch&amp;qid=1694735247&amp;sr=8-15", "https://www.amazon.com/Klein-Tools-J2000-48-Diagonal-Cutters/dp/B0006M6Y8O/ref=sr_1_15?keywords=Klein+Tools+D228-8+Diagonal+Cutting+Pliers%2C+High-Leverage%2C+8-Inch&amp;qid=1694735247&amp;sr=8-15")</f>
        <v/>
      </c>
      <c r="F5127" t="inlineStr">
        <is>
          <t>B0006M6Y8O</t>
        </is>
      </c>
      <c r="G5127">
        <f>_xlfn.IMAGE("https://edmondsonsupply.com/cdn/shop/products/d2288.jpg?v=1633030753")</f>
        <v/>
      </c>
      <c r="H5127">
        <f>_xlfn.IMAGE("https://m.media-amazon.com/images/I/41ZnJLE+YFL._AC_UL320_.jpg")</f>
        <v/>
      </c>
      <c r="K5127" t="inlineStr">
        <is>
          <t>29.97</t>
        </is>
      </c>
      <c r="L5127" t="n">
        <v>39.99</v>
      </c>
      <c r="M5127" s="1" t="inlineStr">
        <is>
          <t>33.43%</t>
        </is>
      </c>
      <c r="N5127" s="7" t="n">
        <v>-56.16</v>
      </c>
      <c r="O5127" t="n">
        <v>4.8</v>
      </c>
      <c r="P5127" t="n">
        <v>1553</v>
      </c>
      <c r="R5127" t="inlineStr">
        <is>
          <t>InStock</t>
        </is>
      </c>
      <c r="S5127" t="inlineStr">
        <is>
          <t>42.78</t>
        </is>
      </c>
      <c r="T5127" t="inlineStr">
        <is>
          <t>5896908472488</t>
        </is>
      </c>
    </row>
    <row r="5128" ht="87" customHeight="1">
      <c r="A5128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5128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5128" t="inlineStr">
        <is>
          <t>Klein Tools D248-8 Diagonal Cutting Pliers, Angled Head, Short Jaw, 8-Inch</t>
        </is>
      </c>
      <c r="D5128" t="inlineStr">
        <is>
          <t>Klein Tools J2000-48 Pliers, Diagonal Cutting Pliers with Angled Head, Heavy-Duty to Cut ACSR, Screws, Nails, and most Hardened Wire, 8-Inch</t>
        </is>
      </c>
      <c r="E5128" s="2">
        <f>HYPERLINK("https://www.amazon.com/Klein-Tools-J2000-48-Diagonal-Cutters/dp/B0006M6Y8O/ref=sr_1_7?keywords=Klein+Tools+D248-8+Diagonal+Cutting+Pliers%2C+Angled+Head%2C+Short+Jaw%2C+8-Inch&amp;qid=1694735219&amp;sr=8-7", "https://www.amazon.com/Klein-Tools-J2000-48-Diagonal-Cutters/dp/B0006M6Y8O/ref=sr_1_7?keywords=Klein+Tools+D248-8+Diagonal+Cutting+Pliers%2C+Angled+Head%2C+Short+Jaw%2C+8-Inch&amp;qid=1694735219&amp;sr=8-7")</f>
        <v/>
      </c>
      <c r="F5128" t="inlineStr">
        <is>
          <t>B0006M6Y8O</t>
        </is>
      </c>
      <c r="G5128">
        <f>_xlfn.IMAGE("https://edmondsonsupply.com/cdn/shop/products/d2488.jpg?v=1633030997")</f>
        <v/>
      </c>
      <c r="H5128">
        <f>_xlfn.IMAGE("https://m.media-amazon.com/images/I/41ZnJLE+YFL._AC_UL320_.jpg")</f>
        <v/>
      </c>
      <c r="K5128" t="inlineStr">
        <is>
          <t>29.97</t>
        </is>
      </c>
      <c r="L5128" t="n">
        <v>39.99</v>
      </c>
      <c r="M5128" s="1" t="inlineStr">
        <is>
          <t>33.43%</t>
        </is>
      </c>
      <c r="N5128" s="7" t="n">
        <v>-56.24</v>
      </c>
      <c r="O5128" t="n">
        <v>4.8</v>
      </c>
      <c r="P5128" t="n">
        <v>1553</v>
      </c>
      <c r="R5128" t="inlineStr">
        <is>
          <t>InStock</t>
        </is>
      </c>
      <c r="S5128" t="inlineStr">
        <is>
          <t>45.42</t>
        </is>
      </c>
      <c r="T5128" t="inlineStr">
        <is>
          <t>6680617091245</t>
        </is>
      </c>
    </row>
    <row r="5129" ht="87" customHeight="1">
      <c r="A5129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129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129" t="inlineStr">
        <is>
          <t>Klein Tools 11055RINS Insulated Klein-Kurve® Wire Stripper and Cutter</t>
        </is>
      </c>
      <c r="D5129" t="inlineStr">
        <is>
          <t>Klein Tools 80013 Wiring Tool Kit with Automatic Wire Stripper and Ratcheting Insulated Terminal Crimper, Great Electrical Tool Kit, 2-Piece</t>
        </is>
      </c>
      <c r="E5129" s="2">
        <f>HYPERLINK("https://www.amazon.com/Klein-Tools-80013-Ratcheting-Electrical/dp/B08VVX6PWJ/ref=sr_1_28?keywords=Klein+Tools+11055RINS+Insulated+Klein-Kurve%C2%AE+Wire+Stripper+and+Cutter&amp;qid=1694735096&amp;sr=8-28", "https://www.amazon.com/Klein-Tools-80013-Ratcheting-Electrical/dp/B08VVX6PWJ/ref=sr_1_28?keywords=Klein+Tools+11055RINS+Insulated+Klein-Kurve%C2%AE+Wire+Stripper+and+Cutter&amp;qid=1694735096&amp;sr=8-28")</f>
        <v/>
      </c>
      <c r="F5129" t="inlineStr">
        <is>
          <t>B08VVX6PWJ</t>
        </is>
      </c>
      <c r="G5129">
        <f>_xlfn.IMAGE("https://edmondsonsupply.com/cdn/shop/products/11055rins.jpg?v=1667236979")</f>
        <v/>
      </c>
      <c r="H5129">
        <f>_xlfn.IMAGE("https://m.media-amazon.com/images/I/61T8fnK+iIL._AC_UL320_.jpg")</f>
        <v/>
      </c>
      <c r="K5129" t="inlineStr">
        <is>
          <t>29.97</t>
        </is>
      </c>
      <c r="L5129" t="n">
        <v>39.99</v>
      </c>
      <c r="M5129" s="1" t="inlineStr">
        <is>
          <t>33.43%</t>
        </is>
      </c>
      <c r="N5129" s="7" t="n">
        <v>-56.27</v>
      </c>
      <c r="O5129" t="n">
        <v>4.8</v>
      </c>
      <c r="P5129" t="n">
        <v>6991</v>
      </c>
      <c r="R5129" t="inlineStr">
        <is>
          <t>InStock</t>
        </is>
      </c>
      <c r="S5129" t="inlineStr">
        <is>
          <t>41.98</t>
        </is>
      </c>
      <c r="T5129" t="inlineStr">
        <is>
          <t>7871527813336</t>
        </is>
      </c>
    </row>
    <row r="5130" ht="87" customHeight="1">
      <c r="A5130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130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130" t="inlineStr">
        <is>
          <t>Klein Tools 11055RINS Insulated Klein-Kurve® Wire Stripper and Cutter</t>
        </is>
      </c>
      <c r="D5130" t="inlineStr">
        <is>
          <t>Klein Tools 2005N Wire Cutter, Stripper, Crimper Tool, Strips 10-18 AWG Stranded, Crimps 10-22 AWG Terminals, with Shear Cutter Red</t>
        </is>
      </c>
      <c r="E5130" s="2">
        <f>HYPERLINK("https://www.amazon.com/Klein-Tools-2005N-Crimper-Stripper/dp/B07WTRVZ18/ref=sr_1_21?keywords=Klein+Tools+11055RINS+Insulated+Klein-Kurve%C2%AE+Wire+Stripper+and+Cutter&amp;qid=1694735096&amp;sr=8-21", "https://www.amazon.com/Klein-Tools-2005N-Crimper-Stripper/dp/B07WTRVZ18/ref=sr_1_21?keywords=Klein+Tools+11055RINS+Insulated+Klein-Kurve%C2%AE+Wire+Stripper+and+Cutter&amp;qid=1694735096&amp;sr=8-21")</f>
        <v/>
      </c>
      <c r="F5130" t="inlineStr">
        <is>
          <t>B07WTRVZ18</t>
        </is>
      </c>
      <c r="G5130">
        <f>_xlfn.IMAGE("https://edmondsonsupply.com/cdn/shop/products/11055rins.jpg?v=1667236979")</f>
        <v/>
      </c>
      <c r="H5130">
        <f>_xlfn.IMAGE("https://m.media-amazon.com/images/I/51HDCyutY4L._AC_UL320_.jpg")</f>
        <v/>
      </c>
      <c r="K5130" t="inlineStr">
        <is>
          <t>29.97</t>
        </is>
      </c>
      <c r="L5130" t="n">
        <v>39.97</v>
      </c>
      <c r="M5130" s="1" t="inlineStr">
        <is>
          <t>33.37%</t>
        </is>
      </c>
      <c r="N5130" s="7" t="n">
        <v>-56.44</v>
      </c>
      <c r="O5130" t="n">
        <v>4.8</v>
      </c>
      <c r="P5130" t="n">
        <v>1009</v>
      </c>
      <c r="R5130" t="inlineStr">
        <is>
          <t>InStock</t>
        </is>
      </c>
      <c r="S5130" t="inlineStr">
        <is>
          <t>41.98</t>
        </is>
      </c>
      <c r="T5130" t="inlineStr">
        <is>
          <t>7871527813336</t>
        </is>
      </c>
    </row>
    <row r="5131" ht="87" customHeight="1">
      <c r="A5131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131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131" t="inlineStr">
        <is>
          <t>Klein Tools D228-8 Diagonal Cutting Pliers, High-Leverage, 8-Inch</t>
        </is>
      </c>
      <c r="D5131" t="inlineStr">
        <is>
          <t>Klein Tools J248-8 Pliers, Diagonal Cutting Pliers with Angeled Head, Short Jaws, High-Leverage Design, 8-Inch</t>
        </is>
      </c>
      <c r="E5131" s="2">
        <f>HYPERLINK("https://www.amazon.com/Klein-Tools-J248-8-Diagonal-Cutters-Angled/dp/B000CRY52A/ref=sr_1_6?keywords=Klein+Tools+D228-8+Diagonal+Cutting+Pliers%2C+High-Leverage%2C+8-Inch&amp;qid=1694735247&amp;sr=8-6", "https://www.amazon.com/Klein-Tools-J248-8-Diagonal-Cutters-Angled/dp/B000CRY52A/ref=sr_1_6?keywords=Klein+Tools+D228-8+Diagonal+Cutting+Pliers%2C+High-Leverage%2C+8-Inch&amp;qid=1694735247&amp;sr=8-6")</f>
        <v/>
      </c>
      <c r="F5131" t="inlineStr">
        <is>
          <t>B000CRY52A</t>
        </is>
      </c>
      <c r="G5131">
        <f>_xlfn.IMAGE("https://edmondsonsupply.com/cdn/shop/products/d2288.jpg?v=1633030753")</f>
        <v/>
      </c>
      <c r="H5131">
        <f>_xlfn.IMAGE("https://m.media-amazon.com/images/I/51AWyzskD+L._AC_UL320_.jpg")</f>
        <v/>
      </c>
      <c r="K5131" t="inlineStr">
        <is>
          <t>29.97</t>
        </is>
      </c>
      <c r="L5131" t="n">
        <v>39.97</v>
      </c>
      <c r="M5131" s="1" t="inlineStr">
        <is>
          <t>33.37%</t>
        </is>
      </c>
      <c r="N5131" s="7" t="n">
        <v>-56.7</v>
      </c>
      <c r="O5131" t="n">
        <v>4.9</v>
      </c>
      <c r="P5131" t="n">
        <v>488</v>
      </c>
      <c r="R5131" t="inlineStr">
        <is>
          <t>InStock</t>
        </is>
      </c>
      <c r="S5131" t="inlineStr">
        <is>
          <t>42.78</t>
        </is>
      </c>
      <c r="T5131" t="inlineStr">
        <is>
          <t>5896908472488</t>
        </is>
      </c>
    </row>
    <row r="5132" ht="87" customHeight="1">
      <c r="A5132" s="2">
        <f>HYPERLINK("https://edmondsonsupply.com/collections/electricians-tools/products/klein-tools-56411-rechargeable-waterproof-led-pocket-light-with-lanyard", "https://edmondsonsupply.com/collections/electricians-tools/products/klein-tools-56411-rechargeable-waterproof-led-pocket-light-with-lanyard")</f>
        <v/>
      </c>
      <c r="B5132" s="2">
        <f>HYPERLINK("https://edmondsonsupply.com/products/klein-tools-56411-rechargeable-waterproof-led-pocket-light-with-lanyard", "https://edmondsonsupply.com/products/klein-tools-56411-rechargeable-waterproof-led-pocket-light-with-lanyard")</f>
        <v/>
      </c>
      <c r="C5132" t="inlineStr">
        <is>
          <t>Klein Tools 56411 Rechargeable Waterproof LED Pocket Light with Lanyard</t>
        </is>
      </c>
      <c r="D5132" t="inlineStr">
        <is>
          <t>Klein Tools 56412 Rechargeable LED Flashlight with Worklight, 500 Lumens, USB Charging Cable, Pocket Clip, Battery Life Indicator, Magnetic</t>
        </is>
      </c>
      <c r="E5132" s="2">
        <f>HYPERLINK("https://www.amazon.com/Rechargeable-Flashlight-Worklight-Klein-Tools/dp/B0947YMH51/ref=sr_1_5?keywords=Klein+Tools+56411+Rechargeable+Waterproof+LED+Pocket+Light+with+Lanyard&amp;qid=1694735121&amp;sr=8-5", "https://www.amazon.com/Rechargeable-Flashlight-Worklight-Klein-Tools/dp/B0947YMH51/ref=sr_1_5?keywords=Klein+Tools+56411+Rechargeable+Waterproof+LED+Pocket+Light+with+Lanyard&amp;qid=1694735121&amp;sr=8-5")</f>
        <v/>
      </c>
      <c r="F5132" t="inlineStr">
        <is>
          <t>B0947YMH51</t>
        </is>
      </c>
      <c r="G5132">
        <f>_xlfn.IMAGE("https://edmondsonsupply.com/cdn/shop/products/56411.jpg?v=1663952448")</f>
        <v/>
      </c>
      <c r="H5132">
        <f>_xlfn.IMAGE("https://m.media-amazon.com/images/I/51Of8ojN4aS._AC_UL320_.jpg")</f>
        <v/>
      </c>
      <c r="K5132" t="inlineStr">
        <is>
          <t>29.97</t>
        </is>
      </c>
      <c r="L5132" t="n">
        <v>39.97</v>
      </c>
      <c r="M5132" s="1" t="inlineStr">
        <is>
          <t>33.37%</t>
        </is>
      </c>
      <c r="N5132" s="7" t="n">
        <v>-56.93</v>
      </c>
      <c r="O5132" t="n">
        <v>4.6</v>
      </c>
      <c r="P5132" t="n">
        <v>418</v>
      </c>
      <c r="R5132" t="inlineStr">
        <is>
          <t>InStock</t>
        </is>
      </c>
      <c r="S5132" t="inlineStr">
        <is>
          <t>42.0</t>
        </is>
      </c>
      <c r="T5132" t="inlineStr">
        <is>
          <t>7827354779864</t>
        </is>
      </c>
    </row>
    <row r="5133" ht="87" customHeight="1">
      <c r="A5133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5133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5133" t="inlineStr">
        <is>
          <t>Klein Tools D248-8 Diagonal Cutting Pliers, Angled Head, Short Jaw, 8-Inch</t>
        </is>
      </c>
      <c r="D5133" t="inlineStr">
        <is>
          <t>Klein Tools J248-8 Pliers, Diagonal Cutting Pliers with Angeled Head, Short Jaws, High-Leverage Design, 8-Inch</t>
        </is>
      </c>
      <c r="E5133" s="2">
        <f>HYPERLINK("https://www.amazon.com/Klein-Tools-J248-8-Diagonal-Cutters-Angled/dp/B000CRY52A/ref=sr_1_5?keywords=Klein+Tools+D248-8+Diagonal+Cutting+Pliers%2C+Angled+Head%2C+Short+Jaw%2C+8-Inch&amp;qid=1694735219&amp;sr=8-5", "https://www.amazon.com/Klein-Tools-J248-8-Diagonal-Cutters-Angled/dp/B000CRY52A/ref=sr_1_5?keywords=Klein+Tools+D248-8+Diagonal+Cutting+Pliers%2C+Angled+Head%2C+Short+Jaw%2C+8-Inch&amp;qid=1694735219&amp;sr=8-5")</f>
        <v/>
      </c>
      <c r="F5133" t="inlineStr">
        <is>
          <t>B000CRY52A</t>
        </is>
      </c>
      <c r="G5133">
        <f>_xlfn.IMAGE("https://edmondsonsupply.com/cdn/shop/products/d2488.jpg?v=1633030997")</f>
        <v/>
      </c>
      <c r="H5133">
        <f>_xlfn.IMAGE("https://m.media-amazon.com/images/I/51AWyzskD+L._AC_UL320_.jpg")</f>
        <v/>
      </c>
      <c r="K5133" t="inlineStr">
        <is>
          <t>29.97</t>
        </is>
      </c>
      <c r="L5133" t="n">
        <v>39.97</v>
      </c>
      <c r="M5133" s="1" t="inlineStr">
        <is>
          <t>33.37%</t>
        </is>
      </c>
      <c r="N5133" s="7" t="n">
        <v>-56.97</v>
      </c>
      <c r="O5133" t="n">
        <v>4.9</v>
      </c>
      <c r="P5133" t="n">
        <v>488</v>
      </c>
      <c r="R5133" t="inlineStr">
        <is>
          <t>InStock</t>
        </is>
      </c>
      <c r="S5133" t="inlineStr">
        <is>
          <t>45.42</t>
        </is>
      </c>
      <c r="T5133" t="inlineStr">
        <is>
          <t>6680617091245</t>
        </is>
      </c>
    </row>
    <row r="5134" ht="87" customHeight="1">
      <c r="A5134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134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134" t="inlineStr">
        <is>
          <t>Klein Tools 11055RINS Insulated Klein-Kurve® Wire Stripper and Cutter</t>
        </is>
      </c>
      <c r="D5134" t="inlineStr">
        <is>
          <t>Klein Tools K12065CR Wire Stripper / Cutter / Crimper Tool for Cutting, Stripping, Crimping, Twisting (8-18 AWG solid, 10-20 AWG stranded)</t>
        </is>
      </c>
      <c r="E5134" s="2">
        <f>HYPERLINK("https://www.amazon.com/Heavy-Stripper-Cutter-Crimper-Multi/dp/B08BX9RTPX/ref=sr_1_10?keywords=Klein+Tools+11055RINS+Insulated+Klein-Kurve%C2%AE+Wire+Stripper+and+Cutter&amp;qid=1694735096&amp;sr=8-10", "https://www.amazon.com/Heavy-Stripper-Cutter-Crimper-Multi/dp/B08BX9RTPX/ref=sr_1_10?keywords=Klein+Tools+11055RINS+Insulated+Klein-Kurve%C2%AE+Wire+Stripper+and+Cutter&amp;qid=1694735096&amp;sr=8-10")</f>
        <v/>
      </c>
      <c r="F5134" t="inlineStr">
        <is>
          <t>B08BX9RTPX</t>
        </is>
      </c>
      <c r="G5134">
        <f>_xlfn.IMAGE("https://edmondsonsupply.com/cdn/shop/products/11055rins.jpg?v=1667236979")</f>
        <v/>
      </c>
      <c r="H5134">
        <f>_xlfn.IMAGE("https://m.media-amazon.com/images/I/51Oylu1vHoL._AC_UL320_.jpg")</f>
        <v/>
      </c>
      <c r="K5134" t="inlineStr">
        <is>
          <t>29.97</t>
        </is>
      </c>
      <c r="L5134" t="n">
        <v>39.97</v>
      </c>
      <c r="M5134" s="1" t="inlineStr">
        <is>
          <t>33.37%</t>
        </is>
      </c>
      <c r="N5134" s="7" t="n">
        <v>-57.23</v>
      </c>
      <c r="O5134" t="n">
        <v>4.7</v>
      </c>
      <c r="P5134" t="n">
        <v>723</v>
      </c>
      <c r="R5134" t="inlineStr">
        <is>
          <t>InStock</t>
        </is>
      </c>
      <c r="S5134" t="inlineStr">
        <is>
          <t>41.98</t>
        </is>
      </c>
      <c r="T5134" t="inlineStr">
        <is>
          <t>7871527813336</t>
        </is>
      </c>
    </row>
    <row r="5135" ht="87" customHeight="1">
      <c r="A5135" s="2">
        <f>HYPERLINK("https://edmondsonsupply.com/collections/electricians-tools/products/klein-tools-56252-wire-marker-book-277-480v-3-phase-1-48", "https://edmondsonsupply.com/collections/electricians-tools/products/klein-tools-56252-wire-marker-book-277-480v-3-phase-1-48")</f>
        <v/>
      </c>
      <c r="B5135" s="2">
        <f>HYPERLINK("https://edmondsonsupply.com/products/klein-tools-56252-wire-marker-book-277-480v-3-phase-1-48", "https://edmondsonsupply.com/products/klein-tools-56252-wire-marker-book-277-480v-3-phase-1-48")</f>
        <v/>
      </c>
      <c r="C5135" t="inlineStr">
        <is>
          <t>Klein Tools 56252 Wire Marker Book, 277/480V 3 Phase 1-48</t>
        </is>
      </c>
      <c r="D5135" t="inlineStr">
        <is>
          <t>Klein Tools 56252 Wire Marker Book, 277/480V 3 Phase 1-48</t>
        </is>
      </c>
      <c r="E5135" s="2">
        <f>HYPERLINK("https://www.amazon.com/Marker-Phase-Klein-Tools-56252/dp/B073YFZ78X/ref=sr_1_1?keywords=Klein+Tools+56252+Wire+Marker+Book%2C+277%2F480V+3+Phase+1-48&amp;qid=1694735007&amp;sr=8-1", "https://www.amazon.com/Marker-Phase-Klein-Tools-56252/dp/B073YFZ78X/ref=sr_1_1?keywords=Klein+Tools+56252+Wire+Marker+Book%2C+277%2F480V+3+Phase+1-48&amp;qid=1694735007&amp;sr=8-1")</f>
        <v/>
      </c>
      <c r="F5135" t="inlineStr">
        <is>
          <t>B073YFZ78X</t>
        </is>
      </c>
      <c r="G5135">
        <f>_xlfn.IMAGE("https://edmondsonsupply.com/cdn/shop/files/56252_b.jpg?v=1687357114")</f>
        <v/>
      </c>
      <c r="H5135">
        <f>_xlfn.IMAGE("https://m.media-amazon.com/images/I/61K+RnWYOUL._AC_UL320_.jpg")</f>
        <v/>
      </c>
      <c r="K5135" t="inlineStr">
        <is>
          <t>11.99</t>
        </is>
      </c>
      <c r="L5135" t="n">
        <v>15.99</v>
      </c>
      <c r="M5135" s="1" t="inlineStr">
        <is>
          <t>33.36%</t>
        </is>
      </c>
      <c r="N5135" s="7" t="n">
        <v>-57.24</v>
      </c>
      <c r="O5135" t="n">
        <v>4.7</v>
      </c>
      <c r="P5135" t="n">
        <v>1057</v>
      </c>
      <c r="R5135" t="inlineStr">
        <is>
          <t>InStock</t>
        </is>
      </c>
      <c r="S5135" t="inlineStr">
        <is>
          <t>18.24</t>
        </is>
      </c>
      <c r="T5135" t="inlineStr">
        <is>
          <t>8007790199000</t>
        </is>
      </c>
    </row>
    <row r="5136" ht="87" customHeight="1">
      <c r="A5136" s="2">
        <f>HYPERLINK("https://edmondsonsupply.com/collections/electricians-tools/products/komelon-7330-30-x-1-maggrip%E2%84%A2-speedmark%E2%84%A2-magnetic-tape-measure", "https://edmondsonsupply.com/collections/electricians-tools/products/komelon-7330-30-x-1-maggrip%E2%84%A2-speedmark%E2%84%A2-magnetic-tape-measure")</f>
        <v/>
      </c>
      <c r="B5136" s="2">
        <f>HYPERLINK("https://edmondsonsupply.com/products/komelon-7330-30-x-1-maggrip%e2%84%a2-speedmark%e2%84%a2-magnetic-tape-measure", "https://edmondsonsupply.com/products/komelon-7330-30-x-1-maggrip%e2%84%a2-speedmark%e2%84%a2-magnetic-tape-measure")</f>
        <v/>
      </c>
      <c r="C5136" t="inlineStr">
        <is>
          <t>Komelon 7330 30' X 1" MagGrip™ SpeedMark™, Magnetic Tape Measure</t>
        </is>
      </c>
      <c r="D5136" t="inlineStr">
        <is>
          <t>Komelon 7430; 30' x 1" Magnetic MagGrip Tape Measure, Black/Yellow</t>
        </is>
      </c>
      <c r="E5136" s="2">
        <f>HYPERLINK("https://www.amazon.com/Komelon-7430-MagGrip-Measuring-Magnetic/dp/B000HE9W2Q/ref=sr_1_2?keywords=Komelon+7330+30%27+X+1%22+MagGrip%E2%84%A2+SpeedMark%E2%84%A2%2C+Magnetic+Tape+Measure&amp;qid=1694735224&amp;sr=8-2", "https://www.amazon.com/Komelon-7430-MagGrip-Measuring-Magnetic/dp/B000HE9W2Q/ref=sr_1_2?keywords=Komelon+7330+30%27+X+1%22+MagGrip%E2%84%A2+SpeedMark%E2%84%A2%2C+Magnetic+Tape+Measure&amp;qid=1694735224&amp;sr=8-2")</f>
        <v/>
      </c>
      <c r="F5136" t="inlineStr">
        <is>
          <t>B000HE9W2Q</t>
        </is>
      </c>
      <c r="G5136">
        <f>_xlfn.IMAGE("https://edmondsonsupply.com/cdn/shop/products/7330_angledExtended.jpg?v=1633030981")</f>
        <v/>
      </c>
      <c r="H5136">
        <f>_xlfn.IMAGE("https://m.media-amazon.com/images/I/71fr97yv+HS._AC_UL320_.jpg")</f>
        <v/>
      </c>
      <c r="K5136" t="inlineStr">
        <is>
          <t>14.99</t>
        </is>
      </c>
      <c r="L5136" t="n">
        <v>19.99</v>
      </c>
      <c r="M5136" s="1" t="inlineStr">
        <is>
          <t>33.36%</t>
        </is>
      </c>
      <c r="N5136" s="7" t="n">
        <v>-57.31</v>
      </c>
      <c r="O5136" t="n">
        <v>4.5</v>
      </c>
      <c r="P5136" t="n">
        <v>123</v>
      </c>
      <c r="R5136" t="inlineStr">
        <is>
          <t>InStock</t>
        </is>
      </c>
      <c r="S5136" t="inlineStr">
        <is>
          <t>undefined</t>
        </is>
      </c>
      <c r="T5136" t="inlineStr">
        <is>
          <t>6652052013229</t>
        </is>
      </c>
    </row>
    <row r="5137" ht="87" customHeight="1">
      <c r="A5137" s="2">
        <f>HYPERLINK("https://edmondsonsupply.com/collections/electricians-tools/products/klein-tools-13156-screwdriver-blades-insulated-single-end-2-pack", "https://edmondsonsupply.com/collections/electricians-tools/products/klein-tools-13156-screwdriver-blades-insulated-single-end-2-pack")</f>
        <v/>
      </c>
      <c r="B5137" s="2">
        <f>HYPERLINK("https://edmondsonsupply.com/products/klein-tools-13156-screwdriver-blades-insulated-single-end-2-pack", "https://edmondsonsupply.com/products/klein-tools-13156-screwdriver-blades-insulated-single-end-2-pack")</f>
        <v/>
      </c>
      <c r="C5137" t="inlineStr">
        <is>
          <t>Klein Tools 13156 Screwdriver Blades, Insulated Single-End, 2-Pack</t>
        </is>
      </c>
      <c r="D5137" t="inlineStr">
        <is>
          <t>Klein Tools 13157 Insulated Screwdriver Blades, Interchangeable Single-End Replacement Blades for Klein Insulated Screwdrivers, 3-Pack</t>
        </is>
      </c>
      <c r="E5137" s="2">
        <f>HYPERLINK("https://www.amazon.com/Klein-Tools-13157-Interchangeable-Screwdrivers/dp/B07XQC1PVB/ref=sr_1_2?keywords=Klein+Tools+13156+Screwdriver+Blades%2C+Insulated+Single-End%2C+2-Pack&amp;qid=1694734984&amp;sr=8-2", "https://www.amazon.com/Klein-Tools-13157-Interchangeable-Screwdrivers/dp/B07XQC1PVB/ref=sr_1_2?keywords=Klein+Tools+13156+Screwdriver+Blades%2C+Insulated+Single-End%2C+2-Pack&amp;qid=1694734984&amp;sr=8-2")</f>
        <v/>
      </c>
      <c r="F5137" t="inlineStr">
        <is>
          <t>B07XQC1PVB</t>
        </is>
      </c>
      <c r="G5137">
        <f>_xlfn.IMAGE("https://edmondsonsupply.com/cdn/shop/products/13156.jpg?v=1587146923")</f>
        <v/>
      </c>
      <c r="H5137">
        <f>_xlfn.IMAGE("https://m.media-amazon.com/images/I/41c8L9-ZsYL._AC_UL320_.jpg")</f>
        <v/>
      </c>
      <c r="K5137" t="inlineStr">
        <is>
          <t>14.99</t>
        </is>
      </c>
      <c r="L5137" t="n">
        <v>19.99</v>
      </c>
      <c r="M5137" s="1" t="inlineStr">
        <is>
          <t>33.36%</t>
        </is>
      </c>
      <c r="N5137" s="7" t="n">
        <v>-57.49</v>
      </c>
      <c r="O5137" t="n">
        <v>4.8</v>
      </c>
      <c r="P5137" t="n">
        <v>958</v>
      </c>
      <c r="R5137" t="inlineStr">
        <is>
          <t>InStock</t>
        </is>
      </c>
      <c r="S5137" t="inlineStr">
        <is>
          <t>20.5</t>
        </is>
      </c>
      <c r="T5137" t="inlineStr">
        <is>
          <t>4161839562852</t>
        </is>
      </c>
    </row>
    <row r="5138" ht="87" customHeight="1">
      <c r="A5138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5138" s="2">
        <f>HYPERLINK("https://edmondsonsupply.com/products/klein-tools-1011m-metric-wire-stripper-cutter-stranded-wire", "https://edmondsonsupply.com/products/klein-tools-1011m-metric-wire-stripper-cutter-stranded-wire")</f>
        <v/>
      </c>
      <c r="C5138" t="inlineStr">
        <is>
          <t>Klein Tools 1011M Metric Wire Stripper/Cutter Stranded Wire</t>
        </is>
      </c>
      <c r="D5138" t="inlineStr">
        <is>
          <t>Klein Tools 11055 Wire Cutter and Wire Stripper, Stranded Wire Cutter, Solid Wire Cutter, Cuts Copper Wire</t>
        </is>
      </c>
      <c r="E5138" s="2">
        <f>HYPERLINK("https://www.amazon.com/Klein-Tools-Cutter-Stripper-Stranded/dp/B00080DPNQ/ref=sr_1_5?keywords=Klein+Tools+1011M+Metric+Wire+Stripper%2FCutter+Stranded+Wire&amp;qid=1694735312&amp;sr=8-5", "https://www.amazon.com/Klein-Tools-Cutter-Stripper-Stranded/dp/B00080DPNQ/ref=sr_1_5?keywords=Klein+Tools+1011M+Metric+Wire+Stripper%2FCutter+Stranded+Wire&amp;qid=1694735312&amp;sr=8-5")</f>
        <v/>
      </c>
      <c r="F5138" t="inlineStr">
        <is>
          <t>B00080DPNQ</t>
        </is>
      </c>
      <c r="G5138">
        <f>_xlfn.IMAGE("https://edmondsonsupply.com/cdn/shop/products/1011m.jpg?v=1633030273")</f>
        <v/>
      </c>
      <c r="H5138">
        <f>_xlfn.IMAGE("https://m.media-amazon.com/images/I/51vtDdpy8vL._AC_UL320_.jpg")</f>
        <v/>
      </c>
      <c r="K5138" t="inlineStr">
        <is>
          <t>14.99</t>
        </is>
      </c>
      <c r="L5138" t="n">
        <v>19.99</v>
      </c>
      <c r="M5138" s="1" t="inlineStr">
        <is>
          <t>33.36%</t>
        </is>
      </c>
      <c r="N5138" s="7" t="n">
        <v>-57.51</v>
      </c>
      <c r="O5138" t="n">
        <v>4.8</v>
      </c>
      <c r="P5138" t="n">
        <v>7578</v>
      </c>
      <c r="R5138" t="inlineStr">
        <is>
          <t>InStock</t>
        </is>
      </c>
      <c r="S5138" t="inlineStr">
        <is>
          <t>22.72</t>
        </is>
      </c>
      <c r="T5138" t="inlineStr">
        <is>
          <t>5237017772200</t>
        </is>
      </c>
    </row>
    <row r="5139" ht="87" customHeight="1">
      <c r="A5139" s="2">
        <f>HYPERLINK("https://edmondsonsupply.com/collections/electricians-tools/products/klein-tools-93lcls-laser-level-self-leveling-red-cross-line-level-and-red-plumb-spot", "https://edmondsonsupply.com/collections/electricians-tools/products/klein-tools-93lcls-laser-level-self-leveling-red-cross-line-level-and-red-plumb-spot")</f>
        <v/>
      </c>
      <c r="B5139" s="2">
        <f>HYPERLINK("https://edmondsonsupply.com/products/klein-tools-93lcls-laser-level-self-leveling-red-cross-line-level-and-red-plumb-spot", "https://edmondsonsupply.com/products/klein-tools-93lcls-laser-level-self-leveling-red-cross-line-level-and-red-plumb-spot")</f>
        <v/>
      </c>
      <c r="C5139" t="inlineStr">
        <is>
          <t>Klein Tools 93LCLS Laser Level, Self-Leveling Red Cross-Line Level and Red Plumb Spot</t>
        </is>
      </c>
      <c r="D5139" t="inlineStr">
        <is>
          <t>Klein Tools 93LCLG Laser Level, Self Leveling, Hi-Viz Green Cross Line Level with Red Plumb Spot and Magnetic Mounting Clamp</t>
        </is>
      </c>
      <c r="E5139" s="2">
        <f>HYPERLINK("https://www.amazon.com/Klein-Tools-93LCLG-Cross-Line-Leveling/dp/B0866NY3NW/ref=sr_1_2?keywords=Klein+Tools+93LCLS+Laser+Level%2C+Self-Leveling+Red+Cross-Line+Level+and+Red+Plumb+Spot&amp;qid=1694735226&amp;sr=8-2", "https://www.amazon.com/Klein-Tools-93LCLG-Cross-Line-Leveling/dp/B0866NY3NW/ref=sr_1_2?keywords=Klein+Tools+93LCLS+Laser+Level%2C+Self-Leveling+Red+Cross-Line+Level+and+Red+Plumb+Spot&amp;qid=1694735226&amp;sr=8-2")</f>
        <v/>
      </c>
      <c r="F5139" t="inlineStr">
        <is>
          <t>B0866NY3NW</t>
        </is>
      </c>
      <c r="G5139">
        <f>_xlfn.IMAGE("https://edmondsonsupply.com/cdn/shop/files/93lcls_b.jpg?v=1685714711")</f>
        <v/>
      </c>
      <c r="H5139">
        <f>_xlfn.IMAGE("https://m.media-amazon.com/images/I/51lR5gFHBUL._AC_UL320_.jpg")</f>
        <v/>
      </c>
      <c r="K5139" t="inlineStr">
        <is>
          <t>149.97</t>
        </is>
      </c>
      <c r="L5139" t="n">
        <v>199.99</v>
      </c>
      <c r="M5139" s="1" t="inlineStr">
        <is>
          <t>33.35%</t>
        </is>
      </c>
      <c r="N5139" s="7" t="n">
        <v>-58.21</v>
      </c>
      <c r="O5139" t="n">
        <v>4.6</v>
      </c>
      <c r="P5139" t="n">
        <v>785</v>
      </c>
      <c r="R5139" t="inlineStr">
        <is>
          <t>InStock</t>
        </is>
      </c>
      <c r="S5139" t="inlineStr">
        <is>
          <t>230.88</t>
        </is>
      </c>
      <c r="T5139" t="inlineStr">
        <is>
          <t>6589388685485</t>
        </is>
      </c>
    </row>
    <row r="5140" ht="87" customHeight="1">
      <c r="A5140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5140" s="2">
        <f>HYPERLINK("https://edmondsonsupply.com/products/klein-tools-d507-8-adjustable-wrench-extra-capacity-8-inch", "https://edmondsonsupply.com/products/klein-tools-d507-8-adjustable-wrench-extra-capacity-8-inch")</f>
        <v/>
      </c>
      <c r="C5140" t="inlineStr">
        <is>
          <t>Klein Tools D507-8 Adjustable Wrench, Extra Capacity 8-Inch</t>
        </is>
      </c>
      <c r="D5140" t="inlineStr">
        <is>
          <t>Klein Tools D86930 Reversible Pipe Wrench/Adjustable Wrench with 2-in-1 Extra-Wide 1-1/2 -inch Jaw, 10-inch</t>
        </is>
      </c>
      <c r="E5140" s="2">
        <f>HYPERLINK("https://www.amazon.com/Reversible-Adjustable-Klein-Tools-D86930/dp/B0753L3TP6/ref=sr_1_28?keywords=Klein+Tools+D507-8+Adjustable+Wrench%2C+Extra+Capacity+8-Inch&amp;qid=1694734984&amp;sr=8-28", "https://www.amazon.com/Reversible-Adjustable-Klein-Tools-D86930/dp/B0753L3TP6/ref=sr_1_28?keywords=Klein+Tools+D507-8+Adjustable+Wrench%2C+Extra+Capacity+8-Inch&amp;qid=1694734984&amp;sr=8-28")</f>
        <v/>
      </c>
      <c r="F5140" t="inlineStr">
        <is>
          <t>B0753L3TP6</t>
        </is>
      </c>
      <c r="G5140">
        <f>_xlfn.IMAGE("https://edmondsonsupply.com/cdn/shop/products/d5078_b.jpg?v=1666010497")</f>
        <v/>
      </c>
      <c r="H5140">
        <f>_xlfn.IMAGE("https://m.media-amazon.com/images/I/41BoNS0zkEL._AC_UL320_.jpg")</f>
        <v/>
      </c>
      <c r="K5140" t="inlineStr">
        <is>
          <t>29.99</t>
        </is>
      </c>
      <c r="L5140" t="n">
        <v>39.99</v>
      </c>
      <c r="M5140" s="1" t="inlineStr">
        <is>
          <t>33.34%</t>
        </is>
      </c>
      <c r="N5140" s="7" t="n">
        <v>-58.45</v>
      </c>
      <c r="O5140" t="n">
        <v>4.7</v>
      </c>
      <c r="P5140" t="n">
        <v>127</v>
      </c>
      <c r="R5140" t="inlineStr">
        <is>
          <t>InStock</t>
        </is>
      </c>
      <c r="S5140" t="inlineStr">
        <is>
          <t>45.44</t>
        </is>
      </c>
      <c r="T5140" t="inlineStr">
        <is>
          <t>4353085014116</t>
        </is>
      </c>
    </row>
    <row r="5141" ht="87" customHeight="1">
      <c r="A5141" s="2">
        <f>HYPERLINK("https://edmondsonsupply.com/collections/electricians-tools/products/klein-tools-647-nut-driver-set-6-inch-shafts-7-piece", "https://edmondsonsupply.com/collections/electricians-tools/products/klein-tools-647-nut-driver-set-6-inch-shafts-7-piece")</f>
        <v/>
      </c>
      <c r="B5141" s="2">
        <f>HYPERLINK("https://edmondsonsupply.com/products/klein-tools-647-nut-driver-set-6-inch-shafts-7-piece", "https://edmondsonsupply.com/products/klein-tools-647-nut-driver-set-6-inch-shafts-7-piece")</f>
        <v/>
      </c>
      <c r="C5141" t="inlineStr">
        <is>
          <t>Klein Tools 647 Nut Driver Set, 6-Inch Shafts, 7-Piece</t>
        </is>
      </c>
      <c r="D5141" t="inlineStr">
        <is>
          <t>Klein Tools 635-6 Tool Set, Heavy Duty Magnetic Nut Drivers SAE Sizes 1/4, 5/16, 3/8, 7/16, 1/2, and 9/16-Inch Hex, 6-Inch, 6-Piece</t>
        </is>
      </c>
      <c r="E5141" s="2">
        <f>HYPERLINK("https://www.amazon.com/Heavy-Duty-Driver-6-Piece-Klein-Tools/dp/B01DKNDHGM/ref=sr_1_6?keywords=Klein+Tools+647+Nut+Driver+Set%2C+6-Inch+Shafts%2C+7-Piece&amp;qid=1694735405&amp;sr=8-6", "https://www.amazon.com/Heavy-Duty-Driver-6-Piece-Klein-Tools/dp/B01DKNDHGM/ref=sr_1_6?keywords=Klein+Tools+647+Nut+Driver+Set%2C+6-Inch+Shafts%2C+7-Piece&amp;qid=1694735405&amp;sr=8-6")</f>
        <v/>
      </c>
      <c r="F5141" t="inlineStr">
        <is>
          <t>B01DKNDHGM</t>
        </is>
      </c>
      <c r="G5141">
        <f>_xlfn.IMAGE("https://edmondsonsupply.com/cdn/shop/products/647.jpg?v=1587143213")</f>
        <v/>
      </c>
      <c r="H5141">
        <f>_xlfn.IMAGE("https://m.media-amazon.com/images/I/61eypCy1RLL._AC_UL320_.jpg")</f>
        <v/>
      </c>
      <c r="K5141" t="inlineStr">
        <is>
          <t>59.99</t>
        </is>
      </c>
      <c r="L5141" t="n">
        <v>79.98999999999999</v>
      </c>
      <c r="M5141" s="1" t="inlineStr">
        <is>
          <t>33.34%</t>
        </is>
      </c>
      <c r="N5141" s="7" t="n">
        <v>-58.58</v>
      </c>
      <c r="O5141" t="n">
        <v>4.7</v>
      </c>
      <c r="P5141" t="n">
        <v>943</v>
      </c>
      <c r="R5141" t="inlineStr">
        <is>
          <t>InStock</t>
        </is>
      </c>
      <c r="S5141" t="inlineStr">
        <is>
          <t>91.02</t>
        </is>
      </c>
      <c r="T5141" t="inlineStr">
        <is>
          <t>4391224770660</t>
        </is>
      </c>
    </row>
    <row r="5142" ht="87" customHeight="1">
      <c r="A5142" s="2">
        <f>HYPERLINK("https://edmondsonsupply.com/collections/electricians-tools/products/klein-tools-647-nut-driver-set-6-inch-shafts-7-piece", "https://edmondsonsupply.com/collections/electricians-tools/products/klein-tools-647-nut-driver-set-6-inch-shafts-7-piece")</f>
        <v/>
      </c>
      <c r="B5142" s="2">
        <f>HYPERLINK("https://edmondsonsupply.com/products/klein-tools-647-nut-driver-set-6-inch-shafts-7-piece", "https://edmondsonsupply.com/products/klein-tools-647-nut-driver-set-6-inch-shafts-7-piece")</f>
        <v/>
      </c>
      <c r="C5142" t="inlineStr">
        <is>
          <t>Klein Tools 647 Nut Driver Set, 6-Inch Shafts, 7-Piece</t>
        </is>
      </c>
      <c r="D5142" t="inlineStr">
        <is>
          <t>Klein Tools 647M Tool Set, Magnetic Nut Drivers Sizes 3/16, 1/4, 5/16, 11/32, 3/8, 7/16, 1/2-Inch, 6-Inch Hollow Shafts, 7-Piece</t>
        </is>
      </c>
      <c r="E5142" s="2">
        <f>HYPERLINK("https://www.amazon.com/Klein-Tools-647M-Magnetic-7-Piece/dp/B000MKIUYQ/ref=sr_1_2?keywords=Klein+Tools+647+Nut+Driver+Set%2C+6-Inch+Shafts%2C+7-Piece&amp;qid=1694735405&amp;sr=8-2", "https://www.amazon.com/Klein-Tools-647M-Magnetic-7-Piece/dp/B000MKIUYQ/ref=sr_1_2?keywords=Klein+Tools+647+Nut+Driver+Set%2C+6-Inch+Shafts%2C+7-Piece&amp;qid=1694735405&amp;sr=8-2")</f>
        <v/>
      </c>
      <c r="F5142" t="inlineStr">
        <is>
          <t>B000MKIUYQ</t>
        </is>
      </c>
      <c r="G5142">
        <f>_xlfn.IMAGE("https://edmondsonsupply.com/cdn/shop/products/647.jpg?v=1587143213")</f>
        <v/>
      </c>
      <c r="H5142">
        <f>_xlfn.IMAGE("https://m.media-amazon.com/images/I/61PNUE211uL._AC_UL320_.jpg")</f>
        <v/>
      </c>
      <c r="K5142" t="inlineStr">
        <is>
          <t>59.99</t>
        </is>
      </c>
      <c r="L5142" t="n">
        <v>79.98999999999999</v>
      </c>
      <c r="M5142" s="1" t="inlineStr">
        <is>
          <t>33.34%</t>
        </is>
      </c>
      <c r="N5142" s="7" t="n">
        <v>-58.77</v>
      </c>
      <c r="O5142" t="n">
        <v>4.8</v>
      </c>
      <c r="P5142" t="n">
        <v>985</v>
      </c>
      <c r="R5142" t="inlineStr">
        <is>
          <t>InStock</t>
        </is>
      </c>
      <c r="S5142" t="inlineStr">
        <is>
          <t>91.02</t>
        </is>
      </c>
      <c r="T5142" t="inlineStr">
        <is>
          <t>4391224770660</t>
        </is>
      </c>
    </row>
    <row r="5143" ht="87" customHeight="1">
      <c r="A5143" s="2">
        <f>HYPERLINK("https://edmondsonsupply.com/collections/electricians-tools/products/klein-tools-631-nut-driver-set-3-inch-shafts-cushion-grip-7-piece", "https://edmondsonsupply.com/collections/electricians-tools/products/klein-tools-631-nut-driver-set-3-inch-shafts-cushion-grip-7-piece")</f>
        <v/>
      </c>
      <c r="B5143" s="2">
        <f>HYPERLINK("https://edmondsonsupply.com/products/klein-tools-631-nut-driver-set-3-inch-shafts-cushion-grip-7-piece", "https://edmondsonsupply.com/products/klein-tools-631-nut-driver-set-3-inch-shafts-cushion-grip-7-piece")</f>
        <v/>
      </c>
      <c r="C5143" t="inlineStr">
        <is>
          <t>Klein Tools 631 Nut Driver Set, 3-Inch Shafts, Cushion Grip, 7-Piece</t>
        </is>
      </c>
      <c r="D5143" t="inlineStr">
        <is>
          <t>Klein Tools 647M Tool Set, Magnetic Nut Drivers Sizes 3/16, 1/4, 5/16, 11/32, 3/8, 7/16, 1/2-Inch, 6-Inch Hollow Shafts, 7-Piece</t>
        </is>
      </c>
      <c r="E5143" s="2">
        <f>HYPERLINK("https://www.amazon.com/Klein-Tools-647M-Magnetic-7-Piece/dp/B000MKIUYQ/ref=sr_1_7?keywords=Klein+Tools+631+Nut+Driver+Set%2C+3-Inch+Shafts%2C+Cushion+Grip%2C+7-Piece&amp;qid=1694735184&amp;sr=8-7", "https://www.amazon.com/Klein-Tools-647M-Magnetic-7-Piece/dp/B000MKIUYQ/ref=sr_1_7?keywords=Klein+Tools+631+Nut+Driver+Set%2C+3-Inch+Shafts%2C+Cushion+Grip%2C+7-Piece&amp;qid=1694735184&amp;sr=8-7")</f>
        <v/>
      </c>
      <c r="F5143" t="inlineStr">
        <is>
          <t>B000MKIUYQ</t>
        </is>
      </c>
      <c r="G5143">
        <f>_xlfn.IMAGE("https://edmondsonsupply.com/cdn/shop/products/631.jpg?v=1632441079")</f>
        <v/>
      </c>
      <c r="H5143">
        <f>_xlfn.IMAGE("https://m.media-amazon.com/images/I/61PNUE211uL._AC_UL320_.jpg")</f>
        <v/>
      </c>
      <c r="K5143" t="inlineStr">
        <is>
          <t>59.99</t>
        </is>
      </c>
      <c r="L5143" t="n">
        <v>79.98999999999999</v>
      </c>
      <c r="M5143" s="1" t="inlineStr">
        <is>
          <t>33.34%</t>
        </is>
      </c>
      <c r="N5143" s="7" t="n">
        <v>-59.01</v>
      </c>
      <c r="O5143" t="n">
        <v>4.8</v>
      </c>
      <c r="P5143" t="n">
        <v>985</v>
      </c>
      <c r="R5143" t="inlineStr">
        <is>
          <t>InStock</t>
        </is>
      </c>
      <c r="S5143" t="inlineStr">
        <is>
          <t>82.2</t>
        </is>
      </c>
      <c r="T5143" t="inlineStr">
        <is>
          <t>6961446420653</t>
        </is>
      </c>
    </row>
    <row r="5144" ht="87" customHeight="1">
      <c r="A5144" s="2">
        <f>HYPERLINK("https://edmondsonsupply.com/collections/electricians-tools/products/klein-tools-51604-iron-conduit-bender-full-assembly-3-4-inch-emt-with-angle-setter%E2%84%A2", "https://edmondsonsupply.com/collections/electricians-tools/products/klein-tools-51604-iron-conduit-bender-full-assembly-3-4-inch-emt-with-angle-setter%E2%84%A2")</f>
        <v/>
      </c>
      <c r="B5144" s="2">
        <f>HYPERLINK("https://edmondsonsupply.com/products/klein-tools-51604-iron-conduit-bender-full-assembly-3-4-inch-emt-with-angle-setter%e2%84%a2", "https://edmondsonsupply.com/products/klein-tools-51604-iron-conduit-bender-full-assembly-3-4-inch-emt-with-angle-setter%e2%84%a2")</f>
        <v/>
      </c>
      <c r="C5144" t="inlineStr">
        <is>
          <t>Klein Tools 51604 Iron Conduit Bender Full Assembly, 3/4-Inch EMT with Angle Setter™</t>
        </is>
      </c>
      <c r="D5144" t="inlineStr">
        <is>
          <t>Klein Tools 51605 Iron Conduit Bender Full Assembly, 1-Inch EMT and 3/4-Inch Rigid, Wide Foot Pedal, Benchmark Symbols and Angle Setter</t>
        </is>
      </c>
      <c r="E5144" s="2">
        <f>HYPERLINK("https://www.amazon.com/Conduit-Technology-Benchmark-Klein-Tools/dp/B08L3ZQCT1/ref=sr_1_2?keywords=Klein+Tools+51604+Iron+Conduit+Bender+Full+Assembly%2C+3%2F4-Inch+EMT+with+Angle+Setter%E2%84%A2&amp;qid=1694735137&amp;sr=8-2", "https://www.amazon.com/Conduit-Technology-Benchmark-Klein-Tools/dp/B08L3ZQCT1/ref=sr_1_2?keywords=Klein+Tools+51604+Iron+Conduit+Bender+Full+Assembly%2C+3%2F4-Inch+EMT+with+Angle+Setter%E2%84%A2&amp;qid=1694735137&amp;sr=8-2")</f>
        <v/>
      </c>
      <c r="F5144" t="inlineStr">
        <is>
          <t>B08L3ZQCT1</t>
        </is>
      </c>
      <c r="G5144">
        <f>_xlfn.IMAGE("https://edmondsonsupply.com/cdn/shop/products/51603.jpg?v=1660829273")</f>
        <v/>
      </c>
      <c r="H5144">
        <f>_xlfn.IMAGE("https://m.media-amazon.com/images/I/41stj4NcdUL._AC_UL320_.jpg")</f>
        <v/>
      </c>
      <c r="K5144" t="inlineStr">
        <is>
          <t>74.99</t>
        </is>
      </c>
      <c r="L5144" t="n">
        <v>99.97</v>
      </c>
      <c r="M5144" s="1" t="inlineStr">
        <is>
          <t>33.31%</t>
        </is>
      </c>
      <c r="N5144" s="7" t="n">
        <v>-59.02</v>
      </c>
      <c r="O5144" t="n">
        <v>4.7</v>
      </c>
      <c r="P5144" t="n">
        <v>60</v>
      </c>
      <c r="R5144" t="inlineStr">
        <is>
          <t>OutOfStock</t>
        </is>
      </c>
      <c r="S5144" t="inlineStr">
        <is>
          <t>108.0</t>
        </is>
      </c>
      <c r="T5144" t="inlineStr">
        <is>
          <t>7784729673944</t>
        </is>
      </c>
    </row>
    <row r="5145" ht="87" customHeight="1">
      <c r="A5145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5145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5145" t="inlineStr">
        <is>
          <t>Klein Tools 646M Magnetic Nut Driver Set, 6-Inch Shafts, 2-Piece</t>
        </is>
      </c>
      <c r="D5145" t="inlineStr">
        <is>
          <t>Klein Tools 646M Tool Set, Magnetic Nut Drivers Sizes 1/4 and 5/16-Inch, 6-Inch Shafts, 2-Piece &amp; 32561 Multi-Bit Screwdriver/Nut Driver, 6-in-1 Stubby Screwdriver with 2 Phillips</t>
        </is>
      </c>
      <c r="E5145" s="2">
        <f>HYPERLINK("https://www.amazon.com/Klein-Tools-Magnetic-Multi-Bit-Screwdriver/dp/B09Z921195/ref=sr_1_3?keywords=Klein+Tools+646M+Magnetic+Nut+Driver+Set%2C+6-Inch+Shafts%2C+2-Piece&amp;qid=1694735354&amp;sr=8-3", "https://www.amazon.com/Klein-Tools-Magnetic-Multi-Bit-Screwdriver/dp/B09Z921195/ref=sr_1_3?keywords=Klein+Tools+646M+Magnetic+Nut+Driver+Set%2C+6-Inch+Shafts%2C+2-Piece&amp;qid=1694735354&amp;sr=8-3")</f>
        <v/>
      </c>
      <c r="F5145" t="inlineStr">
        <is>
          <t>B09Z921195</t>
        </is>
      </c>
      <c r="G5145">
        <f>_xlfn.IMAGE("https://edmondsonsupply.com/cdn/shop/products/646m.jpg?v=1587146592")</f>
        <v/>
      </c>
      <c r="H5145">
        <f>_xlfn.IMAGE("https://m.media-amazon.com/images/I/41K5zjxWQKL._AC_UL320_.jpg")</f>
        <v/>
      </c>
      <c r="K5145" t="inlineStr">
        <is>
          <t>24.99</t>
        </is>
      </c>
      <c r="L5145" t="n">
        <v>33.31</v>
      </c>
      <c r="M5145" s="1" t="inlineStr">
        <is>
          <t>33.29%</t>
        </is>
      </c>
      <c r="N5145" s="7" t="n">
        <v>-59.08</v>
      </c>
      <c r="O5145" t="n">
        <v>5</v>
      </c>
      <c r="P5145" t="n">
        <v>1</v>
      </c>
      <c r="R5145" t="inlineStr">
        <is>
          <t>InStock</t>
        </is>
      </c>
      <c r="S5145" t="inlineStr">
        <is>
          <t>31.74</t>
        </is>
      </c>
      <c r="T5145" t="inlineStr">
        <is>
          <t>4469705932900</t>
        </is>
      </c>
    </row>
    <row r="5146" ht="87" customHeight="1">
      <c r="A5146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5146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5146" t="inlineStr">
        <is>
          <t>Channellock 440X 12-Inch SPEEDGRIP™ Straight Jaw Tongue &amp; Groove Pliers</t>
        </is>
      </c>
      <c r="D5146" t="inlineStr">
        <is>
          <t>Channellock 440 Tongue and Groove Pliers | 12-Inch Straight Jaw Groove Joint Plier with Comfort Grips| Made in USA, Black, Blue, Silver &amp; 442 Tongue and Groove Pliers, 12 In, Black, Blue, Silver</t>
        </is>
      </c>
      <c r="E5146" s="2">
        <f>HYPERLINK("https://www.amazon.com/Channellock-Tongue-12-Inch-Straight-Comfort/dp/B0BFXP68V9/ref=sr_1_5?keywords=Channellock+440X+12-Inch+SPEEDGRIP%E2%84%A2+Straight+Jaw+Tongue+%26+Groove+Pliers&amp;qid=1694735165&amp;sr=8-5", "https://www.amazon.com/Channellock-Tongue-12-Inch-Straight-Comfort/dp/B0BFXP68V9/ref=sr_1_5?keywords=Channellock+440X+12-Inch+SPEEDGRIP%E2%84%A2+Straight+Jaw+Tongue+%26+Groove+Pliers&amp;qid=1694735165&amp;sr=8-5")</f>
        <v/>
      </c>
      <c r="F5146" t="inlineStr">
        <is>
          <t>B0BFXP68V9</t>
        </is>
      </c>
      <c r="G5146">
        <f>_xlfn.IMAGE("https://edmondsonsupply.com/cdn/shop/products/440X.jpg?v=1647104734")</f>
        <v/>
      </c>
      <c r="H5146">
        <f>_xlfn.IMAGE("https://m.media-amazon.com/images/I/41d-z+Tl0SL._AC_UL320_.jpg")</f>
        <v/>
      </c>
      <c r="K5146" t="inlineStr">
        <is>
          <t>32.95</t>
        </is>
      </c>
      <c r="L5146" t="n">
        <v>43.9</v>
      </c>
      <c r="M5146" s="1" t="inlineStr">
        <is>
          <t>33.23%</t>
        </is>
      </c>
      <c r="N5146" s="7" t="n">
        <v>-59.37</v>
      </c>
      <c r="O5146" t="n">
        <v>5</v>
      </c>
      <c r="P5146" t="n">
        <v>2</v>
      </c>
      <c r="R5146" t="inlineStr">
        <is>
          <t>InStock</t>
        </is>
      </c>
      <c r="S5146" t="inlineStr">
        <is>
          <t>45.99</t>
        </is>
      </c>
      <c r="T5146" t="inlineStr">
        <is>
          <t>7633805279448</t>
        </is>
      </c>
    </row>
    <row r="5147" ht="87" customHeight="1">
      <c r="A5147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147" s="2">
        <f>HYPERLINK("https://edmondsonsupply.com/products/klein-tools-635-1-2-1-2-inch-heavy-duty-nut-driver", "https://edmondsonsupply.com/products/klein-tools-635-1-2-1-2-inch-heavy-duty-nut-driver")</f>
        <v/>
      </c>
      <c r="C5147" t="inlineStr">
        <is>
          <t>Klein Tools 635-1/2 1/2-Inch Heavy-Duty Nut Driver</t>
        </is>
      </c>
      <c r="D5147" t="inlineStr">
        <is>
          <t>Klein Tools 65129 2-in-1 Nut Driver, Hex Head Slide Drive, 6-Inch</t>
        </is>
      </c>
      <c r="E5147" s="2">
        <f>HYPERLINK("https://www.amazon.com/Driver-6-Inch-Klein-Tools-65129/dp/B0716VDFTD/ref=sr_1_25?keywords=Klein+Tools+635-1%2F2+1%2F2-Inch+Heavy-Duty+Nut+Driver&amp;qid=1694735353&amp;sr=8-25", "https://www.amazon.com/Driver-6-Inch-Klein-Tools-65129/dp/B0716VDFTD/ref=sr_1_25?keywords=Klein+Tools+635-1%2F2+1%2F2-Inch+Heavy-Duty+Nut+Driver&amp;qid=1694735353&amp;sr=8-25")</f>
        <v/>
      </c>
      <c r="F5147" t="inlineStr">
        <is>
          <t>B0716VDFTD</t>
        </is>
      </c>
      <c r="G5147">
        <f>_xlfn.IMAGE("https://edmondsonsupply.com/cdn/shop/products/635-1-2.jpg?v=1587147726")</f>
        <v/>
      </c>
      <c r="H5147">
        <f>_xlfn.IMAGE("https://m.media-amazon.com/images/I/31G5opAPxjL._AC_UL320_.jpg")</f>
        <v/>
      </c>
      <c r="K5147" t="inlineStr">
        <is>
          <t>14.99</t>
        </is>
      </c>
      <c r="L5147" t="n">
        <v>19.97</v>
      </c>
      <c r="M5147" s="1" t="inlineStr">
        <is>
          <t>33.22%</t>
        </is>
      </c>
      <c r="N5147" s="7" t="n">
        <v>-59.37</v>
      </c>
      <c r="O5147" t="n">
        <v>4.8</v>
      </c>
      <c r="P5147" t="n">
        <v>687</v>
      </c>
      <c r="R5147" t="inlineStr">
        <is>
          <t>InStock</t>
        </is>
      </c>
      <c r="S5147" t="inlineStr">
        <is>
          <t>22.78</t>
        </is>
      </c>
      <c r="T5147" t="inlineStr">
        <is>
          <t>4473296945252</t>
        </is>
      </c>
    </row>
    <row r="5148" hidden="1" ht="15.75" customHeight="1">
      <c r="A5148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5148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5148" t="inlineStr">
        <is>
          <t>Klein Tools 630-3/8 3/8-Inch Nut Driver with 3-Inch Hollow Shaft</t>
        </is>
      </c>
      <c r="D5148" t="inlineStr">
        <is>
          <t>1/4-Inch Tip Nut Driver with 3-Inch Hollow Shaft and Cushion Grip Handle Klein Tools 630-1/4</t>
        </is>
      </c>
      <c r="E5148" s="2">
        <f>HYPERLINK("https://www.amazon.com/4-Inch-Cushion-Klein-Tools-630-1/dp/B00093DZR8/ref=sr_1_9?keywords=Klein+Tools+630-3%2F8+3%2F8-Inch+Nut+Driver+with+3-Inch+Hollow+Shaft&amp;qid=1694735236&amp;sr=8-9", "https://www.amazon.com/4-Inch-Cushion-Klein-Tools-630-1/dp/B00093DZR8/ref=sr_1_9?keywords=Klein+Tools+630-3%2F8+3%2F8-Inch+Nut+Driver+with+3-Inch+Hollow+Shaft&amp;qid=1694735236&amp;sr=8-9")</f>
        <v/>
      </c>
      <c r="F5148" t="inlineStr">
        <is>
          <t>B00093DZR8</t>
        </is>
      </c>
      <c r="G5148">
        <f>_xludf.IMAGE("https://edmondsonsupply.com/cdn/shop/products/630-1-2_e23f9fbd-a282-44d7-b743-2cfe0f84edfa.jpg?v=1633030906")</f>
        <v/>
      </c>
      <c r="H5148">
        <f>_xludf.IMAGE("https://m.media-amazon.com/images/I/41gchQgPtfL._AC_UL320_.jpg")</f>
        <v/>
      </c>
      <c r="K5148" t="inlineStr">
        <is>
          <t>8.99</t>
        </is>
      </c>
      <c r="L5148" t="n">
        <v>11.97</v>
      </c>
      <c r="M5148" s="1" t="inlineStr">
        <is>
          <t>33.15%</t>
        </is>
      </c>
      <c r="N5148" s="1" t="n">
        <v>-59.56</v>
      </c>
      <c r="O5148" t="n">
        <v>4.8</v>
      </c>
      <c r="P5148" t="n">
        <v>59</v>
      </c>
      <c r="R5148" t="inlineStr">
        <is>
          <t>InStock</t>
        </is>
      </c>
      <c r="S5148" t="inlineStr">
        <is>
          <t>11.74</t>
        </is>
      </c>
      <c r="T5148" t="inlineStr">
        <is>
          <t>6244382376109</t>
        </is>
      </c>
    </row>
    <row r="5149" hidden="1" ht="15.75" customHeight="1">
      <c r="A5149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149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149" t="inlineStr">
        <is>
          <t>Klein Tools 630-1/4 1/4-Inch Nut Driver 3-Inch Shaft Cushion Grip</t>
        </is>
      </c>
      <c r="D5149" t="inlineStr">
        <is>
          <t>1/4-Inch Tip Nut Driver with 3-Inch Hollow Shaft and Cushion Grip Handle Klein Tools 630-1/4</t>
        </is>
      </c>
      <c r="E5149" s="2">
        <f>HYPERLINK("https://www.amazon.com/4-Inch-Cushion-Klein-Tools-630-1/dp/B00093DZR8/ref=sr_1_1?keywords=Klein+Tools+630-1%2F4+1%2F4-Inch+Nut+Driver+3-Inch+Shaft+Cushion+Grip&amp;qid=1694735346&amp;sr=8-1", "https://www.amazon.com/4-Inch-Cushion-Klein-Tools-630-1/dp/B00093DZR8/ref=sr_1_1?keywords=Klein+Tools+630-1%2F4+1%2F4-Inch+Nut+Driver+3-Inch+Shaft+Cushion+Grip&amp;qid=1694735346&amp;sr=8-1")</f>
        <v/>
      </c>
      <c r="F5149" t="inlineStr">
        <is>
          <t>B00093DZR8</t>
        </is>
      </c>
      <c r="G5149">
        <f>_xludf.IMAGE("https://edmondsonsupply.com/cdn/shop/products/630-1-2_4777cf99-f2bc-4f84-bc42-7e765e2a9c37.jpg?v=1587150448")</f>
        <v/>
      </c>
      <c r="H5149">
        <f>_xludf.IMAGE("https://m.media-amazon.com/images/I/41gchQgPtfL._AC_UL320_.jpg")</f>
        <v/>
      </c>
      <c r="K5149" t="inlineStr">
        <is>
          <t>8.99</t>
        </is>
      </c>
      <c r="L5149" t="n">
        <v>11.97</v>
      </c>
      <c r="M5149" s="1" t="inlineStr">
        <is>
          <t>33.15%</t>
        </is>
      </c>
      <c r="N5149" s="1" t="n">
        <v>-59.7</v>
      </c>
      <c r="O5149" t="n">
        <v>4.8</v>
      </c>
      <c r="P5149" t="n">
        <v>59</v>
      </c>
      <c r="R5149" t="inlineStr">
        <is>
          <t>InStock</t>
        </is>
      </c>
      <c r="S5149" t="inlineStr">
        <is>
          <t>11.36</t>
        </is>
      </c>
      <c r="T5149" t="inlineStr">
        <is>
          <t>4490760355940</t>
        </is>
      </c>
    </row>
    <row r="5150" hidden="1" ht="15.75" customHeight="1">
      <c r="A5150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5150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5150" t="inlineStr">
        <is>
          <t>Diablo Tools DMAPL4090 1/4 in. x 10 in. x 12 in. Rebar Demon™ SDS‑Plus 4‑Cutter Full Carbide Head Hammer Bit</t>
        </is>
      </c>
      <c r="D5150" t="inlineStr">
        <is>
          <t>Diablo DMAPL4055 3/16 in. x 10 in. x 12 in. Rebar Demon™ SDS-Plus 4-Cutter Full Carbide Head Hammer Bit</t>
        </is>
      </c>
      <c r="E5150" s="2" t="n"/>
      <c r="F5150" t="inlineStr">
        <is>
          <t>B089LJCD42</t>
        </is>
      </c>
      <c r="G5150">
        <f>_xludf.IMAGE("https://edmondsonsupply.com/cdn/shop/products/nf6i5llohxcmlh9huvf0.webp?v=1670438124")</f>
        <v/>
      </c>
      <c r="H5150">
        <f>_xludf.IMAGE("https://m.media-amazon.com/images/I/61cDOAhkb4L._AC_UL320_.jpg")</f>
        <v/>
      </c>
      <c r="K5150" t="inlineStr">
        <is>
          <t>11.97</t>
        </is>
      </c>
      <c r="L5150" t="n">
        <v>15.93</v>
      </c>
      <c r="M5150" s="1" t="inlineStr">
        <is>
          <t>33.08%</t>
        </is>
      </c>
      <c r="N5150" s="1" t="n">
        <v>-59.78</v>
      </c>
      <c r="O5150" t="n">
        <v>2</v>
      </c>
      <c r="P5150" t="n">
        <v>1</v>
      </c>
      <c r="R5150" t="inlineStr">
        <is>
          <t>InStock</t>
        </is>
      </c>
      <c r="S5150" t="inlineStr">
        <is>
          <t>16.41</t>
        </is>
      </c>
      <c r="T5150" t="inlineStr">
        <is>
          <t>5317905973416</t>
        </is>
      </c>
    </row>
    <row r="5151" ht="87" customHeight="1">
      <c r="A5151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5151" s="2">
        <f>HYPERLINK("https://edmondsonsupply.com/products/klein-tools-56334-steel-fish-tape-1-8-inch-x-240-foot", "https://edmondsonsupply.com/products/klein-tools-56334-steel-fish-tape-1-8-inch-x-240-foot")</f>
        <v/>
      </c>
      <c r="C5151" t="inlineStr">
        <is>
          <t>Klein Tools 56334 Steel Fish Tape, 1/8-Inch x 240-Foot</t>
        </is>
      </c>
      <c r="D5151" t="inlineStr">
        <is>
          <t>Klein Tools 56341 Electrical Fish Tape / Wire Puller, Stainless Steel with Double Loop Tip, Optimized Housing and Handle, 1/8-Inch x 240-Foot</t>
        </is>
      </c>
      <c r="E5151" s="2">
        <f>HYPERLINK("https://www.amazon.com/Klein-Tools-56341-Stainless-Optimized/dp/B081ZTN3MT/ref=sr_1_2?keywords=Klein+Tools+56334+Steel+Fish+Tape%2C+1%2F8-Inch+x+240-Foot&amp;qid=1694735385&amp;sr=8-2", "https://www.amazon.com/Klein-Tools-56341-Stainless-Optimized/dp/B081ZTN3MT/ref=sr_1_2?keywords=Klein+Tools+56334+Steel+Fish+Tape%2C+1%2F8-Inch+x+240-Foot&amp;qid=1694735385&amp;sr=8-2")</f>
        <v/>
      </c>
      <c r="F5151" t="inlineStr">
        <is>
          <t>B081ZTN3MT</t>
        </is>
      </c>
      <c r="G5151">
        <f>_xlfn.IMAGE("https://edmondsonsupply.com/cdn/shop/products/56334.jpg?v=1587147767")</f>
        <v/>
      </c>
      <c r="H5151">
        <f>_xlfn.IMAGE("https://m.media-amazon.com/images/I/51rJNR9x1ML._AC_UL320_.jpg")</f>
        <v/>
      </c>
      <c r="K5151" t="inlineStr">
        <is>
          <t>84.97</t>
        </is>
      </c>
      <c r="L5151" t="n">
        <v>112.99</v>
      </c>
      <c r="M5151" s="1" t="inlineStr">
        <is>
          <t>32.98%</t>
        </is>
      </c>
      <c r="N5151" s="7" t="n">
        <v>-59.99</v>
      </c>
      <c r="O5151" t="n">
        <v>4.7</v>
      </c>
      <c r="P5151" t="n">
        <v>239</v>
      </c>
      <c r="R5151" t="inlineStr">
        <is>
          <t>InStock</t>
        </is>
      </c>
      <c r="S5151" t="inlineStr">
        <is>
          <t>115.14</t>
        </is>
      </c>
      <c r="T5151" t="inlineStr">
        <is>
          <t>4412213723236</t>
        </is>
      </c>
    </row>
    <row r="5152" ht="87" customHeight="1">
      <c r="A5152" s="2">
        <f>HYPERLINK("https://edmondsonsupply.com/collections/electricians-tools/products/diablo-tools-dou275rcgp-2-3-4-in-universal-fit-carbide-oscillating-blade-for-general-purpose-cuts", "https://edmondsonsupply.com/collections/electricians-tools/products/diablo-tools-dou275rcgp-2-3-4-in-universal-fit-carbide-oscillating-blade-for-general-purpose-cuts")</f>
        <v/>
      </c>
      <c r="B5152" s="2">
        <f>HYPERLINK("https://edmondsonsupply.com/products/diablo-tools-dou275rcgp-2-3-4-in-universal-fit-carbide-oscillating-blade-for-general-purpose-cuts", "https://edmondsonsupply.com/products/diablo-tools-dou275rcgp-2-3-4-in-universal-fit-carbide-oscillating-blade-for-general-purpose-cuts")</f>
        <v/>
      </c>
      <c r="C5152" t="inlineStr">
        <is>
          <t>Diablo Tools DOU275RCGP 2-3/4 in. Universal Fit Carbide Oscillating Blade for General Purpose Cuts</t>
        </is>
      </c>
      <c r="D5152" t="inlineStr">
        <is>
          <t>Diablo by Freud DOS125CGP3 1-1/4 in. Starlock Carbide Oscillating Blades for General Purpose Cuts (3-Pack)</t>
        </is>
      </c>
      <c r="E5152" s="2">
        <f>HYPERLINK("https://www.amazon.com/Diablo-Starlock-Carbide-Oscillating-General/dp/B089LJS9ZL/ref=sr_1_6?keywords=Diablo+Tools+DOU275RCGP+2-3%2F4+in.+Universal+Fit+Carbide+Oscillating+Blade+for+General+Purpose+Cuts&amp;qid=1694734993&amp;sr=8-6", "https://www.amazon.com/Diablo-Starlock-Carbide-Oscillating-General/dp/B089LJS9ZL/ref=sr_1_6?keywords=Diablo+Tools+DOU275RCGP+2-3%2F4+in.+Universal+Fit+Carbide+Oscillating+Blade+for+General+Purpose+Cuts&amp;qid=1694734993&amp;sr=8-6")</f>
        <v/>
      </c>
      <c r="F5152" t="inlineStr">
        <is>
          <t>B089LJS9ZL</t>
        </is>
      </c>
      <c r="G5152">
        <f>_xlfn.IMAGE("https://edmondsonsupply.com/cdn/shop/files/kukkli8nylq54bgtz0o5.webp?v=1685720266")</f>
        <v/>
      </c>
      <c r="H5152">
        <f>_xlfn.IMAGE("https://m.media-amazon.com/images/I/71Hcp8-r23L._AC_UL320_.jpg")</f>
        <v/>
      </c>
      <c r="K5152" t="inlineStr">
        <is>
          <t>29.97</t>
        </is>
      </c>
      <c r="L5152" t="n">
        <v>39.72</v>
      </c>
      <c r="M5152" s="1" t="inlineStr">
        <is>
          <t>32.53%</t>
        </is>
      </c>
      <c r="N5152" s="7" t="n">
        <v>-59.99</v>
      </c>
      <c r="O5152" t="n">
        <v>4.6</v>
      </c>
      <c r="P5152" t="n">
        <v>22</v>
      </c>
      <c r="R5152" t="inlineStr">
        <is>
          <t>InStock</t>
        </is>
      </c>
      <c r="S5152" t="inlineStr">
        <is>
          <t>37.28</t>
        </is>
      </c>
      <c r="T5152" t="inlineStr">
        <is>
          <t>7999583125720</t>
        </is>
      </c>
    </row>
    <row r="5153" ht="87" customHeight="1">
      <c r="A5153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5153" s="2">
        <f>HYPERLINK("https://edmondsonsupply.com/products/klein-tools-d2000-9ne-linemans-pliers-9-inch", "https://edmondsonsupply.com/products/klein-tools-d2000-9ne-linemans-pliers-9-inch")</f>
        <v/>
      </c>
      <c r="C5153" t="inlineStr">
        <is>
          <t>Klein Tools D2000-9NE Lineman's Pliers, 9-Inch</t>
        </is>
      </c>
      <c r="D5153" t="inlineStr">
        <is>
          <t>Klein Tools D2000-9ST Pliers, Side Cutters are Heavy-Duty 9-Inch Ironworker Pliers for Rebar, ACSR, Screws, Nails and Most Hardened Wire</t>
        </is>
      </c>
      <c r="E5153" s="2">
        <f>HYPERLINK("https://www.amazon.com/Ironworker-Cutting-Klein-Tools-D2000-9ST/dp/B0002RI9GI/ref=sr_1_7?keywords=Klein+Tools+D2000-9NE+Linemans+Pliers%2C+9-Inch&amp;qid=1694735236&amp;sr=8-7", "https://www.amazon.com/Ironworker-Cutting-Klein-Tools-D2000-9ST/dp/B0002RI9GI/ref=sr_1_7?keywords=Klein+Tools+D2000-9NE+Linemans+Pliers%2C+9-Inch&amp;qid=1694735236&amp;sr=8-7")</f>
        <v/>
      </c>
      <c r="F5153" t="inlineStr">
        <is>
          <t>B0002RI9GI</t>
        </is>
      </c>
      <c r="G5153">
        <f>_xlfn.IMAGE("https://edmondsonsupply.com/cdn/shop/products/d20009ne.jpg?v=1633030816")</f>
        <v/>
      </c>
      <c r="H5153">
        <f>_xlfn.IMAGE("https://m.media-amazon.com/images/I/41ESKqayXNL._AC_UL320_.jpg")</f>
        <v/>
      </c>
      <c r="K5153" t="inlineStr">
        <is>
          <t>39.99</t>
        </is>
      </c>
      <c r="L5153" t="n">
        <v>52.99</v>
      </c>
      <c r="M5153" s="1" t="inlineStr">
        <is>
          <t>32.51%</t>
        </is>
      </c>
      <c r="N5153" s="7" t="n">
        <v>-59.99</v>
      </c>
      <c r="O5153" t="n">
        <v>4.7</v>
      </c>
      <c r="P5153" t="n">
        <v>1012</v>
      </c>
      <c r="R5153" t="inlineStr">
        <is>
          <t>InStock</t>
        </is>
      </c>
      <c r="S5153" t="inlineStr">
        <is>
          <t>62.04</t>
        </is>
      </c>
      <c r="T5153" t="inlineStr">
        <is>
          <t>6070895411373</t>
        </is>
      </c>
    </row>
    <row r="5154" hidden="1" ht="15.75" customHeight="1">
      <c r="A5154" s="2">
        <f>HYPERLINK("https://edmondsonsupply.com/collections/electricians-tools/products/diablo-tools-dmapl2060-3-16-in-x-6-in-x-8-in-sds-plus-2-cutter", "https://edmondsonsupply.com/collections/electricians-tools/products/diablo-tools-dmapl2060-3-16-in-x-6-in-x-8-in-sds-plus-2-cutter")</f>
        <v/>
      </c>
      <c r="B5154" s="2">
        <f>HYPERLINK("https://edmondsonsupply.com/products/diablo-tools-dmapl2060-3-16-in-x-6-in-x-8-in-sds-plus-2-cutter", "https://edmondsonsupply.com/products/diablo-tools-dmapl2060-3-16-in-x-6-in-x-8-in-sds-plus-2-cutter")</f>
        <v/>
      </c>
      <c r="C5154" t="inlineStr">
        <is>
          <t>Diablo Tools DMAPL2060 3/16 in. x 6 in. x 8 in. SDS‑Plus 2‑Cutter</t>
        </is>
      </c>
      <c r="D5154" t="inlineStr">
        <is>
          <t>Diablo by Freud DMAPL4050 3/16 in. x 6 in. x 8 in. Rebar Demon SDS-Plus 4-Cutter Full Carbide Head Hammer Bit Multi, One Size</t>
        </is>
      </c>
      <c r="E5154" s="2">
        <f>HYPERLINK("https://www.amazon.com/Diablo-SDS-Plus-4-Cutter-Carbide-Hammer/dp/B089LKWR9L/ref=sr_1_30?keywords=Diablo+Tools+DMAPL2060+3%2F16+in.+x+6+in.+x+8+in.+SDS%E2%80%91Plus+2%E2%80%91Cutter&amp;qid=1694735268&amp;sr=8-30", "https://www.amazon.com/Diablo-SDS-Plus-4-Cutter-Carbide-Hammer/dp/B089LKWR9L/ref=sr_1_30?keywords=Diablo+Tools+DMAPL2060+3%2F16+in.+x+6+in.+x+8+in.+SDS%E2%80%91Plus+2%E2%80%91Cutter&amp;qid=1694735268&amp;sr=8-30")</f>
        <v/>
      </c>
      <c r="F5154" t="inlineStr">
        <is>
          <t>B089LKWR9L</t>
        </is>
      </c>
      <c r="G5154">
        <f>_xludf.IMAGE("https://edmondsonsupply.com/cdn/shop/products/DMAPL2060_Main-Image20200701.png?v=1633030582")</f>
        <v/>
      </c>
      <c r="H5154">
        <f>_xludf.IMAGE("https://m.media-amazon.com/images/I/61uukuKzJeL._AC_UL320_.jpg")</f>
        <v/>
      </c>
      <c r="K5154" t="inlineStr">
        <is>
          <t>6.79</t>
        </is>
      </c>
      <c r="L5154" t="n">
        <v>8.99</v>
      </c>
      <c r="M5154" s="1" t="inlineStr">
        <is>
          <t>32.40%</t>
        </is>
      </c>
      <c r="N5154" s="1" t="n">
        <v>-60</v>
      </c>
      <c r="O5154" t="n">
        <v>3.7</v>
      </c>
      <c r="P5154" t="n">
        <v>10</v>
      </c>
      <c r="R5154" t="inlineStr">
        <is>
          <t>InStock</t>
        </is>
      </c>
      <c r="S5154" t="inlineStr">
        <is>
          <t>8.3</t>
        </is>
      </c>
      <c r="T5154" t="inlineStr">
        <is>
          <t>5576758493352</t>
        </is>
      </c>
    </row>
    <row r="5155" hidden="1" ht="15.75" customHeight="1">
      <c r="A5155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5155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5155" t="inlineStr">
        <is>
          <t>Diablo Tools DMAPL4040 3/16 in. x 4 in. x 6 in. Rebar Demon™ SDS-Plus 4-Cutter Full Carbide Head Hammer Bit</t>
        </is>
      </c>
      <c r="D5155" t="inlineStr">
        <is>
          <t>Diablo 7/16" x 4"x6" Rebar Demon™ SDS-Plus 4-Cutter Full Carbide Head Hammer Bit</t>
        </is>
      </c>
      <c r="E5155" s="2">
        <f>HYPERLINK("https://www.amazon.com/Diablo-SDS-Plus-4-Cutter-Carbide-Hammer/dp/B089LLFMWR/ref=sr_1_32?keywords=Diablo+Tools+DMAPL4040+3%2F16+in.+x+4+in.+x+6+in.+Rebar+Demon%E2%84%A2+SDS-Plus+4-Cutter+Full+Carbide+Head+Hammer+Bit&amp;qid=1694735297&amp;sr=8-32", "https://www.amazon.com/Diablo-SDS-Plus-4-Cutter-Carbide-Hammer/dp/B089LLFMWR/ref=sr_1_32?keywords=Diablo+Tools+DMAPL4040+3%2F16+in.+x+4+in.+x+6+in.+Rebar+Demon%E2%84%A2+SDS-Plus+4-Cutter+Full+Carbide+Head+Hammer+Bit&amp;qid=1694735297&amp;sr=8-32")</f>
        <v/>
      </c>
      <c r="F5155" t="inlineStr">
        <is>
          <t>B089LLFMWR</t>
        </is>
      </c>
      <c r="G5155">
        <f>_xludf.IMAGE("https://edmondsonsupply.com/cdn/shop/products/DMAPL4040_Main-Image20200701.png?v=1633030358")</f>
        <v/>
      </c>
      <c r="H5155">
        <f>_xludf.IMAGE("https://m.media-amazon.com/images/I/61dJRePds4L._AC_UL320_.jpg")</f>
        <v/>
      </c>
      <c r="K5155" t="inlineStr">
        <is>
          <t>8.47</t>
        </is>
      </c>
      <c r="L5155" t="n">
        <v>11.21</v>
      </c>
      <c r="M5155" s="1" t="inlineStr">
        <is>
          <t>32.35%</t>
        </is>
      </c>
      <c r="N5155" s="1" t="n">
        <v>-60.01</v>
      </c>
      <c r="O5155" t="n">
        <v>4.5</v>
      </c>
      <c r="P5155" t="n">
        <v>8</v>
      </c>
      <c r="R5155" t="inlineStr">
        <is>
          <t>InStock</t>
        </is>
      </c>
      <c r="S5155" t="inlineStr">
        <is>
          <t>undefined</t>
        </is>
      </c>
      <c r="T5155" t="inlineStr">
        <is>
          <t>5286740426920</t>
        </is>
      </c>
    </row>
    <row r="5156" ht="87" customHeight="1">
      <c r="A5156" s="2">
        <f>HYPERLINK("https://edmondsonsupply.com/collections/electricians-tools/products/greenlee-k2bb-3-4-3-4-conduit-size-slug-buster%C2%AE-manual-knockout-set", "https://edmondsonsupply.com/collections/electricians-tools/products/greenlee-k2bb-3-4-3-4-conduit-size-slug-buster%C2%AE-manual-knockout-set")</f>
        <v/>
      </c>
      <c r="B5156" s="2">
        <f>HYPERLINK("https://edmondsonsupply.com/products/greenlee-k2bb-3-4-3-4-conduit-size-slug-buster%c2%ae-manual-knockout-set", "https://edmondsonsupply.com/products/greenlee-k2bb-3-4-3-4-conduit-size-slug-buster%c2%ae-manual-knockout-set")</f>
        <v/>
      </c>
      <c r="C5156" t="inlineStr">
        <is>
          <t>Greenlee K2BB-3/4 3/4" Conduit Size Slug-Buster® Manual Knockout Set</t>
        </is>
      </c>
      <c r="D5156" t="inlineStr">
        <is>
          <t>Greenlee, K2BBM-0305 replaces 60246, 0.5 mm Slug-Buster® Manual Knockout Set</t>
        </is>
      </c>
      <c r="E5156" s="2">
        <f>HYPERLINK("https://www.amazon.com/Greenlee-K2BBM-0305-Knockout-Set/dp/B07Y5QXK3D/ref=sr_1_18?keywords=Greenlee+K2BB-3%2F4+3%2F4%22+Conduit+Size+Slug-Buster%C2%AE+Manual+Knockout+Set&amp;qid=1694735361&amp;sr=8-18", "https://www.amazon.com/Greenlee-K2BBM-0305-Knockout-Set/dp/B07Y5QXK3D/ref=sr_1_18?keywords=Greenlee+K2BB-3%2F4+3%2F4%22+Conduit+Size+Slug-Buster%C2%AE+Manual+Knockout+Set&amp;qid=1694735361&amp;sr=8-18")</f>
        <v/>
      </c>
      <c r="F5156" t="inlineStr">
        <is>
          <t>B07Y5QXK3D</t>
        </is>
      </c>
      <c r="G5156">
        <f>_xlfn.IMAGE("https://edmondsonsupply.com/cdn/shop/products/K2BB-3-4-ASM.jpg?v=1587150224")</f>
        <v/>
      </c>
      <c r="H5156">
        <f>_xlfn.IMAGE("https://m.media-amazon.com/images/I/71Zzxaq0o6L._AC_UL320_.jpg")</f>
        <v/>
      </c>
      <c r="K5156" t="inlineStr">
        <is>
          <t>69.6</t>
        </is>
      </c>
      <c r="L5156" t="n">
        <v>92.08</v>
      </c>
      <c r="M5156" s="1" t="inlineStr">
        <is>
          <t>32.30%</t>
        </is>
      </c>
      <c r="N5156" s="7" t="n">
        <v>-60.02</v>
      </c>
      <c r="O5156" t="n">
        <v>4.2</v>
      </c>
      <c r="P5156" t="n">
        <v>5</v>
      </c>
      <c r="R5156" t="inlineStr">
        <is>
          <t>InStock</t>
        </is>
      </c>
      <c r="S5156" t="inlineStr">
        <is>
          <t>69.6</t>
        </is>
      </c>
      <c r="T5156" t="inlineStr">
        <is>
          <t>4431415509092</t>
        </is>
      </c>
    </row>
    <row r="5157" hidden="1" ht="15.75" customHeight="1">
      <c r="A5157" s="2">
        <f>HYPERLINK("https://edmondsonsupply.com/collections/electricians-tools/products/klein-tools-jth9e10-5-32-inch-hex-key-journeyman-t-handle-9-inch", "https://edmondsonsupply.com/collections/electricians-tools/products/klein-tools-jth9e10-5-32-inch-hex-key-journeyman-t-handle-9-inch")</f>
        <v/>
      </c>
      <c r="B5157" s="2">
        <f>HYPERLINK("https://edmondsonsupply.com/products/klein-tools-jth9e10-5-32-inch-hex-key-journeyman-t-handle-9-inch", "https://edmondsonsupply.com/products/klein-tools-jth9e10-5-32-inch-hex-key-journeyman-t-handle-9-inch")</f>
        <v/>
      </c>
      <c r="C5157" t="inlineStr">
        <is>
          <t>Klein Tools JTH9E10 5/32-Inch Hex Key, Journeyman T-Handle, 9-Inch</t>
        </is>
      </c>
      <c r="D5157" t="inlineStr">
        <is>
          <t>Klein Tools JTH9M5 5 mm Hex Key with Journeyman T-Handle, 9-Inch</t>
        </is>
      </c>
      <c r="E5157" s="2">
        <f>HYPERLINK("https://www.amazon.com/Journeyman-T-Handle-Klein-Tools-JTH9M5/dp/B005G3HJDW/ref=sr_1_7?keywords=Klein+Tools+JTH9E10+5%2F32-Inch+Hex+Key%2C+Journeyman+T-Handle%2C+9-Inch&amp;qid=1694735165&amp;sr=8-7", "https://www.amazon.com/Journeyman-T-Handle-Klein-Tools-JTH9M5/dp/B005G3HJDW/ref=sr_1_7?keywords=Klein+Tools+JTH9E10+5%2F32-Inch+Hex+Key%2C+Journeyman+T-Handle%2C+9-Inch&amp;qid=1694735165&amp;sr=8-7")</f>
        <v/>
      </c>
      <c r="F5157" t="inlineStr">
        <is>
          <t>B005G3HJDW</t>
        </is>
      </c>
      <c r="G5157">
        <f>_xludf.IMAGE("https://edmondsonsupply.com/cdn/shop/products/jth9e12_37b16542-2f59-465e-8bba-0a543803dfd0.jpg?v=1647892900")</f>
        <v/>
      </c>
      <c r="H5157">
        <f>_xludf.IMAGE("https://m.media-amazon.com/images/I/51O91N8K8wL._AC_UL320_.jpg")</f>
        <v/>
      </c>
      <c r="K5157" t="inlineStr">
        <is>
          <t>7.6</t>
        </is>
      </c>
      <c r="L5157" t="n">
        <v>10.04</v>
      </c>
      <c r="M5157" s="1" t="inlineStr">
        <is>
          <t>32.11%</t>
        </is>
      </c>
      <c r="N5157" s="1" t="n">
        <v>-60.02</v>
      </c>
      <c r="O5157" t="n">
        <v>4.7</v>
      </c>
      <c r="P5157" t="n">
        <v>160</v>
      </c>
      <c r="R5157" t="inlineStr">
        <is>
          <t>OutOfStock</t>
        </is>
      </c>
      <c r="S5157" t="inlineStr">
        <is>
          <t>undefined</t>
        </is>
      </c>
      <c r="T5157" t="inlineStr">
        <is>
          <t>7640873205976</t>
        </is>
      </c>
    </row>
    <row r="5158" ht="87" customHeight="1">
      <c r="A5158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5158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5158" t="inlineStr">
        <is>
          <t>Klein Tools 32768 3-in-1 Impact Flip Socket Set, 1/4-Inch, 5/16-Inch, 2-Piece</t>
        </is>
      </c>
      <c r="D5158" t="inlineStr">
        <is>
          <t>Klein Tools 32767 Impact Driver, 3-in-1 Impact Flip Socket and Bit Holder, 1/4-Inch and 5/16-Inch Hex Drivers, 5-Inch Length (Pack of 2)</t>
        </is>
      </c>
      <c r="E5158" s="2">
        <f>HYPERLINK("https://www.amazon.com/Klein-Tools-32767-16-Inch-Drivers/dp/B0CDQKP7LM/ref=sr_1_5?keywords=Klein+Tools+32768+3-in-1+Impact+Flip+Socket+Set%2C+1%2F4-Inch%2C+5%2F16-Inch%2C+2-Piece&amp;qid=1694735099&amp;sr=8-5", "https://www.amazon.com/Klein-Tools-32767-16-Inch-Drivers/dp/B0CDQKP7LM/ref=sr_1_5?keywords=Klein+Tools+32768+3-in-1+Impact+Flip+Socket+Set%2C+1%2F4-Inch%2C+5%2F16-Inch%2C+2-Piece&amp;qid=1694735099&amp;sr=8-5")</f>
        <v/>
      </c>
      <c r="F5158" t="inlineStr">
        <is>
          <t>B0CDQKP7LM</t>
        </is>
      </c>
      <c r="G5158">
        <f>_xlfn.IMAGE("https://edmondsonsupply.com/cdn/shop/products/32768.jpg?v=1666022946")</f>
        <v/>
      </c>
      <c r="H5158">
        <f>_xlfn.IMAGE("https://m.media-amazon.com/images/I/41Z456wDYpL._AC_UL320_.jpg")</f>
        <v/>
      </c>
      <c r="K5158" t="inlineStr">
        <is>
          <t>14.97</t>
        </is>
      </c>
      <c r="L5158" t="n">
        <v>19.77</v>
      </c>
      <c r="M5158" s="1" t="inlineStr">
        <is>
          <t>32.06%</t>
        </is>
      </c>
      <c r="N5158" s="7" t="n">
        <v>-60.02</v>
      </c>
      <c r="O5158" t="n">
        <v>4.3</v>
      </c>
      <c r="P5158" t="n">
        <v>799</v>
      </c>
      <c r="R5158" t="inlineStr">
        <is>
          <t>InStock</t>
        </is>
      </c>
      <c r="S5158" t="inlineStr">
        <is>
          <t>21.98</t>
        </is>
      </c>
      <c r="T5158" t="inlineStr">
        <is>
          <t>7856621977816</t>
        </is>
      </c>
    </row>
    <row r="5159" hidden="1" ht="15.75" customHeight="1">
      <c r="A5159" s="2">
        <f>HYPERLINK("https://edmondsonsupply.com/collections/electricians-tools/products/klein-tools-jth6t40-t40-torx%C2%AE-hex-key-with-journeyman-t-handle-6-inch", "https://edmondsonsupply.com/collections/electricians-tools/products/klein-tools-jth6t40-t40-torx%C2%AE-hex-key-with-journeyman-t-handle-6-inch")</f>
        <v/>
      </c>
      <c r="B5159" s="2">
        <f>HYPERLINK("https://edmondsonsupply.com/products/klein-tools-jth6t40-t40-torx%c2%ae-hex-key-with-journeyman-t-handle-6-inch", "https://edmondsonsupply.com/products/klein-tools-jth6t40-t40-torx%c2%ae-hex-key-with-journeyman-t-handle-6-inch")</f>
        <v/>
      </c>
      <c r="C5159" t="inlineStr">
        <is>
          <t>Klein Tools JTH6T40 T40 Torx® Hex Key with Journeyman T-Handle, 6-Inch</t>
        </is>
      </c>
      <c r="D5159" t="inlineStr">
        <is>
          <t>Klein Tools JTH6T40 T40 TORX Hex Key, Journeyman T-Handle, 6-Inch</t>
        </is>
      </c>
      <c r="E5159" s="2">
        <f>HYPERLINK("https://www.amazon.com/Journeyman-T-Handle-Klein-Tools-JTH6T40/dp/B005G3B500/ref=sr_1_1?keywords=Klein+Tools+JTH6T40+T40+Torx%C2%AE+Hex+Key+with+Journeyman+T-Handle%2C+6-Inch&amp;qid=1694735361&amp;sr=8-1", "https://www.amazon.com/Journeyman-T-Handle-Klein-Tools-JTH6T40/dp/B005G3B500/ref=sr_1_1?keywords=Klein+Tools+JTH6T40+T40+Torx%C2%AE+Hex+Key+with+Journeyman+T-Handle%2C+6-Inch&amp;qid=1694735361&amp;sr=8-1")</f>
        <v/>
      </c>
      <c r="F5159" t="inlineStr">
        <is>
          <t>B005G3B500</t>
        </is>
      </c>
      <c r="G5159">
        <f>_xludf.IMAGE("https://edmondsonsupply.com/cdn/shop/products/jth6t40_5dae4b7a-507d-4e73-a856-e10843f13488.jpg?v=1587149691")</f>
        <v/>
      </c>
      <c r="H5159">
        <f>_xludf.IMAGE("https://m.media-amazon.com/images/I/51Xj0Vsb-EL._AC_UL320_.jpg")</f>
        <v/>
      </c>
      <c r="K5159" t="inlineStr">
        <is>
          <t>10.99</t>
        </is>
      </c>
      <c r="L5159" t="n">
        <v>14.51</v>
      </c>
      <c r="M5159" s="1" t="inlineStr">
        <is>
          <t>32.03%</t>
        </is>
      </c>
      <c r="N5159" s="1" t="n">
        <v>-60.03</v>
      </c>
      <c r="O5159" t="n">
        <v>4.8</v>
      </c>
      <c r="P5159" t="n">
        <v>1540</v>
      </c>
      <c r="R5159" t="inlineStr">
        <is>
          <t>InStock</t>
        </is>
      </c>
      <c r="S5159" t="inlineStr">
        <is>
          <t>16.66</t>
        </is>
      </c>
      <c r="T5159" t="inlineStr">
        <is>
          <t>4451485352036</t>
        </is>
      </c>
    </row>
    <row r="5160" ht="87" customHeight="1">
      <c r="A5160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5160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5160" t="inlineStr">
        <is>
          <t>Klein Tools ET310 Digital Circuit Breaker Finder with GFCI Outlet Tester</t>
        </is>
      </c>
      <c r="D5160" t="inlineStr">
        <is>
          <t>Klein Tools Digital Circuit Breaker Finder with GFCI Outlet Tester ET310 &amp; Tools 69401 Multimeter Carrying Case</t>
        </is>
      </c>
      <c r="E5160" s="2">
        <f>HYPERLINK("https://www.amazon.com/Klein-Tools-Digital-Multimeter-Carrying/dp/B08MG1HXLJ/ref=sr_1_9?keywords=Klein+Tools+ET310+Digital+Circuit+Breaker+Finder+with+GFCI+Outlet+Tester&amp;qid=1694734974&amp;sr=8-9", "https://www.amazon.com/Klein-Tools-Digital-Multimeter-Carrying/dp/B08MG1HXLJ/ref=sr_1_9?keywords=Klein+Tools+ET310+Digital+Circuit+Breaker+Finder+with+GFCI+Outlet+Tester&amp;qid=1694734974&amp;sr=8-9")</f>
        <v/>
      </c>
      <c r="F5160" t="inlineStr">
        <is>
          <t>B08MG1HXLJ</t>
        </is>
      </c>
      <c r="G5160">
        <f>_xlfn.IMAGE("https://edmondsonsupply.com/cdn/shop/products/et310_c.jpg?v=1646963918")</f>
        <v/>
      </c>
      <c r="H5160">
        <f>_xlfn.IMAGE("https://m.media-amazon.com/images/I/61ZZ2BSEYbL._AC_UL320_.jpg")</f>
        <v/>
      </c>
      <c r="K5160" t="inlineStr">
        <is>
          <t>49.97</t>
        </is>
      </c>
      <c r="L5160" t="n">
        <v>65.97</v>
      </c>
      <c r="M5160" s="1" t="inlineStr">
        <is>
          <t>32.02%</t>
        </is>
      </c>
      <c r="N5160" s="7" t="n">
        <v>-60.03</v>
      </c>
      <c r="O5160" t="n">
        <v>4.8</v>
      </c>
      <c r="P5160" t="n">
        <v>137</v>
      </c>
      <c r="R5160" t="inlineStr">
        <is>
          <t>InStock</t>
        </is>
      </c>
      <c r="S5160" t="inlineStr">
        <is>
          <t>75.1</t>
        </is>
      </c>
      <c r="T5160" t="inlineStr">
        <is>
          <t>3389551280228</t>
        </is>
      </c>
    </row>
    <row r="5161" ht="87" customHeight="1">
      <c r="A5161" s="2">
        <f>HYPERLINK("https://edmondsonsupply.com/collections/electricians-tools/products/greenlee-0153-47c-11-in-1-multi-tool", "https://edmondsonsupply.com/collections/electricians-tools/products/greenlee-0153-47c-11-in-1-multi-tool")</f>
        <v/>
      </c>
      <c r="B5161" s="2">
        <f>HYPERLINK("https://edmondsonsupply.com/products/greenlee-0153-47c-11-in-1-multi-tool", "https://edmondsonsupply.com/products/greenlee-0153-47c-11-in-1-multi-tool")</f>
        <v/>
      </c>
      <c r="C5161" t="inlineStr">
        <is>
          <t>Greenlee 0153-47C 11-IN-1 Multi-Tool</t>
        </is>
      </c>
      <c r="D5161" t="inlineStr">
        <is>
          <t>Greenlee 0153-42C Multi-Tool Screwdriver, 6 in 1 &amp; Greenlee 9953-13 6 in 1 Screwdriver Replacement Bits</t>
        </is>
      </c>
      <c r="E5161" s="2">
        <f>HYPERLINK("https://www.amazon.com/Greenlee-0153-42C-Multi-Tool-Screwdriver-Replacement/dp/B07BG2JXVY/ref=sr_1_5?keywords=Greenlee+0153-47C+11-IN-1+Multi-Tool&amp;qid=1694735406&amp;sr=8-5", "https://www.amazon.com/Greenlee-0153-42C-Multi-Tool-Screwdriver-Replacement/dp/B07BG2JXVY/ref=sr_1_5?keywords=Greenlee+0153-47C+11-IN-1+Multi-Tool&amp;qid=1694735406&amp;sr=8-5")</f>
        <v/>
      </c>
      <c r="F5161" t="inlineStr">
        <is>
          <t>B07BG2JXVY</t>
        </is>
      </c>
      <c r="G5161">
        <f>_xlfn.IMAGE("https://edmondsonsupply.com/cdn/shop/products/0153-47c-cat2.jpg?v=1587146986")</f>
        <v/>
      </c>
      <c r="H5161">
        <f>_xlfn.IMAGE("https://m.media-amazon.com/images/I/51sSelwODLL._AC_UL320_.jpg")</f>
        <v/>
      </c>
      <c r="K5161" t="inlineStr">
        <is>
          <t>17.99</t>
        </is>
      </c>
      <c r="L5161" t="n">
        <v>23.74</v>
      </c>
      <c r="M5161" s="1" t="inlineStr">
        <is>
          <t>31.96%</t>
        </is>
      </c>
      <c r="N5161" s="7" t="n">
        <v>-60.05</v>
      </c>
      <c r="O5161" t="n">
        <v>4.6</v>
      </c>
      <c r="P5161" t="n">
        <v>18</v>
      </c>
      <c r="R5161" t="inlineStr">
        <is>
          <t>InStock</t>
        </is>
      </c>
      <c r="S5161" t="inlineStr">
        <is>
          <t>18.85</t>
        </is>
      </c>
      <c r="T5161" t="inlineStr">
        <is>
          <t>4395531042916</t>
        </is>
      </c>
    </row>
    <row r="5162" ht="87" customHeight="1">
      <c r="A5162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5162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5162" t="inlineStr">
        <is>
          <t>Klein Tools NCVT1PKIT Non-Contact Voltage and GFCI Receptacle Test Kit</t>
        </is>
      </c>
      <c r="D5162" t="inlineStr">
        <is>
          <t>Klein Tools NCVT1P Voltage Tester, Non-Contact Voltage Detector Pen &amp; RT210 Outlet Tester, Receptacle Tester for GFCI/Standard North American AC Electrical Outlets, Detects Common Wiring Problems</t>
        </is>
      </c>
      <c r="E5162" s="2">
        <f>HYPERLINK("https://www.amazon.com/Klein-Tools-Non-Contact-Receptacle-Electrical/dp/B09Y88M899/ref=sr_1_29?keywords=Klein+Tools+NCVT1PKIT+Non-Contact+Voltage+and+GFCI+Receptacle+Test+Kit&amp;qid=1694735031&amp;sr=8-29", "https://www.amazon.com/Klein-Tools-Non-Contact-Receptacle-Electrical/dp/B09Y88M899/ref=sr_1_29?keywords=Klein+Tools+NCVT1PKIT+Non-Contact+Voltage+and+GFCI+Receptacle+Test+Kit&amp;qid=1694735031&amp;sr=8-29")</f>
        <v/>
      </c>
      <c r="F5162" t="inlineStr">
        <is>
          <t>B09Y88M899</t>
        </is>
      </c>
      <c r="G5162">
        <f>_xlfn.IMAGE("https://edmondsonsupply.com/cdn/shop/products/ncvt1pkit.jpg?v=1677682920")</f>
        <v/>
      </c>
      <c r="H5162">
        <f>_xlfn.IMAGE("https://m.media-amazon.com/images/I/41WRVSLp-pL._AC_UL320_.jpg")</f>
        <v/>
      </c>
      <c r="K5162" t="inlineStr">
        <is>
          <t>24.97</t>
        </is>
      </c>
      <c r="L5162" t="n">
        <v>32.94</v>
      </c>
      <c r="M5162" s="1" t="inlineStr">
        <is>
          <t>31.92%</t>
        </is>
      </c>
      <c r="N5162" s="7" t="n">
        <v>-60.17</v>
      </c>
      <c r="O5162" t="n">
        <v>4.7</v>
      </c>
      <c r="P5162" t="n">
        <v>8</v>
      </c>
      <c r="R5162" t="inlineStr">
        <is>
          <t>InStock</t>
        </is>
      </c>
      <c r="S5162" t="inlineStr">
        <is>
          <t>35.38</t>
        </is>
      </c>
      <c r="T5162" t="inlineStr">
        <is>
          <t>7953960698072</t>
        </is>
      </c>
    </row>
    <row r="5163" ht="87" customHeight="1">
      <c r="A5163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163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163" t="inlineStr">
        <is>
          <t>Klein Tools 11055RINS Insulated Klein-Kurve® Wire Stripper and Cutter</t>
        </is>
      </c>
      <c r="D5163" t="inlineStr">
        <is>
          <t>Klein Tools 11054EINS Electrician's Insulated Wire Stripper / Cutter, 1000V Rated, VDE Certified, for Solid and Stranded Wires,Orange/Gray</t>
        </is>
      </c>
      <c r="E5163" s="2">
        <f>HYPERLINK("https://www.amazon.com/Klein-Tools-11054EINS-Electricians-Insulated/dp/B00JGG5VJ4/ref=sr_1_6?keywords=Klein+Tools+11055RINS+Insulated+Klein-Kurve%C2%AE+Wire+Stripper+and+Cutter&amp;qid=1694735096&amp;sr=8-6", "https://www.amazon.com/Klein-Tools-11054EINS-Electricians-Insulated/dp/B00JGG5VJ4/ref=sr_1_6?keywords=Klein+Tools+11055RINS+Insulated+Klein-Kurve%C2%AE+Wire+Stripper+and+Cutter&amp;qid=1694735096&amp;sr=8-6")</f>
        <v/>
      </c>
      <c r="F5163" t="inlineStr">
        <is>
          <t>B00JGG5VJ4</t>
        </is>
      </c>
      <c r="G5163">
        <f>_xlfn.IMAGE("https://edmondsonsupply.com/cdn/shop/products/11055rins.jpg?v=1667236979")</f>
        <v/>
      </c>
      <c r="H5163">
        <f>_xlfn.IMAGE("https://m.media-amazon.com/images/I/415hBJVvvML._AC_UL320_.jpg")</f>
        <v/>
      </c>
      <c r="K5163" t="inlineStr">
        <is>
          <t>29.97</t>
        </is>
      </c>
      <c r="L5163" t="n">
        <v>39.5</v>
      </c>
      <c r="M5163" s="1" t="inlineStr">
        <is>
          <t>31.80%</t>
        </is>
      </c>
      <c r="N5163" s="7" t="n">
        <v>-60.34</v>
      </c>
      <c r="O5163" t="n">
        <v>4.6</v>
      </c>
      <c r="P5163" t="n">
        <v>245</v>
      </c>
      <c r="R5163" t="inlineStr">
        <is>
          <t>InStock</t>
        </is>
      </c>
      <c r="S5163" t="inlineStr">
        <is>
          <t>41.98</t>
        </is>
      </c>
      <c r="T5163" t="inlineStr">
        <is>
          <t>7871527813336</t>
        </is>
      </c>
    </row>
    <row r="5164" ht="87" customHeight="1">
      <c r="A5164" s="2">
        <f>HYPERLINK("https://edmondsonsupply.com/collections/electricians-tools/products/diablo-tools-dag", "https://edmondsonsupply.com/collections/electricians-tools/products/diablo-tools-dag")</f>
        <v/>
      </c>
      <c r="B5164" s="2">
        <f>HYPERLINK("https://edmondsonsupply.com/products/diablo-tools-dag", "https://edmondsonsupply.com/products/diablo-tools-dag")</f>
        <v/>
      </c>
      <c r="C5164" t="inlineStr">
        <is>
          <t>Diablo Tools DAG3010 3/8 in. x 17-1/2 in. Auger Bit</t>
        </is>
      </c>
      <c r="D5164" t="inlineStr">
        <is>
          <t>BOSCH NKLT06 3/8 In. x 17-1/2 In. Daredevil Auger Bits</t>
        </is>
      </c>
      <c r="E5164" s="2">
        <f>HYPERLINK("https://www.amazon.com/Bosch-NKLT06-17-1-Daredevil-Auger/dp/B003BIFMTW/ref=sr_1_16?keywords=Diablo+Tools+DAG3010+3%2F8+in.+x+17-1%2F2+in.+Auger+Bit&amp;qid=1694735073&amp;sr=8-16", "https://www.amazon.com/Bosch-NKLT06-17-1-Daredevil-Auger/dp/B003BIFMTW/ref=sr_1_16?keywords=Diablo+Tools+DAG3010+3%2F8+in.+x+17-1%2F2+in.+Auger+Bit&amp;qid=1694735073&amp;sr=8-16")</f>
        <v/>
      </c>
      <c r="F5164" t="inlineStr">
        <is>
          <t>B003BIFMTW</t>
        </is>
      </c>
      <c r="G5164">
        <f>_xlfn.IMAGE("https://edmondsonsupply.com/cdn/shop/products/xfctdbahz5wx3g461fm8.webp?v=1669991052")</f>
        <v/>
      </c>
      <c r="H5164">
        <f>_xlfn.IMAGE("https://m.media-amazon.com/images/I/6136+KP8bbL._AC_UL320_.jpg")</f>
        <v/>
      </c>
      <c r="K5164" t="inlineStr">
        <is>
          <t>17.47</t>
        </is>
      </c>
      <c r="L5164" t="n">
        <v>23</v>
      </c>
      <c r="M5164" s="1" t="inlineStr">
        <is>
          <t>31.65%</t>
        </is>
      </c>
      <c r="N5164" s="7" t="n">
        <v>-60.36</v>
      </c>
      <c r="O5164" t="n">
        <v>4.4</v>
      </c>
      <c r="P5164" t="n">
        <v>161</v>
      </c>
      <c r="R5164" t="inlineStr">
        <is>
          <t>InStock</t>
        </is>
      </c>
      <c r="S5164" t="inlineStr">
        <is>
          <t>25.04</t>
        </is>
      </c>
      <c r="T5164" t="inlineStr">
        <is>
          <t>7897480921304</t>
        </is>
      </c>
    </row>
    <row r="5165" ht="87" customHeight="1">
      <c r="A5165" s="2">
        <f>HYPERLINK("https://edmondsonsupply.com/collections/electricians-tools/products/diablo-tools-dag", "https://edmondsonsupply.com/collections/electricians-tools/products/diablo-tools-dag")</f>
        <v/>
      </c>
      <c r="B5165" s="2">
        <f>HYPERLINK("https://edmondsonsupply.com/products/diablo-tools-dag", "https://edmondsonsupply.com/products/diablo-tools-dag")</f>
        <v/>
      </c>
      <c r="C5165" t="inlineStr">
        <is>
          <t>Diablo Tools DAG3010 3/8 in. x 17-1/2 in. Auger Bit</t>
        </is>
      </c>
      <c r="D5165" t="inlineStr">
        <is>
          <t>Diablo 1-3/8 in. x 17-1/2 in. Auger Bit</t>
        </is>
      </c>
      <c r="E5165" s="2">
        <f>HYPERLINK("https://www.amazon.com/Diablo-Freud-DAG3150-17-1-Auger/dp/B089KWC19Y/ref=sr_1_6?keywords=Diablo+Tools+DAG3010+3%2F8+in.+x+17-1%2F2+in.+Auger+Bit&amp;qid=1694735073&amp;sr=8-6", "https://www.amazon.com/Diablo-Freud-DAG3150-17-1-Auger/dp/B089KWC19Y/ref=sr_1_6?keywords=Diablo+Tools+DAG3010+3%2F8+in.+x+17-1%2F2+in.+Auger+Bit&amp;qid=1694735073&amp;sr=8-6")</f>
        <v/>
      </c>
      <c r="F5165" t="inlineStr">
        <is>
          <t>B089KWC19Y</t>
        </is>
      </c>
      <c r="G5165">
        <f>_xlfn.IMAGE("https://edmondsonsupply.com/cdn/shop/products/xfctdbahz5wx3g461fm8.webp?v=1669991052")</f>
        <v/>
      </c>
      <c r="H5165">
        <f>_xlfn.IMAGE("https://m.media-amazon.com/images/I/615PEokpQML._AC_UL320_.jpg")</f>
        <v/>
      </c>
      <c r="K5165" t="inlineStr">
        <is>
          <t>17.47</t>
        </is>
      </c>
      <c r="L5165" t="n">
        <v>22.99</v>
      </c>
      <c r="M5165" s="1" t="inlineStr">
        <is>
          <t>31.60%</t>
        </is>
      </c>
      <c r="N5165" s="7" t="n">
        <v>-60.69</v>
      </c>
      <c r="O5165" t="n">
        <v>4.8</v>
      </c>
      <c r="P5165" t="n">
        <v>14</v>
      </c>
      <c r="R5165" t="inlineStr">
        <is>
          <t>InStock</t>
        </is>
      </c>
      <c r="S5165" t="inlineStr">
        <is>
          <t>25.04</t>
        </is>
      </c>
      <c r="T5165" t="inlineStr">
        <is>
          <t>7897480921304</t>
        </is>
      </c>
    </row>
    <row r="5166" ht="87" customHeight="1">
      <c r="A5166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5166" s="2">
        <f>HYPERLINK("https://edmondsonsupply.com/products/rack-a-tiers-11455-wire-dispenser", "https://edmondsonsupply.com/products/rack-a-tiers-11455-wire-dispenser")</f>
        <v/>
      </c>
      <c r="C5166" t="inlineStr">
        <is>
          <t>Rack-A-Tiers 11455 Wire Dispenser</t>
        </is>
      </c>
      <c r="D5166" t="inlineStr">
        <is>
          <t>Rack-A-Tiers E-Z Roll - Wire Dispenser Rack, Ultra-Compact &amp; Collapsible Wheeled Wire Dispenser (55455)</t>
        </is>
      </c>
      <c r="E5166" s="2">
        <f>HYPERLINK("https://www.amazon.com/55455-Rack-Tiers-Z-Roll/dp/B0076B0M0O/ref=sr_1_8?keywords=Rack-A-Tiers+11455+Wire+Dispenser&amp;qid=1694734977&amp;sr=8-8", "https://www.amazon.com/55455-Rack-Tiers-Z-Roll/dp/B0076B0M0O/ref=sr_1_8?keywords=Rack-A-Tiers+11455+Wire+Dispenser&amp;qid=1694734977&amp;sr=8-8")</f>
        <v/>
      </c>
      <c r="F5166" t="inlineStr">
        <is>
          <t>B0076B0M0O</t>
        </is>
      </c>
      <c r="G5166">
        <f>_xlfn.IMAGE("https://edmondsonsupply.com/cdn/shop/products/11455.png?v=1587150070")</f>
        <v/>
      </c>
      <c r="H5166">
        <f>_xlfn.IMAGE("https://m.media-amazon.com/images/I/31tR7p5NNsL._AC_UL320_.jpg")</f>
        <v/>
      </c>
      <c r="K5166" t="inlineStr">
        <is>
          <t>105.39</t>
        </is>
      </c>
      <c r="L5166" t="n">
        <v>138.49</v>
      </c>
      <c r="M5166" s="1" t="inlineStr">
        <is>
          <t>31.41%</t>
        </is>
      </c>
      <c r="N5166" s="7" t="n">
        <v>-60.9</v>
      </c>
      <c r="O5166" t="n">
        <v>4.5</v>
      </c>
      <c r="P5166" t="n">
        <v>73</v>
      </c>
      <c r="R5166" t="inlineStr">
        <is>
          <t>InStock</t>
        </is>
      </c>
      <c r="S5166" t="inlineStr">
        <is>
          <t>112.99</t>
        </is>
      </c>
      <c r="T5166" t="inlineStr">
        <is>
          <t>3259201126500</t>
        </is>
      </c>
    </row>
    <row r="5167" hidden="1" ht="15.75" customHeight="1">
      <c r="A5167" s="2">
        <f>HYPERLINK("https://edmondsonsupply.com/collections/electricians-tools/products/diablo-tools-dmamx1020", "https://edmondsonsupply.com/collections/electricians-tools/products/diablo-tools-dmamx1020")</f>
        <v/>
      </c>
      <c r="B5167" s="2">
        <f>HYPERLINK("https://edmondsonsupply.com/products/diablo-tools-dmamx1020", "https://edmondsonsupply.com/products/diablo-tools-dmamx1020")</f>
        <v/>
      </c>
      <c r="C5167" t="inlineStr">
        <is>
          <t>Diablo Tools DMAMX1020 1/2 in. x 8 in. x 13 in. Rebar Demon SDS‑Max 4‑Cutter Full Carbide Head Hammer Bit</t>
        </is>
      </c>
      <c r="D5167" t="inlineStr">
        <is>
          <t>Diablo DMAMX1180 7/8 in. x 16 in. x 21 in. Rebar Demon™ SDS-Max 4-Cutter Full Carbide Head Hammer Bit</t>
        </is>
      </c>
      <c r="E5167" s="2">
        <f>HYPERLINK("https://www.amazon.com/Diablo-SDS-Max-4-Cutter-Carbide-Hammer/dp/B089KWFF8B/ref=sr_1_12?keywords=Diablo+Tools+DMAMX1020+1%2F2+in.+x+8+in.+x+13+in.+Rebar+Demon+SDS%E2%80%91Max+4%E2%80%91Cutter+Full+Carbide+Head+Hammer+Bit&amp;qid=1694735268&amp;sr=8-12", "https://www.amazon.com/Diablo-SDS-Max-4-Cutter-Carbide-Hammer/dp/B089KWFF8B/ref=sr_1_12?keywords=Diablo+Tools+DMAMX1020+1%2F2+in.+x+8+in.+x+13+in.+Rebar+Demon+SDS%E2%80%91Max+4%E2%80%91Cutter+Full+Carbide+Head+Hammer+Bit&amp;qid=1694735268&amp;sr=8-12")</f>
        <v/>
      </c>
      <c r="F5167" t="inlineStr">
        <is>
          <t>B089KWFF8B</t>
        </is>
      </c>
      <c r="G5167">
        <f>_xludf.IMAGE("https://edmondsonsupply.com/cdn/shop/products/DMAMX1020_Main-Image20200701.png?v=1609798895")</f>
        <v/>
      </c>
      <c r="H5167">
        <f>_xludf.IMAGE("https://m.media-amazon.com/images/I/611fTcYRNFL._AC_UL320_.jpg")</f>
        <v/>
      </c>
      <c r="K5167" t="inlineStr">
        <is>
          <t>39.97</t>
        </is>
      </c>
      <c r="L5167" t="n">
        <v>52.51</v>
      </c>
      <c r="M5167" s="1" t="inlineStr">
        <is>
          <t>31.37%</t>
        </is>
      </c>
      <c r="N5167" s="1" t="n">
        <v>-60.99</v>
      </c>
      <c r="O5167" t="n">
        <v>3.5</v>
      </c>
      <c r="P5167" t="n">
        <v>3</v>
      </c>
      <c r="R5167" t="inlineStr">
        <is>
          <t>InStock</t>
        </is>
      </c>
      <c r="S5167" t="inlineStr">
        <is>
          <t>42.31</t>
        </is>
      </c>
      <c r="T5167" t="inlineStr">
        <is>
          <t>5463822598312</t>
        </is>
      </c>
    </row>
    <row r="5168" ht="87" customHeight="1">
      <c r="A5168" s="2">
        <f>HYPERLINK("https://edmondsonsupply.com/collections/electricians-tools/products/diablo-tools-d0724a-7-1-4-in-x-24-tooth-framing-saw-blade-10-pack", "https://edmondsonsupply.com/collections/electricians-tools/products/diablo-tools-d0724a-7-1-4-in-x-24-tooth-framing-saw-blade-10-pack")</f>
        <v/>
      </c>
      <c r="B5168" s="2">
        <f>HYPERLINK("https://edmondsonsupply.com/products/diablo-tools-d0724a-7-1-4-in-x-24-tooth-framing-saw-blade-10-pack", "https://edmondsonsupply.com/products/diablo-tools-d0724a-7-1-4-in-x-24-tooth-framing-saw-blade-10-pack")</f>
        <v/>
      </c>
      <c r="C5168" t="inlineStr">
        <is>
          <t>Diablo Tools D0724A 7-1/4 in. x 24 Tooth Framing Saw Blade, 10-Pack</t>
        </is>
      </c>
      <c r="D5168" t="inlineStr">
        <is>
          <t>Milwaukee 48-41-0720 7-1/4 in. x 24-Tooth Framing Circular Saw Blade (10 Pack)</t>
        </is>
      </c>
      <c r="E5168" s="2">
        <f>HYPERLINK("https://www.amazon.com/Milwaukee-48-41-0720-24-Tooth-Framing-Circular/dp/B09KNT33HL/ref=sr_1_11?keywords=Diablo+Tools+D0724A+7-1%2F4+in.+x+24+Tooth+Framing+Saw+Blade%2C+10-Pack&amp;qid=1694735301&amp;sr=8-11", "https://www.amazon.com/Milwaukee-48-41-0720-24-Tooth-Framing-Circular/dp/B09KNT33HL/ref=sr_1_11?keywords=Diablo+Tools+D0724A+7-1%2F4+in.+x+24+Tooth+Framing+Saw+Blade%2C+10-Pack&amp;qid=1694735301&amp;sr=8-11")</f>
        <v/>
      </c>
      <c r="F5168" t="inlineStr">
        <is>
          <t>B09KNT33HL</t>
        </is>
      </c>
      <c r="G5168">
        <f>_xlfn.IMAGE("https://edmondsonsupply.com/cdn/shop/products/D0724A_Main-Image20200218_7e0d9e88-4df7-4e56-9e76-84e36363ce4f.png?v=1633030327")</f>
        <v/>
      </c>
      <c r="H5168">
        <f>_xlfn.IMAGE("https://m.media-amazon.com/images/I/714xYiMKRTL._AC_UL320_.jpg")</f>
        <v/>
      </c>
      <c r="K5168" t="inlineStr">
        <is>
          <t>94.38</t>
        </is>
      </c>
      <c r="L5168" t="n">
        <v>123.96</v>
      </c>
      <c r="M5168" s="1" t="inlineStr">
        <is>
          <t>31.34%</t>
        </is>
      </c>
      <c r="N5168" s="7" t="n">
        <v>-61.2</v>
      </c>
      <c r="O5168" t="n">
        <v>5</v>
      </c>
      <c r="P5168" t="n">
        <v>2</v>
      </c>
      <c r="R5168" t="inlineStr">
        <is>
          <t>InStock</t>
        </is>
      </c>
      <c r="S5168" t="inlineStr">
        <is>
          <t>154.5</t>
        </is>
      </c>
      <c r="T5168" t="inlineStr">
        <is>
          <t>5259913953448</t>
        </is>
      </c>
    </row>
    <row r="5169" ht="87" customHeight="1">
      <c r="A5169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5169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5169" t="inlineStr">
        <is>
          <t>Klein Tools 69149P Test Kit with Multimeter, Non-Contact Volt Tester, Receptacle Tester</t>
        </is>
      </c>
      <c r="D5169" t="inlineStr">
        <is>
          <t>Digital Multimeter Electrical Test Kit, Non-Contact Voltage Tester, Receptacle Tester, Carrying Case and Batteries Klein Tools MM320KIT</t>
        </is>
      </c>
      <c r="E5169" s="2">
        <f>HYPERLINK("https://www.amazon.com/Multimeter-Non-Contact-Klein-Tools-MM320KIT/dp/B08W1THSM8/ref=sr_1_2?keywords=Klein+Tools+69149P+Test+Kit+with+Multimeter%2C+Non-Contact+Volt+Tester%2C+Receptacle+Tester&amp;qid=1694735230&amp;sr=8-2", "https://www.amazon.com/Multimeter-Non-Contact-Klein-Tools-MM320KIT/dp/B08W1THSM8/ref=sr_1_2?keywords=Klein+Tools+69149P+Test+Kit+with+Multimeter%2C+Non-Contact+Volt+Tester%2C+Receptacle+Tester&amp;qid=1694735230&amp;sr=8-2")</f>
        <v/>
      </c>
      <c r="F5169" t="inlineStr">
        <is>
          <t>B08W1THSM8</t>
        </is>
      </c>
      <c r="G5169">
        <f>_xlfn.IMAGE("https://edmondsonsupply.com/cdn/shop/products/69149p.jpg?v=1664479017")</f>
        <v/>
      </c>
      <c r="H5169">
        <f>_xlfn.IMAGE("https://m.media-amazon.com/images/I/61xZtUfGpuL._AC_UL320_.jpg")</f>
        <v/>
      </c>
      <c r="K5169" t="inlineStr">
        <is>
          <t>39.97</t>
        </is>
      </c>
      <c r="L5169" t="n">
        <v>52.49</v>
      </c>
      <c r="M5169" s="1" t="inlineStr">
        <is>
          <t>31.32%</t>
        </is>
      </c>
      <c r="N5169" s="7" t="n">
        <v>-61.34</v>
      </c>
      <c r="O5169" t="n">
        <v>4.8</v>
      </c>
      <c r="P5169" t="n">
        <v>1447</v>
      </c>
      <c r="R5169" t="inlineStr">
        <is>
          <t>InStock</t>
        </is>
      </c>
      <c r="S5169" t="inlineStr">
        <is>
          <t>63.9</t>
        </is>
      </c>
      <c r="T5169" t="inlineStr">
        <is>
          <t>6584860606637</t>
        </is>
      </c>
    </row>
    <row r="5170" hidden="1" ht="15.75" customHeight="1">
      <c r="A5170" s="2">
        <f>HYPERLINK("https://edmondsonsupply.com/collections/electricians-tools/products/milwaukee-48-08-2744-m18-fuel%E2%84%A2-21-degree-framing-nailer-extended-capacity-magazine", "https://edmondsonsupply.com/collections/electricians-tools/products/milwaukee-48-08-2744-m18-fuel%E2%84%A2-21-degree-framing-nailer-extended-capacity-magazine")</f>
        <v/>
      </c>
      <c r="B5170" s="2">
        <f>HYPERLINK("https://edmondsonsupply.com/products/milwaukee-48-08-2744-m18-fuel%e2%84%a2-21-degree-framing-nailer-extended-capacity-magazine", "https://edmondsonsupply.com/products/milwaukee-48-08-2744-m18-fuel%e2%84%a2-21-degree-framing-nailer-extended-capacity-magazine")</f>
        <v/>
      </c>
      <c r="C5170" t="inlineStr">
        <is>
          <t>Milwaukee 48-08-2744 M18 FUEL™ 21 Degree Framing Nailer Extended Capacity Magazine</t>
        </is>
      </c>
      <c r="D5170" t="inlineStr">
        <is>
          <t>Fortool 48-08-2745 30 Degree Framing Nailer Extended Capacity Magazine Fits For Milwaukee M18 Fuel 30 Degree Framing Nailer (2744-20), Black Magnesium Magazine Extension</t>
        </is>
      </c>
      <c r="E5170" s="2">
        <f>HYPERLINK("https://www.amazon.com/Fortool-48-08-2745-Milwaukee-Magnesium-Extension/dp/B09YP6L87F/ref=sr_1_4?keywords=Milwaukee+48-08-2744+M18+FUEL%E2%84%A2+21+Degree+Framing+Nailer+Extended+Capacity+Magazine&amp;qid=1694735062&amp;sr=8-4", "https://www.amazon.com/Fortool-48-08-2745-Milwaukee-Magnesium-Extension/dp/B09YP6L87F/ref=sr_1_4?keywords=Milwaukee+48-08-2744+M18+FUEL%E2%84%A2+21+Degree+Framing+Nailer+Extended+Capacity+Magazine&amp;qid=1694735062&amp;sr=8-4")</f>
        <v/>
      </c>
      <c r="F5170" t="inlineStr">
        <is>
          <t>B09YP6L87F</t>
        </is>
      </c>
      <c r="G5170">
        <f>_xludf.IMAGE("https://edmondsonsupply.com/cdn/shop/products/48-08-2744_1.webp?v=1672863053")</f>
        <v/>
      </c>
      <c r="H5170">
        <f>_xludf.IMAGE("https://m.media-amazon.com/images/I/71Gy7pjCzKL._AC_UL320_.jpg")</f>
        <v/>
      </c>
      <c r="K5170" t="inlineStr">
        <is>
          <t>99.0</t>
        </is>
      </c>
      <c r="L5170" t="n">
        <v>129.99</v>
      </c>
      <c r="M5170" s="1" t="inlineStr">
        <is>
          <t>31.30%</t>
        </is>
      </c>
      <c r="N5170" s="1" t="n">
        <v>-61.47</v>
      </c>
      <c r="O5170" t="n">
        <v>1</v>
      </c>
      <c r="P5170" t="n">
        <v>1</v>
      </c>
      <c r="R5170" t="inlineStr">
        <is>
          <t>InStock</t>
        </is>
      </c>
      <c r="S5170" t="inlineStr">
        <is>
          <t>164.0</t>
        </is>
      </c>
      <c r="T5170" t="inlineStr">
        <is>
          <t>7916436291800</t>
        </is>
      </c>
    </row>
    <row r="5171" hidden="1" ht="15.75" customHeight="1">
      <c r="A5171" s="2">
        <f>HYPERLINK("https://edmondsonsupply.com/collections/electricians-tools/products/milwaukee-48-08-2745-m18-fuel%E2%84%A2-30-degree-framing-nailer-extended-capacity-magazine", "https://edmondsonsupply.com/collections/electricians-tools/products/milwaukee-48-08-2745-m18-fuel%E2%84%A2-30-degree-framing-nailer-extended-capacity-magazine")</f>
        <v/>
      </c>
      <c r="B5171" s="2">
        <f>HYPERLINK("https://edmondsonsupply.com/products/milwaukee-48-08-2745-m18-fuel%e2%84%a2-30-degree-framing-nailer-extended-capacity-magazine", "https://edmondsonsupply.com/products/milwaukee-48-08-2745-m18-fuel%e2%84%a2-30-degree-framing-nailer-extended-capacity-magazine")</f>
        <v/>
      </c>
      <c r="C5171" t="inlineStr">
        <is>
          <t>Milwaukee 48-08-2745 M18 FUEL™ 30 Degree Framing Nailer Extended Capacity Magazine</t>
        </is>
      </c>
      <c r="D5171" t="inlineStr">
        <is>
          <t>Fortool 48-08-2745 30 Degree Framing Nailer Extended Capacity Magazine Fits For Milwaukee M18 Fuel 30 Degree Framing Nailer (2744-20), Black Magnesium Magazine Extension</t>
        </is>
      </c>
      <c r="E5171" s="2">
        <f>HYPERLINK("https://www.amazon.com/Fortool-48-08-2745-Milwaukee-Magnesium-Extension/dp/B09YP6L87F/ref=sr_1_2?keywords=Milwaukee+48-08-2745+M18+FUEL%E2%84%A2+30+Degree+Framing+Nailer+Extended+Capacity+Magazine&amp;qid=1694734989&amp;sr=8-2", "https://www.amazon.com/Fortool-48-08-2745-Milwaukee-Magnesium-Extension/dp/B09YP6L87F/ref=sr_1_2?keywords=Milwaukee+48-08-2745+M18+FUEL%E2%84%A2+30+Degree+Framing+Nailer+Extended+Capacity+Magazine&amp;qid=1694734989&amp;sr=8-2")</f>
        <v/>
      </c>
      <c r="F5171" t="inlineStr">
        <is>
          <t>B09YP6L87F</t>
        </is>
      </c>
      <c r="G5171">
        <f>_xludf.IMAGE("https://edmondsonsupply.com/cdn/shop/files/48-08-2745_1.webp?v=1690296209")</f>
        <v/>
      </c>
      <c r="H5171">
        <f>_xludf.IMAGE("https://m.media-amazon.com/images/I/71Gy7pjCzKL._AC_UL320_.jpg")</f>
        <v/>
      </c>
      <c r="K5171" t="inlineStr">
        <is>
          <t>99.0</t>
        </is>
      </c>
      <c r="L5171" t="n">
        <v>129.99</v>
      </c>
      <c r="M5171" s="1" t="inlineStr">
        <is>
          <t>31.30%</t>
        </is>
      </c>
      <c r="N5171" s="1" t="n">
        <v>-61.65</v>
      </c>
      <c r="O5171" t="n">
        <v>1</v>
      </c>
      <c r="P5171" t="n">
        <v>1</v>
      </c>
      <c r="R5171" t="inlineStr">
        <is>
          <t>InStock</t>
        </is>
      </c>
      <c r="S5171" t="inlineStr">
        <is>
          <t>164.0</t>
        </is>
      </c>
      <c r="T5171" t="inlineStr">
        <is>
          <t>8020490387672</t>
        </is>
      </c>
    </row>
    <row r="5172" hidden="1" ht="15.75" customHeight="1">
      <c r="A5172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5172" s="2">
        <f>HYPERLINK("https://edmondsonsupply.com/products/klein-tools-608-6-1-8-inch-cabinet-tip-mini-screwdriver-6-inch", "https://edmondsonsupply.com/products/klein-tools-608-6-1-8-inch-cabinet-tip-mini-screwdriver-6-inch")</f>
        <v/>
      </c>
      <c r="C5172" t="inlineStr">
        <is>
          <t>Klein Tools 608-6 1/8-Inch Cabinet Tip Mini Screwdriver, 6-Inch</t>
        </is>
      </c>
      <c r="D5172" t="inlineStr">
        <is>
          <t>Klein Tools 601-8 3/16-Inch Cabinet Tip Screwdriver, 8-Inch</t>
        </is>
      </c>
      <c r="E5172" s="2">
        <f>HYPERLINK("https://www.amazon.com/Klein-Tools-601-8-16-Inch-Screwdriver/dp/B000BPAI6K/ref=sr_1_4?keywords=Klein+Tools+608-6+1%2F8-Inch+Cabinet+Tip+Mini+Screwdriver%2C+6-Inch&amp;qid=1694735278&amp;sr=8-4", "https://www.amazon.com/Klein-Tools-601-8-16-Inch-Screwdriver/dp/B000BPAI6K/ref=sr_1_4?keywords=Klein+Tools+608-6+1%2F8-Inch+Cabinet+Tip+Mini+Screwdriver%2C+6-Inch&amp;qid=1694735278&amp;sr=8-4")</f>
        <v/>
      </c>
      <c r="F5172" t="inlineStr">
        <is>
          <t>B000BPAI6K</t>
        </is>
      </c>
      <c r="G5172">
        <f>_xludf.IMAGE("https://edmondsonsupply.com/cdn/shop/products/608-6.jpg?v=1633030486")</f>
        <v/>
      </c>
      <c r="H5172">
        <f>_xludf.IMAGE("https://m.media-amazon.com/images/I/31tcIGrcnZL._AC_UL320_.jpg")</f>
        <v/>
      </c>
      <c r="K5172" t="inlineStr">
        <is>
          <t>7.99</t>
        </is>
      </c>
      <c r="L5172" t="n">
        <v>10.49</v>
      </c>
      <c r="M5172" s="1" t="inlineStr">
        <is>
          <t>31.29%</t>
        </is>
      </c>
      <c r="N5172" s="1" t="n">
        <v>-61.77</v>
      </c>
      <c r="O5172" t="n">
        <v>4.8</v>
      </c>
      <c r="P5172" t="n">
        <v>837</v>
      </c>
      <c r="R5172" t="inlineStr">
        <is>
          <t>InStock</t>
        </is>
      </c>
      <c r="S5172" t="inlineStr">
        <is>
          <t>12.1</t>
        </is>
      </c>
      <c r="T5172" t="inlineStr">
        <is>
          <t>5371087683752</t>
        </is>
      </c>
    </row>
    <row r="5173" hidden="1" ht="15.75" customHeight="1">
      <c r="A5173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5173" s="2">
        <f>HYPERLINK("https://edmondsonsupply.com/products/klein-tools-608-6-1-8-inch-cabinet-tip-mini-screwdriver-6-inch", "https://edmondsonsupply.com/products/klein-tools-608-6-1-8-inch-cabinet-tip-mini-screwdriver-6-inch")</f>
        <v/>
      </c>
      <c r="C5173" t="inlineStr">
        <is>
          <t>Klein Tools 608-6 1/8-Inch Cabinet Tip Mini Screwdriver, 6-Inch</t>
        </is>
      </c>
      <c r="D5173" t="inlineStr">
        <is>
          <t>Klein Tools 670-6 Screwdriver, 3/16-Inch Cabinet Tip, Rapi-Driv with 6-Inch Shank</t>
        </is>
      </c>
      <c r="E5173" s="2">
        <f>HYPERLINK("https://www.amazon.com/Klein-Tools-670-6-Screwdriver-Rapi-Driv/dp/B000BO9T3Y/ref=sr_1_13?keywords=Klein+Tools+608-6+1%2F8-Inch+Cabinet+Tip+Mini+Screwdriver%2C+6-Inch&amp;qid=1694735278&amp;sr=8-13", "https://www.amazon.com/Klein-Tools-670-6-Screwdriver-Rapi-Driv/dp/B000BO9T3Y/ref=sr_1_13?keywords=Klein+Tools+608-6+1%2F8-Inch+Cabinet+Tip+Mini+Screwdriver%2C+6-Inch&amp;qid=1694735278&amp;sr=8-13")</f>
        <v/>
      </c>
      <c r="F5173" t="inlineStr">
        <is>
          <t>B000BO9T3Y</t>
        </is>
      </c>
      <c r="G5173">
        <f>_xludf.IMAGE("https://edmondsonsupply.com/cdn/shop/products/608-6.jpg?v=1633030486")</f>
        <v/>
      </c>
      <c r="H5173">
        <f>_xludf.IMAGE("https://m.media-amazon.com/images/I/31+1RSUdZ+S._AC_UL320_.jpg")</f>
        <v/>
      </c>
      <c r="K5173" t="inlineStr">
        <is>
          <t>7.99</t>
        </is>
      </c>
      <c r="L5173" t="n">
        <v>10.49</v>
      </c>
      <c r="M5173" s="1" t="inlineStr">
        <is>
          <t>31.29%</t>
        </is>
      </c>
      <c r="N5173" s="1" t="n">
        <v>-62.01</v>
      </c>
      <c r="O5173" t="n">
        <v>4.8</v>
      </c>
      <c r="P5173" t="n">
        <v>1603</v>
      </c>
      <c r="R5173" t="inlineStr">
        <is>
          <t>InStock</t>
        </is>
      </c>
      <c r="S5173" t="inlineStr">
        <is>
          <t>12.1</t>
        </is>
      </c>
      <c r="T5173" t="inlineStr">
        <is>
          <t>5371087683752</t>
        </is>
      </c>
    </row>
    <row r="5174" hidden="1" ht="15.75" customHeight="1">
      <c r="A5174" s="2">
        <f>HYPERLINK("https://edmondsonsupply.com/collections/electricians-tools/products/klein-tools-42200-electricians-tool-apron-m-l", "https://edmondsonsupply.com/collections/electricians-tools/products/klein-tools-42200-electricians-tool-apron-m-l")</f>
        <v/>
      </c>
      <c r="B5174" s="2">
        <f>HYPERLINK("https://edmondsonsupply.com/products/klein-tools-42200-electricians-tool-apron-m-l", "https://edmondsonsupply.com/products/klein-tools-42200-electricians-tool-apron-m-l")</f>
        <v/>
      </c>
      <c r="C5174" t="inlineStr">
        <is>
          <t>Klein Tools 42200 Electrician's Tool Apron M/L</t>
        </is>
      </c>
      <c r="D5174" t="inlineStr">
        <is>
          <t>Klein Tools 5244 Tool Apron, Tape Thong and Four Reinforced Pockets for Hand Tools, Waist Size 32 to 53-Inch &amp; Tradesman Pro™ Maintenance Tool Pouch</t>
        </is>
      </c>
      <c r="E5174" s="2">
        <f>HYPERLINK("https://www.amazon.com/Klein-Tools-Reinforced-Tradesman-Maintenance/dp/B0BHVMD9TC/ref=sr_1_4?keywords=Klein+Tools+42200+Electrician%27s+Tool+Apron+M%2FL&amp;qid=1694735356&amp;sr=8-4", "https://www.amazon.com/Klein-Tools-Reinforced-Tradesman-Maintenance/dp/B0BHVMD9TC/ref=sr_1_4?keywords=Klein+Tools+42200+Electrician%27s+Tool+Apron+M%2FL&amp;qid=1694735356&amp;sr=8-4")</f>
        <v/>
      </c>
      <c r="F5174" t="inlineStr">
        <is>
          <t>B0BHVMD9TC</t>
        </is>
      </c>
      <c r="G5174">
        <f>_xludf.IMAGE("https://edmondsonsupply.com/cdn/shop/products/42200.jpg?v=1587143574")</f>
        <v/>
      </c>
      <c r="H5174">
        <f>_xludf.IMAGE("https://m.media-amazon.com/images/I/41tfqdiaIvL._AC_UL320_.jpg")</f>
        <v/>
      </c>
      <c r="K5174" t="inlineStr">
        <is>
          <t>31.99</t>
        </is>
      </c>
      <c r="L5174" t="n">
        <v>41.98</v>
      </c>
      <c r="M5174" s="1" t="inlineStr">
        <is>
          <t>31.23%</t>
        </is>
      </c>
      <c r="N5174" s="1" t="n">
        <v>-62.02</v>
      </c>
      <c r="O5174" t="n">
        <v>3</v>
      </c>
      <c r="P5174" t="n">
        <v>1</v>
      </c>
      <c r="R5174" t="inlineStr">
        <is>
          <t>InStock</t>
        </is>
      </c>
      <c r="S5174" t="inlineStr">
        <is>
          <t>48.48</t>
        </is>
      </c>
      <c r="T5174" t="inlineStr">
        <is>
          <t>4432204890212</t>
        </is>
      </c>
    </row>
    <row r="5175" ht="87" customHeight="1">
      <c r="A5175" s="2">
        <f>HYPERLINK("https://edmondsonsupply.com/collections/electricians-tools/products/klein-5416tfr", "https://edmondsonsupply.com/collections/electricians-tools/products/klein-5416tfr")</f>
        <v/>
      </c>
      <c r="B5175" s="2">
        <f>HYPERLINK("https://edmondsonsupply.com/products/klein-5416tfr", "https://edmondsonsupply.com/products/klein-5416tfr")</f>
        <v/>
      </c>
      <c r="C5175" t="inlineStr">
        <is>
          <t>Klein Tools 5416TFR Tool Bag, Flame Resistant Bolt Bag, No. 4 Canvas, 5 x 10 x 9-Inch</t>
        </is>
      </c>
      <c r="D5175" t="inlineStr">
        <is>
          <t>Klein Tools 5416TC Tool Bag, Top Closing Bolt Bag with 3-Inch Drawstring, Load Rated with Tunnel Connect, 5 x 10 x 9-Inch</t>
        </is>
      </c>
      <c r="E5175" s="2">
        <f>HYPERLINK("https://www.amazon.com/Closing-Bolt-Klein-Tools-5416TC/dp/B00C0Z1YVW/ref=sr_1_16?keywords=Klein+Tools+5416TFR+Tool+Bag%2C+Flame+Resistant+Bolt+Bag%2C+No.+4+Canvas%2C+5+x+10+x+9-Inch&amp;qid=1694734988&amp;sr=8-16", "https://www.amazon.com/Closing-Bolt-Klein-Tools-5416TC/dp/B00C0Z1YVW/ref=sr_1_16?keywords=Klein+Tools+5416TFR+Tool+Bag%2C+Flame+Resistant+Bolt+Bag%2C+No.+4+Canvas%2C+5+x+10+x+9-Inch&amp;qid=1694734988&amp;sr=8-16")</f>
        <v/>
      </c>
      <c r="F5175" t="inlineStr">
        <is>
          <t>B00C0Z1YVW</t>
        </is>
      </c>
      <c r="G5175">
        <f>_xlfn.IMAGE("https://edmondsonsupply.com/cdn/shop/products/5416tfr.jpg?v=1587149359")</f>
        <v/>
      </c>
      <c r="H5175">
        <f>_xlfn.IMAGE("https://m.media-amazon.com/images/I/61aDqYITs+L._AC_UL320_.jpg")</f>
        <v/>
      </c>
      <c r="K5175" t="inlineStr">
        <is>
          <t>19.99</t>
        </is>
      </c>
      <c r="L5175" t="n">
        <v>26.22</v>
      </c>
      <c r="M5175" s="1" t="inlineStr">
        <is>
          <t>31.17%</t>
        </is>
      </c>
      <c r="N5175" s="7" t="n">
        <v>-62.09</v>
      </c>
      <c r="O5175" t="n">
        <v>4.7</v>
      </c>
      <c r="P5175" t="n">
        <v>324</v>
      </c>
      <c r="R5175" t="inlineStr">
        <is>
          <t>InStock</t>
        </is>
      </c>
      <c r="S5175" t="inlineStr">
        <is>
          <t>33.64</t>
        </is>
      </c>
      <c r="T5175" t="inlineStr">
        <is>
          <t>1490970837092</t>
        </is>
      </c>
    </row>
    <row r="5176" ht="87" customHeight="1">
      <c r="A5176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5176" s="2">
        <f>HYPERLINK("https://edmondsonsupply.com/products/klein-tools-635-7-16-7-16-inch-heavy-duty-nut-driver", "https://edmondsonsupply.com/products/klein-tools-635-7-16-7-16-inch-heavy-duty-nut-driver")</f>
        <v/>
      </c>
      <c r="C5176" t="inlineStr">
        <is>
          <t>Klein Tools 635-7/16 7/16-Inch Heavy-Duty Nut Driver</t>
        </is>
      </c>
      <c r="D5176" t="inlineStr">
        <is>
          <t>Klein Tools PND7165 7/16-Inch Power Nut Driver 5-Inch Out-of-Chuck</t>
        </is>
      </c>
      <c r="E5176" s="2">
        <f>HYPERLINK("https://www.amazon.com/16-Inch-Driver-Klein-Tools-PND7165/dp/B00ELGQH7O/ref=sr_1_2?keywords=Klein+Tools+635-7%2F16+7%2F16-Inch+Heavy-Duty+Nut+Driver&amp;qid=1694735398&amp;sr=8-2", "https://www.amazon.com/16-Inch-Driver-Klein-Tools-PND7165/dp/B00ELGQH7O/ref=sr_1_2?keywords=Klein+Tools+635-7%2F16+7%2F16-Inch+Heavy-Duty+Nut+Driver&amp;qid=1694735398&amp;sr=8-2")</f>
        <v/>
      </c>
      <c r="F5176" t="inlineStr">
        <is>
          <t>B00ELGQH7O</t>
        </is>
      </c>
      <c r="G5176">
        <f>_xlfn.IMAGE("https://edmondsonsupply.com/cdn/shop/products/635-7-16.jpg?v=1587145128")</f>
        <v/>
      </c>
      <c r="H5176">
        <f>_xlfn.IMAGE("https://m.media-amazon.com/images/I/41SBQDDKBnL._AC_UL320_.jpg")</f>
        <v/>
      </c>
      <c r="K5176" t="inlineStr">
        <is>
          <t>14.49</t>
        </is>
      </c>
      <c r="L5176" t="n">
        <v>18.99</v>
      </c>
      <c r="M5176" s="1" t="inlineStr">
        <is>
          <t>31.06%</t>
        </is>
      </c>
      <c r="N5176" s="7" t="n">
        <v>-62.19</v>
      </c>
      <c r="O5176" t="n">
        <v>4.6</v>
      </c>
      <c r="P5176" t="n">
        <v>1105</v>
      </c>
      <c r="R5176" t="inlineStr">
        <is>
          <t>InStock</t>
        </is>
      </c>
      <c r="S5176" t="inlineStr">
        <is>
          <t>21.94</t>
        </is>
      </c>
      <c r="T5176" t="inlineStr">
        <is>
          <t>4410745978980</t>
        </is>
      </c>
    </row>
    <row r="5177" hidden="1" ht="15.75" customHeight="1">
      <c r="A5177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5177" s="2">
        <f>HYPERLINK("https://edmondsonsupply.com/products/klein-tools-646-7-16-7-16-inch-nut-driver-6-inch-hollow-shaft", "https://edmondsonsupply.com/products/klein-tools-646-7-16-7-16-inch-nut-driver-6-inch-hollow-shaft")</f>
        <v/>
      </c>
      <c r="C5177" t="inlineStr">
        <is>
          <t>Klein Tools 646-7/16 7/16-Inch Nut Driver, 6-Inch Hollow Shaft</t>
        </is>
      </c>
      <c r="D5177" t="inlineStr">
        <is>
          <t>Klein Tools 630-7/16M 7/16-Inch Magnetic Tip Nut Driver 3-Inch Hollow Shaft</t>
        </is>
      </c>
      <c r="E5177" s="2">
        <f>HYPERLINK("https://www.amazon.com/Klein-Tools-630-7-16M-Magnetic/dp/B00093GE80/ref=sr_1_7?keywords=Klein+Tools+646-7%2F16+7%2F16-Inch+Nut+Driver%2C+6-Inch+Hollow+Shaft&amp;qid=1694735415&amp;sr=8-7", "https://www.amazon.com/Klein-Tools-630-7-16M-Magnetic/dp/B00093GE80/ref=sr_1_7?keywords=Klein+Tools+646-7%2F16+7%2F16-Inch+Nut+Driver%2C+6-Inch+Hollow+Shaft&amp;qid=1694735415&amp;sr=8-7")</f>
        <v/>
      </c>
      <c r="F5177" t="inlineStr">
        <is>
          <t>B00093GE80</t>
        </is>
      </c>
      <c r="G5177">
        <f>_xludf.IMAGE("https://edmondsonsupply.com/cdn/shop/products/646-1-2_64980020-d246-4b4b-829a-c848cc375d64.jpg?v=1587148603")</f>
        <v/>
      </c>
      <c r="H5177">
        <f>_xludf.IMAGE("https://m.media-amazon.com/images/I/51lmlO98BaL._AC_UL320_.jpg")</f>
        <v/>
      </c>
      <c r="K5177" t="inlineStr">
        <is>
          <t>9.49</t>
        </is>
      </c>
      <c r="L5177" t="n">
        <v>12.43</v>
      </c>
      <c r="M5177" s="1" t="inlineStr">
        <is>
          <t>30.98%</t>
        </is>
      </c>
      <c r="N5177" s="1" t="n">
        <v>-62.22</v>
      </c>
      <c r="O5177" t="n">
        <v>4.7</v>
      </c>
      <c r="P5177" t="n">
        <v>1571</v>
      </c>
      <c r="R5177" t="inlineStr">
        <is>
          <t>InStock</t>
        </is>
      </c>
      <c r="S5177" t="inlineStr">
        <is>
          <t>14.42</t>
        </is>
      </c>
      <c r="T5177" t="inlineStr">
        <is>
          <t>4391246889060</t>
        </is>
      </c>
    </row>
    <row r="5178" hidden="1" ht="15.75" customHeight="1">
      <c r="A5178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5178" s="2">
        <f>HYPERLINK("https://edmondsonsupply.com/products/klein-tools-jth9m5-4-mm-hex-key-journeyman-t-handle-9-inch", "https://edmondsonsupply.com/products/klein-tools-jth9m5-4-mm-hex-key-journeyman-t-handle-9-inch")</f>
        <v/>
      </c>
      <c r="C5178" t="inlineStr">
        <is>
          <t>Klein Tools JTH9M4 4 mm Hex Key, Journeyman T-Handle, 9-Inch</t>
        </is>
      </c>
      <c r="D5178" t="inlineStr">
        <is>
          <t>Klein Tools JTH9M3 3 mm Hex Key, Journeyman T-Handle, 9-Inch</t>
        </is>
      </c>
      <c r="E5178" s="2">
        <f>HYPERLINK("https://www.amazon.com/Journeyman-T-Handle-Klein-Tools-JTH9M3/dp/B005G3HJ28/ref=sr_1_9?keywords=Klein+Tools+JTH9M4+4+mm+Hex+Key%2C+Journeyman+T-Handle%2C+9-Inch&amp;qid=1694735170&amp;sr=8-9", "https://www.amazon.com/Journeyman-T-Handle-Klein-Tools-JTH9M3/dp/B005G3HJ28/ref=sr_1_9?keywords=Klein+Tools+JTH9M4+4+mm+Hex+Key%2C+Journeyman+T-Handle%2C+9-Inch&amp;qid=1694735170&amp;sr=8-9")</f>
        <v/>
      </c>
      <c r="F5178" t="inlineStr">
        <is>
          <t>B005G3HJ28</t>
        </is>
      </c>
      <c r="G5178">
        <f>_xludf.IMAGE("https://edmondsonsupply.com/cdn/shop/products/jth9m_fa8a641d-d03f-4191-ab24-b9045963e4f7.jpg?v=1640191121")</f>
        <v/>
      </c>
      <c r="H5178">
        <f>_xludf.IMAGE("https://m.media-amazon.com/images/I/51MZtGjDOtL._AC_UL320_.jpg")</f>
        <v/>
      </c>
      <c r="K5178" t="inlineStr">
        <is>
          <t>4.49</t>
        </is>
      </c>
      <c r="L5178" t="n">
        <v>5.88</v>
      </c>
      <c r="M5178" s="1" t="inlineStr">
        <is>
          <t>30.96%</t>
        </is>
      </c>
      <c r="N5178" s="1" t="n">
        <v>-62.22</v>
      </c>
      <c r="O5178" t="n">
        <v>4.6</v>
      </c>
      <c r="P5178" t="n">
        <v>179</v>
      </c>
      <c r="R5178" t="inlineStr">
        <is>
          <t>InStock</t>
        </is>
      </c>
      <c r="S5178" t="inlineStr">
        <is>
          <t>6.8</t>
        </is>
      </c>
      <c r="T5178" t="inlineStr">
        <is>
          <t>7555980656856</t>
        </is>
      </c>
    </row>
    <row r="5179" hidden="1" ht="15.75" customHeight="1">
      <c r="A5179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5179" s="2">
        <f>HYPERLINK("https://edmondsonsupply.com/products/klein-tools-jth9m3-3-mm-hex-key-with-journeyman-t-handle-9-inch", "https://edmondsonsupply.com/products/klein-tools-jth9m3-3-mm-hex-key-with-journeyman-t-handle-9-inch")</f>
        <v/>
      </c>
      <c r="C5179" t="inlineStr">
        <is>
          <t>Klein Tools JTH9M3 3 mm Hex Key with Journeyman T-Handle, 9-Inch</t>
        </is>
      </c>
      <c r="D5179" t="inlineStr">
        <is>
          <t>Klein Tools JTH9M3 3 mm Hex Key, Journeyman T-Handle, 9-Inch</t>
        </is>
      </c>
      <c r="E5179" s="2">
        <f>HYPERLINK("https://www.amazon.com/Journeyman-T-Handle-Klein-Tools-JTH9M3/dp/B005G3HJ28/ref=sr_1_1?keywords=Klein+Tools+JTH9M3+3+mm+Hex+Key+with+Journeyman+T-Handle%2C+9-Inch&amp;qid=1694735249&amp;sr=8-1", "https://www.amazon.com/Journeyman-T-Handle-Klein-Tools-JTH9M3/dp/B005G3HJ28/ref=sr_1_1?keywords=Klein+Tools+JTH9M3+3+mm+Hex+Key+with+Journeyman+T-Handle%2C+9-Inch&amp;qid=1694735249&amp;sr=8-1")</f>
        <v/>
      </c>
      <c r="F5179" t="inlineStr">
        <is>
          <t>B005G3HJ28</t>
        </is>
      </c>
      <c r="G5179">
        <f>_xludf.IMAGE("https://edmondsonsupply.com/cdn/shop/products/jth9m.jpg?v=1633030702")</f>
        <v/>
      </c>
      <c r="H5179">
        <f>_xludf.IMAGE("https://m.media-amazon.com/images/I/51MZtGjDOtL._AC_UL320_.jpg")</f>
        <v/>
      </c>
      <c r="K5179" t="inlineStr">
        <is>
          <t>4.49</t>
        </is>
      </c>
      <c r="L5179" t="n">
        <v>5.88</v>
      </c>
      <c r="M5179" s="1" t="inlineStr">
        <is>
          <t>30.96%</t>
        </is>
      </c>
      <c r="N5179" s="1" t="n">
        <v>-62.62</v>
      </c>
      <c r="O5179" t="n">
        <v>4.6</v>
      </c>
      <c r="P5179" t="n">
        <v>179</v>
      </c>
      <c r="R5179" t="inlineStr">
        <is>
          <t>InStock</t>
        </is>
      </c>
      <c r="S5179" t="inlineStr">
        <is>
          <t>6.82</t>
        </is>
      </c>
      <c r="T5179" t="inlineStr">
        <is>
          <t>5848344035496</t>
        </is>
      </c>
    </row>
    <row r="5180" hidden="1" ht="15.75" customHeight="1">
      <c r="A5180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5180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5180" t="inlineStr">
        <is>
          <t>Klein Tools JTH9E08 1/8-Inch Hex Key with Journeyman T-Handle, 9-Inch</t>
        </is>
      </c>
      <c r="D5180" t="inlineStr">
        <is>
          <t>Klein Tools JTH9M3 3 mm Hex Key, Journeyman T-Handle, 9-Inch</t>
        </is>
      </c>
      <c r="E5180" s="2">
        <f>HYPERLINK("https://www.amazon.com/Journeyman-T-Handle-Klein-Tools-JTH9M3/dp/B005G3HJ28/ref=sr_1_7?keywords=Klein+Tools+JTH9E08+1%2F8-Inch+Hex+Key+with+Journeyman+T-Handle%2C+9-Inch&amp;qid=1694735421&amp;sr=8-7", "https://www.amazon.com/Journeyman-T-Handle-Klein-Tools-JTH9M3/dp/B005G3HJ28/ref=sr_1_7?keywords=Klein+Tools+JTH9E08+1%2F8-Inch+Hex+Key+with+Journeyman+T-Handle%2C+9-Inch&amp;qid=1694735421&amp;sr=8-7")</f>
        <v/>
      </c>
      <c r="F5180" t="inlineStr">
        <is>
          <t>B005G3HJ28</t>
        </is>
      </c>
      <c r="G5180">
        <f>_xludf.IMAGE("https://edmondsonsupply.com/cdn/shop/products/jth6e15_f2733d2c-ab65-41d7-8597-f1dfd8fcaabf.jpg?v=1587142807")</f>
        <v/>
      </c>
      <c r="H5180">
        <f>_xludf.IMAGE("https://m.media-amazon.com/images/I/51MZtGjDOtL._AC_UL320_.jpg")</f>
        <v/>
      </c>
      <c r="K5180" t="inlineStr">
        <is>
          <t>4.49</t>
        </is>
      </c>
      <c r="L5180" t="n">
        <v>5.88</v>
      </c>
      <c r="M5180" s="1" t="inlineStr">
        <is>
          <t>30.96%</t>
        </is>
      </c>
      <c r="N5180" s="1" t="n">
        <v>-62.76</v>
      </c>
      <c r="O5180" t="n">
        <v>4.6</v>
      </c>
      <c r="P5180" t="n">
        <v>179</v>
      </c>
      <c r="R5180" t="inlineStr">
        <is>
          <t>InStock</t>
        </is>
      </c>
      <c r="S5180" t="inlineStr">
        <is>
          <t>6.82</t>
        </is>
      </c>
      <c r="T5180" t="inlineStr">
        <is>
          <t>4352186810468</t>
        </is>
      </c>
    </row>
    <row r="5181" hidden="1" ht="15.75" customHeight="1">
      <c r="A5181" s="2">
        <f>HYPERLINK("https://edmondsonsupply.com/collections/electricians-tools/products/klein-tools-jth9e06-3-32-inch-hex-key-journeyman%E2%84%A2-t-handle-9-inch", "https://edmondsonsupply.com/collections/electricians-tools/products/klein-tools-jth9e06-3-32-inch-hex-key-journeyman%E2%84%A2-t-handle-9-inch")</f>
        <v/>
      </c>
      <c r="B5181" s="2">
        <f>HYPERLINK("https://edmondsonsupply.com/products/klein-tools-jth9e06-3-32-inch-hex-key-journeyman%e2%84%a2-t-handle-9-inch", "https://edmondsonsupply.com/products/klein-tools-jth9e06-3-32-inch-hex-key-journeyman%e2%84%a2-t-handle-9-inch")</f>
        <v/>
      </c>
      <c r="C5181" t="inlineStr">
        <is>
          <t>Klein Tools JTH9E06 3/32-Inch Hex Key, Journeyman™ T-Handle, 9-Inch</t>
        </is>
      </c>
      <c r="D5181" t="inlineStr">
        <is>
          <t>Klein Tools JTH9M3 3 mm Hex Key, Journeyman T-Handle, 9-Inch</t>
        </is>
      </c>
      <c r="E5181" s="2">
        <f>HYPERLINK("https://www.amazon.com/Journeyman-T-Handle-Klein-Tools-JTH9M3/dp/B005G3HJ28/ref=sr_1_5?keywords=Klein+Tools+JTH9E06+3%2F32-Inch+Hex+Key%2C+Journeyman%E2%84%A2+T-Handle%2C+9-Inch&amp;qid=1694735129&amp;sr=8-5", "https://www.amazon.com/Journeyman-T-Handle-Klein-Tools-JTH9M3/dp/B005G3HJ28/ref=sr_1_5?keywords=Klein+Tools+JTH9E06+3%2F32-Inch+Hex+Key%2C+Journeyman%E2%84%A2+T-Handle%2C+9-Inch&amp;qid=1694735129&amp;sr=8-5")</f>
        <v/>
      </c>
      <c r="F5181" t="inlineStr">
        <is>
          <t>B005G3HJ28</t>
        </is>
      </c>
      <c r="G5181">
        <f>_xludf.IMAGE("https://edmondsonsupply.com/cdn/shop/products/jth6e15_2136116f-dcd1-4a81-ab1c-471762cb8f3e.jpg?v=1662657547")</f>
        <v/>
      </c>
      <c r="H5181">
        <f>_xludf.IMAGE("https://m.media-amazon.com/images/I/51MZtGjDOtL._AC_UL320_.jpg")</f>
        <v/>
      </c>
      <c r="K5181" t="inlineStr">
        <is>
          <t>4.49</t>
        </is>
      </c>
      <c r="L5181" t="n">
        <v>5.88</v>
      </c>
      <c r="M5181" s="1" t="inlineStr">
        <is>
          <t>30.96%</t>
        </is>
      </c>
      <c r="N5181" s="1" t="n">
        <v>-63.62</v>
      </c>
      <c r="O5181" t="n">
        <v>4.6</v>
      </c>
      <c r="P5181" t="n">
        <v>179</v>
      </c>
      <c r="R5181" t="inlineStr">
        <is>
          <t>InStock</t>
        </is>
      </c>
      <c r="S5181" t="inlineStr">
        <is>
          <t>6.82</t>
        </is>
      </c>
      <c r="T5181" t="inlineStr">
        <is>
          <t>7809328808152</t>
        </is>
      </c>
    </row>
    <row r="5182" ht="87" customHeight="1">
      <c r="A5182" s="2">
        <f>HYPERLINK("https://edmondsonsupply.com/collections/electricians-tools/products/uniweld-70074-offset-ratchet-wrenches", "https://edmondsonsupply.com/collections/electricians-tools/products/uniweld-70074-offset-ratchet-wrenches")</f>
        <v/>
      </c>
      <c r="B5182" s="2">
        <f>HYPERLINK("https://edmondsonsupply.com/products/uniweld-70074-offset-ratchet-wrenches", "https://edmondsonsupply.com/products/uniweld-70074-offset-ratchet-wrenches")</f>
        <v/>
      </c>
      <c r="C5182" t="inlineStr">
        <is>
          <t>Uniweld 70074 Medium Duty Offset Ratchet Wrench+</t>
        </is>
      </c>
      <c r="D5182" t="inlineStr">
        <is>
          <t>Uniweld 70074 Offset Ratchet (3/16,1/4,5/16,3/8) with DHVA Dual Hex Wrench Adapter</t>
        </is>
      </c>
      <c r="E5182" s="2">
        <f>HYPERLINK("https://www.amazon.com/Uniweld-70074-Reversible-Ratchet-Adaptor/dp/B00HNQR5D4/ref=sr_1_1?keywords=Uniweld+70074+Medium+Duty+Offset+Ratchet+Wrench&amp;qid=1694735143&amp;sr=8-1", "https://www.amazon.com/Uniweld-70074-Reversible-Ratchet-Adaptor/dp/B00HNQR5D4/ref=sr_1_1?keywords=Uniweld+70074+Medium+Duty+Offset+Ratchet+Wrench&amp;qid=1694735143&amp;sr=8-1")</f>
        <v/>
      </c>
      <c r="F5182" t="inlineStr">
        <is>
          <t>B00HNQR5D4</t>
        </is>
      </c>
      <c r="G5182">
        <f>_xlfn.IMAGE("https://edmondsonsupply.com/cdn/shop/products/70074_pkg.jpg?v=1656081623")</f>
        <v/>
      </c>
      <c r="H5182">
        <f>_xlfn.IMAGE("https://m.media-amazon.com/images/I/81F+vIEGwhL._AC_UL320_.jpg")</f>
        <v/>
      </c>
      <c r="K5182" t="inlineStr">
        <is>
          <t>16.03</t>
        </is>
      </c>
      <c r="L5182" t="n">
        <v>20.99</v>
      </c>
      <c r="M5182" s="1" t="inlineStr">
        <is>
          <t>30.94%</t>
        </is>
      </c>
      <c r="N5182" s="7" t="n">
        <v>-63.62</v>
      </c>
      <c r="O5182" t="n">
        <v>4.4</v>
      </c>
      <c r="P5182" t="n">
        <v>1021</v>
      </c>
      <c r="R5182" t="inlineStr">
        <is>
          <t>InStock</t>
        </is>
      </c>
      <c r="S5182" t="inlineStr">
        <is>
          <t>20.82</t>
        </is>
      </c>
      <c r="T5182" t="inlineStr">
        <is>
          <t>7729262657752</t>
        </is>
      </c>
    </row>
    <row r="5183" ht="87" customHeight="1">
      <c r="A5183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5183" s="2">
        <f>HYPERLINK("https://edmondsonsupply.com/products/diablo-tools-d0740x-7-1-4-in-x-40-tooth-finish-saw-blade", "https://edmondsonsupply.com/products/diablo-tools-d0740x-7-1-4-in-x-40-tooth-finish-saw-blade")</f>
        <v/>
      </c>
      <c r="C5183" t="inlineStr">
        <is>
          <t>Diablo Tools D0740X 7-1/4 in. x 40 Tooth Finish Saw Blade</t>
        </is>
      </c>
      <c r="D5183" t="inlineStr">
        <is>
          <t>Diablo Ultra Finish Circular Saw Blade - 7 1/4in. 60 Tooth, Fine Finish, Model Number D0760X</t>
        </is>
      </c>
      <c r="E5183" s="2">
        <f>HYPERLINK("https://www.amazon.com/Diablo-Ultra-Finish-Circular-Blade/dp/B071X5DBWR/ref=sr_1_8?keywords=Diablo+Tools+D0740X+7-1%2F4+in.+x+40+Tooth+Finish+Saw+Blade&amp;qid=1694735026&amp;sr=8-8", "https://www.amazon.com/Diablo-Ultra-Finish-Circular-Blade/dp/B071X5DBWR/ref=sr_1_8?keywords=Diablo+Tools+D0740X+7-1%2F4+in.+x+40+Tooth+Finish+Saw+Blade&amp;qid=1694735026&amp;sr=8-8")</f>
        <v/>
      </c>
      <c r="F5183" t="inlineStr">
        <is>
          <t>B071X5DBWR</t>
        </is>
      </c>
      <c r="G5183">
        <f>_xlfn.IMAGE("https://edmondsonsupply.com/cdn/shop/products/kdrkrhhsfpivsggxnkhy.webp?v=1678975834")</f>
        <v/>
      </c>
      <c r="H5183">
        <f>_xlfn.IMAGE("https://m.media-amazon.com/images/I/61JlPZnNLWL._AC_UL320_.jpg")</f>
        <v/>
      </c>
      <c r="K5183" t="inlineStr">
        <is>
          <t>14.97</t>
        </is>
      </c>
      <c r="L5183" t="n">
        <v>19.6</v>
      </c>
      <c r="M5183" s="1" t="inlineStr">
        <is>
          <t>30.93%</t>
        </is>
      </c>
      <c r="N5183" s="7" t="n">
        <v>-63.71</v>
      </c>
      <c r="O5183" t="n">
        <v>4.8</v>
      </c>
      <c r="P5183" t="n">
        <v>142</v>
      </c>
      <c r="R5183" t="inlineStr">
        <is>
          <t>InStock</t>
        </is>
      </c>
      <c r="S5183" t="inlineStr">
        <is>
          <t>24.4</t>
        </is>
      </c>
      <c r="T5183" t="inlineStr">
        <is>
          <t>7962622787800</t>
        </is>
      </c>
    </row>
    <row r="5184" hidden="1" ht="15.75" customHeight="1">
      <c r="A5184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5184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5184" t="inlineStr">
        <is>
          <t>Klein Tools JTH9E11 3/16-Inch Hex Key with Journeyman T-Handle, 9-Inch</t>
        </is>
      </c>
      <c r="D5184" t="inlineStr">
        <is>
          <t>Klein Tools JTH9M4 4 mm Hex Key with Journeyman T-Handle, 9-Inch</t>
        </is>
      </c>
      <c r="E5184" s="2">
        <f>HYPERLINK("https://www.amazon.com/Journeyman-T-Handle-Klein-Tools-JTH9M4/dp/B005G3HJ8M/ref=sr_1_10?keywords=Klein+Tools+JTH9E11+3%2F16-Inch+Hex+Key+with+Journeyman+T-Handle%2C+9-Inch&amp;qid=1694735351&amp;sr=8-10", "https://www.amazon.com/Journeyman-T-Handle-Klein-Tools-JTH9M4/dp/B005G3HJ8M/ref=sr_1_10?keywords=Klein+Tools+JTH9E11+3%2F16-Inch+Hex+Key+with+Journeyman+T-Handle%2C+9-Inch&amp;qid=1694735351&amp;sr=8-10")</f>
        <v/>
      </c>
      <c r="F5184" t="inlineStr">
        <is>
          <t>B005G3HJ8M</t>
        </is>
      </c>
      <c r="G5184">
        <f>_xludf.IMAGE("https://edmondsonsupply.com/cdn/shop/products/jth9e12_5173eed3-120e-418c-a1cc-489b6dba3958.jpg?v=1587147554")</f>
        <v/>
      </c>
      <c r="H5184">
        <f>_xludf.IMAGE("https://m.media-amazon.com/images/I/51+1x0vz9XL._AC_UL320_.jpg")</f>
        <v/>
      </c>
      <c r="K5184" t="inlineStr">
        <is>
          <t>5.99</t>
        </is>
      </c>
      <c r="L5184" t="n">
        <v>7.84</v>
      </c>
      <c r="M5184" s="1" t="inlineStr">
        <is>
          <t>30.88%</t>
        </is>
      </c>
      <c r="N5184" s="1" t="n">
        <v>-63.76</v>
      </c>
      <c r="O5184" t="n">
        <v>4.6</v>
      </c>
      <c r="P5184" t="n">
        <v>135</v>
      </c>
      <c r="R5184" t="inlineStr">
        <is>
          <t>InStock</t>
        </is>
      </c>
      <c r="S5184" t="inlineStr">
        <is>
          <t>9.06</t>
        </is>
      </c>
      <c r="T5184" t="inlineStr">
        <is>
          <t>4455227523172</t>
        </is>
      </c>
    </row>
    <row r="5185" hidden="1" ht="15.75" customHeight="1">
      <c r="A5185" s="2">
        <f>HYPERLINK("https://edmondsonsupply.com/collections/electricians-tools/products/milwaukee-48-03-3015-carbide-bit-spline-to-sds-plus-adapter", "https://edmondsonsupply.com/collections/electricians-tools/products/milwaukee-48-03-3015-carbide-bit-spline-to-sds-plus-adapter")</f>
        <v/>
      </c>
      <c r="B5185" s="2">
        <f>HYPERLINK("https://edmondsonsupply.com/products/milwaukee-48-03-3015-carbide-bit-spline-to-sds-plus-adapter", "https://edmondsonsupply.com/products/milwaukee-48-03-3015-carbide-bit-spline-to-sds-plus-adapter")</f>
        <v/>
      </c>
      <c r="C5185" t="inlineStr">
        <is>
          <t>Milwaukee 48-03-3015 Spline to SDS-Plus Bit Adapter</t>
        </is>
      </c>
      <c r="D5185" t="inlineStr">
        <is>
          <t>Milwaukee 48-03-3564 12-Inch Spline Thick Core Bit Adapter for 1 1/2-Inch to 6-Inch Bits</t>
        </is>
      </c>
      <c r="E5185" s="2">
        <f>HYPERLINK("https://www.amazon.com/Milwaukee-48-03-3564-12-Inch-Spline-Adapter/dp/B0009H5R6Q/ref=sr_1_7?keywords=Milwaukee+48-03-3015+Spline+to+SDS-Plus+Bit+Adapter&amp;qid=1694735054&amp;sr=8-7", "https://www.amazon.com/Milwaukee-48-03-3564-12-Inch-Spline-Adapter/dp/B0009H5R6Q/ref=sr_1_7?keywords=Milwaukee+48-03-3015+Spline+to+SDS-Plus+Bit+Adapter&amp;qid=1694735054&amp;sr=8-7")</f>
        <v/>
      </c>
      <c r="F5185" t="inlineStr">
        <is>
          <t>B0009H5R6Q</t>
        </is>
      </c>
      <c r="G5185">
        <f>_xludf.IMAGE("https://edmondsonsupply.com/cdn/shop/products/48-03-3010_1.webp?v=1674076699")</f>
        <v/>
      </c>
      <c r="H5185">
        <f>_xludf.IMAGE("https://m.media-amazon.com/images/I/2157CNN6DQL._AC_UL320_.jpg")</f>
        <v/>
      </c>
      <c r="K5185" t="inlineStr">
        <is>
          <t>56.45</t>
        </is>
      </c>
      <c r="L5185" t="n">
        <v>73.88</v>
      </c>
      <c r="M5185" s="1" t="inlineStr">
        <is>
          <t>30.88%</t>
        </is>
      </c>
      <c r="N5185" s="1" t="n">
        <v>-64</v>
      </c>
      <c r="O5185" t="n">
        <v>1</v>
      </c>
      <c r="P5185" t="n">
        <v>1</v>
      </c>
      <c r="R5185" t="inlineStr">
        <is>
          <t>InStock</t>
        </is>
      </c>
      <c r="S5185" t="inlineStr">
        <is>
          <t>102.3</t>
        </is>
      </c>
      <c r="T5185" t="inlineStr">
        <is>
          <t>7926202794200</t>
        </is>
      </c>
    </row>
    <row r="5186" ht="87" customHeight="1">
      <c r="A5186" s="2">
        <f>HYPERLINK("https://edmondsonsupply.com/collections/electricians-tools/products/crescent-lufkin-1-3-16-x-16-shockforce-nite-eye%E2%84%A2-g1-dual-sided-tape-measure", "https://edmondsonsupply.com/collections/electricians-tools/products/crescent-lufkin-1-3-16-x-16-shockforce-nite-eye%E2%84%A2-g1-dual-sided-tape-measure")</f>
        <v/>
      </c>
      <c r="B5186" s="2">
        <f>HYPERLINK("https://edmondsonsupply.com/products/crescent-lufkin-1-3-16-x-16-shockforce-nite-eye%e2%84%a2-g1-dual-sided-tape-measure", "https://edmondsonsupply.com/products/crescent-lufkin-1-3-16-x-16-shockforce-nite-eye%e2%84%a2-g1-dual-sided-tape-measure")</f>
        <v/>
      </c>
      <c r="C5186" t="inlineStr">
        <is>
          <t>Crescent Lufkin L1116B-02 1-3/16" x 16' Shockforce Nite Eye™ G1 Dual Sided Tape Measure</t>
        </is>
      </c>
      <c r="D5186" t="inlineStr">
        <is>
          <t>1-3/16" x 16' Shockforce Nite Eye™ Dual Sided Tape Measure</t>
        </is>
      </c>
      <c r="E5186" s="2">
        <f>HYPERLINK("https://www.amazon.com/Shockforce-Nite-EyeTM-Sided-Measure/dp/B0B2MRLK53/ref=sr_1_6?keywords=Crescent+Lufkin+L1116B-02+1-3%2F16%22+x+16%27+Shockforce+Nite+Eye%E2%84%A2+G1+Dual+Sided+Tape+Measure&amp;qid=1694735006&amp;sr=8-6", "https://www.amazon.com/Shockforce-Nite-EyeTM-Sided-Measure/dp/B0B2MRLK53/ref=sr_1_6?keywords=Crescent+Lufkin+L1116B-02+1-3%2F16%22+x+16%27+Shockforce+Nite+Eye%E2%84%A2+G1+Dual+Sided+Tape+Measure&amp;qid=1694735006&amp;sr=8-6")</f>
        <v/>
      </c>
      <c r="F5186" t="inlineStr">
        <is>
          <t>B0B2MRLK53</t>
        </is>
      </c>
      <c r="G5186">
        <f>_xlfn.IMAGE("https://edmondsonsupply.com/cdn/shop/products/LFK_L11168_IMG_FRONT.jpg?v=1679577698")</f>
        <v/>
      </c>
      <c r="H5186">
        <f>_xlfn.IMAGE("https://m.media-amazon.com/images/I/31sKA5WeWhL._AC_UL320_.jpg")</f>
        <v/>
      </c>
      <c r="K5186" t="inlineStr">
        <is>
          <t>24.99</t>
        </is>
      </c>
      <c r="L5186" t="n">
        <v>32.7</v>
      </c>
      <c r="M5186" s="1" t="inlineStr">
        <is>
          <t>30.85%</t>
        </is>
      </c>
      <c r="N5186" s="7" t="n">
        <v>-64</v>
      </c>
      <c r="O5186" t="n">
        <v>5</v>
      </c>
      <c r="P5186" t="n">
        <v>1</v>
      </c>
      <c r="R5186" t="inlineStr">
        <is>
          <t>InStock</t>
        </is>
      </c>
      <c r="S5186" t="inlineStr">
        <is>
          <t>46.15</t>
        </is>
      </c>
      <c r="T5186" t="inlineStr">
        <is>
          <t>7965929898200</t>
        </is>
      </c>
    </row>
    <row r="5187" ht="87" customHeight="1">
      <c r="A5187" s="2">
        <f>HYPERLINK("https://edmondsonsupply.com/collections/electricians-tools/products/klein-tools-vdv501-853-scout%C2%AE-pro-3-tester-with-test-map%E2%84%A2-remote-kit", "https://edmondsonsupply.com/collections/electricians-tools/products/klein-tools-vdv501-853-scout%C2%AE-pro-3-tester-with-test-map%E2%84%A2-remote-kit")</f>
        <v/>
      </c>
      <c r="B5187" s="2">
        <f>HYPERLINK("https://edmondsonsupply.com/products/klein-tools-vdv501-853-scout%c2%ae-pro-3-tester-with-test-map%e2%84%a2-remote-kit", "https://edmondsonsupply.com/products/klein-tools-vdv501-853-scout%c2%ae-pro-3-tester-with-test-map%e2%84%a2-remote-kit")</f>
        <v/>
      </c>
      <c r="C5187" t="inlineStr">
        <is>
          <t>Klein Tools VDV501-853 Scout® Pro 3 Tester with Test + Map™ Remote Kit</t>
        </is>
      </c>
      <c r="D5187" t="inlineStr">
        <is>
          <t>Klein Tools VDV501-853 CoaxialCable Tester, Scout Pro 3 with Test-n-Map Remote, Includes Remotes #2 - #6, Tests Voice, Data and Video Cable &amp; VDV500-820 Cable Tracer with Probe Tone Pro Kit</t>
        </is>
      </c>
      <c r="E5187" s="2">
        <f>HYPERLINK("https://www.amazon.com/Klein-Tools-VDV501-853-CoaxialCable-Test-n-Map/dp/B09T6Y7S3V/ref=sr_1_2?keywords=Klein+Tools+VDV501-853+Scout%C2%AE+Pro+3+Tester+with+Test+%2B+Map%E2%84%A2+Remote+Kit&amp;qid=1694735254&amp;sr=8-2", "https://www.amazon.com/Klein-Tools-VDV501-853-CoaxialCable-Test-n-Map/dp/B09T6Y7S3V/ref=sr_1_2?keywords=Klein+Tools+VDV501-853+Scout%C2%AE+Pro+3+Tester+with+Test+%2B+Map%E2%84%A2+Remote+Kit&amp;qid=1694735254&amp;sr=8-2")</f>
        <v/>
      </c>
      <c r="F5187" t="inlineStr">
        <is>
          <t>B09T6Y7S3V</t>
        </is>
      </c>
      <c r="G5187">
        <f>_xlfn.IMAGE("https://edmondsonsupply.com/cdn/shop/products/vdv501853_b.jpg?v=1633030673")</f>
        <v/>
      </c>
      <c r="H5187">
        <f>_xlfn.IMAGE("https://m.media-amazon.com/images/I/51NRzF8o5EL._AC_UY218_.jpg")</f>
        <v/>
      </c>
      <c r="K5187" t="inlineStr">
        <is>
          <t>259.99</t>
        </is>
      </c>
      <c r="L5187" t="n">
        <v>339.96</v>
      </c>
      <c r="M5187" s="1" t="inlineStr">
        <is>
          <t>30.76%</t>
        </is>
      </c>
      <c r="N5187" s="7" t="n">
        <v>-64</v>
      </c>
      <c r="O5187" t="n">
        <v>5</v>
      </c>
      <c r="P5187" t="n">
        <v>3</v>
      </c>
      <c r="R5187" t="inlineStr">
        <is>
          <t>InStock</t>
        </is>
      </c>
      <c r="S5187" t="inlineStr">
        <is>
          <t>400.6</t>
        </is>
      </c>
      <c r="T5187" t="inlineStr">
        <is>
          <t>5799827800232</t>
        </is>
      </c>
    </row>
    <row r="5188" ht="87" customHeight="1">
      <c r="A5188" s="2">
        <f>HYPERLINK("https://edmondsonsupply.com/collections/electricians-tools/products/tajima-jpr-265-japan-pull%E2%84%A2-265-16-tpi-blade", "https://edmondsonsupply.com/collections/electricians-tools/products/tajima-jpr-265-japan-pull%E2%84%A2-265-16-tpi-blade")</f>
        <v/>
      </c>
      <c r="B5188" s="2">
        <f>HYPERLINK("https://edmondsonsupply.com/products/tajima-jpr-265-japan-pull%e2%84%a2-265-16-tpi-blade", "https://edmondsonsupply.com/products/tajima-jpr-265-japan-pull%e2%84%a2-265-16-tpi-blade")</f>
        <v/>
      </c>
      <c r="C5188" t="inlineStr">
        <is>
          <t>Tajima JPR-265 Japan Pull™ 265, 16 TPI Blade</t>
        </is>
      </c>
      <c r="D5188" t="inlineStr">
        <is>
          <t>TAJIMA Pull-Stroke Saw - 265 mm x 16 TPI Japanese Flush Cut Hand Saw with Quick-Release Blade &amp; Traditional Elastomer Straight Handle - JPR-265R</t>
        </is>
      </c>
      <c r="E5188" s="2">
        <f>HYPERLINK("https://www.amazon.com/TAJIMA-Pull-Stroke-Saw-Quick-Release-Traditional/dp/B004AM7C4G/ref=sr_1_1?keywords=Tajima+JPR-265+Japan+Pull%E2%84%A2+265%2C+16+TPI+Blade&amp;qid=1694735147&amp;sr=8-1", "https://www.amazon.com/TAJIMA-Pull-Stroke-Saw-Quick-Release-Traditional/dp/B004AM7C4G/ref=sr_1_1?keywords=Tajima+JPR-265+Japan+Pull%E2%84%A2+265%2C+16+TPI+Blade&amp;qid=1694735147&amp;sr=8-1")</f>
        <v/>
      </c>
      <c r="F5188" t="inlineStr">
        <is>
          <t>B004AM7C4G</t>
        </is>
      </c>
      <c r="G5188">
        <f>_xlfn.IMAGE("https://edmondsonsupply.com/cdn/shop/products/JPR-265.jpg?v=1655818417")</f>
        <v/>
      </c>
      <c r="H5188">
        <f>_xlfn.IMAGE("https://m.media-amazon.com/images/I/71D44zhki3L._AC_UL320_.jpg")</f>
        <v/>
      </c>
      <c r="K5188" t="inlineStr">
        <is>
          <t>31.82</t>
        </is>
      </c>
      <c r="L5188" t="n">
        <v>41.6</v>
      </c>
      <c r="M5188" s="1" t="inlineStr">
        <is>
          <t>30.74%</t>
        </is>
      </c>
      <c r="N5188" s="7" t="n">
        <v>-64</v>
      </c>
      <c r="O5188" t="n">
        <v>4.4</v>
      </c>
      <c r="P5188" t="n">
        <v>23</v>
      </c>
      <c r="R5188" t="inlineStr">
        <is>
          <t>InStock</t>
        </is>
      </c>
      <c r="S5188" t="inlineStr">
        <is>
          <t>33.49</t>
        </is>
      </c>
      <c r="T5188" t="inlineStr">
        <is>
          <t>7726142652632</t>
        </is>
      </c>
    </row>
    <row r="5189" ht="87" customHeight="1">
      <c r="A5189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5189" s="2">
        <f>HYPERLINK("https://edmondsonsupply.com/products/klein-tools-31856-1-1-8-inch-carbide-hole-cutter", "https://edmondsonsupply.com/products/klein-tools-31856-1-1-8-inch-carbide-hole-cutter")</f>
        <v/>
      </c>
      <c r="C5189" t="inlineStr">
        <is>
          <t>Klein Tools 31856 1-1/8-Inch Carbide Hole Cutter</t>
        </is>
      </c>
      <c r="D5189" t="inlineStr">
        <is>
          <t>TCT Hole Saw Set 3pcs JESTUOUS 3/8 Inch Shank Diameter 7/8 1-1/8 1-3/8 Cutting Dia Carbide Tipped Tooth Round Drill Bit Hole Kit Cutter for Stainless Steel Metal Wood</t>
        </is>
      </c>
      <c r="E5189" s="2">
        <f>HYPERLINK("https://www.amazon.com/JESTUOUS-Diameter-Cutting-Carbide-Stainless/dp/B07LC8G65T/ref=sr_1_33?keywords=Klein+Tools+31856+1-1%2F8-Inch+Carbide+Hole+Cutter&amp;qid=1694734994&amp;sr=8-33", "https://www.amazon.com/JESTUOUS-Diameter-Cutting-Carbide-Stainless/dp/B07LC8G65T/ref=sr_1_33?keywords=Klein+Tools+31856+1-1%2F8-Inch+Carbide+Hole+Cutter&amp;qid=1694734994&amp;sr=8-33")</f>
        <v/>
      </c>
      <c r="F5189" t="inlineStr">
        <is>
          <t>B07LC8G65T</t>
        </is>
      </c>
      <c r="G5189">
        <f>_xlfn.IMAGE("https://edmondsonsupply.com/cdn/shop/files/31856.jpg?v=1685712345")</f>
        <v/>
      </c>
      <c r="H5189">
        <f>_xlfn.IMAGE("https://m.media-amazon.com/images/I/41Vvjpg3w1L._AC_UL320_.jpg")</f>
        <v/>
      </c>
      <c r="K5189" t="inlineStr">
        <is>
          <t>35.99</t>
        </is>
      </c>
      <c r="L5189" t="n">
        <v>46.99</v>
      </c>
      <c r="M5189" s="1" t="inlineStr">
        <is>
          <t>30.56%</t>
        </is>
      </c>
      <c r="N5189" s="7" t="n">
        <v>-64</v>
      </c>
      <c r="O5189" t="n">
        <v>4.5</v>
      </c>
      <c r="P5189" t="n">
        <v>198</v>
      </c>
      <c r="R5189" t="inlineStr">
        <is>
          <t>InStock</t>
        </is>
      </c>
      <c r="S5189" t="inlineStr">
        <is>
          <t>50.38</t>
        </is>
      </c>
      <c r="T5189" t="inlineStr">
        <is>
          <t>7999529910488</t>
        </is>
      </c>
    </row>
    <row r="5190" ht="87" customHeight="1">
      <c r="A5190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5190" s="2">
        <f>HYPERLINK("https://edmondsonsupply.com/products/diablo-tools-d0660x-6-1-2-in-x-60-tooth-ultra-finish-saw-blade", "https://edmondsonsupply.com/products/diablo-tools-d0660x-6-1-2-in-x-60-tooth-ultra-finish-saw-blade")</f>
        <v/>
      </c>
      <c r="C5190" t="inlineStr">
        <is>
          <t>Diablo Tools D0660X 6-1/2 in. x 60 Tooth Ultra Finish Saw Blade</t>
        </is>
      </c>
      <c r="D5190" t="inlineStr">
        <is>
          <t>Diablo 6-1/2-Inch x 40-Tooth ATB Precision Finishing Saw Blade Bundle (2-Pack)</t>
        </is>
      </c>
      <c r="E5190" s="2">
        <f>HYPERLINK("https://www.amazon.com/Diablo-D0641X-Finishing-Blade-8-Inch/dp/B076T8T71Z/ref=sr_1_2?keywords=Diablo+Tools+D0660X+6-1%2F2+in.+x+60+Tooth+Ultra+Finish+Saw+Blade&amp;qid=1694735022&amp;sr=8-2", "https://www.amazon.com/Diablo-D0641X-Finishing-Blade-8-Inch/dp/B076T8T71Z/ref=sr_1_2?keywords=Diablo+Tools+D0660X+6-1%2F2+in.+x+60+Tooth+Ultra+Finish+Saw+Blade&amp;qid=1694735022&amp;sr=8-2")</f>
        <v/>
      </c>
      <c r="F5190" t="inlineStr">
        <is>
          <t>B076T8T71Z</t>
        </is>
      </c>
      <c r="G5190">
        <f>_xlfn.IMAGE("https://edmondsonsupply.com/cdn/shop/products/ma8p1gcmhxpwwhymtiim.webp?v=1678983644")</f>
        <v/>
      </c>
      <c r="H5190">
        <f>_xlfn.IMAGE("https://m.media-amazon.com/images/I/71ar4+W+y9L._AC_UL320_.jpg")</f>
        <v/>
      </c>
      <c r="K5190" t="inlineStr">
        <is>
          <t>22.97</t>
        </is>
      </c>
      <c r="L5190" t="n">
        <v>29.99</v>
      </c>
      <c r="M5190" s="1" t="inlineStr">
        <is>
          <t>30.56%</t>
        </is>
      </c>
      <c r="N5190" s="7" t="n">
        <v>-64</v>
      </c>
      <c r="O5190" t="n">
        <v>4.8</v>
      </c>
      <c r="P5190" t="n">
        <v>82</v>
      </c>
      <c r="R5190" t="inlineStr">
        <is>
          <t>InStock</t>
        </is>
      </c>
      <c r="S5190" t="inlineStr">
        <is>
          <t>33.88</t>
        </is>
      </c>
      <c r="T5190" t="inlineStr">
        <is>
          <t>7962739507416</t>
        </is>
      </c>
    </row>
    <row r="5191" ht="87" customHeight="1">
      <c r="A5191" s="2">
        <f>HYPERLINK("https://edmondsonsupply.com/collections/electricians-tools/products/milwaukee-48-22-8200-jobsite-backpack", "https://edmondsonsupply.com/collections/electricians-tools/products/milwaukee-48-22-8200-jobsite-backpack")</f>
        <v/>
      </c>
      <c r="B5191" s="2">
        <f>HYPERLINK("https://edmondsonsupply.com/products/milwaukee-48-22-8200-jobsite-backpack", "https://edmondsonsupply.com/products/milwaukee-48-22-8200-jobsite-backpack")</f>
        <v/>
      </c>
      <c r="C5191" t="inlineStr">
        <is>
          <t>Milwaukee 48-22-8200 Jobsite Backpack</t>
        </is>
      </c>
      <c r="D5191" t="inlineStr">
        <is>
          <t>Milwaukee 48-22-8200 Jobsite Backpack</t>
        </is>
      </c>
      <c r="E5191" s="2">
        <f>HYPERLINK("https://www.amazon.com/Milwaukee-48-22-8200-Jobsite-Backpack/dp/B09V84RD15/ref=sr_1_1?keywords=Milwaukee+48-22-8200+Jobsite+Backpack&amp;qid=1694735407&amp;sr=8-1", "https://www.amazon.com/Milwaukee-48-22-8200-Jobsite-Backpack/dp/B09V84RD15/ref=sr_1_1?keywords=Milwaukee+48-22-8200+Jobsite+Backpack&amp;qid=1694735407&amp;sr=8-1")</f>
        <v/>
      </c>
      <c r="F5191" t="inlineStr">
        <is>
          <t>B09V84RD15</t>
        </is>
      </c>
      <c r="G5191">
        <f>_xlfn.IMAGE("https://edmondsonsupply.com/cdn/shop/products/48-22-8200.png?v=1587142727")</f>
        <v/>
      </c>
      <c r="H5191">
        <f>_xlfn.IMAGE("https://m.media-amazon.com/images/I/91ML+iYjLwL._AC_UL320_.jpg")</f>
        <v/>
      </c>
      <c r="K5191" t="inlineStr">
        <is>
          <t>99.0</t>
        </is>
      </c>
      <c r="L5191" t="n">
        <v>129.25</v>
      </c>
      <c r="M5191" s="1" t="inlineStr">
        <is>
          <t>30.56%</t>
        </is>
      </c>
      <c r="N5191" s="7" t="n">
        <v>-64</v>
      </c>
      <c r="O5191" t="n">
        <v>4.6</v>
      </c>
      <c r="P5191" t="n">
        <v>237</v>
      </c>
      <c r="R5191" t="inlineStr">
        <is>
          <t>InStock</t>
        </is>
      </c>
      <c r="S5191" t="inlineStr">
        <is>
          <t>165.0</t>
        </is>
      </c>
      <c r="T5191" t="inlineStr">
        <is>
          <t>4388832378980</t>
        </is>
      </c>
    </row>
    <row r="5192" ht="87" customHeight="1">
      <c r="A5192" s="2">
        <f>HYPERLINK("https://edmondsonsupply.com/collections/electricians-tools/products/diablo-tools-dag", "https://edmondsonsupply.com/collections/electricians-tools/products/diablo-tools-dag")</f>
        <v/>
      </c>
      <c r="B5192" s="2">
        <f>HYPERLINK("https://edmondsonsupply.com/products/diablo-tools-dag", "https://edmondsonsupply.com/products/diablo-tools-dag")</f>
        <v/>
      </c>
      <c r="C5192" t="inlineStr">
        <is>
          <t>Diablo Tools DAG3010 3/8 in. x 17-1/2 in. Auger Bit</t>
        </is>
      </c>
      <c r="D5192" t="inlineStr">
        <is>
          <t>Diablo by Freud DAG3100 15/16 in. x 17-1/2 in. Auger Bit Multi, One Size</t>
        </is>
      </c>
      <c r="E5192" s="2">
        <f>HYPERLINK("https://www.amazon.com/Diablo-DAG3100-17-1-Auger-Bit/dp/B089KWFBPH/ref=sr_1_12?keywords=Diablo+Tools+DAG3010+3%2F8+in.+x+17-1%2F2+in.+Auger+Bit&amp;qid=1694735073&amp;sr=8-12", "https://www.amazon.com/Diablo-DAG3100-17-1-Auger-Bit/dp/B089KWFBPH/ref=sr_1_12?keywords=Diablo+Tools+DAG3010+3%2F8+in.+x+17-1%2F2+in.+Auger+Bit&amp;qid=1694735073&amp;sr=8-12")</f>
        <v/>
      </c>
      <c r="F5192" t="inlineStr">
        <is>
          <t>B089KWFBPH</t>
        </is>
      </c>
      <c r="G5192">
        <f>_xlfn.IMAGE("https://edmondsonsupply.com/cdn/shop/products/xfctdbahz5wx3g461fm8.webp?v=1669991052")</f>
        <v/>
      </c>
      <c r="H5192">
        <f>_xlfn.IMAGE("https://m.media-amazon.com/images/I/61Lk5PecX2L._AC_UL320_.jpg")</f>
        <v/>
      </c>
      <c r="K5192" t="inlineStr">
        <is>
          <t>17.47</t>
        </is>
      </c>
      <c r="L5192" t="n">
        <v>22.8</v>
      </c>
      <c r="M5192" s="1" t="inlineStr">
        <is>
          <t>30.51%</t>
        </is>
      </c>
      <c r="N5192" s="7" t="n">
        <v>-64.04000000000001</v>
      </c>
      <c r="O5192" t="n">
        <v>5</v>
      </c>
      <c r="P5192" t="n">
        <v>3</v>
      </c>
      <c r="R5192" t="inlineStr">
        <is>
          <t>InStock</t>
        </is>
      </c>
      <c r="S5192" t="inlineStr">
        <is>
          <t>25.04</t>
        </is>
      </c>
      <c r="T5192" t="inlineStr">
        <is>
          <t>7897480921304</t>
        </is>
      </c>
    </row>
    <row r="5193" hidden="1" ht="15.75" customHeight="1">
      <c r="A5193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5193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5193" t="inlineStr">
        <is>
          <t>Diablo Tools DMAPL4160 3/8 in. x 10 in. x 12 in. Rebar Demon™ SDS-Plus 4-Cutter Full Carbide Head Hammer Bit</t>
        </is>
      </c>
      <c r="D5193" t="inlineStr">
        <is>
          <t>Diablo by Freud DMAPL4160 3/8 in. x 10 in. x 12 in. Rebar Demon SDS-Plus 4-Cutter Full Carbide Head Hammer Bit</t>
        </is>
      </c>
      <c r="E5193" s="2">
        <f>HYPERLINK("https://www.amazon.com/Diablo-Freud-DMAPL4160-SDS-Plus-4-Cutter/dp/B089KX25B7/ref=sr_1_1?keywords=Diablo+Tools+DMAPL4160+3%2F8+in.+x+10+in.+x+12+in.+Rebar+Demon%E2%84%A2+SDS-Plus+4-Cutter+Full+Carbide+Head+Hammer+Bit&amp;qid=1694735304&amp;sr=8-1", "https://www.amazon.com/Diablo-Freud-DMAPL4160-SDS-Plus-4-Cutter/dp/B089KX25B7/ref=sr_1_1?keywords=Diablo+Tools+DMAPL4160+3%2F8+in.+x+10+in.+x+12+in.+Rebar+Demon%E2%84%A2+SDS-Plus+4-Cutter+Full+Carbide+Head+Hammer+Bit&amp;qid=1694735304&amp;sr=8-1")</f>
        <v/>
      </c>
      <c r="F5193" t="inlineStr">
        <is>
          <t>B089KX25B7</t>
        </is>
      </c>
      <c r="G5193">
        <f>_xludf.IMAGE("https://edmondsonsupply.com/cdn/shop/products/w7y3zlfom8dhrlplcmqa.webp?v=1670439058")</f>
        <v/>
      </c>
      <c r="H5193">
        <f>_xludf.IMAGE("https://m.media-amazon.com/images/I/61MHnm3+2bL._AC_UL320_.jpg")</f>
        <v/>
      </c>
      <c r="K5193" t="inlineStr">
        <is>
          <t>9.97</t>
        </is>
      </c>
      <c r="L5193" t="n">
        <v>13.01</v>
      </c>
      <c r="M5193" s="1" t="inlineStr">
        <is>
          <t>30.49%</t>
        </is>
      </c>
      <c r="N5193" s="1" t="n">
        <v>-64.45999999999999</v>
      </c>
      <c r="O5193" t="n">
        <v>4.5</v>
      </c>
      <c r="P5193" t="n">
        <v>39</v>
      </c>
      <c r="R5193" t="inlineStr">
        <is>
          <t>InStock</t>
        </is>
      </c>
      <c r="S5193" t="inlineStr">
        <is>
          <t>15.02</t>
        </is>
      </c>
      <c r="T5193" t="inlineStr">
        <is>
          <t>5286778601640</t>
        </is>
      </c>
    </row>
    <row r="5194" hidden="1" ht="15.75" customHeight="1">
      <c r="A5194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5194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5194" t="inlineStr">
        <is>
          <t>Diablo Tools DMAPL4180 1/2 in. x 4 in. x 6 in. Rebar Demon™ SDS-Plus 4-Cutter Full Carbide Head Hammer Bit</t>
        </is>
      </c>
      <c r="D5194" t="inlineStr">
        <is>
          <t>Diablo by Freud DMAPL4160 3/8 in. x 10 in. x 12 in. Rebar Demon SDS-Plus 4-Cutter Full Carbide Head Hammer Bit</t>
        </is>
      </c>
      <c r="E5194" s="2">
        <f>HYPERLINK("https://www.amazon.com/Diablo-Freud-DMAPL4160-SDS-Plus-4-Cutter/dp/B089KX25B7/ref=sr_1_21?keywords=Diablo+Tools+DMAPL4180+1%2F2+in.+x+4+in.+x+6+in.+Rebar+Demon%E2%84%A2+SDS-Plus+4-Cutter+Full+Carbide+Head+Hammer+Bit&amp;qid=1694735298&amp;sr=8-21", "https://www.amazon.com/Diablo-Freud-DMAPL4160-SDS-Plus-4-Cutter/dp/B089KX25B7/ref=sr_1_21?keywords=Diablo+Tools+DMAPL4180+1%2F2+in.+x+4+in.+x+6+in.+Rebar+Demon%E2%84%A2+SDS-Plus+4-Cutter+Full+Carbide+Head+Hammer+Bit&amp;qid=1694735298&amp;sr=8-21")</f>
        <v/>
      </c>
      <c r="F5194" t="inlineStr">
        <is>
          <t>B089KX25B7</t>
        </is>
      </c>
      <c r="G5194">
        <f>_xludf.IMAGE("https://edmondsonsupply.com/cdn/shop/products/DMAPL4180_Main-Image20200702.png?v=1633030362")</f>
        <v/>
      </c>
      <c r="H5194">
        <f>_xludf.IMAGE("https://m.media-amazon.com/images/I/61MHnm3+2bL._AC_UL320_.jpg")</f>
        <v/>
      </c>
      <c r="K5194" t="inlineStr">
        <is>
          <t>9.97</t>
        </is>
      </c>
      <c r="L5194" t="n">
        <v>13.01</v>
      </c>
      <c r="M5194" s="1" t="inlineStr">
        <is>
          <t>30.49%</t>
        </is>
      </c>
      <c r="N5194" s="1" t="n">
        <v>-64.56999999999999</v>
      </c>
      <c r="O5194" t="n">
        <v>4.5</v>
      </c>
      <c r="P5194" t="n">
        <v>39</v>
      </c>
      <c r="R5194" t="inlineStr">
        <is>
          <t>InStock</t>
        </is>
      </c>
      <c r="S5194" t="inlineStr">
        <is>
          <t>undefined</t>
        </is>
      </c>
      <c r="T5194" t="inlineStr">
        <is>
          <t>5286803833000</t>
        </is>
      </c>
    </row>
    <row r="5195" ht="87" customHeight="1">
      <c r="A5195" s="2">
        <f>HYPERLINK("https://edmondsonsupply.com/collections/electricians-tools/products/greenlee-614-2-1-2-foam-conduit-piston-set", "https://edmondsonsupply.com/collections/electricians-tools/products/greenlee-614-2-1-2-foam-conduit-piston-set")</f>
        <v/>
      </c>
      <c r="B5195" s="2">
        <f>HYPERLINK("https://edmondsonsupply.com/products/greenlee-614-2-1-2-foam-conduit-piston-set", "https://edmondsonsupply.com/products/greenlee-614-2-1-2-foam-conduit-piston-set")</f>
        <v/>
      </c>
      <c r="C5195" t="inlineStr">
        <is>
          <t>Greenlee 614 2-1/2" Foam Conduit Piston Set</t>
        </is>
      </c>
      <c r="D5195" t="inlineStr">
        <is>
          <t>Greenlee - Piston,2-1/2" Conduit, Fishing (614)</t>
        </is>
      </c>
      <c r="E5195" s="2">
        <f>HYPERLINK("https://www.amazon.com/Greenlee-614-Piston-2-1-Conduit/dp/B0042T01W2/ref=sr_1_1?keywords=Greenlee+614+2-1%2F2%22+Foam+Conduit+Piston+Set&amp;qid=1694735362&amp;sr=8-1", "https://www.amazon.com/Greenlee-614-Piston-2-1-Conduit/dp/B0042T01W2/ref=sr_1_1?keywords=Greenlee+614+2-1%2F2%22+Foam+Conduit+Piston+Set&amp;qid=1694735362&amp;sr=8-1")</f>
        <v/>
      </c>
      <c r="F5195" t="inlineStr">
        <is>
          <t>B0042T01W2</t>
        </is>
      </c>
      <c r="G5195">
        <f>_xlfn.IMAGE("https://edmondsonsupply.com/cdn/shop/files/614_2.png?v=1687454977")</f>
        <v/>
      </c>
      <c r="H5195">
        <f>_xlfn.IMAGE("https://m.media-amazon.com/images/I/A1x3jV0pkfL._AC_UL320_.jpg")</f>
        <v/>
      </c>
      <c r="K5195" t="inlineStr">
        <is>
          <t>19.59</t>
        </is>
      </c>
      <c r="L5195" t="n">
        <v>25.56</v>
      </c>
      <c r="M5195" s="1" t="inlineStr">
        <is>
          <t>30.47%</t>
        </is>
      </c>
      <c r="N5195" s="7" t="n">
        <v>-64.62</v>
      </c>
      <c r="O5195" t="n">
        <v>4.3</v>
      </c>
      <c r="P5195" t="n">
        <v>11</v>
      </c>
      <c r="R5195" t="inlineStr">
        <is>
          <t>InStock</t>
        </is>
      </c>
      <c r="S5195" t="inlineStr">
        <is>
          <t>20.8</t>
        </is>
      </c>
      <c r="T5195" t="inlineStr">
        <is>
          <t>4430334263396</t>
        </is>
      </c>
    </row>
    <row r="5196" hidden="1" ht="15.75" customHeight="1">
      <c r="A5196" s="2">
        <f>HYPERLINK("https://edmondsonsupply.com/collections/electricians-tools/products/klein-tools-671-6-rapi-driv%C2%AE-screwdriver-1-4-inch-cabinet-6-inch", "https://edmondsonsupply.com/collections/electricians-tools/products/klein-tools-671-6-rapi-driv%C2%AE-screwdriver-1-4-inch-cabinet-6-inch")</f>
        <v/>
      </c>
      <c r="B5196" s="2">
        <f>HYPERLINK("https://edmondsonsupply.com/products/klein-tools-671-6-rapi-driv%c2%ae-screwdriver-1-4-inch-cabinet-6-inch", "https://edmondsonsupply.com/products/klein-tools-671-6-rapi-driv%c2%ae-screwdriver-1-4-inch-cabinet-6-inch")</f>
        <v/>
      </c>
      <c r="C5196" t="inlineStr">
        <is>
          <t>Klein Tools 671-6 Rapi-Driv® Screwdriver, 1/4-Inch Cabinet Tip, 6-Inch Shank</t>
        </is>
      </c>
      <c r="D5196" t="inlineStr">
        <is>
          <t>Klein Tools 6926INS Insulated Screwdriver, 1000V Slim Profile Tip, 1/4-Inch Cabinet Screwdriver with 6-Inch Shank, Cushion-Grip Handle</t>
        </is>
      </c>
      <c r="E5196" s="2">
        <f>HYPERLINK("https://www.amazon.com/Klein-Tools-6926INS-Screwdriver-Cushion-Grip/dp/B09GL1X5SZ/ref=sr_1_8?keywords=Klein+Tools+671-6+Rapi-Driv%C2%AE+Screwdriver%2C+1%2F4-Inch+Cabinet+Tip%2C+6-Inch+Shank&amp;qid=1694735392&amp;sr=8-8", "https://www.amazon.com/Klein-Tools-6926INS-Screwdriver-Cushion-Grip/dp/B09GL1X5SZ/ref=sr_1_8?keywords=Klein+Tools+671-6+Rapi-Driv%C2%AE+Screwdriver%2C+1%2F4-Inch+Cabinet+Tip%2C+6-Inch+Shank&amp;qid=1694735392&amp;sr=8-8")</f>
        <v/>
      </c>
      <c r="F5196" t="inlineStr">
        <is>
          <t>B09GL1X5SZ</t>
        </is>
      </c>
      <c r="G5196">
        <f>_xludf.IMAGE("https://edmondsonsupply.com/cdn/shop/products/670-6_66b04263-0a93-451f-ab2e-bb9a98ab1ffe.jpg?v=1633030192")</f>
        <v/>
      </c>
      <c r="H5196">
        <f>_xludf.IMAGE("https://m.media-amazon.com/images/I/41JbepP5oGL._AC_UL320_.jpg")</f>
        <v/>
      </c>
      <c r="K5196" t="inlineStr">
        <is>
          <t>11.49</t>
        </is>
      </c>
      <c r="L5196" t="n">
        <v>14.99</v>
      </c>
      <c r="M5196" s="1" t="inlineStr">
        <is>
          <t>30.46%</t>
        </is>
      </c>
      <c r="N5196" s="1" t="n">
        <v>-65.16</v>
      </c>
      <c r="O5196" t="n">
        <v>4.8</v>
      </c>
      <c r="P5196" t="n">
        <v>85</v>
      </c>
      <c r="R5196" t="inlineStr">
        <is>
          <t>InStock</t>
        </is>
      </c>
      <c r="S5196" t="inlineStr">
        <is>
          <t>17.42</t>
        </is>
      </c>
      <c r="T5196" t="inlineStr">
        <is>
          <t>4398971617380</t>
        </is>
      </c>
    </row>
    <row r="5197" ht="87" customHeight="1">
      <c r="A5197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5197" s="2">
        <f>HYPERLINK("https://edmondsonsupply.com/products/klein-tools-cl110-digital-clamp-meter-ac-auto-ranging-400-amp", "https://edmondsonsupply.com/products/klein-tools-cl110-digital-clamp-meter-ac-auto-ranging-400-amp")</f>
        <v/>
      </c>
      <c r="C5197" t="inlineStr">
        <is>
          <t>Klein Tools CL120 Digital Clamp Meter, AC Auto-Ranging 400 Amp</t>
        </is>
      </c>
      <c r="D5197" t="inlineStr">
        <is>
          <t>Klein Tools CL120KIT Electrical Tester/Auto-Ranging Digital Clamp Meter Kit, GFCI Tester, Line Splitter, Pouch, Leads, 3 x AAA &amp; 69417 Rare-Earth Magnetic Hanger, with Strap</t>
        </is>
      </c>
      <c r="E5197" s="2">
        <f>HYPERLINK("https://www.amazon.com/Klein-Tools-Electrical-Auto-Ranging-Rare-Earth/dp/B0C5TJYFP2/ref=sr_1_13?keywords=Klein+Tools+CL120+Digital+Clamp+Meter%2C+AC+Auto-Ranging+400+Amp&amp;qid=1694735357&amp;sr=8-13", "https://www.amazon.com/Klein-Tools-Electrical-Auto-Ranging-Rare-Earth/dp/B0C5TJYFP2/ref=sr_1_13?keywords=Klein+Tools+CL120+Digital+Clamp+Meter%2C+AC+Auto-Ranging+400+Amp&amp;qid=1694735357&amp;sr=8-13")</f>
        <v/>
      </c>
      <c r="F5197" t="inlineStr">
        <is>
          <t>B0C5TJYFP2</t>
        </is>
      </c>
      <c r="G5197">
        <f>_xlfn.IMAGE("https://edmondsonsupply.com/cdn/shop/products/cl120.jpg?v=1633030212")</f>
        <v/>
      </c>
      <c r="H5197">
        <f>_xlfn.IMAGE("https://m.media-amazon.com/images/I/51nnNVCcUdL._AC_UY218_.jpg")</f>
        <v/>
      </c>
      <c r="K5197" t="inlineStr">
        <is>
          <t>59.97</t>
        </is>
      </c>
      <c r="L5197" t="n">
        <v>78.22</v>
      </c>
      <c r="M5197" s="1" t="inlineStr">
        <is>
          <t>30.43%</t>
        </is>
      </c>
      <c r="N5197" s="7" t="n">
        <v>-65.2</v>
      </c>
      <c r="O5197" t="n">
        <v>5</v>
      </c>
      <c r="P5197" t="n">
        <v>1</v>
      </c>
      <c r="R5197" t="inlineStr">
        <is>
          <t>InStock</t>
        </is>
      </c>
      <c r="S5197" t="inlineStr">
        <is>
          <t>85.26</t>
        </is>
      </c>
      <c r="T5197" t="inlineStr">
        <is>
          <t>4432351527012</t>
        </is>
      </c>
    </row>
    <row r="5198" ht="87" customHeight="1">
      <c r="A5198" s="2">
        <f>HYPERLINK("https://edmondsonsupply.com/collections/electricians-tools/products/crescent-wiss-9-1-4-offset-straight-and-left-cut-aviation-snips", "https://edmondsonsupply.com/collections/electricians-tools/products/crescent-wiss-9-1-4-offset-straight-and-left-cut-aviation-snips")</f>
        <v/>
      </c>
      <c r="B5198" s="2">
        <f>HYPERLINK("https://edmondsonsupply.com/products/crescent-wiss-9-1-4-offset-straight-and-left-cut-aviation-snips", "https://edmondsonsupply.com/products/crescent-wiss-9-1-4-offset-straight-and-left-cut-aviation-snips")</f>
        <v/>
      </c>
      <c r="C5198" t="inlineStr">
        <is>
          <t>Crescent Wiss M6P 9-1/4" Offset Straight and Left Cut Aviation Snips</t>
        </is>
      </c>
      <c r="D5198" t="inlineStr">
        <is>
          <t>Crescent Wiss 9-3/4" Straight and Left Aviation Snips - M1R with Crescent Wiss 9-3/4" Straight, Left and Right Cut MetalMaster Compound Action Snips - M3R</t>
        </is>
      </c>
      <c r="E5198" s="2">
        <f>HYPERLINK("https://www.amazon.com/Crescent-Wiss-Straight-Aviation-Snips/dp/B093TXCS3X/ref=sr_1_7?keywords=Crescent+Wiss+M6P+9-1%2F4%22+Offset+Straight+and+Left+Cut+Aviation+Snips&amp;qid=1694735010&amp;sr=8-7", "https://www.amazon.com/Crescent-Wiss-Straight-Aviation-Snips/dp/B093TXCS3X/ref=sr_1_7?keywords=Crescent+Wiss+M6P+9-1%2F4%22+Offset+Straight+and+Left+Cut+Aviation+Snips&amp;qid=1694735010&amp;sr=8-7")</f>
        <v/>
      </c>
      <c r="F5198" t="inlineStr">
        <is>
          <t>B093TXCS3X</t>
        </is>
      </c>
      <c r="G5198">
        <f>_xlfn.IMAGE("https://edmondsonsupply.com/cdn/shop/products/WIS_M6P_IMG_MAIN_01.jpg?v=1679497499")</f>
        <v/>
      </c>
      <c r="H5198">
        <f>_xlfn.IMAGE("https://m.media-amazon.com/images/I/41SEWCwniGS._AC_UL320_.jpg")</f>
        <v/>
      </c>
      <c r="K5198" t="inlineStr">
        <is>
          <t>22.99</t>
        </is>
      </c>
      <c r="L5198" t="n">
        <v>29.98</v>
      </c>
      <c r="M5198" s="1" t="inlineStr">
        <is>
          <t>30.40%</t>
        </is>
      </c>
      <c r="N5198" s="7" t="n">
        <v>-65.23999999999999</v>
      </c>
      <c r="O5198" t="n">
        <v>5</v>
      </c>
      <c r="P5198" t="n">
        <v>1</v>
      </c>
      <c r="R5198" t="inlineStr">
        <is>
          <t>InStock</t>
        </is>
      </c>
      <c r="S5198" t="inlineStr">
        <is>
          <t>41.64</t>
        </is>
      </c>
      <c r="T5198" t="inlineStr">
        <is>
          <t>7965651960024</t>
        </is>
      </c>
    </row>
    <row r="5199" ht="87" customHeight="1">
      <c r="A5199" s="2">
        <f>HYPERLINK("https://edmondsonsupply.com/collections/electricians-tools/products/crescent-wiss-m8p-9-4-5-offset-straight-left-and-right-cut-aviation-snips", "https://edmondsonsupply.com/collections/electricians-tools/products/crescent-wiss-m8p-9-4-5-offset-straight-left-and-right-cut-aviation-snips")</f>
        <v/>
      </c>
      <c r="B5199" s="2">
        <f>HYPERLINK("https://edmondsonsupply.com/products/crescent-wiss-m8p-9-4-5-offset-straight-left-and-right-cut-aviation-snips", "https://edmondsonsupply.com/products/crescent-wiss-m8p-9-4-5-offset-straight-left-and-right-cut-aviation-snips")</f>
        <v/>
      </c>
      <c r="C5199" t="inlineStr">
        <is>
          <t>Crescent Wiss M8P 9-4/5" Offset Straight, Left and Right Cut Aviation Snips</t>
        </is>
      </c>
      <c r="D5199" t="inlineStr">
        <is>
          <t>Crescent Wiss 9-3/4" Straight and Left Aviation Snips - M1R with Crescent Wiss 9-3/4" Straight, Left and Right Cut MetalMaster Compound Action Snips - M3R</t>
        </is>
      </c>
      <c r="E5199" s="2">
        <f>HYPERLINK("https://www.amazon.com/Crescent-Wiss-Straight-Aviation-Snips/dp/B093TXCS3X/ref=sr_1_4?keywords=Crescent+Wiss+M8P+9-4%2F5%22+Offset+Straight%2C+Left+and+Right+Cut+Aviation+Snips&amp;qid=1694735009&amp;sr=8-4", "https://www.amazon.com/Crescent-Wiss-Straight-Aviation-Snips/dp/B093TXCS3X/ref=sr_1_4?keywords=Crescent+Wiss+M8P+9-4%2F5%22+Offset+Straight%2C+Left+and+Right+Cut+Aviation+Snips&amp;qid=1694735009&amp;sr=8-4")</f>
        <v/>
      </c>
      <c r="F5199" t="inlineStr">
        <is>
          <t>B093TXCS3X</t>
        </is>
      </c>
      <c r="G5199">
        <f>_xlfn.IMAGE("https://edmondsonsupply.com/cdn/shop/products/WIS_M8P_IMG_ANG_01.jpg?v=1679676030")</f>
        <v/>
      </c>
      <c r="H5199">
        <f>_xlfn.IMAGE("https://m.media-amazon.com/images/I/41SEWCwniGS._AC_UL320_.jpg")</f>
        <v/>
      </c>
      <c r="K5199" t="inlineStr">
        <is>
          <t>22.99</t>
        </is>
      </c>
      <c r="L5199" t="n">
        <v>29.98</v>
      </c>
      <c r="M5199" s="1" t="inlineStr">
        <is>
          <t>30.40%</t>
        </is>
      </c>
      <c r="N5199" s="7" t="n">
        <v>-65.29000000000001</v>
      </c>
      <c r="O5199" t="n">
        <v>5</v>
      </c>
      <c r="P5199" t="n">
        <v>1</v>
      </c>
      <c r="R5199" t="inlineStr">
        <is>
          <t>InStock</t>
        </is>
      </c>
      <c r="S5199" t="inlineStr">
        <is>
          <t>41.64</t>
        </is>
      </c>
      <c r="T5199" t="inlineStr">
        <is>
          <t>7966309351640</t>
        </is>
      </c>
    </row>
    <row r="5200" ht="87" customHeight="1">
      <c r="A5200" s="2">
        <f>HYPERLINK("https://edmondsonsupply.com/collections/electricians-tools/products/crescent-wiss-m7p-9-1-4-offset-straight-and-right-cut-aviation-snips", "https://edmondsonsupply.com/collections/electricians-tools/products/crescent-wiss-m7p-9-1-4-offset-straight-and-right-cut-aviation-snips")</f>
        <v/>
      </c>
      <c r="B5200" s="2">
        <f>HYPERLINK("https://edmondsonsupply.com/products/crescent-wiss-m7p-9-1-4-offset-straight-and-right-cut-aviation-snips", "https://edmondsonsupply.com/products/crescent-wiss-m7p-9-1-4-offset-straight-and-right-cut-aviation-snips")</f>
        <v/>
      </c>
      <c r="C5200" t="inlineStr">
        <is>
          <t>Crescent Wiss M7P 9-1/4" Offset Straight and Right Cut Aviation Snips</t>
        </is>
      </c>
      <c r="D5200" t="inlineStr">
        <is>
          <t>Crescent Wiss 9-3/4" Straight and Left Aviation Snips - M1R with Crescent Wiss 9-3/4" Straight, Left and Right Cut MetalMaster Compound Action Snips - M3R</t>
        </is>
      </c>
      <c r="E5200" s="2">
        <f>HYPERLINK("https://www.amazon.com/Crescent-Wiss-Straight-Aviation-Snips/dp/B093TXCS3X/ref=sr_1_8?keywords=Crescent+Wiss+M7P+9-1%2F4%22+Offset+Straight+and+Right+Cut+Aviation+Snips&amp;qid=1694735008&amp;sr=8-8", "https://www.amazon.com/Crescent-Wiss-Straight-Aviation-Snips/dp/B093TXCS3X/ref=sr_1_8?keywords=Crescent+Wiss+M7P+9-1%2F4%22+Offset+Straight+and+Right+Cut+Aviation+Snips&amp;qid=1694735008&amp;sr=8-8")</f>
        <v/>
      </c>
      <c r="F5200" t="inlineStr">
        <is>
          <t>B093TXCS3X</t>
        </is>
      </c>
      <c r="G5200">
        <f>_xlfn.IMAGE("https://edmondsonsupply.com/cdn/shop/products/WIS_M7P_IMG_ANG_01.jpg?v=1679669941")</f>
        <v/>
      </c>
      <c r="H5200">
        <f>_xlfn.IMAGE("https://m.media-amazon.com/images/I/41SEWCwniGS._AC_UL320_.jpg")</f>
        <v/>
      </c>
      <c r="K5200" t="inlineStr">
        <is>
          <t>22.99</t>
        </is>
      </c>
      <c r="L5200" t="n">
        <v>29.98</v>
      </c>
      <c r="M5200" s="1" t="inlineStr">
        <is>
          <t>30.40%</t>
        </is>
      </c>
      <c r="N5200" s="7" t="n">
        <v>-65.77</v>
      </c>
      <c r="O5200" t="n">
        <v>5</v>
      </c>
      <c r="P5200" t="n">
        <v>1</v>
      </c>
      <c r="R5200" t="inlineStr">
        <is>
          <t>InStock</t>
        </is>
      </c>
      <c r="S5200" t="inlineStr">
        <is>
          <t>41.64</t>
        </is>
      </c>
      <c r="T5200" t="inlineStr">
        <is>
          <t>7966220681432</t>
        </is>
      </c>
    </row>
    <row r="5201" hidden="1" ht="15.75" customHeight="1">
      <c r="A5201" s="2">
        <f>HYPERLINK("https://edmondsonsupply.com/collections/electricians-tools/products/reed-mfg-dhr12-1-2npt-r12-drophead-1-2-npt", "https://edmondsonsupply.com/collections/electricians-tools/products/reed-mfg-dhr12-1-2npt-r12-drophead-1-2-npt")</f>
        <v/>
      </c>
      <c r="B5201" s="2">
        <f>HYPERLINK("https://edmondsonsupply.com/products/reed-mfg-dhr12-1-2npt-r12-drophead-1-2-npt", "https://edmondsonsupply.com/products/reed-mfg-dhr12-1-2npt-r12-drophead-1-2-npt")</f>
        <v/>
      </c>
      <c r="C5201" t="inlineStr">
        <is>
          <t>Reed Mfg DHR12 1/2NPT R12+ Drophead, 1/2" NPT</t>
        </is>
      </c>
      <c r="D5201" t="inlineStr">
        <is>
          <t>Reed Tool DHR12 1NPT R12+ Drophead, 1-Inch NPT</t>
        </is>
      </c>
      <c r="E5201" s="2">
        <f>HYPERLINK("https://www.amazon.com/Reed-Tool-DHR12-1NPT-Drophead/dp/B000ZGZ0PY/ref=sr_1_fkmr0_2?keywords=Reed+Mfg+DHR12+1%2F2NPT+R12%2B+Drophead%2C+1%2F2%22+NPT&amp;qid=1694735220&amp;sr=8-2-fkmr0", "https://www.amazon.com/Reed-Tool-DHR12-1NPT-Drophead/dp/B000ZGZ0PY/ref=sr_1_fkmr0_2?keywords=Reed+Mfg+DHR12+1%2F2NPT+R12%2B+Drophead%2C+1%2F2%22+NPT&amp;qid=1694735220&amp;sr=8-2-fkmr0")</f>
        <v/>
      </c>
      <c r="F5201" t="inlineStr">
        <is>
          <t>B000ZGZ0PY</t>
        </is>
      </c>
      <c r="G5201">
        <f>_xludf.IMAGE("https://edmondsonsupply.com/cdn/shop/products/05626-DHR12-1-2NPT-RGB.jpg?v=1633031013")</f>
        <v/>
      </c>
      <c r="H5201">
        <f>_xludf.IMAGE("https://m.media-amazon.com/images/I/61ePWvUMWkL._AC_UY218_.jpg")</f>
        <v/>
      </c>
      <c r="K5201" t="inlineStr">
        <is>
          <t>121.16</t>
        </is>
      </c>
      <c r="L5201" t="n">
        <v>157.93</v>
      </c>
      <c r="M5201" s="1" t="inlineStr">
        <is>
          <t>30.35%</t>
        </is>
      </c>
      <c r="N5201" s="1" t="n">
        <v>-65.81999999999999</v>
      </c>
      <c r="O5201" t="n">
        <v>1</v>
      </c>
      <c r="P5201" t="n">
        <v>1</v>
      </c>
      <c r="R5201" t="inlineStr">
        <is>
          <t>InStock</t>
        </is>
      </c>
      <c r="S5201" t="inlineStr">
        <is>
          <t>140.16</t>
        </is>
      </c>
      <c r="T5201" t="inlineStr">
        <is>
          <t>6698071261357</t>
        </is>
      </c>
    </row>
    <row r="5202" hidden="1" ht="15.75" customHeight="1">
      <c r="A5202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5202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5202" t="inlineStr">
        <is>
          <t>Diablo Tools DMAPL4140 3/8 in. x 4 in. x 6 in. Rebar Demon™ SDS-Plus 4-Cutter Full Carbide Head Hammer Bit</t>
        </is>
      </c>
      <c r="D5202" t="inlineStr">
        <is>
          <t>Diablo by Freud DMAPL4010 5/32 in. x 2 in. x 4 in. Rebar Demon SDS-Plus 4-Cutter Full Carbide Head Hammer Bit</t>
        </is>
      </c>
      <c r="E5202" s="2">
        <f>HYPERLINK("https://www.amazon.com/Diablo-SDS-Plus-4-Cutter-Carbide-Hammer/dp/B089KWVTD3/ref=sr_1_5?keywords=Diablo+Tools+DMAPL4140+3%2F8+in.+x+4+in.+x+6+in.+Rebar+Demon%E2%84%A2+SDS-Plus+4-Cutter+Full+Carbide+Head+Hammer+Bit&amp;qid=1694735296&amp;sr=8-5", "https://www.amazon.com/Diablo-SDS-Plus-4-Cutter-Carbide-Hammer/dp/B089KWVTD3/ref=sr_1_5?keywords=Diablo+Tools+DMAPL4140+3%2F8+in.+x+4+in.+x+6+in.+Rebar+Demon%E2%84%A2+SDS-Plus+4-Cutter+Full+Carbide+Head+Hammer+Bit&amp;qid=1694735296&amp;sr=8-5")</f>
        <v/>
      </c>
      <c r="F5202" t="inlineStr">
        <is>
          <t>B089KWVTD3</t>
        </is>
      </c>
      <c r="G5202">
        <f>_xludf.IMAGE("https://edmondsonsupply.com/cdn/shop/products/DMAPL4140_Main-Image20200701.png?v=1633030360")</f>
        <v/>
      </c>
      <c r="H5202">
        <f>_xludf.IMAGE("https://m.media-amazon.com/images/I/61IkB-DVS1L._AC_UL320_.jpg")</f>
        <v/>
      </c>
      <c r="K5202" t="inlineStr">
        <is>
          <t>7.29</t>
        </is>
      </c>
      <c r="L5202" t="n">
        <v>9.5</v>
      </c>
      <c r="M5202" s="1" t="inlineStr">
        <is>
          <t>30.32%</t>
        </is>
      </c>
      <c r="N5202" s="1" t="n">
        <v>-65.84</v>
      </c>
      <c r="O5202" t="n">
        <v>4.7</v>
      </c>
      <c r="P5202" t="n">
        <v>4</v>
      </c>
      <c r="R5202" t="inlineStr">
        <is>
          <t>InStock</t>
        </is>
      </c>
      <c r="S5202" t="inlineStr">
        <is>
          <t>undefined</t>
        </is>
      </c>
      <c r="T5202" t="inlineStr">
        <is>
          <t>5286771949736</t>
        </is>
      </c>
    </row>
    <row r="5203" hidden="1" ht="15.75" customHeight="1">
      <c r="A5203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5203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5203" t="inlineStr">
        <is>
          <t>Diablo Tools DMAPL4160 3/8 in. x 10 in. x 12 in. Rebar Demon™ SDS-Plus 4-Cutter Full Carbide Head Hammer Bit</t>
        </is>
      </c>
      <c r="D5203" t="inlineStr">
        <is>
          <t>Diablo DMAPL4120 5/16 in. x 10 in. x 12 in. Rebar Demon™ SDS-Plus 4-Cutter Full Carbide Head Hammer Bit</t>
        </is>
      </c>
      <c r="E5203" s="2">
        <f>HYPERLINK("https://www.amazon.com/Diablo-SDS-Plus-4-Cutter-Carbide-Hammer/dp/B089KTHL12/ref=sr_1_3?keywords=Diablo+Tools+DMAPL4160+3%2F8+in.+x+10+in.+x+12+in.+Rebar+Demon%E2%84%A2+SDS-Plus+4-Cutter+Full+Carbide+Head+Hammer+Bit&amp;qid=1694735304&amp;sr=8-3", "https://www.amazon.com/Diablo-SDS-Plus-4-Cutter-Carbide-Hammer/dp/B089KTHL12/ref=sr_1_3?keywords=Diablo+Tools+DMAPL4160+3%2F8+in.+x+10+in.+x+12+in.+Rebar+Demon%E2%84%A2+SDS-Plus+4-Cutter+Full+Carbide+Head+Hammer+Bit&amp;qid=1694735304&amp;sr=8-3")</f>
        <v/>
      </c>
      <c r="F5203" t="inlineStr">
        <is>
          <t>B089KTHL12</t>
        </is>
      </c>
      <c r="G5203">
        <f>_xludf.IMAGE("https://edmondsonsupply.com/cdn/shop/products/w7y3zlfom8dhrlplcmqa.webp?v=1670439058")</f>
        <v/>
      </c>
      <c r="H5203">
        <f>_xludf.IMAGE("https://m.media-amazon.com/images/I/61P8b1v1TBL._AC_UL320_.jpg")</f>
        <v/>
      </c>
      <c r="K5203" t="inlineStr">
        <is>
          <t>9.97</t>
        </is>
      </c>
      <c r="L5203" t="n">
        <v>12.99</v>
      </c>
      <c r="M5203" s="1" t="inlineStr">
        <is>
          <t>30.29%</t>
        </is>
      </c>
      <c r="N5203" s="1" t="n">
        <v>-65.84999999999999</v>
      </c>
      <c r="O5203" t="n">
        <v>5</v>
      </c>
      <c r="P5203" t="n">
        <v>6</v>
      </c>
      <c r="R5203" t="inlineStr">
        <is>
          <t>InStock</t>
        </is>
      </c>
      <c r="S5203" t="inlineStr">
        <is>
          <t>15.02</t>
        </is>
      </c>
      <c r="T5203" t="inlineStr">
        <is>
          <t>5286778601640</t>
        </is>
      </c>
    </row>
    <row r="5204" hidden="1" ht="15.75" customHeight="1">
      <c r="A5204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5204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5204" t="inlineStr">
        <is>
          <t>Diablo Tools DMAPL4180 1/2 in. x 4 in. x 6 in. Rebar Demon™ SDS-Plus 4-Cutter Full Carbide Head Hammer Bit</t>
        </is>
      </c>
      <c r="D5204" t="inlineStr">
        <is>
          <t>Diablo DMAPL4120 5/16 in. x 10 in. x 12 in. Rebar Demon™ SDS-Plus 4-Cutter Full Carbide Head Hammer Bit</t>
        </is>
      </c>
      <c r="E5204" s="2">
        <f>HYPERLINK("https://www.amazon.com/Diablo-SDS-Plus-4-Cutter-Carbide-Hammer/dp/B089KTHL12/ref=sr_1_32?keywords=Diablo+Tools+DMAPL4180+1%2F2+in.+x+4+in.+x+6+in.+Rebar+Demon%E2%84%A2+SDS-Plus+4-Cutter+Full+Carbide+Head+Hammer+Bit&amp;qid=1694735298&amp;sr=8-32", "https://www.amazon.com/Diablo-SDS-Plus-4-Cutter-Carbide-Hammer/dp/B089KTHL12/ref=sr_1_32?keywords=Diablo+Tools+DMAPL4180+1%2F2+in.+x+4+in.+x+6+in.+Rebar+Demon%E2%84%A2+SDS-Plus+4-Cutter+Full+Carbide+Head+Hammer+Bit&amp;qid=1694735298&amp;sr=8-32")</f>
        <v/>
      </c>
      <c r="F5204" t="inlineStr">
        <is>
          <t>B089KTHL12</t>
        </is>
      </c>
      <c r="G5204">
        <f>_xludf.IMAGE("https://edmondsonsupply.com/cdn/shop/products/DMAPL4180_Main-Image20200702.png?v=1633030362")</f>
        <v/>
      </c>
      <c r="H5204">
        <f>_xludf.IMAGE("https://m.media-amazon.com/images/I/61P8b1v1TBL._AC_UL320_.jpg")</f>
        <v/>
      </c>
      <c r="K5204" t="inlineStr">
        <is>
          <t>9.97</t>
        </is>
      </c>
      <c r="L5204" t="n">
        <v>12.99</v>
      </c>
      <c r="M5204" s="1" t="inlineStr">
        <is>
          <t>30.29%</t>
        </is>
      </c>
      <c r="N5204" s="1" t="n">
        <v>-66</v>
      </c>
      <c r="O5204" t="n">
        <v>5</v>
      </c>
      <c r="P5204" t="n">
        <v>6</v>
      </c>
      <c r="R5204" t="inlineStr">
        <is>
          <t>InStock</t>
        </is>
      </c>
      <c r="S5204" t="inlineStr">
        <is>
          <t>undefined</t>
        </is>
      </c>
      <c r="T5204" t="inlineStr">
        <is>
          <t>5286803833000</t>
        </is>
      </c>
    </row>
    <row r="5205" ht="87" customHeight="1">
      <c r="A5205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5205" s="2">
        <f>HYPERLINK("https://edmondsonsupply.com/products/klein-tools-d203-8-pliers-long-nose-side-cutters-8-inch", "https://edmondsonsupply.com/products/klein-tools-d203-8-pliers-long-nose-side-cutters-8-inch")</f>
        <v/>
      </c>
      <c r="C5205" t="inlineStr">
        <is>
          <t>Klein Tools D203-8 Pliers, Needle Nose Side-Cutters, 8-Inch</t>
        </is>
      </c>
      <c r="D5205" t="inlineStr">
        <is>
          <t>Klein Tools D203-8-GLW Long Nose Pliers, Hi-Viz Glow In the Dark Pliers with Extended Grips For Reach and Leverage, 8-Inch</t>
        </is>
      </c>
      <c r="E5205" s="2">
        <f>HYPERLINK("https://www.amazon.com/Klein-Tools-D203-8-GLW-Pliers-Side-Cutters/dp/B00LMM7PQW/ref=sr_1_9?keywords=Klein+Tools+D203-8+Pliers%2C+Needle+Nose+Side-Cutters%2C+8-Inch&amp;qid=1694735240&amp;sr=8-9", "https://www.amazon.com/Klein-Tools-D203-8-GLW-Pliers-Side-Cutters/dp/B00LMM7PQW/ref=sr_1_9?keywords=Klein+Tools+D203-8+Pliers%2C+Needle+Nose+Side-Cutters%2C+8-Inch&amp;qid=1694735240&amp;sr=8-9")</f>
        <v/>
      </c>
      <c r="F5205" t="inlineStr">
        <is>
          <t>B00LMM7PQW</t>
        </is>
      </c>
      <c r="G5205">
        <f>_xlfn.IMAGE("https://edmondsonsupply.com/cdn/shop/products/d2038.jpg?v=1633030802")</f>
        <v/>
      </c>
      <c r="H5205">
        <f>_xlfn.IMAGE("https://m.media-amazon.com/images/I/31OOul3AcML._AC_UL320_.jpg")</f>
        <v/>
      </c>
      <c r="K5205" t="inlineStr">
        <is>
          <t>29.97</t>
        </is>
      </c>
      <c r="L5205" t="n">
        <v>39.04</v>
      </c>
      <c r="M5205" s="1" t="inlineStr">
        <is>
          <t>30.26%</t>
        </is>
      </c>
      <c r="N5205" s="7" t="n">
        <v>-66</v>
      </c>
      <c r="O5205" t="n">
        <v>4.8</v>
      </c>
      <c r="P5205" t="n">
        <v>560</v>
      </c>
      <c r="R5205" t="inlineStr">
        <is>
          <t>InStock</t>
        </is>
      </c>
      <c r="S5205" t="inlineStr">
        <is>
          <t>44.84</t>
        </is>
      </c>
      <c r="T5205" t="inlineStr">
        <is>
          <t>6005724577960</t>
        </is>
      </c>
    </row>
    <row r="5206" hidden="1" ht="15.75" customHeight="1">
      <c r="A5206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5206" s="2">
        <f>HYPERLINK("https://edmondsonsupply.com/products/klein-tools-s8-1-4-inch-hollow-shaft-nut-driver-3-inch-shaft", "https://edmondsonsupply.com/products/klein-tools-s8-1-4-inch-hollow-shaft-nut-driver-3-inch-shaft")</f>
        <v/>
      </c>
      <c r="C5206" t="inlineStr">
        <is>
          <t>Klein Tools S8 1/4-Inch Hollow Shaft Nut Driver, 3-Inch Shaft</t>
        </is>
      </c>
      <c r="D5206" t="inlineStr">
        <is>
          <t>Klein Tools 610-1/4M 1/4-Inch Magnetic Nut Driver with 1-1/2-Inch Hollow Shaft and Cushion Grip Handle</t>
        </is>
      </c>
      <c r="E5206" s="2">
        <f>HYPERLINK("https://www.amazon.com/Magnetic-Cushion-Klein-610-1-4M/dp/B00093GE3A/ref=sr_1_7?keywords=Klein+Tools+S8+1%2F4-Inch+Hollow+Shaft+Nut+Driver%2C+3-Inch+Shaft&amp;qid=1694735248&amp;sr=8-7", "https://www.amazon.com/Magnetic-Cushion-Klein-610-1-4M/dp/B00093GE3A/ref=sr_1_7?keywords=Klein+Tools+S8+1%2F4-Inch+Hollow+Shaft+Nut+Driver%2C+3-Inch+Shaft&amp;qid=1694735248&amp;sr=8-7")</f>
        <v/>
      </c>
      <c r="F5206" t="inlineStr">
        <is>
          <t>B00093GE3A</t>
        </is>
      </c>
      <c r="G5206">
        <f>_xludf.IMAGE("https://edmondsonsupply.com/cdn/shop/products/s10.jpg?v=1633030797")</f>
        <v/>
      </c>
      <c r="H5206">
        <f>_xludf.IMAGE("https://m.media-amazon.com/images/I/41piyjqJVeL._AC_UL320_.jpg")</f>
        <v/>
      </c>
      <c r="K5206" t="inlineStr">
        <is>
          <t>7.29</t>
        </is>
      </c>
      <c r="L5206" t="n">
        <v>9.49</v>
      </c>
      <c r="M5206" s="1" t="inlineStr">
        <is>
          <t>30.18%</t>
        </is>
      </c>
      <c r="N5206" s="1" t="n">
        <v>-66</v>
      </c>
      <c r="O5206" t="n">
        <v>4.7</v>
      </c>
      <c r="P5206" t="n">
        <v>258</v>
      </c>
      <c r="R5206" t="inlineStr">
        <is>
          <t>InStock</t>
        </is>
      </c>
      <c r="S5206" t="inlineStr">
        <is>
          <t>10.74</t>
        </is>
      </c>
      <c r="T5206" t="inlineStr">
        <is>
          <t>6000424485032</t>
        </is>
      </c>
    </row>
    <row r="5207" ht="87" customHeight="1">
      <c r="A5207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5207" s="2">
        <f>HYPERLINK("https://edmondsonsupply.com/products/klein-tools-ncvt1xt-non-contact-voltage-tester-70-to-1000v-ac", "https://edmondsonsupply.com/products/klein-tools-ncvt1xt-non-contact-voltage-tester-70-to-1000v-ac")</f>
        <v/>
      </c>
      <c r="C5207" t="inlineStr">
        <is>
          <t>Klein Tools NCVT1XT Non-Contact Voltage Tester, 70 to 1000V AC</t>
        </is>
      </c>
      <c r="D5207" t="inlineStr">
        <is>
          <t>Klein Tools 80097 Beginner Tester Kit with GFCI Outlet and Receptacle Tester, Electronic Voltage Tester, Non-Contact Voltage Tester, 3-Piece Red</t>
        </is>
      </c>
      <c r="E5207" s="2">
        <f>HYPERLINK("https://www.amazon.com/Klein-Tools-80097-Beginner-3-Piece/dp/B0B7Z178B1/ref=sr_1_38?keywords=Klein+Tools+NCVT1XT+Non-Contact+Voltage+Tester%2C+70+to+1000V+AC&amp;qid=1694735046&amp;sr=8-38", "https://www.amazon.com/Klein-Tools-80097-Beginner-3-Piece/dp/B0B7Z178B1/ref=sr_1_38?keywords=Klein+Tools+NCVT1XT+Non-Contact+Voltage+Tester%2C+70+to+1000V+AC&amp;qid=1694735046&amp;sr=8-38")</f>
        <v/>
      </c>
      <c r="F5207" t="inlineStr">
        <is>
          <t>B0B7Z178B1</t>
        </is>
      </c>
      <c r="G5207">
        <f>_xlfn.IMAGE("https://edmondsonsupply.com/cdn/shop/products/ncvt1xt.jpg?v=1674496568")</f>
        <v/>
      </c>
      <c r="H5207">
        <f>_xlfn.IMAGE("https://m.media-amazon.com/images/I/51TWbZ0INyL._AC_UL320_.jpg")</f>
        <v/>
      </c>
      <c r="K5207" t="inlineStr">
        <is>
          <t>19.97</t>
        </is>
      </c>
      <c r="L5207" t="n">
        <v>25.99</v>
      </c>
      <c r="M5207" s="1" t="inlineStr">
        <is>
          <t>30.15%</t>
        </is>
      </c>
      <c r="N5207" s="7" t="n">
        <v>-66.28</v>
      </c>
      <c r="O5207" t="n">
        <v>4.7</v>
      </c>
      <c r="P5207" t="n">
        <v>118</v>
      </c>
      <c r="R5207" t="inlineStr">
        <is>
          <t>InStock</t>
        </is>
      </c>
      <c r="S5207" t="inlineStr">
        <is>
          <t>26.32</t>
        </is>
      </c>
      <c r="T5207" t="inlineStr">
        <is>
          <t>7931947155672</t>
        </is>
      </c>
    </row>
    <row r="5208" ht="87" customHeight="1">
      <c r="A5208" s="2">
        <f>HYPERLINK("https://edmondsonsupply.com/collections/electricians-tools/products/channellock-528", "https://edmondsonsupply.com/collections/electricians-tools/products/channellock-528")</f>
        <v/>
      </c>
      <c r="B5208" s="2">
        <f>HYPERLINK("https://edmondsonsupply.com/products/channellock-528", "https://edmondsonsupply.com/products/channellock-528")</f>
        <v/>
      </c>
      <c r="C5208" t="inlineStr">
        <is>
          <t>Channellock 528 8-Inch Slip Joint Pliers</t>
        </is>
      </c>
      <c r="D5208" t="inlineStr">
        <is>
          <t>Channellock 528 8 Inch Slip Joint Plier, New</t>
        </is>
      </c>
      <c r="E5208" s="2">
        <f>HYPERLINK("https://www.amazon.com/Channellock-528-Inch-Joint-Plier/dp/B01LXTIG5W/ref=sr_1_2?keywords=Channellock+528+8-Inch+Slip+Joint+Pliers&amp;qid=1694735315&amp;sr=8-2", "https://www.amazon.com/Channellock-528-Inch-Joint-Plier/dp/B01LXTIG5W/ref=sr_1_2?keywords=Channellock+528+8-Inch+Slip+Joint+Pliers&amp;qid=1694735315&amp;sr=8-2")</f>
        <v/>
      </c>
      <c r="F5208" t="inlineStr">
        <is>
          <t>B01LXTIG5W</t>
        </is>
      </c>
      <c r="G5208">
        <f>_xlfn.IMAGE("https://edmondsonsupply.com/cdn/shop/products/528-683x1024.jpg?v=1633030323")</f>
        <v/>
      </c>
      <c r="H5208">
        <f>_xlfn.IMAGE("https://m.media-amazon.com/images/I/51w+o8S0zRL._AC_UL320_.jpg")</f>
        <v/>
      </c>
      <c r="K5208" t="inlineStr">
        <is>
          <t>12.95</t>
        </is>
      </c>
      <c r="L5208" t="n">
        <v>16.85</v>
      </c>
      <c r="M5208" s="1" t="inlineStr">
        <is>
          <t>30.12%</t>
        </is>
      </c>
      <c r="N5208" s="7" t="n">
        <v>-66.56999999999999</v>
      </c>
      <c r="O5208" t="n">
        <v>4.5</v>
      </c>
      <c r="P5208" t="n">
        <v>9</v>
      </c>
      <c r="R5208" t="inlineStr">
        <is>
          <t>InStock</t>
        </is>
      </c>
      <c r="S5208" t="inlineStr">
        <is>
          <t>17.55</t>
        </is>
      </c>
      <c r="T5208" t="inlineStr">
        <is>
          <t>5245868966056</t>
        </is>
      </c>
    </row>
    <row r="5209" ht="87" customHeight="1">
      <c r="A5209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5209" s="2">
        <f>HYPERLINK("https://edmondsonsupply.com/products/klein-tools-d203-8-pliers-long-nose-side-cutters-8-inch", "https://edmondsonsupply.com/products/klein-tools-d203-8-pliers-long-nose-side-cutters-8-inch")</f>
        <v/>
      </c>
      <c r="C5209" t="inlineStr">
        <is>
          <t>Klein Tools D203-8 Pliers, Needle Nose Side-Cutters, 8-Inch</t>
        </is>
      </c>
      <c r="D5209" t="inlineStr">
        <is>
          <t>Klein Tools D2000-8 Pliers, 8-Inch Side Cutters, High Leverage Lineman's Pliers Cut ACSR, Screws, Nails, Hard Wire</t>
        </is>
      </c>
      <c r="E5209" s="2">
        <f>HYPERLINK("https://www.amazon.com/Cutters-High-Leverage-Cutting-Klein-D2000-8/dp/B00093D4Q0/ref=sr_1_24?keywords=Klein+Tools+D203-8+Pliers%2C+Needle+Nose+Side-Cutters%2C+8-Inch&amp;qid=1694735240&amp;sr=8-24", "https://www.amazon.com/Cutters-High-Leverage-Cutting-Klein-D2000-8/dp/B00093D4Q0/ref=sr_1_24?keywords=Klein+Tools+D203-8+Pliers%2C+Needle+Nose+Side-Cutters%2C+8-Inch&amp;qid=1694735240&amp;sr=8-24")</f>
        <v/>
      </c>
      <c r="F5209" t="inlineStr">
        <is>
          <t>B00093D4Q0</t>
        </is>
      </c>
      <c r="G5209">
        <f>_xlfn.IMAGE("https://edmondsonsupply.com/cdn/shop/products/d2038.jpg?v=1633030802")</f>
        <v/>
      </c>
      <c r="H5209">
        <f>_xlfn.IMAGE("https://m.media-amazon.com/images/I/41aQv-4-6+L._AC_UL320_.jpg")</f>
        <v/>
      </c>
      <c r="K5209" t="inlineStr">
        <is>
          <t>29.97</t>
        </is>
      </c>
      <c r="L5209" t="n">
        <v>38.99</v>
      </c>
      <c r="M5209" s="1" t="inlineStr">
        <is>
          <t>30.10%</t>
        </is>
      </c>
      <c r="N5209" s="7" t="n">
        <v>-66.67</v>
      </c>
      <c r="O5209" t="n">
        <v>4.3</v>
      </c>
      <c r="P5209" t="n">
        <v>84</v>
      </c>
      <c r="R5209" t="inlineStr">
        <is>
          <t>InStock</t>
        </is>
      </c>
      <c r="S5209" t="inlineStr">
        <is>
          <t>44.84</t>
        </is>
      </c>
      <c r="T5209" t="inlineStr">
        <is>
          <t>6005724577960</t>
        </is>
      </c>
    </row>
    <row r="5210" ht="87" customHeight="1">
      <c r="A5210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5210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5210" t="inlineStr">
        <is>
          <t>Klein Tools NCVT-3P Dual Range Non-Contact Voltage Tester with Flashlight, 12 - 1000V AC</t>
        </is>
      </c>
      <c r="D5210" t="inlineStr">
        <is>
          <t>Klein Tools NCVT-3 Voltage Tester, Non-Contact Dual Range Voltage Tester Pen for AC Testing with Integrated Flashlight</t>
        </is>
      </c>
      <c r="E5210" s="2">
        <f>HYPERLINK("https://www.amazon.com/Non-Contact-Voltage-Flashlight-Klein-Tools/dp/B00XJQ9ZE4/ref=sr_1_4?keywords=Klein+Tools+NCVT-3P+Dual+Range+Non-Contact+Voltage+Tester+with+Flashlight%2C+12+-+1000V+AC&amp;qid=1694735337&amp;sr=8-4", "https://www.amazon.com/Non-Contact-Voltage-Flashlight-Klein-Tools/dp/B00XJQ9ZE4/ref=sr_1_4?keywords=Klein+Tools+NCVT-3P+Dual+Range+Non-Contact+Voltage+Tester+with+Flashlight%2C+12+-+1000V+AC&amp;qid=1694735337&amp;sr=8-4")</f>
        <v/>
      </c>
      <c r="F5210" t="inlineStr">
        <is>
          <t>B00XJQ9ZE4</t>
        </is>
      </c>
      <c r="G5210">
        <f>_xlfn.IMAGE("https://edmondsonsupply.com/cdn/shop/products/ncvt3p.jpg?v=1633030219")</f>
        <v/>
      </c>
      <c r="H5210">
        <f>_xlfn.IMAGE("https://m.media-amazon.com/images/I/51dcyyMwUjL._AC_UL320_.jpg")</f>
        <v/>
      </c>
      <c r="K5210" t="inlineStr">
        <is>
          <t>29.97</t>
        </is>
      </c>
      <c r="L5210" t="n">
        <v>38.99</v>
      </c>
      <c r="M5210" s="1" t="inlineStr">
        <is>
          <t>30.10%</t>
        </is>
      </c>
      <c r="N5210" s="7" t="n">
        <v>-66.67</v>
      </c>
      <c r="O5210" t="n">
        <v>4.5</v>
      </c>
      <c r="P5210" t="n">
        <v>1679</v>
      </c>
      <c r="R5210" t="inlineStr">
        <is>
          <t>InStock</t>
        </is>
      </c>
      <c r="S5210" t="inlineStr">
        <is>
          <t>40.36</t>
        </is>
      </c>
      <c r="T5210" t="inlineStr">
        <is>
          <t>4505582174308</t>
        </is>
      </c>
    </row>
    <row r="5211" hidden="1" ht="15.75" customHeight="1">
      <c r="A5211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5211" s="2">
        <f>HYPERLINK("https://edmondsonsupply.com/products/klein-tools-rt110-receptacle-tester", "https://edmondsonsupply.com/products/klein-tools-rt110-receptacle-tester")</f>
        <v/>
      </c>
      <c r="C5211" t="inlineStr">
        <is>
          <t>Klein Tools RT110 Receptacle Tester</t>
        </is>
      </c>
      <c r="D5211" t="inlineStr">
        <is>
          <t>Klein Tools RT210 Outlet Tester, Receptacle Tester for GFCI / Standard North American AC Electrical Outlets, Detects Common Wiring Problems, Pack of 1, Factory</t>
        </is>
      </c>
      <c r="E5211" s="2">
        <f>HYPERLINK("https://www.amazon.com/Receptacle-Tester-Klein-Tools-RT210/dp/B01AKX8L0M/ref=sr_1_6?keywords=Klein+Tools+RT110+Receptacle+Tester&amp;qid=1694735205&amp;sr=8-6", "https://www.amazon.com/Receptacle-Tester-Klein-Tools-RT210/dp/B01AKX8L0M/ref=sr_1_6?keywords=Klein+Tools+RT110+Receptacle+Tester&amp;qid=1694735205&amp;sr=8-6")</f>
        <v/>
      </c>
      <c r="F5211" t="inlineStr">
        <is>
          <t>B01AKX8L0M</t>
        </is>
      </c>
      <c r="G5211">
        <f>_xludf.IMAGE("https://edmondsonsupply.com/cdn/shop/products/rt110.jpg?v=1633031036")</f>
        <v/>
      </c>
      <c r="H5211">
        <f>_xludf.IMAGE("https://m.media-amazon.com/images/I/5143f577xkL._AC_UL320_.jpg")</f>
        <v/>
      </c>
      <c r="K5211" t="inlineStr">
        <is>
          <t>9.97</t>
        </is>
      </c>
      <c r="L5211" t="n">
        <v>12.97</v>
      </c>
      <c r="M5211" s="1" t="inlineStr">
        <is>
          <t>30.09%</t>
        </is>
      </c>
      <c r="N5211" s="1" t="n">
        <v>-66.67</v>
      </c>
      <c r="O5211" t="n">
        <v>4.8</v>
      </c>
      <c r="P5211" t="n">
        <v>7911</v>
      </c>
      <c r="R5211" t="inlineStr">
        <is>
          <t>InStock</t>
        </is>
      </c>
      <c r="S5211" t="inlineStr">
        <is>
          <t>12.12</t>
        </is>
      </c>
      <c r="T5211" t="inlineStr">
        <is>
          <t>6740486619309</t>
        </is>
      </c>
    </row>
    <row r="5212" ht="87" customHeight="1">
      <c r="A5212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5212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5212" t="inlineStr">
        <is>
          <t>Klein Tools 69149P Test Kit with Multimeter, Non-Contact Volt Tester, Receptacle Tester</t>
        </is>
      </c>
      <c r="D5212" t="inlineStr">
        <is>
          <t>Klein Tools 81021 Electrical Tester Tool Kit with Multimeter, Non-Contact Voltage Pen, Receptacle Tester, Wire Stripper / Cutter, 4-Piece, Orange</t>
        </is>
      </c>
      <c r="E5212" s="2">
        <f>HYPERLINK("https://www.amazon.com/Klein-Tools-81021-Electrical-Non-Contact/dp/B09N5598J2/ref=sr_1_8?keywords=Klein+Tools+69149P+Test+Kit+with+Multimeter%2C+Non-Contact+Volt+Tester%2C+Receptacle+Tester&amp;qid=1694735230&amp;sr=8-8", "https://www.amazon.com/Klein-Tools-81021-Electrical-Non-Contact/dp/B09N5598J2/ref=sr_1_8?keywords=Klein+Tools+69149P+Test+Kit+with+Multimeter%2C+Non-Contact+Volt+Tester%2C+Receptacle+Tester&amp;qid=1694735230&amp;sr=8-8")</f>
        <v/>
      </c>
      <c r="F5212" t="inlineStr">
        <is>
          <t>B09N5598J2</t>
        </is>
      </c>
      <c r="G5212">
        <f>_xlfn.IMAGE("https://edmondsonsupply.com/cdn/shop/products/69149p.jpg?v=1664479017")</f>
        <v/>
      </c>
      <c r="H5212">
        <f>_xlfn.IMAGE("https://m.media-amazon.com/images/I/61J5iWONbvL._AC_UL320_.jpg")</f>
        <v/>
      </c>
      <c r="K5212" t="inlineStr">
        <is>
          <t>39.97</t>
        </is>
      </c>
      <c r="L5212" t="n">
        <v>51.99</v>
      </c>
      <c r="M5212" s="1" t="inlineStr">
        <is>
          <t>30.07%</t>
        </is>
      </c>
      <c r="N5212" s="7" t="n">
        <v>-66.90000000000001</v>
      </c>
      <c r="O5212" t="n">
        <v>4.8</v>
      </c>
      <c r="P5212" t="n">
        <v>39</v>
      </c>
      <c r="R5212" t="inlineStr">
        <is>
          <t>InStock</t>
        </is>
      </c>
      <c r="S5212" t="inlineStr">
        <is>
          <t>63.9</t>
        </is>
      </c>
      <c r="T5212" t="inlineStr">
        <is>
          <t>6584860606637</t>
        </is>
      </c>
    </row>
    <row r="5213" ht="87" customHeight="1">
      <c r="A5213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5213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5213" t="inlineStr">
        <is>
          <t>Klein Tools 32288 8-in-1 Insulated Interchangeable Screwdriver Set</t>
        </is>
      </c>
      <c r="D5213" t="inlineStr">
        <is>
          <t>Klein Tools 32288 Insulated Screwdriver, 8-in-1 Screwdriver Set &amp; 32614 Multi-bit Precision Screwdriver Set, 4-in-1 Electronics Pocket Screwdriver, Professional Phillips and Slotted Bits</t>
        </is>
      </c>
      <c r="E5213" s="2">
        <f>HYPERLINK("https://www.amazon.com/Klein-Tools-Screwdriver-Electronics-Professional/dp/B08ZNNTYGQ/ref=sr_1_8?keywords=Klein+Tools+32288+8-in-1+Insulated+Interchangeable+Screwdriver+Set&amp;qid=1694734974&amp;sr=8-8", "https://www.amazon.com/Klein-Tools-Screwdriver-Electronics-Professional/dp/B08ZNNTYGQ/ref=sr_1_8?keywords=Klein+Tools+32288+8-in-1+Insulated+Interchangeable+Screwdriver+Set&amp;qid=1694734974&amp;sr=8-8")</f>
        <v/>
      </c>
      <c r="F5213" t="inlineStr">
        <is>
          <t>B08ZNNTYGQ</t>
        </is>
      </c>
      <c r="G5213">
        <f>_xlfn.IMAGE("https://edmondsonsupply.com/cdn/shop/products/32288.jpg?v=1587146849")</f>
        <v/>
      </c>
      <c r="H5213">
        <f>_xlfn.IMAGE("https://m.media-amazon.com/images/I/51WylgorVyS._AC_UL320_.jpg")</f>
        <v/>
      </c>
      <c r="K5213" t="inlineStr">
        <is>
          <t>49.99</t>
        </is>
      </c>
      <c r="L5213" t="n">
        <v>65.02</v>
      </c>
      <c r="M5213" s="1" t="inlineStr">
        <is>
          <t>30.07%</t>
        </is>
      </c>
      <c r="N5213" s="7" t="n">
        <v>-67.01000000000001</v>
      </c>
      <c r="O5213" t="n">
        <v>4.4</v>
      </c>
      <c r="P5213" t="n">
        <v>4</v>
      </c>
      <c r="R5213" t="inlineStr">
        <is>
          <t>InStock</t>
        </is>
      </c>
      <c r="S5213" t="inlineStr">
        <is>
          <t>69.98</t>
        </is>
      </c>
      <c r="T5213" t="inlineStr">
        <is>
          <t>4094849613924</t>
        </is>
      </c>
    </row>
    <row r="5214" hidden="1" ht="15.75" customHeight="1">
      <c r="A5214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5214" s="2">
        <f>HYPERLINK("https://edmondsonsupply.com/products/klein-tools-vaco-s10m-5-16-magnetic-nut-driver-3-hollow-shaft", "https://edmondsonsupply.com/products/klein-tools-vaco-s10m-5-16-magnetic-nut-driver-3-hollow-shaft")</f>
        <v/>
      </c>
      <c r="C5214" t="inlineStr">
        <is>
          <t>Klein Tools S10M 5/16-Inch Magnetic Nut Driver 3-Inch Shaft</t>
        </is>
      </c>
      <c r="D5214" t="inlineStr">
        <is>
          <t>Klein Tools 640-7/16 7/16-Inch Coated Nut Driver with 3-Inch Hollow Shaft and Cushion Grip Handle</t>
        </is>
      </c>
      <c r="E5214" s="2">
        <f>HYPERLINK("https://www.amazon.com/16-Inch-Klein-Tools-640-7-16/dp/B00093DZYG/ref=sr_1_27?keywords=Klein+Tools+S10M+5%2F16-Inch+Magnetic+Nut+Driver+3-Inch+Shaft&amp;qid=1694735002&amp;sr=8-27", "https://www.amazon.com/16-Inch-Klein-Tools-640-7-16/dp/B00093DZYG/ref=sr_1_27?keywords=Klein+Tools+S10M+5%2F16-Inch+Magnetic+Nut+Driver+3-Inch+Shaft&amp;qid=1694735002&amp;sr=8-27")</f>
        <v/>
      </c>
      <c r="F5214" t="inlineStr">
        <is>
          <t>B00093DZYG</t>
        </is>
      </c>
      <c r="G5214">
        <f>_xludf.IMAGE("https://edmondsonsupply.com/cdn/shop/products/s10m_alt2.jpg?v=1587143022")</f>
        <v/>
      </c>
      <c r="H5214">
        <f>_xludf.IMAGE("https://m.media-amazon.com/images/I/61eCMBwqqTL._AC_UL320_.jpg")</f>
        <v/>
      </c>
      <c r="K5214" t="inlineStr">
        <is>
          <t>9.99</t>
        </is>
      </c>
      <c r="L5214" t="n">
        <v>12.99</v>
      </c>
      <c r="M5214" s="1" t="inlineStr">
        <is>
          <t>30.03%</t>
        </is>
      </c>
      <c r="N5214" s="1" t="n">
        <v>-67.09999999999999</v>
      </c>
      <c r="O5214" t="n">
        <v>4.1</v>
      </c>
      <c r="P5214" t="n">
        <v>20</v>
      </c>
      <c r="R5214" t="inlineStr">
        <is>
          <t>InStock</t>
        </is>
      </c>
      <c r="S5214" t="inlineStr">
        <is>
          <t>15.08</t>
        </is>
      </c>
      <c r="T5214" t="inlineStr">
        <is>
          <t>2767113125988</t>
        </is>
      </c>
    </row>
    <row r="5215" ht="87" customHeight="1">
      <c r="A5215" s="2">
        <f>HYPERLINK("https://edmondsonsupply.com/collections/electricians-tools/products/tajima-gkb-g210-g-saw%E2%84%A2-replacement-blade", "https://edmondsonsupply.com/collections/electricians-tools/products/tajima-gkb-g210-g-saw%E2%84%A2-replacement-blade")</f>
        <v/>
      </c>
      <c r="B5215" s="2">
        <f>HYPERLINK("https://edmondsonsupply.com/products/tajima-gkb-g210-g-saw%e2%84%a2-replacement-blade", "https://edmondsonsupply.com/products/tajima-gkb-g210-g-saw%e2%84%a2-replacement-blade")</f>
        <v/>
      </c>
      <c r="C5215" t="inlineStr">
        <is>
          <t>Tajima GKB-G210 G-Saw™ Replacement Blade</t>
        </is>
      </c>
      <c r="D5215" t="inlineStr">
        <is>
          <t>Tajima GKBG210 Blade for Aluminist/G-Saw, Silver, 210 mm</t>
        </is>
      </c>
      <c r="E5215" s="2">
        <f>HYPERLINK("https://www.amazon.com/Tajima-GKBG210-GKB-G210-210/dp/B002FB73U2/ref=sr_1_3?keywords=Tajima+GKB-G210+G-Saw%E2%84%A2+Replacement+Blade&amp;qid=1694735155&amp;sr=8-3", "https://www.amazon.com/Tajima-GKBG210-GKB-G210-210/dp/B002FB73U2/ref=sr_1_3?keywords=Tajima+GKB-G210+G-Saw%E2%84%A2+Replacement+Blade&amp;qid=1694735155&amp;sr=8-3")</f>
        <v/>
      </c>
      <c r="F5215" t="inlineStr">
        <is>
          <t>B002FB73U2</t>
        </is>
      </c>
      <c r="G5215">
        <f>_xlfn.IMAGE("https://edmondsonsupply.com/cdn/shop/products/GKB-210.jpg?v=1655298927")</f>
        <v/>
      </c>
      <c r="H5215">
        <f>_xlfn.IMAGE("https://m.media-amazon.com/images/I/31VmD2qVw5L._AC_UL320_.jpg")</f>
        <v/>
      </c>
      <c r="K5215" t="inlineStr">
        <is>
          <t>12.69</t>
        </is>
      </c>
      <c r="L5215" t="n">
        <v>16.49</v>
      </c>
      <c r="M5215" s="1" t="inlineStr">
        <is>
          <t>29.94%</t>
        </is>
      </c>
      <c r="N5215" s="7" t="n">
        <v>-67.23999999999999</v>
      </c>
      <c r="O5215" t="n">
        <v>4.4</v>
      </c>
      <c r="P5215" t="n">
        <v>173</v>
      </c>
      <c r="R5215" t="inlineStr">
        <is>
          <t>InStock</t>
        </is>
      </c>
      <c r="S5215" t="inlineStr">
        <is>
          <t>12.69</t>
        </is>
      </c>
      <c r="T5215" t="inlineStr">
        <is>
          <t>7718380241112</t>
        </is>
      </c>
    </row>
    <row r="5216" ht="87" customHeight="1">
      <c r="A5216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5216" s="2">
        <f>HYPERLINK("https://edmondsonsupply.com/products/klein-tools-32800-6-in-1-multi-nut-driver-heavy-duty", "https://edmondsonsupply.com/products/klein-tools-32800-6-in-1-multi-nut-driver-heavy-duty")</f>
        <v/>
      </c>
      <c r="C5216" t="inlineStr">
        <is>
          <t>Klein Tools 32800 6-in-1 6-in-1 Multi-Bit Nut Driver, Heavy Duty</t>
        </is>
      </c>
      <c r="D5216" t="inlineStr">
        <is>
          <t>Klein Tools 32596 Multi-Bit Screwdriver/Nut Driver, 8-in-1 HVAC Slide Drive Tool with Magnetic Hex, Phillips, Schrader Bits.</t>
        </is>
      </c>
      <c r="E5216" s="2">
        <f>HYPERLINK("https://www.amazon.com/Screwdriver-Driver-Klein-Tools-32596/dp/B073R7RT1V/ref=sr_1_14?keywords=Klein+Tools+32800+6-in-1+6-in-1+Multi-Bit+Nut+Driver%2C+Heavy+Duty&amp;qid=1694735172&amp;sr=8-14", "https://www.amazon.com/Screwdriver-Driver-Klein-Tools-32596/dp/B073R7RT1V/ref=sr_1_14?keywords=Klein+Tools+32800+6-in-1+6-in-1+Multi-Bit+Nut+Driver%2C+Heavy+Duty&amp;qid=1694735172&amp;sr=8-14")</f>
        <v/>
      </c>
      <c r="F5216" t="inlineStr">
        <is>
          <t>B073R7RT1V</t>
        </is>
      </c>
      <c r="G5216">
        <f>_xlfn.IMAGE("https://edmondsonsupply.com/cdn/shop/products/32800_alt2.jpg?v=1646595019")</f>
        <v/>
      </c>
      <c r="H5216">
        <f>_xlfn.IMAGE("https://m.media-amazon.com/images/I/51mrDa5uZYL._AC_UL320_.jpg")</f>
        <v/>
      </c>
      <c r="K5216" t="inlineStr">
        <is>
          <t>29.99</t>
        </is>
      </c>
      <c r="L5216" t="n">
        <v>38.96</v>
      </c>
      <c r="M5216" s="1" t="inlineStr">
        <is>
          <t>29.91%</t>
        </is>
      </c>
      <c r="N5216" s="7" t="n">
        <v>-67.28</v>
      </c>
      <c r="O5216" t="n">
        <v>4.8</v>
      </c>
      <c r="P5216" t="n">
        <v>2259</v>
      </c>
      <c r="R5216" t="inlineStr">
        <is>
          <t>InStock</t>
        </is>
      </c>
      <c r="S5216" t="inlineStr">
        <is>
          <t>42.2</t>
        </is>
      </c>
      <c r="T5216" t="inlineStr">
        <is>
          <t>1723912519780</t>
        </is>
      </c>
    </row>
    <row r="5217" ht="87" customHeight="1">
      <c r="A5217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5217" s="2">
        <f>HYPERLINK("https://edmondsonsupply.com/products/klein-tools-56028-flashlight-with-worklight-led-flashlight", "https://edmondsonsupply.com/products/klein-tools-56028-flashlight-with-worklight-led-flashlight")</f>
        <v/>
      </c>
      <c r="C5217" t="inlineStr">
        <is>
          <t>Klein Tools 56028 LED Flashlight with Work Light</t>
        </is>
      </c>
      <c r="D5217" t="inlineStr">
        <is>
          <t>Blackfire - Klein Tools Outdoors - Rechargeable Weatherproof Magnetic Flashlight with Lantern BBM6412, 500 Lumens, Glow-in-Dark Ring with Removable Pocket Clip for Outdoor Use, Camping, Hunting, Work</t>
        </is>
      </c>
      <c r="E5217" s="2">
        <f>HYPERLINK("https://www.amazon.com/Blackfire-Rechargeable-Weatherproof-Flashlight-BBM6412/dp/B0973P55J1/ref=sr_1_10?keywords=Klein+Tools+56028+LED+Flashlight+with+Work+Light&amp;qid=1694735208&amp;sr=8-10", "https://www.amazon.com/Blackfire-Rechargeable-Weatherproof-Flashlight-BBM6412/dp/B0973P55J1/ref=sr_1_10?keywords=Klein+Tools+56028+LED+Flashlight+with+Work+Light&amp;qid=1694735208&amp;sr=8-10")</f>
        <v/>
      </c>
      <c r="F5217" t="inlineStr">
        <is>
          <t>B0973P55J1</t>
        </is>
      </c>
      <c r="G5217">
        <f>_xlfn.IMAGE("https://edmondsonsupply.com/cdn/shop/products/56028.jpg?v=1587148656")</f>
        <v/>
      </c>
      <c r="H5217">
        <f>_xlfn.IMAGE("https://m.media-amazon.com/images/I/613u02ZMfnL._AC_UL320_.jpg")</f>
        <v/>
      </c>
      <c r="K5217" t="inlineStr">
        <is>
          <t>26.97</t>
        </is>
      </c>
      <c r="L5217" t="n">
        <v>35</v>
      </c>
      <c r="M5217" s="1" t="inlineStr">
        <is>
          <t>29.77%</t>
        </is>
      </c>
      <c r="N5217" s="7" t="n">
        <v>-67.53</v>
      </c>
      <c r="O5217" t="n">
        <v>4.6</v>
      </c>
      <c r="P5217" t="n">
        <v>60</v>
      </c>
      <c r="R5217" t="inlineStr">
        <is>
          <t>InStock</t>
        </is>
      </c>
      <c r="S5217" t="inlineStr">
        <is>
          <t>41.04</t>
        </is>
      </c>
      <c r="T5217" t="inlineStr">
        <is>
          <t>1778913050724</t>
        </is>
      </c>
    </row>
    <row r="5218" ht="87" customHeight="1">
      <c r="A5218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218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218" t="inlineStr">
        <is>
          <t>Klein Tools 11055RINS Insulated Klein-Kurve® Wire Stripper and Cutter</t>
        </is>
      </c>
      <c r="D5218" t="inlineStr">
        <is>
          <t>Klein Tools 11045-INS Insulated Wire Stripper and Cutter,Orange</t>
        </is>
      </c>
      <c r="E5218" s="2">
        <f>HYPERLINK("https://www.amazon.com/Insulated-Stripper-Klein-Tools-11045-INS/dp/B0002RI4TK/ref=sr_1_5?keywords=Klein+Tools+11055RINS+Insulated+Klein-Kurve%C2%AE+Wire+Stripper+and+Cutter&amp;qid=1694735096&amp;sr=8-5", "https://www.amazon.com/Insulated-Stripper-Klein-Tools-11045-INS/dp/B0002RI4TK/ref=sr_1_5?keywords=Klein+Tools+11055RINS+Insulated+Klein-Kurve%C2%AE+Wire+Stripper+and+Cutter&amp;qid=1694735096&amp;sr=8-5")</f>
        <v/>
      </c>
      <c r="F5218" t="inlineStr">
        <is>
          <t>B0002RI4TK</t>
        </is>
      </c>
      <c r="G5218">
        <f>_xlfn.IMAGE("https://edmondsonsupply.com/cdn/shop/products/11055rins.jpg?v=1667236979")</f>
        <v/>
      </c>
      <c r="H5218">
        <f>_xlfn.IMAGE("https://m.media-amazon.com/images/I/51BhVtwSsVL._AC_UL320_.jpg")</f>
        <v/>
      </c>
      <c r="K5218" t="inlineStr">
        <is>
          <t>29.97</t>
        </is>
      </c>
      <c r="L5218" t="n">
        <v>38.89</v>
      </c>
      <c r="M5218" s="1" t="inlineStr">
        <is>
          <t>29.76%</t>
        </is>
      </c>
      <c r="N5218" s="7" t="n">
        <v>-67.95999999999999</v>
      </c>
      <c r="O5218" t="n">
        <v>4.5</v>
      </c>
      <c r="P5218" t="n">
        <v>35</v>
      </c>
      <c r="R5218" t="inlineStr">
        <is>
          <t>InStock</t>
        </is>
      </c>
      <c r="S5218" t="inlineStr">
        <is>
          <t>41.98</t>
        </is>
      </c>
      <c r="T5218" t="inlineStr">
        <is>
          <t>7871527813336</t>
        </is>
      </c>
    </row>
    <row r="5219" ht="87" customHeight="1">
      <c r="A5219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5219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5219" t="inlineStr">
        <is>
          <t>Diablo Tools DMARG1090 1/4 in. x 10 in. x 12 in. SPEEDemon™ Red Granite Carbide Tipped Hammer Drill Bit</t>
        </is>
      </c>
      <c r="D5219" t="inlineStr">
        <is>
          <t>Diablo 5/8" x 10"x12" SPEEDemon™ Red Granite Carbide Tipped Hammer Drill Bit</t>
        </is>
      </c>
      <c r="E5219" s="2">
        <f>HYPERLINK("https://www.amazon.com/Diablo-SPEEDemon-Granite-Carbide-Tipped/dp/B089LG6VXL/ref=sr_1_9?keywords=Diablo+Tools+DMARG1090+1%2F4+in.+x+10+in.+x+12+in.+SPEEDemon%E2%84%A2+Red+Granite+Carbide+Tipped+Hammer+Drill+Bit&amp;qid=1694735286&amp;sr=8-9", "https://www.amazon.com/Diablo-SPEEDemon-Granite-Carbide-Tipped/dp/B089LG6VXL/ref=sr_1_9?keywords=Diablo+Tools+DMARG1090+1%2F4+in.+x+10+in.+x+12+in.+SPEEDemon%E2%84%A2+Red+Granite+Carbide+Tipped+Hammer+Drill+Bit&amp;qid=1694735286&amp;sr=8-9")</f>
        <v/>
      </c>
      <c r="F5219" t="inlineStr">
        <is>
          <t>B089LG6VXL</t>
        </is>
      </c>
      <c r="G5219">
        <f>_xlfn.IMAGE("https://edmondsonsupply.com/cdn/shop/products/DMARG1090_Main-Image.png?v=1633030421")</f>
        <v/>
      </c>
      <c r="H5219">
        <f>_xlfn.IMAGE("https://m.media-amazon.com/images/I/61oQS6tt6EL._AC_UL320_.jpg")</f>
        <v/>
      </c>
      <c r="K5219" t="inlineStr">
        <is>
          <t>11.97</t>
        </is>
      </c>
      <c r="L5219" t="n">
        <v>15.53</v>
      </c>
      <c r="M5219" s="1" t="inlineStr">
        <is>
          <t>29.74%</t>
        </is>
      </c>
      <c r="N5219" s="7" t="n">
        <v>-68</v>
      </c>
      <c r="O5219" t="n">
        <v>4.7</v>
      </c>
      <c r="P5219" t="n">
        <v>5</v>
      </c>
      <c r="R5219" t="inlineStr">
        <is>
          <t>InStock</t>
        </is>
      </c>
      <c r="S5219" t="inlineStr">
        <is>
          <t>12.5</t>
        </is>
      </c>
      <c r="T5219" t="inlineStr">
        <is>
          <t>5318039339176</t>
        </is>
      </c>
    </row>
    <row r="5220" ht="87" customHeight="1">
      <c r="A5220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5220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5220" t="inlineStr">
        <is>
          <t>Klein Tools 1550-2 2 Blade Pocket Knife, Steel, 2-1/2-Inch Blade</t>
        </is>
      </c>
      <c r="D5220" t="inlineStr">
        <is>
          <t>Klein Tools 44005 Pocket Knife, Stainless Steel Lockback Knife with 2-5/8-Inch Hawkill Blade, Nylon Handle,Black</t>
        </is>
      </c>
      <c r="E5220" s="2">
        <f>HYPERLINK("https://www.amazon.com/Stainless-Lockback-Klein-Tools-44005/dp/B000936PU2/ref=sr_1_6?keywords=Klein+Tools+1550-2+2+Blade+Pocket+Knife%2C+Steel%2C+2-1%2F2-Inch+Blade&amp;qid=1694735141&amp;sr=8-6", "https://www.amazon.com/Stainless-Lockback-Klein-Tools-44005/dp/B000936PU2/ref=sr_1_6?keywords=Klein+Tools+1550-2+2+Blade+Pocket+Knife%2C+Steel%2C+2-1%2F2-Inch+Blade&amp;qid=1694735141&amp;sr=8-6")</f>
        <v/>
      </c>
      <c r="F5220" t="inlineStr">
        <is>
          <t>B000936PU2</t>
        </is>
      </c>
      <c r="G5220">
        <f>_xlfn.IMAGE("https://edmondsonsupply.com/cdn/shop/products/15502_b.jpg?v=1658020543")</f>
        <v/>
      </c>
      <c r="H5220">
        <f>_xlfn.IMAGE("https://m.media-amazon.com/images/I/51kz2pGOUqL._AC_UL320_.jpg")</f>
        <v/>
      </c>
      <c r="K5220" t="inlineStr">
        <is>
          <t>29.99</t>
        </is>
      </c>
      <c r="L5220" t="n">
        <v>38.9</v>
      </c>
      <c r="M5220" s="1" t="inlineStr">
        <is>
          <t>29.71%</t>
        </is>
      </c>
      <c r="N5220" s="7" t="n">
        <v>-68</v>
      </c>
      <c r="O5220" t="n">
        <v>4.7</v>
      </c>
      <c r="P5220" t="n">
        <v>338</v>
      </c>
      <c r="R5220" t="inlineStr">
        <is>
          <t>InStock</t>
        </is>
      </c>
      <c r="S5220" t="inlineStr">
        <is>
          <t>45.52</t>
        </is>
      </c>
      <c r="T5220" t="inlineStr">
        <is>
          <t>2766536409188</t>
        </is>
      </c>
    </row>
    <row r="5221" hidden="1" ht="15.75" customHeight="1">
      <c r="A5221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5221" s="2">
        <f>HYPERLINK("https://edmondsonsupply.com/products/klein-tools-s8-1-4-inch-hollow-shaft-nut-driver-3-inch-shaft", "https://edmondsonsupply.com/products/klein-tools-s8-1-4-inch-hollow-shaft-nut-driver-3-inch-shaft")</f>
        <v/>
      </c>
      <c r="C5221" t="inlineStr">
        <is>
          <t>Klein Tools S8 1/4-Inch Hollow Shaft Nut Driver, 3-Inch Shaft</t>
        </is>
      </c>
      <c r="D5221" t="inlineStr">
        <is>
          <t>Klein Tools 630-1/4M Nut Driver, 1/4-Inch Magnetic Tip Nut Driver with 3-Inch Hollow Shaft, Cushion Grip Handle</t>
        </is>
      </c>
      <c r="E5221" s="2">
        <f>HYPERLINK("https://www.amazon.com/Magnetic-Klein-Tools-630-1-4M/dp/B00093GE6M/ref=sr_1_2?keywords=Klein+Tools+S8+1%2F4-Inch+Hollow+Shaft+Nut+Driver%2C+3-Inch+Shaft&amp;qid=1694735248&amp;sr=8-2", "https://www.amazon.com/Magnetic-Klein-Tools-630-1-4M/dp/B00093GE6M/ref=sr_1_2?keywords=Klein+Tools+S8+1%2F4-Inch+Hollow+Shaft+Nut+Driver%2C+3-Inch+Shaft&amp;qid=1694735248&amp;sr=8-2")</f>
        <v/>
      </c>
      <c r="F5221" t="inlineStr">
        <is>
          <t>B00093GE6M</t>
        </is>
      </c>
      <c r="G5221">
        <f>_xludf.IMAGE("https://edmondsonsupply.com/cdn/shop/products/s10.jpg?v=1633030797")</f>
        <v/>
      </c>
      <c r="H5221">
        <f>_xludf.IMAGE("https://m.media-amazon.com/images/I/51TXA1qvEdL._AC_UL320_.jpg")</f>
        <v/>
      </c>
      <c r="K5221" t="inlineStr">
        <is>
          <t>7.29</t>
        </is>
      </c>
      <c r="L5221" t="n">
        <v>9.449999999999999</v>
      </c>
      <c r="M5221" s="1" t="inlineStr">
        <is>
          <t>29.63%</t>
        </is>
      </c>
      <c r="N5221" s="1" t="n">
        <v>-68.81999999999999</v>
      </c>
      <c r="O5221" t="n">
        <v>4.7</v>
      </c>
      <c r="P5221" t="n">
        <v>1571</v>
      </c>
      <c r="R5221" t="inlineStr">
        <is>
          <t>InStock</t>
        </is>
      </c>
      <c r="S5221" t="inlineStr">
        <is>
          <t>10.74</t>
        </is>
      </c>
      <c r="T5221" t="inlineStr">
        <is>
          <t>6000424485032</t>
        </is>
      </c>
    </row>
    <row r="5222" ht="87" customHeight="1">
      <c r="A5222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5222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5222" t="inlineStr">
        <is>
          <t>Klein Tools 612-4-INS Insulated 1/8-Inch Slotted Screwdriver, 4-Inch</t>
        </is>
      </c>
      <c r="D5222" t="inlineStr">
        <is>
          <t>Klein Tools 612-4-INS Insulated 1/8-Inch Slotted Screwdriver, 4-Inch</t>
        </is>
      </c>
      <c r="E5222" s="2">
        <f>HYPERLINK("https://www.amazon.com/Insulated-Screwdriver-Klein-Tools-612-4-INS/dp/B00J9S3YR0/ref=sr_1_1?keywords=Klein+Tools+612-4-INS+Insulated+1%2F8-Inch+Slotted+Screwdriver%2C+4-Inch&amp;qid=1694735335&amp;sr=8-1", "https://www.amazon.com/Insulated-Screwdriver-Klein-Tools-612-4-INS/dp/B00J9S3YR0/ref=sr_1_1?keywords=Klein+Tools+612-4-INS+Insulated+1%2F8-Inch+Slotted+Screwdriver%2C+4-Inch&amp;qid=1694735335&amp;sr=8-1")</f>
        <v/>
      </c>
      <c r="F5222" t="inlineStr">
        <is>
          <t>B00J9S3YR0</t>
        </is>
      </c>
      <c r="G5222">
        <f>_xlfn.IMAGE("https://edmondsonsupply.com/cdn/shop/products/612-4-ins.jpg?v=1587148611")</f>
        <v/>
      </c>
      <c r="H5222">
        <f>_xlfn.IMAGE("https://m.media-amazon.com/images/I/513EX6NxTCL._AC_UL320_.jpg")</f>
        <v/>
      </c>
      <c r="K5222" t="inlineStr">
        <is>
          <t>17.99</t>
        </is>
      </c>
      <c r="L5222" t="n">
        <v>23.31</v>
      </c>
      <c r="M5222" s="1" t="inlineStr">
        <is>
          <t>29.57%</t>
        </is>
      </c>
      <c r="N5222" s="7" t="n">
        <v>-69</v>
      </c>
      <c r="O5222" t="n">
        <v>4.6</v>
      </c>
      <c r="P5222" t="n">
        <v>180</v>
      </c>
      <c r="R5222" t="inlineStr">
        <is>
          <t>InStock</t>
        </is>
      </c>
      <c r="S5222" t="inlineStr">
        <is>
          <t>27.26</t>
        </is>
      </c>
      <c r="T5222" t="inlineStr">
        <is>
          <t>4167520911460</t>
        </is>
      </c>
    </row>
    <row r="5223" hidden="1" ht="15.75" customHeight="1">
      <c r="A5223" s="2">
        <f>HYPERLINK("https://edmondsonsupply.com/collections/electricians-tools/products/diablo-tools-dmapl2400-5-8-in-x-6-in-x-8-in-sds-plus-2-cutter", "https://edmondsonsupply.com/collections/electricians-tools/products/diablo-tools-dmapl2400-5-8-in-x-6-in-x-8-in-sds-plus-2-cutter")</f>
        <v/>
      </c>
      <c r="B5223" s="2">
        <f>HYPERLINK("https://edmondsonsupply.com/products/diablo-tools-dmapl2400-5-8-in-x-6-in-x-8-in-sds-plus-2-cutter", "https://edmondsonsupply.com/products/diablo-tools-dmapl2400-5-8-in-x-6-in-x-8-in-sds-plus-2-cutter")</f>
        <v/>
      </c>
      <c r="C5223" t="inlineStr">
        <is>
          <t>Diablo Tools DMAPL2400 5/8 in. x 6 in. x 8 in. SDS‑Plus 2‑Cutter</t>
        </is>
      </c>
      <c r="D5223" t="inlineStr">
        <is>
          <t>Diablo by Freud Diablo DMAPL4210 5/8 in. x 4 in. x 6 in. Rebar Demon SDS-Plus 4-Cutter Full Carbide Head Hammer Bit</t>
        </is>
      </c>
      <c r="E5223" s="2">
        <f>HYPERLINK("https://www.amazon.com/Diablo-Freud-DMAPL4210-SDS-Plus-4-Cutter/dp/B089LGF2KS/ref=sr_1_15?keywords=Diablo+Tools+DMAPL2400+5%2F8+in.+x+6+in.+x+8+in.+SDS%E2%80%91Plus+2%E2%80%91Cutter&amp;qid=1694735276&amp;sr=8-15", "https://www.amazon.com/Diablo-Freud-DMAPL4210-SDS-Plus-4-Cutter/dp/B089LGF2KS/ref=sr_1_15?keywords=Diablo+Tools+DMAPL2400+5%2F8+in.+x+6+in.+x+8+in.+SDS%E2%80%91Plus+2%E2%80%91Cutter&amp;qid=1694735276&amp;sr=8-15")</f>
        <v/>
      </c>
      <c r="F5223" t="inlineStr">
        <is>
          <t>B089LGF2KS</t>
        </is>
      </c>
      <c r="G5223">
        <f>_xludf.IMAGE("https://edmondsonsupply.com/cdn/shop/products/pn8n58bx2f87ihetrrnf_f6b67816-c0ba-4ddd-9eb9-58f843607bd5.webp?v=1676039619")</f>
        <v/>
      </c>
      <c r="H5223">
        <f>_xludf.IMAGE("https://m.media-amazon.com/images/I/61rU9ZgmndL._AC_UL320_.jpg")</f>
        <v/>
      </c>
      <c r="K5223" t="inlineStr">
        <is>
          <t>8.88</t>
        </is>
      </c>
      <c r="L5223" t="n">
        <v>11.49</v>
      </c>
      <c r="M5223" s="1" t="inlineStr">
        <is>
          <t>29.39%</t>
        </is>
      </c>
      <c r="N5223" s="1" t="n">
        <v>-69</v>
      </c>
      <c r="O5223" t="n">
        <v>4.6</v>
      </c>
      <c r="P5223" t="n">
        <v>63</v>
      </c>
      <c r="R5223" t="inlineStr">
        <is>
          <t>InStock</t>
        </is>
      </c>
      <c r="S5223" t="inlineStr">
        <is>
          <t>14.09</t>
        </is>
      </c>
      <c r="T5223" t="inlineStr">
        <is>
          <t>5418407723176</t>
        </is>
      </c>
    </row>
    <row r="5224" hidden="1" ht="15.75" customHeight="1">
      <c r="A5224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5224" s="2">
        <f>HYPERLINK("https://edmondsonsupply.com/products/diablo-tools-dmapl2360-9-16-in-x-6-in-x-8-in-sds-plus-2-cutter", "https://edmondsonsupply.com/products/diablo-tools-dmapl2360-9-16-in-x-6-in-x-8-in-sds-plus-2-cutter")</f>
        <v/>
      </c>
      <c r="C5224" t="inlineStr">
        <is>
          <t>Diablo Tools DMAPL2360 9/16 in. x 6 in. x 8 in. SDS-Plus 2-Cutter</t>
        </is>
      </c>
      <c r="D5224" t="inlineStr">
        <is>
          <t>BOSCH HC2093 9/16 In. x 6 In. x 8 In. Bulldog SDS-Plus Rotary Hammer Bit,Gray|Grey</t>
        </is>
      </c>
      <c r="E5224" s="2">
        <f>HYPERLINK("https://www.amazon.com/Bosch-HC2093-SDS-plus-Bulldog-Rotary/dp/B00B4T1GBI/ref=sr_1_14?keywords=Diablo+Tools+DMAPL2360+9%2F16+in.+x+6+in.+x+8+in.+SDS-Plus+2-Cutter&amp;qid=1694735296&amp;sr=8-14", "https://www.amazon.com/Bosch-HC2093-SDS-plus-Bulldog-Rotary/dp/B00B4T1GBI/ref=sr_1_14?keywords=Diablo+Tools+DMAPL2360+9%2F16+in.+x+6+in.+x+8+in.+SDS-Plus+2-Cutter&amp;qid=1694735296&amp;sr=8-14")</f>
        <v/>
      </c>
      <c r="F5224" t="inlineStr">
        <is>
          <t>B00B4T1GBI</t>
        </is>
      </c>
      <c r="G5224">
        <f>_xludf.IMAGE("https://edmondsonsupply.com/cdn/shop/products/DMAPL2360_Main-Image20200701.png?v=1633697551")</f>
        <v/>
      </c>
      <c r="H5224">
        <f>_xludf.IMAGE("https://m.media-amazon.com/images/I/61nQhf4rSGL._AC_UL320_.jpg")</f>
        <v/>
      </c>
      <c r="K5224" t="inlineStr">
        <is>
          <t>8.59</t>
        </is>
      </c>
      <c r="L5224" t="n">
        <v>11.11</v>
      </c>
      <c r="M5224" s="1" t="inlineStr">
        <is>
          <t>29.34%</t>
        </is>
      </c>
      <c r="N5224" s="1" t="n">
        <v>-69</v>
      </c>
      <c r="O5224" t="n">
        <v>4.7</v>
      </c>
      <c r="P5224" t="n">
        <v>9679</v>
      </c>
      <c r="R5224" t="inlineStr">
        <is>
          <t>InStock</t>
        </is>
      </c>
      <c r="S5224" t="inlineStr">
        <is>
          <t>9.77</t>
        </is>
      </c>
      <c r="T5224" t="inlineStr">
        <is>
          <t>5286291046568</t>
        </is>
      </c>
    </row>
    <row r="5225" ht="87" customHeight="1">
      <c r="A5225" s="2">
        <f>HYPERLINK("https://edmondsonsupply.com/collections/electricians-tools/products/milwaukee-48-22-3079-comfort-grip-6-in-1-pliers", "https://edmondsonsupply.com/collections/electricians-tools/products/milwaukee-48-22-3079-comfort-grip-6-in-1-pliers")</f>
        <v/>
      </c>
      <c r="B5225" s="2">
        <f>HYPERLINK("https://edmondsonsupply.com/products/milwaukee-48-22-3079-comfort-grip-6-in-1-pliers", "https://edmondsonsupply.com/products/milwaukee-48-22-3079-comfort-grip-6-in-1-pliers")</f>
        <v/>
      </c>
      <c r="C5225" t="inlineStr">
        <is>
          <t>Milwaukee 48-22-3079 Comfort Grip 6 in 1 Pliers</t>
        </is>
      </c>
      <c r="D5225" t="inlineStr">
        <is>
          <t>Milwaukee 48-22-4107 6 in 1 Diagonal Pliers, 7-Inch</t>
        </is>
      </c>
      <c r="E5225" s="2">
        <f>HYPERLINK("https://www.amazon.com/Milwaukee-48-22-4107-Diagonal-Pliers-7-Inch/dp/B005G111TW/ref=sr_1_31?keywords=Milwaukee+48-22-3079+Comfort+Grip+6+in+1+Pliers&amp;qid=1694735354&amp;sr=8-31", "https://www.amazon.com/Milwaukee-48-22-4107-Diagonal-Pliers-7-Inch/dp/B005G111TW/ref=sr_1_31?keywords=Milwaukee+48-22-3079+Comfort+Grip+6+in+1+Pliers&amp;qid=1694735354&amp;sr=8-31")</f>
        <v/>
      </c>
      <c r="F5225" t="inlineStr">
        <is>
          <t>B005G111TW</t>
        </is>
      </c>
      <c r="G5225">
        <f>_xlfn.IMAGE("https://edmondsonsupply.com/cdn/shop/products/48-22-3079_2.png?v=1587149676")</f>
        <v/>
      </c>
      <c r="H5225">
        <f>_xlfn.IMAGE("https://m.media-amazon.com/images/I/51UIu32jFRL._AC_UL320_.jpg")</f>
        <v/>
      </c>
      <c r="K5225" t="inlineStr">
        <is>
          <t>19.97</t>
        </is>
      </c>
      <c r="L5225" t="n">
        <v>25.81</v>
      </c>
      <c r="M5225" s="1" t="inlineStr">
        <is>
          <t>29.24%</t>
        </is>
      </c>
      <c r="N5225" s="7" t="n">
        <v>-69.01000000000001</v>
      </c>
      <c r="O5225" t="n">
        <v>4.1</v>
      </c>
      <c r="P5225" t="n">
        <v>35</v>
      </c>
      <c r="R5225" t="inlineStr">
        <is>
          <t>InStock</t>
        </is>
      </c>
      <c r="S5225" t="inlineStr">
        <is>
          <t>31.7</t>
        </is>
      </c>
      <c r="T5225" t="inlineStr">
        <is>
          <t>4474508148836</t>
        </is>
      </c>
    </row>
    <row r="5226" hidden="1" ht="15.75" customHeight="1">
      <c r="A5226" s="2">
        <f>HYPERLINK("https://edmondsonsupply.com/collections/electricians-tools/products/sensible-products-rsim-1-rite-site-inspection-mirror", "https://edmondsonsupply.com/collections/electricians-tools/products/sensible-products-rsim-1-rite-site-inspection-mirror")</f>
        <v/>
      </c>
      <c r="B5226" s="2">
        <f>HYPERLINK("https://edmondsonsupply.com/products/sensible-products-rsim-1-rite-site-inspection-mirror", "https://edmondsonsupply.com/products/sensible-products-rsim-1-rite-site-inspection-mirror")</f>
        <v/>
      </c>
      <c r="C5226" t="inlineStr">
        <is>
          <t>Sensible Products RSIM-1 Rite Site Inspection Mirror</t>
        </is>
      </c>
      <c r="D5226" t="inlineStr">
        <is>
          <t>Sensible Products RSIM1Rite Site Inspection Mirror</t>
        </is>
      </c>
      <c r="E5226" s="2">
        <f>HYPERLINK("https://www.amazon.com/Sensible-Products-Rite-Inspection-Mirror/dp/B008HQ3WGS/ref=sr_1_2?keywords=Sensible+Products+RSIM-1+Rite+Site+Inspection+Mirror&amp;qid=1694735401&amp;sr=8-2", "https://www.amazon.com/Sensible-Products-Rite-Inspection-Mirror/dp/B008HQ3WGS/ref=sr_1_2?keywords=Sensible+Products+RSIM-1+Rite+Site+Inspection+Mirror&amp;qid=1694735401&amp;sr=8-2")</f>
        <v/>
      </c>
      <c r="F5226" t="inlineStr">
        <is>
          <t>B008HQ3WGS</t>
        </is>
      </c>
      <c r="G5226">
        <f>_xludf.IMAGE("https://edmondsonsupply.com/cdn/shop/products/RSIM-1-2.jpg?v=1587150015")</f>
        <v/>
      </c>
      <c r="H5226">
        <f>_xludf.IMAGE("https://m.media-amazon.com/images/I/71Qr7THBH3L._AC_UY218_.jpg")</f>
        <v/>
      </c>
      <c r="K5226" t="inlineStr">
        <is>
          <t>19.02</t>
        </is>
      </c>
      <c r="L5226" t="n">
        <v>24.58</v>
      </c>
      <c r="M5226" s="1" t="inlineStr">
        <is>
          <t>29.23%</t>
        </is>
      </c>
      <c r="N5226" s="1" t="n">
        <v>-69.09</v>
      </c>
      <c r="O5226" t="n">
        <v>3.4</v>
      </c>
      <c r="P5226" t="n">
        <v>9</v>
      </c>
      <c r="R5226" t="inlineStr">
        <is>
          <t>InStock</t>
        </is>
      </c>
      <c r="S5226" t="inlineStr">
        <is>
          <t>undefined</t>
        </is>
      </c>
      <c r="T5226" t="inlineStr">
        <is>
          <t>4395524128868</t>
        </is>
      </c>
    </row>
    <row r="5227" hidden="1" ht="15.75" customHeight="1">
      <c r="A5227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5227" s="2">
        <f>HYPERLINK("https://edmondsonsupply.com/products/klein-tools-ir5-dual-laser-infrared-thermometer", "https://edmondsonsupply.com/products/klein-tools-ir5-dual-laser-infrared-thermometer")</f>
        <v/>
      </c>
      <c r="C5227" t="inlineStr">
        <is>
          <t>Klein Tools IR5 Dual Laser Infrared Thermometer</t>
        </is>
      </c>
      <c r="D5227" t="inlineStr">
        <is>
          <t>Klein Tools IR5 Dual Laser 12:1 Infrared Thermometer &amp; ET10 Magnetic Digital Pocket Thermometer</t>
        </is>
      </c>
      <c r="E5227" s="2">
        <f>HYPERLINK("https://www.amazon.com/Klein-Tools-IR5-Dual-Laser/dp/B0BC82N9HS/ref=sr_1_2?keywords=Klein+Tools+IR5+Dual+Laser+Infrared+Thermometer&amp;qid=1694735248&amp;sr=8-2", "https://www.amazon.com/Klein-Tools-IR5-Dual-Laser/dp/B0BC82N9HS/ref=sr_1_2?keywords=Klein+Tools+IR5+Dual+Laser+Infrared+Thermometer&amp;qid=1694735248&amp;sr=8-2")</f>
        <v/>
      </c>
      <c r="F5227" t="inlineStr">
        <is>
          <t>B0BC82N9HS</t>
        </is>
      </c>
      <c r="G5227">
        <f>_xludf.IMAGE("https://edmondsonsupply.com/cdn/shop/products/ir5.jpg?v=1587148495")</f>
        <v/>
      </c>
      <c r="H5227">
        <f>_xludf.IMAGE("https://m.media-amazon.com/images/I/41u4ikUsnGL._AC_UY218_.jpg")</f>
        <v/>
      </c>
      <c r="K5227" t="inlineStr">
        <is>
          <t>64.97</t>
        </is>
      </c>
      <c r="L5227" t="n">
        <v>83.81999999999999</v>
      </c>
      <c r="M5227" s="1" t="inlineStr">
        <is>
          <t>29.01%</t>
        </is>
      </c>
      <c r="N5227" s="1" t="n">
        <v>-69.15000000000001</v>
      </c>
      <c r="O5227" t="n">
        <v>3</v>
      </c>
      <c r="P5227" t="n">
        <v>1</v>
      </c>
      <c r="R5227" t="inlineStr">
        <is>
          <t>InStock</t>
        </is>
      </c>
      <c r="S5227" t="inlineStr">
        <is>
          <t>80.92</t>
        </is>
      </c>
      <c r="T5227" t="inlineStr">
        <is>
          <t>4385570160740</t>
        </is>
      </c>
    </row>
    <row r="5228" hidden="1" ht="15.75" customHeight="1">
      <c r="A5228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5228" s="2">
        <f>HYPERLINK("https://edmondsonsupply.com/products/klein-tools-rt110-receptacle-tester", "https://edmondsonsupply.com/products/klein-tools-rt110-receptacle-tester")</f>
        <v/>
      </c>
      <c r="C5228" t="inlineStr">
        <is>
          <t>Klein Tools RT110 Receptacle Tester</t>
        </is>
      </c>
      <c r="D5228" t="inlineStr">
        <is>
          <t>Breaker Finder Case Compatible with Klein Tools ET310 AC Circuit Breaker Finder &amp; Outlet Repair Tool Kit RT250 GFCI Receptacle Tester, Electrical Tools Storage Organizer Bag for Accessories (Box Only)</t>
        </is>
      </c>
      <c r="E5228" s="2">
        <f>HYPERLINK("https://www.amazon.com/Compatible-Receptacle-Electrical-Organizer-Accessories/dp/B0B5L3XRCD/ref=sr_1_47?keywords=Klein+Tools+RT110+Receptacle+Tester&amp;qid=1694735205&amp;sr=8-47", "https://www.amazon.com/Compatible-Receptacle-Electrical-Organizer-Accessories/dp/B0B5L3XRCD/ref=sr_1_47?keywords=Klein+Tools+RT110+Receptacle+Tester&amp;qid=1694735205&amp;sr=8-47")</f>
        <v/>
      </c>
      <c r="F5228" t="inlineStr">
        <is>
          <t>B0B5L3XRCD</t>
        </is>
      </c>
      <c r="G5228">
        <f>_xludf.IMAGE("https://edmondsonsupply.com/cdn/shop/products/rt110.jpg?v=1633031036")</f>
        <v/>
      </c>
      <c r="H5228">
        <f>_xludf.IMAGE("https://m.media-amazon.com/images/I/7132HbPkwGL._AC_UL320_.jpg")</f>
        <v/>
      </c>
      <c r="K5228" t="inlineStr">
        <is>
          <t>9.97</t>
        </is>
      </c>
      <c r="L5228" t="n">
        <v>12.86</v>
      </c>
      <c r="M5228" s="1" t="inlineStr">
        <is>
          <t>28.99%</t>
        </is>
      </c>
      <c r="N5228" s="1" t="n">
        <v>-69.15000000000001</v>
      </c>
      <c r="O5228" t="n">
        <v>3.8</v>
      </c>
      <c r="P5228" t="n">
        <v>4</v>
      </c>
      <c r="R5228" t="inlineStr">
        <is>
          <t>InStock</t>
        </is>
      </c>
      <c r="S5228" t="inlineStr">
        <is>
          <t>12.12</t>
        </is>
      </c>
      <c r="T5228" t="inlineStr">
        <is>
          <t>6740486619309</t>
        </is>
      </c>
    </row>
    <row r="5229" hidden="1" ht="15.75" customHeight="1">
      <c r="A5229" s="2">
        <f>HYPERLINK("https://edmondsonsupply.com/collections/electricians-tools/products/diablo-tools-dmamm1030-3-16-in-x-4-in-x-6-in-multi-material-carbide-tipped-hammer-drill-bit", "https://edmondsonsupply.com/collections/electricians-tools/products/diablo-tools-dmamm1030-3-16-in-x-4-in-x-6-in-multi-material-carbide-tipped-hammer-drill-bit")</f>
        <v/>
      </c>
      <c r="B5229" s="2">
        <f>HYPERLINK("https://edmondsonsupply.com/products/diablo-tools-dmamm1030-3-16-in-x-4-in-x-6-in-multi-material-carbide-tipped-hammer-drill-bit", "https://edmondsonsupply.com/products/diablo-tools-dmamm1030-3-16-in-x-4-in-x-6-in-multi-material-carbide-tipped-hammer-drill-bit")</f>
        <v/>
      </c>
      <c r="C5229" t="inlineStr">
        <is>
          <t>Diablo Tools DMAMM1030 3/16 in. x 4 in. x 6 in. Multi-Material Carbide Tipped Hammer Drill Bit</t>
        </is>
      </c>
      <c r="D5229" t="inlineStr">
        <is>
          <t>Sabre Tools 3/16 Inch x 12 Inch SDS Plus Rotary Hammer Drill Bit, Carbide Tipped for Brick, Stone, and Concrete (3/16" x 10" x 12")</t>
        </is>
      </c>
      <c r="E5229" s="2">
        <f>HYPERLINK("https://www.amazon.com/Sabre-Tools-Rotary-Carbide-Concrete/dp/B0BM6MTCHF/ref=sr_1_5?keywords=Diablo+Tools+DMAMM1030+3%2F16+in.+x+4+in.+x+6+in.+Multi-Material+Carbide+Tipped+Hammer+Drill+Bit&amp;qid=1694735000&amp;sr=8-5", "https://www.amazon.com/Sabre-Tools-Rotary-Carbide-Concrete/dp/B0BM6MTCHF/ref=sr_1_5?keywords=Diablo+Tools+DMAMM1030+3%2F16+in.+x+4+in.+x+6+in.+Multi-Material+Carbide+Tipped+Hammer+Drill+Bit&amp;qid=1694735000&amp;sr=8-5")</f>
        <v/>
      </c>
      <c r="F5229" t="inlineStr">
        <is>
          <t>B0BM6MTCHF</t>
        </is>
      </c>
      <c r="G5229">
        <f>_xludf.IMAGE("https://edmondsonsupply.com/cdn/shop/products/o0c0wf8feit5uxkyh0x8.webp?v=1680186241")</f>
        <v/>
      </c>
      <c r="H5229">
        <f>_xludf.IMAGE("https://m.media-amazon.com/images/I/51SK-lJh+mL._AC_UL320_.jpg")</f>
        <v/>
      </c>
      <c r="K5229" t="inlineStr">
        <is>
          <t>6.97</t>
        </is>
      </c>
      <c r="L5229" t="n">
        <v>8.99</v>
      </c>
      <c r="M5229" s="1" t="inlineStr">
        <is>
          <t>28.98%</t>
        </is>
      </c>
      <c r="N5229" s="1" t="n">
        <v>-69.63</v>
      </c>
      <c r="O5229" t="n">
        <v>4.6</v>
      </c>
      <c r="P5229" t="n">
        <v>796</v>
      </c>
      <c r="R5229" t="inlineStr">
        <is>
          <t>InStock</t>
        </is>
      </c>
      <c r="S5229" t="inlineStr">
        <is>
          <t>undefined</t>
        </is>
      </c>
      <c r="T5229" t="inlineStr">
        <is>
          <t>7970452766936</t>
        </is>
      </c>
    </row>
    <row r="5230" hidden="1" ht="15.75" customHeight="1">
      <c r="A5230" s="2">
        <f>HYPERLINK("https://edmondsonsupply.com/collections/electricians-tools/products/diablo-tools-dmamm1030-3-16-in-x-4-in-x-6-in-multi-material-carbide-tipped-hammer-drill-bit", "https://edmondsonsupply.com/collections/electricians-tools/products/diablo-tools-dmamm1030-3-16-in-x-4-in-x-6-in-multi-material-carbide-tipped-hammer-drill-bit")</f>
        <v/>
      </c>
      <c r="B5230" s="2">
        <f>HYPERLINK("https://edmondsonsupply.com/products/diablo-tools-dmamm1030-3-16-in-x-4-in-x-6-in-multi-material-carbide-tipped-hammer-drill-bit", "https://edmondsonsupply.com/products/diablo-tools-dmamm1030-3-16-in-x-4-in-x-6-in-multi-material-carbide-tipped-hammer-drill-bit")</f>
        <v/>
      </c>
      <c r="C5230" t="inlineStr">
        <is>
          <t>Diablo Tools DMAMM1030 3/16 in. x 4 in. x 6 in. Multi-Material Carbide Tipped Hammer Drill Bit</t>
        </is>
      </c>
      <c r="D5230" t="inlineStr">
        <is>
          <t>Diablo by Freud DMAPL4050 3/16 in. x 6 in. x 8 in. Rebar Demon SDS-Plus 4-Cutter Full Carbide Head Hammer Bit Multi, One Size</t>
        </is>
      </c>
      <c r="E5230" s="2">
        <f>HYPERLINK("https://www.amazon.com/Diablo-SDS-Plus-4-Cutter-Carbide-Hammer/dp/B089LKWR9L/ref=sr_1_31?keywords=Diablo+Tools+DMAMM1030+3%2F16+in.+x+4+in.+x+6+in.+Multi-Material+Carbide+Tipped+Hammer+Drill+Bit&amp;qid=1694735000&amp;sr=8-31", "https://www.amazon.com/Diablo-SDS-Plus-4-Cutter-Carbide-Hammer/dp/B089LKWR9L/ref=sr_1_31?keywords=Diablo+Tools+DMAMM1030+3%2F16+in.+x+4+in.+x+6+in.+Multi-Material+Carbide+Tipped+Hammer+Drill+Bit&amp;qid=1694735000&amp;sr=8-31")</f>
        <v/>
      </c>
      <c r="F5230" t="inlineStr">
        <is>
          <t>B089LKWR9L</t>
        </is>
      </c>
      <c r="G5230">
        <f>_xludf.IMAGE("https://edmondsonsupply.com/cdn/shop/products/o0c0wf8feit5uxkyh0x8.webp?v=1680186241")</f>
        <v/>
      </c>
      <c r="H5230">
        <f>_xludf.IMAGE("https://m.media-amazon.com/images/I/61uukuKzJeL._AC_UL320_.jpg")</f>
        <v/>
      </c>
      <c r="K5230" t="inlineStr">
        <is>
          <t>6.97</t>
        </is>
      </c>
      <c r="L5230" t="n">
        <v>8.99</v>
      </c>
      <c r="M5230" s="1" t="inlineStr">
        <is>
          <t>28.98%</t>
        </is>
      </c>
      <c r="N5230" s="1" t="n">
        <v>-69.69</v>
      </c>
      <c r="O5230" t="n">
        <v>3.7</v>
      </c>
      <c r="P5230" t="n">
        <v>10</v>
      </c>
      <c r="R5230" t="inlineStr">
        <is>
          <t>InStock</t>
        </is>
      </c>
      <c r="S5230" t="inlineStr">
        <is>
          <t>undefined</t>
        </is>
      </c>
      <c r="T5230" t="inlineStr">
        <is>
          <t>7970452766936</t>
        </is>
      </c>
    </row>
    <row r="5231" hidden="1" ht="15.75" customHeight="1">
      <c r="A5231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5231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5231" t="inlineStr">
        <is>
          <t>Diablo Tools DMARG1120 3/8 in. x 4 in. x 6 in. SPEEDemon™ Red Granite Carbide Tipped Hammer Drill Bit</t>
        </is>
      </c>
      <c r="D5231" t="inlineStr">
        <is>
          <t>Diablo by Freud DMARG1140 7/16 in. x 4 in. x 6 in. SPEEDemon Red Granite Carbide Tipped Hammer Drill Bit Multi, One Size</t>
        </is>
      </c>
      <c r="E5231" s="2">
        <f>HYPERLINK("https://www.amazon.com/Diablo-SPEEDemon-Granite-Carbide-Tipped/dp/B089LJWV6X/ref=sr_1_5?keywords=Diablo+Tools+DMARG1120+3%2F8+in.+x+4+in.+x+6+in.+SPEEDemon%E2%84%A2+Red+Granite+Carbide+Tipped+Hammer+Drill+Bit&amp;qid=1694735289&amp;sr=8-5", "https://www.amazon.com/Diablo-SPEEDemon-Granite-Carbide-Tipped/dp/B089LJWV6X/ref=sr_1_5?keywords=Diablo+Tools+DMARG1120+3%2F8+in.+x+4+in.+x+6+in.+SPEEDemon%E2%84%A2+Red+Granite+Carbide+Tipped+Hammer+Drill+Bit&amp;qid=1694735289&amp;sr=8-5")</f>
        <v/>
      </c>
      <c r="F5231" t="inlineStr">
        <is>
          <t>B089LJWV6X</t>
        </is>
      </c>
      <c r="G5231">
        <f>_xludf.IMAGE("https://edmondsonsupply.com/cdn/shop/products/DMARG1120_Main-Image20200513.png?v=1633030510")</f>
        <v/>
      </c>
      <c r="H5231">
        <f>_xludf.IMAGE("https://m.media-amazon.com/images/I/61CZVnVOl-L._AC_UL320_.jpg")</f>
        <v/>
      </c>
      <c r="K5231" t="inlineStr">
        <is>
          <t>7.27</t>
        </is>
      </c>
      <c r="L5231" t="n">
        <v>9.369999999999999</v>
      </c>
      <c r="M5231" s="1" t="inlineStr">
        <is>
          <t>28.89%</t>
        </is>
      </c>
      <c r="N5231" s="1" t="n">
        <v>-69.86</v>
      </c>
      <c r="O5231" t="n">
        <v>5</v>
      </c>
      <c r="P5231" t="n">
        <v>7</v>
      </c>
      <c r="R5231" t="inlineStr">
        <is>
          <t>InStock</t>
        </is>
      </c>
      <c r="S5231" t="inlineStr">
        <is>
          <t>undefined</t>
        </is>
      </c>
      <c r="T5231" t="inlineStr">
        <is>
          <t>5386498834600</t>
        </is>
      </c>
    </row>
    <row r="5232" ht="87" customHeight="1">
      <c r="A5232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5232" s="2">
        <f>HYPERLINK("https://edmondsonsupply.com/products/klein-tools-11057-klein-kurve%c2%ae-wire-stripper-and-cutter", "https://edmondsonsupply.com/products/klein-tools-11057-klein-kurve%c2%ae-wire-stripper-and-cutter")</f>
        <v/>
      </c>
      <c r="C5232" t="inlineStr">
        <is>
          <t>Klein Tools 11057 Klein-Kurve® Wire Stripper and Cutter</t>
        </is>
      </c>
      <c r="D5232" t="inlineStr">
        <is>
          <t>Klein Tools 11055GLW Wire Stripper / Cutter, Klein-Kurve Stripper / Cutter, 10-18 AWG Solid, 12-20 AWG Stranded Wire, Glow in the Dark Grips</t>
        </is>
      </c>
      <c r="E5232" s="2">
        <f>HYPERLINK("https://www.amazon.com/Klein-Tools-11055GLW-Stripper-Klein-Kurve/dp/B09FVTWPQV/ref=sr_1_7?keywords=Klein+Tools+11057+Klein-Kurve%C2%AE+Wire+Stripper+and+Cutter&amp;qid=1694735357&amp;sr=8-7", "https://www.amazon.com/Klein-Tools-11055GLW-Stripper-Klein-Kurve/dp/B09FVTWPQV/ref=sr_1_7?keywords=Klein+Tools+11057+Klein-Kurve%C2%AE+Wire+Stripper+and+Cutter&amp;qid=1694735357&amp;sr=8-7")</f>
        <v/>
      </c>
      <c r="F5232" t="inlineStr">
        <is>
          <t>B09FVTWPQV</t>
        </is>
      </c>
      <c r="G5232">
        <f>_xlfn.IMAGE("https://edmondsonsupply.com/cdn/shop/products/11057.jpg?v=1587146927")</f>
        <v/>
      </c>
      <c r="H5232">
        <f>_xlfn.IMAGE("https://m.media-amazon.com/images/I/41qRg9375VL._AC_UL320_.jpg")</f>
        <v/>
      </c>
      <c r="K5232" t="inlineStr">
        <is>
          <t>20.97</t>
        </is>
      </c>
      <c r="L5232" t="n">
        <v>26.99</v>
      </c>
      <c r="M5232" s="1" t="inlineStr">
        <is>
          <t>28.71%</t>
        </is>
      </c>
      <c r="N5232" s="7" t="n">
        <v>-70</v>
      </c>
      <c r="O5232" t="n">
        <v>4.8</v>
      </c>
      <c r="P5232" t="n">
        <v>7578</v>
      </c>
      <c r="R5232" t="inlineStr">
        <is>
          <t>InStock</t>
        </is>
      </c>
      <c r="S5232" t="inlineStr">
        <is>
          <t>32.72</t>
        </is>
      </c>
      <c r="T5232" t="inlineStr">
        <is>
          <t>4455254720612</t>
        </is>
      </c>
    </row>
    <row r="5233" ht="87" customHeight="1">
      <c r="A5233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5233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5233" t="inlineStr">
        <is>
          <t>Klein Tools K11095 Klein-Kurve® Wire Stripper / Cutter, 8-20 AWG</t>
        </is>
      </c>
      <c r="D5233" t="inlineStr">
        <is>
          <t>Klein Tools 11055GLW Wire Stripper / Cutter, Klein-Kurve Stripper / Cutter, 10-18 AWG Solid, 12-20 AWG Stranded Wire, Glow in the Dark Grips</t>
        </is>
      </c>
      <c r="E5233" s="2">
        <f>HYPERLINK("https://www.amazon.com/Klein-Tools-11055GLW-Stripper-Klein-Kurve/dp/B09FVTWPQV/ref=sr_1_9?keywords=Klein+Tools+K11095+Klein-Kurve%C2%AE+Wire+Stripper+%2F+Cutter%2C+8-20+AWG&amp;qid=1694735132&amp;sr=8-9", "https://www.amazon.com/Klein-Tools-11055GLW-Stripper-Klein-Kurve/dp/B09FVTWPQV/ref=sr_1_9?keywords=Klein+Tools+K11095+Klein-Kurve%C2%AE+Wire+Stripper+%2F+Cutter%2C+8-20+AWG&amp;qid=1694735132&amp;sr=8-9")</f>
        <v/>
      </c>
      <c r="F5233" t="inlineStr">
        <is>
          <t>B09FVTWPQV</t>
        </is>
      </c>
      <c r="G5233">
        <f>_xlfn.IMAGE("https://edmondsonsupply.com/cdn/shop/products/k11095_b_front_vertical.jpg?v=1661364611")</f>
        <v/>
      </c>
      <c r="H5233">
        <f>_xlfn.IMAGE("https://m.media-amazon.com/images/I/41qRg9375VL._AC_UL320_.jpg")</f>
        <v/>
      </c>
      <c r="K5233" t="inlineStr">
        <is>
          <t>20.97</t>
        </is>
      </c>
      <c r="L5233" t="n">
        <v>26.99</v>
      </c>
      <c r="M5233" s="1" t="inlineStr">
        <is>
          <t>28.71%</t>
        </is>
      </c>
      <c r="N5233" s="7" t="n">
        <v>-70.55</v>
      </c>
      <c r="O5233" t="n">
        <v>4.8</v>
      </c>
      <c r="P5233" t="n">
        <v>7578</v>
      </c>
      <c r="R5233" t="inlineStr">
        <is>
          <t>InStock</t>
        </is>
      </c>
      <c r="S5233" t="inlineStr">
        <is>
          <t>29.38</t>
        </is>
      </c>
      <c r="T5233" t="inlineStr">
        <is>
          <t>7793145315544</t>
        </is>
      </c>
    </row>
    <row r="5234" hidden="1" ht="15.75" customHeight="1">
      <c r="A5234" s="2">
        <f>HYPERLINK("https://edmondsonsupply.com/collections/electricians-tools/products/klein-tools-86600-1-4-inch-magnetic-hex-drivers-3-pack", "https://edmondsonsupply.com/collections/electricians-tools/products/klein-tools-86600-1-4-inch-magnetic-hex-drivers-3-pack")</f>
        <v/>
      </c>
      <c r="B5234" s="2">
        <f>HYPERLINK("https://edmondsonsupply.com/products/klein-tools-86600-1-4-inch-magnetic-hex-drivers-3-pack", "https://edmondsonsupply.com/products/klein-tools-86600-1-4-inch-magnetic-hex-drivers-3-pack")</f>
        <v/>
      </c>
      <c r="C5234" t="inlineStr">
        <is>
          <t>Klein Tools 86600 1/4-Inch Magnetic Hex Drivers, 3-Pack</t>
        </is>
      </c>
      <c r="D5234" t="inlineStr">
        <is>
          <t>Klein Tools 32744 Replacement Bits SQ2/SL316 - 1/4 inch Hex, Pack of 3</t>
        </is>
      </c>
      <c r="E5234" s="2">
        <f>HYPERLINK("https://www.amazon.com/Klein-Tools-32744-Replacement-SL316/dp/B00EKHU6IA/ref=sr_1_40?keywords=Klein+Tools+86600+1%2F4-Inch+Magnetic+Hex+Drivers%2C+3-Pack&amp;qid=1694735168&amp;sr=8-40", "https://www.amazon.com/Klein-Tools-32744-Replacement-SL316/dp/B00EKHU6IA/ref=sr_1_40?keywords=Klein+Tools+86600+1%2F4-Inch+Magnetic+Hex+Drivers%2C+3-Pack&amp;qid=1694735168&amp;sr=8-40")</f>
        <v/>
      </c>
      <c r="F5234" t="inlineStr">
        <is>
          <t>B00EKHU6IA</t>
        </is>
      </c>
      <c r="G5234">
        <f>_xludf.IMAGE("https://edmondsonsupply.com/cdn/shop/products/86600.png?v=1645569632")</f>
        <v/>
      </c>
      <c r="H5234">
        <f>_xludf.IMAGE("https://m.media-amazon.com/images/I/51k5d93mcIL._AC_UL320_.jpg")</f>
        <v/>
      </c>
      <c r="K5234" t="inlineStr">
        <is>
          <t>6.99</t>
        </is>
      </c>
      <c r="L5234" t="n">
        <v>8.99</v>
      </c>
      <c r="M5234" s="1" t="inlineStr">
        <is>
          <t>28.61%</t>
        </is>
      </c>
      <c r="N5234" s="1" t="n">
        <v>-70.59</v>
      </c>
      <c r="O5234" t="n">
        <v>4.5</v>
      </c>
      <c r="P5234" t="n">
        <v>28</v>
      </c>
      <c r="R5234" t="inlineStr">
        <is>
          <t>InStock</t>
        </is>
      </c>
      <c r="S5234" t="inlineStr">
        <is>
          <t>10.6</t>
        </is>
      </c>
      <c r="T5234" t="inlineStr">
        <is>
          <t>7614370054360</t>
        </is>
      </c>
    </row>
    <row r="5235" ht="87" customHeight="1">
      <c r="A5235" s="2">
        <f>HYPERLINK("https://edmondsonsupply.com/collections/electricians-tools/products/klein-tools-44201-electricians-pocket-knife", "https://edmondsonsupply.com/collections/electricians-tools/products/klein-tools-44201-electricians-pocket-knife")</f>
        <v/>
      </c>
      <c r="B5235" s="2">
        <f>HYPERLINK("https://edmondsonsupply.com/products/klein-tools-44201-electricians-pocket-knife", "https://edmondsonsupply.com/products/klein-tools-44201-electricians-pocket-knife")</f>
        <v/>
      </c>
      <c r="C5235" t="inlineStr">
        <is>
          <t>Klein Tools 44201 Electrician's Pocket Knife</t>
        </is>
      </c>
      <c r="D5235" t="inlineStr">
        <is>
          <t>Klein Tools 44217 Electrician's Pocket Knife w/#2 Phillips Gray</t>
        </is>
      </c>
      <c r="E5235" s="2">
        <f>HYPERLINK("https://www.amazon.com/Electricians-Phillips-Klein-Tools-44217/dp/B01MY88GOU/ref=sr_1_6?keywords=Klein+Tools+44201+Electrician%27s+Pocket+Knife&amp;qid=1694735372&amp;sr=8-6", "https://www.amazon.com/Electricians-Phillips-Klein-Tools-44217/dp/B01MY88GOU/ref=sr_1_6?keywords=Klein+Tools+44201+Electrician%27s+Pocket+Knife&amp;qid=1694735372&amp;sr=8-6")</f>
        <v/>
      </c>
      <c r="F5235" t="inlineStr">
        <is>
          <t>B01MY88GOU</t>
        </is>
      </c>
      <c r="G5235">
        <f>_xlfn.IMAGE("https://edmondsonsupply.com/cdn/shop/products/44201.jpg?v=1587143552")</f>
        <v/>
      </c>
      <c r="H5235">
        <f>_xlfn.IMAGE("https://m.media-amazon.com/images/I/31EMxR2j-SL._AC_UL320_.jpg")</f>
        <v/>
      </c>
      <c r="K5235" t="inlineStr">
        <is>
          <t>21.99</t>
        </is>
      </c>
      <c r="L5235" t="n">
        <v>28.22</v>
      </c>
      <c r="M5235" s="1" t="inlineStr">
        <is>
          <t>28.33%</t>
        </is>
      </c>
      <c r="N5235" s="7" t="n">
        <v>-71.04000000000001</v>
      </c>
      <c r="O5235" t="n">
        <v>4.5</v>
      </c>
      <c r="P5235" t="n">
        <v>142</v>
      </c>
      <c r="R5235" t="inlineStr">
        <is>
          <t>InStock</t>
        </is>
      </c>
      <c r="S5235" t="inlineStr">
        <is>
          <t>32.02</t>
        </is>
      </c>
      <c r="T5235" t="inlineStr">
        <is>
          <t>2846982471780</t>
        </is>
      </c>
    </row>
    <row r="5236" hidden="1" ht="15.75" customHeight="1">
      <c r="A5236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236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236" t="inlineStr">
        <is>
          <t>Klein Tools 630-1/4 1/4-Inch Nut Driver 3-Inch Shaft Cushion Grip</t>
        </is>
      </c>
      <c r="D5236" t="inlineStr">
        <is>
          <t>Klein Tools 630-4.5MM 4.5 mm Nut Driver with 3-Inch Hollow Shaft and Cushion Grip Handle</t>
        </is>
      </c>
      <c r="E5236" s="2">
        <f>HYPERLINK("https://www.amazon.com/Klein-Tools-630-4-5MM-Driver-Cushion/dp/B0009OTGSY/ref=sr_1_8?keywords=Klein+Tools+630-1%2F4+1%2F4-Inch+Nut+Driver+3-Inch+Shaft+Cushion+Grip&amp;qid=1694735346&amp;sr=8-8", "https://www.amazon.com/Klein-Tools-630-4-5MM-Driver-Cushion/dp/B0009OTGSY/ref=sr_1_8?keywords=Klein+Tools+630-1%2F4+1%2F4-Inch+Nut+Driver+3-Inch+Shaft+Cushion+Grip&amp;qid=1694735346&amp;sr=8-8")</f>
        <v/>
      </c>
      <c r="F5236" t="inlineStr">
        <is>
          <t>B0009OTGSY</t>
        </is>
      </c>
      <c r="G5236">
        <f>_xludf.IMAGE("https://edmondsonsupply.com/cdn/shop/products/630-1-2_4777cf99-f2bc-4f84-bc42-7e765e2a9c37.jpg?v=1587150448")</f>
        <v/>
      </c>
      <c r="H5236">
        <f>_xludf.IMAGE("https://m.media-amazon.com/images/I/51J7GyuS2WL._AC_UL320_.jpg")</f>
        <v/>
      </c>
      <c r="K5236" t="inlineStr">
        <is>
          <t>8.99</t>
        </is>
      </c>
      <c r="L5236" t="n">
        <v>11.53</v>
      </c>
      <c r="M5236" s="1" t="inlineStr">
        <is>
          <t>28.25%</t>
        </is>
      </c>
      <c r="N5236" s="1" t="n">
        <v>-71.06</v>
      </c>
      <c r="O5236" t="n">
        <v>4.8</v>
      </c>
      <c r="P5236" t="n">
        <v>1115</v>
      </c>
      <c r="R5236" t="inlineStr">
        <is>
          <t>InStock</t>
        </is>
      </c>
      <c r="S5236" t="inlineStr">
        <is>
          <t>11.36</t>
        </is>
      </c>
      <c r="T5236" t="inlineStr">
        <is>
          <t>4490760355940</t>
        </is>
      </c>
    </row>
    <row r="5237" ht="87" customHeight="1">
      <c r="A5237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5237" s="2">
        <f>HYPERLINK("https://edmondsonsupply.com/products/klein-tools-et45-ac-dc-voltage-tester", "https://edmondsonsupply.com/products/klein-tools-et45-ac-dc-voltage-tester")</f>
        <v/>
      </c>
      <c r="C5237" t="inlineStr">
        <is>
          <t>Klein Tools ET45 AC/DC Voltage Tester</t>
        </is>
      </c>
      <c r="D5237" t="inlineStr">
        <is>
          <t>Klein Tools NCVT1P Voltage Tester, Non-Contact Voltage Detector Pen, 50V to 1000V AC, Audible and Flashing LED Alarms, Pocket Clip,Green,Red,Green/Red/Yellow</t>
        </is>
      </c>
      <c r="E5237" s="2">
        <f>HYPERLINK("https://www.amazon.com/Non-Contact-Detector-Klein-Tools-NCVT1P/dp/B099SJ6469/ref=sr_1_7?keywords=Klein+Tools+ET45+AC%2FDC+Voltage+Tester&amp;qid=1694735227&amp;sr=8-7", "https://www.amazon.com/Non-Contact-Detector-Klein-Tools-NCVT1P/dp/B099SJ6469/ref=sr_1_7?keywords=Klein+Tools+ET45+AC%2FDC+Voltage+Tester&amp;qid=1694735227&amp;sr=8-7")</f>
        <v/>
      </c>
      <c r="F5237" t="inlineStr">
        <is>
          <t>B099SJ6469</t>
        </is>
      </c>
      <c r="G5237">
        <f>_xlfn.IMAGE("https://edmondsonsupply.com/cdn/shop/products/et45.jpg?v=1647786270")</f>
        <v/>
      </c>
      <c r="H5237">
        <f>_xlfn.IMAGE("https://m.media-amazon.com/images/I/412nrsDmOxL._AC_UL320_.jpg")</f>
        <v/>
      </c>
      <c r="K5237" t="inlineStr">
        <is>
          <t>11.99</t>
        </is>
      </c>
      <c r="L5237" t="n">
        <v>15.36</v>
      </c>
      <c r="M5237" s="1" t="inlineStr">
        <is>
          <t>28.11%</t>
        </is>
      </c>
      <c r="N5237" s="7" t="n">
        <v>-71.27</v>
      </c>
      <c r="O5237" t="n">
        <v>4.6</v>
      </c>
      <c r="P5237" t="n">
        <v>3415</v>
      </c>
      <c r="R5237" t="inlineStr">
        <is>
          <t>InStock</t>
        </is>
      </c>
      <c r="S5237" t="inlineStr">
        <is>
          <t>16.72</t>
        </is>
      </c>
      <c r="T5237" t="inlineStr">
        <is>
          <t>3688633630820</t>
        </is>
      </c>
    </row>
    <row r="5238" hidden="1" ht="15.75" customHeight="1">
      <c r="A5238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5238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5238" t="inlineStr">
        <is>
          <t>Diablo Tools DMAPL4070 1/4 in. x 4 in. x 6 in. Rebar Demon™ SDS-Plus 4-Cutter Full Carbide Head Hammer Bit</t>
        </is>
      </c>
      <c r="D5238" t="inlineStr">
        <is>
          <t>Diablo by Freud Diablo DMAPL4210 5/8 in. x 4 in. x 6 in. Rebar Demon SDS-Plus 4-Cutter Full Carbide Head Hammer Bit</t>
        </is>
      </c>
      <c r="E5238" s="2">
        <f>HYPERLINK("https://www.amazon.com/Diablo-Freud-DMAPL4210-SDS-Plus-4-Cutter/dp/B089LGF2KS/ref=sr_1_6?keywords=Diablo+Tools+DMAPL4070+1%2F4+in.+x+4+in.+x+6+in.+Rebar+Demon%E2%84%A2+SDS-Plus+4-Cutter+Full+Carbide+Head+Hammer+Bit&amp;qid=1694735303&amp;sr=8-6", "https://www.amazon.com/Diablo-Freud-DMAPL4210-SDS-Plus-4-Cutter/dp/B089LGF2KS/ref=sr_1_6?keywords=Diablo+Tools+DMAPL4070+1%2F4+in.+x+4+in.+x+6+in.+Rebar+Demon%E2%84%A2+SDS-Plus+4-Cutter+Full+Carbide+Head+Hammer+Bit&amp;qid=1694735303&amp;sr=8-6")</f>
        <v/>
      </c>
      <c r="F5238" t="inlineStr">
        <is>
          <t>B089LGF2KS</t>
        </is>
      </c>
      <c r="G5238">
        <f>_xludf.IMAGE("https://edmondsonsupply.com/cdn/shop/products/DMAPL4070_Main-Image20200701.png?v=1633030350")</f>
        <v/>
      </c>
      <c r="H5238">
        <f>_xludf.IMAGE("https://m.media-amazon.com/images/I/61rU9ZgmndL._AC_UL320_.jpg")</f>
        <v/>
      </c>
      <c r="K5238" t="inlineStr">
        <is>
          <t>8.97</t>
        </is>
      </c>
      <c r="L5238" t="n">
        <v>11.49</v>
      </c>
      <c r="M5238" s="1" t="inlineStr">
        <is>
          <t>28.09%</t>
        </is>
      </c>
      <c r="N5238" s="1" t="n">
        <v>-71.56999999999999</v>
      </c>
      <c r="O5238" t="n">
        <v>4.6</v>
      </c>
      <c r="P5238" t="n">
        <v>63</v>
      </c>
      <c r="R5238" t="inlineStr">
        <is>
          <t>InStock</t>
        </is>
      </c>
      <c r="S5238" t="inlineStr">
        <is>
          <t>undefined</t>
        </is>
      </c>
      <c r="T5238" t="inlineStr">
        <is>
          <t>5283100197032</t>
        </is>
      </c>
    </row>
    <row r="5239" ht="87" customHeight="1">
      <c r="A5239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239" s="2">
        <f>HYPERLINK("https://edmondsonsupply.com/products/klein-tools-60407-hard-hat-vented-full-brim-with-headlamp", "https://edmondsonsupply.com/products/klein-tools-60407-hard-hat-vented-full-brim-with-headlamp")</f>
        <v/>
      </c>
      <c r="C5239" t="inlineStr">
        <is>
          <t>Klein Tools 60407 Hard Hat, Vented, Full Brim with Headlamp, White</t>
        </is>
      </c>
      <c r="D5239" t="inlineStr">
        <is>
          <t>Klein Tools 60407RL Hard Hat, Rechargeable Headlamp, White &amp; 60181 Cooling Helmet Liner, Under Hard Hat Cap with Mesh Fabric at Crown</t>
        </is>
      </c>
      <c r="E5239" s="2">
        <f>HYPERLINK("https://www.amazon.com/Klein-Tools-60407RL-Rechargeable-Headlamp/dp/B0BR1ZQB58/ref=sr_1_41?keywords=Klein+Tools+60407+Hard+Hat%2C+Vented%2C+Full+Brim+with+Headlamp%2C+White&amp;qid=1694735427&amp;sr=8-41", "https://www.amazon.com/Klein-Tools-60407RL-Rechargeable-Headlamp/dp/B0BR1ZQB58/ref=sr_1_41?keywords=Klein+Tools+60407+Hard+Hat%2C+Vented%2C+Full+Brim+with+Headlamp%2C+White&amp;qid=1694735427&amp;sr=8-41")</f>
        <v/>
      </c>
      <c r="F5239" t="inlineStr">
        <is>
          <t>B0BR1ZQB58</t>
        </is>
      </c>
      <c r="G5239">
        <f>_xlfn.IMAGE("https://edmondsonsupply.com/cdn/shop/products/60407.jpg?v=1587147739")</f>
        <v/>
      </c>
      <c r="H5239">
        <f>_xlfn.IMAGE("https://m.media-amazon.com/images/I/41I3OS+7E0L._AC_UL320_.jpg")</f>
        <v/>
      </c>
      <c r="K5239" t="inlineStr">
        <is>
          <t>54.99</t>
        </is>
      </c>
      <c r="L5239" t="n">
        <v>70.36</v>
      </c>
      <c r="M5239" s="1" t="inlineStr">
        <is>
          <t>27.95%</t>
        </is>
      </c>
      <c r="N5239" s="7" t="n">
        <v>-71.67</v>
      </c>
      <c r="O5239" t="n">
        <v>5</v>
      </c>
      <c r="P5239" t="n">
        <v>1</v>
      </c>
      <c r="R5239" t="inlineStr">
        <is>
          <t>OutOfStock</t>
        </is>
      </c>
      <c r="S5239" t="inlineStr">
        <is>
          <t>82.5</t>
        </is>
      </c>
      <c r="T5239" t="inlineStr">
        <is>
          <t>4357084446820</t>
        </is>
      </c>
    </row>
    <row r="5240" ht="87" customHeight="1">
      <c r="A5240" s="2">
        <f>HYPERLINK("https://edmondsonsupply.com/collections/electricians-tools/products/diablo-tools-dag3040-9-16-in-x-17-1-2-in-auger-bit", "https://edmondsonsupply.com/collections/electricians-tools/products/diablo-tools-dag3040-9-16-in-x-17-1-2-in-auger-bit")</f>
        <v/>
      </c>
      <c r="B5240" s="2">
        <f>HYPERLINK("https://edmondsonsupply.com/products/diablo-tools-dag3040-9-16-in-x-17-1-2-in-auger-bit", "https://edmondsonsupply.com/products/diablo-tools-dag3040-9-16-in-x-17-1-2-in-auger-bit")</f>
        <v/>
      </c>
      <c r="C5240" t="inlineStr">
        <is>
          <t>Diablo Tools DAG3040 9/16 in. x 17-1/2 in. Auger Bit</t>
        </is>
      </c>
      <c r="D5240" t="inlineStr">
        <is>
          <t>Diablo by Freud DAG3100 15/16 in. x 17-1/2 in. Auger Bit Multi, One Size</t>
        </is>
      </c>
      <c r="E5240" s="2">
        <f>HYPERLINK("https://www.amazon.com/Diablo-DAG3100-17-1-Auger-Bit/dp/B089KWFBPH/ref=sr_1_7?keywords=Diablo+Tools+DAG3040+9%2F16+in.+x+17-1%2F2+in.+Auger+Bit&amp;qid=1694735069&amp;sr=8-7", "https://www.amazon.com/Diablo-DAG3100-17-1-Auger-Bit/dp/B089KWFBPH/ref=sr_1_7?keywords=Diablo+Tools+DAG3040+9%2F16+in.+x+17-1%2F2+in.+Auger+Bit&amp;qid=1694735069&amp;sr=8-7")</f>
        <v/>
      </c>
      <c r="F5240" t="inlineStr">
        <is>
          <t>B089KWFBPH</t>
        </is>
      </c>
      <c r="G5240">
        <f>_xlfn.IMAGE("https://edmondsonsupply.com/cdn/shop/products/fmfcptadhtney3owwa7y.webp?v=1669993222")</f>
        <v/>
      </c>
      <c r="H5240">
        <f>_xlfn.IMAGE("https://m.media-amazon.com/images/I/61Lk5PecX2L._AC_UL320_.jpg")</f>
        <v/>
      </c>
      <c r="K5240" t="inlineStr">
        <is>
          <t>17.83</t>
        </is>
      </c>
      <c r="L5240" t="n">
        <v>22.8</v>
      </c>
      <c r="M5240" s="1" t="inlineStr">
        <is>
          <t>27.87%</t>
        </is>
      </c>
      <c r="N5240" s="7" t="n">
        <v>-71.91</v>
      </c>
      <c r="O5240" t="n">
        <v>5</v>
      </c>
      <c r="P5240" t="n">
        <v>3</v>
      </c>
      <c r="R5240" t="inlineStr">
        <is>
          <t>InStock</t>
        </is>
      </c>
      <c r="S5240" t="inlineStr">
        <is>
          <t>28.28</t>
        </is>
      </c>
      <c r="T5240" t="inlineStr">
        <is>
          <t>7897495142616</t>
        </is>
      </c>
    </row>
    <row r="5241" hidden="1" ht="15.75" customHeight="1">
      <c r="A5241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241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241" t="inlineStr">
        <is>
          <t>Klein Tools 630-1/4 1/4-Inch Nut Driver 3-Inch Shaft Cushion Grip</t>
        </is>
      </c>
      <c r="D5241" t="inlineStr">
        <is>
          <t>Klein Tools 600-4 1/4-Inch Keystone Cushion-Grip Screwdriver</t>
        </is>
      </c>
      <c r="E5241" s="2">
        <f>HYPERLINK("https://www.amazon.com/4-Inch-Screwdriver-Klein-Tools-600-4/dp/B000V5KBRG/ref=sr_1_29?keywords=Klein+Tools+630-1%2F4+1%2F4-Inch+Nut+Driver+3-Inch+Shaft+Cushion+Grip&amp;qid=1694735346&amp;sr=8-29", "https://www.amazon.com/4-Inch-Screwdriver-Klein-Tools-600-4/dp/B000V5KBRG/ref=sr_1_29?keywords=Klein+Tools+630-1%2F4+1%2F4-Inch+Nut+Driver+3-Inch+Shaft+Cushion+Grip&amp;qid=1694735346&amp;sr=8-29")</f>
        <v/>
      </c>
      <c r="F5241" t="inlineStr">
        <is>
          <t>B000V5KBRG</t>
        </is>
      </c>
      <c r="G5241">
        <f>_xludf.IMAGE("https://edmondsonsupply.com/cdn/shop/products/630-1-2_4777cf99-f2bc-4f84-bc42-7e765e2a9c37.jpg?v=1587150448")</f>
        <v/>
      </c>
      <c r="H5241">
        <f>_xludf.IMAGE("https://m.media-amazon.com/images/I/41roNUTN46L._AC_UL320_.jpg")</f>
        <v/>
      </c>
      <c r="K5241" t="inlineStr">
        <is>
          <t>8.99</t>
        </is>
      </c>
      <c r="L5241" t="n">
        <v>11.49</v>
      </c>
      <c r="M5241" s="1" t="inlineStr">
        <is>
          <t>27.81%</t>
        </is>
      </c>
      <c r="N5241" s="1" t="n">
        <v>-71.92</v>
      </c>
      <c r="O5241" t="n">
        <v>4.8</v>
      </c>
      <c r="P5241" t="n">
        <v>1834</v>
      </c>
      <c r="R5241" t="inlineStr">
        <is>
          <t>InStock</t>
        </is>
      </c>
      <c r="S5241" t="inlineStr">
        <is>
          <t>11.36</t>
        </is>
      </c>
      <c r="T5241" t="inlineStr">
        <is>
          <t>4490760355940</t>
        </is>
      </c>
    </row>
    <row r="5242" ht="87" customHeight="1">
      <c r="A5242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5242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5242" t="inlineStr">
        <is>
          <t>Diablo Tools DMAPL9920-S7 7pc Rebar Demon™ SDS-Plus 4-Cutter Full Carbide Head Hammer Bit Set</t>
        </is>
      </c>
      <c r="D5242" t="inlineStr">
        <is>
          <t>Diablo DMAPL4310 1 in. x 16 in. x 18 in. Rebar Demon™ SDS-Plus 4-Cutter Full Carbide Head Hammer Bit</t>
        </is>
      </c>
      <c r="E5242" s="2">
        <f>HYPERLINK("https://www.amazon.com/Diablo-DMAPL4310-SDS-Plus-4-Cutter-Carbide/dp/B089KX2VKR/ref=sr_1_20?keywords=Diablo+Tools+DMAPL9920-S7+7pc+Rebar+Demon%E2%84%A2+SDS-Plus+4-Cutter+Full+Carbide+Head+Hammer+Bit+Set&amp;qid=1694735019&amp;sr=8-20", "https://www.amazon.com/Diablo-DMAPL4310-SDS-Plus-4-Cutter-Carbide/dp/B089KX2VKR/ref=sr_1_20?keywords=Diablo+Tools+DMAPL9920-S7+7pc+Rebar+Demon%E2%84%A2+SDS-Plus+4-Cutter+Full+Carbide+Head+Hammer+Bit+Set&amp;qid=1694735019&amp;sr=8-20")</f>
        <v/>
      </c>
      <c r="F5242" t="inlineStr">
        <is>
          <t>B089KX2VKR</t>
        </is>
      </c>
      <c r="G5242">
        <f>_xlfn.IMAGE("https://edmondsonsupply.com/cdn/shop/products/vgtm2xrrra4yfevsszgf.webp?v=1679328619")</f>
        <v/>
      </c>
      <c r="H5242">
        <f>_xlfn.IMAGE("https://m.media-amazon.com/images/I/61iwxfqG2VL._AC_UL320_.jpg")</f>
        <v/>
      </c>
      <c r="K5242" t="inlineStr">
        <is>
          <t>37.97</t>
        </is>
      </c>
      <c r="L5242" t="n">
        <v>48.49</v>
      </c>
      <c r="M5242" s="1" t="inlineStr">
        <is>
          <t>27.71%</t>
        </is>
      </c>
      <c r="N5242" s="7" t="n">
        <v>-71.94</v>
      </c>
      <c r="O5242" t="n">
        <v>4.5</v>
      </c>
      <c r="P5242" t="n">
        <v>32</v>
      </c>
      <c r="R5242" t="inlineStr">
        <is>
          <t>InStock</t>
        </is>
      </c>
      <c r="S5242" t="inlineStr">
        <is>
          <t>55.56</t>
        </is>
      </c>
      <c r="T5242" t="inlineStr">
        <is>
          <t>7964936995032</t>
        </is>
      </c>
    </row>
    <row r="5243" hidden="1" ht="15.75" customHeight="1">
      <c r="A5243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5243" s="2">
        <f>HYPERLINK("https://edmondsonsupply.com/products/klein-tools-31918-bi-metal-hole-saw-1-1-8-inch", "https://edmondsonsupply.com/products/klein-tools-31918-bi-metal-hole-saw-1-1-8-inch")</f>
        <v/>
      </c>
      <c r="C5243" t="inlineStr">
        <is>
          <t>Klein Tools 31918 Bi-Metal Hole Saw, 1-1/8-Inch</t>
        </is>
      </c>
      <c r="D5243" t="inlineStr">
        <is>
          <t>McJ Tools 1-1/8 Inch HSS M2 Drill Bit Hole Saw for Metal, Steel, Iron, Alloy, Ideal for Electricians, Plumbers, DIYs, Metal Professionals</t>
        </is>
      </c>
      <c r="E5243" s="2">
        <f>HYPERLINK("https://www.amazon.com/McJ-Tools-Electricians-Mechanicians-Professionals/dp/B07PXF3XWF/ref=sr_1_29?keywords=Klein+Tools+31918+Bi-Metal+Hole+Saw%2C+1-1%2F8-Inch&amp;qid=1694735078&amp;sr=8-29", "https://www.amazon.com/McJ-Tools-Electricians-Mechanicians-Professionals/dp/B07PXF3XWF/ref=sr_1_29?keywords=Klein+Tools+31918+Bi-Metal+Hole+Saw%2C+1-1%2F8-Inch&amp;qid=1694735078&amp;sr=8-29")</f>
        <v/>
      </c>
      <c r="F5243" t="inlineStr">
        <is>
          <t>B07PXF3XWF</t>
        </is>
      </c>
      <c r="G5243">
        <f>_xludf.IMAGE("https://edmondsonsupply.com/cdn/shop/products/31918.jpg?v=1669739998")</f>
        <v/>
      </c>
      <c r="H5243">
        <f>_xludf.IMAGE("https://m.media-amazon.com/images/I/61br2srR40L._AC_UL320_.jpg")</f>
        <v/>
      </c>
      <c r="K5243" t="inlineStr">
        <is>
          <t>7.99</t>
        </is>
      </c>
      <c r="L5243" t="n">
        <v>10.2</v>
      </c>
      <c r="M5243" s="1" t="inlineStr">
        <is>
          <t>27.66%</t>
        </is>
      </c>
      <c r="N5243" s="1" t="n">
        <v>-72.06999999999999</v>
      </c>
      <c r="O5243" t="n">
        <v>4.4</v>
      </c>
      <c r="P5243" t="n">
        <v>1031</v>
      </c>
      <c r="R5243" t="inlineStr">
        <is>
          <t>InStock</t>
        </is>
      </c>
      <c r="S5243" t="inlineStr">
        <is>
          <t>11.2</t>
        </is>
      </c>
      <c r="T5243" t="inlineStr">
        <is>
          <t>7896138678488</t>
        </is>
      </c>
    </row>
    <row r="5244" ht="87" customHeight="1">
      <c r="A5244" s="2">
        <f>HYPERLINK("https://edmondsonsupply.com/collections/electricians-tools/products/crescent-lufkin-1-3-16-x-16-shockforce-nite-eye%E2%84%A2-g1-dual-sided-tape-measure", "https://edmondsonsupply.com/collections/electricians-tools/products/crescent-lufkin-1-3-16-x-16-shockforce-nite-eye%E2%84%A2-g1-dual-sided-tape-measure")</f>
        <v/>
      </c>
      <c r="B5244" s="2">
        <f>HYPERLINK("https://edmondsonsupply.com/products/crescent-lufkin-1-3-16-x-16-shockforce-nite-eye%e2%84%a2-g1-dual-sided-tape-measure", "https://edmondsonsupply.com/products/crescent-lufkin-1-3-16-x-16-shockforce-nite-eye%e2%84%a2-g1-dual-sided-tape-measure")</f>
        <v/>
      </c>
      <c r="C5244" t="inlineStr">
        <is>
          <t>Crescent Lufkin L1116B-02 1-3/16" x 16' Shockforce Nite Eye™ G1 Dual Sided Tape Measure</t>
        </is>
      </c>
      <c r="D5244" t="inlineStr">
        <is>
          <t>Lufkin 1-3/16" x 35' Shockforce Nite Eye G1 Dual Sided Tape Measure - L1135B</t>
        </is>
      </c>
      <c r="E5244" s="2">
        <f>HYPERLINK("https://www.amazon.com/CRESCENT-LUFKIN-Crescent-Lufkin-Shock/dp/B09N3VL34P/ref=sr_1_4?keywords=Crescent+Lufkin+L1116B-02+1-3%2F16%22+x+16%27+Shockforce+Nite+Eye%E2%84%A2+G1+Dual+Sided+Tape+Measure&amp;qid=1694735006&amp;sr=8-4", "https://www.amazon.com/CRESCENT-LUFKIN-Crescent-Lufkin-Shock/dp/B09N3VL34P/ref=sr_1_4?keywords=Crescent+Lufkin+L1116B-02+1-3%2F16%22+x+16%27+Shockforce+Nite+Eye%E2%84%A2+G1+Dual+Sided+Tape+Measure&amp;qid=1694735006&amp;sr=8-4")</f>
        <v/>
      </c>
      <c r="F5244" t="inlineStr">
        <is>
          <t>B09N3VL34P</t>
        </is>
      </c>
      <c r="G5244">
        <f>_xlfn.IMAGE("https://edmondsonsupply.com/cdn/shop/products/LFK_L11168_IMG_FRONT.jpg?v=1679577698")</f>
        <v/>
      </c>
      <c r="H5244">
        <f>_xlfn.IMAGE("https://m.media-amazon.com/images/I/911pAo7DD4L._AC_UL320_.jpg")</f>
        <v/>
      </c>
      <c r="K5244" t="inlineStr">
        <is>
          <t>24.99</t>
        </is>
      </c>
      <c r="L5244" t="n">
        <v>31.85</v>
      </c>
      <c r="M5244" s="1" t="inlineStr">
        <is>
          <t>27.45%</t>
        </is>
      </c>
      <c r="N5244" s="7" t="n">
        <v>-72.06999999999999</v>
      </c>
      <c r="O5244" t="n">
        <v>4.4</v>
      </c>
      <c r="P5244" t="n">
        <v>55</v>
      </c>
      <c r="R5244" t="inlineStr">
        <is>
          <t>InStock</t>
        </is>
      </c>
      <c r="S5244" t="inlineStr">
        <is>
          <t>46.15</t>
        </is>
      </c>
      <c r="T5244" t="inlineStr">
        <is>
          <t>7965929898200</t>
        </is>
      </c>
    </row>
    <row r="5245" ht="87" customHeight="1">
      <c r="A5245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5245" s="2">
        <f>HYPERLINK("https://edmondsonsupply.com/products/diablo-tools-dmapl2500-7-8-in-x-8-in-x-10-in-sds-plus-2-cutter", "https://edmondsonsupply.com/products/diablo-tools-dmapl2500-7-8-in-x-8-in-x-10-in-sds-plus-2-cutter")</f>
        <v/>
      </c>
      <c r="C5245" t="inlineStr">
        <is>
          <t>Diablo Tools DMAPL2500 7/8 in. x 8 in. x 10 in. SDS-Plus 2-Cutter</t>
        </is>
      </c>
      <c r="D5245" t="inlineStr">
        <is>
          <t>Diablo DMAPL2480 3/4 in. x 22 in. x 24 in. SDS-Plus 2-Cutter</t>
        </is>
      </c>
      <c r="E5245" s="2">
        <f>HYPERLINK("https://www.amazon.com/Diablo-22-24-SDS-Plus-2-Cutter/dp/B089KWB1S4/ref=sr_1_31?keywords=Diablo+Tools+DMAPL2500+7%2F8+in.+x+8+in.+x+10+in.+SDS-Plus+2-Cutter&amp;qid=1694735171&amp;sr=8-31", "https://www.amazon.com/Diablo-22-24-SDS-Plus-2-Cutter/dp/B089KWB1S4/ref=sr_1_31?keywords=Diablo+Tools+DMAPL2500+7%2F8+in.+x+8+in.+x+10+in.+SDS-Plus+2-Cutter&amp;qid=1694735171&amp;sr=8-31")</f>
        <v/>
      </c>
      <c r="F5245" t="inlineStr">
        <is>
          <t>B089KWB1S4</t>
        </is>
      </c>
      <c r="G5245">
        <f>_xlfn.IMAGE("https://edmondsonsupply.com/cdn/shop/products/2500.webp?v=1647636219")</f>
        <v/>
      </c>
      <c r="H5245">
        <f>_xlfn.IMAGE("https://m.media-amazon.com/images/I/61zyh0h-cXL._AC_UL320_.jpg")</f>
        <v/>
      </c>
      <c r="K5245" t="inlineStr">
        <is>
          <t>28.97</t>
        </is>
      </c>
      <c r="L5245" t="n">
        <v>36.92</v>
      </c>
      <c r="M5245" s="1" t="inlineStr">
        <is>
          <t>27.44%</t>
        </is>
      </c>
      <c r="N5245" s="7" t="n">
        <v>-72.06999999999999</v>
      </c>
      <c r="O5245" t="n">
        <v>5</v>
      </c>
      <c r="P5245" t="n">
        <v>3</v>
      </c>
      <c r="R5245" t="inlineStr">
        <is>
          <t>InStock</t>
        </is>
      </c>
      <c r="S5245" t="inlineStr">
        <is>
          <t>33.98</t>
        </is>
      </c>
      <c r="T5245" t="inlineStr">
        <is>
          <t>7639201317080</t>
        </is>
      </c>
    </row>
    <row r="5246" ht="87" customHeight="1">
      <c r="A5246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5246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5246" t="inlineStr">
        <is>
          <t>Klein Tools 635-1/4 1/4-Inch Nut Driver, Magnetic Tip, 4-Inch Shaft</t>
        </is>
      </c>
      <c r="D5246" t="inlineStr">
        <is>
          <t>Klein Tools 65064 Hex Head 2-in-1 Nut Driver, 1/4-Inch and 5/16-Inch</t>
        </is>
      </c>
      <c r="E5246" s="2">
        <f>HYPERLINK("https://www.amazon.com/Driver-16-Inch-Klein-Tools-65064/dp/B01N2S3D09/ref=sr_1_19?keywords=Klein+Tools+635-1%2F4+1%2F4-Inch+Nut+Driver%2C+Magnetic+Tip%2C+4-Inch+Shaft&amp;qid=1694735101&amp;sr=8-19", "https://www.amazon.com/Driver-16-Inch-Klein-Tools-65064/dp/B01N2S3D09/ref=sr_1_19?keywords=Klein+Tools+635-1%2F4+1%2F4-Inch+Nut+Driver%2C+Magnetic+Tip%2C+4-Inch+Shaft&amp;qid=1694735101&amp;sr=8-19")</f>
        <v/>
      </c>
      <c r="F5246" t="inlineStr">
        <is>
          <t>B01N2S3D09</t>
        </is>
      </c>
      <c r="G5246">
        <f>_xlfn.IMAGE("https://edmondsonsupply.com/cdn/shop/products/635-1-4.jpg?v=1666811523")</f>
        <v/>
      </c>
      <c r="H5246">
        <f>_xlfn.IMAGE("https://m.media-amazon.com/images/I/51WqGb8KzpL._AC_UL320_.jpg")</f>
        <v/>
      </c>
      <c r="K5246" t="inlineStr">
        <is>
          <t>11.99</t>
        </is>
      </c>
      <c r="L5246" t="n">
        <v>15.27</v>
      </c>
      <c r="M5246" s="1" t="inlineStr">
        <is>
          <t>27.36%</t>
        </is>
      </c>
      <c r="N5246" s="7" t="n">
        <v>-72.15000000000001</v>
      </c>
      <c r="O5246" t="n">
        <v>4.8</v>
      </c>
      <c r="P5246" t="n">
        <v>1404</v>
      </c>
      <c r="R5246" t="inlineStr">
        <is>
          <t>InStock</t>
        </is>
      </c>
      <c r="S5246" t="inlineStr">
        <is>
          <t>18.18</t>
        </is>
      </c>
      <c r="T5246" t="inlineStr">
        <is>
          <t>7866294010072</t>
        </is>
      </c>
    </row>
    <row r="5247" ht="87" customHeight="1">
      <c r="A5247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247" s="2">
        <f>HYPERLINK("https://edmondsonsupply.com/products/klein-tools-60407-hard-hat-vented-full-brim-with-headlamp", "https://edmondsonsupply.com/products/klein-tools-60407-hard-hat-vented-full-brim-with-headlamp")</f>
        <v/>
      </c>
      <c r="C5247" t="inlineStr">
        <is>
          <t>Klein Tools 60407 Hard Hat, Vented, Full Brim with Headlamp, White</t>
        </is>
      </c>
      <c r="D5247" t="inlineStr">
        <is>
          <t>Klein Tools 60406RL Hard Hat, Rechargeable Headlamp, Non-vented, Full Brim Style, Padded Self-Wicking Odor-Resistant Sweatband, Tested up to 20kV, White</t>
        </is>
      </c>
      <c r="E5247" s="2">
        <f>HYPERLINK("https://www.amazon.com/Klein-Tools-60406RL-Rechargeable-Odor-Resistant/dp/B08FBZT3BW/ref=sr_1_5?keywords=Klein+Tools+60407+Hard+Hat%2C+Vented%2C+Full+Brim+with+Headlamp%2C+White&amp;qid=1694735427&amp;sr=8-5", "https://www.amazon.com/Klein-Tools-60406RL-Rechargeable-Odor-Resistant/dp/B08FBZT3BW/ref=sr_1_5?keywords=Klein+Tools+60407+Hard+Hat%2C+Vented%2C+Full+Brim+with+Headlamp%2C+White&amp;qid=1694735427&amp;sr=8-5")</f>
        <v/>
      </c>
      <c r="F5247" t="inlineStr">
        <is>
          <t>B08FBZT3BW</t>
        </is>
      </c>
      <c r="G5247">
        <f>_xlfn.IMAGE("https://edmondsonsupply.com/cdn/shop/products/60407.jpg?v=1587147739")</f>
        <v/>
      </c>
      <c r="H5247">
        <f>_xlfn.IMAGE("https://m.media-amazon.com/images/I/61cNP5T1keL._AC_UL320_.jpg")</f>
        <v/>
      </c>
      <c r="K5247" t="inlineStr">
        <is>
          <t>54.99</t>
        </is>
      </c>
      <c r="L5247" t="n">
        <v>69.98999999999999</v>
      </c>
      <c r="M5247" s="1" t="inlineStr">
        <is>
          <t>27.28%</t>
        </is>
      </c>
      <c r="N5247" s="7" t="n">
        <v>-72.23</v>
      </c>
      <c r="O5247" t="n">
        <v>4.7</v>
      </c>
      <c r="P5247" t="n">
        <v>357</v>
      </c>
      <c r="R5247" t="inlineStr">
        <is>
          <t>OutOfStock</t>
        </is>
      </c>
      <c r="S5247" t="inlineStr">
        <is>
          <t>82.5</t>
        </is>
      </c>
      <c r="T5247" t="inlineStr">
        <is>
          <t>4357084446820</t>
        </is>
      </c>
    </row>
    <row r="5248" ht="87" customHeight="1">
      <c r="A5248" s="2">
        <f>HYPERLINK("https://edmondsonsupply.com/collections/electricians-tools/products/milwaukee-2553-22", "https://edmondsonsupply.com/collections/electricians-tools/products/milwaukee-2553-22")</f>
        <v/>
      </c>
      <c r="B5248" s="2">
        <f>HYPERLINK("https://edmondsonsupply.com/products/milwaukee-2553-22", "https://edmondsonsupply.com/products/milwaukee-2553-22")</f>
        <v/>
      </c>
      <c r="C5248" t="inlineStr">
        <is>
          <t>Milwaukee 2553-22 M12 FUEL™ 1/4" Hex Impact Driver Kit</t>
        </is>
      </c>
      <c r="D5248" t="inlineStr">
        <is>
          <t>Milwaukee 2598-22 M12 FUEL 2-Tool Combo Kit: 1/2 in. Hammer Drill and 1/4 in. Hex Impact Driver</t>
        </is>
      </c>
      <c r="E5248" s="2">
        <f>HYPERLINK("https://www.amazon.com/Milwaukee-2598-22-FUEL-2-Tool-Combo/dp/B07F9Q4H5S/ref=sr_1_10?keywords=Milwaukee+2553-22+M12+FUEL%E2%84%A2+1%2F4%22+Hex+Impact+Driver+Kit&amp;qid=1694735083&amp;sr=8-10", "https://www.amazon.com/Milwaukee-2598-22-FUEL-2-Tool-Combo/dp/B07F9Q4H5S/ref=sr_1_10?keywords=Milwaukee+2553-22+M12+FUEL%E2%84%A2+1%2F4%22+Hex+Impact+Driver+Kit&amp;qid=1694735083&amp;sr=8-10")</f>
        <v/>
      </c>
      <c r="F5248" t="inlineStr">
        <is>
          <t>B07F9Q4H5S</t>
        </is>
      </c>
      <c r="G5248">
        <f>_xlfn.IMAGE("https://edmondsonsupply.com/cdn/shop/products/2553-22_Kit.webp?v=1668445129")</f>
        <v/>
      </c>
      <c r="H5248">
        <f>_xlfn.IMAGE("https://m.media-amazon.com/images/I/617O-7-wU2L._AC_UL320_.jpg")</f>
        <v/>
      </c>
      <c r="K5248" t="inlineStr">
        <is>
          <t>169.0</t>
        </is>
      </c>
      <c r="L5248" t="n">
        <v>215</v>
      </c>
      <c r="M5248" s="1" t="inlineStr">
        <is>
          <t>27.22%</t>
        </is>
      </c>
      <c r="N5248" s="7" t="n">
        <v>-72.34</v>
      </c>
      <c r="O5248" t="n">
        <v>4.8</v>
      </c>
      <c r="P5248" t="n">
        <v>68</v>
      </c>
      <c r="R5248" t="inlineStr">
        <is>
          <t>InStock</t>
        </is>
      </c>
      <c r="S5248" t="inlineStr">
        <is>
          <t>299.0</t>
        </is>
      </c>
      <c r="T5248" t="inlineStr">
        <is>
          <t>7884423528664</t>
        </is>
      </c>
    </row>
    <row r="5249" hidden="1" ht="15.75" customHeight="1">
      <c r="A5249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5249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5249" t="inlineStr">
        <is>
          <t>Diablo Tools DMAPL4080 1/4 in. x 6 in. x 8 in. Rebar Demon™ SDS-Plus 4-Cutter Full Carbide Head Hammer Bit</t>
        </is>
      </c>
      <c r="D5249" t="inlineStr">
        <is>
          <t>Diablo by Freud DMAPL4010 5/32 in. x 2 in. x 4 in. Rebar Demon SDS-Plus 4-Cutter Full Carbide Head Hammer Bit</t>
        </is>
      </c>
      <c r="E5249" s="2">
        <f>HYPERLINK("https://www.amazon.com/Diablo-SDS-Plus-4-Cutter-Carbide-Hammer/dp/B089KWVTD3/ref=sr_1_24?keywords=Diablo+Tools+DMAPL4080+1%2F4+in.+x+6+in.+x+8+in.+Rebar+Demon%E2%84%A2+SDS-Plus+4-Cutter+Full+Carbide+Head+Hammer+Bit&amp;qid=1694735294&amp;sr=8-24", "https://www.amazon.com/Diablo-SDS-Plus-4-Cutter-Carbide-Hammer/dp/B089KWVTD3/ref=sr_1_24?keywords=Diablo+Tools+DMAPL4080+1%2F4+in.+x+6+in.+x+8+in.+Rebar+Demon%E2%84%A2+SDS-Plus+4-Cutter+Full+Carbide+Head+Hammer+Bit&amp;qid=1694735294&amp;sr=8-24")</f>
        <v/>
      </c>
      <c r="F5249" t="inlineStr">
        <is>
          <t>B089KWVTD3</t>
        </is>
      </c>
      <c r="G5249">
        <f>_xludf.IMAGE("https://edmondsonsupply.com/cdn/shop/products/DMAPL4080_1.jpg?v=1633030359")</f>
        <v/>
      </c>
      <c r="H5249">
        <f>_xludf.IMAGE("https://m.media-amazon.com/images/I/61IkB-DVS1L._AC_UL320_.jpg")</f>
        <v/>
      </c>
      <c r="K5249" t="inlineStr">
        <is>
          <t>7.47</t>
        </is>
      </c>
      <c r="L5249" t="n">
        <v>9.5</v>
      </c>
      <c r="M5249" s="1" t="inlineStr">
        <is>
          <t>27.18%</t>
        </is>
      </c>
      <c r="N5249" s="1" t="n">
        <v>-72.48999999999999</v>
      </c>
      <c r="O5249" t="n">
        <v>4.7</v>
      </c>
      <c r="P5249" t="n">
        <v>4</v>
      </c>
      <c r="R5249" t="inlineStr">
        <is>
          <t>InStock</t>
        </is>
      </c>
      <c r="S5249" t="inlineStr">
        <is>
          <t>undefined</t>
        </is>
      </c>
      <c r="T5249" t="inlineStr">
        <is>
          <t>5286767919272</t>
        </is>
      </c>
    </row>
    <row r="5250" hidden="1" ht="15.75" customHeight="1">
      <c r="A5250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5250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5250" t="inlineStr">
        <is>
          <t>Diablo Tools DMAPL4080 1/4 in. x 6 in. x 8 in. Rebar Demon™ SDS-Plus 4-Cutter Full Carbide Head Hammer Bit</t>
        </is>
      </c>
      <c r="D5250" t="inlineStr">
        <is>
          <t>Diablo 1/2" x 4"x6" Rebar Demon™ SDS-Plus 4-Cutter Full Carbide Head Hammer Bit</t>
        </is>
      </c>
      <c r="E5250" s="2">
        <f>HYPERLINK("https://www.amazon.com/Diablo-Freud-DMAPL4180-SDS-Plus-4-Cutter/dp/B089KW9PV4/ref=sr_1_22?keywords=Diablo+Tools+DMAPL4080+1%2F4+in.+x+6+in.+x+8+in.+Rebar+Demon%E2%84%A2+SDS-Plus+4-Cutter+Full+Carbide+Head+Hammer+Bit&amp;qid=1694735294&amp;sr=8-22", "https://www.amazon.com/Diablo-Freud-DMAPL4180-SDS-Plus-4-Cutter/dp/B089KW9PV4/ref=sr_1_22?keywords=Diablo+Tools+DMAPL4080+1%2F4+in.+x+6+in.+x+8+in.+Rebar+Demon%E2%84%A2+SDS-Plus+4-Cutter+Full+Carbide+Head+Hammer+Bit&amp;qid=1694735294&amp;sr=8-22")</f>
        <v/>
      </c>
      <c r="F5250" t="inlineStr">
        <is>
          <t>B089KW9PV4</t>
        </is>
      </c>
      <c r="G5250">
        <f>_xludf.IMAGE("https://edmondsonsupply.com/cdn/shop/products/DMAPL4080_1.jpg?v=1633030359")</f>
        <v/>
      </c>
      <c r="H5250">
        <f>_xludf.IMAGE("https://m.media-amazon.com/images/I/61q9iw+mKpL._AC_UL320_.jpg")</f>
        <v/>
      </c>
      <c r="K5250" t="inlineStr">
        <is>
          <t>7.47</t>
        </is>
      </c>
      <c r="L5250" t="n">
        <v>9.49</v>
      </c>
      <c r="M5250" s="1" t="inlineStr">
        <is>
          <t>27.04%</t>
        </is>
      </c>
      <c r="N5250" s="1" t="n">
        <v>-72.70999999999999</v>
      </c>
      <c r="O5250" t="n">
        <v>4.5</v>
      </c>
      <c r="P5250" t="n">
        <v>57</v>
      </c>
      <c r="R5250" t="inlineStr">
        <is>
          <t>InStock</t>
        </is>
      </c>
      <c r="S5250" t="inlineStr">
        <is>
          <t>undefined</t>
        </is>
      </c>
      <c r="T5250" t="inlineStr">
        <is>
          <t>5286767919272</t>
        </is>
      </c>
    </row>
    <row r="5251" ht="87" customHeight="1">
      <c r="A5251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5251" s="2">
        <f>HYPERLINK("https://edmondsonsupply.com/products/klein-tools-32307-27-in-1-multi-bit-tamperproof-screwdriver", "https://edmondsonsupply.com/products/klein-tools-32307-27-in-1-multi-bit-tamperproof-screwdriver")</f>
        <v/>
      </c>
      <c r="C5251" t="inlineStr">
        <is>
          <t>Klein Tools 32307 27-in-1 Multi-Bit Tamperproof Screwdriver</t>
        </is>
      </c>
      <c r="D5251" t="inlineStr">
        <is>
          <t>Klein Tools 32517 Multi-Bit Screwdriver / Tap Tool with 6 Common Tap Sizes, 4 Screwdriver Tips, and 3 Nut Driver Sizes</t>
        </is>
      </c>
      <c r="E5251" s="2">
        <f>HYPERLINK("https://www.amazon.com/Multi-Bit-Driver-Klein-Tools-32517/dp/B00NH7JUD6/ref=sr_1_53?keywords=Klein+Tools+32307+27-in-1+Multi-Bit+Tamperproof+Screwdriver&amp;qid=1694735165&amp;sr=8-53", "https://www.amazon.com/Multi-Bit-Driver-Klein-Tools-32517/dp/B00NH7JUD6/ref=sr_1_53?keywords=Klein+Tools+32307+27-in-1+Multi-Bit+Tamperproof+Screwdriver&amp;qid=1694735165&amp;sr=8-53")</f>
        <v/>
      </c>
      <c r="F5251" t="inlineStr">
        <is>
          <t>B00NH7JUD6</t>
        </is>
      </c>
      <c r="G5251">
        <f>_xlfn.IMAGE("https://edmondsonsupply.com/cdn/shop/products/32307.jpg?v=1647347524")</f>
        <v/>
      </c>
      <c r="H5251">
        <f>_xlfn.IMAGE("https://m.media-amazon.com/images/I/51FVp5xpI+L._AC_UL320_.jpg")</f>
        <v/>
      </c>
      <c r="K5251" t="inlineStr">
        <is>
          <t>25.97</t>
        </is>
      </c>
      <c r="L5251" t="n">
        <v>32.97</v>
      </c>
      <c r="M5251" s="1" t="inlineStr">
        <is>
          <t>26.95%</t>
        </is>
      </c>
      <c r="N5251" s="7" t="n">
        <v>-72.8</v>
      </c>
      <c r="O5251" t="n">
        <v>4.7</v>
      </c>
      <c r="P5251" t="n">
        <v>193</v>
      </c>
      <c r="R5251" t="inlineStr">
        <is>
          <t>InStock</t>
        </is>
      </c>
      <c r="S5251" t="inlineStr">
        <is>
          <t>36.38</t>
        </is>
      </c>
      <c r="T5251" t="inlineStr">
        <is>
          <t>7637266366680</t>
        </is>
      </c>
    </row>
    <row r="5252" ht="87" customHeight="1">
      <c r="A5252" s="2">
        <f>HYPERLINK("https://edmondsonsupply.com/collections/electricians-tools/products/channellock-317", "https://edmondsonsupply.com/collections/electricians-tools/products/channellock-317")</f>
        <v/>
      </c>
      <c r="B5252" s="2">
        <f>HYPERLINK("https://edmondsonsupply.com/products/channellock-317", "https://edmondsonsupply.com/products/channellock-317")</f>
        <v/>
      </c>
      <c r="C5252" t="inlineStr">
        <is>
          <t>Channellock 317 8-Inch Long Nose Pliers with Side Cutter</t>
        </is>
      </c>
      <c r="D5252" t="inlineStr">
        <is>
          <t>KNIPEX Tools - Long Nose Pliers With Cutter, 40 Degree Angled (2621200), 8 inches</t>
        </is>
      </c>
      <c r="E5252" s="2">
        <f>HYPERLINK("https://www.amazon.com/Knipex-2621200-8-Inch-Angled-Pliers/dp/B000X4J1PI/ref=sr_1_36?keywords=Channellock+317+8-Inch+Long+Nose+Pliers+with+Side+Cutter&amp;qid=1694735322&amp;sr=8-36", "https://www.amazon.com/Knipex-2621200-8-Inch-Angled-Pliers/dp/B000X4J1PI/ref=sr_1_36?keywords=Channellock+317+8-Inch+Long+Nose+Pliers+with+Side+Cutter&amp;qid=1694735322&amp;sr=8-36")</f>
        <v/>
      </c>
      <c r="F5252" t="inlineStr">
        <is>
          <t>B000X4J1PI</t>
        </is>
      </c>
      <c r="G5252">
        <f>_xlfn.IMAGE("https://edmondsonsupply.com/cdn/shop/products/317-683x1024.jpg?v=1633030326")</f>
        <v/>
      </c>
      <c r="H5252">
        <f>_xlfn.IMAGE("https://m.media-amazon.com/images/I/614Qx5nochL._AC_UL320_.jpg")</f>
        <v/>
      </c>
      <c r="K5252" t="inlineStr">
        <is>
          <t>24.95</t>
        </is>
      </c>
      <c r="L5252" t="n">
        <v>31.67</v>
      </c>
      <c r="M5252" s="1" t="inlineStr">
        <is>
          <t>26.93%</t>
        </is>
      </c>
      <c r="N5252" s="7" t="n">
        <v>-72.88</v>
      </c>
      <c r="O5252" t="n">
        <v>4.8</v>
      </c>
      <c r="P5252" t="n">
        <v>194</v>
      </c>
      <c r="R5252" t="inlineStr">
        <is>
          <t>InStock</t>
        </is>
      </c>
      <c r="S5252" t="inlineStr">
        <is>
          <t>35.15</t>
        </is>
      </c>
      <c r="T5252" t="inlineStr">
        <is>
          <t>5247343526056</t>
        </is>
      </c>
    </row>
    <row r="5253" ht="87" customHeight="1">
      <c r="A5253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253" s="2">
        <f>HYPERLINK("https://edmondsonsupply.com/products/klein-tools-635-1-2-1-2-inch-heavy-duty-nut-driver", "https://edmondsonsupply.com/products/klein-tools-635-1-2-1-2-inch-heavy-duty-nut-driver")</f>
        <v/>
      </c>
      <c r="C5253" t="inlineStr">
        <is>
          <t>Klein Tools 635-1/2 1/2-Inch Heavy-Duty Nut Driver</t>
        </is>
      </c>
      <c r="D5253" t="inlineStr">
        <is>
          <t>Klein Tools PND125 1/2-Inch Power Nut Driver 5-Inch Length</t>
        </is>
      </c>
      <c r="E5253" s="2">
        <f>HYPERLINK("https://www.amazon.com/2-Inch-Driver-Klein-Tools-PND125/dp/B00ELGQJT0/ref=sr_1_5?keywords=Klein+Tools+635-1%2F2+1%2F2-Inch+Heavy-Duty+Nut+Driver&amp;qid=1694735353&amp;sr=8-5", "https://www.amazon.com/2-Inch-Driver-Klein-Tools-PND125/dp/B00ELGQJT0/ref=sr_1_5?keywords=Klein+Tools+635-1%2F2+1%2F2-Inch+Heavy-Duty+Nut+Driver&amp;qid=1694735353&amp;sr=8-5")</f>
        <v/>
      </c>
      <c r="F5253" t="inlineStr">
        <is>
          <t>B00ELGQJT0</t>
        </is>
      </c>
      <c r="G5253">
        <f>_xlfn.IMAGE("https://edmondsonsupply.com/cdn/shop/products/635-1-2.jpg?v=1587147726")</f>
        <v/>
      </c>
      <c r="H5253">
        <f>_xlfn.IMAGE("https://m.media-amazon.com/images/I/41vRVkuMIDL._AC_UL320_.jpg")</f>
        <v/>
      </c>
      <c r="K5253" t="inlineStr">
        <is>
          <t>14.99</t>
        </is>
      </c>
      <c r="L5253" t="n">
        <v>18.99</v>
      </c>
      <c r="M5253" s="1" t="inlineStr">
        <is>
          <t>26.68%</t>
        </is>
      </c>
      <c r="N5253" s="7" t="n">
        <v>-72.93000000000001</v>
      </c>
      <c r="O5253" t="n">
        <v>4.6</v>
      </c>
      <c r="P5253" t="n">
        <v>1105</v>
      </c>
      <c r="R5253" t="inlineStr">
        <is>
          <t>InStock</t>
        </is>
      </c>
      <c r="S5253" t="inlineStr">
        <is>
          <t>22.78</t>
        </is>
      </c>
      <c r="T5253" t="inlineStr">
        <is>
          <t>4473296945252</t>
        </is>
      </c>
    </row>
    <row r="5254" ht="87" customHeight="1">
      <c r="A5254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5254" s="2">
        <f>HYPERLINK("https://edmondsonsupply.com/products/amprobe-st-102b-receptacle-tester-with-gfci", "https://edmondsonsupply.com/products/amprobe-st-102b-receptacle-tester-with-gfci")</f>
        <v/>
      </c>
      <c r="C5254" t="inlineStr">
        <is>
          <t>Amprobe ST-102B Receptacle Tester with GFCI</t>
        </is>
      </c>
      <c r="D5254" t="inlineStr">
        <is>
          <t>Amprobe ST-102B Socket Tester with GFCI, Red</t>
        </is>
      </c>
      <c r="E5254" s="2">
        <f>HYPERLINK("https://www.amazon.com/Amprobe-ST-102B-Socket-Tester-GFCI/dp/B008E07HM2/ref=sr_1_1?keywords=Amprobe+ST-102B+Receptacle+Tester+with+GFCI&amp;qid=1694735128&amp;sr=8-1", "https://www.amazon.com/Amprobe-ST-102B-Socket-Tester-GFCI/dp/B008E07HM2/ref=sr_1_1?keywords=Amprobe+ST-102B+Receptacle+Tester+with+GFCI&amp;qid=1694735128&amp;sr=8-1")</f>
        <v/>
      </c>
      <c r="F5254" t="inlineStr">
        <is>
          <t>B008E07HM2</t>
        </is>
      </c>
      <c r="G5254">
        <f>_xlfn.IMAGE("https://edmondsonsupply.com/cdn/shop/products/PD_ST102B1.jpg?v=1662641155")</f>
        <v/>
      </c>
      <c r="H5254">
        <f>_xlfn.IMAGE("https://m.media-amazon.com/images/I/81-iavIBGyL._AC_UL320_.jpg")</f>
        <v/>
      </c>
      <c r="K5254" t="inlineStr">
        <is>
          <t>17.49</t>
        </is>
      </c>
      <c r="L5254" t="n">
        <v>22.15</v>
      </c>
      <c r="M5254" s="1" t="inlineStr">
        <is>
          <t>26.64%</t>
        </is>
      </c>
      <c r="N5254" s="7" t="n">
        <v>-73.04000000000001</v>
      </c>
      <c r="O5254" t="n">
        <v>4.4</v>
      </c>
      <c r="P5254" t="n">
        <v>1100</v>
      </c>
      <c r="R5254" t="inlineStr">
        <is>
          <t>InStock</t>
        </is>
      </c>
      <c r="S5254" t="inlineStr">
        <is>
          <t>19.99</t>
        </is>
      </c>
      <c r="T5254" t="inlineStr">
        <is>
          <t>7808944570584</t>
        </is>
      </c>
    </row>
    <row r="5255" ht="87" customHeight="1">
      <c r="A5255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5255" s="2">
        <f>HYPERLINK("https://edmondsonsupply.com/products/klein-tools-31948-bi-metal-hole-saw-3-inch", "https://edmondsonsupply.com/products/klein-tools-31948-bi-metal-hole-saw-3-inch")</f>
        <v/>
      </c>
      <c r="C5255" t="inlineStr">
        <is>
          <t>Klein Tools 31948 Bi-Metal Hole Saw, 3-Inch</t>
        </is>
      </c>
      <c r="D5255" t="inlineStr">
        <is>
          <t>LENOX Tools Hole Saw, Bi-Metal, Speed Slot, 3-1/2-Inch (1772012)</t>
        </is>
      </c>
      <c r="E5255" s="2">
        <f>HYPERLINK("https://www.amazon.com/LENOX-Tools-Bi-Metal-Speed-Technology/dp/B001HRME3Q/ref=sr_1_7?keywords=Klein+Tools+31948+Bi-Metal+Hole+Saw%2C+3-Inch&amp;qid=1694735118&amp;sr=8-7", "https://www.amazon.com/LENOX-Tools-Bi-Metal-Speed-Technology/dp/B001HRME3Q/ref=sr_1_7?keywords=Klein+Tools+31948+Bi-Metal+Hole+Saw%2C+3-Inch&amp;qid=1694735118&amp;sr=8-7")</f>
        <v/>
      </c>
      <c r="F5255" t="inlineStr">
        <is>
          <t>B001HRME3Q</t>
        </is>
      </c>
      <c r="G5255">
        <f>_xlfn.IMAGE("https://edmondsonsupply.com/cdn/shop/products/31948.jpg?v=1663945105")</f>
        <v/>
      </c>
      <c r="H5255">
        <f>_xlfn.IMAGE("https://m.media-amazon.com/images/I/61dnc3rYmwL._AC_UL320_.jpg")</f>
        <v/>
      </c>
      <c r="K5255" t="inlineStr">
        <is>
          <t>14.99</t>
        </is>
      </c>
      <c r="L5255" t="n">
        <v>18.97</v>
      </c>
      <c r="M5255" s="1" t="inlineStr">
        <is>
          <t>26.55%</t>
        </is>
      </c>
      <c r="N5255" s="7" t="n">
        <v>-73.26000000000001</v>
      </c>
      <c r="O5255" t="n">
        <v>4.6</v>
      </c>
      <c r="P5255" t="n">
        <v>121</v>
      </c>
      <c r="R5255" t="inlineStr">
        <is>
          <t>InStock</t>
        </is>
      </c>
      <c r="S5255" t="inlineStr">
        <is>
          <t>19.62</t>
        </is>
      </c>
      <c r="T5255" t="inlineStr">
        <is>
          <t>7827277185240</t>
        </is>
      </c>
    </row>
    <row r="5256" ht="87" customHeight="1">
      <c r="A5256" s="2">
        <f>HYPERLINK("https://edmondsonsupply.com/collections/electricians-tools/products/klein-tools-d506-4-adjustable-wrench-plastic-dipped-4-inch", "https://edmondsonsupply.com/collections/electricians-tools/products/klein-tools-d506-4-adjustable-wrench-plastic-dipped-4-inch")</f>
        <v/>
      </c>
      <c r="B5256" s="2">
        <f>HYPERLINK("https://edmondsonsupply.com/products/klein-tools-d506-4-adjustable-wrench-plastic-dipped-4-inch", "https://edmondsonsupply.com/products/klein-tools-d506-4-adjustable-wrench-plastic-dipped-4-inch")</f>
        <v/>
      </c>
      <c r="C5256" t="inlineStr">
        <is>
          <t>Klein Tools D506-4 Adjustable Wrench, Plastic Dipped, 4-Inch</t>
        </is>
      </c>
      <c r="D5256" t="inlineStr">
        <is>
          <t>Klein Tools D86932 Adjustable Wrench, Forged with Slimmer Jaw and a High Polish Chrome Finish, 4-inch</t>
        </is>
      </c>
      <c r="E5256" s="2">
        <f>HYPERLINK("https://www.amazon.com/Slim-Jaw-Adjustable-Klein-Tools-D86932/dp/B0753LJHG1/ref=sr_1_3?keywords=Klein+Tools+D506-4+Adjustable+Wrench%2C+Plastic+Dipped%2C+4-Inch&amp;qid=1694735411&amp;sr=8-3", "https://www.amazon.com/Slim-Jaw-Adjustable-Klein-Tools-D86932/dp/B0753LJHG1/ref=sr_1_3?keywords=Klein+Tools+D506-4+Adjustable+Wrench%2C+Plastic+Dipped%2C+4-Inch&amp;qid=1694735411&amp;sr=8-3")</f>
        <v/>
      </c>
      <c r="F5256" t="inlineStr">
        <is>
          <t>B0753LJHG1</t>
        </is>
      </c>
      <c r="G5256">
        <f>_xlfn.IMAGE("https://edmondsonsupply.com/cdn/shop/products/d5064.jpg?v=1587144913")</f>
        <v/>
      </c>
      <c r="H5256">
        <f>_xlfn.IMAGE("https://m.media-amazon.com/images/I/51bQN5lP8VL._AC_UL320_.jpg")</f>
        <v/>
      </c>
      <c r="K5256" t="inlineStr">
        <is>
          <t>24.49</t>
        </is>
      </c>
      <c r="L5256" t="n">
        <v>30.99</v>
      </c>
      <c r="M5256" s="1" t="inlineStr">
        <is>
          <t>26.54%</t>
        </is>
      </c>
      <c r="N5256" s="7" t="n">
        <v>-73.34</v>
      </c>
      <c r="O5256" t="n">
        <v>4.5</v>
      </c>
      <c r="P5256" t="n">
        <v>125</v>
      </c>
      <c r="R5256" t="inlineStr">
        <is>
          <t>InStock</t>
        </is>
      </c>
      <c r="S5256" t="inlineStr">
        <is>
          <t>37.1</t>
        </is>
      </c>
      <c r="T5256" t="inlineStr">
        <is>
          <t>4387858055268</t>
        </is>
      </c>
    </row>
    <row r="5257" ht="87" customHeight="1">
      <c r="A5257" s="2">
        <f>HYPERLINK("https://edmondsonsupply.com/collections/electricians-tools/products/komelon-7325-25-x-1-maggrip%E2%84%A2-speedmark%E2%84%A2-magnetic-tape-measure", "https://edmondsonsupply.com/collections/electricians-tools/products/komelon-7325-25-x-1-maggrip%E2%84%A2-speedmark%E2%84%A2-magnetic-tape-measure")</f>
        <v/>
      </c>
      <c r="B5257" s="2">
        <f>HYPERLINK("https://edmondsonsupply.com/products/komelon-7325-25-x-1-maggrip%e2%84%a2-speedmark%e2%84%a2-magnetic-tape-measure", "https://edmondsonsupply.com/products/komelon-7325-25-x-1-maggrip%e2%84%a2-speedmark%e2%84%a2-magnetic-tape-measure")</f>
        <v/>
      </c>
      <c r="C5257" t="inlineStr">
        <is>
          <t>Komelon 7325 25' X 1" MagGrip™ SpeedMark™, Magnetic Tape Measure</t>
        </is>
      </c>
      <c r="D5257" t="inlineStr">
        <is>
          <t>Komelon 7325; 25' x 1" Magnetic MagGrip Tape Measure, Yellow/Black</t>
        </is>
      </c>
      <c r="E5257" s="2">
        <f>HYPERLINK("https://www.amazon.com/Komelon-7325-MagGrip-Measure-25-Feet/dp/B002IVTCDK/ref=sr_1_1?keywords=Komelon+7325+25%27+X+1%22+MagGrip%E2%84%A2+SpeedMark%E2%84%A2%2C+Magnetic+Tape+Measure&amp;qid=1694735220&amp;sr=8-1", "https://www.amazon.com/Komelon-7325-MagGrip-Measure-25-Feet/dp/B002IVTCDK/ref=sr_1_1?keywords=Komelon+7325+25%27+X+1%22+MagGrip%E2%84%A2+SpeedMark%E2%84%A2%2C+Magnetic+Tape+Measure&amp;qid=1694735220&amp;sr=8-1")</f>
        <v/>
      </c>
      <c r="F5257" t="inlineStr">
        <is>
          <t>B002IVTCDK</t>
        </is>
      </c>
      <c r="G5257">
        <f>_xlfn.IMAGE("https://edmondsonsupply.com/cdn/shop/products/7325_angleExtended.jpg?v=1633030981")</f>
        <v/>
      </c>
      <c r="H5257">
        <f>_xlfn.IMAGE("https://m.media-amazon.com/images/I/81BMZejmcBL._AC_UL320_.jpg")</f>
        <v/>
      </c>
      <c r="K5257" t="inlineStr">
        <is>
          <t>13.99</t>
        </is>
      </c>
      <c r="L5257" t="n">
        <v>17.7</v>
      </c>
      <c r="M5257" s="1" t="inlineStr">
        <is>
          <t>26.52%</t>
        </is>
      </c>
      <c r="N5257" s="7" t="n">
        <v>-73.34</v>
      </c>
      <c r="O5257" t="n">
        <v>4.3</v>
      </c>
      <c r="P5257" t="n">
        <v>221</v>
      </c>
      <c r="R5257" t="inlineStr">
        <is>
          <t>InStock</t>
        </is>
      </c>
      <c r="S5257" t="inlineStr">
        <is>
          <t>undefined</t>
        </is>
      </c>
      <c r="T5257" t="inlineStr">
        <is>
          <t>6652039692461</t>
        </is>
      </c>
    </row>
    <row r="5258" ht="87" customHeight="1">
      <c r="A5258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258" s="2">
        <f>HYPERLINK("https://edmondsonsupply.com/products/diablo-tools-dag1110-7-8-in-x-7-1-2-in-auger-bit", "https://edmondsonsupply.com/products/diablo-tools-dag1110-7-8-in-x-7-1-2-in-auger-bit")</f>
        <v/>
      </c>
      <c r="C5258" t="inlineStr">
        <is>
          <t>Diablo Tools DAG1110 7/8 in. x 7-1/2 in. Auger Bit</t>
        </is>
      </c>
      <c r="D5258" t="inlineStr">
        <is>
          <t>Diablo 1-1/8 in. x 7-1/2 in. Auger Bit</t>
        </is>
      </c>
      <c r="E5258" s="2">
        <f>HYPERLINK("https://www.amazon.com/Diablo-Freud-DAG1140-1-1-Auger/dp/B089LK4BYB/ref=sr_1_7?keywords=Diablo+Tools+DAG1110+7%2F8+in.+x+7-1%2F2+in.+Auger+Bit&amp;qid=1694735001&amp;sr=8-7", "https://www.amazon.com/Diablo-Freud-DAG1140-1-1-Auger/dp/B089LK4BYB/ref=sr_1_7?keywords=Diablo+Tools+DAG1110+7%2F8+in.+x+7-1%2F2+in.+Auger+Bit&amp;qid=1694735001&amp;sr=8-7")</f>
        <v/>
      </c>
      <c r="F5258" t="inlineStr">
        <is>
          <t>B089LK4BYB</t>
        </is>
      </c>
      <c r="G5258">
        <f>_xlfn.IMAGE("https://edmondsonsupply.com/cdn/shop/products/yel7mbaiyy08ii0assd5.webp?v=1680187136")</f>
        <v/>
      </c>
      <c r="H5258">
        <f>_xlfn.IMAGE("https://m.media-amazon.com/images/I/71oBAD0fx0L._AC_UL320_.jpg")</f>
        <v/>
      </c>
      <c r="K5258" t="inlineStr">
        <is>
          <t>16.97</t>
        </is>
      </c>
      <c r="L5258" t="n">
        <v>21.47</v>
      </c>
      <c r="M5258" s="1" t="inlineStr">
        <is>
          <t>26.52%</t>
        </is>
      </c>
      <c r="N5258" s="7" t="n">
        <v>-74.43000000000001</v>
      </c>
      <c r="O5258" t="n">
        <v>4.2</v>
      </c>
      <c r="P5258" t="n">
        <v>10</v>
      </c>
      <c r="R5258" t="inlineStr">
        <is>
          <t>InStock</t>
        </is>
      </c>
      <c r="S5258" t="inlineStr">
        <is>
          <t>23.76</t>
        </is>
      </c>
      <c r="T5258" t="inlineStr">
        <is>
          <t>7970459549912</t>
        </is>
      </c>
    </row>
    <row r="5259" ht="87" customHeight="1">
      <c r="A5259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5259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5259" t="inlineStr">
        <is>
          <t>Diablo Tools DOU125BF 1-1/4 in. Universal Fit Bi-Metal Oscillating Blade for Metal</t>
        </is>
      </c>
      <c r="D5259" t="inlineStr">
        <is>
          <t>Diablo DOU125BW3 1-1/4 in. Universal Fit Bi-Metal Oscillating Blades for Nail-Embedded Wood (3-Pack)</t>
        </is>
      </c>
      <c r="E5259" s="2">
        <f>HYPERLINK("https://www.amazon.com/Diablo-Universal-Bi-Metal-Blades-Nail-Embedded/dp/B089KW2WVD/ref=sr_1_3?keywords=Diablo+Tools+DOU125BF+1-1%2F4+in.+Universal+Fit+Bi-Metal+Oscillating+Blade+for+Metal&amp;qid=1694734995&amp;sr=8-3", "https://www.amazon.com/Diablo-Universal-Bi-Metal-Blades-Nail-Embedded/dp/B089KW2WVD/ref=sr_1_3?keywords=Diablo+Tools+DOU125BF+1-1%2F4+in.+Universal+Fit+Bi-Metal+Oscillating+Blade+for+Metal&amp;qid=1694734995&amp;sr=8-3")</f>
        <v/>
      </c>
      <c r="F5259" t="inlineStr">
        <is>
          <t>B089KW2WVD</t>
        </is>
      </c>
      <c r="G5259">
        <f>_xlfn.IMAGE("https://edmondsonsupply.com/cdn/shop/files/k1d1qiwmm4npznsdbwtg.webp?v=1685467858")</f>
        <v/>
      </c>
      <c r="H5259">
        <f>_xlfn.IMAGE("https://m.media-amazon.com/images/I/613ig7mNjfL._AC_UL320_.jpg")</f>
        <v/>
      </c>
      <c r="K5259" t="inlineStr">
        <is>
          <t>18.97</t>
        </is>
      </c>
      <c r="L5259" t="n">
        <v>23.99</v>
      </c>
      <c r="M5259" s="1" t="inlineStr">
        <is>
          <t>26.46%</t>
        </is>
      </c>
      <c r="N5259" s="7" t="n">
        <v>-74.58</v>
      </c>
      <c r="O5259" t="n">
        <v>4.6</v>
      </c>
      <c r="P5259" t="n">
        <v>147</v>
      </c>
      <c r="R5259" t="inlineStr">
        <is>
          <t>InStock</t>
        </is>
      </c>
      <c r="S5259" t="inlineStr">
        <is>
          <t>22.35</t>
        </is>
      </c>
      <c r="T5259" t="inlineStr">
        <is>
          <t>7997877584088</t>
        </is>
      </c>
    </row>
    <row r="5260" hidden="1" ht="15.75" customHeight="1">
      <c r="A5260" s="2">
        <f>HYPERLINK("https://edmondsonsupply.com/collections/electricians-tools/products/tajima-lc-303-precision-craft-303", "https://edmondsonsupply.com/collections/electricians-tools/products/tajima-lc-303-precision-craft-303")</f>
        <v/>
      </c>
      <c r="B5260" s="2">
        <f>HYPERLINK("https://edmondsonsupply.com/products/tajima-lc-303-precision-craft-303", "https://edmondsonsupply.com/products/tajima-lc-303-precision-craft-303")</f>
        <v/>
      </c>
      <c r="C5260" t="inlineStr">
        <is>
          <t>Tajima LC-303 Precision Craft 303 Blade Cutter Knife</t>
        </is>
      </c>
      <c r="D5260" t="inlineStr">
        <is>
          <t>TAJIMA Utility Knives &amp; Blades - 3/8" Precision Craft Snap Blade Box Cutter with Slide Lock &amp; 3 Endura-Blades - LC-303</t>
        </is>
      </c>
      <c r="E5260" s="2">
        <f>HYPERLINK("https://www.amazon.com/TAJIMA-Utility-Knives-Blades-Endura-Blades/dp/B0008KLNR6/ref=sr_1_1?keywords=Tajima+LC-303+Precision+Craft+303+Blade+Cutter+Knife&amp;qid=1694735112&amp;sr=8-1", "https://www.amazon.com/TAJIMA-Utility-Knives-Blades-Endura-Blades/dp/B0008KLNR6/ref=sr_1_1?keywords=Tajima+LC-303+Precision+Craft+303+Blade+Cutter+Knife&amp;qid=1694735112&amp;sr=8-1")</f>
        <v/>
      </c>
      <c r="F5260" t="inlineStr">
        <is>
          <t>B0008KLNR6</t>
        </is>
      </c>
      <c r="G5260">
        <f>_xludf.IMAGE("https://edmondsonsupply.com/cdn/shop/products/LC-303.jpg?v=1664483437")</f>
        <v/>
      </c>
      <c r="H5260">
        <f>_xludf.IMAGE("https://m.media-amazon.com/images/I/41VLFrgRZQL._AC_UL320_.jpg")</f>
        <v/>
      </c>
      <c r="K5260" t="inlineStr">
        <is>
          <t>5.19</t>
        </is>
      </c>
      <c r="L5260" t="n">
        <v>6.56</v>
      </c>
      <c r="M5260" s="1" t="inlineStr">
        <is>
          <t>26.40%</t>
        </is>
      </c>
      <c r="N5260" s="1" t="n">
        <v>-74.61</v>
      </c>
      <c r="O5260" t="n">
        <v>4.3</v>
      </c>
      <c r="P5260" t="n">
        <v>13</v>
      </c>
      <c r="R5260" t="inlineStr">
        <is>
          <t>InStock</t>
        </is>
      </c>
      <c r="S5260" t="inlineStr">
        <is>
          <t>undefined</t>
        </is>
      </c>
      <c r="T5260" t="inlineStr">
        <is>
          <t>7833871778008</t>
        </is>
      </c>
    </row>
    <row r="5261" hidden="1" ht="15.75" customHeight="1">
      <c r="A5261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5261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5261" t="inlineStr">
        <is>
          <t>Klein Tools 602-4 1/4-Inch Keystone Screwdriver, 4-Inch Round Shank</t>
        </is>
      </c>
      <c r="D5261" t="inlineStr">
        <is>
          <t>Klein Tools K46 5/16-Inch Slotted Screw-Holding Flat Head Screwdriver with 6-Inch Round Shank and Comfordome Handle</t>
        </is>
      </c>
      <c r="E5261" s="2">
        <f>HYPERLINK("https://www.amazon.com/Klein-Tools-K46-Screw-Holding-Screwdriver/dp/B000936P4S/ref=sr_1_44?keywords=Klein+Tools+602-4+1%2F4-Inch+Keystone+Screwdriver%2C+4-Inch+Round+Shank&amp;qid=1694735235&amp;sr=8-44", "https://www.amazon.com/Klein-Tools-K46-Screw-Holding-Screwdriver/dp/B000936P4S/ref=sr_1_44?keywords=Klein+Tools+602-4+1%2F4-Inch+Keystone+Screwdriver%2C+4-Inch+Round+Shank&amp;qid=1694735235&amp;sr=8-44")</f>
        <v/>
      </c>
      <c r="F5261" t="inlineStr">
        <is>
          <t>B000936P4S</t>
        </is>
      </c>
      <c r="G5261">
        <f>_xludf.IMAGE("https://edmondsonsupply.com/cdn/shop/products/602-6.jpg?v=1633030821")</f>
        <v/>
      </c>
      <c r="H5261">
        <f>_xludf.IMAGE("https://m.media-amazon.com/images/I/61Q6wSN1OyL._AC_UL320_.jpg")</f>
        <v/>
      </c>
      <c r="K5261" t="inlineStr">
        <is>
          <t>9.49</t>
        </is>
      </c>
      <c r="L5261" t="n">
        <v>11.99</v>
      </c>
      <c r="M5261" s="1" t="inlineStr">
        <is>
          <t>26.34%</t>
        </is>
      </c>
      <c r="N5261" s="1" t="n">
        <v>-74.61</v>
      </c>
      <c r="O5261" t="n">
        <v>4.6</v>
      </c>
      <c r="P5261" t="n">
        <v>168</v>
      </c>
      <c r="R5261" t="inlineStr">
        <is>
          <t>InStock</t>
        </is>
      </c>
      <c r="S5261" t="inlineStr">
        <is>
          <t>14.36</t>
        </is>
      </c>
      <c r="T5261" t="inlineStr">
        <is>
          <t>6080792363181</t>
        </is>
      </c>
    </row>
    <row r="5262" hidden="1" ht="15.75" customHeight="1">
      <c r="A5262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5262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5262" t="inlineStr">
        <is>
          <t>Klein Tools 602-4 1/4-Inch Keystone Screwdriver, 4-Inch Round Shank</t>
        </is>
      </c>
      <c r="D5262" t="inlineStr">
        <is>
          <t>Klein Tools 6846INS Insulated Screwdriver, 1000V #2 Square Tip Screwdriver with 6-Inch Shank, Tip-Ident, Cushion-Grip Handle</t>
        </is>
      </c>
      <c r="E5262" s="2">
        <f>HYPERLINK("https://www.amazon.com/Klein-Tools-6846INS-Screwdriver-Cushion-Grip/dp/B0BF7X96QK/ref=sr_1_13?keywords=Klein+Tools+602-4+1%2F4-Inch+Keystone+Screwdriver%2C+4-Inch+Round+Shank&amp;qid=1694735235&amp;sr=8-13", "https://www.amazon.com/Klein-Tools-6846INS-Screwdriver-Cushion-Grip/dp/B0BF7X96QK/ref=sr_1_13?keywords=Klein+Tools+602-4+1%2F4-Inch+Keystone+Screwdriver%2C+4-Inch+Round+Shank&amp;qid=1694735235&amp;sr=8-13")</f>
        <v/>
      </c>
      <c r="F5262" t="inlineStr">
        <is>
          <t>B0BF7X96QK</t>
        </is>
      </c>
      <c r="G5262">
        <f>_xludf.IMAGE("https://edmondsonsupply.com/cdn/shop/products/602-6.jpg?v=1633030821")</f>
        <v/>
      </c>
      <c r="H5262">
        <f>_xludf.IMAGE("https://m.media-amazon.com/images/I/31EOUkZ6n3L._AC_UL320_.jpg")</f>
        <v/>
      </c>
      <c r="K5262" t="inlineStr">
        <is>
          <t>9.49</t>
        </is>
      </c>
      <c r="L5262" t="n">
        <v>11.97</v>
      </c>
      <c r="M5262" s="1" t="inlineStr">
        <is>
          <t>26.13%</t>
        </is>
      </c>
      <c r="N5262" s="1" t="n">
        <v>-74.66</v>
      </c>
      <c r="O5262" t="n">
        <v>4.7</v>
      </c>
      <c r="P5262" t="n">
        <v>201</v>
      </c>
      <c r="R5262" t="inlineStr">
        <is>
          <t>InStock</t>
        </is>
      </c>
      <c r="S5262" t="inlineStr">
        <is>
          <t>14.36</t>
        </is>
      </c>
      <c r="T5262" t="inlineStr">
        <is>
          <t>6080792363181</t>
        </is>
      </c>
    </row>
    <row r="5263" ht="87" customHeight="1">
      <c r="A5263" s="2">
        <f>HYPERLINK("https://edmondsonsupply.com/collections/electricians-tools/products/diablo-tools-dag3040-9-16-in-x-17-1-2-in-auger-bit", "https://edmondsonsupply.com/collections/electricians-tools/products/diablo-tools-dag3040-9-16-in-x-17-1-2-in-auger-bit")</f>
        <v/>
      </c>
      <c r="B5263" s="2">
        <f>HYPERLINK("https://edmondsonsupply.com/products/diablo-tools-dag3040-9-16-in-x-17-1-2-in-auger-bit", "https://edmondsonsupply.com/products/diablo-tools-dag3040-9-16-in-x-17-1-2-in-auger-bit")</f>
        <v/>
      </c>
      <c r="C5263" t="inlineStr">
        <is>
          <t>Diablo Tools DAG3040 9/16 in. x 17-1/2 in. Auger Bit</t>
        </is>
      </c>
      <c r="D5263" t="inlineStr">
        <is>
          <t>Diablo 9/16 in. x 17-1/2 in. Auger Bit</t>
        </is>
      </c>
      <c r="E5263" s="2">
        <f>HYPERLINK("https://www.amazon.com/Diablo-16-17-1-Auger-Bit/dp/B089LDN2LV/ref=sr_1_1?keywords=Diablo+Tools+DAG3040+9%2F16+in.+x+17-1%2F2+in.+Auger+Bit&amp;qid=1694735069&amp;sr=8-1", "https://www.amazon.com/Diablo-16-17-1-Auger-Bit/dp/B089LDN2LV/ref=sr_1_1?keywords=Diablo+Tools+DAG3040+9%2F16+in.+x+17-1%2F2+in.+Auger+Bit&amp;qid=1694735069&amp;sr=8-1")</f>
        <v/>
      </c>
      <c r="F5263" t="inlineStr">
        <is>
          <t>B089LDN2LV</t>
        </is>
      </c>
      <c r="G5263">
        <f>_xlfn.IMAGE("https://edmondsonsupply.com/cdn/shop/products/fmfcptadhtney3owwa7y.webp?v=1669993222")</f>
        <v/>
      </c>
      <c r="H5263">
        <f>_xlfn.IMAGE("https://m.media-amazon.com/images/I/61mtvebHezL._AC_UL320_.jpg")</f>
        <v/>
      </c>
      <c r="K5263" t="inlineStr">
        <is>
          <t>17.83</t>
        </is>
      </c>
      <c r="L5263" t="n">
        <v>22.47</v>
      </c>
      <c r="M5263" s="1" t="inlineStr">
        <is>
          <t>26.02%</t>
        </is>
      </c>
      <c r="N5263" s="7" t="n">
        <v>-74.7</v>
      </c>
      <c r="O5263" t="n">
        <v>4.8</v>
      </c>
      <c r="P5263" t="n">
        <v>8</v>
      </c>
      <c r="R5263" t="inlineStr">
        <is>
          <t>InStock</t>
        </is>
      </c>
      <c r="S5263" t="inlineStr">
        <is>
          <t>28.28</t>
        </is>
      </c>
      <c r="T5263" t="inlineStr">
        <is>
          <t>7897495142616</t>
        </is>
      </c>
    </row>
    <row r="5264" ht="87" customHeight="1">
      <c r="A5264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5264" s="2">
        <f>HYPERLINK("https://edmondsonsupply.com/products/milwaukee-49-56-0505-1-4-diamond-max%e2%84%a2-hole-saw", "https://edmondsonsupply.com/products/milwaukee-49-56-0505-1-4-diamond-max%e2%84%a2-hole-saw")</f>
        <v/>
      </c>
      <c r="C5264" t="inlineStr">
        <is>
          <t>Milwaukee 49-56-0505 1/4" Diamond MAX™ Hole Saw</t>
        </is>
      </c>
      <c r="D5264" t="inlineStr">
        <is>
          <t>Miluwakee Milwaukee 49-56-0501 Diamond MAX 1/4inch Diamond Grit Hole Saw 2 Pack</t>
        </is>
      </c>
      <c r="E5264" s="2">
        <f>HYPERLINK("https://www.amazon.com/Miluwakee-Milwaukee-49-56-0501-Diamond-4inch/dp/B09L5DK255/ref=sr_1_3?keywords=Milwaukee+49-56-0505+1%2F4%22+Diamond+MAX%E2%84%A2+Hole+Saw&amp;qid=1694735000&amp;sr=8-3", "https://www.amazon.com/Miluwakee-Milwaukee-49-56-0501-Diamond-4inch/dp/B09L5DK255/ref=sr_1_3?keywords=Milwaukee+49-56-0505+1%2F4%22+Diamond+MAX%E2%84%A2+Hole+Saw&amp;qid=1694735000&amp;sr=8-3")</f>
        <v/>
      </c>
      <c r="F5264" t="inlineStr">
        <is>
          <t>B09L5DK255</t>
        </is>
      </c>
      <c r="G5264">
        <f>_xlfn.IMAGE("https://edmondsonsupply.com/cdn/shop/products/49-56-0507_1.png?v=1680111300")</f>
        <v/>
      </c>
      <c r="H5264">
        <f>_xlfn.IMAGE("https://m.media-amazon.com/images/I/61ZDvOsOb3L._AC_UL320_.jpg")</f>
        <v/>
      </c>
      <c r="K5264" t="inlineStr">
        <is>
          <t>19.99</t>
        </is>
      </c>
      <c r="L5264" t="n">
        <v>25.19</v>
      </c>
      <c r="M5264" s="1" t="inlineStr">
        <is>
          <t>26.01%</t>
        </is>
      </c>
      <c r="N5264" s="7" t="n">
        <v>-74.70999999999999</v>
      </c>
      <c r="O5264" t="n">
        <v>4.8</v>
      </c>
      <c r="P5264" t="n">
        <v>5</v>
      </c>
      <c r="R5264" t="inlineStr">
        <is>
          <t>InStock</t>
        </is>
      </c>
      <c r="S5264" t="inlineStr">
        <is>
          <t>26.6</t>
        </is>
      </c>
      <c r="T5264" t="inlineStr">
        <is>
          <t>7969746485464</t>
        </is>
      </c>
    </row>
    <row r="5265" ht="87" customHeight="1">
      <c r="A5265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5265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5265" t="inlineStr">
        <is>
          <t>Klein Tools ET310 Digital Circuit Breaker Finder with GFCI Outlet Tester</t>
        </is>
      </c>
      <c r="D5265" t="inlineStr">
        <is>
          <t>Klein Tools ET310 AC Circuit Breaker Finder &amp; Tools RT210 Outlet Tester, Receptacle Tester for GFCI/Standard North American AC Electrical Outlets, Detects Common Wiring Problems</t>
        </is>
      </c>
      <c r="E5265" s="2">
        <f>HYPERLINK("https://www.amazon.com/Klein-Tools-Receptacle-Standard-Electrical/dp/B08V632VSP/ref=sr_1_14?keywords=Klein+Tools+ET310+Digital+Circuit+Breaker+Finder+with+GFCI+Outlet+Tester&amp;qid=1694734974&amp;sr=8-14", "https://www.amazon.com/Klein-Tools-Receptacle-Standard-Electrical/dp/B08V632VSP/ref=sr_1_14?keywords=Klein+Tools+ET310+Digital+Circuit+Breaker+Finder+with+GFCI+Outlet+Tester&amp;qid=1694734974&amp;sr=8-14")</f>
        <v/>
      </c>
      <c r="F5265" t="inlineStr">
        <is>
          <t>B08V632VSP</t>
        </is>
      </c>
      <c r="G5265">
        <f>_xlfn.IMAGE("https://edmondsonsupply.com/cdn/shop/products/et310_c.jpg?v=1646963918")</f>
        <v/>
      </c>
      <c r="H5265">
        <f>_xlfn.IMAGE("https://m.media-amazon.com/images/I/51PA7348ecL._AC_UL320_.jpg")</f>
        <v/>
      </c>
      <c r="K5265" t="inlineStr">
        <is>
          <t>49.97</t>
        </is>
      </c>
      <c r="L5265" t="n">
        <v>62.94</v>
      </c>
      <c r="M5265" s="1" t="inlineStr">
        <is>
          <t>25.96%</t>
        </is>
      </c>
      <c r="N5265" s="7" t="n">
        <v>-74.90000000000001</v>
      </c>
      <c r="O5265" t="n">
        <v>4.8</v>
      </c>
      <c r="P5265" t="n">
        <v>16</v>
      </c>
      <c r="R5265" t="inlineStr">
        <is>
          <t>InStock</t>
        </is>
      </c>
      <c r="S5265" t="inlineStr">
        <is>
          <t>75.1</t>
        </is>
      </c>
      <c r="T5265" t="inlineStr">
        <is>
          <t>3389551280228</t>
        </is>
      </c>
    </row>
    <row r="5266" ht="87" customHeight="1">
      <c r="A5266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5266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5266" t="inlineStr">
        <is>
          <t>Diablo Tools DMAPL4070-P25 1/4 in. x 4 in. x 6 in. Rebar Demon™ SDS-Plus 4-Cutter Full Carbide Head Hammer Bit (25-Pack)</t>
        </is>
      </c>
      <c r="D5266" t="inlineStr">
        <is>
          <t>Diablo by Freud DMAPL4180-P25 1/2 in. x 4 in. x 6 in. Rebar Demon SDS-Plus 4-Cutter Full Carbide Head Hammer Bit (25-Pack) Multi, One Size</t>
        </is>
      </c>
      <c r="E5266" s="2">
        <f>HYPERLINK("https://www.amazon.com/Diablo-Rebar-4-Cutter-Carbide-Hammer/dp/B089LGWV7F/ref=sr_1_3?keywords=Diablo+Tools+DMAPL4070-P25+1%2F4+in.+x+4+in.+x+6+in.+Rebar+Demon%E2%84%A2+SDS-Plus+4-Cutter+Full+Carbide+Head+Hammer+Bit+%2825-Pack%29&amp;qid=1694735305&amp;sr=8-3", "https://www.amazon.com/Diablo-Rebar-4-Cutter-Carbide-Hammer/dp/B089LGWV7F/ref=sr_1_3?keywords=Diablo+Tools+DMAPL4070-P25+1%2F4+in.+x+4+in.+x+6+in.+Rebar+Demon%E2%84%A2+SDS-Plus+4-Cutter+Full+Carbide+Head+Hammer+Bit+%2825-Pack%29&amp;qid=1694735305&amp;sr=8-3")</f>
        <v/>
      </c>
      <c r="F5266" t="inlineStr">
        <is>
          <t>B089LGWV7F</t>
        </is>
      </c>
      <c r="G5266">
        <f>_xlfn.IMAGE("https://edmondsonsupply.com/cdn/shop/products/DMAPL4070.jpg?v=1633030350")</f>
        <v/>
      </c>
      <c r="H5266">
        <f>_xlfn.IMAGE("https://m.media-amazon.com/images/I/61q9iw+mKpL._AC_UL320_.jpg")</f>
        <v/>
      </c>
      <c r="K5266" t="inlineStr">
        <is>
          <t>79.47</t>
        </is>
      </c>
      <c r="L5266" t="n">
        <v>99.98999999999999</v>
      </c>
      <c r="M5266" s="1" t="inlineStr">
        <is>
          <t>25.82%</t>
        </is>
      </c>
      <c r="N5266" s="7" t="n">
        <v>-75.13</v>
      </c>
      <c r="O5266" t="n">
        <v>5</v>
      </c>
      <c r="P5266" t="n">
        <v>2</v>
      </c>
      <c r="R5266" t="inlineStr">
        <is>
          <t>InStock</t>
        </is>
      </c>
      <c r="S5266" t="inlineStr">
        <is>
          <t>106.66</t>
        </is>
      </c>
      <c r="T5266" t="inlineStr">
        <is>
          <t>5283065069736</t>
        </is>
      </c>
    </row>
    <row r="5267" ht="87" customHeight="1">
      <c r="A5267" s="2">
        <f>HYPERLINK("https://edmondsonsupply.com/collections/electricians-tools/products/klein-tools-11045-wire-stripper-cutter-10-18-awg-solid", "https://edmondsonsupply.com/collections/electricians-tools/products/klein-tools-11045-wire-stripper-cutter-10-18-awg-solid")</f>
        <v/>
      </c>
      <c r="B5267" s="2">
        <f>HYPERLINK("https://edmondsonsupply.com/products/klein-tools-11045-wire-stripper-cutter-10-18-awg-solid", "https://edmondsonsupply.com/products/klein-tools-11045-wire-stripper-cutter-10-18-awg-solid")</f>
        <v/>
      </c>
      <c r="C5267" t="inlineStr">
        <is>
          <t>Klein Tools 11045 Wire Stripper/Cutter (10-18 AWG Solid)</t>
        </is>
      </c>
      <c r="D5267" t="inlineStr">
        <is>
          <t>Klein Tools K11095 Klein-Kurve Wire Stripper and Cutter, for 8-18 AWG Solid and 10-20 AWG Stranded Wire,Blue/White</t>
        </is>
      </c>
      <c r="E5267" s="2">
        <f>HYPERLINK("https://www.amazon.com/Klein-Tools-K11095-Klein-Kurve-Stripper/dp/B08TQ83P2C/ref=sr_1_5?keywords=Klein+Tools+11045+Wire+Stripper%2FCutter+%2810-18+AWG+Solid%29&amp;qid=1694735208&amp;sr=8-5", "https://www.amazon.com/Klein-Tools-K11095-Klein-Kurve-Stripper/dp/B08TQ83P2C/ref=sr_1_5?keywords=Klein+Tools+11045+Wire+Stripper%2FCutter+%2810-18+AWG+Solid%29&amp;qid=1694735208&amp;sr=8-5")</f>
        <v/>
      </c>
      <c r="F5267" t="inlineStr">
        <is>
          <t>B08TQ83P2C</t>
        </is>
      </c>
      <c r="G5267">
        <f>_xlfn.IMAGE("https://edmondsonsupply.com/cdn/shop/products/11045.jpg?v=1633031022")</f>
        <v/>
      </c>
      <c r="H5267">
        <f>_xlfn.IMAGE("https://m.media-amazon.com/images/I/5180XMjuiIL._AC_UL320_.jpg")</f>
        <v/>
      </c>
      <c r="K5267" t="inlineStr">
        <is>
          <t>15.97</t>
        </is>
      </c>
      <c r="L5267" t="n">
        <v>20.09</v>
      </c>
      <c r="M5267" s="1" t="inlineStr">
        <is>
          <t>25.80%</t>
        </is>
      </c>
      <c r="N5267" s="7" t="n">
        <v>-75.27</v>
      </c>
      <c r="O5267" t="n">
        <v>4.8</v>
      </c>
      <c r="P5267" t="n">
        <v>438</v>
      </c>
      <c r="R5267" t="inlineStr">
        <is>
          <t>InStock</t>
        </is>
      </c>
      <c r="S5267" t="inlineStr">
        <is>
          <t>22.8</t>
        </is>
      </c>
      <c r="T5267" t="inlineStr">
        <is>
          <t>6712927027373</t>
        </is>
      </c>
    </row>
    <row r="5268" ht="87" customHeight="1">
      <c r="A5268" s="2">
        <f>HYPERLINK("https://edmondsonsupply.com/collections/electricians-tools/products/diablo-tools-dmamx1020", "https://edmondsonsupply.com/collections/electricians-tools/products/diablo-tools-dmamx1020")</f>
        <v/>
      </c>
      <c r="B5268" s="2">
        <f>HYPERLINK("https://edmondsonsupply.com/products/diablo-tools-dmamx1020", "https://edmondsonsupply.com/products/diablo-tools-dmamx1020")</f>
        <v/>
      </c>
      <c r="C5268" t="inlineStr">
        <is>
          <t>Diablo Tools DMAMX1020 1/2 in. x 8 in. x 13 in. Rebar Demon SDS‑Max 4‑Cutter Full Carbide Head Hammer Bit</t>
        </is>
      </c>
      <c r="D5268" t="inlineStr">
        <is>
          <t>Diablo DMAMX1140 3/4 in. x 16 in. x 21 in. Rebar Demon™ SDS-Max 4-Cutter Full Carbide Head Hammer Bit</t>
        </is>
      </c>
      <c r="E5268" s="2">
        <f>HYPERLINK("https://www.amazon.com/Diablo-SDS-Max-4-Cutter-Carbide-Hammer/dp/B089KWP4WK/ref=sr_1_25?keywords=Diablo+Tools+DMAMX1020+1%2F2+in.+x+8+in.+x+13+in.+Rebar+Demon+SDS%E2%80%91Max+4%E2%80%91Cutter+Full+Carbide+Head+Hammer+Bit&amp;qid=1694735268&amp;sr=8-25", "https://www.amazon.com/Diablo-SDS-Max-4-Cutter-Carbide-Hammer/dp/B089KWP4WK/ref=sr_1_25?keywords=Diablo+Tools+DMAMX1020+1%2F2+in.+x+8+in.+x+13+in.+Rebar+Demon+SDS%E2%80%91Max+4%E2%80%91Cutter+Full+Carbide+Head+Hammer+Bit&amp;qid=1694735268&amp;sr=8-25")</f>
        <v/>
      </c>
      <c r="F5268" t="inlineStr">
        <is>
          <t>B089KWP4WK</t>
        </is>
      </c>
      <c r="G5268">
        <f>_xlfn.IMAGE("https://edmondsonsupply.com/cdn/shop/products/DMAMX1020_Main-Image20200701.png?v=1609798895")</f>
        <v/>
      </c>
      <c r="H5268">
        <f>_xlfn.IMAGE("https://m.media-amazon.com/images/I/61yWWNP1xrL._AC_UL320_.jpg")</f>
        <v/>
      </c>
      <c r="K5268" t="inlineStr">
        <is>
          <t>39.97</t>
        </is>
      </c>
      <c r="L5268" t="n">
        <v>50.26</v>
      </c>
      <c r="M5268" s="1" t="inlineStr">
        <is>
          <t>25.74%</t>
        </is>
      </c>
      <c r="N5268" s="7" t="n">
        <v>-75.29000000000001</v>
      </c>
      <c r="O5268" t="n">
        <v>5</v>
      </c>
      <c r="P5268" t="n">
        <v>9</v>
      </c>
      <c r="R5268" t="inlineStr">
        <is>
          <t>InStock</t>
        </is>
      </c>
      <c r="S5268" t="inlineStr">
        <is>
          <t>42.31</t>
        </is>
      </c>
      <c r="T5268" t="inlineStr">
        <is>
          <t>5463822598312</t>
        </is>
      </c>
    </row>
    <row r="5269" ht="87" customHeight="1">
      <c r="A5269" s="2">
        <f>HYPERLINK("https://edmondsonsupply.com/collections/electricians-tools/products/klein-tools-d504-12b-quick-adjust-klaw%E2%84%A2-pump-pliers-12-inch", "https://edmondsonsupply.com/collections/electricians-tools/products/klein-tools-d504-12b-quick-adjust-klaw%E2%84%A2-pump-pliers-12-inch")</f>
        <v/>
      </c>
      <c r="B5269" s="2">
        <f>HYPERLINK("https://edmondsonsupply.com/products/klein-tools-d504-12b-quick-adjust-klaw%e2%84%a2-pump-pliers-12-inch", "https://edmondsonsupply.com/products/klein-tools-d504-12b-quick-adjust-klaw%e2%84%a2-pump-pliers-12-inch")</f>
        <v/>
      </c>
      <c r="C5269" t="inlineStr">
        <is>
          <t>Klein Tools D504-12B Quick-Adjust Klaw™ Pump Pliers, 12-Inch</t>
        </is>
      </c>
      <c r="D5269" t="inlineStr">
        <is>
          <t>Klein Tools D504-12B Pump Pliers, Quick-Adjust Tongue and Groove Klaw Water Pump Pliers, 12-Inch</t>
        </is>
      </c>
      <c r="E5269" s="2">
        <f>HYPERLINK("https://www.amazon.com/Quick-Adjust-12-Inch-Klein-Tools-D504-12B/dp/B00BJ4OS4A/ref=sr_1_1?keywords=Klein+Tools+D504-12B+Quick-Adjust+Klaw%E2%84%A2+Pump+Pliers%2C+12-Inch&amp;qid=1694735257&amp;sr=8-1", "https://www.amazon.com/Quick-Adjust-12-Inch-Klein-Tools-D504-12B/dp/B00BJ4OS4A/ref=sr_1_1?keywords=Klein+Tools+D504-12B+Quick-Adjust+Klaw%E2%84%A2+Pump+Pliers%2C+12-Inch&amp;qid=1694735257&amp;sr=8-1")</f>
        <v/>
      </c>
      <c r="F5269" t="inlineStr">
        <is>
          <t>B00BJ4OS4A</t>
        </is>
      </c>
      <c r="G5269">
        <f>_xlfn.IMAGE("https://edmondsonsupply.com/cdn/shop/products/d504-12b_59cf846c-5663-489a-b84e-4e8cf5157515.jpg?v=1633030754")</f>
        <v/>
      </c>
      <c r="H5269">
        <f>_xlfn.IMAGE("https://m.media-amazon.com/images/I/5118ry+5A7L._AC_UL320_.jpg")</f>
        <v/>
      </c>
      <c r="K5269" t="inlineStr">
        <is>
          <t>54.99</t>
        </is>
      </c>
      <c r="L5269" t="n">
        <v>69.14</v>
      </c>
      <c r="M5269" s="1" t="inlineStr">
        <is>
          <t>25.73%</t>
        </is>
      </c>
      <c r="N5269" s="7" t="n">
        <v>-75.29000000000001</v>
      </c>
      <c r="O5269" t="n">
        <v>4.7</v>
      </c>
      <c r="P5269" t="n">
        <v>254</v>
      </c>
      <c r="R5269" t="inlineStr">
        <is>
          <t>InStock</t>
        </is>
      </c>
      <c r="S5269" t="inlineStr">
        <is>
          <t>77.18</t>
        </is>
      </c>
      <c r="T5269" t="inlineStr">
        <is>
          <t>5903831695528</t>
        </is>
      </c>
    </row>
    <row r="5270" ht="87" customHeight="1">
      <c r="A5270" s="2">
        <f>HYPERLINK("https://edmondsonsupply.com/collections/electricians-tools/products/klein-tools-5539cpak-assorted-canvas-zipper-bags-3-pack", "https://edmondsonsupply.com/collections/electricians-tools/products/klein-tools-5539cpak-assorted-canvas-zipper-bags-3-pack")</f>
        <v/>
      </c>
      <c r="B5270" s="2">
        <f>HYPERLINK("https://edmondsonsupply.com/products/klein-tools-5539cpak-assorted-canvas-zipper-bags-3-pack", "https://edmondsonsupply.com/products/klein-tools-5539cpak-assorted-canvas-zipper-bags-3-pack")</f>
        <v/>
      </c>
      <c r="C5270" t="inlineStr">
        <is>
          <t>Klein Tools 5539CPAK Zipper Bags, Assorted Canvas Tool Pouches, 3-Pack</t>
        </is>
      </c>
      <c r="D5270" t="inlineStr">
        <is>
          <t>Klein Tools 5539LCPAK Zipper Bags, Large 16-Inch Canvas Tool Pouches for Tool Storage with Brass Zipper, and Grommet for Hanging, 3-Pack</t>
        </is>
      </c>
      <c r="E5270" s="2">
        <f>HYPERLINK("https://www.amazon.com/Klein-Tools-5539LCPAK-Organizer-Assorted/dp/B07R6XPCTD/ref=sr_1_2?keywords=Klein+Tools+5539CPAK+Zipper+Bags%2C+Assorted+Canvas+Tool+Pouches%2C+3-Pack&amp;qid=1694735341&amp;sr=8-2", "https://www.amazon.com/Klein-Tools-5539LCPAK-Organizer-Assorted/dp/B07R6XPCTD/ref=sr_1_2?keywords=Klein+Tools+5539CPAK+Zipper+Bags%2C+Assorted+Canvas+Tool+Pouches%2C+3-Pack&amp;qid=1694735341&amp;sr=8-2")</f>
        <v/>
      </c>
      <c r="F5270" t="inlineStr">
        <is>
          <t>B07R6XPCTD</t>
        </is>
      </c>
      <c r="G5270">
        <f>_xlfn.IMAGE("https://edmondsonsupply.com/cdn/shop/products/5539cpak.jpg?v=1587143720")</f>
        <v/>
      </c>
      <c r="H5270">
        <f>_xlfn.IMAGE("https://m.media-amazon.com/images/I/51K7jxdkEeL._AC_UL320_.jpg")</f>
        <v/>
      </c>
      <c r="K5270" t="inlineStr">
        <is>
          <t>38.99</t>
        </is>
      </c>
      <c r="L5270" t="n">
        <v>49</v>
      </c>
      <c r="M5270" s="1" t="inlineStr">
        <is>
          <t>25.67%</t>
        </is>
      </c>
      <c r="N5270" s="7" t="n">
        <v>-75.5</v>
      </c>
      <c r="O5270" t="n">
        <v>4.7</v>
      </c>
      <c r="P5270" t="n">
        <v>595</v>
      </c>
      <c r="R5270" t="inlineStr">
        <is>
          <t>InStock</t>
        </is>
      </c>
      <c r="S5270" t="inlineStr">
        <is>
          <t>59.06</t>
        </is>
      </c>
      <c r="T5270" t="inlineStr">
        <is>
          <t>4504095260772</t>
        </is>
      </c>
    </row>
    <row r="5271" ht="87" customHeight="1">
      <c r="A5271" s="2">
        <f>HYPERLINK("https://edmondsonsupply.com/collections/electricians-tools/products/diablo-tools-dag", "https://edmondsonsupply.com/collections/electricians-tools/products/diablo-tools-dag")</f>
        <v/>
      </c>
      <c r="B5271" s="2">
        <f>HYPERLINK("https://edmondsonsupply.com/products/diablo-tools-dag", "https://edmondsonsupply.com/products/diablo-tools-dag")</f>
        <v/>
      </c>
      <c r="C5271" t="inlineStr">
        <is>
          <t>Diablo Tools DAG3010 3/8 in. x 17-1/2 in. Auger Bit</t>
        </is>
      </c>
      <c r="D5271" t="inlineStr">
        <is>
          <t>Diablo 3/8 in. x 17-1/2 in. Auger Bit</t>
        </is>
      </c>
      <c r="E5271" s="2">
        <f>HYPERLINK("https://www.amazon.com/Diablo-Freud-DAG3010-17-1-Auger/dp/B089KY885C/ref=sr_1_1?keywords=Diablo+Tools+DAG3010+3%2F8+in.+x+17-1%2F2+in.+Auger+Bit&amp;qid=1694735073&amp;sr=8-1", "https://www.amazon.com/Diablo-Freud-DAG3010-17-1-Auger/dp/B089KY885C/ref=sr_1_1?keywords=Diablo+Tools+DAG3010+3%2F8+in.+x+17-1%2F2+in.+Auger+Bit&amp;qid=1694735073&amp;sr=8-1")</f>
        <v/>
      </c>
      <c r="F5271" t="inlineStr">
        <is>
          <t>B089KY885C</t>
        </is>
      </c>
      <c r="G5271">
        <f>_xlfn.IMAGE("https://edmondsonsupply.com/cdn/shop/products/xfctdbahz5wx3g461fm8.webp?v=1669991052")</f>
        <v/>
      </c>
      <c r="H5271">
        <f>_xlfn.IMAGE("https://m.media-amazon.com/images/I/61cpdlwqiHL._AC_UL320_.jpg")</f>
        <v/>
      </c>
      <c r="K5271" t="inlineStr">
        <is>
          <t>17.47</t>
        </is>
      </c>
      <c r="L5271" t="n">
        <v>21.95</v>
      </c>
      <c r="M5271" s="1" t="inlineStr">
        <is>
          <t>25.64%</t>
        </is>
      </c>
      <c r="N5271" s="7" t="n">
        <v>-75.7</v>
      </c>
      <c r="O5271" t="n">
        <v>4.5</v>
      </c>
      <c r="P5271" t="n">
        <v>4</v>
      </c>
      <c r="R5271" t="inlineStr">
        <is>
          <t>InStock</t>
        </is>
      </c>
      <c r="S5271" t="inlineStr">
        <is>
          <t>25.04</t>
        </is>
      </c>
      <c r="T5271" t="inlineStr">
        <is>
          <t>7897480921304</t>
        </is>
      </c>
    </row>
    <row r="5272" ht="87" customHeight="1">
      <c r="A5272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5272" s="2">
        <f>HYPERLINK("https://edmondsonsupply.com/products/amprobe-st-102b-receptacle-tester-with-gfci", "https://edmondsonsupply.com/products/amprobe-st-102b-receptacle-tester-with-gfci")</f>
        <v/>
      </c>
      <c r="C5272" t="inlineStr">
        <is>
          <t>Amprobe ST-102B Receptacle Tester with GFCI</t>
        </is>
      </c>
      <c r="D5272" t="inlineStr">
        <is>
          <t>Klein Tools RT250 GFCI Outlet Tester with LCD Display, Electric Voltage Tester for Standard 3-Wire 120V Electrical Receptacles,Green/Red</t>
        </is>
      </c>
      <c r="E5272" s="2">
        <f>HYPERLINK("https://www.amazon.com/Receptacle-Electrical-Klein-Tools-RT250/dp/B08QW7K1JJ/ref=sr_1_14?keywords=Amprobe+ST-102B+Receptacle+Tester+with+GFCI&amp;qid=1694735128&amp;sr=8-14", "https://www.amazon.com/Receptacle-Electrical-Klein-Tools-RT250/dp/B08QW7K1JJ/ref=sr_1_14?keywords=Amprobe+ST-102B+Receptacle+Tester+with+GFCI&amp;qid=1694735128&amp;sr=8-14")</f>
        <v/>
      </c>
      <c r="F5272" t="inlineStr">
        <is>
          <t>B08QW7K1JJ</t>
        </is>
      </c>
      <c r="G5272">
        <f>_xlfn.IMAGE("https://edmondsonsupply.com/cdn/shop/products/PD_ST102B1.jpg?v=1662641155")</f>
        <v/>
      </c>
      <c r="H5272">
        <f>_xlfn.IMAGE("https://m.media-amazon.com/images/I/61j28ynJ7bL._AC_UL320_.jpg")</f>
        <v/>
      </c>
      <c r="K5272" t="inlineStr">
        <is>
          <t>17.49</t>
        </is>
      </c>
      <c r="L5272" t="n">
        <v>21.97</v>
      </c>
      <c r="M5272" s="1" t="inlineStr">
        <is>
          <t>25.61%</t>
        </is>
      </c>
      <c r="N5272" s="7" t="n">
        <v>-75.89</v>
      </c>
      <c r="O5272" t="n">
        <v>4.8</v>
      </c>
      <c r="P5272" t="n">
        <v>7942</v>
      </c>
      <c r="R5272" t="inlineStr">
        <is>
          <t>InStock</t>
        </is>
      </c>
      <c r="S5272" t="inlineStr">
        <is>
          <t>19.99</t>
        </is>
      </c>
      <c r="T5272" t="inlineStr">
        <is>
          <t>7808944570584</t>
        </is>
      </c>
    </row>
    <row r="5273" hidden="1" ht="15.75" customHeight="1">
      <c r="A5273" s="2">
        <f>HYPERLINK("https://edmondsonsupply.com/collections/electricians-tools/products/fieldpiece-sncv1", "https://edmondsonsupply.com/collections/electricians-tools/products/fieldpiece-sncv1")</f>
        <v/>
      </c>
      <c r="B5273" s="2">
        <f>HYPERLINK("https://edmondsonsupply.com/products/fieldpiece-sncv1", "https://edmondsonsupply.com/products/fieldpiece-sncv1")</f>
        <v/>
      </c>
      <c r="C5273" t="inlineStr">
        <is>
          <t>Fieldpiece SNCV1 Non-contact Voltage Detector</t>
        </is>
      </c>
      <c r="D5273" t="inlineStr">
        <is>
          <t>Fieldpiece SNCV1 Non-Contact Voltage Detector</t>
        </is>
      </c>
      <c r="E5273" s="2">
        <f>HYPERLINK("https://www.amazon.com/Fieldpiece-SNCV1-Non-Contact-Voltage-Detector/dp/B003ZZIUD6", "https://www.amazon.com/Fieldpiece-SNCV1-Non-Contact-Voltage-Detector/dp/B003ZZIUD6")</f>
        <v/>
      </c>
      <c r="F5273" t="inlineStr">
        <is>
          <t>B003ZZIUD6</t>
        </is>
      </c>
      <c r="G5273">
        <f>_xludf.IMAGE("https://edmondsonsupply.com/cdn/shop/products/57_3_2aa5a2b3-3761-4dc0-acd7-a8febdd5b5d2.jpg?v=1633030161")</f>
        <v/>
      </c>
      <c r="H5273">
        <f>_xludf.IMAGE("https://m.media-amazon.com/images/I/41PP2Bi46fL._AC_UL320_.jpg")</f>
        <v/>
      </c>
      <c r="K5273" t="inlineStr">
        <is>
          <t>15.3</t>
        </is>
      </c>
      <c r="L5273" t="n">
        <v>19.2</v>
      </c>
      <c r="M5273" s="1" t="inlineStr">
        <is>
          <t>25.49%</t>
        </is>
      </c>
      <c r="N5273" s="1" t="n">
        <v>-75.98</v>
      </c>
      <c r="O5273" t="n">
        <v>3.9</v>
      </c>
      <c r="P5273" t="n">
        <v>55</v>
      </c>
      <c r="R5273" t="inlineStr">
        <is>
          <t>InStock</t>
        </is>
      </c>
      <c r="S5273" t="inlineStr">
        <is>
          <t>18.0</t>
        </is>
      </c>
      <c r="T5273" t="inlineStr">
        <is>
          <t>4288353435748</t>
        </is>
      </c>
    </row>
    <row r="5274" ht="87" customHeight="1">
      <c r="A5274" s="2">
        <f>HYPERLINK("https://edmondsonsupply.com/collections/electricians-tools/products/klein-tools-d335-51-2c-5-long-needle-nose-pliers-extra-slim", "https://edmondsonsupply.com/collections/electricians-tools/products/klein-tools-d335-51-2c-5-long-needle-nose-pliers-extra-slim")</f>
        <v/>
      </c>
      <c r="B5274" s="2">
        <f>HYPERLINK("https://edmondsonsupply.com/products/klein-tools-d335-51-2c-5-long-needle-nose-pliers-extra-slim", "https://edmondsonsupply.com/products/klein-tools-d335-51-2c-5-long-needle-nose-pliers-extra-slim")</f>
        <v/>
      </c>
      <c r="C5274" t="inlineStr">
        <is>
          <t>Klein Tools D335-51/2C Pliers, Long Needle Nose Pliers, Extra Slim, 5-Inch</t>
        </is>
      </c>
      <c r="D5274" t="inlineStr">
        <is>
          <t>Klein Tools D335-51/2C Linemans Pliers, Needle Nose Side Cutters, Spring Loaded, 5-Inch, Extra Slim</t>
        </is>
      </c>
      <c r="E5274" s="2">
        <f>HYPERLINK("https://www.amazon.com/Linemans-Klein-Tools-D335-51-2C/dp/B00093D500/ref=sr_1_1?keywords=Klein+Tools+D335-51%2F2C+Pliers%2C+Long+Needle+Nose+Pliers%2C+Extra+Slim%2C+5-Inch&amp;qid=1694735354&amp;sr=8-1", "https://www.amazon.com/Linemans-Klein-Tools-D335-51-2C/dp/B00093D500/ref=sr_1_1?keywords=Klein+Tools+D335-51%2F2C+Pliers%2C+Long+Needle+Nose+Pliers%2C+Extra+Slim%2C+5-Inch&amp;qid=1694735354&amp;sr=8-1")</f>
        <v/>
      </c>
      <c r="F5274" t="inlineStr">
        <is>
          <t>B00093D500</t>
        </is>
      </c>
      <c r="G5274">
        <f>_xlfn.IMAGE("https://edmondsonsupply.com/cdn/shop/products/d335512c.jpg?v=1587142949")</f>
        <v/>
      </c>
      <c r="H5274">
        <f>_xlfn.IMAGE("https://m.media-amazon.com/images/I/41OK-XwWDzL._AC_UL320_.jpg")</f>
        <v/>
      </c>
      <c r="K5274" t="inlineStr">
        <is>
          <t>34.99</t>
        </is>
      </c>
      <c r="L5274" t="n">
        <v>43.89</v>
      </c>
      <c r="M5274" s="1" t="inlineStr">
        <is>
          <t>25.44%</t>
        </is>
      </c>
      <c r="N5274" s="7" t="n">
        <v>-75.98</v>
      </c>
      <c r="O5274" t="n">
        <v>4.7</v>
      </c>
      <c r="P5274" t="n">
        <v>206</v>
      </c>
      <c r="R5274" t="inlineStr">
        <is>
          <t>InStock</t>
        </is>
      </c>
      <c r="S5274" t="inlineStr">
        <is>
          <t>53.0</t>
        </is>
      </c>
      <c r="T5274" t="inlineStr">
        <is>
          <t>4432348774500</t>
        </is>
      </c>
    </row>
    <row r="5275" ht="87" customHeight="1">
      <c r="A5275" s="2">
        <f>HYPERLINK("https://edmondsonsupply.com/collections/electricians-tools/products/klein-tools-85191-conduit-fitting-and-reaming-screwdriver", "https://edmondsonsupply.com/collections/electricians-tools/products/klein-tools-85191-conduit-fitting-and-reaming-screwdriver")</f>
        <v/>
      </c>
      <c r="B5275" s="2">
        <f>HYPERLINK("https://edmondsonsupply.com/products/klein-tools-85191-conduit-fitting-and-reaming-screwdriver", "https://edmondsonsupply.com/products/klein-tools-85191-conduit-fitting-and-reaming-screwdriver")</f>
        <v/>
      </c>
      <c r="C5275" t="inlineStr">
        <is>
          <t>Klein Tools 85191 Conduit-Fitting and Reaming Screwdriver</t>
        </is>
      </c>
      <c r="D5275" t="inlineStr">
        <is>
          <t>Klein Tools 85191 Screwdriver/Conduit Reamer, Conduit Fitting and Reaming Screwdriver &amp; 32561 Multi-Bit Screwdriver/Nut Driver, 6-in-1 Stubby Screwdriver with 2 Phillips, 2 Slotted Bits</t>
        </is>
      </c>
      <c r="E5275" s="2">
        <f>HYPERLINK("https://www.amazon.com/Klein-Tools-Screwdriver-Multi-Bit-Phillips/dp/B09Z8ZNSYC/ref=sr_1_3?keywords=Klein+Tools+85191+Conduit-Fitting+and+Reaming+Screwdriver&amp;qid=1694735413&amp;sr=8-3", "https://www.amazon.com/Klein-Tools-Screwdriver-Multi-Bit-Phillips/dp/B09Z8ZNSYC/ref=sr_1_3?keywords=Klein+Tools+85191+Conduit-Fitting+and+Reaming+Screwdriver&amp;qid=1694735413&amp;sr=8-3")</f>
        <v/>
      </c>
      <c r="F5275" t="inlineStr">
        <is>
          <t>B09Z8ZNSYC</t>
        </is>
      </c>
      <c r="G5275">
        <f>_xlfn.IMAGE("https://edmondsonsupply.com/cdn/shop/products/85191.jpg?v=1587147694")</f>
        <v/>
      </c>
      <c r="H5275">
        <f>_xlfn.IMAGE("https://m.media-amazon.com/images/I/418tbw+Ul0L._AC_UL320_.jpg")</f>
        <v/>
      </c>
      <c r="K5275" t="inlineStr">
        <is>
          <t>34.97</t>
        </is>
      </c>
      <c r="L5275" t="n">
        <v>43.83</v>
      </c>
      <c r="M5275" s="1" t="inlineStr">
        <is>
          <t>25.34%</t>
        </is>
      </c>
      <c r="N5275" s="7" t="n">
        <v>-76.01000000000001</v>
      </c>
      <c r="O5275" t="n">
        <v>5</v>
      </c>
      <c r="P5275" t="n">
        <v>3</v>
      </c>
      <c r="R5275" t="inlineStr">
        <is>
          <t>InStock</t>
        </is>
      </c>
      <c r="S5275" t="inlineStr">
        <is>
          <t>51.04</t>
        </is>
      </c>
      <c r="T5275" t="inlineStr">
        <is>
          <t>4391711277156</t>
        </is>
      </c>
    </row>
    <row r="5276" hidden="1" ht="15.75" customHeight="1">
      <c r="A5276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5276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5276" t="inlineStr">
        <is>
          <t>Diablo Tools DMARG1160 1/2 in. x 10 in. x 12 in. SPEEDemon™ Red Granite Carbide Tipped Hammer Drill Bit</t>
        </is>
      </c>
      <c r="D5276" t="inlineStr">
        <is>
          <t>Diablo by Freud DMARG1200 3/4 in. x 10 in. x 12 in. SPEEDemon Red Granite Carbide Tipped Hammer Drill Bit</t>
        </is>
      </c>
      <c r="E5276" s="2">
        <f>HYPERLINK("https://www.amazon.com/Diablo-Freud-DMARG1200-SPEEDemon-Granite/dp/B089KWGLL5/ref=sr_1_7?keywords=Diablo+Tools+DMARG1160+1%2F2+in.+x+10+in.+x+12+in.+SPEEDemon%E2%84%A2+Red+Granite+Carbide+Tipped+Hammer+Drill+Bit&amp;qid=1694735262&amp;sr=8-7", "https://www.amazon.com/Diablo-Freud-DMARG1200-SPEEDemon-Granite/dp/B089KWGLL5/ref=sr_1_7?keywords=Diablo+Tools+DMARG1160+1%2F2+in.+x+10+in.+x+12+in.+SPEEDemon%E2%84%A2+Red+Granite+Carbide+Tipped+Hammer+Drill+Bit&amp;qid=1694735262&amp;sr=8-7")</f>
        <v/>
      </c>
      <c r="F5276" t="inlineStr">
        <is>
          <t>B089KWGLL5</t>
        </is>
      </c>
      <c r="G5276">
        <f>_xludf.IMAGE("https://edmondsonsupply.com/cdn/shop/products/DMARG1160_Main-Image20200513.png?v=1633030651")</f>
        <v/>
      </c>
      <c r="H5276">
        <f>_xludf.IMAGE("https://m.media-amazon.com/images/I/61fi8hhRaDL._AC_UL320_.jpg")</f>
        <v/>
      </c>
      <c r="K5276" t="inlineStr">
        <is>
          <t>15.97</t>
        </is>
      </c>
      <c r="L5276" t="n">
        <v>20</v>
      </c>
      <c r="M5276" s="1" t="inlineStr">
        <is>
          <t>25.23%</t>
        </is>
      </c>
      <c r="N5276" s="1" t="n">
        <v>-76.5</v>
      </c>
      <c r="O5276" t="n">
        <v>3.9</v>
      </c>
      <c r="P5276" t="n">
        <v>13</v>
      </c>
      <c r="R5276" t="inlineStr">
        <is>
          <t>InStock</t>
        </is>
      </c>
      <c r="S5276" t="inlineStr">
        <is>
          <t>undefined</t>
        </is>
      </c>
      <c r="T5276" t="inlineStr">
        <is>
          <t>5740401164456</t>
        </is>
      </c>
    </row>
    <row r="5277" hidden="1" ht="15.75" customHeight="1">
      <c r="A5277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277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277" t="inlineStr">
        <is>
          <t>Klein Tools 6826INS Insulated Screwdriver, 1/4-Inch Cabinet Tip, 6-Inch Shank</t>
        </is>
      </c>
      <c r="D5277" t="inlineStr">
        <is>
          <t>Klein Tools 6936INS Insulated Screwdriver, 1000V Slim Profile Tip, 2 Phillips with 6-Inch Shank, Cushion-Grip Handle</t>
        </is>
      </c>
      <c r="E5277" s="2">
        <f>HYPERLINK("https://www.amazon.com/Klein-Tools-6936INS-Screwdriver-Cushion-Grip/dp/B09GPZMQ1R/ref=sr_1_8?keywords=Klein+Tools+6826INS+Insulated+Screwdriver%2C+1%2F4-Inch+Cabinet+Tip%2C+6-Inch+Shank&amp;qid=1694735104&amp;sr=8-8", "https://www.amazon.com/Klein-Tools-6936INS-Screwdriver-Cushion-Grip/dp/B09GPZMQ1R/ref=sr_1_8?keywords=Klein+Tools+6826INS+Insulated+Screwdriver%2C+1%2F4-Inch+Cabinet+Tip%2C+6-Inch+Shank&amp;qid=1694735104&amp;sr=8-8")</f>
        <v/>
      </c>
      <c r="F5277" t="inlineStr">
        <is>
          <t>B09GPZMQ1R</t>
        </is>
      </c>
      <c r="G5277">
        <f>_xludf.IMAGE("https://edmondsonsupply.com/cdn/shop/products/6826ins.jpg?v=1664814069")</f>
        <v/>
      </c>
      <c r="H5277">
        <f>_xludf.IMAGE("https://m.media-amazon.com/images/I/414OB6kFvkL._AC_UL320_.jpg")</f>
        <v/>
      </c>
      <c r="K5277" t="inlineStr">
        <is>
          <t>11.97</t>
        </is>
      </c>
      <c r="L5277" t="n">
        <v>14.99</v>
      </c>
      <c r="M5277" s="1" t="inlineStr">
        <is>
          <t>25.23%</t>
        </is>
      </c>
      <c r="N5277" s="1" t="n">
        <v>-76.67</v>
      </c>
      <c r="O5277" t="n">
        <v>4.9</v>
      </c>
      <c r="P5277" t="n">
        <v>70</v>
      </c>
      <c r="R5277" t="inlineStr">
        <is>
          <t>InStock</t>
        </is>
      </c>
      <c r="S5277" t="inlineStr">
        <is>
          <t>17.98</t>
        </is>
      </c>
      <c r="T5277" t="inlineStr">
        <is>
          <t>7837707698392</t>
        </is>
      </c>
    </row>
    <row r="5278" hidden="1" ht="15.75" customHeight="1">
      <c r="A5278" s="2">
        <f>HYPERLINK("https://edmondsonsupply.com/collections/electricians-tools/products/klein-tools-6846ins-insulated-screwdriver-2-square-tip-6-inch-round-shank", "https://edmondsonsupply.com/collections/electricians-tools/products/klein-tools-6846ins-insulated-screwdriver-2-square-tip-6-inch-round-shank")</f>
        <v/>
      </c>
      <c r="B5278" s="2">
        <f>HYPERLINK("https://edmondsonsupply.com/products/klein-tools-6846ins-insulated-screwdriver-2-square-tip-6-inch-round-shank", "https://edmondsonsupply.com/products/klein-tools-6846ins-insulated-screwdriver-2-square-tip-6-inch-round-shank")</f>
        <v/>
      </c>
      <c r="C5278" t="inlineStr">
        <is>
          <t>Klein Tools 6846INS Insulated Screwdriver, #2 Square Tip, 6-Inch Round Shank</t>
        </is>
      </c>
      <c r="D5278" t="inlineStr">
        <is>
          <t>Klein Tools 6986INS Insulated Screwdriver, 1000V Slim Profile Tip, #1 Square with 6-Inch Shank, Cushion-Grip Handle</t>
        </is>
      </c>
      <c r="E5278" s="2">
        <f>HYPERLINK("https://www.amazon.com/Klein-Tools-6986INS-Screwdriver-Cushion-Grip/dp/B09GPYQ7DM/ref=sr_1_6?keywords=Klein+Tools+6846INS+Insulated+Screwdriver%2C+%232+Square+Tip%2C+6-Inch+Round+Shank&amp;qid=1694735106&amp;sr=8-6", "https://www.amazon.com/Klein-Tools-6986INS-Screwdriver-Cushion-Grip/dp/B09GPYQ7DM/ref=sr_1_6?keywords=Klein+Tools+6846INS+Insulated+Screwdriver%2C+%232+Square+Tip%2C+6-Inch+Round+Shank&amp;qid=1694735106&amp;sr=8-6")</f>
        <v/>
      </c>
      <c r="F5278" t="inlineStr">
        <is>
          <t>B09GPYQ7DM</t>
        </is>
      </c>
      <c r="G5278">
        <f>_xludf.IMAGE("https://edmondsonsupply.com/cdn/shop/products/6846ins.jpg?v=1664817571")</f>
        <v/>
      </c>
      <c r="H5278">
        <f>_xludf.IMAGE("https://m.media-amazon.com/images/I/41d5Ic37xZL._AC_UL320_.jpg")</f>
        <v/>
      </c>
      <c r="K5278" t="inlineStr">
        <is>
          <t>11.97</t>
        </is>
      </c>
      <c r="L5278" t="n">
        <v>14.99</v>
      </c>
      <c r="M5278" s="1" t="inlineStr">
        <is>
          <t>25.23%</t>
        </is>
      </c>
      <c r="N5278" s="1" t="n">
        <v>-76.98999999999999</v>
      </c>
      <c r="O5278" t="n">
        <v>4.8</v>
      </c>
      <c r="P5278" t="n">
        <v>29</v>
      </c>
      <c r="R5278" t="inlineStr">
        <is>
          <t>InStock</t>
        </is>
      </c>
      <c r="S5278" t="inlineStr">
        <is>
          <t>17.98</t>
        </is>
      </c>
      <c r="T5278" t="inlineStr">
        <is>
          <t>7837739319512</t>
        </is>
      </c>
    </row>
    <row r="5279" hidden="1" ht="15.75" customHeight="1">
      <c r="A5279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279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279" t="inlineStr">
        <is>
          <t>Klein Tools 6886INS Insulated Screwdriver, #1 Square Tip, 6-Inch Shank</t>
        </is>
      </c>
      <c r="D5279" t="inlineStr">
        <is>
          <t>Klein Tools 6956INS Insulated Screwdriver, 1000V Slim Profile Tip, 1 Philliips with 6-Inch Shank, Cushion-Grip Handle</t>
        </is>
      </c>
      <c r="E5279" s="2">
        <f>HYPERLINK("https://www.amazon.com/Klein-Tools-6956INS-Screwdriver-Cushion-Grip/dp/B09H9GV5CP/ref=sr_1_11?keywords=Klein+Tools+6886INS+Insulated+Screwdriver%2C+%231+Square+Tip%2C+6-Inch+Shank&amp;qid=1694735108&amp;sr=8-11", "https://www.amazon.com/Klein-Tools-6956INS-Screwdriver-Cushion-Grip/dp/B09H9GV5CP/ref=sr_1_11?keywords=Klein+Tools+6886INS+Insulated+Screwdriver%2C+%231+Square+Tip%2C+6-Inch+Shank&amp;qid=1694735108&amp;sr=8-11")</f>
        <v/>
      </c>
      <c r="F5279" t="inlineStr">
        <is>
          <t>B09H9GV5CP</t>
        </is>
      </c>
      <c r="G5279">
        <f>_xludf.IMAGE("https://edmondsonsupply.com/cdn/shop/products/6886ins.jpg?v=1664889697")</f>
        <v/>
      </c>
      <c r="H5279">
        <f>_xludf.IMAGE("https://m.media-amazon.com/images/I/41XYb1ZhlVL._AC_UL320_.jpg")</f>
        <v/>
      </c>
      <c r="K5279" t="inlineStr">
        <is>
          <t>11.97</t>
        </is>
      </c>
      <c r="L5279" t="n">
        <v>14.99</v>
      </c>
      <c r="M5279" s="1" t="inlineStr">
        <is>
          <t>25.23%</t>
        </is>
      </c>
      <c r="N5279" s="1" t="n">
        <v>-77.51000000000001</v>
      </c>
      <c r="O5279" t="n">
        <v>4.5</v>
      </c>
      <c r="P5279" t="n">
        <v>10</v>
      </c>
      <c r="R5279" t="inlineStr">
        <is>
          <t>InStock</t>
        </is>
      </c>
      <c r="S5279" t="inlineStr">
        <is>
          <t>17.98</t>
        </is>
      </c>
      <c r="T5279" t="inlineStr">
        <is>
          <t>7839176491224</t>
        </is>
      </c>
    </row>
    <row r="5280" hidden="1" ht="15.75" customHeight="1">
      <c r="A5280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5280" s="2">
        <f>HYPERLINK("https://edmondsonsupply.com/products/diablo-tools-d0624x-6-1-2-in-24-tooth-framing-saw-blade", "https://edmondsonsupply.com/products/diablo-tools-d0624x-6-1-2-in-24-tooth-framing-saw-blade")</f>
        <v/>
      </c>
      <c r="C5280" t="inlineStr">
        <is>
          <t>Diablo Tools D0624X 6-1/2 in. 24-Tooth Framing Saw Blade</t>
        </is>
      </c>
      <c r="D5280" t="inlineStr">
        <is>
          <t>6-1/2-Inch 24-Tooth Circular Saw Blade with 5/8-Inch Arbor, TCT ATB Framing Blade for Wood Fast Cutting (2-Pack)</t>
        </is>
      </c>
      <c r="E5280" s="2">
        <f>HYPERLINK("https://www.amazon.com/2-Inch-24-Tooth-Circular-Framing-Cutting/dp/B09RZZ5VHQ/ref=sr_1_10?keywords=Diablo+Tools+D0624X+6-1%2F2+in.+24-Tooth+Framing+Saw+Blade&amp;qid=1694735025&amp;sr=8-10", "https://www.amazon.com/2-Inch-24-Tooth-Circular-Framing-Cutting/dp/B09RZZ5VHQ/ref=sr_1_10?keywords=Diablo+Tools+D0624X+6-1%2F2+in.+24-Tooth+Framing+Saw+Blade&amp;qid=1694735025&amp;sr=8-10")</f>
        <v/>
      </c>
      <c r="F5280" t="inlineStr">
        <is>
          <t>B09RZZ5VHQ</t>
        </is>
      </c>
      <c r="G5280">
        <f>_xludf.IMAGE("https://edmondsonsupply.com/cdn/shop/products/mfin0gl4ono6qztsnrth.webp?v=1678982694")</f>
        <v/>
      </c>
      <c r="H5280">
        <f>_xludf.IMAGE("https://m.media-amazon.com/images/I/61CBTtpDg3L._AC_UL320_.jpg")</f>
        <v/>
      </c>
      <c r="K5280" t="inlineStr">
        <is>
          <t>11.97</t>
        </is>
      </c>
      <c r="L5280" t="n">
        <v>14.99</v>
      </c>
      <c r="M5280" s="1" t="inlineStr">
        <is>
          <t>25.23%</t>
        </is>
      </c>
      <c r="N5280" s="1" t="n">
        <v>-77.51000000000001</v>
      </c>
      <c r="O5280" t="n">
        <v>4.5</v>
      </c>
      <c r="P5280" t="n">
        <v>1916</v>
      </c>
      <c r="R5280" t="inlineStr">
        <is>
          <t>InStock</t>
        </is>
      </c>
      <c r="S5280" t="inlineStr">
        <is>
          <t>17.38</t>
        </is>
      </c>
      <c r="T5280" t="inlineStr">
        <is>
          <t>7962732855512</t>
        </is>
      </c>
    </row>
    <row r="5281" hidden="1" ht="15.75" customHeight="1">
      <c r="A5281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281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281" t="inlineStr">
        <is>
          <t>Klein Tools 6886INS Insulated Screwdriver, #1 Square Tip, 6-Inch Shank</t>
        </is>
      </c>
      <c r="D5281" t="inlineStr">
        <is>
          <t>Klein Tools 6926INS Insulated Screwdriver, 1000V Slim Profile Tip, 1/4-Inch Cabinet Screwdriver with 6-Inch Shank, Cushion-Grip Handle</t>
        </is>
      </c>
      <c r="E5281" s="2">
        <f>HYPERLINK("https://www.amazon.com/Klein-Tools-6926INS-Screwdriver-Cushion-Grip/dp/B09GL1X5SZ/ref=sr_1_6?keywords=Klein+Tools+6886INS+Insulated+Screwdriver%2C+%231+Square+Tip%2C+6-Inch+Shank&amp;qid=1694735108&amp;sr=8-6", "https://www.amazon.com/Klein-Tools-6926INS-Screwdriver-Cushion-Grip/dp/B09GL1X5SZ/ref=sr_1_6?keywords=Klein+Tools+6886INS+Insulated+Screwdriver%2C+%231+Square+Tip%2C+6-Inch+Shank&amp;qid=1694735108&amp;sr=8-6")</f>
        <v/>
      </c>
      <c r="F5281" t="inlineStr">
        <is>
          <t>B09GL1X5SZ</t>
        </is>
      </c>
      <c r="G5281">
        <f>_xludf.IMAGE("https://edmondsonsupply.com/cdn/shop/products/6886ins.jpg?v=1664889697")</f>
        <v/>
      </c>
      <c r="H5281">
        <f>_xludf.IMAGE("https://m.media-amazon.com/images/I/41JbepP5oGL._AC_UL320_.jpg")</f>
        <v/>
      </c>
      <c r="K5281" t="inlineStr">
        <is>
          <t>11.97</t>
        </is>
      </c>
      <c r="L5281" t="n">
        <v>14.99</v>
      </c>
      <c r="M5281" s="1" t="inlineStr">
        <is>
          <t>25.23%</t>
        </is>
      </c>
      <c r="N5281" s="1" t="n">
        <v>-77.51000000000001</v>
      </c>
      <c r="O5281" t="n">
        <v>4.8</v>
      </c>
      <c r="P5281" t="n">
        <v>85</v>
      </c>
      <c r="R5281" t="inlineStr">
        <is>
          <t>InStock</t>
        </is>
      </c>
      <c r="S5281" t="inlineStr">
        <is>
          <t>17.98</t>
        </is>
      </c>
      <c r="T5281" t="inlineStr">
        <is>
          <t>7839176491224</t>
        </is>
      </c>
    </row>
    <row r="5282" hidden="1" ht="15.75" customHeight="1">
      <c r="A5282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282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282" t="inlineStr">
        <is>
          <t>Klein Tools 6886INS Insulated Screwdriver, #1 Square Tip, 6-Inch Shank</t>
        </is>
      </c>
      <c r="D5282" t="inlineStr">
        <is>
          <t>Klein Tools 6936INS Insulated Screwdriver, 1000V Slim Profile Tip, 2 Phillips with 6-Inch Shank, Cushion-Grip Handle</t>
        </is>
      </c>
      <c r="E5282" s="2">
        <f>HYPERLINK("https://www.amazon.com/Klein-Tools-6936INS-Screwdriver-Cushion-Grip/dp/B09GPZMQ1R/ref=sr_1_12?keywords=Klein+Tools+6886INS+Insulated+Screwdriver%2C+%231+Square+Tip%2C+6-Inch+Shank&amp;qid=1694735108&amp;sr=8-12", "https://www.amazon.com/Klein-Tools-6936INS-Screwdriver-Cushion-Grip/dp/B09GPZMQ1R/ref=sr_1_12?keywords=Klein+Tools+6886INS+Insulated+Screwdriver%2C+%231+Square+Tip%2C+6-Inch+Shank&amp;qid=1694735108&amp;sr=8-12")</f>
        <v/>
      </c>
      <c r="F5282" t="inlineStr">
        <is>
          <t>B09GPZMQ1R</t>
        </is>
      </c>
      <c r="G5282">
        <f>_xludf.IMAGE("https://edmondsonsupply.com/cdn/shop/products/6886ins.jpg?v=1664889697")</f>
        <v/>
      </c>
      <c r="H5282">
        <f>_xludf.IMAGE("https://m.media-amazon.com/images/I/414OB6kFvkL._AC_UL320_.jpg")</f>
        <v/>
      </c>
      <c r="K5282" t="inlineStr">
        <is>
          <t>11.97</t>
        </is>
      </c>
      <c r="L5282" t="n">
        <v>14.99</v>
      </c>
      <c r="M5282" s="1" t="inlineStr">
        <is>
          <t>25.23%</t>
        </is>
      </c>
      <c r="N5282" s="1" t="n">
        <v>-77.64</v>
      </c>
      <c r="O5282" t="n">
        <v>4.9</v>
      </c>
      <c r="P5282" t="n">
        <v>70</v>
      </c>
      <c r="R5282" t="inlineStr">
        <is>
          <t>InStock</t>
        </is>
      </c>
      <c r="S5282" t="inlineStr">
        <is>
          <t>17.98</t>
        </is>
      </c>
      <c r="T5282" t="inlineStr">
        <is>
          <t>7839176491224</t>
        </is>
      </c>
    </row>
    <row r="5283" hidden="1" ht="15.75" customHeight="1">
      <c r="A5283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283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283" t="inlineStr">
        <is>
          <t>Klein Tools 6826INS Insulated Screwdriver, 1/4-Inch Cabinet Tip, 6-Inch Shank</t>
        </is>
      </c>
      <c r="D5283" t="inlineStr">
        <is>
          <t>Klein Tools 6986INS Insulated Screwdriver, 1000V Slim Profile Tip, #1 Square with 6-Inch Shank, Cushion-Grip Handle</t>
        </is>
      </c>
      <c r="E5283" s="2">
        <f>HYPERLINK("https://www.amazon.com/Klein-Tools-6986INS-Screwdriver-Cushion-Grip/dp/B09GPYQ7DM/ref=sr_1_12?keywords=Klein+Tools+6826INS+Insulated+Screwdriver%2C+1%2F4-Inch+Cabinet+Tip%2C+6-Inch+Shank&amp;qid=1694735104&amp;sr=8-12", "https://www.amazon.com/Klein-Tools-6986INS-Screwdriver-Cushion-Grip/dp/B09GPYQ7DM/ref=sr_1_12?keywords=Klein+Tools+6826INS+Insulated+Screwdriver%2C+1%2F4-Inch+Cabinet+Tip%2C+6-Inch+Shank&amp;qid=1694735104&amp;sr=8-12")</f>
        <v/>
      </c>
      <c r="F5283" t="inlineStr">
        <is>
          <t>B09GPYQ7DM</t>
        </is>
      </c>
      <c r="G5283">
        <f>_xludf.IMAGE("https://edmondsonsupply.com/cdn/shop/products/6826ins.jpg?v=1664814069")</f>
        <v/>
      </c>
      <c r="H5283">
        <f>_xludf.IMAGE("https://m.media-amazon.com/images/I/41d5Ic37xZL._AC_UL320_.jpg")</f>
        <v/>
      </c>
      <c r="K5283" t="inlineStr">
        <is>
          <t>11.97</t>
        </is>
      </c>
      <c r="L5283" t="n">
        <v>14.99</v>
      </c>
      <c r="M5283" s="1" t="inlineStr">
        <is>
          <t>25.23%</t>
        </is>
      </c>
      <c r="N5283" s="1" t="n">
        <v>-77.78</v>
      </c>
      <c r="O5283" t="n">
        <v>4.8</v>
      </c>
      <c r="P5283" t="n">
        <v>29</v>
      </c>
      <c r="R5283" t="inlineStr">
        <is>
          <t>InStock</t>
        </is>
      </c>
      <c r="S5283" t="inlineStr">
        <is>
          <t>17.98</t>
        </is>
      </c>
      <c r="T5283" t="inlineStr">
        <is>
          <t>7837707698392</t>
        </is>
      </c>
    </row>
    <row r="5284" hidden="1" ht="15.75" customHeight="1">
      <c r="A5284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284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284" t="inlineStr">
        <is>
          <t>Klein Tools 6886INS Insulated Screwdriver, #1 Square Tip, 6-Inch Shank</t>
        </is>
      </c>
      <c r="D5284" t="inlineStr">
        <is>
          <t>Klein Tools 6986INS Insulated Screwdriver, 1000V Slim Profile Tip, #1 Square with 6-Inch Shank, Cushion-Grip Handle</t>
        </is>
      </c>
      <c r="E5284" s="2">
        <f>HYPERLINK("https://www.amazon.com/Klein-Tools-6986INS-Screwdriver-Cushion-Grip/dp/B09GPYQ7DM/ref=sr_1_3?keywords=Klein+Tools+6886INS+Insulated+Screwdriver%2C+%231+Square+Tip%2C+6-Inch+Shank&amp;qid=1694735108&amp;sr=8-3", "https://www.amazon.com/Klein-Tools-6986INS-Screwdriver-Cushion-Grip/dp/B09GPYQ7DM/ref=sr_1_3?keywords=Klein+Tools+6886INS+Insulated+Screwdriver%2C+%231+Square+Tip%2C+6-Inch+Shank&amp;qid=1694735108&amp;sr=8-3")</f>
        <v/>
      </c>
      <c r="F5284" t="inlineStr">
        <is>
          <t>B09GPYQ7DM</t>
        </is>
      </c>
      <c r="G5284">
        <f>_xludf.IMAGE("https://edmondsonsupply.com/cdn/shop/products/6886ins.jpg?v=1664889697")</f>
        <v/>
      </c>
      <c r="H5284">
        <f>_xludf.IMAGE("https://m.media-amazon.com/images/I/41d5Ic37xZL._AC_UL320_.jpg")</f>
        <v/>
      </c>
      <c r="K5284" t="inlineStr">
        <is>
          <t>11.97</t>
        </is>
      </c>
      <c r="L5284" t="n">
        <v>14.99</v>
      </c>
      <c r="M5284" s="1" t="inlineStr">
        <is>
          <t>25.23%</t>
        </is>
      </c>
      <c r="N5284" s="1" t="n">
        <v>-78.09</v>
      </c>
      <c r="O5284" t="n">
        <v>4.8</v>
      </c>
      <c r="P5284" t="n">
        <v>29</v>
      </c>
      <c r="R5284" t="inlineStr">
        <is>
          <t>InStock</t>
        </is>
      </c>
      <c r="S5284" t="inlineStr">
        <is>
          <t>17.98</t>
        </is>
      </c>
      <c r="T5284" t="inlineStr">
        <is>
          <t>7839176491224</t>
        </is>
      </c>
    </row>
    <row r="5285" hidden="1" ht="15.75" customHeight="1">
      <c r="A5285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285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285" t="inlineStr">
        <is>
          <t>Klein Tools 6826INS Insulated Screwdriver, 1/4-Inch Cabinet Tip, 6-Inch Shank</t>
        </is>
      </c>
      <c r="D5285" t="inlineStr">
        <is>
          <t>Klein Tools 6956INS Insulated Screwdriver, 1000V Slim Profile Tip, 1 Philliips with 6-Inch Shank, Cushion-Grip Handle</t>
        </is>
      </c>
      <c r="E5285" s="2">
        <f>HYPERLINK("https://www.amazon.com/Klein-Tools-6956INS-Screwdriver-Cushion-Grip/dp/B09H9GV5CP/ref=sr_1_17?keywords=Klein+Tools+6826INS+Insulated+Screwdriver%2C+1%2F4-Inch+Cabinet+Tip%2C+6-Inch+Shank&amp;qid=1694735104&amp;sr=8-17", "https://www.amazon.com/Klein-Tools-6956INS-Screwdriver-Cushion-Grip/dp/B09H9GV5CP/ref=sr_1_17?keywords=Klein+Tools+6826INS+Insulated+Screwdriver%2C+1%2F4-Inch+Cabinet+Tip%2C+6-Inch+Shank&amp;qid=1694735104&amp;sr=8-17")</f>
        <v/>
      </c>
      <c r="F5285" t="inlineStr">
        <is>
          <t>B09H9GV5CP</t>
        </is>
      </c>
      <c r="G5285">
        <f>_xludf.IMAGE("https://edmondsonsupply.com/cdn/shop/products/6826ins.jpg?v=1664814069")</f>
        <v/>
      </c>
      <c r="H5285">
        <f>_xludf.IMAGE("https://m.media-amazon.com/images/I/41XYb1ZhlVL._AC_UL320_.jpg")</f>
        <v/>
      </c>
      <c r="K5285" t="inlineStr">
        <is>
          <t>11.97</t>
        </is>
      </c>
      <c r="L5285" t="n">
        <v>14.99</v>
      </c>
      <c r="M5285" s="1" t="inlineStr">
        <is>
          <t>25.23%</t>
        </is>
      </c>
      <c r="N5285" s="1" t="n">
        <v>-78.13</v>
      </c>
      <c r="O5285" t="n">
        <v>4.5</v>
      </c>
      <c r="P5285" t="n">
        <v>10</v>
      </c>
      <c r="R5285" t="inlineStr">
        <is>
          <t>InStock</t>
        </is>
      </c>
      <c r="S5285" t="inlineStr">
        <is>
          <t>17.98</t>
        </is>
      </c>
      <c r="T5285" t="inlineStr">
        <is>
          <t>7837707698392</t>
        </is>
      </c>
    </row>
    <row r="5286" hidden="1" ht="15.75" customHeight="1">
      <c r="A5286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286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286" t="inlineStr">
        <is>
          <t>Klein Tools 6826INS Insulated Screwdriver, 1/4-Inch Cabinet Tip, 6-Inch Shank</t>
        </is>
      </c>
      <c r="D5286" t="inlineStr">
        <is>
          <t>Klein Tools 6926INS Insulated Screwdriver, 1000V Slim Profile Tip, 1/4-Inch Cabinet Screwdriver with 6-Inch Shank, Cushion-Grip Handle</t>
        </is>
      </c>
      <c r="E5286" s="2">
        <f>HYPERLINK("https://www.amazon.com/Klein-Tools-6926INS-Screwdriver-Cushion-Grip/dp/B09GL1X5SZ/ref=sr_1_2?keywords=Klein+Tools+6826INS+Insulated+Screwdriver%2C+1%2F4-Inch+Cabinet+Tip%2C+6-Inch+Shank&amp;qid=1694735104&amp;sr=8-2", "https://www.amazon.com/Klein-Tools-6926INS-Screwdriver-Cushion-Grip/dp/B09GL1X5SZ/ref=sr_1_2?keywords=Klein+Tools+6826INS+Insulated+Screwdriver%2C+1%2F4-Inch+Cabinet+Tip%2C+6-Inch+Shank&amp;qid=1694735104&amp;sr=8-2")</f>
        <v/>
      </c>
      <c r="F5286" t="inlineStr">
        <is>
          <t>B09GL1X5SZ</t>
        </is>
      </c>
      <c r="G5286">
        <f>_xludf.IMAGE("https://edmondsonsupply.com/cdn/shop/products/6826ins.jpg?v=1664814069")</f>
        <v/>
      </c>
      <c r="H5286">
        <f>_xludf.IMAGE("https://m.media-amazon.com/images/I/41JbepP5oGL._AC_UL320_.jpg")</f>
        <v/>
      </c>
      <c r="K5286" t="inlineStr">
        <is>
          <t>11.97</t>
        </is>
      </c>
      <c r="L5286" t="n">
        <v>14.99</v>
      </c>
      <c r="M5286" s="1" t="inlineStr">
        <is>
          <t>25.23%</t>
        </is>
      </c>
      <c r="N5286" s="1" t="n">
        <v>-78.27</v>
      </c>
      <c r="O5286" t="n">
        <v>4.8</v>
      </c>
      <c r="P5286" t="n">
        <v>85</v>
      </c>
      <c r="R5286" t="inlineStr">
        <is>
          <t>InStock</t>
        </is>
      </c>
      <c r="S5286" t="inlineStr">
        <is>
          <t>17.98</t>
        </is>
      </c>
      <c r="T5286" t="inlineStr">
        <is>
          <t>7837707698392</t>
        </is>
      </c>
    </row>
    <row r="5287" hidden="1" ht="15.75" customHeight="1">
      <c r="A5287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5287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5287" t="inlineStr">
        <is>
          <t>Klein Tools 6816INS Insulated Screwdriver, 3/16-Inch Cabinet Tip, 6-Inch Round Shank</t>
        </is>
      </c>
      <c r="D5287" t="inlineStr">
        <is>
          <t>Klein Tools 6926INS Insulated Screwdriver, 1000V Slim Profile Tip, 1/4-Inch Cabinet Screwdriver with 6-Inch Shank, Cushion-Grip Handle</t>
        </is>
      </c>
      <c r="E5287" s="2">
        <f>HYPERLINK("https://www.amazon.com/Klein-Tools-6926INS-Screwdriver-Cushion-Grip/dp/B09GL1X5SZ/ref=sr_1_8?keywords=Klein+Tools+6816INS+Insulated+Screwdriver%2C+3%2F16-Inch+Cabinet+Tip%2C+6-Inch+Round+Shank&amp;qid=1694735104&amp;sr=8-8", "https://www.amazon.com/Klein-Tools-6926INS-Screwdriver-Cushion-Grip/dp/B09GL1X5SZ/ref=sr_1_8?keywords=Klein+Tools+6816INS+Insulated+Screwdriver%2C+3%2F16-Inch+Cabinet+Tip%2C+6-Inch+Round+Shank&amp;qid=1694735104&amp;sr=8-8")</f>
        <v/>
      </c>
      <c r="F5287" t="inlineStr">
        <is>
          <t>B09GL1X5SZ</t>
        </is>
      </c>
      <c r="G5287">
        <f>_xludf.IMAGE("https://edmondsonsupply.com/cdn/shop/products/6816ins.jpg?v=1664812840")</f>
        <v/>
      </c>
      <c r="H5287">
        <f>_xludf.IMAGE("https://m.media-amazon.com/images/I/41JbepP5oGL._AC_UL320_.jpg")</f>
        <v/>
      </c>
      <c r="K5287" t="inlineStr">
        <is>
          <t>11.97</t>
        </is>
      </c>
      <c r="L5287" t="n">
        <v>14.99</v>
      </c>
      <c r="M5287" s="1" t="inlineStr">
        <is>
          <t>25.23%</t>
        </is>
      </c>
      <c r="N5287" s="1" t="n">
        <v>-78.3</v>
      </c>
      <c r="O5287" t="n">
        <v>4.8</v>
      </c>
      <c r="P5287" t="n">
        <v>85</v>
      </c>
      <c r="R5287" t="inlineStr">
        <is>
          <t>InStock</t>
        </is>
      </c>
      <c r="S5287" t="inlineStr">
        <is>
          <t>17.98</t>
        </is>
      </c>
      <c r="T5287" t="inlineStr">
        <is>
          <t>7837697966296</t>
        </is>
      </c>
    </row>
    <row r="5288" hidden="1" ht="15.75" customHeight="1">
      <c r="A5288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5288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5288" t="inlineStr">
        <is>
          <t>Klein Tools 6816INS Insulated Screwdriver, 3/16-Inch Cabinet Tip, 6-Inch Round Shank</t>
        </is>
      </c>
      <c r="D5288" t="inlineStr">
        <is>
          <t>Klein Tools 6936INS Insulated Screwdriver, 1000V Slim Profile Tip, 2 Phillips with 6-Inch Shank, Cushion-Grip Handle</t>
        </is>
      </c>
      <c r="E5288" s="2">
        <f>HYPERLINK("https://www.amazon.com/Klein-Tools-6936INS-Screwdriver-Cushion-Grip/dp/B09GPZMQ1R/ref=sr_1_11?keywords=Klein+Tools+6816INS+Insulated+Screwdriver%2C+3%2F16-Inch+Cabinet+Tip%2C+6-Inch+Round+Shank&amp;qid=1694735104&amp;sr=8-11", "https://www.amazon.com/Klein-Tools-6936INS-Screwdriver-Cushion-Grip/dp/B09GPZMQ1R/ref=sr_1_11?keywords=Klein+Tools+6816INS+Insulated+Screwdriver%2C+3%2F16-Inch+Cabinet+Tip%2C+6-Inch+Round+Shank&amp;qid=1694735104&amp;sr=8-11")</f>
        <v/>
      </c>
      <c r="F5288" t="inlineStr">
        <is>
          <t>B09GPZMQ1R</t>
        </is>
      </c>
      <c r="G5288">
        <f>_xludf.IMAGE("https://edmondsonsupply.com/cdn/shop/products/6816ins.jpg?v=1664812840")</f>
        <v/>
      </c>
      <c r="H5288">
        <f>_xludf.IMAGE("https://m.media-amazon.com/images/I/414OB6kFvkL._AC_UL320_.jpg")</f>
        <v/>
      </c>
      <c r="K5288" t="inlineStr">
        <is>
          <t>11.97</t>
        </is>
      </c>
      <c r="L5288" t="n">
        <v>14.99</v>
      </c>
      <c r="M5288" s="1" t="inlineStr">
        <is>
          <t>25.23%</t>
        </is>
      </c>
      <c r="N5288" s="1" t="n">
        <v>-78.66</v>
      </c>
      <c r="O5288" t="n">
        <v>4.9</v>
      </c>
      <c r="P5288" t="n">
        <v>70</v>
      </c>
      <c r="R5288" t="inlineStr">
        <is>
          <t>InStock</t>
        </is>
      </c>
      <c r="S5288" t="inlineStr">
        <is>
          <t>17.98</t>
        </is>
      </c>
      <c r="T5288" t="inlineStr">
        <is>
          <t>7837697966296</t>
        </is>
      </c>
    </row>
    <row r="5289" hidden="1" ht="15.75" customHeight="1">
      <c r="A5289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5289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5289" t="inlineStr">
        <is>
          <t>Klein Tools 6866INS Insulated Screwdriver, 5/16-Inch Cabinet Tip, 6-Inch Shank</t>
        </is>
      </c>
      <c r="D5289" t="inlineStr">
        <is>
          <t>Klein Tools 6956INS Insulated Screwdriver, 1000V Slim Profile Tip, 1 Philliips with 6-Inch Shank, Cushion-Grip Handle</t>
        </is>
      </c>
      <c r="E5289" s="2">
        <f>HYPERLINK("https://www.amazon.com/Klein-Tools-6956INS-Screwdriver-Cushion-Grip/dp/B09H9GV5CP/ref=sr_1_18?keywords=Klein+Tools+6866INS+Insulated+Screwdriver%2C+5%2F16-Inch+Cabinet+Tip%2C+6-Inch+Shank&amp;qid=1694735117&amp;sr=8-18", "https://www.amazon.com/Klein-Tools-6956INS-Screwdriver-Cushion-Grip/dp/B09H9GV5CP/ref=sr_1_18?keywords=Klein+Tools+6866INS+Insulated+Screwdriver%2C+5%2F16-Inch+Cabinet+Tip%2C+6-Inch+Shank&amp;qid=1694735117&amp;sr=8-18")</f>
        <v/>
      </c>
      <c r="F5289" t="inlineStr">
        <is>
          <t>B09H9GV5CP</t>
        </is>
      </c>
      <c r="G5289">
        <f>_xludf.IMAGE("https://edmondsonsupply.com/cdn/shop/products/6866ins.jpg?v=1664818689")</f>
        <v/>
      </c>
      <c r="H5289">
        <f>_xludf.IMAGE("https://m.media-amazon.com/images/I/41XYb1ZhlVL._AC_UL320_.jpg")</f>
        <v/>
      </c>
      <c r="K5289" t="inlineStr">
        <is>
          <t>11.97</t>
        </is>
      </c>
      <c r="L5289" t="n">
        <v>14.99</v>
      </c>
      <c r="M5289" s="1" t="inlineStr">
        <is>
          <t>25.23%</t>
        </is>
      </c>
      <c r="N5289" s="1" t="n">
        <v>-78.76000000000001</v>
      </c>
      <c r="O5289" t="n">
        <v>4.5</v>
      </c>
      <c r="P5289" t="n">
        <v>10</v>
      </c>
      <c r="R5289" t="inlineStr">
        <is>
          <t>InStock</t>
        </is>
      </c>
      <c r="S5289" t="inlineStr">
        <is>
          <t>17.98</t>
        </is>
      </c>
      <c r="T5289" t="inlineStr">
        <is>
          <t>7837748068568</t>
        </is>
      </c>
    </row>
    <row r="5290" hidden="1" ht="15.75" customHeight="1">
      <c r="A5290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5290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5290" t="inlineStr">
        <is>
          <t>Klein Tools 6866INS Insulated Screwdriver, 5/16-Inch Cabinet Tip, 6-Inch Shank</t>
        </is>
      </c>
      <c r="D5290" t="inlineStr">
        <is>
          <t>Klein Tools 6926INS Insulated Screwdriver, 1000V Slim Profile Tip, 1/4-Inch Cabinet Screwdriver with 6-Inch Shank, Cushion-Grip Handle</t>
        </is>
      </c>
      <c r="E5290" s="2">
        <f>HYPERLINK("https://www.amazon.com/Klein-Tools-6926INS-Screwdriver-Cushion-Grip/dp/B09GL1X5SZ/ref=sr_1_3?keywords=Klein+Tools+6866INS+Insulated+Screwdriver%2C+5%2F16-Inch+Cabinet+Tip%2C+6-Inch+Shank&amp;qid=1694735117&amp;sr=8-3", "https://www.amazon.com/Klein-Tools-6926INS-Screwdriver-Cushion-Grip/dp/B09GL1X5SZ/ref=sr_1_3?keywords=Klein+Tools+6866INS+Insulated+Screwdriver%2C+5%2F16-Inch+Cabinet+Tip%2C+6-Inch+Shank&amp;qid=1694735117&amp;sr=8-3")</f>
        <v/>
      </c>
      <c r="F5290" t="inlineStr">
        <is>
          <t>B09GL1X5SZ</t>
        </is>
      </c>
      <c r="G5290">
        <f>_xludf.IMAGE("https://edmondsonsupply.com/cdn/shop/products/6866ins.jpg?v=1664818689")</f>
        <v/>
      </c>
      <c r="H5290">
        <f>_xludf.IMAGE("https://m.media-amazon.com/images/I/41JbepP5oGL._AC_UL320_.jpg")</f>
        <v/>
      </c>
      <c r="K5290" t="inlineStr">
        <is>
          <t>11.97</t>
        </is>
      </c>
      <c r="L5290" t="n">
        <v>14.99</v>
      </c>
      <c r="M5290" s="1" t="inlineStr">
        <is>
          <t>25.23%</t>
        </is>
      </c>
      <c r="N5290" s="1" t="n">
        <v>-78.84</v>
      </c>
      <c r="O5290" t="n">
        <v>4.8</v>
      </c>
      <c r="P5290" t="n">
        <v>85</v>
      </c>
      <c r="R5290" t="inlineStr">
        <is>
          <t>InStock</t>
        </is>
      </c>
      <c r="S5290" t="inlineStr">
        <is>
          <t>17.98</t>
        </is>
      </c>
      <c r="T5290" t="inlineStr">
        <is>
          <t>7837748068568</t>
        </is>
      </c>
    </row>
    <row r="5291" ht="87" customHeight="1">
      <c r="A5291" s="2">
        <f>HYPERLINK("https://edmondsonsupply.com/collections/electricians-tools/products/milwaukee-2732-21hd", "https://edmondsonsupply.com/collections/electricians-tools/products/milwaukee-2732-21hd")</f>
        <v/>
      </c>
      <c r="B5291" s="2">
        <f>HYPERLINK("https://edmondsonsupply.com/products/milwaukee-2732-21hd", "https://edmondsonsupply.com/products/milwaukee-2732-21hd")</f>
        <v/>
      </c>
      <c r="C5291" t="inlineStr">
        <is>
          <t>Milwaukee 2732-21HD M18 FUEL 7-1/4" Circular Saw Kit</t>
        </is>
      </c>
      <c r="D5291" t="inlineStr">
        <is>
          <t>Milwaukee M18 FUEL 18-Volt Lithium-Ion Brushless Cordless 7-1/4 in. Circular Saw Kit with (1) 12.0Ah Battery, Charger, Tool Bag</t>
        </is>
      </c>
      <c r="E5291" s="2">
        <f>HYPERLINK("https://www.amazon.com/Milwaukee-Lithium-Ion-Brushless-Cordless-Circular/dp/B07M5LVKLY/ref=sr_1_3?keywords=Milwaukee+2732-21HD+M18+FUEL+7-1%2F4%22+Circular+Saw+Kit&amp;qid=1694735304&amp;sr=8-3", "https://www.amazon.com/Milwaukee-Lithium-Ion-Brushless-Cordless-Circular/dp/B07M5LVKLY/ref=sr_1_3?keywords=Milwaukee+2732-21HD+M18+FUEL+7-1%2F4%22+Circular+Saw+Kit&amp;qid=1694735304&amp;sr=8-3")</f>
        <v/>
      </c>
      <c r="F5291" t="inlineStr">
        <is>
          <t>B07M5LVKLY</t>
        </is>
      </c>
      <c r="G5291">
        <f>_xlfn.IMAGE("https://edmondsonsupply.com/cdn/shop/products/2732-21HD_Kit.png?v=1591470998")</f>
        <v/>
      </c>
      <c r="H5291">
        <f>_xlfn.IMAGE("https://m.media-amazon.com/images/I/71irOBtg8jL._AC_UL320_.jpg")</f>
        <v/>
      </c>
      <c r="K5291" t="inlineStr">
        <is>
          <t>449.0</t>
        </is>
      </c>
      <c r="L5291" t="n">
        <v>561.98</v>
      </c>
      <c r="M5291" s="1" t="inlineStr">
        <is>
          <t>25.16%</t>
        </is>
      </c>
      <c r="N5291" s="7" t="n">
        <v>-79.17</v>
      </c>
      <c r="O5291" t="n">
        <v>5</v>
      </c>
      <c r="P5291" t="n">
        <v>3</v>
      </c>
      <c r="R5291" t="inlineStr">
        <is>
          <t>InStock</t>
        </is>
      </c>
      <c r="S5291" t="inlineStr">
        <is>
          <t>790.0</t>
        </is>
      </c>
      <c r="T5291" t="inlineStr">
        <is>
          <t>5279006064808</t>
        </is>
      </c>
    </row>
    <row r="5292" hidden="1" ht="15.75" customHeight="1">
      <c r="A5292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5292" s="2">
        <f>HYPERLINK("https://edmondsonsupply.com/products/diablo-tools-dmapl2240-3-8-in-x-10-in-x-12-in-sds-plus-2-cutter", "https://edmondsonsupply.com/products/diablo-tools-dmapl2240-3-8-in-x-10-in-x-12-in-sds-plus-2-cutter")</f>
        <v/>
      </c>
      <c r="C5292" t="inlineStr">
        <is>
          <t>Diablo Tools DMAPL2240 3/8 in. x 10 in. x 12 in. SDS-Plus 2-Cutter</t>
        </is>
      </c>
      <c r="D5292" t="inlineStr">
        <is>
          <t>Diablo 9/16 in. x 10 in. x 12 in. SDS-Plus 2-Cutter</t>
        </is>
      </c>
      <c r="E5292" s="2">
        <f>HYPERLINK("https://www.amazon.com/Diablo-DMAPL2380-16-SDS-Plus-2-Cutter/dp/B089LGWH7X/ref=sr_1_4?keywords=Diablo+Tools+DMAPL2240+3%2F8+in.+x+10+in.+x+12+in.+SDS-Plus+2-Cutter&amp;qid=1694735297&amp;sr=8-4", "https://www.amazon.com/Diablo-DMAPL2380-16-SDS-Plus-2-Cutter/dp/B089LGWH7X/ref=sr_1_4?keywords=Diablo+Tools+DMAPL2240+3%2F8+in.+x+10+in.+x+12+in.+SDS-Plus+2-Cutter&amp;qid=1694735297&amp;sr=8-4")</f>
        <v/>
      </c>
      <c r="F5292" t="inlineStr">
        <is>
          <t>B089LGWH7X</t>
        </is>
      </c>
      <c r="G5292">
        <f>_xludf.IMAGE("https://edmondsonsupply.com/cdn/shop/products/DMAPL2240-P25.jpg?v=1633030355")</f>
        <v/>
      </c>
      <c r="H5292">
        <f>_xludf.IMAGE("https://m.media-amazon.com/images/I/6120+2+rRTL._AC_UL320_.jpg")</f>
        <v/>
      </c>
      <c r="K5292" t="inlineStr">
        <is>
          <t>10.97</t>
        </is>
      </c>
      <c r="L5292" t="n">
        <v>13.73</v>
      </c>
      <c r="M5292" s="1" t="inlineStr">
        <is>
          <t>25.16%</t>
        </is>
      </c>
      <c r="N5292" s="1" t="n">
        <v>-79.33</v>
      </c>
      <c r="O5292" t="n">
        <v>5</v>
      </c>
      <c r="P5292" t="n">
        <v>1</v>
      </c>
      <c r="R5292" t="inlineStr">
        <is>
          <t>InStock</t>
        </is>
      </c>
      <c r="S5292" t="inlineStr">
        <is>
          <t>12.38</t>
        </is>
      </c>
      <c r="T5292" t="inlineStr">
        <is>
          <t>5286161252520</t>
        </is>
      </c>
    </row>
    <row r="5293" ht="87" customHeight="1">
      <c r="A5293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5293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5293" t="inlineStr">
        <is>
          <t>Klein Tools 32801 5-in-1 Multi-Bit Screwdriver / Nut Driver, Heavy Duty</t>
        </is>
      </c>
      <c r="D5293" t="inlineStr">
        <is>
          <t>Klein Tools 32505 Multi-Bit Screwdriver / Nut Driver 11-in-1 with Phillips, Slotted, Square and Combo Tips, Heat Treated for Long Life</t>
        </is>
      </c>
      <c r="E5293" s="2">
        <f>HYPERLINK("https://www.amazon.com/Combo-Screw-Klein-Tools-32505/dp/B00OLBLUBM/ref=sr_1_20?keywords=Klein+Tools+32801+5-in-1+Multi-Bit+Screwdriver+%2F+Nut+Driver%2C+Heavy+Duty&amp;qid=1694735265&amp;sr=8-20", "https://www.amazon.com/Combo-Screw-Klein-Tools-32505/dp/B00OLBLUBM/ref=sr_1_20?keywords=Klein+Tools+32801+5-in-1+Multi-Bit+Screwdriver+%2F+Nut+Driver%2C+Heavy+Duty&amp;qid=1694735265&amp;sr=8-20")</f>
        <v/>
      </c>
      <c r="F5293" t="inlineStr">
        <is>
          <t>B00OLBLUBM</t>
        </is>
      </c>
      <c r="G5293">
        <f>_xlfn.IMAGE("https://edmondsonsupply.com/cdn/shop/products/32801.jpg?v=1633030677")</f>
        <v/>
      </c>
      <c r="H5293">
        <f>_xlfn.IMAGE("https://m.media-amazon.com/images/I/5156lOrvpHL._AC_UL320_.jpg")</f>
        <v/>
      </c>
      <c r="K5293" t="inlineStr">
        <is>
          <t>19.97</t>
        </is>
      </c>
      <c r="L5293" t="n">
        <v>24.99</v>
      </c>
      <c r="M5293" s="1" t="inlineStr">
        <is>
          <t>25.14%</t>
        </is>
      </c>
      <c r="N5293" s="7" t="n">
        <v>-79.90000000000001</v>
      </c>
      <c r="O5293" t="n">
        <v>4.7</v>
      </c>
      <c r="P5293" t="n">
        <v>110</v>
      </c>
      <c r="R5293" t="inlineStr">
        <is>
          <t>InStock</t>
        </is>
      </c>
      <c r="S5293" t="inlineStr">
        <is>
          <t>32.18</t>
        </is>
      </c>
      <c r="T5293" t="inlineStr">
        <is>
          <t>5807274819752</t>
        </is>
      </c>
    </row>
    <row r="5294" hidden="1" ht="15.75" customHeight="1">
      <c r="A5294" s="2">
        <f>HYPERLINK("https://edmondsonsupply.com/collections/electricians-tools/products/diablo-tools-dmamx1090-5-8", "https://edmondsonsupply.com/collections/electricians-tools/products/diablo-tools-dmamx1090-5-8")</f>
        <v/>
      </c>
      <c r="B5294" s="2">
        <f>HYPERLINK("https://edmondsonsupply.com/products/diablo-tools-dmamx1090-5-8", "https://edmondsonsupply.com/products/diablo-tools-dmamx1090-5-8")</f>
        <v/>
      </c>
      <c r="C5294" t="inlineStr">
        <is>
          <t>Diablo Tools DMAMX1090 5/8 in. x 8 in. x 13 in. Rebar Demon SDS‑Max 4‑Cutter Full Carbide Head Hammer Bit</t>
        </is>
      </c>
      <c r="D5294" t="inlineStr">
        <is>
          <t>Diablo DMAMX1180 7/8 in. x 16 in. x 21 in. Rebar Demon™ SDS-Max 4-Cutter Full Carbide Head Hammer Bit</t>
        </is>
      </c>
      <c r="E5294" s="2">
        <f>HYPERLINK("https://www.amazon.com/Diablo-SDS-Max-4-Cutter-Carbide-Hammer/dp/B089KWFF8B/ref=sr_1_22?keywords=Diablo+Tools+DMAMX1090+5%2F8+in.+x+8+in.+x+13+in.+Rebar+Demon+SDS%E2%80%91Max+4%E2%80%91Cutter+Full+Carbide+Head+Hammer+Bit&amp;qid=1694735267&amp;sr=8-22", "https://www.amazon.com/Diablo-SDS-Max-4-Cutter-Carbide-Hammer/dp/B089KWFF8B/ref=sr_1_22?keywords=Diablo+Tools+DMAMX1090+5%2F8+in.+x+8+in.+x+13+in.+Rebar+Demon+SDS%E2%80%91Max+4%E2%80%91Cutter+Full+Carbide+Head+Hammer+Bit&amp;qid=1694735267&amp;sr=8-22")</f>
        <v/>
      </c>
      <c r="F5294" t="inlineStr">
        <is>
          <t>B089KWFF8B</t>
        </is>
      </c>
      <c r="G5294">
        <f>_xludf.IMAGE("https://edmondsonsupply.com/cdn/shop/products/DMAMX1090_Main-Image20200701.png?v=1609799247")</f>
        <v/>
      </c>
      <c r="H5294">
        <f>_xludf.IMAGE("https://m.media-amazon.com/images/I/611fTcYRNFL._AC_UL320_.jpg")</f>
        <v/>
      </c>
      <c r="K5294" t="inlineStr">
        <is>
          <t>41.97</t>
        </is>
      </c>
      <c r="L5294" t="n">
        <v>52.51</v>
      </c>
      <c r="M5294" s="1" t="inlineStr">
        <is>
          <t>25.11%</t>
        </is>
      </c>
      <c r="N5294" s="1" t="n">
        <v>-80.63</v>
      </c>
      <c r="O5294" t="n">
        <v>3.5</v>
      </c>
      <c r="P5294" t="n">
        <v>3</v>
      </c>
      <c r="R5294" t="inlineStr">
        <is>
          <t>InStock</t>
        </is>
      </c>
      <c r="S5294" t="inlineStr">
        <is>
          <t>48.13</t>
        </is>
      </c>
      <c r="T5294" t="inlineStr">
        <is>
          <t>5463856447656</t>
        </is>
      </c>
    </row>
    <row r="5295" ht="87" customHeight="1">
      <c r="A5295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5295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5295" t="inlineStr">
        <is>
          <t>Klein Tools 32801 5-in-1 Multi-Bit Screwdriver / Nut Driver, Heavy Duty</t>
        </is>
      </c>
      <c r="D5295" t="inlineStr">
        <is>
          <t>Klein Tools 32307 Multi-bit Tamperproof Screwdriver, 27-in-1 Tool with Torx, Hex, Torq and Spanner Bits with 1/4-Inch Nut Driver</t>
        </is>
      </c>
      <c r="E5295" s="2">
        <f>HYPERLINK("https://www.amazon.com/Klein-Tools-32307-Tamperproof-Screwdriver/dp/B08KFL4QD4/ref=sr_1_19?keywords=Klein+Tools+32801+5-in-1+Multi-Bit+Screwdriver+%2F+Nut+Driver%2C+Heavy+Duty&amp;qid=1694735265&amp;sr=8-19", "https://www.amazon.com/Klein-Tools-32307-Tamperproof-Screwdriver/dp/B08KFL4QD4/ref=sr_1_19?keywords=Klein+Tools+32801+5-in-1+Multi-Bit+Screwdriver+%2F+Nut+Driver%2C+Heavy+Duty&amp;qid=1694735265&amp;sr=8-19")</f>
        <v/>
      </c>
      <c r="F5295" t="inlineStr">
        <is>
          <t>B08KFL4QD4</t>
        </is>
      </c>
      <c r="G5295">
        <f>_xlfn.IMAGE("https://edmondsonsupply.com/cdn/shop/products/32801.jpg?v=1633030677")</f>
        <v/>
      </c>
      <c r="H5295">
        <f>_xlfn.IMAGE("https://m.media-amazon.com/images/I/51VWsu+sN9L._AC_UL320_.jpg")</f>
        <v/>
      </c>
      <c r="K5295" t="inlineStr">
        <is>
          <t>19.97</t>
        </is>
      </c>
      <c r="L5295" t="n">
        <v>24.97</v>
      </c>
      <c r="M5295" s="1" t="inlineStr">
        <is>
          <t>25.04%</t>
        </is>
      </c>
      <c r="N5295" s="7" t="n">
        <v>-81.17</v>
      </c>
      <c r="O5295" t="n">
        <v>4.7</v>
      </c>
      <c r="P5295" t="n">
        <v>1624</v>
      </c>
      <c r="R5295" t="inlineStr">
        <is>
          <t>InStock</t>
        </is>
      </c>
      <c r="S5295" t="inlineStr">
        <is>
          <t>32.18</t>
        </is>
      </c>
      <c r="T5295" t="inlineStr">
        <is>
          <t>5807274819752</t>
        </is>
      </c>
    </row>
    <row r="5296" ht="87" customHeight="1">
      <c r="A5296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5296" s="2">
        <f>HYPERLINK("https://edmondsonsupply.com/products/klein-tools-ncvt1xt-non-contact-voltage-tester-70-to-1000v-ac", "https://edmondsonsupply.com/products/klein-tools-ncvt1xt-non-contact-voltage-tester-70-to-1000v-ac")</f>
        <v/>
      </c>
      <c r="C5296" t="inlineStr">
        <is>
          <t>Klein Tools NCVT1XT Non-Contact Voltage Tester, 70 to 1000V AC</t>
        </is>
      </c>
      <c r="D5296" t="inlineStr">
        <is>
          <t>Klein Tools NCVT1PKIT Electrical Tester Kit with Non-Contact Volt Tester, 50 to 1000V AC and GFCI Receptacle Tester, 2-Piece</t>
        </is>
      </c>
      <c r="E5296" s="2">
        <f>HYPERLINK("https://www.amazon.com/Klein-Tools-NCVT1PKIT-Electrical-Non-Contact/dp/B0BS5SCNJ1/ref=sr_1_5?keywords=Klein+Tools+NCVT1XT+Non-Contact+Voltage+Tester%2C+70+to+1000V+AC&amp;qid=1694735046&amp;sr=8-5", "https://www.amazon.com/Klein-Tools-NCVT1PKIT-Electrical-Non-Contact/dp/B0BS5SCNJ1/ref=sr_1_5?keywords=Klein+Tools+NCVT1XT+Non-Contact+Voltage+Tester%2C+70+to+1000V+AC&amp;qid=1694735046&amp;sr=8-5")</f>
        <v/>
      </c>
      <c r="F5296" t="inlineStr">
        <is>
          <t>B0BS5SCNJ1</t>
        </is>
      </c>
      <c r="G5296">
        <f>_xlfn.IMAGE("https://edmondsonsupply.com/cdn/shop/products/ncvt1xt.jpg?v=1674496568")</f>
        <v/>
      </c>
      <c r="H5296">
        <f>_xlfn.IMAGE("https://m.media-amazon.com/images/I/51CD2DGal7L._AC_UL320_.jpg")</f>
        <v/>
      </c>
      <c r="K5296" t="inlineStr">
        <is>
          <t>19.97</t>
        </is>
      </c>
      <c r="L5296" t="n">
        <v>24.97</v>
      </c>
      <c r="M5296" s="1" t="inlineStr">
        <is>
          <t>25.04%</t>
        </is>
      </c>
      <c r="N5296" s="7" t="n">
        <v>-81.44</v>
      </c>
      <c r="O5296" t="n">
        <v>4.4</v>
      </c>
      <c r="P5296" t="n">
        <v>31</v>
      </c>
      <c r="R5296" t="inlineStr">
        <is>
          <t>InStock</t>
        </is>
      </c>
      <c r="S5296" t="inlineStr">
        <is>
          <t>26.32</t>
        </is>
      </c>
      <c r="T5296" t="inlineStr">
        <is>
          <t>7931947155672</t>
        </is>
      </c>
    </row>
    <row r="5297" ht="87" customHeight="1">
      <c r="A5297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5297" s="2">
        <f>HYPERLINK("https://edmondsonsupply.com/products/klein-tools-rt310-afci-gfci-outlet-tester", "https://edmondsonsupply.com/products/klein-tools-rt310-afci-gfci-outlet-tester")</f>
        <v/>
      </c>
      <c r="C5297" t="inlineStr">
        <is>
          <t>Klein Tools RT310 AFCI / GFCI Outlet Tester</t>
        </is>
      </c>
      <c r="D5297" t="inlineStr">
        <is>
          <t>Klein Tools ET310 AC Circuit Breaker Finder, Electric Tester With Integrated GFCI Outlet Tester</t>
        </is>
      </c>
      <c r="E5297" s="2">
        <f>HYPERLINK("https://www.amazon.com/Klein-Tools-ET310-Circuit-Integrated/dp/B07QNMCVWP/ref=sr_1_20?keywords=Klein+Tools+RT310+AFCI+%2F+GFCI+Outlet+Tester&amp;qid=1694734989&amp;sr=8-20", "https://www.amazon.com/Klein-Tools-ET310-Circuit-Integrated/dp/B07QNMCVWP/ref=sr_1_20?keywords=Klein+Tools+RT310+AFCI+%2F+GFCI+Outlet+Tester&amp;qid=1694734989&amp;sr=8-20")</f>
        <v/>
      </c>
      <c r="F5297" t="inlineStr">
        <is>
          <t>B07QNMCVWP</t>
        </is>
      </c>
      <c r="G5297">
        <f>_xlfn.IMAGE("https://edmondsonsupply.com/cdn/shop/products/rt310.jpg?v=1587148552")</f>
        <v/>
      </c>
      <c r="H5297">
        <f>_xlfn.IMAGE("https://m.media-amazon.com/images/I/61pw8oA02AL._AC_UL320_.jpg")</f>
        <v/>
      </c>
      <c r="K5297" t="inlineStr">
        <is>
          <t>39.97</t>
        </is>
      </c>
      <c r="L5297" t="n">
        <v>49.97</v>
      </c>
      <c r="M5297" s="1" t="inlineStr">
        <is>
          <t>25.02%</t>
        </is>
      </c>
      <c r="N5297" s="7" t="n">
        <v>-81.59999999999999</v>
      </c>
      <c r="O5297" t="n">
        <v>4.7</v>
      </c>
      <c r="P5297" t="n">
        <v>19527</v>
      </c>
      <c r="R5297" t="inlineStr">
        <is>
          <t>InStock</t>
        </is>
      </c>
      <c r="S5297" t="inlineStr">
        <is>
          <t>57.9</t>
        </is>
      </c>
      <c r="T5297" t="inlineStr">
        <is>
          <t>3372527779940</t>
        </is>
      </c>
    </row>
    <row r="5298" ht="87" customHeight="1">
      <c r="A5298" s="2">
        <f>HYPERLINK("https://edmondsonsupply.com/collections/electricians-tools/products/klein-tools-j215-8cr-hybrid-pliers", "https://edmondsonsupply.com/collections/electricians-tools/products/klein-tools-j215-8cr-hybrid-pliers")</f>
        <v/>
      </c>
      <c r="B5298" s="2">
        <f>HYPERLINK("https://edmondsonsupply.com/products/klein-tools-j215-8cr-hybrid-pliers", "https://edmondsonsupply.com/products/klein-tools-j215-8cr-hybrid-pliers")</f>
        <v/>
      </c>
      <c r="C5298" t="inlineStr">
        <is>
          <t>Klein Tools J215-8CR Hybrid Pliers</t>
        </is>
      </c>
      <c r="D5298" t="inlineStr">
        <is>
          <t>Klein Tools J2159CRTP Side Cutting Pliers, 9-Inch Journeyman High Leverage Hybrid Pliers with Crimper, Fish Tape Puller and Wire Stripper</t>
        </is>
      </c>
      <c r="E5298" s="2">
        <f>HYPERLINK("https://www.amazon.com/Klein-Tools-J2159CRTP-Journeyman-Leverage/dp/B09YSR1M8G/ref=sr_1_2?keywords=Klein+Tools+J215-8CR+Hybrid+Pliers&amp;qid=1694735181&amp;sr=8-2", "https://www.amazon.com/Klein-Tools-J2159CRTP-Journeyman-Leverage/dp/B09YSR1M8G/ref=sr_1_2?keywords=Klein+Tools+J215-8CR+Hybrid+Pliers&amp;qid=1694735181&amp;sr=8-2")</f>
        <v/>
      </c>
      <c r="F5298" t="inlineStr">
        <is>
          <t>B09YSR1M8G</t>
        </is>
      </c>
      <c r="G5298">
        <f>_xlfn.IMAGE("https://edmondsonsupply.com/cdn/shop/products/j2158cr.jpg?v=1633031183")</f>
        <v/>
      </c>
      <c r="H5298">
        <f>_xlfn.IMAGE("https://m.media-amazon.com/images/I/41p9xe-fzjL._AC_UL320_.jpg")</f>
        <v/>
      </c>
      <c r="K5298" t="inlineStr">
        <is>
          <t>39.97</t>
        </is>
      </c>
      <c r="L5298" t="n">
        <v>49.97</v>
      </c>
      <c r="M5298" s="1" t="inlineStr">
        <is>
          <t>25.02%</t>
        </is>
      </c>
      <c r="N5298" s="7" t="n">
        <v>-82.18000000000001</v>
      </c>
      <c r="O5298" t="n">
        <v>4.7</v>
      </c>
      <c r="P5298" t="n">
        <v>176</v>
      </c>
      <c r="R5298" t="inlineStr">
        <is>
          <t>InStock</t>
        </is>
      </c>
      <c r="S5298" t="inlineStr">
        <is>
          <t>55.98</t>
        </is>
      </c>
      <c r="T5298" t="inlineStr">
        <is>
          <t>6922482811053</t>
        </is>
      </c>
    </row>
    <row r="5299" ht="87" customHeight="1">
      <c r="A5299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5299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5299" t="inlineStr">
        <is>
          <t>Klein Tools 66004 2-in-1 Impact Socket, 6-Point, 3/4 and 9/16-Inch</t>
        </is>
      </c>
      <c r="D5299" t="inlineStr">
        <is>
          <t>Klein Tools 66031 3-in-1 Slotted Impact Socket, 12-Point Deep Sockets, Coaxial Spring Loaded, 3/4 and 9/16-Inch Hex Sizes, 1/2-Inch Drive</t>
        </is>
      </c>
      <c r="E5299" s="2">
        <f>HYPERLINK("https://www.amazon.com/Klein-Tools-66031-Slotted-12-Point/dp/B08R6FL5P8/ref=sr_1_2?keywords=Klein+Tools+66004+2-in-1+Impact+Socket%2C+6-Point%2C+3%2F4+and+9%2F16-Inch&amp;qid=1694735397&amp;sr=8-2", "https://www.amazon.com/Klein-Tools-66031-Slotted-12-Point/dp/B08R6FL5P8/ref=sr_1_2?keywords=Klein+Tools+66004+2-in-1+Impact+Socket%2C+6-Point%2C+3%2F4+and+9%2F16-Inch&amp;qid=1694735397&amp;sr=8-2")</f>
        <v/>
      </c>
      <c r="F5299" t="inlineStr">
        <is>
          <t>B08R6FL5P8</t>
        </is>
      </c>
      <c r="G5299">
        <f>_xlfn.IMAGE("https://edmondsonsupply.com/cdn/shop/products/66004.jpg?v=1664131249")</f>
        <v/>
      </c>
      <c r="H5299">
        <f>_xlfn.IMAGE("https://m.media-amazon.com/images/I/51mIf57QKuL._AC_UL320_.jpg")</f>
        <v/>
      </c>
      <c r="K5299" t="inlineStr">
        <is>
          <t>39.99</t>
        </is>
      </c>
      <c r="L5299" t="n">
        <v>49.99</v>
      </c>
      <c r="M5299" s="1" t="inlineStr">
        <is>
          <t>25.01%</t>
        </is>
      </c>
      <c r="N5299" s="7" t="n">
        <v>-82.51000000000001</v>
      </c>
      <c r="O5299" t="n">
        <v>4.8</v>
      </c>
      <c r="P5299" t="n">
        <v>661</v>
      </c>
      <c r="R5299" t="inlineStr">
        <is>
          <t>InStock</t>
        </is>
      </c>
      <c r="S5299" t="inlineStr">
        <is>
          <t>68.0</t>
        </is>
      </c>
      <c r="T5299" t="inlineStr">
        <is>
          <t>4406308110436</t>
        </is>
      </c>
    </row>
    <row r="5300" ht="87" customHeight="1">
      <c r="A5300" s="2">
        <f>HYPERLINK("https://edmondsonsupply.com/collections/electricians-tools/products/klein-tools-66001-2-in-1-impact-socket-12-point-3-4-and-9-16", "https://edmondsonsupply.com/collections/electricians-tools/products/klein-tools-66001-2-in-1-impact-socket-12-point-3-4-and-9-16")</f>
        <v/>
      </c>
      <c r="B5300" s="2">
        <f>HYPERLINK("https://edmondsonsupply.com/products/klein-tools-66001-2-in-1-impact-socket-12-point-3-4-and-9-16", "https://edmondsonsupply.com/products/klein-tools-66001-2-in-1-impact-socket-12-point-3-4-and-9-16")</f>
        <v/>
      </c>
      <c r="C5300" t="inlineStr">
        <is>
          <t>Klein Tools 66001 2-in-1 Impact Socket, 12-Point, 3/4 and 9/16-Inch</t>
        </is>
      </c>
      <c r="D5300" t="inlineStr">
        <is>
          <t>Klein Tools 66031 3-in-1 Slotted Impact Socket, 12-Point Deep Sockets, Coaxial Spring Loaded, 3/4 and 9/16-Inch Hex Sizes, 1/2-Inch Drive</t>
        </is>
      </c>
      <c r="E5300" s="2">
        <f>HYPERLINK("https://www.amazon.com/Klein-Tools-66031-Slotted-12-Point/dp/B08R6FL5P8/ref=sr_1_4?keywords=Klein+Tools+66001+2-in-1+Impact+Socket%2C+12-Point%2C+3%2F4+and+9%2F16-Inch&amp;qid=1694735393&amp;sr=8-4", "https://www.amazon.com/Klein-Tools-66031-Slotted-12-Point/dp/B08R6FL5P8/ref=sr_1_4?keywords=Klein+Tools+66001+2-in-1+Impact+Socket%2C+12-Point%2C+3%2F4+and+9%2F16-Inch&amp;qid=1694735393&amp;sr=8-4")</f>
        <v/>
      </c>
      <c r="F5300" t="inlineStr">
        <is>
          <t>B08R6FL5P8</t>
        </is>
      </c>
      <c r="G5300">
        <f>_xlfn.IMAGE("https://edmondsonsupply.com/cdn/shop/products/66001.jpg?v=1587145114")</f>
        <v/>
      </c>
      <c r="H5300">
        <f>_xlfn.IMAGE("https://m.media-amazon.com/images/I/51mIf57QKuL._AC_UL320_.jpg")</f>
        <v/>
      </c>
      <c r="K5300" t="inlineStr">
        <is>
          <t>39.99</t>
        </is>
      </c>
      <c r="L5300" t="n">
        <v>49.99</v>
      </c>
      <c r="M5300" s="1" t="inlineStr">
        <is>
          <t>25.01%</t>
        </is>
      </c>
      <c r="N5300" s="7" t="n">
        <v>-82.68000000000001</v>
      </c>
      <c r="O5300" t="n">
        <v>4.8</v>
      </c>
      <c r="P5300" t="n">
        <v>661</v>
      </c>
      <c r="R5300" t="inlineStr">
        <is>
          <t>InStock</t>
        </is>
      </c>
      <c r="S5300" t="inlineStr">
        <is>
          <t>68.0</t>
        </is>
      </c>
      <c r="T5300" t="inlineStr">
        <is>
          <t>1901029556324</t>
        </is>
      </c>
    </row>
    <row r="5301" ht="87" customHeight="1">
      <c r="A5301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5301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5301" t="inlineStr">
        <is>
          <t>Klein Tools 51603 Iron Conduit Bender Full Assembly, 1/2-Inch EMT with Angle Setter™</t>
        </is>
      </c>
      <c r="D5301" t="inlineStr">
        <is>
          <t>Klein Tools 51604 Iron Conduit Bender Full Assembly, 3/4-Inch EMT and 1/2-Inch Rigid, Wide Foot Pedal, Benchmark Symbols and Angle Setter</t>
        </is>
      </c>
      <c r="E5301" s="2">
        <f>HYPERLINK("https://www.amazon.com/Conduit-Features-Klein-Tools-51604/dp/B08V8YVWH1/ref=sr_1_2?keywords=Klein+Tools+51603+Iron+Conduit+Bender+Full+Assembly%2C+1%2F2-Inch+EMT+with+Angle+Setter%E2%84%A2&amp;qid=1694734984&amp;sr=8-2", "https://www.amazon.com/Conduit-Features-Klein-Tools-51604/dp/B08V8YVWH1/ref=sr_1_2?keywords=Klein+Tools+51603+Iron+Conduit+Bender+Full+Assembly%2C+1%2F2-Inch+EMT+with+Angle+Setter%E2%84%A2&amp;qid=1694734984&amp;sr=8-2")</f>
        <v/>
      </c>
      <c r="F5301" t="inlineStr">
        <is>
          <t>B08V8YVWH1</t>
        </is>
      </c>
      <c r="G5301">
        <f>_xlfn.IMAGE("https://edmondsonsupply.com/cdn/shop/products/51604.jpg?v=1663940749")</f>
        <v/>
      </c>
      <c r="H5301">
        <f>_xlfn.IMAGE("https://m.media-amazon.com/images/I/41DkDVmyczL._AC_UL320_.jpg")</f>
        <v/>
      </c>
      <c r="K5301" t="inlineStr">
        <is>
          <t>59.99</t>
        </is>
      </c>
      <c r="L5301" t="n">
        <v>74.98999999999999</v>
      </c>
      <c r="M5301" s="1" t="inlineStr">
        <is>
          <t>25.00%</t>
        </is>
      </c>
      <c r="N5301" s="7" t="n">
        <v>-82.83</v>
      </c>
      <c r="O5301" t="n">
        <v>4.8</v>
      </c>
      <c r="P5301" t="n">
        <v>44</v>
      </c>
      <c r="R5301" t="inlineStr">
        <is>
          <t>InStock</t>
        </is>
      </c>
      <c r="S5301" t="inlineStr">
        <is>
          <t>86.4</t>
        </is>
      </c>
      <c r="T5301" t="inlineStr">
        <is>
          <t>7827227574488</t>
        </is>
      </c>
    </row>
    <row r="5302" ht="87" customHeight="1">
      <c r="A5302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5302" s="2">
        <f>HYPERLINK("https://edmondsonsupply.com/products/klein-tools-51609-3-4-inch-iron-conduit-bender-head", "https://edmondsonsupply.com/products/klein-tools-51609-3-4-inch-iron-conduit-bender-head")</f>
        <v/>
      </c>
      <c r="C5302" t="inlineStr">
        <is>
          <t>Klein Tools 51609 3/4-Inch Iron Conduit Bender Head</t>
        </is>
      </c>
      <c r="D5302" t="inlineStr">
        <is>
          <t>Klein Tools 51604 Iron Conduit Bender Full Assembly, 3/4-Inch EMT and 1/2-Inch Rigid, Wide Foot Pedal, Benchmark Symbols and Angle Setter</t>
        </is>
      </c>
      <c r="E5302" s="2">
        <f>HYPERLINK("https://www.amazon.com/Conduit-Features-Klein-Tools-51604/dp/B08V8YVWH1/ref=sr_1_3?keywords=Klein+Tools+51609+3%2F4-Inch+Iron+Conduit+Bender+Head&amp;qid=1694735132&amp;sr=8-3", "https://www.amazon.com/Conduit-Features-Klein-Tools-51604/dp/B08V8YVWH1/ref=sr_1_3?keywords=Klein+Tools+51609+3%2F4-Inch+Iron+Conduit+Bender+Head&amp;qid=1694735132&amp;sr=8-3")</f>
        <v/>
      </c>
      <c r="F5302" t="inlineStr">
        <is>
          <t>B08V8YVWH1</t>
        </is>
      </c>
      <c r="G5302">
        <f>_xlfn.IMAGE("https://edmondsonsupply.com/cdn/shop/products/51609.jpg?v=1661867147")</f>
        <v/>
      </c>
      <c r="H5302">
        <f>_xlfn.IMAGE("https://m.media-amazon.com/images/I/41DkDVmyczL._AC_UL320_.jpg")</f>
        <v/>
      </c>
      <c r="K5302" t="inlineStr">
        <is>
          <t>59.99</t>
        </is>
      </c>
      <c r="L5302" t="n">
        <v>74.98999999999999</v>
      </c>
      <c r="M5302" s="1" t="inlineStr">
        <is>
          <t>25.00%</t>
        </is>
      </c>
      <c r="N5302" s="7" t="n">
        <v>-83.12</v>
      </c>
      <c r="O5302" t="n">
        <v>4.8</v>
      </c>
      <c r="P5302" t="n">
        <v>44</v>
      </c>
      <c r="R5302" t="inlineStr">
        <is>
          <t>InStock</t>
        </is>
      </c>
      <c r="S5302" t="inlineStr">
        <is>
          <t>90.22</t>
        </is>
      </c>
      <c r="T5302" t="inlineStr">
        <is>
          <t>7797415837912</t>
        </is>
      </c>
    </row>
    <row r="5303" ht="87" customHeight="1">
      <c r="A5303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5303" s="2">
        <f>HYPERLINK("https://edmondsonsupply.com/products/klein-tools-51609-3-4-inch-iron-conduit-bender-head", "https://edmondsonsupply.com/products/klein-tools-51609-3-4-inch-iron-conduit-bender-head")</f>
        <v/>
      </c>
      <c r="C5303" t="inlineStr">
        <is>
          <t>Klein Tools 51609 3/4-Inch Iron Conduit Bender Head</t>
        </is>
      </c>
      <c r="D5303" t="inlineStr">
        <is>
          <t>Klein Tools 51610 Iron Conduit Bender Head, for 1-Inch EMT or 3/4-Inch Rigid IMC, use with Klein Tools Angle Setter (Cat. No. 51613)</t>
        </is>
      </c>
      <c r="E5303" s="2">
        <f>HYPERLINK("https://www.amazon.com/Conduit-Bender-Klein-Tools-51610/dp/B08V8J5CX4/ref=sr_1_2?keywords=Klein+Tools+51609+3%2F4-Inch+Iron+Conduit+Bender+Head&amp;qid=1694735132&amp;sr=8-2", "https://www.amazon.com/Conduit-Bender-Klein-Tools-51610/dp/B08V8J5CX4/ref=sr_1_2?keywords=Klein+Tools+51609+3%2F4-Inch+Iron+Conduit+Bender+Head&amp;qid=1694735132&amp;sr=8-2")</f>
        <v/>
      </c>
      <c r="F5303" t="inlineStr">
        <is>
          <t>B08V8J5CX4</t>
        </is>
      </c>
      <c r="G5303">
        <f>_xlfn.IMAGE("https://edmondsonsupply.com/cdn/shop/products/51609.jpg?v=1661867147")</f>
        <v/>
      </c>
      <c r="H5303">
        <f>_xlfn.IMAGE("https://m.media-amazon.com/images/I/61jmGqozuVL._AC_UL320_.jpg")</f>
        <v/>
      </c>
      <c r="K5303" t="inlineStr">
        <is>
          <t>59.99</t>
        </is>
      </c>
      <c r="L5303" t="n">
        <v>74.98999999999999</v>
      </c>
      <c r="M5303" s="1" t="inlineStr">
        <is>
          <t>25.00%</t>
        </is>
      </c>
      <c r="N5303" s="7" t="n">
        <v>-83.34</v>
      </c>
      <c r="O5303" t="n">
        <v>4.8</v>
      </c>
      <c r="P5303" t="n">
        <v>11</v>
      </c>
      <c r="R5303" t="inlineStr">
        <is>
          <t>InStock</t>
        </is>
      </c>
      <c r="S5303" t="inlineStr">
        <is>
          <t>90.22</t>
        </is>
      </c>
      <c r="T5303" t="inlineStr">
        <is>
          <t>7797415837912</t>
        </is>
      </c>
    </row>
    <row r="5304" ht="87" customHeight="1">
      <c r="A5304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5304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5304" t="inlineStr">
        <is>
          <t>Klein Tools CL390 AC/DC Digital Clamp Meter, Auto-Ranging 400 Amp</t>
        </is>
      </c>
      <c r="D5304" t="inlineStr">
        <is>
          <t>Klein Tools CL220 Digital Clamp Meter, Auto-Ranging 400 Amp AC, AC/DC Voltage, TRMS, Resistance, Continuity, NCVT Detection, and Temp &amp; 80016 Circuit Breaker Finder Tool Kit</t>
        </is>
      </c>
      <c r="E5304" s="2">
        <f>HYPERLINK("https://www.amazon.com/Klein-Tools-Auto-Ranging-Resistance-Continuity/dp/B0BNL6NFV7/ref=sr_1_14?keywords=Klein+Tools+CL390+AC%2FDC+Digital+Clamp+Meter%2C+Auto-Ranging+400+Amp&amp;qid=1694735129&amp;sr=8-14", "https://www.amazon.com/Klein-Tools-Auto-Ranging-Resistance-Continuity/dp/B0BNL6NFV7/ref=sr_1_14?keywords=Klein+Tools+CL390+AC%2FDC+Digital+Clamp+Meter%2C+Auto-Ranging+400+Amp&amp;qid=1694735129&amp;sr=8-14")</f>
        <v/>
      </c>
      <c r="F5304" t="inlineStr">
        <is>
          <t>B0BNL6NFV7</t>
        </is>
      </c>
      <c r="G5304">
        <f>_xlfn.IMAGE("https://edmondsonsupply.com/cdn/shop/products/cl390.jpg?v=1662670722")</f>
        <v/>
      </c>
      <c r="H5304">
        <f>_xlfn.IMAGE("https://m.media-amazon.com/images/I/51F5hkzephL._AC_UY218_.jpg")</f>
        <v/>
      </c>
      <c r="K5304" t="inlineStr">
        <is>
          <t>99.97</t>
        </is>
      </c>
      <c r="L5304" t="n">
        <v>124.96</v>
      </c>
      <c r="M5304" s="1" t="inlineStr">
        <is>
          <t>25.00%</t>
        </is>
      </c>
      <c r="N5304" s="7" t="n">
        <v>-83.34999999999999</v>
      </c>
      <c r="O5304" t="n">
        <v>5</v>
      </c>
      <c r="P5304" t="n">
        <v>1</v>
      </c>
      <c r="R5304" t="inlineStr">
        <is>
          <t>InStock</t>
        </is>
      </c>
      <c r="S5304" t="inlineStr">
        <is>
          <t>133.3</t>
        </is>
      </c>
      <c r="T5304" t="inlineStr">
        <is>
          <t>7809430585560</t>
        </is>
      </c>
    </row>
    <row r="5305" hidden="1" ht="15.75" customHeight="1">
      <c r="A5305" s="2">
        <f>HYPERLINK("https://edmondsonsupply.com/collections/electricians-tools/products/klein-tools-63060-ratcheting-cable-cutter", "https://edmondsonsupply.com/collections/electricians-tools/products/klein-tools-63060-ratcheting-cable-cutter")</f>
        <v/>
      </c>
      <c r="B5305" s="2">
        <f>HYPERLINK("https://edmondsonsupply.com/products/klein-tools-63060-ratcheting-cable-cutter", "https://edmondsonsupply.com/products/klein-tools-63060-ratcheting-cable-cutter")</f>
        <v/>
      </c>
      <c r="C5305" t="inlineStr">
        <is>
          <t>Klein Tools 63060 Ratcheting Cable Cutter</t>
        </is>
      </c>
      <c r="D5305" t="inlineStr">
        <is>
          <t>Klein Tools 63060 Cable Cutters, Ratcheting Heavy Duty Cutters for Up to 750 MCM, Great for Cable Preparation &amp; 21051 Large Cable Stripper (2/0-250 MCM)</t>
        </is>
      </c>
      <c r="E5305" s="2">
        <f>HYPERLINK("https://www.amazon.com/Klein-Tools-Ratcheting-Preparation-Stripper/dp/B0BD431C5B/ref=sr_1_2?keywords=Klein+Tools+63060+Ratcheting+Cable+Cutter&amp;qid=1694735234&amp;sr=8-2", "https://www.amazon.com/Klein-Tools-Ratcheting-Preparation-Stripper/dp/B0BD431C5B/ref=sr_1_2?keywords=Klein+Tools+63060+Ratcheting+Cable+Cutter&amp;qid=1694735234&amp;sr=8-2")</f>
        <v/>
      </c>
      <c r="F5305" t="inlineStr">
        <is>
          <t>B0BD431C5B</t>
        </is>
      </c>
      <c r="G5305">
        <f>_xludf.IMAGE("https://edmondsonsupply.com/cdn/shop/products/63060.jpg?v=1633030887")</f>
        <v/>
      </c>
      <c r="H5305">
        <f>_xludf.IMAGE("https://m.media-amazon.com/images/I/518sX-KFIZL._AC_UL320_.jpg")</f>
        <v/>
      </c>
      <c r="K5305" t="inlineStr">
        <is>
          <t>199.99</t>
        </is>
      </c>
      <c r="L5305" t="n">
        <v>249.96</v>
      </c>
      <c r="M5305" s="1" t="inlineStr">
        <is>
          <t>24.99%</t>
        </is>
      </c>
      <c r="N5305" s="1" t="n">
        <v>-83.68000000000001</v>
      </c>
      <c r="O5305" t="n">
        <v>3.6</v>
      </c>
      <c r="P5305" t="n">
        <v>4</v>
      </c>
      <c r="R5305" t="inlineStr">
        <is>
          <t>InStock</t>
        </is>
      </c>
      <c r="S5305" t="inlineStr">
        <is>
          <t>349.32</t>
        </is>
      </c>
      <c r="T5305" t="inlineStr">
        <is>
          <t>6220423594157</t>
        </is>
      </c>
    </row>
    <row r="5306" ht="87" customHeight="1">
      <c r="A5306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5306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5306" t="inlineStr">
        <is>
          <t>Klein Tools 66004 2-in-1 Impact Socket, 6-Point, 3/4 and 9/16-Inch</t>
        </is>
      </c>
      <c r="D5306" t="inlineStr">
        <is>
          <t>Klein Tools 66030 2-in-1 Non-Marring Impact Socket, Coated 12-Point Deep Sockets, 3/4- and 9/16-Inch Sizes</t>
        </is>
      </c>
      <c r="E5306" s="2">
        <f>HYPERLINK("https://www.amazon.com/Non-Marring-12-Point-Klein-Tools-66030/dp/B09JWM5Y6N/ref=sr_1_3?keywords=Klein+Tools+66004+2-in-1+Impact+Socket%2C+6-Point%2C+3%2F4+and+9%2F16-Inch&amp;qid=1694735397&amp;sr=8-3", "https://www.amazon.com/Non-Marring-12-Point-Klein-Tools-66030/dp/B09JWM5Y6N/ref=sr_1_3?keywords=Klein+Tools+66004+2-in-1+Impact+Socket%2C+6-Point%2C+3%2F4+and+9%2F16-Inch&amp;qid=1694735397&amp;sr=8-3")</f>
        <v/>
      </c>
      <c r="F5306" t="inlineStr">
        <is>
          <t>B09JWM5Y6N</t>
        </is>
      </c>
      <c r="G5306">
        <f>_xlfn.IMAGE("https://edmondsonsupply.com/cdn/shop/products/66004.jpg?v=1664131249")</f>
        <v/>
      </c>
      <c r="H5306">
        <f>_xlfn.IMAGE("https://m.media-amazon.com/images/I/41w38OgEo3L._AC_UL320_.jpg")</f>
        <v/>
      </c>
      <c r="K5306" t="inlineStr">
        <is>
          <t>39.99</t>
        </is>
      </c>
      <c r="L5306" t="n">
        <v>49.98</v>
      </c>
      <c r="M5306" s="1" t="inlineStr">
        <is>
          <t>24.98%</t>
        </is>
      </c>
      <c r="N5306" s="7" t="n">
        <v>-84.09999999999999</v>
      </c>
      <c r="O5306" t="n">
        <v>5</v>
      </c>
      <c r="P5306" t="n">
        <v>2</v>
      </c>
      <c r="R5306" t="inlineStr">
        <is>
          <t>InStock</t>
        </is>
      </c>
      <c r="S5306" t="inlineStr">
        <is>
          <t>68.0</t>
        </is>
      </c>
      <c r="T5306" t="inlineStr">
        <is>
          <t>4406308110436</t>
        </is>
      </c>
    </row>
    <row r="5307" hidden="1" ht="15.75" customHeight="1">
      <c r="A5307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5307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5307" t="inlineStr">
        <is>
          <t>Diablo Tools DMAPL4070 1/4 in. x 4 in. x 6 in. Rebar Demon™ SDS-Plus 4-Cutter Full Carbide Head Hammer Bit</t>
        </is>
      </c>
      <c r="D5307" t="inlineStr">
        <is>
          <t>Diablo 7/16" x 4"x6" Rebar Demon™ SDS-Plus 4-Cutter Full Carbide Head Hammer Bit</t>
        </is>
      </c>
      <c r="E5307" s="2">
        <f>HYPERLINK("https://www.amazon.com/Diablo-SDS-Plus-4-Cutter-Carbide-Hammer/dp/B089LLFMWR/ref=sr_1_31?keywords=Diablo+Tools+DMAPL4070+1%2F4+in.+x+4+in.+x+6+in.+Rebar+Demon%E2%84%A2+SDS-Plus+4-Cutter+Full+Carbide+Head+Hammer+Bit&amp;qid=1694735303&amp;sr=8-31", "https://www.amazon.com/Diablo-SDS-Plus-4-Cutter-Carbide-Hammer/dp/B089LLFMWR/ref=sr_1_31?keywords=Diablo+Tools+DMAPL4070+1%2F4+in.+x+4+in.+x+6+in.+Rebar+Demon%E2%84%A2+SDS-Plus+4-Cutter+Full+Carbide+Head+Hammer+Bit&amp;qid=1694735303&amp;sr=8-31")</f>
        <v/>
      </c>
      <c r="F5307" t="inlineStr">
        <is>
          <t>B089LLFMWR</t>
        </is>
      </c>
      <c r="G5307">
        <f>_xludf.IMAGE("https://edmondsonsupply.com/cdn/shop/products/DMAPL4070_Main-Image20200701.png?v=1633030350")</f>
        <v/>
      </c>
      <c r="H5307">
        <f>_xludf.IMAGE("https://m.media-amazon.com/images/I/61dJRePds4L._AC_UL320_.jpg")</f>
        <v/>
      </c>
      <c r="K5307" t="inlineStr">
        <is>
          <t>8.97</t>
        </is>
      </c>
      <c r="L5307" t="n">
        <v>11.21</v>
      </c>
      <c r="M5307" s="1" t="inlineStr">
        <is>
          <t>24.97%</t>
        </is>
      </c>
      <c r="N5307" s="1" t="n">
        <v>-84.13</v>
      </c>
      <c r="O5307" t="n">
        <v>4.5</v>
      </c>
      <c r="P5307" t="n">
        <v>8</v>
      </c>
      <c r="R5307" t="inlineStr">
        <is>
          <t>InStock</t>
        </is>
      </c>
      <c r="S5307" t="inlineStr">
        <is>
          <t>undefined</t>
        </is>
      </c>
      <c r="T5307" t="inlineStr">
        <is>
          <t>5283100197032</t>
        </is>
      </c>
    </row>
    <row r="5308" ht="87" customHeight="1">
      <c r="A5308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5308" s="2">
        <f>HYPERLINK("https://edmondsonsupply.com/products/klein-tools-d2000-9ne-linemans-pliers-9-inch", "https://edmondsonsupply.com/products/klein-tools-d2000-9ne-linemans-pliers-9-inch")</f>
        <v/>
      </c>
      <c r="C5308" t="inlineStr">
        <is>
          <t>Klein Tools D2000-9NE Lineman's Pliers, 9-Inch</t>
        </is>
      </c>
      <c r="D5308" t="inlineStr">
        <is>
          <t>Klein Tools 2139NERINS 1000V Insulated Side Cutter Pliers, High Leverage Design, Induction Hardened Knives, 9-Inch</t>
        </is>
      </c>
      <c r="E5308" s="2">
        <f>HYPERLINK("https://www.amazon.com/Klein-Tools-2139NERINS-Insulated-Induction/dp/B0BFZRMX2B/ref=sr_1_16?keywords=Klein+Tools+D2000-9NE+Linemans+Pliers%2C+9-Inch&amp;qid=1694735236&amp;sr=8-16", "https://www.amazon.com/Klein-Tools-2139NERINS-Insulated-Induction/dp/B0BFZRMX2B/ref=sr_1_16?keywords=Klein+Tools+D2000-9NE+Linemans+Pliers%2C+9-Inch&amp;qid=1694735236&amp;sr=8-16")</f>
        <v/>
      </c>
      <c r="F5308" t="inlineStr">
        <is>
          <t>B0BFZRMX2B</t>
        </is>
      </c>
      <c r="G5308">
        <f>_xlfn.IMAGE("https://edmondsonsupply.com/cdn/shop/products/d20009ne.jpg?v=1633030816")</f>
        <v/>
      </c>
      <c r="H5308">
        <f>_xlfn.IMAGE("https://m.media-amazon.com/images/I/41W1+RI2nNL._AC_UL320_.jpg")</f>
        <v/>
      </c>
      <c r="K5308" t="inlineStr">
        <is>
          <t>39.99</t>
        </is>
      </c>
      <c r="L5308" t="n">
        <v>49.97</v>
      </c>
      <c r="M5308" s="1" t="inlineStr">
        <is>
          <t>24.96%</t>
        </is>
      </c>
      <c r="N5308" s="7" t="n">
        <v>-84.56999999999999</v>
      </c>
      <c r="O5308" t="n">
        <v>4.6</v>
      </c>
      <c r="P5308" t="n">
        <v>54</v>
      </c>
      <c r="R5308" t="inlineStr">
        <is>
          <t>InStock</t>
        </is>
      </c>
      <c r="S5308" t="inlineStr">
        <is>
          <t>62.04</t>
        </is>
      </c>
      <c r="T5308" t="inlineStr">
        <is>
          <t>6070895411373</t>
        </is>
      </c>
    </row>
    <row r="5309" ht="87" customHeight="1">
      <c r="A5309" s="2">
        <f>HYPERLINK("https://edmondsonsupply.com/collections/electricians-tools/products/klein-tools-9125-tape-measure-25-foot-single-hook", "https://edmondsonsupply.com/collections/electricians-tools/products/klein-tools-9125-tape-measure-25-foot-single-hook")</f>
        <v/>
      </c>
      <c r="B5309" s="2">
        <f>HYPERLINK("https://edmondsonsupply.com/products/klein-tools-9125-tape-measure-25-foot-single-hook", "https://edmondsonsupply.com/products/klein-tools-9125-tape-measure-25-foot-single-hook")</f>
        <v/>
      </c>
      <c r="C5309" t="inlineStr">
        <is>
          <t>Klein Tools 9125 Tape Measure, 25-Foot Single-Hook</t>
        </is>
      </c>
      <c r="D5309" t="inlineStr">
        <is>
          <t>Klein Tools 9225 Tape Measure, Heavy-Duty Measuring Tape with 25-Foot Double-Hook Double-Sided Nylon Reinforced Blade, with Metal Belt Clip</t>
        </is>
      </c>
      <c r="E5309" s="2">
        <f>HYPERLINK("https://www.amazon.com/Klein-Tools-Measure-Magnetic-Double-Hook/dp/B07WF9TKNN/ref=sr_1_3?keywords=Klein+Tools+9125+Tape+Measure%2C+25-Foot+Single-Hook&amp;qid=1694735140&amp;sr=8-3", "https://www.amazon.com/Klein-Tools-Measure-Magnetic-Double-Hook/dp/B07WF9TKNN/ref=sr_1_3?keywords=Klein+Tools+9125+Tape+Measure%2C+25-Foot+Single-Hook&amp;qid=1694735140&amp;sr=8-3")</f>
        <v/>
      </c>
      <c r="F5309" t="inlineStr">
        <is>
          <t>B07WF9TKNN</t>
        </is>
      </c>
      <c r="G5309">
        <f>_xlfn.IMAGE("https://edmondsonsupply.com/cdn/shop/products/9125.jpg?v=1587148575")</f>
        <v/>
      </c>
      <c r="H5309">
        <f>_xlfn.IMAGE("https://m.media-amazon.com/images/I/51-QFLUv4EL._AC_UL320_.jpg")</f>
        <v/>
      </c>
      <c r="K5309" t="inlineStr">
        <is>
          <t>19.99</t>
        </is>
      </c>
      <c r="L5309" t="n">
        <v>24.97</v>
      </c>
      <c r="M5309" s="1" t="inlineStr">
        <is>
          <t>24.91%</t>
        </is>
      </c>
      <c r="N5309" s="7" t="n">
        <v>-84.63</v>
      </c>
      <c r="O5309" t="n">
        <v>4.6</v>
      </c>
      <c r="P5309" t="n">
        <v>1943</v>
      </c>
      <c r="R5309" t="inlineStr">
        <is>
          <t>InStock</t>
        </is>
      </c>
      <c r="S5309" t="inlineStr">
        <is>
          <t>27.98</t>
        </is>
      </c>
      <c r="T5309" t="inlineStr">
        <is>
          <t>4163406430308</t>
        </is>
      </c>
    </row>
    <row r="5310" hidden="1" ht="15.75" customHeight="1">
      <c r="A5310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5310" s="2">
        <f>HYPERLINK("https://edmondsonsupply.com/products/klein-tools-s10-5-16-inch-nut-driver-3-inch-hollow-shaft", "https://edmondsonsupply.com/products/klein-tools-s10-5-16-inch-nut-driver-3-inch-hollow-shaft")</f>
        <v/>
      </c>
      <c r="C5310" t="inlineStr">
        <is>
          <t>Klein Tools S10 5/16-Inch Nut Driver 3-Inch Hollow Shaft</t>
        </is>
      </c>
      <c r="D5310" t="inlineStr">
        <is>
          <t>Klein Tools 630-5/16M 5/16-Inch Magnetic Tip Nut Driver with 3-Inch Hollow Shaft</t>
        </is>
      </c>
      <c r="E5310" s="2">
        <f>HYPERLINK("https://www.amazon.com/Magnetic-Klein-Tools-630-5-16M/dp/B000LEX58E/ref=sr_1_2?keywords=Klein+Tools+S10+5%2F16-Inch+Nut+Driver+3-Inch+Hollow+Shaft&amp;qid=1694735234&amp;sr=8-2", "https://www.amazon.com/Magnetic-Klein-Tools-630-5-16M/dp/B000LEX58E/ref=sr_1_2?keywords=Klein+Tools+S10+5%2F16-Inch+Nut+Driver+3-Inch+Hollow+Shaft&amp;qid=1694735234&amp;sr=8-2")</f>
        <v/>
      </c>
      <c r="F5310" t="inlineStr">
        <is>
          <t>B000LEX58E</t>
        </is>
      </c>
      <c r="G5310">
        <f>_xludf.IMAGE("https://edmondsonsupply.com/cdn/shop/products/s10_38acacb8-6c8e-49ef-8ed3-7160ab53875a.jpg?v=1633030893")</f>
        <v/>
      </c>
      <c r="H5310">
        <f>_xludf.IMAGE("https://m.media-amazon.com/images/I/515W26xlnhL._AC_UL320_.jpg")</f>
        <v/>
      </c>
      <c r="K5310" t="inlineStr">
        <is>
          <t>7.99</t>
        </is>
      </c>
      <c r="L5310" t="n">
        <v>9.970000000000001</v>
      </c>
      <c r="M5310" s="1" t="inlineStr">
        <is>
          <t>24.78%</t>
        </is>
      </c>
      <c r="N5310" s="1" t="n">
        <v>-84.84999999999999</v>
      </c>
      <c r="O5310" t="n">
        <v>4.7</v>
      </c>
      <c r="P5310" t="n">
        <v>1571</v>
      </c>
      <c r="R5310" t="inlineStr">
        <is>
          <t>InStock</t>
        </is>
      </c>
      <c r="S5310" t="inlineStr">
        <is>
          <t>12.06</t>
        </is>
      </c>
      <c r="T5310" t="inlineStr">
        <is>
          <t>6223447031981</t>
        </is>
      </c>
    </row>
    <row r="5311" hidden="1" ht="15.75" customHeight="1">
      <c r="A5311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5311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5311" t="inlineStr">
        <is>
          <t>Diablo Tools DMAPL4220 5/8 in. x 6 in. x 8 in. Rebar Demon™ SDS-Plus 4-Cutter Full Carbide Head Hammer Bit</t>
        </is>
      </c>
      <c r="D5311" t="inlineStr">
        <is>
          <t>Diablo 5/8" x 6"x8" Rebar Demon SDS-Plus 4-Cutter Full Carbide Head Hammer Bit</t>
        </is>
      </c>
      <c r="E5311" s="2">
        <f>HYPERLINK("https://www.amazon.com/Diablo-SDS-Plus-4-Cutter-Carbide-Hammer/dp/B089LL9RZY/ref=sr_1_11?keywords=Diablo+Tools+DMAPL4220+5%2F8+in.+x+6+in.+x+8+in.+Rebar+Demon%E2%84%A2+SDS-Plus+4-Cutter+Full+Carbide+Head+Hammer+Bit&amp;qid=1694735306&amp;sr=8-11", "https://www.amazon.com/Diablo-SDS-Plus-4-Cutter-Carbide-Hammer/dp/B089LL9RZY/ref=sr_1_11?keywords=Diablo+Tools+DMAPL4220+5%2F8+in.+x+6+in.+x+8+in.+Rebar+Demon%E2%84%A2+SDS-Plus+4-Cutter+Full+Carbide+Head+Hammer+Bit&amp;qid=1694735306&amp;sr=8-11")</f>
        <v/>
      </c>
      <c r="F5311" t="inlineStr">
        <is>
          <t>B089LL9RZY</t>
        </is>
      </c>
      <c r="G5311">
        <f>_xludf.IMAGE("https://edmondsonsupply.com/cdn/shop/products/DMAPL4220.jpg?v=1633030355")</f>
        <v/>
      </c>
      <c r="H5311">
        <f>_xludf.IMAGE("https://m.media-amazon.com/images/I/61oRE8LvtqL._AC_UL320_.jpg")</f>
        <v/>
      </c>
      <c r="K5311" t="inlineStr">
        <is>
          <t>10.97</t>
        </is>
      </c>
      <c r="L5311" t="n">
        <v>13.68</v>
      </c>
      <c r="M5311" s="1" t="inlineStr">
        <is>
          <t>24.70%</t>
        </is>
      </c>
      <c r="N5311" s="1" t="n">
        <v>-85.18000000000001</v>
      </c>
      <c r="O5311" t="n">
        <v>4.9</v>
      </c>
      <c r="P5311" t="n">
        <v>42</v>
      </c>
      <c r="R5311" t="inlineStr">
        <is>
          <t>InStock</t>
        </is>
      </c>
      <c r="S5311" t="inlineStr">
        <is>
          <t>17.16</t>
        </is>
      </c>
      <c r="T5311" t="inlineStr">
        <is>
          <t>5286142148776</t>
        </is>
      </c>
    </row>
    <row r="5312" hidden="1" ht="15.75" customHeight="1">
      <c r="A5312" s="2">
        <f>HYPERLINK("https://edmondsonsupply.com/collections/electricians-tools/products/klein-tools-671-6-rapi-driv%C2%AE-screwdriver-1-4-inch-cabinet-6-inch", "https://edmondsonsupply.com/collections/electricians-tools/products/klein-tools-671-6-rapi-driv%C2%AE-screwdriver-1-4-inch-cabinet-6-inch")</f>
        <v/>
      </c>
      <c r="B5312" s="2">
        <f>HYPERLINK("https://edmondsonsupply.com/products/klein-tools-671-6-rapi-driv%c2%ae-screwdriver-1-4-inch-cabinet-6-inch", "https://edmondsonsupply.com/products/klein-tools-671-6-rapi-driv%c2%ae-screwdriver-1-4-inch-cabinet-6-inch")</f>
        <v/>
      </c>
      <c r="C5312" t="inlineStr">
        <is>
          <t>Klein Tools 671-6 Rapi-Driv® Screwdriver, 1/4-Inch Cabinet Tip, 6-Inch Shank</t>
        </is>
      </c>
      <c r="D5312" t="inlineStr">
        <is>
          <t>Klein Tools 614-4 Flat Screwdriver, Precision Electronics Screwdriver, 1/8-Inch Cabinet Tip, 4-Inch Shank</t>
        </is>
      </c>
      <c r="E5312" s="2">
        <f>HYPERLINK("https://www.amazon.com/Klein-Tools-614-4-Screwdriver-Electronics/dp/B00B9HICKS/ref=sr_1_19?keywords=Klein+Tools+671-6+Rapi-Driv%C2%AE+Screwdriver%2C+1%2F4-Inch+Cabinet+Tip%2C+6-Inch+Shank&amp;qid=1694735392&amp;sr=8-19", "https://www.amazon.com/Klein-Tools-614-4-Screwdriver-Electronics/dp/B00B9HICKS/ref=sr_1_19?keywords=Klein+Tools+671-6+Rapi-Driv%C2%AE+Screwdriver%2C+1%2F4-Inch+Cabinet+Tip%2C+6-Inch+Shank&amp;qid=1694735392&amp;sr=8-19")</f>
        <v/>
      </c>
      <c r="F5312" t="inlineStr">
        <is>
          <t>B00B9HICKS</t>
        </is>
      </c>
      <c r="G5312">
        <f>_xludf.IMAGE("https://edmondsonsupply.com/cdn/shop/products/670-6_66b04263-0a93-451f-ab2e-bb9a98ab1ffe.jpg?v=1633030192")</f>
        <v/>
      </c>
      <c r="H5312">
        <f>_xludf.IMAGE("https://m.media-amazon.com/images/I/41hS1hfEVDS._AC_UL320_.jpg")</f>
        <v/>
      </c>
      <c r="K5312" t="inlineStr">
        <is>
          <t>11.49</t>
        </is>
      </c>
      <c r="L5312" t="n">
        <v>14.32</v>
      </c>
      <c r="M5312" s="1" t="inlineStr">
        <is>
          <t>24.63%</t>
        </is>
      </c>
      <c r="N5312" s="1" t="n">
        <v>-85.28</v>
      </c>
      <c r="O5312" t="n">
        <v>4.8</v>
      </c>
      <c r="P5312" t="n">
        <v>999</v>
      </c>
      <c r="R5312" t="inlineStr">
        <is>
          <t>InStock</t>
        </is>
      </c>
      <c r="S5312" t="inlineStr">
        <is>
          <t>17.42</t>
        </is>
      </c>
      <c r="T5312" t="inlineStr">
        <is>
          <t>4398971617380</t>
        </is>
      </c>
    </row>
    <row r="5313" ht="87" customHeight="1">
      <c r="A5313" s="2">
        <f>HYPERLINK("https://edmondsonsupply.com/collections/electricians-tools/products/hilmor-1839076-xlhsm14-1-4-x-18-shaft-magnetic-tip-nut-driver", "https://edmondsonsupply.com/collections/electricians-tools/products/hilmor-1839076-xlhsm14-1-4-x-18-shaft-magnetic-tip-nut-driver")</f>
        <v/>
      </c>
      <c r="B5313" s="2">
        <f>HYPERLINK("https://edmondsonsupply.com/products/hilmor-1839076-xlhsm14-1-4-x-18-shaft-magnetic-tip-nut-driver", "https://edmondsonsupply.com/products/hilmor-1839076-xlhsm14-1-4-x-18-shaft-magnetic-tip-nut-driver")</f>
        <v/>
      </c>
      <c r="C5313" t="inlineStr">
        <is>
          <t>Hilmor 1839076 XLHSM14 1/4" X 18" Shaft Magnetic Tip Nut-Driver</t>
        </is>
      </c>
      <c r="D5313" t="inlineStr">
        <is>
          <t>hilmor 1839076 18" Shaft Magnetic Nut Driver, 1/4"</t>
        </is>
      </c>
      <c r="E5313" s="2">
        <f>HYPERLINK("https://www.amazon.com/hilmor-1839076-Shaft-Magnetic-Driver/dp/B00IF2S94O/ref=sr_1_1?keywords=Hilmor+1839076+XLHSM14+1%2F4+X+18+Shaft+Magnetic+Tip+Nut-Driver&amp;qid=1694735381&amp;sr=8-1", "https://www.amazon.com/hilmor-1839076-Shaft-Magnetic-Driver/dp/B00IF2S94O/ref=sr_1_1?keywords=Hilmor+1839076+XLHSM14+1%2F4+X+18+Shaft+Magnetic+Tip+Nut-Driver&amp;qid=1694735381&amp;sr=8-1")</f>
        <v/>
      </c>
      <c r="F5313" t="inlineStr">
        <is>
          <t>B00IF2S94O</t>
        </is>
      </c>
      <c r="G5313">
        <f>_xlfn.IMAGE("https://edmondsonsupply.com/cdn/shop/products/1839076-O1.jpg?v=1587149918")</f>
        <v/>
      </c>
      <c r="H5313">
        <f>_xlfn.IMAGE("https://m.media-amazon.com/images/I/41bGDEnlFCL._AC_UL320_.jpg")</f>
        <v/>
      </c>
      <c r="K5313" t="inlineStr">
        <is>
          <t>20.05</t>
        </is>
      </c>
      <c r="L5313" t="n">
        <v>24.98</v>
      </c>
      <c r="M5313" s="1" t="inlineStr">
        <is>
          <t>24.59%</t>
        </is>
      </c>
      <c r="N5313" s="7" t="n">
        <v>-85.28</v>
      </c>
      <c r="O5313" t="n">
        <v>5</v>
      </c>
      <c r="P5313" t="n">
        <v>2</v>
      </c>
      <c r="R5313" t="inlineStr">
        <is>
          <t>InStock</t>
        </is>
      </c>
      <c r="S5313" t="inlineStr">
        <is>
          <t>undefined</t>
        </is>
      </c>
      <c r="T5313" t="inlineStr">
        <is>
          <t>2109383606372</t>
        </is>
      </c>
    </row>
    <row r="5314" hidden="1" ht="15.75" customHeight="1">
      <c r="A5314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5314" s="2">
        <f>HYPERLINK("https://edmondsonsupply.com/products/klein-tools-66077-flip-impact-socket-7-16-and-3-8-inch", "https://edmondsonsupply.com/products/klein-tools-66077-flip-impact-socket-7-16-and-3-8-inch")</f>
        <v/>
      </c>
      <c r="C5314" t="inlineStr">
        <is>
          <t>Klein Tools 66077 Flip Impact Socket, 7/16 and 3/8-Inch</t>
        </is>
      </c>
      <c r="D5314" t="inlineStr">
        <is>
          <t>Klein Tools 66076 Impact Driver Flip Socket, 9/16- and 1/2-Inch Sizes, Use with Klein Tools Compact Impact Wrenches BAT20CW, BAT20CW1</t>
        </is>
      </c>
      <c r="E5314" s="2">
        <f>HYPERLINK("https://www.amazon.com/Klein-Tools-66076-Wrenches-BAT20CW1/dp/B0B33L1X4F/ref=sr_1_7?keywords=Klein+Tools+66077+Flip+Impact+Socket%2C+7%2F16+and+3%2F8-Inch&amp;qid=1694735129&amp;sr=8-7", "https://www.amazon.com/Klein-Tools-66076-Wrenches-BAT20CW1/dp/B0B33L1X4F/ref=sr_1_7?keywords=Klein+Tools+66077+Flip+Impact+Socket%2C+7%2F16+and+3%2F8-Inch&amp;qid=1694735129&amp;sr=8-7")</f>
        <v/>
      </c>
      <c r="F5314" t="inlineStr">
        <is>
          <t>B0B33L1X4F</t>
        </is>
      </c>
      <c r="G5314">
        <f>_xludf.IMAGE("https://edmondsonsupply.com/cdn/shop/products/66077.jpg?v=1663082226")</f>
        <v/>
      </c>
      <c r="H5314">
        <f>_xludf.IMAGE("https://m.media-amazon.com/images/I/51DlQH9Po+L._AC_UL320_.jpg")</f>
        <v/>
      </c>
      <c r="K5314" t="inlineStr">
        <is>
          <t>10.43</t>
        </is>
      </c>
      <c r="L5314" t="n">
        <v>12.99</v>
      </c>
      <c r="M5314" s="1" t="inlineStr">
        <is>
          <t>24.54%</t>
        </is>
      </c>
      <c r="N5314" s="1" t="n">
        <v>-86.06999999999999</v>
      </c>
      <c r="O5314" t="n">
        <v>4.8</v>
      </c>
      <c r="P5314" t="n">
        <v>15</v>
      </c>
      <c r="R5314" t="inlineStr">
        <is>
          <t>InStock</t>
        </is>
      </c>
      <c r="S5314" t="inlineStr">
        <is>
          <t>14.6</t>
        </is>
      </c>
      <c r="T5314" t="inlineStr">
        <is>
          <t>7814113165528</t>
        </is>
      </c>
    </row>
    <row r="5315" ht="87" customHeight="1">
      <c r="A5315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5315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5315" t="inlineStr">
        <is>
          <t>Diablo Tools DMAPL4300 1 in. x 8 in. x 10 in. Rebar Demon™ SDS‑Plus 4‑Cutter Full Carbide Head Hammer Drill Bit</t>
        </is>
      </c>
      <c r="D5315" t="inlineStr">
        <is>
          <t>Diablo DMAPL4310 1 in. x 16 in. x 18 in. Rebar Demon™ SDS-Plus 4-Cutter Full Carbide Head Hammer Bit</t>
        </is>
      </c>
      <c r="E5315" s="2" t="n"/>
      <c r="F5315" t="inlineStr">
        <is>
          <t>B089KX2VKR</t>
        </is>
      </c>
      <c r="G5315">
        <f>_xlfn.IMAGE("https://edmondsonsupply.com/cdn/shop/products/DMAPL4300_Additional-Images_0120200225.png?v=1633030652")</f>
        <v/>
      </c>
      <c r="H5315">
        <f>_xlfn.IMAGE("https://m.media-amazon.com/images/I/61iwxfqG2VL._AC_UL320_.jpg")</f>
        <v/>
      </c>
      <c r="K5315" t="inlineStr">
        <is>
          <t>38.97</t>
        </is>
      </c>
      <c r="L5315" t="n">
        <v>48.49</v>
      </c>
      <c r="M5315" s="1" t="inlineStr">
        <is>
          <t>24.43%</t>
        </is>
      </c>
      <c r="N5315" s="7" t="n">
        <v>-86.23999999999999</v>
      </c>
      <c r="O5315" t="n">
        <v>4.5</v>
      </c>
      <c r="P5315" t="n">
        <v>32</v>
      </c>
      <c r="R5315" t="inlineStr">
        <is>
          <t>InStock</t>
        </is>
      </c>
      <c r="S5315" t="inlineStr">
        <is>
          <t>52.66</t>
        </is>
      </c>
      <c r="T5315" t="inlineStr">
        <is>
          <t>5740518637736</t>
        </is>
      </c>
    </row>
    <row r="5316" ht="87" customHeight="1">
      <c r="A5316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5316" s="2">
        <f>HYPERLINK("https://edmondsonsupply.com/products/diablo-tools-dmapl2530-1-in-x-16-in-x-18-in-sds-plus-2-cutter", "https://edmondsonsupply.com/products/diablo-tools-dmapl2530-1-in-x-16-in-x-18-in-sds-plus-2-cutter")</f>
        <v/>
      </c>
      <c r="C5316" t="inlineStr">
        <is>
          <t>Diablo Tools DMAPL2530 1 in. x 16 in. x 18 in. SDS-Plus 2-Cutter</t>
        </is>
      </c>
      <c r="D5316" t="inlineStr">
        <is>
          <t>Diablo DMAPL4310 1 in. x 16 in. x 18 in. Rebar Demon™ SDS-Plus 4-Cutter Full Carbide Head Hammer Bit</t>
        </is>
      </c>
      <c r="E5316" s="2">
        <f>HYPERLINK("https://www.amazon.com/Diablo-DMAPL4310-SDS-Plus-4-Cutter-Carbide/dp/B089KX2VKR/ref=sr_1_5?keywords=Diablo+Tools+DMAPL2530+1+in.+x+16+in.+x+18+in.+SDS-Plus+2-Cutter&amp;qid=1694735204&amp;sr=8-5", "https://www.amazon.com/Diablo-DMAPL4310-SDS-Plus-4-Cutter-Carbide/dp/B089KX2VKR/ref=sr_1_5?keywords=Diablo+Tools+DMAPL2530+1+in.+x+16+in.+x+18+in.+SDS-Plus+2-Cutter&amp;qid=1694735204&amp;sr=8-5")</f>
        <v/>
      </c>
      <c r="F5316" t="inlineStr">
        <is>
          <t>B089KX2VKR</t>
        </is>
      </c>
      <c r="G5316">
        <f>_xlfn.IMAGE("https://edmondsonsupply.com/cdn/shop/products/DMAPL2530_Main-Image20200703.png?v=1627068300")</f>
        <v/>
      </c>
      <c r="H5316">
        <f>_xlfn.IMAGE("https://m.media-amazon.com/images/I/61iwxfqG2VL._AC_UL320_.jpg")</f>
        <v/>
      </c>
      <c r="K5316" t="inlineStr">
        <is>
          <t>38.97</t>
        </is>
      </c>
      <c r="L5316" t="n">
        <v>48.49</v>
      </c>
      <c r="M5316" s="1" t="inlineStr">
        <is>
          <t>24.43%</t>
        </is>
      </c>
      <c r="N5316" s="7" t="n">
        <v>-86.67</v>
      </c>
      <c r="O5316" t="n">
        <v>4.5</v>
      </c>
      <c r="P5316" t="n">
        <v>32</v>
      </c>
      <c r="R5316" t="inlineStr">
        <is>
          <t>InStock</t>
        </is>
      </c>
      <c r="S5316" t="inlineStr">
        <is>
          <t>50.56</t>
        </is>
      </c>
      <c r="T5316" t="inlineStr">
        <is>
          <t>6839623778477</t>
        </is>
      </c>
    </row>
    <row r="5317" ht="87" customHeight="1">
      <c r="A5317" s="2">
        <f>HYPERLINK("https://edmondsonsupply.com/collections/electricians-tools/products/tajima-gp-25bw-g-plus%E2%84%A2-standard-scale-25-ft-x-1-in-steel-blade-tape-measure", "https://edmondsonsupply.com/collections/electricians-tools/products/tajima-gp-25bw-g-plus%E2%84%A2-standard-scale-25-ft-x-1-in-steel-blade-tape-measure")</f>
        <v/>
      </c>
      <c r="B5317" s="2">
        <f>HYPERLINK("https://edmondsonsupply.com/products/tajima-gp-25bw-g-plus%e2%84%a2-standard-scale-25-ft-x-1-in-steel-blade-tape-measure", "https://edmondsonsupply.com/products/tajima-gp-25bw-g-plus%e2%84%a2-standard-scale-25-ft-x-1-in-steel-blade-tape-measure")</f>
        <v/>
      </c>
      <c r="C5317" t="inlineStr">
        <is>
          <t>Tajima GP-25BW G-PLUS™ Standard Scale, 25 ft x 1 in. Steel Blade Tape Measure</t>
        </is>
      </c>
      <c r="D5317" t="inlineStr">
        <is>
          <t>Tajima SSSF-25BW 25 ft. x 1 in. Standard Steel Sigma Stop Tape Measure with Safety Belt Holder</t>
        </is>
      </c>
      <c r="E5317" s="2">
        <f>HYPERLINK("https://www.amazon.com/Tajima-SSSF-25BW-Standard-Measure-Safety/dp/B08J5ML1ZM/ref=sr_1_4?keywords=Tajima+GP-25BW+G-PLUS%E2%84%A2+Standard+Scale%2C+25+ft+x+1+in.+Steel+Blade+Tape+Measure&amp;qid=1694735141&amp;sr=8-4", "https://www.amazon.com/Tajima-SSSF-25BW-Standard-Measure-Safety/dp/B08J5ML1ZM/ref=sr_1_4?keywords=Tajima+GP-25BW+G-PLUS%E2%84%A2+Standard+Scale%2C+25+ft+x+1+in.+Steel+Blade+Tape+Measure&amp;qid=1694735141&amp;sr=8-4")</f>
        <v/>
      </c>
      <c r="F5317" t="inlineStr">
        <is>
          <t>B08J5ML1ZM</t>
        </is>
      </c>
      <c r="G5317">
        <f>_xlfn.IMAGE("https://edmondsonsupply.com/cdn/shop/products/GP-25BW.jpg?v=1655821525")</f>
        <v/>
      </c>
      <c r="H5317">
        <f>_xlfn.IMAGE("https://m.media-amazon.com/images/I/51oDpFYnqaL._AC_UL320_.jpg")</f>
        <v/>
      </c>
      <c r="K5317" t="inlineStr">
        <is>
          <t>35.19</t>
        </is>
      </c>
      <c r="L5317" t="n">
        <v>43.78</v>
      </c>
      <c r="M5317" s="1" t="inlineStr">
        <is>
          <t>24.41%</t>
        </is>
      </c>
      <c r="N5317" s="7" t="n">
        <v>-87</v>
      </c>
      <c r="O5317" t="n">
        <v>4.6</v>
      </c>
      <c r="P5317" t="n">
        <v>138</v>
      </c>
      <c r="R5317" t="inlineStr">
        <is>
          <t>InStock</t>
        </is>
      </c>
      <c r="S5317" t="inlineStr">
        <is>
          <t>35.19</t>
        </is>
      </c>
      <c r="T5317" t="inlineStr">
        <is>
          <t>7726167883992</t>
        </is>
      </c>
    </row>
    <row r="5318" ht="87" customHeight="1">
      <c r="A5318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5318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5318" t="inlineStr">
        <is>
          <t>Klein Tools 646-7/16M 7/16-Inch Magnetic Tip Nut Driver 6-Inch Shaft</t>
        </is>
      </c>
      <c r="D5318" t="inlineStr">
        <is>
          <t>Klein Tools S146 7/16-Inch Nut Driver with 6-Inch Hollow Shaft and Comfordome Handle</t>
        </is>
      </c>
      <c r="E5318" s="2">
        <f>HYPERLINK("https://www.amazon.com/16-Inch-Comfordome-Klein-Tools-S146/dp/B00093GD2C/ref=sr_1_7?keywords=Klein+Tools+646-7%2F16M+7%2F16-Inch+Magnetic+Tip+Nut+Driver+6-Inch+Shaft&amp;qid=1694735353&amp;sr=8-7", "https://www.amazon.com/16-Inch-Comfordome-Klein-Tools-S146/dp/B00093GD2C/ref=sr_1_7?keywords=Klein+Tools+646-7%2F16M+7%2F16-Inch+Magnetic+Tip+Nut+Driver+6-Inch+Shaft&amp;qid=1694735353&amp;sr=8-7")</f>
        <v/>
      </c>
      <c r="F5318" t="inlineStr">
        <is>
          <t>B00093GD2C</t>
        </is>
      </c>
      <c r="G5318">
        <f>_xlfn.IMAGE("https://edmondsonsupply.com/cdn/shop/products/646-5-16m_906faaaa-dd9e-40e4-bce3-8174c2b127b5.jpg?v=1587146594")</f>
        <v/>
      </c>
      <c r="H5318">
        <f>_xlfn.IMAGE("https://m.media-amazon.com/images/I/31ij31KnKpL._AC_UL320_.jpg")</f>
        <v/>
      </c>
      <c r="K5318" t="inlineStr">
        <is>
          <t>12.99</t>
        </is>
      </c>
      <c r="L5318" t="n">
        <v>16.15</v>
      </c>
      <c r="M5318" s="1" t="inlineStr">
        <is>
          <t>24.33%</t>
        </is>
      </c>
      <c r="N5318" s="7" t="n">
        <v>-88.45</v>
      </c>
      <c r="O5318" t="n">
        <v>4.7</v>
      </c>
      <c r="P5318" t="n">
        <v>47</v>
      </c>
      <c r="R5318" t="inlineStr">
        <is>
          <t>InStock</t>
        </is>
      </c>
      <c r="S5318" t="inlineStr">
        <is>
          <t>19.74</t>
        </is>
      </c>
      <c r="T5318" t="inlineStr">
        <is>
          <t>4461840171108</t>
        </is>
      </c>
    </row>
    <row r="5319" hidden="1" ht="15.75" customHeight="1">
      <c r="A5319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5319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5319" t="inlineStr">
        <is>
          <t>Klein Tools JTH6E14BE 5/16-Inch Ball End Hex Key with T-Handle, 6-Inch</t>
        </is>
      </c>
      <c r="D5319" t="inlineStr">
        <is>
          <t>Klein Tools JTH6E13BE 1/4-Inch Ball End Hex Key with Journeyman T-Handle, 6-Inch</t>
        </is>
      </c>
      <c r="E5319" s="2">
        <f>HYPERLINK("https://www.amazon.com/Journeyman-T-Handle-Klein-Tools-JTH6E13BE/dp/B004QW52YW/ref=sr_1_5?keywords=Klein+Tools+JTH6E14BE+5%2F16-Inch+Ball+End+Hex+Key+with+T-Handle%2C+6-Inch&amp;qid=1694735186&amp;sr=8-5", "https://www.amazon.com/Journeyman-T-Handle-Klein-Tools-JTH6E13BE/dp/B004QW52YW/ref=sr_1_5?keywords=Klein+Tools+JTH6E14BE+5%2F16-Inch+Ball+End+Hex+Key+with+T-Handle%2C+6-Inch&amp;qid=1694735186&amp;sr=8-5")</f>
        <v/>
      </c>
      <c r="F5319" t="inlineStr">
        <is>
          <t>B004QW52YW</t>
        </is>
      </c>
      <c r="G5319">
        <f>_xludf.IMAGE("https://edmondsonsupply.com/cdn/shop/products/jth6e13be_0da4cca6-ce15-419c-bc75-cd610bd9637f.jpg?v=1629825198")</f>
        <v/>
      </c>
      <c r="H5319">
        <f>_xludf.IMAGE("https://m.media-amazon.com/images/I/51f9vBFVXgL._AC_UL320_.jpg")</f>
        <v/>
      </c>
      <c r="K5319" t="inlineStr">
        <is>
          <t>8.49</t>
        </is>
      </c>
      <c r="L5319" t="n">
        <v>10.55</v>
      </c>
      <c r="M5319" s="1" t="inlineStr">
        <is>
          <t>24.26%</t>
        </is>
      </c>
      <c r="N5319" s="1" t="n">
        <v>-88.84999999999999</v>
      </c>
      <c r="O5319" t="n">
        <v>4.7</v>
      </c>
      <c r="P5319" t="n">
        <v>32</v>
      </c>
      <c r="R5319" t="inlineStr">
        <is>
          <t>InStock</t>
        </is>
      </c>
      <c r="S5319" t="inlineStr">
        <is>
          <t>12.88</t>
        </is>
      </c>
      <c r="T5319" t="inlineStr">
        <is>
          <t>6899546161325</t>
        </is>
      </c>
    </row>
    <row r="5320" hidden="1" ht="15.75" customHeight="1">
      <c r="A5320" s="2">
        <f>HYPERLINK("https://edmondsonsupply.com/collections/electricians-tools/products/klein-tools-jth4e13-1-4-inch-hex-key-journeyman%E2%84%A2-t-handle-4-inch", "https://edmondsonsupply.com/collections/electricians-tools/products/klein-tools-jth4e13-1-4-inch-hex-key-journeyman%E2%84%A2-t-handle-4-inch")</f>
        <v/>
      </c>
      <c r="B5320" s="2">
        <f>HYPERLINK("https://edmondsonsupply.com/products/klein-tools-jth4e13-1-4-inch-hex-key-journeyman%e2%84%a2-t-handle-4-inch", "https://edmondsonsupply.com/products/klein-tools-jth4e13-1-4-inch-hex-key-journeyman%e2%84%a2-t-handle-4-inch")</f>
        <v/>
      </c>
      <c r="C5320" t="inlineStr">
        <is>
          <t>Klein Tools JTH4E13 1/4-Inch Hex Key, Journeyman™ T-Handle, 4-Inch</t>
        </is>
      </c>
      <c r="D5320" t="inlineStr">
        <is>
          <t>Klein Tools JTH9E14 5/16-Inch Hex Key, Journeyman T-Handle, 9-Inch</t>
        </is>
      </c>
      <c r="E5320" s="2">
        <f>HYPERLINK("https://www.amazon.com/Journeyman-T-Handle-Klein-Tools-JTH9E14/dp/B004QVAH4I/ref=sr_1_6?keywords=Klein+Tools+JTH4E13+1%2F4-Inch+Hex+Key%2C+Journeyman%E2%84%A2+T-Handle%2C+4-Inch&amp;qid=1694735134&amp;sr=8-6", "https://www.amazon.com/Journeyman-T-Handle-Klein-Tools-JTH9E14/dp/B004QVAH4I/ref=sr_1_6?keywords=Klein+Tools+JTH4E13+1%2F4-Inch+Hex+Key%2C+Journeyman%E2%84%A2+T-Handle%2C+4-Inch&amp;qid=1694735134&amp;sr=8-6")</f>
        <v/>
      </c>
      <c r="F5320" t="inlineStr">
        <is>
          <t>B004QVAH4I</t>
        </is>
      </c>
      <c r="G5320">
        <f>_xludf.IMAGE("https://edmondsonsupply.com/cdn/shop/products/jth4e13.jpg?v=1660919816")</f>
        <v/>
      </c>
      <c r="H5320">
        <f>_xludf.IMAGE("https://m.media-amazon.com/images/I/51Yb8h41vLL._AC_UL320_.jpg")</f>
        <v/>
      </c>
      <c r="K5320" t="inlineStr">
        <is>
          <t>5.99</t>
        </is>
      </c>
      <c r="L5320" t="n">
        <v>7.44</v>
      </c>
      <c r="M5320" s="1" t="inlineStr">
        <is>
          <t>24.21%</t>
        </is>
      </c>
      <c r="N5320" s="1" t="n">
        <v>-88.90000000000001</v>
      </c>
      <c r="O5320" t="n">
        <v>4.8</v>
      </c>
      <c r="P5320" t="n">
        <v>114</v>
      </c>
      <c r="R5320" t="inlineStr">
        <is>
          <t>InStock</t>
        </is>
      </c>
      <c r="S5320" t="inlineStr">
        <is>
          <t>9.08</t>
        </is>
      </c>
      <c r="T5320" t="inlineStr">
        <is>
          <t>7786113728728</t>
        </is>
      </c>
    </row>
    <row r="5321" hidden="1" ht="15.75" customHeight="1">
      <c r="A5321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5321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5321" t="inlineStr">
        <is>
          <t>Klein Tools JTH9E11 3/16-Inch Hex Key with Journeyman T-Handle, 9-Inch</t>
        </is>
      </c>
      <c r="D5321" t="inlineStr">
        <is>
          <t>Klein Tools JTH9E14 5/16-Inch Hex Key, Journeyman T-Handle, 9-Inch</t>
        </is>
      </c>
      <c r="E5321" s="2">
        <f>HYPERLINK("https://www.amazon.com/Journeyman-T-Handle-Klein-Tools-JTH9E14/dp/B004QVAH4I/ref=sr_1_6?keywords=Klein+Tools+JTH9E11+3%2F16-Inch+Hex+Key+with+Journeyman+T-Handle%2C+9-Inch&amp;qid=1694735351&amp;sr=8-6", "https://www.amazon.com/Journeyman-T-Handle-Klein-Tools-JTH9E14/dp/B004QVAH4I/ref=sr_1_6?keywords=Klein+Tools+JTH9E11+3%2F16-Inch+Hex+Key+with+Journeyman+T-Handle%2C+9-Inch&amp;qid=1694735351&amp;sr=8-6")</f>
        <v/>
      </c>
      <c r="F5321" t="inlineStr">
        <is>
          <t>B004QVAH4I</t>
        </is>
      </c>
      <c r="G5321">
        <f>_xludf.IMAGE("https://edmondsonsupply.com/cdn/shop/products/jth9e12_5173eed3-120e-418c-a1cc-489b6dba3958.jpg?v=1587147554")</f>
        <v/>
      </c>
      <c r="H5321">
        <f>_xludf.IMAGE("https://m.media-amazon.com/images/I/51Yb8h41vLL._AC_UL320_.jpg")</f>
        <v/>
      </c>
      <c r="K5321" t="inlineStr">
        <is>
          <t>5.99</t>
        </is>
      </c>
      <c r="L5321" t="n">
        <v>7.44</v>
      </c>
      <c r="M5321" s="1" t="inlineStr">
        <is>
          <t>24.21%</t>
        </is>
      </c>
      <c r="N5321" s="1" t="n">
        <v>-89.15000000000001</v>
      </c>
      <c r="O5321" t="n">
        <v>4.8</v>
      </c>
      <c r="P5321" t="n">
        <v>114</v>
      </c>
      <c r="R5321" t="inlineStr">
        <is>
          <t>InStock</t>
        </is>
      </c>
      <c r="S5321" t="inlineStr">
        <is>
          <t>9.06</t>
        </is>
      </c>
      <c r="T5321" t="inlineStr">
        <is>
          <t>4455227523172</t>
        </is>
      </c>
    </row>
    <row r="5322" hidden="1" ht="15.75" customHeight="1">
      <c r="A5322" s="2">
        <f>HYPERLINK("https://edmondsonsupply.com/collections/electricians-tools/products/klein-tools-jth9m6-6-mm-hex-key-journeyman%E2%84%A2-t-handle-9-inch", "https://edmondsonsupply.com/collections/electricians-tools/products/klein-tools-jth9m6-6-mm-hex-key-journeyman%E2%84%A2-t-handle-9-inch")</f>
        <v/>
      </c>
      <c r="B5322" s="2">
        <f>HYPERLINK("https://edmondsonsupply.com/products/klein-tools-jth9m6-6-mm-hex-key-journeyman%e2%84%a2-t-handle-9-inch", "https://edmondsonsupply.com/products/klein-tools-jth9m6-6-mm-hex-key-journeyman%e2%84%a2-t-handle-9-inch")</f>
        <v/>
      </c>
      <c r="C5322" t="inlineStr">
        <is>
          <t>Klein Tools JTH9M6 6 mm Hex Key, Journeyman™ T-Handle, 9-Inch</t>
        </is>
      </c>
      <c r="D5322" t="inlineStr">
        <is>
          <t>Klein Tools JTH9E14 5/16-Inch Hex Key, Journeyman T-Handle, 9-Inch</t>
        </is>
      </c>
      <c r="E5322" s="2">
        <f>HYPERLINK("https://www.amazon.com/Journeyman-T-Handle-Klein-Tools-JTH9E14/dp/B004QVAH4I/ref=sr_1_7?keywords=Klein+Tools+JTH9M6+6+mm+Hex+Key%2C+Journeyman%E2%84%A2+T-Handle%2C+9-Inch&amp;qid=1694735102&amp;sr=8-7", "https://www.amazon.com/Journeyman-T-Handle-Klein-Tools-JTH9E14/dp/B004QVAH4I/ref=sr_1_7?keywords=Klein+Tools+JTH9M6+6+mm+Hex+Key%2C+Journeyman%E2%84%A2+T-Handle%2C+9-Inch&amp;qid=1694735102&amp;sr=8-7")</f>
        <v/>
      </c>
      <c r="F5322" t="inlineStr">
        <is>
          <t>B004QVAH4I</t>
        </is>
      </c>
      <c r="G5322">
        <f>_xludf.IMAGE("https://edmondsonsupply.com/cdn/shop/products/jth6m8_8e3ac188-6806-4676-8198-2058bbbd4836.jpg?v=1664891890")</f>
        <v/>
      </c>
      <c r="H5322">
        <f>_xludf.IMAGE("https://m.media-amazon.com/images/I/51Yb8h41vLL._AC_UL320_.jpg")</f>
        <v/>
      </c>
      <c r="K5322" t="inlineStr">
        <is>
          <t>5.99</t>
        </is>
      </c>
      <c r="L5322" t="n">
        <v>7.44</v>
      </c>
      <c r="M5322" s="1" t="inlineStr">
        <is>
          <t>24.21%</t>
        </is>
      </c>
      <c r="N5322" s="1" t="n">
        <v>-89.16</v>
      </c>
      <c r="O5322" t="n">
        <v>4.8</v>
      </c>
      <c r="P5322" t="n">
        <v>114</v>
      </c>
      <c r="R5322" t="inlineStr">
        <is>
          <t>InStock</t>
        </is>
      </c>
      <c r="S5322" t="inlineStr">
        <is>
          <t>9.06</t>
        </is>
      </c>
      <c r="T5322" t="inlineStr">
        <is>
          <t>7839321981144</t>
        </is>
      </c>
    </row>
    <row r="5323" hidden="1" ht="15.75" customHeight="1">
      <c r="A5323" s="2">
        <f>HYPERLINK("https://edmondsonsupply.com/collections/electricians-tools/products/klein-tools-jth6e13-1-4-inch-hex-key-journeyman-t-handle-6-inch", "https://edmondsonsupply.com/collections/electricians-tools/products/klein-tools-jth6e13-1-4-inch-hex-key-journeyman-t-handle-6-inch")</f>
        <v/>
      </c>
      <c r="B5323" s="2">
        <f>HYPERLINK("https://edmondsonsupply.com/products/klein-tools-jth6e13-1-4-inch-hex-key-journeyman-t-handle-6-inch", "https://edmondsonsupply.com/products/klein-tools-jth6e13-1-4-inch-hex-key-journeyman-t-handle-6-inch")</f>
        <v/>
      </c>
      <c r="C5323" t="inlineStr">
        <is>
          <t>Klein Tools JTH6E13 1/4-Inch Hex Key, Journeyman™ T-Handle, 6-Inch</t>
        </is>
      </c>
      <c r="D5323" t="inlineStr">
        <is>
          <t>Klein Tools JTH9E14 5/16-Inch Hex Key, Journeyman T-Handle, 9-Inch</t>
        </is>
      </c>
      <c r="E5323" s="2">
        <f>HYPERLINK("https://www.amazon.com/Journeyman-T-Handle-Klein-Tools-JTH9E14/dp/B004QVAH4I/ref=sr_1_6?keywords=Klein+Tools+JTH6E13+1%2F4-Inch+Hex+Key%2C+Journeyman%E2%84%A2+T-Handle%2C+6-Inch&amp;qid=1694735318&amp;sr=8-6", "https://www.amazon.com/Journeyman-T-Handle-Klein-Tools-JTH9E14/dp/B004QVAH4I/ref=sr_1_6?keywords=Klein+Tools+JTH6E13+1%2F4-Inch+Hex+Key%2C+Journeyman%E2%84%A2+T-Handle%2C+6-Inch&amp;qid=1694735318&amp;sr=8-6")</f>
        <v/>
      </c>
      <c r="F5323" t="inlineStr">
        <is>
          <t>B004QVAH4I</t>
        </is>
      </c>
      <c r="G5323">
        <f>_xludf.IMAGE("https://edmondsonsupply.com/cdn/shop/products/jth6e15_6c39ee71-7394-4eeb-8e78-2a1961a59f2c.jpg?v=1589422596")</f>
        <v/>
      </c>
      <c r="H5323">
        <f>_xludf.IMAGE("https://m.media-amazon.com/images/I/51Yb8h41vLL._AC_UL320_.jpg")</f>
        <v/>
      </c>
      <c r="K5323" t="inlineStr">
        <is>
          <t>5.99</t>
        </is>
      </c>
      <c r="L5323" t="n">
        <v>7.44</v>
      </c>
      <c r="M5323" s="1" t="inlineStr">
        <is>
          <t>24.21%</t>
        </is>
      </c>
      <c r="N5323" s="1" t="n">
        <v>-89.19</v>
      </c>
      <c r="O5323" t="n">
        <v>4.8</v>
      </c>
      <c r="P5323" t="n">
        <v>114</v>
      </c>
      <c r="R5323" t="inlineStr">
        <is>
          <t>InStock</t>
        </is>
      </c>
      <c r="S5323" t="inlineStr">
        <is>
          <t>9.08</t>
        </is>
      </c>
      <c r="T5323" t="inlineStr">
        <is>
          <t>4654951628900</t>
        </is>
      </c>
    </row>
    <row r="5324" ht="87" customHeight="1">
      <c r="A5324" s="2">
        <f>HYPERLINK("https://edmondsonsupply.com/collections/electricians-tools/products/fluke-323-true-rms-clamp-meter", "https://edmondsonsupply.com/collections/electricians-tools/products/fluke-323-true-rms-clamp-meter")</f>
        <v/>
      </c>
      <c r="B5324" s="2">
        <f>HYPERLINK("https://edmondsonsupply.com/products/fluke-323-true-rms-clamp-meter", "https://edmondsonsupply.com/products/fluke-323-true-rms-clamp-meter")</f>
        <v/>
      </c>
      <c r="C5324" t="inlineStr">
        <is>
          <t>Fluke 323 True RMS Clamp Meter, 400A</t>
        </is>
      </c>
      <c r="D5324" t="inlineStr">
        <is>
          <t>Fluke - 323CAL 323 True-RMS Clamp Meter with a NIST-Traceable Calibration Certificate with Data</t>
        </is>
      </c>
      <c r="E5324" s="2">
        <f>HYPERLINK("https://www.amazon.com/Fluke-True-RMS-NIST-Traceable-Calibration-Certificate/dp/B01CFXIHTK/ref=sr_1_1?keywords=Fluke+323+True+RMS+Clamp+Meter%2C+400A&amp;qid=1694735132&amp;sr=8-1", "https://www.amazon.com/Fluke-True-RMS-NIST-Traceable-Calibration-Certificate/dp/B01CFXIHTK/ref=sr_1_1?keywords=Fluke+323+True+RMS+Clamp+Meter%2C+400A&amp;qid=1694735132&amp;sr=8-1")</f>
        <v/>
      </c>
      <c r="F5324" t="inlineStr">
        <is>
          <t>B01CFXIHTK</t>
        </is>
      </c>
      <c r="G5324">
        <f>_xlfn.IMAGE("https://edmondsonsupply.com/cdn/shop/products/f-323-01c-1500x1000.webp?v=1662580792")</f>
        <v/>
      </c>
      <c r="H5324">
        <f>_xlfn.IMAGE("https://m.media-amazon.com/images/I/61h18jO2mZL._AC_UY218_.jpg")</f>
        <v/>
      </c>
      <c r="K5324" t="inlineStr">
        <is>
          <t>169.99</t>
        </is>
      </c>
      <c r="L5324" t="n">
        <v>211</v>
      </c>
      <c r="M5324" s="1" t="inlineStr">
        <is>
          <t>24.12%</t>
        </is>
      </c>
      <c r="N5324" s="7" t="n">
        <v>-90</v>
      </c>
      <c r="O5324" t="n">
        <v>4.3</v>
      </c>
      <c r="P5324" t="n">
        <v>16</v>
      </c>
      <c r="R5324" t="inlineStr">
        <is>
          <t>InStock</t>
        </is>
      </c>
      <c r="S5324" t="inlineStr">
        <is>
          <t>184.99</t>
        </is>
      </c>
      <c r="T5324" t="inlineStr">
        <is>
          <t>7807599640792</t>
        </is>
      </c>
    </row>
    <row r="5325" hidden="1" ht="15.75" customHeight="1">
      <c r="A5325" s="2">
        <f>HYPERLINK("https://edmondsonsupply.com/collections/electricians-tools/products/diablo-tools-d0604dh-6-1-2-in-x-4-tooth-fiber-cement", "https://edmondsonsupply.com/collections/electricians-tools/products/diablo-tools-d0604dh-6-1-2-in-x-4-tooth-fiber-cement")</f>
        <v/>
      </c>
      <c r="B5325" s="2">
        <f>HYPERLINK("https://edmondsonsupply.com/products/diablo-tools-d0604dh-6-1-2-in-x-4-tooth-fiber-cement", "https://edmondsonsupply.com/products/diablo-tools-d0604dh-6-1-2-in-x-4-tooth-fiber-cement")</f>
        <v/>
      </c>
      <c r="C5325" t="inlineStr">
        <is>
          <t>Diablo Tools D0604DH 6-1/2 in. x 4 Tooth Fiber Cement</t>
        </is>
      </c>
      <c r="D5325" t="inlineStr">
        <is>
          <t>Norske Tools NCSBP281C 6-1/2 inch 4 Tooth Polycrystalline Diamond (PCD) Hardie Fiber Cement Saw Blade (2PC Combo)</t>
        </is>
      </c>
      <c r="E5325" s="2">
        <f>HYPERLINK("https://www.amazon.com/Norske-NCSBP281C-Polycrystalline-Diamond-Hardie/dp/B0B9LBHPLH/ref=sr_1_2?keywords=Diablo+Tools+D0604DH+6-1%2F2+in.+x+4+Tooth+Fiber+Cement&amp;qid=1694735029&amp;sr=8-2", "https://www.amazon.com/Norske-NCSBP281C-Polycrystalline-Diamond-Hardie/dp/B0B9LBHPLH/ref=sr_1_2?keywords=Diablo+Tools+D0604DH+6-1%2F2+in.+x+4+Tooth+Fiber+Cement&amp;qid=1694735029&amp;sr=8-2")</f>
        <v/>
      </c>
      <c r="F5325" t="inlineStr">
        <is>
          <t>B0B9LBHPLH</t>
        </is>
      </c>
      <c r="G5325">
        <f>_xludf.IMAGE("https://edmondsonsupply.com/cdn/shop/products/b97gznmuns4ffl0mabzf.webp?v=1679319668")</f>
        <v/>
      </c>
      <c r="H5325">
        <f>_xludf.IMAGE("https://m.media-amazon.com/images/I/61gux44eitL._AC_UL320_.jpg")</f>
        <v/>
      </c>
      <c r="K5325" t="inlineStr">
        <is>
          <t>49.97</t>
        </is>
      </c>
      <c r="L5325" t="n">
        <v>62</v>
      </c>
      <c r="M5325" s="1" t="inlineStr">
        <is>
          <t>24.07%</t>
        </is>
      </c>
      <c r="N5325" s="1" t="n">
        <v>-90.56</v>
      </c>
      <c r="O5325" t="n">
        <v>4</v>
      </c>
      <c r="P5325" t="n">
        <v>2</v>
      </c>
      <c r="R5325" t="inlineStr">
        <is>
          <t>InStock</t>
        </is>
      </c>
      <c r="S5325" t="inlineStr">
        <is>
          <t>76.15</t>
        </is>
      </c>
      <c r="T5325" t="inlineStr">
        <is>
          <t>7964861595864</t>
        </is>
      </c>
    </row>
    <row r="5326" ht="87" customHeight="1">
      <c r="A5326" s="2">
        <f>HYPERLINK("https://edmondsonsupply.com/collections/electricians-tools/products/crescent-lufkin-1-3-16-x-16-shockforce-nite-eye%E2%84%A2-g1-dual-sided-tape-measure", "https://edmondsonsupply.com/collections/electricians-tools/products/crescent-lufkin-1-3-16-x-16-shockforce-nite-eye%E2%84%A2-g1-dual-sided-tape-measure")</f>
        <v/>
      </c>
      <c r="B5326" s="2">
        <f>HYPERLINK("https://edmondsonsupply.com/products/crescent-lufkin-1-3-16-x-16-shockforce-nite-eye%e2%84%a2-g1-dual-sided-tape-measure", "https://edmondsonsupply.com/products/crescent-lufkin-1-3-16-x-16-shockforce-nite-eye%e2%84%a2-g1-dual-sided-tape-measure")</f>
        <v/>
      </c>
      <c r="C5326" t="inlineStr">
        <is>
          <t>Crescent Lufkin L1116B-02 1-3/16" x 16' Shockforce Nite Eye™ G1 Dual Sided Tape Measure</t>
        </is>
      </c>
      <c r="D5326" t="inlineStr">
        <is>
          <t>Crescent Lufkin 1-3/16" x 35' Shockforce™ G1 Dual Sided Tape Measure - L1135</t>
        </is>
      </c>
      <c r="E5326" s="2">
        <f>HYPERLINK("https://www.amazon.com/Crescent-Lufkin-ShockforceTM-Sided-Measure/dp/B09PGYXMTP/ref=sr_1_8?keywords=Crescent+Lufkin+L1116B-02+1-3%2F16%22+x+16%27+Shockforce+Nite+Eye%E2%84%A2+G1+Dual+Sided+Tape+Measure&amp;qid=1694735006&amp;sr=8-8", "https://www.amazon.com/Crescent-Lufkin-ShockforceTM-Sided-Measure/dp/B09PGYXMTP/ref=sr_1_8?keywords=Crescent+Lufkin+L1116B-02+1-3%2F16%22+x+16%27+Shockforce+Nite+Eye%E2%84%A2+G1+Dual+Sided+Tape+Measure&amp;qid=1694735006&amp;sr=8-8")</f>
        <v/>
      </c>
      <c r="F5326" t="inlineStr">
        <is>
          <t>B09PGYXMTP</t>
        </is>
      </c>
      <c r="G5326">
        <f>_xlfn.IMAGE("https://edmondsonsupply.com/cdn/shop/products/LFK_L11168_IMG_FRONT.jpg?v=1679577698")</f>
        <v/>
      </c>
      <c r="H5326">
        <f>_xlfn.IMAGE("https://m.media-amazon.com/images/I/91+7N5JB7GL._AC_UL320_.jpg")</f>
        <v/>
      </c>
      <c r="K5326" t="inlineStr">
        <is>
          <t>24.99</t>
        </is>
      </c>
      <c r="L5326" t="n">
        <v>30.98</v>
      </c>
      <c r="M5326" s="1" t="inlineStr">
        <is>
          <t>23.97%</t>
        </is>
      </c>
      <c r="N5326" s="7" t="n">
        <v>-90.69</v>
      </c>
      <c r="O5326" t="n">
        <v>5</v>
      </c>
      <c r="P5326" t="n">
        <v>1</v>
      </c>
      <c r="R5326" t="inlineStr">
        <is>
          <t>InStock</t>
        </is>
      </c>
      <c r="S5326" t="inlineStr">
        <is>
          <t>46.15</t>
        </is>
      </c>
      <c r="T5326" t="inlineStr">
        <is>
          <t>7965929898200</t>
        </is>
      </c>
    </row>
    <row r="5327" ht="87" customHeight="1">
      <c r="A5327" s="2">
        <f>HYPERLINK("https://edmondsonsupply.com/collections/electricians-tools/products/milwaukee-49-56-0503-3-16-3-16-diamond-plus%E2%84%A2-hole-saw", "https://edmondsonsupply.com/collections/electricians-tools/products/milwaukee-49-56-0503-3-16-3-16-diamond-plus%E2%84%A2-hole-saw")</f>
        <v/>
      </c>
      <c r="B5327" s="2">
        <f>HYPERLINK("https://edmondsonsupply.com/products/milwaukee-49-56-0503-3-16-3-16-diamond-plus%e2%84%a2-hole-saw", "https://edmondsonsupply.com/products/milwaukee-49-56-0503-3-16-3-16-diamond-plus%e2%84%a2-hole-saw")</f>
        <v/>
      </c>
      <c r="C5327" t="inlineStr">
        <is>
          <t>Milwaukee 49-56-0503 3/16" Diamond Plus™ Hole Saw</t>
        </is>
      </c>
      <c r="D5327" t="inlineStr">
        <is>
          <t>Milwaukee 49-56-0515 3/4"  Diamond One-Piece Hole Saw</t>
        </is>
      </c>
      <c r="E5327" s="2">
        <f>HYPERLINK("https://www.amazon.com/Milwaukee-49-56-0515-Diamond-One-Piece-Hole/dp/B00LCU108S/ref=sr_1_12?keywords=Milwaukee+49-56-0503+3%2F16%22+Diamond+Plus%E2%84%A2+Hole+Saw&amp;qid=1694735413&amp;sr=8-12", "https://www.amazon.com/Milwaukee-49-56-0515-Diamond-One-Piece-Hole/dp/B00LCU108S/ref=sr_1_12?keywords=Milwaukee+49-56-0503+3%2F16%22+Diamond+Plus%E2%84%A2+Hole+Saw&amp;qid=1694735413&amp;sr=8-12")</f>
        <v/>
      </c>
      <c r="F5327" t="inlineStr">
        <is>
          <t>B00LCU108S</t>
        </is>
      </c>
      <c r="G5327">
        <f>_xlfn.IMAGE("https://edmondsonsupply.com/cdn/shop/products/49-56-0503.jpg?v=1587146081")</f>
        <v/>
      </c>
      <c r="H5327">
        <f>_xlfn.IMAGE("https://m.media-amazon.com/images/I/61m0il20UYL._AC_UL320_.jpg")</f>
        <v/>
      </c>
      <c r="K5327" t="inlineStr">
        <is>
          <t>18.99</t>
        </is>
      </c>
      <c r="L5327" t="n">
        <v>23.5</v>
      </c>
      <c r="M5327" s="1" t="inlineStr">
        <is>
          <t>23.75%</t>
        </is>
      </c>
      <c r="N5327" s="7" t="n">
        <v>-90.77</v>
      </c>
      <c r="O5327" t="n">
        <v>4.5</v>
      </c>
      <c r="P5327" t="n">
        <v>39</v>
      </c>
      <c r="R5327" t="inlineStr">
        <is>
          <t>InStock</t>
        </is>
      </c>
      <c r="S5327" t="inlineStr">
        <is>
          <t>25.1</t>
        </is>
      </c>
      <c r="T5327" t="inlineStr">
        <is>
          <t>4385044791396</t>
        </is>
      </c>
    </row>
    <row r="5328" ht="87" customHeight="1">
      <c r="A5328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5328" s="2">
        <f>HYPERLINK("https://edmondsonsupply.com/products/diablo-tools-d0740x-7-1-4-in-x-40-tooth-finish-saw-blade", "https://edmondsonsupply.com/products/diablo-tools-d0740x-7-1-4-in-x-40-tooth-finish-saw-blade")</f>
        <v/>
      </c>
      <c r="C5328" t="inlineStr">
        <is>
          <t>Diablo Tools D0740X 7-1/4 in. x 40 Tooth Finish Saw Blade</t>
        </is>
      </c>
      <c r="D5328" t="inlineStr">
        <is>
          <t>Freud D0760A Diablo 7-1/4" x 60-Tooth Ultra Fine Finishing Circular Saw Blade with 5/8" Arbor and Diamond Knockout Single Blade</t>
        </is>
      </c>
      <c r="E5328" s="2">
        <f>HYPERLINK("https://www.amazon.com/D0760A-Diablo-60-Tooth-Finishing-Circular/dp/B0062KI7BQ/ref=sr_1_6?keywords=Diablo+Tools+D0740X+7-1%2F4+in.+x+40+Tooth+Finish+Saw+Blade&amp;qid=1694735026&amp;sr=8-6", "https://www.amazon.com/D0760A-Diablo-60-Tooth-Finishing-Circular/dp/B0062KI7BQ/ref=sr_1_6?keywords=Diablo+Tools+D0740X+7-1%2F4+in.+x+40+Tooth+Finish+Saw+Blade&amp;qid=1694735026&amp;sr=8-6")</f>
        <v/>
      </c>
      <c r="F5328" t="inlineStr">
        <is>
          <t>B0062KI7BQ</t>
        </is>
      </c>
      <c r="G5328">
        <f>_xlfn.IMAGE("https://edmondsonsupply.com/cdn/shop/products/kdrkrhhsfpivsggxnkhy.webp?v=1678975834")</f>
        <v/>
      </c>
      <c r="H5328">
        <f>_xlfn.IMAGE("https://m.media-amazon.com/images/I/71vYkbeqidL._AC_UL320_.jpg")</f>
        <v/>
      </c>
      <c r="K5328" t="inlineStr">
        <is>
          <t>14.97</t>
        </is>
      </c>
      <c r="L5328" t="n">
        <v>18.49</v>
      </c>
      <c r="M5328" s="1" t="inlineStr">
        <is>
          <t>23.51%</t>
        </is>
      </c>
      <c r="N5328" s="7" t="n">
        <v>-92.01000000000001</v>
      </c>
      <c r="O5328" t="n">
        <v>4.8</v>
      </c>
      <c r="P5328" t="n">
        <v>2920</v>
      </c>
      <c r="R5328" t="inlineStr">
        <is>
          <t>InStock</t>
        </is>
      </c>
      <c r="S5328" t="inlineStr">
        <is>
          <t>24.4</t>
        </is>
      </c>
      <c r="T5328" t="inlineStr">
        <is>
          <t>7962622787800</t>
        </is>
      </c>
    </row>
    <row r="5329" ht="87" customHeight="1">
      <c r="A5329" s="2">
        <f>HYPERLINK("https://edmondsonsupply.com/collections/electricians-tools/products/klein-tools-832-26-linemans-claw-milled-hammer", "https://edmondsonsupply.com/collections/electricians-tools/products/klein-tools-832-26-linemans-claw-milled-hammer")</f>
        <v/>
      </c>
      <c r="B5329" s="2">
        <f>HYPERLINK("https://edmondsonsupply.com/products/klein-tools-832-26-linemans-claw-milled-hammer", "https://edmondsonsupply.com/products/klein-tools-832-26-linemans-claw-milled-hammer")</f>
        <v/>
      </c>
      <c r="C5329" t="inlineStr">
        <is>
          <t>Klein Tools 832-26 Lineman's Claw Milled Hammer</t>
        </is>
      </c>
      <c r="D5329" t="inlineStr">
        <is>
          <t>Klein Tools 832-32 Lineman's Straight-Claw Hammer</t>
        </is>
      </c>
      <c r="E5329" s="2">
        <f>HYPERLINK("https://www.amazon.com/Linemans-Straight-Claw-Klein-Tools-832-32/dp/B0002RI8XC/ref=sr_1_3?keywords=Klein+Tools+832-26+Linemans+Claw+Milled+Hammer&amp;qid=1694735164&amp;sr=8-3", "https://www.amazon.com/Linemans-Straight-Claw-Klein-Tools-832-32/dp/B0002RI8XC/ref=sr_1_3?keywords=Klein+Tools+832-26+Linemans+Claw+Milled+Hammer&amp;qid=1694735164&amp;sr=8-3")</f>
        <v/>
      </c>
      <c r="F5329" t="inlineStr">
        <is>
          <t>B0002RI8XC</t>
        </is>
      </c>
      <c r="G5329">
        <f>_xlfn.IMAGE("https://edmondsonsupply.com/cdn/shop/products/83226_b.jpg?v=1648164275")</f>
        <v/>
      </c>
      <c r="H5329">
        <f>_xlfn.IMAGE("https://m.media-amazon.com/images/I/41uzcXI8o2L._AC_UL320_.jpg")</f>
        <v/>
      </c>
      <c r="K5329" t="inlineStr">
        <is>
          <t>46.21</t>
        </is>
      </c>
      <c r="L5329" t="n">
        <v>57.06</v>
      </c>
      <c r="M5329" s="1" t="inlineStr">
        <is>
          <t>23.48%</t>
        </is>
      </c>
      <c r="N5329" s="7" t="n">
        <v>-92.62</v>
      </c>
      <c r="O5329" t="n">
        <v>4.2</v>
      </c>
      <c r="P5329" t="n">
        <v>14</v>
      </c>
      <c r="R5329" t="inlineStr">
        <is>
          <t>InStock</t>
        </is>
      </c>
      <c r="S5329" t="inlineStr">
        <is>
          <t>77.02</t>
        </is>
      </c>
      <c r="T5329" t="inlineStr">
        <is>
          <t>7643083440344</t>
        </is>
      </c>
    </row>
    <row r="5330" ht="87" customHeight="1">
      <c r="A5330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5330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5330" t="inlineStr">
        <is>
          <t>Klein Tools 1550-2 2 Blade Pocket Knife, Steel, 2-1/2-Inch Blade</t>
        </is>
      </c>
      <c r="D5330" t="inlineStr">
        <is>
          <t>Klein Tools 44000-BLK Black Lightweight Lockback Knife with Black Aluminum Handle, 2-1/4-Inch Drop-Point Blade</t>
        </is>
      </c>
      <c r="E5330" s="2">
        <f>HYPERLINK("https://www.amazon.com/Lightweight-Drop-Point-Klein-Tools-44000-BLK/dp/B0026TDUMS/ref=sr_1_15?keywords=Klein+Tools+1550-2+2+Blade+Pocket+Knife%2C+Steel%2C+2-1%2F2-Inch+Blade&amp;qid=1694735141&amp;sr=8-15", "https://www.amazon.com/Lightweight-Drop-Point-Klein-Tools-44000-BLK/dp/B0026TDUMS/ref=sr_1_15?keywords=Klein+Tools+1550-2+2+Blade+Pocket+Knife%2C+Steel%2C+2-1%2F2-Inch+Blade&amp;qid=1694735141&amp;sr=8-15")</f>
        <v/>
      </c>
      <c r="F5330" t="inlineStr">
        <is>
          <t>B0026TDUMS</t>
        </is>
      </c>
      <c r="G5330">
        <f>_xlfn.IMAGE("https://edmondsonsupply.com/cdn/shop/products/15502_b.jpg?v=1658020543")</f>
        <v/>
      </c>
      <c r="H5330">
        <f>_xlfn.IMAGE("https://m.media-amazon.com/images/I/41ZZ37Tc5yS._AC_UL320_.jpg")</f>
        <v/>
      </c>
      <c r="K5330" t="inlineStr">
        <is>
          <t>29.99</t>
        </is>
      </c>
      <c r="L5330" t="n">
        <v>36.99</v>
      </c>
      <c r="M5330" s="1" t="inlineStr">
        <is>
          <t>23.34%</t>
        </is>
      </c>
      <c r="N5330" s="7" t="n">
        <v>-92.67</v>
      </c>
      <c r="O5330" t="n">
        <v>4.3</v>
      </c>
      <c r="P5330" t="n">
        <v>93</v>
      </c>
      <c r="R5330" t="inlineStr">
        <is>
          <t>InStock</t>
        </is>
      </c>
      <c r="S5330" t="inlineStr">
        <is>
          <t>45.52</t>
        </is>
      </c>
      <c r="T5330" t="inlineStr">
        <is>
          <t>2766536409188</t>
        </is>
      </c>
    </row>
    <row r="5331" hidden="1" ht="15.75" customHeight="1">
      <c r="A5331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5331" s="2">
        <f>HYPERLINK("https://edmondsonsupply.com/products/klein-tools-vaco-s10m-5-16-magnetic-nut-driver-3-hollow-shaft", "https://edmondsonsupply.com/products/klein-tools-vaco-s10m-5-16-magnetic-nut-driver-3-hollow-shaft")</f>
        <v/>
      </c>
      <c r="C5331" t="inlineStr">
        <is>
          <t>Klein Tools S10M 5/16-Inch Magnetic Nut Driver 3-Inch Shaft</t>
        </is>
      </c>
      <c r="D5331" t="inlineStr">
        <is>
          <t>Klein Tools 32793 Pro Impact Driver Bit, 5/16-Inch Hex Nut Driver, 3 Pack</t>
        </is>
      </c>
      <c r="E5331" s="2">
        <f>HYPERLINK("https://www.amazon.com/Klein-Tools-32793-Impact-16-Inch/dp/B07RM8WVXK/ref=sr_1_24?keywords=Klein+Tools+S10M+5%2F16-Inch+Magnetic+Nut+Driver+3-Inch+Shaft&amp;qid=1694735002&amp;sr=8-24", "https://www.amazon.com/Klein-Tools-32793-Impact-16-Inch/dp/B07RM8WVXK/ref=sr_1_24?keywords=Klein+Tools+S10M+5%2F16-Inch+Magnetic+Nut+Driver+3-Inch+Shaft&amp;qid=1694735002&amp;sr=8-24")</f>
        <v/>
      </c>
      <c r="F5331" t="inlineStr">
        <is>
          <t>B07RM8WVXK</t>
        </is>
      </c>
      <c r="G5331">
        <f>_xludf.IMAGE("https://edmondsonsupply.com/cdn/shop/products/s10m_alt2.jpg?v=1587143022")</f>
        <v/>
      </c>
      <c r="H5331">
        <f>_xludf.IMAGE("https://m.media-amazon.com/images/I/41dAZSiz0zL._AC_UL320_.jpg")</f>
        <v/>
      </c>
      <c r="K5331" t="inlineStr">
        <is>
          <t>9.99</t>
        </is>
      </c>
      <c r="L5331" t="n">
        <v>12.32</v>
      </c>
      <c r="M5331" s="1" t="inlineStr">
        <is>
          <t>23.32%</t>
        </is>
      </c>
      <c r="N5331" s="1" t="n">
        <v>-93.34</v>
      </c>
      <c r="O5331" t="n">
        <v>4.7</v>
      </c>
      <c r="P5331" t="n">
        <v>447</v>
      </c>
      <c r="R5331" t="inlineStr">
        <is>
          <t>InStock</t>
        </is>
      </c>
      <c r="S5331" t="inlineStr">
        <is>
          <t>15.08</t>
        </is>
      </c>
      <c r="T5331" t="inlineStr">
        <is>
          <t>2767113125988</t>
        </is>
      </c>
    </row>
    <row r="5332" hidden="1" ht="15.75" customHeight="1">
      <c r="A5332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5332" s="2">
        <f>HYPERLINK("https://edmondsonsupply.com/products/klein-tools-s8-1-4-inch-hollow-shaft-nut-driver-3-inch-shaft", "https://edmondsonsupply.com/products/klein-tools-s8-1-4-inch-hollow-shaft-nut-driver-3-inch-shaft")</f>
        <v/>
      </c>
      <c r="C5332" t="inlineStr">
        <is>
          <t>Klein Tools S8 1/4-Inch Hollow Shaft Nut Driver, 3-Inch Shaft</t>
        </is>
      </c>
      <c r="D5332" t="inlineStr">
        <is>
          <t>Capri Tools Kontour 1/4-Inch Nut Driver, 3-Inch Hollow Shaft</t>
        </is>
      </c>
      <c r="E5332" s="2">
        <f>HYPERLINK("https://www.amazon.com/Capri-Tools-Kontour-4-Inch-Driver/dp/B079G77TV8/ref=sr_1_18?keywords=Klein+Tools+S8+1%2F4-Inch+Hollow+Shaft+Nut+Driver%2C+3-Inch+Shaft&amp;qid=1694735248&amp;sr=8-18", "https://www.amazon.com/Capri-Tools-Kontour-4-Inch-Driver/dp/B079G77TV8/ref=sr_1_18?keywords=Klein+Tools+S8+1%2F4-Inch+Hollow+Shaft+Nut+Driver%2C+3-Inch+Shaft&amp;qid=1694735248&amp;sr=8-18")</f>
        <v/>
      </c>
      <c r="F5332" t="inlineStr">
        <is>
          <t>B079G77TV8</t>
        </is>
      </c>
      <c r="G5332">
        <f>_xludf.IMAGE("https://edmondsonsupply.com/cdn/shop/products/s10.jpg?v=1633030797")</f>
        <v/>
      </c>
      <c r="H5332">
        <f>_xludf.IMAGE("https://m.media-amazon.com/images/I/61WQl+EeauL._AC_UL320_.jpg")</f>
        <v/>
      </c>
      <c r="K5332" t="inlineStr">
        <is>
          <t>7.29</t>
        </is>
      </c>
      <c r="L5332" t="n">
        <v>8.99</v>
      </c>
      <c r="M5332" s="1" t="inlineStr">
        <is>
          <t>23.32%</t>
        </is>
      </c>
      <c r="N5332" s="1" t="n">
        <v>-93.34</v>
      </c>
      <c r="O5332" t="n">
        <v>4.5</v>
      </c>
      <c r="P5332" t="n">
        <v>62</v>
      </c>
      <c r="R5332" t="inlineStr">
        <is>
          <t>InStock</t>
        </is>
      </c>
      <c r="S5332" t="inlineStr">
        <is>
          <t>10.74</t>
        </is>
      </c>
      <c r="T5332" t="inlineStr">
        <is>
          <t>6000424485032</t>
        </is>
      </c>
    </row>
    <row r="5333" hidden="1" ht="15.75" customHeight="1">
      <c r="A5333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5333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5333" t="inlineStr">
        <is>
          <t>Diablo Tools DMAPL4140 3/8 in. x 4 in. x 6 in. Rebar Demon™ SDS-Plus 4-Cutter Full Carbide Head Hammer Bit</t>
        </is>
      </c>
      <c r="D5333" t="inlineStr">
        <is>
          <t>Diablo by Freud DMAPL4050 3/16 in. x 6 in. x 8 in. Rebar Demon SDS-Plus 4-Cutter Full Carbide Head Hammer Bit Multi, One Size</t>
        </is>
      </c>
      <c r="E5333" s="2">
        <f>HYPERLINK("https://www.amazon.com/Diablo-SDS-Plus-4-Cutter-Carbide-Hammer/dp/B089LKWR9L/ref=sr_1_15?keywords=Diablo+Tools+DMAPL4140+3%2F8+in.+x+4+in.+x+6+in.+Rebar+Demon%E2%84%A2+SDS-Plus+4-Cutter+Full+Carbide+Head+Hammer+Bit&amp;qid=1694735296&amp;sr=8-15", "https://www.amazon.com/Diablo-SDS-Plus-4-Cutter-Carbide-Hammer/dp/B089LKWR9L/ref=sr_1_15?keywords=Diablo+Tools+DMAPL4140+3%2F8+in.+x+4+in.+x+6+in.+Rebar+Demon%E2%84%A2+SDS-Plus+4-Cutter+Full+Carbide+Head+Hammer+Bit&amp;qid=1694735296&amp;sr=8-15")</f>
        <v/>
      </c>
      <c r="F5333" t="inlineStr">
        <is>
          <t>B089LKWR9L</t>
        </is>
      </c>
      <c r="G5333">
        <f>_xludf.IMAGE("https://edmondsonsupply.com/cdn/shop/products/DMAPL4140_Main-Image20200701.png?v=1633030360")</f>
        <v/>
      </c>
      <c r="H5333">
        <f>_xludf.IMAGE("https://m.media-amazon.com/images/I/61uukuKzJeL._AC_UL320_.jpg")</f>
        <v/>
      </c>
      <c r="K5333" t="inlineStr">
        <is>
          <t>7.29</t>
        </is>
      </c>
      <c r="L5333" t="n">
        <v>8.99</v>
      </c>
      <c r="M5333" s="1" t="inlineStr">
        <is>
          <t>23.32%</t>
        </is>
      </c>
      <c r="N5333" s="1" t="n">
        <v>-93.72</v>
      </c>
      <c r="O5333" t="n">
        <v>3.7</v>
      </c>
      <c r="P5333" t="n">
        <v>10</v>
      </c>
      <c r="R5333" t="inlineStr">
        <is>
          <t>InStock</t>
        </is>
      </c>
      <c r="S5333" t="inlineStr">
        <is>
          <t>undefined</t>
        </is>
      </c>
      <c r="T5333" t="inlineStr">
        <is>
          <t>5286771949736</t>
        </is>
      </c>
    </row>
    <row r="5334" hidden="1" ht="15.75" customHeight="1">
      <c r="A5334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334" s="2">
        <f>HYPERLINK("https://edmondsonsupply.com/products/diablo-tools-dsp2130-p2-1-in-x-6-in-spade-bit", "https://edmondsonsupply.com/products/diablo-tools-dsp2130-p2-1-in-x-6-in-spade-bit")</f>
        <v/>
      </c>
      <c r="C5334" t="inlineStr">
        <is>
          <t>Diablo Tools DSP2130-P2 1 in. x 6 in. Spade Bit</t>
        </is>
      </c>
      <c r="D5334" t="inlineStr">
        <is>
          <t>Diablo by Freud DSP2090-P2 3/4 in. x 6 in. SPEEDemon Spade Bit (2-Pack)</t>
        </is>
      </c>
      <c r="E5334" s="2">
        <f>HYPERLINK("https://www.amazon.com/Diablo-SPEEDemon-Spade-Bit-2-Pack/dp/B089KV8K7W/ref=sr_1_6?keywords=Diablo+Tools+DSP2130-P2+1+in.+x+6+in.+Spade+Bit&amp;qid=1694735066&amp;sr=8-6", "https://www.amazon.com/Diablo-SPEEDemon-Spade-Bit-2-Pack/dp/B089KV8K7W/ref=sr_1_6?keywords=Diablo+Tools+DSP2130-P2+1+in.+x+6+in.+Spade+Bit&amp;qid=1694735066&amp;sr=8-6")</f>
        <v/>
      </c>
      <c r="F5334" t="inlineStr">
        <is>
          <t>B089KV8K7W</t>
        </is>
      </c>
      <c r="G5334">
        <f>_xludf.IMAGE("https://edmondsonsupply.com/cdn/shop/products/peyjwqlntvnioikkr5be.webp?v=1670515689")</f>
        <v/>
      </c>
      <c r="H5334">
        <f>_xludf.IMAGE("https://m.media-amazon.com/images/I/610FU8LQY+L._AC_UL320_.jpg")</f>
        <v/>
      </c>
      <c r="K5334" t="inlineStr">
        <is>
          <t>6.39</t>
        </is>
      </c>
      <c r="L5334" t="n">
        <v>7.88</v>
      </c>
      <c r="M5334" s="1" t="inlineStr">
        <is>
          <t>23.32%</t>
        </is>
      </c>
      <c r="N5334" s="1" t="n">
        <v>-94.13</v>
      </c>
      <c r="O5334" t="n">
        <v>4.7</v>
      </c>
      <c r="P5334" t="n">
        <v>40</v>
      </c>
      <c r="R5334" t="inlineStr">
        <is>
          <t>InStock</t>
        </is>
      </c>
      <c r="S5334" t="inlineStr">
        <is>
          <t>undefined</t>
        </is>
      </c>
      <c r="T5334" t="inlineStr">
        <is>
          <t>7901272047832</t>
        </is>
      </c>
    </row>
    <row r="5335" hidden="1" ht="15.75" customHeight="1">
      <c r="A5335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5335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5335" t="inlineStr">
        <is>
          <t>Klein Tools JTH6M3BE 3 mm Ball Hex Key Journeyman T-Handle 6-Inch</t>
        </is>
      </c>
      <c r="D5335" t="inlineStr">
        <is>
          <t>Klein Tools JTH6E12BE 7/32-Inch Ball End Hex Key with Journeyman T-Handle,6-Inch</t>
        </is>
      </c>
      <c r="E5335" s="2">
        <f>HYPERLINK("https://www.amazon.com/Journeyman-T-Handle-Klein-Tools-JTH6E12BE/dp/B004QW74L6/ref=sr_1_4?keywords=Klein+Tools+JTH6M3BE+3+mm+Ball+Hex+Key+Journeyman+T-Handle+6-Inch&amp;qid=1694735145&amp;sr=8-4", "https://www.amazon.com/Journeyman-T-Handle-Klein-Tools-JTH6E12BE/dp/B004QW74L6/ref=sr_1_4?keywords=Klein+Tools+JTH6M3BE+3+mm+Ball+Hex+Key+Journeyman+T-Handle+6-Inch&amp;qid=1694735145&amp;sr=8-4")</f>
        <v/>
      </c>
      <c r="F5335" t="inlineStr">
        <is>
          <t>B004QW74L6</t>
        </is>
      </c>
      <c r="G5335">
        <f>_xludf.IMAGE("https://edmondsonsupply.com/cdn/shop/products/jth6m8be_1b0aeba1-6d03-4a46-99d8-f6853368c71f.jpg?v=1655941616")</f>
        <v/>
      </c>
      <c r="H5335">
        <f>_xludf.IMAGE("https://m.media-amazon.com/images/I/51f9vBFVXgL._AC_UL320_.jpg")</f>
        <v/>
      </c>
      <c r="K5335" t="inlineStr">
        <is>
          <t>4.99</t>
        </is>
      </c>
      <c r="L5335" t="n">
        <v>6.15</v>
      </c>
      <c r="M5335" s="1" t="inlineStr">
        <is>
          <t>23.25%</t>
        </is>
      </c>
      <c r="N5335" s="1" t="n">
        <v>-96.52</v>
      </c>
      <c r="O5335" t="n">
        <v>4.5</v>
      </c>
      <c r="P5335" t="n">
        <v>9</v>
      </c>
      <c r="R5335" t="inlineStr">
        <is>
          <t>InStock</t>
        </is>
      </c>
      <c r="S5335" t="inlineStr">
        <is>
          <t>7.56</t>
        </is>
      </c>
      <c r="T5335" t="inlineStr">
        <is>
          <t>7727600304344</t>
        </is>
      </c>
    </row>
    <row r="5336" hidden="1" ht="15.75" customHeight="1">
      <c r="A5336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5336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5336" t="inlineStr">
        <is>
          <t>Klein Tools JTH6E06BE 3/32-Inch Ball End Hex Key with T-Handle, 6-Inch</t>
        </is>
      </c>
      <c r="D5336" t="inlineStr">
        <is>
          <t>Klein Tools JTH6E12BE 7/32-Inch Ball End Hex Key with Journeyman T-Handle,6-Inch</t>
        </is>
      </c>
      <c r="E5336" s="2">
        <f>HYPERLINK("https://www.amazon.com/Journeyman-T-Handle-Klein-Tools-JTH6E12BE/dp/B004QW74L6/ref=sr_1_3?keywords=Klein+Tools+JTH6E06BE+3%2F32-Inch+Ball+End+Hex+Key+with+T-Handle%2C+6-Inch&amp;qid=1694735201&amp;sr=8-3", "https://www.amazon.com/Journeyman-T-Handle-Klein-Tools-JTH6E12BE/dp/B004QW74L6/ref=sr_1_3?keywords=Klein+Tools+JTH6E06BE+3%2F32-Inch+Ball+End+Hex+Key+with+T-Handle%2C+6-Inch&amp;qid=1694735201&amp;sr=8-3")</f>
        <v/>
      </c>
      <c r="F5336" t="inlineStr">
        <is>
          <t>B004QW74L6</t>
        </is>
      </c>
      <c r="G5336">
        <f>_xludf.IMAGE("https://edmondsonsupply.com/cdn/shop/products/jth6e13be_f61308c8-99eb-44df-aac2-25c9159d6b6d.jpg?v=1633031148")</f>
        <v/>
      </c>
      <c r="H5336">
        <f>_xludf.IMAGE("https://m.media-amazon.com/images/I/51f9vBFVXgL._AC_UL320_.jpg")</f>
        <v/>
      </c>
      <c r="K5336" t="inlineStr">
        <is>
          <t>4.99</t>
        </is>
      </c>
      <c r="L5336" t="n">
        <v>6.15</v>
      </c>
      <c r="M5336" s="1" t="inlineStr">
        <is>
          <t>23.25%</t>
        </is>
      </c>
      <c r="N5336" s="3" t="n">
        <v>21500</v>
      </c>
      <c r="O5336" t="n">
        <v>4.5</v>
      </c>
      <c r="P5336" t="n">
        <v>9</v>
      </c>
      <c r="R5336" t="inlineStr">
        <is>
          <t>InStock</t>
        </is>
      </c>
      <c r="S5336" t="inlineStr">
        <is>
          <t>7.54</t>
        </is>
      </c>
      <c r="T5336" t="inlineStr">
        <is>
          <t>6895312601261</t>
        </is>
      </c>
    </row>
    <row r="5337" hidden="1" ht="15.75" customHeight="1">
      <c r="A5337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5337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5337" t="inlineStr">
        <is>
          <t>Klein Tools JTH6E10BE 5/32-Inch Ball Hex Key, Journeyman T-Handle 6-Inch</t>
        </is>
      </c>
      <c r="D5337" t="inlineStr">
        <is>
          <t>Klein Tools JTH6E12BE 7/32-Inch Ball End Hex Key with Journeyman T-Handle,6-Inch</t>
        </is>
      </c>
      <c r="E5337" s="2">
        <f>HYPERLINK("https://www.amazon.com/Journeyman-T-Handle-Klein-Tools-JTH6E12BE/dp/B004QW74L6/ref=sr_1_3?keywords=Klein+Tools+JTH6E10BE+5%2F32-Inch+Ball+Hex+Key%2C+Journeyman+T-Handle+6-Inch&amp;qid=1694735255&amp;sr=8-3", "https://www.amazon.com/Journeyman-T-Handle-Klein-Tools-JTH6E12BE/dp/B004QW74L6/ref=sr_1_3?keywords=Klein+Tools+JTH6E10BE+5%2F32-Inch+Ball+Hex+Key%2C+Journeyman+T-Handle+6-Inch&amp;qid=1694735255&amp;sr=8-3")</f>
        <v/>
      </c>
      <c r="F5337" t="inlineStr">
        <is>
          <t>B004QW74L6</t>
        </is>
      </c>
      <c r="G5337">
        <f>_xludf.IMAGE("https://edmondsonsupply.com/cdn/shop/products/jth6e13be_363de34a-e666-474d-81cd-df9068957d9f.jpg?v=1604059577")</f>
        <v/>
      </c>
      <c r="H5337">
        <f>_xludf.IMAGE("https://m.media-amazon.com/images/I/51f9vBFVXgL._AC_UL320_.jpg")</f>
        <v/>
      </c>
      <c r="K5337" t="inlineStr">
        <is>
          <t>4.99</t>
        </is>
      </c>
      <c r="L5337" t="n">
        <v>6.15</v>
      </c>
      <c r="M5337" s="1" t="inlineStr">
        <is>
          <t>23.25%</t>
        </is>
      </c>
      <c r="N5337" s="3" t="n">
        <v>3966.26</v>
      </c>
      <c r="O5337" t="n">
        <v>4.5</v>
      </c>
      <c r="P5337" t="n">
        <v>9</v>
      </c>
      <c r="R5337" t="inlineStr">
        <is>
          <t>InStock</t>
        </is>
      </c>
      <c r="S5337" t="inlineStr">
        <is>
          <t>7.52</t>
        </is>
      </c>
      <c r="T5337" t="inlineStr">
        <is>
          <t>5999019819176</t>
        </is>
      </c>
    </row>
    <row r="5338" hidden="1" ht="15.75" customHeight="1">
      <c r="A5338" s="2">
        <f>HYPERLINK("https://edmondsonsupply.com/collections/electricians-tools/products/klein-tools-jth6e07be-7-64-inch-ball-end-hex-key-journeyman%E2%84%A2-t-handle-6-inch", "https://edmondsonsupply.com/collections/electricians-tools/products/klein-tools-jth6e07be-7-64-inch-ball-end-hex-key-journeyman%E2%84%A2-t-handle-6-inch")</f>
        <v/>
      </c>
      <c r="B5338" s="2">
        <f>HYPERLINK("https://edmondsonsupply.com/products/klein-tools-jth6e07be-7-64-inch-ball-end-hex-key-journeyman%e2%84%a2-t-handle-6-inch", "https://edmondsonsupply.com/products/klein-tools-jth6e07be-7-64-inch-ball-end-hex-key-journeyman%e2%84%a2-t-handle-6-inch")</f>
        <v/>
      </c>
      <c r="C5338" t="inlineStr">
        <is>
          <t>Klein Tools JTH6E07BE 7/64-Inch Ball-End Hex Key, Journeyman™ T-Handle, 6-Inch</t>
        </is>
      </c>
      <c r="D5338" t="inlineStr">
        <is>
          <t>Klein Tools JTH6E12BE 7/32-Inch Ball End Hex Key with Journeyman T-Handle,6-Inch</t>
        </is>
      </c>
      <c r="E5338" s="2">
        <f>HYPERLINK("https://www.amazon.com/Journeyman-T-Handle-Klein-Tools-JTH6E12BE/dp/B004QW74L6/ref=sr_1_2?keywords=Klein+Tools+JTH6E07BE+7%2F64-Inch+Ball-End+Hex+Key%2C+Journeyman%E2%84%A2+T-Handle%2C+6-Inch&amp;qid=1694735092&amp;sr=8-2", "https://www.amazon.com/Journeyman-T-Handle-Klein-Tools-JTH6E12BE/dp/B004QW74L6/ref=sr_1_2?keywords=Klein+Tools+JTH6E07BE+7%2F64-Inch+Ball-End+Hex+Key%2C+Journeyman%E2%84%A2+T-Handle%2C+6-Inch&amp;qid=1694735092&amp;sr=8-2")</f>
        <v/>
      </c>
      <c r="F5338" t="inlineStr">
        <is>
          <t>B004QW74L6</t>
        </is>
      </c>
      <c r="G5338">
        <f>_xludf.IMAGE("https://edmondsonsupply.com/cdn/shop/products/jth6e13be_1.jpg?v=1667224705")</f>
        <v/>
      </c>
      <c r="H5338">
        <f>_xludf.IMAGE("https://m.media-amazon.com/images/I/51f9vBFVXgL._AC_UL320_.jpg")</f>
        <v/>
      </c>
      <c r="K5338" t="inlineStr">
        <is>
          <t>4.99</t>
        </is>
      </c>
      <c r="L5338" t="n">
        <v>6.15</v>
      </c>
      <c r="M5338" s="1" t="inlineStr">
        <is>
          <t>23.25%</t>
        </is>
      </c>
      <c r="N5338" s="3" t="n">
        <v>2627.2</v>
      </c>
      <c r="O5338" t="n">
        <v>4.5</v>
      </c>
      <c r="P5338" t="n">
        <v>9</v>
      </c>
      <c r="R5338" t="inlineStr">
        <is>
          <t>InStock</t>
        </is>
      </c>
      <c r="S5338" t="inlineStr">
        <is>
          <t>7.54</t>
        </is>
      </c>
      <c r="T5338" t="inlineStr">
        <is>
          <t>7871470731480</t>
        </is>
      </c>
    </row>
    <row r="5339" hidden="1" ht="15.75" customHeight="1">
      <c r="A5339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5339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5339" t="inlineStr">
        <is>
          <t>Klein Tools JTH6M25BE 2.5 mm Ball Hex Key Journeyman T-Handle 6-Inch</t>
        </is>
      </c>
      <c r="D5339" t="inlineStr">
        <is>
          <t>Klein Tools JTH6E12BE 7/32-Inch Ball End Hex Key with Journeyman T-Handle,6-Inch</t>
        </is>
      </c>
      <c r="E5339" s="2">
        <f>HYPERLINK("https://www.amazon.com/Journeyman-T-Handle-Klein-Tools-JTH6E12BE/dp/B004QW74L6/ref=sr_1_4?keywords=Klein+Tools+JTH6M25BE+2.5+mm+Ball+Hex+Key+Journeyman+T-Handle+6-Inch&amp;qid=1694735267&amp;sr=8-4", "https://www.amazon.com/Journeyman-T-Handle-Klein-Tools-JTH6E12BE/dp/B004QW74L6/ref=sr_1_4?keywords=Klein+Tools+JTH6M25BE+2.5+mm+Ball+Hex+Key+Journeyman+T-Handle+6-Inch&amp;qid=1694735267&amp;sr=8-4")</f>
        <v/>
      </c>
      <c r="F5339" t="inlineStr">
        <is>
          <t>B004QW74L6</t>
        </is>
      </c>
      <c r="G5339">
        <f>_xludf.IMAGE("https://edmondsonsupply.com/cdn/shop/products/jth6m8be_af5f0d75-5d0d-4973-9134-931620c84f2d.jpg?v=1633030574")</f>
        <v/>
      </c>
      <c r="H5339">
        <f>_xludf.IMAGE("https://m.media-amazon.com/images/I/51f9vBFVXgL._AC_UL320_.jpg")</f>
        <v/>
      </c>
      <c r="K5339" t="inlineStr">
        <is>
          <t>4.99</t>
        </is>
      </c>
      <c r="L5339" t="n">
        <v>6.15</v>
      </c>
      <c r="M5339" s="1" t="inlineStr">
        <is>
          <t>23.25%</t>
        </is>
      </c>
      <c r="N5339" s="3" t="n">
        <v>2436.8</v>
      </c>
      <c r="O5339" t="n">
        <v>4.5</v>
      </c>
      <c r="P5339" t="n">
        <v>9</v>
      </c>
      <c r="R5339" t="inlineStr">
        <is>
          <t>InStock</t>
        </is>
      </c>
      <c r="S5339" t="inlineStr">
        <is>
          <t>7.56</t>
        </is>
      </c>
      <c r="T5339" t="inlineStr">
        <is>
          <t>5525435973800</t>
        </is>
      </c>
    </row>
    <row r="5340" ht="87" customHeight="1">
      <c r="A5340" s="2">
        <f>HYPERLINK("https://edmondsonsupply.com/collections/electricians-tools/products/channellock-528", "https://edmondsonsupply.com/collections/electricians-tools/products/channellock-528")</f>
        <v/>
      </c>
      <c r="B5340" s="2">
        <f>HYPERLINK("https://edmondsonsupply.com/products/channellock-528", "https://edmondsonsupply.com/products/channellock-528")</f>
        <v/>
      </c>
      <c r="C5340" t="inlineStr">
        <is>
          <t>Channellock 528 8-Inch Slip Joint Pliers</t>
        </is>
      </c>
      <c r="D5340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5340" s="2">
        <f>HYPERLINK("https://www.amazon.com/Channellock-426-8-Inch-Capacity-2-Inch/dp/B00004SBCS/ref=sr_1_4?keywords=Channellock+528+8-Inch+Slip+Joint+Pliers&amp;qid=1694735315&amp;sr=8-4", "https://www.amazon.com/Channellock-426-8-Inch-Capacity-2-Inch/dp/B00004SBCS/ref=sr_1_4?keywords=Channellock+528+8-Inch+Slip+Joint+Pliers&amp;qid=1694735315&amp;sr=8-4")</f>
        <v/>
      </c>
      <c r="F5340" t="inlineStr">
        <is>
          <t>B00004SBCS</t>
        </is>
      </c>
      <c r="G5340">
        <f>_xlfn.IMAGE("https://edmondsonsupply.com/cdn/shop/products/528-683x1024.jpg?v=1633030323")</f>
        <v/>
      </c>
      <c r="H5340">
        <f>_xlfn.IMAGE("https://m.media-amazon.com/images/I/713NYKlIyoL._AC_UL320_.jpg")</f>
        <v/>
      </c>
      <c r="K5340" t="inlineStr">
        <is>
          <t>12.95</t>
        </is>
      </c>
      <c r="L5340" t="n">
        <v>15.95</v>
      </c>
      <c r="M5340" s="1" t="inlineStr">
        <is>
          <t>23.17%</t>
        </is>
      </c>
      <c r="N5340" s="8" t="n">
        <v>1499.2</v>
      </c>
      <c r="O5340" t="n">
        <v>4.7</v>
      </c>
      <c r="P5340" t="n">
        <v>1995</v>
      </c>
      <c r="R5340" t="inlineStr">
        <is>
          <t>InStock</t>
        </is>
      </c>
      <c r="S5340" t="inlineStr">
        <is>
          <t>17.55</t>
        </is>
      </c>
      <c r="T5340" t="inlineStr">
        <is>
          <t>5245868966056</t>
        </is>
      </c>
    </row>
    <row r="5341" hidden="1" ht="15.75" customHeight="1">
      <c r="A5341" s="2">
        <f>HYPERLINK("https://edmondsonsupply.com/collections/electricians-tools/products/klein-tools-jth9m8-8-mm-hex-key-journeyman%E2%84%A2-t-handle-9-inch", "https://edmondsonsupply.com/collections/electricians-tools/products/klein-tools-jth9m8-8-mm-hex-key-journeyman%E2%84%A2-t-handle-9-inch")</f>
        <v/>
      </c>
      <c r="B5341" s="2">
        <f>HYPERLINK("https://edmondsonsupply.com/products/klein-tools-jth9m8-8-mm-hex-key-journeyman%e2%84%a2-t-handle-9-inch", "https://edmondsonsupply.com/products/klein-tools-jth9m8-8-mm-hex-key-journeyman%e2%84%a2-t-handle-9-inch")</f>
        <v/>
      </c>
      <c r="C5341" t="inlineStr">
        <is>
          <t>Klein Tools JTH9M8 8 mm Hex Key, Journeyman™ T-Handle, 9-Inch</t>
        </is>
      </c>
      <c r="D5341" t="inlineStr">
        <is>
          <t>Klein Tools JTH9M6 6 mm Hex Key, Journeyman T-Handle, 9-Inch</t>
        </is>
      </c>
      <c r="E5341" s="2">
        <f>HYPERLINK("https://www.amazon.com/Journeyman-T-Handle-Klein-Tools-JTH9M6/dp/B005G3HJKU/ref=sr_1_10?keywords=Klein+Tools+JTH9M8+8+mm+Hex+Key%2C+Journeyman%E2%84%A2+T-Handle%2C+9-Inch&amp;qid=1694735127&amp;sr=8-10", "https://www.amazon.com/Journeyman-T-Handle-Klein-Tools-JTH9M6/dp/B005G3HJKU/ref=sr_1_10?keywords=Klein+Tools+JTH9M8+8+mm+Hex+Key%2C+Journeyman%E2%84%A2+T-Handle%2C+9-Inch&amp;qid=1694735127&amp;sr=8-10")</f>
        <v/>
      </c>
      <c r="F5341" t="inlineStr">
        <is>
          <t>B005G3HJKU</t>
        </is>
      </c>
      <c r="G5341">
        <f>_xludf.IMAGE("https://edmondsonsupply.com/cdn/shop/products/jth6m8_03ba3d30-ff38-4b9e-93e7-b0fc6da199d0.jpg?v=1662658324")</f>
        <v/>
      </c>
      <c r="H5341">
        <f>_xludf.IMAGE("https://m.media-amazon.com/images/I/51+1x0vz9XL._AC_UL320_.jpg")</f>
        <v/>
      </c>
      <c r="K5341" t="inlineStr">
        <is>
          <t>7.99</t>
        </is>
      </c>
      <c r="L5341" t="n">
        <v>9.84</v>
      </c>
      <c r="M5341" s="1" t="inlineStr">
        <is>
          <t>23.15%</t>
        </is>
      </c>
      <c r="N5341" s="3" t="n">
        <v>1403.36</v>
      </c>
      <c r="O5341" t="n">
        <v>4.7</v>
      </c>
      <c r="P5341" t="n">
        <v>123</v>
      </c>
      <c r="R5341" t="inlineStr">
        <is>
          <t>InStock</t>
        </is>
      </c>
      <c r="S5341" t="inlineStr">
        <is>
          <t>12.1</t>
        </is>
      </c>
      <c r="T5341" t="inlineStr">
        <is>
          <t>7809334018264</t>
        </is>
      </c>
    </row>
    <row r="5342" ht="87" customHeight="1">
      <c r="A5342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5342" s="2">
        <f>HYPERLINK("https://edmondsonsupply.com/products/klein-tools-635-3-8-3-8-inch-heavy-duty-nut-driver", "https://edmondsonsupply.com/products/klein-tools-635-3-8-3-8-inch-heavy-duty-nut-driver")</f>
        <v/>
      </c>
      <c r="C5342" t="inlineStr">
        <is>
          <t>Klein Tools 635-3/8 3/8-Inch Heavy-Duty Nut Driver</t>
        </is>
      </c>
      <c r="D5342" t="inlineStr">
        <is>
          <t>Klein Tools 635-9/16 9/16-Inch Heavy-Duty Nut Driver</t>
        </is>
      </c>
      <c r="E5342" s="2">
        <f>HYPERLINK("https://www.amazon.com/16-Inch-Heavy-Duty-Driver-Klein-Tools/dp/B01D6C7R4U/ref=sr_1_11?keywords=Klein+Tools+635-3%2F8+3%2F8-Inch+Heavy-Duty+Nut+Driver&amp;qid=1694735241&amp;sr=8-11", "https://www.amazon.com/16-Inch-Heavy-Duty-Driver-Klein-Tools/dp/B01D6C7R4U/ref=sr_1_11?keywords=Klein+Tools+635-3%2F8+3%2F8-Inch+Heavy-Duty+Nut+Driver&amp;qid=1694735241&amp;sr=8-11")</f>
        <v/>
      </c>
      <c r="F5342" t="inlineStr">
        <is>
          <t>B01D6C7R4U</t>
        </is>
      </c>
      <c r="G5342">
        <f>_xlfn.IMAGE("https://edmondsonsupply.com/cdn/shop/products/635-3-8.jpg?v=1633030895")</f>
        <v/>
      </c>
      <c r="H5342">
        <f>_xlfn.IMAGE("https://m.media-amazon.com/images/I/41jnUJ75-WL._AC_UL320_.jpg")</f>
        <v/>
      </c>
      <c r="K5342" t="inlineStr">
        <is>
          <t>12.99</t>
        </is>
      </c>
      <c r="L5342" t="n">
        <v>15.99</v>
      </c>
      <c r="M5342" s="1" t="inlineStr">
        <is>
          <t>23.09%</t>
        </is>
      </c>
      <c r="N5342" s="8" t="n">
        <v>1228.95</v>
      </c>
      <c r="O5342" t="n">
        <v>4.7</v>
      </c>
      <c r="P5342" t="n">
        <v>999</v>
      </c>
      <c r="R5342" t="inlineStr">
        <is>
          <t>InStock</t>
        </is>
      </c>
      <c r="S5342" t="inlineStr">
        <is>
          <t>19.68</t>
        </is>
      </c>
      <c r="T5342" t="inlineStr">
        <is>
          <t>6228534952109</t>
        </is>
      </c>
    </row>
    <row r="5343" ht="87" customHeight="1">
      <c r="A5343" s="2">
        <f>HYPERLINK("https://edmondsonsupply.com/collections/electricians-tools/products/reed-mfg-arw48-48-heavy-duty-aluminum-straight-pipe-wrench", "https://edmondsonsupply.com/collections/electricians-tools/products/reed-mfg-arw48-48-heavy-duty-aluminum-straight-pipe-wrench")</f>
        <v/>
      </c>
      <c r="B5343" s="2">
        <f>HYPERLINK("https://edmondsonsupply.com/products/reed-mfg-arw48-48-heavy-duty-aluminum-straight-pipe-wrench", "https://edmondsonsupply.com/products/reed-mfg-arw48-48-heavy-duty-aluminum-straight-pipe-wrench")</f>
        <v/>
      </c>
      <c r="C5343" t="inlineStr">
        <is>
          <t>Reed Mfg ARW48 48" Heavy-Duty Aluminum Straight Pipe Wrench</t>
        </is>
      </c>
      <c r="D5343" t="inlineStr">
        <is>
          <t>Reed Tool ARW48 Heavy Duty Aluminum Pipe Wrench, 48-Inch</t>
        </is>
      </c>
      <c r="E5343" s="2">
        <f>HYPERLINK("https://www.amazon.com/Reed-Tool-ARW48-Aluminum-48-Inch/dp/B001H4K7II/ref=sr_1_1?keywords=Reed+Mfg+ARW48+48%22+Heavy-Duty+Aluminum+Straight+Pipe+Wrench&amp;qid=1694734997&amp;sr=8-1", "https://www.amazon.com/Reed-Tool-ARW48-Aluminum-48-Inch/dp/B001H4K7II/ref=sr_1_1?keywords=Reed+Mfg+ARW48+48%22+Heavy-Duty+Aluminum+Straight+Pipe+Wrench&amp;qid=1694734997&amp;sr=8-1")</f>
        <v/>
      </c>
      <c r="F5343" t="inlineStr">
        <is>
          <t>B001H4K7II</t>
        </is>
      </c>
      <c r="G5343">
        <f>_xlfn.IMAGE("https://edmondsonsupply.com/cdn/shop/files/02102-ARW48-RGB.jpg?v=1684714319")</f>
        <v/>
      </c>
      <c r="H5343">
        <f>_xlfn.IMAGE("https://m.media-amazon.com/images/I/71ThQYdNTAL._AC_UL320_.jpg")</f>
        <v/>
      </c>
      <c r="K5343" t="inlineStr">
        <is>
          <t>351.15</t>
        </is>
      </c>
      <c r="L5343" t="n">
        <v>431.37</v>
      </c>
      <c r="M5343" s="1" t="inlineStr">
        <is>
          <t>22.84%</t>
        </is>
      </c>
      <c r="N5343" s="8" t="n">
        <v>1201.75</v>
      </c>
      <c r="O5343" t="n">
        <v>4.8</v>
      </c>
      <c r="P5343" t="n">
        <v>10</v>
      </c>
      <c r="R5343" t="inlineStr">
        <is>
          <t>InStock</t>
        </is>
      </c>
      <c r="S5343" t="inlineStr">
        <is>
          <t>412.87</t>
        </is>
      </c>
      <c r="T5343" t="inlineStr">
        <is>
          <t>7994848084184</t>
        </is>
      </c>
    </row>
    <row r="5344" ht="87" customHeight="1">
      <c r="A5344" s="2">
        <f>HYPERLINK("https://edmondsonsupply.com/collections/electricians-tools/products/channellock-317", "https://edmondsonsupply.com/collections/electricians-tools/products/channellock-317")</f>
        <v/>
      </c>
      <c r="B5344" s="2">
        <f>HYPERLINK("https://edmondsonsupply.com/products/channellock-317", "https://edmondsonsupply.com/products/channellock-317")</f>
        <v/>
      </c>
      <c r="C5344" t="inlineStr">
        <is>
          <t>Channellock 317 8-Inch Long Nose Pliers with Side Cutter</t>
        </is>
      </c>
      <c r="D5344" t="inlineStr">
        <is>
          <t>KNIPEX Tools - Long Nose Pliers Without Cutter (3811200) Red, 8 inches</t>
        </is>
      </c>
      <c r="E5344" s="2">
        <f>HYPERLINK("https://www.amazon.com/Knipex-3811200-8-Inch-Pliers-without/dp/B000X4MOZM/ref=sr_1_23?keywords=Channellock+317+8-Inch+Long+Nose+Pliers+with+Side+Cutter&amp;qid=1694735322&amp;sr=8-23", "https://www.amazon.com/Knipex-3811200-8-Inch-Pliers-without/dp/B000X4MOZM/ref=sr_1_23?keywords=Channellock+317+8-Inch+Long+Nose+Pliers+with+Side+Cutter&amp;qid=1694735322&amp;sr=8-23")</f>
        <v/>
      </c>
      <c r="F5344" t="inlineStr">
        <is>
          <t>B000X4MOZM</t>
        </is>
      </c>
      <c r="G5344">
        <f>_xlfn.IMAGE("https://edmondsonsupply.com/cdn/shop/products/317-683x1024.jpg?v=1633030326")</f>
        <v/>
      </c>
      <c r="H5344">
        <f>_xlfn.IMAGE("https://m.media-amazon.com/images/I/31mRhxF9ajL._AC_UL320_.jpg")</f>
        <v/>
      </c>
      <c r="K5344" t="inlineStr">
        <is>
          <t>24.95</t>
        </is>
      </c>
      <c r="L5344" t="n">
        <v>30.63</v>
      </c>
      <c r="M5344" s="1" t="inlineStr">
        <is>
          <t>22.77%</t>
        </is>
      </c>
      <c r="N5344" s="8" t="n">
        <v>1101.75</v>
      </c>
      <c r="O5344" t="n">
        <v>4.7</v>
      </c>
      <c r="P5344" t="n">
        <v>65</v>
      </c>
      <c r="R5344" t="inlineStr">
        <is>
          <t>InStock</t>
        </is>
      </c>
      <c r="S5344" t="inlineStr">
        <is>
          <t>35.15</t>
        </is>
      </c>
      <c r="T5344" t="inlineStr">
        <is>
          <t>5247343526056</t>
        </is>
      </c>
    </row>
    <row r="5345" ht="87" customHeight="1">
      <c r="A5345" s="2">
        <f>HYPERLINK("https://edmondsonsupply.com/collections/electricians-tools/products/klein-tools-51427-conduit-bender-handle-for-1-2-inch-3-4-inch-heads", "https://edmondsonsupply.com/collections/electricians-tools/products/klein-tools-51427-conduit-bender-handle-for-1-2-inch-3-4-inch-heads")</f>
        <v/>
      </c>
      <c r="B5345" s="2">
        <f>HYPERLINK("https://edmondsonsupply.com/products/klein-tools-51427-conduit-bender-handle-for-1-2-inch-3-4-inch-heads", "https://edmondsonsupply.com/products/klein-tools-51427-conduit-bender-handle-for-1-2-inch-3-4-inch-heads")</f>
        <v/>
      </c>
      <c r="C5345" t="inlineStr">
        <is>
          <t>Klein Tools 51427 Conduit Bender Handle for 1/2-Inch, 3/4-Inch Heads</t>
        </is>
      </c>
      <c r="D5345" t="inlineStr">
        <is>
          <t>Klein Tools 51427 Steel Conduit Bender Handle for 1/2-Inch and 3/4-Inch EMT Benders, 38-Inch, For Use With Klein Tools Conduit Bender Heads</t>
        </is>
      </c>
      <c r="E5345" s="2">
        <f>HYPERLINK("https://www.amazon.com/Klein-Tools-51427-Conduit-Benders/dp/B002PDZKY6/ref=sr_1_1?keywords=Klein+Tools+51427+Conduit+Bender+Handle+for+1%2F2-Inch%2C+3%2F4-Inch+Heads&amp;qid=1694735122&amp;sr=8-1", "https://www.amazon.com/Klein-Tools-51427-Conduit-Benders/dp/B002PDZKY6/ref=sr_1_1?keywords=Klein+Tools+51427+Conduit+Bender+Handle+for+1%2F2-Inch%2C+3%2F4-Inch+Heads&amp;qid=1694735122&amp;sr=8-1")</f>
        <v/>
      </c>
      <c r="F5345" t="inlineStr">
        <is>
          <t>B002PDZKY6</t>
        </is>
      </c>
      <c r="G5345">
        <f>_xlfn.IMAGE("https://edmondsonsupply.com/cdn/shop/products/51429.jpg?v=1663694213")</f>
        <v/>
      </c>
      <c r="H5345">
        <f>_xlfn.IMAGE("https://m.media-amazon.com/images/I/31GJGeFqCRL._AC_UL320_.jpg")</f>
        <v/>
      </c>
      <c r="K5345" t="inlineStr">
        <is>
          <t>27.99</t>
        </is>
      </c>
      <c r="L5345" t="n">
        <v>34.34</v>
      </c>
      <c r="M5345" s="1" t="inlineStr">
        <is>
          <t>22.69%</t>
        </is>
      </c>
      <c r="N5345" s="8" t="n">
        <v>1024.42</v>
      </c>
      <c r="O5345" t="n">
        <v>4.5</v>
      </c>
      <c r="P5345" t="n">
        <v>52</v>
      </c>
      <c r="R5345" t="inlineStr">
        <is>
          <t>InStock</t>
        </is>
      </c>
      <c r="S5345" t="inlineStr">
        <is>
          <t>42.4</t>
        </is>
      </c>
      <c r="T5345" t="inlineStr">
        <is>
          <t>7823793127640</t>
        </is>
      </c>
    </row>
    <row r="5346" hidden="1" ht="15.75" customHeight="1">
      <c r="A5346" s="2">
        <f>HYPERLINK("https://edmondsonsupply.com/collections/electricians-tools/products/diablo-tools-dmarg1030-3-16-in-x-4-in-x-6-in-speedemon%E2%84%A2-red-granite-carbide-tipped-hammer-drill-bit", "https://edmondsonsupply.com/collections/electricians-tools/products/diablo-tools-dmarg1030-3-16-in-x-4-in-x-6-in-speedemon%E2%84%A2-red-granite-carbide-tipped-hammer-drill-bit")</f>
        <v/>
      </c>
      <c r="B5346" s="2">
        <f>HYPERLINK("https://edmondsonsupply.com/products/diablo-tools-dmarg1030-3-16-in-x-4-in-x-6-in-speedemon%e2%84%a2-red-granite-carbide-tipped-hammer-drill-bit", "https://edmondsonsupply.com/products/diablo-tools-dmarg1030-3-16-in-x-4-in-x-6-in-speedemon%e2%84%a2-red-granite-carbide-tipped-hammer-drill-bit")</f>
        <v/>
      </c>
      <c r="C5346" t="inlineStr">
        <is>
          <t>Diablo Tools DMARG1030 3/16 in. x 4 in. x 6 in. SPEEDemon™ Red Granite Carbide Tipped Hammer Drill Bit</t>
        </is>
      </c>
      <c r="D5346" t="inlineStr">
        <is>
          <t>Diablo 3/16" x 4" x 6" SPEEDemon Red Granite Carbide Tipped Hammer Drill Bit</t>
        </is>
      </c>
      <c r="E5346" s="2">
        <f>HYPERLINK("https://www.amazon.com/Diablo-SPEEDemon-Granite-Carbide-Tipped/dp/B089LKW83J/ref=sr_1_1?keywords=Diablo+Tools+DMARG1030+3%2F16+in.+x+4+in.+x+6+in.+SPEEDemon%E2%84%A2+Red+Granite+Carbide+Tipped+Hammer+Drill+Bit&amp;qid=1694735280&amp;sr=8-1", "https://www.amazon.com/Diablo-SPEEDemon-Granite-Carbide-Tipped/dp/B089LKW83J/ref=sr_1_1?keywords=Diablo+Tools+DMARG1030+3%2F16+in.+x+4+in.+x+6+in.+SPEEDemon%E2%84%A2+Red+Granite+Carbide+Tipped+Hammer+Drill+Bit&amp;qid=1694735280&amp;sr=8-1")</f>
        <v/>
      </c>
      <c r="F5346" t="inlineStr">
        <is>
          <t>B089LKW83J</t>
        </is>
      </c>
      <c r="G5346">
        <f>_xludf.IMAGE("https://edmondsonsupply.com/cdn/shop/products/DMARG1030_Main-Image20200407.png?v=1633030509")</f>
        <v/>
      </c>
      <c r="H5346">
        <f>_xludf.IMAGE("https://m.media-amazon.com/images/I/61+BAExWexL._AC_UL320_.jpg")</f>
        <v/>
      </c>
      <c r="K5346" t="inlineStr">
        <is>
          <t>4.47</t>
        </is>
      </c>
      <c r="L5346" t="n">
        <v>5.47</v>
      </c>
      <c r="M5346" s="1" t="inlineStr">
        <is>
          <t>22.37%</t>
        </is>
      </c>
      <c r="N5346" s="1" t="n">
        <v>902.64</v>
      </c>
      <c r="O5346" t="n">
        <v>4.4</v>
      </c>
      <c r="P5346" t="n">
        <v>9</v>
      </c>
      <c r="R5346" t="inlineStr">
        <is>
          <t>InStock</t>
        </is>
      </c>
      <c r="S5346" t="inlineStr">
        <is>
          <t>undefined</t>
        </is>
      </c>
      <c r="T5346" t="inlineStr">
        <is>
          <t>5386199629992</t>
        </is>
      </c>
    </row>
    <row r="5347" hidden="1" ht="15.75" customHeight="1">
      <c r="A5347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5347" s="2">
        <f>HYPERLINK("https://edmondsonsupply.com/products/klein-tools-70582-seven-key-metric-folding-hex-key-set", "https://edmondsonsupply.com/products/klein-tools-70582-seven-key-metric-folding-hex-key-set")</f>
        <v/>
      </c>
      <c r="C5347" t="inlineStr">
        <is>
          <t>Klein Tools 70582 Folding Hex Key Set, 7-Key, Metric Sizes</t>
        </is>
      </c>
      <c r="D5347" t="inlineStr">
        <is>
          <t>Klein Tools 70575 Grip-It Hex Key Set, 9-Key, 3-3/4-Inch Handle, SAE Sizes</t>
        </is>
      </c>
      <c r="E5347" s="2">
        <f>HYPERLINK("https://www.amazon.com/Grip-Square-Klein-Tools-70575/dp/B0002RI8PK/ref=sr_1_14?keywords=Klein+Tools+70582+Folding+Hex+Key+Set%2C+7-Key%2C+Metric+Sizes&amp;qid=1694735391&amp;sr=8-14", "https://www.amazon.com/Grip-Square-Klein-Tools-70575/dp/B0002RI8PK/ref=sr_1_14?keywords=Klein+Tools+70582+Folding+Hex+Key+Set%2C+7-Key%2C+Metric+Sizes&amp;qid=1694735391&amp;sr=8-14")</f>
        <v/>
      </c>
      <c r="F5347" t="inlineStr">
        <is>
          <t>B0002RI8PK</t>
        </is>
      </c>
      <c r="G5347">
        <f>_xludf.IMAGE("https://edmondsonsupply.com/cdn/shop/products/70582.jpg?v=1587149750")</f>
        <v/>
      </c>
      <c r="H5347">
        <f>_xludf.IMAGE("https://m.media-amazon.com/images/I/51C7aw6OxTL._AC_UL320_.jpg")</f>
        <v/>
      </c>
      <c r="K5347" t="inlineStr">
        <is>
          <t>8.78</t>
        </is>
      </c>
      <c r="L5347" t="n">
        <v>10.74</v>
      </c>
      <c r="M5347" s="1" t="inlineStr">
        <is>
          <t>22.32%</t>
        </is>
      </c>
      <c r="N5347" s="1" t="n">
        <v>900</v>
      </c>
      <c r="O5347" t="n">
        <v>4.4</v>
      </c>
      <c r="P5347" t="n">
        <v>65</v>
      </c>
      <c r="R5347" t="inlineStr">
        <is>
          <t>InStock</t>
        </is>
      </c>
      <c r="S5347" t="inlineStr">
        <is>
          <t>12.26</t>
        </is>
      </c>
      <c r="T5347" t="inlineStr">
        <is>
          <t>4409539919972</t>
        </is>
      </c>
    </row>
    <row r="5348" ht="87" customHeight="1">
      <c r="A5348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5348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5348" t="inlineStr">
        <is>
          <t>Klein Tools ET45VP AC/DC Voltage and GFCI Receptacle Outlet Test Kit</t>
        </is>
      </c>
      <c r="D5348" t="inlineStr">
        <is>
          <t>Klein Tools RT250 GFCI Outlet Tester with LCD Display, Electric Voltage Tester for Standard 3-Wire 120V Electrical Receptacles,Green/Red</t>
        </is>
      </c>
      <c r="E5348" s="2">
        <f>HYPERLINK("https://www.amazon.com/Receptacle-Electrical-Klein-Tools-RT250/dp/B08QW7K1JJ/ref=sr_1_7?keywords=Klein+Tools+ET45VP+AC%2FDC+Voltage+and+GFCI+Receptacle+Outlet+Test+Kit&amp;qid=1694735138&amp;sr=8-7", "https://www.amazon.com/Receptacle-Electrical-Klein-Tools-RT250/dp/B08QW7K1JJ/ref=sr_1_7?keywords=Klein+Tools+ET45VP+AC%2FDC+Voltage+and+GFCI+Receptacle+Outlet+Test+Kit&amp;qid=1694735138&amp;sr=8-7")</f>
        <v/>
      </c>
      <c r="F5348" t="inlineStr">
        <is>
          <t>B08QW7K1JJ</t>
        </is>
      </c>
      <c r="G5348">
        <f>_xlfn.IMAGE("https://edmondsonsupply.com/cdn/shop/products/et45vp.jpg?v=1660755922")</f>
        <v/>
      </c>
      <c r="H5348">
        <f>_xlfn.IMAGE("https://m.media-amazon.com/images/I/61j28ynJ7bL._AC_UL320_.jpg")</f>
        <v/>
      </c>
      <c r="K5348" t="inlineStr">
        <is>
          <t>17.97</t>
        </is>
      </c>
      <c r="L5348" t="n">
        <v>21.97</v>
      </c>
      <c r="M5348" s="1" t="inlineStr">
        <is>
          <t>22.26%</t>
        </is>
      </c>
      <c r="N5348" s="7" t="n">
        <v>880.5700000000001</v>
      </c>
      <c r="O5348" t="n">
        <v>4.8</v>
      </c>
      <c r="P5348" t="n">
        <v>7942</v>
      </c>
      <c r="R5348" t="inlineStr">
        <is>
          <t>InStock</t>
        </is>
      </c>
      <c r="S5348" t="inlineStr">
        <is>
          <t>25.82</t>
        </is>
      </c>
      <c r="T5348" t="inlineStr">
        <is>
          <t>7783562084568</t>
        </is>
      </c>
    </row>
    <row r="5349" ht="87" customHeight="1">
      <c r="A5349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5349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5349" t="inlineStr">
        <is>
          <t>Diablo Tools DMAMX1110 5/8 in. x 24 in. x 29 in. Rebar Demon™ SDS-Max 4-Cutter Full Carbide Head Hammer Bit</t>
        </is>
      </c>
      <c r="D5349" t="inlineStr">
        <is>
          <t>Diablo DMAMX1230 1 in. x 24 in. x 29 in. Rebar Demon™ SDS-Max 4-Cutter Full Carbide Head Hammer Bit</t>
        </is>
      </c>
      <c r="E5349" s="2">
        <f>HYPERLINK("https://www.amazon.com/Diablo-DMAMX1230-SDS-Max-4-Cutter-Carbide/dp/B089KWMBLT/ref=sr_1_5?keywords=Diablo+Tools+DMAMX1110+5%2F8+in.+x+24+in.+x+29+in.+Rebar+Demon%E2%84%A2+SDS-Max+4-Cutter+Full+Carbide+Head+Hammer+Bit&amp;qid=1694735304&amp;sr=8-5", "https://www.amazon.com/Diablo-DMAMX1230-SDS-Max-4-Cutter-Carbide/dp/B089KWMBLT/ref=sr_1_5?keywords=Diablo+Tools+DMAMX1110+5%2F8+in.+x+24+in.+x+29+in.+Rebar+Demon%E2%84%A2+SDS-Max+4-Cutter+Full+Carbide+Head+Hammer+Bit&amp;qid=1694735304&amp;sr=8-5")</f>
        <v/>
      </c>
      <c r="F5349" t="inlineStr">
        <is>
          <t>B089KWMBLT</t>
        </is>
      </c>
      <c r="G5349">
        <f>_xlfn.IMAGE("https://edmondsonsupply.com/cdn/shop/products/DMAMX1110_1.jpg?v=1633030364")</f>
        <v/>
      </c>
      <c r="H5349">
        <f>_xlfn.IMAGE("https://m.media-amazon.com/images/I/61B-wgZVzML._AC_UL320_.jpg")</f>
        <v/>
      </c>
      <c r="K5349" t="inlineStr">
        <is>
          <t>89.97</t>
        </is>
      </c>
      <c r="L5349" t="n">
        <v>109.99</v>
      </c>
      <c r="M5349" s="1" t="inlineStr">
        <is>
          <t>22.25%</t>
        </is>
      </c>
      <c r="N5349" s="7" t="n">
        <v>789.77</v>
      </c>
      <c r="O5349" t="n">
        <v>4.6</v>
      </c>
      <c r="P5349" t="n">
        <v>3</v>
      </c>
      <c r="R5349" t="inlineStr">
        <is>
          <t>InStock</t>
        </is>
      </c>
      <c r="S5349" t="inlineStr">
        <is>
          <t>115.5</t>
        </is>
      </c>
      <c r="T5349" t="inlineStr">
        <is>
          <t>5289159655592</t>
        </is>
      </c>
    </row>
    <row r="5350" hidden="1" ht="15.75" customHeight="1">
      <c r="A5350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5350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5350" t="inlineStr">
        <is>
          <t>Klein Tools 630-3/8 3/8-Inch Nut Driver with 3-Inch Hollow Shaft</t>
        </is>
      </c>
      <c r="D5350" t="inlineStr">
        <is>
          <t>Klein Tools 32794 Pro Impact Driver Bit, 3/8-Inch Hex Nut Driver, 3 Pack</t>
        </is>
      </c>
      <c r="E5350" s="2">
        <f>HYPERLINK("https://www.amazon.com/Klein-Tools-32794-Impact-Driver/dp/B07RGVM3RS/ref=sr_1_19?keywords=Klein+Tools+630-3%2F8+3%2F8-Inch+Nut+Driver+with+3-Inch+Hollow+Shaft&amp;qid=1694735236&amp;sr=8-19", "https://www.amazon.com/Klein-Tools-32794-Impact-Driver/dp/B07RGVM3RS/ref=sr_1_19?keywords=Klein+Tools+630-3%2F8+3%2F8-Inch+Nut+Driver+with+3-Inch+Hollow+Shaft&amp;qid=1694735236&amp;sr=8-19")</f>
        <v/>
      </c>
      <c r="F5350" t="inlineStr">
        <is>
          <t>B07RGVM3RS</t>
        </is>
      </c>
      <c r="G5350">
        <f>_xludf.IMAGE("https://edmondsonsupply.com/cdn/shop/products/630-1-2_e23f9fbd-a282-44d7-b743-2cfe0f84edfa.jpg?v=1633030906")</f>
        <v/>
      </c>
      <c r="H5350">
        <f>_xludf.IMAGE("https://m.media-amazon.com/images/I/51EHKugf8KL._AC_UL320_.jpg")</f>
        <v/>
      </c>
      <c r="K5350" t="inlineStr">
        <is>
          <t>8.99</t>
        </is>
      </c>
      <c r="L5350" t="n">
        <v>10.99</v>
      </c>
      <c r="M5350" s="1" t="inlineStr">
        <is>
          <t>22.25%</t>
        </is>
      </c>
      <c r="N5350" s="1" t="n">
        <v>789.77</v>
      </c>
      <c r="O5350" t="n">
        <v>4.8</v>
      </c>
      <c r="P5350" t="n">
        <v>132</v>
      </c>
      <c r="R5350" t="inlineStr">
        <is>
          <t>InStock</t>
        </is>
      </c>
      <c r="S5350" t="inlineStr">
        <is>
          <t>11.74</t>
        </is>
      </c>
      <c r="T5350" t="inlineStr">
        <is>
          <t>6244382376109</t>
        </is>
      </c>
    </row>
    <row r="5351" hidden="1" ht="15.75" customHeight="1">
      <c r="A5351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5351" s="2">
        <f>HYPERLINK("https://edmondsonsupply.com/products/klein-tools-jth6m10-10-mm-hex-key-journeyman-t-handle-6-inch", "https://edmondsonsupply.com/products/klein-tools-jth6m10-10-mm-hex-key-journeyman-t-handle-6-inch")</f>
        <v/>
      </c>
      <c r="C5351" t="inlineStr">
        <is>
          <t>Klein Tools JTH6M10 10 mm Hex Key Journeyman T-Handle 6-Inch</t>
        </is>
      </c>
      <c r="D5351" t="inlineStr">
        <is>
          <t>Klein Tools JTH6M10 10 mm Hex Key with Journeyman T-Handle, 6-Inch</t>
        </is>
      </c>
      <c r="E5351" s="2">
        <f>HYPERLINK("https://www.amazon.com/Journeyman-T-Handle-Klein-Tools-JTH6M10/dp/B007GOWC1S/ref=sr_1_1?keywords=Klein+Tools+JTH6M10+10+mm+Hex+Key+Journeyman+T-Handle+6-Inch&amp;qid=1694735203&amp;sr=8-1", "https://www.amazon.com/Journeyman-T-Handle-Klein-Tools-JTH6M10/dp/B007GOWC1S/ref=sr_1_1?keywords=Klein+Tools+JTH6M10+10+mm+Hex+Key+Journeyman+T-Handle+6-Inch&amp;qid=1694735203&amp;sr=8-1")</f>
        <v/>
      </c>
      <c r="F5351" t="inlineStr">
        <is>
          <t>B007GOWC1S</t>
        </is>
      </c>
      <c r="G5351">
        <f>_xludf.IMAGE("https://edmondsonsupply.com/cdn/shop/products/jth6m8_64c2c8d3-e13e-4b81-9b34-745be7fd837a.jpg?v=1627827117")</f>
        <v/>
      </c>
      <c r="H5351">
        <f>_xludf.IMAGE("https://m.media-amazon.com/images/I/51+1x0vz9XL._AC_UL320_.jpg")</f>
        <v/>
      </c>
      <c r="K5351" t="inlineStr">
        <is>
          <t>8.99</t>
        </is>
      </c>
      <c r="L5351" t="n">
        <v>10.99</v>
      </c>
      <c r="M5351" s="1" t="inlineStr">
        <is>
          <t>22.25%</t>
        </is>
      </c>
      <c r="N5351" s="1" t="n">
        <v>781.8</v>
      </c>
      <c r="O5351" t="n">
        <v>4.7</v>
      </c>
      <c r="P5351" t="n">
        <v>1530</v>
      </c>
      <c r="R5351" t="inlineStr">
        <is>
          <t>InStock</t>
        </is>
      </c>
      <c r="S5351" t="inlineStr">
        <is>
          <t>13.56</t>
        </is>
      </c>
      <c r="T5351" t="inlineStr">
        <is>
          <t>6852298014893</t>
        </is>
      </c>
    </row>
    <row r="5352" hidden="1" ht="15.75" customHeight="1">
      <c r="A5352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5352" s="2">
        <f>HYPERLINK("https://edmondsonsupply.com/products/klein-tools-jth6m10-10-mm-hex-key-journeyman-t-handle-6-inch", "https://edmondsonsupply.com/products/klein-tools-jth6m10-10-mm-hex-key-journeyman-t-handle-6-inch")</f>
        <v/>
      </c>
      <c r="C5352" t="inlineStr">
        <is>
          <t>Klein Tools JTH6M10 10 mm Hex Key Journeyman T-Handle 6-Inch</t>
        </is>
      </c>
      <c r="D5352" t="inlineStr">
        <is>
          <t>Klein Tools JTH6M10BE 10 mm Ball End Hex Key with Journeyman T-Handle, 6-Inch</t>
        </is>
      </c>
      <c r="E5352" s="2">
        <f>HYPERLINK("https://www.amazon.com/Journeyman-T-Handle-Klein-Tools-JTH6M10BE/dp/B007FZ4F3G/ref=sr_1_3?keywords=Klein+Tools+JTH6M10+10+mm+Hex+Key+Journeyman+T-Handle+6-Inch&amp;qid=1694735203&amp;sr=8-3", "https://www.amazon.com/Journeyman-T-Handle-Klein-Tools-JTH6M10BE/dp/B007FZ4F3G/ref=sr_1_3?keywords=Klein+Tools+JTH6M10+10+mm+Hex+Key+Journeyman+T-Handle+6-Inch&amp;qid=1694735203&amp;sr=8-3")</f>
        <v/>
      </c>
      <c r="F5352" t="inlineStr">
        <is>
          <t>B007FZ4F3G</t>
        </is>
      </c>
      <c r="G5352">
        <f>_xludf.IMAGE("https://edmondsonsupply.com/cdn/shop/products/jth6m8_64c2c8d3-e13e-4b81-9b34-745be7fd837a.jpg?v=1627827117")</f>
        <v/>
      </c>
      <c r="H5352">
        <f>_xludf.IMAGE("https://m.media-amazon.com/images/I/51huXA+ij8L._AC_UL320_.jpg")</f>
        <v/>
      </c>
      <c r="K5352" t="inlineStr">
        <is>
          <t>8.99</t>
        </is>
      </c>
      <c r="L5352" t="n">
        <v>10.99</v>
      </c>
      <c r="M5352" s="1" t="inlineStr">
        <is>
          <t>22.25%</t>
        </is>
      </c>
      <c r="N5352" s="1" t="n">
        <v>751.08</v>
      </c>
      <c r="O5352" t="n">
        <v>4.8</v>
      </c>
      <c r="P5352" t="n">
        <v>985</v>
      </c>
      <c r="R5352" t="inlineStr">
        <is>
          <t>InStock</t>
        </is>
      </c>
      <c r="S5352" t="inlineStr">
        <is>
          <t>13.56</t>
        </is>
      </c>
      <c r="T5352" t="inlineStr">
        <is>
          <t>6852298014893</t>
        </is>
      </c>
    </row>
    <row r="5353" hidden="1" ht="15.75" customHeight="1">
      <c r="A5353" s="2">
        <f>HYPERLINK("https://edmondsonsupply.com/collections/electricians-tools/products/klein-tools-607-3-mini-screwdriver-3-32-inch-cabinet-tip-3-inch", "https://edmondsonsupply.com/collections/electricians-tools/products/klein-tools-607-3-mini-screwdriver-3-32-inch-cabinet-tip-3-inch")</f>
        <v/>
      </c>
      <c r="B5353" s="2">
        <f>HYPERLINK("https://edmondsonsupply.com/products/klein-tools-607-3-mini-screwdriver-3-32-inch-cabinet-tip-3-inch", "https://edmondsonsupply.com/products/klein-tools-607-3-mini-screwdriver-3-32-inch-cabinet-tip-3-inch")</f>
        <v/>
      </c>
      <c r="C5353" t="inlineStr">
        <is>
          <t>Klein Tools 607-3 Mini Screwdriver, 3/32-Inch Cabinet Tip, 3-Inch</t>
        </is>
      </c>
      <c r="D5353" t="inlineStr">
        <is>
          <t>Klein Tools A116-3 3/32-Inch Flat Head Screwdriver with Cabinet Tip, 3-Inch Round Shank and Pocket Clip</t>
        </is>
      </c>
      <c r="E5353" s="2">
        <f>HYPERLINK("https://www.amazon.com/Klein-Tools-A116-3-32-Inch-Screwdriver/dp/B00093D4M4/ref=sr_1_4?keywords=Klein+Tools+607-3+Mini+Screwdriver%2C+3%2F32-Inch+Cabinet+Tip%2C+3-Inch&amp;qid=1694735237&amp;sr=8-4", "https://www.amazon.com/Klein-Tools-A116-3-32-Inch-Screwdriver/dp/B00093D4M4/ref=sr_1_4?keywords=Klein+Tools+607-3+Mini+Screwdriver%2C+3%2F32-Inch+Cabinet+Tip%2C+3-Inch&amp;qid=1694735237&amp;sr=8-4")</f>
        <v/>
      </c>
      <c r="F5353" t="inlineStr">
        <is>
          <t>B00093D4M4</t>
        </is>
      </c>
      <c r="G5353">
        <f>_xludf.IMAGE("https://edmondsonsupply.com/cdn/shop/products/607-3_5e9ac034-1968-449c-957e-7d3aa01f1413.jpg?v=1633030814")</f>
        <v/>
      </c>
      <c r="H5353">
        <f>_xludf.IMAGE("https://m.media-amazon.com/images/I/416B++nRvZL._AC_UL320_.jpg")</f>
        <v/>
      </c>
      <c r="K5353" t="inlineStr">
        <is>
          <t>6.99</t>
        </is>
      </c>
      <c r="L5353" t="n">
        <v>8.529999999999999</v>
      </c>
      <c r="M5353" s="1" t="inlineStr">
        <is>
          <t>22.03%</t>
        </is>
      </c>
      <c r="N5353" s="1" t="n">
        <v>714.77</v>
      </c>
      <c r="O5353" t="n">
        <v>4.4</v>
      </c>
      <c r="P5353" t="n">
        <v>524</v>
      </c>
      <c r="R5353" t="inlineStr">
        <is>
          <t>InStock</t>
        </is>
      </c>
      <c r="S5353" t="inlineStr">
        <is>
          <t>10.58</t>
        </is>
      </c>
      <c r="T5353" t="inlineStr">
        <is>
          <t>6068127203501</t>
        </is>
      </c>
    </row>
    <row r="5354" hidden="1" ht="15.75" customHeight="1">
      <c r="A5354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5354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5354" t="inlineStr">
        <is>
          <t>Klein Tools 614-4 1/8-Inch Cabinet Electronics Screwdriver, 4-Inch</t>
        </is>
      </c>
      <c r="D5354" t="inlineStr">
        <is>
          <t>Klein Tools 605-8 1/4-Inch Cabinet Tip Screwdriver, Heavy Duty, with 8-Inch Shank</t>
        </is>
      </c>
      <c r="E5354" s="2">
        <f>HYPERLINK("https://www.amazon.com/Cabinet-Screwdriver-Klein-Tools-605-8/dp/B000F0GMDO/ref=sr_1_3?keywords=Klein+Tools+614-4+1%2F8-Inch+Cabinet+Electronics+Screwdriver%2C+4-Inch&amp;qid=1694735408&amp;sr=8-3", "https://www.amazon.com/Cabinet-Screwdriver-Klein-Tools-605-8/dp/B000F0GMDO/ref=sr_1_3?keywords=Klein+Tools+614-4+1%2F8-Inch+Cabinet+Electronics+Screwdriver%2C+4-Inch&amp;qid=1694735408&amp;sr=8-3")</f>
        <v/>
      </c>
      <c r="F5354" t="inlineStr">
        <is>
          <t>B000F0GMDO</t>
        </is>
      </c>
      <c r="G5354">
        <f>_xludf.IMAGE("https://edmondsonsupply.com/cdn/shop/products/614-4.jpg?v=1587145143")</f>
        <v/>
      </c>
      <c r="H5354">
        <f>_xludf.IMAGE("https://m.media-amazon.com/images/I/41WLDr2SP+L._AC_UL320_.jpg")</f>
        <v/>
      </c>
      <c r="K5354" t="inlineStr">
        <is>
          <t>8.99</t>
        </is>
      </c>
      <c r="L5354" t="n">
        <v>10.97</v>
      </c>
      <c r="M5354" s="1" t="inlineStr">
        <is>
          <t>22.02%</t>
        </is>
      </c>
      <c r="N5354" s="1" t="n">
        <v>712.41</v>
      </c>
      <c r="O5354" t="n">
        <v>4.8</v>
      </c>
      <c r="P5354" t="n">
        <v>1225</v>
      </c>
      <c r="R5354" t="inlineStr">
        <is>
          <t>InStock</t>
        </is>
      </c>
      <c r="S5354" t="inlineStr">
        <is>
          <t>13.62</t>
        </is>
      </c>
      <c r="T5354" t="inlineStr">
        <is>
          <t>4397839843428</t>
        </is>
      </c>
    </row>
    <row r="5355" hidden="1" ht="15.75" customHeight="1">
      <c r="A5355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5355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5355" t="inlineStr">
        <is>
          <t>Klein Tools 630-3/8 3/8-Inch Nut Driver with 3-Inch Hollow Shaft</t>
        </is>
      </c>
      <c r="D5355" t="inlineStr">
        <is>
          <t>Klein Tools 630-3/8M 3/8-Inch Magnetic Tip Nut Driver with 3-Inch Hollow Shank</t>
        </is>
      </c>
      <c r="E5355" s="2">
        <f>HYPERLINK("https://www.amazon.com/Magnetic-Klein-Tools-630-3-8M/dp/B000MKH4OS/ref=sr_1_1?keywords=Klein+Tools+630-3%2F8+3%2F8-Inch+Nut+Driver+with+3-Inch+Hollow+Shaft&amp;qid=1694735236&amp;sr=8-1", "https://www.amazon.com/Magnetic-Klein-Tools-630-3-8M/dp/B000MKH4OS/ref=sr_1_1?keywords=Klein+Tools+630-3%2F8+3%2F8-Inch+Nut+Driver+with+3-Inch+Hollow+Shaft&amp;qid=1694735236&amp;sr=8-1")</f>
        <v/>
      </c>
      <c r="F5355" t="inlineStr">
        <is>
          <t>B000MKH4OS</t>
        </is>
      </c>
      <c r="G5355">
        <f>_xludf.IMAGE("https://edmondsonsupply.com/cdn/shop/products/630-1-2_e23f9fbd-a282-44d7-b743-2cfe0f84edfa.jpg?v=1633030906")</f>
        <v/>
      </c>
      <c r="H5355">
        <f>_xludf.IMAGE("https://m.media-amazon.com/images/I/51TxY7IaTtL._AC_UL320_.jpg")</f>
        <v/>
      </c>
      <c r="K5355" t="inlineStr">
        <is>
          <t>8.99</t>
        </is>
      </c>
      <c r="L5355" t="n">
        <v>10.97</v>
      </c>
      <c r="M5355" s="1" t="inlineStr">
        <is>
          <t>22.02%</t>
        </is>
      </c>
      <c r="N5355" s="1" t="n">
        <v>709.67</v>
      </c>
      <c r="O5355" t="n">
        <v>4.7</v>
      </c>
      <c r="P5355" t="n">
        <v>1571</v>
      </c>
      <c r="R5355" t="inlineStr">
        <is>
          <t>InStock</t>
        </is>
      </c>
      <c r="S5355" t="inlineStr">
        <is>
          <t>11.74</t>
        </is>
      </c>
      <c r="T5355" t="inlineStr">
        <is>
          <t>6244382376109</t>
        </is>
      </c>
    </row>
    <row r="5356" hidden="1" ht="15.75" customHeight="1">
      <c r="A5356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5356" s="2">
        <f>HYPERLINK("https://edmondsonsupply.com/products/klein-tools-605-4-1-4-inch-cabinet-tip-screwdriver-4-inch-shank", "https://edmondsonsupply.com/products/klein-tools-605-4-1-4-inch-cabinet-tip-screwdriver-4-inch-shank")</f>
        <v/>
      </c>
      <c r="C5356" t="inlineStr">
        <is>
          <t>Klein Tools 605-4 1/4-Inch Cabinet Tip Screwdriver 4-Inch Shank</t>
        </is>
      </c>
      <c r="D5356" t="inlineStr">
        <is>
          <t>Klein Tools 605-4B Wire Bending Cabinet Tip Screwdriver 4-Inch</t>
        </is>
      </c>
      <c r="E5356" s="2">
        <f>HYPERLINK("https://www.amazon.com/Bending-Cabinet-Screwdriver-Klein-Tools/dp/B00093DZNM/ref=sr_1_3?keywords=Klein+Tools+605-4+1%2F4-Inch+Cabinet+Tip+Screwdriver+4-Inch+Shank&amp;qid=1694735099&amp;sr=8-3", "https://www.amazon.com/Bending-Cabinet-Screwdriver-Klein-Tools/dp/B00093DZNM/ref=sr_1_3?keywords=Klein+Tools+605-4+1%2F4-Inch+Cabinet+Tip+Screwdriver+4-Inch+Shank&amp;qid=1694735099&amp;sr=8-3")</f>
        <v/>
      </c>
      <c r="F5356" t="inlineStr">
        <is>
          <t>B00093DZNM</t>
        </is>
      </c>
      <c r="G5356">
        <f>_xludf.IMAGE("https://edmondsonsupply.com/cdn/shop/products/605-6_ac5e56ca-920d-4d55-842f-c7dc8361f892.jpg?v=1665688377")</f>
        <v/>
      </c>
      <c r="H5356">
        <f>_xludf.IMAGE("https://m.media-amazon.com/images/I/41cMYMAcXSL._AC_UL320_.jpg")</f>
        <v/>
      </c>
      <c r="K5356" t="inlineStr">
        <is>
          <t>8.99</t>
        </is>
      </c>
      <c r="L5356" t="n">
        <v>10.97</v>
      </c>
      <c r="M5356" s="1" t="inlineStr">
        <is>
          <t>22.02%</t>
        </is>
      </c>
      <c r="N5356" s="1" t="n">
        <v>703.1</v>
      </c>
      <c r="O5356" t="n">
        <v>4.7</v>
      </c>
      <c r="P5356" t="n">
        <v>487</v>
      </c>
      <c r="R5356" t="inlineStr">
        <is>
          <t>InStock</t>
        </is>
      </c>
      <c r="S5356" t="inlineStr">
        <is>
          <t>13.6</t>
        </is>
      </c>
      <c r="T5356" t="inlineStr">
        <is>
          <t>7852059132120</t>
        </is>
      </c>
    </row>
    <row r="5357" ht="87" customHeight="1">
      <c r="A5357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5357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5357" t="inlineStr">
        <is>
          <t>Diablo Tools DMAPL4040-P25 3/16 in. x 4 in. x 6 in. Rebar Demon™ SDS-Plus 4-Cutter Full Carbide Head Hammer Bit (25-Pack)</t>
        </is>
      </c>
      <c r="D5357" t="inlineStr">
        <is>
          <t>Diablo by Freud DMAPL4180-P25 1/2 in. x 4 in. x 6 in. Rebar Demon SDS-Plus 4-Cutter Full Carbide Head Hammer Bit (25-Pack) Multi, One Size</t>
        </is>
      </c>
      <c r="E5357" s="2">
        <f>HYPERLINK("https://www.amazon.com/Diablo-Rebar-4-Cutter-Carbide-Hammer/dp/B089LGWV7F/ref=sr_1_2?keywords=Diablo+Tools+DMAPL4040-P25+3%2F16+in.+x+4+in.+x+6+in.+Rebar+Demon%E2%84%A2+SDS-Plus+4-Cutter+Full+Carbide+Head+Hammer+Bit+%2825-Pack%29&amp;qid=1694735299&amp;sr=8-2", "https://www.amazon.com/Diablo-Rebar-4-Cutter-Carbide-Hammer/dp/B089LGWV7F/ref=sr_1_2?keywords=Diablo+Tools+DMAPL4040-P25+3%2F16+in.+x+4+in.+x+6+in.+Rebar+Demon%E2%84%A2+SDS-Plus+4-Cutter+Full+Carbide+Head+Hammer+Bit+%2825-Pack%29&amp;qid=1694735299&amp;sr=8-2")</f>
        <v/>
      </c>
      <c r="F5357" t="inlineStr">
        <is>
          <t>B089LGWV7F</t>
        </is>
      </c>
      <c r="G5357">
        <f>_xlfn.IMAGE("https://edmondsonsupply.com/cdn/shop/products/DMAPL4040-P25.jpg?v=1633030349")</f>
        <v/>
      </c>
      <c r="H5357">
        <f>_xlfn.IMAGE("https://m.media-amazon.com/images/I/61q9iw+mKpL._AC_UL320_.jpg")</f>
        <v/>
      </c>
      <c r="K5357" t="inlineStr">
        <is>
          <t>81.97</t>
        </is>
      </c>
      <c r="L5357" t="n">
        <v>99.98999999999999</v>
      </c>
      <c r="M5357" s="1" t="inlineStr">
        <is>
          <t>21.98%</t>
        </is>
      </c>
      <c r="N5357" s="7" t="n">
        <v>701.2</v>
      </c>
      <c r="O5357" t="n">
        <v>5</v>
      </c>
      <c r="P5357" t="n">
        <v>2</v>
      </c>
      <c r="R5357" t="inlineStr">
        <is>
          <t>InStock</t>
        </is>
      </c>
      <c r="S5357" t="inlineStr">
        <is>
          <t>117.4</t>
        </is>
      </c>
      <c r="T5357" t="inlineStr">
        <is>
          <t>5283055206568</t>
        </is>
      </c>
    </row>
    <row r="5358" ht="87" customHeight="1">
      <c r="A5358" s="2">
        <f>HYPERLINK("https://edmondsonsupply.com/collections/electricians-tools/products/fluke-377-fc-non-contact-voltage-true-rms-ac-dc-clamp-meter-with-iflex", "https://edmondsonsupply.com/collections/electricians-tools/products/fluke-377-fc-non-contact-voltage-true-rms-ac-dc-clamp-meter-with-iflex")</f>
        <v/>
      </c>
      <c r="B5358" s="2">
        <f>HYPERLINK("https://edmondsonsupply.com/products/fluke-377-fc-non-contact-voltage-true-rms-ac-dc-clamp-meter-with-iflex", "https://edmondsonsupply.com/products/fluke-377-fc-non-contact-voltage-true-rms-ac-dc-clamp-meter-with-iflex")</f>
        <v/>
      </c>
      <c r="C5358" t="inlineStr">
        <is>
          <t>Fluke 377 FC Non-Contact Voltage True-RMS AC/DC Clamp Meter with iFlex</t>
        </is>
      </c>
      <c r="D5358" t="inlineStr">
        <is>
          <t>Fluke 378FC AC/DC TRMS Non-Contact Voltage Wireless Clamp w/PQ Indicator &amp; iFlex</t>
        </is>
      </c>
      <c r="E5358" s="2">
        <f>HYPERLINK("https://www.amazon.com/Fluke-Non-Contact-Voltage-Wireless-Indicator/dp/B0916K6JZF/ref=sr_1_5?keywords=Fluke+377+FC+Non-Contact+Voltage+True-RMS+AC%2FDC+Clamp+Meter+with+iFlex&amp;qid=1694735195&amp;sr=8-5", "https://www.amazon.com/Fluke-Non-Contact-Voltage-Wireless-Indicator/dp/B0916K6JZF/ref=sr_1_5?keywords=Fluke+377+FC+Non-Contact+Voltage+True-RMS+AC%2FDC+Clamp+Meter+with+iFlex&amp;qid=1694735195&amp;sr=8-5")</f>
        <v/>
      </c>
      <c r="F5358" t="inlineStr">
        <is>
          <t>B0916K6JZF</t>
        </is>
      </c>
      <c r="G5358">
        <f>_xlfn.IMAGE("https://edmondsonsupply.com/cdn/shop/products/377_FC_72dpi_499x1024px_E_NR-27677.jpg?v=1633031119")</f>
        <v/>
      </c>
      <c r="H5358">
        <f>_xlfn.IMAGE("https://m.media-amazon.com/images/I/813NB9dMeUL._AC_UY218_.jpg")</f>
        <v/>
      </c>
      <c r="K5358" t="inlineStr">
        <is>
          <t>639.89</t>
        </is>
      </c>
      <c r="L5358" t="n">
        <v>779.89</v>
      </c>
      <c r="M5358" s="1" t="inlineStr">
        <is>
          <t>21.88%</t>
        </is>
      </c>
      <c r="N5358" s="7" t="n">
        <v>686.04</v>
      </c>
      <c r="O5358" t="n">
        <v>4.6</v>
      </c>
      <c r="P5358" t="n">
        <v>97</v>
      </c>
      <c r="R5358" t="inlineStr">
        <is>
          <t>OutOfStock</t>
        </is>
      </c>
      <c r="S5358" t="inlineStr">
        <is>
          <t>710.99</t>
        </is>
      </c>
      <c r="T5358" t="inlineStr">
        <is>
          <t>6864129949869</t>
        </is>
      </c>
    </row>
    <row r="5359" hidden="1" ht="15.75" customHeight="1">
      <c r="A5359" s="2">
        <f>HYPERLINK("https://edmondsonsupply.com/collections/electricians-tools/products/klein-tools-66075-flip-impact-socket-11-16-and-5-8-inch", "https://edmondsonsupply.com/collections/electricians-tools/products/klein-tools-66075-flip-impact-socket-11-16-and-5-8-inch")</f>
        <v/>
      </c>
      <c r="B5359" s="2">
        <f>HYPERLINK("https://edmondsonsupply.com/products/klein-tools-66075-flip-impact-socket-11-16-and-5-8-inch", "https://edmondsonsupply.com/products/klein-tools-66075-flip-impact-socket-11-16-and-5-8-inch")</f>
        <v/>
      </c>
      <c r="C5359" t="inlineStr">
        <is>
          <t>Klein Tools 66075 Flip Impact Socket, 11/16 and 5/8-Inch</t>
        </is>
      </c>
      <c r="D5359" t="inlineStr">
        <is>
          <t>Klein Tools 66075 Impact Driver Flip Socket, 11/16- and 5/8-Inch Sizes, Use with Klein Tools Compact Impact Wrenches BAT20CW, BAT20CW1</t>
        </is>
      </c>
      <c r="E5359" s="2">
        <f>HYPERLINK("https://www.amazon.com/Klein-Tools-66075-Wrenches-BAT20CW1/dp/B0B33YLHPQ/ref=sr_1_1?keywords=Klein+Tools+66075+Flip+Impact+Socket%2C+11%2F16+and+5%2F8-Inch&amp;qid=1694735124&amp;sr=8-1", "https://www.amazon.com/Klein-Tools-66075-Wrenches-BAT20CW1/dp/B0B33YLHPQ/ref=sr_1_1?keywords=Klein+Tools+66075+Flip+Impact+Socket%2C+11%2F16+and+5%2F8-Inch&amp;qid=1694735124&amp;sr=8-1")</f>
        <v/>
      </c>
      <c r="F5359" t="inlineStr">
        <is>
          <t>B0B33YLHPQ</t>
        </is>
      </c>
      <c r="G5359">
        <f>_xludf.IMAGE("https://edmondsonsupply.com/cdn/shop/products/66075.jpg?v=1663248197")</f>
        <v/>
      </c>
      <c r="H5359">
        <f>_xludf.IMAGE("https://m.media-amazon.com/images/I/51OgCXHWbtL._AC_UL320_.jpg")</f>
        <v/>
      </c>
      <c r="K5359" t="inlineStr">
        <is>
          <t>12.71</t>
        </is>
      </c>
      <c r="L5359" t="n">
        <v>15.49</v>
      </c>
      <c r="M5359" s="1" t="inlineStr">
        <is>
          <t>21.87%</t>
        </is>
      </c>
      <c r="N5359" s="1" t="n">
        <v>684.58</v>
      </c>
      <c r="O5359" t="n">
        <v>1</v>
      </c>
      <c r="P5359" t="n">
        <v>1</v>
      </c>
      <c r="R5359" t="inlineStr">
        <is>
          <t>InStock</t>
        </is>
      </c>
      <c r="S5359" t="inlineStr">
        <is>
          <t>17.8</t>
        </is>
      </c>
      <c r="T5359" t="inlineStr">
        <is>
          <t>7817283862744</t>
        </is>
      </c>
    </row>
    <row r="5360" hidden="1" ht="15.75" customHeight="1">
      <c r="A5360" s="2">
        <f>HYPERLINK("https://edmondsonsupply.com/collections/electricians-tools/products/klein-tools-jth4e13-1-4-inch-hex-key-journeyman%E2%84%A2-t-handle-4-inch", "https://edmondsonsupply.com/collections/electricians-tools/products/klein-tools-jth4e13-1-4-inch-hex-key-journeyman%E2%84%A2-t-handle-4-inch")</f>
        <v/>
      </c>
      <c r="B5360" s="2">
        <f>HYPERLINK("https://edmondsonsupply.com/products/klein-tools-jth4e13-1-4-inch-hex-key-journeyman%e2%84%a2-t-handle-4-inch", "https://edmondsonsupply.com/products/klein-tools-jth4e13-1-4-inch-hex-key-journeyman%e2%84%a2-t-handle-4-inch")</f>
        <v/>
      </c>
      <c r="C5360" t="inlineStr">
        <is>
          <t>Klein Tools JTH4E13 1/4-Inch Hex Key, Journeyman™ T-Handle, 4-Inch</t>
        </is>
      </c>
      <c r="D5360" t="inlineStr">
        <is>
          <t>Klein Tools JTH4E13 1/4-Inch Hex Key with Journeyman T-Handle, 4-Inch</t>
        </is>
      </c>
      <c r="E5360" s="2">
        <f>HYPERLINK("https://www.amazon.com/Klein-Tools-JTH4E13-Journeyman-T-Handle/dp/B007GH2CDS/ref=sr_1_1?keywords=Klein+Tools+JTH4E13+1%2F4-Inch+Hex+Key%2C+Journeyman%E2%84%A2+T-Handle%2C+4-Inch&amp;qid=1694735134&amp;sr=8-1", "https://www.amazon.com/Klein-Tools-JTH4E13-Journeyman-T-Handle/dp/B007GH2CDS/ref=sr_1_1?keywords=Klein+Tools+JTH4E13+1%2F4-Inch+Hex+Key%2C+Journeyman%E2%84%A2+T-Handle%2C+4-Inch&amp;qid=1694735134&amp;sr=8-1")</f>
        <v/>
      </c>
      <c r="F5360" t="inlineStr">
        <is>
          <t>B007GH2CDS</t>
        </is>
      </c>
      <c r="G5360">
        <f>_xludf.IMAGE("https://edmondsonsupply.com/cdn/shop/products/jth4e13.jpg?v=1660919816")</f>
        <v/>
      </c>
      <c r="H5360">
        <f>_xludf.IMAGE("https://m.media-amazon.com/images/I/41ERRKlO36L._AC_UL320_.jpg")</f>
        <v/>
      </c>
      <c r="K5360" t="inlineStr">
        <is>
          <t>5.99</t>
        </is>
      </c>
      <c r="L5360" t="n">
        <v>7.3</v>
      </c>
      <c r="M5360" s="1" t="inlineStr">
        <is>
          <t>21.87%</t>
        </is>
      </c>
      <c r="N5360" s="1" t="n">
        <v>675.96</v>
      </c>
      <c r="O5360" t="n">
        <v>4.8</v>
      </c>
      <c r="P5360" t="n">
        <v>2477</v>
      </c>
      <c r="R5360" t="inlineStr">
        <is>
          <t>InStock</t>
        </is>
      </c>
      <c r="S5360" t="inlineStr">
        <is>
          <t>9.08</t>
        </is>
      </c>
      <c r="T5360" t="inlineStr">
        <is>
          <t>7786113728728</t>
        </is>
      </c>
    </row>
    <row r="5361" hidden="1" ht="15.75" customHeight="1">
      <c r="A5361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5361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5361" t="inlineStr">
        <is>
          <t>Crescent Lufkin L1025C-02 1-3/16" x 25' Command Control Series™ Yellow Clad Tape Measure</t>
        </is>
      </c>
      <c r="D5361" t="inlineStr">
        <is>
          <t>Lufkin Crescent Lufkin 1-3/16 x 35' Command Control Series Yellow Clad Tape Measure - L1035C-02</t>
        </is>
      </c>
      <c r="E5361" s="2">
        <f>HYPERLINK("https://www.amazon.com/Crescent-Lufkin-Command-Control-Measure/dp/B09PGYR28F/ref=sr_1_8?keywords=Crescent+Lufkin+L1025C-02+1-3%2F16%22+x+25%27+Command+Control+Series%E2%84%A2+Yellow+Clad+Tape+Measure&amp;qid=1694735004&amp;sr=8-8", "https://www.amazon.com/Crescent-Lufkin-Command-Control-Measure/dp/B09PGYR28F/ref=sr_1_8?keywords=Crescent+Lufkin+L1025C-02+1-3%2F16%22+x+25%27+Command+Control+Series%E2%84%A2+Yellow+Clad+Tape+Measure&amp;qid=1694735004&amp;sr=8-8")</f>
        <v/>
      </c>
      <c r="F5361" t="inlineStr">
        <is>
          <t>B09PGYR28F</t>
        </is>
      </c>
      <c r="G5361">
        <f>_xludf.IMAGE("https://edmondsonsupply.com/cdn/shop/products/LFK_L1025C_4-SIDES_IMG-MAIN1.jpg?v=1680013140")</f>
        <v/>
      </c>
      <c r="H5361">
        <f>_xludf.IMAGE("https://m.media-amazon.com/images/I/61+R28AwoAL._AC_UL320_.jpg")</f>
        <v/>
      </c>
      <c r="K5361" t="inlineStr">
        <is>
          <t>15.59</t>
        </is>
      </c>
      <c r="L5361" t="n">
        <v>18.99</v>
      </c>
      <c r="M5361" s="1" t="inlineStr">
        <is>
          <t>21.81%</t>
        </is>
      </c>
      <c r="N5361" s="1" t="n">
        <v>667.3</v>
      </c>
      <c r="O5361" t="n">
        <v>3.6</v>
      </c>
      <c r="P5361" t="n">
        <v>4</v>
      </c>
      <c r="R5361" t="inlineStr">
        <is>
          <t>InStock</t>
        </is>
      </c>
      <c r="S5361" t="inlineStr">
        <is>
          <t>25.04</t>
        </is>
      </c>
      <c r="T5361" t="inlineStr">
        <is>
          <t>7968970866904</t>
        </is>
      </c>
    </row>
    <row r="5362" hidden="1" ht="15.75" customHeight="1">
      <c r="A5362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5362" s="2">
        <f>HYPERLINK("https://edmondsonsupply.com/products/klein-tools-vdv427-014-punchdown-tool-krone-blade", "https://edmondsonsupply.com/products/klein-tools-vdv427-014-punchdown-tool-krone-blade")</f>
        <v/>
      </c>
      <c r="C5362" t="inlineStr">
        <is>
          <t>Klein Tools VDV427014 Punchdown Tool Krone Blade</t>
        </is>
      </c>
      <c r="D5362" t="inlineStr">
        <is>
          <t>FBLFOBELI Hard Storage Case for Klein Tools VDV427-300 Impact Punchdown Tool 66/110 Blade, Shockproof Travel Carrying Case</t>
        </is>
      </c>
      <c r="E5362" s="2">
        <f>HYPERLINK("https://www.amazon.com/FBLFOBELI-VDV427-300-Punchdown-Shockproof-Carrying/dp/B09Q88VB6C/ref=sr_1_3?keywords=Klein+Tools+VDV427014+Punchdown+Tool+Krone+Blade&amp;qid=1694735425&amp;sr=8-3", "https://www.amazon.com/FBLFOBELI-VDV427-300-Punchdown-Shockproof-Carrying/dp/B09Q88VB6C/ref=sr_1_3?keywords=Klein+Tools+VDV427014+Punchdown+Tool+Krone+Blade&amp;qid=1694735425&amp;sr=8-3")</f>
        <v/>
      </c>
      <c r="F5362" t="inlineStr">
        <is>
          <t>B09Q88VB6C</t>
        </is>
      </c>
      <c r="G5362">
        <f>_xludf.IMAGE("https://edmondsonsupply.com/cdn/shop/products/vdv427-014.jpg?v=1587143002")</f>
        <v/>
      </c>
      <c r="H5362">
        <f>_xludf.IMAGE("https://m.media-amazon.com/images/I/71K5+VIUifL._AC_UL320_.jpg")</f>
        <v/>
      </c>
      <c r="K5362" t="inlineStr">
        <is>
          <t>11.49</t>
        </is>
      </c>
      <c r="L5362" t="n">
        <v>13.99</v>
      </c>
      <c r="M5362" s="1" t="inlineStr">
        <is>
          <t>21.76%</t>
        </is>
      </c>
      <c r="N5362" s="1" t="n">
        <v>660.09</v>
      </c>
      <c r="O5362" t="n">
        <v>4.8</v>
      </c>
      <c r="P5362" t="n">
        <v>7</v>
      </c>
      <c r="R5362" t="inlineStr">
        <is>
          <t>InStock</t>
        </is>
      </c>
      <c r="S5362" t="inlineStr">
        <is>
          <t>17.26</t>
        </is>
      </c>
      <c r="T5362" t="inlineStr">
        <is>
          <t>4359135592548</t>
        </is>
      </c>
    </row>
    <row r="5363" ht="87" customHeight="1">
      <c r="A5363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363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363" t="inlineStr">
        <is>
          <t>Klein Tools D228-8 Diagonal Cutting Pliers, High-Leverage, 8-Inch</t>
        </is>
      </c>
      <c r="D5363" t="inlineStr">
        <is>
          <t>Klein Tools 2288RINS 1000V Insulated Diagonal Cutter Pliers, High Leverage Design, Induction Hardened Knives, 8-Inch</t>
        </is>
      </c>
      <c r="E5363" s="2">
        <f>HYPERLINK("https://www.amazon.com/Klein-Tools-2288RINS-Insulated-Induction/dp/B0BG1JPVMM/ref=sr_1_16?keywords=Klein+Tools+D228-8+Diagonal+Cutting+Pliers%2C+High-Leverage%2C+8-Inch&amp;qid=1694735247&amp;sr=8-16", "https://www.amazon.com/Klein-Tools-2288RINS-Insulated-Induction/dp/B0BG1JPVMM/ref=sr_1_16?keywords=Klein+Tools+D228-8+Diagonal+Cutting+Pliers%2C+High-Leverage%2C+8-Inch&amp;qid=1694735247&amp;sr=8-16")</f>
        <v/>
      </c>
      <c r="F5363" t="inlineStr">
        <is>
          <t>B0BG1JPVMM</t>
        </is>
      </c>
      <c r="G5363">
        <f>_xlfn.IMAGE("https://edmondsonsupply.com/cdn/shop/products/d2288.jpg?v=1633030753")</f>
        <v/>
      </c>
      <c r="H5363">
        <f>_xlfn.IMAGE("https://m.media-amazon.com/images/I/41AzeY3t1LL._AC_UL320_.jpg")</f>
        <v/>
      </c>
      <c r="K5363" t="inlineStr">
        <is>
          <t>29.97</t>
        </is>
      </c>
      <c r="L5363" t="n">
        <v>36.49</v>
      </c>
      <c r="M5363" s="1" t="inlineStr">
        <is>
          <t>21.76%</t>
        </is>
      </c>
      <c r="N5363" s="7" t="n">
        <v>647.99</v>
      </c>
      <c r="O5363" t="n">
        <v>4.6</v>
      </c>
      <c r="P5363" t="n">
        <v>54</v>
      </c>
      <c r="R5363" t="inlineStr">
        <is>
          <t>InStock</t>
        </is>
      </c>
      <c r="S5363" t="inlineStr">
        <is>
          <t>42.78</t>
        </is>
      </c>
      <c r="T5363" t="inlineStr">
        <is>
          <t>5896908472488</t>
        </is>
      </c>
    </row>
    <row r="5364" hidden="1" ht="15.75" customHeight="1">
      <c r="A5364" s="2">
        <f>HYPERLINK("https://edmondsonsupply.com/collections/electricians-tools/products/klein-tools-jth6t30-t30-torx%C2%AE-hex-key-with-journeyman-t-handle-6-inch", "https://edmondsonsupply.com/collections/electricians-tools/products/klein-tools-jth6t30-t30-torx%C2%AE-hex-key-with-journeyman-t-handle-6-inch")</f>
        <v/>
      </c>
      <c r="B5364" s="2">
        <f>HYPERLINK("https://edmondsonsupply.com/products/klein-tools-jth6t30-t30-torx%c2%ae-hex-key-with-journeyman-t-handle-6-inch", "https://edmondsonsupply.com/products/klein-tools-jth6t30-t30-torx%c2%ae-hex-key-with-journeyman-t-handle-6-inch")</f>
        <v/>
      </c>
      <c r="C5364" t="inlineStr">
        <is>
          <t>Klein Tools JTH6T30 T30 TORX® Hex Key, Journeyman™ T-Handle, 6-Inch</t>
        </is>
      </c>
      <c r="D5364" t="inlineStr">
        <is>
          <t>Klein Tools JTH6T30 T30 TORX Hex Key, Journeyman T-Handle, 6-Inch</t>
        </is>
      </c>
      <c r="E5364" s="2">
        <f>HYPERLINK("https://www.amazon.com/Journeyman-T-Handle-Klein-Tools-JTH6T30/dp/B005G3B4TM/ref=sr_1_1?keywords=Klein+Tools+JTH6T30+T30+TORX%C2%AE+Hex+Key%2C+Journeyman%E2%84%A2+T-Handle%2C+6-Inch&amp;qid=1694735230&amp;sr=8-1", "https://www.amazon.com/Journeyman-T-Handle-Klein-Tools-JTH6T30/dp/B005G3B4TM/ref=sr_1_1?keywords=Klein+Tools+JTH6T30+T30+TORX%C2%AE+Hex+Key%2C+Journeyman%E2%84%A2+T-Handle%2C+6-Inch&amp;qid=1694735230&amp;sr=8-1")</f>
        <v/>
      </c>
      <c r="F5364" t="inlineStr">
        <is>
          <t>B005G3B4TM</t>
        </is>
      </c>
      <c r="G5364">
        <f>_xludf.IMAGE("https://edmondsonsupply.com/cdn/shop/products/jth6t40_b13aa79d-2a34-4a55-8cbe-04b803f08391.jpg?v=1610547787")</f>
        <v/>
      </c>
      <c r="H5364">
        <f>_xludf.IMAGE("https://m.media-amazon.com/images/I/51Xj0Vsb-EL._AC_UL320_.jpg")</f>
        <v/>
      </c>
      <c r="K5364" t="inlineStr">
        <is>
          <t>8.99</t>
        </is>
      </c>
      <c r="L5364" t="n">
        <v>10.94</v>
      </c>
      <c r="M5364" s="1" t="inlineStr">
        <is>
          <t>21.69%</t>
        </is>
      </c>
      <c r="N5364" s="1" t="n">
        <v>636.71</v>
      </c>
      <c r="O5364" t="n">
        <v>4.8</v>
      </c>
      <c r="P5364" t="n">
        <v>1540</v>
      </c>
      <c r="R5364" t="inlineStr">
        <is>
          <t>InStock</t>
        </is>
      </c>
      <c r="S5364" t="inlineStr">
        <is>
          <t>13.72</t>
        </is>
      </c>
      <c r="T5364" t="inlineStr">
        <is>
          <t>6201547194541</t>
        </is>
      </c>
    </row>
    <row r="5365" ht="87" customHeight="1">
      <c r="A5365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5365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5365" t="inlineStr">
        <is>
          <t>Diablo Tools DMAPL4230 5/8 in. x 10 in. x 12 in. Rebar Demon™ SDS‑Plus 4‑Cutter Full Carbide Head Hammer Bit</t>
        </is>
      </c>
      <c r="D5365" t="inlineStr">
        <is>
          <t>Diablo by Freud DMAPL4230 5/8 in. x 10 in. x 12 in. Rebar Demon SDS-Plus 4-Cutter Full Carbide Head Hammer Bit</t>
        </is>
      </c>
      <c r="E5365" s="2">
        <f>HYPERLINK("https://www.amazon.com/Diablo-Freud-DMAPL4230-SDS-Plus-4-Cutter/dp/B089LCN234/ref=sr_1_1?keywords=Diablo+Tools+DMAPL4230+5%2F8+in.+x+10+in.+x+12+in.+Rebar+Demon%E2%84%A2+SDS%E2%80%91Plus+4%E2%80%91Cutter+Full+Carbide+Head+Hammer+Bit&amp;qid=1694735289&amp;sr=8-1", "https://www.amazon.com/Diablo-Freud-DMAPL4230-SDS-Plus-4-Cutter/dp/B089LCN234/ref=sr_1_1?keywords=Diablo+Tools+DMAPL4230+5%2F8+in.+x+10+in.+x+12+in.+Rebar+Demon%E2%84%A2+SDS%E2%80%91Plus+4%E2%80%91Cutter+Full+Carbide+Head+Hammer+Bit&amp;qid=1694735289&amp;sr=8-1")</f>
        <v/>
      </c>
      <c r="F5365" t="inlineStr">
        <is>
          <t>B089LCN234</t>
        </is>
      </c>
      <c r="G5365">
        <f>_xlfn.IMAGE("https://edmondsonsupply.com/cdn/shop/products/DMAPL4230_Main-Image20200701.png?v=1633030428")</f>
        <v/>
      </c>
      <c r="H5365">
        <f>_xlfn.IMAGE("https://m.media-amazon.com/images/I/61r649wmyhL._AC_UL320_.jpg")</f>
        <v/>
      </c>
      <c r="K5365" t="inlineStr">
        <is>
          <t>17.97</t>
        </is>
      </c>
      <c r="L5365" t="n">
        <v>21.86</v>
      </c>
      <c r="M5365" s="1" t="inlineStr">
        <is>
          <t>21.65%</t>
        </is>
      </c>
      <c r="N5365" s="7" t="n">
        <v>632.15</v>
      </c>
      <c r="O5365" t="n">
        <v>4.7</v>
      </c>
      <c r="P5365" t="n">
        <v>47</v>
      </c>
      <c r="R5365" t="inlineStr">
        <is>
          <t>InStock</t>
        </is>
      </c>
      <c r="S5365" t="inlineStr">
        <is>
          <t>27.18</t>
        </is>
      </c>
      <c r="T5365" t="inlineStr">
        <is>
          <t>5326959476904</t>
        </is>
      </c>
    </row>
    <row r="5366" ht="87" customHeight="1">
      <c r="A5366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5366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5366" t="inlineStr">
        <is>
          <t>Klein Tools 6924INS Slim-Tip Insulated Screwdriver, 1/4-Inch Cabinet, 4-Inch Round Shank</t>
        </is>
      </c>
      <c r="D5366" t="inlineStr">
        <is>
          <t>Klein Tools 601-4-INS Insulated Screwdriver, 3/16-Inch Cabinet Tip with 4-Inch Shank</t>
        </is>
      </c>
      <c r="E5366" s="2">
        <f>HYPERLINK("https://www.amazon.com/Insulated-Screwdriver-Klein-Tools-601-4-INS/dp/B000LEBVIK/ref=sr_1_5?keywords=Klein+Tools+6924INS+Slim-Tip+Insulated+Screwdriver%2C+1%2F4-Inch+Cabinet%2C+4-Inch+Round+Shank&amp;qid=1694735273&amp;sr=8-5", "https://www.amazon.com/Insulated-Screwdriver-Klein-Tools-601-4-INS/dp/B000LEBVIK/ref=sr_1_5?keywords=Klein+Tools+6924INS+Slim-Tip+Insulated+Screwdriver%2C+1%2F4-Inch+Cabinet%2C+4-Inch+Round+Shank&amp;qid=1694735273&amp;sr=8-5")</f>
        <v/>
      </c>
      <c r="F5366" t="inlineStr">
        <is>
          <t>B000LEBVIK</t>
        </is>
      </c>
      <c r="G5366">
        <f>_xlfn.IMAGE("https://edmondsonsupply.com/cdn/shop/products/6924ins.jpg?v=1633030554")</f>
        <v/>
      </c>
      <c r="H5366">
        <f>_xlfn.IMAGE("https://m.media-amazon.com/images/I/41SIcZZiIAL._AC_UL320_.jpg")</f>
        <v/>
      </c>
      <c r="K5366" t="inlineStr">
        <is>
          <t>13.97</t>
        </is>
      </c>
      <c r="L5366" t="n">
        <v>16.99</v>
      </c>
      <c r="M5366" s="1" t="inlineStr">
        <is>
          <t>21.62%</t>
        </is>
      </c>
      <c r="N5366" s="7" t="n">
        <v>606.71</v>
      </c>
      <c r="O5366" t="n">
        <v>4.8</v>
      </c>
      <c r="P5366" t="n">
        <v>1068</v>
      </c>
      <c r="R5366" t="inlineStr">
        <is>
          <t>InStock</t>
        </is>
      </c>
      <c r="S5366" t="inlineStr">
        <is>
          <t>19.54</t>
        </is>
      </c>
      <c r="T5366" t="inlineStr">
        <is>
          <t>5439557566632</t>
        </is>
      </c>
    </row>
    <row r="5367" ht="87" customHeight="1">
      <c r="A5367" s="2">
        <f>HYPERLINK("https://edmondsonsupply.com/collections/electricians-tools/products/milwaukee-2367-20-m12%E2%84%A2-rover%E2%84%A2-service-and-repair-flood-light-w-usb-charging", "https://edmondsonsupply.com/collections/electricians-tools/products/milwaukee-2367-20-m12%E2%84%A2-rover%E2%84%A2-service-and-repair-flood-light-w-usb-charging")</f>
        <v/>
      </c>
      <c r="B5367" s="2">
        <f>HYPERLINK("https://edmondsonsupply.com/products/milwaukee-2367-20-m12%e2%84%a2-rover%e2%84%a2-service-and-repair-flood-light-w-usb-charging", "https://edmondsonsupply.com/products/milwaukee-2367-20-m12%e2%84%a2-rover%e2%84%a2-service-and-repair-flood-light-w-usb-charging")</f>
        <v/>
      </c>
      <c r="C5367" t="inlineStr">
        <is>
          <t>Milwaukee 2367-20 M12™ ROVER™ Service and Repair Flood Light w/ USB Charging</t>
        </is>
      </c>
      <c r="D5367" t="inlineStr">
        <is>
          <t>2367-20 M12 for Milwaukee Repair Flood Light 12V Rover Cordless Service w/USB Charging</t>
        </is>
      </c>
      <c r="E5367" s="2">
        <f>HYPERLINK("https://www.amazon.com/2367-20-M12-Milwaukee-Cordless-Charging/dp/B0BRZ31ZFS/ref=sr_1_2?keywords=Milwaukee+2367-20+M12%E2%84%A2+ROVER%E2%84%A2+Service+and+Repair+Flood+Light+w%2F+USB+Charging&amp;qid=1694735155&amp;sr=8-2", "https://www.amazon.com/2367-20-M12-Milwaukee-Cordless-Charging/dp/B0BRZ31ZFS/ref=sr_1_2?keywords=Milwaukee+2367-20+M12%E2%84%A2+ROVER%E2%84%A2+Service+and+Repair+Flood+Light+w%2F+USB+Charging&amp;qid=1694735155&amp;sr=8-2")</f>
        <v/>
      </c>
      <c r="F5367" t="inlineStr">
        <is>
          <t>B0BRZ31ZFS</t>
        </is>
      </c>
      <c r="G5367">
        <f>_xlfn.IMAGE("https://edmondsonsupply.com/cdn/shop/products/2367-20_1.webp?v=1655158460")</f>
        <v/>
      </c>
      <c r="H5367">
        <f>_xlfn.IMAGE("https://m.media-amazon.com/images/I/413+732fO7L._AC_UL320_.jpg")</f>
        <v/>
      </c>
      <c r="K5367" t="inlineStr">
        <is>
          <t>69.0</t>
        </is>
      </c>
      <c r="L5367" t="n">
        <v>83.90000000000001</v>
      </c>
      <c r="M5367" s="1" t="inlineStr">
        <is>
          <t>21.59%</t>
        </is>
      </c>
      <c r="N5367" s="7" t="n">
        <v>603.1</v>
      </c>
      <c r="O5367" t="n">
        <v>5</v>
      </c>
      <c r="P5367" t="n">
        <v>3</v>
      </c>
      <c r="R5367" t="inlineStr">
        <is>
          <t>InStock</t>
        </is>
      </c>
      <c r="S5367" t="inlineStr">
        <is>
          <t>116.0</t>
        </is>
      </c>
      <c r="T5367" t="inlineStr">
        <is>
          <t>7716234264792</t>
        </is>
      </c>
    </row>
    <row r="5368" hidden="1" ht="15.75" customHeight="1">
      <c r="A5368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5368" s="2">
        <f>HYPERLINK("https://edmondsonsupply.com/products/diablo-tools-dmapl2320-1-2-in-x-10-in-x-12-in-sds-plus-2-cutter", "https://edmondsonsupply.com/products/diablo-tools-dmapl2320-1-2-in-x-10-in-x-12-in-sds-plus-2-cutter")</f>
        <v/>
      </c>
      <c r="C5368" t="inlineStr">
        <is>
          <t>Diablo Tools DMAPL2320 1/2 in. x 10 in. x 12 in. SDS-Plus 2-Cutter</t>
        </is>
      </c>
      <c r="D5368" t="inlineStr">
        <is>
          <t>Diablo DMAPL4055 3/16 in. x 10 in. x 12 in. Rebar Demon™ SDS-Plus 4-Cutter Full Carbide Head Hammer Bit</t>
        </is>
      </c>
      <c r="E5368" s="2">
        <f>HYPERLINK("https://www.amazon.com/Diablo-DMAPL4055-SDS-Plus-4-Cutter-Carbide/dp/B089LJCD42/ref=sr_1_25?keywords=Diablo+Tools+DMAPL2320+1%2F2+in.+x+10+in.+x+12+in.+SDS-Plus+2-Cutter&amp;qid=1694735300&amp;sr=8-25", "https://www.amazon.com/Diablo-DMAPL4055-SDS-Plus-4-Cutter-Carbide/dp/B089LJCD42/ref=sr_1_25?keywords=Diablo+Tools+DMAPL2320+1%2F2+in.+x+10+in.+x+12+in.+SDS-Plus+2-Cutter&amp;qid=1694735300&amp;sr=8-25")</f>
        <v/>
      </c>
      <c r="F5368" t="inlineStr">
        <is>
          <t>B089LJCD42</t>
        </is>
      </c>
      <c r="G5368">
        <f>_xludf.IMAGE("https://edmondsonsupply.com/cdn/shop/products/DMAPL2320.jpg?v=1633030356")</f>
        <v/>
      </c>
      <c r="H5368">
        <f>_xludf.IMAGE("https://m.media-amazon.com/images/I/61cDOAhkb4L._AC_UL320_.jpg")</f>
        <v/>
      </c>
      <c r="K5368" t="inlineStr">
        <is>
          <t>12.97</t>
        </is>
      </c>
      <c r="L5368" t="n">
        <v>15.76</v>
      </c>
      <c r="M5368" s="1" t="inlineStr">
        <is>
          <t>21.51%</t>
        </is>
      </c>
      <c r="N5368" s="1" t="n">
        <v>594.97</v>
      </c>
      <c r="O5368" t="n">
        <v>2</v>
      </c>
      <c r="P5368" t="n">
        <v>1</v>
      </c>
      <c r="R5368" t="inlineStr">
        <is>
          <t>InStock</t>
        </is>
      </c>
      <c r="S5368" t="inlineStr">
        <is>
          <t>14.25</t>
        </is>
      </c>
      <c r="T5368" t="inlineStr">
        <is>
          <t>5286282264744</t>
        </is>
      </c>
    </row>
    <row r="5369" ht="87" customHeight="1">
      <c r="A5369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5369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5369" t="inlineStr">
        <is>
          <t>Diablo Tools DOU250JBW 2-1/2 in. Universal Fit Bi-Metal Oscillating Blade for Clean Wood</t>
        </is>
      </c>
      <c r="D5369" t="inlineStr">
        <is>
          <t>Norske Tools NOTP273 1-1/4 inch Japanese Tooth Bi-Metal Oscillating Multi Tool Accessory Blades (3 Pack Set) Universal Fit for Cutting Wood and Hard Wood</t>
        </is>
      </c>
      <c r="E5369" s="2">
        <f>HYPERLINK("https://www.amazon.com/Norske-Tools-NOTP273-Oscillating-Accessory/dp/B07GB9QHBF/ref=sr_1_30?keywords=Diablo+Tools+DOU250JBW+2-1%2F2+in.+Universal+Fit+Bi-Metal+Oscillating+Blade+for+Clean+Wood&amp;qid=1694734994&amp;sr=8-30", "https://www.amazon.com/Norske-Tools-NOTP273-Oscillating-Accessory/dp/B07GB9QHBF/ref=sr_1_30?keywords=Diablo+Tools+DOU250JBW+2-1%2F2+in.+Universal+Fit+Bi-Metal+Oscillating+Blade+for+Clean+Wood&amp;qid=1694734994&amp;sr=8-30")</f>
        <v/>
      </c>
      <c r="F5369" t="inlineStr">
        <is>
          <t>B07GB9QHBF</t>
        </is>
      </c>
      <c r="G5369">
        <f>_xlfn.IMAGE("https://edmondsonsupply.com/cdn/shop/files/pycnap4eb1urn2hxvudq.webp?v=1685718789")</f>
        <v/>
      </c>
      <c r="H5369">
        <f>_xlfn.IMAGE("https://m.media-amazon.com/images/I/61TOLqLfwWL._AC_UL320_.jpg")</f>
        <v/>
      </c>
      <c r="K5369" t="inlineStr">
        <is>
          <t>15.65</t>
        </is>
      </c>
      <c r="L5369" t="n">
        <v>19.01</v>
      </c>
      <c r="M5369" s="1" t="inlineStr">
        <is>
          <t>21.47%</t>
        </is>
      </c>
      <c r="N5369" s="7" t="n">
        <v>591.52</v>
      </c>
      <c r="O5369" t="n">
        <v>4.3</v>
      </c>
      <c r="P5369" t="n">
        <v>83</v>
      </c>
      <c r="R5369" t="inlineStr">
        <is>
          <t>InStock</t>
        </is>
      </c>
      <c r="S5369" t="inlineStr">
        <is>
          <t>24.85</t>
        </is>
      </c>
      <c r="T5369" t="inlineStr">
        <is>
          <t>7999572279512</t>
        </is>
      </c>
    </row>
    <row r="5370" ht="87" customHeight="1">
      <c r="A5370" s="2">
        <f>HYPERLINK("https://edmondsonsupply.com/collections/electricians-tools/products/greenlee-0153-47c-11-in-1-multi-tool", "https://edmondsonsupply.com/collections/electricians-tools/products/greenlee-0153-47c-11-in-1-multi-tool")</f>
        <v/>
      </c>
      <c r="B5370" s="2">
        <f>HYPERLINK("https://edmondsonsupply.com/products/greenlee-0153-47c-11-in-1-multi-tool", "https://edmondsonsupply.com/products/greenlee-0153-47c-11-in-1-multi-tool")</f>
        <v/>
      </c>
      <c r="C5370" t="inlineStr">
        <is>
          <t>Greenlee 0153-47C 11-IN-1 Multi-Tool</t>
        </is>
      </c>
      <c r="D5370" t="inlineStr">
        <is>
          <t>Greenlee 0153-47C 11-in-1 Multi-Tool Driver</t>
        </is>
      </c>
      <c r="E5370" s="2">
        <f>HYPERLINK("https://www.amazon.com/Greenlee-0153-47C-11-in-1-Multi-Tool-Driver/dp/B07KRT84RK/ref=sr_1_1?keywords=Greenlee+0153-47C+11-IN-1+Multi-Tool&amp;qid=1694735406&amp;sr=8-1", "https://www.amazon.com/Greenlee-0153-47C-11-in-1-Multi-Tool-Driver/dp/B07KRT84RK/ref=sr_1_1?keywords=Greenlee+0153-47C+11-IN-1+Multi-Tool&amp;qid=1694735406&amp;sr=8-1")</f>
        <v/>
      </c>
      <c r="F5370" t="inlineStr">
        <is>
          <t>B07KRT84RK</t>
        </is>
      </c>
      <c r="G5370">
        <f>_xlfn.IMAGE("https://edmondsonsupply.com/cdn/shop/products/0153-47c-cat2.jpg?v=1587146986")</f>
        <v/>
      </c>
      <c r="H5370">
        <f>_xlfn.IMAGE("https://m.media-amazon.com/images/I/81uBdZ72UAL._AC_UL320_.jpg")</f>
        <v/>
      </c>
      <c r="K5370" t="inlineStr">
        <is>
          <t>17.99</t>
        </is>
      </c>
      <c r="L5370" t="n">
        <v>21.85</v>
      </c>
      <c r="M5370" s="1" t="inlineStr">
        <is>
          <t>21.46%</t>
        </is>
      </c>
      <c r="N5370" s="7" t="n">
        <v>585.09</v>
      </c>
      <c r="O5370" t="n">
        <v>4.6</v>
      </c>
      <c r="P5370" t="n">
        <v>207</v>
      </c>
      <c r="R5370" t="inlineStr">
        <is>
          <t>InStock</t>
        </is>
      </c>
      <c r="S5370" t="inlineStr">
        <is>
          <t>18.85</t>
        </is>
      </c>
      <c r="T5370" t="inlineStr">
        <is>
          <t>4395531042916</t>
        </is>
      </c>
    </row>
    <row r="5371" hidden="1" ht="15.75" customHeight="1">
      <c r="A5371" s="2">
        <f>HYPERLINK("https://edmondsonsupply.com/collections/electricians-tools/products/klein-tools-vdv427-014-punchdown-tool-krone-blade", "https://edmondsonsupply.com/collections/electricians-tools/products/klein-tools-vdv427-014-punchdown-tool-krone-blade")</f>
        <v/>
      </c>
      <c r="B5371" s="2">
        <f>HYPERLINK("https://edmondsonsupply.com/products/klein-tools-vdv427-014-punchdown-tool-krone-blade", "https://edmondsonsupply.com/products/klein-tools-vdv427-014-punchdown-tool-krone-blade")</f>
        <v/>
      </c>
      <c r="C5371" t="inlineStr">
        <is>
          <t>Klein Tools VDV427014 Punchdown Tool Krone Blade</t>
        </is>
      </c>
      <c r="D5371" t="inlineStr">
        <is>
          <t>Jonard Tools EPB-KR Standard Double Ended Punchdown Krone Block Blade with and without Cutter, 1 Count (Pack of 1)</t>
        </is>
      </c>
      <c r="E5371" s="2">
        <f>HYPERLINK("https://www.amazon.com/Jonard-EPB-KR-Standard-Punchdown-without/dp/B006C3WYPS/ref=sr_1_13?keywords=Klein+Tools+VDV427014+Punchdown+Tool+Krone+Blade&amp;qid=1694735425&amp;sr=8-13", "https://www.amazon.com/Jonard-EPB-KR-Standard-Punchdown-without/dp/B006C3WYPS/ref=sr_1_13?keywords=Klein+Tools+VDV427014+Punchdown+Tool+Krone+Blade&amp;qid=1694735425&amp;sr=8-13")</f>
        <v/>
      </c>
      <c r="F5371" t="inlineStr">
        <is>
          <t>B006C3WYPS</t>
        </is>
      </c>
      <c r="G5371">
        <f>_xludf.IMAGE("https://edmondsonsupply.com/cdn/shop/products/vdv427-014.jpg?v=1587143002")</f>
        <v/>
      </c>
      <c r="H5371">
        <f>_xludf.IMAGE("https://m.media-amazon.com/images/I/71Qy-INsNkL._AC_UL320_.jpg")</f>
        <v/>
      </c>
      <c r="K5371" t="inlineStr">
        <is>
          <t>11.49</t>
        </is>
      </c>
      <c r="L5371" t="n">
        <v>13.95</v>
      </c>
      <c r="M5371" s="1" t="inlineStr">
        <is>
          <t>21.41%</t>
        </is>
      </c>
      <c r="N5371" s="1" t="n">
        <v>575.8099999999999</v>
      </c>
      <c r="O5371" t="n">
        <v>3.9</v>
      </c>
      <c r="P5371" t="n">
        <v>13</v>
      </c>
      <c r="R5371" t="inlineStr">
        <is>
          <t>InStock</t>
        </is>
      </c>
      <c r="S5371" t="inlineStr">
        <is>
          <t>17.26</t>
        </is>
      </c>
      <c r="T5371" t="inlineStr">
        <is>
          <t>4359135592548</t>
        </is>
      </c>
    </row>
    <row r="5372" hidden="1" ht="15.75" customHeight="1">
      <c r="A5372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372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372" t="inlineStr">
        <is>
          <t>Klein Tools 630-1/4 1/4-Inch Nut Driver 3-Inch Shaft Cushion Grip</t>
        </is>
      </c>
      <c r="D5372" t="inlineStr">
        <is>
          <t>Klein Tools 635-1/4 1/4-Inch Heavy Duty Nut Driver with Magnetic Tip, 4-Inch Hollow Shaft, Cushion Grip Handle</t>
        </is>
      </c>
      <c r="E5372" s="2">
        <f>HYPERLINK("https://www.amazon.com/4-Inch-Magnetic-Cushion-Klein-Tools/dp/B01D6DZRFA/ref=sr_1_9?keywords=Klein+Tools+630-1%2F4+1%2F4-Inch+Nut+Driver+3-Inch+Shaft+Cushion+Grip&amp;qid=1694735346&amp;sr=8-9", "https://www.amazon.com/4-Inch-Magnetic-Cushion-Klein-Tools/dp/B01D6DZRFA/ref=sr_1_9?keywords=Klein+Tools+630-1%2F4+1%2F4-Inch+Nut+Driver+3-Inch+Shaft+Cushion+Grip&amp;qid=1694735346&amp;sr=8-9")</f>
        <v/>
      </c>
      <c r="F5372" t="inlineStr">
        <is>
          <t>B01D6DZRFA</t>
        </is>
      </c>
      <c r="G5372">
        <f>_xludf.IMAGE("https://edmondsonsupply.com/cdn/shop/products/630-1-2_4777cf99-f2bc-4f84-bc42-7e765e2a9c37.jpg?v=1587150448")</f>
        <v/>
      </c>
      <c r="H5372">
        <f>_xludf.IMAGE("https://m.media-amazon.com/images/I/41DrStZKvjL._AC_UL320_.jpg")</f>
        <v/>
      </c>
      <c r="K5372" t="inlineStr">
        <is>
          <t>8.99</t>
        </is>
      </c>
      <c r="L5372" t="n">
        <v>10.91</v>
      </c>
      <c r="M5372" s="1" t="inlineStr">
        <is>
          <t>21.36%</t>
        </is>
      </c>
      <c r="N5372" s="1" t="n">
        <v>575.8099999999999</v>
      </c>
      <c r="O5372" t="n">
        <v>4.7</v>
      </c>
      <c r="P5372" t="n">
        <v>999</v>
      </c>
      <c r="R5372" t="inlineStr">
        <is>
          <t>InStock</t>
        </is>
      </c>
      <c r="S5372" t="inlineStr">
        <is>
          <t>11.36</t>
        </is>
      </c>
      <c r="T5372" t="inlineStr">
        <is>
          <t>4490760355940</t>
        </is>
      </c>
    </row>
    <row r="5373" hidden="1" ht="15.75" customHeight="1">
      <c r="A5373" s="2">
        <f>HYPERLINK("https://edmondsonsupply.com/collections/electricians-tools/products/klein-tools-671-6-rapi-driv%C2%AE-screwdriver-1-4-inch-cabinet-6-inch", "https://edmondsonsupply.com/collections/electricians-tools/products/klein-tools-671-6-rapi-driv%C2%AE-screwdriver-1-4-inch-cabinet-6-inch")</f>
        <v/>
      </c>
      <c r="B5373" s="2">
        <f>HYPERLINK("https://edmondsonsupply.com/products/klein-tools-671-6-rapi-driv%c2%ae-screwdriver-1-4-inch-cabinet-6-inch", "https://edmondsonsupply.com/products/klein-tools-671-6-rapi-driv%c2%ae-screwdriver-1-4-inch-cabinet-6-inch")</f>
        <v/>
      </c>
      <c r="C5373" t="inlineStr">
        <is>
          <t>Klein Tools 671-6 Rapi-Driv® Screwdriver, 1/4-Inch Cabinet Tip, 6-Inch Shank</t>
        </is>
      </c>
      <c r="D5373" t="inlineStr">
        <is>
          <t>Klein Tools 671-6 Rapi-Driv Screwdriver with 1/4-Inch Cabinet Tip with 6-Inch Shank</t>
        </is>
      </c>
      <c r="E5373" s="2">
        <f>HYPERLINK("https://www.amazon.com/Rapi-Driv-Screwdriver-Klein-Tools-671-6/dp/B000936R4G/ref=sr_1_1?keywords=Klein+Tools+671-6+Rapi-Driv%C2%AE+Screwdriver%2C+1%2F4-Inch+Cabinet+Tip%2C+6-Inch+Shank&amp;qid=1694735392&amp;sr=8-1", "https://www.amazon.com/Rapi-Driv-Screwdriver-Klein-Tools-671-6/dp/B000936R4G/ref=sr_1_1?keywords=Klein+Tools+671-6+Rapi-Driv%C2%AE+Screwdriver%2C+1%2F4-Inch+Cabinet+Tip%2C+6-Inch+Shank&amp;qid=1694735392&amp;sr=8-1")</f>
        <v/>
      </c>
      <c r="F5373" t="inlineStr">
        <is>
          <t>B000936R4G</t>
        </is>
      </c>
      <c r="G5373">
        <f>_xludf.IMAGE("https://edmondsonsupply.com/cdn/shop/products/670-6_66b04263-0a93-451f-ab2e-bb9a98ab1ffe.jpg?v=1633030192")</f>
        <v/>
      </c>
      <c r="H5373">
        <f>_xludf.IMAGE("https://m.media-amazon.com/images/I/31+1RSUdZ+S._AC_UL320_.jpg")</f>
        <v/>
      </c>
      <c r="K5373" t="inlineStr">
        <is>
          <t>11.49</t>
        </is>
      </c>
      <c r="L5373" t="n">
        <v>13.94</v>
      </c>
      <c r="M5373" s="1" t="inlineStr">
        <is>
          <t>21.32%</t>
        </is>
      </c>
      <c r="N5373" s="1" t="n">
        <v>567.14</v>
      </c>
      <c r="O5373" t="n">
        <v>4.8</v>
      </c>
      <c r="P5373" t="n">
        <v>1603</v>
      </c>
      <c r="R5373" t="inlineStr">
        <is>
          <t>InStock</t>
        </is>
      </c>
      <c r="S5373" t="inlineStr">
        <is>
          <t>17.42</t>
        </is>
      </c>
      <c r="T5373" t="inlineStr">
        <is>
          <t>4398971617380</t>
        </is>
      </c>
    </row>
    <row r="5374" ht="87" customHeight="1">
      <c r="A5374" s="2">
        <f>HYPERLINK("https://edmondsonsupply.com/collections/electricians-tools/products/diablo-tools-dmamx1080", "https://edmondsonsupply.com/collections/electricians-tools/products/diablo-tools-dmamx1080")</f>
        <v/>
      </c>
      <c r="B5374" s="2">
        <f>HYPERLINK("https://edmondsonsupply.com/products/diablo-tools-dmamx1080", "https://edmondsonsupply.com/products/diablo-tools-dmamx1080")</f>
        <v/>
      </c>
      <c r="C5374" t="inlineStr">
        <is>
          <t>Diablo Tools DMAMX1080 9/16 in. x 31 in. x 36 in. Rebar Demon SDS‑Max 4‑Cutter Full Carbide Head Hammer Bit</t>
        </is>
      </c>
      <c r="D5374" t="inlineStr">
        <is>
          <t>Diablo by Freud DMAMX1150 3/4 in. x 31 in. x 36 in. Rebar Demon SDS-Max 4-Cutter Full Carbide Head Hammer Bit</t>
        </is>
      </c>
      <c r="E5374" s="2">
        <f>HYPERLINK("https://www.amazon.com/Diablo-SDS-Max-4-Cutter-Carbide-Hammer/dp/B089KWVY6S/ref=sr_1_2?keywords=Diablo+Tools+DMAMX1080+9%2F16+in.+x+31+in.+x+36+in.+Rebar+Demon+SDS%E2%80%91Max+4%E2%80%91Cutter+Full+Carbide+Head+Hammer+Bit&amp;qid=1694735287&amp;sr=8-2", "https://www.amazon.com/Diablo-SDS-Max-4-Cutter-Carbide-Hammer/dp/B089KWVY6S/ref=sr_1_2?keywords=Diablo+Tools+DMAMX1080+9%2F16+in.+x+31+in.+x+36+in.+Rebar+Demon+SDS%E2%80%91Max+4%E2%80%91Cutter+Full+Carbide+Head+Hammer+Bit&amp;qid=1694735287&amp;sr=8-2")</f>
        <v/>
      </c>
      <c r="F5374" t="inlineStr">
        <is>
          <t>B089KWVY6S</t>
        </is>
      </c>
      <c r="G5374">
        <f>_xlfn.IMAGE("https://edmondsonsupply.com/cdn/shop/products/DMAMX1080_Main-Image20200701.png?v=1609799094")</f>
        <v/>
      </c>
      <c r="H5374">
        <f>_xlfn.IMAGE("https://m.media-amazon.com/images/I/61yjTOwPY1L._AC_UL320_.jpg")</f>
        <v/>
      </c>
      <c r="K5374" t="inlineStr">
        <is>
          <t>82.97</t>
        </is>
      </c>
      <c r="L5374" t="n">
        <v>100.64</v>
      </c>
      <c r="M5374" s="1" t="inlineStr">
        <is>
          <t>21.30%</t>
        </is>
      </c>
      <c r="N5374" s="7" t="n">
        <v>567.14</v>
      </c>
      <c r="O5374" t="n">
        <v>5</v>
      </c>
      <c r="P5374" t="n">
        <v>3</v>
      </c>
      <c r="R5374" t="inlineStr">
        <is>
          <t>InStock</t>
        </is>
      </c>
      <c r="S5374" t="inlineStr">
        <is>
          <t>101.36</t>
        </is>
      </c>
      <c r="T5374" t="inlineStr">
        <is>
          <t>5369223053480</t>
        </is>
      </c>
    </row>
    <row r="5375" hidden="1" ht="15.75" customHeight="1">
      <c r="A5375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5375" s="2">
        <f>HYPERLINK("https://edmondsonsupply.com/products/klein-tools-66076-flip-impact-socket-9-16-and-1-2-inch", "https://edmondsonsupply.com/products/klein-tools-66076-flip-impact-socket-9-16-and-1-2-inch")</f>
        <v/>
      </c>
      <c r="C5375" t="inlineStr">
        <is>
          <t>Klein Tools 66076 Flip Impact Socket, 9/16 and 1/2-Inch</t>
        </is>
      </c>
      <c r="D5375" t="inlineStr">
        <is>
          <t>Klein Tools 66076 Impact Driver Flip Socket, 9/16- and 1/2-Inch Sizes, Use with Klein Tools Compact Impact Wrenches BAT20CW, BAT20CW1</t>
        </is>
      </c>
      <c r="E5375" s="2">
        <f>HYPERLINK("https://www.amazon.com/Klein-Tools-66076-Wrenches-BAT20CW1/dp/B0B33L1X4F/ref=sr_1_1?keywords=Klein+Tools+66076+Flip+Impact+Socket%2C+9%2F16+and+1%2F2-Inch&amp;qid=1694735129&amp;sr=8-1", "https://www.amazon.com/Klein-Tools-66076-Wrenches-BAT20CW1/dp/B0B33L1X4F/ref=sr_1_1?keywords=Klein+Tools+66076+Flip+Impact+Socket%2C+9%2F16+and+1%2F2-Inch&amp;qid=1694735129&amp;sr=8-1")</f>
        <v/>
      </c>
      <c r="F5375" t="inlineStr">
        <is>
          <t>B0B33L1X4F</t>
        </is>
      </c>
      <c r="G5375">
        <f>_xludf.IMAGE("https://edmondsonsupply.com/cdn/shop/products/66076.jpg?v=1663083814")</f>
        <v/>
      </c>
      <c r="H5375">
        <f>_xludf.IMAGE("https://m.media-amazon.com/images/I/51DlQH9Po+L._AC_UL320_.jpg")</f>
        <v/>
      </c>
      <c r="K5375" t="inlineStr">
        <is>
          <t>10.71</t>
        </is>
      </c>
      <c r="L5375" t="n">
        <v>12.99</v>
      </c>
      <c r="M5375" s="1" t="inlineStr">
        <is>
          <t>21.29%</t>
        </is>
      </c>
      <c r="N5375" s="1" t="n">
        <v>525.4400000000001</v>
      </c>
      <c r="O5375" t="n">
        <v>4.8</v>
      </c>
      <c r="P5375" t="n">
        <v>15</v>
      </c>
      <c r="R5375" t="inlineStr">
        <is>
          <t>InStock</t>
        </is>
      </c>
      <c r="S5375" t="inlineStr">
        <is>
          <t>15.0</t>
        </is>
      </c>
      <c r="T5375" t="inlineStr">
        <is>
          <t>7814133874904</t>
        </is>
      </c>
    </row>
    <row r="5376" hidden="1" ht="15.75" customHeight="1">
      <c r="A5376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5376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5376" t="inlineStr">
        <is>
          <t>Diablo Tools DMAPL4140 3/8 in. x 4 in. x 6 in. Rebar Demon™ SDS-Plus 4-Cutter Full Carbide Head Hammer Bit</t>
        </is>
      </c>
      <c r="D5376" t="inlineStr">
        <is>
          <t>Diablo by Freud Diablo DMAPL4070 1/4 in. x 4 in. x 6 in. Rebar Demon SDS-Plus 4-Cutter Full Carbide Head Hammer Bit</t>
        </is>
      </c>
      <c r="E5376" s="2">
        <f>HYPERLINK("https://www.amazon.com/Diablo-Freud-DMAPL4070-SDS-Plus-4-Cutter/dp/B089KVLDML/ref=sr_1_3?keywords=Diablo+Tools+DMAPL4140+3%2F8+in.+x+4+in.+x+6+in.+Rebar+Demon%E2%84%A2+SDS-Plus+4-Cutter+Full+Carbide+Head+Hammer+Bit&amp;qid=1694735296&amp;sr=8-3", "https://www.amazon.com/Diablo-Freud-DMAPL4070-SDS-Plus-4-Cutter/dp/B089KVLDML/ref=sr_1_3?keywords=Diablo+Tools+DMAPL4140+3%2F8+in.+x+4+in.+x+6+in.+Rebar+Demon%E2%84%A2+SDS-Plus+4-Cutter+Full+Carbide+Head+Hammer+Bit&amp;qid=1694735296&amp;sr=8-3")</f>
        <v/>
      </c>
      <c r="F5376" t="inlineStr">
        <is>
          <t>B089KVLDML</t>
        </is>
      </c>
      <c r="G5376">
        <f>_xludf.IMAGE("https://edmondsonsupply.com/cdn/shop/products/DMAPL4140_Main-Image20200701.png?v=1633030360")</f>
        <v/>
      </c>
      <c r="H5376">
        <f>_xludf.IMAGE("https://m.media-amazon.com/images/I/61fLLQz5xPL._AC_UL320_.jpg")</f>
        <v/>
      </c>
      <c r="K5376" t="inlineStr">
        <is>
          <t>7.29</t>
        </is>
      </c>
      <c r="L5376" t="n">
        <v>8.84</v>
      </c>
      <c r="M5376" s="1" t="inlineStr">
        <is>
          <t>21.26%</t>
        </is>
      </c>
      <c r="N5376" s="1" t="n">
        <v>516.73</v>
      </c>
      <c r="O5376" t="n">
        <v>4.4</v>
      </c>
      <c r="P5376" t="n">
        <v>28</v>
      </c>
      <c r="R5376" t="inlineStr">
        <is>
          <t>InStock</t>
        </is>
      </c>
      <c r="S5376" t="inlineStr">
        <is>
          <t>undefined</t>
        </is>
      </c>
      <c r="T5376" t="inlineStr">
        <is>
          <t>5286771949736</t>
        </is>
      </c>
    </row>
    <row r="5377" hidden="1" ht="15.75" customHeight="1">
      <c r="A5377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5377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5377" t="inlineStr">
        <is>
          <t>Channellock 440X 12-Inch SPEEDGRIP™ Straight Jaw Tongue &amp; Groove Pliers</t>
        </is>
      </c>
      <c r="D5377" t="inlineStr">
        <is>
          <t>Channellock 440 Tongue and Groove Pliers | 12-Inch Straight Jaw Groove Joint Plier with Comfort Grips, Black, Blue, Silver &amp; Tongue and Groove Pliers, 9-1/2 In</t>
        </is>
      </c>
      <c r="E5377" s="2">
        <f>HYPERLINK("https://www.amazon.com/Channellock-Tongue-12-Inch-Straight-Comfort/dp/B0BFXKVMMD/ref=sr_1_9?keywords=Channellock+440X+12-Inch+SPEEDGRIP%E2%84%A2+Straight+Jaw+Tongue+%26+Groove+Pliers&amp;qid=1694735165&amp;sr=8-9", "https://www.amazon.com/Channellock-Tongue-12-Inch-Straight-Comfort/dp/B0BFXKVMMD/ref=sr_1_9?keywords=Channellock+440X+12-Inch+SPEEDGRIP%E2%84%A2+Straight+Jaw+Tongue+%26+Groove+Pliers&amp;qid=1694735165&amp;sr=8-9")</f>
        <v/>
      </c>
      <c r="F5377" t="inlineStr">
        <is>
          <t>B0BFXKVMMD</t>
        </is>
      </c>
      <c r="G5377">
        <f>_xludf.IMAGE("https://edmondsonsupply.com/cdn/shop/products/440X.jpg?v=1647104734")</f>
        <v/>
      </c>
      <c r="H5377">
        <f>_xludf.IMAGE("https://m.media-amazon.com/images/I/41AZjjLwtIL._AC_UL320_.jpg")</f>
        <v/>
      </c>
      <c r="K5377" t="inlineStr">
        <is>
          <t>32.95</t>
        </is>
      </c>
      <c r="L5377" t="n">
        <v>39.94</v>
      </c>
      <c r="M5377" s="1" t="inlineStr">
        <is>
          <t>21.21%</t>
        </is>
      </c>
      <c r="N5377" s="1" t="n">
        <v>511.68</v>
      </c>
      <c r="O5377" t="n">
        <v>3</v>
      </c>
      <c r="P5377" t="n">
        <v>1</v>
      </c>
      <c r="R5377" t="inlineStr">
        <is>
          <t>InStock</t>
        </is>
      </c>
      <c r="S5377" t="inlineStr">
        <is>
          <t>45.99</t>
        </is>
      </c>
      <c r="T5377" t="inlineStr">
        <is>
          <t>7633805279448</t>
        </is>
      </c>
    </row>
    <row r="5378" ht="87" customHeight="1">
      <c r="A5378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378" s="2">
        <f>HYPERLINK("https://edmondsonsupply.com/products/klein-tools-60407-hard-hat-vented-full-brim-with-headlamp", "https://edmondsonsupply.com/products/klein-tools-60407-hard-hat-vented-full-brim-with-headlamp")</f>
        <v/>
      </c>
      <c r="C5378" t="inlineStr">
        <is>
          <t>Klein Tools 60407 Hard Hat, Vented, Full Brim with Headlamp, White</t>
        </is>
      </c>
      <c r="D5378" t="inlineStr">
        <is>
          <t>Klein Tools 60401 Hard Hat, Vented, Full Brim Style, Padded, Self-Wicking Odor-Resistant Sweatband, White &amp; 60181 Cooling Helmet Liner, Under Hard Hat Cap with Mesh Fabric at Crown</t>
        </is>
      </c>
      <c r="E5378" s="2">
        <f>HYPERLINK("https://www.amazon.com/Klein-Tools-Self-Wicking-Odor-Resistant-Sweatband/dp/B0BGJ5GTKV/ref=sr_1_16?keywords=Klein+Tools+60407+Hard+Hat%2C+Vented%2C+Full+Brim+with+Headlamp%2C+White&amp;qid=1694735427&amp;sr=8-16", "https://www.amazon.com/Klein-Tools-Self-Wicking-Odor-Resistant-Sweatband/dp/B0BGJ5GTKV/ref=sr_1_16?keywords=Klein+Tools+60407+Hard+Hat%2C+Vented%2C+Full+Brim+with+Headlamp%2C+White&amp;qid=1694735427&amp;sr=8-16")</f>
        <v/>
      </c>
      <c r="F5378" t="inlineStr">
        <is>
          <t>B0BGJ5GTKV</t>
        </is>
      </c>
      <c r="G5378">
        <f>_xlfn.IMAGE("https://edmondsonsupply.com/cdn/shop/products/60407.jpg?v=1587147739")</f>
        <v/>
      </c>
      <c r="H5378">
        <f>_xlfn.IMAGE("https://m.media-amazon.com/images/I/41lJ1V88-+L._AC_UL320_.jpg")</f>
        <v/>
      </c>
      <c r="K5378" t="inlineStr">
        <is>
          <t>54.99</t>
        </is>
      </c>
      <c r="L5378" t="n">
        <v>66.65000000000001</v>
      </c>
      <c r="M5378" s="1" t="inlineStr">
        <is>
          <t>21.20%</t>
        </is>
      </c>
      <c r="N5378" s="7" t="n">
        <v>506.21</v>
      </c>
      <c r="O5378" t="n">
        <v>5</v>
      </c>
      <c r="P5378" t="n">
        <v>1</v>
      </c>
      <c r="R5378" t="inlineStr">
        <is>
          <t>OutOfStock</t>
        </is>
      </c>
      <c r="S5378" t="inlineStr">
        <is>
          <t>82.5</t>
        </is>
      </c>
      <c r="T5378" t="inlineStr">
        <is>
          <t>4357084446820</t>
        </is>
      </c>
    </row>
    <row r="5379" hidden="1" ht="15.75" customHeight="1">
      <c r="A5379" s="2">
        <f>HYPERLINK("https://edmondsonsupply.com/collections/electricians-tools/products/klein-tools-jth6m6be-6-mm-ball-end-hex-key-journeyman%E2%84%A2-t-handle-6-inch", "https://edmondsonsupply.com/collections/electricians-tools/products/klein-tools-jth6m6be-6-mm-ball-end-hex-key-journeyman%E2%84%A2-t-handle-6-inch")</f>
        <v/>
      </c>
      <c r="B5379" s="2">
        <f>HYPERLINK("https://edmondsonsupply.com/products/klein-tools-jth6m6be-6-mm-ball-end-hex-key-journeyman%e2%84%a2-t-handle-6-inch", "https://edmondsonsupply.com/products/klein-tools-jth6m6be-6-mm-ball-end-hex-key-journeyman%e2%84%a2-t-handle-6-inch")</f>
        <v/>
      </c>
      <c r="C5379" t="inlineStr">
        <is>
          <t>Klein Tools JTH6M6BE 6 mm Ball-End Hex Key, Journeyman™ T-Handle, 6-Inch</t>
        </is>
      </c>
      <c r="D5379" t="inlineStr">
        <is>
          <t>Klein Tools JTH6E09BE 9/64-Inch Ball-End Hex Key with Journeyman T-Handle, 6-Inch</t>
        </is>
      </c>
      <c r="E5379" s="2">
        <f>HYPERLINK("https://www.amazon.com/Ball-End-Journeyman-Klein-Tools-JTH6E09BE/dp/B004QW2H9U/ref=sr_1_6?keywords=Klein+Tools+JTH6M6BE+6+mm+Ball-End+Hex+Key%2C+Journeyman%E2%84%A2+T-Handle%2C+6-Inch&amp;qid=1694735096&amp;sr=8-6", "https://www.amazon.com/Ball-End-Journeyman-Klein-Tools-JTH6E09BE/dp/B004QW2H9U/ref=sr_1_6?keywords=Klein+Tools+JTH6M6BE+6+mm+Ball-End+Hex+Key%2C+Journeyman%E2%84%A2+T-Handle%2C+6-Inch&amp;qid=1694735096&amp;sr=8-6")</f>
        <v/>
      </c>
      <c r="F5379" t="inlineStr">
        <is>
          <t>B004QW2H9U</t>
        </is>
      </c>
      <c r="G5379">
        <f>_xludf.IMAGE("https://edmondsonsupply.com/cdn/shop/products/jth6m8be_8608088e-2ec0-429e-80d7-5bd927a3a1b6.jpg?v=1666111557")</f>
        <v/>
      </c>
      <c r="H5379">
        <f>_xludf.IMAGE("https://m.media-amazon.com/images/I/51f9vBFVXgL._AC_UL320_.jpg")</f>
        <v/>
      </c>
      <c r="K5379" t="inlineStr">
        <is>
          <t>5.99</t>
        </is>
      </c>
      <c r="L5379" t="n">
        <v>7.26</v>
      </c>
      <c r="M5379" s="1" t="inlineStr">
        <is>
          <t>21.20%</t>
        </is>
      </c>
      <c r="N5379" s="1" t="n">
        <v>501.25</v>
      </c>
      <c r="O5379" t="n">
        <v>4.9</v>
      </c>
      <c r="P5379" t="n">
        <v>65</v>
      </c>
      <c r="R5379" t="inlineStr">
        <is>
          <t>InStock</t>
        </is>
      </c>
      <c r="S5379" t="inlineStr">
        <is>
          <t>9.12</t>
        </is>
      </c>
      <c r="T5379" t="inlineStr">
        <is>
          <t>7857474404568</t>
        </is>
      </c>
    </row>
    <row r="5380" ht="87" customHeight="1">
      <c r="A5380" s="2">
        <f>HYPERLINK("https://edmondsonsupply.com/collections/electricians-tools/products/diablo-tools-dmapl2150-p25-1-4-in-x-6-in-x-8-in-sds-plus-2-cutter-25-pack", "https://edmondsonsupply.com/collections/electricians-tools/products/diablo-tools-dmapl2150-p25-1-4-in-x-6-in-x-8-in-sds-plus-2-cutter-25-pack")</f>
        <v/>
      </c>
      <c r="B5380" s="2">
        <f>HYPERLINK("https://edmondsonsupply.com/products/diablo-tools-dmapl2150-p25-1-4-in-x-6-in-x-8-in-sds-plus-2-cutter-25-pack", "https://edmondsonsupply.com/products/diablo-tools-dmapl2150-p25-1-4-in-x-6-in-x-8-in-sds-plus-2-cutter-25-pack")</f>
        <v/>
      </c>
      <c r="C5380" t="inlineStr">
        <is>
          <t>Diablo Tools DMAPL2150-P25 1/4 in. x 6 in. x 8 in. SDS-Plus 2-Cutter (25-Pack)</t>
        </is>
      </c>
      <c r="D5380" t="inlineStr">
        <is>
          <t>Diablo by Freud DMAPL4180-P25 1/2 in. x 4 in. x 6 in. Rebar Demon SDS-Plus 4-Cutter Full Carbide Head Hammer Bit (25-Pack) Multi, One Size</t>
        </is>
      </c>
      <c r="E5380" s="2">
        <f>HYPERLINK("https://www.amazon.com/Diablo-Rebar-4-Cutter-Carbide-Hammer/dp/B089LGWV7F/ref=sr_1_33?keywords=Diablo+Tools+DMAPL2150-P25+1%2F4+in.+x+6+in.+x+8+in.+SDS-Plus+2-Cutter+%2825-Pack%29&amp;qid=1694735299&amp;sr=8-33", "https://www.amazon.com/Diablo-Rebar-4-Cutter-Carbide-Hammer/dp/B089LGWV7F/ref=sr_1_33?keywords=Diablo+Tools+DMAPL2150-P25+1%2F4+in.+x+6+in.+x+8+in.+SDS-Plus+2-Cutter+%2825-Pack%29&amp;qid=1694735299&amp;sr=8-33")</f>
        <v/>
      </c>
      <c r="F5380" t="inlineStr">
        <is>
          <t>B089LGWV7F</t>
        </is>
      </c>
      <c r="G5380">
        <f>_xlfn.IMAGE("https://edmondsonsupply.com/cdn/shop/products/DMAPL2150-P25_Main-Image20200701.png?v=1633030349")</f>
        <v/>
      </c>
      <c r="H5380">
        <f>_xlfn.IMAGE("https://m.media-amazon.com/images/I/61q9iw+mKpL._AC_UL320_.jpg")</f>
        <v/>
      </c>
      <c r="K5380" t="inlineStr">
        <is>
          <t>82.6</t>
        </is>
      </c>
      <c r="L5380" t="n">
        <v>99.98999999999999</v>
      </c>
      <c r="M5380" s="1" t="inlineStr">
        <is>
          <t>21.05%</t>
        </is>
      </c>
      <c r="N5380" s="7" t="n">
        <v>480.48</v>
      </c>
      <c r="O5380" t="n">
        <v>5</v>
      </c>
      <c r="P5380" t="n">
        <v>2</v>
      </c>
      <c r="R5380" t="inlineStr">
        <is>
          <t>InStock</t>
        </is>
      </c>
      <c r="S5380" t="inlineStr">
        <is>
          <t>131.12</t>
        </is>
      </c>
      <c r="T5380" t="inlineStr">
        <is>
          <t>5283037839528</t>
        </is>
      </c>
    </row>
    <row r="5381" ht="87" customHeight="1">
      <c r="A5381" s="2">
        <f>HYPERLINK("https://edmondsonsupply.com/collections/electricians-tools/products/milwaukee-2554-22-m12-fuel%E2%84%A2-3-8-stubby-impact-wrench-kit", "https://edmondsonsupply.com/collections/electricians-tools/products/milwaukee-2554-22-m12-fuel%E2%84%A2-3-8-stubby-impact-wrench-kit")</f>
        <v/>
      </c>
      <c r="B5381" s="2">
        <f>HYPERLINK("https://edmondsonsupply.com/products/milwaukee-2554-22-m12-fuel%e2%84%a2-3-8-stubby-impact-wrench-kit", "https://edmondsonsupply.com/products/milwaukee-2554-22-m12-fuel%e2%84%a2-3-8-stubby-impact-wrench-kit")</f>
        <v/>
      </c>
      <c r="C5381" t="inlineStr">
        <is>
          <t>Milwaukee 2554-22 M12 FUEL™ 3/8" Stubby Impact Wrench Kit</t>
        </is>
      </c>
      <c r="D5381" t="inlineStr">
        <is>
          <t>MILWAUKEE 2663-22R M18 1/2" IMPACT WRENCH - M12 3/8" RATCHET COMBO KIT</t>
        </is>
      </c>
      <c r="E5381" s="2">
        <f>HYPERLINK("https://www.amazon.com/MILWAUKEE-2663-22R-M18-IMPACT-WRENCH/dp/B085D85V9K/ref=sr_1_40?keywords=Milwaukee+2554-22+M12+FUEL%E2%84%A2+3%2F8%22+Stubby+Impact+Wrench+Kit&amp;qid=1694735054&amp;sr=8-40", "https://www.amazon.com/MILWAUKEE-2663-22R-M18-IMPACT-WRENCH/dp/B085D85V9K/ref=sr_1_40?keywords=Milwaukee+2554-22+M12+FUEL%E2%84%A2+3%2F8%22+Stubby+Impact+Wrench+Kit&amp;qid=1694735054&amp;sr=8-40")</f>
        <v/>
      </c>
      <c r="F5381" t="inlineStr">
        <is>
          <t>B085D85V9K</t>
        </is>
      </c>
      <c r="G5381">
        <f>_xlfn.IMAGE("https://edmondsonsupply.com/cdn/shop/products/2554-22_Kit.png?v=1671646991")</f>
        <v/>
      </c>
      <c r="H5381">
        <f>_xlfn.IMAGE("https://m.media-amazon.com/images/I/61tzPfqerpL._AC_UL320_.jpg")</f>
        <v/>
      </c>
      <c r="K5381" t="inlineStr">
        <is>
          <t>329.0</t>
        </is>
      </c>
      <c r="L5381" t="n">
        <v>397.99</v>
      </c>
      <c r="M5381" s="1" t="inlineStr">
        <is>
          <t>20.97%</t>
        </is>
      </c>
      <c r="N5381" s="7" t="n">
        <v>469.42</v>
      </c>
      <c r="O5381" t="n">
        <v>4.5</v>
      </c>
      <c r="P5381" t="n">
        <v>87</v>
      </c>
      <c r="R5381" t="inlineStr">
        <is>
          <t>InStock</t>
        </is>
      </c>
      <c r="S5381" t="inlineStr">
        <is>
          <t>569.0</t>
        </is>
      </c>
      <c r="T5381" t="inlineStr">
        <is>
          <t>7909860147416</t>
        </is>
      </c>
    </row>
    <row r="5382" hidden="1" ht="15.75" customHeight="1">
      <c r="A5382" s="2">
        <f>HYPERLINK("https://edmondsonsupply.com/collections/electricians-tools/products/diablo-tools-dmamx1220", "https://edmondsonsupply.com/collections/electricians-tools/products/diablo-tools-dmamx1220")</f>
        <v/>
      </c>
      <c r="B5382" s="2">
        <f>HYPERLINK("https://edmondsonsupply.com/products/diablo-tools-dmamx1220", "https://edmondsonsupply.com/products/diablo-tools-dmamx1220")</f>
        <v/>
      </c>
      <c r="C5382" t="inlineStr">
        <is>
          <t>Diablo Tools DMAMX1220 1 in. x 16 in. x 21 in. Rebar Demon™ SDS-Max 4-Cutter Full Carbide Head Hammer Drill Bit</t>
        </is>
      </c>
      <c r="D5382" t="inlineStr">
        <is>
          <t>Diablo 1" x 16" x 21" Rebar Demon™ SDS-Max 4-Cutter Full Carbide Head Hammer Bit</t>
        </is>
      </c>
      <c r="E5382" s="2">
        <f>HYPERLINK("https://www.amazon.com/Diablo-SDS-Max-4-Cutter-Carbide-Hammer/dp/B089LN5QN7/ref=sr_1_1?keywords=Diablo+Tools+DMAMX1220+1+in.+x+16+in.+x+21+in.+Rebar+Demon%E2%84%A2+SDS-Max+4-Cutter+Full+Carbide+Head+Hammer+Drill+Bit&amp;qid=1694735075&amp;sr=8-1", "https://www.amazon.com/Diablo-SDS-Max-4-Cutter-Carbide-Hammer/dp/B089LN5QN7/ref=sr_1_1?keywords=Diablo+Tools+DMAMX1220+1+in.+x+16+in.+x+21+in.+Rebar+Demon%E2%84%A2+SDS-Max+4-Cutter+Full+Carbide+Head+Hammer+Drill+Bit&amp;qid=1694735075&amp;sr=8-1")</f>
        <v/>
      </c>
      <c r="F5382" t="inlineStr">
        <is>
          <t>B089LN5QN7</t>
        </is>
      </c>
      <c r="G5382">
        <f>_xludf.IMAGE("https://edmondsonsupply.com/cdn/shop/products/immoyh7jjmbau4fzhuq6.webp?v=1670431066")</f>
        <v/>
      </c>
      <c r="H5382">
        <f>_xludf.IMAGE("https://m.media-amazon.com/images/I/6182PTqKZGL._AC_UL320_.jpg")</f>
        <v/>
      </c>
      <c r="K5382" t="inlineStr">
        <is>
          <t>45.69</t>
        </is>
      </c>
      <c r="L5382" t="n">
        <v>55.24</v>
      </c>
      <c r="M5382" s="1" t="inlineStr">
        <is>
          <t>20.90%</t>
        </is>
      </c>
      <c r="N5382" s="1" t="n">
        <v>454.66</v>
      </c>
      <c r="O5382" t="n">
        <v>3.6</v>
      </c>
      <c r="P5382" t="n">
        <v>4</v>
      </c>
      <c r="R5382" t="inlineStr">
        <is>
          <t>InStock</t>
        </is>
      </c>
      <c r="S5382" t="inlineStr">
        <is>
          <t>70.58</t>
        </is>
      </c>
      <c r="T5382" t="inlineStr">
        <is>
          <t>7900195356888</t>
        </is>
      </c>
    </row>
    <row r="5383" hidden="1" ht="15.75" customHeight="1">
      <c r="A5383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5383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5383" t="inlineStr">
        <is>
          <t>Klein Tools JTH9E13 1/4-Inch Hex Key with Journeyman T-Handle, 9-Inch</t>
        </is>
      </c>
      <c r="D5383" t="inlineStr">
        <is>
          <t>Klein Tools JTH9M4 4 mm Hex Key with Journeyman T-Handle, 9-Inch</t>
        </is>
      </c>
      <c r="E5383" s="2">
        <f>HYPERLINK("https://www.amazon.com/Journeyman-T-Handle-Klein-Tools-JTH9M4/dp/B005G3HJ8M/ref=sr_1_14?keywords=Klein+Tools+JTH9E13+1%2F4-Inch+Hex+Key+with+Journeyman+T-Handle%2C+9-Inch&amp;qid=1694735245&amp;sr=8-14", "https://www.amazon.com/Journeyman-T-Handle-Klein-Tools-JTH9M4/dp/B005G3HJ8M/ref=sr_1_14?keywords=Klein+Tools+JTH9E13+1%2F4-Inch+Hex+Key+with+Journeyman+T-Handle%2C+9-Inch&amp;qid=1694735245&amp;sr=8-14")</f>
        <v/>
      </c>
      <c r="F5383" t="inlineStr">
        <is>
          <t>B005G3HJ8M</t>
        </is>
      </c>
      <c r="G5383">
        <f>_xludf.IMAGE("https://edmondsonsupply.com/cdn/shop/products/jth9e12_7dcdbf9a-5acd-4824-8919-6aeb4a790072.jpg?v=1604060723")</f>
        <v/>
      </c>
      <c r="H5383">
        <f>_xludf.IMAGE("https://m.media-amazon.com/images/I/51+1x0vz9XL._AC_UL320_.jpg")</f>
        <v/>
      </c>
      <c r="K5383" t="inlineStr">
        <is>
          <t>6.49</t>
        </is>
      </c>
      <c r="L5383" t="n">
        <v>7.84</v>
      </c>
      <c r="M5383" s="1" t="inlineStr">
        <is>
          <t>20.80%</t>
        </is>
      </c>
      <c r="N5383" s="1" t="n">
        <v>452.38</v>
      </c>
      <c r="O5383" t="n">
        <v>4.6</v>
      </c>
      <c r="P5383" t="n">
        <v>135</v>
      </c>
      <c r="R5383" t="inlineStr">
        <is>
          <t>InStock</t>
        </is>
      </c>
      <c r="S5383" t="inlineStr">
        <is>
          <t>9.84</t>
        </is>
      </c>
      <c r="T5383" t="inlineStr">
        <is>
          <t>5999069462696</t>
        </is>
      </c>
    </row>
    <row r="5384" hidden="1" ht="15.75" customHeight="1">
      <c r="A5384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5384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5384" t="inlineStr">
        <is>
          <t>Diablo Tools DMAPL4080 1/4 in. x 6 in. x 8 in. Rebar Demon™ SDS-Plus 4-Cutter Full Carbide Head Hammer Bit</t>
        </is>
      </c>
      <c r="D5384" t="inlineStr">
        <is>
          <t>Diablo 1/4" x 6"x8" Rebar Demon SDS-Plus 4-Cutter Full Carbide Head Hammer Bit</t>
        </is>
      </c>
      <c r="E5384" s="2">
        <f>HYPERLINK("https://www.amazon.com/Diablo-SDS-Plus-4-Cutter-Carbide-Hammer/dp/B089KWHXK2/ref=sr_1_1?keywords=Diablo+Tools+DMAPL4080+1%2F4+in.+x+6+in.+x+8+in.+Rebar+Demon%E2%84%A2+SDS-Plus+4-Cutter+Full+Carbide+Head+Hammer+Bit&amp;qid=1694735294&amp;sr=8-1", "https://www.amazon.com/Diablo-SDS-Plus-4-Cutter-Carbide-Hammer/dp/B089KWHXK2/ref=sr_1_1?keywords=Diablo+Tools+DMAPL4080+1%2F4+in.+x+6+in.+x+8+in.+Rebar+Demon%E2%84%A2+SDS-Plus+4-Cutter+Full+Carbide+Head+Hammer+Bit&amp;qid=1694735294&amp;sr=8-1")</f>
        <v/>
      </c>
      <c r="F5384" t="inlineStr">
        <is>
          <t>B089KWHXK2</t>
        </is>
      </c>
      <c r="G5384">
        <f>_xludf.IMAGE("https://edmondsonsupply.com/cdn/shop/products/DMAPL4080_1.jpg?v=1633030359")</f>
        <v/>
      </c>
      <c r="H5384">
        <f>_xludf.IMAGE("https://m.media-amazon.com/images/I/61hTQXRoh+L._AC_UL320_.jpg")</f>
        <v/>
      </c>
      <c r="K5384" t="inlineStr">
        <is>
          <t>7.47</t>
        </is>
      </c>
      <c r="L5384" t="n">
        <v>9.02</v>
      </c>
      <c r="M5384" s="1" t="inlineStr">
        <is>
          <t>20.75%</t>
        </is>
      </c>
      <c r="N5384" s="1" t="n">
        <v>439.24</v>
      </c>
      <c r="O5384" t="n">
        <v>4.3</v>
      </c>
      <c r="P5384" t="n">
        <v>19</v>
      </c>
      <c r="R5384" t="inlineStr">
        <is>
          <t>InStock</t>
        </is>
      </c>
      <c r="S5384" t="inlineStr">
        <is>
          <t>undefined</t>
        </is>
      </c>
      <c r="T5384" t="inlineStr">
        <is>
          <t>5286767919272</t>
        </is>
      </c>
    </row>
    <row r="5385" ht="87" customHeight="1">
      <c r="A5385" s="2">
        <f>HYPERLINK("https://edmondsonsupply.com/collections/electricians-tools/products/diablo-tools-dmapl4270-27-32-in-x-8-in-x-10-in-rebar-demon%E2%84%A2-sds-plus-4-cutter-full-carbide-head-hammer-bit", "https://edmondsonsupply.com/collections/electricians-tools/products/diablo-tools-dmapl4270-27-32-in-x-8-in-x-10-in-rebar-demon%E2%84%A2-sds-plus-4-cutter-full-carbide-head-hammer-bit")</f>
        <v/>
      </c>
      <c r="B5385" s="2">
        <f>HYPERLINK("https://edmondsonsupply.com/products/diablo-tools-dmapl4270-27-32-in-x-8-in-x-10-in-rebar-demon%e2%84%a2-sds-plus-4-cutter-full-carbide-head-hammer-bit", "https://edmondsonsupply.com/products/diablo-tools-dmapl4270-27-32-in-x-8-in-x-10-in-rebar-demon%e2%84%a2-sds-plus-4-cutter-full-carbide-head-hammer-bit")</f>
        <v/>
      </c>
      <c r="C5385" t="inlineStr">
        <is>
          <t>Diablo Tools DMAPL4270 27/32 in. x 8 in. x 10 in. Rebar Demon™ SDS‑Plus 4‑Cutter Full Carbide Head Hammer Bit</t>
        </is>
      </c>
      <c r="D5385" t="inlineStr">
        <is>
          <t>Diablo by Freud DMAPL4270 27/32 in. x 8 in. x 10 in. Rebar Demon SDS-Plus 4-Cutter Full Carbide Head Hammer Bit</t>
        </is>
      </c>
      <c r="E5385" s="2">
        <f>HYPERLINK("https://www.amazon.com/Diablo-Freud-DMAPL4270-SDS-Plus-4-Cutter/dp/B089KXBGLM/ref=sr_1_1?keywords=Diablo+Tools+DMAPL4270+27%2F32+in.+x+8+in.+x+10+in.+Rebar+Demon%E2%84%A2+SDS%E2%80%91Plus+4%E2%80%91Cutter+Full+Carbide+Head+Hammer+Bit&amp;qid=1694735275&amp;sr=8-1", "https://www.amazon.com/Diablo-Freud-DMAPL4270-SDS-Plus-4-Cutter/dp/B089KXBGLM/ref=sr_1_1?keywords=Diablo+Tools+DMAPL4270+27%2F32+in.+x+8+in.+x+10+in.+Rebar+Demon%E2%84%A2+SDS%E2%80%91Plus+4%E2%80%91Cutter+Full+Carbide+Head+Hammer+Bit&amp;qid=1694735275&amp;sr=8-1")</f>
        <v/>
      </c>
      <c r="F5385" t="inlineStr">
        <is>
          <t>B089KXBGLM</t>
        </is>
      </c>
      <c r="G5385">
        <f>_xlfn.IMAGE("https://edmondsonsupply.com/cdn/shop/products/DMAPL4270_Main-Image20200701.png?v=1633030522")</f>
        <v/>
      </c>
      <c r="H5385">
        <f>_xlfn.IMAGE("https://m.media-amazon.com/images/I/611A6sphG9L._AC_UL320_.jpg")</f>
        <v/>
      </c>
      <c r="K5385" t="inlineStr">
        <is>
          <t>24.97</t>
        </is>
      </c>
      <c r="L5385" t="n">
        <v>30.13</v>
      </c>
      <c r="M5385" s="1" t="inlineStr">
        <is>
          <t>20.66%</t>
        </is>
      </c>
      <c r="N5385" s="7" t="n">
        <v>437.32</v>
      </c>
      <c r="O5385" t="n">
        <v>5</v>
      </c>
      <c r="P5385" t="n">
        <v>2</v>
      </c>
      <c r="R5385" t="inlineStr">
        <is>
          <t>InStock</t>
        </is>
      </c>
      <c r="S5385" t="inlineStr">
        <is>
          <t>38.89</t>
        </is>
      </c>
      <c r="T5385" t="inlineStr">
        <is>
          <t>5401122537640</t>
        </is>
      </c>
    </row>
    <row r="5386" hidden="1" ht="15.75" customHeight="1">
      <c r="A5386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5386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5386" t="inlineStr">
        <is>
          <t>Klein Tools JTH6E11BE 3/16-Inch Ball Hex Key, Journeyman T-Handle 6-Inch</t>
        </is>
      </c>
      <c r="D5386" t="inlineStr">
        <is>
          <t>Klein Tools JTH6E11BE 3/16-Inch Ball End Hex Key with Journeyman T-Handle, 6-Inch</t>
        </is>
      </c>
      <c r="E5386" s="2">
        <f>HYPERLINK("https://www.amazon.com/Journeyman-T-Handle-Klein-Tools-JTH6E11BE/dp/B004QW1930/ref=sr_1_1?keywords=Klein+Tools+JTH6E11BE+3%2F16-Inch+Ball+Hex+Key%2C+Journeyman+T-Handle+6-Inch&amp;qid=1694735233&amp;sr=8-1", "https://www.amazon.com/Journeyman-T-Handle-Klein-Tools-JTH6E11BE/dp/B004QW1930/ref=sr_1_1?keywords=Klein+Tools+JTH6E11BE+3%2F16-Inch+Ball+Hex+Key%2C+Journeyman+T-Handle+6-Inch&amp;qid=1694735233&amp;sr=8-1")</f>
        <v/>
      </c>
      <c r="F5386" t="inlineStr">
        <is>
          <t>B004QW1930</t>
        </is>
      </c>
      <c r="G5386">
        <f>_xludf.IMAGE("https://edmondsonsupply.com/cdn/shop/products/jth6e13be_9dba8a6a-8a07-4d76-a54f-fe57b92b3fea.jpg?v=1610659188")</f>
        <v/>
      </c>
      <c r="H5386">
        <f>_xludf.IMAGE("https://m.media-amazon.com/images/I/51f9vBFVXgL._AC_UL320_.jpg")</f>
        <v/>
      </c>
      <c r="K5386" t="inlineStr">
        <is>
          <t>9.12</t>
        </is>
      </c>
      <c r="L5386" t="n">
        <v>11</v>
      </c>
      <c r="M5386" s="1" t="inlineStr">
        <is>
          <t>20.61%</t>
        </is>
      </c>
      <c r="N5386" s="1" t="n">
        <v>435.17</v>
      </c>
      <c r="O5386" t="n">
        <v>4.8</v>
      </c>
      <c r="P5386" t="n">
        <v>454</v>
      </c>
      <c r="R5386" t="inlineStr">
        <is>
          <t>InStock</t>
        </is>
      </c>
      <c r="S5386" t="inlineStr">
        <is>
          <t>undefined</t>
        </is>
      </c>
      <c r="T5386" t="inlineStr">
        <is>
          <t>6203917336749</t>
        </is>
      </c>
    </row>
    <row r="5387" hidden="1" ht="15.75" customHeight="1">
      <c r="A5387" s="2">
        <f>HYPERLINK("https://edmondsonsupply.com/collections/electricians-tools/products/klein-tools-671-6-rapi-driv%C2%AE-screwdriver-1-4-inch-cabinet-6-inch", "https://edmondsonsupply.com/collections/electricians-tools/products/klein-tools-671-6-rapi-driv%C2%AE-screwdriver-1-4-inch-cabinet-6-inch")</f>
        <v/>
      </c>
      <c r="B5387" s="2">
        <f>HYPERLINK("https://edmondsonsupply.com/products/klein-tools-671-6-rapi-driv%c2%ae-screwdriver-1-4-inch-cabinet-6-inch", "https://edmondsonsupply.com/products/klein-tools-671-6-rapi-driv%c2%ae-screwdriver-1-4-inch-cabinet-6-inch")</f>
        <v/>
      </c>
      <c r="C5387" t="inlineStr">
        <is>
          <t>Klein Tools 671-6 Rapi-Driv® Screwdriver, 1/4-Inch Cabinet Tip, 6-Inch Shank</t>
        </is>
      </c>
      <c r="D5387" t="inlineStr">
        <is>
          <t>Klein Tools 6916INS 1000V Slim Tip Insulated Screwdriver, 6-Inch Round Shank, 3/16-Inch Cabinet Tip, Cushion Grip Handle</t>
        </is>
      </c>
      <c r="E5387" s="2">
        <f>HYPERLINK("https://www.amazon.com/Klein-Tools-6916INS-Insulated-Screwdriver/dp/B089DR97MJ/ref=sr_1_5?keywords=Klein+Tools+671-6+Rapi-Driv%C2%AE+Screwdriver%2C+1%2F4-Inch+Cabinet+Tip%2C+6-Inch+Shank&amp;qid=1694735392&amp;sr=8-5", "https://www.amazon.com/Klein-Tools-6916INS-Insulated-Screwdriver/dp/B089DR97MJ/ref=sr_1_5?keywords=Klein+Tools+671-6+Rapi-Driv%C2%AE+Screwdriver%2C+1%2F4-Inch+Cabinet+Tip%2C+6-Inch+Shank&amp;qid=1694735392&amp;sr=8-5")</f>
        <v/>
      </c>
      <c r="F5387" t="inlineStr">
        <is>
          <t>B089DR97MJ</t>
        </is>
      </c>
      <c r="G5387">
        <f>_xludf.IMAGE("https://edmondsonsupply.com/cdn/shop/products/670-6_66b04263-0a93-451f-ab2e-bb9a98ab1ffe.jpg?v=1633030192")</f>
        <v/>
      </c>
      <c r="H5387">
        <f>_xludf.IMAGE("https://m.media-amazon.com/images/I/41JpJG+Jh0L._AC_UL320_.jpg")</f>
        <v/>
      </c>
      <c r="K5387" t="inlineStr">
        <is>
          <t>11.49</t>
        </is>
      </c>
      <c r="L5387" t="n">
        <v>13.85</v>
      </c>
      <c r="M5387" s="1" t="inlineStr">
        <is>
          <t>20.54%</t>
        </is>
      </c>
      <c r="N5387" s="1" t="n">
        <v>416.16</v>
      </c>
      <c r="O5387" t="n">
        <v>4.8</v>
      </c>
      <c r="P5387" t="n">
        <v>1358</v>
      </c>
      <c r="R5387" t="inlineStr">
        <is>
          <t>InStock</t>
        </is>
      </c>
      <c r="S5387" t="inlineStr">
        <is>
          <t>17.42</t>
        </is>
      </c>
      <c r="T5387" t="inlineStr">
        <is>
          <t>4398971617380</t>
        </is>
      </c>
    </row>
    <row r="5388" ht="87" customHeight="1">
      <c r="A5388" s="2">
        <f>HYPERLINK("https://edmondsonsupply.com/collections/electricians-tools/products/diablo-tools-dmamx1080", "https://edmondsonsupply.com/collections/electricians-tools/products/diablo-tools-dmamx1080")</f>
        <v/>
      </c>
      <c r="B5388" s="2">
        <f>HYPERLINK("https://edmondsonsupply.com/products/diablo-tools-dmamx1080", "https://edmondsonsupply.com/products/diablo-tools-dmamx1080")</f>
        <v/>
      </c>
      <c r="C5388" t="inlineStr">
        <is>
          <t>Diablo Tools DMAMX1080 9/16 in. x 31 in. x 36 in. Rebar Demon SDS‑Max 4‑Cutter Full Carbide Head Hammer Bit</t>
        </is>
      </c>
      <c r="D5388" t="inlineStr">
        <is>
          <t>Diablo by Freud DMAMX1240 1 in. x 31 in. x 36 in. Rebar Demon SDS-Max 4-Cutter Full Carbide Head Hammer Bit</t>
        </is>
      </c>
      <c r="E5388" s="2">
        <f>HYPERLINK("https://www.amazon.com/Diablo-SDS-Max-4-Cutter-Carbide-Hammer/dp/B089KWF9R4/ref=sr_1_5?keywords=Diablo+Tools+DMAMX1080+9%2F16+in.+x+31+in.+x+36+in.+Rebar+Demon+SDS%E2%80%91Max+4%E2%80%91Cutter+Full+Carbide+Head+Hammer+Bit&amp;qid=1694735287&amp;sr=8-5", "https://www.amazon.com/Diablo-SDS-Max-4-Cutter-Carbide-Hammer/dp/B089KWF9R4/ref=sr_1_5?keywords=Diablo+Tools+DMAMX1080+9%2F16+in.+x+31+in.+x+36+in.+Rebar+Demon+SDS%E2%80%91Max+4%E2%80%91Cutter+Full+Carbide+Head+Hammer+Bit&amp;qid=1694735287&amp;sr=8-5")</f>
        <v/>
      </c>
      <c r="F5388" t="inlineStr">
        <is>
          <t>B089KWF9R4</t>
        </is>
      </c>
      <c r="G5388">
        <f>_xlfn.IMAGE("https://edmondsonsupply.com/cdn/shop/products/DMAMX1080_Main-Image20200701.png?v=1609799094")</f>
        <v/>
      </c>
      <c r="H5388">
        <f>_xlfn.IMAGE("https://m.media-amazon.com/images/I/61UhVlNC+9L._AC_UL320_.jpg")</f>
        <v/>
      </c>
      <c r="K5388" t="inlineStr">
        <is>
          <t>82.97</t>
        </is>
      </c>
      <c r="L5388" t="n">
        <v>100</v>
      </c>
      <c r="M5388" s="1" t="inlineStr">
        <is>
          <t>20.53%</t>
        </is>
      </c>
      <c r="N5388" s="7" t="n">
        <v>404.7</v>
      </c>
      <c r="O5388" t="n">
        <v>5</v>
      </c>
      <c r="P5388" t="n">
        <v>3</v>
      </c>
      <c r="R5388" t="inlineStr">
        <is>
          <t>InStock</t>
        </is>
      </c>
      <c r="S5388" t="inlineStr">
        <is>
          <t>101.36</t>
        </is>
      </c>
      <c r="T5388" t="inlineStr">
        <is>
          <t>5369223053480</t>
        </is>
      </c>
    </row>
    <row r="5389" hidden="1" ht="15.75" customHeight="1">
      <c r="A5389" s="2">
        <f>HYPERLINK("https://edmondsonsupply.com/collections/electricians-tools/products/greenlee-dtap8-32-drill-tap-8-32", "https://edmondsonsupply.com/collections/electricians-tools/products/greenlee-dtap8-32-drill-tap-8-32")</f>
        <v/>
      </c>
      <c r="B5389" s="2">
        <f>HYPERLINK("https://edmondsonsupply.com/products/greenlee-dtap8-32-drill-tap-8-32", "https://edmondsonsupply.com/products/greenlee-dtap8-32-drill-tap-8-32")</f>
        <v/>
      </c>
      <c r="C5389" t="inlineStr">
        <is>
          <t>Greenlee DTAP8-32 Drill/Tap, 8-32</t>
        </is>
      </c>
      <c r="D5389" t="inlineStr">
        <is>
          <t>Greenlee DTAP8-32 Combination Drill, Tap, and Deburr Bit with Quick Change Hex, 8-32 NC</t>
        </is>
      </c>
      <c r="E5389" s="2">
        <f>HYPERLINK("https://www.amazon.com/Greenlee-DTAP8-32-Combination-Drill-8-32NC/dp/B000FRQPHU/ref=sr_1_1?keywords=Greenlee+DTAP8-32+Drill%2FTap%2C+8-32&amp;qid=1694735400&amp;sr=8-1", "https://www.amazon.com/Greenlee-DTAP8-32-Combination-Drill-8-32NC/dp/B000FRQPHU/ref=sr_1_1?keywords=Greenlee+DTAP8-32+Drill%2FTap%2C+8-32&amp;qid=1694735400&amp;sr=8-1")</f>
        <v/>
      </c>
      <c r="F5389" t="inlineStr">
        <is>
          <t>B000FRQPHU</t>
        </is>
      </c>
      <c r="G5389">
        <f>_xludf.IMAGE("https://edmondsonsupply.com/cdn/shop/products/DTAP8-32.jpg?v=1633030185")</f>
        <v/>
      </c>
      <c r="H5389">
        <f>_xludf.IMAGE("https://m.media-amazon.com/images/I/61-0s6yAJ0L._AC_UL320_.jpg")</f>
        <v/>
      </c>
      <c r="K5389" t="inlineStr">
        <is>
          <t>8.29</t>
        </is>
      </c>
      <c r="L5389" t="n">
        <v>9.99</v>
      </c>
      <c r="M5389" s="1" t="inlineStr">
        <is>
          <t>20.51%</t>
        </is>
      </c>
      <c r="N5389" s="1" t="n">
        <v>400.55</v>
      </c>
      <c r="O5389" t="n">
        <v>4.2</v>
      </c>
      <c r="P5389" t="n">
        <v>135</v>
      </c>
      <c r="R5389" t="inlineStr">
        <is>
          <t>InStock</t>
        </is>
      </c>
      <c r="S5389" t="inlineStr">
        <is>
          <t>9.7</t>
        </is>
      </c>
      <c r="T5389" t="inlineStr">
        <is>
          <t>4395862392932</t>
        </is>
      </c>
    </row>
    <row r="5390" ht="87" customHeight="1">
      <c r="A5390" s="2">
        <f>HYPERLINK("https://edmondsonsupply.com/collections/electricians-tools/products/milwaukee-48-03-3012-sds-max-to-spline-adapter", "https://edmondsonsupply.com/collections/electricians-tools/products/milwaukee-48-03-3012-sds-max-to-spline-adapter")</f>
        <v/>
      </c>
      <c r="B5390" s="2">
        <f>HYPERLINK("https://edmondsonsupply.com/products/milwaukee-48-03-3012-sds-max-to-spline-adapter", "https://edmondsonsupply.com/products/milwaukee-48-03-3012-sds-max-to-spline-adapter")</f>
        <v/>
      </c>
      <c r="C5390" t="inlineStr">
        <is>
          <t>Milwaukee 48-03-3012 SDS-MAX to Spline Bit Adapter</t>
        </is>
      </c>
      <c r="D5390" t="inlineStr">
        <is>
          <t>Milwaukee 48-03-3012 SDS-Max to Spline Adapter</t>
        </is>
      </c>
      <c r="E5390" s="2">
        <f>HYPERLINK("https://www.amazon.com/Milwaukee-48-03-3012-SDS-Max-Spline-Adapter/dp/B00I3PGEOA/ref=sr_1_1?keywords=Milwaukee+48-03-3012+SDS-MAX+to+Spline+Bit+Adapter&amp;qid=1694735056&amp;sr=8-1", "https://www.amazon.com/Milwaukee-48-03-3012-SDS-Max-Spline-Adapter/dp/B00I3PGEOA/ref=sr_1_1?keywords=Milwaukee+48-03-3012+SDS-MAX+to+Spline+Bit+Adapter&amp;qid=1694735056&amp;sr=8-1")</f>
        <v/>
      </c>
      <c r="F5390" t="inlineStr">
        <is>
          <t>B00I3PGEOA</t>
        </is>
      </c>
      <c r="G5390">
        <f>_xlfn.IMAGE("https://edmondsonsupply.com/cdn/shop/products/48-03-3012.jpg?v=1674074396")</f>
        <v/>
      </c>
      <c r="H5390">
        <f>_xlfn.IMAGE("https://m.media-amazon.com/images/I/61QrQEYLIrL._AC_UL320_.jpg")</f>
        <v/>
      </c>
      <c r="K5390" t="inlineStr">
        <is>
          <t>141.88</t>
        </is>
      </c>
      <c r="L5390" t="n">
        <v>170.97</v>
      </c>
      <c r="M5390" s="1" t="inlineStr">
        <is>
          <t>20.50%</t>
        </is>
      </c>
      <c r="N5390" s="7" t="n">
        <v>389.99</v>
      </c>
      <c r="O5390" t="n">
        <v>4.6</v>
      </c>
      <c r="P5390" t="n">
        <v>2</v>
      </c>
      <c r="R5390" t="inlineStr">
        <is>
          <t>InStock</t>
        </is>
      </c>
      <c r="S5390" t="inlineStr">
        <is>
          <t>256.6</t>
        </is>
      </c>
      <c r="T5390" t="inlineStr">
        <is>
          <t>7926127886552</t>
        </is>
      </c>
    </row>
    <row r="5391" ht="87" customHeight="1">
      <c r="A5391" s="2">
        <f>HYPERLINK("https://edmondsonsupply.com/collections/electricians-tools/products/milwaukee-2953-22-m18-fuel%E2%84%A2-1-4-hex-impact-driver-kit", "https://edmondsonsupply.com/collections/electricians-tools/products/milwaukee-2953-22-m18-fuel%E2%84%A2-1-4-hex-impact-driver-kit")</f>
        <v/>
      </c>
      <c r="B5391" s="2">
        <f>HYPERLINK("https://edmondsonsupply.com/products/milwaukee-2953-22-m18-fuel%e2%84%a2-1-4-hex-impact-driver-kit", "https://edmondsonsupply.com/products/milwaukee-2953-22-m18-fuel%e2%84%a2-1-4-hex-impact-driver-kit")</f>
        <v/>
      </c>
      <c r="C5391" t="inlineStr">
        <is>
          <t>Milwaukee 2953-22 M18 FUEL™ 1/4" Hex Impact Driver Kit</t>
        </is>
      </c>
      <c r="D5391" t="inlineStr">
        <is>
          <t>Milwaukee (MLW 2853-22) M18 Fuel 1/4IN Hex Impact Driver XC Kit</t>
        </is>
      </c>
      <c r="E5391" s="2">
        <f>HYPERLINK("https://www.amazon.com/Milwaukee-MLW285322-Fuel-Impact-Driver/dp/B07CZSSFR5/ref=sr_1_5?keywords=Milwaukee+2953-22+M18+FUEL%E2%84%A2+1%2F4%22+Hex+Impact+Driver+Kit&amp;qid=1694735130&amp;sr=8-5", "https://www.amazon.com/Milwaukee-MLW285322-Fuel-Impact-Driver/dp/B07CZSSFR5/ref=sr_1_5?keywords=Milwaukee+2953-22+M18+FUEL%E2%84%A2+1%2F4%22+Hex+Impact+Driver+Kit&amp;qid=1694735130&amp;sr=8-5")</f>
        <v/>
      </c>
      <c r="F5391" t="inlineStr">
        <is>
          <t>B07CZSSFR5</t>
        </is>
      </c>
      <c r="G5391">
        <f>_xlfn.IMAGE("https://edmondsonsupply.com/cdn/shop/products/29532022ImageReel2.webp?v=1663599746")</f>
        <v/>
      </c>
      <c r="H5391">
        <f>_xlfn.IMAGE("https://m.media-amazon.com/images/I/71wTNkovMkL._AC_UL320_.jpg")</f>
        <v/>
      </c>
      <c r="K5391" t="inlineStr">
        <is>
          <t>299.0</t>
        </is>
      </c>
      <c r="L5391" t="n">
        <v>359.99</v>
      </c>
      <c r="M5391" s="1" t="inlineStr">
        <is>
          <t>20.40%</t>
        </is>
      </c>
      <c r="N5391" s="7" t="n">
        <v>389.99</v>
      </c>
      <c r="O5391" t="n">
        <v>4.7</v>
      </c>
      <c r="P5391" t="n">
        <v>255</v>
      </c>
      <c r="R5391" t="inlineStr">
        <is>
          <t>InStock</t>
        </is>
      </c>
      <c r="S5391" t="inlineStr">
        <is>
          <t>556.0</t>
        </is>
      </c>
      <c r="T5391" t="inlineStr">
        <is>
          <t>7822930870488</t>
        </is>
      </c>
    </row>
    <row r="5392" hidden="1" ht="15.75" customHeight="1">
      <c r="A5392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5392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5392" t="inlineStr">
        <is>
          <t>Diablo Tools DMAPL4080 1/4 in. x 6 in. x 8 in. Rebar Demon™ SDS-Plus 4-Cutter Full Carbide Head Hammer Bit</t>
        </is>
      </c>
      <c r="D5392" t="inlineStr">
        <is>
          <t>Diablo by Freud DMAPL4050 3/16 in. x 6 in. x 8 in. Rebar Demon SDS-Plus 4-Cutter Full Carbide Head Hammer Bit Multi, One Size</t>
        </is>
      </c>
      <c r="E5392" s="2">
        <f>HYPERLINK("https://www.amazon.com/Diablo-SDS-Plus-4-Cutter-Carbide-Hammer/dp/B089LKWR9L/ref=sr_1_31?keywords=Diablo+Tools+DMAPL4080+1%2F4+in.+x+6+in.+x+8+in.+Rebar+Demon%E2%84%A2+SDS-Plus+4-Cutter+Full+Carbide+Head+Hammer+Bit&amp;qid=1694735294&amp;sr=8-31", "https://www.amazon.com/Diablo-SDS-Plus-4-Cutter-Carbide-Hammer/dp/B089LKWR9L/ref=sr_1_31?keywords=Diablo+Tools+DMAPL4080+1%2F4+in.+x+6+in.+x+8+in.+Rebar+Demon%E2%84%A2+SDS-Plus+4-Cutter+Full+Carbide+Head+Hammer+Bit&amp;qid=1694735294&amp;sr=8-31")</f>
        <v/>
      </c>
      <c r="F5392" t="inlineStr">
        <is>
          <t>B089LKWR9L</t>
        </is>
      </c>
      <c r="G5392">
        <f>_xludf.IMAGE("https://edmondsonsupply.com/cdn/shop/products/DMAPL4080_1.jpg?v=1633030359")</f>
        <v/>
      </c>
      <c r="H5392">
        <f>_xludf.IMAGE("https://m.media-amazon.com/images/I/61uukuKzJeL._AC_UL320_.jpg")</f>
        <v/>
      </c>
      <c r="K5392" t="inlineStr">
        <is>
          <t>7.47</t>
        </is>
      </c>
      <c r="L5392" t="n">
        <v>8.99</v>
      </c>
      <c r="M5392" s="1" t="inlineStr">
        <is>
          <t>20.35%</t>
        </is>
      </c>
      <c r="N5392" s="1" t="n">
        <v>385.27</v>
      </c>
      <c r="O5392" t="n">
        <v>3.7</v>
      </c>
      <c r="P5392" t="n">
        <v>10</v>
      </c>
      <c r="R5392" t="inlineStr">
        <is>
          <t>InStock</t>
        </is>
      </c>
      <c r="S5392" t="inlineStr">
        <is>
          <t>undefined</t>
        </is>
      </c>
      <c r="T5392" t="inlineStr">
        <is>
          <t>5286767919272</t>
        </is>
      </c>
    </row>
    <row r="5393" hidden="1" ht="15.75" customHeight="1">
      <c r="A5393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5393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5393" t="inlineStr">
        <is>
          <t>Diablo Tools DMARG1150 1/2 in. x 4 in. x 6 in. SPEEDemon™ Red Granite Carbide Tipped Hammer Drill Bit</t>
        </is>
      </c>
      <c r="D5393" t="inlineStr">
        <is>
          <t>Diablo by Freud DMARG1170 5/8 in. x 4 in. x 6 in. SPEEDemon Red Granite Carbide Tipped Hammer Drill Bit</t>
        </is>
      </c>
      <c r="E5393" s="2">
        <f>HYPERLINK("https://www.amazon.com/Diablo-Freud-DMARG1170-SPEEDemon-Granite/dp/B089LHNF2T/ref=sr_1_28?keywords=Diablo+Tools+DMARG1150+1%2F2+in.+x+4+in.+x+6+in.+SPEEDemon%E2%84%A2+Red+Granite+Carbide+Tipped+Hammer+Drill+Bit&amp;qid=1694735282&amp;sr=8-28", "https://www.amazon.com/Diablo-Freud-DMARG1170-SPEEDemon-Granite/dp/B089LHNF2T/ref=sr_1_28?keywords=Diablo+Tools+DMARG1150+1%2F2+in.+x+4+in.+x+6+in.+SPEEDemon%E2%84%A2+Red+Granite+Carbide+Tipped+Hammer+Drill+Bit&amp;qid=1694735282&amp;sr=8-28")</f>
        <v/>
      </c>
      <c r="F5393" t="inlineStr">
        <is>
          <t>B089LHNF2T</t>
        </is>
      </c>
      <c r="G5393">
        <f>_xludf.IMAGE("https://edmondsonsupply.com/cdn/shop/products/DMARG1150_Main-Image20200702.png?v=1633030510")</f>
        <v/>
      </c>
      <c r="H5393">
        <f>_xludf.IMAGE("https://m.media-amazon.com/images/I/61+aCAjnkLL._AC_UL320_.jpg")</f>
        <v/>
      </c>
      <c r="K5393" t="inlineStr">
        <is>
          <t>9.97</t>
        </is>
      </c>
      <c r="L5393" t="n">
        <v>11.99</v>
      </c>
      <c r="M5393" s="1" t="inlineStr">
        <is>
          <t>20.26%</t>
        </is>
      </c>
      <c r="N5393" s="1" t="n">
        <v>381.27</v>
      </c>
      <c r="O5393" t="n">
        <v>4.6</v>
      </c>
      <c r="P5393" t="n">
        <v>14</v>
      </c>
      <c r="R5393" t="inlineStr">
        <is>
          <t>InStock</t>
        </is>
      </c>
      <c r="S5393" t="inlineStr">
        <is>
          <t>undefined</t>
        </is>
      </c>
      <c r="T5393" t="inlineStr">
        <is>
          <t>5386513907880</t>
        </is>
      </c>
    </row>
    <row r="5394" ht="87" customHeight="1">
      <c r="A5394" s="2">
        <f>HYPERLINK("https://edmondsonsupply.com/collections/electricians-tools/products/channellock-3017", "https://edmondsonsupply.com/collections/electricians-tools/products/channellock-3017")</f>
        <v/>
      </c>
      <c r="B5394" s="2">
        <f>HYPERLINK("https://edmondsonsupply.com/products/channellock-3017", "https://edmondsonsupply.com/products/channellock-3017")</f>
        <v/>
      </c>
      <c r="C5394" t="inlineStr">
        <is>
          <t>Channellock 3017 8-Inch Long Nose Pliers</t>
        </is>
      </c>
      <c r="D5394" t="inlineStr">
        <is>
          <t>Channellock 317 8-Inch Long Nose Plier with Side Cutter | Needle Nose Pliers with Knife and Anvil - Style Side Cutter | Crosshatch Jaw Forged from High Carbon Steel for Maximum Grip on Materials | Specially Coated for Rust Prevention | Comfort Grips , Blue</t>
        </is>
      </c>
      <c r="E5394" s="2">
        <f>HYPERLINK("https://www.amazon.com/Channellock-317-Plier-Cutter-8-Inch/dp/B000RY7PXY/ref=sr_1_2?keywords=Channellock+3017+8-Inch+Long+Nose+Pliers&amp;qid=1694735304&amp;sr=8-2", "https://www.amazon.com/Channellock-317-Plier-Cutter-8-Inch/dp/B000RY7PXY/ref=sr_1_2?keywords=Channellock+3017+8-Inch+Long+Nose+Pliers&amp;qid=1694735304&amp;sr=8-2")</f>
        <v/>
      </c>
      <c r="F5394" t="inlineStr">
        <is>
          <t>B000RY7PXY</t>
        </is>
      </c>
      <c r="G5394">
        <f>_xlfn.IMAGE("https://edmondsonsupply.com/cdn/shop/products/3017-683x1024.jpg?v=1633030322")</f>
        <v/>
      </c>
      <c r="H5394">
        <f>_xlfn.IMAGE("https://m.media-amazon.com/images/I/61Y+5UDWhyL._AC_UL320_.jpg")</f>
        <v/>
      </c>
      <c r="K5394" t="inlineStr">
        <is>
          <t>19.95</t>
        </is>
      </c>
      <c r="L5394" t="n">
        <v>23.99</v>
      </c>
      <c r="M5394" s="1" t="inlineStr">
        <is>
          <t>20.25%</t>
        </is>
      </c>
      <c r="N5394" s="7" t="n">
        <v>380.76</v>
      </c>
      <c r="O5394" t="n">
        <v>4.8</v>
      </c>
      <c r="P5394" t="n">
        <v>867</v>
      </c>
      <c r="R5394" t="inlineStr">
        <is>
          <t>InStock</t>
        </is>
      </c>
      <c r="S5394" t="inlineStr">
        <is>
          <t>29.97</t>
        </is>
      </c>
      <c r="T5394" t="inlineStr">
        <is>
          <t>5245817159848</t>
        </is>
      </c>
    </row>
    <row r="5395" ht="87" customHeight="1">
      <c r="A5395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5395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5395" t="inlineStr">
        <is>
          <t>Diablo Tools DMAMX1050 9/16 in. x 8 in. x 13 in. Rebar Demon™ SDS-Max 4-Cutter Full Carbide Head Hammer Drill Bit</t>
        </is>
      </c>
      <c r="D5395" t="inlineStr">
        <is>
          <t>Diablo by Freud DMAMX1090 5/8 in. x 8 in. x 13 in. Rebar Demon SDS-Max 4-Cutter Full Carbide Head Hammer Bit</t>
        </is>
      </c>
      <c r="E5395" s="2">
        <f>HYPERLINK("https://www.amazon.com/Diablo-SDS-Max-4-Cutter-Carbide-Hammer/dp/B089LGB35P/ref=sr_1_7?keywords=Diablo+Tools+DMAMX1050+9%2F16+in.+x+8+in.+x+13+in.+Rebar+Demon%E2%84%A2+SDS-Max+4-Cutter+Full+Carbide+Head+Hammer+Drill+Bit&amp;qid=1694735208&amp;sr=8-7", "https://www.amazon.com/Diablo-SDS-Max-4-Cutter-Carbide-Hammer/dp/B089LGB35P/ref=sr_1_7?keywords=Diablo+Tools+DMAMX1050+9%2F16+in.+x+8+in.+x+13+in.+Rebar+Demon%E2%84%A2+SDS-Max+4-Cutter+Full+Carbide+Head+Hammer+Drill+Bit&amp;qid=1694735208&amp;sr=8-7")</f>
        <v/>
      </c>
      <c r="F5395" t="inlineStr">
        <is>
          <t>B089LGB35P</t>
        </is>
      </c>
      <c r="G5395">
        <f>_xlfn.IMAGE("https://edmondsonsupply.com/cdn/shop/products/DMAMX1050_Main-Image20200701.png?v=1633031097")</f>
        <v/>
      </c>
      <c r="H5395">
        <f>_xlfn.IMAGE("https://m.media-amazon.com/images/I/61Wr1t8FMOL._AC_UL320_.jpg")</f>
        <v/>
      </c>
      <c r="K5395" t="inlineStr">
        <is>
          <t>29.19</t>
        </is>
      </c>
      <c r="L5395" t="n">
        <v>35.1</v>
      </c>
      <c r="M5395" s="1" t="inlineStr">
        <is>
          <t>20.25%</t>
        </is>
      </c>
      <c r="N5395" s="7" t="n">
        <v>377.95</v>
      </c>
      <c r="O5395" t="n">
        <v>4.2</v>
      </c>
      <c r="P5395" t="n">
        <v>5</v>
      </c>
      <c r="R5395" t="inlineStr">
        <is>
          <t>InStock</t>
        </is>
      </c>
      <c r="S5395" t="inlineStr">
        <is>
          <t>46.05</t>
        </is>
      </c>
      <c r="T5395" t="inlineStr">
        <is>
          <t>6842367738029</t>
        </is>
      </c>
    </row>
    <row r="5396" ht="87" customHeight="1">
      <c r="A5396" s="2">
        <f>HYPERLINK("https://edmondsonsupply.com/collections/electricians-tools/products/klein-tools-vdv501-852-scout%C2%AE-pro-3-tester-with-locator-remote-kit", "https://edmondsonsupply.com/collections/electricians-tools/products/klein-tools-vdv501-852-scout%C2%AE-pro-3-tester-with-locator-remote-kit")</f>
        <v/>
      </c>
      <c r="B5396" s="2">
        <f>HYPERLINK("https://edmondsonsupply.com/products/klein-tools-vdv501-852-scout%c2%ae-pro-3-tester-with-locator-remote-kit", "https://edmondsonsupply.com/products/klein-tools-vdv501-852-scout%c2%ae-pro-3-tester-with-locator-remote-kit")</f>
        <v/>
      </c>
      <c r="C5396" t="inlineStr">
        <is>
          <t>Klein Tools VDV501-852 Scout® Pro 3 Tester with Locator Remote Kit</t>
        </is>
      </c>
      <c r="D5396" t="inlineStr">
        <is>
          <t>Klein Tools VDV501-852 Cable Tester with Remote, VDV Scout Pro 3 Test Kit Locates and Tests Voice, Data and Video Cables &amp; VDV427-300 Impact Punchdown Tool, 66/110 Blade</t>
        </is>
      </c>
      <c r="E5396" s="2">
        <f>HYPERLINK("https://www.amazon.com/Klein-Tools-VDV501-852-VDV427-300-Punchdown/dp/B09T6ZR6FD/ref=sr_1_3?keywords=Klein+Tools+VDV501-852+Scout%C2%AE+Pro+3+Tester+with+Locator+Remote+Kit&amp;qid=1694735261&amp;sr=8-3", "https://www.amazon.com/Klein-Tools-VDV501-852-VDV427-300-Punchdown/dp/B09T6ZR6FD/ref=sr_1_3?keywords=Klein+Tools+VDV501-852+Scout%C2%AE+Pro+3+Tester+with+Locator+Remote+Kit&amp;qid=1694735261&amp;sr=8-3")</f>
        <v/>
      </c>
      <c r="F5396" t="inlineStr">
        <is>
          <t>B09T6ZR6FD</t>
        </is>
      </c>
      <c r="G5396">
        <f>_xlfn.IMAGE("https://edmondsonsupply.com/cdn/shop/products/vdv501852_c.jpg?v=1633030670")</f>
        <v/>
      </c>
      <c r="H5396">
        <f>_xlfn.IMAGE("https://m.media-amazon.com/images/I/51bJdo18ofL._AC_UY218_.jpg")</f>
        <v/>
      </c>
      <c r="K5396" t="inlineStr">
        <is>
          <t>184.99</t>
        </is>
      </c>
      <c r="L5396" t="n">
        <v>222.4</v>
      </c>
      <c r="M5396" s="1" t="inlineStr">
        <is>
          <t>20.22%</t>
        </is>
      </c>
      <c r="N5396" s="7" t="n">
        <v>375.61</v>
      </c>
      <c r="O5396" t="n">
        <v>5</v>
      </c>
      <c r="P5396" t="n">
        <v>1</v>
      </c>
      <c r="R5396" t="inlineStr">
        <is>
          <t>InStock</t>
        </is>
      </c>
      <c r="S5396" t="inlineStr">
        <is>
          <t>279.46</t>
        </is>
      </c>
      <c r="T5396" t="inlineStr">
        <is>
          <t>5799776157864</t>
        </is>
      </c>
    </row>
    <row r="5397" hidden="1" ht="15.75" customHeight="1">
      <c r="A5397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5397" s="2">
        <f>HYPERLINK("https://edmondsonsupply.com/products/klein-tools-31922-bi-metal-hole-saw-1-3-8-inch", "https://edmondsonsupply.com/products/klein-tools-31922-bi-metal-hole-saw-1-3-8-inch")</f>
        <v/>
      </c>
      <c r="C5397" t="inlineStr">
        <is>
          <t>Klein Tools 31922 Bi-Metal Hole Saw, 1-3/8-Inch</t>
        </is>
      </c>
      <c r="D5397" t="inlineStr">
        <is>
          <t>LENOX Tools Hole Saw, Bi-Metal, Speed Slot, 1-1/8-Inch (3001818L)</t>
        </is>
      </c>
      <c r="E5397" s="2">
        <f>HYPERLINK("https://www.amazon.com/LENOX-Tools-Bi-Metal-Speed-Technology/dp/B00024389Y/ref=sr_1_41?keywords=Klein+Tools+31922+Bi-Metal+Hole+Saw%2C+1-3%2F8-Inch&amp;qid=1694735176&amp;sr=8-41", "https://www.amazon.com/LENOX-Tools-Bi-Metal-Speed-Technology/dp/B00024389Y/ref=sr_1_41?keywords=Klein+Tools+31922+Bi-Metal+Hole+Saw%2C+1-3%2F8-Inch&amp;qid=1694735176&amp;sr=8-41")</f>
        <v/>
      </c>
      <c r="F5397" t="inlineStr">
        <is>
          <t>B00024389Y</t>
        </is>
      </c>
      <c r="G5397">
        <f>_xludf.IMAGE("https://edmondsonsupply.com/cdn/shop/products/31922.jpg?v=1663943738")</f>
        <v/>
      </c>
      <c r="H5397">
        <f>_xludf.IMAGE("https://m.media-amazon.com/images/I/41qQLggkZ8L._AC_UL320_.jpg")</f>
        <v/>
      </c>
      <c r="K5397" t="inlineStr">
        <is>
          <t>9.99</t>
        </is>
      </c>
      <c r="L5397" t="n">
        <v>12.01</v>
      </c>
      <c r="M5397" s="1" t="inlineStr">
        <is>
          <t>20.22%</t>
        </is>
      </c>
      <c r="N5397" s="1" t="n">
        <v>361.6</v>
      </c>
      <c r="O5397" t="n">
        <v>4.5</v>
      </c>
      <c r="P5397" t="n">
        <v>83</v>
      </c>
      <c r="R5397" t="inlineStr">
        <is>
          <t>InStock</t>
        </is>
      </c>
      <c r="S5397" t="inlineStr">
        <is>
          <t>14.0</t>
        </is>
      </c>
      <c r="T5397" t="inlineStr">
        <is>
          <t>7827257819352</t>
        </is>
      </c>
    </row>
    <row r="5398" ht="87" customHeight="1">
      <c r="A5398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5398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5398" t="inlineStr">
        <is>
          <t>Klein Tools 32768 3-in-1 Impact Flip Socket Set, 1/4-Inch, 5/16-Inch, 2-Piece</t>
        </is>
      </c>
      <c r="D5398" t="inlineStr">
        <is>
          <t>Klein Tools 610M Tool Set, Magnetic Nut Driver Set with Stubby Nut Driver Sizes 1/4 and 5/16-Inch, Full Hollow Shaft, 2-Piece</t>
        </is>
      </c>
      <c r="E5398" s="2">
        <f>HYPERLINK("https://www.amazon.com/Klein-Tools-610M-16-Inch-Magnetic/dp/B00093DZO6/ref=sr_1_36?keywords=Klein+Tools+32768+3-in-1+Impact+Flip+Socket+Set%2C+1%2F4-Inch%2C+5%2F16-Inch%2C+2-Piece&amp;qid=1694735099&amp;sr=8-36", "https://www.amazon.com/Klein-Tools-610M-16-Inch-Magnetic/dp/B00093DZO6/ref=sr_1_36?keywords=Klein+Tools+32768+3-in-1+Impact+Flip+Socket+Set%2C+1%2F4-Inch%2C+5%2F16-Inch%2C+2-Piece&amp;qid=1694735099&amp;sr=8-36")</f>
        <v/>
      </c>
      <c r="F5398" t="inlineStr">
        <is>
          <t>B00093DZO6</t>
        </is>
      </c>
      <c r="G5398">
        <f>_xlfn.IMAGE("https://edmondsonsupply.com/cdn/shop/products/32768.jpg?v=1666022946")</f>
        <v/>
      </c>
      <c r="H5398">
        <f>_xlfn.IMAGE("https://m.media-amazon.com/images/I/51lgiheW64L._AC_UL320_.jpg")</f>
        <v/>
      </c>
      <c r="K5398" t="inlineStr">
        <is>
          <t>14.97</t>
        </is>
      </c>
      <c r="L5398" t="n">
        <v>17.99</v>
      </c>
      <c r="M5398" s="1" t="inlineStr">
        <is>
          <t>20.17%</t>
        </is>
      </c>
      <c r="N5398" s="7" t="n">
        <v>358.99</v>
      </c>
      <c r="O5398" t="n">
        <v>4.8</v>
      </c>
      <c r="P5398" t="n">
        <v>559</v>
      </c>
      <c r="R5398" t="inlineStr">
        <is>
          <t>InStock</t>
        </is>
      </c>
      <c r="S5398" t="inlineStr">
        <is>
          <t>21.98</t>
        </is>
      </c>
      <c r="T5398" t="inlineStr">
        <is>
          <t>7856621977816</t>
        </is>
      </c>
    </row>
    <row r="5399" hidden="1" ht="15.75" customHeight="1">
      <c r="A5399" s="2">
        <f>HYPERLINK("https://edmondsonsupply.com/collections/electricians-tools/products/greenlee-dtap8-32-drill-tap-8-32", "https://edmondsonsupply.com/collections/electricians-tools/products/greenlee-dtap8-32-drill-tap-8-32")</f>
        <v/>
      </c>
      <c r="B5399" s="2">
        <f>HYPERLINK("https://edmondsonsupply.com/products/greenlee-dtap8-32-drill-tap-8-32", "https://edmondsonsupply.com/products/greenlee-dtap8-32-drill-tap-8-32")</f>
        <v/>
      </c>
      <c r="C5399" t="inlineStr">
        <is>
          <t>Greenlee DTAP8-32 Drill/Tap, 8-32</t>
        </is>
      </c>
      <c r="D5399" t="inlineStr">
        <is>
          <t>Greenlee DTAP6-32 Combination Drill, Tap, and Deburr Bit with Quick Change Hex, 6-32 NC</t>
        </is>
      </c>
      <c r="E5399" s="2">
        <f>HYPERLINK("https://www.amazon.com/Greenlee-DTAP6-32-Combination-Drill-6-32NC/dp/B001B1AP6G/ref=sr_1_16?keywords=Greenlee+DTAP8-32+Drill%2FTap%2C+8-32&amp;qid=1694735400&amp;sr=8-16", "https://www.amazon.com/Greenlee-DTAP6-32-Combination-Drill-6-32NC/dp/B001B1AP6G/ref=sr_1_16?keywords=Greenlee+DTAP8-32+Drill%2FTap%2C+8-32&amp;qid=1694735400&amp;sr=8-16")</f>
        <v/>
      </c>
      <c r="F5399" t="inlineStr">
        <is>
          <t>B001B1AP6G</t>
        </is>
      </c>
      <c r="G5399">
        <f>_xludf.IMAGE("https://edmondsonsupply.com/cdn/shop/products/DTAP8-32.jpg?v=1633030185")</f>
        <v/>
      </c>
      <c r="H5399">
        <f>_xludf.IMAGE("https://m.media-amazon.com/images/I/61GES0BtygL._AC_UL320_.jpg")</f>
        <v/>
      </c>
      <c r="K5399" t="inlineStr">
        <is>
          <t>8.29</t>
        </is>
      </c>
      <c r="L5399" t="n">
        <v>9.960000000000001</v>
      </c>
      <c r="M5399" s="1" t="inlineStr">
        <is>
          <t>20.14%</t>
        </is>
      </c>
      <c r="N5399" s="1" t="n">
        <v>350.8</v>
      </c>
      <c r="O5399" t="n">
        <v>4.7</v>
      </c>
      <c r="P5399" t="n">
        <v>226</v>
      </c>
      <c r="R5399" t="inlineStr">
        <is>
          <t>InStock</t>
        </is>
      </c>
      <c r="S5399" t="inlineStr">
        <is>
          <t>9.7</t>
        </is>
      </c>
      <c r="T5399" t="inlineStr">
        <is>
          <t>4395862392932</t>
        </is>
      </c>
    </row>
    <row r="5400" ht="87" customHeight="1">
      <c r="A5400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5400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5400" t="inlineStr">
        <is>
          <t>Diablo Tools DOU250BW 2-1/2 in. Universal Fit Bi-Metal Oscillating Blade for Nail-Embedded Wood</t>
        </is>
      </c>
      <c r="D5400" t="inlineStr">
        <is>
          <t>Diablo DOU125BW3 1-1/4 in. Universal Fit Bi-Metal Oscillating Blades for Nail-Embedded Wood (3-Pack)</t>
        </is>
      </c>
      <c r="E5400" s="2">
        <f>HYPERLINK("https://www.amazon.com/Diablo-Universal-Bi-Metal-Blades-Nail-Embedded/dp/B089KW2WVD/ref=sr_1_3?keywords=Diablo+Tools+DOU250BW+2-1%2F2+in.+Universal+Fit+Bi-Metal+Oscillating+Blade+for+Nail-Embedded+Wood&amp;qid=1694734995&amp;sr=8-3", "https://www.amazon.com/Diablo-Universal-Bi-Metal-Blades-Nail-Embedded/dp/B089KW2WVD/ref=sr_1_3?keywords=Diablo+Tools+DOU250BW+2-1%2F2+in.+Universal+Fit+Bi-Metal+Oscillating+Blade+for+Nail-Embedded+Wood&amp;qid=1694734995&amp;sr=8-3")</f>
        <v/>
      </c>
      <c r="F5400" t="inlineStr">
        <is>
          <t>B089KW2WVD</t>
        </is>
      </c>
      <c r="G5400">
        <f>_xlfn.IMAGE("https://edmondsonsupply.com/cdn/shop/files/xcched1uye7bv2s0ryod.webp?v=1685717397")</f>
        <v/>
      </c>
      <c r="H5400">
        <f>_xlfn.IMAGE("https://m.media-amazon.com/images/I/613ig7mNjfL._AC_UL320_.jpg")</f>
        <v/>
      </c>
      <c r="K5400" t="inlineStr">
        <is>
          <t>19.97</t>
        </is>
      </c>
      <c r="L5400" t="n">
        <v>23.99</v>
      </c>
      <c r="M5400" s="1" t="inlineStr">
        <is>
          <t>20.13%</t>
        </is>
      </c>
      <c r="N5400" s="7" t="n">
        <v>350.38</v>
      </c>
      <c r="O5400" t="n">
        <v>4.6</v>
      </c>
      <c r="P5400" t="n">
        <v>147</v>
      </c>
      <c r="R5400" t="inlineStr">
        <is>
          <t>InStock</t>
        </is>
      </c>
      <c r="S5400" t="inlineStr">
        <is>
          <t>24.85</t>
        </is>
      </c>
      <c r="T5400" t="inlineStr">
        <is>
          <t>7999559598296</t>
        </is>
      </c>
    </row>
    <row r="5401" ht="87" customHeight="1">
      <c r="A5401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5401" s="2">
        <f>HYPERLINK("https://edmondsonsupply.com/products/diablo-tools-d0760x-7-1-4-in-x-60-tooth-ultra-finish-saw-blade", "https://edmondsonsupply.com/products/diablo-tools-d0760x-7-1-4-in-x-60-tooth-ultra-finish-saw-blade")</f>
        <v/>
      </c>
      <c r="C5401" t="inlineStr">
        <is>
          <t>Diablo Tools D0760X 7-1/4 in. x 60 Tooth Ultra Finish Saw Blade</t>
        </is>
      </c>
      <c r="D5401" t="inlineStr">
        <is>
          <t>BOSCH DCB760 7-1/4 In. 60 Tooth Edge Circular Saw Blade for Extra-Fine Finish, Blue, 7-1/4" Diameter</t>
        </is>
      </c>
      <c r="E5401" s="2">
        <f>HYPERLINK("https://www.amazon.com/Bosch-DCB760-Circular-Extra-Fine-Finish/dp/B008FYUSTG/ref=sr_1_23?keywords=Diablo+Tools+D0760X+7-1%2F4+in.+x+60+Tooth+Ultra+Finish+Saw+Blade&amp;qid=1694735024&amp;sr=8-23", "https://www.amazon.com/Bosch-DCB760-Circular-Extra-Fine-Finish/dp/B008FYUSTG/ref=sr_1_23?keywords=Diablo+Tools+D0760X+7-1%2F4+in.+x+60+Tooth+Ultra+Finish+Saw+Blade&amp;qid=1694735024&amp;sr=8-23")</f>
        <v/>
      </c>
      <c r="F5401" t="inlineStr">
        <is>
          <t>B008FYUSTG</t>
        </is>
      </c>
      <c r="G5401">
        <f>_xlfn.IMAGE("https://edmondsonsupply.com/cdn/shop/products/vlfiqrihhfwf5bxirasx.webp?v=1678977162")</f>
        <v/>
      </c>
      <c r="H5401">
        <f>_xlfn.IMAGE("https://m.media-amazon.com/images/I/81LAAFurHXL._AC_UL320_.jpg")</f>
        <v/>
      </c>
      <c r="K5401" t="inlineStr">
        <is>
          <t>19.97</t>
        </is>
      </c>
      <c r="L5401" t="n">
        <v>23.99</v>
      </c>
      <c r="M5401" s="1" t="inlineStr">
        <is>
          <t>20.13%</t>
        </is>
      </c>
      <c r="N5401" s="7" t="n">
        <v>344.64</v>
      </c>
      <c r="O5401" t="n">
        <v>4.7</v>
      </c>
      <c r="P5401" t="n">
        <v>589</v>
      </c>
      <c r="R5401" t="inlineStr">
        <is>
          <t>InStock</t>
        </is>
      </c>
      <c r="S5401" t="inlineStr">
        <is>
          <t>30.2</t>
        </is>
      </c>
      <c r="T5401" t="inlineStr">
        <is>
          <t>7962630521048</t>
        </is>
      </c>
    </row>
    <row r="5402" ht="87" customHeight="1">
      <c r="A5402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5402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5402" t="inlineStr">
        <is>
          <t>Klein Tools NCVT1PKIT Non-Contact Voltage and GFCI Receptacle Test Kit</t>
        </is>
      </c>
      <c r="D5402" t="inlineStr">
        <is>
          <t>Klein Tools 80077 Voltage Tester Kit with Electronic AC/DC GFCI Outlet Tester and Non-Contact Voltage Tester Pen, 3-Piece, Green</t>
        </is>
      </c>
      <c r="E5402" s="2">
        <f>HYPERLINK("https://www.amazon.com/Klein-Tools-80077-Electronic-Non-Contact/dp/B0B11F7Q69/ref=sr_1_8?keywords=Klein+Tools+NCVT1PKIT+Non-Contact+Voltage+and+GFCI+Receptacle+Test+Kit&amp;qid=1694735031&amp;sr=8-8", "https://www.amazon.com/Klein-Tools-80077-Electronic-Non-Contact/dp/B0B11F7Q69/ref=sr_1_8?keywords=Klein+Tools+NCVT1PKIT+Non-Contact+Voltage+and+GFCI+Receptacle+Test+Kit&amp;qid=1694735031&amp;sr=8-8")</f>
        <v/>
      </c>
      <c r="F5402" t="inlineStr">
        <is>
          <t>B0B11F7Q69</t>
        </is>
      </c>
      <c r="G5402">
        <f>_xlfn.IMAGE("https://edmondsonsupply.com/cdn/shop/products/ncvt1pkit.jpg?v=1677682920")</f>
        <v/>
      </c>
      <c r="H5402">
        <f>_xlfn.IMAGE("https://m.media-amazon.com/images/I/51cU3aEkbCL._AC_UL320_.jpg")</f>
        <v/>
      </c>
      <c r="K5402" t="inlineStr">
        <is>
          <t>24.97</t>
        </is>
      </c>
      <c r="L5402" t="n">
        <v>29.99</v>
      </c>
      <c r="M5402" s="1" t="inlineStr">
        <is>
          <t>20.10%</t>
        </is>
      </c>
      <c r="N5402" s="7" t="n">
        <v>344.64</v>
      </c>
      <c r="O5402" t="n">
        <v>4.6</v>
      </c>
      <c r="P5402" t="n">
        <v>180</v>
      </c>
      <c r="R5402" t="inlineStr">
        <is>
          <t>InStock</t>
        </is>
      </c>
      <c r="S5402" t="inlineStr">
        <is>
          <t>35.38</t>
        </is>
      </c>
      <c r="T5402" t="inlineStr">
        <is>
          <t>7953960698072</t>
        </is>
      </c>
    </row>
    <row r="5403" hidden="1" ht="15.75" customHeight="1">
      <c r="A5403" s="2">
        <f>HYPERLINK("https://edmondsonsupply.com/collections/electricians-tools/products/klein-tools-6844ins-insulated-screwdriver-2-square-tip-4-inch-round-shank", "https://edmondsonsupply.com/collections/electricians-tools/products/klein-tools-6844ins-insulated-screwdriver-2-square-tip-4-inch-round-shank")</f>
        <v/>
      </c>
      <c r="B5403" s="2">
        <f>HYPERLINK("https://edmondsonsupply.com/products/klein-tools-6844ins-insulated-screwdriver-2-square-tip-4-inch-round-shank", "https://edmondsonsupply.com/products/klein-tools-6844ins-insulated-screwdriver-2-square-tip-4-inch-round-shank")</f>
        <v/>
      </c>
      <c r="C5403" t="inlineStr">
        <is>
          <t>Klein Tools 6844INS Insulated Screwdriver, #2 Square Tip, 4-Inch Round Shank</t>
        </is>
      </c>
      <c r="D5403" t="inlineStr">
        <is>
          <t>Klein Tools 6846INS Insulated Screwdriver, 1000V #2 Square Tip Screwdriver with 6-Inch Shank, Tip-Ident, Cushion-Grip Handle</t>
        </is>
      </c>
      <c r="E5403" s="2">
        <f>HYPERLINK("https://www.amazon.com/Klein-Tools-6846INS-Screwdriver-Cushion-Grip/dp/B0BF7X96QK/ref=sr_1_2?keywords=Klein+Tools+6844INS+Insulated+Screwdriver%2C+%232+Square+Tip%2C+4-Inch+Round+Shank&amp;qid=1694735101&amp;sr=8-2", "https://www.amazon.com/Klein-Tools-6846INS-Screwdriver-Cushion-Grip/dp/B0BF7X96QK/ref=sr_1_2?keywords=Klein+Tools+6844INS+Insulated+Screwdriver%2C+%232+Square+Tip%2C+4-Inch+Round+Shank&amp;qid=1694735101&amp;sr=8-2")</f>
        <v/>
      </c>
      <c r="F5403" t="inlineStr">
        <is>
          <t>B0BF7X96QK</t>
        </is>
      </c>
      <c r="G5403">
        <f>_xludf.IMAGE("https://edmondsonsupply.com/cdn/shop/products/6844ins.jpg?v=1664817203")</f>
        <v/>
      </c>
      <c r="H5403">
        <f>_xludf.IMAGE("https://m.media-amazon.com/images/I/31EOUkZ6n3L._AC_UL320_.jpg")</f>
        <v/>
      </c>
      <c r="K5403" t="inlineStr">
        <is>
          <t>9.97</t>
        </is>
      </c>
      <c r="L5403" t="n">
        <v>11.97</v>
      </c>
      <c r="M5403" s="1" t="inlineStr">
        <is>
          <t>20.06%</t>
        </is>
      </c>
      <c r="N5403" s="1" t="n">
        <v>341.88</v>
      </c>
      <c r="O5403" t="n">
        <v>4.7</v>
      </c>
      <c r="P5403" t="n">
        <v>201</v>
      </c>
      <c r="R5403" t="inlineStr">
        <is>
          <t>InStock</t>
        </is>
      </c>
      <c r="S5403" t="inlineStr">
        <is>
          <t>15.12</t>
        </is>
      </c>
      <c r="T5403" t="inlineStr">
        <is>
          <t>7837735551192</t>
        </is>
      </c>
    </row>
    <row r="5404" hidden="1" ht="15.75" customHeight="1">
      <c r="A5404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5404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5404" t="inlineStr">
        <is>
          <t>Klein Tools 6884INS Insulated Screwdriver, #1 Square Tip, 4-Inch Shank</t>
        </is>
      </c>
      <c r="D5404" t="inlineStr">
        <is>
          <t>Klein Tools 6846INS Insulated Screwdriver, 1000V #2 Square Tip Screwdriver with 6-Inch Shank, Tip-Ident, Cushion-Grip Handle</t>
        </is>
      </c>
      <c r="E5404" s="2">
        <f>HYPERLINK("https://www.amazon.com/Klein-Tools-6846INS-Screwdriver-Cushion-Grip/dp/B0BF7X96QK/ref=sr_1_7?keywords=Klein+Tools+6884INS+Insulated+Screwdriver%2C+%231+Square+Tip%2C+4-Inch+Shank&amp;qid=1694735104&amp;sr=8-7", "https://www.amazon.com/Klein-Tools-6846INS-Screwdriver-Cushion-Grip/dp/B0BF7X96QK/ref=sr_1_7?keywords=Klein+Tools+6884INS+Insulated+Screwdriver%2C+%231+Square+Tip%2C+4-Inch+Shank&amp;qid=1694735104&amp;sr=8-7")</f>
        <v/>
      </c>
      <c r="F5404" t="inlineStr">
        <is>
          <t>B0BF7X96QK</t>
        </is>
      </c>
      <c r="G5404">
        <f>_xludf.IMAGE("https://edmondsonsupply.com/cdn/shop/products/6884ins.jpg?v=1664889244")</f>
        <v/>
      </c>
      <c r="H5404">
        <f>_xludf.IMAGE("https://m.media-amazon.com/images/I/31EOUkZ6n3L._AC_UL320_.jpg")</f>
        <v/>
      </c>
      <c r="K5404" t="inlineStr">
        <is>
          <t>9.97</t>
        </is>
      </c>
      <c r="L5404" t="n">
        <v>11.97</v>
      </c>
      <c r="M5404" s="1" t="inlineStr">
        <is>
          <t>20.06%</t>
        </is>
      </c>
      <c r="N5404" s="1" t="n">
        <v>331.65</v>
      </c>
      <c r="O5404" t="n">
        <v>4.7</v>
      </c>
      <c r="P5404" t="n">
        <v>201</v>
      </c>
      <c r="R5404" t="inlineStr">
        <is>
          <t>InStock</t>
        </is>
      </c>
      <c r="S5404" t="inlineStr">
        <is>
          <t>14.98</t>
        </is>
      </c>
      <c r="T5404" t="inlineStr">
        <is>
          <t>7839150735576</t>
        </is>
      </c>
    </row>
    <row r="5405" hidden="1" ht="15.75" customHeight="1">
      <c r="A5405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405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405" t="inlineStr">
        <is>
          <t>Klein Tools 6824INS Insulated Screwdriver, 1/4-Inch Cabinet Tip, 4-Inch Round Shank</t>
        </is>
      </c>
      <c r="D5405" t="inlineStr">
        <is>
          <t>Klein Tools 6826INS Insulated Screwdriver, 1000V 1/4-Inch Cabinet Tip Screwdriver with 6-Inch Shank, Tip-Ident, Cushion-Grip Handle</t>
        </is>
      </c>
      <c r="E5405" s="2">
        <f>HYPERLINK("https://www.amazon.com/Klein-Tools-6826INS-Screwdriver-Cushion-Grip/dp/B0BF79W49J/ref=sr_1_26?keywords=Klein+Tools+6824INS+Insulated+Screwdriver%2C+1%2F4-Inch+Cabinet+Tip%2C+4-Inch+Round+Shank&amp;qid=1694735115&amp;sr=8-26", "https://www.amazon.com/Klein-Tools-6826INS-Screwdriver-Cushion-Grip/dp/B0BF79W49J/ref=sr_1_26?keywords=Klein+Tools+6824INS+Insulated+Screwdriver%2C+1%2F4-Inch+Cabinet+Tip%2C+4-Inch+Round+Shank&amp;qid=1694735115&amp;sr=8-26")</f>
        <v/>
      </c>
      <c r="F5405" t="inlineStr">
        <is>
          <t>B0BF79W49J</t>
        </is>
      </c>
      <c r="G5405">
        <f>_xludf.IMAGE("https://edmondsonsupply.com/cdn/shop/products/6824ins.jpg?v=1664813487")</f>
        <v/>
      </c>
      <c r="H5405">
        <f>_xludf.IMAGE("https://m.media-amazon.com/images/I/41dJ6lRyHyL._AC_UL320_.jpg")</f>
        <v/>
      </c>
      <c r="K5405" t="inlineStr">
        <is>
          <t>9.97</t>
        </is>
      </c>
      <c r="L5405" t="n">
        <v>11.97</v>
      </c>
      <c r="M5405" s="1" t="inlineStr">
        <is>
          <t>20.06%</t>
        </is>
      </c>
      <c r="N5405" s="1" t="n">
        <v>323.59</v>
      </c>
      <c r="O5405" t="n">
        <v>4.9</v>
      </c>
      <c r="P5405" t="n">
        <v>9</v>
      </c>
      <c r="R5405" t="inlineStr">
        <is>
          <t>InStock</t>
        </is>
      </c>
      <c r="S5405" t="inlineStr">
        <is>
          <t>15.72</t>
        </is>
      </c>
      <c r="T5405" t="inlineStr">
        <is>
          <t>7837703471320</t>
        </is>
      </c>
    </row>
    <row r="5406" hidden="1" ht="15.75" customHeight="1">
      <c r="A5406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406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406" t="inlineStr">
        <is>
          <t>Klein Tools 6824INS Insulated Screwdriver, 1/4-Inch Cabinet Tip, 4-Inch Round Shank</t>
        </is>
      </c>
      <c r="D5406" t="inlineStr">
        <is>
          <t>Klein Tools 6846INS Insulated Screwdriver, 1000V #2 Square Tip Screwdriver with 6-Inch Shank, Tip-Ident, Cushion-Grip Handle</t>
        </is>
      </c>
      <c r="E5406" s="2">
        <f>HYPERLINK("https://www.amazon.com/Klein-Tools-6846INS-Screwdriver-Cushion-Grip/dp/B0BF7X96QK/ref=sr_1_5?keywords=Klein+Tools+6824INS+Insulated+Screwdriver%2C+1%2F4-Inch+Cabinet+Tip%2C+4-Inch+Round+Shank&amp;qid=1694735115&amp;sr=8-5", "https://www.amazon.com/Klein-Tools-6846INS-Screwdriver-Cushion-Grip/dp/B0BF7X96QK/ref=sr_1_5?keywords=Klein+Tools+6824INS+Insulated+Screwdriver%2C+1%2F4-Inch+Cabinet+Tip%2C+4-Inch+Round+Shank&amp;qid=1694735115&amp;sr=8-5")</f>
        <v/>
      </c>
      <c r="F5406" t="inlineStr">
        <is>
          <t>B0BF7X96QK</t>
        </is>
      </c>
      <c r="G5406">
        <f>_xludf.IMAGE("https://edmondsonsupply.com/cdn/shop/products/6824ins.jpg?v=1664813487")</f>
        <v/>
      </c>
      <c r="H5406">
        <f>_xludf.IMAGE("https://m.media-amazon.com/images/I/31EOUkZ6n3L._AC_UL320_.jpg")</f>
        <v/>
      </c>
      <c r="K5406" t="inlineStr">
        <is>
          <t>9.97</t>
        </is>
      </c>
      <c r="L5406" t="n">
        <v>11.97</v>
      </c>
      <c r="M5406" s="1" t="inlineStr">
        <is>
          <t>20.06%</t>
        </is>
      </c>
      <c r="N5406" s="1" t="n">
        <v>318.33</v>
      </c>
      <c r="O5406" t="n">
        <v>4.7</v>
      </c>
      <c r="P5406" t="n">
        <v>201</v>
      </c>
      <c r="R5406" t="inlineStr">
        <is>
          <t>InStock</t>
        </is>
      </c>
      <c r="S5406" t="inlineStr">
        <is>
          <t>15.72</t>
        </is>
      </c>
      <c r="T5406" t="inlineStr">
        <is>
          <t>7837703471320</t>
        </is>
      </c>
    </row>
    <row r="5407" hidden="1" ht="15.75" customHeight="1">
      <c r="A5407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5407" s="2">
        <f>HYPERLINK("https://edmondsonsupply.com/products/klein-tools-vaco-s10m-5-16-magnetic-nut-driver-3-hollow-shaft", "https://edmondsonsupply.com/products/klein-tools-vaco-s10m-5-16-magnetic-nut-driver-3-hollow-shaft")</f>
        <v/>
      </c>
      <c r="C5407" t="inlineStr">
        <is>
          <t>Klein Tools S10M 5/16-Inch Magnetic Nut Driver 3-Inch Shaft</t>
        </is>
      </c>
      <c r="D5407" t="inlineStr">
        <is>
          <t>Klein Tools 635-5/16 5/16-Inch Heavy-Duty Nut Driver</t>
        </is>
      </c>
      <c r="E5407" s="2">
        <f>HYPERLINK("https://www.amazon.com/Heavy-Duty-Driver-16-Inch-Klein-Tools/dp/B01D6FKW58/ref=sr_1_12?keywords=Klein+Tools+S10M+5%2F16-Inch+Magnetic+Nut+Driver+3-Inch+Shaft&amp;qid=1694735002&amp;sr=8-12", "https://www.amazon.com/Heavy-Duty-Driver-16-Inch-Klein-Tools/dp/B01D6FKW58/ref=sr_1_12?keywords=Klein+Tools+S10M+5%2F16-Inch+Magnetic+Nut+Driver+3-Inch+Shaft&amp;qid=1694735002&amp;sr=8-12")</f>
        <v/>
      </c>
      <c r="F5407" t="inlineStr">
        <is>
          <t>B01D6FKW58</t>
        </is>
      </c>
      <c r="G5407">
        <f>_xludf.IMAGE("https://edmondsonsupply.com/cdn/shop/products/s10m_alt2.jpg?v=1587143022")</f>
        <v/>
      </c>
      <c r="H5407">
        <f>_xludf.IMAGE("https://m.media-amazon.com/images/I/41FuKJjYruL._AC_UL320_.jpg")</f>
        <v/>
      </c>
      <c r="K5407" t="inlineStr">
        <is>
          <t>9.99</t>
        </is>
      </c>
      <c r="L5407" t="n">
        <v>11.99</v>
      </c>
      <c r="M5407" s="1" t="inlineStr">
        <is>
          <t>20.02%</t>
        </is>
      </c>
      <c r="N5407" s="1" t="n">
        <v>313.85</v>
      </c>
      <c r="O5407" t="n">
        <v>4.7</v>
      </c>
      <c r="P5407" t="n">
        <v>999</v>
      </c>
      <c r="R5407" t="inlineStr">
        <is>
          <t>InStock</t>
        </is>
      </c>
      <c r="S5407" t="inlineStr">
        <is>
          <t>15.08</t>
        </is>
      </c>
      <c r="T5407" t="inlineStr">
        <is>
          <t>2767113125988</t>
        </is>
      </c>
    </row>
    <row r="5408" hidden="1" ht="15.75" customHeight="1">
      <c r="A5408" s="2">
        <f>HYPERLINK("https://edmondsonsupply.com/collections/electricians-tools/products/klein-tools-60466-neck-and-face-warming-half-band-black", "https://edmondsonsupply.com/collections/electricians-tools/products/klein-tools-60466-neck-and-face-warming-half-band-black")</f>
        <v/>
      </c>
      <c r="B5408" s="2">
        <f>HYPERLINK("https://edmondsonsupply.com/products/klein-tools-60466-neck-and-face-warming-half-band-black", "https://edmondsonsupply.com/products/klein-tools-60466-neck-and-face-warming-half-band-black")</f>
        <v/>
      </c>
      <c r="C5408" t="inlineStr">
        <is>
          <t>Klein Tools 60466 Neck and Face Warming Half-Band, Black</t>
        </is>
      </c>
      <c r="D5408" t="inlineStr">
        <is>
          <t>Klein Tools 60466 Neck and Face Warming Gaiter, Double-Layered Half-Band, Black, One Size fits Most</t>
        </is>
      </c>
      <c r="E5408" s="2">
        <f>HYPERLINK("https://www.amazon.com/Klein-60466-Warming-Double-Layered-Half-Band/dp/B08P3TJJH3/ref=sr_1_1?keywords=Klein+Tools+60466+Neck+and+Face+Warming+Half-Band%2C+Black&amp;qid=1694735139&amp;sr=8-1", "https://www.amazon.com/Klein-60466-Warming-Double-Layered-Half-Band/dp/B08P3TJJH3/ref=sr_1_1?keywords=Klein+Tools+60466+Neck+and+Face+Warming+Half-Band%2C+Black&amp;qid=1694735139&amp;sr=8-1")</f>
        <v/>
      </c>
      <c r="F5408" t="inlineStr">
        <is>
          <t>B08P3TJJH3</t>
        </is>
      </c>
      <c r="G5408">
        <f>_xludf.IMAGE("https://edmondsonsupply.com/cdn/shop/products/60466_callout_1.jpg?v=1659114198")</f>
        <v/>
      </c>
      <c r="H5408">
        <f>_xludf.IMAGE("https://m.media-amazon.com/images/I/61tmjd9lm7L._AC_UL320_.jpg")</f>
        <v/>
      </c>
      <c r="K5408" t="inlineStr">
        <is>
          <t>9.99</t>
        </is>
      </c>
      <c r="L5408" t="n">
        <v>11.99</v>
      </c>
      <c r="M5408" s="1" t="inlineStr">
        <is>
          <t>20.02%</t>
        </is>
      </c>
      <c r="N5408" s="1" t="n">
        <v>307.77</v>
      </c>
      <c r="O5408" t="n">
        <v>4.2</v>
      </c>
      <c r="P5408" t="n">
        <v>95</v>
      </c>
      <c r="R5408" t="inlineStr">
        <is>
          <t>InStock</t>
        </is>
      </c>
      <c r="S5408" t="inlineStr">
        <is>
          <t>13.98</t>
        </is>
      </c>
      <c r="T5408" t="inlineStr">
        <is>
          <t>7766557262040</t>
        </is>
      </c>
    </row>
    <row r="5409" ht="87" customHeight="1">
      <c r="A5409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409" s="2">
        <f>HYPERLINK("https://edmondsonsupply.com/products/klein-tools-635-1-2-1-2-inch-heavy-duty-nut-driver", "https://edmondsonsupply.com/products/klein-tools-635-1-2-1-2-inch-heavy-duty-nut-driver")</f>
        <v/>
      </c>
      <c r="C5409" t="inlineStr">
        <is>
          <t>Klein Tools 635-1/2 1/2-Inch Heavy-Duty Nut Driver</t>
        </is>
      </c>
      <c r="D5409" t="inlineStr">
        <is>
          <t>Klein Tools 610M Tool Set, Magnetic Nut Driver Set with Stubby Nut Driver Sizes 1/4 and 5/16-Inch, Full Hollow Shaft, 2-Piece</t>
        </is>
      </c>
      <c r="E5409" s="2">
        <f>HYPERLINK("https://www.amazon.com/Klein-Tools-610M-16-Inch-Magnetic/dp/B00093DZO6/ref=sr_1_26?keywords=Klein+Tools+635-1%2F2+1%2F2-Inch+Heavy-Duty+Nut+Driver&amp;qid=1694735353&amp;sr=8-26", "https://www.amazon.com/Klein-Tools-610M-16-Inch-Magnetic/dp/B00093DZO6/ref=sr_1_26?keywords=Klein+Tools+635-1%2F2+1%2F2-Inch+Heavy-Duty+Nut+Driver&amp;qid=1694735353&amp;sr=8-26")</f>
        <v/>
      </c>
      <c r="F5409" t="inlineStr">
        <is>
          <t>B00093DZO6</t>
        </is>
      </c>
      <c r="G5409">
        <f>_xlfn.IMAGE("https://edmondsonsupply.com/cdn/shop/products/635-1-2.jpg?v=1587147726")</f>
        <v/>
      </c>
      <c r="H5409">
        <f>_xlfn.IMAGE("https://m.media-amazon.com/images/I/51lgiheW64L._AC_UL320_.jpg")</f>
        <v/>
      </c>
      <c r="K5409" t="inlineStr">
        <is>
          <t>14.99</t>
        </is>
      </c>
      <c r="L5409" t="n">
        <v>17.99</v>
      </c>
      <c r="M5409" s="1" t="inlineStr">
        <is>
          <t>20.01%</t>
        </is>
      </c>
      <c r="N5409" s="7" t="n">
        <v>300.4</v>
      </c>
      <c r="O5409" t="n">
        <v>4.8</v>
      </c>
      <c r="P5409" t="n">
        <v>559</v>
      </c>
      <c r="R5409" t="inlineStr">
        <is>
          <t>InStock</t>
        </is>
      </c>
      <c r="S5409" t="inlineStr">
        <is>
          <t>22.78</t>
        </is>
      </c>
      <c r="T5409" t="inlineStr">
        <is>
          <t>4473296945252</t>
        </is>
      </c>
    </row>
    <row r="5410" ht="87" customHeight="1">
      <c r="A5410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410" s="2">
        <f>HYPERLINK("https://edmondsonsupply.com/products/klein-tools-635-1-2-1-2-inch-heavy-duty-nut-driver", "https://edmondsonsupply.com/products/klein-tools-635-1-2-1-2-inch-heavy-duty-nut-driver")</f>
        <v/>
      </c>
      <c r="C5410" t="inlineStr">
        <is>
          <t>Klein Tools 635-1/2 1/2-Inch Heavy-Duty Nut Driver</t>
        </is>
      </c>
      <c r="D5410" t="inlineStr">
        <is>
          <t>Klein Tools 65131 2-in-1 Nut Driver, Hex Head Slide Drive, 1-1/2-Inch</t>
        </is>
      </c>
      <c r="E5410" s="2">
        <f>HYPERLINK("https://www.amazon.com/Driver-2-Inch-Klein-Tools-65131/dp/B071LCCGT1/ref=sr_1_24?keywords=Klein+Tools+635-1%2F2+1%2F2-Inch+Heavy-Duty+Nut+Driver&amp;qid=1694735353&amp;sr=8-24", "https://www.amazon.com/Driver-2-Inch-Klein-Tools-65131/dp/B071LCCGT1/ref=sr_1_24?keywords=Klein+Tools+635-1%2F2+1%2F2-Inch+Heavy-Duty+Nut+Driver&amp;qid=1694735353&amp;sr=8-24")</f>
        <v/>
      </c>
      <c r="F5410" t="inlineStr">
        <is>
          <t>B071LCCGT1</t>
        </is>
      </c>
      <c r="G5410">
        <f>_xlfn.IMAGE("https://edmondsonsupply.com/cdn/shop/products/635-1-2.jpg?v=1587147726")</f>
        <v/>
      </c>
      <c r="H5410">
        <f>_xlfn.IMAGE("https://m.media-amazon.com/images/I/51SI9ktOe4L._AC_UL320_.jpg")</f>
        <v/>
      </c>
      <c r="K5410" t="inlineStr">
        <is>
          <t>14.99</t>
        </is>
      </c>
      <c r="L5410" t="n">
        <v>17.99</v>
      </c>
      <c r="M5410" s="1" t="inlineStr">
        <is>
          <t>20.01%</t>
        </is>
      </c>
      <c r="N5410" s="7" t="n">
        <v>288.74</v>
      </c>
      <c r="O5410" t="n">
        <v>4.8</v>
      </c>
      <c r="P5410" t="n">
        <v>908</v>
      </c>
      <c r="R5410" t="inlineStr">
        <is>
          <t>InStock</t>
        </is>
      </c>
      <c r="S5410" t="inlineStr">
        <is>
          <t>22.78</t>
        </is>
      </c>
      <c r="T5410" t="inlineStr">
        <is>
          <t>4473296945252</t>
        </is>
      </c>
    </row>
    <row r="5411" ht="87" customHeight="1">
      <c r="A5411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5411" s="2">
        <f>HYPERLINK("https://edmondsonsupply.com/products/amprobe-st-102b-receptacle-tester-with-gfci", "https://edmondsonsupply.com/products/amprobe-st-102b-receptacle-tester-with-gfci")</f>
        <v/>
      </c>
      <c r="C5411" t="inlineStr">
        <is>
          <t>Amprobe ST-102B Receptacle Tester with GFCI</t>
        </is>
      </c>
      <c r="D5411" t="inlineStr">
        <is>
          <t>KAIWEETS Outlet Tester Electrical GFCI Receptacle Detector with LCD Display, 3 Prong 120V AC Voltage Socket Checker, 6 Visual Indication/Wiring Legend for Home</t>
        </is>
      </c>
      <c r="E5411" s="2">
        <f>HYPERLINK("https://www.amazon.com/KAIWEETS-Electrical-Receptacle-Detector-Indication/dp/B09K46LM69/ref=sr_1_23?keywords=Amprobe+ST-102B+Receptacle+Tester+with+GFCI&amp;qid=1694735128&amp;sr=8-23", "https://www.amazon.com/KAIWEETS-Electrical-Receptacle-Detector-Indication/dp/B09K46LM69/ref=sr_1_23?keywords=Amprobe+ST-102B+Receptacle+Tester+with+GFCI&amp;qid=1694735128&amp;sr=8-23")</f>
        <v/>
      </c>
      <c r="F5411" t="inlineStr">
        <is>
          <t>B09K46LM69</t>
        </is>
      </c>
      <c r="G5411">
        <f>_xlfn.IMAGE("https://edmondsonsupply.com/cdn/shop/products/PD_ST102B1.jpg?v=1662641155")</f>
        <v/>
      </c>
      <c r="H5411">
        <f>_xlfn.IMAGE("https://m.media-amazon.com/images/I/918FI+P+2lL._AC_UL320_.jpg")</f>
        <v/>
      </c>
      <c r="K5411" t="inlineStr">
        <is>
          <t>17.49</t>
        </is>
      </c>
      <c r="L5411" t="n">
        <v>20.99</v>
      </c>
      <c r="M5411" s="1" t="inlineStr">
        <is>
          <t>20.01%</t>
        </is>
      </c>
      <c r="N5411" s="7" t="n">
        <v>285.27</v>
      </c>
      <c r="O5411" t="n">
        <v>4.6</v>
      </c>
      <c r="P5411" t="n">
        <v>3110</v>
      </c>
      <c r="R5411" t="inlineStr">
        <is>
          <t>InStock</t>
        </is>
      </c>
      <c r="S5411" t="inlineStr">
        <is>
          <t>19.99</t>
        </is>
      </c>
      <c r="T5411" t="inlineStr">
        <is>
          <t>7808944570584</t>
        </is>
      </c>
    </row>
    <row r="5412" ht="87" customHeight="1">
      <c r="A5412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5412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5412" t="inlineStr">
        <is>
          <t>Klein Tools JTH6E17 1/2-Inch Hex Journeyman T-Handle 6-Inch</t>
        </is>
      </c>
      <c r="D5412" t="inlineStr">
        <is>
          <t>Klein Tools JTH9E17 1/2-Inch Hex Key, Journeyman T-Handle, 9-Inch</t>
        </is>
      </c>
      <c r="E5412" s="2">
        <f>HYPERLINK("https://www.amazon.com/Journeyman-T-Handle-Klein-Tools-JTH9E17/dp/B004QV6NL4/ref=sr_1_3?keywords=Klein+Tools+JTH6E17+1%2F2-Inch+Hex+Journeyman+T-Handle+6-Inch&amp;qid=1694735359&amp;sr=8-3", "https://www.amazon.com/Journeyman-T-Handle-Klein-Tools-JTH9E17/dp/B004QV6NL4/ref=sr_1_3?keywords=Klein+Tools+JTH6E17+1%2F2-Inch+Hex+Journeyman+T-Handle+6-Inch&amp;qid=1694735359&amp;sr=8-3")</f>
        <v/>
      </c>
      <c r="F5412" t="inlineStr">
        <is>
          <t>B004QV6NL4</t>
        </is>
      </c>
      <c r="G5412">
        <f>_xlfn.IMAGE("https://edmondsonsupply.com/cdn/shop/products/jth6e15_80623668-f320-404f-929d-7d7e04a8b5aa.jpg?v=1587146378")</f>
        <v/>
      </c>
      <c r="H5412">
        <f>_xlfn.IMAGE("https://m.media-amazon.com/images/I/51Yb8h41vLL._AC_UL320_.jpg")</f>
        <v/>
      </c>
      <c r="K5412" t="inlineStr">
        <is>
          <t>19.99</t>
        </is>
      </c>
      <c r="L5412" t="n">
        <v>23.99</v>
      </c>
      <c r="M5412" s="1" t="inlineStr">
        <is>
          <t>20.01%</t>
        </is>
      </c>
      <c r="N5412" s="7" t="n">
        <v>279.71</v>
      </c>
      <c r="O5412" t="n">
        <v>4.8</v>
      </c>
      <c r="P5412" t="n">
        <v>193</v>
      </c>
      <c r="R5412" t="inlineStr">
        <is>
          <t>InStock</t>
        </is>
      </c>
      <c r="S5412" t="inlineStr">
        <is>
          <t>30.28</t>
        </is>
      </c>
      <c r="T5412" t="inlineStr">
        <is>
          <t>4431817605220</t>
        </is>
      </c>
    </row>
    <row r="5413" ht="87" customHeight="1">
      <c r="A5413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5413" s="2">
        <f>HYPERLINK("https://edmondsonsupply.com/products/klein-tools-d502-10-pump-pliers-10-inch", "https://edmondsonsupply.com/products/klein-tools-d502-10-pump-pliers-10-inch")</f>
        <v/>
      </c>
      <c r="C5413" t="inlineStr">
        <is>
          <t>Klein Tools D502-10 Pump Pliers, 10-Inch</t>
        </is>
      </c>
      <c r="D5413" t="inlineStr">
        <is>
          <t>Klein Tools D504-10 Pump Pliers, Unique Curved Jaw, Maximum Torque, Hardened Teeth, Adjustable Wide Jaw, Ideal for Plumbing, Nail Holding</t>
        </is>
      </c>
      <c r="E5413" s="2">
        <f>HYPERLINK("https://www.amazon.com/Classic-10-Inch-Klein-Tools-D504-10/dp/B00BJ4ORCI/ref=sr_1_6?keywords=Klein+Tools+D502-10+Pump+Pliers%2C+10-Inch&amp;qid=1694735235&amp;sr=8-6", "https://www.amazon.com/Classic-10-Inch-Klein-Tools-D504-10/dp/B00BJ4ORCI/ref=sr_1_6?keywords=Klein+Tools+D502-10+Pump+Pliers%2C+10-Inch&amp;qid=1694735235&amp;sr=8-6")</f>
        <v/>
      </c>
      <c r="F5413" t="inlineStr">
        <is>
          <t>B00BJ4ORCI</t>
        </is>
      </c>
      <c r="G5413">
        <f>_xlfn.IMAGE("https://edmondsonsupply.com/cdn/shop/products/d50210_alt1.jpg?v=1633030884")</f>
        <v/>
      </c>
      <c r="H5413">
        <f>_xlfn.IMAGE("https://m.media-amazon.com/images/I/41rrivMv9dL._AC_UL320_.jpg")</f>
        <v/>
      </c>
      <c r="K5413" t="inlineStr">
        <is>
          <t>24.99</t>
        </is>
      </c>
      <c r="L5413" t="n">
        <v>29.99</v>
      </c>
      <c r="M5413" s="1" t="inlineStr">
        <is>
          <t>20.01%</t>
        </is>
      </c>
      <c r="N5413" s="7" t="n">
        <v>279.3</v>
      </c>
      <c r="O5413" t="n">
        <v>4.7</v>
      </c>
      <c r="P5413" t="n">
        <v>620</v>
      </c>
      <c r="R5413" t="inlineStr">
        <is>
          <t>InStock</t>
        </is>
      </c>
      <c r="S5413" t="inlineStr">
        <is>
          <t>37.84</t>
        </is>
      </c>
      <c r="T5413" t="inlineStr">
        <is>
          <t>6203936669869</t>
        </is>
      </c>
    </row>
    <row r="5414" ht="87" customHeight="1">
      <c r="A5414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5414" s="2">
        <f>HYPERLINK("https://edmondsonsupply.com/products/klein-tools-d507-8-adjustable-wrench-extra-capacity-8-inch", "https://edmondsonsupply.com/products/klein-tools-d507-8-adjustable-wrench-extra-capacity-8-inch")</f>
        <v/>
      </c>
      <c r="C5414" t="inlineStr">
        <is>
          <t>Klein Tools D507-8 Adjustable Wrench, Extra Capacity 8-Inch</t>
        </is>
      </c>
      <c r="D5414" t="inlineStr">
        <is>
          <t>Klein Tools D507-10 Adjustable Drive Wrench, Forged with Extra Capacity Jaw and High Polish Chrome Finish, 10-inch</t>
        </is>
      </c>
      <c r="E5414" s="2">
        <f>HYPERLINK("https://www.amazon.com/Adjustable-Capacity-Klein-Tools-D507-10/dp/B000ALGRG0/ref=sr_1_4?keywords=Klein+Tools+D507-8+Adjustable+Wrench%2C+Extra+Capacity+8-Inch&amp;qid=1694734984&amp;sr=8-4", "https://www.amazon.com/Adjustable-Capacity-Klein-Tools-D507-10/dp/B000ALGRG0/ref=sr_1_4?keywords=Klein+Tools+D507-8+Adjustable+Wrench%2C+Extra+Capacity+8-Inch&amp;qid=1694734984&amp;sr=8-4")</f>
        <v/>
      </c>
      <c r="F5414" t="inlineStr">
        <is>
          <t>B000ALGRG0</t>
        </is>
      </c>
      <c r="G5414">
        <f>_xlfn.IMAGE("https://edmondsonsupply.com/cdn/shop/products/d5078_b.jpg?v=1666010497")</f>
        <v/>
      </c>
      <c r="H5414">
        <f>_xlfn.IMAGE("https://m.media-amazon.com/images/I/51G2nXuUvrL._AC_UL320_.jpg")</f>
        <v/>
      </c>
      <c r="K5414" t="inlineStr">
        <is>
          <t>29.99</t>
        </is>
      </c>
      <c r="L5414" t="n">
        <v>35.99</v>
      </c>
      <c r="M5414" s="1" t="inlineStr">
        <is>
          <t>20.01%</t>
        </is>
      </c>
      <c r="N5414" s="7" t="n">
        <v>275.19</v>
      </c>
      <c r="O5414" t="n">
        <v>4.8</v>
      </c>
      <c r="P5414" t="n">
        <v>497</v>
      </c>
      <c r="R5414" t="inlineStr">
        <is>
          <t>InStock</t>
        </is>
      </c>
      <c r="S5414" t="inlineStr">
        <is>
          <t>45.44</t>
        </is>
      </c>
      <c r="T5414" t="inlineStr">
        <is>
          <t>4353085014116</t>
        </is>
      </c>
    </row>
    <row r="5415" ht="87" customHeight="1">
      <c r="A5415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5415" s="2">
        <f>HYPERLINK("https://edmondsonsupply.com/products/klein-tools-d507-8-adjustable-wrench-extra-capacity-8-inch", "https://edmondsonsupply.com/products/klein-tools-d507-8-adjustable-wrench-extra-capacity-8-inch")</f>
        <v/>
      </c>
      <c r="C5415" t="inlineStr">
        <is>
          <t>Klein Tools D507-8 Adjustable Wrench, Extra Capacity 8-Inch</t>
        </is>
      </c>
      <c r="D5415" t="inlineStr">
        <is>
          <t>Klein Tools 507-10 Adjustable Wrench, Extra Capacity Jaw Forged Drive Wrench with High Polish Chrome Finish, 10-Inch</t>
        </is>
      </c>
      <c r="E5415" s="2">
        <f>HYPERLINK("https://www.amazon.com/Klein-Tools-507-10-Adjustable-Extra-Capacity/dp/B001BQ0DZE/ref=sr_1_9?keywords=Klein+Tools+D507-8+Adjustable+Wrench%2C+Extra+Capacity+8-Inch&amp;qid=1694734984&amp;sr=8-9", "https://www.amazon.com/Klein-Tools-507-10-Adjustable-Extra-Capacity/dp/B001BQ0DZE/ref=sr_1_9?keywords=Klein+Tools+D507-8+Adjustable+Wrench%2C+Extra+Capacity+8-Inch&amp;qid=1694734984&amp;sr=8-9")</f>
        <v/>
      </c>
      <c r="F5415" t="inlineStr">
        <is>
          <t>B001BQ0DZE</t>
        </is>
      </c>
      <c r="G5415">
        <f>_xlfn.IMAGE("https://edmondsonsupply.com/cdn/shop/products/d5078_b.jpg?v=1666010497")</f>
        <v/>
      </c>
      <c r="H5415">
        <f>_xlfn.IMAGE("https://m.media-amazon.com/images/I/41QFoeMz0WL._AC_UL320_.jpg")</f>
        <v/>
      </c>
      <c r="K5415" t="inlineStr">
        <is>
          <t>29.99</t>
        </is>
      </c>
      <c r="L5415" t="n">
        <v>35.99</v>
      </c>
      <c r="M5415" s="1" t="inlineStr">
        <is>
          <t>20.01%</t>
        </is>
      </c>
      <c r="N5415" s="7" t="n">
        <v>270.65</v>
      </c>
      <c r="O5415" t="n">
        <v>4.7</v>
      </c>
      <c r="P5415" t="n">
        <v>20</v>
      </c>
      <c r="R5415" t="inlineStr">
        <is>
          <t>InStock</t>
        </is>
      </c>
      <c r="S5415" t="inlineStr">
        <is>
          <t>45.44</t>
        </is>
      </c>
      <c r="T5415" t="inlineStr">
        <is>
          <t>4353085014116</t>
        </is>
      </c>
    </row>
    <row r="5416" ht="87" customHeight="1">
      <c r="A5416" s="2">
        <f>HYPERLINK("https://edmondsonsupply.com/collections/electricians-tools/products/klein-tools-66001-2-in-1-impact-socket-12-point-3-4-and-9-16", "https://edmondsonsupply.com/collections/electricians-tools/products/klein-tools-66001-2-in-1-impact-socket-12-point-3-4-and-9-16")</f>
        <v/>
      </c>
      <c r="B5416" s="2">
        <f>HYPERLINK("https://edmondsonsupply.com/products/klein-tools-66001-2-in-1-impact-socket-12-point-3-4-and-9-16", "https://edmondsonsupply.com/products/klein-tools-66001-2-in-1-impact-socket-12-point-3-4-and-9-16")</f>
        <v/>
      </c>
      <c r="C5416" t="inlineStr">
        <is>
          <t>Klein Tools 66001 2-in-1 Impact Socket, 12-Point, 3/4 and 9/16-Inch</t>
        </is>
      </c>
      <c r="D5416" t="inlineStr">
        <is>
          <t>Klein Tools 66030 2-in-1 Non-Marring Impact Socket, Coated 12-Point Deep Sockets, 3/4- and 9/16-Inch Sizes</t>
        </is>
      </c>
      <c r="E5416" s="2">
        <f>HYPERLINK("https://www.amazon.com/Non-Marring-12-Point-Klein-Tools-66030/dp/B09JWM5Y6N/ref=sr_1_2?keywords=Klein+Tools+66001+2-in-1+Impact+Socket%2C+12-Point%2C+3%2F4+and+9%2F16-Inch&amp;qid=1694735393&amp;sr=8-2", "https://www.amazon.com/Non-Marring-12-Point-Klein-Tools-66030/dp/B09JWM5Y6N/ref=sr_1_2?keywords=Klein+Tools+66001+2-in-1+Impact+Socket%2C+12-Point%2C+3%2F4+and+9%2F16-Inch&amp;qid=1694735393&amp;sr=8-2")</f>
        <v/>
      </c>
      <c r="F5416" t="inlineStr">
        <is>
          <t>B09JWM5Y6N</t>
        </is>
      </c>
      <c r="G5416">
        <f>_xlfn.IMAGE("https://edmondsonsupply.com/cdn/shop/products/66001.jpg?v=1587145114")</f>
        <v/>
      </c>
      <c r="H5416">
        <f>_xlfn.IMAGE("https://m.media-amazon.com/images/I/41w38OgEo3L._AC_UL320_.jpg")</f>
        <v/>
      </c>
      <c r="K5416" t="inlineStr">
        <is>
          <t>39.99</t>
        </is>
      </c>
      <c r="L5416" t="n">
        <v>47.99</v>
      </c>
      <c r="M5416" s="1" t="inlineStr">
        <is>
          <t>20.01%</t>
        </is>
      </c>
      <c r="N5416" s="7" t="n">
        <v>267.39</v>
      </c>
      <c r="O5416" t="n">
        <v>5</v>
      </c>
      <c r="P5416" t="n">
        <v>2</v>
      </c>
      <c r="R5416" t="inlineStr">
        <is>
          <t>InStock</t>
        </is>
      </c>
      <c r="S5416" t="inlineStr">
        <is>
          <t>68.0</t>
        </is>
      </c>
      <c r="T5416" t="inlineStr">
        <is>
          <t>1901029556324</t>
        </is>
      </c>
    </row>
    <row r="5417" ht="87" customHeight="1">
      <c r="A5417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5417" s="2">
        <f>HYPERLINK("https://edmondsonsupply.com/products/klein-tools-31902-bi-metal-hole-saw-kit-8-piece", "https://edmondsonsupply.com/products/klein-tools-31902-bi-metal-hole-saw-kit-8-piece")</f>
        <v/>
      </c>
      <c r="C5417" t="inlineStr">
        <is>
          <t>Klein Tools 31902 Bi-Metal Hole Saw Kit, 8-Piece</t>
        </is>
      </c>
      <c r="D5417" t="inlineStr">
        <is>
          <t>Klein Tools 31872 Heavy Duty Hole Cutter Kit, Includes Carbide Hole Cutters and Pilot Bit in Rust-Proof Molded Plastic Case, 4-Piece</t>
        </is>
      </c>
      <c r="E5417" s="2">
        <f>HYPERLINK("https://www.amazon.com/Carbide-Cutter-Klein-Tools-31872/dp/B003CCR97A/ref=sr_1_14?keywords=Klein+Tools+31902+Bi-Metal+Hole+Saw+Kit%2C+8-Piece&amp;qid=1694735008&amp;sr=8-14", "https://www.amazon.com/Carbide-Cutter-Klein-Tools-31872/dp/B003CCR97A/ref=sr_1_14?keywords=Klein+Tools+31902+Bi-Metal+Hole+Saw+Kit%2C+8-Piece&amp;qid=1694735008&amp;sr=8-14")</f>
        <v/>
      </c>
      <c r="F5417" t="inlineStr">
        <is>
          <t>B003CCR97A</t>
        </is>
      </c>
      <c r="G5417">
        <f>_xlfn.IMAGE("https://edmondsonsupply.com/cdn/shop/products/31902.jpg?v=1679665390")</f>
        <v/>
      </c>
      <c r="H5417">
        <f>_xlfn.IMAGE("https://m.media-amazon.com/images/I/61oX7BDmtJL._AC_UL320_.jpg")</f>
        <v/>
      </c>
      <c r="K5417" t="inlineStr">
        <is>
          <t>74.99</t>
        </is>
      </c>
      <c r="L5417" t="n">
        <v>89.98999999999999</v>
      </c>
      <c r="M5417" s="1" t="inlineStr">
        <is>
          <t>20.00%</t>
        </is>
      </c>
      <c r="N5417" s="7" t="n">
        <v>267.05</v>
      </c>
      <c r="O5417" t="n">
        <v>4.7</v>
      </c>
      <c r="P5417" t="n">
        <v>927</v>
      </c>
      <c r="R5417" t="inlineStr">
        <is>
          <t>InStock</t>
        </is>
      </c>
      <c r="S5417" t="inlineStr">
        <is>
          <t>105.24</t>
        </is>
      </c>
      <c r="T5417" t="inlineStr">
        <is>
          <t>7966205673688</t>
        </is>
      </c>
    </row>
    <row r="5418" ht="87" customHeight="1">
      <c r="A5418" s="2">
        <f>HYPERLINK("https://edmondsonsupply.com/collections/electricians-tools/products/klein-tools-et180-digital-differential-manometer", "https://edmondsonsupply.com/collections/electricians-tools/products/klein-tools-et180-digital-differential-manometer")</f>
        <v/>
      </c>
      <c r="B5418" s="2">
        <f>HYPERLINK("https://edmondsonsupply.com/products/klein-tools-et180-digital-differential-manometer", "https://edmondsonsupply.com/products/klein-tools-et180-digital-differential-manometer")</f>
        <v/>
      </c>
      <c r="C5418" t="inlineStr">
        <is>
          <t>Klein Tools ET180 Digital Differential Manometer</t>
        </is>
      </c>
      <c r="D5418" t="inlineStr">
        <is>
          <t>Digital Manometer, Air and Gas Pressure Tester, Differential Dual Port Pressure Gauge, Large LCD Display with Backlight Klein Tools ET180 &amp; ET10 Magnetic Digital Pocket Thermometer</t>
        </is>
      </c>
      <c r="E5418" s="2">
        <f>HYPERLINK("https://www.amazon.com/Manometer-Differential-Klein-Tools-Thermometer/dp/B0BD3TD1X3/ref=sr_1_2?keywords=Klein+Tools+ET180+Digital+Differential+Manometer&amp;qid=1694734974&amp;sr=8-2", "https://www.amazon.com/Manometer-Differential-Klein-Tools-Thermometer/dp/B0BD3TD1X3/ref=sr_1_2?keywords=Klein+Tools+ET180+Digital+Differential+Manometer&amp;qid=1694734974&amp;sr=8-2")</f>
        <v/>
      </c>
      <c r="F5418" t="inlineStr">
        <is>
          <t>B0BD3TD1X3</t>
        </is>
      </c>
      <c r="G5418">
        <f>_xlfn.IMAGE("https://edmondsonsupply.com/cdn/shop/products/et180.jpg?v=1664390112")</f>
        <v/>
      </c>
      <c r="H5418">
        <f>_xlfn.IMAGE("https://m.media-amazon.com/images/I/51-5iG6Yo-L._AC_UY218_.jpg")</f>
        <v/>
      </c>
      <c r="K5418" t="inlineStr">
        <is>
          <t>109.99</t>
        </is>
      </c>
      <c r="L5418" t="n">
        <v>131.98</v>
      </c>
      <c r="M5418" s="1" t="inlineStr">
        <is>
          <t>19.99%</t>
        </is>
      </c>
      <c r="N5418" s="7" t="n">
        <v>266.83</v>
      </c>
      <c r="O5418" t="n">
        <v>5</v>
      </c>
      <c r="P5418" t="n">
        <v>2</v>
      </c>
      <c r="R5418" t="inlineStr">
        <is>
          <t>InStock</t>
        </is>
      </c>
      <c r="S5418" t="inlineStr">
        <is>
          <t>151.98</t>
        </is>
      </c>
      <c r="T5418" t="inlineStr">
        <is>
          <t>7832184094936</t>
        </is>
      </c>
    </row>
    <row r="5419" ht="87" customHeight="1">
      <c r="A5419" s="2">
        <f>HYPERLINK("https://edmondsonsupply.com/collections/electricians-tools/products/diablo-tools-dmaplcc1010-1-in-sds-plus-thin-wall-carbide-tipped-core-bit", "https://edmondsonsupply.com/collections/electricians-tools/products/diablo-tools-dmaplcc1010-1-in-sds-plus-thin-wall-carbide-tipped-core-bit")</f>
        <v/>
      </c>
      <c r="B5419" s="2">
        <f>HYPERLINK("https://edmondsonsupply.com/products/diablo-tools-dmaplcc1010-1-in-sds-plus-thin-wall-carbide-tipped-core-bit", "https://edmondsonsupply.com/products/diablo-tools-dmaplcc1010-1-in-sds-plus-thin-wall-carbide-tipped-core-bit")</f>
        <v/>
      </c>
      <c r="C5419" t="inlineStr">
        <is>
          <t>Diablo Tools DMAPLCC1010 1 in. SDS‑Plus Thin Wall Carbide Tipped Core Bit</t>
        </is>
      </c>
      <c r="D5419" t="inlineStr">
        <is>
          <t>Diablo 1-3/16 in. SDS-Plus Thin Wall Carbide Tipped Core Bit</t>
        </is>
      </c>
      <c r="E5419" s="2">
        <f>HYPERLINK("https://www.amazon.com/Diablo-DMAPLCC1020-SDS-Plus-Carbide-Tipped/dp/B089M7WZCX/ref=sr_1_1?keywords=Diablo+Tools+DMAPLCC1010+1+in.+SDS%E2%80%91Plus+Thin+Wall+Carbide+Tipped+Core+Bit&amp;qid=1694735288&amp;sr=8-1", "https://www.amazon.com/Diablo-DMAPLCC1020-SDS-Plus-Carbide-Tipped/dp/B089M7WZCX/ref=sr_1_1?keywords=Diablo+Tools+DMAPLCC1010+1+in.+SDS%E2%80%91Plus+Thin+Wall+Carbide+Tipped+Core+Bit&amp;qid=1694735288&amp;sr=8-1")</f>
        <v/>
      </c>
      <c r="F5419" t="inlineStr">
        <is>
          <t>B089M7WZCX</t>
        </is>
      </c>
      <c r="G5419">
        <f>_xlfn.IMAGE("https://edmondsonsupply.com/cdn/shop/products/DMAPLCC1010_Main-Image20200513.png?v=1633030478")</f>
        <v/>
      </c>
      <c r="H5419">
        <f>_xlfn.IMAGE("https://m.media-amazon.com/images/I/816fmsKiD1L._AC_UL320_.jpg")</f>
        <v/>
      </c>
      <c r="K5419" t="inlineStr">
        <is>
          <t>34.97</t>
        </is>
      </c>
      <c r="L5419" t="n">
        <v>41.95</v>
      </c>
      <c r="M5419" s="1" t="inlineStr">
        <is>
          <t>19.96%</t>
        </is>
      </c>
      <c r="N5419" s="7" t="n">
        <v>264.08</v>
      </c>
      <c r="O5419" t="n">
        <v>5</v>
      </c>
      <c r="P5419" t="n">
        <v>3</v>
      </c>
      <c r="R5419" t="inlineStr">
        <is>
          <t>InStock</t>
        </is>
      </c>
      <c r="S5419" t="inlineStr">
        <is>
          <t>50.0</t>
        </is>
      </c>
      <c r="T5419" t="inlineStr">
        <is>
          <t>5369335185576</t>
        </is>
      </c>
    </row>
    <row r="5420" hidden="1" ht="15.75" customHeight="1">
      <c r="A5420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5420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5420" t="inlineStr">
        <is>
          <t>Klein Tools 66004 2-in-1 Impact Socket, 6-Point, 3/4 and 9/16-Inch</t>
        </is>
      </c>
      <c r="D5420" t="inlineStr">
        <is>
          <t>Klein Tools 66064 2-in-1 Deep Impact Socket, 6-Point 7/8-Inch and 11/16-Inch Hex Sizes, Use with Impact Wrenches BAT20-CW, BAT20-CW</t>
        </is>
      </c>
      <c r="E5420" s="2">
        <f>HYPERLINK("https://www.amazon.com/Klein-Tools-66064-Wrenches-BAT20-CW/dp/B09NDPYXGT/ref=sr_1_6?keywords=Klein+Tools+66004+2-in-1+Impact+Socket%2C+6-Point%2C+3%2F4+and+9%2F16-Inch&amp;qid=1694735397&amp;sr=8-6", "https://www.amazon.com/Klein-Tools-66064-Wrenches-BAT20-CW/dp/B09NDPYXGT/ref=sr_1_6?keywords=Klein+Tools+66004+2-in-1+Impact+Socket%2C+6-Point%2C+3%2F4+and+9%2F16-Inch&amp;qid=1694735397&amp;sr=8-6")</f>
        <v/>
      </c>
      <c r="F5420" t="inlineStr">
        <is>
          <t>B09NDPYXGT</t>
        </is>
      </c>
      <c r="G5420">
        <f>_xludf.IMAGE("https://edmondsonsupply.com/cdn/shop/products/66004.jpg?v=1664131249")</f>
        <v/>
      </c>
      <c r="H5420">
        <f>_xludf.IMAGE("https://m.media-amazon.com/images/I/61RVGA+UoZL._AC_UL320_.jpg")</f>
        <v/>
      </c>
      <c r="K5420" t="inlineStr">
        <is>
          <t>39.99</t>
        </is>
      </c>
      <c r="L5420" t="n">
        <v>47.97</v>
      </c>
      <c r="M5420" s="1" t="inlineStr">
        <is>
          <t>19.95%</t>
        </is>
      </c>
      <c r="N5420" s="1" t="n">
        <v>255.52</v>
      </c>
      <c r="O5420" t="n">
        <v>1</v>
      </c>
      <c r="P5420" t="n">
        <v>1</v>
      </c>
      <c r="R5420" t="inlineStr">
        <is>
          <t>InStock</t>
        </is>
      </c>
      <c r="S5420" t="inlineStr">
        <is>
          <t>68.0</t>
        </is>
      </c>
      <c r="T5420" t="inlineStr">
        <is>
          <t>4406308110436</t>
        </is>
      </c>
    </row>
    <row r="5421" ht="87" customHeight="1">
      <c r="A5421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5421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5421" t="inlineStr">
        <is>
          <t>Klein Tools 32288 8-in-1 Insulated Interchangeable Screwdriver Set</t>
        </is>
      </c>
      <c r="D5421" t="inlineStr">
        <is>
          <t>Klein Tools 32288 Insulated Screwdriver, 8-in-1 Screwdriver Set &amp; MAG2 Demagnetizer/Magnetizer for Screwdriver Bits and Tips, Makes Tools Magnetic with Powerful Rare-Earth Magnet</t>
        </is>
      </c>
      <c r="E5421" s="2">
        <f>HYPERLINK("https://www.amazon.com/Klein-Tools-Screwdriver-Demagnetizer-Magnetizer/dp/B0BXK8RB9N/ref=sr_1_5?keywords=Klein+Tools+32288+8-in-1+Insulated+Interchangeable+Screwdriver+Set&amp;qid=1694734974&amp;sr=8-5", "https://www.amazon.com/Klein-Tools-Screwdriver-Demagnetizer-Magnetizer/dp/B0BXK8RB9N/ref=sr_1_5?keywords=Klein+Tools+32288+8-in-1+Insulated+Interchangeable+Screwdriver+Set&amp;qid=1694734974&amp;sr=8-5")</f>
        <v/>
      </c>
      <c r="F5421" t="inlineStr">
        <is>
          <t>B0BXK8RB9N</t>
        </is>
      </c>
      <c r="G5421">
        <f>_xlfn.IMAGE("https://edmondsonsupply.com/cdn/shop/products/32288.jpg?v=1587146849")</f>
        <v/>
      </c>
      <c r="H5421">
        <f>_xlfn.IMAGE("https://m.media-amazon.com/images/I/51OwgO9uq9L._AC_UL320_.jpg")</f>
        <v/>
      </c>
      <c r="K5421" t="inlineStr">
        <is>
          <t>49.99</t>
        </is>
      </c>
      <c r="L5421" t="n">
        <v>59.96</v>
      </c>
      <c r="M5421" s="1" t="inlineStr">
        <is>
          <t>19.94%</t>
        </is>
      </c>
      <c r="N5421" s="7" t="n">
        <v>255.52</v>
      </c>
      <c r="O5421" t="n">
        <v>4.5</v>
      </c>
      <c r="P5421" t="n">
        <v>11</v>
      </c>
      <c r="R5421" t="inlineStr">
        <is>
          <t>InStock</t>
        </is>
      </c>
      <c r="S5421" t="inlineStr">
        <is>
          <t>69.98</t>
        </is>
      </c>
      <c r="T5421" t="inlineStr">
        <is>
          <t>4094849613924</t>
        </is>
      </c>
    </row>
    <row r="5422" ht="87" customHeight="1">
      <c r="A5422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5422" s="2">
        <f>HYPERLINK("https://edmondsonsupply.com/products/klein-tools-d502-10-pump-pliers-10-inch", "https://edmondsonsupply.com/products/klein-tools-d502-10-pump-pliers-10-inch")</f>
        <v/>
      </c>
      <c r="C5422" t="inlineStr">
        <is>
          <t>Klein Tools D502-10 Pump Pliers, 10-Inch</t>
        </is>
      </c>
      <c r="D5422" t="inlineStr">
        <is>
          <t>Klein Tools J502-10 Pliers, Adjustable Jaw Pump Pliers, Tongue and Groove, with Dual Material Handles, 10-Inch</t>
        </is>
      </c>
      <c r="E5422" s="2">
        <f>HYPERLINK("https://www.amazon.com/Adjustable-Material-Klein-Tools-J502-10/dp/B00093D51Y/ref=sr_1_7?keywords=Klein+Tools+D502-10+Pump+Pliers%2C+10-Inch&amp;qid=1694735235&amp;sr=8-7", "https://www.amazon.com/Adjustable-Material-Klein-Tools-J502-10/dp/B00093D51Y/ref=sr_1_7?keywords=Klein+Tools+D502-10+Pump+Pliers%2C+10-Inch&amp;qid=1694735235&amp;sr=8-7")</f>
        <v/>
      </c>
      <c r="F5422" t="inlineStr">
        <is>
          <t>B00093D51Y</t>
        </is>
      </c>
      <c r="G5422">
        <f>_xlfn.IMAGE("https://edmondsonsupply.com/cdn/shop/products/d50210_alt1.jpg?v=1633030884")</f>
        <v/>
      </c>
      <c r="H5422">
        <f>_xlfn.IMAGE("https://m.media-amazon.com/images/I/51+llp-35wL._AC_UL320_.jpg")</f>
        <v/>
      </c>
      <c r="K5422" t="inlineStr">
        <is>
          <t>24.99</t>
        </is>
      </c>
      <c r="L5422" t="n">
        <v>29.97</v>
      </c>
      <c r="M5422" s="1" t="inlineStr">
        <is>
          <t>19.93%</t>
        </is>
      </c>
      <c r="N5422" s="7" t="n">
        <v>255.48</v>
      </c>
      <c r="O5422" t="n">
        <v>4.6</v>
      </c>
      <c r="P5422" t="n">
        <v>365</v>
      </c>
      <c r="R5422" t="inlineStr">
        <is>
          <t>InStock</t>
        </is>
      </c>
      <c r="S5422" t="inlineStr">
        <is>
          <t>37.84</t>
        </is>
      </c>
      <c r="T5422" t="inlineStr">
        <is>
          <t>6203936669869</t>
        </is>
      </c>
    </row>
    <row r="5423" hidden="1" ht="15.75" customHeight="1">
      <c r="A5423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5423" s="2">
        <f>HYPERLINK("https://edmondsonsupply.com/products/klein-tools-935ab4v-accu-bend%e2%84%a2-level-4-vial-rem", "https://edmondsonsupply.com/products/klein-tools-935ab4v-accu-bend%e2%84%a2-level-4-vial-rem")</f>
        <v/>
      </c>
      <c r="C5423" t="inlineStr">
        <is>
          <t>Klein Tools 935AB4V ACCU-BEND™ Level, 4-Vial</t>
        </is>
      </c>
      <c r="D5423" t="inlineStr">
        <is>
          <t>Klein Tools 9216 Tape Measure, Heavy-Duty Measuring Tape &amp; 935AB4V Level, 6.25-Inch Magnetic Torpedo Level is a Conduit Level with 4 Vials, V-Groove and Magnet Track, High Viz Orange</t>
        </is>
      </c>
      <c r="E5423" s="2">
        <f>HYPERLINK("https://www.amazon.com/Klein-Tools-Heavy-Duty-Measuring-6-25-Inch/dp/B0BNL69F8D/ref=sr_1_14?keywords=Klein+Tools+935AB4V+ACCU-BEND%E2%84%A2+Level%2C+4-Vial&amp;qid=1694735422&amp;sr=8-14", "https://www.amazon.com/Klein-Tools-Heavy-Duty-Measuring-6-25-Inch/dp/B0BNL69F8D/ref=sr_1_14?keywords=Klein+Tools+935AB4V+ACCU-BEND%E2%84%A2+Level%2C+4-Vial&amp;qid=1694735422&amp;sr=8-14")</f>
        <v/>
      </c>
      <c r="F5423" t="inlineStr">
        <is>
          <t>B0BNL69F8D</t>
        </is>
      </c>
      <c r="G5423">
        <f>_xludf.IMAGE("https://edmondsonsupply.com/cdn/shop/files/935ab4v_b.jpg?v=1685715011")</f>
        <v/>
      </c>
      <c r="H5423">
        <f>_xludf.IMAGE("https://m.media-amazon.com/images/I/51cZ9H8byOL._AC_UL320_.jpg")</f>
        <v/>
      </c>
      <c r="K5423" t="inlineStr">
        <is>
          <t>29.97</t>
        </is>
      </c>
      <c r="L5423" t="n">
        <v>35.94</v>
      </c>
      <c r="M5423" s="1" t="inlineStr">
        <is>
          <t>19.92%</t>
        </is>
      </c>
      <c r="N5423" s="1" t="n">
        <v>255.15</v>
      </c>
      <c r="O5423" t="n">
        <v>3.8</v>
      </c>
      <c r="P5423" t="n">
        <v>4</v>
      </c>
      <c r="R5423" t="inlineStr">
        <is>
          <t>InStock</t>
        </is>
      </c>
      <c r="S5423" t="inlineStr">
        <is>
          <t>42.0</t>
        </is>
      </c>
      <c r="T5423" t="inlineStr">
        <is>
          <t>2766878081124</t>
        </is>
      </c>
    </row>
    <row r="5424" hidden="1" ht="15.75" customHeight="1">
      <c r="A5424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5424" s="2">
        <f>HYPERLINK("https://edmondsonsupply.com/products/klein-tools-9225-tape-measure-25-foot-magnetic-double-hook", "https://edmondsonsupply.com/products/klein-tools-9225-tape-measure-25-foot-magnetic-double-hook")</f>
        <v/>
      </c>
      <c r="C5424" t="inlineStr">
        <is>
          <t>Klein Tools 9225 Tape Measure, 25-Foot Magnetic Double-Hook</t>
        </is>
      </c>
      <c r="D5424" t="inlineStr">
        <is>
          <t>Klein Tools 9216 Tape Measure, Heavy-Duty Measuring Tape &amp; 9225 Tape Measure, Heavy-Duty Measuring Tape with 25-Foot Double-Hook Double-Sided Nylon Reinforced Blade, with Metal Belt Clip</t>
        </is>
      </c>
      <c r="E5424" s="2">
        <f>HYPERLINK("https://www.amazon.com/Klein-Tools-Heavy-Duty-Double-Hook-Double-Sided/dp/B0BNL5639C/ref=sr_1_5?keywords=Klein+Tools+9225+Tape+Measure%2C+25-Foot+Magnetic+Double-Hook&amp;qid=1694735384&amp;sr=8-5", "https://www.amazon.com/Klein-Tools-Heavy-Duty-Double-Hook-Double-Sided/dp/B0BNL5639C/ref=sr_1_5?keywords=Klein+Tools+9225+Tape+Measure%2C+25-Foot+Magnetic+Double-Hook&amp;qid=1694735384&amp;sr=8-5")</f>
        <v/>
      </c>
      <c r="F5424" t="inlineStr">
        <is>
          <t>B0BNL5639C</t>
        </is>
      </c>
      <c r="G5424">
        <f>_xludf.IMAGE("https://edmondsonsupply.com/cdn/shop/products/9225_photo.jpg?v=1587146541")</f>
        <v/>
      </c>
      <c r="H5424">
        <f>_xludf.IMAGE("https://m.media-amazon.com/images/I/51r26cVdoJL._AC_UL320_.jpg")</f>
        <v/>
      </c>
      <c r="K5424" t="inlineStr">
        <is>
          <t>29.97</t>
        </is>
      </c>
      <c r="L5424" t="n">
        <v>35.94</v>
      </c>
      <c r="M5424" s="1" t="inlineStr">
        <is>
          <t>19.92%</t>
        </is>
      </c>
      <c r="N5424" s="1" t="n">
        <v>254.36</v>
      </c>
      <c r="O5424" t="n">
        <v>3.8</v>
      </c>
      <c r="P5424" t="n">
        <v>4</v>
      </c>
      <c r="R5424" t="inlineStr">
        <is>
          <t>InStock</t>
        </is>
      </c>
      <c r="S5424" t="inlineStr">
        <is>
          <t>37.02</t>
        </is>
      </c>
      <c r="T5424" t="inlineStr">
        <is>
          <t>4411542175844</t>
        </is>
      </c>
    </row>
    <row r="5425" hidden="1" ht="15.75" customHeight="1">
      <c r="A5425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5425" s="2">
        <f>HYPERLINK("https://edmondsonsupply.com/products/klein-tools-jth6m10-10-mm-hex-key-journeyman-t-handle-6-inch", "https://edmondsonsupply.com/products/klein-tools-jth6m10-10-mm-hex-key-journeyman-t-handle-6-inch")</f>
        <v/>
      </c>
      <c r="C5425" t="inlineStr">
        <is>
          <t>Klein Tools JTH6M10 10 mm Hex Key Journeyman T-Handle 6-Inch</t>
        </is>
      </c>
      <c r="D5425" t="inlineStr">
        <is>
          <t>Klein Tools JTH6E15BE 3/8-Inch Hex Key with Ball End and Journeyman T-Handle, 6-Inch</t>
        </is>
      </c>
      <c r="E5425" s="2">
        <f>HYPERLINK("https://www.amazon.com/Klein-Tools-JTH6E15BE-Journeyman-T-Handle/dp/B004QW56FC/ref=sr_1_8?keywords=Klein+Tools+JTH6M10+10+mm+Hex+Key+Journeyman+T-Handle+6-Inch&amp;qid=1694735203&amp;sr=8-8", "https://www.amazon.com/Klein-Tools-JTH6E15BE-Journeyman-T-Handle/dp/B004QW56FC/ref=sr_1_8?keywords=Klein+Tools+JTH6M10+10+mm+Hex+Key+Journeyman+T-Handle+6-Inch&amp;qid=1694735203&amp;sr=8-8")</f>
        <v/>
      </c>
      <c r="F5425" t="inlineStr">
        <is>
          <t>B004QW56FC</t>
        </is>
      </c>
      <c r="G5425">
        <f>_xludf.IMAGE("https://edmondsonsupply.com/cdn/shop/products/jth6m8_64c2c8d3-e13e-4b81-9b34-745be7fd837a.jpg?v=1627827117")</f>
        <v/>
      </c>
      <c r="H5425">
        <f>_xludf.IMAGE("https://m.media-amazon.com/images/I/51f9vBFVXgL._AC_UL320_.jpg")</f>
        <v/>
      </c>
      <c r="K5425" t="inlineStr">
        <is>
          <t>8.99</t>
        </is>
      </c>
      <c r="L5425" t="n">
        <v>10.78</v>
      </c>
      <c r="M5425" s="1" t="inlineStr">
        <is>
          <t>19.91%</t>
        </is>
      </c>
      <c r="N5425" s="1" t="n">
        <v>250.39</v>
      </c>
      <c r="O5425" t="n">
        <v>4.8</v>
      </c>
      <c r="P5425" t="n">
        <v>454</v>
      </c>
      <c r="R5425" t="inlineStr">
        <is>
          <t>InStock</t>
        </is>
      </c>
      <c r="S5425" t="inlineStr">
        <is>
          <t>13.56</t>
        </is>
      </c>
      <c r="T5425" t="inlineStr">
        <is>
          <t>6852298014893</t>
        </is>
      </c>
    </row>
    <row r="5426" hidden="1" ht="15.75" customHeight="1">
      <c r="A5426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5426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5426" t="inlineStr">
        <is>
          <t>Klein Tools JTH6E15 3/8-Inch Hex Key with Journeyman T-Handle, 6-Inch</t>
        </is>
      </c>
      <c r="D5426" t="inlineStr">
        <is>
          <t>Klein Tools JTH6E15BE 3/8-Inch Hex Key with Ball End and Journeyman T-Handle, 6-Inch</t>
        </is>
      </c>
      <c r="E5426" s="2">
        <f>HYPERLINK("https://www.amazon.com/Klein-Tools-JTH6E15BE-Journeyman-T-Handle/dp/B004QW56FC/ref=sr_1_2?keywords=Klein+Tools+JTH6E15+3%2F8-Inch+Hex+Key+with+Journeyman+T-Handle%2C+6-Inch&amp;qid=1694735343&amp;sr=8-2", "https://www.amazon.com/Klein-Tools-JTH6E15BE-Journeyman-T-Handle/dp/B004QW56FC/ref=sr_1_2?keywords=Klein+Tools+JTH6E15+3%2F8-Inch+Hex+Key+with+Journeyman+T-Handle%2C+6-Inch&amp;qid=1694735343&amp;sr=8-2")</f>
        <v/>
      </c>
      <c r="F5426" t="inlineStr">
        <is>
          <t>B004QW56FC</t>
        </is>
      </c>
      <c r="G5426">
        <f>_xludf.IMAGE("https://edmondsonsupply.com/cdn/shop/products/jth6e15_c4dd65ba-86a8-4743-882c-88cf44faafdc.jpg?v=1587142819")</f>
        <v/>
      </c>
      <c r="H5426">
        <f>_xludf.IMAGE("https://m.media-amazon.com/images/I/51f9vBFVXgL._AC_UL320_.jpg")</f>
        <v/>
      </c>
      <c r="K5426" t="inlineStr">
        <is>
          <t>8.99</t>
        </is>
      </c>
      <c r="L5426" t="n">
        <v>10.78</v>
      </c>
      <c r="M5426" s="1" t="inlineStr">
        <is>
          <t>19.91%</t>
        </is>
      </c>
      <c r="N5426" s="1" t="n">
        <v>250.23</v>
      </c>
      <c r="O5426" t="n">
        <v>4.8</v>
      </c>
      <c r="P5426" t="n">
        <v>454</v>
      </c>
      <c r="R5426" t="inlineStr">
        <is>
          <t>InStock</t>
        </is>
      </c>
      <c r="S5426" t="inlineStr">
        <is>
          <t>13.56</t>
        </is>
      </c>
      <c r="T5426" t="inlineStr">
        <is>
          <t>4512705970276</t>
        </is>
      </c>
    </row>
    <row r="5427" ht="87" customHeight="1">
      <c r="A5427" s="2">
        <f>HYPERLINK("https://edmondsonsupply.com/collections/electricians-tools/products/reed-mfg-rw10-10-heavy-duty-straight-pipe-wrench", "https://edmondsonsupply.com/collections/electricians-tools/products/reed-mfg-rw10-10-heavy-duty-straight-pipe-wrench")</f>
        <v/>
      </c>
      <c r="B5427" s="2">
        <f>HYPERLINK("https://edmondsonsupply.com/products/reed-mfg-rw10-10-heavy-duty-straight-pipe-wrench", "https://edmondsonsupply.com/products/reed-mfg-rw10-10-heavy-duty-straight-pipe-wrench")</f>
        <v/>
      </c>
      <c r="C5427" t="inlineStr">
        <is>
          <t>Reed Mfg RW10 10" Heavy-Duty Straight Pipe Wrench</t>
        </is>
      </c>
      <c r="D5427" t="inlineStr">
        <is>
          <t>REED RW10 10" Heavy-Duty Pipe Wrench</t>
        </is>
      </c>
      <c r="E5427" s="2">
        <f>HYPERLINK("https://www.amazon.com/REED-RW10-Heavy-Duty-Pipe-Wrench/dp/B002JG0JV8/ref=sr_1_2?keywords=Reed+Mfg+RW10+10%22+Heavy-Duty+Straight+Pipe+Wrench&amp;qid=1694735214&amp;sr=8-2", "https://www.amazon.com/REED-RW10-Heavy-Duty-Pipe-Wrench/dp/B002JG0JV8/ref=sr_1_2?keywords=Reed+Mfg+RW10+10%22+Heavy-Duty+Straight+Pipe+Wrench&amp;qid=1694735214&amp;sr=8-2")</f>
        <v/>
      </c>
      <c r="F5427" t="inlineStr">
        <is>
          <t>B002JG0JV8</t>
        </is>
      </c>
      <c r="G5427">
        <f>_xlfn.IMAGE("https://edmondsonsupply.com/cdn/shop/products/02130-RW10-RGB.jpg?v=1633031011")</f>
        <v/>
      </c>
      <c r="H5427">
        <f>_xlfn.IMAGE("https://m.media-amazon.com/images/I/71kEKSUS3TL._AC_UL320_.jpg")</f>
        <v/>
      </c>
      <c r="K5427" t="inlineStr">
        <is>
          <t>22.35</t>
        </is>
      </c>
      <c r="L5427" t="n">
        <v>26.8</v>
      </c>
      <c r="M5427" s="1" t="inlineStr">
        <is>
          <t>19.91%</t>
        </is>
      </c>
      <c r="N5427" s="7" t="n">
        <v>247.87</v>
      </c>
      <c r="O5427" t="n">
        <v>5</v>
      </c>
      <c r="P5427" t="n">
        <v>4</v>
      </c>
      <c r="R5427" t="inlineStr">
        <is>
          <t>InStock</t>
        </is>
      </c>
      <c r="S5427" t="inlineStr">
        <is>
          <t>26.09</t>
        </is>
      </c>
      <c r="T5427" t="inlineStr">
        <is>
          <t>6696509472941</t>
        </is>
      </c>
    </row>
    <row r="5428" hidden="1" ht="15.75" customHeight="1">
      <c r="A5428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5428" s="2">
        <f>HYPERLINK("https://edmondsonsupply.com/products/klein-tools-s8-1-4-inch-hollow-shaft-nut-driver-3-inch-shaft", "https://edmondsonsupply.com/products/klein-tools-s8-1-4-inch-hollow-shaft-nut-driver-3-inch-shaft")</f>
        <v/>
      </c>
      <c r="C5428" t="inlineStr">
        <is>
          <t>Klein Tools S8 1/4-Inch Hollow Shaft Nut Driver, 3-Inch Shaft</t>
        </is>
      </c>
      <c r="D5428" t="inlineStr">
        <is>
          <t>Klein Tools 630-8MM 8 mm Nut Driver, Cushion-Grip, 3-Inch Hollow Shaft</t>
        </is>
      </c>
      <c r="E5428" s="2">
        <f>HYPERLINK("https://www.amazon.com/Driver-Cushion-Klein-Tools-630-8MM/dp/B0009ORXSE/ref=sr_1_13?keywords=Klein+Tools+S8+1%2F4-Inch+Hollow+Shaft+Nut+Driver%2C+3-Inch+Shaft&amp;qid=1694735248&amp;sr=8-13", "https://www.amazon.com/Driver-Cushion-Klein-Tools-630-8MM/dp/B0009ORXSE/ref=sr_1_13?keywords=Klein+Tools+S8+1%2F4-Inch+Hollow+Shaft+Nut+Driver%2C+3-Inch+Shaft&amp;qid=1694735248&amp;sr=8-13")</f>
        <v/>
      </c>
      <c r="F5428" t="inlineStr">
        <is>
          <t>B0009ORXSE</t>
        </is>
      </c>
      <c r="G5428">
        <f>_xludf.IMAGE("https://edmondsonsupply.com/cdn/shop/products/s10.jpg?v=1633030797")</f>
        <v/>
      </c>
      <c r="H5428">
        <f>_xludf.IMAGE("https://m.media-amazon.com/images/I/51ZGSUk+5xL._AC_UL320_.jpg")</f>
        <v/>
      </c>
      <c r="K5428" t="inlineStr">
        <is>
          <t>7.29</t>
        </is>
      </c>
      <c r="L5428" t="n">
        <v>8.74</v>
      </c>
      <c r="M5428" s="1" t="inlineStr">
        <is>
          <t>19.89%</t>
        </is>
      </c>
      <c r="N5428" s="1" t="n">
        <v>238.92</v>
      </c>
      <c r="O5428" t="n">
        <v>4.8</v>
      </c>
      <c r="P5428" t="n">
        <v>1115</v>
      </c>
      <c r="R5428" t="inlineStr">
        <is>
          <t>InStock</t>
        </is>
      </c>
      <c r="S5428" t="inlineStr">
        <is>
          <t>10.74</t>
        </is>
      </c>
      <c r="T5428" t="inlineStr">
        <is>
          <t>6000424485032</t>
        </is>
      </c>
    </row>
    <row r="5429" ht="87" customHeight="1">
      <c r="A5429" s="2">
        <f>HYPERLINK("https://edmondsonsupply.com/collections/electricians-tools/products/klein-tools-66040-2-in-1-impact-socket-set-12-point-5-piece", "https://edmondsonsupply.com/collections/electricians-tools/products/klein-tools-66040-2-in-1-impact-socket-set-12-point-5-piece")</f>
        <v/>
      </c>
      <c r="B5429" s="2">
        <f>HYPERLINK("https://edmondsonsupply.com/products/klein-tools-66040-2-in-1-impact-socket-set-12-point-5-piece", "https://edmondsonsupply.com/products/klein-tools-66040-2-in-1-impact-socket-set-12-point-5-piece")</f>
        <v/>
      </c>
      <c r="C5429" t="inlineStr">
        <is>
          <t>Klein Tools 66040 2-in-1 Impact Socket Set, 12-Point, 5-Piece</t>
        </is>
      </c>
      <c r="D5429" t="inlineStr">
        <is>
          <t>Klein Tools 66050E Metric Socket Set, Impact with 1/2-Inch Drive, 12-Point Deep Sockets, 5-Piece Set, Includes Carrying Case</t>
        </is>
      </c>
      <c r="E5429" s="2">
        <f>HYPERLINK("https://www.amazon.com/Klein-Tools-66050E-12-Point-Carrying/dp/B08R138PF6/ref=sr_1_9?keywords=Klein+Tools+66040+2-in-1+Impact+Socket+Set%2C+12-Point%2C+5-Piece&amp;qid=1694734983&amp;sr=8-9", "https://www.amazon.com/Klein-Tools-66050E-12-Point-Carrying/dp/B08R138PF6/ref=sr_1_9?keywords=Klein+Tools+66040+2-in-1+Impact+Socket+Set%2C+12-Point%2C+5-Piece&amp;qid=1694734983&amp;sr=8-9")</f>
        <v/>
      </c>
      <c r="F5429" t="inlineStr">
        <is>
          <t>B08R138PF6</t>
        </is>
      </c>
      <c r="G5429">
        <f>_xlfn.IMAGE("https://edmondsonsupply.com/cdn/shop/products/66040.jpg?v=1659120255")</f>
        <v/>
      </c>
      <c r="H5429">
        <f>_xlfn.IMAGE("https://m.media-amazon.com/images/I/61HXSd9dQWL._AC_UL320_.jpg")</f>
        <v/>
      </c>
      <c r="K5429" t="inlineStr">
        <is>
          <t>124.79</t>
        </is>
      </c>
      <c r="L5429" t="n">
        <v>149.54</v>
      </c>
      <c r="M5429" s="1" t="inlineStr">
        <is>
          <t>19.83%</t>
        </is>
      </c>
      <c r="N5429" s="7" t="n">
        <v>233.56</v>
      </c>
      <c r="O5429" t="n">
        <v>4.3</v>
      </c>
      <c r="P5429" t="n">
        <v>6</v>
      </c>
      <c r="R5429" t="inlineStr">
        <is>
          <t>InStock</t>
        </is>
      </c>
      <c r="S5429" t="inlineStr">
        <is>
          <t>217.02</t>
        </is>
      </c>
      <c r="T5429" t="inlineStr">
        <is>
          <t>7766538846424</t>
        </is>
      </c>
    </row>
    <row r="5430" hidden="1" ht="15.75" customHeight="1">
      <c r="A5430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5430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5430" t="inlineStr">
        <is>
          <t>Klein Tools 630-1/2 1/2-Inch Nut Driver, 3-Inch Shaft, Cushion-Grip</t>
        </is>
      </c>
      <c r="D5430" t="inlineStr">
        <is>
          <t>1/4-Inch Tip Nut Driver with 3-Inch Hollow Shaft and Cushion Grip Handle Klein Tools 630-1/4</t>
        </is>
      </c>
      <c r="E5430" s="2">
        <f>HYPERLINK("https://www.amazon.com/4-Inch-Cushion-Klein-Tools-630-1/dp/B00093DZR8/ref=sr_1_8?keywords=Klein+Tools+630-1%2F2+1%2F2-Inch+Nut+Driver%2C+3-Inch+Shaft%2C+Cushion-Grip&amp;qid=1694735275&amp;sr=8-8", "https://www.amazon.com/4-Inch-Cushion-Klein-Tools-630-1/dp/B00093DZR8/ref=sr_1_8?keywords=Klein+Tools+630-1%2F2+1%2F2-Inch+Nut+Driver%2C+3-Inch+Shaft%2C+Cushion-Grip&amp;qid=1694735275&amp;sr=8-8")</f>
        <v/>
      </c>
      <c r="F5430" t="inlineStr">
        <is>
          <t>B00093DZR8</t>
        </is>
      </c>
      <c r="G5430">
        <f>_xludf.IMAGE("https://edmondsonsupply.com/cdn/shop/products/630-1-2_7cf2cc87-b92f-4b67-9777-1bad53f29a16.jpg?v=1633030528")</f>
        <v/>
      </c>
      <c r="H5430">
        <f>_xludf.IMAGE("https://m.media-amazon.com/images/I/41gchQgPtfL._AC_UL320_.jpg")</f>
        <v/>
      </c>
      <c r="K5430" t="inlineStr">
        <is>
          <t>9.99</t>
        </is>
      </c>
      <c r="L5430" t="n">
        <v>11.97</v>
      </c>
      <c r="M5430" s="1" t="inlineStr">
        <is>
          <t>19.82%</t>
        </is>
      </c>
      <c r="N5430" s="1" t="n">
        <v>233.37</v>
      </c>
      <c r="O5430" t="n">
        <v>4.8</v>
      </c>
      <c r="P5430" t="n">
        <v>59</v>
      </c>
      <c r="R5430" t="inlineStr">
        <is>
          <t>InStock</t>
        </is>
      </c>
      <c r="S5430" t="inlineStr">
        <is>
          <t>14.38</t>
        </is>
      </c>
      <c r="T5430" t="inlineStr">
        <is>
          <t>5408826458280</t>
        </is>
      </c>
    </row>
    <row r="5431" hidden="1" ht="15.75" customHeight="1">
      <c r="A5431" s="2">
        <f>HYPERLINK("https://edmondsonsupply.com/collections/electricians-tools/products/milwaukee-2960-22-m18-fuel%E2%84%A2-3-8-mid-torque-impact-wrench-w-friction-ring-kit", "https://edmondsonsupply.com/collections/electricians-tools/products/milwaukee-2960-22-m18-fuel%E2%84%A2-3-8-mid-torque-impact-wrench-w-friction-ring-kit")</f>
        <v/>
      </c>
      <c r="B5431" s="2">
        <f>HYPERLINK("https://edmondsonsupply.com/products/milwaukee-2960-22-m18-fuel%e2%84%a2-3-8-mid-torque-impact-wrench-w-friction-ring-kit", "https://edmondsonsupply.com/products/milwaukee-2960-22-m18-fuel%e2%84%a2-3-8-mid-torque-impact-wrench-w-friction-ring-kit")</f>
        <v/>
      </c>
      <c r="C5431" t="inlineStr">
        <is>
          <t>Milwaukee 2960-22 M18 FUEL™ 3/8 " Mid-Torque Impact Wrench w/ Friction Ring Kit</t>
        </is>
      </c>
      <c r="D5431" t="inlineStr">
        <is>
          <t>Milwaukee 2863-22 M18 FUEL w/ ONEKEY High Torque Impact Wrench 1/2 in. Friction Ring Kit</t>
        </is>
      </c>
      <c r="E5431" s="2">
        <f>HYPERLINK("https://www.amazon.com/Milwaukee-ONE-KEY-Torque-Impact-Friction/dp/B08DTMV8DQ/ref=sr_1_2?keywords=Milwaukee+2960-22+M18+FUEL%E2%84%A2+3%2F8+%22+Mid-Torque+Impact+Wrench+w%2F+Friction+Ring+Kit&amp;qid=1694735132&amp;sr=8-2", "https://www.amazon.com/Milwaukee-ONE-KEY-Torque-Impact-Friction/dp/B08DTMV8DQ/ref=sr_1_2?keywords=Milwaukee+2960-22+M18+FUEL%E2%84%A2+3%2F8+%22+Mid-Torque+Impact+Wrench+w%2F+Friction+Ring+Kit&amp;qid=1694735132&amp;sr=8-2")</f>
        <v/>
      </c>
      <c r="F5431" t="inlineStr">
        <is>
          <t>B08DTMV8DQ</t>
        </is>
      </c>
      <c r="G5431">
        <f>_xludf.IMAGE("https://edmondsonsupply.com/cdn/shop/products/2960-22_Kit_1.png?v=1661616340")</f>
        <v/>
      </c>
      <c r="H5431">
        <f>_xludf.IMAGE("https://m.media-amazon.com/images/I/41bfbogzulL._AC_UL320_.jpg")</f>
        <v/>
      </c>
      <c r="K5431" t="inlineStr">
        <is>
          <t>459.0</t>
        </is>
      </c>
      <c r="L5431" t="n">
        <v>549.9</v>
      </c>
      <c r="M5431" s="1" t="inlineStr">
        <is>
          <t>19.80%</t>
        </is>
      </c>
      <c r="N5431" s="1" t="n">
        <v>230.57</v>
      </c>
      <c r="O5431" t="n">
        <v>3.6</v>
      </c>
      <c r="P5431" t="n">
        <v>2</v>
      </c>
      <c r="R5431" t="inlineStr">
        <is>
          <t>InStock</t>
        </is>
      </c>
      <c r="S5431" t="inlineStr">
        <is>
          <t>755.0</t>
        </is>
      </c>
      <c r="T5431" t="inlineStr">
        <is>
          <t>7795189809368</t>
        </is>
      </c>
    </row>
    <row r="5432" ht="87" customHeight="1">
      <c r="A5432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5432" s="2">
        <f>HYPERLINK("https://edmondsonsupply.com/products/diablo-tools-dag3090-7-8-in-x-17-1-2-in-auger-bit", "https://edmondsonsupply.com/products/diablo-tools-dag3090-7-8-in-x-17-1-2-in-auger-bit")</f>
        <v/>
      </c>
      <c r="C5432" t="inlineStr">
        <is>
          <t>Diablo Tools DAG3090 7/8 in. x 17-1/2 in. Auger Bit</t>
        </is>
      </c>
      <c r="D5432" t="inlineStr">
        <is>
          <t>Diablo DAG3080 13/16 in. x 17-1/2 in. Auger Bit</t>
        </is>
      </c>
      <c r="E5432" s="2">
        <f>HYPERLINK("https://www.amazon.com/Diablo-13-17-1-Auger-Bit/dp/B089LMQM9W/ref=sr_1_14?keywords=Diablo+Tools+DAG3090+7%2F8+in.+x+17-1%2F2+in.+Auger+Bit&amp;qid=1694735031&amp;sr=8-14", "https://www.amazon.com/Diablo-13-17-1-Auger-Bit/dp/B089LMQM9W/ref=sr_1_14?keywords=Diablo+Tools+DAG3090+7%2F8+in.+x+17-1%2F2+in.+Auger+Bit&amp;qid=1694735031&amp;sr=8-14")</f>
        <v/>
      </c>
      <c r="F5432" t="inlineStr">
        <is>
          <t>B089LMQM9W</t>
        </is>
      </c>
      <c r="G5432">
        <f>_xlfn.IMAGE("https://edmondsonsupply.com/cdn/shop/products/aorgtpkivjubhtbiiau0.webp?v=1677256849")</f>
        <v/>
      </c>
      <c r="H5432">
        <f>_xlfn.IMAGE("https://m.media-amazon.com/images/I/61p0PSz-tWL._AC_UL320_.jpg")</f>
        <v/>
      </c>
      <c r="K5432" t="inlineStr">
        <is>
          <t>22.99</t>
        </is>
      </c>
      <c r="L5432" t="n">
        <v>27.48</v>
      </c>
      <c r="M5432" s="1" t="inlineStr">
        <is>
          <t>19.53%</t>
        </is>
      </c>
      <c r="N5432" s="7" t="n">
        <v>229.82</v>
      </c>
      <c r="O5432" t="n">
        <v>4.1</v>
      </c>
      <c r="P5432" t="n">
        <v>8</v>
      </c>
      <c r="R5432" t="inlineStr">
        <is>
          <t>InStock</t>
        </is>
      </c>
      <c r="S5432" t="inlineStr">
        <is>
          <t>36.28</t>
        </is>
      </c>
      <c r="T5432" t="inlineStr">
        <is>
          <t>7950782136536</t>
        </is>
      </c>
    </row>
    <row r="5433" ht="87" customHeight="1">
      <c r="A5433" s="2">
        <f>HYPERLINK("https://edmondsonsupply.com/collections/electricians-tools/products/klein-tools-vdv501-853-scout%C2%AE-pro-3-tester-with-test-map%E2%84%A2-remote-kit", "https://edmondsonsupply.com/collections/electricians-tools/products/klein-tools-vdv501-853-scout%C2%AE-pro-3-tester-with-test-map%E2%84%A2-remote-kit")</f>
        <v/>
      </c>
      <c r="B5433" s="2">
        <f>HYPERLINK("https://edmondsonsupply.com/products/klein-tools-vdv501-853-scout%c2%ae-pro-3-tester-with-test-map%e2%84%a2-remote-kit", "https://edmondsonsupply.com/products/klein-tools-vdv501-853-scout%c2%ae-pro-3-tester-with-test-map%e2%84%a2-remote-kit")</f>
        <v/>
      </c>
      <c r="C5433" t="inlineStr">
        <is>
          <t>Klein Tools VDV501-853 Scout® Pro 3 Tester with Test + Map™ Remote Kit</t>
        </is>
      </c>
      <c r="D5433" t="inlineStr">
        <is>
          <t>Klein Tools VDV501-853 CoaxialCable Tester, Scout Pro 3 with Test-n-Map Remote &amp; VDV226-110 Ratcheting Modular Cable Crimper/Wire Stripper/Wire Cutter</t>
        </is>
      </c>
      <c r="E5433" s="2">
        <f>HYPERLINK("https://www.amazon.com/Klein-Tools-VDV501-853-CoaxialCable-Test-n-Map/dp/B09T71VH5Z/ref=sr_1_5?keywords=Klein+Tools+VDV501-853+Scout%C2%AE+Pro+3+Tester+with+Test+%2B+Map%E2%84%A2+Remote+Kit&amp;qid=1694735254&amp;sr=8-5", "https://www.amazon.com/Klein-Tools-VDV501-853-CoaxialCable-Test-n-Map/dp/B09T71VH5Z/ref=sr_1_5?keywords=Klein+Tools+VDV501-853+Scout%C2%AE+Pro+3+Tester+with+Test+%2B+Map%E2%84%A2+Remote+Kit&amp;qid=1694735254&amp;sr=8-5")</f>
        <v/>
      </c>
      <c r="F5433" t="inlineStr">
        <is>
          <t>B09T71VH5Z</t>
        </is>
      </c>
      <c r="G5433">
        <f>_xlfn.IMAGE("https://edmondsonsupply.com/cdn/shop/products/vdv501853_b.jpg?v=1633030673")</f>
        <v/>
      </c>
      <c r="H5433">
        <f>_xlfn.IMAGE("https://m.media-amazon.com/images/I/51NoymbZQ8L._AC_UY218_.jpg")</f>
        <v/>
      </c>
      <c r="K5433" t="inlineStr">
        <is>
          <t>259.99</t>
        </is>
      </c>
      <c r="L5433" t="n">
        <v>309.96</v>
      </c>
      <c r="M5433" s="1" t="inlineStr">
        <is>
          <t>19.22%</t>
        </is>
      </c>
      <c r="N5433" s="7" t="n">
        <v>229.56</v>
      </c>
      <c r="O5433" t="n">
        <v>5</v>
      </c>
      <c r="P5433" t="n">
        <v>1</v>
      </c>
      <c r="R5433" t="inlineStr">
        <is>
          <t>InStock</t>
        </is>
      </c>
      <c r="S5433" t="inlineStr">
        <is>
          <t>400.6</t>
        </is>
      </c>
      <c r="T5433" t="inlineStr">
        <is>
          <t>5799827800232</t>
        </is>
      </c>
    </row>
    <row r="5434" ht="87" customHeight="1">
      <c r="A5434" s="2">
        <f>HYPERLINK("https://edmondsonsupply.com/collections/electricians-tools/products/fluke-ikst7", "https://edmondsonsupply.com/collections/electricians-tools/products/fluke-ikst7")</f>
        <v/>
      </c>
      <c r="B5434" s="2">
        <f>HYPERLINK("https://edmondsonsupply.com/products/fluke-ikst7", "https://edmondsonsupply.com/products/fluke-ikst7")</f>
        <v/>
      </c>
      <c r="C5434" t="inlineStr">
        <is>
          <t>Fluke IKST7 Insulated Hand Tools Starter Kit</t>
        </is>
      </c>
      <c r="D5434" t="inlineStr">
        <is>
          <t>Fluke Insulated 5 Screwdriver + 3 Plier Tools Starter Kit, 1000V (IKST7)</t>
        </is>
      </c>
      <c r="E5434" s="2">
        <f>HYPERLINK("https://www.amazon.com/Insulated-Screwdriver-Plier-Tools-Starter/dp/B07SH2Z5LB/ref=sr_1_1?keywords=Fluke+IKST7+Insulated+Hand+Tools+Starter+Kit&amp;qid=1694735315&amp;sr=8-1", "https://www.amazon.com/Insulated-Screwdriver-Plier-Tools-Starter/dp/B07SH2Z5LB/ref=sr_1_1?keywords=Fluke+IKST7+Insulated+Hand+Tools+Starter+Kit&amp;qid=1694735315&amp;sr=8-1")</f>
        <v/>
      </c>
      <c r="F5434" t="inlineStr">
        <is>
          <t>B07SH2Z5LB</t>
        </is>
      </c>
      <c r="G5434">
        <f>_xlfn.IMAGE("https://edmondsonsupply.com/cdn/shop/products/ikst7-1.jpg?v=1589314584")</f>
        <v/>
      </c>
      <c r="H5434">
        <f>_xlfn.IMAGE("https://m.media-amazon.com/images/I/61V4QMu6PuL._AC_UL320_.jpg")</f>
        <v/>
      </c>
      <c r="K5434" t="inlineStr">
        <is>
          <t>269.99</t>
        </is>
      </c>
      <c r="L5434" t="n">
        <v>321.88</v>
      </c>
      <c r="M5434" s="1" t="inlineStr">
        <is>
          <t>19.22%</t>
        </is>
      </c>
      <c r="N5434" s="7" t="n">
        <v>223.36</v>
      </c>
      <c r="O5434" t="n">
        <v>4.5</v>
      </c>
      <c r="P5434" t="n">
        <v>42</v>
      </c>
      <c r="R5434" t="inlineStr">
        <is>
          <t>OutOfStock</t>
        </is>
      </c>
      <c r="S5434" t="inlineStr">
        <is>
          <t>299.99</t>
        </is>
      </c>
      <c r="T5434" t="inlineStr">
        <is>
          <t>4651083661412</t>
        </is>
      </c>
    </row>
    <row r="5435" ht="87" customHeight="1">
      <c r="A5435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435" s="2">
        <f>HYPERLINK("https://edmondsonsupply.com/products/klein-tools-32500mag-11-in-1-magnetic-screwdriver-nut-driver", "https://edmondsonsupply.com/products/klein-tools-32500mag-11-in-1-magnetic-screwdriver-nut-driver")</f>
        <v/>
      </c>
      <c r="C5435" t="inlineStr">
        <is>
          <t>Klein Tools 32500MAG 11-in-1 Magnetic Screwdriver / Nut Driver</t>
        </is>
      </c>
      <c r="D5435" t="inlineStr">
        <is>
          <t>Klein Tools 32505 Multi-Bit Screwdriver / Nut Driver 11-in-1 with Phillips, Slotted, Square and Combo Tips, Heat Treated for Long Life</t>
        </is>
      </c>
      <c r="E5435" s="2">
        <f>HYPERLINK("https://www.amazon.com/Combo-Screw-Klein-Tools-32505/dp/B00OLBLUBM/ref=sr_1_34?keywords=Klein+Tools+32500MAG+11-in-1+Magnetic+Screwdriver+%2F+Nut+Driver&amp;qid=1694735235&amp;sr=8-34", "https://www.amazon.com/Combo-Screw-Klein-Tools-32505/dp/B00OLBLUBM/ref=sr_1_34?keywords=Klein+Tools+32500MAG+11-in-1+Magnetic+Screwdriver+%2F+Nut+Driver&amp;qid=1694735235&amp;sr=8-34")</f>
        <v/>
      </c>
      <c r="F5435" t="inlineStr">
        <is>
          <t>B00OLBLUBM</t>
        </is>
      </c>
      <c r="G5435">
        <f>_xlfn.IMAGE("https://edmondsonsupply.com/cdn/shop/products/32500mag.jpg?v=1633030832")</f>
        <v/>
      </c>
      <c r="H5435">
        <f>_xlfn.IMAGE("https://m.media-amazon.com/images/I/5156lOrvpHL._AC_UL320_.jpg")</f>
        <v/>
      </c>
      <c r="K5435" t="inlineStr">
        <is>
          <t>20.97</t>
        </is>
      </c>
      <c r="L5435" t="n">
        <v>24.99</v>
      </c>
      <c r="M5435" s="1" t="inlineStr">
        <is>
          <t>19.17%</t>
        </is>
      </c>
      <c r="N5435" s="7" t="n">
        <v>222.35</v>
      </c>
      <c r="O5435" t="n">
        <v>4.7</v>
      </c>
      <c r="P5435" t="n">
        <v>110</v>
      </c>
      <c r="R5435" t="inlineStr">
        <is>
          <t>InStock</t>
        </is>
      </c>
      <c r="S5435" t="inlineStr">
        <is>
          <t>29.38</t>
        </is>
      </c>
      <c r="T5435" t="inlineStr">
        <is>
          <t>6082199814317</t>
        </is>
      </c>
    </row>
    <row r="5436" ht="87" customHeight="1">
      <c r="A5436" s="2">
        <f>HYPERLINK("https://edmondsonsupply.com/collections/electricians-tools/products/fieldpiece-sc480", "https://edmondsonsupply.com/collections/electricians-tools/products/fieldpiece-sc480")</f>
        <v/>
      </c>
      <c r="B5436" s="2">
        <f>HYPERLINK("https://edmondsonsupply.com/products/fieldpiece-sc480", "https://edmondsonsupply.com/products/fieldpiece-sc480")</f>
        <v/>
      </c>
      <c r="C5436" t="inlineStr">
        <is>
          <t>Fieldpiece SC480 Wireless Power Clamp Meter</t>
        </is>
      </c>
      <c r="D5436" t="inlineStr">
        <is>
          <t>Fieldpiece SC680 - Wireless Power Clamp Meter</t>
        </is>
      </c>
      <c r="E5436" s="2">
        <f>HYPERLINK("https://www.amazon.com/Fieldpiece-SC680-Wireless-Power-Clamp/dp/B0839M1W9X/ref=sr_1_3?keywords=Fieldpiece+SC480+Wireless+Power+Clamp+Meter&amp;qid=1694735376&amp;sr=8-3", "https://www.amazon.com/Fieldpiece-SC680-Wireless-Power-Clamp/dp/B0839M1W9X/ref=sr_1_3?keywords=Fieldpiece+SC480+Wireless+Power+Clamp+Meter&amp;qid=1694735376&amp;sr=8-3")</f>
        <v/>
      </c>
      <c r="F5436" t="inlineStr">
        <is>
          <t>B0839M1W9X</t>
        </is>
      </c>
      <c r="G5436">
        <f>_xlfn.IMAGE("https://edmondsonsupply.com/cdn/shop/products/SC480-main_400_350_c1_l_c.png?v=1587148044")</f>
        <v/>
      </c>
      <c r="H5436">
        <f>_xlfn.IMAGE("https://m.media-amazon.com/images/I/41OLjC+UioL._AC_UY218_.jpg")</f>
        <v/>
      </c>
      <c r="K5436" t="inlineStr">
        <is>
          <t>323.85</t>
        </is>
      </c>
      <c r="L5436" t="n">
        <v>385.9</v>
      </c>
      <c r="M5436" s="1" t="inlineStr">
        <is>
          <t>19.16%</t>
        </is>
      </c>
      <c r="N5436" s="7" t="n">
        <v>220.03</v>
      </c>
      <c r="O5436" t="n">
        <v>4.7</v>
      </c>
      <c r="P5436" t="n">
        <v>202</v>
      </c>
      <c r="R5436" t="inlineStr">
        <is>
          <t>InStock</t>
        </is>
      </c>
      <c r="S5436" t="inlineStr">
        <is>
          <t>381.0</t>
        </is>
      </c>
      <c r="T5436" t="inlineStr">
        <is>
          <t>4421237473380</t>
        </is>
      </c>
    </row>
    <row r="5437" ht="87" customHeight="1">
      <c r="A5437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5437" s="2">
        <f>HYPERLINK("https://edmondsonsupply.com/products/klein-tools-ncvt1xt-non-contact-voltage-tester-70-to-1000v-ac", "https://edmondsonsupply.com/products/klein-tools-ncvt1xt-non-contact-voltage-tester-70-to-1000v-ac")</f>
        <v/>
      </c>
      <c r="C5437" t="inlineStr">
        <is>
          <t>Klein Tools NCVT1XT Non-Contact Voltage Tester, 70 to 1000V AC</t>
        </is>
      </c>
      <c r="D5437" t="inlineStr">
        <is>
          <t>Klein Tools NCVT2P Dual Range, Non-Contact Voltage Tester, 12-1000V AC, Visual and Audible Indicators, Auto Power Off, Green</t>
        </is>
      </c>
      <c r="E5437" s="2">
        <f>HYPERLINK("https://www.amazon.com/Klein-Tools-NCVT2P-12-1000V-Flashing/dp/B07L5N8ZWS/ref=sr_1_4?keywords=Klein+Tools+NCVT1XT+Non-Contact+Voltage+Tester%2C+70+to+1000V+AC&amp;qid=1694735046&amp;sr=8-4", "https://www.amazon.com/Klein-Tools-NCVT2P-12-1000V-Flashing/dp/B07L5N8ZWS/ref=sr_1_4?keywords=Klein+Tools+NCVT1XT+Non-Contact+Voltage+Tester%2C+70+to+1000V+AC&amp;qid=1694735046&amp;sr=8-4")</f>
        <v/>
      </c>
      <c r="F5437" t="inlineStr">
        <is>
          <t>B07L5N8ZWS</t>
        </is>
      </c>
      <c r="G5437">
        <f>_xlfn.IMAGE("https://edmondsonsupply.com/cdn/shop/products/ncvt1xt.jpg?v=1674496568")</f>
        <v/>
      </c>
      <c r="H5437">
        <f>_xlfn.IMAGE("https://m.media-amazon.com/images/I/51GASnKpZ1L._AC_UL320_.jpg")</f>
        <v/>
      </c>
      <c r="K5437" t="inlineStr">
        <is>
          <t>19.97</t>
        </is>
      </c>
      <c r="L5437" t="n">
        <v>23.79</v>
      </c>
      <c r="M5437" s="1" t="inlineStr">
        <is>
          <t>19.13%</t>
        </is>
      </c>
      <c r="N5437" s="7" t="n">
        <v>218.48</v>
      </c>
      <c r="O5437" t="n">
        <v>4.7</v>
      </c>
      <c r="P5437" t="n">
        <v>638</v>
      </c>
      <c r="R5437" t="inlineStr">
        <is>
          <t>InStock</t>
        </is>
      </c>
      <c r="S5437" t="inlineStr">
        <is>
          <t>26.32</t>
        </is>
      </c>
      <c r="T5437" t="inlineStr">
        <is>
          <t>7931947155672</t>
        </is>
      </c>
    </row>
    <row r="5438" hidden="1" ht="15.75" customHeight="1">
      <c r="A5438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5438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5438" t="inlineStr">
        <is>
          <t>Klein Tools JTH6E14BE 5/16-Inch Ball End Hex Key with T-Handle, 6-Inch</t>
        </is>
      </c>
      <c r="D5438" t="inlineStr">
        <is>
          <t>Klein Tools JTH6E14BE 5/16-Inch Ball End Hex Key with Journeyman T-Handle, 6-Inch</t>
        </is>
      </c>
      <c r="E5438" s="2">
        <f>HYPERLINK("https://www.amazon.com/Journeyman-T-Handle-Klein-Tools-JTH6E14BE/dp/B004QW1IC2/ref=sr_1_1?keywords=Klein+Tools+JTH6E14BE+5%2F16-Inch+Ball+End+Hex+Key+with+T-Handle%2C+6-Inch&amp;qid=1694735186&amp;sr=8-1", "https://www.amazon.com/Journeyman-T-Handle-Klein-Tools-JTH6E14BE/dp/B004QW1IC2/ref=sr_1_1?keywords=Klein+Tools+JTH6E14BE+5%2F16-Inch+Ball+End+Hex+Key+with+T-Handle%2C+6-Inch&amp;qid=1694735186&amp;sr=8-1")</f>
        <v/>
      </c>
      <c r="F5438" t="inlineStr">
        <is>
          <t>B004QW1IC2</t>
        </is>
      </c>
      <c r="G5438">
        <f>_xludf.IMAGE("https://edmondsonsupply.com/cdn/shop/products/jth6e13be_0da4cca6-ce15-419c-bc75-cd610bd9637f.jpg?v=1629825198")</f>
        <v/>
      </c>
      <c r="H5438">
        <f>_xludf.IMAGE("https://m.media-amazon.com/images/I/51f9vBFVXgL._AC_UL320_.jpg")</f>
        <v/>
      </c>
      <c r="K5438" t="inlineStr">
        <is>
          <t>8.49</t>
        </is>
      </c>
      <c r="L5438" t="n">
        <v>10.11</v>
      </c>
      <c r="M5438" s="1" t="inlineStr">
        <is>
          <t>19.08%</t>
        </is>
      </c>
      <c r="N5438" s="1" t="n">
        <v>211.35</v>
      </c>
      <c r="O5438" t="n">
        <v>4.8</v>
      </c>
      <c r="P5438" t="n">
        <v>454</v>
      </c>
      <c r="R5438" t="inlineStr">
        <is>
          <t>InStock</t>
        </is>
      </c>
      <c r="S5438" t="inlineStr">
        <is>
          <t>12.88</t>
        </is>
      </c>
      <c r="T5438" t="inlineStr">
        <is>
          <t>6899546161325</t>
        </is>
      </c>
    </row>
    <row r="5439" ht="87" customHeight="1">
      <c r="A5439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439" s="2">
        <f>HYPERLINK("https://edmondsonsupply.com/products/klein-tools-32500mag-11-in-1-magnetic-screwdriver-nut-driver", "https://edmondsonsupply.com/products/klein-tools-32500mag-11-in-1-magnetic-screwdriver-nut-driver")</f>
        <v/>
      </c>
      <c r="C5439" t="inlineStr">
        <is>
          <t>Klein Tools 32500MAG 11-in-1 Magnetic Screwdriver / Nut Driver</t>
        </is>
      </c>
      <c r="D5439" t="inlineStr">
        <is>
          <t>Klein Tools 32307 Multi-bit Tamperproof Screwdriver, 27-in-1 Tool with Torx, Hex, Torq and Spanner Bits with 1/4-Inch Nut Driver</t>
        </is>
      </c>
      <c r="E5439" s="2">
        <f>HYPERLINK("https://www.amazon.com/Klein-Tools-32307-Tamperproof-Screwdriver/dp/B08KFL4QD4/ref=sr_1_19?keywords=Klein+Tools+32500MAG+11-in-1+Magnetic+Screwdriver+%2F+Nut+Driver&amp;qid=1694735235&amp;sr=8-19", "https://www.amazon.com/Klein-Tools-32307-Tamperproof-Screwdriver/dp/B08KFL4QD4/ref=sr_1_19?keywords=Klein+Tools+32500MAG+11-in-1+Magnetic+Screwdriver+%2F+Nut+Driver&amp;qid=1694735235&amp;sr=8-19")</f>
        <v/>
      </c>
      <c r="F5439" t="inlineStr">
        <is>
          <t>B08KFL4QD4</t>
        </is>
      </c>
      <c r="G5439">
        <f>_xlfn.IMAGE("https://edmondsonsupply.com/cdn/shop/products/32500mag.jpg?v=1633030832")</f>
        <v/>
      </c>
      <c r="H5439">
        <f>_xlfn.IMAGE("https://m.media-amazon.com/images/I/51VWsu+sN9L._AC_UL320_.jpg")</f>
        <v/>
      </c>
      <c r="K5439" t="inlineStr">
        <is>
          <t>20.97</t>
        </is>
      </c>
      <c r="L5439" t="n">
        <v>24.97</v>
      </c>
      <c r="M5439" s="1" t="inlineStr">
        <is>
          <t>19.07%</t>
        </is>
      </c>
      <c r="N5439" s="7" t="n">
        <v>209.5</v>
      </c>
      <c r="O5439" t="n">
        <v>4.7</v>
      </c>
      <c r="P5439" t="n">
        <v>1624</v>
      </c>
      <c r="R5439" t="inlineStr">
        <is>
          <t>InStock</t>
        </is>
      </c>
      <c r="S5439" t="inlineStr">
        <is>
          <t>29.38</t>
        </is>
      </c>
      <c r="T5439" t="inlineStr">
        <is>
          <t>6082199814317</t>
        </is>
      </c>
    </row>
    <row r="5440" ht="87" customHeight="1">
      <c r="A5440" s="2">
        <f>HYPERLINK("https://edmondsonsupply.com/collections/electricians-tools/products/klein-tools-56382-multi-groove-fiberglass-fish-tape-with-nylon-tip-50-foot", "https://edmondsonsupply.com/collections/electricians-tools/products/klein-tools-56382-multi-groove-fiberglass-fish-tape-with-nylon-tip-50-foot")</f>
        <v/>
      </c>
      <c r="B5440" s="2">
        <f>HYPERLINK("https://edmondsonsupply.com/products/klein-tools-56382-multi-groove-fiberglass-fish-tape-with-nylon-tip-50-foot", "https://edmondsonsupply.com/products/klein-tools-56382-multi-groove-fiberglass-fish-tape-with-nylon-tip-50-foot")</f>
        <v/>
      </c>
      <c r="C5440" t="inlineStr">
        <is>
          <t>Klein Tools 56382 Multi-Groove Fiberglass Fish Tape with Nylon Tip, 50-Foot</t>
        </is>
      </c>
      <c r="D5440" t="inlineStr">
        <is>
          <t>Klein Tools 56383 Non-Conductive 100-Foot Electrical Fish Tape, Multi-Groove Fiberglass Wire Puller with Nylon Tip, Optimized Housing and Handle</t>
        </is>
      </c>
      <c r="E5440" s="2">
        <f>HYPERLINK("https://www.amazon.com/Klein-Tools-56383-Multi-Groove-Fiberglass/dp/B08222VGN8/ref=sr_1_3?keywords=Klein+Tools+56382+Multi-Groove+Fiberglass+Fish+Tape+with+Nylon+Tip%2C+50-Foot&amp;qid=1694735387&amp;sr=8-3", "https://www.amazon.com/Klein-Tools-56383-Multi-Groove-Fiberglass/dp/B08222VGN8/ref=sr_1_3?keywords=Klein+Tools+56382+Multi-Groove+Fiberglass+Fish+Tape+with+Nylon+Tip%2C+50-Foot&amp;qid=1694735387&amp;sr=8-3")</f>
        <v/>
      </c>
      <c r="F5440" t="inlineStr">
        <is>
          <t>B08222VGN8</t>
        </is>
      </c>
      <c r="G5440">
        <f>_xlfn.IMAGE("https://edmondsonsupply.com/cdn/shop/products/56382.jpg?v=1587145193")</f>
        <v/>
      </c>
      <c r="H5440">
        <f>_xlfn.IMAGE("https://m.media-amazon.com/images/I/51Fs1Kjrk8L._AC_UL320_.jpg")</f>
        <v/>
      </c>
      <c r="K5440" t="inlineStr">
        <is>
          <t>89.99</t>
        </is>
      </c>
      <c r="L5440" t="n">
        <v>106.99</v>
      </c>
      <c r="M5440" s="1" t="inlineStr">
        <is>
          <t>18.89%</t>
        </is>
      </c>
      <c r="N5440" s="7" t="n">
        <v>209.31</v>
      </c>
      <c r="O5440" t="n">
        <v>4.7</v>
      </c>
      <c r="P5440" t="n">
        <v>135</v>
      </c>
      <c r="R5440" t="inlineStr">
        <is>
          <t>InStock</t>
        </is>
      </c>
      <c r="S5440" t="inlineStr">
        <is>
          <t>131.4</t>
        </is>
      </c>
      <c r="T5440" t="inlineStr">
        <is>
          <t>4412577874020</t>
        </is>
      </c>
    </row>
    <row r="5441" hidden="1" ht="15.75" customHeight="1">
      <c r="A5441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441" s="2">
        <f>HYPERLINK("https://edmondsonsupply.com/products/diablo-tools-dsp2130-p2-1-in-x-6-in-spade-bit", "https://edmondsonsupply.com/products/diablo-tools-dsp2130-p2-1-in-x-6-in-spade-bit")</f>
        <v/>
      </c>
      <c r="C5441" t="inlineStr">
        <is>
          <t>Diablo Tools DSP2130-P2 1 in. x 6 in. Spade Bit</t>
        </is>
      </c>
      <c r="D5441" t="inlineStr">
        <is>
          <t>Irwin Tools IRWIN SPEEDBOR Spade Wood Drill Bit 1"X 4" (87916)</t>
        </is>
      </c>
      <c r="E5441" s="2">
        <f>HYPERLINK("https://www.amazon.com/Speedbor-87916-Wood-Flat-Bit/dp/B00QKREJEK/ref=sr_1_24?keywords=Diablo+Tools+DSP2130-P2+1+in.+x+6+in.+Spade+Bit&amp;qid=1694735066&amp;sr=8-24", "https://www.amazon.com/Speedbor-87916-Wood-Flat-Bit/dp/B00QKREJEK/ref=sr_1_24?keywords=Diablo+Tools+DSP2130-P2+1+in.+x+6+in.+Spade+Bit&amp;qid=1694735066&amp;sr=8-24")</f>
        <v/>
      </c>
      <c r="F5441" t="inlineStr">
        <is>
          <t>B00QKREJEK</t>
        </is>
      </c>
      <c r="G5441">
        <f>_xludf.IMAGE("https://edmondsonsupply.com/cdn/shop/products/peyjwqlntvnioikkr5be.webp?v=1670515689")</f>
        <v/>
      </c>
      <c r="H5441">
        <f>_xludf.IMAGE("https://m.media-amazon.com/images/I/41LAFNNnePL._AC_UL320_.jpg")</f>
        <v/>
      </c>
      <c r="K5441" t="inlineStr">
        <is>
          <t>6.39</t>
        </is>
      </c>
      <c r="L5441" t="n">
        <v>7.59</v>
      </c>
      <c r="M5441" s="1" t="inlineStr">
        <is>
          <t>18.78%</t>
        </is>
      </c>
      <c r="N5441" s="1" t="n">
        <v>208.17</v>
      </c>
      <c r="O5441" t="n">
        <v>4.6</v>
      </c>
      <c r="P5441" t="n">
        <v>653</v>
      </c>
      <c r="R5441" t="inlineStr">
        <is>
          <t>InStock</t>
        </is>
      </c>
      <c r="S5441" t="inlineStr">
        <is>
          <t>undefined</t>
        </is>
      </c>
      <c r="T5441" t="inlineStr">
        <is>
          <t>7901272047832</t>
        </is>
      </c>
    </row>
    <row r="5442" hidden="1" ht="15.75" customHeight="1">
      <c r="A5442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5442" s="2">
        <f>HYPERLINK("https://edmondsonsupply.com/products/diablo-tools-dmapl2240-3-8-in-x-10-in-x-12-in-sds-plus-2-cutter", "https://edmondsonsupply.com/products/diablo-tools-dmapl2240-3-8-in-x-10-in-x-12-in-sds-plus-2-cutter")</f>
        <v/>
      </c>
      <c r="C5442" t="inlineStr">
        <is>
          <t>Diablo Tools DMAPL2240 3/8 in. x 10 in. x 12 in. SDS-Plus 2-Cutter</t>
        </is>
      </c>
      <c r="D5442" t="inlineStr">
        <is>
          <t>Diablo by Freud DMAPL4160 3/8 in. x 10 in. x 12 in. Rebar Demon SDS-Plus 4-Cutter Full Carbide Head Hammer Bit</t>
        </is>
      </c>
      <c r="E5442" s="2">
        <f>HYPERLINK("https://www.amazon.com/Diablo-Freud-DMAPL4160-SDS-Plus-4-Cutter/dp/B089KX25B7/ref=sr_1_6?keywords=Diablo+Tools+DMAPL2240+3%2F8+in.+x+10+in.+x+12+in.+SDS-Plus+2-Cutter&amp;qid=1694735297&amp;sr=8-6", "https://www.amazon.com/Diablo-Freud-DMAPL4160-SDS-Plus-4-Cutter/dp/B089KX25B7/ref=sr_1_6?keywords=Diablo+Tools+DMAPL2240+3%2F8+in.+x+10+in.+x+12+in.+SDS-Plus+2-Cutter&amp;qid=1694735297&amp;sr=8-6")</f>
        <v/>
      </c>
      <c r="F5442" t="inlineStr">
        <is>
          <t>B089KX25B7</t>
        </is>
      </c>
      <c r="G5442">
        <f>_xludf.IMAGE("https://edmondsonsupply.com/cdn/shop/products/DMAPL2240-P25.jpg?v=1633030355")</f>
        <v/>
      </c>
      <c r="H5442">
        <f>_xludf.IMAGE("https://m.media-amazon.com/images/I/61MHnm3+2bL._AC_UL320_.jpg")</f>
        <v/>
      </c>
      <c r="K5442" t="inlineStr">
        <is>
          <t>10.97</t>
        </is>
      </c>
      <c r="L5442" t="n">
        <v>13.01</v>
      </c>
      <c r="M5442" s="1" t="inlineStr">
        <is>
          <t>18.60%</t>
        </is>
      </c>
      <c r="N5442" s="1" t="n">
        <v>207.77</v>
      </c>
      <c r="O5442" t="n">
        <v>4.5</v>
      </c>
      <c r="P5442" t="n">
        <v>39</v>
      </c>
      <c r="R5442" t="inlineStr">
        <is>
          <t>InStock</t>
        </is>
      </c>
      <c r="S5442" t="inlineStr">
        <is>
          <t>12.38</t>
        </is>
      </c>
      <c r="T5442" t="inlineStr">
        <is>
          <t>5286161252520</t>
        </is>
      </c>
    </row>
    <row r="5443" hidden="1" ht="15.75" customHeight="1">
      <c r="A5443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5443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5443" t="inlineStr">
        <is>
          <t>Klein Tools CL220 Digital Clamp Meter, AC Auto-Ranging 400 Amp with Temp</t>
        </is>
      </c>
      <c r="D5443" t="inlineStr">
        <is>
          <t>Klein Tools CL220 Digital Clamp Meter, Auto-Ranging 400 Amp AC, AC/DC Voltage, TRMS, Resistance, Continuity, NCVT Detection, and Temp &amp; 69417 Rare-Earth Magnetic Hanger, with Strap</t>
        </is>
      </c>
      <c r="E5443" s="2">
        <f>HYPERLINK("https://www.amazon.com/Klein-Tools-Auto-Ranging-Resistance-Continuity/dp/B0BC885SQJ/ref=sr_1_5?keywords=Klein+Tools+CL220+Digital+Clamp+Meter%2C+AC+Auto-Ranging+400+Amp+with+Temp&amp;qid=1694735238&amp;sr=8-5", "https://www.amazon.com/Klein-Tools-Auto-Ranging-Resistance-Continuity/dp/B0BC885SQJ/ref=sr_1_5?keywords=Klein+Tools+CL220+Digital+Clamp+Meter%2C+AC+Auto-Ranging+400+Amp+with+Temp&amp;qid=1694735238&amp;sr=8-5")</f>
        <v/>
      </c>
      <c r="F5443" t="inlineStr">
        <is>
          <t>B0BC885SQJ</t>
        </is>
      </c>
      <c r="G5443">
        <f>_xludf.IMAGE("https://edmondsonsupply.com/cdn/shop/products/cl220.jpg?v=1633030821")</f>
        <v/>
      </c>
      <c r="H5443">
        <f>_xludf.IMAGE("https://m.media-amazon.com/images/I/51eYCwafd6L._AC_UY218_.jpg")</f>
        <v/>
      </c>
      <c r="K5443" t="inlineStr">
        <is>
          <t>69.97</t>
        </is>
      </c>
      <c r="L5443" t="n">
        <v>82.97</v>
      </c>
      <c r="M5443" s="1" t="inlineStr">
        <is>
          <t>18.58%</t>
        </is>
      </c>
      <c r="N5443" s="1" t="n">
        <v>200.69</v>
      </c>
      <c r="O5443" t="n">
        <v>4</v>
      </c>
      <c r="P5443" t="n">
        <v>1</v>
      </c>
      <c r="R5443" t="inlineStr">
        <is>
          <t>InStock</t>
        </is>
      </c>
      <c r="S5443" t="inlineStr">
        <is>
          <t>93.22</t>
        </is>
      </c>
      <c r="T5443" t="inlineStr">
        <is>
          <t>6080846463149</t>
        </is>
      </c>
    </row>
    <row r="5444" hidden="1" ht="15.75" customHeight="1">
      <c r="A5444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5444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5444" t="inlineStr">
        <is>
          <t>Diablo Tools DMARG1090 1/4 in. x 10 in. x 12 in. SPEEDemon™ Red Granite Carbide Tipped Hammer Drill Bit</t>
        </is>
      </c>
      <c r="D5444" t="inlineStr">
        <is>
          <t>Diablo DMARG1130 3/8 in. x 10 in. x 12 in. SPEEDemon™ Red Granite Carbide Tipped Hammer Drill Bit</t>
        </is>
      </c>
      <c r="E5444" s="2">
        <f>HYPERLINK("https://www.amazon.com/Diablo-DMARG1130-SPEEDemon-Granite-Carbide/dp/B089LKXD73/ref=sr_1_3?keywords=Diablo+Tools+DMARG1090+1%2F4+in.+x+10+in.+x+12+in.+SPEEDemon%E2%84%A2+Red+Granite+Carbide+Tipped+Hammer+Drill+Bit&amp;qid=1694735286&amp;sr=8-3", "https://www.amazon.com/Diablo-DMARG1130-SPEEDemon-Granite-Carbide/dp/B089LKXD73/ref=sr_1_3?keywords=Diablo+Tools+DMARG1090+1%2F4+in.+x+10+in.+x+12+in.+SPEEDemon%E2%84%A2+Red+Granite+Carbide+Tipped+Hammer+Drill+Bit&amp;qid=1694735286&amp;sr=8-3")</f>
        <v/>
      </c>
      <c r="F5444" t="inlineStr">
        <is>
          <t>B089LKXD73</t>
        </is>
      </c>
      <c r="G5444">
        <f>_xludf.IMAGE("https://edmondsonsupply.com/cdn/shop/products/DMARG1090_Main-Image.png?v=1633030421")</f>
        <v/>
      </c>
      <c r="H5444">
        <f>_xludf.IMAGE("https://m.media-amazon.com/images/I/61atP0vUShL._AC_UL320_.jpg")</f>
        <v/>
      </c>
      <c r="K5444" t="inlineStr">
        <is>
          <t>11.97</t>
        </is>
      </c>
      <c r="L5444" t="n">
        <v>14.19</v>
      </c>
      <c r="M5444" s="1" t="inlineStr">
        <is>
          <t>18.55%</t>
        </is>
      </c>
      <c r="N5444" s="1" t="n">
        <v>199.87</v>
      </c>
      <c r="O5444" t="n">
        <v>4.8</v>
      </c>
      <c r="P5444" t="n">
        <v>11</v>
      </c>
      <c r="R5444" t="inlineStr">
        <is>
          <t>InStock</t>
        </is>
      </c>
      <c r="S5444" t="inlineStr">
        <is>
          <t>12.5</t>
        </is>
      </c>
      <c r="T5444" t="inlineStr">
        <is>
          <t>5318039339176</t>
        </is>
      </c>
    </row>
    <row r="5445" hidden="1" ht="15.75" customHeight="1">
      <c r="A5445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5445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5445" t="inlineStr">
        <is>
          <t>Klein Tools JTH4E09 9/64-Inch Hex Key Journeyman T-Handle 4-Inch</t>
        </is>
      </c>
      <c r="D5445" t="inlineStr">
        <is>
          <t>5/32-Inch Hex Key with Journeyman T-Handle, 9-Inch Klein Tools JTH9E10</t>
        </is>
      </c>
      <c r="E5445" s="2">
        <f>HYPERLINK("https://www.amazon.com/Journeyman-T-Handle-Klein-Tools-JTH9E10/dp/B004QV8H90/ref=sr_1_5?keywords=Klein+Tools+JTH4E09+9%2F64-Inch+Hex+Key+Journeyman+T-Handle+4-Inch&amp;qid=1694735175&amp;sr=8-5", "https://www.amazon.com/Journeyman-T-Handle-Klein-Tools-JTH9E10/dp/B004QV8H90/ref=sr_1_5?keywords=Klein+Tools+JTH4E09+9%2F64-Inch+Hex+Key+Journeyman+T-Handle+4-Inch&amp;qid=1694735175&amp;sr=8-5")</f>
        <v/>
      </c>
      <c r="F5445" t="inlineStr">
        <is>
          <t>B004QV8H90</t>
        </is>
      </c>
      <c r="G5445">
        <f>_xludf.IMAGE("https://edmondsonsupply.com/cdn/shop/products/jth4e06_be5118a6-2e9d-44f5-81ad-c027572dd2d3.jpg?v=1635981570")</f>
        <v/>
      </c>
      <c r="H5445">
        <f>_xludf.IMAGE("https://m.media-amazon.com/images/I/51Yb8h41vLL._AC_UL320_.jpg")</f>
        <v/>
      </c>
      <c r="K5445" t="inlineStr">
        <is>
          <t>3.79</t>
        </is>
      </c>
      <c r="L5445" t="n">
        <v>4.49</v>
      </c>
      <c r="M5445" s="1" t="inlineStr">
        <is>
          <t>18.47%</t>
        </is>
      </c>
      <c r="N5445" s="1" t="n">
        <v>199.85</v>
      </c>
      <c r="O5445" t="n">
        <v>4.8</v>
      </c>
      <c r="P5445" t="n">
        <v>293</v>
      </c>
      <c r="R5445" t="inlineStr">
        <is>
          <t>InStock</t>
        </is>
      </c>
      <c r="S5445" t="inlineStr">
        <is>
          <t>5.76</t>
        </is>
      </c>
      <c r="T5445" t="inlineStr">
        <is>
          <t>7434795876568</t>
        </is>
      </c>
    </row>
    <row r="5446" ht="87" customHeight="1">
      <c r="A5446" s="2">
        <f>HYPERLINK("https://edmondsonsupply.com/collections/electricians-tools/products/greenlee-gt13-non-contact-voltage-detector", "https://edmondsonsupply.com/collections/electricians-tools/products/greenlee-gt13-non-contact-voltage-detector")</f>
        <v/>
      </c>
      <c r="B5446" s="2">
        <f>HYPERLINK("https://edmondsonsupply.com/products/greenlee-gt13-non-contact-voltage-detector", "https://edmondsonsupply.com/products/greenlee-gt13-non-contact-voltage-detector")</f>
        <v/>
      </c>
      <c r="C5446" t="inlineStr">
        <is>
          <t>Greenlee GT13 Non-Contact Voltage Detector</t>
        </is>
      </c>
      <c r="D5446" t="inlineStr">
        <is>
          <t>Greenlee GT-16 Adjustable Non-Contact Voltage Detector, 5V - 1000V AC,Green</t>
        </is>
      </c>
      <c r="E5446" s="2">
        <f>HYPERLINK("https://www.amazon.com/Greenlee-GT-16-Adjustable-Non-Contact-Detector/dp/B001QIJOW0/ref=sr_1_2?keywords=Greenlee+GT13+Non-Contact+Voltage+Detector&amp;qid=1694735374&amp;sr=8-2", "https://www.amazon.com/Greenlee-GT-16-Adjustable-Non-Contact-Detector/dp/B001QIJOW0/ref=sr_1_2?keywords=Greenlee+GT13+Non-Contact+Voltage+Detector&amp;qid=1694735374&amp;sr=8-2")</f>
        <v/>
      </c>
      <c r="F5446" t="inlineStr">
        <is>
          <t>B001QIJOW0</t>
        </is>
      </c>
      <c r="G5446">
        <f>_xlfn.IMAGE("https://edmondsonsupply.com/cdn/shop/products/GT13_CAT2.jpg?v=1587145645")</f>
        <v/>
      </c>
      <c r="H5446">
        <f>_xlfn.IMAGE("https://m.media-amazon.com/images/I/71lcEOE1JiL._AC_UL320_.jpg")</f>
        <v/>
      </c>
      <c r="K5446" t="inlineStr">
        <is>
          <t>23.89</t>
        </is>
      </c>
      <c r="L5446" t="n">
        <v>28.3</v>
      </c>
      <c r="M5446" s="1" t="inlineStr">
        <is>
          <t>18.46%</t>
        </is>
      </c>
      <c r="N5446" s="7" t="n">
        <v>191.37</v>
      </c>
      <c r="O5446" t="n">
        <v>4.6</v>
      </c>
      <c r="P5446" t="n">
        <v>732</v>
      </c>
      <c r="R5446" t="inlineStr">
        <is>
          <t>InStock</t>
        </is>
      </c>
      <c r="S5446" t="inlineStr">
        <is>
          <t>25.7</t>
        </is>
      </c>
      <c r="T5446" t="inlineStr">
        <is>
          <t>4417287880804</t>
        </is>
      </c>
    </row>
    <row r="5447" ht="87" customHeight="1">
      <c r="A5447" s="2">
        <f>HYPERLINK("https://edmondsonsupply.com/collections/electricians-tools/products/diablo-tools-dmarg1170-5-8-in-x-4-in-x-6-in-speedemon%E2%84%A2-red-granite-carbide-tipped-hammer-drill-bit", "https://edmondsonsupply.com/collections/electricians-tools/products/diablo-tools-dmarg1170-5-8-in-x-4-in-x-6-in-speedemon%E2%84%A2-red-granite-carbide-tipped-hammer-drill-bit")</f>
        <v/>
      </c>
      <c r="B5447" s="2">
        <f>HYPERLINK("https://edmondsonsupply.com/products/diablo-tools-dmarg1170-5-8-in-x-4-in-x-6-in-speedemon%e2%84%a2-red-granite-carbide-tipped-hammer-drill-bit", "https://edmondsonsupply.com/products/diablo-tools-dmarg1170-5-8-in-x-4-in-x-6-in-speedemon%e2%84%a2-red-granite-carbide-tipped-hammer-drill-bit")</f>
        <v/>
      </c>
      <c r="C5447" t="inlineStr">
        <is>
          <t>Diablo Tools DMARG1170 5/8 in. x 4 in. x 6 in. SPEEDemon™ Red Granite Carbide Tipped Hammer Drill Bit</t>
        </is>
      </c>
      <c r="D5447" t="inlineStr">
        <is>
          <t>Diablo by Freud DMARG1020-P5 5/32 in. x 3 in. x 6 in. SPEEDemon Red Granite Carbide Tipped Hammer Drill Bit (5-Pack)</t>
        </is>
      </c>
      <c r="E5447" s="2">
        <f>HYPERLINK("https://www.amazon.com/Diablo-SPEEDemon-Granite-Carbide-Tipped/dp/B089KX38FF/ref=sr_1_11?keywords=Diablo+Tools+DMARG1170+5%2F8+in.+x+4+in.+x+6+in.+SPEEDemon%E2%84%A2+Red+Granite+Carbide+Tipped+Hammer+Drill+Bit&amp;qid=1694735259&amp;sr=8-11", "https://www.amazon.com/Diablo-SPEEDemon-Granite-Carbide-Tipped/dp/B089KX38FF/ref=sr_1_11?keywords=Diablo+Tools+DMARG1170+5%2F8+in.+x+4+in.+x+6+in.+SPEEDemon%E2%84%A2+Red+Granite+Carbide+Tipped+Hammer+Drill+Bit&amp;qid=1694735259&amp;sr=8-11")</f>
        <v/>
      </c>
      <c r="F5447" t="inlineStr">
        <is>
          <t>B089KX38FF</t>
        </is>
      </c>
      <c r="G5447">
        <f>_xlfn.IMAGE("https://edmondsonsupply.com/cdn/shop/products/DMARG1170_Main-Image20200702.png?v=1633030651")</f>
        <v/>
      </c>
      <c r="H5447">
        <f>_xlfn.IMAGE("https://m.media-amazon.com/images/I/61BDYFEnTRL._AC_UL320_.jpg")</f>
        <v/>
      </c>
      <c r="K5447" t="inlineStr">
        <is>
          <t>12.97</t>
        </is>
      </c>
      <c r="L5447" t="n">
        <v>15.36</v>
      </c>
      <c r="M5447" s="1" t="inlineStr">
        <is>
          <t>18.43%</t>
        </is>
      </c>
      <c r="N5447" s="7" t="n">
        <v>191.05</v>
      </c>
      <c r="O5447" t="n">
        <v>4.6</v>
      </c>
      <c r="P5447" t="n">
        <v>27</v>
      </c>
      <c r="R5447" t="inlineStr">
        <is>
          <t>InStock</t>
        </is>
      </c>
      <c r="S5447" t="inlineStr">
        <is>
          <t>undefined</t>
        </is>
      </c>
      <c r="T5447" t="inlineStr">
        <is>
          <t>5740431704232</t>
        </is>
      </c>
    </row>
    <row r="5448" hidden="1" ht="15.75" customHeight="1">
      <c r="A544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544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5448" t="inlineStr">
        <is>
          <t>Diablo Tools DMAPL4220 5/8 in. x 6 in. x 8 in. Rebar Demon™ SDS-Plus 4-Cutter Full Carbide Head Hammer Bit</t>
        </is>
      </c>
      <c r="D5448" t="inlineStr">
        <is>
          <t>Diablo DMAPL4120 5/16 in. x 10 in. x 12 in. Rebar Demon™ SDS-Plus 4-Cutter Full Carbide Head Hammer Bit</t>
        </is>
      </c>
      <c r="E5448" s="2">
        <f>HYPERLINK("https://www.amazon.com/Diablo-SDS-Plus-4-Cutter-Carbide-Hammer/dp/B089KTHL12/ref=sr_1_15?keywords=Diablo+Tools+DMAPL4220+5%2F8+in.+x+6+in.+x+8+in.+Rebar+Demon%E2%84%A2+SDS-Plus+4-Cutter+Full+Carbide+Head+Hammer+Bit&amp;qid=1694735306&amp;sr=8-15", "https://www.amazon.com/Diablo-SDS-Plus-4-Cutter-Carbide-Hammer/dp/B089KTHL12/ref=sr_1_15?keywords=Diablo+Tools+DMAPL4220+5%2F8+in.+x+6+in.+x+8+in.+Rebar+Demon%E2%84%A2+SDS-Plus+4-Cutter+Full+Carbide+Head+Hammer+Bit&amp;qid=1694735306&amp;sr=8-15")</f>
        <v/>
      </c>
      <c r="F5448" t="inlineStr">
        <is>
          <t>B089KTHL12</t>
        </is>
      </c>
      <c r="G5448">
        <f>_xludf.IMAGE("https://edmondsonsupply.com/cdn/shop/products/DMAPL4220.jpg?v=1633030355")</f>
        <v/>
      </c>
      <c r="H5448">
        <f>_xludf.IMAGE("https://m.media-amazon.com/images/I/61P8b1v1TBL._AC_UL320_.jpg")</f>
        <v/>
      </c>
      <c r="K5448" t="inlineStr">
        <is>
          <t>10.97</t>
        </is>
      </c>
      <c r="L5448" t="n">
        <v>12.99</v>
      </c>
      <c r="M5448" s="1" t="inlineStr">
        <is>
          <t>18.41%</t>
        </is>
      </c>
      <c r="N5448" s="1" t="n">
        <v>185.84</v>
      </c>
      <c r="O5448" t="n">
        <v>5</v>
      </c>
      <c r="P5448" t="n">
        <v>6</v>
      </c>
      <c r="R5448" t="inlineStr">
        <is>
          <t>InStock</t>
        </is>
      </c>
      <c r="S5448" t="inlineStr">
        <is>
          <t>17.16</t>
        </is>
      </c>
      <c r="T5448" t="inlineStr">
        <is>
          <t>5286142148776</t>
        </is>
      </c>
    </row>
    <row r="5449" ht="87" customHeight="1">
      <c r="A5449" s="2">
        <f>HYPERLINK("https://edmondsonsupply.com/collections/electricians-tools/products/klein-tools-jth610e-10pc-6-sae-journeyman-t-handle-set-stand", "https://edmondsonsupply.com/collections/electricians-tools/products/klein-tools-jth610e-10pc-6-sae-journeyman-t-handle-set-stand")</f>
        <v/>
      </c>
      <c r="B5449" s="2">
        <f>HYPERLINK("https://edmondsonsupply.com/products/klein-tools-jth610e-10pc-6-sae-journeyman-t-handle-set-stand", "https://edmondsonsupply.com/products/klein-tools-jth610e-10pc-6-sae-journeyman-t-handle-set-stand")</f>
        <v/>
      </c>
      <c r="C5449" t="inlineStr">
        <is>
          <t>Klein Tools JTH610E Hex Key Set, SAE T-Handle, 6-Inch, with Stand, 10-Piece</t>
        </is>
      </c>
      <c r="D5449" t="inlineStr">
        <is>
          <t>Klein Tools JTH610E T-Handle Hex Key Set, SAE Inch Sizes Allen Wrench Set with 6-Inch Blades, Stand Included, 10-Piece</t>
        </is>
      </c>
      <c r="E5449" s="2">
        <f>HYPERLINK("https://www.amazon.com/Handle-Chamfered-Klein-Tools-JTH610E/dp/B004DAN5RI/ref=sr_1_1?keywords=Klein+Tools+JTH610E+Hex+Key+Set%2C+SAE+T-Handle%2C+6-Inch%2C+with+Stand%2C+10-Piece&amp;qid=1694735412&amp;sr=8-1", "https://www.amazon.com/Handle-Chamfered-Klein-Tools-JTH610E/dp/B004DAN5RI/ref=sr_1_1?keywords=Klein+Tools+JTH610E+Hex+Key+Set%2C+SAE+T-Handle%2C+6-Inch%2C+with+Stand%2C+10-Piece&amp;qid=1694735412&amp;sr=8-1")</f>
        <v/>
      </c>
      <c r="F5449" t="inlineStr">
        <is>
          <t>B004DAN5RI</t>
        </is>
      </c>
      <c r="G5449">
        <f>_xlfn.IMAGE("https://edmondsonsupply.com/cdn/shop/products/jth610e.jpg?v=1587142829")</f>
        <v/>
      </c>
      <c r="H5449">
        <f>_xlfn.IMAGE("https://m.media-amazon.com/images/I/61FmwqrQdfL._AC_UL320_.jpg")</f>
        <v/>
      </c>
      <c r="K5449" t="inlineStr">
        <is>
          <t>70.78</t>
        </is>
      </c>
      <c r="L5449" t="n">
        <v>83.8</v>
      </c>
      <c r="M5449" s="1" t="inlineStr">
        <is>
          <t>18.40%</t>
        </is>
      </c>
      <c r="N5449" s="7" t="n">
        <v>185.12</v>
      </c>
      <c r="O5449" t="n">
        <v>4.8</v>
      </c>
      <c r="P5449" t="n">
        <v>772</v>
      </c>
      <c r="R5449" t="inlineStr">
        <is>
          <t>OutOfStock</t>
        </is>
      </c>
      <c r="S5449" t="inlineStr">
        <is>
          <t>undefined</t>
        </is>
      </c>
      <c r="T5449" t="inlineStr">
        <is>
          <t>2766322368612</t>
        </is>
      </c>
    </row>
    <row r="5450" ht="87" customHeight="1">
      <c r="A5450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5450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5450" t="inlineStr">
        <is>
          <t>Klein Tools 602-4-INS 1/4-Inch Cabinet Tip Insulated Screwdriver, 4-Inch</t>
        </is>
      </c>
      <c r="D5450" t="inlineStr">
        <is>
          <t>Klein Tools 614-4 Flat Screwdriver, Precision Electronics Screwdriver, 1/8-Inch Cabinet Tip, 4-Inch Shank (Pack of 2)</t>
        </is>
      </c>
      <c r="E5450" s="2">
        <f>HYPERLINK("https://www.amazon.com/Klein-Tools-Screwdriver-Precision-Electronics/dp/B0CDQJLP83/ref=sr_1_31?keywords=Klein+Tools+602-4-INS+1%2F4-Inch+Cabinet+Tip+Insulated+Screwdriver%2C+4-Inch&amp;qid=1694735209&amp;sr=8-31", "https://www.amazon.com/Klein-Tools-Screwdriver-Precision-Electronics/dp/B0CDQJLP83/ref=sr_1_31?keywords=Klein+Tools+602-4-INS+1%2F4-Inch+Cabinet+Tip+Insulated+Screwdriver%2C+4-Inch&amp;qid=1694735209&amp;sr=8-31")</f>
        <v/>
      </c>
      <c r="F5450" t="inlineStr">
        <is>
          <t>B0CDQJLP83</t>
        </is>
      </c>
      <c r="G5450">
        <f>_xlfn.IMAGE("https://edmondsonsupply.com/cdn/shop/products/602-4-ins-photo.jpg?v=1633031051")</f>
        <v/>
      </c>
      <c r="H5450">
        <f>_xlfn.IMAGE("https://m.media-amazon.com/images/I/31h2+ShYAnL._AC_UL320_.jpg")</f>
        <v/>
      </c>
      <c r="K5450" t="inlineStr">
        <is>
          <t>20.99</t>
        </is>
      </c>
      <c r="L5450" t="n">
        <v>24.84</v>
      </c>
      <c r="M5450" s="1" t="inlineStr">
        <is>
          <t>18.34%</t>
        </is>
      </c>
      <c r="N5450" s="7" t="n">
        <v>182.83</v>
      </c>
      <c r="O5450" t="n">
        <v>4.7</v>
      </c>
      <c r="P5450" t="n">
        <v>332</v>
      </c>
      <c r="R5450" t="inlineStr">
        <is>
          <t>InStock</t>
        </is>
      </c>
      <c r="S5450" t="inlineStr">
        <is>
          <t>31.8</t>
        </is>
      </c>
      <c r="T5450" t="inlineStr">
        <is>
          <t>6779496890541</t>
        </is>
      </c>
    </row>
    <row r="5451" hidden="1" ht="15.75" customHeight="1">
      <c r="A5451" s="2">
        <f>HYPERLINK("https://edmondsonsupply.com/collections/electricians-tools/products/diablo-tools-dmapl4080-1-4-in-x-6-in-x-8-in-rebar-demon%E2%84%A2-sds-plus-4-cutter-full-carbide-head-hammer-bit", "https://edmondsonsupply.com/collections/electricians-tools/products/diablo-tools-dmapl4080-1-4-in-x-6-in-x-8-in-rebar-demon%E2%84%A2-sds-plus-4-cutter-full-carbide-head-hammer-bit")</f>
        <v/>
      </c>
      <c r="B5451" s="2">
        <f>HYPERLINK("https://edmondsonsupply.com/products/diablo-tools-dmapl4080-1-4-in-x-6-in-x-8-in-rebar-demon%e2%84%a2-sds-plus-4-cutter-full-carbide-head-hammer-bit", "https://edmondsonsupply.com/products/diablo-tools-dmapl4080-1-4-in-x-6-in-x-8-in-rebar-demon%e2%84%a2-sds-plus-4-cutter-full-carbide-head-hammer-bit")</f>
        <v/>
      </c>
      <c r="C5451" t="inlineStr">
        <is>
          <t>Diablo Tools DMAPL4080 1/4 in. x 6 in. x 8 in. Rebar Demon™ SDS-Plus 4-Cutter Full Carbide Head Hammer Bit</t>
        </is>
      </c>
      <c r="D5451" t="inlineStr">
        <is>
          <t>Diablo by Freud Diablo DMAPL4070 1/4 in. x 4 in. x 6 in. Rebar Demon SDS-Plus 4-Cutter Full Carbide Head Hammer Bit</t>
        </is>
      </c>
      <c r="E5451" s="2">
        <f>HYPERLINK("https://www.amazon.com/Diablo-Freud-DMAPL4070-SDS-Plus-4-Cutter/dp/B089KVLDML/ref=sr_1_2?keywords=Diablo+Tools+DMAPL4080+1%2F4+in.+x+6+in.+x+8+in.+Rebar+Demon%E2%84%A2+SDS-Plus+4-Cutter+Full+Carbide+Head+Hammer+Bit&amp;qid=1694735294&amp;sr=8-2", "https://www.amazon.com/Diablo-Freud-DMAPL4070-SDS-Plus-4-Cutter/dp/B089KVLDML/ref=sr_1_2?keywords=Diablo+Tools+DMAPL4080+1%2F4+in.+x+6+in.+x+8+in.+Rebar+Demon%E2%84%A2+SDS-Plus+4-Cutter+Full+Carbide+Head+Hammer+Bit&amp;qid=1694735294&amp;sr=8-2")</f>
        <v/>
      </c>
      <c r="F5451" t="inlineStr">
        <is>
          <t>B089KVLDML</t>
        </is>
      </c>
      <c r="G5451">
        <f>_xludf.IMAGE("https://edmondsonsupply.com/cdn/shop/products/DMAPL4080_1.jpg?v=1633030359")</f>
        <v/>
      </c>
      <c r="H5451">
        <f>_xludf.IMAGE("https://m.media-amazon.com/images/I/61fLLQz5xPL._AC_UL320_.jpg")</f>
        <v/>
      </c>
      <c r="K5451" t="inlineStr">
        <is>
          <t>7.47</t>
        </is>
      </c>
      <c r="L5451" t="n">
        <v>8.84</v>
      </c>
      <c r="M5451" s="1" t="inlineStr">
        <is>
          <t>18.34%</t>
        </is>
      </c>
      <c r="N5451" s="1" t="n">
        <v>181.93</v>
      </c>
      <c r="O5451" t="n">
        <v>4.4</v>
      </c>
      <c r="P5451" t="n">
        <v>28</v>
      </c>
      <c r="R5451" t="inlineStr">
        <is>
          <t>InStock</t>
        </is>
      </c>
      <c r="S5451" t="inlineStr">
        <is>
          <t>undefined</t>
        </is>
      </c>
      <c r="T5451" t="inlineStr">
        <is>
          <t>5286767919272</t>
        </is>
      </c>
    </row>
    <row r="5452" hidden="1" ht="15.75" customHeight="1">
      <c r="A5452" s="2">
        <f>HYPERLINK("https://edmondsonsupply.com/collections/electricians-tools/products/klein-tools-jth6e12be", "https://edmondsonsupply.com/collections/electricians-tools/products/klein-tools-jth6e12be")</f>
        <v/>
      </c>
      <c r="B5452" s="2">
        <f>HYPERLINK("https://edmondsonsupply.com/products/klein-tools-jth6e12be", "https://edmondsonsupply.com/products/klein-tools-jth6e12be")</f>
        <v/>
      </c>
      <c r="C5452" t="inlineStr">
        <is>
          <t>Klein Tools JTH6E12BE 7/32-Inch Ball-End Hex Key, Journeyman™ T-Handle, 6-Inch</t>
        </is>
      </c>
      <c r="D5452" t="inlineStr">
        <is>
          <t>Klein Tools BL14 7/32-Inch Hex Key, L-Style Ball-End</t>
        </is>
      </c>
      <c r="E5452" s="2">
        <f>HYPERLINK("https://www.amazon.com/32-Inch-Ball-End-Klein-Tools-BL14/dp/B00093DXVG/ref=sr_1_18?keywords=Klein+Tools+JTH6E12BE+7%2F32-Inch+Ball-End+Hex+Key%2C+Journeyman%E2%84%A2+T-Handle%2C+6-Inch&amp;qid=1694735096&amp;sr=8-18", "https://www.amazon.com/32-Inch-Ball-End-Klein-Tools-BL14/dp/B00093DXVG/ref=sr_1_18?keywords=Klein+Tools+JTH6E12BE+7%2F32-Inch+Ball-End+Hex+Key%2C+Journeyman%E2%84%A2+T-Handle%2C+6-Inch&amp;qid=1694735096&amp;sr=8-18")</f>
        <v/>
      </c>
      <c r="F5452" t="inlineStr">
        <is>
          <t>B00093DXVG</t>
        </is>
      </c>
      <c r="G5452">
        <f>_xludf.IMAGE("https://edmondsonsupply.com/cdn/shop/products/jth6e13be_a85bb43d-b61b-410b-8eb2-5915b239751a.jpg?v=1666110771")</f>
        <v/>
      </c>
      <c r="H5452">
        <f>_xludf.IMAGE("https://m.media-amazon.com/images/I/41LcJXQVZbL._AC_UL320_.jpg")</f>
        <v/>
      </c>
      <c r="K5452" t="inlineStr">
        <is>
          <t>6.49</t>
        </is>
      </c>
      <c r="L5452" t="n">
        <v>7.68</v>
      </c>
      <c r="M5452" s="1" t="inlineStr">
        <is>
          <t>18.34%</t>
        </is>
      </c>
      <c r="N5452" s="1" t="n">
        <v>180.24</v>
      </c>
      <c r="O5452" t="n">
        <v>4.8</v>
      </c>
      <c r="P5452" t="n">
        <v>14</v>
      </c>
      <c r="R5452" t="inlineStr">
        <is>
          <t>InStock</t>
        </is>
      </c>
      <c r="S5452" t="inlineStr">
        <is>
          <t>9.86</t>
        </is>
      </c>
      <c r="T5452" t="inlineStr">
        <is>
          <t>7857467457752</t>
        </is>
      </c>
    </row>
    <row r="5453" ht="87" customHeight="1">
      <c r="A5453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5453" s="2">
        <f>HYPERLINK("https://edmondsonsupply.com/products/klein-tools-rt250-gfci-receptacle-tester-with-lcd", "https://edmondsonsupply.com/products/klein-tools-rt250-gfci-receptacle-tester-with-lcd")</f>
        <v/>
      </c>
      <c r="C5453" t="inlineStr">
        <is>
          <t>Klein Tools RT250 GFCI Receptacle Tester with LCD</t>
        </is>
      </c>
      <c r="D5453" t="inlineStr">
        <is>
          <t>Klein Tools 80097 Beginner Tester Kit with GFCI Outlet and Receptacle Tester, Electronic Voltage Tester, Non-Contact Voltage Tester, 3-Piece Red</t>
        </is>
      </c>
      <c r="E5453" s="2">
        <f>HYPERLINK("https://www.amazon.com/Klein-Tools-80097-Beginner-3-Piece/dp/B0B7Z178B1/ref=sr_1_35?keywords=Klein+Tools+RT250+GFCI+Receptacle+Tester+with+LCD&amp;qid=1694735148&amp;sr=8-35", "https://www.amazon.com/Klein-Tools-80097-Beginner-3-Piece/dp/B0B7Z178B1/ref=sr_1_35?keywords=Klein+Tools+RT250+GFCI+Receptacle+Tester+with+LCD&amp;qid=1694735148&amp;sr=8-35")</f>
        <v/>
      </c>
      <c r="F5453" t="inlineStr">
        <is>
          <t>B0B7Z178B1</t>
        </is>
      </c>
      <c r="G5453">
        <f>_xlfn.IMAGE("https://edmondsonsupply.com/cdn/shop/products/rt250_photo_c.jpg?v=1661363824")</f>
        <v/>
      </c>
      <c r="H5453">
        <f>_xlfn.IMAGE("https://m.media-amazon.com/images/I/51TWbZ0INyL._AC_UL320_.jpg")</f>
        <v/>
      </c>
      <c r="K5453" t="inlineStr">
        <is>
          <t>21.97</t>
        </is>
      </c>
      <c r="L5453" t="n">
        <v>25.99</v>
      </c>
      <c r="M5453" s="1" t="inlineStr">
        <is>
          <t>18.30%</t>
        </is>
      </c>
      <c r="N5453" s="7" t="n">
        <v>178.29</v>
      </c>
      <c r="O5453" t="n">
        <v>4.7</v>
      </c>
      <c r="P5453" t="n">
        <v>118</v>
      </c>
      <c r="R5453" t="inlineStr">
        <is>
          <t>InStock</t>
        </is>
      </c>
      <c r="S5453" t="inlineStr">
        <is>
          <t>30.78</t>
        </is>
      </c>
      <c r="T5453" t="inlineStr">
        <is>
          <t>7793138729176</t>
        </is>
      </c>
    </row>
    <row r="5454" ht="87" customHeight="1">
      <c r="A5454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454" s="2">
        <f>HYPERLINK("https://edmondsonsupply.com/products/klein-tools-60407-hard-hat-vented-full-brim-with-headlamp", "https://edmondsonsupply.com/products/klein-tools-60407-hard-hat-vented-full-brim-with-headlamp")</f>
        <v/>
      </c>
      <c r="C5454" t="inlineStr">
        <is>
          <t>Klein Tools 60407 Hard Hat, Vented, Full Brim with Headlamp, White</t>
        </is>
      </c>
      <c r="D5454" t="inlineStr">
        <is>
          <t>Klein Tools 60407 Hard Hat, Light, Vented Full Brim Style, Padded, Self-Wicking Odor-Resistant Sweatband, White &amp; 60181 Cooling Helmet Liner, Under Hard Hat Cap with Mesh Fabric at Crown</t>
        </is>
      </c>
      <c r="E5454" s="2">
        <f>HYPERLINK("https://www.amazon.com/Klein-Tools-Self-Wicking-Odor-Resistant-Sweatband/dp/B0B68NYYM7/ref=sr_1_2?keywords=Klein+Tools+60407+Hard+Hat%2C+Vented%2C+Full+Brim+with+Headlamp%2C+White&amp;qid=1694735427&amp;sr=8-2", "https://www.amazon.com/Klein-Tools-Self-Wicking-Odor-Resistant-Sweatband/dp/B0B68NYYM7/ref=sr_1_2?keywords=Klein+Tools+60407+Hard+Hat%2C+Vented%2C+Full+Brim+with+Headlamp%2C+White&amp;qid=1694735427&amp;sr=8-2")</f>
        <v/>
      </c>
      <c r="F5454" t="inlineStr">
        <is>
          <t>B0B68NYYM7</t>
        </is>
      </c>
      <c r="G5454">
        <f>_xlfn.IMAGE("https://edmondsonsupply.com/cdn/shop/products/60407.jpg?v=1587147739")</f>
        <v/>
      </c>
      <c r="H5454">
        <f>_xlfn.IMAGE("https://m.media-amazon.com/images/I/41IulVK0+jL._AC_UL320_.jpg")</f>
        <v/>
      </c>
      <c r="K5454" t="inlineStr">
        <is>
          <t>54.99</t>
        </is>
      </c>
      <c r="L5454" t="n">
        <v>64.95999999999999</v>
      </c>
      <c r="M5454" s="1" t="inlineStr">
        <is>
          <t>18.13%</t>
        </is>
      </c>
      <c r="N5454" s="7" t="n">
        <v>178.19</v>
      </c>
      <c r="O5454" t="n">
        <v>4.5</v>
      </c>
      <c r="P5454" t="n">
        <v>15</v>
      </c>
      <c r="R5454" t="inlineStr">
        <is>
          <t>OutOfStock</t>
        </is>
      </c>
      <c r="S5454" t="inlineStr">
        <is>
          <t>82.5</t>
        </is>
      </c>
      <c r="T5454" t="inlineStr">
        <is>
          <t>4357084446820</t>
        </is>
      </c>
    </row>
    <row r="5455" ht="87" customHeight="1">
      <c r="A5455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455" s="2">
        <f>HYPERLINK("https://edmondsonsupply.com/products/klein-tools-60407-hard-hat-vented-full-brim-with-headlamp", "https://edmondsonsupply.com/products/klein-tools-60407-hard-hat-vented-full-brim-with-headlamp")</f>
        <v/>
      </c>
      <c r="C5455" t="inlineStr">
        <is>
          <t>Klein Tools 60407 Hard Hat, Vented, Full Brim with Headlamp, White</t>
        </is>
      </c>
      <c r="D5455" t="inlineStr">
        <is>
          <t>Klein Tools Hard Hat, Vented, Full Brim with Headlamp &amp; KHHSTRP Chin Strap for Hard Hat, Multi-point Adjustment and Soft Chin Cup, Fits Klein Tools Hard Hats</t>
        </is>
      </c>
      <c r="E5455" s="2">
        <f>HYPERLINK("https://www.amazon.com/Klein-Tools-Headlamp-Multi-point-Adjustment/dp/B08KGCJDG8/ref=sr_1_10?keywords=Klein+Tools+60407+Hard+Hat%2C+Vented%2C+Full+Brim+with+Headlamp%2C+White&amp;qid=1694735427&amp;sr=8-10", "https://www.amazon.com/Klein-Tools-Headlamp-Multi-point-Adjustment/dp/B08KGCJDG8/ref=sr_1_10?keywords=Klein+Tools+60407+Hard+Hat%2C+Vented%2C+Full+Brim+with+Headlamp%2C+White&amp;qid=1694735427&amp;sr=8-10")</f>
        <v/>
      </c>
      <c r="F5455" t="inlineStr">
        <is>
          <t>B08KGCJDG8</t>
        </is>
      </c>
      <c r="G5455">
        <f>_xlfn.IMAGE("https://edmondsonsupply.com/cdn/shop/products/60407.jpg?v=1587147739")</f>
        <v/>
      </c>
      <c r="H5455">
        <f>_xlfn.IMAGE("https://m.media-amazon.com/images/I/51tnGRYa57L._AC_UL320_.jpg")</f>
        <v/>
      </c>
      <c r="K5455" t="inlineStr">
        <is>
          <t>54.99</t>
        </is>
      </c>
      <c r="L5455" t="n">
        <v>64.95999999999999</v>
      </c>
      <c r="M5455" s="1" t="inlineStr">
        <is>
          <t>18.13%</t>
        </is>
      </c>
      <c r="N5455" s="7" t="n">
        <v>176.61</v>
      </c>
      <c r="O5455" t="n">
        <v>4.8</v>
      </c>
      <c r="P5455" t="n">
        <v>8</v>
      </c>
      <c r="R5455" t="inlineStr">
        <is>
          <t>OutOfStock</t>
        </is>
      </c>
      <c r="S5455" t="inlineStr">
        <is>
          <t>82.5</t>
        </is>
      </c>
      <c r="T5455" t="inlineStr">
        <is>
          <t>4357084446820</t>
        </is>
      </c>
    </row>
    <row r="5456" ht="87" customHeight="1">
      <c r="A5456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456" s="2">
        <f>HYPERLINK("https://edmondsonsupply.com/products/klein-tools-32500mag-11-in-1-magnetic-screwdriver-nut-driver", "https://edmondsonsupply.com/products/klein-tools-32500mag-11-in-1-magnetic-screwdriver-nut-driver")</f>
        <v/>
      </c>
      <c r="C5456" t="inlineStr">
        <is>
          <t>Klein Tools 32500MAG 11-in-1 Magnetic Screwdriver / Nut Driver</t>
        </is>
      </c>
      <c r="D5456" t="inlineStr">
        <is>
          <t>Klein Tools 32304 Screwdriver, 14-in-1 Adjustable Screwdriver with Flip Socket, HVAC Nut Drivers and Bits, Impact Rated</t>
        </is>
      </c>
      <c r="E5456" s="2">
        <f>HYPERLINK("https://www.amazon.com/Screwdriver-Adjustable-Klein-Tools-32304/dp/B09Q4H5STD/ref=sr_1_18?keywords=Klein+Tools+32500MAG+11-in-1+Magnetic+Screwdriver+%2F+Nut+Driver&amp;qid=1694735235&amp;sr=8-18", "https://www.amazon.com/Screwdriver-Adjustable-Klein-Tools-32304/dp/B09Q4H5STD/ref=sr_1_18?keywords=Klein+Tools+32500MAG+11-in-1+Magnetic+Screwdriver+%2F+Nut+Driver&amp;qid=1694735235&amp;sr=8-18")</f>
        <v/>
      </c>
      <c r="F5456" t="inlineStr">
        <is>
          <t>B09Q4H5STD</t>
        </is>
      </c>
      <c r="G5456">
        <f>_xlfn.IMAGE("https://edmondsonsupply.com/cdn/shop/products/32500mag.jpg?v=1633030832")</f>
        <v/>
      </c>
      <c r="H5456">
        <f>_xlfn.IMAGE("https://m.media-amazon.com/images/I/51OyfXQXJkL._AC_UL320_.jpg")</f>
        <v/>
      </c>
      <c r="K5456" t="inlineStr">
        <is>
          <t>20.97</t>
        </is>
      </c>
      <c r="L5456" t="n">
        <v>24.77</v>
      </c>
      <c r="M5456" s="1" t="inlineStr">
        <is>
          <t>18.12%</t>
        </is>
      </c>
      <c r="N5456" s="7" t="n">
        <v>175.85</v>
      </c>
      <c r="O5456" t="n">
        <v>4.6</v>
      </c>
      <c r="P5456" t="n">
        <v>2618</v>
      </c>
      <c r="R5456" t="inlineStr">
        <is>
          <t>InStock</t>
        </is>
      </c>
      <c r="S5456" t="inlineStr">
        <is>
          <t>29.38</t>
        </is>
      </c>
      <c r="T5456" t="inlineStr">
        <is>
          <t>6082199814317</t>
        </is>
      </c>
    </row>
    <row r="5457" ht="87" customHeight="1">
      <c r="A5457" s="2">
        <f>HYPERLINK("https://edmondsonsupply.com/collections/electricians-tools/products/milwaukee-48-03-3015-carbide-bit-spline-to-sds-plus-adapter", "https://edmondsonsupply.com/collections/electricians-tools/products/milwaukee-48-03-3015-carbide-bit-spline-to-sds-plus-adapter")</f>
        <v/>
      </c>
      <c r="B5457" s="2">
        <f>HYPERLINK("https://edmondsonsupply.com/products/milwaukee-48-03-3015-carbide-bit-spline-to-sds-plus-adapter", "https://edmondsonsupply.com/products/milwaukee-48-03-3015-carbide-bit-spline-to-sds-plus-adapter")</f>
        <v/>
      </c>
      <c r="C5457" t="inlineStr">
        <is>
          <t>Milwaukee 48-03-3015 Spline to SDS-Plus Bit Adapter</t>
        </is>
      </c>
      <c r="D5457" t="inlineStr">
        <is>
          <t>Milwaukee 48-03-3565 18-Inch Spline Thick Core Bit Adapter for 1 1/2-Inch to 6-Inch Bits</t>
        </is>
      </c>
      <c r="E5457" s="2">
        <f>HYPERLINK("https://www.amazon.com/Milwaukee-48-03-3565-18-Inch-Spline-Adapter/dp/B000CSORO0/ref=sr_1_5?keywords=Milwaukee+48-03-3015+Spline+to+SDS-Plus+Bit+Adapter&amp;qid=1694735054&amp;sr=8-5", "https://www.amazon.com/Milwaukee-48-03-3565-18-Inch-Spline-Adapter/dp/B000CSORO0/ref=sr_1_5?keywords=Milwaukee+48-03-3015+Spline+to+SDS-Plus+Bit+Adapter&amp;qid=1694735054&amp;sr=8-5")</f>
        <v/>
      </c>
      <c r="F5457" t="inlineStr">
        <is>
          <t>B000CSORO0</t>
        </is>
      </c>
      <c r="G5457">
        <f>_xlfn.IMAGE("https://edmondsonsupply.com/cdn/shop/products/48-03-3010_1.webp?v=1674076699")</f>
        <v/>
      </c>
      <c r="H5457">
        <f>_xlfn.IMAGE("https://m.media-amazon.com/images/I/2157CNN6DQL._AC_UL320_.jpg")</f>
        <v/>
      </c>
      <c r="K5457" t="inlineStr">
        <is>
          <t>56.45</t>
        </is>
      </c>
      <c r="L5457" t="n">
        <v>66.66</v>
      </c>
      <c r="M5457" s="1" t="inlineStr">
        <is>
          <t>18.09%</t>
        </is>
      </c>
      <c r="N5457" s="7" t="n">
        <v>175.36</v>
      </c>
      <c r="O5457" t="n">
        <v>5</v>
      </c>
      <c r="P5457" t="n">
        <v>2</v>
      </c>
      <c r="R5457" t="inlineStr">
        <is>
          <t>InStock</t>
        </is>
      </c>
      <c r="S5457" t="inlineStr">
        <is>
          <t>102.3</t>
        </is>
      </c>
      <c r="T5457" t="inlineStr">
        <is>
          <t>7926202794200</t>
        </is>
      </c>
    </row>
    <row r="5458" ht="87" customHeight="1">
      <c r="A5458" s="2">
        <f>HYPERLINK("https://edmondsonsupply.com/collections/electricians-tools/products/klein-tools-vdv512-101-coax-explorer%C2%AE-2-tester-with-remote-kit", "https://edmondsonsupply.com/collections/electricians-tools/products/klein-tools-vdv512-101-coax-explorer%C2%AE-2-tester-with-remote-kit")</f>
        <v/>
      </c>
      <c r="B5458" s="2">
        <f>HYPERLINK("https://edmondsonsupply.com/products/klein-tools-vdv512-101-coax-explorer%c2%ae-2-tester-with-remote-kit", "https://edmondsonsupply.com/products/klein-tools-vdv512-101-coax-explorer%c2%ae-2-tester-with-remote-kit")</f>
        <v/>
      </c>
      <c r="C5458" t="inlineStr">
        <is>
          <t>Klein Tools VDV512-101 Cable Tester, Coax Explorer® 2 Tester with Remote Kit</t>
        </is>
      </c>
      <c r="D5458" t="inlineStr">
        <is>
          <t>Klein Tools VDV512-101 Explorer 2 Coax Tester Kit, Includes Cable Tester/Wire Tracer/Coax Mapper with Remotes to Test up to 4 Locations &amp; VDV110-061 Radial Cable Stripper, Coaxial Cable Stripper</t>
        </is>
      </c>
      <c r="E5458" s="2">
        <f>HYPERLINK("https://www.amazon.com/Klein-Tools-VDV512-101-Locations-VDV110-061/dp/B0BD3W9SYG/ref=sr_1_2?keywords=Klein+Tools+VDV512-101+Cable+Tester%2C+Coax+Explorer%C2%AE+2+Tester+with+Remote+Kit&amp;qid=1694735353&amp;sr=8-2", "https://www.amazon.com/Klein-Tools-VDV512-101-Locations-VDV110-061/dp/B0BD3W9SYG/ref=sr_1_2?keywords=Klein+Tools+VDV512-101+Cable+Tester%2C+Coax+Explorer%C2%AE+2+Tester+with+Remote+Kit&amp;qid=1694735353&amp;sr=8-2")</f>
        <v/>
      </c>
      <c r="F5458" t="inlineStr">
        <is>
          <t>B0BD3W9SYG</t>
        </is>
      </c>
      <c r="G5458">
        <f>_xlfn.IMAGE("https://edmondsonsupply.com/cdn/shop/products/vdv512101.jpg?v=1587146306")</f>
        <v/>
      </c>
      <c r="H5458">
        <f>_xlfn.IMAGE("https://m.media-amazon.com/images/I/41opJLh2sZL._AC_UY218_.jpg")</f>
        <v/>
      </c>
      <c r="K5458" t="inlineStr">
        <is>
          <t>37.97</t>
        </is>
      </c>
      <c r="L5458" t="n">
        <v>44.83</v>
      </c>
      <c r="M5458" s="1" t="inlineStr">
        <is>
          <t>18.07%</t>
        </is>
      </c>
      <c r="N5458" s="7" t="n">
        <v>169.39</v>
      </c>
      <c r="O5458" t="n">
        <v>5</v>
      </c>
      <c r="P5458" t="n">
        <v>1</v>
      </c>
      <c r="R5458" t="inlineStr">
        <is>
          <t>InStock</t>
        </is>
      </c>
      <c r="S5458" t="inlineStr">
        <is>
          <t>48.42</t>
        </is>
      </c>
      <c r="T5458" t="inlineStr">
        <is>
          <t>4513201848420</t>
        </is>
      </c>
    </row>
    <row r="5459" hidden="1" ht="15.75" customHeight="1">
      <c r="A5459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5459" s="2">
        <f>HYPERLINK("https://edmondsonsupply.com/products/klein-tools-630-3-8m-3-8-magnetic-tip-nut-driver-3-hollow-shank", "https://edmondsonsupply.com/products/klein-tools-630-3-8m-3-8-magnetic-tip-nut-driver-3-hollow-shank")</f>
        <v/>
      </c>
      <c r="C5459" t="inlineStr">
        <is>
          <t>Klein Tools 630-3/8M 3/8-Inch Magnetic Tip Nut Driver</t>
        </is>
      </c>
      <c r="D5459" t="inlineStr">
        <is>
          <t>Klein Tools S126M 3/8-Inch Magnetic Nut Driver with 6-Inch Solid Shaft and Comfordome Handle</t>
        </is>
      </c>
      <c r="E5459" s="2">
        <f>HYPERLINK("https://www.amazon.com/Magnetic-Comfordome-Klein-Tools-S126M/dp/B0009OODZU/ref=sr_1_17?keywords=Klein+Tools+630-3%2F8M+3%2F8-Inch+Magnetic+Tip+Nut+Driver&amp;qid=1694735121&amp;sr=8-17", "https://www.amazon.com/Magnetic-Comfordome-Klein-Tools-S126M/dp/B0009OODZU/ref=sr_1_17?keywords=Klein+Tools+630-3%2F8M+3%2F8-Inch+Magnetic+Tip+Nut+Driver&amp;qid=1694735121&amp;sr=8-17")</f>
        <v/>
      </c>
      <c r="F5459" t="inlineStr">
        <is>
          <t>B0009OODZU</t>
        </is>
      </c>
      <c r="G5459">
        <f>_xludf.IMAGE("https://edmondsonsupply.com/cdn/shop/products/630-3-8m.jpg?v=1587145139")</f>
        <v/>
      </c>
      <c r="H5459">
        <f>_xludf.IMAGE("https://m.media-amazon.com/images/I/318IOnHWWJL._AC_UL320_.jpg")</f>
        <v/>
      </c>
      <c r="K5459" t="inlineStr">
        <is>
          <t>10.99</t>
        </is>
      </c>
      <c r="L5459" t="n">
        <v>12.97</v>
      </c>
      <c r="M5459" s="1" t="inlineStr">
        <is>
          <t>18.02%</t>
        </is>
      </c>
      <c r="N5459" s="1" t="n">
        <v>168.12</v>
      </c>
      <c r="O5459" t="n">
        <v>4.6</v>
      </c>
      <c r="P5459" t="n">
        <v>231</v>
      </c>
      <c r="R5459" t="inlineStr">
        <is>
          <t>InStock</t>
        </is>
      </c>
      <c r="S5459" t="inlineStr">
        <is>
          <t>16.66</t>
        </is>
      </c>
      <c r="T5459" t="inlineStr">
        <is>
          <t>2766802288740</t>
        </is>
      </c>
    </row>
    <row r="5460" ht="87" customHeight="1">
      <c r="A5460" s="2">
        <f>HYPERLINK("https://edmondsonsupply.com/collections/electricians-tools/products/klein-tools-d2000-9necr-linemans-pliers-with-crimping-9-inch", "https://edmondsonsupply.com/collections/electricians-tools/products/klein-tools-d2000-9necr-linemans-pliers-with-crimping-9-inch")</f>
        <v/>
      </c>
      <c r="B5460" s="2">
        <f>HYPERLINK("https://edmondsonsupply.com/products/klein-tools-d2000-9necr-linemans-pliers-with-crimping-9-inch", "https://edmondsonsupply.com/products/klein-tools-d2000-9necr-linemans-pliers-with-crimping-9-inch")</f>
        <v/>
      </c>
      <c r="C5460" t="inlineStr">
        <is>
          <t>Klein Tools D2000-9NECR Lineman's Pliers with Crimping, 9-Inch</t>
        </is>
      </c>
      <c r="D5460" t="inlineStr">
        <is>
          <t>Klein Tools J2000-9NECRTP Side Cutter Linemans Pliers with Tape Pulling and Wire Crimping, High Leverage, 9-Inch</t>
        </is>
      </c>
      <c r="E5460" s="2">
        <f>HYPERLINK("https://www.amazon.com/Linemans-Crimping-Klein-Tools-J2000-9NECRTP/dp/B0026TFRQ0/ref=sr_1_4?keywords=Klein+Tools+D2000-9NECR+Lineman%27s+Pliers+with+Crimping%2C+9-Inch&amp;qid=1694735295&amp;sr=8-4", "https://www.amazon.com/Linemans-Crimping-Klein-Tools-J2000-9NECRTP/dp/B0026TFRQ0/ref=sr_1_4?keywords=Klein+Tools+D2000-9NECR+Lineman%27s+Pliers+with+Crimping%2C+9-Inch&amp;qid=1694735295&amp;sr=8-4")</f>
        <v/>
      </c>
      <c r="F5460" t="inlineStr">
        <is>
          <t>B0026TFRQ0</t>
        </is>
      </c>
      <c r="G5460">
        <f>_xlfn.IMAGE("https://edmondsonsupply.com/cdn/shop/products/d20009necr.jpg?v=1633030459")</f>
        <v/>
      </c>
      <c r="H5460">
        <f>_xlfn.IMAGE("https://m.media-amazon.com/images/I/41ayIr+LR4L._AC_UL320_.jpg")</f>
        <v/>
      </c>
      <c r="K5460" t="inlineStr">
        <is>
          <t>49.99</t>
        </is>
      </c>
      <c r="L5460" t="n">
        <v>58.99</v>
      </c>
      <c r="M5460" s="1" t="inlineStr">
        <is>
          <t>18.00%</t>
        </is>
      </c>
      <c r="N5460" s="7" t="n">
        <v>166.93</v>
      </c>
      <c r="O5460" t="n">
        <v>4.8</v>
      </c>
      <c r="P5460" t="n">
        <v>1613</v>
      </c>
      <c r="R5460" t="inlineStr">
        <is>
          <t>InStock</t>
        </is>
      </c>
      <c r="S5460" t="inlineStr">
        <is>
          <t>75.74</t>
        </is>
      </c>
      <c r="T5460" t="inlineStr">
        <is>
          <t>5349066965160</t>
        </is>
      </c>
    </row>
    <row r="5461" ht="87" customHeight="1">
      <c r="A5461" s="2">
        <f>HYPERLINK("https://edmondsonsupply.com/collections/electricians-tools/products/klein-tools-5416-tool-bag-bull-pin-and-bolt-pouch-belt-strap-connect-5-x-10-x-9-inch", "https://edmondsonsupply.com/collections/electricians-tools/products/klein-tools-5416-tool-bag-bull-pin-and-bolt-pouch-belt-strap-connect-5-x-10-x-9-inch")</f>
        <v/>
      </c>
      <c r="B5461" s="2">
        <f>HYPERLINK("https://edmondsonsupply.com/products/klein-tools-5416-tool-bag-bull-pin-and-bolt-pouch-belt-strap-connect-5-x-10-x-9-inch", "https://edmondsonsupply.com/products/klein-tools-5416-tool-bag-bull-pin-and-bolt-pouch-belt-strap-connect-5-x-10-x-9-inch")</f>
        <v/>
      </c>
      <c r="C5461" t="inlineStr">
        <is>
          <t>Klein Tools 5416 Tool Bag, Bull-Pin and Bolt Pouch, Belt Strap Connect, 5 x 10 x 9-Inch</t>
        </is>
      </c>
      <c r="D5461" t="inlineStr">
        <is>
          <t>Klein Tools 5416OCTO Tool Bag, Bull-Pin and Bolt Pouch, No. 4 Canvas with Tunnel Connection, 5 x 5 x 9-Inch</t>
        </is>
      </c>
      <c r="E5461" s="2">
        <f>HYPERLINK("https://www.amazon.com/Bull-Pin-Connection-Klein-Tools-5416OCTO/dp/B00Y6WMEZW/ref=sr_1_5?keywords=Klein+Tools+5416+Tool+Bag%2C+Bull-Pin+and+Bolt+Pouch%2C+Belt+Strap+Connect%2C+5+x+10+x+9-Inch&amp;qid=1694735013&amp;sr=8-5", "https://www.amazon.com/Bull-Pin-Connection-Klein-Tools-5416OCTO/dp/B00Y6WMEZW/ref=sr_1_5?keywords=Klein+Tools+5416+Tool+Bag%2C+Bull-Pin+and+Bolt+Pouch%2C+Belt+Strap+Connect%2C+5+x+10+x+9-Inch&amp;qid=1694735013&amp;sr=8-5")</f>
        <v/>
      </c>
      <c r="F5461" t="inlineStr">
        <is>
          <t>B00Y6WMEZW</t>
        </is>
      </c>
      <c r="G5461">
        <f>_xlfn.IMAGE("https://edmondsonsupply.com/cdn/shop/products/5416.jpg?v=1679664980")</f>
        <v/>
      </c>
      <c r="H5461">
        <f>_xlfn.IMAGE("https://m.media-amazon.com/images/I/61SKfGzjXGL._AC_UL320_.jpg")</f>
        <v/>
      </c>
      <c r="K5461" t="inlineStr">
        <is>
          <t>17.8</t>
        </is>
      </c>
      <c r="L5461" t="n">
        <v>21</v>
      </c>
      <c r="M5461" s="1" t="inlineStr">
        <is>
          <t>17.98%</t>
        </is>
      </c>
      <c r="N5461" s="7" t="n">
        <v>166.89</v>
      </c>
      <c r="O5461" t="n">
        <v>4.8</v>
      </c>
      <c r="P5461" t="n">
        <v>513</v>
      </c>
      <c r="R5461" t="inlineStr">
        <is>
          <t>InStock</t>
        </is>
      </c>
      <c r="S5461" t="inlineStr">
        <is>
          <t>29.06</t>
        </is>
      </c>
      <c r="T5461" t="inlineStr">
        <is>
          <t>7966205018328</t>
        </is>
      </c>
    </row>
    <row r="5462" hidden="1" ht="15.75" customHeight="1">
      <c r="A5462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5462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5462" t="inlineStr">
        <is>
          <t>Klein Tools 635-1/4 1/4-Inch Nut Driver, Magnetic Tip, 4-Inch Shaft</t>
        </is>
      </c>
      <c r="D5462" t="inlineStr">
        <is>
          <t>Klein Tools 610 Tool Set, Nut Driver Set with Stubby Nut Driver Sizes 1/4 and 5/16-Inch, Full Hollow Shaft, 2-Piece</t>
        </is>
      </c>
      <c r="E5462" s="2">
        <f>HYPERLINK("https://www.amazon.com/Klein-Tools-610-16-Inch-2-Piece/dp/B000CSKRCQ/ref=sr_1_27?keywords=Klein+Tools+635-1%2F4+1%2F4-Inch+Nut+Driver%2C+Magnetic+Tip%2C+4-Inch+Shaft&amp;qid=1694735101&amp;sr=8-27", "https://www.amazon.com/Klein-Tools-610-16-Inch-2-Piece/dp/B000CSKRCQ/ref=sr_1_27?keywords=Klein+Tools+635-1%2F4+1%2F4-Inch+Nut+Driver%2C+Magnetic+Tip%2C+4-Inch+Shaft&amp;qid=1694735101&amp;sr=8-27")</f>
        <v/>
      </c>
      <c r="F5462" t="inlineStr">
        <is>
          <t>B000CSKRCQ</t>
        </is>
      </c>
      <c r="G5462">
        <f>_xludf.IMAGE("https://edmondsonsupply.com/cdn/shop/products/635-1-4.jpg?v=1666811523")</f>
        <v/>
      </c>
      <c r="H5462">
        <f>_xludf.IMAGE("https://m.media-amazon.com/images/I/51+8QhofFWL._AC_UL320_.jpg")</f>
        <v/>
      </c>
      <c r="K5462" t="inlineStr">
        <is>
          <t>11.99</t>
        </is>
      </c>
      <c r="L5462" t="n">
        <v>14.14</v>
      </c>
      <c r="M5462" s="1" t="inlineStr">
        <is>
          <t>17.93%</t>
        </is>
      </c>
      <c r="N5462" s="1" t="n">
        <v>166.76</v>
      </c>
      <c r="O5462" t="n">
        <v>4.9</v>
      </c>
      <c r="P5462" t="n">
        <v>19</v>
      </c>
      <c r="R5462" t="inlineStr">
        <is>
          <t>InStock</t>
        </is>
      </c>
      <c r="S5462" t="inlineStr">
        <is>
          <t>18.18</t>
        </is>
      </c>
      <c r="T5462" t="inlineStr">
        <is>
          <t>7866294010072</t>
        </is>
      </c>
    </row>
    <row r="5463" ht="87" customHeight="1">
      <c r="A5463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463" s="2">
        <f>HYPERLINK("https://edmondsonsupply.com/products/diablo-tools-dag1110-7-8-in-x-7-1-2-in-auger-bit", "https://edmondsonsupply.com/products/diablo-tools-dag1110-7-8-in-x-7-1-2-in-auger-bit")</f>
        <v/>
      </c>
      <c r="C5463" t="inlineStr">
        <is>
          <t>Diablo Tools DAG1110 7/8 in. x 7-1/2 in. Auger Bit</t>
        </is>
      </c>
      <c r="D5463" t="inlineStr">
        <is>
          <t>Diablo 1-1/4 in. x 7-1/2 in. Auger Bit</t>
        </is>
      </c>
      <c r="E5463" s="2">
        <f>HYPERLINK("https://www.amazon.com/Diablo-Freud-DAG1150-1-1-Auger/dp/B089LGR2GW/ref=sr_1_11?keywords=Diablo+Tools+DAG1110+7%2F8+in.+x+7-1%2F2+in.+Auger+Bit&amp;qid=1694735001&amp;sr=8-11", "https://www.amazon.com/Diablo-Freud-DAG1150-1-1-Auger/dp/B089LGR2GW/ref=sr_1_11?keywords=Diablo+Tools+DAG1110+7%2F8+in.+x+7-1%2F2+in.+Auger+Bit&amp;qid=1694735001&amp;sr=8-11")</f>
        <v/>
      </c>
      <c r="F5463" t="inlineStr">
        <is>
          <t>B089LGR2GW</t>
        </is>
      </c>
      <c r="G5463">
        <f>_xlfn.IMAGE("https://edmondsonsupply.com/cdn/shop/products/yel7mbaiyy08ii0assd5.webp?v=1680187136")</f>
        <v/>
      </c>
      <c r="H5463">
        <f>_xlfn.IMAGE("https://m.media-amazon.com/images/I/71M61xRfPtL._AC_UL320_.jpg")</f>
        <v/>
      </c>
      <c r="K5463" t="inlineStr">
        <is>
          <t>16.97</t>
        </is>
      </c>
      <c r="L5463" t="n">
        <v>20</v>
      </c>
      <c r="M5463" s="1" t="inlineStr">
        <is>
          <t>17.86%</t>
        </is>
      </c>
      <c r="N5463" s="7" t="n">
        <v>166.63</v>
      </c>
      <c r="O5463" t="n">
        <v>4.6</v>
      </c>
      <c r="P5463" t="n">
        <v>28</v>
      </c>
      <c r="R5463" t="inlineStr">
        <is>
          <t>InStock</t>
        </is>
      </c>
      <c r="S5463" t="inlineStr">
        <is>
          <t>23.76</t>
        </is>
      </c>
      <c r="T5463" t="inlineStr">
        <is>
          <t>7970459549912</t>
        </is>
      </c>
    </row>
    <row r="5464" hidden="1" ht="15.75" customHeight="1">
      <c r="A5464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5464" s="2">
        <f>HYPERLINK("https://edmondsonsupply.com/products/klein-tools-jth9m5-5-mm-hex-key-journeyman-t-handle-9-inch", "https://edmondsonsupply.com/products/klein-tools-jth9m5-5-mm-hex-key-journeyman-t-handle-9-inch")</f>
        <v/>
      </c>
      <c r="C5464" t="inlineStr">
        <is>
          <t>Klein Tools JTH9M5 5 mm Hex Key, Journeyman T-Handle 9-Inch</t>
        </is>
      </c>
      <c r="D5464" t="inlineStr">
        <is>
          <t>Klein Tools JTH9M3 3 mm Hex Key, Journeyman T-Handle, 9-Inch</t>
        </is>
      </c>
      <c r="E5464" s="2">
        <f>HYPERLINK("https://www.amazon.com/Journeyman-T-Handle-Klein-Tools-JTH9M3/dp/B005G3HJ28/ref=sr_1_9?keywords=Klein+Tools+JTH9M5+5+mm+Hex+Key%2C+Journeyman+T-Handle+9-Inch&amp;qid=1694735207&amp;sr=8-9", "https://www.amazon.com/Journeyman-T-Handle-Klein-Tools-JTH9M3/dp/B005G3HJ28/ref=sr_1_9?keywords=Klein+Tools+JTH9M5+5+mm+Hex+Key%2C+Journeyman+T-Handle+9-Inch&amp;qid=1694735207&amp;sr=8-9")</f>
        <v/>
      </c>
      <c r="F5464" t="inlineStr">
        <is>
          <t>B005G3HJ28</t>
        </is>
      </c>
      <c r="G5464">
        <f>_xludf.IMAGE("https://edmondsonsupply.com/cdn/shop/products/jth9m_84ad507b-889a-4b5c-80a2-9633c898cd48.jpg?v=1633031048")</f>
        <v/>
      </c>
      <c r="H5464">
        <f>_xludf.IMAGE("https://m.media-amazon.com/images/I/51MZtGjDOtL._AC_UL320_.jpg")</f>
        <v/>
      </c>
      <c r="K5464" t="inlineStr">
        <is>
          <t>4.99</t>
        </is>
      </c>
      <c r="L5464" t="n">
        <v>5.88</v>
      </c>
      <c r="M5464" s="1" t="inlineStr">
        <is>
          <t>17.84%</t>
        </is>
      </c>
      <c r="N5464" s="1" t="n">
        <v>164.45</v>
      </c>
      <c r="O5464" t="n">
        <v>4.6</v>
      </c>
      <c r="P5464" t="n">
        <v>179</v>
      </c>
      <c r="R5464" t="inlineStr">
        <is>
          <t>InStock</t>
        </is>
      </c>
      <c r="S5464" t="inlineStr">
        <is>
          <t>7.58</t>
        </is>
      </c>
      <c r="T5464" t="inlineStr">
        <is>
          <t>6772921532589</t>
        </is>
      </c>
    </row>
    <row r="5465" hidden="1" ht="15.75" customHeight="1">
      <c r="A5465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5465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5465" t="inlineStr">
        <is>
          <t>Klein Tools JTH6M3BE 3 mm Ball Hex Key Journeyman T-Handle 6-Inch</t>
        </is>
      </c>
      <c r="D5465" t="inlineStr">
        <is>
          <t>Klein Tools JTH9M3 3 mm Hex Key, Journeyman T-Handle, 9-Inch</t>
        </is>
      </c>
      <c r="E5465" s="2">
        <f>HYPERLINK("https://www.amazon.com/Journeyman-T-Handle-Klein-Tools-JTH9M3/dp/B005G3HJ28/ref=sr_1_6?keywords=Klein+Tools+JTH6M3BE+3+mm+Ball+Hex+Key+Journeyman+T-Handle+6-Inch&amp;qid=1694735145&amp;sr=8-6", "https://www.amazon.com/Journeyman-T-Handle-Klein-Tools-JTH9M3/dp/B005G3HJ28/ref=sr_1_6?keywords=Klein+Tools+JTH6M3BE+3+mm+Ball+Hex+Key+Journeyman+T-Handle+6-Inch&amp;qid=1694735145&amp;sr=8-6")</f>
        <v/>
      </c>
      <c r="F5465" t="inlineStr">
        <is>
          <t>B005G3HJ28</t>
        </is>
      </c>
      <c r="G5465">
        <f>_xludf.IMAGE("https://edmondsonsupply.com/cdn/shop/products/jth6m8be_1b0aeba1-6d03-4a46-99d8-f6853368c71f.jpg?v=1655941616")</f>
        <v/>
      </c>
      <c r="H5465">
        <f>_xludf.IMAGE("https://m.media-amazon.com/images/I/51MZtGjDOtL._AC_UL320_.jpg")</f>
        <v/>
      </c>
      <c r="K5465" t="inlineStr">
        <is>
          <t>4.99</t>
        </is>
      </c>
      <c r="L5465" t="n">
        <v>5.88</v>
      </c>
      <c r="M5465" s="1" t="inlineStr">
        <is>
          <t>17.84%</t>
        </is>
      </c>
      <c r="N5465" s="1" t="n">
        <v>162.55</v>
      </c>
      <c r="O5465" t="n">
        <v>4.6</v>
      </c>
      <c r="P5465" t="n">
        <v>179</v>
      </c>
      <c r="R5465" t="inlineStr">
        <is>
          <t>InStock</t>
        </is>
      </c>
      <c r="S5465" t="inlineStr">
        <is>
          <t>7.56</t>
        </is>
      </c>
      <c r="T5465" t="inlineStr">
        <is>
          <t>7727600304344</t>
        </is>
      </c>
    </row>
    <row r="5466" ht="87" customHeight="1">
      <c r="A5466" s="2">
        <f>HYPERLINK("https://edmondsonsupply.com/collections/electricians-tools/products/fluke-325-true-rms-clamp-meter", "https://edmondsonsupply.com/collections/electricians-tools/products/fluke-325-true-rms-clamp-meter")</f>
        <v/>
      </c>
      <c r="B5466" s="2">
        <f>HYPERLINK("https://edmondsonsupply.com/products/fluke-325-true-rms-clamp-meter", "https://edmondsonsupply.com/products/fluke-325-true-rms-clamp-meter")</f>
        <v/>
      </c>
      <c r="C5466" t="inlineStr">
        <is>
          <t>Fluke 325 True RMS Clamp Meter</t>
        </is>
      </c>
      <c r="D5466" t="inlineStr">
        <is>
          <t>Fluke 375 FC True-RMS AC/DC Clamp Meter, Measures AC/DC Current To 600 A and AC/DC Voltage To 1000 V, CAT III 1000 V, CAT IV 600 V Safety Rating, Includes Batteries and Soft Carrying Case</t>
        </is>
      </c>
      <c r="E5466" s="2">
        <f>HYPERLINK("https://www.amazon.com/Fluke-True-RMS-Measures-Batteries-Carrying/dp/B017OVC1U4/ref=sr_1_13?keywords=Fluke+325+True+RMS+Clamp+Meter&amp;qid=1694735185&amp;sr=8-13", "https://www.amazon.com/Fluke-True-RMS-Measures-Batteries-Carrying/dp/B017OVC1U4/ref=sr_1_13?keywords=Fluke+325+True+RMS+Clamp+Meter&amp;qid=1694735185&amp;sr=8-13")</f>
        <v/>
      </c>
      <c r="F5466" t="inlineStr">
        <is>
          <t>B017OVC1U4</t>
        </is>
      </c>
      <c r="G5466">
        <f>_xlfn.IMAGE("https://edmondsonsupply.com/cdn/shop/products/Fluke_325_clamp_meter_1280x873px_E_NR-14655.jpg?v=1688679209")</f>
        <v/>
      </c>
      <c r="H5466">
        <f>_xlfn.IMAGE("https://m.media-amazon.com/images/I/71-9RICQeuL._AC_UY218_.jpg")</f>
        <v/>
      </c>
      <c r="K5466" t="inlineStr">
        <is>
          <t>373.49</t>
        </is>
      </c>
      <c r="L5466" t="n">
        <v>440</v>
      </c>
      <c r="M5466" s="1" t="inlineStr">
        <is>
          <t>17.81%</t>
        </is>
      </c>
      <c r="N5466" s="7" t="n">
        <v>159.83</v>
      </c>
      <c r="O5466" t="n">
        <v>4.8</v>
      </c>
      <c r="P5466" t="n">
        <v>283</v>
      </c>
      <c r="R5466" t="inlineStr">
        <is>
          <t>InStock</t>
        </is>
      </c>
      <c r="S5466" t="inlineStr">
        <is>
          <t>414.99</t>
        </is>
      </c>
      <c r="T5466" t="inlineStr">
        <is>
          <t>6917985468589</t>
        </is>
      </c>
    </row>
    <row r="5467" ht="87" customHeight="1">
      <c r="A5467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467" s="2">
        <f>HYPERLINK("https://edmondsonsupply.com/products/diablo-tools-dag1110-7-8-in-x-7-1-2-in-auger-bit", "https://edmondsonsupply.com/products/diablo-tools-dag1110-7-8-in-x-7-1-2-in-auger-bit")</f>
        <v/>
      </c>
      <c r="C5467" t="inlineStr">
        <is>
          <t>Diablo Tools DAG1110 7/8 in. x 7-1/2 in. Auger Bit</t>
        </is>
      </c>
      <c r="D5467" t="inlineStr">
        <is>
          <t>Diablo by Freud DAG1120 15/16 in. x 7-1/2 in. Auger Bit Multi, One Size</t>
        </is>
      </c>
      <c r="E5467" s="2">
        <f>HYPERLINK("https://www.amazon.com/Diablo-DAG1120-7-1-Auger-Bit/dp/B089L8PCBB/ref=sr_1_18?keywords=Diablo+Tools+DAG1110+7%2F8+in.+x+7-1%2F2+in.+Auger+Bit&amp;qid=1694735001&amp;sr=8-18", "https://www.amazon.com/Diablo-DAG1120-7-1-Auger-Bit/dp/B089L8PCBB/ref=sr_1_18?keywords=Diablo+Tools+DAG1110+7%2F8+in.+x+7-1%2F2+in.+Auger+Bit&amp;qid=1694735001&amp;sr=8-18")</f>
        <v/>
      </c>
      <c r="F5467" t="inlineStr">
        <is>
          <t>B089L8PCBB</t>
        </is>
      </c>
      <c r="G5467">
        <f>_xlfn.IMAGE("https://edmondsonsupply.com/cdn/shop/products/yel7mbaiyy08ii0assd5.webp?v=1680187136")</f>
        <v/>
      </c>
      <c r="H5467">
        <f>_xlfn.IMAGE("https://m.media-amazon.com/images/I/71IHzQVI3GL._AC_UL320_.jpg")</f>
        <v/>
      </c>
      <c r="K5467" t="inlineStr">
        <is>
          <t>16.97</t>
        </is>
      </c>
      <c r="L5467" t="n">
        <v>19.97</v>
      </c>
      <c r="M5467" s="1" t="inlineStr">
        <is>
          <t>17.68%</t>
        </is>
      </c>
      <c r="N5467" s="7" t="n">
        <v>158.47</v>
      </c>
      <c r="O5467" t="n">
        <v>4.5</v>
      </c>
      <c r="P5467" t="n">
        <v>4</v>
      </c>
      <c r="R5467" t="inlineStr">
        <is>
          <t>InStock</t>
        </is>
      </c>
      <c r="S5467" t="inlineStr">
        <is>
          <t>23.76</t>
        </is>
      </c>
      <c r="T5467" t="inlineStr">
        <is>
          <t>7970459549912</t>
        </is>
      </c>
    </row>
    <row r="5468" ht="87" customHeight="1">
      <c r="A5468" s="2">
        <f>HYPERLINK("https://edmondsonsupply.com/collections/electricians-tools/products/milwaukee-49-56-0509-diamond-max%E2%84%A2-hole-saws", "https://edmondsonsupply.com/collections/electricians-tools/products/milwaukee-49-56-0509-diamond-max%E2%84%A2-hole-saws")</f>
        <v/>
      </c>
      <c r="B5468" s="2">
        <f>HYPERLINK("https://edmondsonsupply.com/products/milwaukee-49-56-0509-diamond-max%e2%84%a2-hole-saws", "https://edmondsonsupply.com/products/milwaukee-49-56-0509-diamond-max%e2%84%a2-hole-saws")</f>
        <v/>
      </c>
      <c r="C5468" t="inlineStr">
        <is>
          <t>Milwaukee 49-56-0509 3/8" Diamond MAX™ Hole Saw</t>
        </is>
      </c>
      <c r="D5468" t="inlineStr">
        <is>
          <t>Milwaukee 49-56-0515 3/4"  Diamond One-Piece Hole Saw</t>
        </is>
      </c>
      <c r="E5468" s="2">
        <f>HYPERLINK("https://www.amazon.com/Milwaukee-49-56-0515-Diamond-One-Piece-Hole/dp/B00LCU108S/ref=sr_1_11?keywords=Milwaukee+49-56-0509+3%2F8%22+Diamond+MAX%E2%84%A2+Hole+Saw&amp;qid=1694735061&amp;sr=8-11", "https://www.amazon.com/Milwaukee-49-56-0515-Diamond-One-Piece-Hole/dp/B00LCU108S/ref=sr_1_11?keywords=Milwaukee+49-56-0509+3%2F8%22+Diamond+MAX%E2%84%A2+Hole+Saw&amp;qid=1694735061&amp;sr=8-11")</f>
        <v/>
      </c>
      <c r="F5468" t="inlineStr">
        <is>
          <t>B00LCU108S</t>
        </is>
      </c>
      <c r="G5468">
        <f>_xlfn.IMAGE("https://edmondsonsupply.com/cdn/shop/products/images.jpg?v=1678461630")</f>
        <v/>
      </c>
      <c r="H5468">
        <f>_xlfn.IMAGE("https://m.media-amazon.com/images/I/61m0il20UYL._AC_UL320_.jpg")</f>
        <v/>
      </c>
      <c r="K5468" t="inlineStr">
        <is>
          <t>19.98</t>
        </is>
      </c>
      <c r="L5468" t="n">
        <v>23.5</v>
      </c>
      <c r="M5468" s="1" t="inlineStr">
        <is>
          <t>17.62%</t>
        </is>
      </c>
      <c r="N5468" s="7" t="n">
        <v>157.33</v>
      </c>
      <c r="O5468" t="n">
        <v>4.5</v>
      </c>
      <c r="P5468" t="n">
        <v>39</v>
      </c>
      <c r="R5468" t="inlineStr">
        <is>
          <t>InStock</t>
        </is>
      </c>
      <c r="S5468" t="inlineStr">
        <is>
          <t>30.9</t>
        </is>
      </c>
      <c r="T5468" t="inlineStr">
        <is>
          <t>7910281019608</t>
        </is>
      </c>
    </row>
    <row r="5469" ht="87" customHeight="1">
      <c r="A5469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5469" s="2">
        <f>HYPERLINK("https://edmondsonsupply.com/products/milwaukee-49-56-0505-1-4-diamond-max%e2%84%a2-hole-saw", "https://edmondsonsupply.com/products/milwaukee-49-56-0505-1-4-diamond-max%e2%84%a2-hole-saw")</f>
        <v/>
      </c>
      <c r="C5469" t="inlineStr">
        <is>
          <t>Milwaukee 49-56-0505 1/4" Diamond MAX™ Hole Saw</t>
        </is>
      </c>
      <c r="D5469" t="inlineStr">
        <is>
          <t>Milwaukee 49-56-0515 3/4"  Diamond One-Piece Hole Saw</t>
        </is>
      </c>
      <c r="E5469" s="2">
        <f>HYPERLINK("https://www.amazon.com/Milwaukee-49-56-0515-Diamond-One-Piece-Hole/dp/B00LCU108S/ref=sr_1_12?keywords=Milwaukee+49-56-0505+1%2F4%22+Diamond+MAX%E2%84%A2+Hole+Saw&amp;qid=1694735000&amp;sr=8-12", "https://www.amazon.com/Milwaukee-49-56-0515-Diamond-One-Piece-Hole/dp/B00LCU108S/ref=sr_1_12?keywords=Milwaukee+49-56-0505+1%2F4%22+Diamond+MAX%E2%84%A2+Hole+Saw&amp;qid=1694735000&amp;sr=8-12")</f>
        <v/>
      </c>
      <c r="F5469" t="inlineStr">
        <is>
          <t>B00LCU108S</t>
        </is>
      </c>
      <c r="G5469">
        <f>_xlfn.IMAGE("https://edmondsonsupply.com/cdn/shop/products/49-56-0507_1.png?v=1680111300")</f>
        <v/>
      </c>
      <c r="H5469">
        <f>_xlfn.IMAGE("https://m.media-amazon.com/images/I/61m0il20UYL._AC_UL320_.jpg")</f>
        <v/>
      </c>
      <c r="K5469" t="inlineStr">
        <is>
          <t>19.99</t>
        </is>
      </c>
      <c r="L5469" t="n">
        <v>23.5</v>
      </c>
      <c r="M5469" s="1" t="inlineStr">
        <is>
          <t>17.56%</t>
        </is>
      </c>
      <c r="N5469" s="7" t="n">
        <v>156.49</v>
      </c>
      <c r="O5469" t="n">
        <v>4.5</v>
      </c>
      <c r="P5469" t="n">
        <v>39</v>
      </c>
      <c r="R5469" t="inlineStr">
        <is>
          <t>InStock</t>
        </is>
      </c>
      <c r="S5469" t="inlineStr">
        <is>
          <t>26.6</t>
        </is>
      </c>
      <c r="T5469" t="inlineStr">
        <is>
          <t>7969746485464</t>
        </is>
      </c>
    </row>
    <row r="5470" hidden="1" ht="15.75" customHeight="1">
      <c r="A5470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5470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5470" t="inlineStr">
        <is>
          <t>Klein Tools JTH6E14BE 5/16-Inch Ball End Hex Key with T-Handle, 6-Inch</t>
        </is>
      </c>
      <c r="D5470" t="inlineStr">
        <is>
          <t>Klein Tools JTH6M3BE 3 mm Ball End Hex Key with Journeyman T-Handle, 6-Inch (Pack of 2)</t>
        </is>
      </c>
      <c r="E5470" s="2">
        <f>HYPERLINK("https://www.amazon.com/Klein-Tools-JTH6M3BE-Journeyman-T-Handle/dp/B0CGLYY7WP/ref=sr_1_2?keywords=Klein+Tools+JTH6E14BE+5%2F16-Inch+Ball+End+Hex+Key+with+T-Handle%2C+6-Inch&amp;qid=1694735186&amp;sr=8-2", "https://www.amazon.com/Klein-Tools-JTH6M3BE-Journeyman-T-Handle/dp/B0CGLYY7WP/ref=sr_1_2?keywords=Klein+Tools+JTH6E14BE+5%2F16-Inch+Ball+End+Hex+Key+with+T-Handle%2C+6-Inch&amp;qid=1694735186&amp;sr=8-2")</f>
        <v/>
      </c>
      <c r="F5470" t="inlineStr">
        <is>
          <t>B0CGLYY7WP</t>
        </is>
      </c>
      <c r="G5470">
        <f>_xludf.IMAGE("https://edmondsonsupply.com/cdn/shop/products/jth6e13be_0da4cca6-ce15-419c-bc75-cd610bd9637f.jpg?v=1629825198")</f>
        <v/>
      </c>
      <c r="H5470">
        <f>_xludf.IMAGE("https://m.media-amazon.com/images/I/413sTNFMd7L._AC_UL320_.jpg")</f>
        <v/>
      </c>
      <c r="K5470" t="inlineStr">
        <is>
          <t>8.49</t>
        </is>
      </c>
      <c r="L5470" t="n">
        <v>9.98</v>
      </c>
      <c r="M5470" s="1" t="inlineStr">
        <is>
          <t>17.55%</t>
        </is>
      </c>
      <c r="N5470" s="1" t="n">
        <v>156.36</v>
      </c>
      <c r="O5470" t="n">
        <v>4.6</v>
      </c>
      <c r="P5470" t="n">
        <v>184</v>
      </c>
      <c r="R5470" t="inlineStr">
        <is>
          <t>InStock</t>
        </is>
      </c>
      <c r="S5470" t="inlineStr">
        <is>
          <t>12.88</t>
        </is>
      </c>
      <c r="T5470" t="inlineStr">
        <is>
          <t>6899546161325</t>
        </is>
      </c>
    </row>
    <row r="5471" ht="87" customHeight="1">
      <c r="A5471" s="2">
        <f>HYPERLINK("https://edmondsonsupply.com/collections/electricians-tools/products/fluke-tl75-hard-point%E2%84%A2-test-lead-set", "https://edmondsonsupply.com/collections/electricians-tools/products/fluke-tl75-hard-point%E2%84%A2-test-lead-set")</f>
        <v/>
      </c>
      <c r="B5471" s="2">
        <f>HYPERLINK("https://edmondsonsupply.com/products/fluke-tl75-hard-point%e2%84%a2-test-lead-set", "https://edmondsonsupply.com/products/fluke-tl75-hard-point%e2%84%a2-test-lead-set")</f>
        <v/>
      </c>
      <c r="C5471" t="inlineStr">
        <is>
          <t>Fluke TL75 Hard Point™ Test Lead Set</t>
        </is>
      </c>
      <c r="D5471" t="inlineStr">
        <is>
          <t>Fluke TL75 Hard Point Test Lead Set</t>
        </is>
      </c>
      <c r="E5471" s="2">
        <f>HYPERLINK("https://www.amazon.com/Fluke-Corporation-FLUTL75-Hard-Point/dp/B0002SRIMS/ref=sr_1_2?keywords=Fluke+TL75+Hard+Point%E2%84%A2+Test+Lead+Set&amp;qid=1694735185&amp;sr=8-2", "https://www.amazon.com/Fluke-Corporation-FLUTL75-Hard-Point/dp/B0002SRIMS/ref=sr_1_2?keywords=Fluke+TL75+Hard+Point%E2%84%A2+Test+Lead+Set&amp;qid=1694735185&amp;sr=8-2")</f>
        <v/>
      </c>
      <c r="F5471" t="inlineStr">
        <is>
          <t>B0002SRIMS</t>
        </is>
      </c>
      <c r="G5471">
        <f>_xlfn.IMAGE("https://edmondsonsupply.com/cdn/shop/products/TL75-1_72dpi_1280x1031px_E_NR-12001.jpg?v=1633031187")</f>
        <v/>
      </c>
      <c r="H5471">
        <f>_xlfn.IMAGE("https://m.media-amazon.com/images/I/517U+4DxqAL._AC_UY218_.jpg")</f>
        <v/>
      </c>
      <c r="K5471" t="inlineStr">
        <is>
          <t>31.99</t>
        </is>
      </c>
      <c r="L5471" t="n">
        <v>37.6</v>
      </c>
      <c r="M5471" s="1" t="inlineStr">
        <is>
          <t>17.54%</t>
        </is>
      </c>
      <c r="N5471" s="7" t="n">
        <v>155.36</v>
      </c>
      <c r="O5471" t="n">
        <v>4.8</v>
      </c>
      <c r="P5471" t="n">
        <v>612</v>
      </c>
      <c r="R5471" t="inlineStr">
        <is>
          <t>InStock</t>
        </is>
      </c>
      <c r="S5471" t="inlineStr">
        <is>
          <t>34.99</t>
        </is>
      </c>
      <c r="T5471" t="inlineStr">
        <is>
          <t>6925419249837</t>
        </is>
      </c>
    </row>
    <row r="5472" hidden="1" ht="15.75" customHeight="1">
      <c r="A5472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5472" s="2">
        <f>HYPERLINK("https://edmondsonsupply.com/products/klein-tools-608-6-1-8-inch-cabinet-tip-mini-screwdriver-6-inch", "https://edmondsonsupply.com/products/klein-tools-608-6-1-8-inch-cabinet-tip-mini-screwdriver-6-inch")</f>
        <v/>
      </c>
      <c r="C5472" t="inlineStr">
        <is>
          <t>Klein Tools 608-6 1/8-Inch Cabinet Tip Mini Screwdriver, 6-Inch</t>
        </is>
      </c>
      <c r="D5472" t="inlineStr">
        <is>
          <t>Klein Tools 605-6 1/4-Inch Cabinet Tip Screwdriver, Heavy Duty, 6-Inch</t>
        </is>
      </c>
      <c r="E5472" s="2">
        <f>HYPERLINK("https://www.amazon.com/Klein-Tools-4-Inch-Cabinet-Screwdriver/dp/B000BQT6GC/ref=sr_1_6?keywords=Klein+Tools+608-6+1%2F8-Inch+Cabinet+Tip+Mini+Screwdriver%2C+6-Inch&amp;qid=1694735278&amp;sr=8-6", "https://www.amazon.com/Klein-Tools-4-Inch-Cabinet-Screwdriver/dp/B000BQT6GC/ref=sr_1_6?keywords=Klein+Tools+608-6+1%2F8-Inch+Cabinet+Tip+Mini+Screwdriver%2C+6-Inch&amp;qid=1694735278&amp;sr=8-6")</f>
        <v/>
      </c>
      <c r="F5472" t="inlineStr">
        <is>
          <t>B000BQT6GC</t>
        </is>
      </c>
      <c r="G5472">
        <f>_xludf.IMAGE("https://edmondsonsupply.com/cdn/shop/products/608-6.jpg?v=1633030486")</f>
        <v/>
      </c>
      <c r="H5472">
        <f>_xludf.IMAGE("https://m.media-amazon.com/images/I/41WLDr2SP+L._AC_UL320_.jpg")</f>
        <v/>
      </c>
      <c r="K5472" t="inlineStr">
        <is>
          <t>7.99</t>
        </is>
      </c>
      <c r="L5472" t="n">
        <v>9.390000000000001</v>
      </c>
      <c r="M5472" s="1" t="inlineStr">
        <is>
          <t>17.52%</t>
        </is>
      </c>
      <c r="N5472" s="1" t="n">
        <v>154.69</v>
      </c>
      <c r="O5472" t="n">
        <v>4.8</v>
      </c>
      <c r="P5472" t="n">
        <v>1225</v>
      </c>
      <c r="R5472" t="inlineStr">
        <is>
          <t>InStock</t>
        </is>
      </c>
      <c r="S5472" t="inlineStr">
        <is>
          <t>12.1</t>
        </is>
      </c>
      <c r="T5472" t="inlineStr">
        <is>
          <t>5371087683752</t>
        </is>
      </c>
    </row>
    <row r="5473" ht="87" customHeight="1">
      <c r="A5473" s="2">
        <f>HYPERLINK("https://edmondsonsupply.com/collections/electricians-tools/products/klein-tools-51427-conduit-bender-handle-for-1-2-inch-3-4-inch-heads", "https://edmondsonsupply.com/collections/electricians-tools/products/klein-tools-51427-conduit-bender-handle-for-1-2-inch-3-4-inch-heads")</f>
        <v/>
      </c>
      <c r="B5473" s="2">
        <f>HYPERLINK("https://edmondsonsupply.com/products/klein-tools-51427-conduit-bender-handle-for-1-2-inch-3-4-inch-heads", "https://edmondsonsupply.com/products/klein-tools-51427-conduit-bender-handle-for-1-2-inch-3-4-inch-heads")</f>
        <v/>
      </c>
      <c r="C5473" t="inlineStr">
        <is>
          <t>Klein Tools 51427 Conduit Bender Handle for 1/2-Inch, 3/4-Inch Heads</t>
        </is>
      </c>
      <c r="D5473" t="inlineStr">
        <is>
          <t>Klein Tools 85191 Screwdriver / Conduit Reamer, Conduit Fitting and Reaming Screwdriver for 1/2-Inch, 3/4-Inch, and 1-Inch Thin-Wall Conduit</t>
        </is>
      </c>
      <c r="E5473" s="2">
        <f>HYPERLINK("https://www.amazon.com/Screwdriver-Thin-Wall-Klein-Tools-85191/dp/B000CER0T8/ref=sr_1_25?keywords=Klein+Tools+51427+Conduit+Bender+Handle+for+1%2F2-Inch%2C+3%2F4-Inch+Heads&amp;qid=1694735122&amp;sr=8-25", "https://www.amazon.com/Screwdriver-Thin-Wall-Klein-Tools-85191/dp/B000CER0T8/ref=sr_1_25?keywords=Klein+Tools+51427+Conduit+Bender+Handle+for+1%2F2-Inch%2C+3%2F4-Inch+Heads&amp;qid=1694735122&amp;sr=8-25")</f>
        <v/>
      </c>
      <c r="F5473" t="inlineStr">
        <is>
          <t>B000CER0T8</t>
        </is>
      </c>
      <c r="G5473">
        <f>_xlfn.IMAGE("https://edmondsonsupply.com/cdn/shop/products/51429.jpg?v=1663694213")</f>
        <v/>
      </c>
      <c r="H5473">
        <f>_xlfn.IMAGE("https://m.media-amazon.com/images/I/51wfYPpIkML._AC_UL320_.jpg")</f>
        <v/>
      </c>
      <c r="K5473" t="inlineStr">
        <is>
          <t>27.99</t>
        </is>
      </c>
      <c r="L5473" t="n">
        <v>32.86</v>
      </c>
      <c r="M5473" s="1" t="inlineStr">
        <is>
          <t>17.40%</t>
        </is>
      </c>
      <c r="N5473" s="7" t="n">
        <v>153.97</v>
      </c>
      <c r="O5473" t="n">
        <v>4.8</v>
      </c>
      <c r="P5473" t="n">
        <v>3074</v>
      </c>
      <c r="R5473" t="inlineStr">
        <is>
          <t>InStock</t>
        </is>
      </c>
      <c r="S5473" t="inlineStr">
        <is>
          <t>42.4</t>
        </is>
      </c>
      <c r="T5473" t="inlineStr">
        <is>
          <t>7823793127640</t>
        </is>
      </c>
    </row>
    <row r="5474" ht="87" customHeight="1">
      <c r="A5474" s="2">
        <f>HYPERLINK("https://edmondsonsupply.com/collections/electricians-tools/products/copy-of-diablo-tools-d1280x-12-in-x-80-tooth-fine-finish-saw-blade", "https://edmondsonsupply.com/collections/electricians-tools/products/copy-of-diablo-tools-d1280x-12-in-x-80-tooth-fine-finish-saw-blade")</f>
        <v/>
      </c>
      <c r="B5474" s="2">
        <f>HYPERLINK("https://edmondsonsupply.com/products/copy-of-diablo-tools-d1280x-12-in-x-80-tooth-fine-finish-saw-blade", "https://edmondsonsupply.com/products/copy-of-diablo-tools-d1280x-12-in-x-80-tooth-fine-finish-saw-blade")</f>
        <v/>
      </c>
      <c r="C5474" t="inlineStr">
        <is>
          <t>Diablo Tools D1080X 10 in. x 80 Tooth Ultra Finish Saw Blade</t>
        </is>
      </c>
      <c r="D5474" t="inlineStr">
        <is>
          <t>D1080X Diablo 10" 80-Tooth ATB Saw Blade w/5/8" Arbor&amp;PermaShield Coating (Single Pack)</t>
        </is>
      </c>
      <c r="E5474" s="2">
        <f>HYPERLINK("https://www.amazon.com/D1080X-Diablo-80-Tooth-PermaShield-Coating/dp/B09KN5MJMK/ref=sr_1_2?keywords=Diablo+Tools+D1080X+10+in.+x+80+Tooth+Ultra+Finish+Saw+Blade&amp;qid=1694735315&amp;sr=8-2", "https://www.amazon.com/D1080X-Diablo-80-Tooth-PermaShield-Coating/dp/B09KN5MJMK/ref=sr_1_2?keywords=Diablo+Tools+D1080X+10+in.+x+80+Tooth+Ultra+Finish+Saw+Blade&amp;qid=1694735315&amp;sr=8-2")</f>
        <v/>
      </c>
      <c r="F5474" t="inlineStr">
        <is>
          <t>B09KN5MJMK</t>
        </is>
      </c>
      <c r="G5474">
        <f>_xlfn.IMAGE("https://edmondsonsupply.com/cdn/shop/products/D1080X_Main-Image20191112.png?v=1633030269")</f>
        <v/>
      </c>
      <c r="H5474">
        <f>_xlfn.IMAGE("https://m.media-amazon.com/images/I/61Il5QtqllS._AC_UL320_.jpg")</f>
        <v/>
      </c>
      <c r="K5474" t="inlineStr">
        <is>
          <t>49.97</t>
        </is>
      </c>
      <c r="L5474" t="n">
        <v>58.66</v>
      </c>
      <c r="M5474" s="1" t="inlineStr">
        <is>
          <t>17.39%</t>
        </is>
      </c>
      <c r="N5474" s="7" t="n">
        <v>153.09</v>
      </c>
      <c r="O5474" t="n">
        <v>5</v>
      </c>
      <c r="P5474" t="n">
        <v>1</v>
      </c>
      <c r="R5474" t="inlineStr">
        <is>
          <t>InStock</t>
        </is>
      </c>
      <c r="S5474" t="inlineStr">
        <is>
          <t>80.45</t>
        </is>
      </c>
      <c r="T5474" t="inlineStr">
        <is>
          <t>4681043050596</t>
        </is>
      </c>
    </row>
    <row r="5475" ht="87" customHeight="1">
      <c r="A5475" s="2">
        <f>HYPERLINK("https://edmondsonsupply.com/collections/electricians-tools/products/reed-mfg-rw8-8-heavy-duty-straight-pipe-wrench", "https://edmondsonsupply.com/collections/electricians-tools/products/reed-mfg-rw8-8-heavy-duty-straight-pipe-wrench")</f>
        <v/>
      </c>
      <c r="B5475" s="2">
        <f>HYPERLINK("https://edmondsonsupply.com/products/reed-mfg-rw8-8-heavy-duty-straight-pipe-wrench", "https://edmondsonsupply.com/products/reed-mfg-rw8-8-heavy-duty-straight-pipe-wrench")</f>
        <v/>
      </c>
      <c r="C5475" t="inlineStr">
        <is>
          <t>Reed Mfg RW8 8" Heavy-Duty Straight Pipe Wrench</t>
        </is>
      </c>
      <c r="D5475" t="inlineStr">
        <is>
          <t>REED RW8 8" Heavy-Duty Pipe Wrench</t>
        </is>
      </c>
      <c r="E5475" s="2">
        <f>HYPERLINK("https://www.amazon.com/REED-RW8-Heavy-Duty-Pipe-Wrench/dp/B00467NQ3Q/ref=sr_1_1?keywords=Reed+Mfg+RW8+8%22+Heavy-Duty+Straight+Pipe+Wrench&amp;qid=1694735215&amp;sr=8-1", "https://www.amazon.com/REED-RW8-Heavy-Duty-Pipe-Wrench/dp/B00467NQ3Q/ref=sr_1_1?keywords=Reed+Mfg+RW8+8%22+Heavy-Duty+Straight+Pipe+Wrench&amp;qid=1694735215&amp;sr=8-1")</f>
        <v/>
      </c>
      <c r="F5475" t="inlineStr">
        <is>
          <t>B00467NQ3Q</t>
        </is>
      </c>
      <c r="G5475">
        <f>_xlfn.IMAGE("https://edmondsonsupply.com/cdn/shop/products/02120-RW8-RGB.jpg?v=1633031010")</f>
        <v/>
      </c>
      <c r="H5475">
        <f>_xlfn.IMAGE("https://m.media-amazon.com/images/I/71kEKSUS3TL._AC_UL320_.jpg")</f>
        <v/>
      </c>
      <c r="K5475" t="inlineStr">
        <is>
          <t>22.92</t>
        </is>
      </c>
      <c r="L5475" t="n">
        <v>26.9</v>
      </c>
      <c r="M5475" s="1" t="inlineStr">
        <is>
          <t>17.36%</t>
        </is>
      </c>
      <c r="N5475" s="7" t="n">
        <v>151.56</v>
      </c>
      <c r="O5475" t="n">
        <v>5</v>
      </c>
      <c r="P5475" t="n">
        <v>4</v>
      </c>
      <c r="R5475" t="inlineStr">
        <is>
          <t>InStock</t>
        </is>
      </c>
      <c r="S5475" t="inlineStr">
        <is>
          <t>25.99</t>
        </is>
      </c>
      <c r="T5475" t="inlineStr">
        <is>
          <t>6696498331821</t>
        </is>
      </c>
    </row>
    <row r="5476" hidden="1" ht="15.75" customHeight="1">
      <c r="A5476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5476" s="2">
        <f>HYPERLINK("https://edmondsonsupply.com/products/klein-tools-jth6m10-10-mm-hex-key-journeyman-t-handle-6-inch", "https://edmondsonsupply.com/products/klein-tools-jth6m10-10-mm-hex-key-journeyman-t-handle-6-inch")</f>
        <v/>
      </c>
      <c r="C5476" t="inlineStr">
        <is>
          <t>Klein Tools JTH6M10 10 mm Hex Key Journeyman T-Handle 6-Inch</t>
        </is>
      </c>
      <c r="D5476" t="inlineStr">
        <is>
          <t>Klein Tools JTH6E13BE 1/4-Inch Ball End Hex Key with Journeyman T-Handle, 6-Inch</t>
        </is>
      </c>
      <c r="E5476" s="2">
        <f>HYPERLINK("https://www.amazon.com/Journeyman-T-Handle-Klein-Tools-JTH6E13BE/dp/B004QW52YW/ref=sr_1_7?keywords=Klein+Tools+JTH6M10+10+mm+Hex+Key+Journeyman+T-Handle+6-Inch&amp;qid=1694735203&amp;sr=8-7", "https://www.amazon.com/Journeyman-T-Handle-Klein-Tools-JTH6E13BE/dp/B004QW52YW/ref=sr_1_7?keywords=Klein+Tools+JTH6M10+10+mm+Hex+Key+Journeyman+T-Handle+6-Inch&amp;qid=1694735203&amp;sr=8-7")</f>
        <v/>
      </c>
      <c r="F5476" t="inlineStr">
        <is>
          <t>B004QW52YW</t>
        </is>
      </c>
      <c r="G5476">
        <f>_xludf.IMAGE("https://edmondsonsupply.com/cdn/shop/products/jth6m8_64c2c8d3-e13e-4b81-9b34-745be7fd837a.jpg?v=1627827117")</f>
        <v/>
      </c>
      <c r="H5476">
        <f>_xludf.IMAGE("https://m.media-amazon.com/images/I/51f9vBFVXgL._AC_UL320_.jpg")</f>
        <v/>
      </c>
      <c r="K5476" t="inlineStr">
        <is>
          <t>8.99</t>
        </is>
      </c>
      <c r="L5476" t="n">
        <v>10.55</v>
      </c>
      <c r="M5476" s="1" t="inlineStr">
        <is>
          <t>17.35%</t>
        </is>
      </c>
      <c r="N5476" s="1" t="n">
        <v>149.96</v>
      </c>
      <c r="O5476" t="n">
        <v>4.7</v>
      </c>
      <c r="P5476" t="n">
        <v>32</v>
      </c>
      <c r="R5476" t="inlineStr">
        <is>
          <t>InStock</t>
        </is>
      </c>
      <c r="S5476" t="inlineStr">
        <is>
          <t>13.56</t>
        </is>
      </c>
      <c r="T5476" t="inlineStr">
        <is>
          <t>6852298014893</t>
        </is>
      </c>
    </row>
    <row r="5477" hidden="1" ht="15.75" customHeight="1">
      <c r="A5477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5477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5477" t="inlineStr">
        <is>
          <t>Klein Tools JTH6E15 3/8-Inch Hex Key with Journeyman T-Handle, 6-Inch</t>
        </is>
      </c>
      <c r="D5477" t="inlineStr">
        <is>
          <t>Klein Tools JTH6E13BE 1/4-Inch Ball End Hex Key with Journeyman T-Handle, 6-Inch</t>
        </is>
      </c>
      <c r="E5477" s="2">
        <f>HYPERLINK("https://www.amazon.com/Journeyman-T-Handle-Klein-Tools-JTH6E13BE/dp/B004QW52YW/ref=sr_1_6?keywords=Klein+Tools+JTH6E15+3%2F8-Inch+Hex+Key+with+Journeyman+T-Handle%2C+6-Inch&amp;qid=1694735343&amp;sr=8-6", "https://www.amazon.com/Journeyman-T-Handle-Klein-Tools-JTH6E13BE/dp/B004QW52YW/ref=sr_1_6?keywords=Klein+Tools+JTH6E15+3%2F8-Inch+Hex+Key+with+Journeyman+T-Handle%2C+6-Inch&amp;qid=1694735343&amp;sr=8-6")</f>
        <v/>
      </c>
      <c r="F5477" t="inlineStr">
        <is>
          <t>B004QW52YW</t>
        </is>
      </c>
      <c r="G5477">
        <f>_xludf.IMAGE("https://edmondsonsupply.com/cdn/shop/products/jth6e15_c4dd65ba-86a8-4743-882c-88cf44faafdc.jpg?v=1587142819")</f>
        <v/>
      </c>
      <c r="H5477">
        <f>_xludf.IMAGE("https://m.media-amazon.com/images/I/51f9vBFVXgL._AC_UL320_.jpg")</f>
        <v/>
      </c>
      <c r="K5477" t="inlineStr">
        <is>
          <t>8.99</t>
        </is>
      </c>
      <c r="L5477" t="n">
        <v>10.55</v>
      </c>
      <c r="M5477" s="1" t="inlineStr">
        <is>
          <t>17.35%</t>
        </is>
      </c>
      <c r="N5477" s="1" t="n">
        <v>149.96</v>
      </c>
      <c r="O5477" t="n">
        <v>4.7</v>
      </c>
      <c r="P5477" t="n">
        <v>32</v>
      </c>
      <c r="R5477" t="inlineStr">
        <is>
          <t>InStock</t>
        </is>
      </c>
      <c r="S5477" t="inlineStr">
        <is>
          <t>13.56</t>
        </is>
      </c>
      <c r="T5477" t="inlineStr">
        <is>
          <t>4512705970276</t>
        </is>
      </c>
    </row>
    <row r="5478" ht="87" customHeight="1">
      <c r="A5478" s="2">
        <f>HYPERLINK("https://edmondsonsupply.com/collections/electricians-tools/products/klein-tools-vdv501-853-scout%C2%AE-pro-3-tester-with-test-map%E2%84%A2-remote-kit", "https://edmondsonsupply.com/collections/electricians-tools/products/klein-tools-vdv501-853-scout%C2%AE-pro-3-tester-with-test-map%E2%84%A2-remote-kit")</f>
        <v/>
      </c>
      <c r="B5478" s="2">
        <f>HYPERLINK("https://edmondsonsupply.com/products/klein-tools-vdv501-853-scout%c2%ae-pro-3-tester-with-test-map%e2%84%a2-remote-kit", "https://edmondsonsupply.com/products/klein-tools-vdv501-853-scout%c2%ae-pro-3-tester-with-test-map%e2%84%a2-remote-kit")</f>
        <v/>
      </c>
      <c r="C5478" t="inlineStr">
        <is>
          <t>Klein Tools VDV501-853 Scout® Pro 3 Tester with Test + Map™ Remote Kit</t>
        </is>
      </c>
      <c r="D5478" t="inlineStr">
        <is>
          <t>Klein Tools VDV501-853 CoaxialCable Tester, Scout Pro 3 with Test-n-Map Remote, Includes Remotes #2 - #6, Tests Voice, Data and Video Cable &amp; VDV500-123 Cable Tracer Probe-Pro Tracing Probe</t>
        </is>
      </c>
      <c r="E5478" s="2">
        <f>HYPERLINK("https://www.amazon.com/Klein-Tools-VDV501-853-CoaxialCable-Test-n-Map/dp/B09T71M6ZZ/ref=sr_1_3?keywords=Klein+Tools+VDV501-853+Scout%C2%AE+Pro+3+Tester+with+Test+%2B+Map%E2%84%A2+Remote+Kit&amp;qid=1694735254&amp;sr=8-3", "https://www.amazon.com/Klein-Tools-VDV501-853-CoaxialCable-Test-n-Map/dp/B09T71M6ZZ/ref=sr_1_3?keywords=Klein+Tools+VDV501-853+Scout%C2%AE+Pro+3+Tester+with+Test+%2B+Map%E2%84%A2+Remote+Kit&amp;qid=1694735254&amp;sr=8-3")</f>
        <v/>
      </c>
      <c r="F5478" t="inlineStr">
        <is>
          <t>B09T71M6ZZ</t>
        </is>
      </c>
      <c r="G5478">
        <f>_xlfn.IMAGE("https://edmondsonsupply.com/cdn/shop/products/vdv501853_b.jpg?v=1633030673")</f>
        <v/>
      </c>
      <c r="H5478">
        <f>_xlfn.IMAGE("https://m.media-amazon.com/images/I/51SXmtw0RaL._AC_UY218_.jpg")</f>
        <v/>
      </c>
      <c r="K5478" t="inlineStr">
        <is>
          <t>259.99</t>
        </is>
      </c>
      <c r="L5478" t="n">
        <v>304.98</v>
      </c>
      <c r="M5478" s="1" t="inlineStr">
        <is>
          <t>17.30%</t>
        </is>
      </c>
      <c r="N5478" s="7" t="n">
        <v>149.92</v>
      </c>
      <c r="O5478" t="n">
        <v>4.2</v>
      </c>
      <c r="P5478" t="n">
        <v>7</v>
      </c>
      <c r="R5478" t="inlineStr">
        <is>
          <t>InStock</t>
        </is>
      </c>
      <c r="S5478" t="inlineStr">
        <is>
          <t>400.6</t>
        </is>
      </c>
      <c r="T5478" t="inlineStr">
        <is>
          <t>5799827800232</t>
        </is>
      </c>
    </row>
    <row r="5479" hidden="1" ht="15.75" customHeight="1">
      <c r="A5479" s="2">
        <f>HYPERLINK("https://edmondsonsupply.com/collections/electricians-tools/products/greenlee-dtap8-32-drill-tap-8-32", "https://edmondsonsupply.com/collections/electricians-tools/products/greenlee-dtap8-32-drill-tap-8-32")</f>
        <v/>
      </c>
      <c r="B5479" s="2">
        <f>HYPERLINK("https://edmondsonsupply.com/products/greenlee-dtap8-32-drill-tap-8-32", "https://edmondsonsupply.com/products/greenlee-dtap8-32-drill-tap-8-32")</f>
        <v/>
      </c>
      <c r="C5479" t="inlineStr">
        <is>
          <t>Greenlee DTAP8-32 Drill/Tap, 8-32</t>
        </is>
      </c>
      <c r="D5479" t="inlineStr">
        <is>
          <t>DEWALT Drill Tap, UNC, 8-Inch-to-32-Inch (DWADT832)</t>
        </is>
      </c>
      <c r="E5479" s="2">
        <f>HYPERLINK("https://www.amazon.com/DEWALT-DWADT832-UNC-Drill-Tap/dp/B014R19GHK/ref=sr_1_10?keywords=Greenlee+DTAP8-32+Drill%2FTap%2C+8-32&amp;qid=1694735400&amp;sr=8-10", "https://www.amazon.com/DEWALT-DWADT832-UNC-Drill-Tap/dp/B014R19GHK/ref=sr_1_10?keywords=Greenlee+DTAP8-32+Drill%2FTap%2C+8-32&amp;qid=1694735400&amp;sr=8-10")</f>
        <v/>
      </c>
      <c r="F5479" t="inlineStr">
        <is>
          <t>B014R19GHK</t>
        </is>
      </c>
      <c r="G5479">
        <f>_xludf.IMAGE("https://edmondsonsupply.com/cdn/shop/products/DTAP8-32.jpg?v=1633030185")</f>
        <v/>
      </c>
      <c r="H5479">
        <f>_xludf.IMAGE("https://m.media-amazon.com/images/I/31V7M2NejoS._AC_UL320_.jpg")</f>
        <v/>
      </c>
      <c r="K5479" t="inlineStr">
        <is>
          <t>8.29</t>
        </is>
      </c>
      <c r="L5479" t="n">
        <v>9.720000000000001</v>
      </c>
      <c r="M5479" s="1" t="inlineStr">
        <is>
          <t>17.25%</t>
        </is>
      </c>
      <c r="N5479" s="1" t="n">
        <v>145.17</v>
      </c>
      <c r="O5479" t="n">
        <v>4.3</v>
      </c>
      <c r="P5479" t="n">
        <v>92</v>
      </c>
      <c r="R5479" t="inlineStr">
        <is>
          <t>InStock</t>
        </is>
      </c>
      <c r="S5479" t="inlineStr">
        <is>
          <t>9.7</t>
        </is>
      </c>
      <c r="T5479" t="inlineStr">
        <is>
          <t>4395862392932</t>
        </is>
      </c>
    </row>
    <row r="5480" ht="87" customHeight="1">
      <c r="A5480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5480" s="2">
        <f>HYPERLINK("https://edmondsonsupply.com/products/diablo-tools-dmapl2500-7-8-in-x-8-in-x-10-in-sds-plus-2-cutter", "https://edmondsonsupply.com/products/diablo-tools-dmapl2500-7-8-in-x-8-in-x-10-in-sds-plus-2-cutter")</f>
        <v/>
      </c>
      <c r="C5480" t="inlineStr">
        <is>
          <t>Diablo Tools DMAPL2500 7/8 in. x 8 in. x 10 in. SDS-Plus 2-Cutter</t>
        </is>
      </c>
      <c r="D5480" t="inlineStr">
        <is>
          <t>Diablo by Freud DMAPL4300 1 in. x 8 in. x 10 in. Rebar Demon™ SDS-Plus 4-Cutter Full Carbide Head Hammer Bit</t>
        </is>
      </c>
      <c r="E5480" s="2">
        <f>HYPERLINK("https://www.amazon.com/Diablo-Freud-DMAPL4300-SDS-Plus-4-Cutter/dp/B089LL8JD8/ref=sr_1_3?keywords=Diablo+Tools+DMAPL2500+7%2F8+in.+x+8+in.+x+10+in.+SDS-Plus+2-Cutter&amp;qid=1694735171&amp;sr=8-3", "https://www.amazon.com/Diablo-Freud-DMAPL4300-SDS-Plus-4-Cutter/dp/B089LL8JD8/ref=sr_1_3?keywords=Diablo+Tools+DMAPL2500+7%2F8+in.+x+8+in.+x+10+in.+SDS-Plus+2-Cutter&amp;qid=1694735171&amp;sr=8-3")</f>
        <v/>
      </c>
      <c r="F5480" t="inlineStr">
        <is>
          <t>B089LL8JD8</t>
        </is>
      </c>
      <c r="G5480">
        <f>_xlfn.IMAGE("https://edmondsonsupply.com/cdn/shop/products/2500.webp?v=1647636219")</f>
        <v/>
      </c>
      <c r="H5480">
        <f>_xlfn.IMAGE("https://m.media-amazon.com/images/I/616UiJGsK1L._AC_UL320_.jpg")</f>
        <v/>
      </c>
      <c r="K5480" t="inlineStr">
        <is>
          <t>28.97</t>
        </is>
      </c>
      <c r="L5480" t="n">
        <v>33.95</v>
      </c>
      <c r="M5480" s="1" t="inlineStr">
        <is>
          <t>17.19%</t>
        </is>
      </c>
      <c r="N5480" s="7" t="n">
        <v>142.44</v>
      </c>
      <c r="O5480" t="n">
        <v>4.5</v>
      </c>
      <c r="P5480" t="n">
        <v>16</v>
      </c>
      <c r="R5480" t="inlineStr">
        <is>
          <t>InStock</t>
        </is>
      </c>
      <c r="S5480" t="inlineStr">
        <is>
          <t>33.98</t>
        </is>
      </c>
      <c r="T5480" t="inlineStr">
        <is>
          <t>7639201317080</t>
        </is>
      </c>
    </row>
    <row r="5481" ht="87" customHeight="1">
      <c r="A5481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5481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5481" t="inlineStr">
        <is>
          <t>Klein Tools CL220 Digital Clamp Meter, AC Auto-Ranging 400 Amp with Temp</t>
        </is>
      </c>
      <c r="D5481" t="inlineStr">
        <is>
          <t>Klein Tools CL320 Digital Clamp Meter, HVAC AC Auto-ranging 400A, AC/DC Voltage, TRMS, DC Microamps, Resistance, Frequency, NCVT, Temp, More</t>
        </is>
      </c>
      <c r="E5481" s="2">
        <f>HYPERLINK("https://www.amazon.com/Klein-Tools-CL320-Digital-Electrical/dp/B08DDTV5KG/ref=sr_1_3?keywords=Klein+Tools+CL220+Digital+Clamp+Meter%2C+AC+Auto-Ranging+400+Amp+with+Temp&amp;qid=1694735238&amp;sr=8-3", "https://www.amazon.com/Klein-Tools-CL320-Digital-Electrical/dp/B08DDTV5KG/ref=sr_1_3?keywords=Klein+Tools+CL220+Digital+Clamp+Meter%2C+AC+Auto-Ranging+400+Amp+with+Temp&amp;qid=1694735238&amp;sr=8-3")</f>
        <v/>
      </c>
      <c r="F5481" t="inlineStr">
        <is>
          <t>B08DDTV5KG</t>
        </is>
      </c>
      <c r="G5481">
        <f>_xlfn.IMAGE("https://edmondsonsupply.com/cdn/shop/products/cl220.jpg?v=1633030821")</f>
        <v/>
      </c>
      <c r="H5481">
        <f>_xlfn.IMAGE("https://m.media-amazon.com/images/I/61qVZZBNj2L._AC_UY218_.jpg")</f>
        <v/>
      </c>
      <c r="K5481" t="inlineStr">
        <is>
          <t>69.97</t>
        </is>
      </c>
      <c r="L5481" t="n">
        <v>81.98999999999999</v>
      </c>
      <c r="M5481" s="1" t="inlineStr">
        <is>
          <t>17.18%</t>
        </is>
      </c>
      <c r="N5481" s="7" t="n">
        <v>141.36</v>
      </c>
      <c r="O5481" t="n">
        <v>4.8</v>
      </c>
      <c r="P5481" t="n">
        <v>986</v>
      </c>
      <c r="R5481" t="inlineStr">
        <is>
          <t>InStock</t>
        </is>
      </c>
      <c r="S5481" t="inlineStr">
        <is>
          <t>93.22</t>
        </is>
      </c>
      <c r="T5481" t="inlineStr">
        <is>
          <t>6080846463149</t>
        </is>
      </c>
    </row>
    <row r="5482" ht="87" customHeight="1">
      <c r="A5482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5482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5482" t="inlineStr">
        <is>
          <t>Diablo Tools DMAMX1360 1-1/2 in. x 16 in. x 21 in. Rebar Demon™ SDS-Max 4-Cutter Carbide-Tipped Hammer Drill Bit</t>
        </is>
      </c>
      <c r="D5482" t="inlineStr">
        <is>
          <t>Diablo DMAMX1230 1 in. x 24 in. x 29 in. Rebar Demon™ SDS-Max 4-Cutter Full Carbide Head Hammer Bit</t>
        </is>
      </c>
      <c r="E5482" s="2">
        <f>HYPERLINK("https://www.amazon.com/Diablo-DMAMX1230-SDS-Max-4-Cutter-Carbide/dp/B089KWMBLT/ref=sr_1_40?keywords=Diablo+Tools+DMAMX1360+1-1%2F2+in.+x+16+in.+x+21+in.+Rebar+Demon%E2%84%A2+SDS-Max+4-Cutter+Carbide-Tipped+Hammer+Drill+Bit&amp;qid=1694735042&amp;sr=8-40", "https://www.amazon.com/Diablo-DMAMX1230-SDS-Max-4-Cutter-Carbide/dp/B089KWMBLT/ref=sr_1_40?keywords=Diablo+Tools+DMAMX1360+1-1%2F2+in.+x+16+in.+x+21+in.+Rebar+Demon%E2%84%A2+SDS-Max+4-Cutter+Carbide-Tipped+Hammer+Drill+Bit&amp;qid=1694735042&amp;sr=8-40")</f>
        <v/>
      </c>
      <c r="F5482" t="inlineStr">
        <is>
          <t>B089KWMBLT</t>
        </is>
      </c>
      <c r="G5482">
        <f>_xlfn.IMAGE("https://edmondsonsupply.com/cdn/shop/products/z2umcsdaj3y4uvsfnxoh.webp?v=1677257156")</f>
        <v/>
      </c>
      <c r="H5482">
        <f>_xlfn.IMAGE("https://m.media-amazon.com/images/I/61B-wgZVzML._AC_UL320_.jpg")</f>
        <v/>
      </c>
      <c r="K5482" t="inlineStr">
        <is>
          <t>93.87</t>
        </is>
      </c>
      <c r="L5482" t="n">
        <v>109.99</v>
      </c>
      <c r="M5482" s="1" t="inlineStr">
        <is>
          <t>17.17%</t>
        </is>
      </c>
      <c r="N5482" s="7" t="n">
        <v>140.14</v>
      </c>
      <c r="O5482" t="n">
        <v>4.6</v>
      </c>
      <c r="P5482" t="n">
        <v>3</v>
      </c>
      <c r="R5482" t="inlineStr">
        <is>
          <t>InStock</t>
        </is>
      </c>
      <c r="S5482" t="inlineStr">
        <is>
          <t>149.01</t>
        </is>
      </c>
      <c r="T5482" t="inlineStr">
        <is>
          <t>7950786855128</t>
        </is>
      </c>
    </row>
    <row r="5483" hidden="1" ht="15.75" customHeight="1">
      <c r="A5483" s="2">
        <f>HYPERLINK("https://edmondsonsupply.com/collections/electricians-tools/products/klein-tools-jth9m8-8-mm-hex-key-journeyman%E2%84%A2-t-handle-9-inch", "https://edmondsonsupply.com/collections/electricians-tools/products/klein-tools-jth9m8-8-mm-hex-key-journeyman%E2%84%A2-t-handle-9-inch")</f>
        <v/>
      </c>
      <c r="B5483" s="2">
        <f>HYPERLINK("https://edmondsonsupply.com/products/klein-tools-jth9m8-8-mm-hex-key-journeyman%e2%84%a2-t-handle-9-inch", "https://edmondsonsupply.com/products/klein-tools-jth9m8-8-mm-hex-key-journeyman%e2%84%a2-t-handle-9-inch")</f>
        <v/>
      </c>
      <c r="C5483" t="inlineStr">
        <is>
          <t>Klein Tools JTH9M8 8 mm Hex Key, Journeyman™ T-Handle, 9-Inch</t>
        </is>
      </c>
      <c r="D5483" t="inlineStr">
        <is>
          <t>Klein Tools JTH6M8 8 mm Hex Key, Journeyman T-Handle, 6-Inch</t>
        </is>
      </c>
      <c r="E5483" s="2">
        <f>HYPERLINK("https://www.amazon.com/Journeyman-T-Handle-Klein-Tools-JTH6M8/dp/B005G395P2/ref=sr_1_3?keywords=Klein+Tools+JTH9M8+8+mm+Hex+Key%2C+Journeyman%E2%84%A2+T-Handle%2C+9-Inch&amp;qid=1694735127&amp;sr=8-3", "https://www.amazon.com/Journeyman-T-Handle-Klein-Tools-JTH6M8/dp/B005G395P2/ref=sr_1_3?keywords=Klein+Tools+JTH9M8+8+mm+Hex+Key%2C+Journeyman%E2%84%A2+T-Handle%2C+9-Inch&amp;qid=1694735127&amp;sr=8-3")</f>
        <v/>
      </c>
      <c r="F5483" t="inlineStr">
        <is>
          <t>B005G395P2</t>
        </is>
      </c>
      <c r="G5483">
        <f>_xludf.IMAGE("https://edmondsonsupply.com/cdn/shop/products/jth6m8_03ba3d30-ff38-4b9e-93e7-b0fc6da199d0.jpg?v=1662658324")</f>
        <v/>
      </c>
      <c r="H5483">
        <f>_xludf.IMAGE("https://m.media-amazon.com/images/I/51+1x0vz9XL._AC_UL320_.jpg")</f>
        <v/>
      </c>
      <c r="K5483" t="inlineStr">
        <is>
          <t>7.99</t>
        </is>
      </c>
      <c r="L5483" t="n">
        <v>9.359999999999999</v>
      </c>
      <c r="M5483" s="1" t="inlineStr">
        <is>
          <t>17.15%</t>
        </is>
      </c>
      <c r="N5483" s="1" t="n">
        <v>138.95</v>
      </c>
      <c r="O5483" t="n">
        <v>4.7</v>
      </c>
      <c r="P5483" t="n">
        <v>1530</v>
      </c>
      <c r="R5483" t="inlineStr">
        <is>
          <t>InStock</t>
        </is>
      </c>
      <c r="S5483" t="inlineStr">
        <is>
          <t>12.1</t>
        </is>
      </c>
      <c r="T5483" t="inlineStr">
        <is>
          <t>7809334018264</t>
        </is>
      </c>
    </row>
    <row r="5484" hidden="1" ht="15.75" customHeight="1">
      <c r="A5484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484" s="2">
        <f>HYPERLINK("https://edmondsonsupply.com/products/diablo-tools-dsp2130-p2-1-in-x-6-in-spade-bit", "https://edmondsonsupply.com/products/diablo-tools-dsp2130-p2-1-in-x-6-in-spade-bit")</f>
        <v/>
      </c>
      <c r="C5484" t="inlineStr">
        <is>
          <t>Diablo Tools DSP2130-P2 1 in. x 6 in. Spade Bit</t>
        </is>
      </c>
      <c r="D5484" t="inlineStr">
        <is>
          <t>Diablo by Freud DSP2050-P2 1/2 in. x 6 in. SPEEDemon Spade Bit (2-Pack)</t>
        </is>
      </c>
      <c r="E5484" s="2">
        <f>HYPERLINK("https://www.amazon.com/Diablo-SPEEDemon-Spade-Bit-2-Pack/dp/B089KX7BQ7/ref=sr_1_1?keywords=Diablo+Tools+DSP2130-P2+1+in.+x+6+in.+Spade+Bit&amp;qid=1694735066&amp;sr=8-1", "https://www.amazon.com/Diablo-SPEEDemon-Spade-Bit-2-Pack/dp/B089KX7BQ7/ref=sr_1_1?keywords=Diablo+Tools+DSP2130-P2+1+in.+x+6+in.+Spade+Bit&amp;qid=1694735066&amp;sr=8-1")</f>
        <v/>
      </c>
      <c r="F5484" t="inlineStr">
        <is>
          <t>B089KX7BQ7</t>
        </is>
      </c>
      <c r="G5484">
        <f>_xludf.IMAGE("https://edmondsonsupply.com/cdn/shop/products/peyjwqlntvnioikkr5be.webp?v=1670515689")</f>
        <v/>
      </c>
      <c r="H5484">
        <f>_xludf.IMAGE("https://m.media-amazon.com/images/I/61QvpLGY7PL._AC_UL320_.jpg")</f>
        <v/>
      </c>
      <c r="K5484" t="inlineStr">
        <is>
          <t>6.39</t>
        </is>
      </c>
      <c r="L5484" t="n">
        <v>7.47</v>
      </c>
      <c r="M5484" s="1" t="inlineStr">
        <is>
          <t>16.90%</t>
        </is>
      </c>
      <c r="N5484" s="1" t="n">
        <v>136.41</v>
      </c>
      <c r="O5484" t="n">
        <v>4.8</v>
      </c>
      <c r="P5484" t="n">
        <v>12</v>
      </c>
      <c r="R5484" t="inlineStr">
        <is>
          <t>InStock</t>
        </is>
      </c>
      <c r="S5484" t="inlineStr">
        <is>
          <t>undefined</t>
        </is>
      </c>
      <c r="T5484" t="inlineStr">
        <is>
          <t>7901272047832</t>
        </is>
      </c>
    </row>
    <row r="5485" hidden="1" ht="15.75" customHeight="1">
      <c r="A5485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485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485" t="inlineStr">
        <is>
          <t>Klein Tools 6886INS Insulated Screwdriver, #1 Square Tip, 6-Inch Shank</t>
        </is>
      </c>
      <c r="D5485" t="inlineStr">
        <is>
          <t>Klein Tools 6984INS Insulated Screwdriver, 1000V Slim Profile Tip, #1 Square with 4-Inch Shank, Cushion-Grip Handle</t>
        </is>
      </c>
      <c r="E5485" s="2">
        <f>HYPERLINK("https://www.amazon.com/Klein-Tools-6984INS-Screwdriver-Cushion-Grip/dp/B09GPZ5P2M/ref=sr_1_4?keywords=Klein+Tools+6886INS+Insulated+Screwdriver%2C+%231+Square+Tip%2C+6-Inch+Shank&amp;qid=1694735108&amp;sr=8-4", "https://www.amazon.com/Klein-Tools-6984INS-Screwdriver-Cushion-Grip/dp/B09GPZ5P2M/ref=sr_1_4?keywords=Klein+Tools+6886INS+Insulated+Screwdriver%2C+%231+Square+Tip%2C+6-Inch+Shank&amp;qid=1694735108&amp;sr=8-4")</f>
        <v/>
      </c>
      <c r="F5485" t="inlineStr">
        <is>
          <t>B09GPZ5P2M</t>
        </is>
      </c>
      <c r="G5485">
        <f>_xludf.IMAGE("https://edmondsonsupply.com/cdn/shop/products/6886ins.jpg?v=1664889697")</f>
        <v/>
      </c>
      <c r="H5485">
        <f>_xludf.IMAGE("https://m.media-amazon.com/images/I/41uj4ogsy3L._AC_UL320_.jpg")</f>
        <v/>
      </c>
      <c r="K5485" t="inlineStr">
        <is>
          <t>11.97</t>
        </is>
      </c>
      <c r="L5485" t="n">
        <v>13.99</v>
      </c>
      <c r="M5485" s="1" t="inlineStr">
        <is>
          <t>16.88%</t>
        </is>
      </c>
      <c r="N5485" s="1" t="n">
        <v>136.41</v>
      </c>
      <c r="O5485" t="n">
        <v>4.8</v>
      </c>
      <c r="P5485" t="n">
        <v>107</v>
      </c>
      <c r="R5485" t="inlineStr">
        <is>
          <t>InStock</t>
        </is>
      </c>
      <c r="S5485" t="inlineStr">
        <is>
          <t>17.98</t>
        </is>
      </c>
      <c r="T5485" t="inlineStr">
        <is>
          <t>7839176491224</t>
        </is>
      </c>
    </row>
    <row r="5486" hidden="1" ht="15.75" customHeight="1">
      <c r="A5486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486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486" t="inlineStr">
        <is>
          <t>Klein Tools 6826INS Insulated Screwdriver, 1/4-Inch Cabinet Tip, 6-Inch Shank</t>
        </is>
      </c>
      <c r="D5486" t="inlineStr">
        <is>
          <t>Klein Tools 6944INS Insulated Screwdriver, 1000V Slim Profile Tip, #2 Square with 4-Inch Shank, Cushion-Grip Handle</t>
        </is>
      </c>
      <c r="E5486" s="2">
        <f>HYPERLINK("https://www.amazon.com/Klein-Tools-6944INS-Screwdriver-Cushion-Grip/dp/B09GPYTZV3/ref=sr_1_19?keywords=Klein+Tools+6826INS+Insulated+Screwdriver%2C+1%2F4-Inch+Cabinet+Tip%2C+6-Inch+Shank&amp;qid=1694735104&amp;sr=8-19", "https://www.amazon.com/Klein-Tools-6944INS-Screwdriver-Cushion-Grip/dp/B09GPYTZV3/ref=sr_1_19?keywords=Klein+Tools+6826INS+Insulated+Screwdriver%2C+1%2F4-Inch+Cabinet+Tip%2C+6-Inch+Shank&amp;qid=1694735104&amp;sr=8-19")</f>
        <v/>
      </c>
      <c r="F5486" t="inlineStr">
        <is>
          <t>B09GPYTZV3</t>
        </is>
      </c>
      <c r="G5486">
        <f>_xludf.IMAGE("https://edmondsonsupply.com/cdn/shop/products/6826ins.jpg?v=1664814069")</f>
        <v/>
      </c>
      <c r="H5486">
        <f>_xludf.IMAGE("https://m.media-amazon.com/images/I/41PzygwLx+L._AC_UL320_.jpg")</f>
        <v/>
      </c>
      <c r="K5486" t="inlineStr">
        <is>
          <t>11.97</t>
        </is>
      </c>
      <c r="L5486" t="n">
        <v>13.99</v>
      </c>
      <c r="M5486" s="1" t="inlineStr">
        <is>
          <t>16.88%</t>
        </is>
      </c>
      <c r="N5486" s="1" t="n">
        <v>136.41</v>
      </c>
      <c r="O5486" t="n">
        <v>4.7</v>
      </c>
      <c r="P5486" t="n">
        <v>93</v>
      </c>
      <c r="R5486" t="inlineStr">
        <is>
          <t>InStock</t>
        </is>
      </c>
      <c r="S5486" t="inlineStr">
        <is>
          <t>17.98</t>
        </is>
      </c>
      <c r="T5486" t="inlineStr">
        <is>
          <t>7837707698392</t>
        </is>
      </c>
    </row>
    <row r="5487" hidden="1" ht="15.75" customHeight="1">
      <c r="A5487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487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487" t="inlineStr">
        <is>
          <t>Klein Tools 6886INS Insulated Screwdriver, #1 Square Tip, 6-Inch Shank</t>
        </is>
      </c>
      <c r="D5487" t="inlineStr">
        <is>
          <t>Klein Tools 6944INS Insulated Screwdriver, 1000V Slim Profile Tip, #2 Square with 4-Inch Shank, Cushion-Grip Handle</t>
        </is>
      </c>
      <c r="E5487" s="2">
        <f>HYPERLINK("https://www.amazon.com/Klein-Tools-6944INS-Screwdriver-Cushion-Grip/dp/B09GPYTZV3/ref=sr_1_8?keywords=Klein+Tools+6886INS+Insulated+Screwdriver%2C+%231+Square+Tip%2C+6-Inch+Shank&amp;qid=1694735108&amp;sr=8-8", "https://www.amazon.com/Klein-Tools-6944INS-Screwdriver-Cushion-Grip/dp/B09GPYTZV3/ref=sr_1_8?keywords=Klein+Tools+6886INS+Insulated+Screwdriver%2C+%231+Square+Tip%2C+6-Inch+Shank&amp;qid=1694735108&amp;sr=8-8")</f>
        <v/>
      </c>
      <c r="F5487" t="inlineStr">
        <is>
          <t>B09GPYTZV3</t>
        </is>
      </c>
      <c r="G5487">
        <f>_xludf.IMAGE("https://edmondsonsupply.com/cdn/shop/products/6886ins.jpg?v=1664889697")</f>
        <v/>
      </c>
      <c r="H5487">
        <f>_xludf.IMAGE("https://m.media-amazon.com/images/I/41PzygwLx+L._AC_UL320_.jpg")</f>
        <v/>
      </c>
      <c r="K5487" t="inlineStr">
        <is>
          <t>11.97</t>
        </is>
      </c>
      <c r="L5487" t="n">
        <v>13.99</v>
      </c>
      <c r="M5487" s="1" t="inlineStr">
        <is>
          <t>16.88%</t>
        </is>
      </c>
      <c r="N5487" s="1" t="n">
        <v>135.6</v>
      </c>
      <c r="O5487" t="n">
        <v>4.7</v>
      </c>
      <c r="P5487" t="n">
        <v>93</v>
      </c>
      <c r="R5487" t="inlineStr">
        <is>
          <t>InStock</t>
        </is>
      </c>
      <c r="S5487" t="inlineStr">
        <is>
          <t>17.98</t>
        </is>
      </c>
      <c r="T5487" t="inlineStr">
        <is>
          <t>7839176491224</t>
        </is>
      </c>
    </row>
    <row r="5488" hidden="1" ht="15.75" customHeight="1">
      <c r="A5488" s="2">
        <f>HYPERLINK("https://edmondsonsupply.com/collections/electricians-tools/products/klein-tools-6846ins-insulated-screwdriver-2-square-tip-6-inch-round-shank", "https://edmondsonsupply.com/collections/electricians-tools/products/klein-tools-6846ins-insulated-screwdriver-2-square-tip-6-inch-round-shank")</f>
        <v/>
      </c>
      <c r="B5488" s="2">
        <f>HYPERLINK("https://edmondsonsupply.com/products/klein-tools-6846ins-insulated-screwdriver-2-square-tip-6-inch-round-shank", "https://edmondsonsupply.com/products/klein-tools-6846ins-insulated-screwdriver-2-square-tip-6-inch-round-shank")</f>
        <v/>
      </c>
      <c r="C5488" t="inlineStr">
        <is>
          <t>Klein Tools 6846INS Insulated Screwdriver, #2 Square Tip, 6-Inch Round Shank</t>
        </is>
      </c>
      <c r="D5488" t="inlineStr">
        <is>
          <t>Klein Tools 6944INS Insulated Screwdriver, 1000V Slim Profile Tip, #2 Square with 4-Inch Shank, Cushion-Grip Handle</t>
        </is>
      </c>
      <c r="E5488" s="2">
        <f>HYPERLINK("https://www.amazon.com/Klein-Tools-6944INS-Screwdriver-Cushion-Grip/dp/B09GPYTZV3/ref=sr_1_4?keywords=Klein+Tools+6846INS+Insulated+Screwdriver%2C+%232+Square+Tip%2C+6-Inch+Round+Shank&amp;qid=1694735106&amp;sr=8-4", "https://www.amazon.com/Klein-Tools-6944INS-Screwdriver-Cushion-Grip/dp/B09GPYTZV3/ref=sr_1_4?keywords=Klein+Tools+6846INS+Insulated+Screwdriver%2C+%232+Square+Tip%2C+6-Inch+Round+Shank&amp;qid=1694735106&amp;sr=8-4")</f>
        <v/>
      </c>
      <c r="F5488" t="inlineStr">
        <is>
          <t>B09GPYTZV3</t>
        </is>
      </c>
      <c r="G5488">
        <f>_xludf.IMAGE("https://edmondsonsupply.com/cdn/shop/products/6846ins.jpg?v=1664817571")</f>
        <v/>
      </c>
      <c r="H5488">
        <f>_xludf.IMAGE("https://m.media-amazon.com/images/I/41PzygwLx+L._AC_UL320_.jpg")</f>
        <v/>
      </c>
      <c r="K5488" t="inlineStr">
        <is>
          <t>11.97</t>
        </is>
      </c>
      <c r="L5488" t="n">
        <v>13.99</v>
      </c>
      <c r="M5488" s="1" t="inlineStr">
        <is>
          <t>16.88%</t>
        </is>
      </c>
      <c r="N5488" s="1" t="n">
        <v>135.33</v>
      </c>
      <c r="O5488" t="n">
        <v>4.7</v>
      </c>
      <c r="P5488" t="n">
        <v>93</v>
      </c>
      <c r="R5488" t="inlineStr">
        <is>
          <t>InStock</t>
        </is>
      </c>
      <c r="S5488" t="inlineStr">
        <is>
          <t>17.98</t>
        </is>
      </c>
      <c r="T5488" t="inlineStr">
        <is>
          <t>7837739319512</t>
        </is>
      </c>
    </row>
    <row r="5489" hidden="1" ht="15.75" customHeight="1">
      <c r="A5489" s="2">
        <f>HYPERLINK("https://edmondsonsupply.com/collections/electricians-tools/products/klein-tools-6846ins-insulated-screwdriver-2-square-tip-6-inch-round-shank", "https://edmondsonsupply.com/collections/electricians-tools/products/klein-tools-6846ins-insulated-screwdriver-2-square-tip-6-inch-round-shank")</f>
        <v/>
      </c>
      <c r="B5489" s="2">
        <f>HYPERLINK("https://edmondsonsupply.com/products/klein-tools-6846ins-insulated-screwdriver-2-square-tip-6-inch-round-shank", "https://edmondsonsupply.com/products/klein-tools-6846ins-insulated-screwdriver-2-square-tip-6-inch-round-shank")</f>
        <v/>
      </c>
      <c r="C5489" t="inlineStr">
        <is>
          <t>Klein Tools 6846INS Insulated Screwdriver, #2 Square Tip, 6-Inch Round Shank</t>
        </is>
      </c>
      <c r="D5489" t="inlineStr">
        <is>
          <t>Klein Tools 6984INS Insulated Screwdriver, 1000V Slim Profile Tip, #1 Square with 4-Inch Shank, Cushion-Grip Handle</t>
        </is>
      </c>
      <c r="E5489" s="2">
        <f>HYPERLINK("https://www.amazon.com/Klein-Tools-6984INS-Screwdriver-Cushion-Grip/dp/B09GPZ5P2M/ref=sr_1_8?keywords=Klein+Tools+6846INS+Insulated+Screwdriver%2C+%232+Square+Tip%2C+6-Inch+Round+Shank&amp;qid=1694735106&amp;sr=8-8", "https://www.amazon.com/Klein-Tools-6984INS-Screwdriver-Cushion-Grip/dp/B09GPZ5P2M/ref=sr_1_8?keywords=Klein+Tools+6846INS+Insulated+Screwdriver%2C+%232+Square+Tip%2C+6-Inch+Round+Shank&amp;qid=1694735106&amp;sr=8-8")</f>
        <v/>
      </c>
      <c r="F5489" t="inlineStr">
        <is>
          <t>B09GPZ5P2M</t>
        </is>
      </c>
      <c r="G5489">
        <f>_xludf.IMAGE("https://edmondsonsupply.com/cdn/shop/products/6846ins.jpg?v=1664817571")</f>
        <v/>
      </c>
      <c r="H5489">
        <f>_xludf.IMAGE("https://m.media-amazon.com/images/I/41uj4ogsy3L._AC_UL320_.jpg")</f>
        <v/>
      </c>
      <c r="K5489" t="inlineStr">
        <is>
          <t>11.97</t>
        </is>
      </c>
      <c r="L5489" t="n">
        <v>13.99</v>
      </c>
      <c r="M5489" s="1" t="inlineStr">
        <is>
          <t>16.88%</t>
        </is>
      </c>
      <c r="N5489" s="1" t="n">
        <v>134.9</v>
      </c>
      <c r="O5489" t="n">
        <v>4.8</v>
      </c>
      <c r="P5489" t="n">
        <v>107</v>
      </c>
      <c r="R5489" t="inlineStr">
        <is>
          <t>InStock</t>
        </is>
      </c>
      <c r="S5489" t="inlineStr">
        <is>
          <t>17.98</t>
        </is>
      </c>
      <c r="T5489" t="inlineStr">
        <is>
          <t>7837739319512</t>
        </is>
      </c>
    </row>
    <row r="5490" hidden="1" ht="15.75" customHeight="1">
      <c r="A5490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490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490" t="inlineStr">
        <is>
          <t>Klein Tools 6826INS Insulated Screwdriver, 1/4-Inch Cabinet Tip, 6-Inch Shank</t>
        </is>
      </c>
      <c r="D5490" t="inlineStr">
        <is>
          <t>Klein Tools 6984INS Insulated Screwdriver, 1000V Slim Profile Tip, #1 Square with 4-Inch Shank, Cushion-Grip Handle</t>
        </is>
      </c>
      <c r="E5490" s="2">
        <f>HYPERLINK("https://www.amazon.com/Klein-Tools-6984INS-Screwdriver-Cushion-Grip/dp/B09GPZ5P2M/ref=sr_1_20?keywords=Klein+Tools+6826INS+Insulated+Screwdriver%2C+1%2F4-Inch+Cabinet+Tip%2C+6-Inch+Shank&amp;qid=1694735104&amp;sr=8-20", "https://www.amazon.com/Klein-Tools-6984INS-Screwdriver-Cushion-Grip/dp/B09GPZ5P2M/ref=sr_1_20?keywords=Klein+Tools+6826INS+Insulated+Screwdriver%2C+1%2F4-Inch+Cabinet+Tip%2C+6-Inch+Shank&amp;qid=1694735104&amp;sr=8-20")</f>
        <v/>
      </c>
      <c r="F5490" t="inlineStr">
        <is>
          <t>B09GPZ5P2M</t>
        </is>
      </c>
      <c r="G5490">
        <f>_xludf.IMAGE("https://edmondsonsupply.com/cdn/shop/products/6826ins.jpg?v=1664814069")</f>
        <v/>
      </c>
      <c r="H5490">
        <f>_xludf.IMAGE("https://m.media-amazon.com/images/I/41uj4ogsy3L._AC_UL320_.jpg")</f>
        <v/>
      </c>
      <c r="K5490" t="inlineStr">
        <is>
          <t>11.97</t>
        </is>
      </c>
      <c r="L5490" t="n">
        <v>13.99</v>
      </c>
      <c r="M5490" s="1" t="inlineStr">
        <is>
          <t>16.88%</t>
        </is>
      </c>
      <c r="N5490" s="1" t="n">
        <v>133.74</v>
      </c>
      <c r="O5490" t="n">
        <v>4.8</v>
      </c>
      <c r="P5490" t="n">
        <v>107</v>
      </c>
      <c r="R5490" t="inlineStr">
        <is>
          <t>InStock</t>
        </is>
      </c>
      <c r="S5490" t="inlineStr">
        <is>
          <t>17.98</t>
        </is>
      </c>
      <c r="T5490" t="inlineStr">
        <is>
          <t>7837707698392</t>
        </is>
      </c>
    </row>
    <row r="5491" hidden="1" ht="15.75" customHeight="1">
      <c r="A5491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5491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5491" t="inlineStr">
        <is>
          <t>Diablo Tools DMAMX1130 3/4 in. x 8 in. x 13 in. Rebar Demon™ SDS‑Max 4‑Cutter Full Carbide Head Hammer Bit</t>
        </is>
      </c>
      <c r="D5491" t="inlineStr">
        <is>
          <t>Diablo DMAMX1180 7/8 in. x 16 in. x 21 in. Rebar Demon™ SDS-Max 4-Cutter Full Carbide Head Hammer Bit</t>
        </is>
      </c>
      <c r="E5491" s="2">
        <f>HYPERLINK("https://www.amazon.com/Diablo-SDS-Max-4-Cutter-Carbide-Hammer/dp/B089KWFF8B/ref=sr_1_11?keywords=Diablo+Tools+DMAMX1130+3%2F4+in.+x+8+in.+x+13+in.+Rebar+Demon%E2%84%A2+SDS%E2%80%91Max+4%E2%80%91Cutter+Full+Carbide+Head+Hammer+Bit&amp;qid=1694735267&amp;sr=8-11", "https://www.amazon.com/Diablo-SDS-Max-4-Cutter-Carbide-Hammer/dp/B089KWFF8B/ref=sr_1_11?keywords=Diablo+Tools+DMAMX1130+3%2F4+in.+x+8+in.+x+13+in.+Rebar+Demon%E2%84%A2+SDS%E2%80%91Max+4%E2%80%91Cutter+Full+Carbide+Head+Hammer+Bit&amp;qid=1694735267&amp;sr=8-11")</f>
        <v/>
      </c>
      <c r="F5491" t="inlineStr">
        <is>
          <t>B089KWFF8B</t>
        </is>
      </c>
      <c r="G5491">
        <f>_xludf.IMAGE("https://edmondsonsupply.com/cdn/shop/products/DMAMX1130_Main-Image20200701.png?v=1633030568")</f>
        <v/>
      </c>
      <c r="H5491">
        <f>_xludf.IMAGE("https://m.media-amazon.com/images/I/611fTcYRNFL._AC_UL320_.jpg")</f>
        <v/>
      </c>
      <c r="K5491" t="inlineStr">
        <is>
          <t>44.97</t>
        </is>
      </c>
      <c r="L5491" t="n">
        <v>52.51</v>
      </c>
      <c r="M5491" s="1" t="inlineStr">
        <is>
          <t>16.77%</t>
        </is>
      </c>
      <c r="N5491" s="1" t="n">
        <v>133.33</v>
      </c>
      <c r="O5491" t="n">
        <v>3.5</v>
      </c>
      <c r="P5491" t="n">
        <v>3</v>
      </c>
      <c r="R5491" t="inlineStr">
        <is>
          <t>InStock</t>
        </is>
      </c>
      <c r="S5491" t="inlineStr">
        <is>
          <t>46.26</t>
        </is>
      </c>
      <c r="T5491" t="inlineStr">
        <is>
          <t>5463880925352</t>
        </is>
      </c>
    </row>
    <row r="5492" hidden="1" ht="15.75" customHeight="1">
      <c r="A5492" s="2">
        <f>HYPERLINK("https://edmondsonsupply.com/collections/electricians-tools/products/greenlee-k2p-3-4-3-4-conduit-size-slug-buster%C2%AE-knockout-punch", "https://edmondsonsupply.com/collections/electricians-tools/products/greenlee-k2p-3-4-3-4-conduit-size-slug-buster%C2%AE-knockout-punch")</f>
        <v/>
      </c>
      <c r="B5492" s="2">
        <f>HYPERLINK("https://edmondsonsupply.com/products/greenlee-k2p-3-4-3-4-conduit-size-slug-buster%c2%ae-knockout-punch", "https://edmondsonsupply.com/products/greenlee-k2p-3-4-3-4-conduit-size-slug-buster%c2%ae-knockout-punch")</f>
        <v/>
      </c>
      <c r="C5492" t="inlineStr">
        <is>
          <t>Greenlee K2P-3/4 3/4" Conduit Size Slug-Buster® Knockout Punch</t>
        </is>
      </c>
      <c r="D5492" t="inlineStr">
        <is>
          <t>Greenlee K2P-3/4 Slug-Buster Knockout Punch for 3/4" Conduit, Versatile 3/4" Conduit Size Knockout Punch Tool</t>
        </is>
      </c>
      <c r="E5492" s="2">
        <f>HYPERLINK("https://www.amazon.com/Greenlee-K2P-3-4-Knockout-Punch/dp/B07Y5SPTFV/ref=sr_1_1?keywords=Greenlee+K2P-3%2F4+3%2F4%22+Conduit+Size+Slug-Buster%C2%AE+Knockout+Punch&amp;qid=1694735363&amp;sr=8-1", "https://www.amazon.com/Greenlee-K2P-3-4-Knockout-Punch/dp/B07Y5SPTFV/ref=sr_1_1?keywords=Greenlee+K2P-3%2F4+3%2F4%22+Conduit+Size+Slug-Buster%C2%AE+Knockout+Punch&amp;qid=1694735363&amp;sr=8-1")</f>
        <v/>
      </c>
      <c r="F5492" t="inlineStr">
        <is>
          <t>B07Y5SPTFV</t>
        </is>
      </c>
      <c r="G5492">
        <f>_xludf.IMAGE("https://edmondsonsupply.com/cdn/shop/products/K2P-3-4-CAT3.jpg?v=1587150717")</f>
        <v/>
      </c>
      <c r="H5492">
        <f>_xludf.IMAGE("https://m.media-amazon.com/images/I/51bxgevAv6L._AC_UL320_.jpg")</f>
        <v/>
      </c>
      <c r="K5492" t="inlineStr">
        <is>
          <t>32.1</t>
        </is>
      </c>
      <c r="L5492" t="n">
        <v>37.48</v>
      </c>
      <c r="M5492" s="1" t="inlineStr">
        <is>
          <t>16.76%</t>
        </is>
      </c>
      <c r="N5492" s="1" t="n">
        <v>132.77</v>
      </c>
      <c r="O5492" t="n">
        <v>3.9</v>
      </c>
      <c r="P5492" t="n">
        <v>7</v>
      </c>
      <c r="R5492" t="inlineStr">
        <is>
          <t>InStock</t>
        </is>
      </c>
      <c r="S5492" t="inlineStr">
        <is>
          <t>33.6</t>
        </is>
      </c>
      <c r="T5492" t="inlineStr">
        <is>
          <t>4431355904100</t>
        </is>
      </c>
    </row>
    <row r="5493" ht="87" customHeight="1">
      <c r="A5493" s="2">
        <f>HYPERLINK("https://edmondsonsupply.com/collections/electricians-tools/products/milwaukee-2953-22-m18-fuel%E2%84%A2-1-4-hex-impact-driver-kit", "https://edmondsonsupply.com/collections/electricians-tools/products/milwaukee-2953-22-m18-fuel%E2%84%A2-1-4-hex-impact-driver-kit")</f>
        <v/>
      </c>
      <c r="B5493" s="2">
        <f>HYPERLINK("https://edmondsonsupply.com/products/milwaukee-2953-22-m18-fuel%e2%84%a2-1-4-hex-impact-driver-kit", "https://edmondsonsupply.com/products/milwaukee-2953-22-m18-fuel%e2%84%a2-1-4-hex-impact-driver-kit")</f>
        <v/>
      </c>
      <c r="C5493" t="inlineStr">
        <is>
          <t>Milwaukee 2953-22 M18 FUEL™ 1/4" Hex Impact Driver Kit</t>
        </is>
      </c>
      <c r="D5493" t="inlineStr">
        <is>
          <t>Milwaukee 2853-22 M18 FUEL 1/4" Hex Impact Driver XC Kit</t>
        </is>
      </c>
      <c r="E5493" s="2">
        <f>HYPERLINK("https://www.amazon.com/Milwaukee-2853-22-FUEL-Impact-Driver/dp/B07G9H57FM/ref=sr_1_2?keywords=Milwaukee+2953-22+M18+FUEL%E2%84%A2+1%2F4%22+Hex+Impact+Driver+Kit&amp;qid=1694735130&amp;sr=8-2", "https://www.amazon.com/Milwaukee-2853-22-FUEL-Impact-Driver/dp/B07G9H57FM/ref=sr_1_2?keywords=Milwaukee+2953-22+M18+FUEL%E2%84%A2+1%2F4%22+Hex+Impact+Driver+Kit&amp;qid=1694735130&amp;sr=8-2")</f>
        <v/>
      </c>
      <c r="F5493" t="inlineStr">
        <is>
          <t>B07G9H57FM</t>
        </is>
      </c>
      <c r="G5493">
        <f>_xlfn.IMAGE("https://edmondsonsupply.com/cdn/shop/products/29532022ImageReel2.webp?v=1663599746")</f>
        <v/>
      </c>
      <c r="H5493">
        <f>_xlfn.IMAGE("https://m.media-amazon.com/images/I/61U85JXP9NL._AC_UL320_.jpg")</f>
        <v/>
      </c>
      <c r="K5493" t="inlineStr">
        <is>
          <t>299.0</t>
        </is>
      </c>
      <c r="L5493" t="n">
        <v>349</v>
      </c>
      <c r="M5493" s="1" t="inlineStr">
        <is>
          <t>16.72%</t>
        </is>
      </c>
      <c r="N5493" s="7" t="n">
        <v>132.76</v>
      </c>
      <c r="O5493" t="n">
        <v>4.8</v>
      </c>
      <c r="P5493" t="n">
        <v>528</v>
      </c>
      <c r="R5493" t="inlineStr">
        <is>
          <t>InStock</t>
        </is>
      </c>
      <c r="S5493" t="inlineStr">
        <is>
          <t>556.0</t>
        </is>
      </c>
      <c r="T5493" t="inlineStr">
        <is>
          <t>7822930870488</t>
        </is>
      </c>
    </row>
    <row r="5494" hidden="1" ht="15.75" customHeight="1">
      <c r="A5494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494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494" t="inlineStr">
        <is>
          <t>Klein Tools 630-1/4 1/4-Inch Nut Driver 3-Inch Shaft Cushion Grip</t>
        </is>
      </c>
      <c r="D5494" t="inlineStr">
        <is>
          <t>Klein Tools 646-1/4M Nut Driver, 1/4-Inch Magnetic Tip Nut Driver with 6-Inch Hollow Shaft, Cushion Grip Handle</t>
        </is>
      </c>
      <c r="E5494" s="2">
        <f>HYPERLINK("https://www.amazon.com/Magnetic-Klein-Tools-646-1-4M/dp/B00093GEC6/ref=sr_1_5?keywords=Klein+Tools+630-1%2F4+1%2F4-Inch+Nut+Driver+3-Inch+Shaft+Cushion+Grip&amp;qid=1694735346&amp;sr=8-5", "https://www.amazon.com/Magnetic-Klein-Tools-646-1-4M/dp/B00093GEC6/ref=sr_1_5?keywords=Klein+Tools+630-1%2F4+1%2F4-Inch+Nut+Driver+3-Inch+Shaft+Cushion+Grip&amp;qid=1694735346&amp;sr=8-5")</f>
        <v/>
      </c>
      <c r="F5494" t="inlineStr">
        <is>
          <t>B00093GEC6</t>
        </is>
      </c>
      <c r="G5494">
        <f>_xludf.IMAGE("https://edmondsonsupply.com/cdn/shop/products/630-1-2_4777cf99-f2bc-4f84-bc42-7e765e2a9c37.jpg?v=1587150448")</f>
        <v/>
      </c>
      <c r="H5494">
        <f>_xludf.IMAGE("https://m.media-amazon.com/images/I/418bbEGck1L._AC_UL320_.jpg")</f>
        <v/>
      </c>
      <c r="K5494" t="inlineStr">
        <is>
          <t>8.99</t>
        </is>
      </c>
      <c r="L5494" t="n">
        <v>10.49</v>
      </c>
      <c r="M5494" s="1" t="inlineStr">
        <is>
          <t>16.69%</t>
        </is>
      </c>
      <c r="N5494" s="1" t="n">
        <v>131.77</v>
      </c>
      <c r="O5494" t="n">
        <v>4.8</v>
      </c>
      <c r="P5494" t="n">
        <v>2491</v>
      </c>
      <c r="R5494" t="inlineStr">
        <is>
          <t>InStock</t>
        </is>
      </c>
      <c r="S5494" t="inlineStr">
        <is>
          <t>11.36</t>
        </is>
      </c>
      <c r="T5494" t="inlineStr">
        <is>
          <t>4490760355940</t>
        </is>
      </c>
    </row>
    <row r="5495" ht="87" customHeight="1">
      <c r="A5495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495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495" t="inlineStr">
        <is>
          <t>Klein Tools D228-8 Diagonal Cutting Pliers, High-Leverage, 8-Inch</t>
        </is>
      </c>
      <c r="D5495" t="inlineStr">
        <is>
          <t>Klein Tools D2000-48 Pliers, Linemans Diagonal Cutting Pliers with High Leverage Design, 8-Inch</t>
        </is>
      </c>
      <c r="E5495" s="2">
        <f>HYPERLINK("https://www.amazon.com/Diagonal-Linemans-Klein-Tools-D2000-48/dp/B0000302WZ/ref=sr_1_4?keywords=Klein+Tools+D228-8+Diagonal+Cutting+Pliers%2C+High-Leverage%2C+8-Inch&amp;qid=1694735247&amp;sr=8-4", "https://www.amazon.com/Diagonal-Linemans-Klein-Tools-D2000-48/dp/B0000302WZ/ref=sr_1_4?keywords=Klein+Tools+D228-8+Diagonal+Cutting+Pliers%2C+High-Leverage%2C+8-Inch&amp;qid=1694735247&amp;sr=8-4")</f>
        <v/>
      </c>
      <c r="F5495" t="inlineStr">
        <is>
          <t>B0000302WZ</t>
        </is>
      </c>
      <c r="G5495">
        <f>_xlfn.IMAGE("https://edmondsonsupply.com/cdn/shop/products/d2288.jpg?v=1633030753")</f>
        <v/>
      </c>
      <c r="H5495">
        <f>_xlfn.IMAGE("https://m.media-amazon.com/images/I/41Y+q+BsIsL._AC_UL320_.jpg")</f>
        <v/>
      </c>
      <c r="K5495" t="inlineStr">
        <is>
          <t>29.97</t>
        </is>
      </c>
      <c r="L5495" t="n">
        <v>34.97</v>
      </c>
      <c r="M5495" s="1" t="inlineStr">
        <is>
          <t>16.68%</t>
        </is>
      </c>
      <c r="N5495" s="7" t="n">
        <v>131.52</v>
      </c>
      <c r="O5495" t="n">
        <v>4.7</v>
      </c>
      <c r="P5495" t="n">
        <v>528</v>
      </c>
      <c r="R5495" t="inlineStr">
        <is>
          <t>InStock</t>
        </is>
      </c>
      <c r="S5495" t="inlineStr">
        <is>
          <t>42.78</t>
        </is>
      </c>
      <c r="T5495" t="inlineStr">
        <is>
          <t>5896908472488</t>
        </is>
      </c>
    </row>
    <row r="5496" ht="87" customHeight="1">
      <c r="A5496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496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496" t="inlineStr">
        <is>
          <t>Klein Tools D228-8 Diagonal Cutting Pliers, High-Leverage, 8-Inch</t>
        </is>
      </c>
      <c r="D5496" t="inlineStr">
        <is>
          <t>Klein Tools J228-8 Pliers, Diagonal Cutting Pliers with Dual-Material Journeyman Handles, Short Jaws and Beveled Cutting Edges, 8-Inch</t>
        </is>
      </c>
      <c r="E5496" s="2">
        <f>HYPERLINK("https://www.amazon.com/Journeyman-Diagonal-Cutting-Klein-Tools-J228-8/dp/B0009XCETI/ref=sr_1_17?keywords=Klein+Tools+D228-8+Diagonal+Cutting+Pliers%2C+High-Leverage%2C+8-Inch&amp;qid=1694735247&amp;sr=8-17", "https://www.amazon.com/Journeyman-Diagonal-Cutting-Klein-Tools-J228-8/dp/B0009XCETI/ref=sr_1_17?keywords=Klein+Tools+D228-8+Diagonal+Cutting+Pliers%2C+High-Leverage%2C+8-Inch&amp;qid=1694735247&amp;sr=8-17")</f>
        <v/>
      </c>
      <c r="F5496" t="inlineStr">
        <is>
          <t>B0009XCETI</t>
        </is>
      </c>
      <c r="G5496">
        <f>_xlfn.IMAGE("https://edmondsonsupply.com/cdn/shop/products/d2288.jpg?v=1633030753")</f>
        <v/>
      </c>
      <c r="H5496">
        <f>_xlfn.IMAGE("https://m.media-amazon.com/images/I/41uYnLH+0mL._AC_UL320_.jpg")</f>
        <v/>
      </c>
      <c r="K5496" t="inlineStr">
        <is>
          <t>29.97</t>
        </is>
      </c>
      <c r="L5496" t="n">
        <v>34.97</v>
      </c>
      <c r="M5496" s="1" t="inlineStr">
        <is>
          <t>16.68%</t>
        </is>
      </c>
      <c r="N5496" s="7" t="n">
        <v>130.38</v>
      </c>
      <c r="O5496" t="n">
        <v>4.8</v>
      </c>
      <c r="P5496" t="n">
        <v>557</v>
      </c>
      <c r="R5496" t="inlineStr">
        <is>
          <t>InStock</t>
        </is>
      </c>
      <c r="S5496" t="inlineStr">
        <is>
          <t>42.78</t>
        </is>
      </c>
      <c r="T5496" t="inlineStr">
        <is>
          <t>5896908472488</t>
        </is>
      </c>
    </row>
    <row r="5497" ht="87" customHeight="1">
      <c r="A5497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5497" s="2">
        <f>HYPERLINK("https://edmondsonsupply.com/products/klein-tools-d203-8-pliers-long-nose-side-cutters-8-inch", "https://edmondsonsupply.com/products/klein-tools-d203-8-pliers-long-nose-side-cutters-8-inch")</f>
        <v/>
      </c>
      <c r="C5497" t="inlineStr">
        <is>
          <t>Klein Tools D203-8 Pliers, Needle Nose Side-Cutters, 8-Inch</t>
        </is>
      </c>
      <c r="D5497" t="inlineStr">
        <is>
          <t>Klein Tools J203-8 8-Inch Needle Nose Pliers, Heavy Duty Cutting, Extended Handles, High Leverage, Induction Hardened with Hot-Riveted Joint</t>
        </is>
      </c>
      <c r="E5497" s="2">
        <f>HYPERLINK("https://www.amazon.com/Klein-Tools-J203-8-Needle-Journeyman/dp/B0009X8GP4/ref=sr_1_7?keywords=Klein+Tools+D203-8+Pliers%2C+Needle+Nose+Side-Cutters%2C+8-Inch&amp;qid=1694735240&amp;sr=8-7", "https://www.amazon.com/Klein-Tools-J203-8-Needle-Journeyman/dp/B0009X8GP4/ref=sr_1_7?keywords=Klein+Tools+D203-8+Pliers%2C+Needle+Nose+Side-Cutters%2C+8-Inch&amp;qid=1694735240&amp;sr=8-7")</f>
        <v/>
      </c>
      <c r="F5497" t="inlineStr">
        <is>
          <t>B0009X8GP4</t>
        </is>
      </c>
      <c r="G5497">
        <f>_xlfn.IMAGE("https://edmondsonsupply.com/cdn/shop/products/d2038.jpg?v=1633030802")</f>
        <v/>
      </c>
      <c r="H5497">
        <f>_xlfn.IMAGE("https://m.media-amazon.com/images/I/410yItANVhS._AC_UL320_.jpg")</f>
        <v/>
      </c>
      <c r="K5497" t="inlineStr">
        <is>
          <t>29.97</t>
        </is>
      </c>
      <c r="L5497" t="n">
        <v>34.97</v>
      </c>
      <c r="M5497" s="1" t="inlineStr">
        <is>
          <t>16.68%</t>
        </is>
      </c>
      <c r="N5497" s="7" t="n">
        <v>128.64</v>
      </c>
      <c r="O5497" t="n">
        <v>4.8</v>
      </c>
      <c r="P5497" t="n">
        <v>1333</v>
      </c>
      <c r="R5497" t="inlineStr">
        <is>
          <t>InStock</t>
        </is>
      </c>
      <c r="S5497" t="inlineStr">
        <is>
          <t>44.84</t>
        </is>
      </c>
      <c r="T5497" t="inlineStr">
        <is>
          <t>6005724577960</t>
        </is>
      </c>
    </row>
    <row r="5498" ht="87" customHeight="1">
      <c r="A5498" s="2">
        <f>HYPERLINK("https://edmondsonsupply.com/collections/electricians-tools/products/klein-tools-32619-adjustable-length-screwdriver-handle", "https://edmondsonsupply.com/collections/electricians-tools/products/klein-tools-32619-adjustable-length-screwdriver-handle")</f>
        <v/>
      </c>
      <c r="B5498" s="2">
        <f>HYPERLINK("https://edmondsonsupply.com/products/klein-tools-32619-adjustable-length-screwdriver-handle", "https://edmondsonsupply.com/products/klein-tools-32619-adjustable-length-screwdriver-handle")</f>
        <v/>
      </c>
      <c r="C5498" t="inlineStr">
        <is>
          <t>Klein Tools 32619 Adjustable Length Screwdriver Handle</t>
        </is>
      </c>
      <c r="D5498" t="inlineStr">
        <is>
          <t>Klein Tools 32751 Screwdriver with Adjustable Length 4 to 8-Inch, #2 Phillips Tip and 1/4-Inch Slotted Tip</t>
        </is>
      </c>
      <c r="E5498" s="2">
        <f>HYPERLINK("https://www.amazon.com/Klein-Tools-32751-Screwdriver-Adjustable/dp/B010TNZDHW/ref=sr_1_2?keywords=Klein+Tools+32619+Adjustable+Length+Screwdriver+Handle&amp;qid=1694735412&amp;sr=8-2", "https://www.amazon.com/Klein-Tools-32751-Screwdriver-Adjustable/dp/B010TNZDHW/ref=sr_1_2?keywords=Klein+Tools+32619+Adjustable+Length+Screwdriver+Handle&amp;qid=1694735412&amp;sr=8-2")</f>
        <v/>
      </c>
      <c r="F5498" t="inlineStr">
        <is>
          <t>B010TNZDHW</t>
        </is>
      </c>
      <c r="G5498">
        <f>_xlfn.IMAGE("https://edmondsonsupply.com/cdn/shop/products/32619.jpg?v=1587147877")</f>
        <v/>
      </c>
      <c r="H5498">
        <f>_xlfn.IMAGE("https://m.media-amazon.com/images/I/415jqxJt+CL._AC_UL320_.jpg")</f>
        <v/>
      </c>
      <c r="K5498" t="inlineStr">
        <is>
          <t>17.99</t>
        </is>
      </c>
      <c r="L5498" t="n">
        <v>20.99</v>
      </c>
      <c r="M5498" s="1" t="inlineStr">
        <is>
          <t>16.68%</t>
        </is>
      </c>
      <c r="N5498" s="7" t="n">
        <v>127.8</v>
      </c>
      <c r="O5498" t="n">
        <v>4.7</v>
      </c>
      <c r="P5498" t="n">
        <v>1726</v>
      </c>
      <c r="R5498" t="inlineStr">
        <is>
          <t>InStock</t>
        </is>
      </c>
      <c r="S5498" t="inlineStr">
        <is>
          <t>27.34</t>
        </is>
      </c>
      <c r="T5498" t="inlineStr">
        <is>
          <t>4391227097188</t>
        </is>
      </c>
    </row>
    <row r="5499" ht="87" customHeight="1">
      <c r="A5499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5499" s="2">
        <f>HYPERLINK("https://edmondsonsupply.com/products/klein-tools-cl110-digital-clamp-meter-ac-auto-ranging-400-amp", "https://edmondsonsupply.com/products/klein-tools-cl110-digital-clamp-meter-ac-auto-ranging-400-amp")</f>
        <v/>
      </c>
      <c r="C5499" t="inlineStr">
        <is>
          <t>Klein Tools CL120 Digital Clamp Meter, AC Auto-Ranging 400 Amp</t>
        </is>
      </c>
      <c r="D5499" t="inlineStr">
        <is>
          <t>Klein Tools CL220 Digital Clamp Meter, Auto-Ranging 400 Amp AC, AC/DC Voltage, TRMS, Resistance, Continuity, NCVT Detection, and Temp, Orange and Black</t>
        </is>
      </c>
      <c r="E5499" s="2">
        <f>HYPERLINK("https://www.amazon.com/Klein-Tools-CL220-Auto-Ranging-Temperature/dp/B08CFWMYYY/ref=sr_1_6?keywords=Klein+Tools+CL120+Digital+Clamp+Meter%2C+AC+Auto-Ranging+400+Amp&amp;qid=1694735357&amp;sr=8-6", "https://www.amazon.com/Klein-Tools-CL220-Auto-Ranging-Temperature/dp/B08CFWMYYY/ref=sr_1_6?keywords=Klein+Tools+CL120+Digital+Clamp+Meter%2C+AC+Auto-Ranging+400+Amp&amp;qid=1694735357&amp;sr=8-6")</f>
        <v/>
      </c>
      <c r="F5499" t="inlineStr">
        <is>
          <t>B08CFWMYYY</t>
        </is>
      </c>
      <c r="G5499">
        <f>_xlfn.IMAGE("https://edmondsonsupply.com/cdn/shop/products/cl120.jpg?v=1633030212")</f>
        <v/>
      </c>
      <c r="H5499">
        <f>_xlfn.IMAGE("https://m.media-amazon.com/images/I/61PTwVjeWtL._AC_UY218_.jpg")</f>
        <v/>
      </c>
      <c r="K5499" t="inlineStr">
        <is>
          <t>59.97</t>
        </is>
      </c>
      <c r="L5499" t="n">
        <v>69.97</v>
      </c>
      <c r="M5499" s="1" t="inlineStr">
        <is>
          <t>16.68%</t>
        </is>
      </c>
      <c r="N5499" s="7" t="n">
        <v>127.8</v>
      </c>
      <c r="O5499" t="n">
        <v>4.7</v>
      </c>
      <c r="P5499" t="n">
        <v>810</v>
      </c>
      <c r="R5499" t="inlineStr">
        <is>
          <t>InStock</t>
        </is>
      </c>
      <c r="S5499" t="inlineStr">
        <is>
          <t>85.26</t>
        </is>
      </c>
      <c r="T5499" t="inlineStr">
        <is>
          <t>4432351527012</t>
        </is>
      </c>
    </row>
    <row r="5500" ht="87" customHeight="1">
      <c r="A5500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5500" s="2">
        <f>HYPERLINK("https://edmondsonsupply.com/products/klein-tools-d507-8-adjustable-wrench-extra-capacity-8-inch", "https://edmondsonsupply.com/products/klein-tools-d507-8-adjustable-wrench-extra-capacity-8-inch")</f>
        <v/>
      </c>
      <c r="C5500" t="inlineStr">
        <is>
          <t>Klein Tools D507-8 Adjustable Wrench, Extra Capacity 8-Inch</t>
        </is>
      </c>
      <c r="D5500" t="inlineStr">
        <is>
          <t>Klein Tools D86934 Adjustable Wrench, Forged with Slimmer Jaw and a High Polish Chrome Finish, 6-inch</t>
        </is>
      </c>
      <c r="E5500" s="2">
        <f>HYPERLINK("https://www.amazon.com/Slim-Jaw-Adjustable-Klein-Tools-D86934/dp/B075ZVKW4X/ref=sr_1_17?keywords=Klein+Tools+D507-8+Adjustable+Wrench%2C+Extra+Capacity+8-Inch&amp;qid=1694734984&amp;sr=8-17", "https://www.amazon.com/Slim-Jaw-Adjustable-Klein-Tools-D86934/dp/B075ZVKW4X/ref=sr_1_17?keywords=Klein+Tools+D507-8+Adjustable+Wrench%2C+Extra+Capacity+8-Inch&amp;qid=1694734984&amp;sr=8-17")</f>
        <v/>
      </c>
      <c r="F5500" t="inlineStr">
        <is>
          <t>B075ZVKW4X</t>
        </is>
      </c>
      <c r="G5500">
        <f>_xlfn.IMAGE("https://edmondsonsupply.com/cdn/shop/products/d5078_b.jpg?v=1666010497")</f>
        <v/>
      </c>
      <c r="H5500">
        <f>_xlfn.IMAGE("https://m.media-amazon.com/images/I/51Z4DTANB5L._AC_UL320_.jpg")</f>
        <v/>
      </c>
      <c r="K5500" t="inlineStr">
        <is>
          <t>29.99</t>
        </is>
      </c>
      <c r="L5500" t="n">
        <v>34.99</v>
      </c>
      <c r="M5500" s="1" t="inlineStr">
        <is>
          <t>16.67%</t>
        </is>
      </c>
      <c r="N5500" s="7" t="n">
        <v>125.07</v>
      </c>
      <c r="O5500" t="n">
        <v>4.6</v>
      </c>
      <c r="P5500" t="n">
        <v>162</v>
      </c>
      <c r="R5500" t="inlineStr">
        <is>
          <t>InStock</t>
        </is>
      </c>
      <c r="S5500" t="inlineStr">
        <is>
          <t>45.44</t>
        </is>
      </c>
      <c r="T5500" t="inlineStr">
        <is>
          <t>4353085014116</t>
        </is>
      </c>
    </row>
    <row r="5501" ht="87" customHeight="1">
      <c r="A5501" s="2">
        <f>HYPERLINK("https://edmondsonsupply.com/collections/electricians-tools/products/klein-tools-56383-multi-groove-fiberglass-fish-tape-with-nylon-tip-100-foot", "https://edmondsonsupply.com/collections/electricians-tools/products/klein-tools-56383-multi-groove-fiberglass-fish-tape-with-nylon-tip-100-foot")</f>
        <v/>
      </c>
      <c r="B5501" s="2">
        <f>HYPERLINK("https://edmondsonsupply.com/products/klein-tools-56383-multi-groove-fiberglass-fish-tape-with-nylon-tip-100-foot", "https://edmondsonsupply.com/products/klein-tools-56383-multi-groove-fiberglass-fish-tape-with-nylon-tip-100-foot")</f>
        <v/>
      </c>
      <c r="C5501" t="inlineStr">
        <is>
          <t>Klein Tools 56383 Multi-Groove Fiberglass Fish Tape with Nylon Tip, 100-Foot</t>
        </is>
      </c>
      <c r="D5501" t="inlineStr">
        <is>
          <t>Klein Tools 56380 Non-Conductive Electrical Fish Tape, Multi-Groove Fiberglass Wire Puller with Steel Leader, 100-Foot x 3/16-Inch,Orange/Black</t>
        </is>
      </c>
      <c r="E5501" s="2">
        <f>HYPERLINK("https://www.amazon.com/Klein-Tools-56380-Multi-Groove-Fiberglass/dp/B0822229DW/ref=sr_1_4?keywords=Klein+Tools+56383+Multi-Groove+Fiberglass+Fish+Tape+with+Nylon+Tip%2C+100-Foot&amp;qid=1694735384&amp;sr=8-4", "https://www.amazon.com/Klein-Tools-56380-Multi-Groove-Fiberglass/dp/B0822229DW/ref=sr_1_4?keywords=Klein+Tools+56383+Multi-Groove+Fiberglass+Fish+Tape+with+Nylon+Tip%2C+100-Foot&amp;qid=1694735384&amp;sr=8-4")</f>
        <v/>
      </c>
      <c r="F5501" t="inlineStr">
        <is>
          <t>B0822229DW</t>
        </is>
      </c>
      <c r="G5501">
        <f>_xlfn.IMAGE("https://edmondsonsupply.com/cdn/shop/products/56383.jpg?v=1587146648")</f>
        <v/>
      </c>
      <c r="H5501">
        <f>_xlfn.IMAGE("https://m.media-amazon.com/images/I/51m05Po5U+L._AC_UL320_.jpg")</f>
        <v/>
      </c>
      <c r="K5501" t="inlineStr">
        <is>
          <t>119.99</t>
        </is>
      </c>
      <c r="L5501" t="n">
        <v>139.99</v>
      </c>
      <c r="M5501" s="1" t="inlineStr">
        <is>
          <t>16.67%</t>
        </is>
      </c>
      <c r="N5501" s="7" t="n">
        <v>124.82</v>
      </c>
      <c r="O5501" t="n">
        <v>4.7</v>
      </c>
      <c r="P5501" t="n">
        <v>86</v>
      </c>
      <c r="R5501" t="inlineStr">
        <is>
          <t>InStock</t>
        </is>
      </c>
      <c r="S5501" t="inlineStr">
        <is>
          <t>175.26</t>
        </is>
      </c>
      <c r="T5501" t="inlineStr">
        <is>
          <t>4412586262628</t>
        </is>
      </c>
    </row>
    <row r="5502" ht="87" customHeight="1">
      <c r="A5502" s="2">
        <f>HYPERLINK("https://edmondsonsupply.com/collections/electricians-tools/products/fluke-87v", "https://edmondsonsupply.com/collections/electricians-tools/products/fluke-87v")</f>
        <v/>
      </c>
      <c r="B5502" s="2">
        <f>HYPERLINK("https://edmondsonsupply.com/products/fluke-87v", "https://edmondsonsupply.com/products/fluke-87v")</f>
        <v/>
      </c>
      <c r="C5502" t="inlineStr">
        <is>
          <t>Fluke 87V Industrial Multimeter</t>
        </is>
      </c>
      <c r="D5502" t="inlineStr">
        <is>
          <t>Fluke 87V MAX True-RMS Digital Multimeter, Rugged, Waterproof and Dustproof IP67 Rated, Up to 800 Hour Battery Capacity, Built-In Thermometer, Withstands Drops Up To 13 Feet, Includes TL175 Test Leads</t>
        </is>
      </c>
      <c r="E5502" s="2">
        <f>HYPERLINK("https://www.amazon.com/Fluke-87V-True-rms-Digital-Multimeter/dp/B07YQSBJSB/ref=sr_1_2?keywords=Fluke+87V+Industrial+Multimeter&amp;qid=1694735314&amp;sr=8-2", "https://www.amazon.com/Fluke-87V-True-rms-Digital-Multimeter/dp/B07YQSBJSB/ref=sr_1_2?keywords=Fluke+87V+Industrial+Multimeter&amp;qid=1694735314&amp;sr=8-2")</f>
        <v/>
      </c>
      <c r="F5502" t="inlineStr">
        <is>
          <t>B07YQSBJSB</t>
        </is>
      </c>
      <c r="G5502">
        <f>_xlfn.IMAGE("https://edmondsonsupply.com/cdn/shop/products/875.jpg?v=1633030274")</f>
        <v/>
      </c>
      <c r="H5502">
        <f>_xlfn.IMAGE("https://m.media-amazon.com/images/I/61A-YAUbfBL._AC_UL320_.jpg")</f>
        <v/>
      </c>
      <c r="K5502" t="inlineStr">
        <is>
          <t>459.89</t>
        </is>
      </c>
      <c r="L5502" t="n">
        <v>535.97</v>
      </c>
      <c r="M5502" s="1" t="inlineStr">
        <is>
          <t>16.54%</t>
        </is>
      </c>
      <c r="N5502" s="7" t="n">
        <v>123.83</v>
      </c>
      <c r="O5502" t="n">
        <v>4.7</v>
      </c>
      <c r="P5502" t="n">
        <v>197</v>
      </c>
      <c r="R5502" t="inlineStr">
        <is>
          <t>InStock</t>
        </is>
      </c>
      <c r="S5502" t="inlineStr">
        <is>
          <t>521.99</t>
        </is>
      </c>
      <c r="T5502" t="inlineStr">
        <is>
          <t>5238369452200</t>
        </is>
      </c>
    </row>
    <row r="5503" ht="87" customHeight="1">
      <c r="A5503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5503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5503" t="inlineStr">
        <is>
          <t>Diablo Tools DMAMX1050 9/16 in. x 8 in. x 13 in. Rebar Demon™ SDS-Max 4-Cutter Full Carbide Head Hammer Drill Bit</t>
        </is>
      </c>
      <c r="D5503" t="inlineStr">
        <is>
          <t>Diablo by Freud DMAPL4300 1 in. x 8 in. x 10 in. Rebar Demon™ SDS-Plus 4-Cutter Full Carbide Head Hammer Bit</t>
        </is>
      </c>
      <c r="E5503" s="2">
        <f>HYPERLINK("https://www.amazon.com/Diablo-Freud-DMAPL4300-SDS-Plus-4-Cutter/dp/B089LL8JD8/ref=sr_1_8?keywords=Diablo+Tools+DMAMX1050+9%2F16+in.+x+8+in.+x+13+in.+Rebar+Demon%E2%84%A2+SDS-Max+4-Cutter+Full+Carbide+Head+Hammer+Drill+Bit&amp;qid=1694735208&amp;sr=8-8", "https://www.amazon.com/Diablo-Freud-DMAPL4300-SDS-Plus-4-Cutter/dp/B089LL8JD8/ref=sr_1_8?keywords=Diablo+Tools+DMAMX1050+9%2F16+in.+x+8+in.+x+13+in.+Rebar+Demon%E2%84%A2+SDS-Max+4-Cutter+Full+Carbide+Head+Hammer+Drill+Bit&amp;qid=1694735208&amp;sr=8-8")</f>
        <v/>
      </c>
      <c r="F5503" t="inlineStr">
        <is>
          <t>B089LL8JD8</t>
        </is>
      </c>
      <c r="G5503">
        <f>_xlfn.IMAGE("https://edmondsonsupply.com/cdn/shop/products/DMAMX1050_Main-Image20200701.png?v=1633031097")</f>
        <v/>
      </c>
      <c r="H5503">
        <f>_xlfn.IMAGE("https://m.media-amazon.com/images/I/616UiJGsK1L._AC_UL320_.jpg")</f>
        <v/>
      </c>
      <c r="K5503" t="inlineStr">
        <is>
          <t>29.19</t>
        </is>
      </c>
      <c r="L5503" t="n">
        <v>33.99</v>
      </c>
      <c r="M5503" s="1" t="inlineStr">
        <is>
          <t>16.44%</t>
        </is>
      </c>
      <c r="N5503" s="7" t="n">
        <v>116.86</v>
      </c>
      <c r="O5503" t="n">
        <v>4.5</v>
      </c>
      <c r="P5503" t="n">
        <v>16</v>
      </c>
      <c r="R5503" t="inlineStr">
        <is>
          <t>InStock</t>
        </is>
      </c>
      <c r="S5503" t="inlineStr">
        <is>
          <t>46.05</t>
        </is>
      </c>
      <c r="T5503" t="inlineStr">
        <is>
          <t>6842367738029</t>
        </is>
      </c>
    </row>
    <row r="5504" hidden="1" ht="15.75" customHeight="1">
      <c r="A5504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5504" s="2">
        <f>HYPERLINK("https://edmondsonsupply.com/products/diablo-tools-dmapl2360-9-16-in-x-6-in-x-8-in-sds-plus-2-cutter", "https://edmondsonsupply.com/products/diablo-tools-dmapl2360-9-16-in-x-6-in-x-8-in-sds-plus-2-cutter")</f>
        <v/>
      </c>
      <c r="C5504" t="inlineStr">
        <is>
          <t>Diablo Tools DMAPL2360 9/16 in. x 6 in. x 8 in. SDS-Plus 2-Cutter</t>
        </is>
      </c>
      <c r="D5504" t="inlineStr">
        <is>
          <t>Diablo by Freud DMAPL2920 3/16 in. x 3-1/2 in. x 6 in. SDS-Plus Full Carbide Head Concrete Anchor Hammer Drill Bit Multi, One Size</t>
        </is>
      </c>
      <c r="E5504" s="2">
        <f>HYPERLINK("https://www.amazon.com/Diablo-Carbide-Concrete-Anchor-Hammer/dp/B089KWDK51/ref=sr_1_32?keywords=Diablo+Tools+DMAPL2360+9%2F16+in.+x+6+in.+x+8+in.+SDS-Plus+2-Cutter&amp;qid=1694735296&amp;sr=8-32", "https://www.amazon.com/Diablo-Carbide-Concrete-Anchor-Hammer/dp/B089KWDK51/ref=sr_1_32?keywords=Diablo+Tools+DMAPL2360+9%2F16+in.+x+6+in.+x+8+in.+SDS-Plus+2-Cutter&amp;qid=1694735296&amp;sr=8-32")</f>
        <v/>
      </c>
      <c r="F5504" t="inlineStr">
        <is>
          <t>B089KWDK51</t>
        </is>
      </c>
      <c r="G5504">
        <f>_xludf.IMAGE("https://edmondsonsupply.com/cdn/shop/products/DMAPL2360_Main-Image20200701.png?v=1633697551")</f>
        <v/>
      </c>
      <c r="H5504">
        <f>_xludf.IMAGE("https://m.media-amazon.com/images/I/61VCLLn-a7L._AC_UL320_.jpg")</f>
        <v/>
      </c>
      <c r="K5504" t="inlineStr">
        <is>
          <t>8.59</t>
        </is>
      </c>
      <c r="L5504" t="n">
        <v>9.99</v>
      </c>
      <c r="M5504" s="1" t="inlineStr">
        <is>
          <t>16.30%</t>
        </is>
      </c>
      <c r="N5504" s="1" t="n">
        <v>116.85</v>
      </c>
      <c r="O5504" t="n">
        <v>3</v>
      </c>
      <c r="P5504" t="n">
        <v>1</v>
      </c>
      <c r="R5504" t="inlineStr">
        <is>
          <t>InStock</t>
        </is>
      </c>
      <c r="S5504" t="inlineStr">
        <is>
          <t>9.77</t>
        </is>
      </c>
      <c r="T5504" t="inlineStr">
        <is>
          <t>5286291046568</t>
        </is>
      </c>
    </row>
    <row r="5505" ht="87" customHeight="1">
      <c r="A5505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5505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5505" t="inlineStr">
        <is>
          <t>Diablo Tools DOU250JBW 2-1/2 in. Universal Fit Bi-Metal Oscillating Blade for Clean Wood</t>
        </is>
      </c>
      <c r="D5505" t="inlineStr">
        <is>
          <t>Diablo 3-1/2" Universal Fit Bi-Metal Oscillating Blade for General Purpose Cuts</t>
        </is>
      </c>
      <c r="E5505" s="2">
        <f>HYPERLINK("https://www.amazon.com/Diablo-DOU350RBGP-Universal-Bi-Metal-Oscillating/dp/B089LLG8ZQ/ref=sr_1_8?keywords=Diablo+Tools+DOU250JBW+2-1%2F2+in.+Universal+Fit+Bi-Metal+Oscillating+Blade+for+Clean+Wood&amp;qid=1694734994&amp;sr=8-8", "https://www.amazon.com/Diablo-DOU350RBGP-Universal-Bi-Metal-Oscillating/dp/B089LLG8ZQ/ref=sr_1_8?keywords=Diablo+Tools+DOU250JBW+2-1%2F2+in.+Universal+Fit+Bi-Metal+Oscillating+Blade+for+Clean+Wood&amp;qid=1694734994&amp;sr=8-8")</f>
        <v/>
      </c>
      <c r="F5505" t="inlineStr">
        <is>
          <t>B089LLG8ZQ</t>
        </is>
      </c>
      <c r="G5505">
        <f>_xlfn.IMAGE("https://edmondsonsupply.com/cdn/shop/files/pycnap4eb1urn2hxvudq.webp?v=1685718789")</f>
        <v/>
      </c>
      <c r="H5505">
        <f>_xlfn.IMAGE("https://m.media-amazon.com/images/I/71xBW7MA1oL._AC_UL320_.jpg")</f>
        <v/>
      </c>
      <c r="K5505" t="inlineStr">
        <is>
          <t>15.65</t>
        </is>
      </c>
      <c r="L5505" t="n">
        <v>18.2</v>
      </c>
      <c r="M5505" s="1" t="inlineStr">
        <is>
          <t>16.29%</t>
        </is>
      </c>
      <c r="N5505" s="7" t="n">
        <v>116.62</v>
      </c>
      <c r="O5505" t="n">
        <v>4.4</v>
      </c>
      <c r="P5505" t="n">
        <v>8</v>
      </c>
      <c r="R5505" t="inlineStr">
        <is>
          <t>InStock</t>
        </is>
      </c>
      <c r="S5505" t="inlineStr">
        <is>
          <t>24.85</t>
        </is>
      </c>
      <c r="T5505" t="inlineStr">
        <is>
          <t>7999572279512</t>
        </is>
      </c>
    </row>
    <row r="5506" ht="87" customHeight="1">
      <c r="A5506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5506" s="2">
        <f>HYPERLINK("https://edmondsonsupply.com/products/klein-tools-j203-8-pliers-needle-nose-side-cutters-8-inch", "https://edmondsonsupply.com/products/klein-tools-j203-8-pliers-needle-nose-side-cutters-8-inch")</f>
        <v/>
      </c>
      <c r="C5506" t="inlineStr">
        <is>
          <t>Klein Tools J203-8 Pliers, Needle Nose Side-Cutters, 8-Inch</t>
        </is>
      </c>
      <c r="D5506" t="inlineStr">
        <is>
          <t>Klein Tools D302-6 Needle Nose Pliers, Long Nose Side Cutters, Alligator Pliers with Curved Handle, 6-1/2-Inch</t>
        </is>
      </c>
      <c r="E5506" s="2">
        <f>HYPERLINK("https://www.amazon.com/Curved-Long-Nose-Klein-Tools-D302-6/dp/B000G6CAGK/ref=sr_1_18?keywords=Klein+Tools+J203-8+Pliers%2C+Needle+Nose+Side-Cutters%2C+8-Inch&amp;qid=1694735171&amp;sr=8-18", "https://www.amazon.com/Curved-Long-Nose-Klein-Tools-D302-6/dp/B000G6CAGK/ref=sr_1_18?keywords=Klein+Tools+J203-8+Pliers%2C+Needle+Nose+Side-Cutters%2C+8-Inch&amp;qid=1694735171&amp;sr=8-18")</f>
        <v/>
      </c>
      <c r="F5506" t="inlineStr">
        <is>
          <t>B000G6CAGK</t>
        </is>
      </c>
      <c r="G5506">
        <f>_xlfn.IMAGE("https://edmondsonsupply.com/cdn/shop/products/j2038.jpg?v=1644709677")</f>
        <v/>
      </c>
      <c r="H5506">
        <f>_xlfn.IMAGE("https://m.media-amazon.com/images/I/31HPclIh6JL._AC_UL320_.jpg")</f>
        <v/>
      </c>
      <c r="K5506" t="inlineStr">
        <is>
          <t>38.49</t>
        </is>
      </c>
      <c r="L5506" t="n">
        <v>44.74</v>
      </c>
      <c r="M5506" s="1" t="inlineStr">
        <is>
          <t>16.24%</t>
        </is>
      </c>
      <c r="N5506" s="7" t="n">
        <v>114.11</v>
      </c>
      <c r="O5506" t="n">
        <v>4.7</v>
      </c>
      <c r="P5506" t="n">
        <v>83</v>
      </c>
      <c r="R5506" t="inlineStr">
        <is>
          <t>InStock</t>
        </is>
      </c>
      <c r="S5506" t="inlineStr">
        <is>
          <t>58.32</t>
        </is>
      </c>
      <c r="T5506" t="inlineStr">
        <is>
          <t>7606180249816</t>
        </is>
      </c>
    </row>
    <row r="5507" hidden="1" ht="15.75" customHeight="1">
      <c r="A5507" s="2">
        <f>HYPERLINK("https://edmondsonsupply.com/collections/electricians-tools/products/klein-tools-jth6t20-t20-torx-hex-key-with-journeyman-t-handle-6-inch", "https://edmondsonsupply.com/collections/electricians-tools/products/klein-tools-jth6t20-t20-torx-hex-key-with-journeyman-t-handle-6-inch")</f>
        <v/>
      </c>
      <c r="B5507" s="2">
        <f>HYPERLINK("https://edmondsonsupply.com/products/klein-tools-jth6t20-t20-torx-hex-key-with-journeyman-t-handle-6-inch", "https://edmondsonsupply.com/products/klein-tools-jth6t20-t20-torx-hex-key-with-journeyman-t-handle-6-inch")</f>
        <v/>
      </c>
      <c r="C5507" t="inlineStr">
        <is>
          <t>Klein Tools JTH6T20 T20 Torx Hex Key with Journeyman T-Handle, 6-Inch</t>
        </is>
      </c>
      <c r="D5507" t="inlineStr">
        <is>
          <t>Klein Tools JTH6E13BE 1/4-Inch Ball End Hex Key with Journeyman T-Handle, 6-Inch</t>
        </is>
      </c>
      <c r="E5507" s="2">
        <f>HYPERLINK("https://www.amazon.com/Journeyman-T-Handle-Klein-Tools-JTH6E13BE/dp/B004QW52YW/ref=sr_1_3?keywords=Klein+Tools+JTH6T20+T20+Torx+Hex+Key+with+Journeyman+T-Handle%2C+6-Inch&amp;qid=1694735236&amp;sr=8-3", "https://www.amazon.com/Journeyman-T-Handle-Klein-Tools-JTH6E13BE/dp/B004QW52YW/ref=sr_1_3?keywords=Klein+Tools+JTH6T20+T20+Torx+Hex+Key+with+Journeyman+T-Handle%2C+6-Inch&amp;qid=1694735236&amp;sr=8-3")</f>
        <v/>
      </c>
      <c r="F5507" t="inlineStr">
        <is>
          <t>B004QW52YW</t>
        </is>
      </c>
      <c r="G5507">
        <f>_xludf.IMAGE("https://edmondsonsupply.com/cdn/shop/products/jth6t40_239e6af9-df98-4759-b03a-1003afe41d97.jpg?v=1606265228")</f>
        <v/>
      </c>
      <c r="H5507">
        <f>_xludf.IMAGE("https://m.media-amazon.com/images/I/51f9vBFVXgL._AC_UL320_.jpg")</f>
        <v/>
      </c>
      <c r="K5507" t="inlineStr">
        <is>
          <t>9.08</t>
        </is>
      </c>
      <c r="L5507" t="n">
        <v>10.55</v>
      </c>
      <c r="M5507" s="1" t="inlineStr">
        <is>
          <t>16.19%</t>
        </is>
      </c>
      <c r="N5507" s="1" t="n">
        <v>112.82</v>
      </c>
      <c r="O5507" t="n">
        <v>4.7</v>
      </c>
      <c r="P5507" t="n">
        <v>32</v>
      </c>
      <c r="R5507" t="inlineStr">
        <is>
          <t>InStock</t>
        </is>
      </c>
      <c r="S5507" t="inlineStr">
        <is>
          <t>undefined</t>
        </is>
      </c>
      <c r="T5507" t="inlineStr">
        <is>
          <t>6094316339373</t>
        </is>
      </c>
    </row>
    <row r="5508" ht="87" customHeight="1">
      <c r="A5508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5508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5508" t="inlineStr">
        <is>
          <t>Diablo Tools DMAPL2380 9/16 in. x 10 in. x 12 in. SDS-Plus 2-Cutter</t>
        </is>
      </c>
      <c r="D5508" t="inlineStr">
        <is>
          <t>Diablo by Freud Diablo DMAPL4190 1/2 in. x 10 in. x 12 in. Rebar Demon SDS-Plus 4-Cutter Full Carbide Head Hammer Bit</t>
        </is>
      </c>
      <c r="E5508" s="2">
        <f>HYPERLINK("https://www.amazon.com/Diablo-Freud-DMAPL4190-SDS-Plus-4-Cutter/dp/B089LJZ25M/ref=sr_1_13?keywords=Diablo+Tools+DMAPL2380+9%2F16+in.+x+10+in.+x+12+in.+SDS-Plus+2-Cutter&amp;qid=1694735296&amp;sr=8-13", "https://www.amazon.com/Diablo-Freud-DMAPL4190-SDS-Plus-4-Cutter/dp/B089LJZ25M/ref=sr_1_13?keywords=Diablo+Tools+DMAPL2380+9%2F16+in.+x+10+in.+x+12+in.+SDS-Plus+2-Cutter&amp;qid=1694735296&amp;sr=8-13")</f>
        <v/>
      </c>
      <c r="F5508" t="inlineStr">
        <is>
          <t>B089LJZ25M</t>
        </is>
      </c>
      <c r="G5508">
        <f>_xlfn.IMAGE("https://edmondsonsupply.com/cdn/shop/products/pn8n58bx2f87ihetrrnf.webp?v=1670435143")</f>
        <v/>
      </c>
      <c r="H5508">
        <f>_xlfn.IMAGE("https://m.media-amazon.com/images/I/61dzudnwI8L._AC_UL320_.jpg")</f>
        <v/>
      </c>
      <c r="K5508" t="inlineStr">
        <is>
          <t>14.99</t>
        </is>
      </c>
      <c r="L5508" t="n">
        <v>17.41</v>
      </c>
      <c r="M5508" s="1" t="inlineStr">
        <is>
          <t>16.14%</t>
        </is>
      </c>
      <c r="N5508" s="7" t="n">
        <v>111.96</v>
      </c>
      <c r="O5508" t="n">
        <v>4.6</v>
      </c>
      <c r="P5508" t="n">
        <v>43</v>
      </c>
      <c r="R5508" t="inlineStr">
        <is>
          <t>InStock</t>
        </is>
      </c>
      <c r="S5508" t="inlineStr">
        <is>
          <t>21.48</t>
        </is>
      </c>
      <c r="T5508" t="inlineStr">
        <is>
          <t>5286298222760</t>
        </is>
      </c>
    </row>
    <row r="5509" ht="87" customHeight="1">
      <c r="A5509" s="2">
        <f>HYPERLINK("https://edmondsonsupply.com/collections/electricians-tools/products/klein-tools-5109sv-vinyl", "https://edmondsonsupply.com/collections/electricians-tools/products/klein-tools-5109sv-vinyl")</f>
        <v/>
      </c>
      <c r="B5509" s="2">
        <f>HYPERLINK("https://edmondsonsupply.com/products/klein-tools-5109sv-vinyl", "https://edmondsonsupply.com/products/klein-tools-5109sv-vinyl")</f>
        <v/>
      </c>
      <c r="C5509" t="inlineStr">
        <is>
          <t>Klein Tools 5109SV Utility Bucket, Vinyl Tool Bucket with Swivel Snap, 12-Inch</t>
        </is>
      </c>
      <c r="D5509" t="inlineStr">
        <is>
          <t>Klein Tools 5109SV Tool Bucket, Vinyl Lineman Bucket with Swivel Snap and Web Handle, 12-Inch, 100-Pound Load Rated Tool Holder</t>
        </is>
      </c>
      <c r="E5509" s="2">
        <f>HYPERLINK("https://www.amazon.com/Lineman-100-Pound-Klein-Tools-5109SV/dp/B07HFQJL3K/ref=sr_1_1?keywords=Klein+Tools+5109SV+Utility+Bucket%2C+Vinyl+Tool+Bucket+with+Swivel+Snap%2C+12-Inch&amp;qid=1694735420&amp;sr=8-1", "https://www.amazon.com/Lineman-100-Pound-Klein-Tools-5109SV/dp/B07HFQJL3K/ref=sr_1_1?keywords=Klein+Tools+5109SV+Utility+Bucket%2C+Vinyl+Tool+Bucket+with+Swivel+Snap%2C+12-Inch&amp;qid=1694735420&amp;sr=8-1")</f>
        <v/>
      </c>
      <c r="F5509" t="inlineStr">
        <is>
          <t>B07HFQJL3K</t>
        </is>
      </c>
      <c r="G5509">
        <f>_xlfn.IMAGE("https://edmondsonsupply.com/cdn/shop/products/5109sv.jpg?v=1587143517")</f>
        <v/>
      </c>
      <c r="H5509">
        <f>_xlfn.IMAGE("https://m.media-amazon.com/images/I/51y2pfovodL._AC_UL320_.jpg")</f>
        <v/>
      </c>
      <c r="K5509" t="inlineStr">
        <is>
          <t>47.99</t>
        </is>
      </c>
      <c r="L5509" t="n">
        <v>55.69</v>
      </c>
      <c r="M5509" s="1" t="inlineStr">
        <is>
          <t>16.05%</t>
        </is>
      </c>
      <c r="N5509" s="7" t="n">
        <v>110.02</v>
      </c>
      <c r="O5509" t="n">
        <v>4.6</v>
      </c>
      <c r="P5509" t="n">
        <v>48</v>
      </c>
      <c r="R5509" t="inlineStr">
        <is>
          <t>InStock</t>
        </is>
      </c>
      <c r="S5509" t="inlineStr">
        <is>
          <t>78.34</t>
        </is>
      </c>
      <c r="T5509" t="inlineStr">
        <is>
          <t>4366090436708</t>
        </is>
      </c>
    </row>
    <row r="5510" hidden="1" ht="15.75" customHeight="1">
      <c r="A5510" s="2">
        <f>HYPERLINK("https://edmondsonsupply.com/collections/electricians-tools/products/klein-tools-sl14-35-5-1-4-inch-slotted-power-drivers-3-1-2-inch-5-pack", "https://edmondsonsupply.com/collections/electricians-tools/products/klein-tools-sl14-35-5-1-4-inch-slotted-power-drivers-3-1-2-inch-5-pack")</f>
        <v/>
      </c>
      <c r="B5510" s="2">
        <f>HYPERLINK("https://edmondsonsupply.com/products/klein-tools-sl14-35-5-1-4-inch-slotted-power-drivers-3-1-2-inch-5-pack", "https://edmondsonsupply.com/products/klein-tools-sl14-35-5-1-4-inch-slotted-power-drivers-3-1-2-inch-5-pack")</f>
        <v/>
      </c>
      <c r="C5510" t="inlineStr">
        <is>
          <t>Klein Tools SL14-35-5 1/4-Inch Slotted Power Drivers, 3-1/2-Inch, 5-Pack</t>
        </is>
      </c>
      <c r="D5510" t="inlineStr">
        <is>
          <t>Klein Tools SL316355 3/16-Inch Slotted Steel Power Drivers, 3-1/2-Inch, 5-Pack</t>
        </is>
      </c>
      <c r="E5510" s="2">
        <f>HYPERLINK("https://www.amazon.com/16-Inch-Slotted-Klein-Tools-SL316355/dp/B00ZEJG68M/ref=sr_1_2?keywords=Klein+Tools+SL14-35-5+1%2F4-Inch+Slotted+Power+Drivers%2C+3-1%2F2-Inch%2C+5-Pack&amp;qid=1694735339&amp;sr=8-2", "https://www.amazon.com/16-Inch-Slotted-Klein-Tools-SL316355/dp/B00ZEJG68M/ref=sr_1_2?keywords=Klein+Tools+SL14-35-5+1%2F4-Inch+Slotted+Power+Drivers%2C+3-1%2F2-Inch%2C+5-Pack&amp;qid=1694735339&amp;sr=8-2")</f>
        <v/>
      </c>
      <c r="F5510" t="inlineStr">
        <is>
          <t>B00ZEJG68M</t>
        </is>
      </c>
      <c r="G5510">
        <f>_xludf.IMAGE("https://edmondsonsupply.com/cdn/shop/products/sl14355.jpg?v=1587150431")</f>
        <v/>
      </c>
      <c r="H5510">
        <f>_xludf.IMAGE("https://m.media-amazon.com/images/I/31VMUwHtWKL._AC_UL320_.jpg")</f>
        <v/>
      </c>
      <c r="K5510" t="inlineStr">
        <is>
          <t>12.49</t>
        </is>
      </c>
      <c r="L5510" t="n">
        <v>14.47</v>
      </c>
      <c r="M5510" s="1" t="inlineStr">
        <is>
          <t>15.85%</t>
        </is>
      </c>
      <c r="N5510" s="1" t="n">
        <v>109.64</v>
      </c>
      <c r="O5510" t="n">
        <v>4.2</v>
      </c>
      <c r="P5510" t="n">
        <v>12</v>
      </c>
      <c r="R5510" t="inlineStr">
        <is>
          <t>InStock</t>
        </is>
      </c>
      <c r="S5510" t="inlineStr">
        <is>
          <t>18.92</t>
        </is>
      </c>
      <c r="T5510" t="inlineStr">
        <is>
          <t>4505584762980</t>
        </is>
      </c>
    </row>
    <row r="5511" hidden="1" ht="15.75" customHeight="1">
      <c r="A5511" s="2">
        <f>HYPERLINK("https://edmondsonsupply.com/collections/electricians-tools/products/klein-tools-sl316-35-5-3-16-inch-slotted-drivers-3-1-2-inch-bit-5-pack", "https://edmondsonsupply.com/collections/electricians-tools/products/klein-tools-sl316-35-5-3-16-inch-slotted-drivers-3-1-2-inch-bit-5-pack")</f>
        <v/>
      </c>
      <c r="B5511" s="2">
        <f>HYPERLINK("https://edmondsonsupply.com/products/klein-tools-sl316-35-5-3-16-inch-slotted-drivers-3-1-2-inch-bit-5-pack", "https://edmondsonsupply.com/products/klein-tools-sl316-35-5-3-16-inch-slotted-drivers-3-1-2-inch-bit-5-pack")</f>
        <v/>
      </c>
      <c r="C5511" t="inlineStr">
        <is>
          <t>Klein Tools SL316-35-5 3/16-Inch Slotted Drivers, 3-1/2-Inch Bit, 5-Pack</t>
        </is>
      </c>
      <c r="D5511" t="inlineStr">
        <is>
          <t>Klein Tools SL316355 3/16-Inch Slotted Steel Power Drivers, 3-1/2-Inch, 5-Pack</t>
        </is>
      </c>
      <c r="E5511" s="2">
        <f>HYPERLINK("https://www.amazon.com/16-Inch-Slotted-Klein-Tools-SL316355/dp/B00ZEJG68M/ref=sr_1_1?keywords=Klein+Tools+SL316-35-5+3%2F16-Inch+Slotted+Drivers%2C+3-1%2F2-Inch+Bit%2C+5-Pack&amp;qid=1694735336&amp;sr=8-1", "https://www.amazon.com/16-Inch-Slotted-Klein-Tools-SL316355/dp/B00ZEJG68M/ref=sr_1_1?keywords=Klein+Tools+SL316-35-5+3%2F16-Inch+Slotted+Drivers%2C+3-1%2F2-Inch+Bit%2C+5-Pack&amp;qid=1694735336&amp;sr=8-1")</f>
        <v/>
      </c>
      <c r="F5511" t="inlineStr">
        <is>
          <t>B00ZEJG68M</t>
        </is>
      </c>
      <c r="G5511">
        <f>_xludf.IMAGE("https://edmondsonsupply.com/cdn/shop/products/sl316355.jpg?v=1587144978")</f>
        <v/>
      </c>
      <c r="H5511">
        <f>_xludf.IMAGE("https://m.media-amazon.com/images/I/31VMUwHtWKL._AC_UL320_.jpg")</f>
        <v/>
      </c>
      <c r="K5511" t="inlineStr">
        <is>
          <t>12.49</t>
        </is>
      </c>
      <c r="L5511" t="n">
        <v>14.47</v>
      </c>
      <c r="M5511" s="1" t="inlineStr">
        <is>
          <t>15.85%</t>
        </is>
      </c>
      <c r="N5511" s="1" t="n">
        <v>108.62</v>
      </c>
      <c r="O5511" t="n">
        <v>4.2</v>
      </c>
      <c r="P5511" t="n">
        <v>12</v>
      </c>
      <c r="R5511" t="inlineStr">
        <is>
          <t>InStock</t>
        </is>
      </c>
      <c r="S5511" t="inlineStr">
        <is>
          <t>18.92</t>
        </is>
      </c>
      <c r="T5511" t="inlineStr">
        <is>
          <t>4505586172004</t>
        </is>
      </c>
    </row>
    <row r="5512" hidden="1" ht="15.75" customHeight="1">
      <c r="A5512" s="2">
        <f>HYPERLINK("https://edmondsonsupply.com/collections/electricians-tools/products/klein-tools-sl14-35-5-1-4-inch-slotted-power-drivers-3-1-2-inch-5-pack", "https://edmondsonsupply.com/collections/electricians-tools/products/klein-tools-sl14-35-5-1-4-inch-slotted-power-drivers-3-1-2-inch-5-pack")</f>
        <v/>
      </c>
      <c r="B5512" s="2">
        <f>HYPERLINK("https://edmondsonsupply.com/products/klein-tools-sl14-35-5-1-4-inch-slotted-power-drivers-3-1-2-inch-5-pack", "https://edmondsonsupply.com/products/klein-tools-sl14-35-5-1-4-inch-slotted-power-drivers-3-1-2-inch-5-pack")</f>
        <v/>
      </c>
      <c r="C5512" t="inlineStr">
        <is>
          <t>Klein Tools SL14-35-5 1/4-Inch Slotted Power Drivers, 3-1/2-Inch, 5-Pack</t>
        </is>
      </c>
      <c r="D5512" t="inlineStr">
        <is>
          <t>Klein Tools PH2355 #2 Phillips Power Drivers 3-1/2-Inch 5-Pack</t>
        </is>
      </c>
      <c r="E5512" s="2">
        <f>HYPERLINK("https://www.amazon.com/Phillips-Drivers-2-Inch-Klein-Tools/dp/B00VX5OXZE/ref=sr_1_3?keywords=Klein+Tools+SL14-35-5+1%2F4-Inch+Slotted+Power+Drivers%2C+3-1%2F2-Inch%2C+5-Pack&amp;qid=1694735339&amp;sr=8-3", "https://www.amazon.com/Phillips-Drivers-2-Inch-Klein-Tools/dp/B00VX5OXZE/ref=sr_1_3?keywords=Klein+Tools+SL14-35-5+1%2F4-Inch+Slotted+Power+Drivers%2C+3-1%2F2-Inch%2C+5-Pack&amp;qid=1694735339&amp;sr=8-3")</f>
        <v/>
      </c>
      <c r="F5512" t="inlineStr">
        <is>
          <t>B00VX5OXZE</t>
        </is>
      </c>
      <c r="G5512">
        <f>_xludf.IMAGE("https://edmondsonsupply.com/cdn/shop/products/sl14355.jpg?v=1587150431")</f>
        <v/>
      </c>
      <c r="H5512">
        <f>_xludf.IMAGE("https://m.media-amazon.com/images/I/514vvY5+GdL._AC_UL320_.jpg")</f>
        <v/>
      </c>
      <c r="K5512" t="inlineStr">
        <is>
          <t>12.49</t>
        </is>
      </c>
      <c r="L5512" t="n">
        <v>14.47</v>
      </c>
      <c r="M5512" s="1" t="inlineStr">
        <is>
          <t>15.85%</t>
        </is>
      </c>
      <c r="N5512" s="1" t="n">
        <v>106.74</v>
      </c>
      <c r="O5512" t="n">
        <v>4</v>
      </c>
      <c r="P5512" t="n">
        <v>36</v>
      </c>
      <c r="R5512" t="inlineStr">
        <is>
          <t>InStock</t>
        </is>
      </c>
      <c r="S5512" t="inlineStr">
        <is>
          <t>18.92</t>
        </is>
      </c>
      <c r="T5512" t="inlineStr">
        <is>
          <t>4505584762980</t>
        </is>
 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"https://edmondsonsupply.com/collections/electricians-tools/products/klein-tools-6846ins-insulated-screwdriver-2-square-tip-6-inch-round-shank")</f>
        <v/>
      </c>
      <c r="B5513" s="2">
        <f>HYPERLINK("https://edmondsonsupply.com/products/klein-tools-6846ins-insulated-screwdriver-2-square-tip-6-inch-round-shank", "https://edmondsonsupply.com/products/klein-tools-6846ins-insulated-screwdriver-2-square-tip-6-inch-round-shank")</f>
        <v/>
      </c>
      <c r="C5513" t="inlineStr">
        <is>
          <t>Klein Tools 6846INS Insulated Screwdriver, #2 Square Tip, 6-Inch Round Shank</t>
        </is>
      </c>
      <c r="D5513" t="inlineStr">
        <is>
          <t>Klein Tools 6946INS 1000V Slim Tip Insulated Screwdriver, 6-Inch Round Shank, #2 Square Tip, Cushion Grip Handle</t>
        </is>
      </c>
      <c r="E5513" s="2">
        <f>HYPERLINK("https://www.amazon.com/Klein-Tools-6946INS-Insulated-Screwdriver/dp/B088NN95Q5/ref=sr_1_2?keywords=Klein+Tools+6846INS+Insulated+Screwdriver%2C+%232+Square+Tip%2C+6-Inch+Round+Shank&amp;qid=1694735106&amp;sr=8-2", "https://www.amazon.com/Klein-Tools-6946INS-Insulated-Screwdriver/dp/B088NN95Q5/ref=sr_1_2?keywords=Klein+Tools+6846INS+Insulated+Screwdriver%2C+%232+Square+Tip%2C+6-Inch+Round+Shank&amp;qid=1694735106&amp;sr=8-2")</f>
        <v/>
      </c>
      <c r="F5513" t="inlineStr">
        <is>
          <t>B088NN95Q5</t>
        </is>
      </c>
      <c r="G5513">
        <f>_xludf.IMAGE("https://edmondsonsupply.com/cdn/shop/products/6846ins.jpg?v=1664817571")</f>
        <v/>
      </c>
      <c r="H5513">
        <f>_xludf.IMAGE("https://m.media-amazon.com/images/I/414Kb+NSPsS._AC_UL320_.jpg")</f>
        <v/>
      </c>
      <c r="K5513" t="inlineStr">
        <is>
          <t>11.97</t>
        </is>
      </c>
      <c r="L5513" t="n">
        <v>13.85</v>
      </c>
      <c r="M5513" s="1" t="inlineStr">
        <is>
          <t>15.71%</t>
        </is>
      </c>
      <c r="N5513" s="1" t="n">
        <v>106.11</v>
      </c>
      <c r="O5513" t="n">
        <v>4.8</v>
      </c>
      <c r="P5513" t="n">
        <v>1358</v>
      </c>
      <c r="R5513" t="inlineStr">
        <is>
          <t>InStock</t>
        </is>
      </c>
      <c r="S5513" t="inlineStr">
        <is>
          <t>17.98</t>
        </is>
      </c>
      <c r="T5513" t="inlineStr">
        <is>
          <t>7837739319512</t>
        </is>
      </c>
    </row>
    <row r="5514" hidden="1" ht="15.75" customHeight="1">
      <c r="A5514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5514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5514" t="inlineStr">
        <is>
          <t>Klein Tools 6816INS Insulated Screwdriver, 3/16-Inch Cabinet Tip, 6-Inch Round Shank</t>
        </is>
      </c>
      <c r="D5514" t="inlineStr">
        <is>
          <t>Klein Tools 6916INS 1000V Slim Tip Insulated Screwdriver, 6-Inch Round Shank, 3/16-Inch Cabinet Tip, Cushion Grip Handle</t>
        </is>
      </c>
      <c r="E5514" s="2">
        <f>HYPERLINK("https://www.amazon.com/Klein-Tools-6916INS-Insulated-Screwdriver/dp/B089DR97MJ/ref=sr_1_1?keywords=Klein+Tools+6816INS+Insulated+Screwdriver%2C+3%2F16-Inch+Cabinet+Tip%2C+6-Inch+Round+Shank&amp;qid=1694735104&amp;sr=8-1", "https://www.amazon.com/Klein-Tools-6916INS-Insulated-Screwdriver/dp/B089DR97MJ/ref=sr_1_1?keywords=Klein+Tools+6816INS+Insulated+Screwdriver%2C+3%2F16-Inch+Cabinet+Tip%2C+6-Inch+Round+Shank&amp;qid=1694735104&amp;sr=8-1")</f>
        <v/>
      </c>
      <c r="F5514" t="inlineStr">
        <is>
          <t>B089DR97MJ</t>
        </is>
      </c>
      <c r="G5514">
        <f>_xludf.IMAGE("https://edmondsonsupply.com/cdn/shop/products/6816ins.jpg?v=1664812840")</f>
        <v/>
      </c>
      <c r="H5514">
        <f>_xludf.IMAGE("https://m.media-amazon.com/images/I/41JpJG+Jh0L._AC_UL320_.jpg")</f>
        <v/>
      </c>
      <c r="K5514" t="inlineStr">
        <is>
          <t>11.97</t>
        </is>
      </c>
      <c r="L5514" t="n">
        <v>13.85</v>
      </c>
      <c r="M5514" s="1" t="inlineStr">
        <is>
          <t>15.71%</t>
        </is>
      </c>
      <c r="N5514" s="1" t="n">
        <v>106.11</v>
      </c>
      <c r="O5514" t="n">
        <v>4.8</v>
      </c>
      <c r="P5514" t="n">
        <v>1358</v>
      </c>
      <c r="R5514" t="inlineStr">
        <is>
          <t>InStock</t>
        </is>
      </c>
      <c r="S5514" t="inlineStr">
        <is>
          <t>17.98</t>
        </is>
      </c>
      <c r="T5514" t="inlineStr">
        <is>
          <t>7837697966296</t>
        </is>
      </c>
    </row>
    <row r="5515" hidden="1" ht="15.75" customHeight="1">
      <c r="A5515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515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515" t="inlineStr">
        <is>
          <t>Klein Tools 6826INS Insulated Screwdriver, 1/4-Inch Cabinet Tip, 6-Inch Shank</t>
        </is>
      </c>
      <c r="D5515" t="inlineStr">
        <is>
          <t>Klein Tools 6916INS 1000V Slim Tip Insulated Screwdriver, 6-Inch Round Shank, 3/16-Inch Cabinet Tip, Cushion Grip Handle</t>
        </is>
      </c>
      <c r="E5515" s="2">
        <f>HYPERLINK("https://www.amazon.com/Klein-Tools-6916INS-Insulated-Screwdriver/dp/B089DR97MJ/ref=sr_1_4?keywords=Klein+Tools+6826INS+Insulated+Screwdriver%2C+1%2F4-Inch+Cabinet+Tip%2C+6-Inch+Shank&amp;qid=1694735104&amp;sr=8-4", "https://www.amazon.com/Klein-Tools-6916INS-Insulated-Screwdriver/dp/B089DR97MJ/ref=sr_1_4?keywords=Klein+Tools+6826INS+Insulated+Screwdriver%2C+1%2F4-Inch+Cabinet+Tip%2C+6-Inch+Shank&amp;qid=1694735104&amp;sr=8-4")</f>
        <v/>
      </c>
      <c r="F5515" t="inlineStr">
        <is>
          <t>B089DR97MJ</t>
        </is>
      </c>
      <c r="G5515">
        <f>_xludf.IMAGE("https://edmondsonsupply.com/cdn/shop/products/6826ins.jpg?v=1664814069")</f>
        <v/>
      </c>
      <c r="H5515">
        <f>_xludf.IMAGE("https://m.media-amazon.com/images/I/41JpJG+Jh0L._AC_UL320_.jpg")</f>
        <v/>
      </c>
      <c r="K5515" t="inlineStr">
        <is>
          <t>11.97</t>
        </is>
      </c>
      <c r="L5515" t="n">
        <v>13.85</v>
      </c>
      <c r="M5515" s="1" t="inlineStr">
        <is>
          <t>15.71%</t>
        </is>
      </c>
      <c r="N5515" s="1" t="n">
        <v>105.94</v>
      </c>
      <c r="O5515" t="n">
        <v>4.8</v>
      </c>
      <c r="P5515" t="n">
        <v>1358</v>
      </c>
      <c r="R5515" t="inlineStr">
        <is>
          <t>InStock</t>
        </is>
      </c>
      <c r="S5515" t="inlineStr">
        <is>
          <t>17.98</t>
        </is>
      </c>
      <c r="T5515" t="inlineStr">
        <is>
          <t>7837707698392</t>
        </is>
      </c>
    </row>
    <row r="5516" hidden="1" ht="15.75" customHeight="1">
      <c r="A5516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516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516" t="inlineStr">
        <is>
          <t>Klein Tools 6886INS Insulated Screwdriver, #1 Square Tip, 6-Inch Shank</t>
        </is>
      </c>
      <c r="D5516" t="inlineStr">
        <is>
          <t>Klein Tools 6946INS 1000V Slim Tip Insulated Screwdriver, 6-Inch Round Shank, #2 Square Tip, Cushion Grip Handle</t>
        </is>
      </c>
      <c r="E5516" s="2">
        <f>HYPERLINK("https://www.amazon.com/Klein-Tools-6946INS-Insulated-Screwdriver/dp/B088NN95Q5/ref=sr_1_5?keywords=Klein+Tools+6886INS+Insulated+Screwdriver%2C+%231+Square+Tip%2C+6-Inch+Shank&amp;qid=1694735108&amp;sr=8-5", "https://www.amazon.com/Klein-Tools-6946INS-Insulated-Screwdriver/dp/B088NN95Q5/ref=sr_1_5?keywords=Klein+Tools+6886INS+Insulated+Screwdriver%2C+%231+Square+Tip%2C+6-Inch+Shank&amp;qid=1694735108&amp;sr=8-5")</f>
        <v/>
      </c>
      <c r="F5516" t="inlineStr">
        <is>
          <t>B088NN95Q5</t>
        </is>
      </c>
      <c r="G5516">
        <f>_xludf.IMAGE("https://edmondsonsupply.com/cdn/shop/products/6886ins.jpg?v=1664889697")</f>
        <v/>
      </c>
      <c r="H5516">
        <f>_xludf.IMAGE("https://m.media-amazon.com/images/I/414Kb+NSPsS._AC_UL320_.jpg")</f>
        <v/>
      </c>
      <c r="K5516" t="inlineStr">
        <is>
          <t>11.97</t>
        </is>
      </c>
      <c r="L5516" t="n">
        <v>13.85</v>
      </c>
      <c r="M5516" s="1" t="inlineStr">
        <is>
          <t>15.71%</t>
        </is>
      </c>
      <c r="N5516" s="1" t="n">
        <v>105.9</v>
      </c>
      <c r="O5516" t="n">
        <v>4.8</v>
      </c>
      <c r="P5516" t="n">
        <v>1358</v>
      </c>
      <c r="R5516" t="inlineStr">
        <is>
          <t>InStock</t>
        </is>
      </c>
      <c r="S5516" t="inlineStr">
        <is>
          <t>17.98</t>
        </is>
      </c>
      <c r="T5516" t="inlineStr">
        <is>
          <t>7839176491224</t>
        </is>
      </c>
    </row>
    <row r="5517" hidden="1" ht="15.75" customHeight="1">
      <c r="A5517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5517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5517" t="inlineStr">
        <is>
          <t>Klein Tools 6866INS Insulated Screwdriver, 5/16-Inch Cabinet Tip, 6-Inch Shank</t>
        </is>
      </c>
      <c r="D5517" t="inlineStr">
        <is>
          <t>Klein Tools 6916INS 1000V Slim Tip Insulated Screwdriver, 6-Inch Round Shank, 3/16-Inch Cabinet Tip, Cushion Grip Handle</t>
        </is>
      </c>
      <c r="E5517" s="2">
        <f>HYPERLINK("https://www.amazon.com/Klein-Tools-6916INS-Insulated-Screwdriver/dp/B089DR97MJ/ref=sr_1_2?keywords=Klein+Tools+6866INS+Insulated+Screwdriver%2C+5%2F16-Inch+Cabinet+Tip%2C+6-Inch+Shank&amp;qid=1694735117&amp;sr=8-2", "https://www.amazon.com/Klein-Tools-6916INS-Insulated-Screwdriver/dp/B089DR97MJ/ref=sr_1_2?keywords=Klein+Tools+6866INS+Insulated+Screwdriver%2C+5%2F16-Inch+Cabinet+Tip%2C+6-Inch+Shank&amp;qid=1694735117&amp;sr=8-2")</f>
        <v/>
      </c>
      <c r="F5517" t="inlineStr">
        <is>
          <t>B089DR97MJ</t>
        </is>
      </c>
      <c r="G5517">
        <f>_xludf.IMAGE("https://edmondsonsupply.com/cdn/shop/products/6866ins.jpg?v=1664818689")</f>
        <v/>
      </c>
      <c r="H5517">
        <f>_xludf.IMAGE("https://m.media-amazon.com/images/I/41JpJG+Jh0L._AC_UL320_.jpg")</f>
        <v/>
      </c>
      <c r="K5517" t="inlineStr">
        <is>
          <t>11.97</t>
        </is>
      </c>
      <c r="L5517" t="n">
        <v>13.85</v>
      </c>
      <c r="M5517" s="1" t="inlineStr">
        <is>
          <t>15.71%</t>
        </is>
      </c>
      <c r="N5517" s="1" t="n">
        <v>105.31</v>
      </c>
      <c r="O5517" t="n">
        <v>4.8</v>
      </c>
      <c r="P5517" t="n">
        <v>1358</v>
      </c>
      <c r="R5517" t="inlineStr">
        <is>
          <t>InStock</t>
        </is>
      </c>
      <c r="S5517" t="inlineStr">
        <is>
          <t>17.98</t>
        </is>
      </c>
      <c r="T5517" t="inlineStr">
        <is>
          <t>7837748068568</t>
        </is>
      </c>
    </row>
    <row r="5518" hidden="1" ht="15.75" customHeight="1">
      <c r="A5518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5518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5518" t="inlineStr">
        <is>
          <t>Klein Tools JTH6E11BE 3/16-Inch Ball Hex Key, Journeyman T-Handle 6-Inch</t>
        </is>
      </c>
      <c r="D5518" t="inlineStr">
        <is>
          <t>Klein Tools JTH6E13BE 1/4-Inch Ball End Hex Key with Journeyman T-Handle, 6-Inch</t>
        </is>
      </c>
      <c r="E5518" s="2">
        <f>HYPERLINK("https://www.amazon.com/Journeyman-T-Handle-Klein-Tools-JTH6E13BE/dp/B004QW52YW/ref=sr_1_5?keywords=Klein+Tools+JTH6E11BE+3%2F16-Inch+Ball+Hex+Key%2C+Journeyman+T-Handle+6-Inch&amp;qid=1694735233&amp;sr=8-5", "https://www.amazon.com/Journeyman-T-Handle-Klein-Tools-JTH6E13BE/dp/B004QW52YW/ref=sr_1_5?keywords=Klein+Tools+JTH6E11BE+3%2F16-Inch+Ball+Hex+Key%2C+Journeyman+T-Handle+6-Inch&amp;qid=1694735233&amp;sr=8-5")</f>
        <v/>
      </c>
      <c r="F5518" t="inlineStr">
        <is>
          <t>B004QW52YW</t>
        </is>
      </c>
      <c r="G5518">
        <f>_xludf.IMAGE("https://edmondsonsupply.com/cdn/shop/products/jth6e13be_9dba8a6a-8a07-4d76-a54f-fe57b92b3fea.jpg?v=1610659188")</f>
        <v/>
      </c>
      <c r="H5518">
        <f>_xludf.IMAGE("https://m.media-amazon.com/images/I/51f9vBFVXgL._AC_UL320_.jpg")</f>
        <v/>
      </c>
      <c r="K5518" t="inlineStr">
        <is>
          <t>9.12</t>
        </is>
      </c>
      <c r="L5518" t="n">
        <v>10.55</v>
      </c>
      <c r="M5518" s="1" t="inlineStr">
        <is>
          <t>15.68%</t>
        </is>
      </c>
      <c r="N5518" s="1" t="n">
        <v>104.9</v>
      </c>
      <c r="O5518" t="n">
        <v>4.7</v>
      </c>
      <c r="P5518" t="n">
        <v>32</v>
      </c>
      <c r="R5518" t="inlineStr">
        <is>
          <t>InStock</t>
        </is>
      </c>
      <c r="S5518" t="inlineStr">
        <is>
          <t>undefined</t>
        </is>
      </c>
      <c r="T5518" t="inlineStr">
        <is>
          <t>6203917336749</t>
        </is>
      </c>
    </row>
    <row r="5519" ht="87" customHeight="1">
      <c r="A5519" s="2">
        <f>HYPERLINK("https://edmondsonsupply.com/collections/electricians-tools/products/klein-tools-1570-3-cable-skinning-hook-blade-with-notch", "https://edmondsonsupply.com/collections/electricians-tools/products/klein-tools-1570-3-cable-skinning-hook-blade-with-notch")</f>
        <v/>
      </c>
      <c r="B5519" s="2">
        <f>HYPERLINK("https://edmondsonsupply.com/products/klein-tools-1570-3-cable-skinning-hook-blade-with-notch", "https://edmondsonsupply.com/products/klein-tools-1570-3-cable-skinning-hook-blade-with-notch")</f>
        <v/>
      </c>
      <c r="C5519" t="inlineStr">
        <is>
          <t>Klein Tools 1570-3 Cable Skinning Hook Blade with Notch</t>
        </is>
      </c>
      <c r="D5519" t="inlineStr">
        <is>
          <t>Klein Tools 1570-3LR Linemans Skinning Knife, Ergnomic Handle with Finger Grooves, 3-Inch Fixed Hook Blade with Notch</t>
        </is>
      </c>
      <c r="E5519" s="2">
        <f>HYPERLINK("https://www.amazon.com/Linemans-Skinning-Klein-Tools-1570-3LR/dp/B00093GD5Y/ref=sr_1_1?keywords=Klein+Tools+1570-3+Cable+Skinning+Hook+Blade+with+Notch&amp;qid=1694735334&amp;sr=8-1", "https://www.amazon.com/Linemans-Skinning-Klein-Tools-1570-3LR/dp/B00093GD5Y/ref=sr_1_1?keywords=Klein+Tools+1570-3+Cable+Skinning+Hook+Blade+with+Notch&amp;qid=1694735334&amp;sr=8-1")</f>
        <v/>
      </c>
      <c r="F5519" t="inlineStr">
        <is>
          <t>B00093GD5Y</t>
        </is>
      </c>
      <c r="G5519">
        <f>_xlfn.IMAGE("https://edmondsonsupply.com/cdn/shop/products/1570-3.jpg?v=1587148768")</f>
        <v/>
      </c>
      <c r="H5519">
        <f>_xlfn.IMAGE("https://m.media-amazon.com/images/I/41nurBdTVKL._AC_UL320_.jpg")</f>
        <v/>
      </c>
      <c r="K5519" t="inlineStr">
        <is>
          <t>23.11</t>
        </is>
      </c>
      <c r="L5519" t="n">
        <v>26.73</v>
      </c>
      <c r="M5519" s="1" t="inlineStr">
        <is>
          <t>15.66%</t>
        </is>
      </c>
      <c r="N5519" s="7" t="n">
        <v>104.9</v>
      </c>
      <c r="O5519" t="n">
        <v>4.4</v>
      </c>
      <c r="P5519" t="n">
        <v>612</v>
      </c>
      <c r="R5519" t="inlineStr">
        <is>
          <t>InStock</t>
        </is>
      </c>
      <c r="S5519" t="inlineStr">
        <is>
          <t>37.74</t>
        </is>
      </c>
      <c r="T5519" t="inlineStr">
        <is>
          <t>4512713998436</t>
        </is>
      </c>
    </row>
    <row r="5520" ht="87" customHeight="1">
      <c r="A5520" s="2">
        <f>HYPERLINK("https://edmondsonsupply.com/collections/electricians-tools/products/milwaukee-0880-20", "https://edmondsonsupply.com/collections/electricians-tools/products/milwaukee-0880-20")</f>
        <v/>
      </c>
      <c r="B5520" s="2">
        <f>HYPERLINK("https://edmondsonsupply.com/products/milwaukee-0880-20", "https://edmondsonsupply.com/products/milwaukee-0880-20")</f>
        <v/>
      </c>
      <c r="C5520" t="inlineStr">
        <is>
          <t>Milwaukee 0880-20 M18 2-Gallon Wet/Dry Vacuum (bare tool)</t>
        </is>
      </c>
      <c r="D5520" t="inlineStr">
        <is>
          <t>Milwaukee 0880-20 18V Cordless Lithium-Ion 2 Gallon Wet/Dry Vacuum (Bare Tool)</t>
        </is>
      </c>
      <c r="E5520" s="2">
        <f>HYPERLINK("https://www.amazon.com/Milwaukee-0880-20-Cordless-Lithium-Ion-Gallon/dp/B07FB26QRD/ref=sr_1_1?keywords=Milwaukee+0880-20+M18+2-Gallon+Wet%2FDry+Vacuum+%28bare+tool%29&amp;qid=1694735279&amp;sr=8-1", "https://www.amazon.com/Milwaukee-0880-20-Cordless-Lithium-Ion-Gallon/dp/B07FB26QRD/ref=sr_1_1?keywords=Milwaukee+0880-20+M18+2-Gallon+Wet%2FDry+Vacuum+%28bare+tool%29&amp;qid=1694735279&amp;sr=8-1")</f>
        <v/>
      </c>
      <c r="F5520" t="inlineStr">
        <is>
          <t>B07FB26QRD</t>
        </is>
      </c>
      <c r="G5520">
        <f>_xlfn.IMAGE("https://edmondsonsupply.com/cdn/shop/products/0880-20_2.png?v=1593890228")</f>
        <v/>
      </c>
      <c r="H5520">
        <f>_xlfn.IMAGE("https://m.media-amazon.com/images/I/61AbEAJBb8L._AC_UL320_.jpg")</f>
        <v/>
      </c>
      <c r="K5520" t="inlineStr">
        <is>
          <t>129.0</t>
        </is>
      </c>
      <c r="L5520" t="n">
        <v>149.16</v>
      </c>
      <c r="M5520" s="1" t="inlineStr">
        <is>
          <t>15.63%</t>
        </is>
      </c>
      <c r="N5520" s="7" t="n">
        <v>102.74</v>
      </c>
      <c r="O5520" t="n">
        <v>4.6</v>
      </c>
      <c r="P5520" t="n">
        <v>765</v>
      </c>
      <c r="R5520" t="inlineStr">
        <is>
          <t>InStock</t>
        </is>
      </c>
      <c r="S5520" t="inlineStr">
        <is>
          <t>220.0</t>
        </is>
      </c>
      <c r="T5520" t="inlineStr">
        <is>
          <t>5376375586984</t>
        </is>
      </c>
    </row>
    <row r="5521" hidden="1" ht="15.75" customHeight="1">
      <c r="A5521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5521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5521" t="inlineStr">
        <is>
          <t>Klein Tools 602-6 5/16-Inch Keystone Tip Screwdriver, Cushion Grip, 6-Inch</t>
        </is>
      </c>
      <c r="D5521" t="inlineStr">
        <is>
          <t>Klein Tools 6916INS 1000V Slim Tip Insulated Screwdriver, 6-Inch Round Shank, 3/16-Inch Cabinet Tip, Cushion Grip Handle</t>
        </is>
      </c>
      <c r="E5521" s="2">
        <f>HYPERLINK("https://www.amazon.com/Klein-Tools-6916INS-Insulated-Screwdriver/dp/B089DR97MJ/ref=sr_1_15?keywords=Klein+Tools+602-6+5%2F16-Inch+Keystone+Tip+Screwdriver%2C+Cushion+Grip%2C+6-Inch&amp;qid=1694735231&amp;sr=8-15", "https://www.amazon.com/Klein-Tools-6916INS-Insulated-Screwdriver/dp/B089DR97MJ/ref=sr_1_15?keywords=Klein+Tools+602-6+5%2F16-Inch+Keystone+Tip+Screwdriver%2C+Cushion+Grip%2C+6-Inch&amp;qid=1694735231&amp;sr=8-15")</f>
        <v/>
      </c>
      <c r="F5521" t="inlineStr">
        <is>
          <t>B089DR97MJ</t>
        </is>
      </c>
      <c r="G5521">
        <f>_xludf.IMAGE("https://edmondsonsupply.com/cdn/shop/products/602-6_162e3283-acea-47de-aecf-2a25f009fdcb.jpg?v=1633030880")</f>
        <v/>
      </c>
      <c r="H5521">
        <f>_xludf.IMAGE("https://m.media-amazon.com/images/I/41JpJG+Jh0L._AC_UL320_.jpg")</f>
        <v/>
      </c>
      <c r="K5521" t="inlineStr">
        <is>
          <t>11.99</t>
        </is>
      </c>
      <c r="L5521" t="n">
        <v>13.85</v>
      </c>
      <c r="M5521" s="1" t="inlineStr">
        <is>
          <t>15.51%</t>
        </is>
      </c>
      <c r="N5521" s="1" t="n">
        <v>100.46</v>
      </c>
      <c r="O5521" t="n">
        <v>4.8</v>
      </c>
      <c r="P5521" t="n">
        <v>1358</v>
      </c>
      <c r="R5521" t="inlineStr">
        <is>
          <t>InStock</t>
        </is>
      </c>
      <c r="S5521" t="inlineStr">
        <is>
          <t>18.18</t>
        </is>
      </c>
      <c r="T5521" t="inlineStr">
        <is>
          <t>6169213501613</t>
        </is>
      </c>
    </row>
    <row r="5522" ht="87" customHeight="1">
      <c r="A5522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5522" s="2">
        <f>HYPERLINK("https://edmondsonsupply.com/products/klein-tools-32307-27-in-1-multi-bit-tamperproof-screwdriver", "https://edmondsonsupply.com/products/klein-tools-32307-27-in-1-multi-bit-tamperproof-screwdriver")</f>
        <v/>
      </c>
      <c r="C5522" t="inlineStr">
        <is>
          <t>Klein Tools 32307 27-in-1 Multi-Bit Tamperproof Screwdriver</t>
        </is>
      </c>
      <c r="D5522" t="inlineStr">
        <is>
          <t>Klein Tools 80045 Screwdriver and Nut Driver Tool Kit, Includes Magnetic 11 in 1, Multi-Bit Stubby and Electronics Screwdrivers, 3-Piece</t>
        </is>
      </c>
      <c r="E5522" s="2">
        <f>HYPERLINK("https://www.amazon.com/Klein-Tools-80045-Screwdriver-Screwdrivers/dp/B0977S63RW/ref=sr_1_12?keywords=Klein+Tools+32307+27-in-1+Multi-Bit+Tamperproof+Screwdriver&amp;qid=1694735165&amp;sr=8-12", "https://www.amazon.com/Klein-Tools-80045-Screwdriver-Screwdrivers/dp/B0977S63RW/ref=sr_1_12?keywords=Klein+Tools+32307+27-in-1+Multi-Bit+Tamperproof+Screwdriver&amp;qid=1694735165&amp;sr=8-12")</f>
        <v/>
      </c>
      <c r="F5522" t="inlineStr">
        <is>
          <t>B0977S63RW</t>
        </is>
      </c>
      <c r="G5522">
        <f>_xlfn.IMAGE("https://edmondsonsupply.com/cdn/shop/products/32307.jpg?v=1647347524")</f>
        <v/>
      </c>
      <c r="H5522">
        <f>_xlfn.IMAGE("https://m.media-amazon.com/images/I/51utneNxWTS._AC_UL320_.jpg")</f>
        <v/>
      </c>
      <c r="K5522" t="inlineStr">
        <is>
          <t>25.97</t>
        </is>
      </c>
      <c r="L5522" t="n">
        <v>29.99</v>
      </c>
      <c r="M5522" s="1" t="inlineStr">
        <is>
          <t>15.48%</t>
        </is>
      </c>
      <c r="N5522" s="7" t="n">
        <v>100.39</v>
      </c>
      <c r="O5522" t="n">
        <v>4.7</v>
      </c>
      <c r="P5522" t="n">
        <v>9173</v>
      </c>
      <c r="R5522" t="inlineStr">
        <is>
          <t>InStock</t>
        </is>
      </c>
      <c r="S5522" t="inlineStr">
        <is>
          <t>36.38</t>
        </is>
      </c>
      <c r="T5522" t="inlineStr">
        <is>
          <t>7637266366680</t>
        </is>
      </c>
    </row>
    <row r="5523" ht="87" customHeight="1">
      <c r="A5523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5523" s="2">
        <f>HYPERLINK("https://edmondsonsupply.com/products/klein-tools-32307-27-in-1-multi-bit-tamperproof-screwdriver", "https://edmondsonsupply.com/products/klein-tools-32307-27-in-1-multi-bit-tamperproof-screwdriver")</f>
        <v/>
      </c>
      <c r="C5523" t="inlineStr">
        <is>
          <t>Klein Tools 32307 27-in-1 Multi-Bit Tamperproof Screwdriver</t>
        </is>
      </c>
      <c r="D5523" t="inlineStr">
        <is>
          <t>Klein Tools 32510 Magnetic Multibit Screwdriver with Sturdy Torx, Hex, Spanner, Tri-Wing, Torq and Nut Tamperproof Bits and Storage Block</t>
        </is>
      </c>
      <c r="E5523" s="2" t="n"/>
      <c r="F5523" t="inlineStr">
        <is>
          <t>B0018BS7GY</t>
        </is>
      </c>
      <c r="G5523">
        <f>_xlfn.IMAGE("https://edmondsonsupply.com/cdn/shop/products/32307.jpg?v=1647347524")</f>
        <v/>
      </c>
      <c r="H5523">
        <f>_xlfn.IMAGE("https://m.media-amazon.com/images/I/51bvmlQNvEL._AC_UL320_.jpg")</f>
        <v/>
      </c>
      <c r="K5523" t="inlineStr">
        <is>
          <t>25.97</t>
        </is>
      </c>
      <c r="L5523" t="n">
        <v>29.97</v>
      </c>
      <c r="M5523" s="1" t="inlineStr">
        <is>
          <t>15.40%</t>
        </is>
      </c>
      <c r="N5523" s="7" t="n">
        <v>100.17</v>
      </c>
      <c r="O5523" t="n">
        <v>4.8</v>
      </c>
      <c r="P5523" t="n">
        <v>1329</v>
      </c>
      <c r="R5523" t="inlineStr">
        <is>
          <t>InStock</t>
        </is>
      </c>
      <c r="S5523" t="inlineStr">
        <is>
          <t>36.38</t>
        </is>
      </c>
      <c r="T5523" t="inlineStr">
        <is>
          <t>7637266366680</t>
        </is>
      </c>
    </row>
    <row r="5524" ht="87" customHeight="1">
      <c r="A5524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5524" s="2">
        <f>HYPERLINK("https://edmondsonsupply.com/products/klein-tools-32307-27-in-1-multi-bit-tamperproof-screwdriver", "https://edmondsonsupply.com/products/klein-tools-32307-27-in-1-multi-bit-tamperproof-screwdriver")</f>
        <v/>
      </c>
      <c r="C5524" t="inlineStr">
        <is>
          <t>Klein Tools 32307 27-in-1 Multi-Bit Tamperproof Screwdriver</t>
        </is>
      </c>
      <c r="D5524" t="inlineStr">
        <is>
          <t>Klein Tools 32510 Magnetic Multibit Screwdriver with Sturdy Torx, Hex, Spanner, Tri-Wing, Torq and Nut Tamperproof Bits and Storage Block</t>
        </is>
      </c>
      <c r="E5524" s="2">
        <f>HYPERLINK("https://www.amazon.com/Klein-Tools-32510-Screwdriver-Tamperproof/dp/B0018BS7GY/ref=sr_1_35?keywords=Klein+Tools+32307+27-in-1+Multi-Bit+Tamperproof+Screwdriver&amp;qid=1694735165&amp;sr=8-35", "https://www.amazon.com/Klein-Tools-32510-Screwdriver-Tamperproof/dp/B0018BS7GY/ref=sr_1_35?keywords=Klein+Tools+32307+27-in-1+Multi-Bit+Tamperproof+Screwdriver&amp;qid=1694735165&amp;sr=8-35")</f>
        <v/>
      </c>
      <c r="F5524" t="inlineStr">
        <is>
          <t>B0018BS7GY</t>
        </is>
      </c>
      <c r="G5524">
        <f>_xlfn.IMAGE("https://edmondsonsupply.com/cdn/shop/products/32307.jpg?v=1647347524")</f>
        <v/>
      </c>
      <c r="H5524">
        <f>_xlfn.IMAGE("https://m.media-amazon.com/images/I/51bvmlQNvEL._AC_UL320_.jpg")</f>
        <v/>
      </c>
      <c r="K5524" t="inlineStr">
        <is>
          <t>25.97</t>
        </is>
      </c>
      <c r="L5524" t="n">
        <v>29.97</v>
      </c>
      <c r="M5524" s="1" t="inlineStr">
        <is>
          <t>15.40%</t>
        </is>
      </c>
      <c r="N5524" s="7" t="n">
        <v>100</v>
      </c>
      <c r="O5524" t="n">
        <v>4.8</v>
      </c>
      <c r="P5524" t="n">
        <v>1329</v>
      </c>
      <c r="R5524" t="inlineStr">
        <is>
          <t>InStock</t>
        </is>
      </c>
      <c r="S5524" t="inlineStr">
        <is>
          <t>36.38</t>
        </is>
      </c>
      <c r="T5524" t="inlineStr">
        <is>
          <t>7637266366680</t>
        </is>
      </c>
    </row>
    <row r="5525" ht="87" customHeight="1">
      <c r="A5525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5525" s="2">
        <f>HYPERLINK("https://edmondsonsupply.com/products/klein-tools-32307-27-in-1-multi-bit-tamperproof-screwdriver", "https://edmondsonsupply.com/products/klein-tools-32307-27-in-1-multi-bit-tamperproof-screwdriver")</f>
        <v/>
      </c>
      <c r="C5525" t="inlineStr">
        <is>
          <t>Klein Tools 32307 27-in-1 Multi-Bit Tamperproof Screwdriver</t>
        </is>
      </c>
      <c r="D5525" t="inlineStr">
        <is>
          <t>Klein Tools 32717 Precision Screwdriver Set with Case, All-in-One Multi-Function Repair Tool Kit Includes 39 Bits for Apple Products</t>
        </is>
      </c>
      <c r="E5525" s="2">
        <f>HYPERLINK("https://www.amazon.com/Klein-Tools-32717-Screwdriver-Multi-Function/dp/B08DRVM38X/ref=sr_1_59?keywords=Klein+Tools+32307+27-in-1+Multi-Bit+Tamperproof+Screwdriver&amp;qid=1694735165&amp;sr=8-59", "https://www.amazon.com/Klein-Tools-32717-Screwdriver-Multi-Function/dp/B08DRVM38X/ref=sr_1_59?keywords=Klein+Tools+32307+27-in-1+Multi-Bit+Tamperproof+Screwdriver&amp;qid=1694735165&amp;sr=8-59")</f>
        <v/>
      </c>
      <c r="F5525" t="inlineStr">
        <is>
          <t>B08DRVM38X</t>
        </is>
      </c>
      <c r="G5525">
        <f>_xlfn.IMAGE("https://edmondsonsupply.com/cdn/shop/products/32307.jpg?v=1647347524")</f>
        <v/>
      </c>
      <c r="H5525">
        <f>_xlfn.IMAGE("https://m.media-amazon.com/images/I/61tO1q+ldhL._AC_UL320_.jpg")</f>
        <v/>
      </c>
      <c r="K5525" t="inlineStr">
        <is>
          <t>25.97</t>
        </is>
      </c>
      <c r="L5525" t="n">
        <v>29.97</v>
      </c>
      <c r="M5525" s="1" t="inlineStr">
        <is>
          <t>15.40%</t>
        </is>
      </c>
      <c r="N5525" s="7" t="n">
        <v>100</v>
      </c>
      <c r="O5525" t="n">
        <v>4.9</v>
      </c>
      <c r="P5525" t="n">
        <v>2759</v>
      </c>
      <c r="R5525" t="inlineStr">
        <is>
          <t>InStock</t>
        </is>
      </c>
      <c r="S5525" t="inlineStr">
        <is>
          <t>36.38</t>
        </is>
      </c>
      <c r="T5525" t="inlineStr">
        <is>
          <t>7637266366680</t>
        </is>
      </c>
    </row>
    <row r="5526" hidden="1" ht="15.75" customHeight="1">
      <c r="A5526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5526" s="2">
        <f>HYPERLINK("https://edmondsonsupply.com/products/klein-tools-31944-bi-metal-hole-saw-2-3-4-inch", "https://edmondsonsupply.com/products/klein-tools-31944-bi-metal-hole-saw-2-3-4-inch")</f>
        <v/>
      </c>
      <c r="C5526" t="inlineStr">
        <is>
          <t>Klein Tools 31944 Bi-Metal Hole Saw, 2-3/4-Inch</t>
        </is>
      </c>
      <c r="D5526" t="inlineStr">
        <is>
          <t>Klein Tools 31534 Bi-Metal Hole Saw, 2-1/8-Inch</t>
        </is>
      </c>
      <c r="E5526" s="2">
        <f>HYPERLINK("https://www.amazon.com/Klein-Tools-31534-Bi-Metal-8-Inch/dp/B0009OIJFA/ref=sr_1_3?keywords=Klein+Tools+31944+Bi-Metal+Hole+Saw%2C+2-3%2F4-Inch&amp;qid=1694735356&amp;sr=8-3", "https://www.amazon.com/Klein-Tools-31534-Bi-Metal-8-Inch/dp/B0009OIJFA/ref=sr_1_3?keywords=Klein+Tools+31944+Bi-Metal+Hole+Saw%2C+2-3%2F4-Inch&amp;qid=1694735356&amp;sr=8-3")</f>
        <v/>
      </c>
      <c r="F5526" t="inlineStr">
        <is>
          <t>B0009OIJFA</t>
        </is>
      </c>
      <c r="G5526">
        <f>_xludf.IMAGE("https://edmondsonsupply.com/cdn/shop/products/31944.jpg?v=1587150512")</f>
        <v/>
      </c>
      <c r="H5526">
        <f>_xludf.IMAGE("https://m.media-amazon.com/images/I/31Wk-f8wwaL._AC_UL320_.jpg")</f>
        <v/>
      </c>
      <c r="K5526" t="inlineStr">
        <is>
          <t>12.99</t>
        </is>
      </c>
      <c r="L5526" t="n">
        <v>14.99</v>
      </c>
      <c r="M5526" s="1" t="inlineStr">
        <is>
          <t>15.40%</t>
        </is>
      </c>
      <c r="N5526" s="1" t="n">
        <v>100</v>
      </c>
      <c r="O5526" t="n">
        <v>5</v>
      </c>
      <c r="P5526" t="n">
        <v>5</v>
      </c>
      <c r="R5526" t="inlineStr">
        <is>
          <t>InStock</t>
        </is>
      </c>
      <c r="S5526" t="inlineStr">
        <is>
          <t>18.24</t>
        </is>
      </c>
      <c r="T5526" t="inlineStr">
        <is>
          <t>4433553326180</t>
        </is>
      </c>
    </row>
    <row r="5527" hidden="1" ht="15.75" customHeight="1">
      <c r="A5527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527" s="2">
        <f>HYPERLINK("https://edmondsonsupply.com/products/klein-tools-32500mag-11-in-1-magnetic-screwdriver-nut-driver", "https://edmondsonsupply.com/products/klein-tools-32500mag-11-in-1-magnetic-screwdriver-nut-driver")</f>
        <v/>
      </c>
      <c r="C5527" t="inlineStr">
        <is>
          <t>Klein Tools 32500MAG 11-in-1 Magnetic Screwdriver / Nut Driver</t>
        </is>
      </c>
      <c r="D5527" t="inlineStr">
        <is>
          <t>Klein Tools 32477-12 10-in-1 Multi-Bit Screwdriver / Nut Driver (12-Pack)</t>
        </is>
      </c>
      <c r="E5527" s="2">
        <f>HYPERLINK("https://www.amazon.com/Klein-Tools-32477-12-Screwdriver-Driver/dp/B002DKV0UE/ref=sr_1_39?keywords=Klein+Tools+32500MAG+11-in-1+Magnetic+Screwdriver+%2F+Nut+Driver&amp;qid=1694735235&amp;sr=8-39", "https://www.amazon.com/Klein-Tools-32477-12-Screwdriver-Driver/dp/B002DKV0UE/ref=sr_1_39?keywords=Klein+Tools+32500MAG+11-in-1+Magnetic+Screwdriver+%2F+Nut+Driver&amp;qid=1694735235&amp;sr=8-39")</f>
        <v/>
      </c>
      <c r="F5527" t="inlineStr">
        <is>
          <t>B002DKV0UE</t>
        </is>
      </c>
      <c r="G5527">
        <f>_xludf.IMAGE("https://edmondsonsupply.com/cdn/shop/products/32500mag.jpg?v=1633030832")</f>
        <v/>
      </c>
      <c r="H5527">
        <f>_xludf.IMAGE("https://m.media-amazon.com/images/I/41WMc+RiC0L._AC_UL320_.jpg")</f>
        <v/>
      </c>
      <c r="K5527" t="inlineStr">
        <is>
          <t>20.97</t>
        </is>
      </c>
      <c r="L5527" t="n">
        <v>24.18</v>
      </c>
      <c r="M5527" s="1" t="inlineStr">
        <is>
          <t>15.31%</t>
        </is>
      </c>
      <c r="N5527" s="1" t="n">
        <v>100</v>
      </c>
      <c r="O5527" t="n">
        <v>4</v>
      </c>
      <c r="P5527" t="n">
        <v>8</v>
      </c>
      <c r="R5527" t="inlineStr">
        <is>
          <t>InStock</t>
        </is>
      </c>
      <c r="S5527" t="inlineStr">
        <is>
          <t>29.38</t>
        </is>
      </c>
      <c r="T5527" t="inlineStr">
        <is>
          <t>6082199814317</t>
        </is>
      </c>
    </row>
    <row r="5528" hidden="1" ht="15.75" customHeight="1">
      <c r="A5528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5528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5528" t="inlineStr">
        <is>
          <t>Diablo Tools DMAPL4180 1/2 in. x 4 in. x 6 in. Rebar Demon™ SDS-Plus 4-Cutter Full Carbide Head Hammer Bit</t>
        </is>
      </c>
      <c r="D5528" t="inlineStr">
        <is>
          <t>Diablo by Freud Diablo DMAPL4210 5/8 in. x 4 in. x 6 in. Rebar Demon SDS-Plus 4-Cutter Full Carbide Head Hammer Bit</t>
        </is>
      </c>
      <c r="E5528" s="2">
        <f>HYPERLINK("https://www.amazon.com/Diablo-Freud-DMAPL4210-SDS-Plus-4-Cutter/dp/B089LGF2KS/ref=sr_1_19?keywords=Diablo+Tools+DMAPL4180+1%2F2+in.+x+4+in.+x+6+in.+Rebar+Demon%E2%84%A2+SDS-Plus+4-Cutter+Full+Carbide+Head+Hammer+Bit&amp;qid=1694735298&amp;sr=8-19", "https://www.amazon.com/Diablo-Freud-DMAPL4210-SDS-Plus-4-Cutter/dp/B089LGF2KS/ref=sr_1_19?keywords=Diablo+Tools+DMAPL4180+1%2F2+in.+x+4+in.+x+6+in.+Rebar+Demon%E2%84%A2+SDS-Plus+4-Cutter+Full+Carbide+Head+Hammer+Bit&amp;qid=1694735298&amp;sr=8-19")</f>
        <v/>
      </c>
      <c r="F5528" t="inlineStr">
        <is>
          <t>B089LGF2KS</t>
        </is>
      </c>
      <c r="G5528">
        <f>_xludf.IMAGE("https://edmondsonsupply.com/cdn/shop/products/DMAPL4180_Main-Image20200702.png?v=1633030362")</f>
        <v/>
      </c>
      <c r="H5528">
        <f>_xludf.IMAGE("https://m.media-amazon.com/images/I/61rU9ZgmndL._AC_UL320_.jpg")</f>
        <v/>
      </c>
      <c r="K5528" t="inlineStr">
        <is>
          <t>9.97</t>
        </is>
      </c>
      <c r="L5528" t="n">
        <v>11.49</v>
      </c>
      <c r="M5528" s="1" t="inlineStr">
        <is>
          <t>15.25%</t>
        </is>
      </c>
      <c r="N5528" s="1" t="n">
        <v>100</v>
      </c>
      <c r="O5528" t="n">
        <v>4.6</v>
      </c>
      <c r="P5528" t="n">
        <v>63</v>
      </c>
      <c r="R5528" t="inlineStr">
        <is>
          <t>InStock</t>
        </is>
      </c>
      <c r="S5528" t="inlineStr">
        <is>
          <t>undefined</t>
        </is>
      </c>
      <c r="T5528" t="inlineStr">
        <is>
          <t>5286803833000</t>
        </is>
      </c>
    </row>
    <row r="5529" ht="87" customHeight="1">
      <c r="A5529" s="2">
        <f>HYPERLINK("https://edmondsonsupply.com/collections/electricians-tools/products/diablo-tools-dmapl2410-5-8-in-x-10-in-x-12-in-sds-plus-2-cutter", "https://edmondsonsupply.com/collections/electricians-tools/products/diablo-tools-dmapl2410-5-8-in-x-10-in-x-12-in-sds-plus-2-cutter")</f>
        <v/>
      </c>
      <c r="B5529" s="2">
        <f>HYPERLINK("https://edmondsonsupply.com/products/diablo-tools-dmapl2410-5-8-in-x-10-in-x-12-in-sds-plus-2-cutter", "https://edmondsonsupply.com/products/diablo-tools-dmapl2410-5-8-in-x-10-in-x-12-in-sds-plus-2-cutter")</f>
        <v/>
      </c>
      <c r="C5529" t="inlineStr">
        <is>
          <t>Diablo Tools DMAPL2410 5/8 in. x 10 in. x 12 in. SDS‑Plus 2‑Cutter</t>
        </is>
      </c>
      <c r="D5529" t="inlineStr">
        <is>
          <t>Diablo by Freud DMAPL4230 5/8 in. x 10 in. x 12 in. Rebar Demon SDS-Plus 4-Cutter Full Carbide Head Hammer Bit</t>
        </is>
      </c>
      <c r="E5529" s="2">
        <f>HYPERLINK("https://www.amazon.com/Diablo-Freud-DMAPL4230-SDS-Plus-4-Cutter/dp/B089LCN234/ref=sr_1_9?keywords=Diablo+Tools+DMAPL2410+5%2F8+in.+x+10+in.+x+12+in.+SDS%E2%80%91Plus+2%E2%80%91Cutter&amp;qid=1694735285&amp;sr=8-9", "https://www.amazon.com/Diablo-Freud-DMAPL4230-SDS-Plus-4-Cutter/dp/B089LCN234/ref=sr_1_9?keywords=Diablo+Tools+DMAPL2410+5%2F8+in.+x+10+in.+x+12+in.+SDS%E2%80%91Plus+2%E2%80%91Cutter&amp;qid=1694735285&amp;sr=8-9")</f>
        <v/>
      </c>
      <c r="F5529" t="inlineStr">
        <is>
          <t>B089LCN234</t>
        </is>
      </c>
      <c r="G5529">
        <f>_xlfn.IMAGE("https://edmondsonsupply.com/cdn/shop/products/DMAPL2410_Main-Image20200331.png?v=1633030462")</f>
        <v/>
      </c>
      <c r="H5529">
        <f>_xlfn.IMAGE("https://m.media-amazon.com/images/I/61r649wmyhL._AC_UL320_.jpg")</f>
        <v/>
      </c>
      <c r="K5529" t="inlineStr">
        <is>
          <t>18.97</t>
        </is>
      </c>
      <c r="L5529" t="n">
        <v>21.86</v>
      </c>
      <c r="M5529" s="1" t="inlineStr">
        <is>
          <t>15.23%</t>
        </is>
      </c>
      <c r="N5529" s="7" t="n">
        <v>100</v>
      </c>
      <c r="O5529" t="n">
        <v>4.7</v>
      </c>
      <c r="P5529" t="n">
        <v>47</v>
      </c>
      <c r="R5529" t="inlineStr">
        <is>
          <t>InStock</t>
        </is>
      </c>
      <c r="S5529" t="inlineStr">
        <is>
          <t>24.49</t>
        </is>
      </c>
      <c r="T5529" t="inlineStr">
        <is>
          <t>5361975525544</t>
        </is>
      </c>
    </row>
    <row r="5530" hidden="1" ht="15.75" customHeight="1">
      <c r="A5530" s="2">
        <f>HYPERLINK("https://edmondsonsupply.com/collections/electricians-tools/products/diablo-tools-dhs0250dg-1-4-in-diamond-grit-hole-saws", "https://edmondsonsupply.com/collections/electricians-tools/products/diablo-tools-dhs0250dg-1-4-in-diamond-grit-hole-saws")</f>
        <v/>
      </c>
      <c r="B5530" s="2">
        <f>HYPERLINK("https://edmondsonsupply.com/products/diablo-tools-dhs0250dg-1-4-in-diamond-grit-hole-saws", "https://edmondsonsupply.com/products/diablo-tools-dhs0250dg-1-4-in-diamond-grit-hole-saws")</f>
        <v/>
      </c>
      <c r="C5530" t="inlineStr">
        <is>
          <t>Diablo Tools DHS0250DG 1/4 in. Diamond Grit Hole Saws</t>
        </is>
      </c>
      <c r="D5530" t="inlineStr">
        <is>
          <t>JINGLING 2Pcs 32mm 1 1/4 Inch Diamond Hole Saws Granite Drill Bit Masonry Tools for Stone</t>
        </is>
      </c>
      <c r="E5530" s="2">
        <f>HYPERLINK("https://www.amazon.com/Diamond-Granite-Drill-Coated-Masonry/dp/B07HF7DDSV/ref=sr_1_22?keywords=Diablo+Tools+DHS0250DG+1%2F4+in.+Diamond+Grit+Hole+Saws&amp;qid=1694735071&amp;sr=8-22", "https://www.amazon.com/Diamond-Granite-Drill-Coated-Masonry/dp/B07HF7DDSV/ref=sr_1_22?keywords=Diablo+Tools+DHS0250DG+1%2F4+in.+Diamond+Grit+Hole+Saws&amp;qid=1694735071&amp;sr=8-22")</f>
        <v/>
      </c>
      <c r="F5530" t="inlineStr">
        <is>
          <t>B07HF7DDSV</t>
        </is>
      </c>
      <c r="G5530">
        <f>_xludf.IMAGE("https://edmondsonsupply.com/cdn/shop/products/igw3cmoubywtpidbfrdn.webp?v=1670003852")</f>
        <v/>
      </c>
      <c r="H5530">
        <f>_xludf.IMAGE("https://m.media-amazon.com/images/I/71j4gASVNUL._AC_UL320_.jpg")</f>
        <v/>
      </c>
      <c r="K5530" t="inlineStr">
        <is>
          <t>11.98</t>
        </is>
      </c>
      <c r="L5530" t="n">
        <v>13.8</v>
      </c>
      <c r="M5530" s="1" t="inlineStr">
        <is>
          <t>15.19%</t>
        </is>
      </c>
      <c r="N5530" s="1" t="n">
        <v>99.90000000000001</v>
      </c>
      <c r="O5530" t="n">
        <v>4.5</v>
      </c>
      <c r="P5530" t="n">
        <v>795</v>
      </c>
      <c r="R5530" t="inlineStr">
        <is>
          <t>InStock</t>
        </is>
      </c>
      <c r="S5530" t="inlineStr">
        <is>
          <t>19.02</t>
        </is>
      </c>
      <c r="T5530" t="inlineStr">
        <is>
          <t>7897585713368</t>
        </is>
      </c>
    </row>
    <row r="5531" ht="87" customHeight="1">
      <c r="A5531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5531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5531" t="inlineStr">
        <is>
          <t>Klein Tools 69149P Test Kit with Multimeter, Non-Contact Volt Tester, Receptacle Tester</t>
        </is>
      </c>
      <c r="D5531" t="inlineStr">
        <is>
          <t>Klein Tools 69355 Digital Multimeter Premium Electrical Test Kit with Non-Contact Voltage Tester, Receptacle Tester, Test Leads</t>
        </is>
      </c>
      <c r="E5531" s="2">
        <f>HYPERLINK("https://www.amazon.com/Klein-Tools-69355-Electrical-Test/dp/B09SVQQFZX/ref=sr_1_7?keywords=Klein+Tools+69149P+Test+Kit+with+Multimeter%2C+Non-Contact+Volt+Tester%2C+Receptacle+Tester&amp;qid=1694735230&amp;sr=8-7", "https://www.amazon.com/Klein-Tools-69355-Electrical-Test/dp/B09SVQQFZX/ref=sr_1_7?keywords=Klein+Tools+69149P+Test+Kit+with+Multimeter%2C+Non-Contact+Volt+Tester%2C+Receptacle+Tester&amp;qid=1694735230&amp;sr=8-7")</f>
        <v/>
      </c>
      <c r="F5531" t="inlineStr">
        <is>
          <t>B09SVQQFZX</t>
        </is>
      </c>
      <c r="G5531">
        <f>_xlfn.IMAGE("https://edmondsonsupply.com/cdn/shop/products/69149p.jpg?v=1664479017")</f>
        <v/>
      </c>
      <c r="H5531">
        <f>_xlfn.IMAGE("https://m.media-amazon.com/images/I/51heXSegywL._AC_UL320_.jpg")</f>
        <v/>
      </c>
      <c r="K5531" t="inlineStr">
        <is>
          <t>39.97</t>
        </is>
      </c>
      <c r="L5531" t="n">
        <v>46</v>
      </c>
      <c r="M5531" s="1" t="inlineStr">
        <is>
          <t>15.09%</t>
        </is>
      </c>
      <c r="N5531" s="7" t="n">
        <v>98.78</v>
      </c>
      <c r="O5531" t="n">
        <v>4.7</v>
      </c>
      <c r="P5531" t="n">
        <v>403</v>
      </c>
      <c r="R5531" t="inlineStr">
        <is>
          <t>InStock</t>
        </is>
      </c>
      <c r="S5531" t="inlineStr">
        <is>
          <t>63.9</t>
        </is>
      </c>
      <c r="T5531" t="inlineStr">
        <is>
          <t>6584860606637</t>
        </is>
      </c>
    </row>
    <row r="5532" ht="87" customHeight="1">
      <c r="A5532" s="2">
        <f>HYPERLINK("https://edmondsonsupply.com/collections/electricians-tools/products/fluke-isls8", "https://edmondsonsupply.com/collections/electricians-tools/products/fluke-isls8")</f>
        <v/>
      </c>
      <c r="B5532" s="2">
        <f>HYPERLINK("https://edmondsonsupply.com/products/fluke-isls8", "https://edmondsonsupply.com/products/fluke-isls8")</f>
        <v/>
      </c>
      <c r="C5532" t="inlineStr">
        <is>
          <t>Fluke ISLS8 Insulated Slotted Screwdriver</t>
        </is>
      </c>
      <c r="D5532" t="inlineStr">
        <is>
          <t>Fluke Insulated Slotted Screwdriver 1/4, 5 INCH, 1000V</t>
        </is>
      </c>
      <c r="E5532" s="2">
        <f>HYPERLINK("https://www.amazon.com/Fluke-Insulated-Slotted-Screwdriver-1000V/dp/B07SK3WR4Q/ref=sr_1_1?keywords=Fluke+ISLS8+Insulated+Slotted+Screwdriver&amp;qid=1694735317&amp;sr=8-1", "https://www.amazon.com/Fluke-Insulated-Slotted-Screwdriver-1000V/dp/B07SK3WR4Q/ref=sr_1_1?keywords=Fluke+ISLS8+Insulated+Slotted+Screwdriver&amp;qid=1694735317&amp;sr=8-1")</f>
        <v/>
      </c>
      <c r="F5532" t="inlineStr">
        <is>
          <t>B07SK3WR4Q</t>
        </is>
      </c>
      <c r="G5532">
        <f>_xlfn.IMAGE("https://edmondsonsupply.com/cdn/shop/products/isls8-1.jpg?v=1589231804")</f>
        <v/>
      </c>
      <c r="H5532">
        <f>_xlfn.IMAGE("https://m.media-amazon.com/images/I/61sYvKNkc6L._AC_UL320_.jpg")</f>
        <v/>
      </c>
      <c r="K5532" t="inlineStr">
        <is>
          <t>25.19</t>
        </is>
      </c>
      <c r="L5532" t="n">
        <v>28.99</v>
      </c>
      <c r="M5532" s="1" t="inlineStr">
        <is>
          <t>15.09%</t>
        </is>
      </c>
      <c r="N5532" s="7" t="n">
        <v>96.43000000000001</v>
      </c>
      <c r="O5532" t="n">
        <v>4.4</v>
      </c>
      <c r="P5532" t="n">
        <v>82</v>
      </c>
      <c r="R5532" t="inlineStr">
        <is>
          <t>OutOfStock</t>
        </is>
      </c>
      <c r="S5532" t="inlineStr">
        <is>
          <t>27.99</t>
        </is>
      </c>
      <c r="T5532" t="inlineStr">
        <is>
          <t>4643253354596</t>
        </is>
      </c>
    </row>
    <row r="5533" ht="87" customHeight="1">
      <c r="A5533" s="2">
        <f>HYPERLINK("https://edmondsonsupply.com/collections/electricians-tools/products/fluke-isqs2", "https://edmondsonsupply.com/collections/electricians-tools/products/fluke-isqs2")</f>
        <v/>
      </c>
      <c r="B5533" s="2">
        <f>HYPERLINK("https://edmondsonsupply.com/products/fluke-isqs2", "https://edmondsonsupply.com/products/fluke-isqs2")</f>
        <v/>
      </c>
      <c r="C5533" t="inlineStr">
        <is>
          <t>Fluke ISQS2 Insulated Square Screwdriver</t>
        </is>
      </c>
      <c r="D5533" t="inlineStr">
        <is>
          <t>Fluke ISQS2 Insulated Squared Screwdriver #2, 5", 1000V</t>
        </is>
      </c>
      <c r="E5533" s="2">
        <f>HYPERLINK("https://www.amazon.com/Fluke-Insulated-Squared-Screwdriver-1000V/dp/B07SJ2HJ4B/ref=sr_1_1?keywords=Fluke+ISQS2+Insulated+Square+Screwdriver&amp;qid=1694735314&amp;sr=8-1", "https://www.amazon.com/Fluke-Insulated-Squared-Screwdriver-1000V/dp/B07SJ2HJ4B/ref=sr_1_1?keywords=Fluke+ISQS2+Insulated+Square+Screwdriver&amp;qid=1694735314&amp;sr=8-1")</f>
        <v/>
      </c>
      <c r="F5533" t="inlineStr">
        <is>
          <t>B07SJ2HJ4B</t>
        </is>
      </c>
      <c r="G5533">
        <f>_xlfn.IMAGE("https://edmondsonsupply.com/cdn/shop/products/isqs2-1.jpg?v=1589307380")</f>
        <v/>
      </c>
      <c r="H5533">
        <f>_xlfn.IMAGE("https://m.media-amazon.com/images/I/31JHBHz-McL._AC_UL320_.jpg")</f>
        <v/>
      </c>
      <c r="K5533" t="inlineStr">
        <is>
          <t>25.19</t>
        </is>
      </c>
      <c r="L5533" t="n">
        <v>28.99</v>
      </c>
      <c r="M5533" s="1" t="inlineStr">
        <is>
          <t>15.09%</t>
        </is>
      </c>
      <c r="N5533" s="7" t="n">
        <v>95.55</v>
      </c>
      <c r="O5533" t="n">
        <v>4.9</v>
      </c>
      <c r="P5533" t="n">
        <v>26</v>
      </c>
      <c r="R5533" t="inlineStr">
        <is>
          <t>OutOfStock</t>
        </is>
      </c>
      <c r="S5533" t="inlineStr">
        <is>
          <t>27.99</t>
        </is>
      </c>
      <c r="T5533" t="inlineStr">
        <is>
          <t>4650523852900</t>
        </is>
      </c>
    </row>
    <row r="5534" ht="87" customHeight="1">
      <c r="A5534" s="2">
        <f>HYPERLINK("https://edmondsonsupply.com/collections/electricians-tools/products/fluke-isqs1", "https://edmondsonsupply.com/collections/electricians-tools/products/fluke-isqs1")</f>
        <v/>
      </c>
      <c r="B5534" s="2">
        <f>HYPERLINK("https://edmondsonsupply.com/products/fluke-isqs1", "https://edmondsonsupply.com/products/fluke-isqs1")</f>
        <v/>
      </c>
      <c r="C5534" t="inlineStr">
        <is>
          <t>Fluke ISQS1 Insulated Square Screwdriver</t>
        </is>
      </c>
      <c r="D5534" t="inlineStr">
        <is>
          <t>Fluke ISQS1 Insulated Squared Screwdriver #1, 4", 1000V</t>
        </is>
      </c>
      <c r="E5534" s="2">
        <f>HYPERLINK("https://www.amazon.com/Fluke-Insulated-Squared-Screwdriver-1000V/dp/B07SFZR6QN/ref=sr_1_1?keywords=Fluke+ISQS1+Insulated+Square+Screwdriver&amp;qid=1694735330&amp;sr=8-1", "https://www.amazon.com/Fluke-Insulated-Squared-Screwdriver-1000V/dp/B07SFZR6QN/ref=sr_1_1?keywords=Fluke+ISQS1+Insulated+Square+Screwdriver&amp;qid=1694735330&amp;sr=8-1")</f>
        <v/>
      </c>
      <c r="F5534" t="inlineStr">
        <is>
          <t>B07SFZR6QN</t>
        </is>
      </c>
      <c r="G5534">
        <f>_xlfn.IMAGE("https://edmondsonsupply.com/cdn/shop/products/isqs1-1.jpg?v=1589238977")</f>
        <v/>
      </c>
      <c r="H5534">
        <f>_xlfn.IMAGE("https://m.media-amazon.com/images/I/31UfdbEbn4L._AC_UL320_.jpg")</f>
        <v/>
      </c>
      <c r="K5534" t="inlineStr">
        <is>
          <t>25.19</t>
        </is>
      </c>
      <c r="L5534" t="n">
        <v>28.99</v>
      </c>
      <c r="M5534" s="1" t="inlineStr">
        <is>
          <t>15.09%</t>
        </is>
      </c>
      <c r="N5534" s="7" t="n">
        <v>95.23</v>
      </c>
      <c r="O5534" t="n">
        <v>4.9</v>
      </c>
      <c r="P5534" t="n">
        <v>26</v>
      </c>
      <c r="R5534" t="inlineStr">
        <is>
          <t>OutOfStock</t>
        </is>
      </c>
      <c r="S5534" t="inlineStr">
        <is>
          <t>27.99</t>
        </is>
      </c>
      <c r="T5534" t="inlineStr">
        <is>
          <t>4643763126372</t>
        </is>
      </c>
    </row>
    <row r="5535" hidden="1" ht="15.75" customHeight="1">
      <c r="A5535" s="2">
        <f>HYPERLINK("https://edmondsonsupply.com/collections/electricians-tools/products/klein-tools-jth6t20-t20-torx-hex-key-with-journeyman-t-handle-6-inch", "https://edmondsonsupply.com/collections/electricians-tools/products/klein-tools-jth6t20-t20-torx-hex-key-with-journeyman-t-handle-6-inch")</f>
        <v/>
      </c>
      <c r="B5535" s="2">
        <f>HYPERLINK("https://edmondsonsupply.com/products/klein-tools-jth6t20-t20-torx-hex-key-with-journeyman-t-handle-6-inch", "https://edmondsonsupply.com/products/klein-tools-jth6t20-t20-torx-hex-key-with-journeyman-t-handle-6-inch")</f>
        <v/>
      </c>
      <c r="C5535" t="inlineStr">
        <is>
          <t>Klein Tools JTH6T20 T20 Torx Hex Key with Journeyman T-Handle, 6-Inch</t>
        </is>
      </c>
      <c r="D5535" t="inlineStr">
        <is>
          <t>Klein Tools JTH6T15 T15 TORX Hex Key, Journeyman T-Handle, 6-Inch</t>
        </is>
      </c>
      <c r="E5535" s="2">
        <f>HYPERLINK("https://www.amazon.com/Journeyman-T-Handle-Klein-Tools-JTH6T15/dp/B005G3B43I/ref=sr_1_2?keywords=Klein+Tools+JTH6T20+T20+Torx+Hex+Key+with+Journeyman+T-Handle%2C+6-Inch&amp;qid=1694735236&amp;sr=8-2", "https://www.amazon.com/Journeyman-T-Handle-Klein-Tools-JTH6T15/dp/B005G3B43I/ref=sr_1_2?keywords=Klein+Tools+JTH6T20+T20+Torx+Hex+Key+with+Journeyman+T-Handle%2C+6-Inch&amp;qid=1694735236&amp;sr=8-2")</f>
        <v/>
      </c>
      <c r="F5535" t="inlineStr">
        <is>
          <t>B005G3B43I</t>
        </is>
      </c>
      <c r="G5535">
        <f>_xludf.IMAGE("https://edmondsonsupply.com/cdn/shop/products/jth6t40_239e6af9-df98-4759-b03a-1003afe41d97.jpg?v=1606265228")</f>
        <v/>
      </c>
      <c r="H5535">
        <f>_xludf.IMAGE("https://m.media-amazon.com/images/I/51Xj0Vsb-EL._AC_UL320_.jpg")</f>
        <v/>
      </c>
      <c r="K5535" t="inlineStr">
        <is>
          <t>9.08</t>
        </is>
      </c>
      <c r="L5535" t="n">
        <v>10.44</v>
      </c>
      <c r="M5535" s="1" t="inlineStr">
        <is>
          <t>14.98%</t>
        </is>
      </c>
      <c r="N5535" s="1" t="n">
        <v>94.84999999999999</v>
      </c>
      <c r="O5535" t="n">
        <v>4.6</v>
      </c>
      <c r="P5535" t="n">
        <v>231</v>
      </c>
      <c r="R5535" t="inlineStr">
        <is>
          <t>InStock</t>
        </is>
      </c>
      <c r="S5535" t="inlineStr">
        <is>
          <t>undefined</t>
        </is>
      </c>
      <c r="T5535" t="inlineStr">
        <is>
          <t>6094316339373</t>
        </is>
      </c>
    </row>
    <row r="5536" ht="87" customHeight="1">
      <c r="A5536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5536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5536" t="inlineStr">
        <is>
          <t>Klein Tools CL390 AC/DC Digital Clamp Meter, Auto-Ranging 400 Amp</t>
        </is>
      </c>
      <c r="D5536" t="inlineStr">
        <is>
          <t>Klein Tools CL390 Digital Clamp Meter, Reverse Contrast Display, Auto Ranging 400A AC/DC, AC/DC Voltage,TRMS, DC Microamps, Temp, NCVT, More &amp; 69409 Line Splitter 10x</t>
        </is>
      </c>
      <c r="E5536" s="2">
        <f>HYPERLINK("https://www.amazon.com/Klein-Tools-Contrast-Microamps-Splitter/dp/B09T6ZV9PK/ref=sr_1_2?keywords=Klein+Tools+CL390+AC%2FDC+Digital+Clamp+Meter%2C+Auto-Ranging+400+Amp&amp;qid=1694735129&amp;sr=8-2", "https://www.amazon.com/Klein-Tools-Contrast-Microamps-Splitter/dp/B09T6ZV9PK/ref=sr_1_2?keywords=Klein+Tools+CL390+AC%2FDC+Digital+Clamp+Meter%2C+Auto-Ranging+400+Amp&amp;qid=1694735129&amp;sr=8-2")</f>
        <v/>
      </c>
      <c r="F5536" t="inlineStr">
        <is>
          <t>B09T6ZV9PK</t>
        </is>
      </c>
      <c r="G5536">
        <f>_xlfn.IMAGE("https://edmondsonsupply.com/cdn/shop/products/cl390.jpg?v=1662670722")</f>
        <v/>
      </c>
      <c r="H5536">
        <f>_xlfn.IMAGE("https://m.media-amazon.com/images/I/51UrkmUoeML._AC_UY218_.jpg")</f>
        <v/>
      </c>
      <c r="K5536" t="inlineStr">
        <is>
          <t>99.97</t>
        </is>
      </c>
      <c r="L5536" t="n">
        <v>114.93</v>
      </c>
      <c r="M5536" s="1" t="inlineStr">
        <is>
          <t>14.96%</t>
        </is>
      </c>
      <c r="N5536" s="7" t="n">
        <v>94.43000000000001</v>
      </c>
      <c r="O5536" t="n">
        <v>5</v>
      </c>
      <c r="P5536" t="n">
        <v>3</v>
      </c>
      <c r="R5536" t="inlineStr">
        <is>
          <t>InStock</t>
        </is>
      </c>
      <c r="S5536" t="inlineStr">
        <is>
          <t>133.3</t>
        </is>
      </c>
      <c r="T5536" t="inlineStr">
        <is>
          <t>7809430585560</t>
        </is>
      </c>
    </row>
    <row r="5537" hidden="1" ht="15.75" customHeight="1">
      <c r="A5537" s="2">
        <f>HYPERLINK("https://edmondsonsupply.com/collections/electricians-tools/products/diablo-tools-dmamx1220", "https://edmondsonsupply.com/collections/electricians-tools/products/diablo-tools-dmamx1220")</f>
        <v/>
      </c>
      <c r="B5537" s="2">
        <f>HYPERLINK("https://edmondsonsupply.com/products/diablo-tools-dmamx1220", "https://edmondsonsupply.com/products/diablo-tools-dmamx1220")</f>
        <v/>
      </c>
      <c r="C5537" t="inlineStr">
        <is>
          <t>Diablo Tools DMAMX1220 1 in. x 16 in. x 21 in. Rebar Demon™ SDS-Max 4-Cutter Full Carbide Head Hammer Drill Bit</t>
        </is>
      </c>
      <c r="D5537" t="inlineStr">
        <is>
          <t>Diablo DMAMX1180 7/8 in. x 16 in. x 21 in. Rebar Demon™ SDS-Max 4-Cutter Full Carbide Head Hammer Bit</t>
        </is>
      </c>
      <c r="E5537" s="2">
        <f>HYPERLINK("https://www.amazon.com/Diablo-SDS-Max-4-Cutter-Carbide-Hammer/dp/B089KWFF8B/ref=sr_1_3?keywords=Diablo+Tools+DMAMX1220+1+in.+x+16+in.+x+21+in.+Rebar+Demon%E2%84%A2+SDS-Max+4-Cutter+Full+Carbide+Head+Hammer+Drill+Bit&amp;qid=1694735075&amp;sr=8-3", "https://www.amazon.com/Diablo-SDS-Max-4-Cutter-Carbide-Hammer/dp/B089KWFF8B/ref=sr_1_3?keywords=Diablo+Tools+DMAMX1220+1+in.+x+16+in.+x+21+in.+Rebar+Demon%E2%84%A2+SDS-Max+4-Cutter+Full+Carbide+Head+Hammer+Drill+Bit&amp;qid=1694735075&amp;sr=8-3")</f>
        <v/>
      </c>
      <c r="F5537" t="inlineStr">
        <is>
          <t>B089KWFF8B</t>
        </is>
      </c>
      <c r="G5537">
        <f>_xludf.IMAGE("https://edmondsonsupply.com/cdn/shop/products/immoyh7jjmbau4fzhuq6.webp?v=1670431066")</f>
        <v/>
      </c>
      <c r="H5537">
        <f>_xludf.IMAGE("https://m.media-amazon.com/images/I/611fTcYRNFL._AC_UL320_.jpg")</f>
        <v/>
      </c>
      <c r="K5537" t="inlineStr">
        <is>
          <t>45.69</t>
        </is>
      </c>
      <c r="L5537" t="n">
        <v>52.51</v>
      </c>
      <c r="M5537" s="1" t="inlineStr">
        <is>
          <t>14.93%</t>
        </is>
      </c>
      <c r="N5537" s="1" t="n">
        <v>94.28</v>
      </c>
      <c r="O5537" t="n">
        <v>3.5</v>
      </c>
      <c r="P5537" t="n">
        <v>3</v>
      </c>
      <c r="R5537" t="inlineStr">
        <is>
          <t>InStock</t>
        </is>
      </c>
      <c r="S5537" t="inlineStr">
        <is>
          <t>70.58</t>
        </is>
      </c>
      <c r="T5537" t="inlineStr">
        <is>
          <t>7900195356888</t>
        </is>
      </c>
    </row>
    <row r="5538" ht="87" customHeight="1">
      <c r="A5538" s="2">
        <f>HYPERLINK("https://edmondsonsupply.com/collections/electricians-tools/products/channellock-317", "https://edmondsonsupply.com/collections/electricians-tools/products/channellock-317")</f>
        <v/>
      </c>
      <c r="B5538" s="2">
        <f>HYPERLINK("https://edmondsonsupply.com/products/channellock-317", "https://edmondsonsupply.com/products/channellock-317")</f>
        <v/>
      </c>
      <c r="C5538" t="inlineStr">
        <is>
          <t>Channellock 317 8-Inch Long Nose Pliers with Side Cutter</t>
        </is>
      </c>
      <c r="D5538" t="inlineStr">
        <is>
          <t>KNIPEX Tools - Long Nose Pliers With Cutter, Multi-Component (2612200), Multi-Colour, 8 inches</t>
        </is>
      </c>
      <c r="E5538" s="2">
        <f>HYPERLINK("https://www.amazon.com/KNIPEX-Tools-Multi-Component-2612200-Multi-Colour/dp/B000X4MOVG/ref=sr_1_19?keywords=Channellock+317+8-Inch+Long+Nose+Pliers+with+Side+Cutter&amp;qid=1694735322&amp;sr=8-19", "https://www.amazon.com/KNIPEX-Tools-Multi-Component-2612200-Multi-Colour/dp/B000X4MOVG/ref=sr_1_19?keywords=Channellock+317+8-Inch+Long+Nose+Pliers+with+Side+Cutter&amp;qid=1694735322&amp;sr=8-19")</f>
        <v/>
      </c>
      <c r="F5538" t="inlineStr">
        <is>
          <t>B000X4MOVG</t>
        </is>
      </c>
      <c r="G5538">
        <f>_xlfn.IMAGE("https://edmondsonsupply.com/cdn/shop/products/317-683x1024.jpg?v=1633030326")</f>
        <v/>
      </c>
      <c r="H5538">
        <f>_xlfn.IMAGE("https://m.media-amazon.com/images/I/71S2IlnkHeL._AC_UL320_.jpg")</f>
        <v/>
      </c>
      <c r="K5538" t="inlineStr">
        <is>
          <t>24.95</t>
        </is>
      </c>
      <c r="L5538" t="n">
        <v>28.67</v>
      </c>
      <c r="M5538" s="1" t="inlineStr">
        <is>
          <t>14.91%</t>
        </is>
      </c>
      <c r="N5538" s="7" t="n">
        <v>93.27</v>
      </c>
      <c r="O5538" t="n">
        <v>4.8</v>
      </c>
      <c r="P5538" t="n">
        <v>2577</v>
      </c>
      <c r="R5538" t="inlineStr">
        <is>
          <t>InStock</t>
        </is>
      </c>
      <c r="S5538" t="inlineStr">
        <is>
          <t>35.15</t>
        </is>
      </c>
      <c r="T5538" t="inlineStr">
        <is>
          <t>5247343526056</t>
        </is>
      </c>
    </row>
    <row r="5539" ht="87" customHeight="1">
      <c r="A5539" s="2">
        <f>HYPERLINK("https://edmondsonsupply.com/collections/electricians-tools/products/diablo-tools-dmamx1040", "https://edmondsonsupply.com/collections/electricians-tools/products/diablo-tools-dmamx1040")</f>
        <v/>
      </c>
      <c r="B5539" s="2">
        <f>HYPERLINK("https://edmondsonsupply.com/products/diablo-tools-dmamx1040", "https://edmondsonsupply.com/products/diablo-tools-dmamx1040")</f>
        <v/>
      </c>
      <c r="C5539" t="inlineStr">
        <is>
          <t>Diablo Tools DMAMX1040 1/2 in. x 24 in. x 29 in. Rebar Demon SDS-Max 4-Cutter Full Carbide Head Hammer Bit</t>
        </is>
      </c>
      <c r="D5539" t="inlineStr">
        <is>
          <t>Diablo by Freud DMAMX1040 1/2 in. x 24 in. x 29 in. Rebar Demon™ SDS-Max 4-Cutter Full Carbide Head</t>
        </is>
      </c>
      <c r="E5539" s="2">
        <f>HYPERLINK("https://www.amazon.com/Diablo-SDS-Max-4-Cutter-Carbide-Hammer/dp/B089LG76YL/ref=sr_1_1?keywords=Diablo+Tools+DMAMX1040+1%2F2+in.+x+24+in.+x+29+in.+Rebar+Demon+SDS-Max+4-Cutter+Full+Carbide+Head+Hammer+Bit&amp;qid=1694735295&amp;sr=8-1", "https://www.amazon.com/Diablo-SDS-Max-4-Cutter-Carbide-Hammer/dp/B089LG76YL/ref=sr_1_1?keywords=Diablo+Tools+DMAMX1040+1%2F2+in.+x+24+in.+x+29+in.+Rebar+Demon+SDS-Max+4-Cutter+Full+Carbide+Head+Hammer+Bit&amp;qid=1694735295&amp;sr=8-1")</f>
        <v/>
      </c>
      <c r="F5539" t="inlineStr">
        <is>
          <t>B089LG76YL</t>
        </is>
      </c>
      <c r="G5539">
        <f>_xlfn.IMAGE("https://edmondsonsupply.com/cdn/shop/products/DMAMX1040_Main-Image20200701.png?v=1633030363")</f>
        <v/>
      </c>
      <c r="H5539">
        <f>_xlfn.IMAGE("https://m.media-amazon.com/images/I/61Q8G2EXOxL._AC_UL320_.jpg")</f>
        <v/>
      </c>
      <c r="K5539" t="inlineStr">
        <is>
          <t>47.97</t>
        </is>
      </c>
      <c r="L5539" t="n">
        <v>55</v>
      </c>
      <c r="M5539" s="1" t="inlineStr">
        <is>
          <t>14.65%</t>
        </is>
      </c>
      <c r="N5539" s="7" t="n">
        <v>92.68000000000001</v>
      </c>
      <c r="O5539" t="n">
        <v>5</v>
      </c>
      <c r="P5539" t="n">
        <v>9</v>
      </c>
      <c r="R5539" t="inlineStr">
        <is>
          <t>InStock</t>
        </is>
      </c>
      <c r="S5539" t="inlineStr">
        <is>
          <t>72.46</t>
        </is>
      </c>
      <c r="T5539" t="inlineStr">
        <is>
          <t>5289126527144</t>
        </is>
      </c>
    </row>
    <row r="5540" hidden="1" ht="15.75" customHeight="1">
      <c r="A5540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5540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5540" t="inlineStr">
        <is>
          <t>Klein Tools JTH9E13 1/4-Inch Hex Key with Journeyman T-Handle, 9-Inch</t>
        </is>
      </c>
      <c r="D5540" t="inlineStr">
        <is>
          <t>Klein Tools JTH9E14 5/16-Inch Hex Key, Journeyman T-Handle, 9-Inch</t>
        </is>
      </c>
      <c r="E5540" s="2">
        <f>HYPERLINK("https://www.amazon.com/Journeyman-T-Handle-Klein-Tools-JTH9E14/dp/B004QVAH4I/ref=sr_1_4?keywords=Klein+Tools+JTH9E13+1%2F4-Inch+Hex+Key+with+Journeyman+T-Handle%2C+9-Inch&amp;qid=1694735245&amp;sr=8-4", "https://www.amazon.com/Journeyman-T-Handle-Klein-Tools-JTH9E14/dp/B004QVAH4I/ref=sr_1_4?keywords=Klein+Tools+JTH9E13+1%2F4-Inch+Hex+Key+with+Journeyman+T-Handle%2C+9-Inch&amp;qid=1694735245&amp;sr=8-4")</f>
        <v/>
      </c>
      <c r="F5540" t="inlineStr">
        <is>
          <t>B004QVAH4I</t>
        </is>
      </c>
      <c r="G5540">
        <f>_xludf.IMAGE("https://edmondsonsupply.com/cdn/shop/products/jth9e12_7dcdbf9a-5acd-4824-8919-6aeb4a790072.jpg?v=1604060723")</f>
        <v/>
      </c>
      <c r="H5540">
        <f>_xludf.IMAGE("https://m.media-amazon.com/images/I/51Yb8h41vLL._AC_UL320_.jpg")</f>
        <v/>
      </c>
      <c r="K5540" t="inlineStr">
        <is>
          <t>6.49</t>
        </is>
      </c>
      <c r="L5540" t="n">
        <v>7.44</v>
      </c>
      <c r="M5540" s="1" t="inlineStr">
        <is>
          <t>14.64%</t>
        </is>
      </c>
      <c r="N5540" s="1" t="n">
        <v>92.58</v>
      </c>
      <c r="O5540" t="n">
        <v>4.8</v>
      </c>
      <c r="P5540" t="n">
        <v>114</v>
      </c>
      <c r="R5540" t="inlineStr">
        <is>
          <t>InStock</t>
        </is>
      </c>
      <c r="S5540" t="inlineStr">
        <is>
          <t>9.84</t>
        </is>
      </c>
      <c r="T5540" t="inlineStr">
        <is>
          <t>5999069462696</t>
        </is>
      </c>
    </row>
    <row r="5541" ht="87" customHeight="1">
      <c r="A5541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5541" s="2">
        <f>HYPERLINK("https://edmondsonsupply.com/products/klein-tools-j203-8-pliers-needle-nose-side-cutters-8-inch", "https://edmondsonsupply.com/products/klein-tools-j203-8-pliers-needle-nose-side-cutters-8-inch")</f>
        <v/>
      </c>
      <c r="C5541" t="inlineStr">
        <is>
          <t>Klein Tools J203-8 Pliers, Needle Nose Side-Cutters, 8-Inch</t>
        </is>
      </c>
      <c r="D5541" t="inlineStr">
        <is>
          <t>Klein Tools J2138NE Pliers, 8-Inch Side Cutters, High Leverage Lineman's Pliers Cut Copper, Aluminum and other Soft Metals</t>
        </is>
      </c>
      <c r="E5541" s="2">
        <f>HYPERLINK("https://www.amazon.com/Klein-Tools-J2138NE-Journeyman-Leverage/dp/B002LNR3KE/ref=sr_1_17?keywords=Klein+Tools+J203-8+Pliers%2C+Needle+Nose+Side-Cutters%2C+8-Inch&amp;qid=1694735171&amp;sr=8-17", "https://www.amazon.com/Klein-Tools-J2138NE-Journeyman-Leverage/dp/B002LNR3KE/ref=sr_1_17?keywords=Klein+Tools+J203-8+Pliers%2C+Needle+Nose+Side-Cutters%2C+8-Inch&amp;qid=1694735171&amp;sr=8-17")</f>
        <v/>
      </c>
      <c r="F5541" t="inlineStr">
        <is>
          <t>B002LNR3KE</t>
        </is>
      </c>
      <c r="G5541">
        <f>_xlfn.IMAGE("https://edmondsonsupply.com/cdn/shop/products/j2038.jpg?v=1644709677")</f>
        <v/>
      </c>
      <c r="H5541">
        <f>_xlfn.IMAGE("https://m.media-amazon.com/images/I/51YYIBtCqjL._AC_UL320_.jpg")</f>
        <v/>
      </c>
      <c r="K5541" t="inlineStr">
        <is>
          <t>38.49</t>
        </is>
      </c>
      <c r="L5541" t="n">
        <v>44.11</v>
      </c>
      <c r="M5541" s="1" t="inlineStr">
        <is>
          <t>14.60%</t>
        </is>
      </c>
      <c r="N5541" s="7" t="n">
        <v>92.34</v>
      </c>
      <c r="O5541" t="n">
        <v>4.6</v>
      </c>
      <c r="P5541" t="n">
        <v>46</v>
      </c>
      <c r="R5541" t="inlineStr">
        <is>
          <t>InStock</t>
        </is>
      </c>
      <c r="S5541" t="inlineStr">
        <is>
          <t>58.32</t>
        </is>
      </c>
      <c r="T5541" t="inlineStr">
        <is>
          <t>7606180249816</t>
        </is>
      </c>
    </row>
    <row r="5542" ht="87" customHeight="1">
      <c r="A5542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542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542" t="inlineStr">
        <is>
          <t>Klein Tools D228-8 Diagonal Cutting Pliers, High-Leverage, 8-Inch</t>
        </is>
      </c>
      <c r="D5542" t="inlineStr">
        <is>
          <t>Klein Tools J2000-28 Diagonal Cutting Pliers are Heavy-Duty High-Leverage Design, 8-Inch</t>
        </is>
      </c>
      <c r="E5542" s="2">
        <f>HYPERLINK("https://www.amazon.com/Journeyman-Diagonal-Klein-Tools-J2000-28/dp/B00093DY2O/ref=sr_1_7?keywords=Klein+Tools+D228-8+Diagonal+Cutting+Pliers%2C+High-Leverage%2C+8-Inch&amp;qid=1694735247&amp;sr=8-7", "https://www.amazon.com/Journeyman-Diagonal-Klein-Tools-J2000-28/dp/B00093DY2O/ref=sr_1_7?keywords=Klein+Tools+D228-8+Diagonal+Cutting+Pliers%2C+High-Leverage%2C+8-Inch&amp;qid=1694735247&amp;sr=8-7")</f>
        <v/>
      </c>
      <c r="F5542" t="inlineStr">
        <is>
          <t>B00093DY2O</t>
        </is>
      </c>
      <c r="G5542">
        <f>_xlfn.IMAGE("https://edmondsonsupply.com/cdn/shop/products/d2288.jpg?v=1633030753")</f>
        <v/>
      </c>
      <c r="H5542">
        <f>_xlfn.IMAGE("https://m.media-amazon.com/images/I/41gMQiPYMQL._AC_UL320_.jpg")</f>
        <v/>
      </c>
      <c r="K5542" t="inlineStr">
        <is>
          <t>29.97</t>
        </is>
      </c>
      <c r="L5542" t="n">
        <v>34.33</v>
      </c>
      <c r="M5542" s="1" t="inlineStr">
        <is>
          <t>14.55%</t>
        </is>
      </c>
      <c r="N5542" s="7" t="n">
        <v>90.61</v>
      </c>
      <c r="O5542" t="n">
        <v>4.6</v>
      </c>
      <c r="P5542" t="n">
        <v>101</v>
      </c>
      <c r="R5542" t="inlineStr">
        <is>
          <t>InStock</t>
        </is>
      </c>
      <c r="S5542" t="inlineStr">
        <is>
          <t>42.78</t>
        </is>
      </c>
      <c r="T5542" t="inlineStr">
        <is>
          <t>5896908472488</t>
        </is>
      </c>
    </row>
    <row r="5543" ht="87" customHeight="1">
      <c r="A5543" s="2">
        <f>HYPERLINK("https://edmondsonsupply.com/collections/electricians-tools/products/diablo-tools-dag3070-3-4-in-x-17-1-2-in-auger-bit", "https://edmondsonsupply.com/collections/electricians-tools/products/diablo-tools-dag3070-3-4-in-x-17-1-2-in-auger-bit")</f>
        <v/>
      </c>
      <c r="B5543" s="2">
        <f>HYPERLINK("https://edmondsonsupply.com/products/diablo-tools-dag3070-3-4-in-x-17-1-2-in-auger-bit", "https://edmondsonsupply.com/products/diablo-tools-dag3070-3-4-in-x-17-1-2-in-auger-bit")</f>
        <v/>
      </c>
      <c r="C5543" t="inlineStr">
        <is>
          <t>Diablo Tools DAG3070 3/4 in. x 17-1/2 in. Auger Bit</t>
        </is>
      </c>
      <c r="D5543" t="inlineStr">
        <is>
          <t>Diablo DAG3080 13/16 in. x 17-1/2 in. Auger Bit</t>
        </is>
      </c>
      <c r="E5543" s="2">
        <f>HYPERLINK("https://www.amazon.com/Diablo-13-17-1-Auger-Bit/dp/B089LMQM9W/ref=sr_1_14?keywords=Diablo+Tools+DAG3070+3%2F4+in.+x+17-1%2F2+in.+Auger+Bit&amp;qid=1694735067&amp;sr=8-14", "https://www.amazon.com/Diablo-13-17-1-Auger-Bit/dp/B089LMQM9W/ref=sr_1_14?keywords=Diablo+Tools+DAG3070+3%2F4+in.+x+17-1%2F2+in.+Auger+Bit&amp;qid=1694735067&amp;sr=8-14")</f>
        <v/>
      </c>
      <c r="F5543" t="inlineStr">
        <is>
          <t>B089LMQM9W</t>
        </is>
      </c>
      <c r="G5543">
        <f>_xlfn.IMAGE("https://edmondsonsupply.com/cdn/shop/products/ljatbudptj8xmo1m7sg7.webp?v=1669994151")</f>
        <v/>
      </c>
      <c r="H5543">
        <f>_xlfn.IMAGE("https://m.media-amazon.com/images/I/61p0PSz-tWL._AC_UL320_.jpg")</f>
        <v/>
      </c>
      <c r="K5543" t="inlineStr">
        <is>
          <t>23.99</t>
        </is>
      </c>
      <c r="L5543" t="n">
        <v>27.48</v>
      </c>
      <c r="M5543" s="1" t="inlineStr">
        <is>
          <t>14.55%</t>
        </is>
      </c>
      <c r="N5543" s="7" t="n">
        <v>90.61</v>
      </c>
      <c r="O5543" t="n">
        <v>4.1</v>
      </c>
      <c r="P5543" t="n">
        <v>8</v>
      </c>
      <c r="R5543" t="inlineStr">
        <is>
          <t>InStock</t>
        </is>
      </c>
      <c r="S5543" t="inlineStr">
        <is>
          <t>32.3</t>
        </is>
      </c>
      <c r="T5543" t="inlineStr">
        <is>
          <t>7897497960664</t>
        </is>
      </c>
    </row>
    <row r="5544" ht="87" customHeight="1">
      <c r="A5544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544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544" t="inlineStr">
        <is>
          <t>Klein Tools D228-8 Diagonal Cutting Pliers, High-Leverage, 8-Inch</t>
        </is>
      </c>
      <c r="D5544" t="inlineStr">
        <is>
          <t>Klein Tools D248-9STT Pliers, Ironworker's Diagonal Cutting Pliers with High-Leverage Design ad Split Ring for Tethering, 9-Inch</t>
        </is>
      </c>
      <c r="E5544" s="2">
        <f>HYPERLINK("https://www.amazon.com/Diagonal-Cutting-Klein-Tools-D248-9STT/dp/B01K76UYUW/ref=sr_1_18?keywords=Klein+Tools+D228-8+Diagonal+Cutting+Pliers%2C+High-Leverage%2C+8-Inch&amp;qid=1694735247&amp;sr=8-18", "https://www.amazon.com/Diagonal-Cutting-Klein-Tools-D248-9STT/dp/B01K76UYUW/ref=sr_1_18?keywords=Klein+Tools+D228-8+Diagonal+Cutting+Pliers%2C+High-Leverage%2C+8-Inch&amp;qid=1694735247&amp;sr=8-18")</f>
        <v/>
      </c>
      <c r="F5544" t="inlineStr">
        <is>
          <t>B01K76UYUW</t>
        </is>
      </c>
      <c r="G5544">
        <f>_xlfn.IMAGE("https://edmondsonsupply.com/cdn/shop/products/d2288.jpg?v=1633030753")</f>
        <v/>
      </c>
      <c r="H5544">
        <f>_xlfn.IMAGE("https://m.media-amazon.com/images/I/31gRx3nZM-L._AC_UL320_.jpg")</f>
        <v/>
      </c>
      <c r="K5544" t="inlineStr">
        <is>
          <t>29.97</t>
        </is>
      </c>
      <c r="L5544" t="n">
        <v>34.29</v>
      </c>
      <c r="M5544" s="1" t="inlineStr">
        <is>
          <t>14.41%</t>
        </is>
      </c>
      <c r="N5544" s="7" t="n">
        <v>90.61</v>
      </c>
      <c r="O5544" t="n">
        <v>4.7</v>
      </c>
      <c r="P5544" t="n">
        <v>157</v>
      </c>
      <c r="R5544" t="inlineStr">
        <is>
          <t>InStock</t>
        </is>
      </c>
      <c r="S5544" t="inlineStr">
        <is>
          <t>42.78</t>
        </is>
      </c>
      <c r="T5544" t="inlineStr">
        <is>
          <t>5896908472488</t>
        </is>
      </c>
    </row>
    <row r="5545" hidden="1" ht="15.75" customHeight="1">
      <c r="A5545" s="2">
        <f>HYPERLINK("https://edmondsonsupply.com/collections/electricians-tools/products/greenlee-k2bb-1-2-1-2-conduit-size-slug-buster%C2%AE-manual-knockout-set", "https://edmondsonsupply.com/collections/electricians-tools/products/greenlee-k2bb-1-2-1-2-conduit-size-slug-buster%C2%AE-manual-knockout-set")</f>
        <v/>
      </c>
      <c r="B5545" s="2">
        <f>HYPERLINK("https://edmondsonsupply.com/products/greenlee-k2bb-1-2-1-2-conduit-size-slug-buster%c2%ae-manual-knockout-set", "https://edmondsonsupply.com/products/greenlee-k2bb-1-2-1-2-conduit-size-slug-buster%c2%ae-manual-knockout-set")</f>
        <v/>
      </c>
      <c r="C5545" t="inlineStr">
        <is>
          <t>Greenlee K2BB-1/2 1/2" Conduit Size Slug-Buster® Manual Knockout Set</t>
        </is>
      </c>
      <c r="D5545" t="inlineStr">
        <is>
          <t>Greenlee, K2BB-1/2 replaces 60246, 1/2" Conduit Size Slug-Buster Manual Knockout Set</t>
        </is>
      </c>
      <c r="E5545" s="2">
        <f>HYPERLINK("https://www.amazon.com/Greenlee-K2BB-1-2-KNOCKOUT-SET/dp/B07Y5TWM7M/ref=sr_1_1?keywords=Greenlee+K2BB-1%2F2+1%2F2%22+Conduit+Size+Slug-Buster%C2%AE+Manual+Knockout+Set&amp;qid=1694735363&amp;sr=8-1", "https://www.amazon.com/Greenlee-K2BB-1-2-KNOCKOUT-SET/dp/B07Y5TWM7M/ref=sr_1_1?keywords=Greenlee+K2BB-1%2F2+1%2F2%22+Conduit+Size+Slug-Buster%C2%AE+Manual+Knockout+Set&amp;qid=1694735363&amp;sr=8-1")</f>
        <v/>
      </c>
      <c r="F5545" t="inlineStr">
        <is>
          <t>B07Y5TWM7M</t>
        </is>
      </c>
      <c r="G5545">
        <f>_xludf.IMAGE("https://edmondsonsupply.com/cdn/shop/products/K2BB-1-2-ASM.jpg?v=1587143891")</f>
        <v/>
      </c>
      <c r="H5545">
        <f>_xludf.IMAGE("https://m.media-amazon.com/images/I/51TtbjBnjXL._AC_UL320_.jpg")</f>
        <v/>
      </c>
      <c r="K5545" t="inlineStr">
        <is>
          <t>49.8</t>
        </is>
      </c>
      <c r="L5545" t="n">
        <v>56.97</v>
      </c>
      <c r="M5545" s="1" t="inlineStr">
        <is>
          <t>14.40%</t>
        </is>
      </c>
      <c r="N5545" s="1" t="n">
        <v>90.52</v>
      </c>
      <c r="O5545" t="n">
        <v>3.7</v>
      </c>
      <c r="P5545" t="n">
        <v>6</v>
      </c>
      <c r="R5545" t="inlineStr">
        <is>
          <t>InStock</t>
        </is>
      </c>
      <c r="S5545" t="inlineStr">
        <is>
          <t>52.7</t>
        </is>
      </c>
      <c r="T5545" t="inlineStr">
        <is>
          <t>4431353774180</t>
        </is>
      </c>
    </row>
    <row r="5546" ht="87" customHeight="1">
      <c r="A5546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5546" s="2">
        <f>HYPERLINK("https://edmondsonsupply.com/products/klein-tools-d2000-48-diagonal-cutting-pliers-angled-head-8-inch", "https://edmondsonsupply.com/products/klein-tools-d2000-48-diagonal-cutting-pliers-angled-head-8-inch")</f>
        <v/>
      </c>
      <c r="C5546" t="inlineStr">
        <is>
          <t>Klein Tools D2000-48 Diagonal Cutting Pliers, Angled Head, 8-Inch</t>
        </is>
      </c>
      <c r="D5546" t="inlineStr">
        <is>
          <t>Klein Tools J2000-48 Pliers, Diagonal Cutting Pliers with Angled Head, Heavy-Duty to Cut ACSR, Screws, Nails, and most Hardened Wire, 8-Inch</t>
        </is>
      </c>
      <c r="E5546" s="2">
        <f>HYPERLINK("https://www.amazon.com/Klein-Tools-J2000-48-Diagonal-Cutters/dp/B0006M6Y8O/ref=sr_1_3?keywords=Klein+Tools+D2000-48+Diagonal+Cutting+Pliers%2C+Angled+Head%2C+8-Inch&amp;qid=1694735135&amp;sr=8-3", "https://www.amazon.com/Klein-Tools-J2000-48-Diagonal-Cutters/dp/B0006M6Y8O/ref=sr_1_3?keywords=Klein+Tools+D2000-48+Diagonal+Cutting+Pliers%2C+Angled+Head%2C+8-Inch&amp;qid=1694735135&amp;sr=8-3")</f>
        <v/>
      </c>
      <c r="F5546" t="inlineStr">
        <is>
          <t>B0006M6Y8O</t>
        </is>
      </c>
      <c r="G5546">
        <f>_xlfn.IMAGE("https://edmondsonsupply.com/cdn/shop/products/d200048.jpg?v=1660920588")</f>
        <v/>
      </c>
      <c r="H5546">
        <f>_xlfn.IMAGE("https://m.media-amazon.com/images/I/41ZnJLE+YFL._AC_UL320_.jpg")</f>
        <v/>
      </c>
      <c r="K5546" t="inlineStr">
        <is>
          <t>34.97</t>
        </is>
      </c>
      <c r="L5546" t="n">
        <v>39.99</v>
      </c>
      <c r="M5546" s="1" t="inlineStr">
        <is>
          <t>14.36%</t>
        </is>
      </c>
      <c r="N5546" s="7" t="n">
        <v>90.48999999999999</v>
      </c>
      <c r="O5546" t="n">
        <v>4.8</v>
      </c>
      <c r="P5546" t="n">
        <v>1553</v>
      </c>
      <c r="R5546" t="inlineStr">
        <is>
          <t>InStock</t>
        </is>
      </c>
      <c r="S5546" t="inlineStr">
        <is>
          <t>49.78</t>
        </is>
      </c>
      <c r="T5546" t="inlineStr">
        <is>
          <t>7786125164760</t>
        </is>
      </c>
    </row>
    <row r="5547" hidden="1" ht="15.75" customHeight="1">
      <c r="A5547" s="2">
        <f>HYPERLINK("https://edmondsonsupply.com/collections/electricians-tools/products/fluke-t6-600", "https://edmondsonsupply.com/collections/electricians-tools/products/fluke-t6-600")</f>
        <v/>
      </c>
      <c r="B5547" s="2">
        <f>HYPERLINK("https://edmondsonsupply.com/products/fluke-t6-600", "https://edmondsonsupply.com/products/fluke-t6-600")</f>
        <v/>
      </c>
      <c r="C5547" t="inlineStr">
        <is>
          <t>Fluke T6-600 Electrical Tester with FieldSense Technology, 600V</t>
        </is>
      </c>
      <c r="D5547" t="inlineStr">
        <is>
          <t>Fluke T6-1000 Electrical Tester with FieldSense Technology, Measure Voltage Without Test Leads with Non-Contact Voltage Tester</t>
        </is>
      </c>
      <c r="E5547" s="2">
        <f>HYPERLINK("https://www.amazon.com/Fluke-Electrical-FieldSense-Technology-Non-Contact/dp/B07JGGGDW1/ref=sr_1_2?keywords=Fluke+T6-600+Electrical+Tester+with+FieldSense+Technology%2C+600V&amp;qid=1694735311&amp;sr=8-2", "https://www.amazon.com/Fluke-Electrical-FieldSense-Technology-Non-Contact/dp/B07JGGGDW1/ref=sr_1_2?keywords=Fluke+T6-600+Electrical+Tester+with+FieldSense+Technology%2C+600V&amp;qid=1694735311&amp;sr=8-2")</f>
        <v/>
      </c>
      <c r="F5547" t="inlineStr">
        <is>
          <t>B07JGGGDW1</t>
        </is>
      </c>
      <c r="G5547">
        <f>_xludf.IMAGE("https://edmondsonsupply.com/cdn/shop/products/t6600.jpg?v=1633030275")</f>
        <v/>
      </c>
      <c r="H5547">
        <f>_xludf.IMAGE("https://m.media-amazon.com/images/I/51eddPXQWKL._AC_UL320_.jpg")</f>
        <v/>
      </c>
      <c r="K5547" t="inlineStr">
        <is>
          <t>229.99</t>
        </is>
      </c>
      <c r="L5547" t="n">
        <v>262.98</v>
      </c>
      <c r="M5547" s="1" t="inlineStr">
        <is>
          <t>14.34%</t>
        </is>
      </c>
      <c r="N5547" s="1" t="n">
        <v>90.09</v>
      </c>
      <c r="O5547" t="n">
        <v>3.9</v>
      </c>
      <c r="P5547" t="n">
        <v>5</v>
      </c>
      <c r="R5547" t="inlineStr">
        <is>
          <t>InStock</t>
        </is>
      </c>
      <c r="S5547" t="inlineStr">
        <is>
          <t>249.99</t>
        </is>
      </c>
      <c r="T5547" t="inlineStr">
        <is>
          <t>5238371483816</t>
        </is>
      </c>
    </row>
    <row r="5548" hidden="1" ht="15.75" customHeight="1">
      <c r="A5548" s="2">
        <f>HYPERLINK("https://edmondsonsupply.com/collections/electricians-tools/products/klein-tools-86600-1-4-inch-magnetic-hex-drivers-3-pack", "https://edmondsonsupply.com/collections/electricians-tools/products/klein-tools-86600-1-4-inch-magnetic-hex-drivers-3-pack")</f>
        <v/>
      </c>
      <c r="B5548" s="2">
        <f>HYPERLINK("https://edmondsonsupply.com/products/klein-tools-86600-1-4-inch-magnetic-hex-drivers-3-pack", "https://edmondsonsupply.com/products/klein-tools-86600-1-4-inch-magnetic-hex-drivers-3-pack")</f>
        <v/>
      </c>
      <c r="C5548" t="inlineStr">
        <is>
          <t>Klein Tools 86600 1/4-Inch Magnetic Hex Drivers, 3-Pack</t>
        </is>
      </c>
      <c r="D5548" t="inlineStr">
        <is>
          <t>Klein Tools 32792 Pro Impact Driver Bit, 1/4-Inch Hex 3 Pack</t>
        </is>
      </c>
      <c r="E5548" s="2">
        <f>HYPERLINK("https://www.amazon.com/Klein-Tools-32792-Impact-Driver/dp/B07RGVMK47/ref=sr_1_2?keywords=Klein+Tools+86600+1%2F4-Inch+Magnetic+Hex+Drivers%2C+3-Pack&amp;qid=1694735168&amp;sr=8-2", "https://www.amazon.com/Klein-Tools-32792-Impact-Driver/dp/B07RGVMK47/ref=sr_1_2?keywords=Klein+Tools+86600+1%2F4-Inch+Magnetic+Hex+Drivers%2C+3-Pack&amp;qid=1694735168&amp;sr=8-2")</f>
        <v/>
      </c>
      <c r="F5548" t="inlineStr">
        <is>
          <t>B07RGVMK47</t>
        </is>
      </c>
      <c r="G5548">
        <f>_xludf.IMAGE("https://edmondsonsupply.com/cdn/shop/products/86600.png?v=1645569632")</f>
        <v/>
      </c>
      <c r="H5548">
        <f>_xludf.IMAGE("https://m.media-amazon.com/images/I/51JzG4GF5wL._AC_UL320_.jpg")</f>
        <v/>
      </c>
      <c r="K5548" t="inlineStr">
        <is>
          <t>6.99</t>
        </is>
      </c>
      <c r="L5548" t="n">
        <v>7.99</v>
      </c>
      <c r="M5548" s="1" t="inlineStr">
        <is>
          <t>14.31%</t>
        </is>
      </c>
      <c r="N5548" s="1" t="n">
        <v>88.98999999999999</v>
      </c>
      <c r="O5548" t="n">
        <v>4.6</v>
      </c>
      <c r="P5548" t="n">
        <v>130</v>
      </c>
      <c r="R5548" t="inlineStr">
        <is>
          <t>InStock</t>
        </is>
      </c>
      <c r="S5548" t="inlineStr">
        <is>
          <t>10.6</t>
        </is>
      </c>
      <c r="T5548" t="inlineStr">
        <is>
          <t>7614370054360</t>
        </is>
      </c>
    </row>
    <row r="5549" ht="87" customHeight="1">
      <c r="A5549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5549" s="2">
        <f>HYPERLINK("https://edmondsonsupply.com/products/klein-tools-d2000-48-diagonal-cutting-pliers-angled-head-8-inch", "https://edmondsonsupply.com/products/klein-tools-d2000-48-diagonal-cutting-pliers-angled-head-8-inch")</f>
        <v/>
      </c>
      <c r="C5549" t="inlineStr">
        <is>
          <t>Klein Tools D2000-48 Diagonal Cutting Pliers, Angled Head, 8-Inch</t>
        </is>
      </c>
      <c r="D5549" t="inlineStr">
        <is>
          <t>Klein Tools J248-8 Pliers, Diagonal Cutting Pliers with Angeled Head, Short Jaws, High-Leverage Design, 8-Inch</t>
        </is>
      </c>
      <c r="E5549" s="2">
        <f>HYPERLINK("https://www.amazon.com/Klein-Tools-J248-8-Diagonal-Cutters-Angled/dp/B000CRY52A/ref=sr_1_5?keywords=Klein+Tools+D2000-48+Diagonal+Cutting+Pliers%2C+Angled+Head%2C+8-Inch&amp;qid=1694735135&amp;sr=8-5", "https://www.amazon.com/Klein-Tools-J248-8-Diagonal-Cutters-Angled/dp/B000CRY52A/ref=sr_1_5?keywords=Klein+Tools+D2000-48+Diagonal+Cutting+Pliers%2C+Angled+Head%2C+8-Inch&amp;qid=1694735135&amp;sr=8-5")</f>
        <v/>
      </c>
      <c r="F5549" t="inlineStr">
        <is>
          <t>B000CRY52A</t>
        </is>
      </c>
      <c r="G5549">
        <f>_xlfn.IMAGE("https://edmondsonsupply.com/cdn/shop/products/d200048.jpg?v=1660920588")</f>
        <v/>
      </c>
      <c r="H5549">
        <f>_xlfn.IMAGE("https://m.media-amazon.com/images/I/51AWyzskD+L._AC_UL320_.jpg")</f>
        <v/>
      </c>
      <c r="K5549" t="inlineStr">
        <is>
          <t>34.97</t>
        </is>
      </c>
      <c r="L5549" t="n">
        <v>39.97</v>
      </c>
      <c r="M5549" s="1" t="inlineStr">
        <is>
          <t>14.30%</t>
        </is>
      </c>
      <c r="N5549" s="7" t="n">
        <v>86.31999999999999</v>
      </c>
      <c r="O5549" t="n">
        <v>4.9</v>
      </c>
      <c r="P5549" t="n">
        <v>488</v>
      </c>
      <c r="R5549" t="inlineStr">
        <is>
          <t>InStock</t>
        </is>
      </c>
      <c r="S5549" t="inlineStr">
        <is>
          <t>49.78</t>
        </is>
      </c>
      <c r="T5549" t="inlineStr">
        <is>
          <t>7786125164760</t>
        </is>
      </c>
    </row>
    <row r="5550" ht="87" customHeight="1">
      <c r="A5550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5550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5550" t="inlineStr">
        <is>
          <t>Klein Tools CL390 AC/DC Digital Clamp Meter, Auto-Ranging 400 Amp</t>
        </is>
      </c>
      <c r="D5550" t="inlineStr">
        <is>
          <t>Klein Tools CL800 Digital Clamp Meter, Autoranging TRMS, AC/DC Volt/Current, LoZ, Continuity, Frequency, Capacitance, NCVT, Temp, More 1000V</t>
        </is>
      </c>
      <c r="E5550" s="2">
        <f>HYPERLINK("https://www.amazon.com/Auto-Ranging-Resistance-Klein-Tools-CL800/dp/B019CY4FB4/ref=sr_1_9?keywords=Klein+Tools+CL390+AC%2FDC+Digital+Clamp+Meter%2C+Auto-Ranging+400+Amp&amp;qid=1694735129&amp;sr=8-9", "https://www.amazon.com/Auto-Ranging-Resistance-Klein-Tools-CL800/dp/B019CY4FB4/ref=sr_1_9?keywords=Klein+Tools+CL390+AC%2FDC+Digital+Clamp+Meter%2C+Auto-Ranging+400+Amp&amp;qid=1694735129&amp;sr=8-9")</f>
        <v/>
      </c>
      <c r="F5550" t="inlineStr">
        <is>
          <t>B019CY4FB4</t>
        </is>
      </c>
      <c r="G5550">
        <f>_xlfn.IMAGE("https://edmondsonsupply.com/cdn/shop/products/cl390.jpg?v=1662670722")</f>
        <v/>
      </c>
      <c r="H5550">
        <f>_xlfn.IMAGE("https://m.media-amazon.com/images/I/71r1Y20w7VL._AC_UY218_.jpg")</f>
        <v/>
      </c>
      <c r="K5550" t="inlineStr">
        <is>
          <t>99.97</t>
        </is>
      </c>
      <c r="L5550" t="n">
        <v>114.21</v>
      </c>
      <c r="M5550" s="1" t="inlineStr">
        <is>
          <t>14.24%</t>
        </is>
      </c>
      <c r="N5550" s="7" t="n">
        <v>85.51000000000001</v>
      </c>
      <c r="O5550" t="n">
        <v>4.7</v>
      </c>
      <c r="P5550" t="n">
        <v>2294</v>
      </c>
      <c r="R5550" t="inlineStr">
        <is>
          <t>InStock</t>
        </is>
      </c>
      <c r="S5550" t="inlineStr">
        <is>
          <t>133.3</t>
        </is>
      </c>
      <c r="T5550" t="inlineStr">
        <is>
          <t>7809430585560</t>
        </is>
      </c>
    </row>
    <row r="5551" ht="87" customHeight="1">
      <c r="A5551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5551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5551" t="inlineStr">
        <is>
          <t>Klein Tools 600-6 5/16-Inch Keystone Screwdriver 6-Inch SQ Shank</t>
        </is>
      </c>
      <c r="D5551" t="inlineStr">
        <is>
          <t>Klein Tools K48 5/16-Inch Slotted Screw-Holding Flat Head Screwdriver with 8-Inch Round Shank and Comfordome Handle</t>
        </is>
      </c>
      <c r="E5551" s="2">
        <f>HYPERLINK("https://www.amazon.com/Screw-Holding-Screwdriver-Klein-Tools-K48/dp/B00093GCWI/ref=sr_1_41?keywords=Klein+Tools+600-6+5%2F16-Inch+Keystone+Screwdriver+6-Inch+SQ+Shank&amp;qid=1694735292&amp;sr=8-41", "https://www.amazon.com/Screw-Holding-Screwdriver-Klein-Tools-K48/dp/B00093GCWI/ref=sr_1_41?keywords=Klein+Tools+600-6+5%2F16-Inch+Keystone+Screwdriver+6-Inch+SQ+Shank&amp;qid=1694735292&amp;sr=8-41")</f>
        <v/>
      </c>
      <c r="F5551" t="inlineStr">
        <is>
          <t>B00093GCWI</t>
        </is>
      </c>
      <c r="G5551">
        <f>_xlfn.IMAGE("https://edmondsonsupply.com/cdn/shop/products/600-6.jpg?v=1633030381")</f>
        <v/>
      </c>
      <c r="H5551">
        <f>_xlfn.IMAGE("https://m.media-amazon.com/images/I/61A3V+ZpcRL._AC_UL320_.jpg")</f>
        <v/>
      </c>
      <c r="K5551" t="inlineStr">
        <is>
          <t>13.97</t>
        </is>
      </c>
      <c r="L5551" t="n">
        <v>15.94</v>
      </c>
      <c r="M5551" s="1" t="inlineStr">
        <is>
          <t>14.10%</t>
        </is>
      </c>
      <c r="N5551" s="7" t="n">
        <v>85.09</v>
      </c>
      <c r="O5551" t="n">
        <v>4.7</v>
      </c>
      <c r="P5551" t="n">
        <v>69</v>
      </c>
      <c r="R5551" t="inlineStr">
        <is>
          <t>InStock</t>
        </is>
      </c>
      <c r="S5551" t="inlineStr">
        <is>
          <t>18.5</t>
        </is>
      </c>
      <c r="T5551" t="inlineStr">
        <is>
          <t>5296722542760</t>
        </is>
      </c>
    </row>
    <row r="5552" ht="87" customHeight="1">
      <c r="A5552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5552" s="2">
        <f>HYPERLINK("https://edmondsonsupply.com/products/klein-tools-j203-8-pliers-needle-nose-side-cutters-8-inch", "https://edmondsonsupply.com/products/klein-tools-j203-8-pliers-needle-nose-side-cutters-8-inch")</f>
        <v/>
      </c>
      <c r="C5552" t="inlineStr">
        <is>
          <t>Klein Tools J203-8 Pliers, Needle Nose Side-Cutters, 8-Inch</t>
        </is>
      </c>
      <c r="D5552" t="inlineStr">
        <is>
          <t>Klein Tools D335-51/2C Linemans Pliers, Needle Nose Side Cutters, Spring Loaded, 5-Inch, Extra Slim</t>
        </is>
      </c>
      <c r="E5552" s="2">
        <f>HYPERLINK("https://www.amazon.com/Linemans-Klein-Tools-D335-51-2C/dp/B00093D500/ref=sr_1_9?keywords=Klein+Tools+J203-8+Pliers%2C+Needle+Nose+Side-Cutters%2C+8-Inch&amp;qid=1694735171&amp;sr=8-9", "https://www.amazon.com/Linemans-Klein-Tools-D335-51-2C/dp/B00093D500/ref=sr_1_9?keywords=Klein+Tools+J203-8+Pliers%2C+Needle+Nose+Side-Cutters%2C+8-Inch&amp;qid=1694735171&amp;sr=8-9")</f>
        <v/>
      </c>
      <c r="F5552" t="inlineStr">
        <is>
          <t>B00093D500</t>
        </is>
      </c>
      <c r="G5552">
        <f>_xlfn.IMAGE("https://edmondsonsupply.com/cdn/shop/products/j2038.jpg?v=1644709677")</f>
        <v/>
      </c>
      <c r="H5552">
        <f>_xlfn.IMAGE("https://m.media-amazon.com/images/I/41OK-XwWDzL._AC_UL320_.jpg")</f>
        <v/>
      </c>
      <c r="K5552" t="inlineStr">
        <is>
          <t>38.49</t>
        </is>
      </c>
      <c r="L5552" t="n">
        <v>43.89</v>
      </c>
      <c r="M5552" s="1" t="inlineStr">
        <is>
          <t>14.03%</t>
        </is>
      </c>
      <c r="N5552" s="7" t="n">
        <v>83.51000000000001</v>
      </c>
      <c r="O5552" t="n">
        <v>4.7</v>
      </c>
      <c r="P5552" t="n">
        <v>206</v>
      </c>
      <c r="R5552" t="inlineStr">
        <is>
          <t>InStock</t>
        </is>
      </c>
      <c r="S5552" t="inlineStr">
        <is>
          <t>58.32</t>
        </is>
      </c>
      <c r="T5552" t="inlineStr">
        <is>
          <t>7606180249816</t>
        </is>
      </c>
    </row>
    <row r="5553" hidden="1" ht="15.75" customHeight="1">
      <c r="A5553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5553" s="2">
        <f>HYPERLINK("https://edmondsonsupply.com/products/klein-tools-31922-bi-metal-hole-saw-1-3-8-inch", "https://edmondsonsupply.com/products/klein-tools-31922-bi-metal-hole-saw-1-3-8-inch")</f>
        <v/>
      </c>
      <c r="C5553" t="inlineStr">
        <is>
          <t>Klein Tools 31922 Bi-Metal Hole Saw, 1-3/8-Inch</t>
        </is>
      </c>
      <c r="D5553" t="inlineStr">
        <is>
          <t>Dribotway 60mm 2-3/8 inch Hole Saw,Bi-Metal Hole Saw with Heavy Duty Arbor,1 Drill Bits,1.25IN Cutting Deep, Hole Drilling Cutter for Wood,Metal,Plastic,Plywood,PVC,Fiberboard &amp; Thin Metal</t>
        </is>
      </c>
      <c r="E5553" s="2">
        <f>HYPERLINK("https://www.amazon.com/Dribotway-Bi-Metal-Cutting-Drilling-Fiberboard/dp/B093LN4CC9/ref=sr_1_46?keywords=Klein+Tools+31922+Bi-Metal+Hole+Saw%2C+1-3%2F8-Inch&amp;qid=1694735176&amp;sr=8-46", "https://www.amazon.com/Dribotway-Bi-Metal-Cutting-Drilling-Fiberboard/dp/B093LN4CC9/ref=sr_1_46?keywords=Klein+Tools+31922+Bi-Metal+Hole+Saw%2C+1-3%2F8-Inch&amp;qid=1694735176&amp;sr=8-46")</f>
        <v/>
      </c>
      <c r="F5553" t="inlineStr">
        <is>
          <t>B093LN4CC9</t>
        </is>
      </c>
      <c r="G5553">
        <f>_xludf.IMAGE("https://edmondsonsupply.com/cdn/shop/products/31922.jpg?v=1663943738")</f>
        <v/>
      </c>
      <c r="H5553">
        <f>_xludf.IMAGE("https://m.media-amazon.com/images/I/61iJOrO0VdS._AC_UL320_.jpg")</f>
        <v/>
      </c>
      <c r="K5553" t="inlineStr">
        <is>
          <t>9.99</t>
        </is>
      </c>
      <c r="L5553" t="n">
        <v>11.39</v>
      </c>
      <c r="M5553" s="1" t="inlineStr">
        <is>
          <t>14.01%</t>
        </is>
      </c>
      <c r="N5553" s="1" t="n">
        <v>82.22</v>
      </c>
      <c r="O5553" t="n">
        <v>4.4</v>
      </c>
      <c r="P5553" t="n">
        <v>344</v>
      </c>
      <c r="R5553" t="inlineStr">
        <is>
          <t>InStock</t>
        </is>
      </c>
      <c r="S5553" t="inlineStr">
        <is>
          <t>14.0</t>
        </is>
      </c>
      <c r="T5553" t="inlineStr">
        <is>
          <t>7827257819352</t>
        </is>
      </c>
    </row>
    <row r="5554" ht="87" customHeight="1">
      <c r="A5554" s="2">
        <f>HYPERLINK("https://edmondsonsupply.com/collections/electricians-tools/products/klein-tools-vdv512-110-remote-kit-for-coax-explorer%C2%AE-tester", "https://edmondsonsupply.com/collections/electricians-tools/products/klein-tools-vdv512-110-remote-kit-for-coax-explorer%C2%AE-tester")</f>
        <v/>
      </c>
      <c r="B5554" s="2">
        <f>HYPERLINK("https://edmondsonsupply.com/products/klein-tools-vdv512-110-remote-kit-for-coax-explorer%c2%ae-tester", "https://edmondsonsupply.com/products/klein-tools-vdv512-110-remote-kit-for-coax-explorer%c2%ae-tester")</f>
        <v/>
      </c>
      <c r="C5554" t="inlineStr">
        <is>
          <t>Klein Tools VDV512-110 Remote Kit for Coax Explorer® Tester</t>
        </is>
      </c>
      <c r="D5554" t="inlineStr">
        <is>
          <t>Klein Tools VDV512-110 Remote Kit for Coax Explorer Tester</t>
        </is>
      </c>
      <c r="E5554" s="2">
        <f>HYPERLINK("https://www.amazon.com/Klein-Tools-VDV512-110-Remote-Explorer/dp/B076DPF7CL/ref=sr_1_1?keywords=Klein+Tools+VDV512-110+Remote+Kit+for+Coax+Explorer%C2%AE+Tester&amp;qid=1694735240&amp;sr=8-1", "https://www.amazon.com/Klein-Tools-VDV512-110-Remote-Explorer/dp/B076DPF7CL/ref=sr_1_1?keywords=Klein+Tools+VDV512-110+Remote+Kit+for+Coax+Explorer%C2%AE+Tester&amp;qid=1694735240&amp;sr=8-1")</f>
        <v/>
      </c>
      <c r="F5554" t="inlineStr">
        <is>
          <t>B076DPF7CL</t>
        </is>
      </c>
      <c r="G5554">
        <f>_xlfn.IMAGE("https://edmondsonsupply.com/cdn/shop/products/vdv512110.jpg?v=1633030792")</f>
        <v/>
      </c>
      <c r="H5554">
        <f>_xlfn.IMAGE("https://m.media-amazon.com/images/I/61u9vqTUbjL._AC_UY218_.jpg")</f>
        <v/>
      </c>
      <c r="K5554" t="inlineStr">
        <is>
          <t>19.99</t>
        </is>
      </c>
      <c r="L5554" t="n">
        <v>22.79</v>
      </c>
      <c r="M5554" s="1" t="inlineStr">
        <is>
          <t>14.01%</t>
        </is>
      </c>
      <c r="N5554" s="7" t="n">
        <v>81.04000000000001</v>
      </c>
      <c r="O5554" t="n">
        <v>4.7</v>
      </c>
      <c r="P5554" t="n">
        <v>4606</v>
      </c>
      <c r="R5554" t="inlineStr">
        <is>
          <t>InStock</t>
        </is>
      </c>
      <c r="S5554" t="inlineStr">
        <is>
          <t>27.26</t>
        </is>
      </c>
      <c r="T5554" t="inlineStr">
        <is>
          <t>5988016259240</t>
        </is>
      </c>
    </row>
    <row r="5555" hidden="1" ht="15.75" customHeight="1">
      <c r="A5555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5555" s="2">
        <f>HYPERLINK("https://edmondsonsupply.com/products/diablo-tools-dmapl2500-7-8-in-x-8-in-x-10-in-sds-plus-2-cutter", "https://edmondsonsupply.com/products/diablo-tools-dmapl2500-7-8-in-x-8-in-x-10-in-sds-plus-2-cutter")</f>
        <v/>
      </c>
      <c r="C5555" t="inlineStr">
        <is>
          <t>Diablo Tools DMAPL2500 7/8 in. x 8 in. x 10 in. SDS-Plus 2-Cutter</t>
        </is>
      </c>
      <c r="D5555" t="inlineStr">
        <is>
          <t>Diablo 7/8 in. x 16 in. x 18 in. SDS-Plus 2-Cutter</t>
        </is>
      </c>
      <c r="E5555" s="2">
        <f>HYPERLINK("https://www.amazon.com/Diablo-16-18-SDS-Plus-2-Cutter/dp/B089KW5TV6/ref=sr_1_9?keywords=Diablo+Tools+DMAPL2500+7%2F8+in.+x+8+in.+x+10+in.+SDS-Plus+2-Cutter&amp;qid=1694735171&amp;sr=8-9", "https://www.amazon.com/Diablo-16-18-SDS-Plus-2-Cutter/dp/B089KW5TV6/ref=sr_1_9?keywords=Diablo+Tools+DMAPL2500+7%2F8+in.+x+8+in.+x+10+in.+SDS-Plus+2-Cutter&amp;qid=1694735171&amp;sr=8-9")</f>
        <v/>
      </c>
      <c r="F5555" t="inlineStr">
        <is>
          <t>B089KW5TV6</t>
        </is>
      </c>
      <c r="G5555">
        <f>_xludf.IMAGE("https://edmondsonsupply.com/cdn/shop/products/2500.webp?v=1647636219")</f>
        <v/>
      </c>
      <c r="H5555">
        <f>_xludf.IMAGE("https://m.media-amazon.com/images/I/61LIeXBPR+L._AC_UL320_.jpg")</f>
        <v/>
      </c>
      <c r="K5555" t="inlineStr">
        <is>
          <t>28.97</t>
        </is>
      </c>
      <c r="L5555" t="n">
        <v>32.99</v>
      </c>
      <c r="M5555" s="1" t="inlineStr">
        <is>
          <t>13.88%</t>
        </is>
      </c>
      <c r="N5555" s="1" t="n">
        <v>80.12</v>
      </c>
      <c r="O5555" t="n">
        <v>3.4</v>
      </c>
      <c r="P5555" t="n">
        <v>7</v>
      </c>
      <c r="R5555" t="inlineStr">
        <is>
          <t>InStock</t>
        </is>
      </c>
      <c r="S5555" t="inlineStr">
        <is>
          <t>33.98</t>
        </is>
      </c>
      <c r="T5555" t="inlineStr">
        <is>
          <t>7639201317080</t>
        </is>
      </c>
    </row>
    <row r="5556" ht="87" customHeight="1">
      <c r="A5556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5556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5556" t="inlineStr">
        <is>
          <t>Klein Tools 661-4-INS Insulated Screwdriver, #1 Square Tip, 4-Inch Shank</t>
        </is>
      </c>
      <c r="D5556" t="inlineStr">
        <is>
          <t>Klein Tools 661-4-INS Insulated Screwdriver, #1 Square Tip with 4-Inch Shank</t>
        </is>
      </c>
      <c r="E5556" s="2">
        <f>HYPERLINK("https://www.amazon.com/Klein-Tools-661-4-INS-Insulated-Screwdriver/dp/B00CQL8VP2/ref=sr_1_1?keywords=Klein+Tools+661-4-INS+Insulated+Screwdriver%2C+%231+Square+Tip%2C+4-Inch+Shank&amp;qid=1694735265&amp;sr=8-1", "https://www.amazon.com/Klein-Tools-661-4-INS-Insulated-Screwdriver/dp/B00CQL8VP2/ref=sr_1_1?keywords=Klein+Tools+661-4-INS+Insulated+Screwdriver%2C+%231+Square+Tip%2C+4-Inch+Shank&amp;qid=1694735265&amp;sr=8-1")</f>
        <v/>
      </c>
      <c r="F5556" t="inlineStr">
        <is>
          <t>B00CQL8VP2</t>
        </is>
      </c>
      <c r="G5556">
        <f>_xlfn.IMAGE("https://edmondsonsupply.com/cdn/shop/products/661-4-ins.jpg?v=1633030622")</f>
        <v/>
      </c>
      <c r="H5556">
        <f>_xlfn.IMAGE("https://m.media-amazon.com/images/I/51Gu62YkGxL._AC_UL320_.jpg")</f>
        <v/>
      </c>
      <c r="K5556" t="inlineStr">
        <is>
          <t>17.99</t>
        </is>
      </c>
      <c r="L5556" t="n">
        <v>20.48</v>
      </c>
      <c r="M5556" s="1" t="inlineStr">
        <is>
          <t>13.84%</t>
        </is>
      </c>
      <c r="N5556" s="7" t="n">
        <v>80.08</v>
      </c>
      <c r="O5556" t="n">
        <v>4.8</v>
      </c>
      <c r="P5556" t="n">
        <v>1068</v>
      </c>
      <c r="R5556" t="inlineStr">
        <is>
          <t>InStock</t>
        </is>
      </c>
      <c r="S5556" t="inlineStr">
        <is>
          <t>27.24</t>
        </is>
      </c>
      <c r="T5556" t="inlineStr">
        <is>
          <t>5651594215592</t>
        </is>
      </c>
    </row>
    <row r="5557" ht="87" customHeight="1">
      <c r="A5557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5557" s="2">
        <f>HYPERLINK("https://edmondsonsupply.com/products/klein-tools-rt310-afci-gfci-outlet-tester", "https://edmondsonsupply.com/products/klein-tools-rt310-afci-gfci-outlet-tester")</f>
        <v/>
      </c>
      <c r="C5557" t="inlineStr">
        <is>
          <t>Klein Tools RT310 AFCI / GFCI Outlet Tester</t>
        </is>
      </c>
      <c r="D5557" t="inlineStr">
        <is>
          <t>Klein Tools 80101 Home Tester Kit, GFCI Outlet and Receptacle Testers, Multimeter, NCVT, Circuit Breaker Finder, Leads, 6-Piece, Black</t>
        </is>
      </c>
      <c r="E5557" s="2">
        <f>HYPERLINK("https://www.amazon.com/Klein-Tools-Receptacle-Testers-Multimeter/dp/B0B7817ZG5/ref=sr_1_22?keywords=Klein+Tools+RT310+AFCI+%2F+GFCI+Outlet+Tester&amp;qid=1694734989&amp;sr=8-22", "https://www.amazon.com/Klein-Tools-Receptacle-Testers-Multimeter/dp/B0B7817ZG5/ref=sr_1_22?keywords=Klein+Tools+RT310+AFCI+%2F+GFCI+Outlet+Tester&amp;qid=1694734989&amp;sr=8-22")</f>
        <v/>
      </c>
      <c r="F5557" t="inlineStr">
        <is>
          <t>B0B7817ZG5</t>
        </is>
      </c>
      <c r="G5557">
        <f>_xlfn.IMAGE("https://edmondsonsupply.com/cdn/shop/products/rt310.jpg?v=1587148552")</f>
        <v/>
      </c>
      <c r="H5557">
        <f>_xlfn.IMAGE("https://m.media-amazon.com/images/I/61wZRMpKAcL._AC_UL320_.jpg")</f>
        <v/>
      </c>
      <c r="K5557" t="inlineStr">
        <is>
          <t>39.97</t>
        </is>
      </c>
      <c r="L5557" t="n">
        <v>45.5</v>
      </c>
      <c r="M5557" s="1" t="inlineStr">
        <is>
          <t>13.84%</t>
        </is>
      </c>
      <c r="N5557" s="7" t="n">
        <v>78.63</v>
      </c>
      <c r="O5557" t="n">
        <v>4.7</v>
      </c>
      <c r="P5557" t="n">
        <v>403</v>
      </c>
      <c r="R5557" t="inlineStr">
        <is>
          <t>InStock</t>
        </is>
      </c>
      <c r="S5557" t="inlineStr">
        <is>
          <t>57.9</t>
        </is>
      </c>
      <c r="T5557" t="inlineStr">
        <is>
          <t>3372527779940</t>
        </is>
      </c>
    </row>
    <row r="5558" ht="87" customHeight="1">
      <c r="A5558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5558" s="2">
        <f>HYPERLINK("https://edmondsonsupply.com/products/diablo-tools-dmast1050-5-8-in-x-2-1-16-x-sds-plus-2-cutter", "https://edmondsonsupply.com/products/diablo-tools-dmast1050-5-8-in-x-2-1-16-x-sds-plus-2-cutter")</f>
        <v/>
      </c>
      <c r="C5558" t="inlineStr">
        <is>
          <t>Diablo Tools DMAST1050 5/8 in. x 2-1/16 SDS-Plus 2-Cutter</t>
        </is>
      </c>
      <c r="D5558" t="inlineStr">
        <is>
          <t>Diablo 5/8 in. x 16 in. x 18 in. SDS-Plus 2-Cutter</t>
        </is>
      </c>
      <c r="E5558" s="2">
        <f>HYPERLINK("https://www.amazon.com/Diablo-16-18-SDS-Plus-2-Cutter/dp/B089KV7MNH/ref=sr_1_2?keywords=Diablo+Tools+DMAST1050+5%2F8+in.+x+2-1%2F16+SDS-Plus+2-Cutter&amp;qid=1694735304&amp;sr=8-2", "https://www.amazon.com/Diablo-16-18-SDS-Plus-2-Cutter/dp/B089KV7MNH/ref=sr_1_2?keywords=Diablo+Tools+DMAST1050+5%2F8+in.+x+2-1%2F16+SDS-Plus+2-Cutter&amp;qid=1694735304&amp;sr=8-2")</f>
        <v/>
      </c>
      <c r="F5558" t="inlineStr">
        <is>
          <t>B089KV7MNH</t>
        </is>
      </c>
      <c r="G5558">
        <f>_xlfn.IMAGE("https://edmondsonsupply.com/cdn/shop/products/DMAST1050_1.jpg?v=1633030363")</f>
        <v/>
      </c>
      <c r="H5558">
        <f>_xlfn.IMAGE("https://m.media-amazon.com/images/I/61QBGOEcYkL._AC_UL320_.jpg")</f>
        <v/>
      </c>
      <c r="K5558" t="inlineStr">
        <is>
          <t>21.97</t>
        </is>
      </c>
      <c r="L5558" t="n">
        <v>24.98</v>
      </c>
      <c r="M5558" s="1" t="inlineStr">
        <is>
          <t>13.70%</t>
        </is>
      </c>
      <c r="N5558" s="7" t="n">
        <v>78.59999999999999</v>
      </c>
      <c r="O5558" t="n">
        <v>5</v>
      </c>
      <c r="P5558" t="n">
        <v>1</v>
      </c>
      <c r="R5558" t="inlineStr">
        <is>
          <t>InStock</t>
        </is>
      </c>
      <c r="S5558" t="inlineStr">
        <is>
          <t>29.12</t>
        </is>
      </c>
      <c r="T5558" t="inlineStr">
        <is>
          <t>5286938869928</t>
        </is>
      </c>
    </row>
    <row r="5559" ht="87" customHeight="1">
      <c r="A5559" s="2">
        <f>HYPERLINK("https://edmondsonsupply.com/collections/electricians-tools/products/klein-tools-d502-12-pump-pliers-12-inch", "https://edmondsonsupply.com/collections/electricians-tools/products/klein-tools-d502-12-pump-pliers-12-inch")</f>
        <v/>
      </c>
      <c r="B5559" s="2">
        <f>HYPERLINK("https://edmondsonsupply.com/products/klein-tools-d502-12-pump-pliers-12-inch", "https://edmondsonsupply.com/products/klein-tools-d502-12-pump-pliers-12-inch")</f>
        <v/>
      </c>
      <c r="C5559" t="inlineStr">
        <is>
          <t>Klein Tools D502-12 Pump Pliers, 12-Inch</t>
        </is>
      </c>
      <c r="D5559" t="inlineStr">
        <is>
          <t>Klein Tools D502-12 Pump Pliers, Dipped 12-Inch Tongue and Groove, Yellow</t>
        </is>
      </c>
      <c r="E5559" s="2">
        <f>HYPERLINK("https://www.amazon.com/Pliers-12-Inch-Klein-Tools-D502-12/dp/B000ODU0N0/ref=sr_1_1?keywords=Klein+Tools+D502-12+Pump+Pliers%2C+12-Inch&amp;qid=1694735273&amp;sr=8-1", "https://www.amazon.com/Pliers-12-Inch-Klein-Tools-D502-12/dp/B000ODU0N0/ref=sr_1_1?keywords=Klein+Tools+D502-12+Pump+Pliers%2C+12-Inch&amp;qid=1694735273&amp;sr=8-1")</f>
        <v/>
      </c>
      <c r="F5559" t="inlineStr">
        <is>
          <t>B000ODU0N0</t>
        </is>
      </c>
      <c r="G5559">
        <f>_xlfn.IMAGE("https://edmondsonsupply.com/cdn/shop/products/d502-6.jpg?v=1633030574")</f>
        <v/>
      </c>
      <c r="H5559">
        <f>_xlfn.IMAGE("https://m.media-amazon.com/images/I/41h2qUlpjEL._AC_UL320_.jpg")</f>
        <v/>
      </c>
      <c r="K5559" t="inlineStr">
        <is>
          <t>30.99</t>
        </is>
      </c>
      <c r="L5559" t="n">
        <v>35.23</v>
      </c>
      <c r="M5559" s="1" t="inlineStr">
        <is>
          <t>13.68%</t>
        </is>
      </c>
      <c r="N5559" s="7" t="n">
        <v>76.79000000000001</v>
      </c>
      <c r="O5559" t="n">
        <v>4.8</v>
      </c>
      <c r="P5559" t="n">
        <v>59</v>
      </c>
      <c r="R5559" t="inlineStr">
        <is>
          <t>InStock</t>
        </is>
      </c>
      <c r="S5559" t="inlineStr">
        <is>
          <t>46.96</t>
        </is>
      </c>
      <c r="T5559" t="inlineStr">
        <is>
          <t>5525244706984</t>
        </is>
      </c>
    </row>
    <row r="5560" hidden="1" ht="15.75" customHeight="1">
      <c r="A5560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5560" s="2">
        <f>HYPERLINK("https://edmondsonsupply.com/products/klein-tools-70582-seven-key-metric-folding-hex-key-set", "https://edmondsonsupply.com/products/klein-tools-70582-seven-key-metric-folding-hex-key-set")</f>
        <v/>
      </c>
      <c r="C5560" t="inlineStr">
        <is>
          <t>Klein Tools 70582 Folding Hex Key Set, 7-Key, Metric Sizes</t>
        </is>
      </c>
      <c r="D5560" t="inlineStr">
        <is>
          <t>Klein Tools 70570 Grip-It Hex Key Set, 5-Key, SAE Sizes</t>
        </is>
      </c>
      <c r="E5560" s="2">
        <f>HYPERLINK("https://www.amazon.com/Grip-Five-Key-Hex-Set/dp/B0002RI8OQ/ref=sr_1_9?keywords=Klein+Tools+70582+Folding+Hex+Key+Set%2C+7-Key%2C+Metric+Sizes&amp;qid=1694735391&amp;sr=8-9", "https://www.amazon.com/Grip-Five-Key-Hex-Set/dp/B0002RI8OQ/ref=sr_1_9?keywords=Klein+Tools+70582+Folding+Hex+Key+Set%2C+7-Key%2C+Metric+Sizes&amp;qid=1694735391&amp;sr=8-9")</f>
        <v/>
      </c>
      <c r="F5560" t="inlineStr">
        <is>
          <t>B0002RI8OQ</t>
        </is>
      </c>
      <c r="G5560">
        <f>_xludf.IMAGE("https://edmondsonsupply.com/cdn/shop/products/70582.jpg?v=1587149750")</f>
        <v/>
      </c>
      <c r="H5560">
        <f>_xludf.IMAGE("https://m.media-amazon.com/images/I/5115q-e5mbL._AC_UL320_.jpg")</f>
        <v/>
      </c>
      <c r="K5560" t="inlineStr">
        <is>
          <t>8.78</t>
        </is>
      </c>
      <c r="L5560" t="n">
        <v>9.98</v>
      </c>
      <c r="M5560" s="1" t="inlineStr">
        <is>
          <t>13.67%</t>
        </is>
      </c>
      <c r="N5560" s="1" t="n">
        <v>75.7</v>
      </c>
      <c r="O5560" t="n">
        <v>4.6</v>
      </c>
      <c r="P5560" t="n">
        <v>159</v>
      </c>
      <c r="R5560" t="inlineStr">
        <is>
          <t>InStock</t>
        </is>
      </c>
      <c r="S5560" t="inlineStr">
        <is>
          <t>12.26</t>
        </is>
      </c>
      <c r="T5560" t="inlineStr">
        <is>
          <t>4409539919972</t>
        </is>
      </c>
    </row>
    <row r="5561" ht="87" customHeight="1">
      <c r="A5561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5561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5561" t="inlineStr">
        <is>
          <t>Klein Tools JTH6E17 1/2-Inch Hex Journeyman T-Handle 6-Inch</t>
        </is>
      </c>
      <c r="D5561" t="inlineStr">
        <is>
          <t>Klein Tools JTH6E17BE 1/2-Inch Ball End Hex Key with Journeyman T-Handle, 6-Inch</t>
        </is>
      </c>
      <c r="E5561" s="2">
        <f>HYPERLINK("https://www.amazon.com/Journeyman-T-Handle-Klein-Tools-JTH6E17BE/dp/B004QW58Q4/ref=sr_1_2?keywords=Klein+Tools+JTH6E17+1%2F2-Inch+Hex+Journeyman+T-Handle+6-Inch&amp;qid=1694735359&amp;sr=8-2", "https://www.amazon.com/Journeyman-T-Handle-Klein-Tools-JTH6E17BE/dp/B004QW58Q4/ref=sr_1_2?keywords=Klein+Tools+JTH6E17+1%2F2-Inch+Hex+Journeyman+T-Handle+6-Inch&amp;qid=1694735359&amp;sr=8-2")</f>
        <v/>
      </c>
      <c r="F5561" t="inlineStr">
        <is>
          <t>B004QW58Q4</t>
        </is>
      </c>
      <c r="G5561">
        <f>_xlfn.IMAGE("https://edmondsonsupply.com/cdn/shop/products/jth6e15_80623668-f320-404f-929d-7d7e04a8b5aa.jpg?v=1587146378")</f>
        <v/>
      </c>
      <c r="H5561">
        <f>_xlfn.IMAGE("https://m.media-amazon.com/images/I/51f9vBFVXgL._AC_UL320_.jpg")</f>
        <v/>
      </c>
      <c r="K5561" t="inlineStr">
        <is>
          <t>19.99</t>
        </is>
      </c>
      <c r="L5561" t="n">
        <v>22.72</v>
      </c>
      <c r="M5561" s="1" t="inlineStr">
        <is>
          <t>13.66%</t>
        </is>
      </c>
      <c r="N5561" s="7" t="n">
        <v>73.31</v>
      </c>
      <c r="O5561" t="n">
        <v>4.8</v>
      </c>
      <c r="P5561" t="n">
        <v>454</v>
      </c>
      <c r="R5561" t="inlineStr">
        <is>
          <t>InStock</t>
        </is>
      </c>
      <c r="S5561" t="inlineStr">
        <is>
          <t>30.28</t>
        </is>
      </c>
      <c r="T5561" t="inlineStr">
        <is>
          <t>4431817605220</t>
        </is>
      </c>
    </row>
    <row r="5562" ht="87" customHeight="1">
      <c r="A5562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5562" s="2">
        <f>HYPERLINK("https://edmondsonsupply.com/products/klein-tools-32305-15-in-1-multi-bit-ratcheting-screwdriver", "https://edmondsonsupply.com/products/klein-tools-32305-15-in-1-multi-bit-ratcheting-screwdriver")</f>
        <v/>
      </c>
      <c r="C5562" t="inlineStr">
        <is>
          <t>Klein Tools 32305 15-in-1 Multi-Bit Ratcheting Screwdriver</t>
        </is>
      </c>
      <c r="D5562" t="inlineStr">
        <is>
          <t>Klein Tools 32307 Multi-bit Tamperproof Screwdriver, 27-in-1 Tool with Torx, Hex, Torq and Spanner Bits with 1/4-Inch Nut Driver</t>
        </is>
      </c>
      <c r="E5562" s="2">
        <f>HYPERLINK("https://www.amazon.com/Klein-Tools-32307-Tamperproof-Screwdriver/dp/B08KFL4QD4/ref=sr_1_17?keywords=Klein+Tools+32305+15-in-1+Multi-Bit+Ratcheting+Screwdriver&amp;qid=1694735163&amp;sr=8-17", "https://www.amazon.com/Klein-Tools-32307-Tamperproof-Screwdriver/dp/B08KFL4QD4/ref=sr_1_17?keywords=Klein+Tools+32305+15-in-1+Multi-Bit+Ratcheting+Screwdriver&amp;qid=1694735163&amp;sr=8-17")</f>
        <v/>
      </c>
      <c r="F5562" t="inlineStr">
        <is>
          <t>B08KFL4QD4</t>
        </is>
      </c>
      <c r="G5562">
        <f>_xlfn.IMAGE("https://edmondsonsupply.com/cdn/shop/products/32305.jpg?v=1646965475")</f>
        <v/>
      </c>
      <c r="H5562">
        <f>_xlfn.IMAGE("https://m.media-amazon.com/images/I/51VWsu+sN9L._AC_UL320_.jpg")</f>
        <v/>
      </c>
      <c r="K5562" t="inlineStr">
        <is>
          <t>21.97</t>
        </is>
      </c>
      <c r="L5562" t="n">
        <v>24.97</v>
      </c>
      <c r="M5562" s="1" t="inlineStr">
        <is>
          <t>13.65%</t>
        </is>
      </c>
      <c r="N5562" s="7" t="n">
        <v>73.31</v>
      </c>
      <c r="O5562" t="n">
        <v>4.7</v>
      </c>
      <c r="P5562" t="n">
        <v>1624</v>
      </c>
      <c r="R5562" t="inlineStr">
        <is>
          <t>InStock</t>
        </is>
      </c>
      <c r="S5562" t="inlineStr">
        <is>
          <t>30.78</t>
        </is>
      </c>
      <c r="T5562" t="inlineStr">
        <is>
          <t>7632426598616</t>
        </is>
      </c>
    </row>
    <row r="5563" ht="87" customHeight="1">
      <c r="A5563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5563" s="2">
        <f>HYPERLINK("https://edmondsonsupply.com/products/klein-tools-rt250-gfci-receptacle-tester-with-lcd", "https://edmondsonsupply.com/products/klein-tools-rt250-gfci-receptacle-tester-with-lcd")</f>
        <v/>
      </c>
      <c r="C5563" t="inlineStr">
        <is>
          <t>Klein Tools RT250 GFCI Receptacle Tester with LCD</t>
        </is>
      </c>
      <c r="D5563" t="inlineStr">
        <is>
          <t>Klein Tools NCVT1PKIT Electrical Tester Kit with Non-Contact Volt Tester, 50 to 1000V AC and GFCI Receptacle Tester, 2-Piece</t>
        </is>
      </c>
      <c r="E5563" s="2">
        <f>HYPERLINK("https://www.amazon.com/Klein-Tools-NCVT1PKIT-Electrical-Non-Contact/dp/B0BS5SCNJ1/ref=sr_1_27?keywords=Klein+Tools+RT250+GFCI+Receptacle+Tester+with+LCD&amp;qid=1694735148&amp;sr=8-27", "https://www.amazon.com/Klein-Tools-NCVT1PKIT-Electrical-Non-Contact/dp/B0BS5SCNJ1/ref=sr_1_27?keywords=Klein+Tools+RT250+GFCI+Receptacle+Tester+with+LCD&amp;qid=1694735148&amp;sr=8-27")</f>
        <v/>
      </c>
      <c r="F5563" t="inlineStr">
        <is>
          <t>B0BS5SCNJ1</t>
        </is>
      </c>
      <c r="G5563">
        <f>_xlfn.IMAGE("https://edmondsonsupply.com/cdn/shop/products/rt250_photo_c.jpg?v=1661363824")</f>
        <v/>
      </c>
      <c r="H5563">
        <f>_xlfn.IMAGE("https://m.media-amazon.com/images/I/51CD2DGal7L._AC_UL320_.jpg")</f>
        <v/>
      </c>
      <c r="K5563" t="inlineStr">
        <is>
          <t>21.97</t>
        </is>
      </c>
      <c r="L5563" t="n">
        <v>24.97</v>
      </c>
      <c r="M5563" s="1" t="inlineStr">
        <is>
          <t>13.65%</t>
        </is>
      </c>
      <c r="N5563" s="7" t="n">
        <v>72.14</v>
      </c>
      <c r="O5563" t="n">
        <v>4.4</v>
      </c>
      <c r="P5563" t="n">
        <v>31</v>
      </c>
      <c r="R5563" t="inlineStr">
        <is>
          <t>InStock</t>
        </is>
      </c>
      <c r="S5563" t="inlineStr">
        <is>
          <t>30.78</t>
        </is>
      </c>
      <c r="T5563" t="inlineStr">
        <is>
          <t>7793138729176</t>
        </is>
      </c>
    </row>
    <row r="5564" ht="87" customHeight="1">
      <c r="A5564" s="2">
        <f>HYPERLINK("https://edmondsonsupply.com/collections/electricians-tools/products/klein-tools-31860-carbide-hole-cutter-1-3-8-inch", "https://edmondsonsupply.com/collections/electricians-tools/products/klein-tools-31860-carbide-hole-cutter-1-3-8-inch")</f>
        <v/>
      </c>
      <c r="B5564" s="2">
        <f>HYPERLINK("https://edmondsonsupply.com/products/klein-tools-31860-carbide-hole-cutter-1-3-8-inch", "https://edmondsonsupply.com/products/klein-tools-31860-carbide-hole-cutter-1-3-8-inch")</f>
        <v/>
      </c>
      <c r="C5564" t="inlineStr">
        <is>
          <t>Klein Tools 31860 Carbide Hole Cutter, 1-3/8-Inch</t>
        </is>
      </c>
      <c r="D5564" t="inlineStr">
        <is>
          <t>Klein Tools 31900 Bi-Metal Hole Saw, 6-3/8-Inch, For Drywall-Ceiling Tile-Steel-Wood-Plastic, Stainless Steel, Recessed Lighting</t>
        </is>
      </c>
      <c r="E5564" s="2">
        <f>HYPERLINK("https://www.amazon.com/Bi-Metal-8-Inch-Klein-Tools-31900/dp/B0171X0FXU/ref=sr_1_31?keywords=Klein+Tools+31860+Carbide+Hole+Cutter%2C+1-3%2F8-Inch&amp;qid=1694735240&amp;sr=8-31", "https://www.amazon.com/Bi-Metal-8-Inch-Klein-Tools-31900/dp/B0171X0FXU/ref=sr_1_31?keywords=Klein+Tools+31860+Carbide+Hole+Cutter%2C+1-3%2F8-Inch&amp;qid=1694735240&amp;sr=8-31")</f>
        <v/>
      </c>
      <c r="F5564" t="inlineStr">
        <is>
          <t>B0171X0FXU</t>
        </is>
      </c>
      <c r="G5564">
        <f>_xlfn.IMAGE("https://edmondsonsupply.com/cdn/shop/products/31860.jpg?v=1633030790")</f>
        <v/>
      </c>
      <c r="H5564">
        <f>_xlfn.IMAGE("https://m.media-amazon.com/images/I/51mfU+Jrr7L._AC_UL320_.jpg")</f>
        <v/>
      </c>
      <c r="K5564" t="inlineStr">
        <is>
          <t>37.99</t>
        </is>
      </c>
      <c r="L5564" t="n">
        <v>43.17</v>
      </c>
      <c r="M5564" s="1" t="inlineStr">
        <is>
          <t>13.64%</t>
        </is>
      </c>
      <c r="N5564" s="7" t="n">
        <v>71.39</v>
      </c>
      <c r="O5564" t="n">
        <v>4.5</v>
      </c>
      <c r="P5564" t="n">
        <v>211</v>
      </c>
      <c r="R5564" t="inlineStr">
        <is>
          <t>InStock</t>
        </is>
      </c>
      <c r="S5564" t="inlineStr">
        <is>
          <t>57.54</t>
        </is>
      </c>
      <c r="T5564" t="inlineStr">
        <is>
          <t>5987970613416</t>
        </is>
      </c>
    </row>
    <row r="5565" hidden="1" ht="15.75" customHeight="1">
      <c r="A5565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5565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5565" t="inlineStr">
        <is>
          <t>Diablo Tools DMARG1140 7/16 in. x 4 in. x 6 in. SPEEDemon™ Red Granite Carbide Tipped Hammer Drill Bit</t>
        </is>
      </c>
      <c r="D5565" t="inlineStr">
        <is>
          <t>Diablo by Freud DMARG1150 1/2 in. x 4 in. x 6 in. SPEEDemon Red Granite Carbide Tipped Hammer Drill Bit</t>
        </is>
      </c>
      <c r="E5565" s="2">
        <f>HYPERLINK("https://www.amazon.com/Diablo-Freud-DMARG1150-SPEEDemon-Granite/dp/B089LKXD71/ref=sr_1_3?keywords=Diablo+Tools+DMARG1140+7%2F16+in.+x+4+in.+x+6+in.+SPEEDemon%E2%84%A2+Red+Granite+Carbide+Tipped+Hammer+Drill+Bit&amp;qid=1694735250&amp;sr=8-3", "https://www.amazon.com/Diablo-Freud-DMARG1150-SPEEDemon-Granite/dp/B089LKXD71/ref=sr_1_3?keywords=Diablo+Tools+DMARG1140+7%2F16+in.+x+4+in.+x+6+in.+SPEEDemon%E2%84%A2+Red+Granite+Carbide+Tipped+Hammer+Drill+Bit&amp;qid=1694735250&amp;sr=8-3")</f>
        <v/>
      </c>
      <c r="F5565" t="inlineStr">
        <is>
          <t>B089LKXD71</t>
        </is>
      </c>
      <c r="G5565">
        <f>_xludf.IMAGE("https://edmondsonsupply.com/cdn/shop/products/DMARG1140_Main-Image20200513.png?v=1633030765")</f>
        <v/>
      </c>
      <c r="H5565">
        <f>_xludf.IMAGE("https://m.media-amazon.com/images/I/61Irr3Gr9YL._AC_UL320_.jpg")</f>
        <v/>
      </c>
      <c r="K5565" t="inlineStr">
        <is>
          <t>8.97</t>
        </is>
      </c>
      <c r="L5565" t="n">
        <v>10.19</v>
      </c>
      <c r="M5565" s="1" t="inlineStr">
        <is>
          <t>13.60%</t>
        </is>
      </c>
      <c r="N5565" s="1" t="n">
        <v>71.31</v>
      </c>
      <c r="O5565" t="n">
        <v>4.3</v>
      </c>
      <c r="P5565" t="n">
        <v>19</v>
      </c>
      <c r="R5565" t="inlineStr">
        <is>
          <t>InStock</t>
        </is>
      </c>
      <c r="S5565" t="inlineStr">
        <is>
          <t>undefined</t>
        </is>
      </c>
      <c r="T5565" t="inlineStr">
        <is>
          <t>5919026315432</t>
        </is>
      </c>
    </row>
    <row r="5566" ht="87" customHeight="1">
      <c r="A5566" s="2">
        <f>HYPERLINK("https://edmondsonsupply.com/collections/electricians-tools/products/klein-tools-32537-10-fold-screwdriver-nut-driver-tamperproof-torx%C2%AE", "https://edmondsonsupply.com/collections/electricians-tools/products/klein-tools-32537-10-fold-screwdriver-nut-driver-tamperproof-torx%C2%AE")</f>
        <v/>
      </c>
      <c r="B5566" s="2">
        <f>HYPERLINK("https://edmondsonsupply.com/products/klein-tools-32537-10-fold-screwdriver-nut-driver-tamperproof-torx%c2%ae", "https://edmondsonsupply.com/products/klein-tools-32537-10-fold-screwdriver-nut-driver-tamperproof-torx%c2%ae")</f>
        <v/>
      </c>
      <c r="C5566" t="inlineStr">
        <is>
          <t>Klein Tools 32537 10-Fold Screwdriver/Nut Driver, Tamperproof Torx®</t>
        </is>
      </c>
      <c r="D5566" t="inlineStr">
        <is>
          <t>Klein Tools 32537 10-Fold Torx Tamperproof Screwdriver and Nut Driver</t>
        </is>
      </c>
      <c r="E5566" s="2">
        <f>HYPERLINK("https://www.amazon.com/Tamperproof-Screwdriver-Klein-Tools-32537/dp/B0031D0HKG/ref=sr_1_1?keywords=Klein+Tools+32537+10-Fold+Screwdriver%2FNut+Driver%2C+Tamperproof+Torx%C2%AE&amp;qid=1694735178&amp;sr=8-1", "https://www.amazon.com/Tamperproof-Screwdriver-Klein-Tools-32537/dp/B0031D0HKG/ref=sr_1_1?keywords=Klein+Tools+32537+10-Fold+Screwdriver%2FNut+Driver%2C+Tamperproof+Torx%C2%AE&amp;qid=1694735178&amp;sr=8-1")</f>
        <v/>
      </c>
      <c r="F5566" t="inlineStr">
        <is>
          <t>B0031D0HKG</t>
        </is>
      </c>
      <c r="G5566">
        <f>_xlfn.IMAGE("https://edmondsonsupply.com/cdn/shop/products/32537.jpg?v=1638146043")</f>
        <v/>
      </c>
      <c r="H5566">
        <f>_xlfn.IMAGE("https://m.media-amazon.com/images/I/410Cn0KqPMS._AC_UL320_.jpg")</f>
        <v/>
      </c>
      <c r="K5566" t="inlineStr">
        <is>
          <t>29.99</t>
        </is>
      </c>
      <c r="L5566" t="n">
        <v>34.06</v>
      </c>
      <c r="M5566" s="1" t="inlineStr">
        <is>
          <t>13.57%</t>
        </is>
      </c>
      <c r="N5566" s="7" t="n">
        <v>70.89</v>
      </c>
      <c r="O5566" t="n">
        <v>4.6</v>
      </c>
      <c r="P5566" t="n">
        <v>871</v>
      </c>
      <c r="R5566" t="inlineStr">
        <is>
          <t>InStock</t>
        </is>
      </c>
      <c r="S5566" t="inlineStr">
        <is>
          <t>45.36</t>
        </is>
      </c>
      <c r="T5566" t="inlineStr">
        <is>
          <t>7533566296280</t>
        </is>
      </c>
    </row>
    <row r="5567" hidden="1" ht="15.75" customHeight="1">
      <c r="A5567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5567" s="2">
        <f>HYPERLINK("https://edmondsonsupply.com/products/klein-tools-vaco-s10m-5-16-magnetic-nut-driver-3-hollow-shaft", "https://edmondsonsupply.com/products/klein-tools-vaco-s10m-5-16-magnetic-nut-driver-3-hollow-shaft")</f>
        <v/>
      </c>
      <c r="C5567" t="inlineStr">
        <is>
          <t>Klein Tools S10M 5/16-Inch Magnetic Nut Driver 3-Inch Shaft</t>
        </is>
      </c>
      <c r="D5567" t="inlineStr">
        <is>
          <t>Klein Tools 610-5/16M 5/16-Inch Magnetic Tip Nut Driver with 1-1/2-Inch Hollow Shaft and Cushion Grip Handle</t>
        </is>
      </c>
      <c r="E5567" s="2">
        <f>HYPERLINK("https://www.amazon.com/Magnetic-Klein-Tools-610-5-16M/dp/B00093DZP0/ref=sr_1_7?keywords=Klein+Tools+S10M+5%2F16-Inch+Magnetic+Nut+Driver+3-Inch+Shaft&amp;qid=1694735002&amp;sr=8-7", "https://www.amazon.com/Magnetic-Klein-Tools-610-5-16M/dp/B00093DZP0/ref=sr_1_7?keywords=Klein+Tools+S10M+5%2F16-Inch+Magnetic+Nut+Driver+3-Inch+Shaft&amp;qid=1694735002&amp;sr=8-7")</f>
        <v/>
      </c>
      <c r="F5567" t="inlineStr">
        <is>
          <t>B00093DZP0</t>
        </is>
      </c>
      <c r="G5567">
        <f>_xludf.IMAGE("https://edmondsonsupply.com/cdn/shop/products/s10m_alt2.jpg?v=1587143022")</f>
        <v/>
      </c>
      <c r="H5567">
        <f>_xludf.IMAGE("https://m.media-amazon.com/images/I/41rQZ0-NNZL._AC_UL320_.jpg")</f>
        <v/>
      </c>
      <c r="K5567" t="inlineStr">
        <is>
          <t>9.99</t>
        </is>
      </c>
      <c r="L5567" t="n">
        <v>11.34</v>
      </c>
      <c r="M5567" s="1" t="inlineStr">
        <is>
          <t>13.51%</t>
        </is>
      </c>
      <c r="N5567" s="1" t="n">
        <v>69.97</v>
      </c>
      <c r="O5567" t="n">
        <v>4.7</v>
      </c>
      <c r="P5567" t="n">
        <v>258</v>
      </c>
      <c r="R5567" t="inlineStr">
        <is>
          <t>InStock</t>
        </is>
      </c>
      <c r="S5567" t="inlineStr">
        <is>
          <t>15.08</t>
        </is>
      </c>
      <c r="T5567" t="inlineStr">
        <is>
          <t>2767113125988</t>
        </is>
      </c>
    </row>
    <row r="5568" hidden="1" ht="15.75" customHeight="1">
      <c r="A5568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5568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5568" t="inlineStr">
        <is>
          <t>Klein Tools 630-5/16M 5/16-Inch Magnetic Nut Driver with Hollow Shaft</t>
        </is>
      </c>
      <c r="D5568" t="inlineStr">
        <is>
          <t>Klein Tools 610-5/16M 5/16-Inch Magnetic Tip Nut Driver with 1-1/2-Inch Hollow Shaft and Cushion Grip Handle</t>
        </is>
      </c>
      <c r="E5568" s="2">
        <f>HYPERLINK("https://www.amazon.com/Magnetic-Klein-Tools-610-5-16M/dp/B00093DZP0/ref=sr_1_3?keywords=Klein+Tools+630-5%2F16M+5%2F16-Inch+Magnetic+Nut+Driver+with+Hollow+Shaft&amp;qid=1694735398&amp;sr=8-3", "https://www.amazon.com/Magnetic-Klein-Tools-610-5-16M/dp/B00093DZP0/ref=sr_1_3?keywords=Klein+Tools+630-5%2F16M+5%2F16-Inch+Magnetic+Nut+Driver+with+Hollow+Shaft&amp;qid=1694735398&amp;sr=8-3")</f>
        <v/>
      </c>
      <c r="F5568" t="inlineStr">
        <is>
          <t>B00093DZP0</t>
        </is>
      </c>
      <c r="G5568">
        <f>_xludf.IMAGE("https://edmondsonsupply.com/cdn/shop/products/630-5-16m.jpg?v=1587148610")</f>
        <v/>
      </c>
      <c r="H5568">
        <f>_xludf.IMAGE("https://m.media-amazon.com/images/I/41rQZ0-NNZL._AC_UL320_.jpg")</f>
        <v/>
      </c>
      <c r="K5568" t="inlineStr">
        <is>
          <t>9.99</t>
        </is>
      </c>
      <c r="L5568" t="n">
        <v>11.34</v>
      </c>
      <c r="M5568" s="1" t="inlineStr">
        <is>
          <t>13.51%</t>
        </is>
      </c>
      <c r="N5568" s="1" t="n">
        <v>69.97</v>
      </c>
      <c r="O5568" t="n">
        <v>4.7</v>
      </c>
      <c r="P5568" t="n">
        <v>258</v>
      </c>
      <c r="R5568" t="inlineStr">
        <is>
          <t>InStock</t>
        </is>
      </c>
      <c r="S5568" t="inlineStr">
        <is>
          <t>15.12</t>
        </is>
      </c>
      <c r="T5568" t="inlineStr">
        <is>
          <t>4391884324964</t>
        </is>
      </c>
    </row>
    <row r="5569" ht="87" customHeight="1">
      <c r="A5569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5569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5569" t="inlineStr">
        <is>
          <t>Klein Tools CL320KIT HVAC Digital Clamp Meter Electrical Test Kit</t>
        </is>
      </c>
      <c r="D5569" t="inlineStr">
        <is>
          <t>Klein Tools CL320KIT HVAC Kit for HVAC Testing; Digital Clamp Meter, Non-Contact Voltage Tester, and Infrared/Probe Thermometer &amp; Rare-Earth Magnetic Hanger no Strap</t>
        </is>
      </c>
      <c r="E5569" s="2">
        <f>HYPERLINK("https://www.amazon.com/Klein-Tools-CL320KIT-Magnetic-Multimeters/dp/B09Z6R1FLB/ref=sr_1_2?keywords=Klein+Tools+CL320KIT+HVAC+Digital+Clamp+Meter+Electrical+Test+Kit&amp;qid=1694735135&amp;sr=8-2", "https://www.amazon.com/Klein-Tools-CL320KIT-Magnetic-Multimeters/dp/B09Z6R1FLB/ref=sr_1_2?keywords=Klein+Tools+CL320KIT+HVAC+Digital+Clamp+Meter+Electrical+Test+Kit&amp;qid=1694735135&amp;sr=8-2")</f>
        <v/>
      </c>
      <c r="F5569" t="inlineStr">
        <is>
          <t>B09Z6R1FLB</t>
        </is>
      </c>
      <c r="G5569">
        <f>_xlfn.IMAGE("https://edmondsonsupply.com/cdn/shop/products/cl320kit_photo.jpg?v=1660753251")</f>
        <v/>
      </c>
      <c r="H5569">
        <f>_xlfn.IMAGE("https://m.media-amazon.com/images/I/61G0pTyWcuL._AC_UY218_.jpg")</f>
        <v/>
      </c>
      <c r="K5569" t="inlineStr">
        <is>
          <t>118.99</t>
        </is>
      </c>
      <c r="L5569" t="n">
        <v>134.98</v>
      </c>
      <c r="M5569" s="1" t="inlineStr">
        <is>
          <t>13.44%</t>
        </is>
      </c>
      <c r="N5569" s="7" t="n">
        <v>69.87</v>
      </c>
      <c r="O5569" t="n">
        <v>5</v>
      </c>
      <c r="P5569" t="n">
        <v>5</v>
      </c>
      <c r="R5569" t="inlineStr">
        <is>
          <t>InStock</t>
        </is>
      </c>
      <c r="S5569" t="inlineStr">
        <is>
          <t>170.54</t>
        </is>
      </c>
      <c r="T5569" t="inlineStr">
        <is>
          <t>7783540949208</t>
        </is>
      </c>
    </row>
    <row r="5570" ht="87" customHeight="1">
      <c r="A5570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5570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5570" t="inlineStr">
        <is>
          <t>Klein Tools CL320KIT HVAC Digital Clamp Meter Electrical Test Kit</t>
        </is>
      </c>
      <c r="D5570" t="inlineStr">
        <is>
          <t>Klein Tools CL600 Electrical Tester, Digital Clamp Meter &amp; 80016 Circuit Breaker Finder Tool Kit with Accessories, 2-Piece Set, Includes Cat. No. ET310 and Cat. No. 69411</t>
        </is>
      </c>
      <c r="E5570" s="2">
        <f>HYPERLINK("https://www.amazon.com/Klein-Tools-Electrical-Digital-Accessories/dp/B0BNL7KB4S/ref=sr_1_8?keywords=Klein+Tools+CL320KIT+HVAC+Digital+Clamp+Meter+Electrical+Test+Kit&amp;qid=1694735135&amp;sr=8-8", "https://www.amazon.com/Klein-Tools-Electrical-Digital-Accessories/dp/B0BNL7KB4S/ref=sr_1_8?keywords=Klein+Tools+CL320KIT+HVAC+Digital+Clamp+Meter+Electrical+Test+Kit&amp;qid=1694735135&amp;sr=8-8")</f>
        <v/>
      </c>
      <c r="F5570" t="inlineStr">
        <is>
          <t>B0BNL7KB4S</t>
        </is>
      </c>
      <c r="G5570">
        <f>_xlfn.IMAGE("https://edmondsonsupply.com/cdn/shop/products/cl320kit_photo.jpg?v=1660753251")</f>
        <v/>
      </c>
      <c r="H5570">
        <f>_xlfn.IMAGE("https://m.media-amazon.com/images/I/51qczX90GxL._AC_UY218_.jpg")</f>
        <v/>
      </c>
      <c r="K5570" t="inlineStr">
        <is>
          <t>118.99</t>
        </is>
      </c>
      <c r="L5570" t="n">
        <v>134.96</v>
      </c>
      <c r="M5570" s="1" t="inlineStr">
        <is>
          <t>13.42%</t>
        </is>
      </c>
      <c r="N5570" s="7" t="n">
        <v>69.39</v>
      </c>
      <c r="O5570" t="n">
        <v>5</v>
      </c>
      <c r="P5570" t="n">
        <v>2</v>
      </c>
      <c r="R5570" t="inlineStr">
        <is>
          <t>InStock</t>
        </is>
      </c>
      <c r="S5570" t="inlineStr">
        <is>
          <t>170.54</t>
        </is>
      </c>
      <c r="T5570" t="inlineStr">
        <is>
          <t>7783540949208</t>
        </is>
      </c>
    </row>
    <row r="5571" ht="87" customHeight="1">
      <c r="A5571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5571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5571" t="inlineStr">
        <is>
          <t>Klein Tools D248-8 Diagonal Cutting Pliers, Angled Head, Short Jaw, 8-Inch</t>
        </is>
      </c>
      <c r="D5571" t="inlineStr">
        <is>
          <t>Klein Tools D248-8-GLW Pliers, Hi-Viz Diagonal Cutting Pliers with Angled Head, Short Jaws, and Glow in the Dark Handles, 8-Inch</t>
        </is>
      </c>
      <c r="E5571" s="2">
        <f>HYPERLINK("https://www.amazon.com/Diagonal-Cutting-Klein-Tools-D248-8-GLW/dp/B00LMM39TY/ref=sr_1_2?keywords=Klein+Tools+D248-8+Diagonal+Cutting+Pliers%2C+Angled+Head%2C+Short+Jaw%2C+8-Inch&amp;qid=1694735219&amp;sr=8-2", "https://www.amazon.com/Diagonal-Cutting-Klein-Tools-D248-8-GLW/dp/B00LMM39TY/ref=sr_1_2?keywords=Klein+Tools+D248-8+Diagonal+Cutting+Pliers%2C+Angled+Head%2C+Short+Jaw%2C+8-Inch&amp;qid=1694735219&amp;sr=8-2")</f>
        <v/>
      </c>
      <c r="F5571" t="inlineStr">
        <is>
          <t>B00LMM39TY</t>
        </is>
      </c>
      <c r="G5571">
        <f>_xlfn.IMAGE("https://edmondsonsupply.com/cdn/shop/products/d2488.jpg?v=1633030997")</f>
        <v/>
      </c>
      <c r="H5571">
        <f>_xlfn.IMAGE("https://m.media-amazon.com/images/I/41HSLnsbFiL._AC_UL320_.jpg")</f>
        <v/>
      </c>
      <c r="K5571" t="inlineStr">
        <is>
          <t>29.97</t>
        </is>
      </c>
      <c r="L5571" t="n">
        <v>33.99</v>
      </c>
      <c r="M5571" s="1" t="inlineStr">
        <is>
          <t>13.41%</t>
        </is>
      </c>
      <c r="N5571" s="7" t="n">
        <v>68.87</v>
      </c>
      <c r="O5571" t="n">
        <v>4.9</v>
      </c>
      <c r="P5571" t="n">
        <v>631</v>
      </c>
      <c r="R5571" t="inlineStr">
        <is>
          <t>InStock</t>
        </is>
      </c>
      <c r="S5571" t="inlineStr">
        <is>
          <t>45.42</t>
        </is>
      </c>
      <c r="T5571" t="inlineStr">
        <is>
          <t>6680617091245</t>
        </is>
      </c>
    </row>
    <row r="5572" ht="87" customHeight="1">
      <c r="A5572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572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572" t="inlineStr">
        <is>
          <t>Klein Tools D228-8 Diagonal Cutting Pliers, High-Leverage, 8-Inch</t>
        </is>
      </c>
      <c r="D5572" t="inlineStr">
        <is>
          <t>Klein Tools D248-8-GLW Pliers, Hi-Viz Diagonal Cutting Pliers with Angled Head, Short Jaws, and Glow in the Dark Handles, 8-Inch</t>
        </is>
      </c>
      <c r="E5572" s="2">
        <f>HYPERLINK("https://www.amazon.com/Diagonal-Cutting-Klein-Tools-D248-8-GLW/dp/B00LMM39TY/ref=sr_1_22?keywords=Klein+Tools+D228-8+Diagonal+Cutting+Pliers%2C+High-Leverage%2C+8-Inch&amp;qid=1694735247&amp;sr=8-22", "https://www.amazon.com/Diagonal-Cutting-Klein-Tools-D248-8-GLW/dp/B00LMM39TY/ref=sr_1_22?keywords=Klein+Tools+D228-8+Diagonal+Cutting+Pliers%2C+High-Leverage%2C+8-Inch&amp;qid=1694735247&amp;sr=8-22")</f>
        <v/>
      </c>
      <c r="F5572" t="inlineStr">
        <is>
          <t>B00LMM39TY</t>
        </is>
      </c>
      <c r="G5572">
        <f>_xlfn.IMAGE("https://edmondsonsupply.com/cdn/shop/products/d2288.jpg?v=1633030753")</f>
        <v/>
      </c>
      <c r="H5572">
        <f>_xlfn.IMAGE("https://m.media-amazon.com/images/I/41HSLnsbFiL._AC_UL320_.jpg")</f>
        <v/>
      </c>
      <c r="K5572" t="inlineStr">
        <is>
          <t>29.97</t>
        </is>
      </c>
      <c r="L5572" t="n">
        <v>33.99</v>
      </c>
      <c r="M5572" s="1" t="inlineStr">
        <is>
          <t>13.41%</t>
        </is>
      </c>
      <c r="N5572" s="7" t="n">
        <v>66.89</v>
      </c>
      <c r="O5572" t="n">
        <v>4.9</v>
      </c>
      <c r="P5572" t="n">
        <v>631</v>
      </c>
      <c r="R5572" t="inlineStr">
        <is>
          <t>InStock</t>
        </is>
      </c>
      <c r="S5572" t="inlineStr">
        <is>
          <t>42.78</t>
        </is>
      </c>
      <c r="T5572" t="inlineStr">
        <is>
          <t>5896908472488</t>
        </is>
      </c>
    </row>
    <row r="5573" ht="87" customHeight="1">
      <c r="A5573" s="2">
        <f>HYPERLINK("https://edmondsonsupply.com/collections/electricians-tools/products/milwaukee-2429-21xc-m12%E2%84%A2-cordless-sub-compact-band-saw-kit", "https://edmondsonsupply.com/collections/electricians-tools/products/milwaukee-2429-21xc-m12%E2%84%A2-cordless-sub-compact-band-saw-kit")</f>
        <v/>
      </c>
      <c r="B5573" s="2">
        <f>HYPERLINK("https://edmondsonsupply.com/products/milwaukee-2429-21xc-m12%e2%84%a2-cordless-sub-compact-band-saw-kit", "https://edmondsonsupply.com/products/milwaukee-2429-21xc-m12%e2%84%a2-cordless-sub-compact-band-saw-kit")</f>
        <v/>
      </c>
      <c r="C5573" t="inlineStr">
        <is>
          <t>Milwaukee 2429-21XC M12™ Cordless Sub-Compact Band Saw Kit</t>
        </is>
      </c>
      <c r="D5573" t="inlineStr">
        <is>
          <t>Milwaukee 2529-21XC M12 FUEL 12-Volt Lithium-Ion Cordless Compact Band Saw XC Kit with One 4.0 Ah Battery, Charger and Tool Bag</t>
        </is>
      </c>
      <c r="E5573" s="2">
        <f>HYPERLINK("https://www.amazon.com/Milwaukee-2529-21XC-12-Volt-Lithium-Ion-Cordless/dp/B09MSRNQ3L/ref=sr_1_2?keywords=Milwaukee+2429-21XC+M12%E2%84%A2+Cordless+Sub-Compact+Band+Saw+Kit&amp;qid=1694735357&amp;sr=8-2", "https://www.amazon.com/Milwaukee-2529-21XC-12-Volt-Lithium-Ion-Cordless/dp/B09MSRNQ3L/ref=sr_1_2?keywords=Milwaukee+2429-21XC+M12%E2%84%A2+Cordless+Sub-Compact+Band+Saw+Kit&amp;qid=1694735357&amp;sr=8-2")</f>
        <v/>
      </c>
      <c r="F5573" t="inlineStr">
        <is>
          <t>B09MSRNQ3L</t>
        </is>
      </c>
      <c r="G5573">
        <f>_xlfn.IMAGE("https://edmondsonsupply.com/cdn/shop/products/2429-20_1-lg.gif?v=1587142507")</f>
        <v/>
      </c>
      <c r="H5573">
        <f>_xlfn.IMAGE("https://m.media-amazon.com/images/I/81RfSgmbepL._AC_UL320_.jpg")</f>
        <v/>
      </c>
      <c r="K5573" t="inlineStr">
        <is>
          <t>269.0</t>
        </is>
      </c>
      <c r="L5573" t="n">
        <v>304.95</v>
      </c>
      <c r="M5573" s="1" t="inlineStr">
        <is>
          <t>13.36%</t>
        </is>
      </c>
      <c r="N5573" s="7" t="n">
        <v>66.78</v>
      </c>
      <c r="O5573" t="n">
        <v>4.7</v>
      </c>
      <c r="P5573" t="n">
        <v>40</v>
      </c>
      <c r="R5573" t="inlineStr">
        <is>
          <t>InStock</t>
        </is>
      </c>
      <c r="S5573" t="inlineStr">
        <is>
          <t>456.0</t>
        </is>
      </c>
      <c r="T5573" t="inlineStr">
        <is>
          <t>4433752653924</t>
        </is>
      </c>
    </row>
    <row r="5574" hidden="1" ht="15.75" customHeight="1">
      <c r="A5574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5574" s="2">
        <f>HYPERLINK("https://edmondsonsupply.com/products/diablo-tools-dmapl2240-3-8-in-x-10-in-x-12-in-sds-plus-2-cutter", "https://edmondsonsupply.com/products/diablo-tools-dmapl2240-3-8-in-x-10-in-x-12-in-sds-plus-2-cutter")</f>
        <v/>
      </c>
      <c r="C5574" t="inlineStr">
        <is>
          <t>Diablo Tools DMAPL2240 3/8 in. x 10 in. x 12 in. SDS-Plus 2-Cutter</t>
        </is>
      </c>
      <c r="D5574" t="inlineStr">
        <is>
          <t>BOSCH HC2064 3/8 In. x 10 In. x 12 In. Bulldog SDS-Plus Rotary Hammer Bit</t>
        </is>
      </c>
      <c r="E5574" s="2">
        <f>HYPERLINK("https://www.amazon.com/Bosch-HC2064-SDS-plus-Bulldog-Rotary/dp/B001AHWS5M/ref=sr_1_21?keywords=Diablo+Tools+DMAPL2240+3%2F8+in.+x+10+in.+x+12+in.+SDS-Plus+2-Cutter&amp;qid=1694735297&amp;sr=8-21", "https://www.amazon.com/Bosch-HC2064-SDS-plus-Bulldog-Rotary/dp/B001AHWS5M/ref=sr_1_21?keywords=Diablo+Tools+DMAPL2240+3%2F8+in.+x+10+in.+x+12+in.+SDS-Plus+2-Cutter&amp;qid=1694735297&amp;sr=8-21")</f>
        <v/>
      </c>
      <c r="F5574" t="inlineStr">
        <is>
          <t>B001AHWS5M</t>
        </is>
      </c>
      <c r="G5574">
        <f>_xludf.IMAGE("https://edmondsonsupply.com/cdn/shop/products/DMAPL2240-P25.jpg?v=1633030355")</f>
        <v/>
      </c>
      <c r="H5574">
        <f>_xludf.IMAGE("https://m.media-amazon.com/images/I/61xyVaE1eYL._AC_UL320_.jpg")</f>
        <v/>
      </c>
      <c r="K5574" t="inlineStr">
        <is>
          <t>10.97</t>
        </is>
      </c>
      <c r="L5574" t="n">
        <v>12.43</v>
      </c>
      <c r="M5574" s="1" t="inlineStr">
        <is>
          <t>13.31%</t>
        </is>
      </c>
      <c r="N5574" s="1" t="n">
        <v>66.7</v>
      </c>
      <c r="O5574" t="n">
        <v>4.7</v>
      </c>
      <c r="P5574" t="n">
        <v>9679</v>
      </c>
      <c r="R5574" t="inlineStr">
        <is>
          <t>InStock</t>
        </is>
      </c>
      <c r="S5574" t="inlineStr">
        <is>
          <t>12.38</t>
        </is>
      </c>
      <c r="T5574" t="inlineStr">
        <is>
          <t>5286161252520</t>
        </is>
      </c>
    </row>
    <row r="5575" ht="87" customHeight="1">
      <c r="A5575" s="2">
        <f>HYPERLINK("https://edmondsonsupply.com/collections/electricians-tools/products/fluke-87v", "https://edmondsonsupply.com/collections/electricians-tools/products/fluke-87v")</f>
        <v/>
      </c>
      <c r="B5575" s="2">
        <f>HYPERLINK("https://edmondsonsupply.com/products/fluke-87v", "https://edmondsonsupply.com/products/fluke-87v")</f>
        <v/>
      </c>
      <c r="C5575" t="inlineStr">
        <is>
          <t>Fluke 87V Industrial Multimeter</t>
        </is>
      </c>
      <c r="D5575" t="inlineStr">
        <is>
          <t>Fluke 87V/IMSK Industrial Digital Multimeter with Fluke i400 Current Clamp Kit, Converts 87V Into Clamp Meter, AC Current Measurements Up To 400 A, Includes Temp Probe, Test Leads And Alligator Clips</t>
        </is>
      </c>
      <c r="E5575" s="2">
        <f>HYPERLINK("https://www.amazon.com/Fluke-87V-IMSK-Industrial-Multimeter/dp/B004HDUNQ2/ref=sr_1_1?keywords=Fluke+87V+Industrial+Multimeter&amp;qid=1694735314&amp;sr=8-1", "https://www.amazon.com/Fluke-87V-IMSK-Industrial-Multimeter/dp/B004HDUNQ2/ref=sr_1_1?keywords=Fluke+87V+Industrial+Multimeter&amp;qid=1694735314&amp;sr=8-1")</f>
        <v/>
      </c>
      <c r="F5575" t="inlineStr">
        <is>
          <t>B004HDUNQ2</t>
        </is>
      </c>
      <c r="G5575">
        <f>_xlfn.IMAGE("https://edmondsonsupply.com/cdn/shop/products/875.jpg?v=1633030274")</f>
        <v/>
      </c>
      <c r="H5575">
        <f>_xlfn.IMAGE("https://m.media-amazon.com/images/I/71nvi7bVqUL._AC_UL320_.jpg")</f>
        <v/>
      </c>
      <c r="K5575" t="inlineStr">
        <is>
          <t>459.89</t>
        </is>
      </c>
      <c r="L5575" t="n">
        <v>521.08</v>
      </c>
      <c r="M5575" s="1" t="inlineStr">
        <is>
          <t>13.31%</t>
        </is>
      </c>
      <c r="N5575" s="7" t="n">
        <v>64.98999999999999</v>
      </c>
      <c r="O5575" t="n">
        <v>4.8</v>
      </c>
      <c r="P5575" t="n">
        <v>171</v>
      </c>
      <c r="R5575" t="inlineStr">
        <is>
          <t>InStock</t>
        </is>
      </c>
      <c r="S5575" t="inlineStr">
        <is>
          <t>521.99</t>
        </is>
      </c>
      <c r="T5575" t="inlineStr">
        <is>
          <t>5238369452200</t>
        </is>
      </c>
    </row>
    <row r="5576" hidden="1" ht="15.75" customHeight="1">
      <c r="A5576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5576" s="2">
        <f>HYPERLINK("https://edmondsonsupply.com/products/klein-tools-s10-5-16-inch-nut-driver-3-inch-hollow-shaft", "https://edmondsonsupply.com/products/klein-tools-s10-5-16-inch-nut-driver-3-inch-hollow-shaft")</f>
        <v/>
      </c>
      <c r="C5576" t="inlineStr">
        <is>
          <t>Klein Tools S10 5/16-Inch Nut Driver 3-Inch Hollow Shaft</t>
        </is>
      </c>
      <c r="D5576" t="inlineStr">
        <is>
          <t>Klein Tools S10M 5/16-Inch Magnetic Nut Driver with 3-Inch Solid Shaft and Comfordome Handle</t>
        </is>
      </c>
      <c r="E5576" s="2">
        <f>HYPERLINK("https://www.amazon.com/Magnetic-Comfordome-Klein-Tools-S10M/dp/B000936PCU/ref=sr_1_7?keywords=Klein+Tools+S10+5%2F16-Inch+Nut+Driver+3-Inch+Hollow+Shaft&amp;qid=1694735234&amp;sr=8-7", "https://www.amazon.com/Magnetic-Comfordome-Klein-Tools-S10M/dp/B000936PCU/ref=sr_1_7?keywords=Klein+Tools+S10+5%2F16-Inch+Nut+Driver+3-Inch+Hollow+Shaft&amp;qid=1694735234&amp;sr=8-7")</f>
        <v/>
      </c>
      <c r="F5576" t="inlineStr">
        <is>
          <t>B000936PCU</t>
        </is>
      </c>
      <c r="G5576">
        <f>_xludf.IMAGE("https://edmondsonsupply.com/cdn/shop/products/s10_38acacb8-6c8e-49ef-8ed3-7160ab53875a.jpg?v=1633030893")</f>
        <v/>
      </c>
      <c r="H5576">
        <f>_xludf.IMAGE("https://m.media-amazon.com/images/I/51wT5Rnu5GL._AC_UL320_.jpg")</f>
        <v/>
      </c>
      <c r="K5576" t="inlineStr">
        <is>
          <t>7.99</t>
        </is>
      </c>
      <c r="L5576" t="n">
        <v>9.050000000000001</v>
      </c>
      <c r="M5576" s="1" t="inlineStr">
        <is>
          <t>13.27%</t>
        </is>
      </c>
      <c r="N5576" s="1" t="n">
        <v>63.81</v>
      </c>
      <c r="O5576" t="n">
        <v>4.6</v>
      </c>
      <c r="P5576" t="n">
        <v>231</v>
      </c>
      <c r="R5576" t="inlineStr">
        <is>
          <t>InStock</t>
        </is>
      </c>
      <c r="S5576" t="inlineStr">
        <is>
          <t>12.06</t>
        </is>
      </c>
      <c r="T5576" t="inlineStr">
        <is>
          <t>6223447031981</t>
        </is>
      </c>
    </row>
    <row r="5577" hidden="1" ht="15.75" customHeight="1">
      <c r="A5577" s="2">
        <f>HYPERLINK("https://edmondsonsupply.com/collections/electricians-tools/products/diablo-tools-dmarg1120-3-8-in-x-4-in-x-6-in-speedemon%E2%84%A2-red-granite-carbide-tipped-hammer-drill-bit", "https://edmondsonsupply.com/collections/electricians-tools/products/diablo-tools-dmarg1120-3-8-in-x-4-in-x-6-in-speedemon%E2%84%A2-red-granite-carbide-tipped-hammer-drill-bit")</f>
        <v/>
      </c>
      <c r="B5577" s="2">
        <f>HYPERLINK("https://edmondsonsupply.com/products/diablo-tools-dmarg1120-3-8-in-x-4-in-x-6-in-speedemon%e2%84%a2-red-granite-carbide-tipped-hammer-drill-bit", "https://edmondsonsupply.com/products/diablo-tools-dmarg1120-3-8-in-x-4-in-x-6-in-speedemon%e2%84%a2-red-granite-carbide-tipped-hammer-drill-bit")</f>
        <v/>
      </c>
      <c r="C5577" t="inlineStr">
        <is>
          <t>Diablo Tools DMARG1120 3/8 in. x 4 in. x 6 in. SPEEDemon™ Red Granite Carbide Tipped Hammer Drill Bit</t>
        </is>
      </c>
      <c r="D5577" t="inlineStr">
        <is>
          <t>Diablo 3/8" x 4" x 6" SPEEDemon Red Granite Carbide Tipped Hammer Drill Bit</t>
        </is>
      </c>
      <c r="E5577" s="2">
        <f>HYPERLINK("https://www.amazon.com/Diablo-DMARG1120-SPEEDemon-Granite-Carbide/dp/B089KV1DVX/ref=sr_1_1?keywords=Diablo+Tools+DMARG1120+3%2F8+in.+x+4+in.+x+6+in.+SPEEDemon%E2%84%A2+Red+Granite+Carbide+Tipped+Hammer+Drill+Bit&amp;qid=1694735289&amp;sr=8-1", "https://www.amazon.com/Diablo-DMARG1120-SPEEDemon-Granite-Carbide/dp/B089KV1DVX/ref=sr_1_1?keywords=Diablo+Tools+DMARG1120+3%2F8+in.+x+4+in.+x+6+in.+SPEEDemon%E2%84%A2+Red+Granite+Carbide+Tipped+Hammer+Drill+Bit&amp;qid=1694735289&amp;sr=8-1")</f>
        <v/>
      </c>
      <c r="F5577" t="inlineStr">
        <is>
          <t>B089KV1DVX</t>
        </is>
      </c>
      <c r="G5577">
        <f>_xludf.IMAGE("https://edmondsonsupply.com/cdn/shop/products/DMARG1120_Main-Image20200513.png?v=1633030510")</f>
        <v/>
      </c>
      <c r="H5577">
        <f>_xludf.IMAGE("https://m.media-amazon.com/images/I/61vGz44pi4L._AC_UL320_.jpg")</f>
        <v/>
      </c>
      <c r="K5577" t="inlineStr">
        <is>
          <t>7.27</t>
        </is>
      </c>
      <c r="L5577" t="n">
        <v>8.23</v>
      </c>
      <c r="M5577" s="1" t="inlineStr">
        <is>
          <t>13.20%</t>
        </is>
      </c>
      <c r="N5577" s="1" t="n">
        <v>62.86</v>
      </c>
      <c r="O5577" t="n">
        <v>4.2</v>
      </c>
      <c r="P5577" t="n">
        <v>15</v>
      </c>
      <c r="R5577" t="inlineStr">
        <is>
          <t>InStock</t>
        </is>
      </c>
      <c r="S5577" t="inlineStr">
        <is>
          <t>undefined</t>
        </is>
      </c>
      <c r="T5577" t="inlineStr">
        <is>
          <t>5386498834600</t>
        </is>
      </c>
    </row>
    <row r="5578" hidden="1" ht="15.75" customHeight="1">
      <c r="A5578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5578" s="2">
        <f>HYPERLINK("https://edmondsonsupply.com/products/diablo-tools-d0624x-6-1-2-in-24-tooth-framing-saw-blade", "https://edmondsonsupply.com/products/diablo-tools-d0624x-6-1-2-in-24-tooth-framing-saw-blade")</f>
        <v/>
      </c>
      <c r="C5578" t="inlineStr">
        <is>
          <t>Diablo Tools D0624X 6-1/2 in. 24-Tooth Framing Saw Blade</t>
        </is>
      </c>
      <c r="D5578" t="inlineStr">
        <is>
          <t>DEWALT Circular Saw Blade, 6 1/2 Inch, 40 Tooth, Framing (DWA161240)</t>
        </is>
      </c>
      <c r="E5578" s="2">
        <f>HYPERLINK("https://www.amazon.com/DEWALT-DWA161240-2-Inch-40-Tooth-Circular/dp/B07P77MJLR/ref=sr_1_23?keywords=Diablo+Tools+D0624X+6-1%2F2+in.+24-Tooth+Framing+Saw+Blade&amp;qid=1694735025&amp;sr=8-23", "https://www.amazon.com/DEWALT-DWA161240-2-Inch-40-Tooth-Circular/dp/B07P77MJLR/ref=sr_1_23?keywords=Diablo+Tools+D0624X+6-1%2F2+in.+24-Tooth+Framing+Saw+Blade&amp;qid=1694735025&amp;sr=8-23")</f>
        <v/>
      </c>
      <c r="F5578" t="inlineStr">
        <is>
          <t>B07P77MJLR</t>
        </is>
      </c>
      <c r="G5578">
        <f>_xludf.IMAGE("https://edmondsonsupply.com/cdn/shop/products/mfin0gl4ono6qztsnrth.webp?v=1678982694")</f>
        <v/>
      </c>
      <c r="H5578">
        <f>_xludf.IMAGE("https://m.media-amazon.com/images/I/616lo74dLuL._AC_UL320_.jpg")</f>
        <v/>
      </c>
      <c r="K5578" t="inlineStr">
        <is>
          <t>11.97</t>
        </is>
      </c>
      <c r="L5578" t="n">
        <v>13.55</v>
      </c>
      <c r="M5578" s="1" t="inlineStr">
        <is>
          <t>13.20%</t>
        </is>
      </c>
      <c r="N5578" s="1" t="n">
        <v>58.75</v>
      </c>
      <c r="O5578" t="n">
        <v>4.8</v>
      </c>
      <c r="P5578" t="n">
        <v>2574</v>
      </c>
      <c r="R5578" t="inlineStr">
        <is>
          <t>InStock</t>
        </is>
      </c>
      <c r="S5578" t="inlineStr">
        <is>
          <t>17.38</t>
        </is>
      </c>
      <c r="T5578" t="inlineStr">
        <is>
          <t>7962732855512</t>
        </is>
      </c>
    </row>
    <row r="5579" ht="87" customHeight="1">
      <c r="A5579" s="2">
        <f>HYPERLINK("https://edmondsonsupply.com/collections/electricians-tools/products/klein-tools-44103-utility-blade-dispenser-with-50-blades", "https://edmondsonsupply.com/collections/electricians-tools/products/klein-tools-44103-utility-blade-dispenser-with-50-blades")</f>
        <v/>
      </c>
      <c r="B5579" s="2">
        <f>HYPERLINK("https://edmondsonsupply.com/products/klein-tools-44103-utility-blade-dispenser-with-50-blades", "https://edmondsonsupply.com/products/klein-tools-44103-utility-blade-dispenser-with-50-blades")</f>
        <v/>
      </c>
      <c r="C5579" t="inlineStr">
        <is>
          <t>Klein Tools 44103 Utility Blade Dispenser with 50 Blades</t>
        </is>
      </c>
      <c r="D5579" t="inlineStr">
        <is>
          <t>Klein Tools 44103 Utility Blade Auto-Loading Dispenser with 50 Blades</t>
        </is>
      </c>
      <c r="E5579" s="2">
        <f>HYPERLINK("https://www.amazon.com/Utility-Dispenser-Klein-Tools-44103/dp/B00BEZWIFA/ref=sr_1_1?keywords=Klein+Tools+44103+Utility+Blade+Dispenser+with+50+Blades&amp;qid=1694735380&amp;sr=8-1", "https://www.amazon.com/Utility-Dispenser-Klein-Tools-44103/dp/B00BEZWIFA/ref=sr_1_1?keywords=Klein+Tools+44103+Utility+Blade+Dispenser+with+50+Blades&amp;qid=1694735380&amp;sr=8-1")</f>
        <v/>
      </c>
      <c r="F5579" t="inlineStr">
        <is>
          <t>B00BEZWIFA</t>
        </is>
      </c>
      <c r="G5579">
        <f>_xlfn.IMAGE("https://edmondsonsupply.com/cdn/shop/products/44103.jpg?v=1587150477")</f>
        <v/>
      </c>
      <c r="H5579">
        <f>_xlfn.IMAGE("https://m.media-amazon.com/images/I/51ezaR-TzBS._AC_UL320_.jpg")</f>
        <v/>
      </c>
      <c r="K5579" t="inlineStr">
        <is>
          <t>17.99</t>
        </is>
      </c>
      <c r="L5579" t="n">
        <v>20.35</v>
      </c>
      <c r="M5579" s="1" t="inlineStr">
        <is>
          <t>13.12%</t>
        </is>
      </c>
      <c r="N5579" s="7" t="n">
        <v>58.38</v>
      </c>
      <c r="O5579" t="n">
        <v>4.6</v>
      </c>
      <c r="P5579" t="n">
        <v>138</v>
      </c>
      <c r="R5579" t="inlineStr">
        <is>
          <t>InStock</t>
        </is>
      </c>
      <c r="S5579" t="inlineStr">
        <is>
          <t>25.32</t>
        </is>
      </c>
      <c r="T5579" t="inlineStr">
        <is>
          <t>4424102379620</t>
        </is>
      </c>
    </row>
    <row r="5580" ht="87" customHeight="1">
      <c r="A5580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5580" s="2">
        <f>HYPERLINK("https://edmondsonsupply.com/products/klein-tools-11057-klein-kurve%c2%ae-wire-stripper-and-cutter", "https://edmondsonsupply.com/products/klein-tools-11057-klein-kurve%c2%ae-wire-stripper-and-cutter")</f>
        <v/>
      </c>
      <c r="C5580" t="inlineStr">
        <is>
          <t>Klein Tools 11057 Klein-Kurve® Wire Stripper and Cutter</t>
        </is>
      </c>
      <c r="D5580" t="inlineStr">
        <is>
          <t>Klein Tools 1010 Multi Tool Long Nose Wire Cutter, Wire Crimper, Stripper and Bolt Cutter Multi-Purpose Electrician Tool, 8-Inch Long</t>
        </is>
      </c>
      <c r="E5580" s="2">
        <f>HYPERLINK("https://www.amazon.com/Klein-Tools-1010-Crimper-Stripper/dp/B0000302WX/ref=sr_1_4?keywords=Klein+Tools+11057+Klein-Kurve%C2%AE+Wire+Stripper+and+Cutter&amp;qid=1694735357&amp;sr=8-4", "https://www.amazon.com/Klein-Tools-1010-Crimper-Stripper/dp/B0000302WX/ref=sr_1_4?keywords=Klein+Tools+11057+Klein-Kurve%C2%AE+Wire+Stripper+and+Cutter&amp;qid=1694735357&amp;sr=8-4")</f>
        <v/>
      </c>
      <c r="F5580" t="inlineStr">
        <is>
          <t>B0000302WX</t>
        </is>
      </c>
      <c r="G5580">
        <f>_xlfn.IMAGE("https://edmondsonsupply.com/cdn/shop/products/11057.jpg?v=1587146927")</f>
        <v/>
      </c>
      <c r="H5580">
        <f>_xlfn.IMAGE("https://m.media-amazon.com/images/I/51hS7c2qzvL._AC_UL320_.jpg")</f>
        <v/>
      </c>
      <c r="K5580" t="inlineStr">
        <is>
          <t>20.97</t>
        </is>
      </c>
      <c r="L5580" t="n">
        <v>23.71</v>
      </c>
      <c r="M5580" s="1" t="inlineStr">
        <is>
          <t>13.07%</t>
        </is>
      </c>
      <c r="N5580" s="7" t="n">
        <v>56.62</v>
      </c>
      <c r="O5580" t="n">
        <v>4.8</v>
      </c>
      <c r="P5580" t="n">
        <v>1503</v>
      </c>
      <c r="R5580" t="inlineStr">
        <is>
          <t>InStock</t>
        </is>
      </c>
      <c r="S5580" t="inlineStr">
        <is>
          <t>32.72</t>
        </is>
      </c>
      <c r="T5580" t="inlineStr">
        <is>
          <t>4455254720612</t>
        </is>
      </c>
    </row>
    <row r="5581" ht="87" customHeight="1">
      <c r="A5581" s="2">
        <f>HYPERLINK("https://edmondsonsupply.com/collections/electricians-tools/products/copy-of-diablo-tools-d0724a-7-1-4-in-x-24-tooth-framing-saw-blade", "https://edmondsonsupply.com/collections/electricians-tools/products/copy-of-diablo-tools-d0724a-7-1-4-in-x-24-tooth-framing-saw-blade")</f>
        <v/>
      </c>
      <c r="B5581" s="2">
        <f>HYPERLINK("https://edmondsonsupply.com/products/copy-of-diablo-tools-d0724a-7-1-4-in-x-24-tooth-framing-saw-blade", "https://edmondsonsupply.com/products/copy-of-diablo-tools-d0724a-7-1-4-in-x-24-tooth-framing-saw-blade")</f>
        <v/>
      </c>
      <c r="C5581" t="inlineStr">
        <is>
          <t>Diablo Tools D1280X 12 in. x 80 Tooth Fine Finish Saw Blade</t>
        </is>
      </c>
      <c r="D5581" t="inlineStr">
        <is>
          <t>BOSCH DCB1280 12 In. 80 Tooth Edge Circular Saw Blade for Extra-Fine Finish</t>
        </is>
      </c>
      <c r="E5581" s="2">
        <f>HYPERLINK("https://www.amazon.com/Bosch-DCB1280-Daredevil-80-Tooth-Extra-Fine/dp/B008FYUV2A/ref=sr_1_30?keywords=Diablo+Tools+D1280X+12+in.+x+80+Tooth+Fine+Finish+Saw+Blade&amp;qid=1694735310&amp;sr=8-30", "https://www.amazon.com/Bosch-DCB1280-Daredevil-80-Tooth-Extra-Fine/dp/B008FYUV2A/ref=sr_1_30?keywords=Diablo+Tools+D1280X+12+in.+x+80+Tooth+Fine+Finish+Saw+Blade&amp;qid=1694735310&amp;sr=8-30")</f>
        <v/>
      </c>
      <c r="F5581" t="inlineStr">
        <is>
          <t>B008FYUV2A</t>
        </is>
      </c>
      <c r="G5581">
        <f>_xlfn.IMAGE("https://edmondsonsupply.com/cdn/shop/products/D1280X_Main-Image.png?v=1633030268")</f>
        <v/>
      </c>
      <c r="H5581">
        <f>_xlfn.IMAGE("https://m.media-amazon.com/images/I/81FJnS-HLIL._AC_UL320_.jpg")</f>
        <v/>
      </c>
      <c r="K5581" t="inlineStr">
        <is>
          <t>54.97</t>
        </is>
      </c>
      <c r="L5581" t="n">
        <v>62.15</v>
      </c>
      <c r="M5581" s="1" t="inlineStr">
        <is>
          <t>13.06%</t>
        </is>
      </c>
      <c r="N5581" s="7" t="n">
        <v>54.88</v>
      </c>
      <c r="O5581" t="n">
        <v>4.6</v>
      </c>
      <c r="P5581" t="n">
        <v>96</v>
      </c>
      <c r="R5581" t="inlineStr">
        <is>
          <t>InStock</t>
        </is>
      </c>
      <c r="S5581" t="inlineStr">
        <is>
          <t>85.5</t>
        </is>
      </c>
      <c r="T5581" t="inlineStr">
        <is>
          <t>4679290224740</t>
        </is>
      </c>
    </row>
    <row r="5582" ht="87" customHeight="1">
      <c r="A5582" s="2">
        <f>HYPERLINK("https://edmondsonsupply.com/collections/electricians-tools/products/klein-tools-58890-17-pocket-tool-tote-with-shoulder-strap", "https://edmondsonsupply.com/collections/electricians-tools/products/klein-tools-58890-17-pocket-tool-tote-with-shoulder-strap")</f>
        <v/>
      </c>
      <c r="B5582" s="2">
        <f>HYPERLINK("https://edmondsonsupply.com/products/klein-tools-58890-17-pocket-tool-tote-with-shoulder-strap", "https://edmondsonsupply.com/products/klein-tools-58890-17-pocket-tool-tote-with-shoulder-strap")</f>
        <v/>
      </c>
      <c r="C5582" t="inlineStr">
        <is>
          <t>Klein Tools 58890 17 Pocket Tool Tote with Shoulder Strap</t>
        </is>
      </c>
      <c r="D5582" t="inlineStr">
        <is>
          <t>Klein Tools 55597 Tool Bag Backpack, Tradesman Pro Tool Organizer with 39 Pockets, Reflective Hi Viz, Padded Shoulder Straps, Molded Base</t>
        </is>
      </c>
      <c r="E5582" s="2">
        <f>HYPERLINK("https://www.amazon.com/Electrician-Tradesman-Klein-Tools-55597/dp/B01N2KEYLV/ref=sr_1_16?keywords=Klein+Tools+58890+17+Pocket+Tool+Tote+with+Shoulder+Strap&amp;qid=1694735362&amp;sr=8-16", "https://www.amazon.com/Electrician-Tradesman-Klein-Tools-55597/dp/B01N2KEYLV/ref=sr_1_16?keywords=Klein+Tools+58890+17+Pocket+Tool+Tote+with+Shoulder+Strap&amp;qid=1694735362&amp;sr=8-16")</f>
        <v/>
      </c>
      <c r="F5582" t="inlineStr">
        <is>
          <t>B01N2KEYLV</t>
        </is>
      </c>
      <c r="G5582">
        <f>_xlfn.IMAGE("https://edmondsonsupply.com/cdn/shop/products/58890.jpg?v=1587148627")</f>
        <v/>
      </c>
      <c r="H5582">
        <f>_xlfn.IMAGE("https://m.media-amazon.com/images/I/71Jhnj1-I+L._AC_UL320_.jpg")</f>
        <v/>
      </c>
      <c r="K5582" t="inlineStr">
        <is>
          <t>97.99</t>
        </is>
      </c>
      <c r="L5582" t="n">
        <v>110.72</v>
      </c>
      <c r="M5582" s="1" t="inlineStr">
        <is>
          <t>12.99%</t>
        </is>
      </c>
      <c r="N5582" s="7" t="n">
        <v>54.33</v>
      </c>
      <c r="O5582" t="n">
        <v>4.7</v>
      </c>
      <c r="P5582" t="n">
        <v>237</v>
      </c>
      <c r="R5582" t="inlineStr">
        <is>
          <t>InStock</t>
        </is>
      </c>
      <c r="S5582" t="inlineStr">
        <is>
          <t>148.48</t>
        </is>
      </c>
      <c r="T5582" t="inlineStr">
        <is>
          <t>4432350740580</t>
        </is>
      </c>
    </row>
    <row r="5583" ht="87" customHeight="1">
      <c r="A5583" s="2">
        <f>HYPERLINK("https://edmondsonsupply.com/collections/electricians-tools/products/klein-tools-jth68mb-6-inch-metric-ball-end-t-handle-set-8-piece", "https://edmondsonsupply.com/collections/electricians-tools/products/klein-tools-jth68mb-6-inch-metric-ball-end-t-handle-set-8-piece")</f>
        <v/>
      </c>
      <c r="B5583" s="2">
        <f>HYPERLINK("https://edmondsonsupply.com/products/klein-tools-jth68mb-6-inch-metric-ball-end-t-handle-set-8-piece", "https://edmondsonsupply.com/products/klein-tools-jth68mb-6-inch-metric-ball-end-t-handle-set-8-piece")</f>
        <v/>
      </c>
      <c r="C5583" t="inlineStr">
        <is>
          <t>Klein Tools JTH68MB Hex Kit Set, Metric, Ball End T-Handle, 6-Inch with Stand, 8-Piece</t>
        </is>
      </c>
      <c r="D5583" t="inlineStr">
        <is>
          <t>Klein Tools JTH68MB Hex Kit Set, Metric Ball End T-Handle Hex Key Allen Wrench Set with 6-Inch Blades, Stand Included, 8-Piece</t>
        </is>
      </c>
      <c r="E5583" s="2">
        <f>HYPERLINK("https://www.amazon.com/T-Handle-8-Piece-Klein-Tools-JTH68MB/dp/B004DB8GSK/ref=sr_1_1?keywords=Klein+Tools+JTH68MB+Hex+Kit+Set%2C+Metric%2C+Ball+End+T-Handle%2C+6-Inch+with+Stand%2C+8-Piece&amp;qid=1694734980&amp;sr=8-1", "https://www.amazon.com/T-Handle-8-Piece-Klein-Tools-JTH68MB/dp/B004DB8GSK/ref=sr_1_1?keywords=Klein+Tools+JTH68MB+Hex+Kit+Set%2C+Metric%2C+Ball+End+T-Handle%2C+6-Inch+with+Stand%2C+8-Piece&amp;qid=1694734980&amp;sr=8-1")</f>
        <v/>
      </c>
      <c r="F5583" t="inlineStr">
        <is>
          <t>B004DB8GSK</t>
        </is>
      </c>
      <c r="G5583">
        <f>_xlfn.IMAGE("https://edmondsonsupply.com/cdn/shop/products/jth68mb.jpg?v=1587142826")</f>
        <v/>
      </c>
      <c r="H5583">
        <f>_xlfn.IMAGE("https://m.media-amazon.com/images/I/61XP-1Qh3UL._AC_UL320_.jpg")</f>
        <v/>
      </c>
      <c r="K5583" t="inlineStr">
        <is>
          <t>49.99</t>
        </is>
      </c>
      <c r="L5583" t="n">
        <v>56.47</v>
      </c>
      <c r="M5583" s="1" t="inlineStr">
        <is>
          <t>12.96%</t>
        </is>
      </c>
      <c r="N5583" s="7" t="n">
        <v>53.97</v>
      </c>
      <c r="O5583" t="n">
        <v>4.6</v>
      </c>
      <c r="P5583" t="n">
        <v>426</v>
      </c>
      <c r="R5583" t="inlineStr">
        <is>
          <t>InStock</t>
        </is>
      </c>
      <c r="S5583" t="inlineStr">
        <is>
          <t>75.74</t>
        </is>
      </c>
      <c r="T5583" t="inlineStr">
        <is>
          <t>3679146639460</t>
        </is>
      </c>
    </row>
    <row r="5584" ht="87" customHeight="1">
      <c r="A5584" s="2">
        <f>HYPERLINK("https://edmondsonsupply.com/collections/electricians-tools/products/channellock-317", "https://edmondsonsupply.com/collections/electricians-tools/products/channellock-317")</f>
        <v/>
      </c>
      <c r="B5584" s="2">
        <f>HYPERLINK("https://edmondsonsupply.com/products/channellock-317", "https://edmondsonsupply.com/products/channellock-317")</f>
        <v/>
      </c>
      <c r="C5584" t="inlineStr">
        <is>
          <t>Channellock 317 8-Inch Long Nose Pliers with Side Cutter</t>
        </is>
      </c>
      <c r="D5584" t="inlineStr">
        <is>
          <t>Channellock 718 8-Inch Flat Nose Pliers | Duckbill Jaw Pliers with Extra Long Nose and Crosshatch Teeth Pattern Designed for Hard-to-Reach Places | Forged of High Carbon Steel | Made in the USA</t>
        </is>
      </c>
      <c r="E5584" s="2">
        <f>HYPERLINK("https://www.amazon.com/Channellock-718-Duckbill-Crosshatch-Designed/dp/B001BPYPFE/ref=sr_1_9?keywords=Channellock+317+8-Inch+Long+Nose+Pliers+with+Side+Cutter&amp;qid=1694735322&amp;sr=8-9", "https://www.amazon.com/Channellock-718-Duckbill-Crosshatch-Designed/dp/B001BPYPFE/ref=sr_1_9?keywords=Channellock+317+8-Inch+Long+Nose+Pliers+with+Side+Cutter&amp;qid=1694735322&amp;sr=8-9")</f>
        <v/>
      </c>
      <c r="F5584" t="inlineStr">
        <is>
          <t>B001BPYPFE</t>
        </is>
      </c>
      <c r="G5584">
        <f>_xlfn.IMAGE("https://edmondsonsupply.com/cdn/shop/products/317-683x1024.jpg?v=1633030326")</f>
        <v/>
      </c>
      <c r="H5584">
        <f>_xlfn.IMAGE("https://m.media-amazon.com/images/I/713AIwRxOiL._AC_UL320_.jpg")</f>
        <v/>
      </c>
      <c r="K5584" t="inlineStr">
        <is>
          <t>24.95</t>
        </is>
      </c>
      <c r="L5584" t="n">
        <v>28.18</v>
      </c>
      <c r="M5584" s="1" t="inlineStr">
        <is>
          <t>12.95%</t>
        </is>
      </c>
      <c r="N5584" s="7" t="n">
        <v>53.87</v>
      </c>
      <c r="O5584" t="n">
        <v>4.8</v>
      </c>
      <c r="P5584" t="n">
        <v>736</v>
      </c>
      <c r="R5584" t="inlineStr">
        <is>
          <t>InStock</t>
        </is>
      </c>
      <c r="S5584" t="inlineStr">
        <is>
          <t>35.15</t>
        </is>
      </c>
      <c r="T5584" t="inlineStr">
        <is>
          <t>5247343526056</t>
        </is>
      </c>
    </row>
    <row r="5585" hidden="1" ht="15.75" customHeight="1">
      <c r="A5585" s="2">
        <f>HYPERLINK("https://edmondsonsupply.com/collections/electricians-tools/products/klein-tools-70580-folding-hex-key-set-six-key-metric-sizes", "https://edmondsonsupply.com/collections/electricians-tools/products/klein-tools-70580-folding-hex-key-set-six-key-metric-sizes")</f>
        <v/>
      </c>
      <c r="B5585" s="2">
        <f>HYPERLINK("https://edmondsonsupply.com/products/klein-tools-70580-folding-hex-key-set-six-key-metric-sizes", "https://edmondsonsupply.com/products/klein-tools-70580-folding-hex-key-set-six-key-metric-sizes")</f>
        <v/>
      </c>
      <c r="C5585" t="inlineStr">
        <is>
          <t>Klein Tools 70580 Folding Hex Key Set, 6-Key, Metric Sizes</t>
        </is>
      </c>
      <c r="D5585" t="inlineStr">
        <is>
          <t>Klein Tools 70573 Grip-It Hex Key Set, 12-Key, SAE/Metric Sizes</t>
        </is>
      </c>
      <c r="E5585" s="2">
        <f>HYPERLINK("https://www.amazon.com/Grip-12-Key-Hex-Set/dp/B0002RI8PA/ref=sr_1_6?keywords=Klein+Tools+70580+Folding+Hex+Key+Set%2C+6-Key%2C+Metric+Sizes&amp;qid=1694735390&amp;sr=8-6", "https://www.amazon.com/Grip-12-Key-Hex-Set/dp/B0002RI8PA/ref=sr_1_6?keywords=Klein+Tools+70580+Folding+Hex+Key+Set%2C+6-Key%2C+Metric+Sizes&amp;qid=1694735390&amp;sr=8-6")</f>
        <v/>
      </c>
      <c r="F5585" t="inlineStr">
        <is>
          <t>B0002RI8PA</t>
        </is>
      </c>
      <c r="G5585">
        <f>_xludf.IMAGE("https://edmondsonsupply.com/cdn/shop/products/70580.jpg?v=1587148596")</f>
        <v/>
      </c>
      <c r="H5585">
        <f>_xludf.IMAGE("https://m.media-amazon.com/images/I/610klv7dq+L._AC_UL320_.jpg")</f>
        <v/>
      </c>
      <c r="K5585" t="inlineStr">
        <is>
          <t>12.99</t>
        </is>
      </c>
      <c r="L5585" t="n">
        <v>14.67</v>
      </c>
      <c r="M5585" s="1" t="inlineStr">
        <is>
          <t>12.93%</t>
        </is>
      </c>
      <c r="N5585" s="1" t="n">
        <v>53.83</v>
      </c>
      <c r="O5585" t="n">
        <v>4.7</v>
      </c>
      <c r="P5585" t="n">
        <v>559</v>
      </c>
      <c r="R5585" t="inlineStr">
        <is>
          <t>InStock</t>
        </is>
      </c>
      <c r="S5585" t="inlineStr">
        <is>
          <t>18.32</t>
        </is>
      </c>
      <c r="T5585" t="inlineStr">
        <is>
          <t>4410310328420</t>
        </is>
      </c>
    </row>
    <row r="5586" ht="87" customHeight="1">
      <c r="A5586" s="2">
        <f>HYPERLINK("https://edmondsonsupply.com/collections/electricians-tools/products/klein-tools-32759-power-nut-driver-set-3-pack-1-4-5-16-3-8", "https://edmondsonsupply.com/collections/electricians-tools/products/klein-tools-32759-power-nut-driver-set-3-pack-1-4-5-16-3-8")</f>
        <v/>
      </c>
      <c r="B5586" s="2">
        <f>HYPERLINK("https://edmondsonsupply.com/products/klein-tools-32759-power-nut-driver-set-3-pack-1-4-5-16-3-8", "https://edmondsonsupply.com/products/klein-tools-32759-power-nut-driver-set-3-pack-1-4-5-16-3-8")</f>
        <v/>
      </c>
      <c r="C5586" t="inlineStr">
        <is>
          <t>Klein Tools 32759 Power Nut Driver Set, 3-Pack</t>
        </is>
      </c>
      <c r="D5586" t="inlineStr">
        <is>
          <t>Klein Tools 32759 Power Nut Driver Set, 3-Pack</t>
        </is>
      </c>
      <c r="E5586" s="2" t="n"/>
      <c r="F5586" t="inlineStr">
        <is>
          <t>B00EKHU5QI</t>
        </is>
      </c>
      <c r="G5586">
        <f>_xlfn.IMAGE("https://edmondsonsupply.com/cdn/shop/products/32759.jpg?v=1587146945")</f>
        <v/>
      </c>
      <c r="H5586">
        <f>_xlfn.IMAGE("https://m.media-amazon.com/images/I/61NHysNPaJL._AC_UL320_.jpg")</f>
        <v/>
      </c>
      <c r="K5586" t="inlineStr">
        <is>
          <t>26.99</t>
        </is>
      </c>
      <c r="L5586" t="n">
        <v>30.47</v>
      </c>
      <c r="M5586" s="1" t="inlineStr">
        <is>
          <t>12.89%</t>
        </is>
      </c>
      <c r="N5586" s="7" t="n">
        <v>53.44</v>
      </c>
      <c r="O5586" t="n">
        <v>4.2</v>
      </c>
      <c r="P5586" t="n">
        <v>103</v>
      </c>
      <c r="R5586" t="inlineStr">
        <is>
          <t>InStock</t>
        </is>
      </c>
      <c r="S5586" t="inlineStr">
        <is>
          <t>44.06</t>
        </is>
      </c>
      <c r="T5586" t="inlineStr">
        <is>
          <t>4490552082532</t>
        </is>
      </c>
    </row>
    <row r="5587" ht="87" customHeight="1">
      <c r="A5587" s="2">
        <f>HYPERLINK("https://edmondsonsupply.com/collections/electricians-tools/products/klein-tools-32759-power-nut-driver-set-3-pack-1-4-5-16-3-8", "https://edmondsonsupply.com/collections/electricians-tools/products/klein-tools-32759-power-nut-driver-set-3-pack-1-4-5-16-3-8")</f>
        <v/>
      </c>
      <c r="B5587" s="2">
        <f>HYPERLINK("https://edmondsonsupply.com/products/klein-tools-32759-power-nut-driver-set-3-pack-1-4-5-16-3-8", "https://edmondsonsupply.com/products/klein-tools-32759-power-nut-driver-set-3-pack-1-4-5-16-3-8")</f>
        <v/>
      </c>
      <c r="C5587" t="inlineStr">
        <is>
          <t>Klein Tools 32759 Power Nut Driver Set, 3-Pack</t>
        </is>
      </c>
      <c r="D5587" t="inlineStr">
        <is>
          <t>Klein Tools 32759 Power Nut Driver Set, 3-Pack</t>
        </is>
      </c>
      <c r="E5587" s="2">
        <f>HYPERLINK("https://www.amazon.com/Driver-3-Pack-Klein-Tools-32759/dp/B00EKHU5QI/ref=sr_1_1?keywords=Klein+Tools+32759+Power+Nut+Driver+Set%2C+3-Pack&amp;qid=1694735357&amp;sr=8-1", "https://www.amazon.com/Driver-3-Pack-Klein-Tools-32759/dp/B00EKHU5QI/ref=sr_1_1?keywords=Klein+Tools+32759+Power+Nut+Driver+Set%2C+3-Pack&amp;qid=1694735357&amp;sr=8-1")</f>
        <v/>
      </c>
      <c r="F5587" t="inlineStr">
        <is>
          <t>B00EKHU5QI</t>
        </is>
      </c>
      <c r="G5587">
        <f>_xlfn.IMAGE("https://edmondsonsupply.com/cdn/shop/products/32759.jpg?v=1587146945")</f>
        <v/>
      </c>
      <c r="H5587">
        <f>_xlfn.IMAGE("https://m.media-amazon.com/images/I/61NHysNPaJL._AC_UL320_.jpg")</f>
        <v/>
      </c>
      <c r="K5587" t="inlineStr">
        <is>
          <t>26.99</t>
        </is>
      </c>
      <c r="L5587" t="n">
        <v>30.47</v>
      </c>
      <c r="M5587" s="1" t="inlineStr">
        <is>
          <t>12.89%</t>
        </is>
      </c>
      <c r="N5587" s="7" t="n">
        <v>53.29</v>
      </c>
      <c r="O5587" t="n">
        <v>4.2</v>
      </c>
      <c r="P5587" t="n">
        <v>103</v>
      </c>
      <c r="R5587" t="inlineStr">
        <is>
          <t>InStock</t>
        </is>
      </c>
      <c r="S5587" t="inlineStr">
        <is>
          <t>44.06</t>
        </is>
      </c>
      <c r="T5587" t="inlineStr">
        <is>
          <t>4490552082532</t>
        </is>
      </c>
    </row>
    <row r="5588" hidden="1" ht="15.75" customHeight="1">
      <c r="A5588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5588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5588" t="inlineStr">
        <is>
          <t>Diablo Tools DMAPL4055 3/16 in. x 10 in. x 12 in. Rebar Demon™ SDS‑Plus 4‑Cutter Full Carbide Head Hammer Bit</t>
        </is>
      </c>
      <c r="D5588" t="inlineStr">
        <is>
          <t>Diablo DMAPL4055 3/16 in. x 10 in. x 12 in. Rebar Demon™ SDS-Plus 4-Cutter Full Carbide Head Hammer Bit</t>
        </is>
      </c>
      <c r="E5588" s="2" t="n"/>
      <c r="F5588" t="inlineStr">
        <is>
          <t>B089LJCD42</t>
        </is>
      </c>
      <c r="G5588">
        <f>_xludf.IMAGE("https://edmondsonsupply.com/cdn/shop/products/DMAPL4055_Main-Image20200331.png?v=1633030416")</f>
        <v/>
      </c>
      <c r="H5588">
        <f>_xludf.IMAGE("https://m.media-amazon.com/images/I/61cDOAhkb4L._AC_UL320_.jpg")</f>
        <v/>
      </c>
      <c r="K5588" t="inlineStr">
        <is>
          <t>13.97</t>
        </is>
      </c>
      <c r="L5588" t="n">
        <v>15.76</v>
      </c>
      <c r="M5588" s="1" t="inlineStr">
        <is>
          <t>12.81%</t>
        </is>
      </c>
      <c r="N5588" s="1" t="n">
        <v>53.01</v>
      </c>
      <c r="O5588" t="n">
        <v>2</v>
      </c>
      <c r="P5588" t="n">
        <v>1</v>
      </c>
      <c r="R5588" t="inlineStr">
        <is>
          <t>InStock</t>
        </is>
      </c>
      <c r="S5588" t="inlineStr">
        <is>
          <t>19.56</t>
        </is>
      </c>
      <c r="T5588" t="inlineStr">
        <is>
          <t>5316790714536</t>
        </is>
      </c>
    </row>
    <row r="5589" hidden="1" ht="15.75" customHeight="1">
      <c r="A5589" s="2">
        <f>HYPERLINK("https://edmondsonsupply.com/collections/electricians-tools/products/diablo-tools-dmapl4150-3-8-in-x-6-in-x-8-in-rebar-demon%E2%84%A2-sds-plus-4-cutter-full-carbide-head-hammer-drill-bit", "https://edmondsonsupply.com/collections/electricians-tools/products/diablo-tools-dmapl4150-3-8-in-x-6-in-x-8-in-rebar-demon%E2%84%A2-sds-plus-4-cutter-full-carbide-head-hammer-drill-bit")</f>
        <v/>
      </c>
      <c r="B5589" s="2">
        <f>HYPERLINK("https://edmondsonsupply.com/products/diablo-tools-dmapl4150-3-8-in-x-6-in-x-8-in-rebar-demon%e2%84%a2-sds-plus-4-cutter-full-carbide-head-hammer-drill-bit", "https://edmondsonsupply.com/products/diablo-tools-dmapl4150-3-8-in-x-6-in-x-8-in-rebar-demon%e2%84%a2-sds-plus-4-cutter-full-carbide-head-hammer-drill-bit")</f>
        <v/>
      </c>
      <c r="C5589" t="inlineStr">
        <is>
          <t>Diablo Tools DMAPL4150 3/8 in. x 6 in. x 8 in. Rebar Demon™ SDS‑Plus 4‑Cutter Full Carbide Head Hammer Drill Bit</t>
        </is>
      </c>
      <c r="D5589" t="inlineStr">
        <is>
          <t>Diablo by Freud DMAPL4050 3/16 in. x 6 in. x 8 in. Rebar Demon SDS-Plus 4-Cutter Full Carbide Head Hammer Bit Multi, One Size</t>
        </is>
      </c>
      <c r="E5589" s="2" t="n"/>
      <c r="F5589" t="inlineStr">
        <is>
          <t>B089LKWR9L</t>
        </is>
      </c>
      <c r="G5589">
        <f>_xludf.IMAGE("https://edmondsonsupply.com/cdn/shop/products/DMAPL4150_Main-Image20200701.png?v=1633030763")</f>
        <v/>
      </c>
      <c r="H5589">
        <f>_xludf.IMAGE("https://m.media-amazon.com/images/I/61uukuKzJeL._AC_UL320_.jpg")</f>
        <v/>
      </c>
      <c r="K5589" t="inlineStr">
        <is>
          <t>7.97</t>
        </is>
      </c>
      <c r="L5589" t="n">
        <v>8.99</v>
      </c>
      <c r="M5589" s="1" t="inlineStr">
        <is>
          <t>12.80%</t>
        </is>
      </c>
      <c r="N5589" s="1" t="n">
        <v>52.39</v>
      </c>
      <c r="O5589" t="n">
        <v>3.7</v>
      </c>
      <c r="P5589" t="n">
        <v>10</v>
      </c>
      <c r="R5589" t="inlineStr">
        <is>
          <t>InStock</t>
        </is>
      </c>
      <c r="S5589" t="inlineStr">
        <is>
          <t>10.0</t>
        </is>
      </c>
      <c r="T5589" t="inlineStr">
        <is>
          <t>5918108450984</t>
        </is>
      </c>
    </row>
    <row r="5590" hidden="1" ht="15.75" customHeight="1">
      <c r="A5590" s="2">
        <f>HYPERLINK("https://edmondsonsupply.com/collections/electricians-tools/products/klein-tools-jth4e08-1-8-inch-hex-key-journeyman-t-handle-4-inch", "https://edmondsonsupply.com/collections/electricians-tools/products/klein-tools-jth4e08-1-8-inch-hex-key-journeyman-t-handle-4-inch")</f>
        <v/>
      </c>
      <c r="B5590" s="2">
        <f>HYPERLINK("https://edmondsonsupply.com/products/klein-tools-jth4e08-1-8-inch-hex-key-journeyman-t-handle-4-inch", "https://edmondsonsupply.com/products/klein-tools-jth4e08-1-8-inch-hex-key-journeyman-t-handle-4-inch")</f>
        <v/>
      </c>
      <c r="C5590" t="inlineStr">
        <is>
          <t>Klein Tools JTH4E08 1/8-Inch Hex Key, Journeyman T-Handle, 4-Inch</t>
        </is>
      </c>
      <c r="D5590" t="inlineStr">
        <is>
          <t>Klein Tools JTH9E08 1/8-Inch Hex Key, Journeyman T-Handle, 9-Inch</t>
        </is>
      </c>
      <c r="E5590" s="2">
        <f>HYPERLINK("https://www.amazon.com/Journeyman-T-Handle-Klein-Tools-JTH9E08/dp/B004QV8DGW/ref=sr_1_3?keywords=Klein+Tools+JTH4E08+1%2F8-Inch+Hex+Key%2C+Journeyman+T-Handle%2C+4-Inch&amp;qid=1694735164&amp;sr=8-3", "https://www.amazon.com/Journeyman-T-Handle-Klein-Tools-JTH9E08/dp/B004QV8DGW/ref=sr_1_3?keywords=Klein+Tools+JTH4E08+1%2F8-Inch+Hex+Key%2C+Journeyman+T-Handle%2C+4-Inch&amp;qid=1694735164&amp;sr=8-3")</f>
        <v/>
      </c>
      <c r="F5590" t="inlineStr">
        <is>
          <t>B004QV8DGW</t>
        </is>
      </c>
      <c r="G5590">
        <f>_xludf.IMAGE("https://edmondsonsupply.com/cdn/shop/products/jth4e06_0950e3ec-22b0-4cdd-acd1-822980009e67.jpg?v=1645564818")</f>
        <v/>
      </c>
      <c r="H5590">
        <f>_xludf.IMAGE("https://m.media-amazon.com/images/I/51Yb8h41vLL._AC_UL320_.jpg")</f>
        <v/>
      </c>
      <c r="K5590" t="inlineStr">
        <is>
          <t>3.79</t>
        </is>
      </c>
      <c r="L5590" t="n">
        <v>4.27</v>
      </c>
      <c r="M5590" s="1" t="inlineStr">
        <is>
          <t>12.66%</t>
        </is>
      </c>
      <c r="N5590" s="1" t="n">
        <v>52.35</v>
      </c>
      <c r="O5590" t="n">
        <v>4.7</v>
      </c>
      <c r="P5590" t="n">
        <v>390</v>
      </c>
      <c r="R5590" t="inlineStr">
        <is>
          <t>InStock</t>
        </is>
      </c>
      <c r="S5590" t="inlineStr">
        <is>
          <t>5.74</t>
        </is>
      </c>
      <c r="T5590" t="inlineStr">
        <is>
          <t>7614347509976</t>
        </is>
      </c>
    </row>
    <row r="5591" hidden="1" ht="15.75" customHeight="1">
      <c r="A5591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5591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5591" t="inlineStr">
        <is>
          <t>Klein Tools JTH4E09 9/64-Inch Hex Key Journeyman T-Handle 4-Inch</t>
        </is>
      </c>
      <c r="D5591" t="inlineStr">
        <is>
          <t>Klein Tools JTH9E09 9/64-Inch Hex Key with Journeyman T-Handle, 9-Inch</t>
        </is>
      </c>
      <c r="E5591" s="2">
        <f>HYPERLINK("https://www.amazon.com/Journeyman-T-Handle-Klein-Tools-JTH9E09/dp/B004QV4ORY/ref=sr_1_2?keywords=Klein+Tools+JTH4E09+9%2F64-Inch+Hex+Key+Journeyman+T-Handle+4-Inch&amp;qid=1694735175&amp;sr=8-2", "https://www.amazon.com/Journeyman-T-Handle-Klein-Tools-JTH9E09/dp/B004QV4ORY/ref=sr_1_2?keywords=Klein+Tools+JTH4E09+9%2F64-Inch+Hex+Key+Journeyman+T-Handle+4-Inch&amp;qid=1694735175&amp;sr=8-2")</f>
        <v/>
      </c>
      <c r="F5591" t="inlineStr">
        <is>
          <t>B004QV4ORY</t>
        </is>
      </c>
      <c r="G5591">
        <f>_xludf.IMAGE("https://edmondsonsupply.com/cdn/shop/products/jth4e06_be5118a6-2e9d-44f5-81ad-c027572dd2d3.jpg?v=1635981570")</f>
        <v/>
      </c>
      <c r="H5591">
        <f>_xludf.IMAGE("https://m.media-amazon.com/images/I/51Yb8h41vLL._AC_UL320_.jpg")</f>
        <v/>
      </c>
      <c r="K5591" t="inlineStr">
        <is>
          <t>3.79</t>
        </is>
      </c>
      <c r="L5591" t="n">
        <v>4.27</v>
      </c>
      <c r="M5591" s="1" t="inlineStr">
        <is>
          <t>12.66%</t>
        </is>
      </c>
      <c r="N5591" s="1" t="n">
        <v>50.15</v>
      </c>
      <c r="O5591" t="n">
        <v>4.7</v>
      </c>
      <c r="P5591" t="n">
        <v>390</v>
      </c>
      <c r="R5591" t="inlineStr">
        <is>
          <t>InStock</t>
        </is>
      </c>
      <c r="S5591" t="inlineStr">
        <is>
          <t>5.76</t>
        </is>
      </c>
      <c r="T5591" t="inlineStr">
        <is>
          <t>7434795876568</t>
        </is>
      </c>
    </row>
    <row r="5592" ht="87" customHeight="1">
      <c r="A5592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592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592" t="inlineStr">
        <is>
          <t>Klein Tools D228-8 Diagonal Cutting Pliers, High-Leverage, 8-Inch</t>
        </is>
      </c>
      <c r="D5592" t="inlineStr">
        <is>
          <t>Klein Tools D200028GLW Pliers, Hi-Viz Diagonal Cutting Pliers with Short Jaws and Glow in the Dark Handles, 8-Inch</t>
        </is>
      </c>
      <c r="E5592" s="2">
        <f>HYPERLINK("https://www.amazon.com/Klein-Tools-D200028GLW-Pliers-Diagonal-Cutters/dp/B00H7PIB66/ref=sr_1_29?keywords=Klein+Tools+D228-8+Diagonal+Cutting+Pliers%2C+High-Leverage%2C+8-Inch&amp;qid=1694735247&amp;sr=8-29", "https://www.amazon.com/Klein-Tools-D200028GLW-Pliers-Diagonal-Cutters/dp/B00H7PIB66/ref=sr_1_29?keywords=Klein+Tools+D228-8+Diagonal+Cutting+Pliers%2C+High-Leverage%2C+8-Inch&amp;qid=1694735247&amp;sr=8-29")</f>
        <v/>
      </c>
      <c r="F5592" t="inlineStr">
        <is>
          <t>B00H7PIB66</t>
        </is>
      </c>
      <c r="G5592">
        <f>_xlfn.IMAGE("https://edmondsonsupply.com/cdn/shop/products/d2288.jpg?v=1633030753")</f>
        <v/>
      </c>
      <c r="H5592">
        <f>_xlfn.IMAGE("https://m.media-amazon.com/images/I/41wGfd897cL._AC_UL320_.jpg")</f>
        <v/>
      </c>
      <c r="K5592" t="inlineStr">
        <is>
          <t>29.97</t>
        </is>
      </c>
      <c r="L5592" t="n">
        <v>33.75</v>
      </c>
      <c r="M5592" s="1" t="inlineStr">
        <is>
          <t>12.61%</t>
        </is>
      </c>
      <c r="N5592" s="7" t="n">
        <v>49.92</v>
      </c>
      <c r="O5592" t="n">
        <v>4.7</v>
      </c>
      <c r="P5592" t="n">
        <v>497</v>
      </c>
      <c r="R5592" t="inlineStr">
        <is>
          <t>InStock</t>
        </is>
      </c>
      <c r="S5592" t="inlineStr">
        <is>
          <t>42.78</t>
        </is>
      </c>
      <c r="T5592" t="inlineStr">
        <is>
          <t>5896908472488</t>
        </is>
      </c>
    </row>
    <row r="5593" ht="87" customHeight="1">
      <c r="A5593" s="2">
        <f>HYPERLINK("https://edmondsonsupply.com/collections/electricians-tools/products/milwaukee-48-03-3010-carbide-bit-spline-to-sds-max-adapter", "https://edmondsonsupply.com/collections/electricians-tools/products/milwaukee-48-03-3010-carbide-bit-spline-to-sds-max-adapter")</f>
        <v/>
      </c>
      <c r="B5593" s="2">
        <f>HYPERLINK("https://edmondsonsupply.com/products/milwaukee-48-03-3010-carbide-bit-spline-to-sds-max-adapter", "https://edmondsonsupply.com/products/milwaukee-48-03-3010-carbide-bit-spline-to-sds-max-adapter")</f>
        <v/>
      </c>
      <c r="C5593" t="inlineStr">
        <is>
          <t>Milwaukee 48-03-3010 Spline to SDS-MAX Bit Adapter</t>
        </is>
      </c>
      <c r="D5593" t="inlineStr">
        <is>
          <t>Milwaukee 48-03-3012 SDS-Max to Spline Adapter</t>
        </is>
      </c>
      <c r="E5593" s="2">
        <f>HYPERLINK("https://www.amazon.com/Milwaukee-48-03-3012-SDS-Max-Spline-Adapter/dp/B00I3PGEOA/ref=sr_1_1?keywords=Milwaukee+48-03-3010+Spline+to+SDS-MAX+Bit+Adapter&amp;qid=1694735052&amp;sr=8-1", "https://www.amazon.com/Milwaukee-48-03-3012-SDS-Max-Spline-Adapter/dp/B00I3PGEOA/ref=sr_1_1?keywords=Milwaukee+48-03-3010+Spline+to+SDS-MAX+Bit+Adapter&amp;qid=1694735052&amp;sr=8-1")</f>
        <v/>
      </c>
      <c r="F5593" t="inlineStr">
        <is>
          <t>B00I3PGEOA</t>
        </is>
      </c>
      <c r="G5593">
        <f>_xlfn.IMAGE("https://edmondsonsupply.com/cdn/shop/products/48-03-3010.webp?v=1674075943")</f>
        <v/>
      </c>
      <c r="H5593">
        <f>_xlfn.IMAGE("https://m.media-amazon.com/images/I/61QrQEYLIrL._AC_UL320_.jpg")</f>
        <v/>
      </c>
      <c r="K5593" t="inlineStr">
        <is>
          <t>151.89</t>
        </is>
      </c>
      <c r="L5593" t="n">
        <v>170.97</v>
      </c>
      <c r="M5593" s="1" t="inlineStr">
        <is>
          <t>12.56%</t>
        </is>
      </c>
      <c r="N5593" s="7" t="n">
        <v>49.35</v>
      </c>
      <c r="O5593" t="n">
        <v>4.6</v>
      </c>
      <c r="P5593" t="n">
        <v>2</v>
      </c>
      <c r="R5593" t="inlineStr">
        <is>
          <t>InStock</t>
        </is>
      </c>
      <c r="S5593" t="inlineStr">
        <is>
          <t>274.6</t>
        </is>
      </c>
      <c r="T5593" t="inlineStr">
        <is>
          <t>7926176383192</t>
        </is>
      </c>
    </row>
    <row r="5594" ht="87" customHeight="1">
      <c r="A5594" s="2">
        <f>HYPERLINK("https://edmondsonsupply.com/collections/electricians-tools/products/klein-tools-51606", "https://edmondsonsupply.com/collections/electricians-tools/products/klein-tools-51606")</f>
        <v/>
      </c>
      <c r="B5594" s="2">
        <f>HYPERLINK("https://edmondsonsupply.com/products/klein-tools-51606", "https://edmondsonsupply.com/products/klein-tools-51606")</f>
        <v/>
      </c>
      <c r="C5594" t="inlineStr">
        <is>
          <t>Klein Tools 51606 Aluminum Conduit Bender Full Assembly, 1/2-Inch EMT with Angle Setter™</t>
        </is>
      </c>
      <c r="D5594" t="inlineStr">
        <is>
          <t>Klein Tools 51607 Aluminum Conduit Bender Full Assembly, 3/4-Inch EMT, 1/2-Inch Rigid, Wide Foot Pedal, Benchmark Symbols and Angle Setter</t>
        </is>
      </c>
      <c r="E5594" s="2">
        <f>HYPERLINK("https://www.amazon.com/Aluminum-Benchmark-Technology-Klein-Tools/dp/B08L41G5G5/ref=sr_1_2?keywords=Klein+Tools+51606+Aluminum+Conduit+Bender+Full+Assembly%2C+1%2F2-Inch+EMT+with+Angle+Setter%E2%84%A2&amp;qid=1694735120&amp;sr=8-2", "https://www.amazon.com/Aluminum-Benchmark-Technology-Klein-Tools/dp/B08L41G5G5/ref=sr_1_2?keywords=Klein+Tools+51606+Aluminum+Conduit+Bender+Full+Assembly%2C+1%2F2-Inch+EMT+with+Angle+Setter%E2%84%A2&amp;qid=1694735120&amp;sr=8-2")</f>
        <v/>
      </c>
      <c r="F5594" t="inlineStr">
        <is>
          <t>B08L41G5G5</t>
        </is>
      </c>
      <c r="G5594">
        <f>_xlfn.IMAGE("https://edmondsonsupply.com/cdn/shop/products/51606.jpg?v=1663942126")</f>
        <v/>
      </c>
      <c r="H5594">
        <f>_xlfn.IMAGE("https://m.media-amazon.com/images/I/419ZjlOD69L._AC_UL320_.jpg")</f>
        <v/>
      </c>
      <c r="K5594" t="inlineStr">
        <is>
          <t>39.97</t>
        </is>
      </c>
      <c r="L5594" t="n">
        <v>44.99</v>
      </c>
      <c r="M5594" s="1" t="inlineStr">
        <is>
          <t>12.56%</t>
        </is>
      </c>
      <c r="N5594" s="7" t="n">
        <v>46.12</v>
      </c>
      <c r="O5594" t="n">
        <v>4.7</v>
      </c>
      <c r="P5594" t="n">
        <v>342</v>
      </c>
      <c r="R5594" t="inlineStr">
        <is>
          <t>InStock</t>
        </is>
      </c>
      <c r="S5594" t="inlineStr">
        <is>
          <t>55.98</t>
        </is>
      </c>
      <c r="T5594" t="inlineStr">
        <is>
          <t>7827248447704</t>
        </is>
      </c>
    </row>
    <row r="5595" hidden="1" ht="15.75" customHeight="1">
      <c r="A5595" s="2">
        <f>HYPERLINK("https://edmondsonsupply.com/collections/electricians-tools/products/klein-tools-jth4e10-5-32-inch-hex-key-journeyman-t-handle-4-inch", "https://edmondsonsupply.com/collections/electricians-tools/products/klein-tools-jth4e10-5-32-inch-hex-key-journeyman-t-handle-4-inch")</f>
        <v/>
      </c>
      <c r="B5595" s="2">
        <f>HYPERLINK("https://edmondsonsupply.com/products/klein-tools-jth4e10-5-32-inch-hex-key-journeyman-t-handle-4-inch", "https://edmondsonsupply.com/products/klein-tools-jth4e10-5-32-inch-hex-key-journeyman-t-handle-4-inch")</f>
        <v/>
      </c>
      <c r="C5595" t="inlineStr">
        <is>
          <t>Klein Tools JTH4E10 5/32-Inch Hex Key, Journeyman T-Handle, 4-Inch</t>
        </is>
      </c>
      <c r="D5595" t="inlineStr">
        <is>
          <t>5/32-Inch Hex Key with Journeyman T-Handle, 9-Inch Klein Tools JTH9E10</t>
        </is>
      </c>
      <c r="E5595" s="2">
        <f>HYPERLINK("https://www.amazon.com/Journeyman-T-Handle-Klein-Tools-JTH9E10/dp/B004QV8H90/ref=sr_1_2?keywords=Klein+Tools+JTH4E10+5%2F32-Inch+Hex+Key%2C+Journeyman+T-Handle%2C+4-Inch&amp;qid=1694735166&amp;sr=8-2", "https://www.amazon.com/Journeyman-T-Handle-Klein-Tools-JTH9E10/dp/B004QV8H90/ref=sr_1_2?keywords=Klein+Tools+JTH4E10+5%2F32-Inch+Hex+Key%2C+Journeyman+T-Handle%2C+4-Inch&amp;qid=1694735166&amp;sr=8-2")</f>
        <v/>
      </c>
      <c r="F5595" t="inlineStr">
        <is>
          <t>B004QV8H90</t>
        </is>
      </c>
      <c r="G5595">
        <f>_xludf.IMAGE("https://edmondsonsupply.com/cdn/shop/products/jth4e17_ce261606-f524-49c5-9cd5-8c9f52dd1e03.jpg?v=1645565342")</f>
        <v/>
      </c>
      <c r="H5595">
        <f>_xludf.IMAGE("https://m.media-amazon.com/images/I/51Yb8h41vLL._AC_UL320_.jpg")</f>
        <v/>
      </c>
      <c r="K5595" t="inlineStr">
        <is>
          <t>3.99</t>
        </is>
      </c>
      <c r="L5595" t="n">
        <v>4.49</v>
      </c>
      <c r="M5595" s="1" t="inlineStr">
        <is>
          <t>12.53%</t>
        </is>
      </c>
      <c r="N5595" s="1" t="n">
        <v>45.58</v>
      </c>
      <c r="O5595" t="n">
        <v>4.8</v>
      </c>
      <c r="P5595" t="n">
        <v>293</v>
      </c>
      <c r="R5595" t="inlineStr">
        <is>
          <t>InStock</t>
        </is>
      </c>
      <c r="S5595" t="inlineStr">
        <is>
          <t>6.04</t>
        </is>
      </c>
      <c r="T5595" t="inlineStr">
        <is>
          <t>7614353015000</t>
        </is>
      </c>
    </row>
    <row r="5596" hidden="1" ht="15.75" customHeight="1">
      <c r="A5596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5596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5596" t="inlineStr">
        <is>
          <t>Klein Tools JTH6E06 3/32-Inch Hex Key, Journeyman T-Handle, 6-Inch</t>
        </is>
      </c>
      <c r="D5596" t="inlineStr">
        <is>
          <t>5/32-Inch Hex Key with Journeyman T-Handle, 9-Inch Klein Tools JTH9E10</t>
        </is>
      </c>
      <c r="E5596" s="2">
        <f>HYPERLINK("https://www.amazon.com/Journeyman-T-Handle-Klein-Tools-JTH9E10/dp/B004QV8H90/ref=sr_1_8?keywords=Klein+Tools+JTH6E06+3%2F32-Inch+Hex+Key%2C+Journeyman+T-Handle%2C+6-Inch&amp;qid=1694735341&amp;sr=8-8", "https://www.amazon.com/Journeyman-T-Handle-Klein-Tools-JTH9E10/dp/B004QV8H90/ref=sr_1_8?keywords=Klein+Tools+JTH6E06+3%2F32-Inch+Hex+Key%2C+Journeyman+T-Handle%2C+6-Inch&amp;qid=1694735341&amp;sr=8-8")</f>
        <v/>
      </c>
      <c r="F5596" t="inlineStr">
        <is>
          <t>B004QV8H90</t>
        </is>
      </c>
      <c r="G5596">
        <f>_xludf.IMAGE("https://edmondsonsupply.com/cdn/shop/products/jth6e15_f3f40e05-27ea-4df2-91fc-a673e8aa5e4b.jpg?v=1587150971")</f>
        <v/>
      </c>
      <c r="H5596">
        <f>_xludf.IMAGE("https://m.media-amazon.com/images/I/51Yb8h41vLL._AC_UL320_.jpg")</f>
        <v/>
      </c>
      <c r="K5596" t="inlineStr">
        <is>
          <t>3.99</t>
        </is>
      </c>
      <c r="L5596" t="n">
        <v>4.49</v>
      </c>
      <c r="M5596" s="1" t="inlineStr">
        <is>
          <t>12.53%</t>
        </is>
      </c>
      <c r="N5596" s="1" t="n">
        <v>45.18</v>
      </c>
      <c r="O5596" t="n">
        <v>4.8</v>
      </c>
      <c r="P5596" t="n">
        <v>293</v>
      </c>
      <c r="R5596" t="inlineStr">
        <is>
          <t>InStock</t>
        </is>
      </c>
      <c r="S5596" t="inlineStr">
        <is>
          <t>6.04</t>
        </is>
      </c>
      <c r="T5596" t="inlineStr">
        <is>
          <t>4512703709284</t>
        </is>
      </c>
    </row>
    <row r="5597" hidden="1" ht="15.75" customHeight="1">
      <c r="A5597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5597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5597" t="inlineStr">
        <is>
          <t>Klein Tools JTH4E06 3/32-Inch Hex Key, Journeyman T-Handle, 4-Inch</t>
        </is>
      </c>
      <c r="D5597" t="inlineStr">
        <is>
          <t>5/32-Inch Hex Key with Journeyman T-Handle, 9-Inch Klein Tools JTH9E10</t>
        </is>
      </c>
      <c r="E5597" s="2">
        <f>HYPERLINK("https://www.amazon.com/Journeyman-T-Handle-Klein-Tools-JTH9E10/dp/B004QV8H90/ref=sr_1_10?keywords=Klein+Tools+JTH4E06+3%2F32-Inch+Hex+Key%2C+Journeyman+T-Handle%2C+4-Inch&amp;qid=1694735173&amp;sr=8-10", "https://www.amazon.com/Journeyman-T-Handle-Klein-Tools-JTH9E10/dp/B004QV8H90/ref=sr_1_10?keywords=Klein+Tools+JTH4E06+3%2F32-Inch+Hex+Key%2C+Journeyman+T-Handle%2C+4-Inch&amp;qid=1694735173&amp;sr=8-10")</f>
        <v/>
      </c>
      <c r="F5597" t="inlineStr">
        <is>
          <t>B004QV8H90</t>
        </is>
      </c>
      <c r="G5597">
        <f>_xludf.IMAGE("https://edmondsonsupply.com/cdn/shop/products/jth4e06.jpg?v=1635112029")</f>
        <v/>
      </c>
      <c r="H5597">
        <f>_xludf.IMAGE("https://m.media-amazon.com/images/I/51Yb8h41vLL._AC_UL320_.jpg")</f>
        <v/>
      </c>
      <c r="K5597" t="inlineStr">
        <is>
          <t>3.99</t>
        </is>
      </c>
      <c r="L5597" t="n">
        <v>4.49</v>
      </c>
      <c r="M5597" s="1" t="inlineStr">
        <is>
          <t>12.53%</t>
        </is>
      </c>
      <c r="N5597" s="1" t="n">
        <v>45.17</v>
      </c>
      <c r="O5597" t="n">
        <v>4.8</v>
      </c>
      <c r="P5597" t="n">
        <v>293</v>
      </c>
      <c r="R5597" t="inlineStr">
        <is>
          <t>InStock</t>
        </is>
      </c>
      <c r="S5597" t="inlineStr">
        <is>
          <t>6.04</t>
        </is>
      </c>
      <c r="T5597" t="inlineStr">
        <is>
          <t>7032648794285</t>
        </is>
      </c>
    </row>
    <row r="5598" hidden="1" ht="15.75" customHeight="1">
      <c r="A5598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5598" s="2">
        <f>HYPERLINK("https://edmondsonsupply.com/products/klein-tools-s10-5-16-inch-nut-driver-3-inch-hollow-shaft", "https://edmondsonsupply.com/products/klein-tools-s10-5-16-inch-nut-driver-3-inch-hollow-shaft")</f>
        <v/>
      </c>
      <c r="C5598" t="inlineStr">
        <is>
          <t>Klein Tools S10 5/16-Inch Nut Driver 3-Inch Hollow Shaft</t>
        </is>
      </c>
      <c r="D5598" t="inlineStr">
        <is>
          <t>Klein Tools 630-5/16 Nut Driver, 5/16-Inch Tip Nut Driver with 3-Inch Hollow Shaft, Cushion Grip Handle</t>
        </is>
      </c>
      <c r="E5598" s="2">
        <f>HYPERLINK("https://www.amazon.com/16-Inch-Klein-Tools-630-5-16/dp/B001BY0ESW/ref=sr_1_3?keywords=Klein+Tools+S10+5%2F16-Inch+Nut+Driver+3-Inch+Hollow+Shaft&amp;qid=1694735234&amp;sr=8-3", "https://www.amazon.com/16-Inch-Klein-Tools-630-5-16/dp/B001BY0ESW/ref=sr_1_3?keywords=Klein+Tools+S10+5%2F16-Inch+Nut+Driver+3-Inch+Hollow+Shaft&amp;qid=1694735234&amp;sr=8-3")</f>
        <v/>
      </c>
      <c r="F5598" t="inlineStr">
        <is>
          <t>B001BY0ESW</t>
        </is>
      </c>
      <c r="G5598">
        <f>_xludf.IMAGE("https://edmondsonsupply.com/cdn/shop/products/s10_38acacb8-6c8e-49ef-8ed3-7160ab53875a.jpg?v=1633030893")</f>
        <v/>
      </c>
      <c r="H5598">
        <f>_xludf.IMAGE("https://m.media-amazon.com/images/I/41Cj8-Y8KnL._AC_UL320_.jpg")</f>
        <v/>
      </c>
      <c r="K5598" t="inlineStr">
        <is>
          <t>7.99</t>
        </is>
      </c>
      <c r="L5598" t="n">
        <v>8.99</v>
      </c>
      <c r="M5598" s="1" t="inlineStr">
        <is>
          <t>12.52%</t>
        </is>
      </c>
      <c r="N5598" s="1" t="n">
        <v>44.46</v>
      </c>
      <c r="O5598" t="n">
        <v>4.8</v>
      </c>
      <c r="P5598" t="n">
        <v>2069</v>
      </c>
      <c r="R5598" t="inlineStr">
        <is>
          <t>InStock</t>
        </is>
      </c>
      <c r="S5598" t="inlineStr">
        <is>
          <t>12.06</t>
        </is>
      </c>
      <c r="T5598" t="inlineStr">
        <is>
          <t>6223447031981</t>
        </is>
      </c>
    </row>
    <row r="5599" hidden="1" ht="15.75" customHeight="1">
      <c r="A5599" s="2">
        <f>HYPERLINK("https://edmondsonsupply.com/collections/electricians-tools/products/klein-tools-31918-bi-metal-hole-saw-1-1-8-inch", "https://edmondsonsupply.com/collections/electricians-tools/products/klein-tools-31918-bi-metal-hole-saw-1-1-8-inch")</f>
        <v/>
      </c>
      <c r="B5599" s="2">
        <f>HYPERLINK("https://edmondsonsupply.com/products/klein-tools-31918-bi-metal-hole-saw-1-1-8-inch", "https://edmondsonsupply.com/products/klein-tools-31918-bi-metal-hole-saw-1-1-8-inch")</f>
        <v/>
      </c>
      <c r="C5599" t="inlineStr">
        <is>
          <t>Klein Tools 31918 Bi-Metal Hole Saw, 1-1/8-Inch</t>
        </is>
      </c>
      <c r="D5599" t="inlineStr">
        <is>
          <t>Klein Tools 31922 Bi-Metal Hole Saw, 1-3/8-Inch</t>
        </is>
      </c>
      <c r="E5599" s="2">
        <f>HYPERLINK("https://www.amazon.com/Bi-Metal-8-Inch-Klein-Tools-31922/dp/B019874Q0K/ref=sr_1_15?keywords=Klein+Tools+31918+Bi-Metal+Hole+Saw%2C+1-1%2F8-Inch&amp;qid=1694735078&amp;sr=8-15", "https://www.amazon.com/Bi-Metal-8-Inch-Klein-Tools-31922/dp/B019874Q0K/ref=sr_1_15?keywords=Klein+Tools+31918+Bi-Metal+Hole+Saw%2C+1-1%2F8-Inch&amp;qid=1694735078&amp;sr=8-15")</f>
        <v/>
      </c>
      <c r="F5599" t="inlineStr">
        <is>
          <t>B019874Q0K</t>
        </is>
      </c>
      <c r="G5599">
        <f>_xludf.IMAGE("https://edmondsonsupply.com/cdn/shop/products/31918.jpg?v=1669739998")</f>
        <v/>
      </c>
      <c r="H5599">
        <f>_xludf.IMAGE("https://m.media-amazon.com/images/I/41GAmyLoB4L._AC_UL320_.jpg")</f>
        <v/>
      </c>
      <c r="K5599" t="inlineStr">
        <is>
          <t>7.99</t>
        </is>
      </c>
      <c r="L5599" t="n">
        <v>8.99</v>
      </c>
      <c r="M5599" s="1" t="inlineStr">
        <is>
          <t>12.52%</t>
        </is>
      </c>
      <c r="N5599" s="1" t="n">
        <v>42.81</v>
      </c>
      <c r="O5599" t="n">
        <v>4.5</v>
      </c>
      <c r="P5599" t="n">
        <v>365</v>
      </c>
      <c r="R5599" t="inlineStr">
        <is>
          <t>InStock</t>
        </is>
      </c>
      <c r="S5599" t="inlineStr">
        <is>
          <t>11.2</t>
        </is>
      </c>
      <c r="T5599" t="inlineStr">
        <is>
          <t>7896138678488</t>
        </is>
      </c>
    </row>
    <row r="5600" ht="87" customHeight="1">
      <c r="A5600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5600" s="2">
        <f>HYPERLINK("https://edmondsonsupply.com/products/klein-tools-51608-1-2-inch-iron-conduit-bender-head", "https://edmondsonsupply.com/products/klein-tools-51608-1-2-inch-iron-conduit-bender-head")</f>
        <v/>
      </c>
      <c r="C5600" t="inlineStr">
        <is>
          <t>Klein Tools 51608 1/2-inch Iron Conduit Bender Head</t>
        </is>
      </c>
      <c r="D5600" t="inlineStr">
        <is>
          <t>Klein Tools 51607 Aluminum Conduit Bender Full Assembly, 3/4-Inch EMT, 1/2-Inch Rigid, Wide Foot Pedal, Benchmark Symbols and Angle Setter</t>
        </is>
      </c>
      <c r="E5600" s="2">
        <f>HYPERLINK("https://www.amazon.com/Aluminum-Benchmark-Technology-Klein-Tools/dp/B08L41G5G5/ref=sr_1_11?keywords=Klein+Tools+51608+1%2F2-inch+Iron+Conduit+Bender+Head&amp;qid=1694735173&amp;sr=8-11", "https://www.amazon.com/Aluminum-Benchmark-Technology-Klein-Tools/dp/B08L41G5G5/ref=sr_1_11?keywords=Klein+Tools+51608+1%2F2-inch+Iron+Conduit+Bender+Head&amp;qid=1694735173&amp;sr=8-11")</f>
        <v/>
      </c>
      <c r="F5600" t="inlineStr">
        <is>
          <t>B08L41G5G5</t>
        </is>
      </c>
      <c r="G5600">
        <f>_xlfn.IMAGE("https://edmondsonsupply.com/cdn/shop/products/51608.jpg?v=1643679335")</f>
        <v/>
      </c>
      <c r="H5600">
        <f>_xlfn.IMAGE("https://m.media-amazon.com/images/I/419ZjlOD69L._AC_UL320_.jpg")</f>
        <v/>
      </c>
      <c r="K5600" t="inlineStr">
        <is>
          <t>39.99</t>
        </is>
      </c>
      <c r="L5600" t="n">
        <v>44.99</v>
      </c>
      <c r="M5600" s="1" t="inlineStr">
        <is>
          <t>12.50%</t>
        </is>
      </c>
      <c r="N5600" s="7" t="n">
        <v>40.02</v>
      </c>
      <c r="O5600" t="n">
        <v>4.7</v>
      </c>
      <c r="P5600" t="n">
        <v>342</v>
      </c>
      <c r="R5600" t="inlineStr">
        <is>
          <t>InStock</t>
        </is>
      </c>
      <c r="S5600" t="inlineStr">
        <is>
          <t>60.66</t>
        </is>
      </c>
      <c r="T5600" t="inlineStr">
        <is>
          <t>7597417693400</t>
        </is>
      </c>
    </row>
    <row r="5601" ht="87" customHeight="1">
      <c r="A5601" s="2">
        <f>HYPERLINK("https://edmondsonsupply.com/collections/electricians-tools/products/klein-tools-d213-9neth-linemans-bolt-thread-holding-pliers-9-inch", "https://edmondsonsupply.com/collections/electricians-tools/products/klein-tools-d213-9neth-linemans-bolt-thread-holding-pliers-9-inch")</f>
        <v/>
      </c>
      <c r="B5601" s="2">
        <f>HYPERLINK("https://edmondsonsupply.com/products/klein-tools-d213-9neth-linemans-bolt-thread-holding-pliers-9-inch", "https://edmondsonsupply.com/products/klein-tools-d213-9neth-linemans-bolt-thread-holding-pliers-9-inch")</f>
        <v/>
      </c>
      <c r="C5601" t="inlineStr">
        <is>
          <t>Klein Tools D213-9NETH Lineman's Bolt-Thread Holding Pliers, 9-Inch</t>
        </is>
      </c>
      <c r="D5601" t="inlineStr">
        <is>
          <t>Klein Tools HD213-9NETH Lineman's Pliers, Oversized Heavy Duty, High Leverage Side Cutting Pliers, 9-Inch</t>
        </is>
      </c>
      <c r="E5601" s="2">
        <f>HYPERLINK("https://www.amazon.com/Linemans-Oversized-Leverage-Klein-HD213-9NETH/dp/B000FAFE7O/ref=sr_1_3?keywords=Klein+Tools+D213-9NETH+Lineman%27s+Bolt-Thread+Holding+Pliers%2C+9-Inch&amp;qid=1694735236&amp;sr=8-3", "https://www.amazon.com/Linemans-Oversized-Leverage-Klein-HD213-9NETH/dp/B000FAFE7O/ref=sr_1_3?keywords=Klein+Tools+D213-9NETH+Lineman%27s+Bolt-Thread+Holding+Pliers%2C+9-Inch&amp;qid=1694735236&amp;sr=8-3")</f>
        <v/>
      </c>
      <c r="F5601" t="inlineStr">
        <is>
          <t>B000FAFE7O</t>
        </is>
      </c>
      <c r="G5601">
        <f>_xlfn.IMAGE("https://edmondsonsupply.com/cdn/shop/products/d2139neth.jpg?v=1633030817")</f>
        <v/>
      </c>
      <c r="H5601">
        <f>_xlfn.IMAGE("https://m.media-amazon.com/images/I/51UrbtRoPpL._AC_UL320_.jpg")</f>
        <v/>
      </c>
      <c r="K5601" t="inlineStr">
        <is>
          <t>39.99</t>
        </is>
      </c>
      <c r="L5601" t="n">
        <v>44.99</v>
      </c>
      <c r="M5601" s="1" t="inlineStr">
        <is>
          <t>12.50%</t>
        </is>
      </c>
      <c r="N5601" s="7" t="n">
        <v>38.7</v>
      </c>
      <c r="O5601" t="n">
        <v>4.8</v>
      </c>
      <c r="P5601" t="n">
        <v>1008</v>
      </c>
      <c r="R5601" t="inlineStr">
        <is>
          <t>InStock</t>
        </is>
      </c>
      <c r="S5601" t="inlineStr">
        <is>
          <t>60.58</t>
        </is>
      </c>
      <c r="T5601" t="inlineStr">
        <is>
          <t>6070906749101</t>
        </is>
      </c>
    </row>
    <row r="5602" ht="87" customHeight="1">
      <c r="A5602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5602" s="2">
        <f>HYPERLINK("https://edmondsonsupply.com/products/klein-tools-51608-1-2-inch-iron-conduit-bender-head", "https://edmondsonsupply.com/products/klein-tools-51608-1-2-inch-iron-conduit-bender-head")</f>
        <v/>
      </c>
      <c r="C5602" t="inlineStr">
        <is>
          <t>Klein Tools 51608 1/2-inch Iron Conduit Bender Head</t>
        </is>
      </c>
      <c r="D5602" t="inlineStr">
        <is>
          <t>Klein Tools 51609 Iron Conduit Bender Head, for 3/4-Inch EMT or 1/2-Inch Rigid IMC, use with Klein Tools Angle Setter (Cat. No. 51612)</t>
        </is>
      </c>
      <c r="E5602" s="2">
        <f>HYPERLINK("https://www.amazon.com/Conduit-Bender-Klein-Tools-51609/dp/B08VYFHL9J/ref=sr_1_2?keywords=Klein+Tools+51608+1%2F2-inch+Iron+Conduit+Bender+Head&amp;qid=1694735173&amp;sr=8-2", "https://www.amazon.com/Conduit-Bender-Klein-Tools-51609/dp/B08VYFHL9J/ref=sr_1_2?keywords=Klein+Tools+51608+1%2F2-inch+Iron+Conduit+Bender+Head&amp;qid=1694735173&amp;sr=8-2")</f>
        <v/>
      </c>
      <c r="F5602" t="inlineStr">
        <is>
          <t>B08VYFHL9J</t>
        </is>
      </c>
      <c r="G5602">
        <f>_xlfn.IMAGE("https://edmondsonsupply.com/cdn/shop/products/51608.jpg?v=1643679335")</f>
        <v/>
      </c>
      <c r="H5602">
        <f>_xlfn.IMAGE("https://m.media-amazon.com/images/I/61KifnC2xML._AC_UL320_.jpg")</f>
        <v/>
      </c>
      <c r="K5602" t="inlineStr">
        <is>
          <t>39.99</t>
        </is>
      </c>
      <c r="L5602" t="n">
        <v>44.99</v>
      </c>
      <c r="M5602" s="1" t="inlineStr">
        <is>
          <t>12.50%</t>
        </is>
      </c>
      <c r="N5602" s="7" t="n">
        <v>38.7</v>
      </c>
      <c r="O5602" t="n">
        <v>4.2</v>
      </c>
      <c r="P5602" t="n">
        <v>31</v>
      </c>
      <c r="R5602" t="inlineStr">
        <is>
          <t>InStock</t>
        </is>
      </c>
      <c r="S5602" t="inlineStr">
        <is>
          <t>60.66</t>
        </is>
      </c>
      <c r="T5602" t="inlineStr">
        <is>
          <t>7597417693400</t>
        </is>
      </c>
    </row>
    <row r="5603" ht="87" customHeight="1">
      <c r="A5603" s="2">
        <f>HYPERLINK("https://edmondsonsupply.com/collections/electricians-tools/products/klein-tools-d213-9neth-linemans-bolt-thread-holding-pliers-9-inch", "https://edmondsonsupply.com/collections/electricians-tools/products/klein-tools-d213-9neth-linemans-bolt-thread-holding-pliers-9-inch")</f>
        <v/>
      </c>
      <c r="B5603" s="2">
        <f>HYPERLINK("https://edmondsonsupply.com/products/klein-tools-d213-9neth-linemans-bolt-thread-holding-pliers-9-inch", "https://edmondsonsupply.com/products/klein-tools-d213-9neth-linemans-bolt-thread-holding-pliers-9-inch")</f>
        <v/>
      </c>
      <c r="C5603" t="inlineStr">
        <is>
          <t>Klein Tools D213-9NETH Lineman's Bolt-Thread Holding Pliers, 9-Inch</t>
        </is>
      </c>
      <c r="D5603" t="inlineStr">
        <is>
          <t>Klein Tools D2000-9NETH Lineman's Bolt-Thread Holding Pliers, High-Leverage Streamline Design with Rounded Nose and Knurled Jaw, 9-Inch</t>
        </is>
      </c>
      <c r="E5603" s="2">
        <f>HYPERLINK("https://www.amazon.com/Klein-Tools-D2000-9NETH-Bolt-Thread-High-Leverage/dp/B0002RI9FY/ref=sr_1_2?keywords=Klein+Tools+D213-9NETH+Lineman%27s+Bolt-Thread+Holding+Pliers%2C+9-Inch&amp;qid=1694735236&amp;sr=8-2", "https://www.amazon.com/Klein-Tools-D2000-9NETH-Bolt-Thread-High-Leverage/dp/B0002RI9FY/ref=sr_1_2?keywords=Klein+Tools+D213-9NETH+Lineman%27s+Bolt-Thread+Holding+Pliers%2C+9-Inch&amp;qid=1694735236&amp;sr=8-2")</f>
        <v/>
      </c>
      <c r="F5603" t="inlineStr">
        <is>
          <t>B0002RI9FY</t>
        </is>
      </c>
      <c r="G5603">
        <f>_xlfn.IMAGE("https://edmondsonsupply.com/cdn/shop/products/d2139neth.jpg?v=1633030817")</f>
        <v/>
      </c>
      <c r="H5603">
        <f>_xlfn.IMAGE("https://m.media-amazon.com/images/I/41sLuURlgqL._AC_UL320_.jpg")</f>
        <v/>
      </c>
      <c r="K5603" t="inlineStr">
        <is>
          <t>39.99</t>
        </is>
      </c>
      <c r="L5603" t="n">
        <v>44.99</v>
      </c>
      <c r="M5603" s="1" t="inlineStr">
        <is>
          <t>12.50%</t>
        </is>
      </c>
      <c r="N5603" s="7" t="n">
        <v>38.7</v>
      </c>
      <c r="O5603" t="n">
        <v>4.8</v>
      </c>
      <c r="P5603" t="n">
        <v>1733</v>
      </c>
      <c r="R5603" t="inlineStr">
        <is>
          <t>InStock</t>
        </is>
      </c>
      <c r="S5603" t="inlineStr">
        <is>
          <t>60.58</t>
        </is>
      </c>
      <c r="T5603" t="inlineStr">
        <is>
          <t>6070906749101</t>
        </is>
      </c>
    </row>
    <row r="5604" ht="87" customHeight="1">
      <c r="A5604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5604" s="2">
        <f>HYPERLINK("https://edmondsonsupply.com/products/klein-tools-d2000-9ne-linemans-pliers-9-inch", "https://edmondsonsupply.com/products/klein-tools-d2000-9ne-linemans-pliers-9-inch")</f>
        <v/>
      </c>
      <c r="C5604" t="inlineStr">
        <is>
          <t>Klein Tools D2000-9NE Lineman's Pliers, 9-Inch</t>
        </is>
      </c>
      <c r="D5604" t="inlineStr">
        <is>
          <t>Klein Tools HD2000-9NE Side Cutter Linemans Pliers Cut ACSR, Screws, Nails, Hard Wire, 9-Inch Electrical Pliers</t>
        </is>
      </c>
      <c r="E5604" s="2">
        <f>HYPERLINK("https://www.amazon.com/Linemans-Electrical-Klein-Tools-HD2000-9NE/dp/B0002RI9Y0/ref=sr_1_2?keywords=Klein+Tools+D2000-9NE+Linemans+Pliers%2C+9-Inch&amp;qid=1694735236&amp;sr=8-2", "https://www.amazon.com/Linemans-Electrical-Klein-Tools-HD2000-9NE/dp/B0002RI9Y0/ref=sr_1_2?keywords=Klein+Tools+D2000-9NE+Linemans+Pliers%2C+9-Inch&amp;qid=1694735236&amp;sr=8-2")</f>
        <v/>
      </c>
      <c r="F5604" t="inlineStr">
        <is>
          <t>B0002RI9Y0</t>
        </is>
      </c>
      <c r="G5604">
        <f>_xlfn.IMAGE("https://edmondsonsupply.com/cdn/shop/products/d20009ne.jpg?v=1633030816")</f>
        <v/>
      </c>
      <c r="H5604">
        <f>_xlfn.IMAGE("https://m.media-amazon.com/images/I/41ySI6VN1NL._AC_UL320_.jpg")</f>
        <v/>
      </c>
      <c r="K5604" t="inlineStr">
        <is>
          <t>39.99</t>
        </is>
      </c>
      <c r="L5604" t="n">
        <v>44.99</v>
      </c>
      <c r="M5604" s="1" t="inlineStr">
        <is>
          <t>12.50%</t>
        </is>
      </c>
      <c r="N5604" s="7" t="n">
        <v>38.7</v>
      </c>
      <c r="O5604" t="n">
        <v>4.8</v>
      </c>
      <c r="P5604" t="n">
        <v>1008</v>
      </c>
      <c r="R5604" t="inlineStr">
        <is>
          <t>InStock</t>
        </is>
      </c>
      <c r="S5604" t="inlineStr">
        <is>
          <t>62.04</t>
        </is>
      </c>
      <c r="T5604" t="inlineStr">
        <is>
          <t>6070895411373</t>
        </is>
      </c>
    </row>
    <row r="5605" ht="87" customHeight="1">
      <c r="A5605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5605" s="2">
        <f>HYPERLINK("https://edmondsonsupply.com/products/klein-tools-31870-carbide-hole-cutter-2-1-2-inch", "https://edmondsonsupply.com/products/klein-tools-31870-carbide-hole-cutter-2-1-2-inch")</f>
        <v/>
      </c>
      <c r="C5605" t="inlineStr">
        <is>
          <t>Klein Tools 31870 Carbide Hole Cutter, 2-1/2-Inch</t>
        </is>
      </c>
      <c r="D5605" t="inlineStr">
        <is>
          <t>Klein Tools 31872 Heavy Duty Hole Cutter Kit, Includes Carbide Hole Cutters and Pilot Bit in Rust-Proof Molded Plastic Case, 4-Piece</t>
        </is>
      </c>
      <c r="E5605" s="2">
        <f>HYPERLINK("https://www.amazon.com/Carbide-Cutter-Klein-Tools-31872/dp/B003CCR97A/ref=sr_1_2?keywords=Klein+Tools+31870+Carbide+Hole+Cutter%2C+2-1%2F2-Inch&amp;qid=1694735218&amp;sr=8-2", "https://www.amazon.com/Carbide-Cutter-Klein-Tools-31872/dp/B003CCR97A/ref=sr_1_2?keywords=Klein+Tools+31870+Carbide+Hole+Cutter%2C+2-1%2F2-Inch&amp;qid=1694735218&amp;sr=8-2")</f>
        <v/>
      </c>
      <c r="F5605" t="inlineStr">
        <is>
          <t>B003CCR97A</t>
        </is>
      </c>
      <c r="G5605">
        <f>_xlfn.IMAGE("https://edmondsonsupply.com/cdn/shop/products/31870_alt1.jpg?v=1633030999")</f>
        <v/>
      </c>
      <c r="H5605">
        <f>_xlfn.IMAGE("https://m.media-amazon.com/images/I/61oX7BDmtJL._AC_UL320_.jpg")</f>
        <v/>
      </c>
      <c r="K5605" t="inlineStr">
        <is>
          <t>79.99</t>
        </is>
      </c>
      <c r="L5605" t="n">
        <v>89.98999999999999</v>
      </c>
      <c r="M5605" s="1" t="inlineStr">
        <is>
          <t>12.50%</t>
        </is>
      </c>
      <c r="N5605" s="7" t="n">
        <v>38.7</v>
      </c>
      <c r="O5605" t="n">
        <v>4.7</v>
      </c>
      <c r="P5605" t="n">
        <v>927</v>
      </c>
      <c r="R5605" t="inlineStr">
        <is>
          <t>InStock</t>
        </is>
      </c>
      <c r="S5605" t="inlineStr">
        <is>
          <t>121.2</t>
        </is>
      </c>
      <c r="T5605" t="inlineStr">
        <is>
          <t>6680619974829</t>
        </is>
      </c>
    </row>
    <row r="5606" hidden="1" ht="15.75" customHeight="1">
      <c r="A5606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5606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5606" t="inlineStr">
        <is>
          <t>Klein Tools JTH9E13 1/4-Inch Hex Key with Journeyman T-Handle, 9-Inch</t>
        </is>
      </c>
      <c r="D5606" t="inlineStr">
        <is>
          <t>Klein Tools JTH4E13 1/4-Inch Hex Key with Journeyman T-Handle, 4-Inch</t>
        </is>
      </c>
      <c r="E5606" s="2">
        <f>HYPERLINK("https://www.amazon.com/Klein-Tools-JTH4E13-Journeyman-T-Handle/dp/B007GH2CDS/ref=sr_1_3?keywords=Klein+Tools+JTH9E13+1%2F4-Inch+Hex+Key+with+Journeyman+T-Handle%2C+9-Inch&amp;qid=1694735245&amp;sr=8-3", "https://www.amazon.com/Klein-Tools-JTH4E13-Journeyman-T-Handle/dp/B007GH2CDS/ref=sr_1_3?keywords=Klein+Tools+JTH9E13+1%2F4-Inch+Hex+Key+with+Journeyman+T-Handle%2C+9-Inch&amp;qid=1694735245&amp;sr=8-3")</f>
        <v/>
      </c>
      <c r="F5606" t="inlineStr">
        <is>
          <t>B007GH2CDS</t>
        </is>
      </c>
      <c r="G5606">
        <f>_xludf.IMAGE("https://edmondsonsupply.com/cdn/shop/products/jth9e12_7dcdbf9a-5acd-4824-8919-6aeb4a790072.jpg?v=1604060723")</f>
        <v/>
      </c>
      <c r="H5606">
        <f>_xludf.IMAGE("https://m.media-amazon.com/images/I/41ERRKlO36L._AC_UL320_.jpg")</f>
        <v/>
      </c>
      <c r="K5606" t="inlineStr">
        <is>
          <t>6.49</t>
        </is>
      </c>
      <c r="L5606" t="n">
        <v>7.3</v>
      </c>
      <c r="M5606" s="1" t="inlineStr">
        <is>
          <t>12.48%</t>
        </is>
      </c>
      <c r="N5606" s="1" t="n">
        <v>38.7</v>
      </c>
      <c r="O5606" t="n">
        <v>4.8</v>
      </c>
      <c r="P5606" t="n">
        <v>2477</v>
      </c>
      <c r="R5606" t="inlineStr">
        <is>
          <t>InStock</t>
        </is>
      </c>
      <c r="S5606" t="inlineStr">
        <is>
          <t>9.84</t>
        </is>
      </c>
      <c r="T5606" t="inlineStr">
        <is>
          <t>5999069462696</t>
        </is>
      </c>
    </row>
    <row r="5607" hidden="1" ht="15.75" customHeight="1">
      <c r="A5607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5607" s="2">
        <f>HYPERLINK("https://edmondsonsupply.com/products/klein-tools-31922-bi-metal-hole-saw-1-3-8-inch", "https://edmondsonsupply.com/products/klein-tools-31922-bi-metal-hole-saw-1-3-8-inch")</f>
        <v/>
      </c>
      <c r="C5607" t="inlineStr">
        <is>
          <t>Klein Tools 31922 Bi-Metal Hole Saw, 1-3/8-Inch</t>
        </is>
      </c>
      <c r="D5607" t="inlineStr">
        <is>
          <t>Irwin Tools 373138BX 1-3/8-Inch Bi-Metal Hole Saw,Stainless Steel</t>
        </is>
      </c>
      <c r="E5607" s="2">
        <f>HYPERLINK("https://www.amazon.com/IRWIN-373138BX-8-Inch-Bi-Metal-Hole/dp/B0002UKV7U/ref=sr_1_14?keywords=Klein+Tools+31922+Bi-Metal+Hole+Saw%2C+1-3%2F8-Inch&amp;qid=1694735176&amp;sr=8-14", "https://www.amazon.com/IRWIN-373138BX-8-Inch-Bi-Metal-Hole/dp/B0002UKV7U/ref=sr_1_14?keywords=Klein+Tools+31922+Bi-Metal+Hole+Saw%2C+1-3%2F8-Inch&amp;qid=1694735176&amp;sr=8-14")</f>
        <v/>
      </c>
      <c r="F5607" t="inlineStr">
        <is>
          <t>B0002UKV7U</t>
        </is>
      </c>
      <c r="G5607">
        <f>_xludf.IMAGE("https://edmondsonsupply.com/cdn/shop/products/31922.jpg?v=1663943738")</f>
        <v/>
      </c>
      <c r="H5607">
        <f>_xludf.IMAGE("https://m.media-amazon.com/images/I/41pzVu3GJ5S._AC_UL320_.jpg")</f>
        <v/>
      </c>
      <c r="K5607" t="inlineStr">
        <is>
          <t>9.99</t>
        </is>
      </c>
      <c r="L5607" t="n">
        <v>11.23</v>
      </c>
      <c r="M5607" s="1" t="inlineStr">
        <is>
          <t>12.41%</t>
        </is>
      </c>
      <c r="N5607" s="1" t="n">
        <v>38.55</v>
      </c>
      <c r="O5607" t="n">
        <v>4.5</v>
      </c>
      <c r="P5607" t="n">
        <v>451</v>
      </c>
      <c r="R5607" t="inlineStr">
        <is>
          <t>InStock</t>
        </is>
      </c>
      <c r="S5607" t="inlineStr">
        <is>
          <t>14.0</t>
        </is>
      </c>
      <c r="T5607" t="inlineStr">
        <is>
          <t>7827257819352</t>
        </is>
      </c>
    </row>
    <row r="5608" ht="87" customHeight="1">
      <c r="A5608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5608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5608" t="inlineStr">
        <is>
          <t>Klein Tools JTH6E17 1/2-Inch Hex Journeyman T-Handle 6-Inch</t>
        </is>
      </c>
      <c r="D5608" t="inlineStr">
        <is>
          <t>Klein Tools 646-1/2-INS Insulated Nut Driver, 1/2-Inch Hex, Cushion Grip Handle, 6-Inch Round Hollow Shaft</t>
        </is>
      </c>
      <c r="E5608" s="2">
        <f>HYPERLINK("https://www.amazon.com/Insulated-Klein-Tools-646-1-2-INS/dp/B000MKH5ZG/ref=sr_1_18?keywords=Klein+Tools+JTH6E17+1%2F2-Inch+Hex+Journeyman+T-Handle+6-Inch&amp;qid=1694735359&amp;sr=8-18", "https://www.amazon.com/Insulated-Klein-Tools-646-1-2-INS/dp/B000MKH5ZG/ref=sr_1_18?keywords=Klein+Tools+JTH6E17+1%2F2-Inch+Hex+Journeyman+T-Handle+6-Inch&amp;qid=1694735359&amp;sr=8-18")</f>
        <v/>
      </c>
      <c r="F5608" t="inlineStr">
        <is>
          <t>B000MKH5ZG</t>
        </is>
      </c>
      <c r="G5608">
        <f>_xlfn.IMAGE("https://edmondsonsupply.com/cdn/shop/products/jth6e15_80623668-f320-404f-929d-7d7e04a8b5aa.jpg?v=1587146378")</f>
        <v/>
      </c>
      <c r="H5608">
        <f>_xlfn.IMAGE("https://m.media-amazon.com/images/I/41LhqEbpChL._AC_UL320_.jpg")</f>
        <v/>
      </c>
      <c r="K5608" t="inlineStr">
        <is>
          <t>19.99</t>
        </is>
      </c>
      <c r="L5608" t="n">
        <v>22.45</v>
      </c>
      <c r="M5608" s="1" t="inlineStr">
        <is>
          <t>12.31%</t>
        </is>
      </c>
      <c r="N5608" s="7" t="n">
        <v>37.12</v>
      </c>
      <c r="O5608" t="n">
        <v>4.7</v>
      </c>
      <c r="P5608" t="n">
        <v>272</v>
      </c>
      <c r="R5608" t="inlineStr">
        <is>
          <t>InStock</t>
        </is>
      </c>
      <c r="S5608" t="inlineStr">
        <is>
          <t>30.28</t>
        </is>
      </c>
      <c r="T5608" t="inlineStr">
        <is>
          <t>4431817605220</t>
        </is>
      </c>
    </row>
    <row r="5609" ht="87" customHeight="1">
      <c r="A5609" s="2">
        <f>HYPERLINK("https://edmondsonsupply.com/collections/electricians-tools/products/klein-tools-5416-tool-bag-bull-pin-and-bolt-pouch-belt-strap-connect-5-x-10-x-9-inch", "https://edmondsonsupply.com/collections/electricians-tools/products/klein-tools-5416-tool-bag-bull-pin-and-bolt-pouch-belt-strap-connect-5-x-10-x-9-inch")</f>
        <v/>
      </c>
      <c r="B5609" s="2">
        <f>HYPERLINK("https://edmondsonsupply.com/products/klein-tools-5416-tool-bag-bull-pin-and-bolt-pouch-belt-strap-connect-5-x-10-x-9-inch", "https://edmondsonsupply.com/products/klein-tools-5416-tool-bag-bull-pin-and-bolt-pouch-belt-strap-connect-5-x-10-x-9-inch")</f>
        <v/>
      </c>
      <c r="C5609" t="inlineStr">
        <is>
          <t>Klein Tools 5416 Tool Bag, Bull-Pin and Bolt Pouch, Belt Strap Connect, 5 x 10 x 9-Inch</t>
        </is>
      </c>
      <c r="D5609" t="inlineStr">
        <is>
          <t>Klein Tools 5416TFR Tool Bag, Flame Resistant Canvas Bag for Bolt Storage with Double Reinforced Bottom and Tunnel Connect, 5 x 10 x 9-Inch</t>
        </is>
      </c>
      <c r="E5609" s="2">
        <f>HYPERLINK("https://www.amazon.com/Resistant-Canvas-Klein-Tools-5416TFR/dp/B0116IFD6A/ref=sr_1_4?keywords=Klein+Tools+5416+Tool+Bag%2C+Bull-Pin+and+Bolt+Pouch%2C+Belt+Strap+Connect%2C+5+x+10+x+9-Inch&amp;qid=1694735013&amp;sr=8-4", "https://www.amazon.com/Resistant-Canvas-Klein-Tools-5416TFR/dp/B0116IFD6A/ref=sr_1_4?keywords=Klein+Tools+5416+Tool+Bag%2C+Bull-Pin+and+Bolt+Pouch%2C+Belt+Strap+Connect%2C+5+x+10+x+9-Inch&amp;qid=1694735013&amp;sr=8-4")</f>
        <v/>
      </c>
      <c r="F5609" t="inlineStr">
        <is>
          <t>B0116IFD6A</t>
        </is>
      </c>
      <c r="G5609">
        <f>_xlfn.IMAGE("https://edmondsonsupply.com/cdn/shop/products/5416.jpg?v=1679664980")</f>
        <v/>
      </c>
      <c r="H5609">
        <f>_xlfn.IMAGE("https://m.media-amazon.com/images/I/71-H03ahZOL._AC_UL320_.jpg")</f>
        <v/>
      </c>
      <c r="K5609" t="inlineStr">
        <is>
          <t>17.8</t>
        </is>
      </c>
      <c r="L5609" t="n">
        <v>19.99</v>
      </c>
      <c r="M5609" s="1" t="inlineStr">
        <is>
          <t>12.30%</t>
        </is>
      </c>
      <c r="N5609" s="7" t="n">
        <v>36.67</v>
      </c>
      <c r="O5609" t="n">
        <v>4.8</v>
      </c>
      <c r="P5609" t="n">
        <v>7379</v>
      </c>
      <c r="R5609" t="inlineStr">
        <is>
          <t>InStock</t>
        </is>
      </c>
      <c r="S5609" t="inlineStr">
        <is>
          <t>29.06</t>
        </is>
      </c>
      <c r="T5609" t="inlineStr">
        <is>
          <t>7966205018328</t>
        </is>
      </c>
    </row>
    <row r="5610" hidden="1" ht="15.75" customHeight="1">
      <c r="A5610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5610" s="2">
        <f>HYPERLINK("https://edmondsonsupply.com/products/klein-tools-608-6-1-8-inch-cabinet-tip-mini-screwdriver-6-inch", "https://edmondsonsupply.com/products/klein-tools-608-6-1-8-inch-cabinet-tip-mini-screwdriver-6-inch")</f>
        <v/>
      </c>
      <c r="C5610" t="inlineStr">
        <is>
          <t>Klein Tools 608-6 1/8-Inch Cabinet Tip Mini Screwdriver, 6-Inch</t>
        </is>
      </c>
      <c r="D5610" t="inlineStr">
        <is>
          <t>Klein Tools 612-4 Screwdriver, Flat Head Terminal Block Screwdriver, 1/8-Inch Cabinet Tip, 4-Inch Round Shank, TB-DIN</t>
        </is>
      </c>
      <c r="E5610" s="2">
        <f>HYPERLINK("https://www.amazon.com/Screwdriver-Terminal-Klein-Tools-612-4/dp/B0058I6VNE/ref=sr_1_2?keywords=Klein+Tools+608-6+1%2F8-Inch+Cabinet+Tip+Mini+Screwdriver%2C+6-Inch&amp;qid=1694735278&amp;sr=8-2", "https://www.amazon.com/Screwdriver-Terminal-Klein-Tools-612-4/dp/B0058I6VNE/ref=sr_1_2?keywords=Klein+Tools+608-6+1%2F8-Inch+Cabinet+Tip+Mini+Screwdriver%2C+6-Inch&amp;qid=1694735278&amp;sr=8-2")</f>
        <v/>
      </c>
      <c r="F5610" t="inlineStr">
        <is>
          <t>B0058I6VNE</t>
        </is>
      </c>
      <c r="G5610">
        <f>_xludf.IMAGE("https://edmondsonsupply.com/cdn/shop/products/608-6.jpg?v=1633030486")</f>
        <v/>
      </c>
      <c r="H5610">
        <f>_xludf.IMAGE("https://m.media-amazon.com/images/I/51APfPlk95L._AC_UL320_.jpg")</f>
        <v/>
      </c>
      <c r="K5610" t="inlineStr">
        <is>
          <t>7.99</t>
        </is>
      </c>
      <c r="L5610" t="n">
        <v>8.970000000000001</v>
      </c>
      <c r="M5610" s="1" t="inlineStr">
        <is>
          <t>12.27%</t>
        </is>
      </c>
      <c r="N5610" s="1" t="n">
        <v>36.37</v>
      </c>
      <c r="O5610" t="n">
        <v>4.8</v>
      </c>
      <c r="P5610" t="n">
        <v>1953</v>
      </c>
      <c r="R5610" t="inlineStr">
        <is>
          <t>InStock</t>
        </is>
      </c>
      <c r="S5610" t="inlineStr">
        <is>
          <t>12.1</t>
        </is>
      </c>
      <c r="T5610" t="inlineStr">
        <is>
          <t>5371087683752</t>
        </is>
      </c>
    </row>
    <row r="5611" ht="87" customHeight="1">
      <c r="A5611" s="2">
        <f>HYPERLINK("https://edmondsonsupply.com/collections/electricians-tools/products/klein-tools-58890-17-pocket-tool-tote-with-shoulder-strap", "https://edmondsonsupply.com/collections/electricians-tools/products/klein-tools-58890-17-pocket-tool-tote-with-shoulder-strap")</f>
        <v/>
      </c>
      <c r="B5611" s="2">
        <f>HYPERLINK("https://edmondsonsupply.com/products/klein-tools-58890-17-pocket-tool-tote-with-shoulder-strap", "https://edmondsonsupply.com/products/klein-tools-58890-17-pocket-tool-tote-with-shoulder-strap")</f>
        <v/>
      </c>
      <c r="C5611" t="inlineStr">
        <is>
          <t>Klein Tools 58890 17 Pocket Tool Tote with Shoulder Strap</t>
        </is>
      </c>
      <c r="D5611" t="inlineStr">
        <is>
          <t>Klein Tools 55598 Tradesman Pro High-Visibility Tool Bag with 42 Different Sized Pockets and Detatchable Shoulder Strap</t>
        </is>
      </c>
      <c r="E5611" s="2">
        <f>HYPERLINK("https://www.amazon.com/Tradesman-High-Visibility-Klein-Tools-55598/dp/B01NCB4ZTN/ref=sr_1_12?keywords=Klein+Tools+58890+17+Pocket+Tool+Tote+with+Shoulder+Strap&amp;qid=1694735362&amp;sr=8-12", "https://www.amazon.com/Tradesman-High-Visibility-Klein-Tools-55598/dp/B01NCB4ZTN/ref=sr_1_12?keywords=Klein+Tools+58890+17+Pocket+Tool+Tote+with+Shoulder+Strap&amp;qid=1694735362&amp;sr=8-12")</f>
        <v/>
      </c>
      <c r="F5611" t="inlineStr">
        <is>
          <t>B01NCB4ZTN</t>
        </is>
      </c>
      <c r="G5611">
        <f>_xlfn.IMAGE("https://edmondsonsupply.com/cdn/shop/products/58890.jpg?v=1587148627")</f>
        <v/>
      </c>
      <c r="H5611">
        <f>_xlfn.IMAGE("https://m.media-amazon.com/images/I/71VOyZPFAxL._AC_UL320_.jpg")</f>
        <v/>
      </c>
      <c r="K5611" t="inlineStr">
        <is>
          <t>97.99</t>
        </is>
      </c>
      <c r="L5611" t="n">
        <v>109.99</v>
      </c>
      <c r="M5611" s="1" t="inlineStr">
        <is>
          <t>12.25%</t>
        </is>
      </c>
      <c r="N5611" s="7" t="n">
        <v>36.28</v>
      </c>
      <c r="O5611" t="n">
        <v>4.3</v>
      </c>
      <c r="P5611" t="n">
        <v>72</v>
      </c>
      <c r="R5611" t="inlineStr">
        <is>
          <t>InStock</t>
        </is>
      </c>
      <c r="S5611" t="inlineStr">
        <is>
          <t>148.48</t>
        </is>
      </c>
      <c r="T5611" t="inlineStr">
        <is>
          <t>4432350740580</t>
        </is>
      </c>
    </row>
    <row r="5612" hidden="1" ht="15.75" customHeight="1">
      <c r="A5612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5612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5612" t="inlineStr">
        <is>
          <t>Diablo Tools DMAPL4040 3/16 in. x 4 in. x 6 in. Rebar Demon™ SDS-Plus 4-Cutter Full Carbide Head Hammer Bit</t>
        </is>
      </c>
      <c r="D5612" t="inlineStr">
        <is>
          <t>Diablo by Freud DMAPL4010 5/32 in. x 2 in. x 4 in. Rebar Demon SDS-Plus 4-Cutter Full Carbide Head Hammer Bit</t>
        </is>
      </c>
      <c r="E5612" s="2">
        <f>HYPERLINK("https://www.amazon.com/Diablo-SDS-Plus-4-Cutter-Carbide-Hammer/dp/B089KWVTD3/ref=sr_1_10?keywords=Diablo+Tools+DMAPL4040+3%2F16+in.+x+4+in.+x+6+in.+Rebar+Demon%E2%84%A2+SDS-Plus+4-Cutter+Full+Carbide+Head+Hammer+Bit&amp;qid=1694735297&amp;sr=8-10", "https://www.amazon.com/Diablo-SDS-Plus-4-Cutter-Carbide-Hammer/dp/B089KWVTD3/ref=sr_1_10?keywords=Diablo+Tools+DMAPL4040+3%2F16+in.+x+4+in.+x+6+in.+Rebar+Demon%E2%84%A2+SDS-Plus+4-Cutter+Full+Carbide+Head+Hammer+Bit&amp;qid=1694735297&amp;sr=8-10")</f>
        <v/>
      </c>
      <c r="F5612" t="inlineStr">
        <is>
          <t>B089KWVTD3</t>
        </is>
      </c>
      <c r="G5612">
        <f>_xludf.IMAGE("https://edmondsonsupply.com/cdn/shop/products/DMAPL4040_Main-Image20200701.png?v=1633030358")</f>
        <v/>
      </c>
      <c r="H5612">
        <f>_xludf.IMAGE("https://m.media-amazon.com/images/I/61IkB-DVS1L._AC_UL320_.jpg")</f>
        <v/>
      </c>
      <c r="K5612" t="inlineStr">
        <is>
          <t>8.47</t>
        </is>
      </c>
      <c r="L5612" t="n">
        <v>9.5</v>
      </c>
      <c r="M5612" s="1" t="inlineStr">
        <is>
          <t>12.16%</t>
        </is>
      </c>
      <c r="N5612" s="1" t="n">
        <v>35.15</v>
      </c>
      <c r="O5612" t="n">
        <v>4.7</v>
      </c>
      <c r="P5612" t="n">
        <v>4</v>
      </c>
      <c r="R5612" t="inlineStr">
        <is>
          <t>InStock</t>
        </is>
      </c>
      <c r="S5612" t="inlineStr">
        <is>
          <t>undefined</t>
        </is>
      </c>
      <c r="T5612" t="inlineStr">
        <is>
          <t>5286740426920</t>
        </is>
      </c>
    </row>
    <row r="5613" ht="87" customHeight="1">
      <c r="A5613" s="2">
        <f>HYPERLINK("https://edmondsonsupply.com/collections/electricians-tools/products/greenlee-0151-09cd", "https://edmondsonsupply.com/collections/electricians-tools/products/greenlee-0151-09cd")</f>
        <v/>
      </c>
      <c r="B5613" s="2">
        <f>HYPERLINK("https://edmondsonsupply.com/products/greenlee-0151-09cd", "https://edmondsonsupply.com/products/greenlee-0151-09cd")</f>
        <v/>
      </c>
      <c r="C5613" t="inlineStr">
        <is>
          <t>Greenlee 0151-09CD 9" High-Leverage Side-Cutting Pliers, Dipped - Crimping</t>
        </is>
      </c>
      <c r="D5613" t="inlineStr">
        <is>
          <t>Greenlee 0151-09CD Side Cut Pliers With Crimper, High Leverage, Dipped Grip, 9", Green and Black</t>
        </is>
      </c>
      <c r="E5613" s="2">
        <f>HYPERLINK("https://www.amazon.com/Greenlee-0151-09CD-Pliers-Crimper-Leverage/dp/B003R7L17Y/ref=sr_1_1?keywords=Greenlee+0151-09CD+9%22+High-Leverage+Side-Cutting+Pliers%2C+Dipped+-+Crimping&amp;qid=1694735371&amp;sr=8-1", "https://www.amazon.com/Greenlee-0151-09CD-Pliers-Crimper-Leverage/dp/B003R7L17Y/ref=sr_1_1?keywords=Greenlee+0151-09CD+9%22+High-Leverage+Side-Cutting+Pliers%2C+Dipped+-+Crimping&amp;qid=1694735371&amp;sr=8-1")</f>
        <v/>
      </c>
      <c r="F5613" t="inlineStr">
        <is>
          <t>B003R7L17Y</t>
        </is>
      </c>
      <c r="G5613">
        <f>_xlfn.IMAGE("https://edmondsonsupply.com/cdn/shop/products/0151-09CD.jpg?v=1587143926")</f>
        <v/>
      </c>
      <c r="H5613">
        <f>_xlfn.IMAGE("https://m.media-amazon.com/images/I/71yS1wNITML._AC_UL320_.jpg")</f>
        <v/>
      </c>
      <c r="K5613" t="inlineStr">
        <is>
          <t>39.99</t>
        </is>
      </c>
      <c r="L5613" t="n">
        <v>44.85</v>
      </c>
      <c r="M5613" s="1" t="inlineStr">
        <is>
          <t>12.15%</t>
        </is>
      </c>
      <c r="N5613" s="7" t="n">
        <v>33.43</v>
      </c>
      <c r="O5613" t="n">
        <v>4.5</v>
      </c>
      <c r="P5613" t="n">
        <v>204</v>
      </c>
      <c r="R5613" t="inlineStr">
        <is>
          <t>InStock</t>
        </is>
      </c>
      <c r="S5613" t="inlineStr">
        <is>
          <t>44.85</t>
        </is>
      </c>
      <c r="T5613" t="inlineStr">
        <is>
          <t>4419623288932</t>
        </is>
      </c>
    </row>
    <row r="5614" ht="87" customHeight="1">
      <c r="A5614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5614" s="2">
        <f>HYPERLINK("https://edmondsonsupply.com/products/klein-tools-et600-insulation-resistance-tester", "https://edmondsonsupply.com/products/klein-tools-et600-insulation-resistance-tester")</f>
        <v/>
      </c>
      <c r="C5614" t="inlineStr">
        <is>
          <t>Klein Tools ET600 Insulation Resistance Tester</t>
        </is>
      </c>
      <c r="D5614" t="inlineStr">
        <is>
          <t>Klein Tools ET600 Multimeter, Megohmmeter Insulation Tester, 4000 Ohms Resistance, 125V/250V/500V/1000V &amp; 69411 Circuit Breaker Finder Accessory Kit, Circuit Breaker Leads, Circuit Breaker Adapters</t>
        </is>
      </c>
      <c r="E5614" s="2">
        <f>HYPERLINK("https://www.amazon.com/Klein-Tools-Multimeter-Megohmmeter-Insulation-Ohms-Resistance/dp/B09Z3DPNJ2/ref=sr_1_4?keywords=Klein+Tools+ET600+Insulation+Resistance+Tester&amp;qid=1694734978&amp;sr=8-4", "https://www.amazon.com/Klein-Tools-Multimeter-Megohmmeter-Insulation-Ohms-Resistance/dp/B09Z3DPNJ2/ref=sr_1_4?keywords=Klein+Tools+ET600+Insulation+Resistance+Tester&amp;qid=1694734978&amp;sr=8-4")</f>
        <v/>
      </c>
      <c r="F5614" t="inlineStr">
        <is>
          <t>B09Z3DPNJ2</t>
        </is>
      </c>
      <c r="G5614">
        <f>_xlfn.IMAGE("https://edmondsonsupply.com/cdn/shop/products/et600_accessories_b.jpg?v=1677685603")</f>
        <v/>
      </c>
      <c r="H5614">
        <f>_xlfn.IMAGE("https://m.media-amazon.com/images/I/51iMRXHBFSL._AC_UY218_.jpg")</f>
        <v/>
      </c>
      <c r="K5614" t="inlineStr">
        <is>
          <t>164.99</t>
        </is>
      </c>
      <c r="L5614" t="n">
        <v>184.96</v>
      </c>
      <c r="M5614" s="1" t="inlineStr">
        <is>
          <t>12.10%</t>
        </is>
      </c>
      <c r="N5614" s="7" t="n">
        <v>33.37</v>
      </c>
      <c r="O5614" t="n">
        <v>5</v>
      </c>
      <c r="P5614" t="n">
        <v>1</v>
      </c>
      <c r="R5614" t="inlineStr">
        <is>
          <t>InStock</t>
        </is>
      </c>
      <c r="S5614" t="inlineStr">
        <is>
          <t>231.0</t>
        </is>
      </c>
      <c r="T5614" t="inlineStr">
        <is>
          <t>4411568095332</t>
        </is>
      </c>
    </row>
    <row r="5615" ht="87" customHeight="1">
      <c r="A5615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5615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5615" t="inlineStr">
        <is>
          <t>Klein Tools CL390 AC/DC Digital Clamp Meter, Auto-Ranging 400 Amp</t>
        </is>
      </c>
      <c r="D5615" t="inlineStr">
        <is>
          <t>Klein Tools CL390 Digital Clamp Meter, Reverse Contrast Display, Auto Ranging 400A AC/DC, AC/DC Voltage,TRMS, DC Microamps, Temp, NCVT, More &amp; 69417 Rare-Earth Magnetic Hanger, with Strap</t>
        </is>
      </c>
      <c r="E5615" s="2">
        <f>HYPERLINK("https://www.amazon.com/Klein-Tools-Contrast-Microamps-Rare-Earth/dp/B09T72LQCJ/ref=sr_1_3?keywords=Klein+Tools+CL390+AC%2FDC+Digital+Clamp+Meter%2C+Auto-Ranging+400+Amp&amp;qid=1694735129&amp;sr=8-3", "https://www.amazon.com/Klein-Tools-Contrast-Microamps-Rare-Earth/dp/B09T72LQCJ/ref=sr_1_3?keywords=Klein+Tools+CL390+AC%2FDC+Digital+Clamp+Meter%2C+Auto-Ranging+400+Amp&amp;qid=1694735129&amp;sr=8-3")</f>
        <v/>
      </c>
      <c r="F5615" t="inlineStr">
        <is>
          <t>B09T72LQCJ</t>
        </is>
      </c>
      <c r="G5615">
        <f>_xlfn.IMAGE("https://edmondsonsupply.com/cdn/shop/products/cl390.jpg?v=1662670722")</f>
        <v/>
      </c>
      <c r="H5615">
        <f>_xlfn.IMAGE("https://m.media-amazon.com/images/I/51sNOvZYe9L._AC_UY218_.jpg")</f>
        <v/>
      </c>
      <c r="K5615" t="inlineStr">
        <is>
          <t>99.97</t>
        </is>
      </c>
      <c r="L5615" t="n">
        <v>111.96</v>
      </c>
      <c r="M5615" s="1" t="inlineStr">
        <is>
          <t>11.99%</t>
        </is>
      </c>
      <c r="N5615" s="7" t="n">
        <v>33.33</v>
      </c>
      <c r="O5615" t="n">
        <v>4.6</v>
      </c>
      <c r="P5615" t="n">
        <v>7</v>
      </c>
      <c r="R5615" t="inlineStr">
        <is>
          <t>InStock</t>
        </is>
      </c>
      <c r="S5615" t="inlineStr">
        <is>
          <t>133.3</t>
        </is>
      </c>
      <c r="T5615" t="inlineStr">
        <is>
          <t>7809430585560</t>
        </is>
      </c>
    </row>
    <row r="5616" hidden="1" ht="15.75" customHeight="1">
      <c r="A5616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5616" s="2">
        <f>HYPERLINK("https://edmondsonsupply.com/products/klein-tools-jth6m10-10-mm-hex-key-journeyman-t-handle-6-inch", "https://edmondsonsupply.com/products/klein-tools-jth6m10-10-mm-hex-key-journeyman-t-handle-6-inch")</f>
        <v/>
      </c>
      <c r="C5616" t="inlineStr">
        <is>
          <t>Klein Tools JTH6M10 10 mm Hex Key Journeyman T-Handle 6-Inch</t>
        </is>
      </c>
      <c r="D5616" t="inlineStr">
        <is>
          <t>Klein Tools JTH6T10 T10 TORX Hex Key, Journeyman T-Handle, 6-Inch</t>
        </is>
      </c>
      <c r="E5616" s="2">
        <f>HYPERLINK("https://www.amazon.com/Journeyman-T-Handle-Klein-Tools-JTH6T10/dp/B005G3B3TI/ref=sr_1_5?keywords=Klein+Tools+JTH6M10+10+mm+Hex+Key+Journeyman+T-Handle+6-Inch&amp;qid=1694735203&amp;sr=8-5", "https://www.amazon.com/Journeyman-T-Handle-Klein-Tools-JTH6T10/dp/B005G3B3TI/ref=sr_1_5?keywords=Klein+Tools+JTH6M10+10+mm+Hex+Key+Journeyman+T-Handle+6-Inch&amp;qid=1694735203&amp;sr=8-5")</f>
        <v/>
      </c>
      <c r="F5616" t="inlineStr">
        <is>
          <t>B005G3B3TI</t>
        </is>
      </c>
      <c r="G5616">
        <f>_xludf.IMAGE("https://edmondsonsupply.com/cdn/shop/products/jth6m8_64c2c8d3-e13e-4b81-9b34-745be7fd837a.jpg?v=1627827117")</f>
        <v/>
      </c>
      <c r="H5616">
        <f>_xludf.IMAGE("https://m.media-amazon.com/images/I/51Xj0Vsb-EL._AC_UL320_.jpg")</f>
        <v/>
      </c>
      <c r="K5616" t="inlineStr">
        <is>
          <t>8.99</t>
        </is>
      </c>
      <c r="L5616" t="n">
        <v>10.06</v>
      </c>
      <c r="M5616" s="1" t="inlineStr">
        <is>
          <t>11.90%</t>
        </is>
      </c>
      <c r="N5616" s="1" t="n">
        <v>32.3</v>
      </c>
      <c r="O5616" t="n">
        <v>4.8</v>
      </c>
      <c r="P5616" t="n">
        <v>1540</v>
      </c>
      <c r="R5616" t="inlineStr">
        <is>
          <t>InStock</t>
        </is>
      </c>
      <c r="S5616" t="inlineStr">
        <is>
          <t>13.56</t>
        </is>
      </c>
      <c r="T5616" t="inlineStr">
        <is>
          <t>6852298014893</t>
        </is>
      </c>
    </row>
    <row r="5617" hidden="1" ht="15.75" customHeight="1">
      <c r="A5617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5617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5617" t="inlineStr">
        <is>
          <t>Klein Tools JTH6E15 3/8-Inch Hex Key with Journeyman T-Handle, 6-Inch</t>
        </is>
      </c>
      <c r="D5617" t="inlineStr">
        <is>
          <t>Klein Tools JTH6T10 T10 TORX Hex Key, Journeyman T-Handle, 6-Inch</t>
        </is>
      </c>
      <c r="E5617" s="2">
        <f>HYPERLINK("https://www.amazon.com/Journeyman-T-Handle-Klein-Tools-JTH6T10/dp/B005G3B3TI/ref=sr_1_5?keywords=Klein+Tools+JTH6E15+3%2F8-Inch+Hex+Key+with+Journeyman+T-Handle%2C+6-Inch&amp;qid=1694735343&amp;sr=8-5", "https://www.amazon.com/Journeyman-T-Handle-Klein-Tools-JTH6T10/dp/B005G3B3TI/ref=sr_1_5?keywords=Klein+Tools+JTH6E15+3%2F8-Inch+Hex+Key+with+Journeyman+T-Handle%2C+6-Inch&amp;qid=1694735343&amp;sr=8-5")</f>
        <v/>
      </c>
      <c r="F5617" t="inlineStr">
        <is>
          <t>B005G3B3TI</t>
        </is>
      </c>
      <c r="G5617">
        <f>_xludf.IMAGE("https://edmondsonsupply.com/cdn/shop/products/jth6e15_c4dd65ba-86a8-4743-882c-88cf44faafdc.jpg?v=1587142819")</f>
        <v/>
      </c>
      <c r="H5617">
        <f>_xludf.IMAGE("https://m.media-amazon.com/images/I/51Xj0Vsb-EL._AC_UL320_.jpg")</f>
        <v/>
      </c>
      <c r="K5617" t="inlineStr">
        <is>
          <t>8.99</t>
        </is>
      </c>
      <c r="L5617" t="n">
        <v>10.06</v>
      </c>
      <c r="M5617" s="1" t="inlineStr">
        <is>
          <t>11.90%</t>
        </is>
      </c>
      <c r="N5617" s="1" t="n">
        <v>31.8</v>
      </c>
      <c r="O5617" t="n">
        <v>4.8</v>
      </c>
      <c r="P5617" t="n">
        <v>1540</v>
      </c>
      <c r="R5617" t="inlineStr">
        <is>
          <t>InStock</t>
        </is>
      </c>
      <c r="S5617" t="inlineStr">
        <is>
          <t>13.56</t>
        </is>
      </c>
      <c r="T5617" t="inlineStr">
        <is>
          <t>4512705970276</t>
        </is>
      </c>
    </row>
    <row r="5618" ht="87" customHeight="1">
      <c r="A5618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5618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5618" t="inlineStr">
        <is>
          <t>Diablo Tools DMAMX1110 5/8 in. x 24 in. x 29 in. Rebar Demon™ SDS-Max 4-Cutter Full Carbide Head Hammer Bit</t>
        </is>
      </c>
      <c r="D5618" t="inlineStr">
        <is>
          <t>Diablo by Freud DMAMX1150 3/4 in. x 31 in. x 36 in. Rebar Demon SDS-Max 4-Cutter Full Carbide Head Hammer Bit</t>
        </is>
      </c>
      <c r="E5618" s="2">
        <f>HYPERLINK("https://www.amazon.com/Diablo-SDS-Max-4-Cutter-Carbide-Hammer/dp/B089KWVY6S/ref=sr_1_21?keywords=Diablo+Tools+DMAMX1110+5%2F8+in.+x+24+in.+x+29+in.+Rebar+Demon%E2%84%A2+SDS-Max+4-Cutter+Full+Carbide+Head+Hammer+Bit&amp;qid=1694735304&amp;sr=8-21", "https://www.amazon.com/Diablo-SDS-Max-4-Cutter-Carbide-Hammer/dp/B089KWVY6S/ref=sr_1_21?keywords=Diablo+Tools+DMAMX1110+5%2F8+in.+x+24+in.+x+29+in.+Rebar+Demon%E2%84%A2+SDS-Max+4-Cutter+Full+Carbide+Head+Hammer+Bit&amp;qid=1694735304&amp;sr=8-21")</f>
        <v/>
      </c>
      <c r="F5618" t="inlineStr">
        <is>
          <t>B089KWVY6S</t>
        </is>
      </c>
      <c r="G5618">
        <f>_xlfn.IMAGE("https://edmondsonsupply.com/cdn/shop/products/DMAMX1110_1.jpg?v=1633030364")</f>
        <v/>
      </c>
      <c r="H5618">
        <f>_xlfn.IMAGE("https://m.media-amazon.com/images/I/61yjTOwPY1L._AC_UL320_.jpg")</f>
        <v/>
      </c>
      <c r="K5618" t="inlineStr">
        <is>
          <t>89.97</t>
        </is>
      </c>
      <c r="L5618" t="n">
        <v>100.64</v>
      </c>
      <c r="M5618" s="1" t="inlineStr">
        <is>
          <t>11.86%</t>
        </is>
      </c>
      <c r="N5618" s="7" t="n">
        <v>31.31</v>
      </c>
      <c r="O5618" t="n">
        <v>5</v>
      </c>
      <c r="P5618" t="n">
        <v>3</v>
      </c>
      <c r="R5618" t="inlineStr">
        <is>
          <t>InStock</t>
        </is>
      </c>
      <c r="S5618" t="inlineStr">
        <is>
          <t>115.5</t>
        </is>
      </c>
      <c r="T5618" t="inlineStr">
        <is>
          <t>5289159655592</t>
        </is>
      </c>
    </row>
    <row r="5619" ht="87" customHeight="1">
      <c r="A5619" s="2">
        <f>HYPERLINK("https://edmondsonsupply.com/collections/electricians-tools/products/klein-tools-46037-cable-splicers-kit", "https://edmondsonsupply.com/collections/electricians-tools/products/klein-tools-46037-cable-splicers-kit")</f>
        <v/>
      </c>
      <c r="B5619" s="2">
        <f>HYPERLINK("https://edmondsonsupply.com/products/klein-tools-46037-cable-splicers-kit", "https://edmondsonsupply.com/products/klein-tools-46037-cable-splicers-kit")</f>
        <v/>
      </c>
      <c r="C5619" t="inlineStr">
        <is>
          <t>Klein Tools 46037 Cable Splicer's Kit</t>
        </is>
      </c>
      <c r="D5619" t="inlineStr">
        <is>
          <t>Klein Tools 46039 Cable Splicer's Kit with Cable Splicer Electricians Knife and Free-Fall Snip,Black</t>
        </is>
      </c>
      <c r="E5619" s="2">
        <f>HYPERLINK("https://www.amazon.com/Klein-Tools-46039-Splicers-Free-Fall/dp/B003AXBJMC/ref=sr_1_4?keywords=Klein+Tools+46037+Cable+Splicer%27s+Kit&amp;qid=1694735136&amp;sr=8-4", "https://www.amazon.com/Klein-Tools-46039-Splicers-Free-Fall/dp/B003AXBJMC/ref=sr_1_4?keywords=Klein+Tools+46037+Cable+Splicer%27s+Kit&amp;qid=1694735136&amp;sr=8-4")</f>
        <v/>
      </c>
      <c r="F5619" t="inlineStr">
        <is>
          <t>B003AXBJMC</t>
        </is>
      </c>
      <c r="G5619">
        <f>_xlfn.IMAGE("https://edmondsonsupply.com/cdn/shop/products/46037.jpg?v=1663351986")</f>
        <v/>
      </c>
      <c r="H5619">
        <f>_xlfn.IMAGE("https://m.media-amazon.com/images/I/61VAGquLzKL._AC_UL320_.jpg")</f>
        <v/>
      </c>
      <c r="K5619" t="inlineStr">
        <is>
          <t>39.97</t>
        </is>
      </c>
      <c r="L5619" t="n">
        <v>44.71</v>
      </c>
      <c r="M5619" s="1" t="inlineStr">
        <is>
          <t>11.86%</t>
        </is>
      </c>
      <c r="N5619" s="7" t="n">
        <v>30.9</v>
      </c>
      <c r="O5619" t="n">
        <v>4.8</v>
      </c>
      <c r="P5619" t="n">
        <v>796</v>
      </c>
      <c r="R5619" t="inlineStr">
        <is>
          <t>InStock</t>
        </is>
      </c>
      <c r="S5619" t="inlineStr">
        <is>
          <t>66.7</t>
        </is>
      </c>
      <c r="T5619" t="inlineStr">
        <is>
          <t>7819207508184</t>
        </is>
      </c>
    </row>
    <row r="5620" hidden="1" ht="15.75" customHeight="1">
      <c r="A5620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5620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5620" t="inlineStr">
        <is>
          <t>Diablo Tools DMARG1140 7/16 in. x 4 in. x 6 in. SPEEDemon™ Red Granite Carbide Tipped Hammer Drill Bit</t>
        </is>
      </c>
      <c r="D5620" t="inlineStr">
        <is>
          <t>Diablo DMARG1110 5/16 in. x 8 in. x 10 in. SPEEDemon™ Red Granite Carbide Tipped Hammer Drill Bit</t>
        </is>
      </c>
      <c r="E5620" s="2">
        <f>HYPERLINK("https://www.amazon.com/Diablo-DMARG1110-SPEEDemon-Granite-Carbide/dp/B089LN9JJL/ref=sr_1_12?keywords=Diablo+Tools+DMARG1140+7%2F16+in.+x+4+in.+x+6+in.+SPEEDemon%E2%84%A2+Red+Granite+Carbide+Tipped+Hammer+Drill+Bit&amp;qid=1694735250&amp;sr=8-12", "https://www.amazon.com/Diablo-DMARG1110-SPEEDemon-Granite-Carbide/dp/B089LN9JJL/ref=sr_1_12?keywords=Diablo+Tools+DMARG1140+7%2F16+in.+x+4+in.+x+6+in.+SPEEDemon%E2%84%A2+Red+Granite+Carbide+Tipped+Hammer+Drill+Bit&amp;qid=1694735250&amp;sr=8-12")</f>
        <v/>
      </c>
      <c r="F5620" t="inlineStr">
        <is>
          <t>B089LN9JJL</t>
        </is>
      </c>
      <c r="G5620">
        <f>_xludf.IMAGE("https://edmondsonsupply.com/cdn/shop/products/DMARG1140_Main-Image20200513.png?v=1633030765")</f>
        <v/>
      </c>
      <c r="H5620">
        <f>_xludf.IMAGE("https://m.media-amazon.com/images/I/61Qf0cC1SJL._AC_UL320_.jpg")</f>
        <v/>
      </c>
      <c r="K5620" t="inlineStr">
        <is>
          <t>8.97</t>
        </is>
      </c>
      <c r="L5620" t="n">
        <v>10.03</v>
      </c>
      <c r="M5620" s="1" t="inlineStr">
        <is>
          <t>11.82%</t>
        </is>
      </c>
      <c r="N5620" s="1" t="n">
        <v>30.34</v>
      </c>
      <c r="O5620" t="n">
        <v>4.2</v>
      </c>
      <c r="P5620" t="n">
        <v>5</v>
      </c>
      <c r="R5620" t="inlineStr">
        <is>
          <t>InStock</t>
        </is>
      </c>
      <c r="S5620" t="inlineStr">
        <is>
          <t>undefined</t>
        </is>
      </c>
      <c r="T5620" t="inlineStr">
        <is>
          <t>5919026315432</t>
        </is>
      </c>
    </row>
    <row r="5621" ht="87" customHeight="1">
      <c r="A5621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5621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5621" t="inlineStr">
        <is>
          <t>Diablo Tools DMAMX1130 3/4 in. x 8 in. x 13 in. Rebar Demon™ SDS‑Max 4‑Cutter Full Carbide Head Hammer Bit</t>
        </is>
      </c>
      <c r="D5621" t="inlineStr">
        <is>
          <t>Diablo DMAMX1140 3/4 in. x 16 in. x 21 in. Rebar Demon™ SDS-Max 4-Cutter Full Carbide Head Hammer Bit</t>
        </is>
      </c>
      <c r="E5621" s="2">
        <f>HYPERLINK("https://www.amazon.com/Diablo-SDS-Max-4-Cutter-Carbide-Hammer/dp/B089KWP4WK/ref=sr_1_6?keywords=Diablo+Tools+DMAMX1130+3%2F4+in.+x+8+in.+x+13+in.+Rebar+Demon%E2%84%A2+SDS%E2%80%91Max+4%E2%80%91Cutter+Full+Carbide+Head+Hammer+Bit&amp;qid=1694735267&amp;sr=8-6", "https://www.amazon.com/Diablo-SDS-Max-4-Cutter-Carbide-Hammer/dp/B089KWP4WK/ref=sr_1_6?keywords=Diablo+Tools+DMAMX1130+3%2F4+in.+x+8+in.+x+13+in.+Rebar+Demon%E2%84%A2+SDS%E2%80%91Max+4%E2%80%91Cutter+Full+Carbide+Head+Hammer+Bit&amp;qid=1694735267&amp;sr=8-6")</f>
        <v/>
      </c>
      <c r="F5621" t="inlineStr">
        <is>
          <t>B089KWP4WK</t>
        </is>
      </c>
      <c r="G5621">
        <f>_xlfn.IMAGE("https://edmondsonsupply.com/cdn/shop/products/DMAMX1130_Main-Image20200701.png?v=1633030568")</f>
        <v/>
      </c>
      <c r="H5621">
        <f>_xlfn.IMAGE("https://m.media-amazon.com/images/I/61yWWNP1xrL._AC_UL320_.jpg")</f>
        <v/>
      </c>
      <c r="K5621" t="inlineStr">
        <is>
          <t>44.97</t>
        </is>
      </c>
      <c r="L5621" t="n">
        <v>50.26</v>
      </c>
      <c r="M5621" s="1" t="inlineStr">
        <is>
          <t>11.76%</t>
        </is>
      </c>
      <c r="N5621" s="7" t="n">
        <v>30.04</v>
      </c>
      <c r="O5621" t="n">
        <v>5</v>
      </c>
      <c r="P5621" t="n">
        <v>9</v>
      </c>
      <c r="R5621" t="inlineStr">
        <is>
          <t>InStock</t>
        </is>
      </c>
      <c r="S5621" t="inlineStr">
        <is>
          <t>46.26</t>
        </is>
      </c>
      <c r="T5621" t="inlineStr">
        <is>
          <t>5463880925352</t>
        </is>
      </c>
    </row>
    <row r="5622" ht="87" customHeight="1">
      <c r="A5622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5622" s="2">
        <f>HYPERLINK("https://edmondsonsupply.com/products/klein-tools-d203-8-pliers-long-nose-side-cutters-8-inch", "https://edmondsonsupply.com/products/klein-tools-d203-8-pliers-long-nose-side-cutters-8-inch")</f>
        <v/>
      </c>
      <c r="C5622" t="inlineStr">
        <is>
          <t>Klein Tools D203-8 Pliers, Needle Nose Side-Cutters, 8-Inch</t>
        </is>
      </c>
      <c r="D5622" t="inlineStr">
        <is>
          <t>Klein Tools D213-8NE Pliers, 8-Inch Side Cutters, High Leverage Lineman's Pliers Cut Copper, Aluminum and other Soft Metals</t>
        </is>
      </c>
      <c r="E5622" s="2">
        <f>HYPERLINK("https://www.amazon.com/Klein-Tools-D213-8NE-Linemans-Pliers/dp/B000UQ5QW6/ref=sr_1_19?keywords=Klein+Tools+D203-8+Pliers%2C+Needle+Nose+Side-Cutters%2C+8-Inch&amp;qid=1694735240&amp;sr=8-19", "https://www.amazon.com/Klein-Tools-D213-8NE-Linemans-Pliers/dp/B000UQ5QW6/ref=sr_1_19?keywords=Klein+Tools+D203-8+Pliers%2C+Needle+Nose+Side-Cutters%2C+8-Inch&amp;qid=1694735240&amp;sr=8-19")</f>
        <v/>
      </c>
      <c r="F5622" t="inlineStr">
        <is>
          <t>B000UQ5QW6</t>
        </is>
      </c>
      <c r="G5622">
        <f>_xlfn.IMAGE("https://edmondsonsupply.com/cdn/shop/products/d2038.jpg?v=1633030802")</f>
        <v/>
      </c>
      <c r="H5622">
        <f>_xlfn.IMAGE("https://m.media-amazon.com/images/I/51QNEEU4fsL._AC_UL320_.jpg")</f>
        <v/>
      </c>
      <c r="K5622" t="inlineStr">
        <is>
          <t>29.97</t>
        </is>
      </c>
      <c r="L5622" t="n">
        <v>33.49</v>
      </c>
      <c r="M5622" s="1" t="inlineStr">
        <is>
          <t>11.75%</t>
        </is>
      </c>
      <c r="N5622" s="7" t="n">
        <v>30</v>
      </c>
      <c r="O5622" t="n">
        <v>4.6</v>
      </c>
      <c r="P5622" t="n">
        <v>416</v>
      </c>
      <c r="R5622" t="inlineStr">
        <is>
          <t>InStock</t>
        </is>
      </c>
      <c r="S5622" t="inlineStr">
        <is>
          <t>44.84</t>
        </is>
      </c>
      <c r="T5622" t="inlineStr">
        <is>
          <t>6005724577960</t>
        </is>
      </c>
    </row>
    <row r="5623" ht="87" customHeight="1">
      <c r="A5623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5623" s="2">
        <f>HYPERLINK("https://edmondsonsupply.com/products/klein-tools-635-7-16-7-16-inch-heavy-duty-nut-driver", "https://edmondsonsupply.com/products/klein-tools-635-7-16-7-16-inch-heavy-duty-nut-driver")</f>
        <v/>
      </c>
      <c r="C5623" t="inlineStr">
        <is>
          <t>Klein Tools 635-7/16 7/16-Inch Heavy-Duty Nut Driver</t>
        </is>
      </c>
      <c r="D5623" t="inlineStr">
        <is>
          <t>Klein Tools S146 7/16-Inch Nut Driver with 6-Inch Hollow Shaft and Comfordome Handle</t>
        </is>
      </c>
      <c r="E5623" s="2">
        <f>HYPERLINK("https://www.amazon.com/16-Inch-Comfordome-Klein-Tools-S146/dp/B00093GD2C/ref=sr_1_20?keywords=Klein+Tools+635-7%2F16+7%2F16-Inch+Heavy-Duty+Nut+Driver&amp;qid=1694735398&amp;sr=8-20", "https://www.amazon.com/16-Inch-Comfordome-Klein-Tools-S146/dp/B00093GD2C/ref=sr_1_20?keywords=Klein+Tools+635-7%2F16+7%2F16-Inch+Heavy-Duty+Nut+Driver&amp;qid=1694735398&amp;sr=8-20")</f>
        <v/>
      </c>
      <c r="F5623" t="inlineStr">
        <is>
          <t>B00093GD2C</t>
        </is>
      </c>
      <c r="G5623">
        <f>_xlfn.IMAGE("https://edmondsonsupply.com/cdn/shop/products/635-7-16.jpg?v=1587145128")</f>
        <v/>
      </c>
      <c r="H5623">
        <f>_xlfn.IMAGE("https://m.media-amazon.com/images/I/31ij31KnKpL._AC_UL320_.jpg")</f>
        <v/>
      </c>
      <c r="K5623" t="inlineStr">
        <is>
          <t>14.49</t>
        </is>
      </c>
      <c r="L5623" t="n">
        <v>16.15</v>
      </c>
      <c r="M5623" s="1" t="inlineStr">
        <is>
          <t>11.46%</t>
        </is>
      </c>
      <c r="N5623" s="7" t="n">
        <v>29.6</v>
      </c>
      <c r="O5623" t="n">
        <v>4.7</v>
      </c>
      <c r="P5623" t="n">
        <v>47</v>
      </c>
      <c r="R5623" t="inlineStr">
        <is>
          <t>InStock</t>
        </is>
      </c>
      <c r="S5623" t="inlineStr">
        <is>
          <t>21.94</t>
        </is>
      </c>
      <c r="T5623" t="inlineStr">
        <is>
          <t>4410745978980</t>
        </is>
      </c>
    </row>
    <row r="5624" ht="87" customHeight="1">
      <c r="A5624" s="2">
        <f>HYPERLINK("https://edmondsonsupply.com/collections/electricians-tools/products/milwaukee-48-22-7218-18-aluminum-pipe-wrench", "https://edmondsonsupply.com/collections/electricians-tools/products/milwaukee-48-22-7218-18-aluminum-pipe-wrench")</f>
        <v/>
      </c>
      <c r="B5624" s="2">
        <f>HYPERLINK("https://edmondsonsupply.com/products/milwaukee-48-22-7218-18-aluminum-pipe-wrench", "https://edmondsonsupply.com/products/milwaukee-48-22-7218-18-aluminum-pipe-wrench")</f>
        <v/>
      </c>
      <c r="C5624" t="inlineStr">
        <is>
          <t>Milwaukee 48-22-7218 18" Aluminum Pipe Wrench</t>
        </is>
      </c>
      <c r="D5624" t="inlineStr">
        <is>
          <t>Milwaukee 48-22-7213 10 in. Aluminum Pipe Wrench with POWERLENGTH Handle</t>
        </is>
      </c>
      <c r="E5624" s="2">
        <f>HYPERLINK("https://www.amazon.com/Milwaukee-48-22-7213-Aluminum-Wrench-POWERLENGTH/dp/B09VQ6CYDG/ref=sr_1_6?keywords=Milwaukee+48-22-7218+18%22+Aluminum+Pipe+Wrench&amp;qid=1694735004&amp;sr=8-6", "https://www.amazon.com/Milwaukee-48-22-7213-Aluminum-Wrench-POWERLENGTH/dp/B09VQ6CYDG/ref=sr_1_6?keywords=Milwaukee+48-22-7218+18%22+Aluminum+Pipe+Wrench&amp;qid=1694735004&amp;sr=8-6")</f>
        <v/>
      </c>
      <c r="F5624" t="inlineStr">
        <is>
          <t>B09VQ6CYDG</t>
        </is>
      </c>
      <c r="G5624">
        <f>_xlfn.IMAGE("https://edmondsonsupply.com/cdn/shop/products/48-22-7218_2_1_742fcb03-c548-4ed9-8aa1-934894b7f36d.png?v=1680096673")</f>
        <v/>
      </c>
      <c r="H5624">
        <f>_xlfn.IMAGE("https://m.media-amazon.com/images/I/51qzHa1LxNL._AC_UL320_.jpg")</f>
        <v/>
      </c>
      <c r="K5624" t="inlineStr">
        <is>
          <t>64.97</t>
        </is>
      </c>
      <c r="L5624" t="n">
        <v>72.36</v>
      </c>
      <c r="M5624" s="1" t="inlineStr">
        <is>
          <t>11.37%</t>
        </is>
      </c>
      <c r="N5624" s="7" t="n">
        <v>28.58</v>
      </c>
      <c r="O5624" t="n">
        <v>5</v>
      </c>
      <c r="P5624" t="n">
        <v>6</v>
      </c>
      <c r="R5624" t="inlineStr">
        <is>
          <t>InStock</t>
        </is>
      </c>
      <c r="S5624" t="inlineStr">
        <is>
          <t>103.5</t>
        </is>
      </c>
      <c r="T5624" t="inlineStr">
        <is>
          <t>7969546404056</t>
        </is>
      </c>
    </row>
    <row r="5625" hidden="1" ht="15.75" customHeight="1">
      <c r="A5625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5625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5625" t="inlineStr">
        <is>
          <t>Diablo Tools DMARG1140 7/16 in. x 4 in. x 6 in. SPEEDemon™ Red Granite Carbide Tipped Hammer Drill Bit</t>
        </is>
      </c>
      <c r="D5625" t="inlineStr">
        <is>
          <t>VALYRIANTOOL 3-Pack 7/16 Inch x 6 Inch SDS Plus Rotary Hammer Drill Bits Set, Carbide Tipped for Brick, Masonry, Stone and Concrete (7/16" x 4" x 6")</t>
        </is>
      </c>
      <c r="E5625" s="2">
        <f>HYPERLINK("https://www.amazon.com/VALYRIANTOOL-3-Pack-Carbide-Masonry-Concrete/dp/B07W7NWWKB/ref=sr_1_19?keywords=Diablo+Tools+DMARG1140+7%2F16+in.+x+4+in.+x+6+in.+SPEEDemon%E2%84%A2+Red+Granite+Carbide+Tipped+Hammer+Drill+Bit&amp;qid=1694735250&amp;sr=8-19", "https://www.amazon.com/VALYRIANTOOL-3-Pack-Carbide-Masonry-Concrete/dp/B07W7NWWKB/ref=sr_1_19?keywords=Diablo+Tools+DMARG1140+7%2F16+in.+x+4+in.+x+6+in.+SPEEDemon%E2%84%A2+Red+Granite+Carbide+Tipped+Hammer+Drill+Bit&amp;qid=1694735250&amp;sr=8-19")</f>
        <v/>
      </c>
      <c r="F5625" t="inlineStr">
        <is>
          <t>B07W7NWWKB</t>
        </is>
      </c>
      <c r="G5625">
        <f>_xludf.IMAGE("https://edmondsonsupply.com/cdn/shop/products/DMARG1140_Main-Image20200513.png?v=1633030765")</f>
        <v/>
      </c>
      <c r="H5625">
        <f>_xludf.IMAGE("https://m.media-amazon.com/images/I/51JdiUQvJEL._AC_UL320_.jpg")</f>
        <v/>
      </c>
      <c r="K5625" t="inlineStr">
        <is>
          <t>8.97</t>
        </is>
      </c>
      <c r="L5625" t="n">
        <v>9.99</v>
      </c>
      <c r="M5625" s="1" t="inlineStr">
        <is>
          <t>11.37%</t>
        </is>
      </c>
      <c r="N5625" s="1" t="n">
        <v>25.02</v>
      </c>
      <c r="O5625" t="n">
        <v>4.3</v>
      </c>
      <c r="P5625" t="n">
        <v>47</v>
      </c>
      <c r="R5625" t="inlineStr">
        <is>
          <t>InStock</t>
        </is>
      </c>
      <c r="S5625" t="inlineStr">
        <is>
          <t>undefined</t>
        </is>
      </c>
      <c r="T5625" t="inlineStr">
        <is>
          <t>5919026315432</t>
        </is>
      </c>
    </row>
    <row r="5626" ht="87" customHeight="1">
      <c r="A5626" s="2">
        <f>HYPERLINK("https://edmondsonsupply.com/collections/electricians-tools/products/klein-tools-55456bpl-tradesman-pro%E2%84%A2-tech-backpack", "https://edmondsonsupply.com/collections/electricians-tools/products/klein-tools-55456bpl-tradesman-pro%E2%84%A2-tech-backpack")</f>
        <v/>
      </c>
      <c r="B5626" s="2">
        <f>HYPERLINK("https://edmondsonsupply.com/products/klein-tools-55456bpl-tradesman-pro%e2%84%a2-tech-backpack", "https://edmondsonsupply.com/products/klein-tools-55456bpl-tradesman-pro%e2%84%a2-tech-backpack")</f>
        <v/>
      </c>
      <c r="C5626" t="inlineStr">
        <is>
          <t>Klein Tools 55456BPL Tradesman Pro™ Backpack / Tool Bag, 25 Pockets, 1-Inch Laptop Pocket</t>
        </is>
      </c>
      <c r="D5626" t="inlineStr">
        <is>
          <t>Klein Tools 55456BPL Laptop Backpack/Tool Bag, 25 Pockets &amp; 55470 Utility Bag, Stand-Up Zipper Tool Bags, Tough 1680d Ballistic Weave, Reinforced Bottoms, Orange/Black, Gray/Black, 2-Pack</t>
        </is>
      </c>
      <c r="E5626" s="2">
        <f>HYPERLINK("https://www.amazon.com/Klein-Tools-55456BPL-Ballistic-Reinforced/dp/B0BC81SYKF/ref=sr_1_3?keywords=Klein+Tools+55456BPL+Tradesman+Pro%E2%84%A2+Backpack+%2F+Tool+Bag%2C+25+Pockets%2C+1-Inch+Laptop+Pocket&amp;qid=1694735424&amp;sr=8-3", "https://www.amazon.com/Klein-Tools-55456BPL-Ballistic-Reinforced/dp/B0BC81SYKF/ref=sr_1_3?keywords=Klein+Tools+55456BPL+Tradesman+Pro%E2%84%A2+Backpack+%2F+Tool+Bag%2C+25+Pockets%2C+1-Inch+Laptop+Pocket&amp;qid=1694735424&amp;sr=8-3")</f>
        <v/>
      </c>
      <c r="F5626" t="inlineStr">
        <is>
          <t>B0BC81SYKF</t>
        </is>
      </c>
      <c r="G5626">
        <f>_xlfn.IMAGE("https://edmondsonsupply.com/cdn/shop/products/55456bpl.jpg?v=1679663997")</f>
        <v/>
      </c>
      <c r="H5626">
        <f>_xlfn.IMAGE("https://m.media-amazon.com/images/I/51Hd1-uEERL._AC_UL320_.jpg")</f>
        <v/>
      </c>
      <c r="K5626" t="inlineStr">
        <is>
          <t>124.99</t>
        </is>
      </c>
      <c r="L5626" t="n">
        <v>138.99</v>
      </c>
      <c r="M5626" s="1" t="inlineStr">
        <is>
          <t>11.20%</t>
        </is>
      </c>
      <c r="N5626" s="7" t="n">
        <v>24.18</v>
      </c>
      <c r="O5626" t="n">
        <v>5</v>
      </c>
      <c r="P5626" t="n">
        <v>4</v>
      </c>
      <c r="R5626" t="inlineStr">
        <is>
          <t>InStock</t>
        </is>
      </c>
      <c r="S5626" t="inlineStr">
        <is>
          <t>189.38</t>
        </is>
      </c>
      <c r="T5626" t="inlineStr">
        <is>
          <t>4360492613732</t>
        </is>
      </c>
    </row>
    <row r="5627" ht="87" customHeight="1">
      <c r="A5627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5627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5627" t="inlineStr">
        <is>
          <t>Diablo Tools DMAMX1110 5/8 in. x 24 in. x 29 in. Rebar Demon™ SDS-Max 4-Cutter Full Carbide Head Hammer Bit</t>
        </is>
      </c>
      <c r="D5627" t="inlineStr">
        <is>
          <t>Diablo by Freud DMAMX1240 1 in. x 31 in. x 36 in. Rebar Demon SDS-Max 4-Cutter Full Carbide Head Hammer Bit</t>
        </is>
      </c>
      <c r="E5627" s="2">
        <f>HYPERLINK("https://www.amazon.com/Diablo-SDS-Max-4-Cutter-Carbide-Hammer/dp/B089KWF9R4/ref=sr_1_29?keywords=Diablo+Tools+DMAMX1110+5%2F8+in.+x+24+in.+x+29+in.+Rebar+Demon%E2%84%A2+SDS-Max+4-Cutter+Full+Carbide+Head+Hammer+Bit&amp;qid=1694735304&amp;sr=8-29", "https://www.amazon.com/Diablo-SDS-Max-4-Cutter-Carbide-Hammer/dp/B089KWF9R4/ref=sr_1_29?keywords=Diablo+Tools+DMAMX1110+5%2F8+in.+x+24+in.+x+29+in.+Rebar+Demon%E2%84%A2+SDS-Max+4-Cutter+Full+Carbide+Head+Hammer+Bit&amp;qid=1694735304&amp;sr=8-29")</f>
        <v/>
      </c>
      <c r="F5627" t="inlineStr">
        <is>
          <t>B089KWF9R4</t>
        </is>
      </c>
      <c r="G5627">
        <f>_xlfn.IMAGE("https://edmondsonsupply.com/cdn/shop/products/DMAMX1110_1.jpg?v=1633030364")</f>
        <v/>
      </c>
      <c r="H5627">
        <f>_xlfn.IMAGE("https://m.media-amazon.com/images/I/61UhVlNC+9L._AC_UL320_.jpg")</f>
        <v/>
      </c>
      <c r="K5627" t="inlineStr">
        <is>
          <t>89.97</t>
        </is>
      </c>
      <c r="L5627" t="n">
        <v>100</v>
      </c>
      <c r="M5627" s="1" t="inlineStr">
        <is>
          <t>11.15%</t>
        </is>
      </c>
      <c r="N5627" s="7" t="n">
        <v>23.94</v>
      </c>
      <c r="O5627" t="n">
        <v>5</v>
      </c>
      <c r="P5627" t="n">
        <v>3</v>
      </c>
      <c r="R5627" t="inlineStr">
        <is>
          <t>InStock</t>
        </is>
      </c>
      <c r="S5627" t="inlineStr">
        <is>
          <t>115.5</t>
        </is>
      </c>
      <c r="T5627" t="inlineStr">
        <is>
          <t>5289159655592</t>
        </is>
      </c>
    </row>
    <row r="5628" hidden="1" ht="15.75" customHeight="1">
      <c r="A5628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5628" s="2">
        <f>HYPERLINK("https://edmondsonsupply.com/products/klein-tools-jth9m3-3-mm-hex-key-with-journeyman-t-handle-9-inch", "https://edmondsonsupply.com/products/klein-tools-jth9m3-3-mm-hex-key-with-journeyman-t-handle-9-inch")</f>
        <v/>
      </c>
      <c r="C5628" t="inlineStr">
        <is>
          <t>Klein Tools JTH9M3 3 mm Hex Key with Journeyman T-Handle, 9-Inch</t>
        </is>
      </c>
      <c r="D5628" t="inlineStr">
        <is>
          <t>Klein Tools JTH6M3BE 3 mm Ball End Hex Key with Journeyman T-Handle, 6-Inch</t>
        </is>
      </c>
      <c r="E5628" s="2">
        <f>HYPERLINK("https://www.amazon.com/Journeyman-T-Handle-Klein-Tools-JTH6M3BE/dp/B005G394V2/ref=sr_1_2?keywords=Klein+Tools+JTH9M3+3+mm+Hex+Key+with+Journeyman+T-Handle%2C+9-Inch&amp;qid=1694735249&amp;sr=8-2", "https://www.amazon.com/Journeyman-T-Handle-Klein-Tools-JTH6M3BE/dp/B005G394V2/ref=sr_1_2?keywords=Klein+Tools+JTH9M3+3+mm+Hex+Key+with+Journeyman+T-Handle%2C+9-Inch&amp;qid=1694735249&amp;sr=8-2")</f>
        <v/>
      </c>
      <c r="F5628" t="inlineStr">
        <is>
          <t>B005G394V2</t>
        </is>
      </c>
      <c r="G5628">
        <f>_xludf.IMAGE("https://edmondsonsupply.com/cdn/shop/products/jth9m.jpg?v=1633030702")</f>
        <v/>
      </c>
      <c r="H5628">
        <f>_xludf.IMAGE("https://m.media-amazon.com/images/I/51huXA+ij8L._AC_UL320_.jpg")</f>
        <v/>
      </c>
      <c r="K5628" t="inlineStr">
        <is>
          <t>4.49</t>
        </is>
      </c>
      <c r="L5628" t="n">
        <v>4.99</v>
      </c>
      <c r="M5628" s="1" t="inlineStr">
        <is>
          <t>11.14%</t>
        </is>
      </c>
      <c r="N5628" s="1" t="n">
        <v>23.28</v>
      </c>
      <c r="O5628" t="n">
        <v>4.6</v>
      </c>
      <c r="P5628" t="n">
        <v>184</v>
      </c>
      <c r="R5628" t="inlineStr">
        <is>
          <t>InStock</t>
        </is>
      </c>
      <c r="S5628" t="inlineStr">
        <is>
          <t>6.82</t>
        </is>
      </c>
      <c r="T5628" t="inlineStr">
        <is>
          <t>5848344035496</t>
        </is>
      </c>
    </row>
    <row r="5629" ht="87" customHeight="1">
      <c r="A5629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5629" s="2">
        <f>HYPERLINK("https://edmondsonsupply.com/products/klein-tools-56028-flashlight-with-worklight-led-flashlight", "https://edmondsonsupply.com/products/klein-tools-56028-flashlight-with-worklight-led-flashlight")</f>
        <v/>
      </c>
      <c r="C5629" t="inlineStr">
        <is>
          <t>Klein Tools 56028 LED Flashlight with Work Light</t>
        </is>
      </c>
      <c r="D5629" t="inlineStr">
        <is>
          <t>Klein Tools 56049 Rechargeable Headlamp / LED Lights, Adjustable Fabric Strap with Marker / Pencil Holder, 260 Lumens, for Work and Outdoors</t>
        </is>
      </c>
      <c r="E5629" s="2">
        <f>HYPERLINK("https://www.amazon.com/Klein-Tools-56049-Rechargeable-Headlamp/dp/B089DRF7QW/ref=sr_1_7?keywords=Klein+Tools+56028+LED+Flashlight+with+Work+Light&amp;qid=1694735208&amp;sr=8-7", "https://www.amazon.com/Klein-Tools-56049-Rechargeable-Headlamp/dp/B089DRF7QW/ref=sr_1_7?keywords=Klein+Tools+56028+LED+Flashlight+with+Work+Light&amp;qid=1694735208&amp;sr=8-7")</f>
        <v/>
      </c>
      <c r="F5629" t="inlineStr">
        <is>
          <t>B089DRF7QW</t>
        </is>
      </c>
      <c r="G5629">
        <f>_xlfn.IMAGE("https://edmondsonsupply.com/cdn/shop/products/56028.jpg?v=1587148656")</f>
        <v/>
      </c>
      <c r="H5629">
        <f>_xlfn.IMAGE("https://m.media-amazon.com/images/I/61PyFw1jeZL._AC_UL320_.jpg")</f>
        <v/>
      </c>
      <c r="K5629" t="inlineStr">
        <is>
          <t>26.97</t>
        </is>
      </c>
      <c r="L5629" t="n">
        <v>29.97</v>
      </c>
      <c r="M5629" s="1" t="inlineStr">
        <is>
          <t>11.12%</t>
        </is>
      </c>
      <c r="N5629" s="7" t="n">
        <v>21.22</v>
      </c>
      <c r="O5629" t="n">
        <v>4.6</v>
      </c>
      <c r="P5629" t="n">
        <v>386</v>
      </c>
      <c r="R5629" t="inlineStr">
        <is>
          <t>InStock</t>
        </is>
      </c>
      <c r="S5629" t="inlineStr">
        <is>
          <t>41.04</t>
        </is>
      </c>
      <c r="T5629" t="inlineStr">
        <is>
          <t>1778913050724</t>
        </is>
      </c>
    </row>
    <row r="5630" hidden="1" ht="15.75" customHeight="1">
      <c r="A5630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5630" s="2">
        <f>HYPERLINK("https://edmondsonsupply.com/products/greenlee-dtap10-32-drill-tap-10-32", "https://edmondsonsupply.com/products/greenlee-dtap10-32-drill-tap-10-32")</f>
        <v/>
      </c>
      <c r="C5630" t="inlineStr">
        <is>
          <t>Greenlee DTAP10-32 Drill/Tap, 10-32</t>
        </is>
      </c>
      <c r="D5630" t="inlineStr">
        <is>
          <t>DEWALT DWADTQTR1032 Impact Ready 10-32 UNF Drill Tap, 1/4" Capacity</t>
        </is>
      </c>
      <c r="E5630" s="2">
        <f>HYPERLINK("https://www.amazon.com/DEWALT-DWADTQTR1032-Impact-Ready-Capacity/dp/B01GWSYQ4E/ref=sr_1_7?keywords=Greenlee+DTAP10-32+Drill%2FTap%2C+10-32&amp;qid=1694735404&amp;sr=8-7", "https://www.amazon.com/DEWALT-DWADTQTR1032-Impact-Ready-Capacity/dp/B01GWSYQ4E/ref=sr_1_7?keywords=Greenlee+DTAP10-32+Drill%2FTap%2C+10-32&amp;qid=1694735404&amp;sr=8-7")</f>
        <v/>
      </c>
      <c r="F5630" t="inlineStr">
        <is>
          <t>B01GWSYQ4E</t>
        </is>
      </c>
      <c r="G5630">
        <f>_xludf.IMAGE("https://edmondsonsupply.com/cdn/shop/products/DTAP10-32.jpg?v=1633030188")</f>
        <v/>
      </c>
      <c r="H5630">
        <f>_xludf.IMAGE("https://m.media-amazon.com/images/I/51lB3geh3VL._AC_UL320_.jpg")</f>
        <v/>
      </c>
      <c r="K5630" t="inlineStr">
        <is>
          <t>8.99</t>
        </is>
      </c>
      <c r="L5630" t="n">
        <v>9.99</v>
      </c>
      <c r="M5630" s="1" t="inlineStr">
        <is>
          <t>11.12%</t>
        </is>
      </c>
      <c r="N5630" s="1" t="n">
        <v>21.16</v>
      </c>
      <c r="O5630" t="n">
        <v>4.5</v>
      </c>
      <c r="P5630" t="n">
        <v>69</v>
      </c>
      <c r="R5630" t="inlineStr">
        <is>
          <t>InStock</t>
        </is>
      </c>
      <c r="S5630" t="inlineStr">
        <is>
          <t>9.7</t>
        </is>
      </c>
      <c r="T5630" t="inlineStr">
        <is>
          <t>4395883298916</t>
        </is>
      </c>
    </row>
    <row r="5631" hidden="1" ht="15.75" customHeight="1">
      <c r="A5631" s="2">
        <f>HYPERLINK("https://edmondsonsupply.com/collections/electricians-tools/products/greenlee-dtap6-32-drill-tap-6-32", "https://edmondsonsupply.com/collections/electricians-tools/products/greenlee-dtap6-32-drill-tap-6-32")</f>
        <v/>
      </c>
      <c r="B5631" s="2">
        <f>HYPERLINK("https://edmondsonsupply.com/products/greenlee-dtap6-32-drill-tap-6-32", "https://edmondsonsupply.com/products/greenlee-dtap6-32-drill-tap-6-32")</f>
        <v/>
      </c>
      <c r="C5631" t="inlineStr">
        <is>
          <t>Greenlee DTAP6-32 Drill/Tap, 6-32</t>
        </is>
      </c>
      <c r="D5631" t="inlineStr">
        <is>
          <t>Greenlee DTAP8-32 Combination Drill, Tap, and Deburr Bit with Quick Change Hex, 8-32 NC</t>
        </is>
      </c>
      <c r="E5631" s="2">
        <f>HYPERLINK("https://www.amazon.com/Greenlee-DTAP8-32-Combination-Drill-8-32NC/dp/B000FRQPHU/ref=sr_1_6?keywords=Greenlee+DTAP6-32+Drill%2FTap%2C+6-32&amp;qid=1694735395&amp;sr=8-6", "https://www.amazon.com/Greenlee-DTAP8-32-Combination-Drill-8-32NC/dp/B000FRQPHU/ref=sr_1_6?keywords=Greenlee+DTAP6-32+Drill%2FTap%2C+6-32&amp;qid=1694735395&amp;sr=8-6")</f>
        <v/>
      </c>
      <c r="F5631" t="inlineStr">
        <is>
          <t>B000FRQPHU</t>
        </is>
      </c>
      <c r="G5631">
        <f>_xludf.IMAGE("https://edmondsonsupply.com/cdn/shop/products/6-32.jpg?v=1587149860")</f>
        <v/>
      </c>
      <c r="H5631">
        <f>_xludf.IMAGE("https://m.media-amazon.com/images/I/61-0s6yAJ0L._AC_UL320_.jpg")</f>
        <v/>
      </c>
      <c r="K5631" t="inlineStr">
        <is>
          <t>8.99</t>
        </is>
      </c>
      <c r="L5631" t="n">
        <v>9.99</v>
      </c>
      <c r="M5631" s="1" t="inlineStr">
        <is>
          <t>11.12%</t>
        </is>
      </c>
      <c r="N5631" s="1" t="n">
        <v>19.24</v>
      </c>
      <c r="O5631" t="n">
        <v>4.2</v>
      </c>
      <c r="P5631" t="n">
        <v>135</v>
      </c>
      <c r="R5631" t="inlineStr">
        <is>
          <t>OutOfStock</t>
        </is>
      </c>
      <c r="S5631" t="inlineStr">
        <is>
          <t>9.7</t>
        </is>
      </c>
      <c r="T5631" t="inlineStr">
        <is>
          <t>4395858395236</t>
        </is>
      </c>
    </row>
    <row r="5632" hidden="1" ht="15.75" customHeight="1">
      <c r="A5632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5632" s="2">
        <f>HYPERLINK("https://edmondsonsupply.com/products/greenlee-dtap10-32-drill-tap-10-32", "https://edmondsonsupply.com/products/greenlee-dtap10-32-drill-tap-10-32")</f>
        <v/>
      </c>
      <c r="C5632" t="inlineStr">
        <is>
          <t>Greenlee DTAP10-32 Drill/Tap, 10-32</t>
        </is>
      </c>
      <c r="D5632" t="inlineStr">
        <is>
          <t>Greenlee DTAP8-32 Combination Drill, Tap, and Deburr Bit with Quick Change Hex, 8-32 NC</t>
        </is>
      </c>
      <c r="E5632" s="2">
        <f>HYPERLINK("https://www.amazon.com/Greenlee-DTAP8-32-Combination-Drill-8-32NC/dp/B000FRQPHU/ref=sr_1_8?keywords=Greenlee+DTAP10-32+Drill%2FTap%2C+10-32&amp;qid=1694735404&amp;sr=8-8", "https://www.amazon.com/Greenlee-DTAP8-32-Combination-Drill-8-32NC/dp/B000FRQPHU/ref=sr_1_8?keywords=Greenlee+DTAP10-32+Drill%2FTap%2C+10-32&amp;qid=1694735404&amp;sr=8-8")</f>
        <v/>
      </c>
      <c r="F5632" t="inlineStr">
        <is>
          <t>B000FRQPHU</t>
        </is>
      </c>
      <c r="G5632">
        <f>_xludf.IMAGE("https://edmondsonsupply.com/cdn/shop/products/DTAP10-32.jpg?v=1633030188")</f>
        <v/>
      </c>
      <c r="H5632">
        <f>_xludf.IMAGE("https://m.media-amazon.com/images/I/61-0s6yAJ0L._AC_UL320_.jpg")</f>
        <v/>
      </c>
      <c r="K5632" t="inlineStr">
        <is>
          <t>8.99</t>
        </is>
      </c>
      <c r="L5632" t="n">
        <v>9.99</v>
      </c>
      <c r="M5632" s="1" t="inlineStr">
        <is>
          <t>11.12%</t>
        </is>
      </c>
      <c r="N5632" s="1" t="n">
        <v>18.53</v>
      </c>
      <c r="O5632" t="n">
        <v>4.2</v>
      </c>
      <c r="P5632" t="n">
        <v>135</v>
      </c>
      <c r="R5632" t="inlineStr">
        <is>
          <t>InStock</t>
        </is>
      </c>
      <c r="S5632" t="inlineStr">
        <is>
          <t>9.7</t>
        </is>
      </c>
      <c r="T5632" t="inlineStr">
        <is>
          <t>4395883298916</t>
        </is>
      </c>
    </row>
    <row r="5633" ht="87" customHeight="1">
      <c r="A5633" s="2">
        <f>HYPERLINK("https://edmondsonsupply.com/collections/electricians-tools/products/klein-tools-2139nerins-insulated-pliers-side-cutters-9-inch", "https://edmondsonsupply.com/collections/electricians-tools/products/klein-tools-2139nerins-insulated-pliers-side-cutters-9-inch")</f>
        <v/>
      </c>
      <c r="B5633" s="2">
        <f>HYPERLINK("https://edmondsonsupply.com/products/klein-tools-2139nerins-insulated-pliers-side-cutters-9-inch", "https://edmondsonsupply.com/products/klein-tools-2139nerins-insulated-pliers-side-cutters-9-inch")</f>
        <v/>
      </c>
      <c r="C5633" t="inlineStr">
        <is>
          <t>Klein Tools 2139NERINS Insulated Pliers, Side Cutters, 9-Inch</t>
        </is>
      </c>
      <c r="D5633" t="inlineStr">
        <is>
          <t>Klein Tools 2139NERINS 1000V Insulated Side Cutter Pliers, High Leverage Design, Induction Hardened Knives, 9-Inch</t>
        </is>
      </c>
      <c r="E5633" s="2">
        <f>HYPERLINK("https://www.amazon.com/Klein-Tools-2139NERINS-Insulated-Induction/dp/B0BFZRMX2B/ref=sr_1_1?keywords=Klein+Tools+2139NERINS+Insulated+Pliers%2C+Side+Cutters%2C+9-Inch&amp;qid=1694735098&amp;sr=8-1", "https://www.amazon.com/Klein-Tools-2139NERINS-Insulated-Induction/dp/B0BFZRMX2B/ref=sr_1_1?keywords=Klein+Tools+2139NERINS+Insulated+Pliers%2C+Side+Cutters%2C+9-Inch&amp;qid=1694735098&amp;sr=8-1")</f>
        <v/>
      </c>
      <c r="F5633" t="inlineStr">
        <is>
          <t>B0BFZRMX2B</t>
        </is>
      </c>
      <c r="G5633">
        <f>_xlfn.IMAGE("https://edmondsonsupply.com/cdn/shop/products/2139nerins.jpg?v=1667237928")</f>
        <v/>
      </c>
      <c r="H5633">
        <f>_xlfn.IMAGE("https://m.media-amazon.com/images/I/41W1+RI2nNL._AC_UL320_.jpg")</f>
        <v/>
      </c>
      <c r="K5633" t="inlineStr">
        <is>
          <t>44.97</t>
        </is>
      </c>
      <c r="L5633" t="n">
        <v>49.97</v>
      </c>
      <c r="M5633" s="1" t="inlineStr">
        <is>
          <t>11.12%</t>
        </is>
      </c>
      <c r="N5633" s="7" t="n">
        <v>17.65</v>
      </c>
      <c r="O5633" t="n">
        <v>4.6</v>
      </c>
      <c r="P5633" t="n">
        <v>54</v>
      </c>
      <c r="R5633" t="inlineStr">
        <is>
          <t>InStock</t>
        </is>
      </c>
      <c r="S5633" t="inlineStr">
        <is>
          <t>62.98</t>
        </is>
      </c>
      <c r="T5633" t="inlineStr">
        <is>
          <t>7871534235864</t>
        </is>
      </c>
    </row>
    <row r="5634" ht="87" customHeight="1">
      <c r="A5634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5634" s="2">
        <f>HYPERLINK("https://edmondsonsupply.com/products/klein-tools-d507-10-adjustable-wrench-extra-capacity-10-inch", "https://edmondsonsupply.com/products/klein-tools-d507-10-adjustable-wrench-extra-capacity-10-inch")</f>
        <v/>
      </c>
      <c r="C5634" t="inlineStr">
        <is>
          <t>Klein Tools D507-10 Adjustable Wrench Extra Capacity, 10-Inch</t>
        </is>
      </c>
      <c r="D5634" t="inlineStr">
        <is>
          <t>Klein Tools D86930 Reversible Pipe Wrench/Adjustable Wrench with 2-in-1 Extra-Wide 1-1/2 -inch Jaw, 10-inch</t>
        </is>
      </c>
      <c r="E5634" s="2">
        <f>HYPERLINK("https://www.amazon.com/Reversible-Adjustable-Klein-Tools-D86930/dp/B0753L3TP6/ref=sr_1_8?keywords=Klein+Tools+D507-10+Adjustable+Wrench+Extra+Capacity%2C+10-Inch&amp;qid=1694735353&amp;sr=8-8", "https://www.amazon.com/Reversible-Adjustable-Klein-Tools-D86930/dp/B0753L3TP6/ref=sr_1_8?keywords=Klein+Tools+D507-10+Adjustable+Wrench+Extra+Capacity%2C+10-Inch&amp;qid=1694735353&amp;sr=8-8")</f>
        <v/>
      </c>
      <c r="F5634" t="inlineStr">
        <is>
          <t>B0753L3TP6</t>
        </is>
      </c>
      <c r="G5634">
        <f>_xlfn.IMAGE("https://edmondsonsupply.com/cdn/shop/products/d50710.jpg?v=1666011197")</f>
        <v/>
      </c>
      <c r="H5634">
        <f>_xlfn.IMAGE("https://m.media-amazon.com/images/I/41BoNS0zkEL._AC_UL320_.jpg")</f>
        <v/>
      </c>
      <c r="K5634" t="inlineStr">
        <is>
          <t>35.99</t>
        </is>
      </c>
      <c r="L5634" t="n">
        <v>39.99</v>
      </c>
      <c r="M5634" s="1" t="inlineStr">
        <is>
          <t>11.11%</t>
        </is>
      </c>
      <c r="N5634" s="7" t="n">
        <v>16.75</v>
      </c>
      <c r="O5634" t="n">
        <v>4.7</v>
      </c>
      <c r="P5634" t="n">
        <v>127</v>
      </c>
      <c r="R5634" t="inlineStr">
        <is>
          <t>InStock</t>
        </is>
      </c>
      <c r="S5634" t="inlineStr">
        <is>
          <t>54.54</t>
        </is>
      </c>
      <c r="T5634" t="inlineStr">
        <is>
          <t>4436115554404</t>
        </is>
      </c>
    </row>
    <row r="5635" ht="87" customHeight="1">
      <c r="A5635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5635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5635" t="inlineStr">
        <is>
          <t>Klein Tools 612-4-INS Insulated 1/8-Inch Slotted Screwdriver, 4-Inch</t>
        </is>
      </c>
      <c r="D5635" t="inlineStr">
        <is>
          <t>Klein Tools 32286 Insulated Screwdriver, 2-in-1 Screwdriver Set with Flip Blade, #1 Phillips and 3/16-Inch Slotted Tips, Double-Ended Blades</t>
        </is>
      </c>
      <c r="E5635" s="2">
        <f>HYPERLINK("https://www.amazon.com/Klein-Tools-32286-Screwdriver-Double-Ended/dp/B07XQBZXL2/ref=sr_1_44?keywords=Klein+Tools+612-4-INS+Insulated+1%2F8-Inch+Slotted+Screwdriver%2C+4-Inch&amp;qid=1694735335&amp;sr=8-44", "https://www.amazon.com/Klein-Tools-32286-Screwdriver-Double-Ended/dp/B07XQBZXL2/ref=sr_1_44?keywords=Klein+Tools+612-4-INS+Insulated+1%2F8-Inch+Slotted+Screwdriver%2C+4-Inch&amp;qid=1694735335&amp;sr=8-44")</f>
        <v/>
      </c>
      <c r="F5635" t="inlineStr">
        <is>
          <t>B07XQBZXL2</t>
        </is>
      </c>
      <c r="G5635">
        <f>_xlfn.IMAGE("https://edmondsonsupply.com/cdn/shop/products/612-4-ins.jpg?v=1587148611")</f>
        <v/>
      </c>
      <c r="H5635">
        <f>_xlfn.IMAGE("https://m.media-amazon.com/images/I/41ujHk4Dg2L._AC_UL320_.jpg")</f>
        <v/>
      </c>
      <c r="K5635" t="inlineStr">
        <is>
          <t>17.99</t>
        </is>
      </c>
      <c r="L5635" t="n">
        <v>19.98</v>
      </c>
      <c r="M5635" s="1" t="inlineStr">
        <is>
          <t>11.06%</t>
        </is>
      </c>
      <c r="N5635" s="7" t="n">
        <v>15.06</v>
      </c>
      <c r="O5635" t="n">
        <v>4.7</v>
      </c>
      <c r="P5635" t="n">
        <v>616</v>
      </c>
      <c r="R5635" t="inlineStr">
        <is>
          <t>InStock</t>
        </is>
      </c>
      <c r="S5635" t="inlineStr">
        <is>
          <t>27.26</t>
        </is>
      </c>
      <c r="T5635" t="inlineStr">
        <is>
          <t>4167520911460</t>
        </is>
      </c>
    </row>
    <row r="5636" ht="87" customHeight="1">
      <c r="A5636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5636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5636" t="inlineStr">
        <is>
          <t>Klein Tools 612-4-INS Insulated 1/8-Inch Slotted Screwdriver, 4-Inch</t>
        </is>
      </c>
      <c r="D5636" t="inlineStr">
        <is>
          <t>Klein Tools 32293 Insulated Screwdriver, 2-in-1 Screwdriver Set with Flip Blade, #2 Phillips and1/4-Inch Slotted Tips, Double-Ended Blades</t>
        </is>
      </c>
      <c r="E5636" s="2">
        <f>HYPERLINK("https://www.amazon.com/Klein-Tools-32293-Screwdriver-Double-Ended/dp/B07WWZZQD2/ref=sr_1_9?keywords=Klein+Tools+612-4-INS+Insulated+1%2F8-Inch+Slotted+Screwdriver%2C+4-Inch&amp;qid=1694735335&amp;sr=8-9", "https://www.amazon.com/Klein-Tools-32293-Screwdriver-Double-Ended/dp/B07WWZZQD2/ref=sr_1_9?keywords=Klein+Tools+612-4-INS+Insulated+1%2F8-Inch+Slotted+Screwdriver%2C+4-Inch&amp;qid=1694735335&amp;sr=8-9")</f>
        <v/>
      </c>
      <c r="F5636" t="inlineStr">
        <is>
          <t>B07WWZZQD2</t>
        </is>
      </c>
      <c r="G5636">
        <f>_xlfn.IMAGE("https://edmondsonsupply.com/cdn/shop/products/612-4-ins.jpg?v=1587148611")</f>
        <v/>
      </c>
      <c r="H5636">
        <f>_xlfn.IMAGE("https://m.media-amazon.com/images/I/41yk4NC2BmL._AC_UL320_.jpg")</f>
        <v/>
      </c>
      <c r="K5636" t="inlineStr">
        <is>
          <t>17.99</t>
        </is>
      </c>
      <c r="L5636" t="n">
        <v>19.98</v>
      </c>
      <c r="M5636" s="1" t="inlineStr">
        <is>
          <t>11.06%</t>
        </is>
      </c>
      <c r="N5636" s="7" t="n">
        <v>14.57</v>
      </c>
      <c r="O5636" t="n">
        <v>4.8</v>
      </c>
      <c r="P5636" t="n">
        <v>2774</v>
      </c>
      <c r="R5636" t="inlineStr">
        <is>
          <t>InStock</t>
        </is>
      </c>
      <c r="S5636" t="inlineStr">
        <is>
          <t>27.26</t>
        </is>
      </c>
      <c r="T5636" t="inlineStr">
        <is>
          <t>4167520911460</t>
        </is>
      </c>
    </row>
    <row r="5637" ht="87" customHeight="1">
      <c r="A5637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5637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5637" t="inlineStr">
        <is>
          <t>Klein Tools 602-4-INS 1/4-Inch Cabinet Tip Insulated Screwdriver, 4-Inch</t>
        </is>
      </c>
      <c r="D5637" t="inlineStr">
        <is>
          <t>Klein Tools 612-4-INS Insulated 1/8-Inch Slotted Screwdriver, 4-Inch</t>
        </is>
      </c>
      <c r="E5637" s="2">
        <f>HYPERLINK("https://www.amazon.com/Insulated-Screwdriver-Klein-Tools-612-4-INS/dp/B00J9S3YR0/ref=sr_1_4?keywords=Klein+Tools+602-4-INS+1%2F4-Inch+Cabinet+Tip+Insulated+Screwdriver%2C+4-Inch&amp;qid=1694735209&amp;sr=8-4", "https://www.amazon.com/Insulated-Screwdriver-Klein-Tools-612-4-INS/dp/B00J9S3YR0/ref=sr_1_4?keywords=Klein+Tools+602-4-INS+1%2F4-Inch+Cabinet+Tip+Insulated+Screwdriver%2C+4-Inch&amp;qid=1694735209&amp;sr=8-4")</f>
        <v/>
      </c>
      <c r="F5637" t="inlineStr">
        <is>
          <t>B00J9S3YR0</t>
        </is>
      </c>
      <c r="G5637">
        <f>_xlfn.IMAGE("https://edmondsonsupply.com/cdn/shop/products/602-4-ins-photo.jpg?v=1633031051")</f>
        <v/>
      </c>
      <c r="H5637">
        <f>_xlfn.IMAGE("https://m.media-amazon.com/images/I/513EX6NxTCL._AC_UL320_.jpg")</f>
        <v/>
      </c>
      <c r="K5637" t="inlineStr">
        <is>
          <t>20.99</t>
        </is>
      </c>
      <c r="L5637" t="n">
        <v>23.31</v>
      </c>
      <c r="M5637" s="1" t="inlineStr">
        <is>
          <t>11.05%</t>
        </is>
      </c>
      <c r="N5637" s="7" t="n">
        <v>14.24</v>
      </c>
      <c r="O5637" t="n">
        <v>4.6</v>
      </c>
      <c r="P5637" t="n">
        <v>180</v>
      </c>
      <c r="R5637" t="inlineStr">
        <is>
          <t>InStock</t>
        </is>
      </c>
      <c r="S5637" t="inlineStr">
        <is>
          <t>31.8</t>
        </is>
      </c>
      <c r="T5637" t="inlineStr">
        <is>
          <t>6779496890541</t>
        </is>
      </c>
    </row>
    <row r="5638" hidden="1" ht="15.75" customHeight="1">
      <c r="A5638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5638" s="2">
        <f>HYPERLINK("https://edmondsonsupply.com/products/klein-tools-jth6m10-10-mm-hex-key-journeyman-t-handle-6-inch", "https://edmondsonsupply.com/products/klein-tools-jth6m10-10-mm-hex-key-journeyman-t-handle-6-inch")</f>
        <v/>
      </c>
      <c r="C5638" t="inlineStr">
        <is>
          <t>Klein Tools JTH6M10 10 mm Hex Key Journeyman T-Handle 6-Inch</t>
        </is>
      </c>
      <c r="D5638" t="inlineStr">
        <is>
          <t>Klein Tools JTH6M3BE 3 mm Ball End Hex Key with Journeyman T-Handle, 6-Inch (Pack of 2)</t>
        </is>
      </c>
      <c r="E5638" s="2">
        <f>HYPERLINK("https://www.amazon.com/Klein-Tools-JTH6M3BE-Journeyman-T-Handle/dp/B0CGLYY7WP/ref=sr_1_4?keywords=Klein+Tools+JTH6M10+10+mm+Hex+Key+Journeyman+T-Handle+6-Inch&amp;qid=1694735203&amp;sr=8-4", "https://www.amazon.com/Klein-Tools-JTH6M3BE-Journeyman-T-Handle/dp/B0CGLYY7WP/ref=sr_1_4?keywords=Klein+Tools+JTH6M10+10+mm+Hex+Key+Journeyman+T-Handle+6-Inch&amp;qid=1694735203&amp;sr=8-4")</f>
        <v/>
      </c>
      <c r="F5638" t="inlineStr">
        <is>
          <t>B0CGLYY7WP</t>
        </is>
      </c>
      <c r="G5638">
        <f>_xludf.IMAGE("https://edmondsonsupply.com/cdn/shop/products/jth6m8_64c2c8d3-e13e-4b81-9b34-745be7fd837a.jpg?v=1627827117")</f>
        <v/>
      </c>
      <c r="H5638">
        <f>_xludf.IMAGE("https://m.media-amazon.com/images/I/413sTNFMd7L._AC_UL320_.jpg")</f>
        <v/>
      </c>
      <c r="K5638" t="inlineStr">
        <is>
          <t>8.99</t>
        </is>
      </c>
      <c r="L5638" t="n">
        <v>9.98</v>
      </c>
      <c r="M5638" s="1" t="inlineStr">
        <is>
          <t>11.01%</t>
        </is>
      </c>
      <c r="N5638" s="1" t="n">
        <v>14.24</v>
      </c>
      <c r="O5638" t="n">
        <v>4.6</v>
      </c>
      <c r="P5638" t="n">
        <v>184</v>
      </c>
      <c r="R5638" t="inlineStr">
        <is>
          <t>InStock</t>
        </is>
      </c>
      <c r="S5638" t="inlineStr">
        <is>
          <t>13.56</t>
        </is>
      </c>
      <c r="T5638" t="inlineStr">
        <is>
          <t>6852298014893</t>
        </is>
      </c>
    </row>
    <row r="5639" hidden="1" ht="15.75" customHeight="1">
      <c r="A5639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5639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5639" t="inlineStr">
        <is>
          <t>Klein Tools JTH6E15 3/8-Inch Hex Key with Journeyman T-Handle, 6-Inch</t>
        </is>
      </c>
      <c r="D5639" t="inlineStr">
        <is>
          <t>Klein Tools JTH6M3BE 3 mm Ball End Hex Key with Journeyman T-Handle, 6-Inch (Pack of 2)</t>
        </is>
      </c>
      <c r="E5639" s="2">
        <f>HYPERLINK("https://www.amazon.com/Klein-Tools-JTH6M3BE-Journeyman-T-Handle/dp/B0CGLYY7WP/ref=sr_1_3?keywords=Klein+Tools+JTH6E15+3%2F8-Inch+Hex+Key+with+Journeyman+T-Handle%2C+6-Inch&amp;qid=1694735343&amp;sr=8-3", "https://www.amazon.com/Klein-Tools-JTH6M3BE-Journeyman-T-Handle/dp/B0CGLYY7WP/ref=sr_1_3?keywords=Klein+Tools+JTH6E15+3%2F8-Inch+Hex+Key+with+Journeyman+T-Handle%2C+6-Inch&amp;qid=1694735343&amp;sr=8-3")</f>
        <v/>
      </c>
      <c r="F5639" t="inlineStr">
        <is>
          <t>B0CGLYY7WP</t>
        </is>
      </c>
      <c r="G5639">
        <f>_xludf.IMAGE("https://edmondsonsupply.com/cdn/shop/products/jth6e15_c4dd65ba-86a8-4743-882c-88cf44faafdc.jpg?v=1587142819")</f>
        <v/>
      </c>
      <c r="H5639">
        <f>_xludf.IMAGE("https://m.media-amazon.com/images/I/413sTNFMd7L._AC_UL320_.jpg")</f>
        <v/>
      </c>
      <c r="K5639" t="inlineStr">
        <is>
          <t>8.99</t>
        </is>
      </c>
      <c r="L5639" t="n">
        <v>9.98</v>
      </c>
      <c r="M5639" s="1" t="inlineStr">
        <is>
          <t>11.01%</t>
        </is>
      </c>
      <c r="N5639" s="1" t="n">
        <v>12.91</v>
      </c>
      <c r="O5639" t="n">
        <v>4.6</v>
      </c>
      <c r="P5639" t="n">
        <v>184</v>
      </c>
      <c r="R5639" t="inlineStr">
        <is>
          <t>InStock</t>
        </is>
      </c>
      <c r="S5639" t="inlineStr">
        <is>
          <t>13.56</t>
        </is>
      </c>
      <c r="T5639" t="inlineStr">
        <is>
          <t>4512705970276</t>
        </is>
      </c>
    </row>
    <row r="5640" hidden="1" ht="15.75" customHeight="1">
      <c r="A5640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5640" s="2">
        <f>HYPERLINK("https://edmondsonsupply.com/products/klein-tools-661-screwdriver-1-square-recess-tip-4-inch-shank", "https://edmondsonsupply.com/products/klein-tools-661-screwdriver-1-square-recess-tip-4-inch-shank")</f>
        <v/>
      </c>
      <c r="C5640" t="inlineStr">
        <is>
          <t>Klein Tools 661 Screwdriver, #1 Square Recess Tip, 4-Inch Shank</t>
        </is>
      </c>
      <c r="D5640" t="inlineStr">
        <is>
          <t>Klein Tools 6884INS Insulated Screwdriver, 1000V #1 Square Tip Screwdriver with 4-Inch Shank, Tip-Ident, Cushion-Grip Handle</t>
        </is>
      </c>
      <c r="E5640" s="2">
        <f>HYPERLINK("https://www.amazon.com/Klein-Tools-6884INS-Screwdriver-Cushion-Grip/dp/B0BF7K2YSW/ref=sr_1_4?keywords=Klein+Tools+661+Screwdriver%2C+%231+Square+Recess+Tip%2C+4-Inch+Shank&amp;qid=1694735398&amp;sr=8-4", "https://www.amazon.com/Klein-Tools-6884INS-Screwdriver-Cushion-Grip/dp/B0BF7K2YSW/ref=sr_1_4?keywords=Klein+Tools+661+Screwdriver%2C+%231+Square+Recess+Tip%2C+4-Inch+Shank&amp;qid=1694735398&amp;sr=8-4")</f>
        <v/>
      </c>
      <c r="F5640" t="inlineStr">
        <is>
          <t>B0BF7K2YSW</t>
        </is>
      </c>
      <c r="G5640">
        <f>_xludf.IMAGE("https://edmondsonsupply.com/cdn/shop/products/660_587071df-c969-40cb-961e-3eee072c7429.jpg?v=1587149250")</f>
        <v/>
      </c>
      <c r="H5640">
        <f>_xludf.IMAGE("https://m.media-amazon.com/images/I/41avq0kPXJL._AC_UL320_.jpg")</f>
        <v/>
      </c>
      <c r="K5640" t="inlineStr">
        <is>
          <t>8.99</t>
        </is>
      </c>
      <c r="L5640" t="n">
        <v>9.970000000000001</v>
      </c>
      <c r="M5640" s="1" t="inlineStr">
        <is>
          <t>10.90%</t>
        </is>
      </c>
      <c r="N5640" s="1" t="n">
        <v>12.47</v>
      </c>
      <c r="O5640" t="n">
        <v>4.8</v>
      </c>
      <c r="P5640" t="n">
        <v>414</v>
      </c>
      <c r="R5640" t="inlineStr">
        <is>
          <t>InStock</t>
        </is>
      </c>
      <c r="S5640" t="inlineStr">
        <is>
          <t>13.6</t>
        </is>
      </c>
      <c r="T5640" t="inlineStr">
        <is>
          <t>4398444118116</t>
        </is>
      </c>
    </row>
    <row r="5641" hidden="1" ht="15.75" customHeight="1">
      <c r="A5641" s="2">
        <f>HYPERLINK("https://edmondsonsupply.com/collections/electricians-tools/products/diablo-tools-dmapl4140-3-8-in-x-4-in-x-6-in-rebar-demon%E2%84%A2-sds-plus-4-cutter-full-carbide-head-hammer-bit", "https://edmondsonsupply.com/collections/electricians-tools/products/diablo-tools-dmapl4140-3-8-in-x-4-in-x-6-in-rebar-demon%E2%84%A2-sds-plus-4-cutter-full-carbide-head-hammer-bit")</f>
        <v/>
      </c>
      <c r="B5641" s="2">
        <f>HYPERLINK("https://edmondsonsupply.com/products/diablo-tools-dmapl4140-3-8-in-x-4-in-x-6-in-rebar-demon%e2%84%a2-sds-plus-4-cutter-full-carbide-head-hammer-bit", "https://edmondsonsupply.com/products/diablo-tools-dmapl4140-3-8-in-x-4-in-x-6-in-rebar-demon%e2%84%a2-sds-plus-4-cutter-full-carbide-head-hammer-bit")</f>
        <v/>
      </c>
      <c r="C5641" t="inlineStr">
        <is>
          <t>Diablo Tools DMAPL4140 3/8 in. x 4 in. x 6 in. Rebar Demon™ SDS-Plus 4-Cutter Full Carbide Head Hammer Bit</t>
        </is>
      </c>
      <c r="D5641" t="inlineStr">
        <is>
          <t>Diablo 3/16" x 4"x6" Rebar Demon™ SDS-Plus 4-Cutter Full Carbide Head Hammer Bit</t>
        </is>
      </c>
      <c r="E5641" s="2">
        <f>HYPERLINK("https://www.amazon.com/Diablo-Freud-DMAPL4040-SDS-Plus-4-Cutter/dp/B089L9LMZX/ref=sr_1_17?keywords=Diablo+Tools+DMAPL4140+3%2F8+in.+x+4+in.+x+6+in.+Rebar+Demon%E2%84%A2+SDS-Plus+4-Cutter+Full+Carbide+Head+Hammer+Bit&amp;qid=1694735296&amp;sr=8-17", "https://www.amazon.com/Diablo-Freud-DMAPL4040-SDS-Plus-4-Cutter/dp/B089L9LMZX/ref=sr_1_17?keywords=Diablo+Tools+DMAPL4140+3%2F8+in.+x+4+in.+x+6+in.+Rebar+Demon%E2%84%A2+SDS-Plus+4-Cutter+Full+Carbide+Head+Hammer+Bit&amp;qid=1694735296&amp;sr=8-17")</f>
        <v/>
      </c>
      <c r="F5641" t="inlineStr">
        <is>
          <t>B089L9LMZX</t>
        </is>
      </c>
      <c r="G5641">
        <f>_xludf.IMAGE("https://edmondsonsupply.com/cdn/shop/products/DMAPL4140_Main-Image20200701.png?v=1633030360")</f>
        <v/>
      </c>
      <c r="H5641">
        <f>_xludf.IMAGE("https://m.media-amazon.com/images/I/61WAyx865hL._AC_UL320_.jpg")</f>
        <v/>
      </c>
      <c r="K5641" t="inlineStr">
        <is>
          <t>7.29</t>
        </is>
      </c>
      <c r="L5641" t="n">
        <v>8.08</v>
      </c>
      <c r="M5641" s="1" t="inlineStr">
        <is>
          <t>10.84%</t>
        </is>
      </c>
      <c r="N5641" s="1" t="n">
        <v>12.36</v>
      </c>
      <c r="O5641" t="n">
        <v>4.6</v>
      </c>
      <c r="P5641" t="n">
        <v>58</v>
      </c>
      <c r="R5641" t="inlineStr">
        <is>
          <t>InStock</t>
        </is>
      </c>
      <c r="S5641" t="inlineStr">
        <is>
          <t>undefined</t>
        </is>
      </c>
      <c r="T5641" t="inlineStr">
        <is>
          <t>5286771949736</t>
        </is>
      </c>
    </row>
    <row r="5642" hidden="1" ht="15.75" customHeight="1">
      <c r="A5642" s="2">
        <f>HYPERLINK("https://edmondsonsupply.com/collections/electricians-tools/products/greenlee-dtap6-32-drill-tap-6-32", "https://edmondsonsupply.com/collections/electricians-tools/products/greenlee-dtap6-32-drill-tap-6-32")</f>
        <v/>
      </c>
      <c r="B5642" s="2">
        <f>HYPERLINK("https://edmondsonsupply.com/products/greenlee-dtap6-32-drill-tap-6-32", "https://edmondsonsupply.com/products/greenlee-dtap6-32-drill-tap-6-32")</f>
        <v/>
      </c>
      <c r="C5642" t="inlineStr">
        <is>
          <t>Greenlee DTAP6-32 Drill/Tap, 6-32</t>
        </is>
      </c>
      <c r="D5642" t="inlineStr">
        <is>
          <t>Greenlee DTAP6-32 Combination Drill, Tap, and Deburr Bit with Quick Change Hex, 6-32 NC</t>
        </is>
      </c>
      <c r="E5642" s="2">
        <f>HYPERLINK("https://www.amazon.com/Greenlee-DTAP6-32-Combination-Drill-6-32NC/dp/B001B1AP6G/ref=sr_1_1?keywords=Greenlee+DTAP6-32+Drill%2FTap%2C+6-32&amp;qid=1694735395&amp;sr=8-1", "https://www.amazon.com/Greenlee-DTAP6-32-Combination-Drill-6-32NC/dp/B001B1AP6G/ref=sr_1_1?keywords=Greenlee+DTAP6-32+Drill%2FTap%2C+6-32&amp;qid=1694735395&amp;sr=8-1")</f>
        <v/>
      </c>
      <c r="F5642" t="inlineStr">
        <is>
          <t>B001B1AP6G</t>
        </is>
      </c>
      <c r="G5642">
        <f>_xludf.IMAGE("https://edmondsonsupply.com/cdn/shop/products/6-32.jpg?v=1587149860")</f>
        <v/>
      </c>
      <c r="H5642">
        <f>_xludf.IMAGE("https://m.media-amazon.com/images/I/61GES0BtygL._AC_UL320_.jpg")</f>
        <v/>
      </c>
      <c r="K5642" t="inlineStr">
        <is>
          <t>8.99</t>
        </is>
      </c>
      <c r="L5642" t="n">
        <v>9.960000000000001</v>
      </c>
      <c r="M5642" s="1" t="inlineStr">
        <is>
          <t>10.79%</t>
        </is>
      </c>
      <c r="N5642" s="1" t="n">
        <v>11.54</v>
      </c>
      <c r="O5642" t="n">
        <v>4.7</v>
      </c>
      <c r="P5642" t="n">
        <v>226</v>
      </c>
      <c r="R5642" t="inlineStr">
        <is>
          <t>OutOfStock</t>
        </is>
      </c>
      <c r="S5642" t="inlineStr">
        <is>
          <t>9.7</t>
        </is>
      </c>
      <c r="T5642" t="inlineStr">
        <is>
          <t>4395858395236</t>
        </is>
      </c>
    </row>
    <row r="5643" hidden="1" ht="15.75" customHeight="1">
      <c r="A5643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5643" s="2">
        <f>HYPERLINK("https://edmondsonsupply.com/products/greenlee-dtap10-32-drill-tap-10-32", "https://edmondsonsupply.com/products/greenlee-dtap10-32-drill-tap-10-32")</f>
        <v/>
      </c>
      <c r="C5643" t="inlineStr">
        <is>
          <t>Greenlee DTAP10-32 Drill/Tap, 10-32</t>
        </is>
      </c>
      <c r="D5643" t="inlineStr">
        <is>
          <t>Greenlee DTAP6-32 Combination Drill, Tap, and Deburr Bit with Quick Change Hex, 6-32 NC</t>
        </is>
      </c>
      <c r="E5643" s="2">
        <f>HYPERLINK("https://www.amazon.com/Greenlee-DTAP6-32-Combination-Drill-6-32NC/dp/B001B1AP6G/ref=sr_1_11?keywords=Greenlee+DTAP10-32+Drill%2FTap%2C+10-32&amp;qid=1694735404&amp;sr=8-11", "https://www.amazon.com/Greenlee-DTAP6-32-Combination-Drill-6-32NC/dp/B001B1AP6G/ref=sr_1_11?keywords=Greenlee+DTAP10-32+Drill%2FTap%2C+10-32&amp;qid=1694735404&amp;sr=8-11")</f>
        <v/>
      </c>
      <c r="F5643" t="inlineStr">
        <is>
          <t>B001B1AP6G</t>
        </is>
      </c>
      <c r="G5643">
        <f>_xludf.IMAGE("https://edmondsonsupply.com/cdn/shop/products/DTAP10-32.jpg?v=1633030188")</f>
        <v/>
      </c>
      <c r="H5643">
        <f>_xludf.IMAGE("https://m.media-amazon.com/images/I/61GES0BtygL._AC_UL320_.jpg")</f>
        <v/>
      </c>
      <c r="K5643" t="inlineStr">
        <is>
          <t>8.99</t>
        </is>
      </c>
      <c r="L5643" t="n">
        <v>9.960000000000001</v>
      </c>
      <c r="M5643" s="1" t="inlineStr">
        <is>
          <t>10.79%</t>
        </is>
      </c>
      <c r="N5643" s="1" t="n">
        <v>10.58</v>
      </c>
      <c r="O5643" t="n">
        <v>4.7</v>
      </c>
      <c r="P5643" t="n">
        <v>226</v>
      </c>
      <c r="R5643" t="inlineStr">
        <is>
          <t>InStock</t>
        </is>
      </c>
      <c r="S5643" t="inlineStr">
        <is>
          <t>9.7</t>
        </is>
      </c>
      <c r="T5643" t="inlineStr">
        <is>
          <t>4395883298916</t>
        </is>
      </c>
    </row>
    <row r="5644" ht="87" customHeight="1">
      <c r="A5644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5644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5644" t="inlineStr">
        <is>
          <t>Klein Tools ET45VP AC/DC Voltage and GFCI Receptacle Outlet Test Kit</t>
        </is>
      </c>
      <c r="D5644" t="inlineStr">
        <is>
          <t>Klein Tools NCVT1XTKIT Non-Contact Voltage Detector Pen and GFCI Outlet Premium Test Kit, 70V to 1000V AC, Detects Common Wiring Problems,Red</t>
        </is>
      </c>
      <c r="E5644" s="2">
        <f>HYPERLINK("https://www.amazon.com/Klein-Tools-NCVT1XTKIT-Non-Contact-Detector/dp/B0BNLRMNF2/ref=sr_1_2?keywords=Klein+Tools+ET45VP+AC%2FDC+Voltage+and+GFCI+Receptacle+Outlet+Test+Kit&amp;qid=1694735138&amp;sr=8-2", "https://www.amazon.com/Klein-Tools-NCVT1XTKIT-Non-Contact-Detector/dp/B0BNLRMNF2/ref=sr_1_2?keywords=Klein+Tools+ET45VP+AC%2FDC+Voltage+and+GFCI+Receptacle+Outlet+Test+Kit&amp;qid=1694735138&amp;sr=8-2")</f>
        <v/>
      </c>
      <c r="F5644" t="inlineStr">
        <is>
          <t>B0BNLRMNF2</t>
        </is>
      </c>
      <c r="G5644">
        <f>_xlfn.IMAGE("https://edmondsonsupply.com/cdn/shop/products/et45vp.jpg?v=1660755922")</f>
        <v/>
      </c>
      <c r="H5644">
        <f>_xlfn.IMAGE("https://m.media-amazon.com/images/I/51enmFcuhEL._AC_UL320_.jpg")</f>
        <v/>
      </c>
      <c r="K5644" t="inlineStr">
        <is>
          <t>17.97</t>
        </is>
      </c>
      <c r="L5644" t="n">
        <v>19.86</v>
      </c>
      <c r="M5644" s="1" t="inlineStr">
        <is>
          <t>10.52%</t>
        </is>
      </c>
      <c r="N5644" s="7" t="n">
        <v>10</v>
      </c>
      <c r="O5644" t="n">
        <v>4.7</v>
      </c>
      <c r="P5644" t="n">
        <v>4222</v>
      </c>
      <c r="R5644" t="inlineStr">
        <is>
          <t>InStock</t>
        </is>
      </c>
      <c r="S5644" t="inlineStr">
        <is>
          <t>25.82</t>
        </is>
      </c>
      <c r="T5644" t="inlineStr">
        <is>
          <t>7783562084568</t>
        </is>
      </c>
    </row>
    <row r="5645" ht="87" customHeight="1">
      <c r="A5645" s="2">
        <f>HYPERLINK("https://edmondsonsupply.com/collections/electricians-tools/products/klein-tools-631-nut-driver-set-3-inch-shafts-cushion-grip-7-piece", "https://edmondsonsupply.com/collections/electricians-tools/products/klein-tools-631-nut-driver-set-3-inch-shafts-cushion-grip-7-piece")</f>
        <v/>
      </c>
      <c r="B5645" s="2">
        <f>HYPERLINK("https://edmondsonsupply.com/products/klein-tools-631-nut-driver-set-3-inch-shafts-cushion-grip-7-piece", "https://edmondsonsupply.com/products/klein-tools-631-nut-driver-set-3-inch-shafts-cushion-grip-7-piece")</f>
        <v/>
      </c>
      <c r="C5645" t="inlineStr">
        <is>
          <t>Klein Tools 631 Nut Driver Set, 3-Inch Shafts, Cushion Grip, 7-Piece</t>
        </is>
      </c>
      <c r="D5645" t="inlineStr">
        <is>
          <t>Klein Tools 89904 Tool Set, Nut Drivers Sizes 3/16, 1/4, 5/16, 11/32, 3/8, 7/16, 1/2-Inch, 6-Inch Shafts, 7-Piece</t>
        </is>
      </c>
      <c r="E5645" s="2">
        <f>HYPERLINK("https://www.amazon.com/Klein-Tools-Nut-Driver-89904/dp/B000MB1JMU/ref=sr_1_19?keywords=Klein+Tools+631+Nut+Driver+Set%2C+3-Inch+Shafts%2C+Cushion+Grip%2C+7-Piece&amp;qid=1694735184&amp;sr=8-19", "https://www.amazon.com/Klein-Tools-Nut-Driver-89904/dp/B000MB1JMU/ref=sr_1_19?keywords=Klein+Tools+631+Nut+Driver+Set%2C+3-Inch+Shafts%2C+Cushion+Grip%2C+7-Piece&amp;qid=1694735184&amp;sr=8-19")</f>
        <v/>
      </c>
      <c r="F5645" t="inlineStr">
        <is>
          <t>B000MB1JMU</t>
        </is>
      </c>
      <c r="G5645">
        <f>_xlfn.IMAGE("https://edmondsonsupply.com/cdn/shop/products/631.jpg?v=1632441079")</f>
        <v/>
      </c>
      <c r="H5645">
        <f>_xlfn.IMAGE("https://m.media-amazon.com/images/I/61cXQ4v0vvL._AC_UL320_.jpg")</f>
        <v/>
      </c>
      <c r="K5645" t="inlineStr">
        <is>
          <t>59.99</t>
        </is>
      </c>
      <c r="L5645" t="n">
        <v>66.23</v>
      </c>
      <c r="M5645" s="1" t="inlineStr">
        <is>
          <t>10.40%</t>
        </is>
      </c>
      <c r="N5645" s="7" t="n">
        <v>9.029999999999999</v>
      </c>
      <c r="O5645" t="n">
        <v>4.5</v>
      </c>
      <c r="P5645" t="n">
        <v>33</v>
      </c>
      <c r="R5645" t="inlineStr">
        <is>
          <t>InStock</t>
        </is>
      </c>
      <c r="S5645" t="inlineStr">
        <is>
          <t>82.2</t>
        </is>
      </c>
      <c r="T5645" t="inlineStr">
        <is>
          <t>6961446420653</t>
        </is>
      </c>
    </row>
    <row r="5646" hidden="1" ht="15.75" customHeight="1">
      <c r="A5646" s="2">
        <f>HYPERLINK("https://edmondsonsupply.com/collections/electricians-tools/products/copy-of-diablo-tools-d0632gpx-6-1-2-in-x-32-tooth-wood-metal-carbide-saw-blade", "https://edmondsonsupply.com/collections/electricians-tools/products/copy-of-diablo-tools-d0632gpx-6-1-2-in-x-32-tooth-wood-metal-carbide-saw-blade")</f>
        <v/>
      </c>
      <c r="B5646" s="2">
        <f>HYPERLINK("https://edmondsonsupply.com/products/copy-of-diablo-tools-d0632gpx-6-1-2-in-x-32-tooth-wood-metal-carbide-saw-blade", "https://edmondsonsupply.com/products/copy-of-diablo-tools-d0632gpx-6-1-2-in-x-32-tooth-wood-metal-carbide-saw-blade")</f>
        <v/>
      </c>
      <c r="C5646" t="inlineStr">
        <is>
          <t>Diablo Tools D0724A 7-1/4 in. x 24 Tooth Framing Saw Blade</t>
        </is>
      </c>
      <c r="D5646" t="inlineStr">
        <is>
          <t>Diablo D0724A 7-1/4in 24T ATB Framing Saw Blade 5/8in &amp; Diamond Knockout Arbor</t>
        </is>
      </c>
      <c r="E5646" s="2">
        <f>HYPERLINK("https://www.amazon.com/D0724A-Diablo-Framing-Diamond-Knockout/dp/B00006407P/ref=sr_1_6?keywords=Diablo+Tools+D0724A+7-1%2F4+in.+x+24+Tooth+Framing+Saw+Blade&amp;qid=1694735310&amp;sr=8-6", "https://www.amazon.com/D0724A-Diablo-Framing-Diamond-Knockout/dp/B00006407P/ref=sr_1_6?keywords=Diablo+Tools+D0724A+7-1%2F4+in.+x+24+Tooth+Framing+Saw+Blade&amp;qid=1694735310&amp;sr=8-6")</f>
        <v/>
      </c>
      <c r="F5646" t="inlineStr">
        <is>
          <t>B00006407P</t>
        </is>
      </c>
      <c r="G5646">
        <f>_xludf.IMAGE("https://edmondsonsupply.com/cdn/shop/products/D0724A_Main-Image20200218.png?v=1633030268")</f>
        <v/>
      </c>
      <c r="H5646">
        <f>_xludf.IMAGE("https://m.media-amazon.com/images/I/81FPKAkermS._AC_UL320_.jpg")</f>
        <v/>
      </c>
      <c r="K5646" t="inlineStr">
        <is>
          <t>9.97</t>
        </is>
      </c>
      <c r="L5646" t="n">
        <v>11</v>
      </c>
      <c r="M5646" s="1" t="inlineStr">
        <is>
          <t>10.33%</t>
        </is>
      </c>
      <c r="N5646" s="1" t="n">
        <v>8.109999999999999</v>
      </c>
      <c r="O5646" t="n">
        <v>4.8</v>
      </c>
      <c r="P5646" t="n">
        <v>722</v>
      </c>
      <c r="R5646" t="inlineStr">
        <is>
          <t>InStock</t>
        </is>
      </c>
      <c r="S5646" t="inlineStr">
        <is>
          <t>15.45</t>
        </is>
      </c>
      <c r="T5646" t="inlineStr">
        <is>
          <t>4678532563044</t>
        </is>
      </c>
    </row>
    <row r="5647" hidden="1" ht="15.75" customHeight="1">
      <c r="A5647" s="2">
        <f>HYPERLINK("https://edmondsonsupply.com/collections/electricians-tools/products/diablo-tools-d0724x-7-1-4-in-x-24-tooth-framing-saw-blade", "https://edmondsonsupply.com/collections/electricians-tools/products/diablo-tools-d0724x-7-1-4-in-x-24-tooth-framing-saw-blade")</f>
        <v/>
      </c>
      <c r="B5647" s="2">
        <f>HYPERLINK("https://edmondsonsupply.com/products/diablo-tools-d0724x-7-1-4-in-x-24-tooth-framing-saw-blade", "https://edmondsonsupply.com/products/diablo-tools-d0724x-7-1-4-in-x-24-tooth-framing-saw-blade")</f>
        <v/>
      </c>
      <c r="C5647" t="inlineStr">
        <is>
          <t>Diablo Tools D0724X 7-1/4 in. x 24 Tooth Framing Saw Blade</t>
        </is>
      </c>
      <c r="D5647" t="inlineStr">
        <is>
          <t>Freud Diablo D0724X Framing Saw Blade, Multi</t>
        </is>
      </c>
      <c r="E5647" s="2">
        <f>HYPERLINK("https://www.amazon.com/D0724X-Diablo-Carbide-Framing-Knockout/dp/B00006407Q/ref=sr_1_1?keywords=Diablo+Tools+D0724X+7-1%2F4+in.+x+24+Tooth+Framing+Saw+Blade&amp;qid=1694735022&amp;sr=8-1", "https://www.amazon.com/D0724X-Diablo-Carbide-Framing-Knockout/dp/B00006407Q/ref=sr_1_1?keywords=Diablo+Tools+D0724X+7-1%2F4+in.+x+24+Tooth+Framing+Saw+Blade&amp;qid=1694735022&amp;sr=8-1")</f>
        <v/>
      </c>
      <c r="F5647" t="inlineStr">
        <is>
          <t>B00006407Q</t>
        </is>
      </c>
      <c r="G5647">
        <f>_xludf.IMAGE("https://edmondsonsupply.com/cdn/shop/products/D0724A_Main-Image20200218_ba34939c-8546-489a-9616-b05338ff91cc.png?v=1678971696")</f>
        <v/>
      </c>
      <c r="H5647">
        <f>_xludf.IMAGE("https://m.media-amazon.com/images/I/817MeNjLv8L._AC_UL320_.jpg")</f>
        <v/>
      </c>
      <c r="K5647" t="inlineStr">
        <is>
          <t>9.97</t>
        </is>
      </c>
      <c r="L5647" t="n">
        <v>11</v>
      </c>
      <c r="M5647" s="1" t="inlineStr">
        <is>
          <t>10.33%</t>
        </is>
      </c>
      <c r="N5647" s="1" t="n">
        <v>7.75</v>
      </c>
      <c r="O5647" t="n">
        <v>4.8</v>
      </c>
      <c r="P5647" t="n">
        <v>1304</v>
      </c>
      <c r="R5647" t="inlineStr">
        <is>
          <t>InStock</t>
        </is>
      </c>
      <c r="S5647" t="inlineStr">
        <is>
          <t>16.41</t>
        </is>
      </c>
      <c r="T5647" t="inlineStr">
        <is>
          <t>7962598670552</t>
        </is>
      </c>
    </row>
    <row r="5648" ht="87" customHeight="1">
      <c r="A5648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5648" s="2">
        <f>HYPERLINK("https://edmondsonsupply.com/products/klein-tools-cl110-digital-clamp-meter-ac-auto-ranging-400-amp", "https://edmondsonsupply.com/products/klein-tools-cl110-digital-clamp-meter-ac-auto-ranging-400-amp")</f>
        <v/>
      </c>
      <c r="C5648" t="inlineStr">
        <is>
          <t>Klein Tools CL120 Digital Clamp Meter, AC Auto-Ranging 400 Amp</t>
        </is>
      </c>
      <c r="D5648" t="inlineStr">
        <is>
          <t>Klein Tools Digital Clamp Meter, AC Auto-Ranging 400 Amp CL110</t>
        </is>
      </c>
      <c r="E5648" s="2">
        <f>HYPERLINK("https://www.amazon.com/Klein-Tools-Digital-Clamp-Meter/dp/B07G7BZTV3/ref=sr_1_5?keywords=Klein+Tools+CL120+Digital+Clamp+Meter%2C+AC+Auto-Ranging+400+Amp&amp;qid=1694735357&amp;sr=8-5", "https://www.amazon.com/Klein-Tools-Digital-Clamp-Meter/dp/B07G7BZTV3/ref=sr_1_5?keywords=Klein+Tools+CL120+Digital+Clamp+Meter%2C+AC+Auto-Ranging+400+Amp&amp;qid=1694735357&amp;sr=8-5")</f>
        <v/>
      </c>
      <c r="F5648" t="inlineStr">
        <is>
          <t>B07G7BZTV3</t>
        </is>
      </c>
      <c r="G5648">
        <f>_xlfn.IMAGE("https://edmondsonsupply.com/cdn/shop/products/cl120.jpg?v=1633030212")</f>
        <v/>
      </c>
      <c r="H5648">
        <f>_xlfn.IMAGE("https://m.media-amazon.com/images/I/51Dx4d1AI-L._AC_UY218_.jpg")</f>
        <v/>
      </c>
      <c r="K5648" t="inlineStr">
        <is>
          <t>59.97</t>
        </is>
      </c>
      <c r="L5648" t="n">
        <v>66.16</v>
      </c>
      <c r="M5648" s="1" t="inlineStr">
        <is>
          <t>10.32%</t>
        </is>
      </c>
      <c r="N5648" s="7" t="n">
        <v>7.67</v>
      </c>
      <c r="O5648" t="n">
        <v>4.6</v>
      </c>
      <c r="P5648" t="n">
        <v>73</v>
      </c>
      <c r="R5648" t="inlineStr">
        <is>
          <t>InStock</t>
        </is>
      </c>
      <c r="S5648" t="inlineStr">
        <is>
          <t>85.26</t>
        </is>
      </c>
      <c r="T5648" t="inlineStr">
        <is>
          <t>4432351527012</t>
        </is>
      </c>
    </row>
    <row r="5649" ht="87" customHeight="1">
      <c r="A5649" s="2">
        <f>HYPERLINK("https://edmondsonsupply.com/collections/electricians-tools/products/channellock-3017", "https://edmondsonsupply.com/collections/electricians-tools/products/channellock-3017")</f>
        <v/>
      </c>
      <c r="B5649" s="2">
        <f>HYPERLINK("https://edmondsonsupply.com/products/channellock-3017", "https://edmondsonsupply.com/products/channellock-3017")</f>
        <v/>
      </c>
      <c r="C5649" t="inlineStr">
        <is>
          <t>Channellock 3017 8-Inch Long Nose Pliers</t>
        </is>
      </c>
      <c r="D5649" t="inlineStr">
        <is>
          <t>IRWIN VISE-GRIP Pliers, Long Reach, Long Nose 11-Inch (1773584)</t>
        </is>
      </c>
      <c r="E5649" s="2">
        <f>HYPERLINK("https://www.amazon.com/Tools-VISE-GRIP-Pliers-11-Inch-1773584/dp/B0052XQYQO/ref=sr_1_46?keywords=Channellock+3017+8-Inch+Long+Nose+Pliers&amp;qid=1694735304&amp;sr=8-46", "https://www.amazon.com/Tools-VISE-GRIP-Pliers-11-Inch-1773584/dp/B0052XQYQO/ref=sr_1_46?keywords=Channellock+3017+8-Inch+Long+Nose+Pliers&amp;qid=1694735304&amp;sr=8-46")</f>
        <v/>
      </c>
      <c r="F5649" t="inlineStr">
        <is>
          <t>B0052XQYQO</t>
        </is>
      </c>
      <c r="G5649">
        <f>_xlfn.IMAGE("https://edmondsonsupply.com/cdn/shop/products/3017-683x1024.jpg?v=1633030322")</f>
        <v/>
      </c>
      <c r="H5649">
        <f>_xlfn.IMAGE("https://m.media-amazon.com/images/I/61kN31gomXL._AC_UL320_.jpg")</f>
        <v/>
      </c>
      <c r="K5649" t="inlineStr">
        <is>
          <t>19.95</t>
        </is>
      </c>
      <c r="L5649" t="n">
        <v>21.99</v>
      </c>
      <c r="M5649" s="1" t="inlineStr">
        <is>
          <t>10.23%</t>
        </is>
      </c>
      <c r="N5649" s="7" t="n">
        <v>6</v>
      </c>
      <c r="O5649" t="n">
        <v>4.7</v>
      </c>
      <c r="P5649" t="n">
        <v>413</v>
      </c>
      <c r="R5649" t="inlineStr">
        <is>
          <t>InStock</t>
        </is>
      </c>
      <c r="S5649" t="inlineStr">
        <is>
          <t>29.97</t>
        </is>
      </c>
      <c r="T5649" t="inlineStr">
        <is>
          <t>5245817159848</t>
        </is>
      </c>
    </row>
    <row r="5650" hidden="1" ht="15.75" customHeight="1">
      <c r="A5650" s="2">
        <f>HYPERLINK("https://edmondsonsupply.com/collections/electricians-tools/products/klein-tools-66073-flip-impact-socket-15-16-and-7-8-inch", "https://edmondsonsupply.com/collections/electricians-tools/products/klein-tools-66073-flip-impact-socket-15-16-and-7-8-inch")</f>
        <v/>
      </c>
      <c r="B5650" s="2">
        <f>HYPERLINK("https://edmondsonsupply.com/products/klein-tools-66073-flip-impact-socket-15-16-and-7-8-inch", "https://edmondsonsupply.com/products/klein-tools-66073-flip-impact-socket-15-16-and-7-8-inch")</f>
        <v/>
      </c>
      <c r="C5650" t="inlineStr">
        <is>
          <t>Klein Tools 66073 Flip Impact Socket, 15/16 and 7/8-Inch</t>
        </is>
      </c>
      <c r="D5650" t="inlineStr">
        <is>
          <t>Klein Tools 66075 Impact Driver Flip Socket, 11/16- and 5/8-Inch Sizes, Use with Klein Tools Compact Impact Wrenches BAT20CW, BAT20CW1</t>
        </is>
      </c>
      <c r="E5650" s="2">
        <f>HYPERLINK("https://www.amazon.com/Klein-Tools-66075-Wrenches-BAT20CW1/dp/B0B33YLHPQ/ref=sr_1_12?keywords=Klein+Tools+66073+Flip+Impact+Socket%2C+15%2F16+and+7%2F8-Inch&amp;qid=1694735125&amp;sr=8-12", "https://www.amazon.com/Klein-Tools-66075-Wrenches-BAT20CW1/dp/B0B33YLHPQ/ref=sr_1_12?keywords=Klein+Tools+66073+Flip+Impact+Socket%2C+15%2F16+and+7%2F8-Inch&amp;qid=1694735125&amp;sr=8-12")</f>
        <v/>
      </c>
      <c r="F5650" t="inlineStr">
        <is>
          <t>B0B33YLHPQ</t>
        </is>
      </c>
      <c r="G5650">
        <f>_xludf.IMAGE("https://edmondsonsupply.com/cdn/shop/products/66073.jpg?v=1663250093")</f>
        <v/>
      </c>
      <c r="H5650">
        <f>_xludf.IMAGE("https://m.media-amazon.com/images/I/51OgCXHWbtL._AC_UL320_.jpg")</f>
        <v/>
      </c>
      <c r="K5650" t="inlineStr">
        <is>
          <t>15.0</t>
        </is>
      </c>
      <c r="L5650" t="n">
        <v>16.53</v>
      </c>
      <c r="M5650" s="1" t="inlineStr">
        <is>
          <t>10.20%</t>
        </is>
      </c>
      <c r="N5650" s="1" t="n">
        <v>3.24</v>
      </c>
      <c r="O5650" t="n">
        <v>1</v>
      </c>
      <c r="P5650" t="n">
        <v>1</v>
      </c>
      <c r="R5650" t="inlineStr">
        <is>
          <t>InStock</t>
        </is>
      </c>
      <c r="S5650" t="inlineStr">
        <is>
          <t>21.0</t>
        </is>
      </c>
      <c r="T5650" t="inlineStr">
        <is>
          <t>7817375547608</t>
        </is>
      </c>
    </row>
    <row r="5651" ht="87" customHeight="1">
      <c r="A5651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651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651" t="inlineStr">
        <is>
          <t>Klein Tools D228-8 Diagonal Cutting Pliers, High-Leverage, 8-Inch</t>
        </is>
      </c>
      <c r="D5651" t="inlineStr">
        <is>
          <t>Klein Tools D228-8TT Pliers, Diagonal Cutting Pliers with High-Leverage Design and Tether Ring, 8-Inch</t>
        </is>
      </c>
      <c r="E5651" s="2">
        <f>HYPERLINK("https://www.amazon.com/Leverage-Diagonal-Klein-Tools-D228-8TT/dp/B01K76W5UE/ref=sr_1_2?keywords=Klein+Tools+D228-8+Diagonal+Cutting+Pliers%2C+High-Leverage%2C+8-Inch&amp;qid=1694735247&amp;sr=8-2", "https://www.amazon.com/Leverage-Diagonal-Klein-Tools-D228-8TT/dp/B01K76W5UE/ref=sr_1_2?keywords=Klein+Tools+D228-8+Diagonal+Cutting+Pliers%2C+High-Leverage%2C+8-Inch&amp;qid=1694735247&amp;sr=8-2")</f>
        <v/>
      </c>
      <c r="F5651" t="inlineStr">
        <is>
          <t>B01K76W5UE</t>
        </is>
      </c>
      <c r="G5651">
        <f>_xlfn.IMAGE("https://edmondsonsupply.com/cdn/shop/products/d2288.jpg?v=1633030753")</f>
        <v/>
      </c>
      <c r="H5651">
        <f>_xlfn.IMAGE("https://m.media-amazon.com/images/I/41Jkh6uEiRL._AC_UL320_.jpg")</f>
        <v/>
      </c>
      <c r="K5651" t="inlineStr">
        <is>
          <t>29.97</t>
        </is>
      </c>
      <c r="L5651" t="n">
        <v>32.99</v>
      </c>
      <c r="M5651" s="1" t="inlineStr">
        <is>
          <t>10.08%</t>
        </is>
      </c>
      <c r="N5651" s="7" t="n">
        <v>2.6</v>
      </c>
      <c r="O5651" t="n">
        <v>5</v>
      </c>
      <c r="P5651" t="n">
        <v>16</v>
      </c>
      <c r="R5651" t="inlineStr">
        <is>
          <t>InStock</t>
        </is>
      </c>
      <c r="S5651" t="inlineStr">
        <is>
          <t>42.78</t>
        </is>
      </c>
      <c r="T5651" t="inlineStr">
        <is>
          <t>5896908472488</t>
        </is>
      </c>
    </row>
    <row r="5652" hidden="1" ht="15.75" customHeight="1">
      <c r="A5652" s="2">
        <f>HYPERLINK("https://edmondsonsupply.com/collections/electricians-tools/products/diablo-tools-dmarg1070-1-4-in-x-4-in-x-6-in-speedemon%E2%84%A2-red-granite-carbide-tipped-hammer-drill-bit", "https://edmondsonsupply.com/collections/electricians-tools/products/diablo-tools-dmarg1070-1-4-in-x-4-in-x-6-in-speedemon%E2%84%A2-red-granite-carbide-tipped-hammer-drill-bit")</f>
        <v/>
      </c>
      <c r="B5652" s="2">
        <f>HYPERLINK("https://edmondsonsupply.com/products/diablo-tools-dmarg1070-1-4-in-x-4-in-x-6-in-speedemon%e2%84%a2-red-granite-carbide-tipped-hammer-drill-bit", "https://edmondsonsupply.com/products/diablo-tools-dmarg1070-1-4-in-x-4-in-x-6-in-speedemon%e2%84%a2-red-granite-carbide-tipped-hammer-drill-bit")</f>
        <v/>
      </c>
      <c r="C5652" t="inlineStr">
        <is>
          <t>Diablo Tools DMARG1070 1/4 in. x 4 in. x 6 in. SPEEDemon™ Red Granite Carbide Tipped Hammer Drill Bit</t>
        </is>
      </c>
      <c r="D5652" t="inlineStr">
        <is>
          <t>Diablo 3/16" x 4" x 6" SPEEDemon Red Granite Carbide Tipped Hammer Drill Bit</t>
        </is>
      </c>
      <c r="E5652" s="2">
        <f>HYPERLINK("https://www.amazon.com/Diablo-SPEEDemon-Granite-Carbide-Tipped/dp/B089LKW83J/ref=sr_1_2?keywords=Diablo+Tools+DMARG1070+1%2F4+in.+x+4+in.+x+6+in.+SPEEDemon%E2%84%A2+Red+Granite+Carbide+Tipped+Hammer+Drill+Bit&amp;qid=1694735286&amp;sr=8-2", "https://www.amazon.com/Diablo-SPEEDemon-Granite-Carbide-Tipped/dp/B089LKW83J/ref=sr_1_2?keywords=Diablo+Tools+DMARG1070+1%2F4+in.+x+4+in.+x+6+in.+SPEEDemon%E2%84%A2+Red+Granite+Carbide+Tipped+Hammer+Drill+Bit&amp;qid=1694735286&amp;sr=8-2")</f>
        <v/>
      </c>
      <c r="F5652" t="inlineStr">
        <is>
          <t>B089LKW83J</t>
        </is>
      </c>
      <c r="G5652">
        <f>_xludf.IMAGE("https://edmondsonsupply.com/cdn/shop/products/DMARG1070_Main-Image20200407.png?v=1633030419")</f>
        <v/>
      </c>
      <c r="H5652">
        <f>_xludf.IMAGE("https://m.media-amazon.com/images/I/61+BAExWexL._AC_UL320_.jpg")</f>
        <v/>
      </c>
      <c r="K5652" t="inlineStr">
        <is>
          <t>4.97</t>
        </is>
      </c>
      <c r="L5652" t="n">
        <v>5.47</v>
      </c>
      <c r="M5652" s="1" t="inlineStr">
        <is>
          <t>10.06%</t>
        </is>
      </c>
      <c r="N5652" s="1" t="n">
        <v>0.9399999999999999</v>
      </c>
      <c r="O5652" t="n">
        <v>4.4</v>
      </c>
      <c r="P5652" t="n">
        <v>9</v>
      </c>
      <c r="R5652" t="inlineStr">
        <is>
          <t>InStock</t>
        </is>
      </c>
      <c r="S5652" t="inlineStr">
        <is>
          <t>undefined</t>
        </is>
      </c>
      <c r="T5652" t="inlineStr">
        <is>
          <t>5317981700264</t>
        </is>
      </c>
    </row>
    <row r="5653" ht="87" customHeight="1">
      <c r="A5653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5653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5653" t="inlineStr">
        <is>
          <t>Klein Tools 32801 5-in-1 Multi-Bit Screwdriver / Nut Driver, Heavy Duty</t>
        </is>
      </c>
      <c r="D5653" t="inlineStr">
        <is>
          <t>Klein Tools 32500HD Multi-Bit Screwdriver / Nut Driver, Impact Rated 11-in-1 Tool with Phillips, Slotted, Square and Torx Tips</t>
        </is>
      </c>
      <c r="E5653" s="2">
        <f>HYPERLINK("https://www.amazon.com/Klein-Tools-32500HD-Multi-Bit-Screwdriver/dp/B0C9V6NYZ4/ref=sr_1_2?keywords=Klein+Tools+32801+5-in-1+Multi-Bit+Screwdriver+%2F+Nut+Driver%2C+Heavy+Duty&amp;qid=1694735265&amp;sr=8-2", "https://www.amazon.com/Klein-Tools-32500HD-Multi-Bit-Screwdriver/dp/B0C9V6NYZ4/ref=sr_1_2?keywords=Klein+Tools+32801+5-in-1+Multi-Bit+Screwdriver+%2F+Nut+Driver%2C+Heavy+Duty&amp;qid=1694735265&amp;sr=8-2")</f>
        <v/>
      </c>
      <c r="F5653" t="inlineStr">
        <is>
          <t>B0C9V6NYZ4</t>
        </is>
      </c>
      <c r="G5653">
        <f>_xlfn.IMAGE("https://edmondsonsupply.com/cdn/shop/products/32801.jpg?v=1633030677")</f>
        <v/>
      </c>
      <c r="H5653">
        <f>_xlfn.IMAGE("https://m.media-amazon.com/images/I/41OcyKmA3fL._AC_UL320_.jpg")</f>
        <v/>
      </c>
      <c r="K5653" t="inlineStr">
        <is>
          <t>19.97</t>
        </is>
      </c>
      <c r="L5653" t="n">
        <v>21.97</v>
      </c>
      <c r="M5653" s="1" t="inlineStr">
        <is>
          <t>10.02%</t>
        </is>
      </c>
      <c r="N5653" s="7" t="n">
        <v>0.82</v>
      </c>
      <c r="O5653" t="n">
        <v>4.6</v>
      </c>
      <c r="P5653" t="n">
        <v>41</v>
      </c>
      <c r="R5653" t="inlineStr">
        <is>
          <t>InStock</t>
        </is>
      </c>
      <c r="S5653" t="inlineStr">
        <is>
          <t>32.18</t>
        </is>
      </c>
      <c r="T5653" t="inlineStr">
        <is>
          <t>5807274819752</t>
        </is>
      </c>
    </row>
    <row r="5654" ht="87" customHeight="1">
      <c r="A5654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5654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5654" t="inlineStr">
        <is>
          <t>Klein Tools 32801 5-in-1 Multi-Bit Screwdriver / Nut Driver, Heavy Duty</t>
        </is>
      </c>
      <c r="D5654" t="inlineStr">
        <is>
          <t>Klein Tools 32305 Multi-bit Ratcheting Screwdriver, 15-in-1 Tool with Phillips, Slotted, Square, Torx and Combo Bits and 1/4-Inch Nut Driver</t>
        </is>
      </c>
      <c r="E5654" s="2">
        <f>HYPERLINK("https://www.amazon.com/Klein-Tools-32305-Ratcheting-Screwdriver/dp/B08KFMHQCP/ref=sr_1_11?keywords=Klein+Tools+32801+5-in-1+Multi-Bit+Screwdriver+%2F+Nut+Driver%2C+Heavy+Duty&amp;qid=1694735265&amp;sr=8-11", "https://www.amazon.com/Klein-Tools-32305-Ratcheting-Screwdriver/dp/B08KFMHQCP/ref=sr_1_11?keywords=Klein+Tools+32801+5-in-1+Multi-Bit+Screwdriver+%2F+Nut+Driver%2C+Heavy+Duty&amp;qid=1694735265&amp;sr=8-11")</f>
        <v/>
      </c>
      <c r="F5654" t="inlineStr">
        <is>
          <t>B08KFMHQCP</t>
        </is>
      </c>
      <c r="G5654">
        <f>_xlfn.IMAGE("https://edmondsonsupply.com/cdn/shop/products/32801.jpg?v=1633030677")</f>
        <v/>
      </c>
      <c r="H5654">
        <f>_xlfn.IMAGE("https://m.media-amazon.com/images/I/51jA6YSPgmL._AC_UL320_.jpg")</f>
        <v/>
      </c>
      <c r="K5654" t="inlineStr">
        <is>
          <t>19.97</t>
        </is>
      </c>
      <c r="L5654" t="n">
        <v>21.97</v>
      </c>
      <c r="M5654" s="1" t="inlineStr">
        <is>
          <t>10.02%</t>
        </is>
      </c>
      <c r="N5654" s="7" t="n">
        <v>0.07000000000000001</v>
      </c>
      <c r="O5654" t="n">
        <v>4.7</v>
      </c>
      <c r="P5654" t="n">
        <v>6042</v>
      </c>
      <c r="R5654" t="inlineStr">
        <is>
          <t>InStock</t>
        </is>
      </c>
      <c r="S5654" t="inlineStr">
        <is>
          <t>32.18</t>
        </is>
      </c>
      <c r="T5654" t="inlineStr">
        <is>
          <t>5807274819752</t>
        </is>
      </c>
    </row>
    <row r="5655" ht="87" customHeight="1">
      <c r="A5655" s="2">
        <f>HYPERLINK("https://edmondsonsupply.com/collections/electricians-tools/products/milwaukee-48-22-9725-stud%E2%84%A2-tape-measures-25-feet", "https://edmondsonsupply.com/collections/electricians-tools/products/milwaukee-48-22-9725-stud%E2%84%A2-tape-measures-25-feet")</f>
        <v/>
      </c>
      <c r="B5655" s="2">
        <f>HYPERLINK("https://edmondsonsupply.com/products/milwaukee-48-22-9725-stud%e2%84%a2-tape-measures-25-feet", "https://edmondsonsupply.com/products/milwaukee-48-22-9725-stud%e2%84%a2-tape-measures-25-feet")</f>
        <v/>
      </c>
      <c r="C5655" t="inlineStr">
        <is>
          <t>Milwaukee 48-22-9725 25ft STUD™ Tape Measure</t>
        </is>
      </c>
      <c r="D5655" t="inlineStr">
        <is>
          <t>Milwaukee 48-22-9725M STUD 25 ft. Magnetic Tape Measure</t>
        </is>
      </c>
      <c r="E5655" s="2">
        <f>HYPERLINK("https://www.amazon.com/MILWAUKEE-25ft-Magnetic-STUD-Tape/dp/B07YKXVYJV/ref=sr_1_19?keywords=Milwaukee+48-22-9725+25ft+STUD%E2%84%A2+Tape+Measure&amp;qid=1694735080&amp;sr=8-19", "https://www.amazon.com/MILWAUKEE-25ft-Magnetic-STUD-Tape/dp/B07YKXVYJV/ref=sr_1_19?keywords=Milwaukee+48-22-9725+25ft+STUD%E2%84%A2+Tape+Measure&amp;qid=1694735080&amp;sr=8-19")</f>
        <v/>
      </c>
      <c r="F5655" t="inlineStr">
        <is>
          <t>B07YKXVYJV</t>
        </is>
      </c>
      <c r="G5655">
        <f>_xlfn.IMAGE("https://edmondsonsupply.com/cdn/shop/products/48-22-9725_1.webp?v=1668784363")</f>
        <v/>
      </c>
      <c r="H5655">
        <f>_xlfn.IMAGE("https://m.media-amazon.com/images/I/61WCXAmfPjL._AC_UL320_.jpg")</f>
        <v/>
      </c>
      <c r="K5655" t="inlineStr">
        <is>
          <t>29.97</t>
        </is>
      </c>
      <c r="L5655" t="n">
        <v>32.97</v>
      </c>
      <c r="M5655" s="1" t="inlineStr">
        <is>
          <t>10.01%</t>
        </is>
      </c>
      <c r="N5655" s="7" t="n">
        <v>0</v>
      </c>
      <c r="O5655" t="n">
        <v>4.2</v>
      </c>
      <c r="P5655" t="n">
        <v>24</v>
      </c>
      <c r="R5655" t="inlineStr">
        <is>
          <t>InStock</t>
        </is>
      </c>
      <c r="S5655" t="inlineStr">
        <is>
          <t>43.4</t>
        </is>
      </c>
      <c r="T5655" t="inlineStr">
        <is>
          <t>7887700918488</t>
        </is>
      </c>
    </row>
    <row r="5656" ht="87" customHeight="1">
      <c r="A5656" s="2">
        <f>HYPERLINK("https://edmondsonsupply.com/collections/electricians-tools/products/klein-tools-13156-screwdriver-blades-insulated-single-end-2-pack", "https://edmondsonsupply.com/collections/electricians-tools/products/klein-tools-13156-screwdriver-blades-insulated-single-end-2-pack")</f>
        <v/>
      </c>
      <c r="B5656" s="2">
        <f>HYPERLINK("https://edmondsonsupply.com/products/klein-tools-13156-screwdriver-blades-insulated-single-end-2-pack", "https://edmondsonsupply.com/products/klein-tools-13156-screwdriver-blades-insulated-single-end-2-pack")</f>
        <v/>
      </c>
      <c r="C5656" t="inlineStr">
        <is>
          <t>Klein Tools 13156 Screwdriver Blades, Insulated Single-End, 2-Pack</t>
        </is>
      </c>
      <c r="D5656" t="inlineStr">
        <is>
          <t>Klein Tools 13156 Insulated Screwdriver Blades, Interchangeable Single-End Replacement Blades for Klein Insulated Screwdrivers, 2-Pack</t>
        </is>
      </c>
      <c r="E5656" s="2">
        <f>HYPERLINK("https://www.amazon.com/Klein-Tools-13156-Interchangeable-Screwdrivers/dp/B07XJZ4CJN/ref=sr_1_1?keywords=Klein+Tools+13156+Screwdriver+Blades%2C+Insulated+Single-End%2C+2-Pack&amp;qid=1694734984&amp;sr=8-1", "https://www.amazon.com/Klein-Tools-13156-Interchangeable-Screwdrivers/dp/B07XJZ4CJN/ref=sr_1_1?keywords=Klein+Tools+13156+Screwdriver+Blades%2C+Insulated+Single-End%2C+2-Pack&amp;qid=1694734984&amp;sr=8-1")</f>
        <v/>
      </c>
      <c r="F5656" t="inlineStr">
        <is>
          <t>B07XJZ4CJN</t>
        </is>
      </c>
      <c r="G5656">
        <f>_xlfn.IMAGE("https://edmondsonsupply.com/cdn/shop/products/13156.jpg?v=1587146923")</f>
        <v/>
      </c>
      <c r="H5656">
        <f>_xlfn.IMAGE("https://m.media-amazon.com/images/I/41bES4KYVYL._AC_UL320_.jpg")</f>
        <v/>
      </c>
      <c r="K5656" t="inlineStr">
        <is>
          <t>14.99</t>
        </is>
      </c>
      <c r="L5656" t="n">
        <v>16.49</v>
      </c>
      <c r="M5656" s="1" t="inlineStr">
        <is>
          <t>10.01%</t>
        </is>
      </c>
      <c r="N5656" s="7" t="n">
        <v>0</v>
      </c>
      <c r="O5656" t="n">
        <v>4.7</v>
      </c>
      <c r="P5656" t="n">
        <v>105</v>
      </c>
      <c r="R5656" t="inlineStr">
        <is>
          <t>InStock</t>
        </is>
      </c>
      <c r="S5656" t="inlineStr">
        <is>
          <t>20.5</t>
        </is>
      </c>
      <c r="T5656" t="inlineStr">
        <is>
          <t>4161839562852</t>
        </is>
      </c>
    </row>
    <row r="5657" ht="87" customHeight="1">
      <c r="A5657" s="2">
        <f>HYPERLINK("https://edmondsonsupply.com/collections/electricians-tools/products/diablo-tools-dmamx1220", "https://edmondsonsupply.com/collections/electricians-tools/products/diablo-tools-dmamx1220")</f>
        <v/>
      </c>
      <c r="B5657" s="2">
        <f>HYPERLINK("https://edmondsonsupply.com/products/diablo-tools-dmamx1220", "https://edmondsonsupply.com/products/diablo-tools-dmamx1220")</f>
        <v/>
      </c>
      <c r="C5657" t="inlineStr">
        <is>
          <t>Diablo Tools DMAMX1220 1 in. x 16 in. x 21 in. Rebar Demon™ SDS-Max 4-Cutter Full Carbide Head Hammer Drill Bit</t>
        </is>
      </c>
      <c r="D5657" t="inlineStr">
        <is>
          <t>Diablo DMAMX1140 3/4 in. x 16 in. x 21 in. Rebar Demon™ SDS-Max 4-Cutter Full Carbide Head Hammer Bit</t>
        </is>
      </c>
      <c r="E5657" s="2">
        <f>HYPERLINK("https://www.amazon.com/Diablo-SDS-Max-4-Cutter-Carbide-Hammer/dp/B089KWP4WK/ref=sr_1_2?keywords=Diablo+Tools+DMAMX1220+1+in.+x+16+in.+x+21+in.+Rebar+Demon%E2%84%A2+SDS-Max+4-Cutter+Full+Carbide+Head+Hammer+Drill+Bit&amp;qid=1694735075&amp;sr=8-2", "https://www.amazon.com/Diablo-SDS-Max-4-Cutter-Carbide-Hammer/dp/B089KWP4WK/ref=sr_1_2?keywords=Diablo+Tools+DMAMX1220+1+in.+x+16+in.+x+21+in.+Rebar+Demon%E2%84%A2+SDS-Max+4-Cutter+Full+Carbide+Head+Hammer+Drill+Bit&amp;qid=1694735075&amp;sr=8-2")</f>
        <v/>
      </c>
      <c r="F5657" t="inlineStr">
        <is>
          <t>B089KWP4WK</t>
        </is>
      </c>
      <c r="G5657">
        <f>_xlfn.IMAGE("https://edmondsonsupply.com/cdn/shop/products/immoyh7jjmbau4fzhuq6.webp?v=1670431066")</f>
        <v/>
      </c>
      <c r="H5657">
        <f>_xlfn.IMAGE("https://m.media-amazon.com/images/I/61yWWNP1xrL._AC_UL320_.jpg")</f>
        <v/>
      </c>
      <c r="K5657" t="inlineStr">
        <is>
          <t>45.69</t>
        </is>
      </c>
      <c r="L5657" t="n">
        <v>50.26</v>
      </c>
      <c r="M5657" s="1" t="inlineStr">
        <is>
          <t>10.00%</t>
        </is>
      </c>
      <c r="N5657" s="7" t="n">
        <v>0</v>
      </c>
      <c r="O5657" t="n">
        <v>5</v>
      </c>
      <c r="P5657" t="n">
        <v>9</v>
      </c>
      <c r="R5657" t="inlineStr">
        <is>
          <t>InStock</t>
        </is>
      </c>
      <c r="S5657" t="inlineStr">
        <is>
          <t>70.58</t>
        </is>
      </c>
      <c r="T5657" t="inlineStr">
        <is>
          <t>7900195356888</t>
        </is>
      </c>
    </row>
    <row r="5658" ht="87" customHeight="1">
      <c r="A5658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5658" s="2">
        <f>HYPERLINK("https://edmondsonsupply.com/products/klein-tools-32800-6-in-1-multi-nut-driver-heavy-duty", "https://edmondsonsupply.com/products/klein-tools-32800-6-in-1-multi-nut-driver-heavy-duty")</f>
        <v/>
      </c>
      <c r="C5658" t="inlineStr">
        <is>
          <t>Klein Tools 32800 6-in-1 6-in-1 Multi-Bit Nut Driver, Heavy Duty</t>
        </is>
      </c>
      <c r="D5658" t="inlineStr">
        <is>
          <t>Klein Tools 32517 Multi-Bit Screwdriver / Tap Tool with 6 Common Tap Sizes, 4 Screwdriver Tips, and 3 Nut Driver Sizes</t>
        </is>
      </c>
      <c r="E5658" s="2">
        <f>HYPERLINK("https://www.amazon.com/Multi-Bit-Driver-Klein-Tools-32517/dp/B00NH7JUD6/ref=sr_1_35?keywords=Klein+Tools+32800+6-in-1+6-in-1+Multi-Bit+Nut+Driver%2C+Heavy+Duty&amp;qid=1694735172&amp;sr=8-35", "https://www.amazon.com/Multi-Bit-Driver-Klein-Tools-32517/dp/B00NH7JUD6/ref=sr_1_35?keywords=Klein+Tools+32800+6-in-1+6-in-1+Multi-Bit+Nut+Driver%2C+Heavy+Duty&amp;qid=1694735172&amp;sr=8-35")</f>
        <v/>
      </c>
      <c r="F5658" t="inlineStr">
        <is>
          <t>B00NH7JUD6</t>
        </is>
      </c>
      <c r="G5658">
        <f>_xlfn.IMAGE("https://edmondsonsupply.com/cdn/shop/products/32800_alt2.jpg?v=1646595019")</f>
        <v/>
      </c>
      <c r="H5658">
        <f>_xlfn.IMAGE("https://m.media-amazon.com/images/I/51FVp5xpI+L._AC_UL320_.jpg")</f>
        <v/>
      </c>
      <c r="K5658" t="inlineStr">
        <is>
          <t>29.99</t>
        </is>
      </c>
      <c r="L5658" t="n">
        <v>32.97</v>
      </c>
      <c r="M5658" s="1" t="inlineStr">
        <is>
          <t>9.94%</t>
        </is>
      </c>
      <c r="N5658" s="7" t="n">
        <v>0</v>
      </c>
      <c r="O5658" t="n">
        <v>4.7</v>
      </c>
      <c r="P5658" t="n">
        <v>193</v>
      </c>
      <c r="R5658" t="inlineStr">
        <is>
          <t>InStock</t>
        </is>
      </c>
      <c r="S5658" t="inlineStr">
        <is>
          <t>42.2</t>
        </is>
      </c>
      <c r="T5658" t="inlineStr">
        <is>
          <t>1723912519780</t>
        </is>
      </c>
    </row>
    <row r="5659" ht="87" customHeight="1">
      <c r="A5659" s="2">
        <f>HYPERLINK("https://edmondsonsupply.com/collections/electricians-tools/products/wiha-tools-66991-13-piece-magicring-ball-end-hex-l-key-set-inch", "https://edmondsonsupply.com/collections/electricians-tools/products/wiha-tools-66991-13-piece-magicring-ball-end-hex-l-key-set-inch")</f>
        <v/>
      </c>
      <c r="B5659" s="2">
        <f>HYPERLINK("https://edmondsonsupply.com/products/wiha-tools-66991-13-piece-magicring-ball-end-hex-l-key-set-inch", "https://edmondsonsupply.com/products/wiha-tools-66991-13-piece-magicring-ball-end-hex-l-key-set-inch")</f>
        <v/>
      </c>
      <c r="C5659" t="inlineStr">
        <is>
          <t>Wiha Tools 66991 13 Piece MagicRing Ball End Hex L-Key Set - Inch</t>
        </is>
      </c>
      <c r="D5659" t="inlineStr">
        <is>
          <t>Wiha 13 Piece Ball End Color Coded Hex L-Key Set - Inch</t>
        </is>
      </c>
      <c r="E5659" s="2">
        <f>HYPERLINK("https://www.amazon.com/Wiha-66981-Color-Coded-Pieces/dp/B085G4FPTW/ref=sr_1_30?keywords=Wiha+Tools+66991+13+Piece+MagicRing+Ball+End+Hex+L-Key+Set+-+Inch&amp;qid=1694734990&amp;sr=8-30", "https://www.amazon.com/Wiha-66981-Color-Coded-Pieces/dp/B085G4FPTW/ref=sr_1_30?keywords=Wiha+Tools+66991+13+Piece+MagicRing+Ball+End+Hex+L-Key+Set+-+Inch&amp;qid=1694734990&amp;sr=8-30")</f>
        <v/>
      </c>
      <c r="F5659" t="inlineStr">
        <is>
          <t>B085G4FPTW</t>
        </is>
      </c>
      <c r="G5659">
        <f>_xlfn.IMAGE("https://edmondsonsupply.com/cdn/shop/files/203e9943d7bc6da0913f39b14430d97570f6257a_1000x_25f5521b-5db2-4e3a-9496-a87eed5e7da1.webp?v=1690841742")</f>
        <v/>
      </c>
      <c r="H5659">
        <f>_xlfn.IMAGE("https://m.media-amazon.com/images/I/71+g9-ZpGVL._AC_UL320_.jpg")</f>
        <v/>
      </c>
      <c r="K5659" t="inlineStr">
        <is>
          <t>48.61</t>
        </is>
      </c>
      <c r="L5659" t="n">
        <v>53.42</v>
      </c>
      <c r="M5659" s="1" t="inlineStr">
        <is>
          <t>9.90%</t>
        </is>
      </c>
      <c r="N5659" s="7" t="n">
        <v>0</v>
      </c>
      <c r="O5659" t="n">
        <v>4.8</v>
      </c>
      <c r="P5659" t="n">
        <v>345</v>
      </c>
      <c r="R5659" t="inlineStr">
        <is>
          <t>InStock</t>
        </is>
      </c>
      <c r="S5659" t="inlineStr">
        <is>
          <t>64.81</t>
        </is>
      </c>
      <c r="T5659" t="inlineStr">
        <is>
          <t>8023273668824</t>
        </is>
      </c>
    </row>
    <row r="5660" ht="87" customHeight="1">
      <c r="A5660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660" s="2">
        <f>HYPERLINK("https://edmondsonsupply.com/products/klein-tools-60407-hard-hat-vented-full-brim-with-headlamp", "https://edmondsonsupply.com/products/klein-tools-60407-hard-hat-vented-full-brim-with-headlamp")</f>
        <v/>
      </c>
      <c r="C5660" t="inlineStr">
        <is>
          <t>Klein Tools 60407 Hard Hat, Vented, Full Brim with Headlamp, White</t>
        </is>
      </c>
      <c r="D5660" t="inlineStr">
        <is>
          <t>Klein Tools 60407RL Hard Hat, Rechargeable Headlamp, Vented, Full Brim Style, Padded Self-Wicking Odor-Resistant Sweatband, White, Large</t>
        </is>
      </c>
      <c r="E5660" s="2">
        <f>HYPERLINK("https://www.amazon.com/Klein-Tools-60407RL-Rechargeable-Odor-Resistant/dp/B08DDTV9M3/ref=sr_1_1?keywords=Klein+Tools+60407+Hard+Hat%2C+Vented%2C+Full+Brim+with+Headlamp%2C+White&amp;qid=1694735427&amp;sr=8-1", "https://www.amazon.com/Klein-Tools-60407RL-Rechargeable-Odor-Resistant/dp/B08DDTV9M3/ref=sr_1_1?keywords=Klein+Tools+60407+Hard+Hat%2C+Vented%2C+Full+Brim+with+Headlamp%2C+White&amp;qid=1694735427&amp;sr=8-1")</f>
        <v/>
      </c>
      <c r="F5660" t="inlineStr">
        <is>
          <t>B08DDTV9M3</t>
        </is>
      </c>
      <c r="G5660">
        <f>_xlfn.IMAGE("https://edmondsonsupply.com/cdn/shop/products/60407.jpg?v=1587147739")</f>
        <v/>
      </c>
      <c r="H5660">
        <f>_xlfn.IMAGE("https://m.media-amazon.com/images/I/61w2MM+yDgL._AC_UL320_.jpg")</f>
        <v/>
      </c>
      <c r="K5660" t="inlineStr">
        <is>
          <t>54.99</t>
        </is>
      </c>
      <c r="L5660" t="n">
        <v>60.37</v>
      </c>
      <c r="M5660" s="1" t="inlineStr">
        <is>
          <t>9.78%</t>
        </is>
      </c>
      <c r="N5660" s="7" t="n">
        <v>0</v>
      </c>
      <c r="O5660" t="n">
        <v>4.7</v>
      </c>
      <c r="P5660" t="n">
        <v>1575</v>
      </c>
      <c r="R5660" t="inlineStr">
        <is>
          <t>OutOfStock</t>
        </is>
      </c>
      <c r="S5660" t="inlineStr">
        <is>
          <t>82.5</t>
        </is>
      </c>
      <c r="T5660" t="inlineStr">
        <is>
          <t>4357084446820</t>
        </is>
      </c>
    </row>
    <row r="5661" ht="87" customHeight="1">
      <c r="A5661" s="2">
        <f>HYPERLINK("https://edmondsonsupply.com/collections/electricians-tools/products/fluke-iksc7", "https://edmondsonsupply.com/collections/electricians-tools/products/fluke-iksc7")</f>
        <v/>
      </c>
      <c r="B5661" s="2">
        <f>HYPERLINK("https://edmondsonsupply.com/products/fluke-iksc7", "https://edmondsonsupply.com/products/fluke-iksc7")</f>
        <v/>
      </c>
      <c r="C5661" t="inlineStr">
        <is>
          <t>Fluke IKSC7 7 Piece Insulated Screwdriver Kit</t>
        </is>
      </c>
      <c r="D5661" t="inlineStr">
        <is>
          <t>Fluke IKSC7 Insulated 7 Units Screwdriver Kit, 1000V</t>
        </is>
      </c>
      <c r="E5661" s="2">
        <f>HYPERLINK("https://www.amazon.com/Fluke-Insulated-Units-Screwdriver-1000V/dp/B07SJ2J99W/ref=sr_1_1?keywords=Fluke+IKSC7+7+Piece+Insulated+Screwdriver+Kit&amp;qid=1694735316&amp;sr=8-1", "https://www.amazon.com/Fluke-Insulated-Units-Screwdriver-1000V/dp/B07SJ2J99W/ref=sr_1_1?keywords=Fluke+IKSC7+7+Piece+Insulated+Screwdriver+Kit&amp;qid=1694735316&amp;sr=8-1")</f>
        <v/>
      </c>
      <c r="F5661" t="inlineStr">
        <is>
          <t>B07SJ2J99W</t>
        </is>
      </c>
      <c r="G5661">
        <f>_xlfn.IMAGE("https://edmondsonsupply.com/cdn/shop/products/iksc7-1.jpg?v=1589307381")</f>
        <v/>
      </c>
      <c r="H5661">
        <f>_xlfn.IMAGE("https://m.media-amazon.com/images/I/51mE4yqLxPL._AC_UL320_.jpg")</f>
        <v/>
      </c>
      <c r="K5661" t="inlineStr">
        <is>
          <t>143.99</t>
        </is>
      </c>
      <c r="L5661" t="n">
        <v>158.06</v>
      </c>
      <c r="M5661" s="1" t="inlineStr">
        <is>
          <t>9.77%</t>
        </is>
      </c>
      <c r="N5661" s="7" t="n">
        <v>0</v>
      </c>
      <c r="O5661" t="n">
        <v>4.8</v>
      </c>
      <c r="P5661" t="n">
        <v>30</v>
      </c>
      <c r="R5661" t="inlineStr">
        <is>
          <t>OutOfStock</t>
        </is>
      </c>
      <c r="S5661" t="inlineStr">
        <is>
          <t>159.99</t>
        </is>
      </c>
      <c r="T5661" t="inlineStr">
        <is>
          <t>4650546888804</t>
        </is>
      </c>
    </row>
    <row r="5662" ht="87" customHeight="1">
      <c r="A5662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5662" s="2">
        <f>HYPERLINK("https://edmondsonsupply.com/products/klein-tools-et600-insulation-resistance-tester", "https://edmondsonsupply.com/products/klein-tools-et600-insulation-resistance-tester")</f>
        <v/>
      </c>
      <c r="C5662" t="inlineStr">
        <is>
          <t>Klein Tools ET600 Insulation Resistance Tester</t>
        </is>
      </c>
      <c r="D5662" t="inlineStr">
        <is>
          <t>Klein Tools ET600 Multimeter, Megohmmeter Insulation Tester, 4000 Ohms Resistance, 125V/250V/500V/1000V, Auto-Ranging TRMS Multimeter &amp; Rare-Earth Magnetic Hanger no Strap</t>
        </is>
      </c>
      <c r="E5662" s="2">
        <f>HYPERLINK("https://www.amazon.com/Klein-Tools-Megohmmeter-Insulation-Ohms-Resistance-Auto-Ranging/dp/B0B7NFMBPZ/ref=sr_1_3?keywords=Klein+Tools+ET600+Insulation+Resistance+Tester&amp;qid=1694734978&amp;sr=8-3", "https://www.amazon.com/Klein-Tools-Megohmmeter-Insulation-Ohms-Resistance-Auto-Ranging/dp/B0B7NFMBPZ/ref=sr_1_3?keywords=Klein+Tools+ET600+Insulation+Resistance+Tester&amp;qid=1694734978&amp;sr=8-3")</f>
        <v/>
      </c>
      <c r="F5662" t="inlineStr">
        <is>
          <t>B0B7NFMBPZ</t>
        </is>
      </c>
      <c r="G5662">
        <f>_xlfn.IMAGE("https://edmondsonsupply.com/cdn/shop/products/et600_accessories_b.jpg?v=1677685603")</f>
        <v/>
      </c>
      <c r="H5662">
        <f>_xlfn.IMAGE("https://m.media-amazon.com/images/I/61U-LeAD05L._AC_UY218_.jpg")</f>
        <v/>
      </c>
      <c r="K5662" t="inlineStr">
        <is>
          <t>164.99</t>
        </is>
      </c>
      <c r="L5662" t="n">
        <v>180.98</v>
      </c>
      <c r="M5662" s="1" t="inlineStr">
        <is>
          <t>9.69%</t>
        </is>
      </c>
      <c r="N5662" s="7" t="n">
        <v>0</v>
      </c>
      <c r="O5662" t="n">
        <v>4.3</v>
      </c>
      <c r="P5662" t="n">
        <v>4</v>
      </c>
      <c r="R5662" t="inlineStr">
        <is>
          <t>InStock</t>
        </is>
      </c>
      <c r="S5662" t="inlineStr">
        <is>
          <t>231.0</t>
        </is>
      </c>
      <c r="T5662" t="inlineStr">
        <is>
          <t>4411568095332</t>
        </is>
      </c>
    </row>
    <row r="5663" ht="87" customHeight="1">
      <c r="A5663" s="2">
        <f>HYPERLINK("https://edmondsonsupply.com/collections/electricians-tools/products/fluke-isls5", "https://edmondsonsupply.com/collections/electricians-tools/products/fluke-isls5")</f>
        <v/>
      </c>
      <c r="B5663" s="2">
        <f>HYPERLINK("https://edmondsonsupply.com/products/fluke-isls5", "https://edmondsonsupply.com/products/fluke-isls5")</f>
        <v/>
      </c>
      <c r="C5663" t="inlineStr">
        <is>
          <t>Fluke ISLS5 Insulated Slotted Screwdriver</t>
        </is>
      </c>
      <c r="D5663" t="inlineStr">
        <is>
          <t>Fluke - ISLS5 Insulated Slotted Screwdriver 5/32, 4 INCH, 1000V</t>
        </is>
      </c>
      <c r="E5663" s="2">
        <f>HYPERLINK("https://www.amazon.com/Fluke-Insulated-Slotted-Screwdriver-1000V/dp/B07SH2ZDJC/ref=sr_1_1?keywords=Fluke+ISLS5+Insulated+Slotted+Screwdriver&amp;qid=1694735320&amp;sr=8-1", "https://www.amazon.com/Fluke-Insulated-Slotted-Screwdriver-1000V/dp/B07SH2ZDJC/ref=sr_1_1?keywords=Fluke+ISLS5+Insulated+Slotted+Screwdriver&amp;qid=1694735320&amp;sr=8-1")</f>
        <v/>
      </c>
      <c r="F5663" t="inlineStr">
        <is>
          <t>B07SH2ZDJC</t>
        </is>
      </c>
      <c r="G5663">
        <f>_xlfn.IMAGE("https://edmondsonsupply.com/cdn/shop/products/isls5-1.jpg?v=1589231784")</f>
        <v/>
      </c>
      <c r="H5663">
        <f>_xlfn.IMAGE("https://m.media-amazon.com/images/I/31TbdKvGZUL._AC_UL320_.jpg")</f>
        <v/>
      </c>
      <c r="K5663" t="inlineStr">
        <is>
          <t>20.69</t>
        </is>
      </c>
      <c r="L5663" t="n">
        <v>22.69</v>
      </c>
      <c r="M5663" s="1" t="inlineStr">
        <is>
          <t>9.67%</t>
        </is>
      </c>
      <c r="N5663" s="7" t="n">
        <v>0</v>
      </c>
      <c r="O5663" t="n">
        <v>4.4</v>
      </c>
      <c r="P5663" t="n">
        <v>82</v>
      </c>
      <c r="R5663" t="inlineStr">
        <is>
          <t>OutOfStock</t>
        </is>
      </c>
      <c r="S5663" t="inlineStr">
        <is>
          <t>22.99</t>
        </is>
      </c>
      <c r="T5663" t="inlineStr">
        <is>
          <t>4643012313188</t>
        </is>
      </c>
    </row>
    <row r="5664" ht="87" customHeight="1">
      <c r="A5664" s="2">
        <f>HYPERLINK("https://edmondsonsupply.com/collections/electricians-tools/products/fluke-isls3", "https://edmondsonsupply.com/collections/electricians-tools/products/fluke-isls3")</f>
        <v/>
      </c>
      <c r="B5664" s="2">
        <f>HYPERLINK("https://edmondsonsupply.com/products/fluke-isls3", "https://edmondsonsupply.com/products/fluke-isls3")</f>
        <v/>
      </c>
      <c r="C5664" t="inlineStr">
        <is>
          <t>Fluke ISLS3 Insulated Slotted Screwdriver</t>
        </is>
      </c>
      <c r="D5664" t="inlineStr">
        <is>
          <t>Fluke Insulated Slotted Screwdriver 3/32, 3 INCH, 1000V</t>
        </is>
      </c>
      <c r="E5664" s="2">
        <f>HYPERLINK("https://www.amazon.com/Fluke-Insulated-Slotted-Screwdriver-1000V/dp/B07SH2ZD6K/ref=sr_1_1?keywords=Fluke+ISLS3+Insulated+Slotted+Screwdriver&amp;qid=1694735322&amp;sr=8-1", "https://www.amazon.com/Fluke-Insulated-Slotted-Screwdriver-1000V/dp/B07SH2ZD6K/ref=sr_1_1?keywords=Fluke+ISLS3+Insulated+Slotted+Screwdriver&amp;qid=1694735322&amp;sr=8-1")</f>
        <v/>
      </c>
      <c r="F5664" t="inlineStr">
        <is>
          <t>B07SH2ZD6K</t>
        </is>
      </c>
      <c r="G5664">
        <f>_xlfn.IMAGE("https://edmondsonsupply.com/cdn/shop/products/isls3-1.jpg?v=1589228199")</f>
        <v/>
      </c>
      <c r="H5664">
        <f>_xlfn.IMAGE("https://m.media-amazon.com/images/I/31j-wf0MW3L._AC_UL320_.jpg")</f>
        <v/>
      </c>
      <c r="K5664" t="inlineStr">
        <is>
          <t>20.69</t>
        </is>
      </c>
      <c r="L5664" t="n">
        <v>22.69</v>
      </c>
      <c r="M5664" s="1" t="inlineStr">
        <is>
          <t>9.67%</t>
        </is>
      </c>
      <c r="N5664" s="7" t="n">
        <v>0</v>
      </c>
      <c r="O5664" t="n">
        <v>4.4</v>
      </c>
      <c r="P5664" t="n">
        <v>82</v>
      </c>
      <c r="R5664" t="inlineStr">
        <is>
          <t>OutOfStock</t>
        </is>
      </c>
      <c r="S5664" t="inlineStr">
        <is>
          <t>22.99</t>
        </is>
      </c>
      <c r="T5664" t="inlineStr">
        <is>
          <t>4642801123428</t>
        </is>
      </c>
    </row>
    <row r="5665" hidden="1" ht="15.75" customHeight="1">
      <c r="A5665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5665" s="2">
        <f>HYPERLINK("https://edmondsonsupply.com/products/klein-tools-s8-1-4-inch-hollow-shaft-nut-driver-3-inch-shaft", "https://edmondsonsupply.com/products/klein-tools-s8-1-4-inch-hollow-shaft-nut-driver-3-inch-shaft")</f>
        <v/>
      </c>
      <c r="C5665" t="inlineStr">
        <is>
          <t>Klein Tools S8 1/4-Inch Hollow Shaft Nut Driver, 3-Inch Shaft</t>
        </is>
      </c>
      <c r="D5665" t="inlineStr">
        <is>
          <t>Klein Tools S86 1/4-Inch Nut Driver with 6-Inch Hollow Shaft and Comfordome Handle</t>
        </is>
      </c>
      <c r="E5665" s="2">
        <f>HYPERLINK("https://www.amazon.com/4-Inch-Comfordome-Klein-Tools-S86/dp/B00093GCWS/ref=sr_1_5?keywords=Klein+Tools+S8+1%2F4-Inch+Hollow+Shaft+Nut+Driver%2C+3-Inch+Shaft&amp;qid=1694735248&amp;sr=8-5", "https://www.amazon.com/4-Inch-Comfordome-Klein-Tools-S86/dp/B00093GCWS/ref=sr_1_5?keywords=Klein+Tools+S8+1%2F4-Inch+Hollow+Shaft+Nut+Driver%2C+3-Inch+Shaft&amp;qid=1694735248&amp;sr=8-5")</f>
        <v/>
      </c>
      <c r="F5665" t="inlineStr">
        <is>
          <t>B00093GCWS</t>
        </is>
      </c>
      <c r="G5665">
        <f>_xludf.IMAGE("https://edmondsonsupply.com/cdn/shop/products/s10.jpg?v=1633030797")</f>
        <v/>
      </c>
      <c r="H5665">
        <f>_xludf.IMAGE("https://m.media-amazon.com/images/I/41UucnuSAmL._AC_UL320_.jpg")</f>
        <v/>
      </c>
      <c r="K5665" t="inlineStr">
        <is>
          <t>7.29</t>
        </is>
      </c>
      <c r="L5665" t="n">
        <v>7.99</v>
      </c>
      <c r="M5665" s="1" t="inlineStr">
        <is>
          <t>9.60%</t>
        </is>
      </c>
      <c r="N5665" s="1" t="n">
        <v>0</v>
      </c>
      <c r="O5665" t="n">
        <v>4.5</v>
      </c>
      <c r="P5665" t="n">
        <v>151</v>
      </c>
      <c r="R5665" t="inlineStr">
        <is>
          <t>InStock</t>
        </is>
      </c>
      <c r="S5665" t="inlineStr">
        <is>
          <t>10.74</t>
        </is>
      </c>
      <c r="T5665" t="inlineStr">
        <is>
          <t>6000424485032</t>
        </is>
      </c>
    </row>
    <row r="5666" ht="87" customHeight="1">
      <c r="A5666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5666" s="2">
        <f>HYPERLINK("https://edmondsonsupply.com/products/klein-tools-66070-flip-impact-socket-set-7-piece", "https://edmondsonsupply.com/products/klein-tools-66070-flip-impact-socket-set-7-piece")</f>
        <v/>
      </c>
      <c r="C5666" t="inlineStr">
        <is>
          <t>Klein Tools 66070 Flip Impact Socket Set, 7-Piece</t>
        </is>
      </c>
      <c r="D5666" t="inlineStr">
        <is>
          <t>Klein Tools 32900 Impact Driver, 7-in-1 Impact Flip Socket Set, 6 Hex Driver Sizes plus a 1/4-Inch Bit Holder &amp; 14-in-1 Adjustable Screwdriver</t>
        </is>
      </c>
      <c r="E5666" s="2">
        <f>HYPERLINK("https://www.amazon.com/Klein-Tools-Impact-Adjustable-Screwdriver/dp/B0BGZPZCPF/ref=sr_1_13?keywords=Klein+Tools+66070+Flip+Impact+Socket+Set%2C+7-Piece&amp;qid=1694734974&amp;sr=8-13", "https://www.amazon.com/Klein-Tools-Impact-Adjustable-Screwdriver/dp/B0BGZPZCPF/ref=sr_1_13?keywords=Klein+Tools+66070+Flip+Impact+Socket+Set%2C+7-Piece&amp;qid=1694734974&amp;sr=8-13")</f>
        <v/>
      </c>
      <c r="F5666" t="inlineStr">
        <is>
          <t>B0BGZPZCPF</t>
        </is>
      </c>
      <c r="G5666">
        <f>_xlfn.IMAGE("https://edmondsonsupply.com/cdn/shop/products/66070_b.jpg?v=1663251434")</f>
        <v/>
      </c>
      <c r="H5666">
        <f>_xlfn.IMAGE("https://m.media-amazon.com/images/I/417x0MgjU7L._AC_UL320_.jpg")</f>
        <v/>
      </c>
      <c r="K5666" t="inlineStr">
        <is>
          <t>49.97</t>
        </is>
      </c>
      <c r="L5666" t="n">
        <v>54.74</v>
      </c>
      <c r="M5666" s="1" t="inlineStr">
        <is>
          <t>9.55%</t>
        </is>
      </c>
      <c r="N5666" s="7" t="n">
        <v>0</v>
      </c>
      <c r="O5666" t="n">
        <v>4.8</v>
      </c>
      <c r="P5666" t="n">
        <v>9</v>
      </c>
      <c r="R5666" t="inlineStr">
        <is>
          <t>InStock</t>
        </is>
      </c>
      <c r="S5666" t="inlineStr">
        <is>
          <t>69.98</t>
        </is>
      </c>
      <c r="T5666" t="inlineStr">
        <is>
          <t>7817421127896</t>
        </is>
      </c>
    </row>
    <row r="5667" hidden="1" ht="15.75" customHeight="1">
      <c r="A5667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5667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5667" t="inlineStr">
        <is>
          <t>Klein Tools ET45VP AC/DC Voltage and GFCI Receptacle Outlet Test Kit</t>
        </is>
      </c>
      <c r="D5667" t="inlineStr">
        <is>
          <t>CaseSack case for Outlet Repair Tool Kit, 3-Piece Klein Tools 80041- GFCI Receptacle Tester, Voltage Tester and Wire Stripper, Also for KAIWEETS Dual Check 2-in-1 Voltage Tester &amp; Outlet/ GFCI Tester</t>
        </is>
      </c>
      <c r="E5667" s="2">
        <f>HYPERLINK("https://www.amazon.com/CaseSack-3-Piece-Receptacle-Stripper-KAIWEETS/dp/B09HZBTZ65/ref=sr_1_25?keywords=Klein+Tools+ET45VP+AC%2FDC+Voltage+and+GFCI+Receptacle+Outlet+Test+Kit&amp;qid=1694735138&amp;sr=8-25", "https://www.amazon.com/CaseSack-3-Piece-Receptacle-Stripper-KAIWEETS/dp/B09HZBTZ65/ref=sr_1_25?keywords=Klein+Tools+ET45VP+AC%2FDC+Voltage+and+GFCI+Receptacle+Outlet+Test+Kit&amp;qid=1694735138&amp;sr=8-25")</f>
        <v/>
      </c>
      <c r="F5667" t="inlineStr">
        <is>
          <t>B09HZBTZ65</t>
        </is>
      </c>
      <c r="G5667">
        <f>_xludf.IMAGE("https://edmondsonsupply.com/cdn/shop/products/et45vp.jpg?v=1660755922")</f>
        <v/>
      </c>
      <c r="H5667">
        <f>_xludf.IMAGE("https://m.media-amazon.com/images/I/916t3UXtohL._AC_UL320_.jpg")</f>
        <v/>
      </c>
      <c r="K5667" t="inlineStr">
        <is>
          <t>17.97</t>
        </is>
      </c>
      <c r="L5667" t="n">
        <v>19.68</v>
      </c>
      <c r="M5667" s="1" t="inlineStr">
        <is>
          <t>9.52%</t>
        </is>
      </c>
      <c r="N5667" s="1" t="n">
        <v>0</v>
      </c>
      <c r="O5667" t="n">
        <v>2.6</v>
      </c>
      <c r="P5667" t="n">
        <v>6</v>
      </c>
      <c r="R5667" t="inlineStr">
        <is>
          <t>InStock</t>
        </is>
      </c>
      <c r="S5667" t="inlineStr">
        <is>
          <t>25.82</t>
        </is>
      </c>
      <c r="T5667" t="inlineStr">
        <is>
          <t>7783562084568</t>
        </is>
      </c>
    </row>
    <row r="5668" ht="87" customHeight="1">
      <c r="A5668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5668" s="2">
        <f>HYPERLINK("https://edmondsonsupply.com/products/rack-a-tiers-11455-wire-dispenser", "https://edmondsonsupply.com/products/rack-a-tiers-11455-wire-dispenser")</f>
        <v/>
      </c>
      <c r="C5668" t="inlineStr">
        <is>
          <t>Rack-A-Tiers 11455 Wire Dispenser</t>
        </is>
      </c>
      <c r="D5668" t="inlineStr">
        <is>
          <t>Rack-A-Tiers Wire Tub - Coil Wire Dispenser, Dispense &amp; Rewind Wire Coils, 360° Wire Dispensing, No Setup Needed (18455)</t>
        </is>
      </c>
      <c r="E5668" s="2">
        <f>HYPERLINK("https://www.amazon.com/Rack-Tiers-18455-Wire-Tub/dp/B0087TBRI0/ref=sr_1_9?keywords=Rack-A-Tiers+11455+Wire+Dispenser&amp;qid=1694734977&amp;sr=8-9", "https://www.amazon.com/Rack-Tiers-18455-Wire-Tub/dp/B0087TBRI0/ref=sr_1_9?keywords=Rack-A-Tiers+11455+Wire+Dispenser&amp;qid=1694734977&amp;sr=8-9")</f>
        <v/>
      </c>
      <c r="F5668" t="inlineStr">
        <is>
          <t>B0087TBRI0</t>
        </is>
      </c>
      <c r="G5668">
        <f>_xlfn.IMAGE("https://edmondsonsupply.com/cdn/shop/products/11455.png?v=1587150070")</f>
        <v/>
      </c>
      <c r="H5668">
        <f>_xlfn.IMAGE("https://m.media-amazon.com/images/I/61aM91GUOYL._AC_UL320_.jpg")</f>
        <v/>
      </c>
      <c r="K5668" t="inlineStr">
        <is>
          <t>105.39</t>
        </is>
      </c>
      <c r="L5668" t="n">
        <v>115.39</v>
      </c>
      <c r="M5668" s="1" t="inlineStr">
        <is>
          <t>9.49%</t>
        </is>
      </c>
      <c r="N5668" s="7" t="n">
        <v>0</v>
      </c>
      <c r="O5668" t="n">
        <v>4.6</v>
      </c>
      <c r="P5668" t="n">
        <v>82</v>
      </c>
      <c r="R5668" t="inlineStr">
        <is>
          <t>InStock</t>
        </is>
      </c>
      <c r="S5668" t="inlineStr">
        <is>
          <t>112.99</t>
        </is>
      </c>
      <c r="T5668" t="inlineStr">
        <is>
          <t>3259201126500</t>
        </is>
      </c>
    </row>
    <row r="5669" hidden="1" ht="15.75" customHeight="1">
      <c r="A5669" s="2">
        <f>HYPERLINK("https://edmondsonsupply.com/collections/electricians-tools/products/diablo-tools-dmamx1040", "https://edmondsonsupply.com/collections/electricians-tools/products/diablo-tools-dmamx1040")</f>
        <v/>
      </c>
      <c r="B5669" s="2">
        <f>HYPERLINK("https://edmondsonsupply.com/products/diablo-tools-dmamx1040", "https://edmondsonsupply.com/products/diablo-tools-dmamx1040")</f>
        <v/>
      </c>
      <c r="C5669" t="inlineStr">
        <is>
          <t>Diablo Tools DMAMX1040 1/2 in. x 24 in. x 29 in. Rebar Demon SDS-Max 4-Cutter Full Carbide Head Hammer Bit</t>
        </is>
      </c>
      <c r="D5669" t="inlineStr">
        <is>
          <t>Diablo DMAMX1180 7/8 in. x 16 in. x 21 in. Rebar Demon™ SDS-Max 4-Cutter Full Carbide Head Hammer Bit</t>
        </is>
      </c>
      <c r="E5669" s="2">
        <f>HYPERLINK("https://www.amazon.com/Diablo-SDS-Max-4-Cutter-Carbide-Hammer/dp/B089KWFF8B/ref=sr_1_20?keywords=Diablo+Tools+DMAMX1040+1%2F2+in.+x+24+in.+x+29+in.+Rebar+Demon+SDS-Max+4-Cutter+Full+Carbide+Head+Hammer+Bit&amp;qid=1694735295&amp;sr=8-20", "https://www.amazon.com/Diablo-SDS-Max-4-Cutter-Carbide-Hammer/dp/B089KWFF8B/ref=sr_1_20?keywords=Diablo+Tools+DMAMX1040+1%2F2+in.+x+24+in.+x+29+in.+Rebar+Demon+SDS-Max+4-Cutter+Full+Carbide+Head+Hammer+Bit&amp;qid=1694735295&amp;sr=8-20")</f>
        <v/>
      </c>
      <c r="F5669" t="inlineStr">
        <is>
          <t>B089KWFF8B</t>
        </is>
      </c>
      <c r="G5669">
        <f>_xludf.IMAGE("https://edmondsonsupply.com/cdn/shop/products/DMAMX1040_Main-Image20200701.png?v=1633030363")</f>
        <v/>
      </c>
      <c r="H5669">
        <f>_xludf.IMAGE("https://m.media-amazon.com/images/I/611fTcYRNFL._AC_UL320_.jpg")</f>
        <v/>
      </c>
      <c r="K5669" t="inlineStr">
        <is>
          <t>47.97</t>
        </is>
      </c>
      <c r="L5669" t="n">
        <v>52.51</v>
      </c>
      <c r="M5669" s="1" t="inlineStr">
        <is>
          <t>9.46%</t>
        </is>
      </c>
      <c r="N5669" s="1" t="n">
        <v>0</v>
      </c>
      <c r="O5669" t="n">
        <v>3.5</v>
      </c>
      <c r="P5669" t="n">
        <v>3</v>
      </c>
      <c r="R5669" t="inlineStr">
        <is>
          <t>InStock</t>
        </is>
      </c>
      <c r="S5669" t="inlineStr">
        <is>
          <t>72.46</t>
        </is>
      </c>
      <c r="T5669" t="inlineStr">
        <is>
          <t>5289126527144</t>
        </is>
      </c>
    </row>
    <row r="5670" ht="87" customHeight="1">
      <c r="A5670" s="2">
        <f>HYPERLINK("https://edmondsonsupply.com/collections/electricians-tools/products/fluke-87v", "https://edmondsonsupply.com/collections/electricians-tools/products/fluke-87v")</f>
        <v/>
      </c>
      <c r="B5670" s="2">
        <f>HYPERLINK("https://edmondsonsupply.com/products/fluke-87v", "https://edmondsonsupply.com/products/fluke-87v")</f>
        <v/>
      </c>
      <c r="C5670" t="inlineStr">
        <is>
          <t>Fluke 87V Industrial Multimeter</t>
        </is>
      </c>
      <c r="D5670" t="inlineStr">
        <is>
          <t>Fluke FLUKE-179-2/IMSK Industrial Multimeter Service Kit, 185 mm x 43 mm x 90 mm</t>
        </is>
      </c>
      <c r="E5670" s="2">
        <f>HYPERLINK("https://www.amazon.com/Fluke-FLUKE-179-2-IMSK-Industrial-Multimeter/dp/B00HFPZNJ6/ref=sr_1_11?keywords=Fluke+87V+Industrial+Multimeter&amp;qid=1694735314&amp;sr=8-11", "https://www.amazon.com/Fluke-FLUKE-179-2-IMSK-Industrial-Multimeter/dp/B00HFPZNJ6/ref=sr_1_11?keywords=Fluke+87V+Industrial+Multimeter&amp;qid=1694735314&amp;sr=8-11")</f>
        <v/>
      </c>
      <c r="F5670" t="inlineStr">
        <is>
          <t>B00HFPZNJ6</t>
        </is>
      </c>
      <c r="G5670">
        <f>_xlfn.IMAGE("https://edmondsonsupply.com/cdn/shop/products/875.jpg?v=1633030274")</f>
        <v/>
      </c>
      <c r="H5670">
        <f>_xlfn.IMAGE("https://m.media-amazon.com/images/I/61fwkEsXYcL._AC_UL320_.jpg")</f>
        <v/>
      </c>
      <c r="K5670" t="inlineStr">
        <is>
          <t>459.89</t>
        </is>
      </c>
      <c r="L5670" t="n">
        <v>503.38</v>
      </c>
      <c r="M5670" s="1" t="inlineStr">
        <is>
          <t>9.46%</t>
        </is>
      </c>
      <c r="N5670" s="7" t="n">
        <v>0</v>
      </c>
      <c r="O5670" t="n">
        <v>4.6</v>
      </c>
      <c r="P5670" t="n">
        <v>127</v>
      </c>
      <c r="R5670" t="inlineStr">
        <is>
          <t>InStock</t>
        </is>
      </c>
      <c r="S5670" t="inlineStr">
        <is>
          <t>521.99</t>
        </is>
      </c>
      <c r="T5670" t="inlineStr">
        <is>
          <t>5238369452200</t>
        </is>
      </c>
    </row>
    <row r="5671" hidden="1" ht="15.75" customHeight="1">
      <c r="A5671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5671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5671" t="inlineStr">
        <is>
          <t>Klein Tools JTH6E15 3/8-Inch Hex Key with Journeyman T-Handle, 6-Inch</t>
        </is>
      </c>
      <c r="D5671" t="inlineStr">
        <is>
          <t>Klein Tools JTH9M6 6 mm Hex Key, Journeyman T-Handle, 9-Inch</t>
        </is>
      </c>
      <c r="E5671" s="2">
        <f>HYPERLINK("https://www.amazon.com/Journeyman-T-Handle-Klein-Tools-JTH9M6/dp/B005G3HJKU/ref=sr_1_16?keywords=Klein+Tools+JTH6E15+3%2F8-Inch+Hex+Key+with+Journeyman+T-Handle%2C+6-Inch&amp;qid=1694735343&amp;sr=8-16", "https://www.amazon.com/Journeyman-T-Handle-Klein-Tools-JTH9M6/dp/B005G3HJKU/ref=sr_1_16?keywords=Klein+Tools+JTH6E15+3%2F8-Inch+Hex+Key+with+Journeyman+T-Handle%2C+6-Inch&amp;qid=1694735343&amp;sr=8-16")</f>
        <v/>
      </c>
      <c r="F5671" t="inlineStr">
        <is>
          <t>B005G3HJKU</t>
        </is>
      </c>
      <c r="G5671">
        <f>_xludf.IMAGE("https://edmondsonsupply.com/cdn/shop/products/jth6e15_c4dd65ba-86a8-4743-882c-88cf44faafdc.jpg?v=1587142819")</f>
        <v/>
      </c>
      <c r="H5671">
        <f>_xludf.IMAGE("https://m.media-amazon.com/images/I/51+1x0vz9XL._AC_UL320_.jpg")</f>
        <v/>
      </c>
      <c r="K5671" t="inlineStr">
        <is>
          <t>8.99</t>
        </is>
      </c>
      <c r="L5671" t="n">
        <v>9.84</v>
      </c>
      <c r="M5671" s="1" t="inlineStr">
        <is>
          <t>9.45%</t>
        </is>
      </c>
      <c r="N5671" s="1" t="n">
        <v>0</v>
      </c>
      <c r="O5671" t="n">
        <v>4.7</v>
      </c>
      <c r="P5671" t="n">
        <v>123</v>
      </c>
      <c r="R5671" t="inlineStr">
        <is>
          <t>InStock</t>
        </is>
      </c>
      <c r="S5671" t="inlineStr">
        <is>
          <t>13.56</t>
        </is>
      </c>
      <c r="T5671" t="inlineStr">
        <is>
          <t>4512705970276</t>
        </is>
      </c>
    </row>
    <row r="5672" hidden="1" ht="15.75" customHeight="1">
      <c r="A5672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5672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5672" t="inlineStr">
        <is>
          <t>Klein Tools JTH6E11BE 3/16-Inch Ball Hex Key, Journeyman T-Handle 6-Inch</t>
        </is>
      </c>
      <c r="D5672" t="inlineStr">
        <is>
          <t>Klein Tools JTH6M3BE 3 mm Ball End Hex Key with Journeyman T-Handle, 6-Inch (Pack of 2)</t>
        </is>
      </c>
      <c r="E5672" s="2">
        <f>HYPERLINK("https://www.amazon.com/Klein-Tools-JTH6M3BE-Journeyman-T-Handle/dp/B0CGLYY7WP/ref=sr_1_4?keywords=Klein+Tools+JTH6E11BE+3%2F16-Inch+Ball+Hex+Key%2C+Journeyman+T-Handle+6-Inch&amp;qid=1694735233&amp;sr=8-4", "https://www.amazon.com/Klein-Tools-JTH6M3BE-Journeyman-T-Handle/dp/B0CGLYY7WP/ref=sr_1_4?keywords=Klein+Tools+JTH6E11BE+3%2F16-Inch+Ball+Hex+Key%2C+Journeyman+T-Handle+6-Inch&amp;qid=1694735233&amp;sr=8-4")</f>
        <v/>
      </c>
      <c r="F5672" t="inlineStr">
        <is>
          <t>B0CGLYY7WP</t>
        </is>
      </c>
      <c r="G5672">
        <f>_xludf.IMAGE("https://edmondsonsupply.com/cdn/shop/products/jth6e13be_9dba8a6a-8a07-4d76-a54f-fe57b92b3fea.jpg?v=1610659188")</f>
        <v/>
      </c>
      <c r="H5672">
        <f>_xludf.IMAGE("https://m.media-amazon.com/images/I/413sTNFMd7L._AC_UL320_.jpg")</f>
        <v/>
      </c>
      <c r="K5672" t="inlineStr">
        <is>
          <t>9.12</t>
        </is>
      </c>
      <c r="L5672" t="n">
        <v>9.98</v>
      </c>
      <c r="M5672" s="1" t="inlineStr">
        <is>
          <t>9.43%</t>
        </is>
      </c>
      <c r="N5672" s="1" t="n">
        <v>0</v>
      </c>
      <c r="O5672" t="n">
        <v>4.6</v>
      </c>
      <c r="P5672" t="n">
        <v>184</v>
      </c>
      <c r="R5672" t="inlineStr">
        <is>
          <t>InStock</t>
        </is>
      </c>
      <c r="S5672" t="inlineStr">
        <is>
          <t>undefined</t>
        </is>
      </c>
      <c r="T5672" t="inlineStr">
        <is>
          <t>6203917336749</t>
        </is>
      </c>
    </row>
    <row r="5673" hidden="1" ht="15.75" customHeight="1">
      <c r="A5673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673" s="2">
        <f>HYPERLINK("https://edmondsonsupply.com/products/diablo-tools-dsp2130-p2-1-in-x-6-in-spade-bit", "https://edmondsonsupply.com/products/diablo-tools-dsp2130-p2-1-in-x-6-in-spade-bit")</f>
        <v/>
      </c>
      <c r="C5673" t="inlineStr">
        <is>
          <t>Diablo Tools DSP2130-P2 1 in. x 6 in. Spade Bit</t>
        </is>
      </c>
      <c r="D5673" t="inlineStr">
        <is>
          <t>Diablo 1 in. x 6 in. SPEEDemon Spade Bit (2-Pack)</t>
        </is>
      </c>
      <c r="E5673" s="2">
        <f>HYPERLINK("https://www.amazon.com/Diablo-SPEEDemon-Spade-Bit-2-Pack/dp/B089KWW4Z2/ref=sr_1_26?keywords=Diablo+Tools+DSP2130-P2+1+in.+x+6+in.+Spade+Bit&amp;qid=1694735066&amp;sr=8-26", "https://www.amazon.com/Diablo-SPEEDemon-Spade-Bit-2-Pack/dp/B089KWW4Z2/ref=sr_1_26?keywords=Diablo+Tools+DSP2130-P2+1+in.+x+6+in.+Spade+Bit&amp;qid=1694735066&amp;sr=8-26")</f>
        <v/>
      </c>
      <c r="F5673" t="inlineStr">
        <is>
          <t>B089KWW4Z2</t>
        </is>
      </c>
      <c r="G5673">
        <f>_xludf.IMAGE("https://edmondsonsupply.com/cdn/shop/products/peyjwqlntvnioikkr5be.webp?v=1670515689")</f>
        <v/>
      </c>
      <c r="H5673">
        <f>_xludf.IMAGE("https://m.media-amazon.com/images/I/61wXjms-mZL._AC_UL320_.jpg")</f>
        <v/>
      </c>
      <c r="K5673" t="inlineStr">
        <is>
          <t>6.39</t>
        </is>
      </c>
      <c r="L5673" t="n">
        <v>6.99</v>
      </c>
      <c r="M5673" s="1" t="inlineStr">
        <is>
          <t>9.39%</t>
        </is>
      </c>
      <c r="N5673" s="1" t="n">
        <v>0</v>
      </c>
      <c r="O5673" t="n">
        <v>4.6</v>
      </c>
      <c r="P5673" t="n">
        <v>84</v>
      </c>
      <c r="R5673" t="inlineStr">
        <is>
          <t>InStock</t>
        </is>
      </c>
      <c r="S5673" t="inlineStr">
        <is>
          <t>undefined</t>
        </is>
      </c>
      <c r="T5673" t="inlineStr">
        <is>
          <t>7901272047832</t>
        </is>
      </c>
    </row>
    <row r="5674" ht="87" customHeight="1">
      <c r="A5674" s="2">
        <f>HYPERLINK("https://edmondsonsupply.com/collections/electricians-tools/products/reed-mfg-cv2-chain-vise-1-8-2-1-2", "https://edmondsonsupply.com/collections/electricians-tools/products/reed-mfg-cv2-chain-vise-1-8-2-1-2")</f>
        <v/>
      </c>
      <c r="B5674" s="2">
        <f>HYPERLINK("https://edmondsonsupply.com/products/reed-mfg-cv2-chain-vise-1-8-2-1-2", "https://edmondsonsupply.com/products/reed-mfg-cv2-chain-vise-1-8-2-1-2")</f>
        <v/>
      </c>
      <c r="C5674" t="inlineStr">
        <is>
          <t>Reed Mfg CV2 Chain Vise, 1/8" - 2-1/2"</t>
        </is>
      </c>
      <c r="D5674" t="inlineStr">
        <is>
          <t>Reed Tool CV2 Top-Screw Bench Chain Vise, 1/8 to 2-1/2-Inch Pipe Capacity</t>
        </is>
      </c>
      <c r="E5674" s="2">
        <f>HYPERLINK("https://www.amazon.com/Reed-Tool-CV2-Top-Screw-Capacity/dp/B000ZJYFRA/ref=sr_1_1?keywords=Reed+Mfg+CV2+Chain+Vise%2C+1%2F8+-+2-1%2F2&amp;qid=1694735185&amp;sr=8-1", "https://www.amazon.com/Reed-Tool-CV2-Top-Screw-Capacity/dp/B000ZJYFRA/ref=sr_1_1?keywords=Reed+Mfg+CV2+Chain+Vise%2C+1%2F8+-+2-1%2F2&amp;qid=1694735185&amp;sr=8-1")</f>
        <v/>
      </c>
      <c r="F5674" t="inlineStr">
        <is>
          <t>B000ZJYFRA</t>
        </is>
      </c>
      <c r="G5674">
        <f>_xlfn.IMAGE("https://edmondsonsupply.com/cdn/shop/products/CV4.jpg?v=1633031165")</f>
        <v/>
      </c>
      <c r="H5674">
        <f>_xlfn.IMAGE("https://m.media-amazon.com/images/I/71-9IwjolcL._AC_UL320_.jpg")</f>
        <v/>
      </c>
      <c r="K5674" t="inlineStr">
        <is>
          <t>179.17</t>
        </is>
      </c>
      <c r="L5674" t="n">
        <v>195.85</v>
      </c>
      <c r="M5674" s="1" t="inlineStr">
        <is>
          <t>9.31%</t>
        </is>
      </c>
      <c r="N5674" s="7" t="n">
        <v>0</v>
      </c>
      <c r="O5674" t="n">
        <v>5</v>
      </c>
      <c r="P5674" t="n">
        <v>5</v>
      </c>
      <c r="R5674" t="inlineStr">
        <is>
          <t>InStock</t>
        </is>
      </c>
      <c r="S5674" t="inlineStr">
        <is>
          <t>207.24</t>
        </is>
      </c>
      <c r="T5674" t="inlineStr">
        <is>
          <t>6900642611373</t>
        </is>
      </c>
    </row>
    <row r="5675" ht="87" customHeight="1">
      <c r="A5675" s="2">
        <f>HYPERLINK("https://edmondsonsupply.com/collections/electricians-tools/products/milwaukee-48-89-2801", "https://edmondsonsupply.com/collections/electricians-tools/products/milwaukee-48-89-2801")</f>
        <v/>
      </c>
      <c r="B5675" s="2">
        <f>HYPERLINK("https://edmondsonsupply.com/products/milwaukee-48-89-2801", "https://edmondsonsupply.com/products/milwaukee-48-89-2801")</f>
        <v/>
      </c>
      <c r="C5675" t="inlineStr">
        <is>
          <t>Milwaukee 48-89-2801 THUNDERBOLT® Black Oxide Drill Bit Set - 21PC</t>
        </is>
      </c>
      <c r="D5675" t="inlineStr">
        <is>
          <t>Milwaukee 48-89-2800 14 Piece Thunderbolt Black Oxide Drill Bit Set</t>
        </is>
      </c>
      <c r="E5675" s="2">
        <f>HYPERLINK("https://www.amazon.com/Milwaukee-48-89-2800-Piece-Thunderbolt-Black/dp/B003BWNGNM/ref=sr_1_3?keywords=Milwaukee+48-89-2801+THUNDERBOLT%C2%AE+Black+Oxide+Drill+Bit+Set+-+21PC&amp;qid=1694735056&amp;sr=8-3", "https://www.amazon.com/Milwaukee-48-89-2800-Piece-Thunderbolt-Black/dp/B003BWNGNM/ref=sr_1_3?keywords=Milwaukee+48-89-2801+THUNDERBOLT%C2%AE+Black+Oxide+Drill+Bit+Set+-+21PC&amp;qid=1694735056&amp;sr=8-3")</f>
        <v/>
      </c>
      <c r="F5675" t="inlineStr">
        <is>
          <t>B003BWNGNM</t>
        </is>
      </c>
      <c r="G5675">
        <f>_xlfn.IMAGE("https://edmondsonsupply.com/cdn/shop/products/48-89-2801_101.png?v=1671657713")</f>
        <v/>
      </c>
      <c r="H5675">
        <f>_xlfn.IMAGE("https://m.media-amazon.com/images/I/61Tdm7q4iiL._AC_UL320_.jpg")</f>
        <v/>
      </c>
      <c r="K5675" t="inlineStr">
        <is>
          <t>31.97</t>
        </is>
      </c>
      <c r="L5675" t="n">
        <v>34.94</v>
      </c>
      <c r="M5675" s="1" t="inlineStr">
        <is>
          <t>9.29%</t>
        </is>
      </c>
      <c r="N5675" s="7" t="n">
        <v>0</v>
      </c>
      <c r="O5675" t="n">
        <v>4.2</v>
      </c>
      <c r="P5675" t="n">
        <v>60</v>
      </c>
      <c r="R5675" t="inlineStr">
        <is>
          <t>InStock</t>
        </is>
      </c>
      <c r="S5675" t="inlineStr">
        <is>
          <t>46.9</t>
        </is>
      </c>
      <c r="T5675" t="inlineStr">
        <is>
          <t>7909943935192</t>
        </is>
      </c>
    </row>
    <row r="5676" hidden="1" ht="15.75" customHeight="1">
      <c r="A5676" s="2">
        <f>HYPERLINK("https://edmondsonsupply.com/collections/electricians-tools/products/milwaukee-49-94-3000-3-metal-cut-off-wheel-3pk", "https://edmondsonsupply.com/collections/electricians-tools/products/milwaukee-49-94-3000-3-metal-cut-off-wheel-3pk")</f>
        <v/>
      </c>
      <c r="B5676" s="2">
        <f>HYPERLINK("https://edmondsonsupply.com/products/milwaukee-49-94-3000-3-metal-cut-off-wheel-3pk", "https://edmondsonsupply.com/products/milwaukee-49-94-3000-3-metal-cut-off-wheel-3pk")</f>
        <v/>
      </c>
      <c r="C5676" t="inlineStr">
        <is>
          <t>Milwaukee 49-94-3000 3" Metal Cut Off Wheel 3PK</t>
        </is>
      </c>
      <c r="D5676" t="inlineStr">
        <is>
          <t>Milwaukee 49-94-3000 3" Metal Cut Off Wheel - 3 Pack</t>
        </is>
      </c>
      <c r="E5676" s="2">
        <f>HYPERLINK("https://www.amazon.com/Milwaukee-49-94-3000-Inch-Metal-Wheel/dp/B07J1GNMFQ/ref=sr_1_1?keywords=Milwaukee+49-94-3000+3%22+Metal+Cut+Off+Wheel+3PK&amp;qid=1694735411&amp;sr=8-1", "https://www.amazon.com/Milwaukee-49-94-3000-Inch-Metal-Wheel/dp/B07J1GNMFQ/ref=sr_1_1?keywords=Milwaukee+49-94-3000+3%22+Metal+Cut+Off+Wheel+3PK&amp;qid=1694735411&amp;sr=8-1")</f>
        <v/>
      </c>
      <c r="F5676" t="inlineStr">
        <is>
          <t>B07J1GNMFQ</t>
        </is>
      </c>
      <c r="G5676">
        <f>_xludf.IMAGE("https://edmondsonsupply.com/cdn/shop/products/49-94-3000_1.png?v=1587144458")</f>
        <v/>
      </c>
      <c r="H5676">
        <f>_xludf.IMAGE("https://m.media-amazon.com/images/I/71FaYb37AeL._AC_UY218_.jpg")</f>
        <v/>
      </c>
      <c r="K5676" t="inlineStr">
        <is>
          <t>13.7</t>
        </is>
      </c>
      <c r="L5676" t="n">
        <v>14.97</v>
      </c>
      <c r="M5676" s="1" t="inlineStr">
        <is>
          <t>9.27%</t>
        </is>
      </c>
      <c r="N5676" s="1" t="n">
        <v>0</v>
      </c>
      <c r="O5676" t="n">
        <v>4.8</v>
      </c>
      <c r="P5676" t="n">
        <v>342</v>
      </c>
      <c r="R5676" t="inlineStr">
        <is>
          <t>InStock</t>
        </is>
      </c>
      <c r="S5676" t="inlineStr">
        <is>
          <t>20.0</t>
        </is>
      </c>
      <c r="T5676" t="inlineStr">
        <is>
          <t>4382370496612</t>
        </is>
      </c>
    </row>
    <row r="5677" ht="87" customHeight="1">
      <c r="A5677" s="2">
        <f>HYPERLINK("https://edmondsonsupply.com/collections/electricians-tools/products/greenlee-k2p-1-2-1-2-conduit-size-slug-buster%C2%AE-knockout-punch", "https://edmondsonsupply.com/collections/electricians-tools/products/greenlee-k2p-1-2-1-2-conduit-size-slug-buster%C2%AE-knockout-punch")</f>
        <v/>
      </c>
      <c r="B5677" s="2">
        <f>HYPERLINK("https://edmondsonsupply.com/products/greenlee-k2p-1-2-1-2-conduit-size-slug-buster%c2%ae-knockout-punch", "https://edmondsonsupply.com/products/greenlee-k2p-1-2-1-2-conduit-size-slug-buster%c2%ae-knockout-punch")</f>
        <v/>
      </c>
      <c r="C5677" t="inlineStr">
        <is>
          <t>Greenlee K2P-1/2 1/2" Conduit Size Slug-Buster® Knockout Punch</t>
        </is>
      </c>
      <c r="D5677" t="inlineStr">
        <is>
          <t>Greenlee K2P-1/2 Slug-Buster Knockout Punch for 1/2" Conduit, Versatile 1/2" Conduit Size Knockout Punch Tool</t>
        </is>
      </c>
      <c r="E5677" s="2">
        <f>HYPERLINK("https://www.amazon.com/Greenlee-K2P-1-2-Knockout-Punch/dp/B07Y5SR6FR/ref=sr_1_1?keywords=Greenlee+K2P-1%2F2+1%2F2%22+Conduit+Size+Slug-Buster%C2%AE+Knockout+Punch&amp;qid=1694735371&amp;sr=8-1", "https://www.amazon.com/Greenlee-K2P-1-2-Knockout-Punch/dp/B07Y5SR6FR/ref=sr_1_1?keywords=Greenlee+K2P-1%2F2+1%2F2%22+Conduit+Size+Slug-Buster%C2%AE+Knockout+Punch&amp;qid=1694735371&amp;sr=8-1")</f>
        <v/>
      </c>
      <c r="F5677" t="inlineStr">
        <is>
          <t>B07Y5SR6FR</t>
        </is>
      </c>
      <c r="G5677">
        <f>_xlfn.IMAGE("https://edmondsonsupply.com/cdn/shop/products/K2P-1-2-CAT1.jpg?v=1587145640")</f>
        <v/>
      </c>
      <c r="H5677">
        <f>_xlfn.IMAGE("https://m.media-amazon.com/images/I/11N2cR90y6L._AC_UL320_.jpg")</f>
        <v/>
      </c>
      <c r="K5677" t="inlineStr">
        <is>
          <t>30.87</t>
        </is>
      </c>
      <c r="L5677" t="n">
        <v>33.73</v>
      </c>
      <c r="M5677" s="1" t="inlineStr">
        <is>
          <t>9.26%</t>
        </is>
      </c>
      <c r="N5677" s="7" t="n">
        <v>0</v>
      </c>
      <c r="O5677" t="n">
        <v>5</v>
      </c>
      <c r="P5677" t="n">
        <v>2</v>
      </c>
      <c r="R5677" t="inlineStr">
        <is>
          <t>InStock</t>
        </is>
      </c>
      <c r="S5677" t="inlineStr">
        <is>
          <t>31.5</t>
        </is>
      </c>
      <c r="T5677" t="inlineStr">
        <is>
          <t>4431351414884</t>
        </is>
      </c>
    </row>
    <row r="5678" hidden="1" ht="15.75" customHeight="1">
      <c r="A5678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5678" s="2">
        <f>HYPERLINK("https://edmondsonsupply.com/products/greenlee-dtap10-32-drill-tap-10-32", "https://edmondsonsupply.com/products/greenlee-dtap10-32-drill-tap-10-32")</f>
        <v/>
      </c>
      <c r="C5678" t="inlineStr">
        <is>
          <t>Greenlee DTAP10-32 Drill/Tap, 10-32</t>
        </is>
      </c>
      <c r="D5678" t="inlineStr">
        <is>
          <t>Greenlee Drill/Tap/Countersink Bit, 10-32X2 1/4 L</t>
        </is>
      </c>
      <c r="E5678" s="2">
        <f>HYPERLINK("https://www.amazon.com/Greenlee-DTAP10-32-Combination-Drill-10-32NF/dp/B000FCGRXM/ref=sr_1_1?keywords=Greenlee+DTAP10-32+Drill%2FTap%2C+10-32&amp;qid=1694735404&amp;sr=8-1", "https://www.amazon.com/Greenlee-DTAP10-32-Combination-Drill-10-32NF/dp/B000FCGRXM/ref=sr_1_1?keywords=Greenlee+DTAP10-32+Drill%2FTap%2C+10-32&amp;qid=1694735404&amp;sr=8-1")</f>
        <v/>
      </c>
      <c r="F5678" t="inlineStr">
        <is>
          <t>B000FCGRXM</t>
        </is>
      </c>
      <c r="G5678">
        <f>_xludf.IMAGE("https://edmondsonsupply.com/cdn/shop/products/DTAP10-32.jpg?v=1633030188")</f>
        <v/>
      </c>
      <c r="H5678">
        <f>_xludf.IMAGE("https://m.media-amazon.com/images/I/61S0wjut8-L._AC_UL320_.jpg")</f>
        <v/>
      </c>
      <c r="K5678" t="inlineStr">
        <is>
          <t>8.99</t>
        </is>
      </c>
      <c r="L5678" t="n">
        <v>9.82</v>
      </c>
      <c r="M5678" s="1" t="inlineStr">
        <is>
          <t>9.23%</t>
        </is>
      </c>
      <c r="N5678" s="1" t="n">
        <v>0</v>
      </c>
      <c r="O5678" t="n">
        <v>4.3</v>
      </c>
      <c r="P5678" t="n">
        <v>97</v>
      </c>
      <c r="R5678" t="inlineStr">
        <is>
          <t>InStock</t>
        </is>
      </c>
      <c r="S5678" t="inlineStr">
        <is>
          <t>9.7</t>
        </is>
      </c>
      <c r="T5678" t="inlineStr">
        <is>
          <t>4395883298916</t>
        </is>
      </c>
    </row>
    <row r="5679" ht="87" customHeight="1">
      <c r="A5679" s="2">
        <f>HYPERLINK("https://edmondsonsupply.com/collections/electricians-tools/products/tajima-gs-25bw-gs-lock%E2%84%A2-standard-scale-25-ft-x-1-in-steel-blade-tape-measure", "https://edmondsonsupply.com/collections/electricians-tools/products/tajima-gs-25bw-gs-lock%E2%84%A2-standard-scale-25-ft-x-1-in-steel-blade-tape-measure")</f>
        <v/>
      </c>
      <c r="B5679" s="2">
        <f>HYPERLINK("https://edmondsonsupply.com/products/tajima-gs-25bw-gs-lock%e2%84%a2-standard-scale-25-ft-x-1-in-steel-blade-tape-measure", "https://edmondsonsupply.com/products/tajima-gs-25bw-gs-lock%e2%84%a2-standard-scale-25-ft-x-1-in-steel-blade-tape-measure")</f>
        <v/>
      </c>
      <c r="C5679" t="inlineStr">
        <is>
          <t>Tajima GS-25BW GS Lock™ Standard Scale, 25 ft x 1-1/16 in. Steel Blade Tape Measure</t>
        </is>
      </c>
      <c r="D5679" t="inlineStr">
        <is>
          <t>TAJIMA Tape Measure - 25 ft x 1-1/16 inch GS-Lock Measuring Tape with Shock Resistant Case &amp; Safety Clip Holder - GSSF-25BW</t>
        </is>
      </c>
      <c r="E5679" s="2">
        <f>HYPERLINK("https://www.amazon.com/TAJIMA-GSSF-25BW-Measure-Standard-SAFETY/dp/B07KK5M5N6/ref=sr_1_4?keywords=Tajima+GS-25BW+GS+Lock%E2%84%A2+Standard+Scale%2C+25+ft+x+1-1%2F16+in.+Steel+Blade+Tape+Measure&amp;qid=1694735144&amp;sr=8-4", "https://www.amazon.com/TAJIMA-GSSF-25BW-Measure-Standard-SAFETY/dp/B07KK5M5N6/ref=sr_1_4?keywords=Tajima+GS-25BW+GS+Lock%E2%84%A2+Standard+Scale%2C+25+ft+x+1-1%2F16+in.+Steel+Blade+Tape+Measure&amp;qid=1694735144&amp;sr=8-4")</f>
        <v/>
      </c>
      <c r="F5679" t="inlineStr">
        <is>
          <t>B07KK5M5N6</t>
        </is>
      </c>
      <c r="G5679">
        <f>_xlfn.IMAGE("https://edmondsonsupply.com/cdn/shop/products/GS25BW.jpg?v=1655828685")</f>
        <v/>
      </c>
      <c r="H5679">
        <f>_xlfn.IMAGE("https://m.media-amazon.com/images/I/510q5IdUd9S._AC_UL320_.jpg")</f>
        <v/>
      </c>
      <c r="K5679" t="inlineStr">
        <is>
          <t>40.08</t>
        </is>
      </c>
      <c r="L5679" t="n">
        <v>43.78</v>
      </c>
      <c r="M5679" s="1" t="inlineStr">
        <is>
          <t>9.23%</t>
        </is>
      </c>
      <c r="N5679" s="7" t="n">
        <v>0</v>
      </c>
      <c r="O5679" t="n">
        <v>4.4</v>
      </c>
      <c r="P5679" t="n">
        <v>276</v>
      </c>
      <c r="R5679" t="inlineStr">
        <is>
          <t>InStock</t>
        </is>
      </c>
      <c r="S5679" t="inlineStr">
        <is>
          <t>42.19</t>
        </is>
      </c>
      <c r="T5679" t="inlineStr">
        <is>
          <t>7726262583512</t>
        </is>
      </c>
    </row>
    <row r="5680" ht="87" customHeight="1">
      <c r="A5680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5680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5680" t="inlineStr">
        <is>
          <t>Milwaukee 48-39-0572 18 TPI Standard Compact Portable Band Saw Blade BULK 100</t>
        </is>
      </c>
      <c r="D5680" t="inlineStr">
        <is>
          <t>FOXBC 27 Inch Bandsaw Blades 18 TPI for DeWalt DCS377, Milwaukee 48-39-0572 Portable Band Saw Blade - 3 Pack</t>
        </is>
      </c>
      <c r="E5680" s="2">
        <f>HYPERLINK("https://www.amazon.com/FOXBC-Bandsaw-Milwaukee-48-39-0572-Portable/dp/B0BSFB7P8L/ref=sr_1_4?keywords=Milwaukee+48-39-0572+18+TPI+Standard+Compact+Portable+Band+Saw+Blade+BULK+100&amp;qid=1694735025&amp;sr=8-4", "https://www.amazon.com/FOXBC-Bandsaw-Milwaukee-48-39-0572-Portable/dp/B0BSFB7P8L/ref=sr_1_4?keywords=Milwaukee+48-39-0572+18+TPI+Standard+Compact+Portable+Band+Saw+Blade+BULK+100&amp;qid=1694735025&amp;sr=8-4")</f>
        <v/>
      </c>
      <c r="F5680" t="inlineStr">
        <is>
          <t>B0BSFB7P8L</t>
        </is>
      </c>
      <c r="G5680">
        <f>_xlfn.IMAGE("https://edmondsonsupply.com/cdn/shop/products/21432_48-39-0510.jpg?v=1678901662")</f>
        <v/>
      </c>
      <c r="H5680">
        <f>_xlfn.IMAGE("https://m.media-amazon.com/images/I/61zPgRelNiL._AC_UL320_.jpg")</f>
        <v/>
      </c>
      <c r="K5680" t="inlineStr">
        <is>
          <t>21.97</t>
        </is>
      </c>
      <c r="L5680" t="n">
        <v>23.99</v>
      </c>
      <c r="M5680" s="1" t="inlineStr">
        <is>
          <t>9.19%</t>
        </is>
      </c>
      <c r="N5680" s="7" t="n">
        <v>0</v>
      </c>
      <c r="O5680" t="n">
        <v>4.4</v>
      </c>
      <c r="P5680" t="n">
        <v>70</v>
      </c>
      <c r="R5680" t="inlineStr">
        <is>
          <t>InStock</t>
        </is>
      </c>
      <c r="S5680" t="inlineStr">
        <is>
          <t>27.5</t>
        </is>
      </c>
      <c r="T5680" t="inlineStr">
        <is>
          <t>7962068549848</t>
        </is>
      </c>
    </row>
    <row r="5681" hidden="1" ht="15.75" customHeight="1">
      <c r="A5681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5681" s="2">
        <f>HYPERLINK("https://edmondsonsupply.com/products/klein-tools-s10-5-16-inch-nut-driver-3-inch-hollow-shaft", "https://edmondsonsupply.com/products/klein-tools-s10-5-16-inch-nut-driver-3-inch-hollow-shaft")</f>
        <v/>
      </c>
      <c r="C5681" t="inlineStr">
        <is>
          <t>Klein Tools S10 5/16-Inch Nut Driver 3-Inch Hollow Shaft</t>
        </is>
      </c>
      <c r="D5681" t="inlineStr">
        <is>
          <t>Capri Tools Kontour 5/16-Inch Nut Driver, 3-Inch Hollow Shaft</t>
        </is>
      </c>
      <c r="E5681" s="2">
        <f>HYPERLINK("https://www.amazon.com/Capri-Tools-Kontour-16-Inch-Driver/dp/B079G8GDJK/ref=sr_1_4?keywords=Klein+Tools+S10+5%2F16-Inch+Nut+Driver+3-Inch+Hollow+Shaft&amp;qid=1694735234&amp;sr=8-4", "https://www.amazon.com/Capri-Tools-Kontour-16-Inch-Driver/dp/B079G8GDJK/ref=sr_1_4?keywords=Klein+Tools+S10+5%2F16-Inch+Nut+Driver+3-Inch+Hollow+Shaft&amp;qid=1694735234&amp;sr=8-4")</f>
        <v/>
      </c>
      <c r="F5681" t="inlineStr">
        <is>
          <t>B079G8GDJK</t>
        </is>
      </c>
      <c r="G5681">
        <f>_xludf.IMAGE("https://edmondsonsupply.com/cdn/shop/products/s10_38acacb8-6c8e-49ef-8ed3-7160ab53875a.jpg?v=1633030893")</f>
        <v/>
      </c>
      <c r="H5681">
        <f>_xludf.IMAGE("https://m.media-amazon.com/images/I/61BC4AqecIL._AC_UL320_.jpg")</f>
        <v/>
      </c>
      <c r="K5681" t="inlineStr">
        <is>
          <t>7.99</t>
        </is>
      </c>
      <c r="L5681" t="n">
        <v>8.720000000000001</v>
      </c>
      <c r="M5681" s="1" t="inlineStr">
        <is>
          <t>9.14%</t>
        </is>
      </c>
      <c r="N5681" s="1" t="n">
        <v>0</v>
      </c>
      <c r="O5681" t="n">
        <v>4.5</v>
      </c>
      <c r="P5681" t="n">
        <v>62</v>
      </c>
      <c r="R5681" t="inlineStr">
        <is>
          <t>InStock</t>
        </is>
      </c>
      <c r="S5681" t="inlineStr">
        <is>
          <t>12.06</t>
        </is>
      </c>
      <c r="T5681" t="inlineStr">
        <is>
          <t>6223447031981</t>
        </is>
      </c>
    </row>
    <row r="5682" hidden="1" ht="15.75" customHeight="1">
      <c r="A5682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5682" s="2">
        <f>HYPERLINK("https://edmondsonsupply.com/products/klein-tools-630-3-8m-3-8-magnetic-tip-nut-driver-3-hollow-shank", "https://edmondsonsupply.com/products/klein-tools-630-3-8m-3-8-magnetic-tip-nut-driver-3-hollow-shank")</f>
        <v/>
      </c>
      <c r="C5682" t="inlineStr">
        <is>
          <t>Klein Tools 630-3/8M 3/8-Inch Magnetic Tip Nut Driver</t>
        </is>
      </c>
      <c r="D5682" t="inlineStr">
        <is>
          <t>Klein Tools 646-3/8M Magnetic Tip Nut Driver, 3/8-Inch with 6-Inch Hollow Shank</t>
        </is>
      </c>
      <c r="E5682" s="2">
        <f>HYPERLINK("https://www.amazon.com/Magnetic-Klein-Tools-646-3-8M/dp/B000MKKD78/ref=sr_1_2?keywords=Klein+Tools+630-3%2F8M+3%2F8-Inch+Magnetic+Tip+Nut+Driver&amp;qid=1694735121&amp;sr=8-2", "https://www.amazon.com/Magnetic-Klein-Tools-646-3-8M/dp/B000MKKD78/ref=sr_1_2?keywords=Klein+Tools+630-3%2F8M+3%2F8-Inch+Magnetic+Tip+Nut+Driver&amp;qid=1694735121&amp;sr=8-2")</f>
        <v/>
      </c>
      <c r="F5682" t="inlineStr">
        <is>
          <t>B000MKKD78</t>
        </is>
      </c>
      <c r="G5682">
        <f>_xludf.IMAGE("https://edmondsonsupply.com/cdn/shop/products/630-3-8m.jpg?v=1587145139")</f>
        <v/>
      </c>
      <c r="H5682">
        <f>_xludf.IMAGE("https://m.media-amazon.com/images/I/41xN-SH9qBL._AC_UL320_.jpg")</f>
        <v/>
      </c>
      <c r="K5682" t="inlineStr">
        <is>
          <t>10.99</t>
        </is>
      </c>
      <c r="L5682" t="n">
        <v>11.99</v>
      </c>
      <c r="M5682" s="1" t="inlineStr">
        <is>
          <t>9.10%</t>
        </is>
      </c>
      <c r="N5682" s="1" t="n">
        <v>0</v>
      </c>
      <c r="O5682" t="n">
        <v>4.8</v>
      </c>
      <c r="P5682" t="n">
        <v>2491</v>
      </c>
      <c r="R5682" t="inlineStr">
        <is>
          <t>InStock</t>
        </is>
      </c>
      <c r="S5682" t="inlineStr">
        <is>
          <t>16.66</t>
        </is>
      </c>
      <c r="T5682" t="inlineStr">
        <is>
          <t>2766802288740</t>
        </is>
      </c>
    </row>
    <row r="5683" ht="87" customHeight="1">
      <c r="A5683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5683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5683" t="inlineStr">
        <is>
          <t>Klein Tools CL320KIT HVAC Digital Clamp Meter Electrical Test Kit</t>
        </is>
      </c>
      <c r="D5683" t="inlineStr">
        <is>
          <t>Klein Tools CL120VP Electrical Voltage Test Kit with Clamp Meter, Three Testers, Test Leads, Pouch and Batteries &amp; ET310 AC Circuit Breaker Finder with Integrated GFCI Outlet Tester</t>
        </is>
      </c>
      <c r="E5683" s="2">
        <f>HYPERLINK("https://www.amazon.com/Klein-Tools-Electrical-Batteries-Integrated/dp/B09P843VNV/ref=sr_1_9?keywords=Klein+Tools+CL320KIT+HVAC+Digital+Clamp+Meter+Electrical+Test+Kit&amp;qid=1694735135&amp;sr=8-9", "https://www.amazon.com/Klein-Tools-Electrical-Batteries-Integrated/dp/B09P843VNV/ref=sr_1_9?keywords=Klein+Tools+CL320KIT+HVAC+Digital+Clamp+Meter+Electrical+Test+Kit&amp;qid=1694735135&amp;sr=8-9")</f>
        <v/>
      </c>
      <c r="F5683" t="inlineStr">
        <is>
          <t>B09P843VNV</t>
        </is>
      </c>
      <c r="G5683">
        <f>_xlfn.IMAGE("https://edmondsonsupply.com/cdn/shop/products/cl320kit_photo.jpg?v=1660753251")</f>
        <v/>
      </c>
      <c r="H5683">
        <f>_xlfn.IMAGE("https://m.media-amazon.com/images/I/51-jSPYFu4L._AC_UY218_.jpg")</f>
        <v/>
      </c>
      <c r="K5683" t="inlineStr">
        <is>
          <t>118.99</t>
        </is>
      </c>
      <c r="L5683" t="n">
        <v>129.7</v>
      </c>
      <c r="M5683" s="1" t="inlineStr">
        <is>
          <t>9.00%</t>
        </is>
      </c>
      <c r="N5683" s="7" t="n">
        <v>0</v>
      </c>
      <c r="O5683" t="n">
        <v>4.9</v>
      </c>
      <c r="P5683" t="n">
        <v>11</v>
      </c>
      <c r="R5683" t="inlineStr">
        <is>
          <t>InStock</t>
        </is>
      </c>
      <c r="S5683" t="inlineStr">
        <is>
          <t>170.54</t>
        </is>
      </c>
      <c r="T5683" t="inlineStr">
        <is>
          <t>7783540949208</t>
        </is>
      </c>
    </row>
    <row r="5684" ht="87" customHeight="1">
      <c r="A5684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5684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5684" t="inlineStr">
        <is>
          <t>Crescent Lufkin L1025C-02 1-3/16" x 25' Command Control Series™ Yellow Clad Tape Measure</t>
        </is>
      </c>
      <c r="D5684" t="inlineStr">
        <is>
          <t>Crescent Lufkin 1-3/16 x 25' Command Control Series Black Clad Tape Measure - L1025CB</t>
        </is>
      </c>
      <c r="E5684" s="2">
        <f>HYPERLINK("https://www.amazon.com/Crescent-Lufkin-Command-Control-Measure/dp/B07WP71GPH/ref=sr_1_6?keywords=Crescent+Lufkin+L1025C-02+1-3%2F16%22+x+25%27+Command+Control+Series%E2%84%A2+Yellow+Clad+Tape+Measure&amp;qid=1694735004&amp;sr=8-6", "https://www.amazon.com/Crescent-Lufkin-Command-Control-Measure/dp/B07WP71GPH/ref=sr_1_6?keywords=Crescent+Lufkin+L1025C-02+1-3%2F16%22+x+25%27+Command+Control+Series%E2%84%A2+Yellow+Clad+Tape+Measure&amp;qid=1694735004&amp;sr=8-6")</f>
        <v/>
      </c>
      <c r="F5684" t="inlineStr">
        <is>
          <t>B07WP71GPH</t>
        </is>
      </c>
      <c r="G5684">
        <f>_xlfn.IMAGE("https://edmondsonsupply.com/cdn/shop/products/LFK_L1025C_4-SIDES_IMG-MAIN1.jpg?v=1680013140")</f>
        <v/>
      </c>
      <c r="H5684">
        <f>_xlfn.IMAGE("https://m.media-amazon.com/images/I/61bn8qQzbBL._AC_UL320_.jpg")</f>
        <v/>
      </c>
      <c r="K5684" t="inlineStr">
        <is>
          <t>15.59</t>
        </is>
      </c>
      <c r="L5684" t="n">
        <v>16.99</v>
      </c>
      <c r="M5684" s="1" t="inlineStr">
        <is>
          <t>8.98%</t>
        </is>
      </c>
      <c r="N5684" s="7" t="n">
        <v>0</v>
      </c>
      <c r="O5684" t="n">
        <v>4.2</v>
      </c>
      <c r="P5684" t="n">
        <v>2582</v>
      </c>
      <c r="R5684" t="inlineStr">
        <is>
          <t>InStock</t>
        </is>
      </c>
      <c r="S5684" t="inlineStr">
        <is>
          <t>25.04</t>
        </is>
      </c>
      <c r="T5684" t="inlineStr">
        <is>
          <t>7968970866904</t>
        </is>
      </c>
    </row>
    <row r="5685" ht="87" customHeight="1">
      <c r="A5685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5685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5685" t="inlineStr">
        <is>
          <t>Crescent Lufkin L1025C-02 1-3/16" x 25' Command Control Series™ Yellow Clad Tape Measure</t>
        </is>
      </c>
      <c r="D5685" t="inlineStr">
        <is>
          <t>Lufkin 1-3/16 x 25' Command Control Series Black Clad Tape Measure - L1025CB-02</t>
        </is>
      </c>
      <c r="E5685" s="2">
        <f>HYPERLINK("https://www.amazon.com/CRESCENT-LUFKIN-Crescent-Lufkin-Command/dp/B09PGYPKZZ/ref=sr_1_9?keywords=Crescent+Lufkin+L1025C-02+1-3%2F16%22+x+25%27+Command+Control+Series%E2%84%A2+Yellow+Clad+Tape+Measure&amp;qid=1694735004&amp;sr=8-9", "https://www.amazon.com/CRESCENT-LUFKIN-Crescent-Lufkin-Command/dp/B09PGYPKZZ/ref=sr_1_9?keywords=Crescent+Lufkin+L1025C-02+1-3%2F16%22+x+25%27+Command+Control+Series%E2%84%A2+Yellow+Clad+Tape+Measure&amp;qid=1694735004&amp;sr=8-9")</f>
        <v/>
      </c>
      <c r="F5685" t="inlineStr">
        <is>
          <t>B09PGYPKZZ</t>
        </is>
      </c>
      <c r="G5685">
        <f>_xlfn.IMAGE("https://edmondsonsupply.com/cdn/shop/products/LFK_L1025C_4-SIDES_IMG-MAIN1.jpg?v=1680013140")</f>
        <v/>
      </c>
      <c r="H5685">
        <f>_xlfn.IMAGE("https://m.media-amazon.com/images/I/61bn8qQzbBL._AC_UL320_.jpg")</f>
        <v/>
      </c>
      <c r="K5685" t="inlineStr">
        <is>
          <t>15.59</t>
        </is>
      </c>
      <c r="L5685" t="n">
        <v>16.99</v>
      </c>
      <c r="M5685" s="1" t="inlineStr">
        <is>
          <t>8.98%</t>
        </is>
      </c>
      <c r="N5685" s="7" t="n">
        <v>0</v>
      </c>
      <c r="O5685" t="n">
        <v>5</v>
      </c>
      <c r="P5685" t="n">
        <v>4</v>
      </c>
      <c r="R5685" t="inlineStr">
        <is>
          <t>InStock</t>
        </is>
      </c>
      <c r="S5685" t="inlineStr">
        <is>
          <t>25.04</t>
        </is>
      </c>
      <c r="T5685" t="inlineStr">
        <is>
          <t>7968970866904</t>
        </is>
      </c>
    </row>
    <row r="5686" hidden="1" ht="15.75" customHeight="1">
      <c r="A5686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5686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5686" t="inlineStr">
        <is>
          <t>Crescent Lufkin L1025C-02 1-3/16" x 25' Command Control Series™ Yellow Clad Tape Measure</t>
        </is>
      </c>
      <c r="D5686" t="inlineStr">
        <is>
          <t>Crescent Lufkin 1-3/16 x 8m/26' Command Control Series Yellow Clad Tape Measure - L1025CME-02</t>
        </is>
      </c>
      <c r="E5686" s="2">
        <f>HYPERLINK("https://www.amazon.com/Crescent-Lufkin-Command-Control-Measure/dp/B09PGYTGMG/ref=sr_1_7?keywords=Crescent+Lufkin+L1025C-02+1-3%2F16%22+x+25%27+Command+Control+Series%E2%84%A2+Yellow+Clad+Tape+Measure&amp;qid=1694735004&amp;sr=8-7", "https://www.amazon.com/Crescent-Lufkin-Command-Control-Measure/dp/B09PGYTGMG/ref=sr_1_7?keywords=Crescent+Lufkin+L1025C-02+1-3%2F16%22+x+25%27+Command+Control+Series%E2%84%A2+Yellow+Clad+Tape+Measure&amp;qid=1694735004&amp;sr=8-7")</f>
        <v/>
      </c>
      <c r="F5686" t="inlineStr">
        <is>
          <t>B09PGYTGMG</t>
        </is>
      </c>
      <c r="G5686">
        <f>_xludf.IMAGE("https://edmondsonsupply.com/cdn/shop/products/LFK_L1025C_4-SIDES_IMG-MAIN1.jpg?v=1680013140")</f>
        <v/>
      </c>
      <c r="H5686">
        <f>_xludf.IMAGE("https://m.media-amazon.com/images/I/71iCWipzYAL._AC_UL320_.jpg")</f>
        <v/>
      </c>
      <c r="K5686" t="inlineStr">
        <is>
          <t>15.59</t>
        </is>
      </c>
      <c r="L5686" t="n">
        <v>16.99</v>
      </c>
      <c r="M5686" s="1" t="inlineStr">
        <is>
          <t>8.98%</t>
        </is>
      </c>
      <c r="N5686" s="1" t="n">
        <v>0</v>
      </c>
      <c r="O5686" t="n">
        <v>2.9</v>
      </c>
      <c r="P5686" t="n">
        <v>5</v>
      </c>
      <c r="R5686" t="inlineStr">
        <is>
          <t>InStock</t>
        </is>
      </c>
      <c r="S5686" t="inlineStr">
        <is>
          <t>25.04</t>
        </is>
      </c>
      <c r="T5686" t="inlineStr">
        <is>
          <t>7968970866904</t>
        </is>
      </c>
    </row>
    <row r="5687" ht="87" customHeight="1">
      <c r="A5687" s="2">
        <f>HYPERLINK("https://edmondsonsupply.com/collections/electricians-tools/products/klein-tools-mm420", "https://edmondsonsupply.com/collections/electricians-tools/products/klein-tools-mm420")</f>
        <v/>
      </c>
      <c r="B5687" s="2">
        <f>HYPERLINK("https://edmondsonsupply.com/products/klein-tools-mm420", "https://edmondsonsupply.com/products/klein-tools-mm420")</f>
        <v/>
      </c>
      <c r="C5687" t="inlineStr">
        <is>
          <t>Klein Tools MM420 Digital Multimeter, TRMS Auto-Ranging, 600V, Temp</t>
        </is>
      </c>
      <c r="D5687" t="inlineStr">
        <is>
          <t>Klein Tools MM400 Multimeter, Digital Auto Ranging, AC/DC Voltage, Current, Capacitance, Frequency, Duty-Cycle, Diode, Continuity, Temp 600V &amp; 69417 Rare-Earth Magnetic Hanger, with Strap</t>
        </is>
      </c>
      <c r="E5687" s="2">
        <f>HYPERLINK("https://www.amazon.com/Klein-Tools-Multimeter-Auto-Ranging-Magnetic/dp/B095RFF319/ref=sr_1_4?keywords=Klein+Tools+MM420+Digital+Multimeter%2C+TRMS+Auto-Ranging%2C+600V%2C+Temp&amp;qid=1694735126&amp;sr=8-4", "https://www.amazon.com/Klein-Tools-Multimeter-Auto-Ranging-Magnetic/dp/B095RFF319/ref=sr_1_4?keywords=Klein+Tools+MM420+Digital+Multimeter%2C+TRMS+Auto-Ranging%2C+600V%2C+Temp&amp;qid=1694735126&amp;sr=8-4")</f>
        <v/>
      </c>
      <c r="F5687" t="inlineStr">
        <is>
          <t>B095RFF319</t>
        </is>
      </c>
      <c r="G5687">
        <f>_xlfn.IMAGE("https://edmondsonsupply.com/cdn/shop/products/mm420.jpg?v=1663610900")</f>
        <v/>
      </c>
      <c r="H5687">
        <f>_xlfn.IMAGE("https://m.media-amazon.com/images/I/51JeRgf8UeS._AC_UL320_.jpg")</f>
        <v/>
      </c>
      <c r="K5687" t="inlineStr">
        <is>
          <t>54.97</t>
        </is>
      </c>
      <c r="L5687" t="n">
        <v>59.9</v>
      </c>
      <c r="M5687" s="1" t="inlineStr">
        <is>
          <t>8.97%</t>
        </is>
      </c>
      <c r="N5687" s="7" t="n">
        <v>0</v>
      </c>
      <c r="O5687" t="n">
        <v>4.8</v>
      </c>
      <c r="P5687" t="n">
        <v>37</v>
      </c>
      <c r="R5687" t="inlineStr">
        <is>
          <t>InStock</t>
        </is>
      </c>
      <c r="S5687" t="inlineStr">
        <is>
          <t>79.58</t>
        </is>
      </c>
      <c r="T5687" t="inlineStr">
        <is>
          <t>7822918615256</t>
        </is>
      </c>
    </row>
    <row r="5688" ht="87" customHeight="1">
      <c r="A5688" s="2">
        <f>HYPERLINK("https://edmondsonsupply.com/collections/electricians-tools/products/greenlee-tr13-dual-tip-non-contact-voltage-detector", "https://edmondsonsupply.com/collections/electricians-tools/products/greenlee-tr13-dual-tip-non-contact-voltage-detector")</f>
        <v/>
      </c>
      <c r="B5688" s="2">
        <f>HYPERLINK("https://edmondsonsupply.com/products/greenlee-tr13-dual-tip-non-contact-voltage-detector", "https://edmondsonsupply.com/products/greenlee-tr13-dual-tip-non-contact-voltage-detector")</f>
        <v/>
      </c>
      <c r="C5688" t="inlineStr">
        <is>
          <t>Greenlee TR13 Dual-Tip Non-Contact Voltage Detector</t>
        </is>
      </c>
      <c r="D5688" t="inlineStr">
        <is>
          <t>GREENLEE TR13 Dual Tip Non-Contact Voltage Tester,Black</t>
        </is>
      </c>
      <c r="E5688" s="2">
        <f>HYPERLINK("https://www.amazon.com/GREENLEE-Dual-Tip-Non-Contact-Voltage/dp/B082GDHPLZ/ref=sr_1_1?keywords=Greenlee+TR13+Dual-Tip+Non-Contact+Voltage+Detector&amp;qid=1694735378&amp;sr=8-1", "https://www.amazon.com/GREENLEE-Dual-Tip-Non-Contact-Voltage/dp/B082GDHPLZ/ref=sr_1_1?keywords=Greenlee+TR13+Dual-Tip+Non-Contact+Voltage+Detector&amp;qid=1694735378&amp;sr=8-1")</f>
        <v/>
      </c>
      <c r="F5688" t="inlineStr">
        <is>
          <t>B082GDHPLZ</t>
        </is>
      </c>
      <c r="G5688">
        <f>_xlfn.IMAGE("https://edmondsonsupply.com/cdn/shop/products/TR13_CAT2.jpg?v=1587145638")</f>
        <v/>
      </c>
      <c r="H5688">
        <f>_xlfn.IMAGE("https://m.media-amazon.com/images/I/41xJb3tHtiL._AC_UL320_.jpg")</f>
        <v/>
      </c>
      <c r="K5688" t="inlineStr">
        <is>
          <t>24.8</t>
        </is>
      </c>
      <c r="L5688" t="n">
        <v>26.99</v>
      </c>
      <c r="M5688" s="1" t="inlineStr">
        <is>
          <t>8.83%</t>
        </is>
      </c>
      <c r="N5688" s="7" t="n">
        <v>0</v>
      </c>
      <c r="O5688" t="n">
        <v>4.4</v>
      </c>
      <c r="P5688" t="n">
        <v>43</v>
      </c>
      <c r="R5688" t="inlineStr">
        <is>
          <t>OutOfStock</t>
        </is>
      </c>
      <c r="S5688" t="inlineStr">
        <is>
          <t>28.35</t>
        </is>
      </c>
      <c r="T5688" t="inlineStr">
        <is>
          <t>4417311309924</t>
        </is>
      </c>
    </row>
    <row r="5689" hidden="1" ht="15.75" customHeight="1">
      <c r="A5689" s="2">
        <f>HYPERLINK("https://edmondsonsupply.com/collections/electricians-tools/products/klein-tools-31874-replacement-hole-cutter-pilot-bit", "https://edmondsonsupply.com/collections/electricians-tools/products/klein-tools-31874-replacement-hole-cutter-pilot-bit")</f>
        <v/>
      </c>
      <c r="B5689" s="2">
        <f>HYPERLINK("https://edmondsonsupply.com/products/klein-tools-31874-replacement-hole-cutter-pilot-bit", "https://edmondsonsupply.com/products/klein-tools-31874-replacement-hole-cutter-pilot-bit")</f>
        <v/>
      </c>
      <c r="C5689" t="inlineStr">
        <is>
          <t>Klein Tools 31874 Replacement Hole Cutter Pilot Bit</t>
        </is>
      </c>
      <c r="D5689" t="inlineStr">
        <is>
          <t>Klein Tools 89551 Hole Cutter Replacement Bit for Klein Tools Hole Cutter Cat. No. 89552 Cuts 2 to 12-Inch</t>
        </is>
      </c>
      <c r="E5689" s="2">
        <f>HYPERLINK("https://www.amazon.com/Klein-Tools-89551-Replacement-12-Inch/dp/B07DLRWFCG/ref=sr_1_4?keywords=Klein+Tools+31874+Replacement+Hole+Cutter+Pilot+Bit&amp;qid=1694735351&amp;sr=8-4", "https://www.amazon.com/Klein-Tools-89551-Replacement-12-Inch/dp/B07DLRWFCG/ref=sr_1_4?keywords=Klein+Tools+31874+Replacement+Hole+Cutter+Pilot+Bit&amp;qid=1694735351&amp;sr=8-4")</f>
        <v/>
      </c>
      <c r="F5689" t="inlineStr">
        <is>
          <t>B07DLRWFCG</t>
        </is>
      </c>
      <c r="G5689">
        <f>_xludf.IMAGE("https://edmondsonsupply.com/cdn/shop/products/31874_b.jpg?v=1674494632")</f>
        <v/>
      </c>
      <c r="H5689">
        <f>_xludf.IMAGE("https://m.media-amazon.com/images/I/411kCYe-NnL._AC_UL320_.jpg")</f>
        <v/>
      </c>
      <c r="K5689" t="inlineStr">
        <is>
          <t>7.99</t>
        </is>
      </c>
      <c r="L5689" t="n">
        <v>8.69</v>
      </c>
      <c r="M5689" s="1" t="inlineStr">
        <is>
          <t>8.76%</t>
        </is>
      </c>
      <c r="N5689" s="1" t="n">
        <v>0</v>
      </c>
      <c r="O5689" t="n">
        <v>4.2</v>
      </c>
      <c r="P5689" t="n">
        <v>184</v>
      </c>
      <c r="R5689" t="inlineStr">
        <is>
          <t>InStock</t>
        </is>
      </c>
      <c r="S5689" t="inlineStr">
        <is>
          <t>10.54</t>
        </is>
      </c>
      <c r="T5689" t="inlineStr">
        <is>
          <t>4440725323876</t>
        </is>
      </c>
    </row>
    <row r="5690" ht="87" customHeight="1">
      <c r="A5690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5690" s="2">
        <f>HYPERLINK("https://edmondsonsupply.com/products/klein-tools-cl110-digital-clamp-meter-ac-auto-ranging-400-amp", "https://edmondsonsupply.com/products/klein-tools-cl110-digital-clamp-meter-ac-auto-ranging-400-amp")</f>
        <v/>
      </c>
      <c r="C5690" t="inlineStr">
        <is>
          <t>Klein Tools CL120 Digital Clamp Meter, AC Auto-Ranging 400 Amp</t>
        </is>
      </c>
      <c r="D5690" t="inlineStr">
        <is>
          <t>Klein Tools CL120KIT Clamp Meter Electrical Test Kit, AC Auto Ranging 400 Amp, Backlit Display, Includes GFCI Tester-Line Splitter-Pouch-Leads-3 x AAA</t>
        </is>
      </c>
      <c r="E5690" s="2">
        <f>HYPERLINK("https://www.amazon.com/Klein-Tools-CL120KIT-Electrical-Auto-Ranging/dp/B08DSX4B27/ref=sr_1_8?keywords=Klein+Tools+CL120+Digital+Clamp+Meter%2C+AC+Auto-Ranging+400+Amp&amp;qid=1694735357&amp;sr=8-8", "https://www.amazon.com/Klein-Tools-CL120KIT-Electrical-Auto-Ranging/dp/B08DSX4B27/ref=sr_1_8?keywords=Klein+Tools+CL120+Digital+Clamp+Meter%2C+AC+Auto-Ranging+400+Amp&amp;qid=1694735357&amp;sr=8-8")</f>
        <v/>
      </c>
      <c r="F5690" t="inlineStr">
        <is>
          <t>B08DSX4B27</t>
        </is>
      </c>
      <c r="G5690">
        <f>_xlfn.IMAGE("https://edmondsonsupply.com/cdn/shop/products/cl120.jpg?v=1633030212")</f>
        <v/>
      </c>
      <c r="H5690">
        <f>_xlfn.IMAGE("https://m.media-amazon.com/images/I/61PGdW5i-0L._AC_UY218_.jpg")</f>
        <v/>
      </c>
      <c r="K5690" t="inlineStr">
        <is>
          <t>59.97</t>
        </is>
      </c>
      <c r="L5690" t="n">
        <v>65.22</v>
      </c>
      <c r="M5690" s="1" t="inlineStr">
        <is>
          <t>8.75%</t>
        </is>
      </c>
      <c r="N5690" s="7" t="n">
        <v>0</v>
      </c>
      <c r="O5690" t="n">
        <v>4.8</v>
      </c>
      <c r="P5690" t="n">
        <v>494</v>
      </c>
      <c r="R5690" t="inlineStr">
        <is>
          <t>InStock</t>
        </is>
      </c>
      <c r="S5690" t="inlineStr">
        <is>
          <t>85.26</t>
        </is>
      </c>
      <c r="T5690" t="inlineStr">
        <is>
          <t>4432351527012</t>
        </is>
      </c>
    </row>
    <row r="5691" ht="87" customHeight="1">
      <c r="A5691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5691" s="2">
        <f>HYPERLINK("https://edmondsonsupply.com/products/diablo-tools-dag3090-7-8-in-x-17-1-2-in-auger-bit", "https://edmondsonsupply.com/products/diablo-tools-dag3090-7-8-in-x-17-1-2-in-auger-bit")</f>
        <v/>
      </c>
      <c r="C5691" t="inlineStr">
        <is>
          <t>Diablo Tools DAG3090 7/8 in. x 17-1/2 in. Auger Bit</t>
        </is>
      </c>
      <c r="D5691" t="inlineStr">
        <is>
          <t>Diablo 3/4 in. x 17-1/2 in. Auger Bit</t>
        </is>
      </c>
      <c r="E5691" s="2">
        <f>HYPERLINK("https://www.amazon.com/Diablo-17-1-Auger-Bit/dp/B089LHKRPP/ref=sr_1_7?keywords=Diablo+Tools+DAG3090+7%2F8+in.+x+17-1%2F2+in.+Auger+Bit&amp;qid=1694735031&amp;sr=8-7", "https://www.amazon.com/Diablo-17-1-Auger-Bit/dp/B089LHKRPP/ref=sr_1_7?keywords=Diablo+Tools+DAG3090+7%2F8+in.+x+17-1%2F2+in.+Auger+Bit&amp;qid=1694735031&amp;sr=8-7")</f>
        <v/>
      </c>
      <c r="F5691" t="inlineStr">
        <is>
          <t>B089LHKRPP</t>
        </is>
      </c>
      <c r="G5691">
        <f>_xlfn.IMAGE("https://edmondsonsupply.com/cdn/shop/products/aorgtpkivjubhtbiiau0.webp?v=1677256849")</f>
        <v/>
      </c>
      <c r="H5691">
        <f>_xlfn.IMAGE("https://m.media-amazon.com/images/I/61aMNURt08L._AC_UL320_.jpg")</f>
        <v/>
      </c>
      <c r="K5691" t="inlineStr">
        <is>
          <t>22.99</t>
        </is>
      </c>
      <c r="L5691" t="n">
        <v>25</v>
      </c>
      <c r="M5691" s="1" t="inlineStr">
        <is>
          <t>8.74%</t>
        </is>
      </c>
      <c r="N5691" s="7" t="n">
        <v>0</v>
      </c>
      <c r="O5691" t="n">
        <v>4.6</v>
      </c>
      <c r="P5691" t="n">
        <v>61</v>
      </c>
      <c r="R5691" t="inlineStr">
        <is>
          <t>InStock</t>
        </is>
      </c>
      <c r="S5691" t="inlineStr">
        <is>
          <t>36.28</t>
        </is>
      </c>
      <c r="T5691" t="inlineStr">
        <is>
          <t>7950782136536</t>
        </is>
      </c>
    </row>
    <row r="5692" hidden="1" ht="15.75" customHeight="1">
      <c r="A5692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5692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5692" t="inlineStr">
        <is>
          <t>Klein Tools 614-2 1/16-Inch Slotted Electronics Screwdriver, 2-Inch</t>
        </is>
      </c>
      <c r="D5692" t="inlineStr">
        <is>
          <t>Klein Tools 614-2 1/16-Inch Slotted Electronics Screwdriver with 2-Inch Shank and Cushion Grip Handle</t>
        </is>
      </c>
      <c r="E5692" s="2">
        <f>HYPERLINK("https://www.amazon.com/Electronics-Screwdriver-Klein-Tools-614-2/dp/B00B9HIBYU/ref=sr_1_1?keywords=Klein+Tools+614-2+1%2F16-Inch+Slotted+Electronics+Screwdriver%2C+2-Inch&amp;qid=1694735176&amp;sr=8-1", "https://www.amazon.com/Electronics-Screwdriver-Klein-Tools-614-2/dp/B00B9HIBYU/ref=sr_1_1?keywords=Klein+Tools+614-2+1%2F16-Inch+Slotted+Electronics+Screwdriver%2C+2-Inch&amp;qid=1694735176&amp;sr=8-1")</f>
        <v/>
      </c>
      <c r="F5692" t="inlineStr">
        <is>
          <t>B00B9HIBYU</t>
        </is>
      </c>
      <c r="G5692">
        <f>_xludf.IMAGE("https://edmondsonsupply.com/cdn/shop/products/614-2.jpg?v=1637284311")</f>
        <v/>
      </c>
      <c r="H5692">
        <f>_xludf.IMAGE("https://m.media-amazon.com/images/I/4122Rvtcf2L._AC_UL320_.jpg")</f>
        <v/>
      </c>
      <c r="K5692" t="inlineStr">
        <is>
          <t>8.49</t>
        </is>
      </c>
      <c r="L5692" t="n">
        <v>9.23</v>
      </c>
      <c r="M5692" s="1" t="inlineStr">
        <is>
          <t>8.72%</t>
        </is>
      </c>
      <c r="N5692" s="1" t="n">
        <v>0</v>
      </c>
      <c r="O5692" t="n">
        <v>4.7</v>
      </c>
      <c r="P5692" t="n">
        <v>332</v>
      </c>
      <c r="R5692" t="inlineStr">
        <is>
          <t>InStock</t>
        </is>
      </c>
      <c r="S5692" t="inlineStr">
        <is>
          <t>12.86</t>
        </is>
      </c>
      <c r="T5692" t="inlineStr">
        <is>
          <t>7512018616536</t>
        </is>
      </c>
    </row>
    <row r="5693" hidden="1" ht="15.75" customHeight="1">
      <c r="A5693" s="2">
        <f>HYPERLINK("https://edmondsonsupply.com/collections/electricians-tools/products/rack-a-tiers-72101-the-nut-blaster-xl-yellow", "https://edmondsonsupply.com/collections/electricians-tools/products/rack-a-tiers-72101-the-nut-blaster-xl-yellow")</f>
        <v/>
      </c>
      <c r="B5693" s="2">
        <f>HYPERLINK("https://edmondsonsupply.com/products/rack-a-tiers-72101-the-nut-blaster-xl-yellow", "https://edmondsonsupply.com/products/rack-a-tiers-72101-the-nut-blaster-xl-yellow")</f>
        <v/>
      </c>
      <c r="C5693" t="inlineStr">
        <is>
          <t>Rack-A-Tiers 72101 The Nut Blaster - XL Yellow</t>
        </is>
      </c>
      <c r="D5693" t="inlineStr">
        <is>
          <t>Rack-A-Tiers Nut Blaster - Tighten Wire Nuts with Drill, Universal Wire Connector Drill Bit Attachment, Twist Wire Nuts with Your Drill (XL) (72101)</t>
        </is>
      </c>
      <c r="E5693" s="2">
        <f>HYPERLINK("https://www.amazon.com/Rack-Tiers-72101-Blaster-XL/dp/B0087TBPS2/ref=sr_1_1?keywords=Rack-A-Tiers+72101+The+Nut+Blaster+-+XL+Yellow&amp;qid=1694735038&amp;sr=8-1", "https://www.amazon.com/Rack-Tiers-72101-Blaster-XL/dp/B0087TBPS2/ref=sr_1_1?keywords=Rack-A-Tiers+72101+The+Nut+Blaster+-+XL+Yellow&amp;qid=1694735038&amp;sr=8-1")</f>
        <v/>
      </c>
      <c r="F5693" t="inlineStr">
        <is>
          <t>B0087TBPS2</t>
        </is>
      </c>
      <c r="G5693">
        <f>_xludf.IMAGE("https://edmondsonsupply.com/cdn/shop/products/72101-72102-Nut-Blaster-XL-and-XXL-1.webp?v=1677011483")</f>
        <v/>
      </c>
      <c r="H5693">
        <f>_xludf.IMAGE("https://m.media-amazon.com/images/I/41BlhdjFsAL._AC_UL320_.jpg")</f>
        <v/>
      </c>
      <c r="K5693" t="inlineStr">
        <is>
          <t>11.49</t>
        </is>
      </c>
      <c r="L5693" t="n">
        <v>12.49</v>
      </c>
      <c r="M5693" s="1" t="inlineStr">
        <is>
          <t>8.70%</t>
        </is>
      </c>
      <c r="N5693" s="1" t="n">
        <v>0</v>
      </c>
      <c r="O5693" t="n">
        <v>4.5</v>
      </c>
      <c r="P5693" t="n">
        <v>1365</v>
      </c>
      <c r="R5693" t="inlineStr">
        <is>
          <t>InStock</t>
        </is>
      </c>
      <c r="S5693" t="inlineStr">
        <is>
          <t>12.49</t>
        </is>
      </c>
      <c r="T5693" t="inlineStr">
        <is>
          <t>7949290406104</t>
        </is>
      </c>
    </row>
    <row r="5694" ht="87" customHeight="1">
      <c r="A5694" s="2">
        <f>HYPERLINK("https://edmondsonsupply.com/collections/electricians-tools/products/rack-a-tiers-84100-chip-catcher", "https://edmondsonsupply.com/collections/electricians-tools/products/rack-a-tiers-84100-chip-catcher")</f>
        <v/>
      </c>
      <c r="B5694" s="2">
        <f>HYPERLINK("https://edmondsonsupply.com/products/rack-a-tiers-84100-chip-catcher", "https://edmondsonsupply.com/products/rack-a-tiers-84100-chip-catcher")</f>
        <v/>
      </c>
      <c r="C5694" t="inlineStr">
        <is>
          <t>Rack-A-Tiers 84100 Chip Catcher</t>
        </is>
      </c>
      <c r="D5694" t="inlineStr">
        <is>
          <t>Rack-A-Tiers Chip Catcher, Magnetic Metal Chips Catcher, Metal shavings Catcher (84100)</t>
        </is>
      </c>
      <c r="E5694" s="2">
        <f>HYPERLINK("https://www.amazon.com/Rack-Tiers-Magnetic-shavings-84100/dp/B00TQZDAMK/ref=sr_1_1?keywords=Rack-A-Tiers+84100+Chip+Catcher&amp;qid=1694734974&amp;sr=8-1", "https://www.amazon.com/Rack-Tiers-Magnetic-shavings-84100/dp/B00TQZDAMK/ref=sr_1_1?keywords=Rack-A-Tiers+84100+Chip+Catcher&amp;qid=1694734974&amp;sr=8-1")</f>
        <v/>
      </c>
      <c r="F5694" t="inlineStr">
        <is>
          <t>B00TQZDAMK</t>
        </is>
      </c>
      <c r="G5694">
        <f>_xlfn.IMAGE("https://edmondsonsupply.com/cdn/shop/products/84100-Chip-Catcher-1.png?v=1587149538")</f>
        <v/>
      </c>
      <c r="H5694">
        <f>_xlfn.IMAGE("https://m.media-amazon.com/images/I/41jSoyfV2AL._AC_UL320_.jpg")</f>
        <v/>
      </c>
      <c r="K5694" t="inlineStr">
        <is>
          <t>22.99</t>
        </is>
      </c>
      <c r="L5694" t="n">
        <v>24.99</v>
      </c>
      <c r="M5694" s="1" t="inlineStr">
        <is>
          <t>8.70%</t>
        </is>
      </c>
      <c r="N5694" s="7" t="n">
        <v>-0.05</v>
      </c>
      <c r="O5694" t="n">
        <v>4.5</v>
      </c>
      <c r="P5694" t="n">
        <v>59</v>
      </c>
      <c r="R5694" t="inlineStr">
        <is>
          <t>InStock</t>
        </is>
      </c>
      <c r="S5694" t="inlineStr">
        <is>
          <t>24.99</t>
        </is>
      </c>
      <c r="T5694" t="inlineStr">
        <is>
          <t>3523267854436</t>
        </is>
      </c>
    </row>
    <row r="5695" hidden="1" ht="15.75" customHeight="1">
      <c r="A5695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5695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5695" t="inlineStr">
        <is>
          <t>Diablo Tools DMAPL4090 1/4 in. x 10 in. x 12 in. Rebar Demon™ SDS‑Plus 4‑Cutter Full Carbide Head Hammer Bit</t>
        </is>
      </c>
      <c r="D5695" t="inlineStr">
        <is>
          <t>Diablo by Freud DMAPL4160 3/8 in. x 10 in. x 12 in. Rebar Demon SDS-Plus 4-Cutter Full Carbide Head Hammer Bit</t>
        </is>
      </c>
      <c r="E5695" s="2">
        <f>HYPERLINK("https://www.amazon.com/Diablo-Freud-DMAPL4160-SDS-Plus-4-Cutter/dp/B089KX25B7/ref=sr_1_4?keywords=Diablo+Tools+DMAPL4090+1%2F4+in.+x+10+in.+x+12+in.+Rebar+Demon%E2%84%A2+SDS%E2%80%91Plus+4%E2%80%91Cutter+Full+Carbide+Head+Hammer+Bit&amp;qid=1694735288&amp;sr=8-4", "https://www.amazon.com/Diablo-Freud-DMAPL4160-SDS-Plus-4-Cutter/dp/B089KX25B7/ref=sr_1_4?keywords=Diablo+Tools+DMAPL4090+1%2F4+in.+x+10+in.+x+12+in.+Rebar+Demon%E2%84%A2+SDS%E2%80%91Plus+4%E2%80%91Cutter+Full+Carbide+Head+Hammer+Bit&amp;qid=1694735288&amp;sr=8-4")</f>
        <v/>
      </c>
      <c r="F5695" t="inlineStr">
        <is>
          <t>B089KX25B7</t>
        </is>
      </c>
      <c r="G5695">
        <f>_xludf.IMAGE("https://edmondsonsupply.com/cdn/shop/products/nf6i5llohxcmlh9huvf0.webp?v=1670438124")</f>
        <v/>
      </c>
      <c r="H5695">
        <f>_xludf.IMAGE("https://m.media-amazon.com/images/I/61MHnm3+2bL._AC_UL320_.jpg")</f>
        <v/>
      </c>
      <c r="K5695" t="inlineStr">
        <is>
          <t>11.97</t>
        </is>
      </c>
      <c r="L5695" t="n">
        <v>13.01</v>
      </c>
      <c r="M5695" s="1" t="inlineStr">
        <is>
          <t>8.69%</t>
        </is>
      </c>
      <c r="N5695" s="1" t="n">
        <v>-0.06</v>
      </c>
      <c r="O5695" t="n">
        <v>4.5</v>
      </c>
      <c r="P5695" t="n">
        <v>39</v>
      </c>
      <c r="R5695" t="inlineStr">
        <is>
          <t>InStock</t>
        </is>
      </c>
      <c r="S5695" t="inlineStr">
        <is>
          <t>16.41</t>
        </is>
      </c>
      <c r="T5695" t="inlineStr">
        <is>
          <t>5317905973416</t>
        </is>
      </c>
    </row>
    <row r="5696" ht="87" customHeight="1">
      <c r="A5696" s="2">
        <f>HYPERLINK("https://edmondsonsupply.com/collections/electricians-tools/products/rack-a-tiers-80090-the-nut-snugger-kit-1-2-3-4-magnetic-locknut-holder", "https://edmondsonsupply.com/collections/electricians-tools/products/rack-a-tiers-80090-the-nut-snugger-kit-1-2-3-4-magnetic-locknut-holder")</f>
        <v/>
      </c>
      <c r="B5696" s="2">
        <f>HYPERLINK("https://edmondsonsupply.com/products/rack-a-tiers-80090-the-nut-snugger-kit-1-2-3-4-magnetic-locknut-holder", "https://edmondsonsupply.com/products/rack-a-tiers-80090-the-nut-snugger-kit-1-2-3-4-magnetic-locknut-holder")</f>
        <v/>
      </c>
      <c r="C5696" t="inlineStr">
        <is>
          <t>Rack-A-Tiers 80090 The Nut Snugger Kit - 1/2" &amp; 3/4" Magnetic Locknut Holder</t>
        </is>
      </c>
      <c r="D5696" t="inlineStr">
        <is>
          <t>Rack-A-Tiers Nut Snugger Kit 1ea: 1/2" &amp; 3/4" Magnetic Locknut Holder (80090)</t>
        </is>
      </c>
      <c r="E5696" s="2">
        <f>HYPERLINK("https://www.amazon.com/Rack-Tiers-Nut-Snugger-Kit/dp/B0BX4MB59Q/ref=sr_1_1?keywords=Rack-A-Tiers+80090+The+Nut+Snugger+Kit+-+1%2F2&amp;qid=1694735093&amp;sr=8-1", "https://www.amazon.com/Rack-Tiers-Nut-Snugger-Kit/dp/B0BX4MB59Q/ref=sr_1_1?keywords=Rack-A-Tiers+80090+The+Nut+Snugger+Kit+-+1%2F2&amp;qid=1694735093&amp;sr=8-1")</f>
        <v/>
      </c>
      <c r="F5696" t="inlineStr">
        <is>
          <t>B0BX4MB59Q</t>
        </is>
      </c>
      <c r="G5696">
        <f>_xlfn.IMAGE("https://edmondsonsupply.com/cdn/shop/products/820XX-Nut-Snugger_c9aae897-213e-499d-a6ba-7f1e2d3c2249.png?v=1667153419")</f>
        <v/>
      </c>
      <c r="H5696">
        <f>_xlfn.IMAGE("https://m.media-amazon.com/images/I/31gF-2h5bgL._AC_UL320_.jpg")</f>
        <v/>
      </c>
      <c r="K5696" t="inlineStr">
        <is>
          <t>63.49</t>
        </is>
      </c>
      <c r="L5696" t="n">
        <v>68.98999999999999</v>
      </c>
      <c r="M5696" s="1" t="inlineStr">
        <is>
          <t>8.66%</t>
        </is>
      </c>
      <c r="N5696" s="7" t="n">
        <v>-0.08</v>
      </c>
      <c r="O5696" t="n">
        <v>5</v>
      </c>
      <c r="P5696" t="n">
        <v>2</v>
      </c>
      <c r="R5696" t="inlineStr">
        <is>
          <t>InStock</t>
        </is>
      </c>
      <c r="S5696" t="inlineStr">
        <is>
          <t>68.99</t>
        </is>
      </c>
      <c r="T5696" t="inlineStr">
        <is>
          <t>7871153602776</t>
        </is>
      </c>
    </row>
    <row r="5697" ht="87" customHeight="1">
      <c r="A5697" s="2">
        <f>HYPERLINK("https://edmondsonsupply.com/collections/electricians-tools/products/milwaukee-48-22-8201-ultimate-jobsite-backpack", "https://edmondsonsupply.com/collections/electricians-tools/products/milwaukee-48-22-8201-ultimate-jobsite-backpack")</f>
        <v/>
      </c>
      <c r="B5697" s="2">
        <f>HYPERLINK("https://edmondsonsupply.com/products/milwaukee-48-22-8201-ultimate-jobsite-backpack", "https://edmondsonsupply.com/products/milwaukee-48-22-8201-ultimate-jobsite-backpack")</f>
        <v/>
      </c>
      <c r="C5697" t="inlineStr">
        <is>
          <t>Milwaukee 48-22-8201 Ultimate Jobsite Backpack</t>
        </is>
      </c>
      <c r="D5697" t="inlineStr">
        <is>
          <t>Milwaukee 48-22-8200 Jobsite Backpack</t>
        </is>
      </c>
      <c r="E5697" s="2">
        <f>HYPERLINK("https://www.amazon.com/Milwaukee-48-22-8200-Jobsite-Backpack/dp/B09V84RD15/ref=sr_1_7?keywords=Milwaukee+48-22-8201+Ultimate+Jobsite+Backpack&amp;qid=1694735408&amp;sr=8-7", "https://www.amazon.com/Milwaukee-48-22-8200-Jobsite-Backpack/dp/B09V84RD15/ref=sr_1_7?keywords=Milwaukee+48-22-8201+Ultimate+Jobsite+Backpack&amp;qid=1694735408&amp;sr=8-7")</f>
        <v/>
      </c>
      <c r="F5697" t="inlineStr">
        <is>
          <t>B09V84RD15</t>
        </is>
      </c>
      <c r="G5697">
        <f>_xlfn.IMAGE("https://edmondsonsupply.com/cdn/shop/products/48-22-8201.png?v=1587149134")</f>
        <v/>
      </c>
      <c r="H5697">
        <f>_xlfn.IMAGE("https://m.media-amazon.com/images/I/91ML+iYjLwL._AC_UL320_.jpg")</f>
        <v/>
      </c>
      <c r="K5697" t="inlineStr">
        <is>
          <t>119.0</t>
        </is>
      </c>
      <c r="L5697" t="n">
        <v>129.25</v>
      </c>
      <c r="M5697" s="1" t="inlineStr">
        <is>
          <t>8.61%</t>
        </is>
      </c>
      <c r="N5697" s="7" t="n">
        <v>-0.18</v>
      </c>
      <c r="O5697" t="n">
        <v>4.6</v>
      </c>
      <c r="P5697" t="n">
        <v>237</v>
      </c>
      <c r="R5697" t="inlineStr">
        <is>
          <t>InStock</t>
        </is>
      </c>
      <c r="S5697" t="inlineStr">
        <is>
          <t>197.0</t>
        </is>
      </c>
      <c r="T5697" t="inlineStr">
        <is>
          <t>4388894376036</t>
        </is>
      </c>
    </row>
    <row r="5698" ht="87" customHeight="1">
      <c r="A5698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5698" s="2">
        <f>HYPERLINK("https://edmondsonsupply.com/products/diablo-tools-dag3090-7-8-in-x-17-1-2-in-auger-bit", "https://edmondsonsupply.com/products/diablo-tools-dag3090-7-8-in-x-17-1-2-in-auger-bit")</f>
        <v/>
      </c>
      <c r="C5698" t="inlineStr">
        <is>
          <t>Diablo Tools DAG3090 7/8 in. x 17-1/2 in. Auger Bit</t>
        </is>
      </c>
      <c r="D5698" t="inlineStr">
        <is>
          <t>Diablo 5/8 in. x 17-1/2 in. Auger Bit</t>
        </is>
      </c>
      <c r="E5698" s="2">
        <f>HYPERLINK("https://www.amazon.com/Diablo-Freud-DAG3050-17-1-Auger/dp/B089KWL81X/ref=sr_1_5?keywords=Diablo+Tools+DAG3090+7%2F8+in.+x+17-1%2F2+in.+Auger+Bit&amp;qid=1694735031&amp;sr=8-5", "https://www.amazon.com/Diablo-Freud-DAG3050-17-1-Auger/dp/B089KWL81X/ref=sr_1_5?keywords=Diablo+Tools+DAG3090+7%2F8+in.+x+17-1%2F2+in.+Auger+Bit&amp;qid=1694735031&amp;sr=8-5")</f>
        <v/>
      </c>
      <c r="F5698" t="inlineStr">
        <is>
          <t>B089KWL81X</t>
        </is>
      </c>
      <c r="G5698">
        <f>_xlfn.IMAGE("https://edmondsonsupply.com/cdn/shop/products/aorgtpkivjubhtbiiau0.webp?v=1677256849")</f>
        <v/>
      </c>
      <c r="H5698">
        <f>_xlfn.IMAGE("https://m.media-amazon.com/images/I/61DWkFmOdeL._AC_UL320_.jpg")</f>
        <v/>
      </c>
      <c r="K5698" t="inlineStr">
        <is>
          <t>22.99</t>
        </is>
      </c>
      <c r="L5698" t="n">
        <v>24.97</v>
      </c>
      <c r="M5698" s="1" t="inlineStr">
        <is>
          <t>8.61%</t>
        </is>
      </c>
      <c r="N5698" s="7" t="n">
        <v>-0.85</v>
      </c>
      <c r="O5698" t="n">
        <v>4.3</v>
      </c>
      <c r="P5698" t="n">
        <v>20</v>
      </c>
      <c r="R5698" t="inlineStr">
        <is>
          <t>InStock</t>
        </is>
      </c>
      <c r="S5698" t="inlineStr">
        <is>
          <t>36.28</t>
        </is>
      </c>
      <c r="T5698" t="inlineStr">
        <is>
          <t>7950782136536</t>
        </is>
      </c>
    </row>
    <row r="5699" hidden="1" ht="15.75" customHeight="1">
      <c r="A5699" s="2">
        <f>HYPERLINK("https://edmondsonsupply.com/collections/electricians-tools/products/rack-a-tiers-42680-4-1-4-round-multi-tool-hole-saw", "https://edmondsonsupply.com/collections/electricians-tools/products/rack-a-tiers-42680-4-1-4-round-multi-tool-hole-saw")</f>
        <v/>
      </c>
      <c r="B5699" s="2">
        <f>HYPERLINK("https://edmondsonsupply.com/products/rack-a-tiers-42680-4-1-4-round-multi-tool-hole-saw", "https://edmondsonsupply.com/products/rack-a-tiers-42680-4-1-4-round-multi-tool-hole-saw")</f>
        <v/>
      </c>
      <c r="C5699" t="inlineStr">
        <is>
          <t>Rack-A-Tiers 42680 4 1/4" Round Multi-Tool Hole Saw</t>
        </is>
      </c>
      <c r="D5699" t="inlineStr">
        <is>
          <t>Rack-A-Tiers Round Multi-Tool Hole Saw 4 1/4" Cutting recessed Lights with oscillating Multi-Tool, Round Holes in Drywall (4 1/4) (42680)</t>
        </is>
      </c>
      <c r="E5699" s="2">
        <f>HYPERLINK("https://www.amazon.com/Rack-Tiers-Multi-Tool-recessed-oscillating/dp/B0BQP6TY6H/ref=sr_1_1?keywords=Rack-A-Tiers+42680+4+1%2F4%22+Round+Multi-Tool+Hole+Saw&amp;qid=1694735033&amp;sr=8-1", "https://www.amazon.com/Rack-Tiers-Multi-Tool-recessed-oscillating/dp/B0BQP6TY6H/ref=sr_1_1?keywords=Rack-A-Tiers+42680+4+1%2F4%22+Round+Multi-Tool+Hole+Saw&amp;qid=1694735033&amp;sr=8-1")</f>
        <v/>
      </c>
      <c r="F5699" t="inlineStr">
        <is>
          <t>B0BQP6TY6H</t>
        </is>
      </c>
      <c r="G5699">
        <f>_xludf.IMAGE("https://edmondsonsupply.com/cdn/shop/products/IMG_4900_803f83ec-6151-4328-8dad-0552b90489bb.webp?v=1677014284")</f>
        <v/>
      </c>
      <c r="H5699">
        <f>_xludf.IMAGE("https://m.media-amazon.com/images/I/51knAuGPAUL._AC_UL320_.jpg")</f>
        <v/>
      </c>
      <c r="K5699" t="inlineStr">
        <is>
          <t>34.99</t>
        </is>
      </c>
      <c r="L5699" t="n">
        <v>37.99</v>
      </c>
      <c r="M5699" s="1" t="inlineStr">
        <is>
          <t>8.57%</t>
        </is>
      </c>
      <c r="N5699" s="1" t="n">
        <v>-1.67</v>
      </c>
      <c r="O5699" t="n">
        <v>3.5</v>
      </c>
      <c r="P5699" t="n">
        <v>10</v>
      </c>
      <c r="R5699" t="inlineStr">
        <is>
          <t>InStock</t>
        </is>
      </c>
      <c r="S5699" t="inlineStr">
        <is>
          <t>37.99</t>
        </is>
      </c>
      <c r="T5699" t="inlineStr">
        <is>
          <t>7949311148248</t>
        </is>
      </c>
    </row>
    <row r="5700" ht="87" customHeight="1">
      <c r="A5700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5700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5700" t="inlineStr">
        <is>
          <t>Diablo Tools DOU250JBW 2-1/2 in. Universal Fit Bi-Metal Oscillating Blade for Clean Wood</t>
        </is>
      </c>
      <c r="D5700" t="inlineStr">
        <is>
          <t>Diablo by Freud DOU125BF3 1-1/4 in. Universal Fit Bi-Metal Oscillating Blades for Metal (3-Pack)</t>
        </is>
      </c>
      <c r="E5700" s="2">
        <f>HYPERLINK("https://www.amazon.com/Diablo-Freud-DOU125BF3-Universal-Oscillating/dp/B089KTHL1Z/ref=sr_1_9?keywords=Diablo+Tools+DOU250JBW+2-1%2F2+in.+Universal+Fit+Bi-Metal+Oscillating+Blade+for+Clean+Wood&amp;qid=1694734994&amp;sr=8-9", "https://www.amazon.com/Diablo-Freud-DOU125BF3-Universal-Oscillating/dp/B089KTHL1Z/ref=sr_1_9?keywords=Diablo+Tools+DOU250JBW+2-1%2F2+in.+Universal+Fit+Bi-Metal+Oscillating+Blade+for+Clean+Wood&amp;qid=1694734994&amp;sr=8-9")</f>
        <v/>
      </c>
      <c r="F5700" t="inlineStr">
        <is>
          <t>B089KTHL1Z</t>
        </is>
      </c>
      <c r="G5700">
        <f>_xlfn.IMAGE("https://edmondsonsupply.com/cdn/shop/files/pycnap4eb1urn2hxvudq.webp?v=1685718789")</f>
        <v/>
      </c>
      <c r="H5700">
        <f>_xlfn.IMAGE("https://m.media-amazon.com/images/I/61mZfXlj-XL._AC_UL320_.jpg")</f>
        <v/>
      </c>
      <c r="K5700" t="inlineStr">
        <is>
          <t>15.65</t>
        </is>
      </c>
      <c r="L5700" t="n">
        <v>16.99</v>
      </c>
      <c r="M5700" s="1" t="inlineStr">
        <is>
          <t>8.56%</t>
        </is>
      </c>
      <c r="N5700" s="7" t="n">
        <v>-2</v>
      </c>
      <c r="O5700" t="n">
        <v>4.1</v>
      </c>
      <c r="P5700" t="n">
        <v>13</v>
      </c>
      <c r="R5700" t="inlineStr">
        <is>
          <t>InStock</t>
        </is>
      </c>
      <c r="S5700" t="inlineStr">
        <is>
          <t>24.85</t>
        </is>
      </c>
      <c r="T5700" t="inlineStr">
        <is>
          <t>7999572279512</t>
        </is>
      </c>
    </row>
    <row r="5701" ht="87" customHeight="1">
      <c r="A5701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5701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5701" t="inlineStr">
        <is>
          <t>Diablo Tools DOU250JBW 2-1/2 in. Universal Fit Bi-Metal Oscillating Blade for Clean Wood</t>
        </is>
      </c>
      <c r="D5701" t="inlineStr">
        <is>
          <t>Diablo by Freud DOU125CF 1-1/4 in. Universal Fit Carbide Oscillating Blade for Metal</t>
        </is>
      </c>
      <c r="E5701" s="2">
        <f>HYPERLINK("https://www.amazon.com/Diablo-Universal-Carbide-Oscillating-Blade/dp/B089LHKRPN/ref=sr_1_12?keywords=Diablo+Tools+DOU250JBW+2-1%2F2+in.+Universal+Fit+Bi-Metal+Oscillating+Blade+for+Clean+Wood&amp;qid=1694734994&amp;sr=8-12", "https://www.amazon.com/Diablo-Universal-Carbide-Oscillating-Blade/dp/B089LHKRPN/ref=sr_1_12?keywords=Diablo+Tools+DOU250JBW+2-1%2F2+in.+Universal+Fit+Bi-Metal+Oscillating+Blade+for+Clean+Wood&amp;qid=1694734994&amp;sr=8-12")</f>
        <v/>
      </c>
      <c r="F5701" t="inlineStr">
        <is>
          <t>B089LHKRPN</t>
        </is>
      </c>
      <c r="G5701">
        <f>_xlfn.IMAGE("https://edmondsonsupply.com/cdn/shop/files/pycnap4eb1urn2hxvudq.webp?v=1685718789")</f>
        <v/>
      </c>
      <c r="H5701">
        <f>_xlfn.IMAGE("https://m.media-amazon.com/images/I/71izb0UUOkL._AC_UL320_.jpg")</f>
        <v/>
      </c>
      <c r="K5701" t="inlineStr">
        <is>
          <t>15.65</t>
        </is>
      </c>
      <c r="L5701" t="n">
        <v>16.99</v>
      </c>
      <c r="M5701" s="1" t="inlineStr">
        <is>
          <t>8.56%</t>
        </is>
      </c>
      <c r="N5701" s="7" t="n">
        <v>-2.12</v>
      </c>
      <c r="O5701" t="n">
        <v>4.3</v>
      </c>
      <c r="P5701" t="n">
        <v>19</v>
      </c>
      <c r="R5701" t="inlineStr">
        <is>
          <t>InStock</t>
        </is>
      </c>
      <c r="S5701" t="inlineStr">
        <is>
          <t>24.85</t>
        </is>
      </c>
      <c r="T5701" t="inlineStr">
        <is>
          <t>7999572279512</t>
        </is>
      </c>
    </row>
    <row r="5702" hidden="1" ht="15.75" customHeight="1">
      <c r="A5702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5702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5702" t="inlineStr">
        <is>
          <t>Diablo Tools DMAPL4090 1/4 in. x 10 in. x 12 in. Rebar Demon™ SDS‑Plus 4‑Cutter Full Carbide Head Hammer Bit</t>
        </is>
      </c>
      <c r="D5702" t="inlineStr">
        <is>
          <t>Diablo DMAPL4120 5/16 in. x 10 in. x 12 in. Rebar Demon™ SDS-Plus 4-Cutter Full Carbide Head Hammer Bit</t>
        </is>
      </c>
      <c r="E5702" s="2">
        <f>HYPERLINK("https://www.amazon.com/Diablo-SDS-Plus-4-Cutter-Carbide-Hammer/dp/B089KTHL12/ref=sr_1_2?keywords=Diablo+Tools+DMAPL4090+1%2F4+in.+x+10+in.+x+12+in.+Rebar+Demon%E2%84%A2+SDS%E2%80%91Plus+4%E2%80%91Cutter+Full+Carbide+Head+Hammer+Bit&amp;qid=1694735288&amp;sr=8-2", "https://www.amazon.com/Diablo-SDS-Plus-4-Cutter-Carbide-Hammer/dp/B089KTHL12/ref=sr_1_2?keywords=Diablo+Tools+DMAPL4090+1%2F4+in.+x+10+in.+x+12+in.+Rebar+Demon%E2%84%A2+SDS%E2%80%91Plus+4%E2%80%91Cutter+Full+Carbide+Head+Hammer+Bit&amp;qid=1694735288&amp;sr=8-2")</f>
        <v/>
      </c>
      <c r="F5702" t="inlineStr">
        <is>
          <t>B089KTHL12</t>
        </is>
      </c>
      <c r="G5702">
        <f>_xludf.IMAGE("https://edmondsonsupply.com/cdn/shop/products/nf6i5llohxcmlh9huvf0.webp?v=1670438124")</f>
        <v/>
      </c>
      <c r="H5702">
        <f>_xludf.IMAGE("https://m.media-amazon.com/images/I/61P8b1v1TBL._AC_UL320_.jpg")</f>
        <v/>
      </c>
      <c r="K5702" t="inlineStr">
        <is>
          <t>11.97</t>
        </is>
      </c>
      <c r="L5702" t="n">
        <v>12.99</v>
      </c>
      <c r="M5702" s="1" t="inlineStr">
        <is>
          <t>8.52%</t>
        </is>
      </c>
      <c r="N5702" s="1" t="n">
        <v>-2.86</v>
      </c>
      <c r="O5702" t="n">
        <v>5</v>
      </c>
      <c r="P5702" t="n">
        <v>6</v>
      </c>
      <c r="R5702" t="inlineStr">
        <is>
          <t>InStock</t>
        </is>
      </c>
      <c r="S5702" t="inlineStr">
        <is>
          <t>16.41</t>
        </is>
      </c>
      <c r="T5702" t="inlineStr">
        <is>
          <t>5317905973416</t>
        </is>
      </c>
    </row>
    <row r="5703" ht="87" customHeight="1">
      <c r="A5703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5703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5703" t="inlineStr">
        <is>
          <t>Diablo Tools DOU250JBW 2-1/2 in. Universal Fit Bi-Metal Oscillating Blade for Clean Wood</t>
        </is>
      </c>
      <c r="D5703" t="inlineStr">
        <is>
          <t>Diablo 2-1/2 in. Universal Fit Bi-Metal Oscillating Blade for Nail-Embedded Wood</t>
        </is>
      </c>
      <c r="E5703" s="2">
        <f>HYPERLINK("https://www.amazon.com/Diablo-Freud-DOU250BW-Oscillating-Nail-Embedded/dp/B089KWP5Z2/ref=sr_1_3?keywords=Diablo+Tools+DOU250JBW+2-1%2F2+in.+Universal+Fit+Bi-Metal+Oscillating+Blade+for+Clean+Wood&amp;qid=1694734994&amp;sr=8-3", "https://www.amazon.com/Diablo-Freud-DOU250BW-Oscillating-Nail-Embedded/dp/B089KWP5Z2/ref=sr_1_3?keywords=Diablo+Tools+DOU250JBW+2-1%2F2+in.+Universal+Fit+Bi-Metal+Oscillating+Blade+for+Clean+Wood&amp;qid=1694734994&amp;sr=8-3")</f>
        <v/>
      </c>
      <c r="F5703" t="inlineStr">
        <is>
          <t>B089KWP5Z2</t>
        </is>
      </c>
      <c r="G5703">
        <f>_xlfn.IMAGE("https://edmondsonsupply.com/cdn/shop/files/pycnap4eb1urn2hxvudq.webp?v=1685718789")</f>
        <v/>
      </c>
      <c r="H5703">
        <f>_xlfn.IMAGE("https://m.media-amazon.com/images/I/71fhfiK3NaL._AC_UL320_.jpg")</f>
        <v/>
      </c>
      <c r="K5703" t="inlineStr">
        <is>
          <t>15.65</t>
        </is>
      </c>
      <c r="L5703" t="n">
        <v>16.98</v>
      </c>
      <c r="M5703" s="1" t="inlineStr">
        <is>
          <t>8.50%</t>
        </is>
      </c>
      <c r="N5703" s="7" t="n">
        <v>-3.38</v>
      </c>
      <c r="O5703" t="n">
        <v>4.6</v>
      </c>
      <c r="P5703" t="n">
        <v>31</v>
      </c>
      <c r="R5703" t="inlineStr">
        <is>
          <t>InStock</t>
        </is>
      </c>
      <c r="S5703" t="inlineStr">
        <is>
          <t>24.85</t>
        </is>
      </c>
      <c r="T5703" t="inlineStr">
        <is>
          <t>7999572279512</t>
        </is>
      </c>
    </row>
    <row r="5704" ht="87" customHeight="1">
      <c r="A5704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5704" s="2">
        <f>HYPERLINK("https://edmondsonsupply.com/products/diablo-tools-d0740x-7-1-4-in-x-40-tooth-finish-saw-blade", "https://edmondsonsupply.com/products/diablo-tools-d0740x-7-1-4-in-x-40-tooth-finish-saw-blade")</f>
        <v/>
      </c>
      <c r="C5704" t="inlineStr">
        <is>
          <t>Diablo Tools D0740X 7-1/4 in. x 40 Tooth Finish Saw Blade</t>
        </is>
      </c>
      <c r="D5704" t="inlineStr">
        <is>
          <t>Freud D0740A Diablo 7-1/4 40 Tooth ATB Finishing Saw Blade with 5/8-Inch Arbor, Diamond Knockout, and PermaShield Coating</t>
        </is>
      </c>
      <c r="E5704" s="2">
        <f>HYPERLINK("https://www.amazon.com/Freud-D0740A-Finishing-Knockout-PermaShield/dp/B00008WQ2G/ref=sr_1_2?keywords=Diablo+Tools+D0740X+7-1%2F4+in.+x+40+Tooth+Finish+Saw+Blade&amp;qid=1694735026&amp;sr=8-2", "https://www.amazon.com/Freud-D0740A-Finishing-Knockout-PermaShield/dp/B00008WQ2G/ref=sr_1_2?keywords=Diablo+Tools+D0740X+7-1%2F4+in.+x+40+Tooth+Finish+Saw+Blade&amp;qid=1694735026&amp;sr=8-2")</f>
        <v/>
      </c>
      <c r="F5704" t="inlineStr">
        <is>
          <t>B00008WQ2G</t>
        </is>
      </c>
      <c r="G5704">
        <f>_xlfn.IMAGE("https://edmondsonsupply.com/cdn/shop/products/kdrkrhhsfpivsggxnkhy.webp?v=1678975834")</f>
        <v/>
      </c>
      <c r="H5704">
        <f>_xlfn.IMAGE("https://m.media-amazon.com/images/I/71P5utUYOqL._AC_UL320_.jpg")</f>
        <v/>
      </c>
      <c r="K5704" t="inlineStr">
        <is>
          <t>14.97</t>
        </is>
      </c>
      <c r="L5704" t="n">
        <v>16.24</v>
      </c>
      <c r="M5704" s="1" t="inlineStr">
        <is>
          <t>8.48%</t>
        </is>
      </c>
      <c r="N5704" s="7" t="n">
        <v>-3.64</v>
      </c>
      <c r="O5704" t="n">
        <v>4.8</v>
      </c>
      <c r="P5704" t="n">
        <v>2849</v>
      </c>
      <c r="R5704" t="inlineStr">
        <is>
          <t>InStock</t>
        </is>
      </c>
      <c r="S5704" t="inlineStr">
        <is>
          <t>24.4</t>
        </is>
      </c>
      <c r="T5704" t="inlineStr">
        <is>
          <t>7962622787800</t>
        </is>
      </c>
    </row>
    <row r="5705" ht="87" customHeight="1">
      <c r="A5705" s="2">
        <f>HYPERLINK("https://edmondsonsupply.com/collections/electricians-tools/products/reed-mfg-r12dn-1-1-2-r12-segmental-dies-1-1-2-npt", "https://edmondsonsupply.com/collections/electricians-tools/products/reed-mfg-r12dn-1-1-2-r12-segmental-dies-1-1-2-npt")</f>
        <v/>
      </c>
      <c r="B5705" s="2">
        <f>HYPERLINK("https://edmondsonsupply.com/products/reed-mfg-r12dn-1-1-2-r12-segmental-dies-1-1-2-npt", "https://edmondsonsupply.com/products/reed-mfg-r12dn-1-1-2-r12-segmental-dies-1-1-2-npt")</f>
        <v/>
      </c>
      <c r="C5705" t="inlineStr">
        <is>
          <t>Reed Mfg R12DN 1 1/2 R12+ Segmental Dies, 1-1/2" NPT</t>
        </is>
      </c>
      <c r="D5705" t="inlineStr">
        <is>
          <t>Reed Tool R12DN 1 1/2 R12+ Segmental Die, 1-1/2-Inch NPT</t>
        </is>
      </c>
      <c r="E5705" s="2">
        <f>HYPERLINK("https://www.amazon.com/Reed-Tool-R12DN-Segmental-2-Inch/dp/B003K2Q8WE/ref=sr_1_1?keywords=Reed+Mfg+R12DN+1+1%2F2+R12%2B+Segmental+Dies%2C+1-1%2F2%22+NPT&amp;qid=1694735209&amp;sr=8-1", "https://www.amazon.com/Reed-Tool-R12DN-Segmental-2-Inch/dp/B003K2Q8WE/ref=sr_1_1?keywords=Reed+Mfg+R12DN+1+1%2F2+R12%2B+Segmental+Dies%2C+1-1%2F2%22+NPT&amp;qid=1694735209&amp;sr=8-1")</f>
        <v/>
      </c>
      <c r="F5705" t="inlineStr">
        <is>
          <t>B003K2Q8WE</t>
        </is>
      </c>
      <c r="G5705">
        <f>_xlfn.IMAGE("https://edmondsonsupply.com/cdn/shop/products/05608-R12DN3-4-dies-RGB_18be43bb-b5b6-4266-a027-2965d5bb2b0a.jpg?v=1633031014")</f>
        <v/>
      </c>
      <c r="H5705">
        <f>_xlfn.IMAGE("https://m.media-amazon.com/images/I/616RRF7X0WL._AC_UY218_.jpg")</f>
        <v/>
      </c>
      <c r="K5705" t="inlineStr">
        <is>
          <t>53.96</t>
        </is>
      </c>
      <c r="L5705" t="n">
        <v>58.53</v>
      </c>
      <c r="M5705" s="1" t="inlineStr">
        <is>
          <t>8.47%</t>
        </is>
      </c>
      <c r="N5705" s="7" t="n">
        <v>-4</v>
      </c>
      <c r="O5705" t="n">
        <v>5</v>
      </c>
      <c r="P5705" t="n">
        <v>1</v>
      </c>
      <c r="R5705" t="inlineStr">
        <is>
          <t>InStock</t>
        </is>
      </c>
      <c r="S5705" t="inlineStr">
        <is>
          <t>68.46</t>
        </is>
      </c>
      <c r="T5705" t="inlineStr">
        <is>
          <t>6698164551853</t>
        </is>
      </c>
    </row>
    <row r="5706" hidden="1" ht="15.75" customHeight="1">
      <c r="A5706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5706" s="2">
        <f>HYPERLINK("https://edmondsonsupply.com/products/diablo-tools-d0624x-6-1-2-in-24-tooth-framing-saw-blade", "https://edmondsonsupply.com/products/diablo-tools-d0624x-6-1-2-in-24-tooth-framing-saw-blade")</f>
        <v/>
      </c>
      <c r="C5706" t="inlineStr">
        <is>
          <t>Diablo Tools D0624X 6-1/2 in. 24-Tooth Framing Saw Blade</t>
        </is>
      </c>
      <c r="D5706" t="inlineStr">
        <is>
          <t>6-1/2" x 24-Tooth NailSlicer™ Framing Circular Saw Blade</t>
        </is>
      </c>
      <c r="E5706" s="2">
        <f>HYPERLINK("https://www.amazon.com/24-Tooth-NailSlicerTM-Framing-Circular-Blade/dp/B0BK77L6CJ/ref=sr_1_17?keywords=Diablo+Tools+D0624X+6-1%2F2+in.+24-Tooth+Framing+Saw+Blade&amp;qid=1694735025&amp;sr=8-17", "https://www.amazon.com/24-Tooth-NailSlicerTM-Framing-Circular-Blade/dp/B0BK77L6CJ/ref=sr_1_17?keywords=Diablo+Tools+D0624X+6-1%2F2+in.+24-Tooth+Framing+Saw+Blade&amp;qid=1694735025&amp;sr=8-17")</f>
        <v/>
      </c>
      <c r="F5706" t="inlineStr">
        <is>
          <t>B0BK77L6CJ</t>
        </is>
      </c>
      <c r="G5706">
        <f>_xludf.IMAGE("https://edmondsonsupply.com/cdn/shop/products/mfin0gl4ono6qztsnrth.webp?v=1678982694")</f>
        <v/>
      </c>
      <c r="H5706">
        <f>_xludf.IMAGE("https://m.media-amazon.com/images/I/61Q0WrodXiL._AC_UL320_.jpg")</f>
        <v/>
      </c>
      <c r="K5706" t="inlineStr">
        <is>
          <t>11.97</t>
        </is>
      </c>
      <c r="L5706" t="n">
        <v>12.98</v>
      </c>
      <c r="M5706" s="1" t="inlineStr">
        <is>
          <t>8.44%</t>
        </is>
      </c>
      <c r="N5706" s="1" t="n">
        <v>-4.62</v>
      </c>
      <c r="O5706" t="n">
        <v>4.8</v>
      </c>
      <c r="P5706" t="n">
        <v>27</v>
      </c>
      <c r="R5706" t="inlineStr">
        <is>
          <t>InStock</t>
        </is>
      </c>
      <c r="S5706" t="inlineStr">
        <is>
          <t>17.38</t>
        </is>
      </c>
      <c r="T5706" t="inlineStr">
        <is>
          <t>7962732855512</t>
        </is>
      </c>
    </row>
    <row r="5707" ht="87" customHeight="1">
      <c r="A5707" s="2">
        <f>HYPERLINK("https://edmondsonsupply.com/collections/electricians-tools/products/reed-mfg-rwo10-10-heavy-duty-45-offset-pipe-wrench", "https://edmondsonsupply.com/collections/electricians-tools/products/reed-mfg-rwo10-10-heavy-duty-45-offset-pipe-wrench")</f>
        <v/>
      </c>
      <c r="B5707" s="2">
        <f>HYPERLINK("https://edmondsonsupply.com/products/reed-mfg-rwo10-10-heavy-duty-45-offset-pipe-wrench", "https://edmondsonsupply.com/products/reed-mfg-rwo10-10-heavy-duty-45-offset-pipe-wrench")</f>
        <v/>
      </c>
      <c r="C5707" t="inlineStr">
        <is>
          <t>Reed Mfg RWO10 10" Heavy-Duty 45° Offset Pipe Wrench</t>
        </is>
      </c>
      <c r="D5707" t="inlineStr">
        <is>
          <t>Reed Tool RWO10 Heavy Duty Offset Pipe Wrench, 10-Inch</t>
        </is>
      </c>
      <c r="E5707" s="2">
        <f>HYPERLINK("https://www.amazon.com/Reed-Tool-RWO10-Offset-10-Inch/dp/B001H4K3KK/ref=sr_1_1?keywords=Reed+Mfg+RWO10+10%22+Heavy-Duty+45%C2%B0+Offset+Pipe+Wrench&amp;qid=1694735215&amp;sr=8-1", "https://www.amazon.com/Reed-Tool-RWO10-Offset-10-Inch/dp/B001H4K3KK/ref=sr_1_1?keywords=Reed+Mfg+RWO10+10%22+Heavy-Duty+45%C2%B0+Offset+Pipe+Wrench&amp;qid=1694735215&amp;sr=8-1")</f>
        <v/>
      </c>
      <c r="F5707" t="inlineStr">
        <is>
          <t>B001H4K3KK</t>
        </is>
      </c>
      <c r="G5707">
        <f>_xlfn.IMAGE("https://edmondsonsupply.com/cdn/shop/products/02220-RWO10-RGB.jpg?v=1633031011")</f>
        <v/>
      </c>
      <c r="H5707">
        <f>_xlfn.IMAGE("https://m.media-amazon.com/images/I/411qsxTmSzL._AC_UL320_.jpg")</f>
        <v/>
      </c>
      <c r="K5707" t="inlineStr">
        <is>
          <t>34.03</t>
        </is>
      </c>
      <c r="L5707" t="n">
        <v>36.9</v>
      </c>
      <c r="M5707" s="1" t="inlineStr">
        <is>
          <t>8.43%</t>
        </is>
      </c>
      <c r="N5707" s="7" t="n">
        <v>-4.77</v>
      </c>
      <c r="O5707" t="n">
        <v>5</v>
      </c>
      <c r="P5707" t="n">
        <v>4</v>
      </c>
      <c r="R5707" t="inlineStr">
        <is>
          <t>InStock</t>
        </is>
      </c>
      <c r="S5707" t="inlineStr">
        <is>
          <t>38.59</t>
        </is>
      </c>
      <c r="T5707" t="inlineStr">
        <is>
          <t>6697623388333</t>
        </is>
      </c>
    </row>
    <row r="5708" ht="87" customHeight="1">
      <c r="A5708" s="2">
        <f>HYPERLINK("https://edmondsonsupply.com/collections/electricians-tools/products/rack-a-tiers-7wbk100-panel-buddy-knockout-kit", "https://edmondsonsupply.com/collections/electricians-tools/products/rack-a-tiers-7wbk100-panel-buddy-knockout-kit")</f>
        <v/>
      </c>
      <c r="B5708" s="2">
        <f>HYPERLINK("https://edmondsonsupply.com/products/rack-a-tiers-7wbk100-panel-buddy-knockout-kit", "https://edmondsonsupply.com/products/rack-a-tiers-7wbk100-panel-buddy-knockout-kit")</f>
        <v/>
      </c>
      <c r="C5708" t="inlineStr">
        <is>
          <t>Rack-A-Tiers 7WBK100 Panel Buddy Knockout Kit</t>
        </is>
      </c>
      <c r="D5708" t="inlineStr">
        <is>
          <t>Rack-A-Tiers 7WBK100 Panel Buddy Knockout Kit</t>
        </is>
      </c>
      <c r="E5708" s="2">
        <f>HYPERLINK("https://www.amazon.com/Panel-Knockout-Removal-Existing-Panels/dp/B0087TBHKS/ref=sr_1_1?keywords=Rack-A-Tiers+7WBK100+Panel+Buddy+Knockout+Kit&amp;qid=1694734983&amp;sr=8-1", "https://www.amazon.com/Panel-Knockout-Removal-Existing-Panels/dp/B0087TBHKS/ref=sr_1_1?keywords=Rack-A-Tiers+7WBK100+Panel+Buddy+Knockout+Kit&amp;qid=1694734983&amp;sr=8-1")</f>
        <v/>
      </c>
      <c r="F5708" t="inlineStr">
        <is>
          <t>B0087TBHKS</t>
        </is>
      </c>
      <c r="G5708">
        <f>_xlfn.IMAGE("https://edmondsonsupply.com/cdn/shop/files/Panel-Buddy-Blue-Handle_600.webp?v=1683752773")</f>
        <v/>
      </c>
      <c r="H5708">
        <f>_xlfn.IMAGE("https://m.media-amazon.com/images/I/51x1XeeUaHL._AC_UL320_.jpg")</f>
        <v/>
      </c>
      <c r="K5708" t="inlineStr">
        <is>
          <t>35.99</t>
        </is>
      </c>
      <c r="L5708" t="n">
        <v>38.99</v>
      </c>
      <c r="M5708" s="1" t="inlineStr">
        <is>
          <t>8.34%</t>
        </is>
      </c>
      <c r="N5708" s="7" t="n">
        <v>-5.41</v>
      </c>
      <c r="O5708" t="n">
        <v>4.6</v>
      </c>
      <c r="P5708" t="n">
        <v>47</v>
      </c>
      <c r="R5708" t="inlineStr">
        <is>
          <t>InStock</t>
        </is>
      </c>
      <c r="S5708" t="inlineStr">
        <is>
          <t>38.99</t>
        </is>
      </c>
      <c r="T5708" t="inlineStr">
        <is>
          <t>7990332686552</t>
        </is>
      </c>
    </row>
    <row r="5709" ht="87" customHeight="1">
      <c r="A5709" s="2">
        <f>HYPERLINK("https://edmondsonsupply.com/collections/electricians-tools/products/diablo-tools-dag3040-9-16-in-x-17-1-2-in-auger-bit", "https://edmondsonsupply.com/collections/electricians-tools/products/diablo-tools-dag3040-9-16-in-x-17-1-2-in-auger-bit")</f>
        <v/>
      </c>
      <c r="B5709" s="2">
        <f>HYPERLINK("https://edmondsonsupply.com/products/diablo-tools-dag3040-9-16-in-x-17-1-2-in-auger-bit", "https://edmondsonsupply.com/products/diablo-tools-dag3040-9-16-in-x-17-1-2-in-auger-bit")</f>
        <v/>
      </c>
      <c r="C5709" t="inlineStr">
        <is>
          <t>Diablo Tools DAG3040 9/16 in. x 17-1/2 in. Auger Bit</t>
        </is>
      </c>
      <c r="D5709" t="inlineStr">
        <is>
          <t>BOSCH NKLT09 9/16 In. x 17-1/2 In. Daredevil Auger Bit</t>
        </is>
      </c>
      <c r="E5709" s="2">
        <f>HYPERLINK("https://www.amazon.com/BOSCH-NKLT09-17-1-Daredevil-Auger/dp/B003BIFMUQ/ref=sr_1_12?keywords=Diablo+Tools+DAG3040+9%2F16+in.+x+17-1%2F2+in.+Auger+Bit&amp;qid=1694735069&amp;sr=8-12", "https://www.amazon.com/BOSCH-NKLT09-17-1-Daredevil-Auger/dp/B003BIFMUQ/ref=sr_1_12?keywords=Diablo+Tools+DAG3040+9%2F16+in.+x+17-1%2F2+in.+Auger+Bit&amp;qid=1694735069&amp;sr=8-12")</f>
        <v/>
      </c>
      <c r="F5709" t="inlineStr">
        <is>
          <t>B003BIFMUQ</t>
        </is>
      </c>
      <c r="G5709">
        <f>_xlfn.IMAGE("https://edmondsonsupply.com/cdn/shop/products/fmfcptadhtney3owwa7y.webp?v=1669993222")</f>
        <v/>
      </c>
      <c r="H5709">
        <f>_xlfn.IMAGE("https://m.media-amazon.com/images/I/61IQhakETzL._AC_UL320_.jpg")</f>
        <v/>
      </c>
      <c r="K5709" t="inlineStr">
        <is>
          <t>17.83</t>
        </is>
      </c>
      <c r="L5709" t="n">
        <v>19.3</v>
      </c>
      <c r="M5709" s="1" t="inlineStr">
        <is>
          <t>8.24%</t>
        </is>
      </c>
      <c r="N5709" s="7" t="n">
        <v>-5.41</v>
      </c>
      <c r="O5709" t="n">
        <v>4.4</v>
      </c>
      <c r="P5709" t="n">
        <v>161</v>
      </c>
      <c r="R5709" t="inlineStr">
        <is>
          <t>InStock</t>
        </is>
      </c>
      <c r="S5709" t="inlineStr">
        <is>
          <t>28.28</t>
        </is>
      </c>
      <c r="T5709" t="inlineStr">
        <is>
          <t>7897495142616</t>
        </is>
      </c>
    </row>
    <row r="5710" ht="87" customHeight="1">
      <c r="A5710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5710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5710" t="inlineStr">
        <is>
          <t>Diablo Tools DMAMX1230 1 in. x 24 in. x 29 in. Rebar Demon™ SDS-Max 4-Cutter Full Carbide Head Hammer Bit</t>
        </is>
      </c>
      <c r="D5710" t="inlineStr">
        <is>
          <t>Diablo DMAMX1390 1-3/4 in. x 16 in. x 21 in. Rebar Demon™ SDS-Max 4-Cutter Carbide-Tipped Hammer Bit</t>
        </is>
      </c>
      <c r="E5710" s="2">
        <f>HYPERLINK("https://www.amazon.com/Diablo-DMAMX1390-SDS-Max-4-Cutter-Carbide-Tipped/dp/B089KW6C8V/ref=sr_1_43?keywords=Diablo+Tools+DMAMX1230+1+in.+x+24+in.+x+29+in.+Rebar+Demon%E2%84%A2+SDS-Max+4-Cutter+Full+Carbide+Head+Hammer+Bit&amp;qid=1694735297&amp;sr=8-43", "https://www.amazon.com/Diablo-DMAMX1390-SDS-Max-4-Cutter-Carbide-Tipped/dp/B089KW6C8V/ref=sr_1_43?keywords=Diablo+Tools+DMAMX1230+1+in.+x+24+in.+x+29+in.+Rebar+Demon%E2%84%A2+SDS-Max+4-Cutter+Full+Carbide+Head+Hammer+Bit&amp;qid=1694735297&amp;sr=8-43")</f>
        <v/>
      </c>
      <c r="F5710" t="inlineStr">
        <is>
          <t>B089KW6C8V</t>
        </is>
      </c>
      <c r="G5710">
        <f>_xlfn.IMAGE("https://edmondsonsupply.com/cdn/shop/products/DMAMX1230_1.jpg?v=1633030364")</f>
        <v/>
      </c>
      <c r="H5710">
        <f>_xlfn.IMAGE("https://m.media-amazon.com/images/I/61J-83UaGmL._AC_UL320_.jpg")</f>
        <v/>
      </c>
      <c r="K5710" t="inlineStr">
        <is>
          <t>124.97</t>
        </is>
      </c>
      <c r="L5710" t="n">
        <v>135.21</v>
      </c>
      <c r="M5710" s="1" t="inlineStr">
        <is>
          <t>8.19%</t>
        </is>
      </c>
      <c r="N5710" s="7" t="n">
        <v>-5.46</v>
      </c>
      <c r="O5710" t="n">
        <v>5</v>
      </c>
      <c r="P5710" t="n">
        <v>9</v>
      </c>
      <c r="R5710" t="inlineStr">
        <is>
          <t>InStock</t>
        </is>
      </c>
      <c r="S5710" t="inlineStr">
        <is>
          <t>152.89</t>
        </is>
      </c>
      <c r="T5710" t="inlineStr">
        <is>
          <t>5289176072360</t>
        </is>
      </c>
    </row>
    <row r="5711" hidden="1" ht="15.75" customHeight="1">
      <c r="A5711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5711" s="2">
        <f>HYPERLINK("https://edmondsonsupply.com/products/klein-tools-et45-ac-dc-voltage-tester", "https://edmondsonsupply.com/products/klein-tools-et45-ac-dc-voltage-tester")</f>
        <v/>
      </c>
      <c r="C5711" t="inlineStr">
        <is>
          <t>Klein Tools ET45 AC/DC Voltage Tester</t>
        </is>
      </c>
      <c r="D5711" t="inlineStr">
        <is>
          <t>Klein Tools Voltage Tester Kit with Electronic AC/DC Voltage Tester, GFCI Outlet Tester and Non-Contact Voltage Tester Pen, 3-Piece</t>
        </is>
      </c>
      <c r="E5711" s="2">
        <f>HYPERLINK("https://www.amazon.com/Klein-Tools-Voltage-Electronic-Non-Contact/dp/B0C8JZWTZY/ref=sr_1_11?keywords=Klein+Tools+ET45+AC%2FDC+Voltage+Tester&amp;qid=1694735227&amp;sr=8-11", "https://www.amazon.com/Klein-Tools-Voltage-Electronic-Non-Contact/dp/B0C8JZWTZY/ref=sr_1_11?keywords=Klein+Tools+ET45+AC%2FDC+Voltage+Tester&amp;qid=1694735227&amp;sr=8-11")</f>
        <v/>
      </c>
      <c r="F5711" t="inlineStr">
        <is>
          <t>B0C8JZWTZY</t>
        </is>
      </c>
      <c r="G5711">
        <f>_xludf.IMAGE("https://edmondsonsupply.com/cdn/shop/products/et45.jpg?v=1647786270")</f>
        <v/>
      </c>
      <c r="H5711">
        <f>_xludf.IMAGE("https://m.media-amazon.com/images/I/31V2UrptDcL._AC_UL320_.jpg")</f>
        <v/>
      </c>
      <c r="K5711" t="inlineStr">
        <is>
          <t>11.99</t>
        </is>
      </c>
      <c r="L5711" t="n">
        <v>12.97</v>
      </c>
      <c r="M5711" s="1" t="inlineStr">
        <is>
          <t>8.17%</t>
        </is>
      </c>
      <c r="N5711" s="1" t="n">
        <v>-5.61</v>
      </c>
      <c r="O5711" t="n">
        <v>4.8</v>
      </c>
      <c r="P5711" t="n">
        <v>7911</v>
      </c>
      <c r="R5711" t="inlineStr">
        <is>
          <t>InStock</t>
        </is>
      </c>
      <c r="S5711" t="inlineStr">
        <is>
          <t>16.72</t>
        </is>
      </c>
      <c r="T5711" t="inlineStr">
        <is>
          <t>3688633630820</t>
        </is>
      </c>
    </row>
    <row r="5712" hidden="1" ht="15.75" customHeight="1">
      <c r="A5712" s="2">
        <f>HYPERLINK("https://edmondsonsupply.com/collections/electricians-tools/products/tajima-gkb-g210-g-saw%E2%84%A2-replacement-blade", "https://edmondsonsupply.com/collections/electricians-tools/products/tajima-gkb-g210-g-saw%E2%84%A2-replacement-blade")</f>
        <v/>
      </c>
      <c r="B5712" s="2">
        <f>HYPERLINK("https://edmondsonsupply.com/products/tajima-gkb-g210-g-saw%e2%84%a2-replacement-blade", "https://edmondsonsupply.com/products/tajima-gkb-g210-g-saw%e2%84%a2-replacement-blade")</f>
        <v/>
      </c>
      <c r="C5712" t="inlineStr">
        <is>
          <t>Tajima GKB-G210 G-Saw™ Replacement Blade</t>
        </is>
      </c>
      <c r="D5712" t="inlineStr">
        <is>
          <t>TAJIMA Replacement Pull Saw Blade - 240 mm x 9 TPI Japanese Flush Cut Hand Saw Blade with Premium-Grade Steel &amp; Triple-Edge Cutting Teeth - GKB-G240</t>
        </is>
      </c>
      <c r="E5712" s="2">
        <f>HYPERLINK("https://www.amazon.com/TAJIMA-Replacement-Pull-Blade-Premium-Grade/dp/B0008KLNPS/ref=sr_1_1?keywords=Tajima+GKB-G210+G-Saw%E2%84%A2+Replacement+Blade&amp;qid=1694735155&amp;sr=8-1", "https://www.amazon.com/TAJIMA-Replacement-Pull-Blade-Premium-Grade/dp/B0008KLNPS/ref=sr_1_1?keywords=Tajima+GKB-G210+G-Saw%E2%84%A2+Replacement+Blade&amp;qid=1694735155&amp;sr=8-1")</f>
        <v/>
      </c>
      <c r="F5712" t="inlineStr">
        <is>
          <t>B0008KLNPS</t>
        </is>
      </c>
      <c r="G5712">
        <f>_xludf.IMAGE("https://edmondsonsupply.com/cdn/shop/products/GKB-210.jpg?v=1655298927")</f>
        <v/>
      </c>
      <c r="H5712">
        <f>_xludf.IMAGE("https://m.media-amazon.com/images/I/51zGGeD6teL._AC_UL320_.jpg")</f>
        <v/>
      </c>
      <c r="K5712" t="inlineStr">
        <is>
          <t>12.69</t>
        </is>
      </c>
      <c r="L5712" t="n">
        <v>13.72</v>
      </c>
      <c r="M5712" s="1" t="inlineStr">
        <is>
          <t>8.12%</t>
        </is>
      </c>
      <c r="N5712" s="1" t="n">
        <v>-5.61</v>
      </c>
      <c r="O5712" t="n">
        <v>4.8</v>
      </c>
      <c r="P5712" t="n">
        <v>40</v>
      </c>
      <c r="R5712" t="inlineStr">
        <is>
          <t>InStock</t>
        </is>
      </c>
      <c r="S5712" t="inlineStr">
        <is>
          <t>12.69</t>
        </is>
      </c>
      <c r="T5712" t="inlineStr">
        <is>
          <t>7718380241112</t>
        </is>
      </c>
    </row>
    <row r="5713" ht="87" customHeight="1">
      <c r="A5713" s="2">
        <f>HYPERLINK("https://edmondsonsupply.com/collections/electricians-tools/products/klein-tools-56059-multi-groove-fiberglass-fish-tape-200-foot", "https://edmondsonsupply.com/collections/electricians-tools/products/klein-tools-56059-multi-groove-fiberglass-fish-tape-200-foot")</f>
        <v/>
      </c>
      <c r="B5713" s="2">
        <f>HYPERLINK("https://edmondsonsupply.com/products/klein-tools-56059-multi-groove-fiberglass-fish-tape-200-foot", "https://edmondsonsupply.com/products/klein-tools-56059-multi-groove-fiberglass-fish-tape-200-foot")</f>
        <v/>
      </c>
      <c r="C5713" t="inlineStr">
        <is>
          <t>Klein Tools 56059 Multi-Groove Fiberglass Fish Tape 200-Foot</t>
        </is>
      </c>
      <c r="D5713" t="inlineStr">
        <is>
          <t>Klein Tools 56056 Electrical Fiberglass Fish Tape, 200-Foot x 3/16-Inch Wide Multi-Groove Fish Tape with Steel Leader</t>
        </is>
      </c>
      <c r="E5713" s="2">
        <f>HYPERLINK("https://www.amazon.com/Multi-Groove-Fiberglass-200-Foot-Klein-Tools/dp/B00N6Y8RRA/ref=sr_1_2?keywords=Klein+Tools+56059+Multi-Groove+Fiberglass+Fish+Tape+200-Foot&amp;qid=1694735159&amp;sr=8-2", "https://www.amazon.com/Multi-Groove-Fiberglass-200-Foot-Klein-Tools/dp/B00N6Y8RRA/ref=sr_1_2?keywords=Klein+Tools+56059+Multi-Groove+Fiberglass+Fish+Tape+200-Foot&amp;qid=1694735159&amp;sr=8-2")</f>
        <v/>
      </c>
      <c r="F5713" t="inlineStr">
        <is>
          <t>B00N6Y8RRA</t>
        </is>
      </c>
      <c r="G5713">
        <f>_xlfn.IMAGE("https://edmondsonsupply.com/cdn/shop/products/56059.jpg?v=1648938340")</f>
        <v/>
      </c>
      <c r="H5713">
        <f>_xlfn.IMAGE("https://m.media-amazon.com/images/I/61-dcSdFpvL._AC_UL320_.jpg")</f>
        <v/>
      </c>
      <c r="K5713" t="inlineStr">
        <is>
          <t>184.99</t>
        </is>
      </c>
      <c r="L5713" t="n">
        <v>199.99</v>
      </c>
      <c r="M5713" s="1" t="inlineStr">
        <is>
          <t>8.11%</t>
        </is>
      </c>
      <c r="N5713" s="7" t="n">
        <v>-5.72</v>
      </c>
      <c r="O5713" t="n">
        <v>4.4</v>
      </c>
      <c r="P5713" t="n">
        <v>86</v>
      </c>
      <c r="R5713" t="inlineStr">
        <is>
          <t>InStock</t>
        </is>
      </c>
      <c r="S5713" t="inlineStr">
        <is>
          <t>272.72</t>
        </is>
      </c>
      <c r="T5713" t="inlineStr">
        <is>
          <t>7652141531352</t>
        </is>
      </c>
    </row>
    <row r="5714" ht="87" customHeight="1">
      <c r="A5714" s="2">
        <f>HYPERLINK("https://edmondsonsupply.com/collections/electricians-tools/products/diablo-tools-d0724a-7-1-4-in-x-24-tooth-framing-saw-blade-10-pack", "https://edmondsonsupply.com/collections/electricians-tools/products/diablo-tools-d0724a-7-1-4-in-x-24-tooth-framing-saw-blade-10-pack")</f>
        <v/>
      </c>
      <c r="B5714" s="2">
        <f>HYPERLINK("https://edmondsonsupply.com/products/diablo-tools-d0724a-7-1-4-in-x-24-tooth-framing-saw-blade-10-pack", "https://edmondsonsupply.com/products/diablo-tools-d0724a-7-1-4-in-x-24-tooth-framing-saw-blade-10-pack")</f>
        <v/>
      </c>
      <c r="C5714" t="inlineStr">
        <is>
          <t>Diablo Tools D0724A 7-1/4 in. x 24 Tooth Framing Saw Blade, 10-Pack</t>
        </is>
      </c>
      <c r="D5714" t="inlineStr">
        <is>
          <t>10 PACK Freud D0724A Diablo 7- 1/4-Inch 24 Tooth ATB Framing Saw Blade with 5/8-Inch and Diamond Knockout Arbor</t>
        </is>
      </c>
      <c r="E5714" s="2">
        <f>HYPERLINK("https://www.amazon.com/Freud-D0724A-Framing-Diamond-Knockout/dp/B0148UEC42/ref=sr_1_5?keywords=Diablo+Tools+D0724A+7-1%2F4+in.+x+24+Tooth+Framing+Saw+Blade%2C+10-Pack&amp;qid=1694735301&amp;sr=8-5", "https://www.amazon.com/Freud-D0724A-Framing-Diamond-Knockout/dp/B0148UEC42/ref=sr_1_5?keywords=Diablo+Tools+D0724A+7-1%2F4+in.+x+24+Tooth+Framing+Saw+Blade%2C+10-Pack&amp;qid=1694735301&amp;sr=8-5")</f>
        <v/>
      </c>
      <c r="F5714" t="inlineStr">
        <is>
          <t>B0148UEC42</t>
        </is>
      </c>
      <c r="G5714">
        <f>_xlfn.IMAGE("https://edmondsonsupply.com/cdn/shop/products/D0724A_Main-Image20200218_7e0d9e88-4df7-4e56-9e76-84e36363ce4f.png?v=1633030327")</f>
        <v/>
      </c>
      <c r="H5714">
        <f>_xlfn.IMAGE("https://m.media-amazon.com/images/I/512dz+IHEgL._AC_UL320_.jpg")</f>
        <v/>
      </c>
      <c r="K5714" t="inlineStr">
        <is>
          <t>94.38</t>
        </is>
      </c>
      <c r="L5714" t="n">
        <v>101.98</v>
      </c>
      <c r="M5714" s="1" t="inlineStr">
        <is>
          <t>8.05%</t>
        </is>
      </c>
      <c r="N5714" s="7" t="n">
        <v>-5.77</v>
      </c>
      <c r="O5714" t="n">
        <v>4.4</v>
      </c>
      <c r="P5714" t="n">
        <v>14</v>
      </c>
      <c r="R5714" t="inlineStr">
        <is>
          <t>InStock</t>
        </is>
      </c>
      <c r="S5714" t="inlineStr">
        <is>
          <t>154.5</t>
        </is>
      </c>
      <c r="T5714" t="inlineStr">
        <is>
          <t>5259913953448</t>
        </is>
      </c>
    </row>
    <row r="5715" ht="87" customHeight="1">
      <c r="A5715" s="2">
        <f>HYPERLINK("https://edmondsonsupply.com/collections/electricians-tools/products/diablo-tools-dmamx1010", "https://edmondsonsupply.com/collections/electricians-tools/products/diablo-tools-dmamx1010")</f>
        <v/>
      </c>
      <c r="B5715" s="2">
        <f>HYPERLINK("https://edmondsonsupply.com/products/diablo-tools-dmamx1010", "https://edmondsonsupply.com/products/diablo-tools-dmamx1010")</f>
        <v/>
      </c>
      <c r="C5715" t="inlineStr">
        <is>
          <t>Diablo Tools DMAMX1010 3/8 in. x 8 in. x 13 in. Rebar Demon SDS‑Max 4‑Cutter Full Carbide Head Hammer Bit</t>
        </is>
      </c>
      <c r="D5715" t="inlineStr">
        <is>
          <t>Diablo by Freud DMAMX1090 5/8 in. x 8 in. x 13 in. Rebar Demon SDS-Max 4-Cutter Full Carbide Head Hammer Bit</t>
        </is>
      </c>
      <c r="E5715" s="2">
        <f>HYPERLINK("https://www.amazon.com/Diablo-SDS-Max-4-Cutter-Carbide-Hammer/dp/B089LGB35P/ref=sr_1_1?keywords=Diablo+Tools+DMAMX1010+3%2F8+in.+x+8+in.+x+13+in.+Rebar+Demon+SDS%E2%80%91Max+4%E2%80%91Cutter+Full+Carbide+Head+Hammer+Bit&amp;qid=1694735277&amp;sr=8-1", "https://www.amazon.com/Diablo-SDS-Max-4-Cutter-Carbide-Hammer/dp/B089LGB35P/ref=sr_1_1?keywords=Diablo+Tools+DMAMX1010+3%2F8+in.+x+8+in.+x+13+in.+Rebar+Demon+SDS%E2%80%91Max+4%E2%80%91Cutter+Full+Carbide+Head+Hammer+Bit&amp;qid=1694735277&amp;sr=8-1")</f>
        <v/>
      </c>
      <c r="F5715" t="inlineStr">
        <is>
          <t>B089LGB35P</t>
        </is>
      </c>
      <c r="G5715">
        <f>_xlfn.IMAGE("https://edmondsonsupply.com/cdn/shop/products/DMAMX1010_Main-Image20200701.png?v=1609797900")</f>
        <v/>
      </c>
      <c r="H5715">
        <f>_xlfn.IMAGE("https://m.media-amazon.com/images/I/61Wr1t8FMOL._AC_UL320_.jpg")</f>
        <v/>
      </c>
      <c r="K5715" t="inlineStr">
        <is>
          <t>34.97</t>
        </is>
      </c>
      <c r="L5715" t="n">
        <v>37.78</v>
      </c>
      <c r="M5715" s="1" t="inlineStr">
        <is>
          <t>8.04%</t>
        </is>
      </c>
      <c r="N5715" s="7" t="n">
        <v>-5.77</v>
      </c>
      <c r="O5715" t="n">
        <v>4.2</v>
      </c>
      <c r="P5715" t="n">
        <v>5</v>
      </c>
      <c r="R5715" t="inlineStr">
        <is>
          <t>InStock</t>
        </is>
      </c>
      <c r="S5715" t="inlineStr">
        <is>
          <t>43.11</t>
        </is>
      </c>
      <c r="T5715" t="inlineStr">
        <is>
          <t>5463785701544</t>
        </is>
      </c>
    </row>
    <row r="5716" hidden="1" ht="15.75" customHeight="1">
      <c r="A5716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5716" s="2">
        <f>HYPERLINK("https://edmondsonsupply.com/products/klein-tools-630-5-8-nut-driver-5-8-inch-4-inch-hollow-shaft", "https://edmondsonsupply.com/products/klein-tools-630-5-8-nut-driver-5-8-inch-4-inch-hollow-shaft")</f>
        <v/>
      </c>
      <c r="C5716" t="inlineStr">
        <is>
          <t>Klein Tools 630-5/8 Nut Driver, 5/8-Inch, 4-Inch Hollow Shaft</t>
        </is>
      </c>
      <c r="D5716" t="inlineStr">
        <is>
          <t>Klein Tools 646-5/8 5/8-Inch Hollow Shaft Nut Driver 6-Inch Shaft</t>
        </is>
      </c>
      <c r="E5716" s="2">
        <f>HYPERLINK("https://www.amazon.com/Klein-Tools-646-5-Cushion-Grip-Hollow-Shank/dp/B000QJHJSG/ref=sr_1_5?keywords=Klein+Tools+630-5%2F8+Nut+Driver%2C+5%2F8-Inch%2C+4-Inch+Hollow+Shaft&amp;qid=1694735205&amp;sr=8-5", "https://www.amazon.com/Klein-Tools-646-5-Cushion-Grip-Hollow-Shank/dp/B000QJHJSG/ref=sr_1_5?keywords=Klein+Tools+630-5%2F8+Nut+Driver%2C+5%2F8-Inch%2C+4-Inch+Hollow+Shaft&amp;qid=1694735205&amp;sr=8-5")</f>
        <v/>
      </c>
      <c r="F5716" t="inlineStr">
        <is>
          <t>B000QJHJSG</t>
        </is>
      </c>
      <c r="G5716">
        <f>_xludf.IMAGE("https://edmondsonsupply.com/cdn/shop/products/630-1-2_df0ca74a-79e7-41f4-ad94-60312e01e692.jpg?v=1633031052")</f>
        <v/>
      </c>
      <c r="H5716">
        <f>_xludf.IMAGE("https://m.media-amazon.com/images/I/41esdWE3JCL._AC_UL320_.jpg")</f>
        <v/>
      </c>
      <c r="K5716" t="inlineStr">
        <is>
          <t>12.49</t>
        </is>
      </c>
      <c r="L5716" t="n">
        <v>13.49</v>
      </c>
      <c r="M5716" s="1" t="inlineStr">
        <is>
          <t>8.01%</t>
        </is>
      </c>
      <c r="N5716" s="1" t="n">
        <v>-5.77</v>
      </c>
      <c r="O5716" t="n">
        <v>4.9</v>
      </c>
      <c r="P5716" t="n">
        <v>45</v>
      </c>
      <c r="R5716" t="inlineStr">
        <is>
          <t>InStock</t>
        </is>
      </c>
      <c r="S5716" t="inlineStr">
        <is>
          <t>18.92</t>
        </is>
      </c>
      <c r="T5716" t="inlineStr">
        <is>
          <t>6781025386669</t>
        </is>
      </c>
    </row>
    <row r="5717" ht="87" customHeight="1">
      <c r="A5717" s="2">
        <f>HYPERLINK("https://edmondsonsupply.com/collections/electricians-tools/products/klein-tools-65131-2-in-1-nut-driver-hex-head-slide-drive%E2%84%A2-1-1-2-inch", "https://edmondsonsupply.com/collections/electricians-tools/products/klein-tools-65131-2-in-1-nut-driver-hex-head-slide-drive%E2%84%A2-1-1-2-inch")</f>
        <v/>
      </c>
      <c r="B5717" s="2">
        <f>HYPERLINK("https://edmondsonsupply.com/products/klein-tools-65131-2-in-1-nut-driver-hex-head-slide-drive%e2%84%a2-1-1-2-inch", "https://edmondsonsupply.com/products/klein-tools-65131-2-in-1-nut-driver-hex-head-slide-drive%e2%84%a2-1-1-2-inch")</f>
        <v/>
      </c>
      <c r="C5717" t="inlineStr">
        <is>
          <t>Klein Tools 65131 2-in-1 Nut Driver, Hex Head Slide Drive™, 1-1/2-Inch</t>
        </is>
      </c>
      <c r="D5717" t="inlineStr">
        <is>
          <t>Klein Tools 65129 2-in-1 Nut Driver, Hex Head Slide Drive, 6-Inch</t>
        </is>
      </c>
      <c r="E5717" s="2">
        <f>HYPERLINK("https://www.amazon.com/Driver-6-Inch-Klein-Tools-65129/dp/B0716VDFTD/ref=sr_1_2?keywords=Klein+Tools+65131+2-in-1+Nut+Driver%2C+Hex+Head+Slide+Drive%E2%84%A2%2C+1-1%2F2-Inch&amp;qid=1694735135&amp;sr=8-2", "https://www.amazon.com/Driver-6-Inch-Klein-Tools-65129/dp/B0716VDFTD/ref=sr_1_2?keywords=Klein+Tools+65131+2-in-1+Nut+Driver%2C+Hex+Head+Slide+Drive%E2%84%A2%2C+1-1%2F2-Inch&amp;qid=1694735135&amp;sr=8-2")</f>
        <v/>
      </c>
      <c r="F5717" t="inlineStr">
        <is>
          <t>B0716VDFTD</t>
        </is>
      </c>
      <c r="G5717">
        <f>_xlfn.IMAGE("https://edmondsonsupply.com/cdn/shop/products/65131.jpg?v=1660742745")</f>
        <v/>
      </c>
      <c r="H5717">
        <f>_xlfn.IMAGE("https://m.media-amazon.com/images/I/31G5opAPxjL._AC_UL320_.jpg")</f>
        <v/>
      </c>
      <c r="K5717" t="inlineStr">
        <is>
          <t>18.49</t>
        </is>
      </c>
      <c r="L5717" t="n">
        <v>19.97</v>
      </c>
      <c r="M5717" s="1" t="inlineStr">
        <is>
          <t>8.00%</t>
        </is>
      </c>
      <c r="N5717" s="7" t="n">
        <v>-5.77</v>
      </c>
      <c r="O5717" t="n">
        <v>4.8</v>
      </c>
      <c r="P5717" t="n">
        <v>687</v>
      </c>
      <c r="R5717" t="inlineStr">
        <is>
          <t>InStock</t>
        </is>
      </c>
      <c r="S5717" t="inlineStr">
        <is>
          <t>23.68</t>
        </is>
      </c>
      <c r="T5717" t="inlineStr">
        <is>
          <t>7783466500312</t>
        </is>
      </c>
    </row>
    <row r="5718" ht="87" customHeight="1">
      <c r="A5718" s="2">
        <f>HYPERLINK("https://edmondsonsupply.com/collections/electricians-tools/products/diablo-tools-dmamxch1190-2-in-x-14-in-sds-max-wide-chisel", "https://edmondsonsupply.com/collections/electricians-tools/products/diablo-tools-dmamxch1190-2-in-x-14-in-sds-max-wide-chisel")</f>
        <v/>
      </c>
      <c r="B5718" s="2">
        <f>HYPERLINK("https://edmondsonsupply.com/products/diablo-tools-dmamxch1190-2-in-x-14-in-sds-max-wide-chisel", "https://edmondsonsupply.com/products/diablo-tools-dmamxch1190-2-in-x-14-in-sds-max-wide-chisel")</f>
        <v/>
      </c>
      <c r="C5718" t="inlineStr">
        <is>
          <t>Diablo Tools DMAMXCH1190 2 in. x 14 in. SDS‑Max Wide Chisel</t>
        </is>
      </c>
      <c r="D5718" t="inlineStr">
        <is>
          <t>Diablo 2 in. x 14 in. SDS-Max Wide Chisel</t>
        </is>
      </c>
      <c r="E5718" s="2">
        <f>HYPERLINK("https://www.amazon.com/Diablo-DMAMXCH1190-SDS-Max-Wide-Chisel/dp/B089LCPMWZ/ref=sr_1_1?keywords=Diablo+Tools+DMAMXCH1190+2+in.+x+14+in.+SDS%E2%80%91Max+Wide+Chisel&amp;qid=1694735263&amp;sr=8-1", "https://www.amazon.com/Diablo-DMAMXCH1190-SDS-Max-Wide-Chisel/dp/B089LCPMWZ/ref=sr_1_1?keywords=Diablo+Tools+DMAMXCH1190+2+in.+x+14+in.+SDS%E2%80%91Max+Wide+Chisel&amp;qid=1694735263&amp;sr=8-1")</f>
        <v/>
      </c>
      <c r="F5718" t="inlineStr">
        <is>
          <t>B089LCPMWZ</t>
        </is>
      </c>
      <c r="G5718">
        <f>_xlfn.IMAGE("https://edmondsonsupply.com/cdn/shop/products/DMAMXCH1190_Main-Image20200331.png?v=1633030635")</f>
        <v/>
      </c>
      <c r="H5718">
        <f>_xlfn.IMAGE("https://m.media-amazon.com/images/I/61LGYv+v2pL._AC_UL320_.jpg")</f>
        <v/>
      </c>
      <c r="K5718" t="inlineStr">
        <is>
          <t>24.97</t>
        </is>
      </c>
      <c r="L5718" t="n">
        <v>26.95</v>
      </c>
      <c r="M5718" s="1" t="inlineStr">
        <is>
          <t>7.93%</t>
        </is>
      </c>
      <c r="N5718" s="7" t="n">
        <v>-5.77</v>
      </c>
      <c r="O5718" t="n">
        <v>5</v>
      </c>
      <c r="P5718" t="n">
        <v>2</v>
      </c>
      <c r="R5718" t="inlineStr">
        <is>
          <t>InStock</t>
        </is>
      </c>
      <c r="S5718" t="inlineStr">
        <is>
          <t>27.56</t>
        </is>
      </c>
      <c r="T5718" t="inlineStr">
        <is>
          <t>5701639340200</t>
        </is>
      </c>
    </row>
    <row r="5719" ht="87" customHeight="1">
      <c r="A5719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5719" s="2">
        <f>HYPERLINK("https://edmondsonsupply.com/products/klein-tools-et600-insulation-resistance-tester", "https://edmondsonsupply.com/products/klein-tools-et600-insulation-resistance-tester")</f>
        <v/>
      </c>
      <c r="C5719" t="inlineStr">
        <is>
          <t>Klein Tools ET600 Insulation Resistance Tester</t>
        </is>
      </c>
      <c r="D5719" t="inlineStr">
        <is>
          <t>Klein Tools ET600 Multimeter, Megohmmeter Insulation Tester, 4000 Ohms Resistance, 125V/250V/500V/1000V, Auto-Ranging TRMS Multimeter &amp; 69417 Rare-Earth Magnetic Hanger, with Strap</t>
        </is>
      </c>
      <c r="E5719" s="2">
        <f>HYPERLINK("https://www.amazon.com/Klein-Tools-Multimeter-MegohmmeterInsulation-Rare-Earth/dp/B09T6YCW54/ref=sr_1_2?keywords=Klein+Tools+ET600+Insulation+Resistance+Tester&amp;qid=1694734978&amp;sr=8-2", "https://www.amazon.com/Klein-Tools-Multimeter-MegohmmeterInsulation-Rare-Earth/dp/B09T6YCW54/ref=sr_1_2?keywords=Klein+Tools+ET600+Insulation+Resistance+Tester&amp;qid=1694734978&amp;sr=8-2")</f>
        <v/>
      </c>
      <c r="F5719" t="inlineStr">
        <is>
          <t>B09T6YCW54</t>
        </is>
      </c>
      <c r="G5719">
        <f>_xlfn.IMAGE("https://edmondsonsupply.com/cdn/shop/products/et600_accessories_b.jpg?v=1677685603")</f>
        <v/>
      </c>
      <c r="H5719">
        <f>_xlfn.IMAGE("https://m.media-amazon.com/images/I/514bUmc4y+L._AC_UY218_.jpg")</f>
        <v/>
      </c>
      <c r="K5719" t="inlineStr">
        <is>
          <t>164.99</t>
        </is>
      </c>
      <c r="L5719" t="n">
        <v>177.99</v>
      </c>
      <c r="M5719" s="1" t="inlineStr">
        <is>
          <t>7.88%</t>
        </is>
      </c>
      <c r="N5719" s="7" t="n">
        <v>-5.96</v>
      </c>
      <c r="O5719" t="n">
        <v>4.8</v>
      </c>
      <c r="P5719" t="n">
        <v>11</v>
      </c>
      <c r="R5719" t="inlineStr">
        <is>
          <t>InStock</t>
        </is>
      </c>
      <c r="S5719" t="inlineStr">
        <is>
          <t>231.0</t>
        </is>
      </c>
      <c r="T5719" t="inlineStr">
        <is>
          <t>4411568095332</t>
        </is>
      </c>
    </row>
    <row r="5720" hidden="1" ht="15.75" customHeight="1">
      <c r="A5720" s="2">
        <f>HYPERLINK("https://edmondsonsupply.com/collections/electricians-tools/products/klein-tools-56255-wire-markers-household-electric-panel-w-directory", "https://edmondsonsupply.com/collections/electricians-tools/products/klein-tools-56255-wire-markers-household-electric-panel-w-directory")</f>
        <v/>
      </c>
      <c r="B5720" s="2">
        <f>HYPERLINK("https://edmondsonsupply.com/products/klein-tools-56255-wire-markers-household-electric-panel-w-directory", "https://edmondsonsupply.com/products/klein-tools-56255-wire-markers-household-electric-panel-w-directory")</f>
        <v/>
      </c>
      <c r="C5720" t="inlineStr">
        <is>
          <t>Klein Tools 56255 Wire Markers, Household Electric Panel w/Directory</t>
        </is>
      </c>
      <c r="D5720" t="inlineStr">
        <is>
          <t>Klein Tools 56254 Wire Marker Book, Household Electrical Panel, Black Print on White</t>
        </is>
      </c>
      <c r="E5720" s="2">
        <f>HYPERLINK("https://www.amazon.com/Book-Household-Electrical-Klein-Tools-56254/dp/B07222CNFX/ref=sr_1_2?keywords=Klein+Tools+56255+Wire+Markers%2C+Household+Electric+Panel+w%2FDirectory&amp;qid=1694735174&amp;sr=8-2", "https://www.amazon.com/Book-Household-Electrical-Klein-Tools-56254/dp/B07222CNFX/ref=sr_1_2?keywords=Klein+Tools+56255+Wire+Markers%2C+Household+Electric+Panel+w%2FDirectory&amp;qid=1694735174&amp;sr=8-2")</f>
        <v/>
      </c>
      <c r="F5720" t="inlineStr">
        <is>
          <t>B07222CNFX</t>
        </is>
      </c>
      <c r="G5720">
        <f>_xludf.IMAGE("https://edmondsonsupply.com/cdn/shop/products/56255_b.jpg?v=1641342700")</f>
        <v/>
      </c>
      <c r="H5720">
        <f>_xludf.IMAGE("https://m.media-amazon.com/images/I/61GGjfOIRJL._AC_UL320_.jpg")</f>
        <v/>
      </c>
      <c r="K5720" t="inlineStr">
        <is>
          <t>12.97</t>
        </is>
      </c>
      <c r="L5720" t="n">
        <v>13.99</v>
      </c>
      <c r="M5720" s="1" t="inlineStr">
        <is>
          <t>7.86%</t>
        </is>
      </c>
      <c r="N5720" s="1" t="n">
        <v>-6.46</v>
      </c>
      <c r="O5720" t="n">
        <v>4.3</v>
      </c>
      <c r="P5720" t="n">
        <v>46</v>
      </c>
      <c r="R5720" t="inlineStr">
        <is>
          <t>InStock</t>
        </is>
      </c>
      <c r="S5720" t="inlineStr">
        <is>
          <t>17.7</t>
        </is>
      </c>
      <c r="T5720" t="inlineStr">
        <is>
          <t>7566880997592</t>
        </is>
      </c>
    </row>
    <row r="5721" ht="87" customHeight="1">
      <c r="A5721" s="2">
        <f>HYPERLINK("https://edmondsonsupply.com/collections/electricians-tools/products/fluke-393-solar-clamp-meter-cat-iii-1500-v", "https://edmondsonsupply.com/collections/electricians-tools/products/fluke-393-solar-clamp-meter-cat-iii-1500-v")</f>
        <v/>
      </c>
      <c r="B5721" s="2">
        <f>HYPERLINK("https://edmondsonsupply.com/products/fluke-393-solar-clamp-meter-cat-iii-1500-v", "https://edmondsonsupply.com/products/fluke-393-solar-clamp-meter-cat-iii-1500-v")</f>
        <v/>
      </c>
      <c r="C5721" t="inlineStr">
        <is>
          <t>Fluke 393 FC Solar Clamp Meter CAT III 1500 V</t>
        </is>
      </c>
      <c r="D5721" t="inlineStr">
        <is>
          <t>Fluke 393FC Clamp Meter and Solar Test Lead Kit, CAT III 1500 V, IP54-Rated, DC Power Measurements, Fluke Connect Software, 18 inch iFlex, MC4 Test Leads</t>
        </is>
      </c>
      <c r="E5721" s="2">
        <f>HYPERLINK("https://www.amazon.com/Fluke-IP54-Rated-Measurements-Connect-Software/dp/B0B499Y3Y5/ref=sr_1_3?keywords=Fluke+393+FC+Solar+Clamp+Meter+CAT+III+1500+V&amp;qid=1694735129&amp;sr=8-3", "https://www.amazon.com/Fluke-IP54-Rated-Measurements-Connect-Software/dp/B0B499Y3Y5/ref=sr_1_3?keywords=Fluke+393+FC+Solar+Clamp+Meter+CAT+III+1500+V&amp;qid=1694735129&amp;sr=8-3")</f>
        <v/>
      </c>
      <c r="F5721" t="inlineStr">
        <is>
          <t>B0B499Y3Y5</t>
        </is>
      </c>
      <c r="G5721">
        <f>_xlfn.IMAGE("https://edmondsonsupply.com/cdn/shop/products/F-393fc_01a_w.webp?v=1662652371")</f>
        <v/>
      </c>
      <c r="H5721">
        <f>_xlfn.IMAGE("https://m.media-amazon.com/images/I/61rDUzMfRiL._AC_UY218_.jpg")</f>
        <v/>
      </c>
      <c r="K5721" t="inlineStr">
        <is>
          <t>676.79</t>
        </is>
      </c>
      <c r="L5721" t="n">
        <v>729.12</v>
      </c>
      <c r="M5721" s="1" t="inlineStr">
        <is>
          <t>7.73%</t>
        </is>
      </c>
      <c r="N5721" s="7" t="n">
        <v>-6.73</v>
      </c>
      <c r="O5721" t="n">
        <v>4.6</v>
      </c>
      <c r="P5721" t="n">
        <v>3</v>
      </c>
      <c r="R5721" t="inlineStr">
        <is>
          <t>InStock</t>
        </is>
      </c>
      <c r="S5721" t="inlineStr">
        <is>
          <t>751.99</t>
        </is>
      </c>
      <c r="T5721" t="inlineStr">
        <is>
          <t>7809266090200</t>
        </is>
      </c>
    </row>
    <row r="5722" hidden="1" ht="15.75" customHeight="1">
      <c r="A5722" s="2">
        <f>HYPERLINK("https://edmondsonsupply.com/collections/electricians-tools/products/rack-a-tiers-11655-the-x-dispenser", "https://edmondsonsupply.com/collections/electricians-tools/products/rack-a-tiers-11655-the-x-dispenser")</f>
        <v/>
      </c>
      <c r="B5722" s="2">
        <f>HYPERLINK("https://edmondsonsupply.com/products/rack-a-tiers-11655-the-x-dispenser", "https://edmondsonsupply.com/products/rack-a-tiers-11655-the-x-dispenser")</f>
        <v/>
      </c>
      <c r="C5722" t="inlineStr">
        <is>
          <t>Rack-A-Tiers 11655 The X-Dispenser</t>
        </is>
      </c>
      <c r="D5722" t="inlineStr">
        <is>
          <t>Rack-A-Tiers The Big E-Z - Wire Dispenser Rack on Wheels (55632)</t>
        </is>
      </c>
      <c r="E5722" s="2">
        <f>HYPERLINK("https://www.amazon.com/Rack-Tiers-55632-Big-Z/dp/B0179VK4DK/ref=sr_1_9?keywords=Rack-A-Tiers+11655+The+X-Dispenser&amp;qid=1694734976&amp;sr=8-9", "https://www.amazon.com/Rack-Tiers-55632-Big-Z/dp/B0179VK4DK/ref=sr_1_9?keywords=Rack-A-Tiers+11655+The+X-Dispenser&amp;qid=1694734976&amp;sr=8-9")</f>
        <v/>
      </c>
      <c r="F5722" t="inlineStr">
        <is>
          <t>B0179VK4DK</t>
        </is>
      </c>
      <c r="G5722">
        <f>_xludf.IMAGE("https://edmondsonsupply.com/cdn/shop/products/11655-X-Dispenser-5.png?v=1633031067")</f>
        <v/>
      </c>
      <c r="H5722">
        <f>_xludf.IMAGE("https://m.media-amazon.com/images/I/51c16LYKqnL._AC_UL320_.jpg")</f>
        <v/>
      </c>
      <c r="K5722" t="inlineStr">
        <is>
          <t>175.89</t>
        </is>
      </c>
      <c r="L5722" t="n">
        <v>189.47</v>
      </c>
      <c r="M5722" s="1" t="inlineStr">
        <is>
          <t>7.72%</t>
        </is>
      </c>
      <c r="N5722" s="1" t="n">
        <v>-7.41</v>
      </c>
      <c r="O5722" t="n">
        <v>3.7</v>
      </c>
      <c r="P5722" t="n">
        <v>29</v>
      </c>
      <c r="R5722" t="inlineStr">
        <is>
          <t>InStock</t>
        </is>
      </c>
      <c r="S5722" t="inlineStr">
        <is>
          <t>188.49</t>
        </is>
      </c>
      <c r="T5722" t="inlineStr">
        <is>
          <t>6825695510701</t>
        </is>
      </c>
    </row>
    <row r="5723" hidden="1" ht="15.75" customHeight="1">
      <c r="A5723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5723" s="2">
        <f>HYPERLINK("https://edmondsonsupply.com/products/klein-tools-31944-bi-metal-hole-saw-2-3-4-inch", "https://edmondsonsupply.com/products/klein-tools-31944-bi-metal-hole-saw-2-3-4-inch")</f>
        <v/>
      </c>
      <c r="C5723" t="inlineStr">
        <is>
          <t>Klein Tools 31944 Bi-Metal Hole Saw, 2-3/4-Inch</t>
        </is>
      </c>
      <c r="D5723" t="inlineStr">
        <is>
          <t>Klein Tools 31958 Bi-Metal Hole Saw, Heavy-Duty 3 5/8-Inch Steel Cutting Hole Saw with Multiple Leverage Points</t>
        </is>
      </c>
      <c r="E5723" s="2">
        <f>HYPERLINK("https://www.amazon.com/Bi-Metal-8-Inch-Klein-Tools-31958/dp/B01987566S/ref=sr_1_6?keywords=Klein+Tools+31944+Bi-Metal+Hole+Saw%2C+2-3%2F4-Inch&amp;qid=1694735356&amp;sr=8-6", "https://www.amazon.com/Bi-Metal-8-Inch-Klein-Tools-31958/dp/B01987566S/ref=sr_1_6?keywords=Klein+Tools+31944+Bi-Metal+Hole+Saw%2C+2-3%2F4-Inch&amp;qid=1694735356&amp;sr=8-6")</f>
        <v/>
      </c>
      <c r="F5723" t="inlineStr">
        <is>
          <t>B01987566S</t>
        </is>
      </c>
      <c r="G5723">
        <f>_xludf.IMAGE("https://edmondsonsupply.com/cdn/shop/products/31944.jpg?v=1587150512")</f>
        <v/>
      </c>
      <c r="H5723">
        <f>_xludf.IMAGE("https://m.media-amazon.com/images/I/417oWF+SE6L._AC_UL320_.jpg")</f>
        <v/>
      </c>
      <c r="K5723" t="inlineStr">
        <is>
          <t>12.99</t>
        </is>
      </c>
      <c r="L5723" t="n">
        <v>13.99</v>
      </c>
      <c r="M5723" s="1" t="inlineStr">
        <is>
          <t>7.70%</t>
        </is>
      </c>
      <c r="N5723" s="1" t="n">
        <v>-8.34</v>
      </c>
      <c r="O5723" t="n">
        <v>4.6</v>
      </c>
      <c r="P5723" t="n">
        <v>252</v>
      </c>
      <c r="R5723" t="inlineStr">
        <is>
          <t>InStock</t>
        </is>
      </c>
      <c r="S5723" t="inlineStr">
        <is>
          <t>18.24</t>
        </is>
      </c>
      <c r="T5723" t="inlineStr">
        <is>
          <t>4433553326180</t>
        </is>
      </c>
    </row>
    <row r="5724" hidden="1" ht="15.75" customHeight="1">
      <c r="A5724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5724" s="2">
        <f>HYPERLINK("https://edmondsonsupply.com/products/klein-tools-s8-1-4-inch-hollow-shaft-nut-driver-3-inch-shaft", "https://edmondsonsupply.com/products/klein-tools-s8-1-4-inch-hollow-shaft-nut-driver-3-inch-shaft")</f>
        <v/>
      </c>
      <c r="C5724" t="inlineStr">
        <is>
          <t>Klein Tools S8 1/4-Inch Hollow Shaft Nut Driver, 3-Inch Shaft</t>
        </is>
      </c>
      <c r="D5724" t="inlineStr">
        <is>
          <t>Klein Tools 646-1/4 1/4-Inch Nut Driver with 6-Inch Hollow Shaft and Cushion Grip Handle</t>
        </is>
      </c>
      <c r="E5724" s="2">
        <f>HYPERLINK("https://www.amazon.com/4-Inch-Driver-Cushion-Klein-Tools/dp/B000LEBON2/ref=sr_1_9?keywords=Klein+Tools+S8+1%2F4-Inch+Hollow+Shaft+Nut+Driver%2C+3-Inch+Shaft&amp;qid=1694735248&amp;sr=8-9", "https://www.amazon.com/4-Inch-Driver-Cushion-Klein-Tools/dp/B000LEBON2/ref=sr_1_9?keywords=Klein+Tools+S8+1%2F4-Inch+Hollow+Shaft+Nut+Driver%2C+3-Inch+Shaft&amp;qid=1694735248&amp;sr=8-9")</f>
        <v/>
      </c>
      <c r="F5724" t="inlineStr">
        <is>
          <t>B000LEBON2</t>
        </is>
      </c>
      <c r="G5724">
        <f>_xludf.IMAGE("https://edmondsonsupply.com/cdn/shop/products/s10.jpg?v=1633030797")</f>
        <v/>
      </c>
      <c r="H5724">
        <f>_xludf.IMAGE("https://m.media-amazon.com/images/I/31sSFYGqdfL._AC_UL320_.jpg")</f>
        <v/>
      </c>
      <c r="K5724" t="inlineStr">
        <is>
          <t>7.29</t>
        </is>
      </c>
      <c r="L5724" t="n">
        <v>7.84</v>
      </c>
      <c r="M5724" s="1" t="inlineStr">
        <is>
          <t>7.54%</t>
        </is>
      </c>
      <c r="N5724" s="1" t="n">
        <v>-8.73</v>
      </c>
      <c r="O5724" t="n">
        <v>4.8</v>
      </c>
      <c r="P5724" t="n">
        <v>2491</v>
      </c>
      <c r="R5724" t="inlineStr">
        <is>
          <t>InStock</t>
        </is>
      </c>
      <c r="S5724" t="inlineStr">
        <is>
          <t>10.74</t>
        </is>
      </c>
      <c r="T5724" t="inlineStr">
        <is>
          <t>6000424485032</t>
        </is>
      </c>
    </row>
    <row r="5725" ht="87" customHeight="1">
      <c r="A5725" s="2">
        <f>HYPERLINK("https://edmondsonsupply.com/collections/electricians-tools/products/rack-a-tiers-40001-apprentice-wire-vortex-wire-pulling-guide", "https://edmondsonsupply.com/collections/electricians-tools/products/rack-a-tiers-40001-apprentice-wire-vortex-wire-pulling-guide")</f>
        <v/>
      </c>
      <c r="B5725" s="2">
        <f>HYPERLINK("https://edmondsonsupply.com/products/rack-a-tiers-40001-apprentice-wire-vortex-wire-pulling-guide", "https://edmondsonsupply.com/products/rack-a-tiers-40001-apprentice-wire-vortex-wire-pulling-guide")</f>
        <v/>
      </c>
      <c r="C5725" t="inlineStr">
        <is>
          <t>Rack-A-Tiers 40001 Wire Vortex - Wire Pulling Guide</t>
        </is>
      </c>
      <c r="D5725" t="inlineStr">
        <is>
          <t>Rack-A-Tiers Wire Vortex - Wire Pulling Guide (40001)</t>
        </is>
      </c>
      <c r="E5725" s="2">
        <f>HYPERLINK("https://www.amazon.com/Rack-Tiers-40001-Wire-Vortex/dp/B0087TBRPS/ref=sr_1_1?keywords=Rack-A-Tiers+40001+Wire+Vortex+-+Wire+Pulling+Guide&amp;qid=1694734979&amp;sr=8-1", "https://www.amazon.com/Rack-Tiers-40001-Wire-Vortex/dp/B0087TBRPS/ref=sr_1_1?keywords=Rack-A-Tiers+40001+Wire+Vortex+-+Wire+Pulling+Guide&amp;qid=1694734979&amp;sr=8-1")</f>
        <v/>
      </c>
      <c r="F5725" t="inlineStr">
        <is>
          <t>B0087TBRPS</t>
        </is>
      </c>
      <c r="G5725">
        <f>_xlfn.IMAGE("https://edmondsonsupply.com/cdn/shop/products/40001-Wire-Vortex-1-1-1.png?v=1587149010")</f>
        <v/>
      </c>
      <c r="H5725">
        <f>_xlfn.IMAGE("https://m.media-amazon.com/images/I/61fqfZYjqVL._AC_UL320_.jpg")</f>
        <v/>
      </c>
      <c r="K5725" t="inlineStr">
        <is>
          <t>19.99</t>
        </is>
      </c>
      <c r="L5725" t="n">
        <v>21.49</v>
      </c>
      <c r="M5725" s="1" t="inlineStr">
        <is>
          <t>7.50%</t>
        </is>
      </c>
      <c r="N5725" s="7" t="n">
        <v>-9.050000000000001</v>
      </c>
      <c r="O5725" t="n">
        <v>4.5</v>
      </c>
      <c r="P5725" t="n">
        <v>76</v>
      </c>
      <c r="R5725" t="inlineStr">
        <is>
          <t>InStock</t>
        </is>
      </c>
      <c r="S5725" t="inlineStr">
        <is>
          <t>21.49</t>
        </is>
      </c>
      <c r="T5725" t="inlineStr">
        <is>
          <t>3624644608100</t>
        </is>
      </c>
    </row>
    <row r="5726" hidden="1" ht="15.75" customHeight="1">
      <c r="A5726" s="2">
        <f>HYPERLINK("https://edmondsonsupply.com/collections/electricians-tools/products/rack-a-tiers-72102-the-nut-blaster-xxl-blue", "https://edmondsonsupply.com/collections/electricians-tools/products/rack-a-tiers-72102-the-nut-blaster-xxl-blue")</f>
        <v/>
      </c>
      <c r="B5726" s="2">
        <f>HYPERLINK("https://edmondsonsupply.com/products/rack-a-tiers-72102-the-nut-blaster-xxl-blue", "https://edmondsonsupply.com/products/rack-a-tiers-72102-the-nut-blaster-xxl-blue")</f>
        <v/>
      </c>
      <c r="C5726" t="inlineStr">
        <is>
          <t>Rack-A-Tiers 72102 The Nut Blaster - XXL Blue</t>
        </is>
      </c>
      <c r="D5726" t="inlineStr">
        <is>
          <t>Rack-A-Tiers Nut Blaster - Tighten Wire Nuts with Drill, Universal Wire Connector Drill Bit Attachment, Twist Wire Nuts with Your Drill (XXL)(72102)</t>
        </is>
      </c>
      <c r="E5726" s="2">
        <f>HYPERLINK("https://www.amazon.com/Rack-Tiers-72102-Blaster-XXL/dp/B0087TBQ5O/ref=sr_1_1?keywords=Rack-A-Tiers+72102+The+Nut+Blaster+-+XXL+Blue&amp;qid=1694735038&amp;sr=8-1", "https://www.amazon.com/Rack-Tiers-72102-Blaster-XXL/dp/B0087TBQ5O/ref=sr_1_1?keywords=Rack-A-Tiers+72102+The+Nut+Blaster+-+XXL+Blue&amp;qid=1694735038&amp;sr=8-1")</f>
        <v/>
      </c>
      <c r="F5726" t="inlineStr">
        <is>
          <t>B0087TBQ5O</t>
        </is>
      </c>
      <c r="G5726">
        <f>_xludf.IMAGE("https://edmondsonsupply.com/cdn/shop/products/72101-72102-Nut-Blaster-XL-and-XXL-1_eced9b8e-38c5-44f8-9fd1-ef6353ffc883.webp?v=1677012027")</f>
        <v/>
      </c>
      <c r="H5726">
        <f>_xludf.IMAGE("https://m.media-amazon.com/images/I/31Al65h91dL._AC_UL320_.jpg")</f>
        <v/>
      </c>
      <c r="K5726" t="inlineStr">
        <is>
          <t>13.49</t>
        </is>
      </c>
      <c r="L5726" t="n">
        <v>14.49</v>
      </c>
      <c r="M5726" s="1" t="inlineStr">
        <is>
          <t>7.41%</t>
        </is>
      </c>
      <c r="N5726" s="1" t="n">
        <v>-9.06</v>
      </c>
      <c r="O5726" t="n">
        <v>4.5</v>
      </c>
      <c r="P5726" t="n">
        <v>1365</v>
      </c>
      <c r="R5726" t="inlineStr">
        <is>
          <t>InStock</t>
        </is>
      </c>
      <c r="S5726" t="inlineStr">
        <is>
          <t>14.49</t>
        </is>
      </c>
      <c r="T5726" t="inlineStr">
        <is>
          <t>7949296664792</t>
        </is>
      </c>
    </row>
    <row r="5727" ht="87" customHeight="1">
      <c r="A5727" s="2">
        <f>HYPERLINK("https://edmondsonsupply.com/collections/electricians-tools/products/tajima-jpr-265-japan-pull%E2%84%A2-265-16-tpi-blade", "https://edmondsonsupply.com/collections/electricians-tools/products/tajima-jpr-265-japan-pull%E2%84%A2-265-16-tpi-blade")</f>
        <v/>
      </c>
      <c r="B5727" s="2">
        <f>HYPERLINK("https://edmondsonsupply.com/products/tajima-jpr-265-japan-pull%e2%84%a2-265-16-tpi-blade", "https://edmondsonsupply.com/products/tajima-jpr-265-japan-pull%e2%84%a2-265-16-tpi-blade")</f>
        <v/>
      </c>
      <c r="C5727" t="inlineStr">
        <is>
          <t>Tajima JPR-265 Japan Pull™ 265, 16 TPI Blade</t>
        </is>
      </c>
      <c r="D5727" t="inlineStr">
        <is>
          <t>TAJIMA Pull-Stroke Saw - 265 mm x 16 TPI Japanese Flush Cut Hand Saw with Quick-Release Blade &amp; Short Elastomer Straight Handle - JPR-265ST</t>
        </is>
      </c>
      <c r="E5727" s="2">
        <f>HYPERLINK("https://www.amazon.com/TAJIMA-Pull-Stroke-Saw-Quick-Release-Elastomer/dp/B00ID1PKD0/ref=sr_1_4?keywords=Tajima+JPR-265+Japan+Pull%E2%84%A2+265%2C+16+TPI+Blade&amp;qid=1694735147&amp;sr=8-4", "https://www.amazon.com/TAJIMA-Pull-Stroke-Saw-Quick-Release-Elastomer/dp/B00ID1PKD0/ref=sr_1_4?keywords=Tajima+JPR-265+Japan+Pull%E2%84%A2+265%2C+16+TPI+Blade&amp;qid=1694735147&amp;sr=8-4")</f>
        <v/>
      </c>
      <c r="F5727" t="inlineStr">
        <is>
          <t>B00ID1PKD0</t>
        </is>
      </c>
      <c r="G5727">
        <f>_xlfn.IMAGE("https://edmondsonsupply.com/cdn/shop/products/JPR-265.jpg?v=1655818417")</f>
        <v/>
      </c>
      <c r="H5727">
        <f>_xlfn.IMAGE("https://m.media-amazon.com/images/I/71cdoT0D2wL._AC_UL320_.jpg")</f>
        <v/>
      </c>
      <c r="K5727" t="inlineStr">
        <is>
          <t>31.82</t>
        </is>
      </c>
      <c r="L5727" t="n">
        <v>34.17</v>
      </c>
      <c r="M5727" s="1" t="inlineStr">
        <is>
          <t>7.39%</t>
        </is>
      </c>
      <c r="N5727" s="7" t="n">
        <v>-9.1</v>
      </c>
      <c r="O5727" t="n">
        <v>4.5</v>
      </c>
      <c r="P5727" t="n">
        <v>59</v>
      </c>
      <c r="R5727" t="inlineStr">
        <is>
          <t>InStock</t>
        </is>
      </c>
      <c r="S5727" t="inlineStr">
        <is>
          <t>33.49</t>
        </is>
      </c>
      <c r="T5727" t="inlineStr">
        <is>
          <t>7726142652632</t>
        </is>
      </c>
    </row>
    <row r="5728" ht="87" customHeight="1">
      <c r="A5728" s="2">
        <f>HYPERLINK("https://edmondsonsupply.com/collections/electricians-tools/products/milwaukee-48-22-9716-16ft-stud%E2%84%A2-tape-measure", "https://edmondsonsupply.com/collections/electricians-tools/products/milwaukee-48-22-9716-16ft-stud%E2%84%A2-tape-measure")</f>
        <v/>
      </c>
      <c r="B5728" s="2">
        <f>HYPERLINK("https://edmondsonsupply.com/products/milwaukee-48-22-9716-16ft-stud%e2%84%a2-tape-measure", "https://edmondsonsupply.com/products/milwaukee-48-22-9716-16ft-stud%e2%84%a2-tape-measure")</f>
        <v/>
      </c>
      <c r="C5728" t="inlineStr">
        <is>
          <t>Milwaukee 48-22-9716 16ft STUD™ Tape Measure</t>
        </is>
      </c>
      <c r="D5728" t="inlineStr">
        <is>
          <t>Milwaukee 48227717 5m/16ft Pro Compact Tape Measure S5-16/25, Red</t>
        </is>
      </c>
      <c r="E5728" s="2">
        <f>HYPERLINK("https://www.amazon.com/Milwaukee-48227717-Compact-Measure-S5-16/dp/B07GYPLL6S/ref=sr_1_36?keywords=Milwaukee+48-22-9716+16ft+STUD%E2%84%A2+Tape+Measure&amp;qid=1694735408&amp;sr=8-36", "https://www.amazon.com/Milwaukee-48227717-Compact-Measure-S5-16/dp/B07GYPLL6S/ref=sr_1_36?keywords=Milwaukee+48-22-9716+16ft+STUD%E2%84%A2+Tape+Measure&amp;qid=1694735408&amp;sr=8-36")</f>
        <v/>
      </c>
      <c r="F5728" t="inlineStr">
        <is>
          <t>B07GYPLL6S</t>
        </is>
      </c>
      <c r="G5728">
        <f>_xlfn.IMAGE("https://edmondsonsupply.com/cdn/shop/products/48-22-9716.png?v=1587150345")</f>
        <v/>
      </c>
      <c r="H5728">
        <f>_xlfn.IMAGE("https://m.media-amazon.com/images/I/71r5MAtmbdL._AC_UL320_.jpg")</f>
        <v/>
      </c>
      <c r="K5728" t="inlineStr">
        <is>
          <t>19.99</t>
        </is>
      </c>
      <c r="L5728" t="n">
        <v>21.46</v>
      </c>
      <c r="M5728" s="1" t="inlineStr">
        <is>
          <t>7.35%</t>
        </is>
      </c>
      <c r="N5728" s="7" t="n">
        <v>-9.130000000000001</v>
      </c>
      <c r="O5728" t="n">
        <v>4.4</v>
      </c>
      <c r="P5728" t="n">
        <v>294</v>
      </c>
      <c r="R5728" t="inlineStr">
        <is>
          <t>InStock</t>
        </is>
      </c>
      <c r="S5728" t="inlineStr">
        <is>
          <t>34.6</t>
        </is>
      </c>
      <c r="T5728" t="inlineStr">
        <is>
          <t>4389579194468</t>
        </is>
      </c>
    </row>
    <row r="5729" hidden="1" ht="15.75" customHeight="1">
      <c r="A5729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5729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5729" t="inlineStr">
        <is>
          <t>Klein Tools 6924INS Slim-Tip Insulated Screwdriver, 1/4-Inch Cabinet, 4-Inch Round Shank</t>
        </is>
      </c>
      <c r="D5729" t="inlineStr">
        <is>
          <t>Klein Tools 6926INS Insulated Screwdriver, 1000V Slim Profile Tip, 1/4-Inch Cabinet Screwdriver with 6-Inch Shank, Cushion-Grip Handle</t>
        </is>
      </c>
      <c r="E5729" s="2">
        <f>HYPERLINK("https://www.amazon.com/Klein-Tools-6926INS-Screwdriver-Cushion-Grip/dp/B09GL1X5SZ/ref=sr_1_3?keywords=Klein+Tools+6924INS+Slim-Tip+Insulated+Screwdriver%2C+1%2F4-Inch+Cabinet%2C+4-Inch+Round+Shank&amp;qid=1694735273&amp;sr=8-3", "https://www.amazon.com/Klein-Tools-6926INS-Screwdriver-Cushion-Grip/dp/B09GL1X5SZ/ref=sr_1_3?keywords=Klein+Tools+6924INS+Slim-Tip+Insulated+Screwdriver%2C+1%2F4-Inch+Cabinet%2C+4-Inch+Round+Shank&amp;qid=1694735273&amp;sr=8-3")</f>
        <v/>
      </c>
      <c r="F5729" t="inlineStr">
        <is>
          <t>B09GL1X5SZ</t>
        </is>
      </c>
      <c r="G5729">
        <f>_xludf.IMAGE("https://edmondsonsupply.com/cdn/shop/products/6924ins.jpg?v=1633030554")</f>
        <v/>
      </c>
      <c r="H5729">
        <f>_xludf.IMAGE("https://m.media-amazon.com/images/I/41JbepP5oGL._AC_UL320_.jpg")</f>
        <v/>
      </c>
      <c r="K5729" t="inlineStr">
        <is>
          <t>13.97</t>
        </is>
      </c>
      <c r="L5729" t="n">
        <v>14.99</v>
      </c>
      <c r="M5729" s="1" t="inlineStr">
        <is>
          <t>7.30%</t>
        </is>
      </c>
      <c r="N5729" s="1" t="n">
        <v>-9.91</v>
      </c>
      <c r="O5729" t="n">
        <v>4.8</v>
      </c>
      <c r="P5729" t="n">
        <v>85</v>
      </c>
      <c r="R5729" t="inlineStr">
        <is>
          <t>InStock</t>
        </is>
      </c>
      <c r="S5729" t="inlineStr">
        <is>
          <t>19.54</t>
        </is>
      </c>
      <c r="T5729" t="inlineStr">
        <is>
          <t>5439557566632</t>
        </is>
      </c>
    </row>
    <row r="5730" ht="87" customHeight="1">
      <c r="A5730" s="2">
        <f>HYPERLINK("https://edmondsonsupply.com/collections/electricians-tools/products/rack-a-tiers-48000-driller-s-dust-bowl", "https://edmondsonsupply.com/collections/electricians-tools/products/rack-a-tiers-48000-driller-s-dust-bowl")</f>
        <v/>
      </c>
      <c r="B5730" s="2">
        <f>HYPERLINK("https://edmondsonsupply.com/products/rack-a-tiers-48000-driller-s-dust-bowl", "https://edmondsonsupply.com/products/rack-a-tiers-48000-driller-s-dust-bowl")</f>
        <v/>
      </c>
      <c r="C5730" t="inlineStr">
        <is>
          <t>Rack-A-Tiers 48000 Driller’s Dust Bowl</t>
        </is>
      </c>
      <c r="D5730" t="inlineStr">
        <is>
          <t>Rack-A-Tiers Driller's Dust Bowl - Hole Saw dust Bowl Installing recessed Lights, Works for All Hole saws, Flexible Drywall Dust Collector, Overhead Drilling dust Catcher (48000)</t>
        </is>
      </c>
      <c r="E5730" s="2">
        <f>HYPERLINK("https://www.amazon.com/Rack-Tiers-Drillers-Dust-Bowl/dp/B00QW29WR2/ref=sr_1_1?keywords=Rack-A-Tiers+48000+Driller%E2%80%99s+Dust+Bowl&amp;qid=1694735171&amp;sr=8-1", "https://www.amazon.com/Rack-Tiers-Drillers-Dust-Bowl/dp/B00QW29WR2/ref=sr_1_1?keywords=Rack-A-Tiers+48000+Driller%E2%80%99s+Dust+Bowl&amp;qid=1694735171&amp;sr=8-1")</f>
        <v/>
      </c>
      <c r="F5730" t="inlineStr">
        <is>
          <t>B00QW29WR2</t>
        </is>
      </c>
      <c r="G5730">
        <f>_xlfn.IMAGE("https://edmondsonsupply.com/cdn/shop/products/48000-Drillers-Dust-Bowl-6.png?v=1640112431")</f>
        <v/>
      </c>
      <c r="H5730">
        <f>_xlfn.IMAGE("https://m.media-amazon.com/images/I/41juH+JG+LL._AC_UL320_.jpg")</f>
        <v/>
      </c>
      <c r="K5730" t="inlineStr">
        <is>
          <t>27.49</t>
        </is>
      </c>
      <c r="L5730" t="n">
        <v>29.49</v>
      </c>
      <c r="M5730" s="1" t="inlineStr">
        <is>
          <t>7.28%</t>
        </is>
      </c>
      <c r="N5730" s="7" t="n">
        <v>-9.91</v>
      </c>
      <c r="O5730" t="n">
        <v>4.5</v>
      </c>
      <c r="P5730" t="n">
        <v>299</v>
      </c>
      <c r="R5730" t="inlineStr">
        <is>
          <t>InStock</t>
        </is>
      </c>
      <c r="S5730" t="inlineStr">
        <is>
          <t>29.49</t>
        </is>
      </c>
      <c r="T5730" t="inlineStr">
        <is>
          <t>7555292365016</t>
        </is>
      </c>
    </row>
    <row r="5731" ht="87" customHeight="1">
      <c r="A5731" s="2">
        <f>HYPERLINK("https://edmondsonsupply.com/collections/electricians-tools/products/rack-a-tiers-11941-the-tug-wise-standard-15-bearing", "https://edmondsonsupply.com/collections/electricians-tools/products/rack-a-tiers-11941-the-tug-wise-standard-15-bearing")</f>
        <v/>
      </c>
      <c r="B5731" s="2">
        <f>HYPERLINK("https://edmondsonsupply.com/products/rack-a-tiers-11941-the-tug-wise-standard-15-bearing", "https://edmondsonsupply.com/products/rack-a-tiers-11941-the-tug-wise-standard-15-bearing")</f>
        <v/>
      </c>
      <c r="C5731" t="inlineStr">
        <is>
          <t>Rack-A-Tiers 11931 The Tug Wise Standard</t>
        </is>
      </c>
      <c r="D5731" t="inlineStr">
        <is>
          <t>Rack-A-Tiers Tug Wise - Compact Wire Dispenser up to 500lbs (11931)</t>
        </is>
      </c>
      <c r="E5731" s="2">
        <f>HYPERLINK("https://www.amazon.com/Rack-A-Tiers-11931-Tug-Wise-standard-Model/dp/B0127EQXC0/ref=sr_1_1?keywords=Rack-A-Tiers+11931+The+Tug+Wise+Standard&amp;qid=1694735031&amp;sr=8-1", "https://www.amazon.com/Rack-A-Tiers-11931-Tug-Wise-standard-Model/dp/B0127EQXC0/ref=sr_1_1?keywords=Rack-A-Tiers+11931+The+Tug+Wise+Standard&amp;qid=1694735031&amp;sr=8-1")</f>
        <v/>
      </c>
      <c r="F5731" t="inlineStr">
        <is>
          <t>B0127EQXC0</t>
        </is>
      </c>
      <c r="G5731">
        <f>_xlfn.IMAGE("https://edmondsonsupply.com/cdn/shop/products/11931-Tug-Wise-Standard-3.webp?v=1677015489")</f>
        <v/>
      </c>
      <c r="H5731">
        <f>_xlfn.IMAGE("https://m.media-amazon.com/images/I/31TPv8cfiPL._AC_UL320_.jpg")</f>
        <v/>
      </c>
      <c r="K5731" t="inlineStr">
        <is>
          <t>145.99</t>
        </is>
      </c>
      <c r="L5731" t="n">
        <v>156.47</v>
      </c>
      <c r="M5731" s="1" t="inlineStr">
        <is>
          <t>7.18%</t>
        </is>
      </c>
      <c r="N5731" s="7" t="n">
        <v>-10.01</v>
      </c>
      <c r="O5731" t="n">
        <v>4.4</v>
      </c>
      <c r="P5731" t="n">
        <v>7</v>
      </c>
      <c r="R5731" t="inlineStr">
        <is>
          <t>InStock</t>
        </is>
      </c>
      <c r="S5731" t="inlineStr">
        <is>
          <t>156.49</t>
        </is>
      </c>
      <c r="T5731" t="inlineStr">
        <is>
          <t>7949319864536</t>
        </is>
      </c>
    </row>
    <row r="5732" ht="87" customHeight="1">
      <c r="A5732" s="2">
        <f>HYPERLINK("https://edmondsonsupply.com/collections/electricians-tools/products/milwaukee-49-56-9280-7-pc-big-hawg%E2%84%A2-with-carbide-teeth-hole-saw-kit", "https://edmondsonsupply.com/collections/electricians-tools/products/milwaukee-49-56-9280-7-pc-big-hawg%E2%84%A2-with-carbide-teeth-hole-saw-kit")</f>
        <v/>
      </c>
      <c r="B5732" s="2">
        <f>HYPERLINK("https://edmondsonsupply.com/products/milwaukee-49-56-9280-7-pc-big-hawg%e2%84%a2-with-carbide-teeth-hole-saw-kit", "https://edmondsonsupply.com/products/milwaukee-49-56-9280-7-pc-big-hawg%e2%84%a2-with-carbide-teeth-hole-saw-kit")</f>
        <v/>
      </c>
      <c r="C5732" t="inlineStr">
        <is>
          <t>Milwaukee 49-56-9280 7 PC BIG HAWG™ with Carbide Teeth Hole Saw Kit</t>
        </is>
      </c>
      <c r="D5732" t="inlineStr">
        <is>
          <t>Milwaukee 49-56-9285 8 Pc Big Hawg Hole Saw W/Carbide Teeth Kit New</t>
        </is>
      </c>
      <c r="E5732" s="2">
        <f>HYPERLINK("https://www.amazon.com/Milwaukee-49-56-9285-Hawg-Carbide-Teeth/dp/B07HNDM4VB/ref=sr_1_1?keywords=Milwaukee+49-56-9280+7+PC+BIG+HAWG%E2%84%A2+with+Carbide+Teeth+Hole+Saw+Kit&amp;qid=1694735079&amp;sr=8-1", "https://www.amazon.com/Milwaukee-49-56-9285-Hawg-Carbide-Teeth/dp/B07HNDM4VB/ref=sr_1_1?keywords=Milwaukee+49-56-9280+7+PC+BIG+HAWG%E2%84%A2+with+Carbide+Teeth+Hole+Saw+Kit&amp;qid=1694735079&amp;sr=8-1")</f>
        <v/>
      </c>
      <c r="F5732" t="inlineStr">
        <is>
          <t>B07HNDM4VB</t>
        </is>
      </c>
      <c r="G5732">
        <f>_xlfn.IMAGE("https://edmondsonsupply.com/cdn/shop/products/49-56-9280_Kit.png?v=1668538393")</f>
        <v/>
      </c>
      <c r="H5732">
        <f>_xlfn.IMAGE("https://m.media-amazon.com/images/I/91MZfSE7dxL._AC_UL320_.jpg")</f>
        <v/>
      </c>
      <c r="K5732" t="inlineStr">
        <is>
          <t>139.97</t>
        </is>
      </c>
      <c r="L5732" t="n">
        <v>150</v>
      </c>
      <c r="M5732" s="1" t="inlineStr">
        <is>
          <t>7.17%</t>
        </is>
      </c>
      <c r="N5732" s="7" t="n">
        <v>-10.02</v>
      </c>
      <c r="O5732" t="n">
        <v>4.8</v>
      </c>
      <c r="P5732" t="n">
        <v>99</v>
      </c>
      <c r="R5732" t="inlineStr">
        <is>
          <t>InStock</t>
        </is>
      </c>
      <c r="S5732" t="inlineStr">
        <is>
          <t>203.4</t>
        </is>
      </c>
      <c r="T5732" t="inlineStr">
        <is>
          <t>7885368721624</t>
        </is>
      </c>
    </row>
    <row r="5733" hidden="1" ht="15.75" customHeight="1">
      <c r="A5733" s="2">
        <f>HYPERLINK("https://edmondsonsupply.com/collections/electricians-tools/products/klein-tools-6944ins", "https://edmondsonsupply.com/collections/electricians-tools/products/klein-tools-6944ins")</f>
        <v/>
      </c>
      <c r="B5733" s="2">
        <f>HYPERLINK("https://edmondsonsupply.com/products/klein-tools-6944ins", "https://edmondsonsupply.com/products/klein-tools-6944ins")</f>
        <v/>
      </c>
      <c r="C5733" t="inlineStr">
        <is>
          <t>Klein Tools 6944INS Slim-Tip 1000V Insulated Screwdriver, #2 Square, 4-Inch Round Shank</t>
        </is>
      </c>
      <c r="D5733" t="inlineStr">
        <is>
          <t>Klein Tools 6926INS Insulated Screwdriver, 1000V Slim Profile Tip, 1/4-Inch Cabinet Screwdriver with 6-Inch Shank, Cushion-Grip Handle</t>
        </is>
      </c>
      <c r="E5733" s="2">
        <f>HYPERLINK("https://www.amazon.com/Klein-Tools-6926INS-Screwdriver-Cushion-Grip/dp/B09GL1X5SZ/ref=sr_1_13?keywords=Klein+Tools+6944INS+Slim-Tip+1000V+Insulated+Screwdriver%2C+%232+Square%2C+4-Inch+Round+Shank&amp;qid=1694735113&amp;sr=8-13", "https://www.amazon.com/Klein-Tools-6926INS-Screwdriver-Cushion-Grip/dp/B09GL1X5SZ/ref=sr_1_13?keywords=Klein+Tools+6944INS+Slim-Tip+1000V+Insulated+Screwdriver%2C+%232+Square%2C+4-Inch+Round+Shank&amp;qid=1694735113&amp;sr=8-13")</f>
        <v/>
      </c>
      <c r="F5733" t="inlineStr">
        <is>
          <t>B09GL1X5SZ</t>
        </is>
      </c>
      <c r="G5733">
        <f>_xludf.IMAGE("https://edmondsonsupply.com/cdn/shop/products/6944ins.jpg?v=1664804875")</f>
        <v/>
      </c>
      <c r="H5733">
        <f>_xludf.IMAGE("https://m.media-amazon.com/images/I/41JbepP5oGL._AC_UL320_.jpg")</f>
        <v/>
      </c>
      <c r="K5733" t="inlineStr">
        <is>
          <t>13.99</t>
        </is>
      </c>
      <c r="L5733" t="n">
        <v>14.99</v>
      </c>
      <c r="M5733" s="1" t="inlineStr">
        <is>
          <t>7.15%</t>
        </is>
      </c>
      <c r="N5733" s="1" t="n">
        <v>-11.13</v>
      </c>
      <c r="O5733" t="n">
        <v>4.8</v>
      </c>
      <c r="P5733" t="n">
        <v>85</v>
      </c>
      <c r="R5733" t="inlineStr">
        <is>
          <t>InStock</t>
        </is>
      </c>
      <c r="S5733" t="inlineStr">
        <is>
          <t>19.54</t>
        </is>
      </c>
      <c r="T5733" t="inlineStr">
        <is>
          <t>7837602054360</t>
        </is>
      </c>
    </row>
    <row r="5734" hidden="1" ht="15.75" customHeight="1">
      <c r="A5734" s="2">
        <f>HYPERLINK("https://edmondsonsupply.com/collections/electricians-tools/products/klein-tools-6984ins-slim-tip-1000v-insulated-screwdriver-1-square-4-inch-round-shank", "https://edmondsonsupply.com/collections/electricians-tools/products/klein-tools-6984ins-slim-tip-1000v-insulated-screwdriver-1-square-4-inch-round-shank")</f>
        <v/>
      </c>
      <c r="B5734" s="2">
        <f>HYPERLINK("https://edmondsonsupply.com/products/klein-tools-6984ins-slim-tip-1000v-insulated-screwdriver-1-square-4-inch-round-shank", "https://edmondsonsupply.com/products/klein-tools-6984ins-slim-tip-1000v-insulated-screwdriver-1-square-4-inch-round-shank")</f>
        <v/>
      </c>
      <c r="C5734" t="inlineStr">
        <is>
          <t>Klein Tools 6984INS Slim-Tip 1000V Insulated Screwdriver, #1 Square, 4-Inch Round Shank</t>
        </is>
      </c>
      <c r="D5734" t="inlineStr">
        <is>
          <t>Klein Tools 6986INS Insulated Screwdriver, 1000V Slim Profile Tip, #1 Square with 6-Inch Shank, Cushion-Grip Handle</t>
        </is>
      </c>
      <c r="E5734" s="2">
        <f>HYPERLINK("https://www.amazon.com/Klein-Tools-6986INS-Screwdriver-Cushion-Grip/dp/B09GPYQ7DM/ref=sr_1_5?keywords=Klein+Tools+6984INS+Slim-Tip+1000V+Insulated+Screwdriver%2C&amp;qid=1694735107&amp;sr=8-5", "https://www.amazon.com/Klein-Tools-6986INS-Screwdriver-Cushion-Grip/dp/B09GPYQ7DM/ref=sr_1_5?keywords=Klein+Tools+6984INS+Slim-Tip+1000V+Insulated+Screwdriver%2C&amp;qid=1694735107&amp;sr=8-5")</f>
        <v/>
      </c>
      <c r="F5734" t="inlineStr">
        <is>
          <t>B09GPYQ7DM</t>
        </is>
      </c>
      <c r="G5734">
        <f>_xludf.IMAGE("https://edmondsonsupply.com/cdn/shop/products/6984ins.jpg?v=1664806448")</f>
        <v/>
      </c>
      <c r="H5734">
        <f>_xludf.IMAGE("https://m.media-amazon.com/images/I/41d5Ic37xZL._AC_UL320_.jpg")</f>
        <v/>
      </c>
      <c r="K5734" t="inlineStr">
        <is>
          <t>13.99</t>
        </is>
      </c>
      <c r="L5734" t="n">
        <v>14.99</v>
      </c>
      <c r="M5734" s="1" t="inlineStr">
        <is>
          <t>7.15%</t>
        </is>
      </c>
      <c r="N5734" s="1" t="n">
        <v>-11.14</v>
      </c>
      <c r="O5734" t="n">
        <v>4.8</v>
      </c>
      <c r="P5734" t="n">
        <v>29</v>
      </c>
      <c r="R5734" t="inlineStr">
        <is>
          <t>InStock</t>
        </is>
      </c>
      <c r="S5734" t="inlineStr">
        <is>
          <t>19.54</t>
        </is>
      </c>
      <c r="T5734" t="inlineStr">
        <is>
          <t>7837625450712</t>
        </is>
      </c>
    </row>
    <row r="5735" hidden="1" ht="15.75" customHeight="1">
      <c r="A5735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5735" s="2">
        <f>HYPERLINK("https://edmondsonsupply.com/products/klein-tools-31940-bi-metal-hole-saw-2-1-2-inch", "https://edmondsonsupply.com/products/klein-tools-31940-bi-metal-hole-saw-2-1-2-inch")</f>
        <v/>
      </c>
      <c r="C5735" t="inlineStr">
        <is>
          <t>Klein Tools 31940 Bi-Metal Hole Saw, 2-1/2-Inch</t>
        </is>
      </c>
      <c r="D5735" t="inlineStr">
        <is>
          <t>Klein Tools 31534 Bi-Metal Hole Saw, 2-1/8-Inch</t>
        </is>
      </c>
      <c r="E5735" s="2">
        <f>HYPERLINK("https://www.amazon.com/Klein-Tools-31534-Bi-Metal-8-Inch/dp/B0009OIJFA/ref=sr_1_7?keywords=Klein+Tools+31940+Bi-Metal+Hole+Saw%2C+2-1%2F2-Inch&amp;qid=1694735159&amp;sr=8-7", "https://www.amazon.com/Klein-Tools-31534-Bi-Metal-8-Inch/dp/B0009OIJFA/ref=sr_1_7?keywords=Klein+Tools+31940+Bi-Metal+Hole+Saw%2C+2-1%2F2-Inch&amp;qid=1694735159&amp;sr=8-7")</f>
        <v/>
      </c>
      <c r="F5735" t="inlineStr">
        <is>
          <t>B0009OIJFA</t>
        </is>
      </c>
      <c r="G5735">
        <f>_xludf.IMAGE("https://edmondsonsupply.com/cdn/shop/products/31940.jpg?v=1649380086")</f>
        <v/>
      </c>
      <c r="H5735">
        <f>_xludf.IMAGE("https://m.media-amazon.com/images/I/31Wk-f8wwaL._AC_UL320_.jpg")</f>
        <v/>
      </c>
      <c r="K5735" t="inlineStr">
        <is>
          <t>13.99</t>
        </is>
      </c>
      <c r="L5735" t="n">
        <v>14.99</v>
      </c>
      <c r="M5735" s="1" t="inlineStr">
        <is>
          <t>7.15%</t>
        </is>
      </c>
      <c r="N5735" s="1" t="n">
        <v>-11.43</v>
      </c>
      <c r="O5735" t="n">
        <v>5</v>
      </c>
      <c r="P5735" t="n">
        <v>5</v>
      </c>
      <c r="R5735" t="inlineStr">
        <is>
          <t>InStock</t>
        </is>
      </c>
      <c r="S5735" t="inlineStr">
        <is>
          <t>18.22</t>
        </is>
      </c>
      <c r="T5735" t="inlineStr">
        <is>
          <t>7657257074904</t>
        </is>
      </c>
    </row>
    <row r="5736" hidden="1" ht="15.75" customHeight="1">
      <c r="A5736" s="2">
        <f>HYPERLINK("https://edmondsonsupply.com/collections/electricians-tools/products/klein-tools-6984ins-slim-tip-1000v-insulated-screwdriver-1-square-4-inch-round-shank", "https://edmondsonsupply.com/collections/electricians-tools/products/klein-tools-6984ins-slim-tip-1000v-insulated-screwdriver-1-square-4-inch-round-shank")</f>
        <v/>
      </c>
      <c r="B5736" s="2">
        <f>HYPERLINK("https://edmondsonsupply.com/products/klein-tools-6984ins-slim-tip-1000v-insulated-screwdriver-1-square-4-inch-round-shank", "https://edmondsonsupply.com/products/klein-tools-6984ins-slim-tip-1000v-insulated-screwdriver-1-square-4-inch-round-shank")</f>
        <v/>
      </c>
      <c r="C5736" t="inlineStr">
        <is>
          <t>Klein Tools 6984INS Slim-Tip 1000V Insulated Screwdriver, #1 Square, 4-Inch Round Shank</t>
        </is>
      </c>
      <c r="D5736" t="inlineStr">
        <is>
          <t>Klein Tools 6926INS Insulated Screwdriver, 1000V Slim Profile Tip, 1/4-Inch Cabinet Screwdriver with 6-Inch Shank, Cushion-Grip Handle</t>
        </is>
      </c>
      <c r="E5736" s="2">
        <f>HYPERLINK("https://www.amazon.com/Klein-Tools-6926INS-Screwdriver-Cushion-Grip/dp/B09GL1X5SZ/ref=sr_1_4?keywords=Klein+Tools+6984INS+Slim-Tip+1000V+Insulated+Screwdriver%2C&amp;qid=1694735107&amp;sr=8-4", "https://www.amazon.com/Klein-Tools-6926INS-Screwdriver-Cushion-Grip/dp/B09GL1X5SZ/ref=sr_1_4?keywords=Klein+Tools+6984INS+Slim-Tip+1000V+Insulated+Screwdriver%2C&amp;qid=1694735107&amp;sr=8-4")</f>
        <v/>
      </c>
      <c r="F5736" t="inlineStr">
        <is>
          <t>B09GL1X5SZ</t>
        </is>
      </c>
      <c r="G5736">
        <f>_xludf.IMAGE("https://edmondsonsupply.com/cdn/shop/products/6984ins.jpg?v=1664806448")</f>
        <v/>
      </c>
      <c r="H5736">
        <f>_xludf.IMAGE("https://m.media-amazon.com/images/I/41JbepP5oGL._AC_UL320_.jpg")</f>
        <v/>
      </c>
      <c r="K5736" t="inlineStr">
        <is>
          <t>13.99</t>
        </is>
      </c>
      <c r="L5736" t="n">
        <v>14.99</v>
      </c>
      <c r="M5736" s="1" t="inlineStr">
        <is>
          <t>7.15%</t>
        </is>
      </c>
      <c r="N5736" s="1" t="n">
        <v>-12.09</v>
      </c>
      <c r="O5736" t="n">
        <v>4.8</v>
      </c>
      <c r="P5736" t="n">
        <v>85</v>
      </c>
      <c r="R5736" t="inlineStr">
        <is>
          <t>InStock</t>
        </is>
      </c>
      <c r="S5736" t="inlineStr">
        <is>
          <t>19.54</t>
        </is>
      </c>
      <c r="T5736" t="inlineStr">
        <is>
          <t>7837625450712</t>
        </is>
      </c>
    </row>
    <row r="5737" hidden="1" ht="15.75" customHeight="1">
      <c r="A5737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5737" s="2">
        <f>HYPERLINK("https://edmondsonsupply.com/products/klein-tools-jth6m2-2-mm-hex-key-journeyman-t-handle-6-inch", "https://edmondsonsupply.com/products/klein-tools-jth6m2-2-mm-hex-key-journeyman-t-handle-6-inch")</f>
        <v/>
      </c>
      <c r="C5737" t="inlineStr">
        <is>
          <t>Klein Tools JTH6M2 2 mm Hex Key, Journeyman T-Handle, 6-Inch</t>
        </is>
      </c>
      <c r="D5737" t="inlineStr">
        <is>
          <t>Klein Tools JTH9E06 3/32-Inch Hex Key, Journeyman T-Handle, 9-Inch</t>
        </is>
      </c>
      <c r="E5737" s="2">
        <f>HYPERLINK("https://www.amazon.com/Journeyman-T-Handle-Klein-Tools-JTH9E06/dp/B004QV4A50/ref=sr_1_8?keywords=Klein+Tools+JTH6M2+2+mm+Hex+Key%2C+Journeyman+T-Handle%2C+6-Inch&amp;qid=1694735354&amp;sr=8-8", "https://www.amazon.com/Journeyman-T-Handle-Klein-Tools-JTH9E06/dp/B004QV4A50/ref=sr_1_8?keywords=Klein+Tools+JTH6M2+2+mm+Hex+Key%2C+Journeyman+T-Handle%2C+6-Inch&amp;qid=1694735354&amp;sr=8-8")</f>
        <v/>
      </c>
      <c r="F5737" t="inlineStr">
        <is>
          <t>B004QV4A50</t>
        </is>
      </c>
      <c r="G5737">
        <f>_xludf.IMAGE("https://edmondsonsupply.com/cdn/shop/products/jth6m8_a05a7009-87dd-4391-9f0b-ef31a782bd36.jpg?v=1587147558")</f>
        <v/>
      </c>
      <c r="H5737">
        <f>_xludf.IMAGE("https://m.media-amazon.com/images/I/51Yb8h41vLL._AC_UL320_.jpg")</f>
        <v/>
      </c>
      <c r="K5737" t="inlineStr">
        <is>
          <t>3.99</t>
        </is>
      </c>
      <c r="L5737" t="n">
        <v>4.27</v>
      </c>
      <c r="M5737" s="1" t="inlineStr">
        <is>
          <t>7.02%</t>
        </is>
      </c>
      <c r="N5737" s="1" t="n">
        <v>-12.13</v>
      </c>
      <c r="O5737" t="n">
        <v>4.7</v>
      </c>
      <c r="P5737" t="n">
        <v>390</v>
      </c>
      <c r="R5737" t="inlineStr">
        <is>
          <t>InStock</t>
        </is>
      </c>
      <c r="S5737" t="inlineStr">
        <is>
          <t>6.06</t>
        </is>
      </c>
      <c r="T5737" t="inlineStr">
        <is>
          <t>4506082738276</t>
        </is>
      </c>
    </row>
    <row r="5738" hidden="1" ht="15.75" customHeight="1">
      <c r="A5738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5738" s="2">
        <f>HYPERLINK("https://edmondsonsupply.com/products/klein-tools-jth6e08-1-8-inch-hex-key-journeyman-t-handle-6-inch", "https://edmondsonsupply.com/products/klein-tools-jth6e08-1-8-inch-hex-key-journeyman-t-handle-6-inch")</f>
        <v/>
      </c>
      <c r="C5738" t="inlineStr">
        <is>
          <t>Klein Tools JTH6E08 1/8-Inch Hex Key, Journeyman T-Handle, 6-Inch</t>
        </is>
      </c>
      <c r="D5738" t="inlineStr">
        <is>
          <t>Klein Tools JTH9E08 1/8-Inch Hex Key, Journeyman T-Handle, 9-Inch</t>
        </is>
      </c>
      <c r="E5738" s="2">
        <f>HYPERLINK("https://www.amazon.com/Journeyman-T-Handle-Klein-Tools-JTH9E08/dp/B004QV8DGW/ref=sr_1_3?keywords=Klein+Tools+JTH6E08+1%2F8-Inch+Hex+Key%2C+Journeyman+T-Handle%2C+6-Inch&amp;qid=1694735241&amp;sr=8-3", "https://www.amazon.com/Journeyman-T-Handle-Klein-Tools-JTH9E08/dp/B004QV8DGW/ref=sr_1_3?keywords=Klein+Tools+JTH6E08+1%2F8-Inch+Hex+Key%2C+Journeyman+T-Handle%2C+6-Inch&amp;qid=1694735241&amp;sr=8-3")</f>
        <v/>
      </c>
      <c r="F5738" t="inlineStr">
        <is>
          <t>B004QV8DGW</t>
        </is>
      </c>
      <c r="G5738">
        <f>_xludf.IMAGE("https://edmondsonsupply.com/cdn/shop/products/jth6e15_e3103b57-060e-4d47-a405-4e66dc6bbb91.jpg?v=1604272072")</f>
        <v/>
      </c>
      <c r="H5738">
        <f>_xludf.IMAGE("https://m.media-amazon.com/images/I/51Yb8h41vLL._AC_UL320_.jpg")</f>
        <v/>
      </c>
      <c r="K5738" t="inlineStr">
        <is>
          <t>3.99</t>
        </is>
      </c>
      <c r="L5738" t="n">
        <v>4.27</v>
      </c>
      <c r="M5738" s="1" t="inlineStr">
        <is>
          <t>7.02%</t>
        </is>
      </c>
      <c r="N5738" s="1" t="n">
        <v>-12.5</v>
      </c>
      <c r="O5738" t="n">
        <v>4.7</v>
      </c>
      <c r="P5738" t="n">
        <v>390</v>
      </c>
      <c r="R5738" t="inlineStr">
        <is>
          <t>InStock</t>
        </is>
      </c>
      <c r="S5738" t="inlineStr">
        <is>
          <t>6.04</t>
        </is>
      </c>
      <c r="T5738" t="inlineStr">
        <is>
          <t>6005767635112</t>
        </is>
      </c>
    </row>
    <row r="5739" hidden="1" ht="15.75" customHeight="1">
      <c r="A5739" s="2">
        <f>HYPERLINK("https://edmondsonsupply.com/collections/electricians-tools/products/klein-tools-jth6e07-7-64-inch-hex-key-journeyman%E2%84%A2-t-handle-6-inch", "https://edmondsonsupply.com/collections/electricians-tools/products/klein-tools-jth6e07-7-64-inch-hex-key-journeyman%E2%84%A2-t-handle-6-inch")</f>
        <v/>
      </c>
      <c r="B5739" s="2">
        <f>HYPERLINK("https://edmondsonsupply.com/products/klein-tools-jth6e07-7-64-inch-hex-key-journeyman%e2%84%a2-t-handle-6-inch", "https://edmondsonsupply.com/products/klein-tools-jth6e07-7-64-inch-hex-key-journeyman%e2%84%a2-t-handle-6-inch")</f>
        <v/>
      </c>
      <c r="C5739" t="inlineStr">
        <is>
          <t>Klein Tools JTH6E07 7/64-Inch Hex Key, Journeyman™ T-Handle, 6-Inch</t>
        </is>
      </c>
      <c r="D5739" t="inlineStr">
        <is>
          <t>7/64-Inch Hex Key with Journeyman T-Handle, 9-Inch Klein Tools JTH9E07</t>
        </is>
      </c>
      <c r="E5739" s="2">
        <f>HYPERLINK("https://www.amazon.com/Journeyman-T-Handle-Klein-Tools-JTH9E07/dp/B004QV6Q9S/ref=sr_1_3?keywords=Klein+Tools+JTH6E07+7%2F64-Inch+Hex+Key%2C+Journeyman%E2%84%A2+T-Handle%2C+6-Inch&amp;qid=1694735097&amp;sr=8-3", "https://www.amazon.com/Journeyman-T-Handle-Klein-Tools-JTH9E07/dp/B004QV6Q9S/ref=sr_1_3?keywords=Klein+Tools+JTH6E07+7%2F64-Inch+Hex+Key%2C+Journeyman%E2%84%A2+T-Handle%2C+6-Inch&amp;qid=1694735097&amp;sr=8-3")</f>
        <v/>
      </c>
      <c r="F5739" t="inlineStr">
        <is>
          <t>B004QV6Q9S</t>
        </is>
      </c>
      <c r="G5739">
        <f>_xludf.IMAGE("https://edmondsonsupply.com/cdn/shop/products/jth6e15_1.jpg?v=1666369631")</f>
        <v/>
      </c>
      <c r="H5739">
        <f>_xludf.IMAGE("https://m.media-amazon.com/images/I/51Yb8h41vLL._AC_UL320_.jpg")</f>
        <v/>
      </c>
      <c r="K5739" t="inlineStr">
        <is>
          <t>3.99</t>
        </is>
      </c>
      <c r="L5739" t="n">
        <v>4.27</v>
      </c>
      <c r="M5739" s="1" t="inlineStr">
        <is>
          <t>7.02%</t>
        </is>
      </c>
      <c r="N5739" s="1" t="n">
        <v>-14.92</v>
      </c>
      <c r="O5739" t="n">
        <v>4.7</v>
      </c>
      <c r="P5739" t="n">
        <v>390</v>
      </c>
      <c r="R5739" t="inlineStr">
        <is>
          <t>InStock</t>
        </is>
      </c>
      <c r="S5739" t="inlineStr">
        <is>
          <t>6.04</t>
        </is>
      </c>
      <c r="T5739" t="inlineStr">
        <is>
          <t>7861255078104</t>
        </is>
      </c>
    </row>
    <row r="5740" hidden="1" ht="15.75" customHeight="1">
      <c r="A5740" s="2">
        <f>HYPERLINK("https://edmondsonsupply.com/collections/electricians-tools/products/klein-tools-jth4e06-3-32-inch-hex-key-journeyman-t-handle-4-inch", "https://edmondsonsupply.com/collections/electricians-tools/products/klein-tools-jth4e06-3-32-inch-hex-key-journeyman-t-handle-4-inch")</f>
        <v/>
      </c>
      <c r="B5740" s="2">
        <f>HYPERLINK("https://edmondsonsupply.com/products/klein-tools-jth4e06-3-32-inch-hex-key-journeyman-t-handle-4-inch", "https://edmondsonsupply.com/products/klein-tools-jth4e06-3-32-inch-hex-key-journeyman-t-handle-4-inch")</f>
        <v/>
      </c>
      <c r="C5740" t="inlineStr">
        <is>
          <t>Klein Tools JTH4E06 3/32-Inch Hex Key, Journeyman T-Handle, 4-Inch</t>
        </is>
      </c>
      <c r="D5740" t="inlineStr">
        <is>
          <t>Klein Tools JTH9E06 3/32-Inch Hex Key, Journeyman T-Handle, 9-Inch</t>
        </is>
      </c>
      <c r="E5740" s="2">
        <f>HYPERLINK("https://www.amazon.com/Journeyman-T-Handle-Klein-Tools-JTH9E06/dp/B004QV4A50/ref=sr_1_2?keywords=Klein+Tools+JTH4E06+3%2F32-Inch+Hex+Key%2C+Journeyman+T-Handle%2C+4-Inch&amp;qid=1694735173&amp;sr=8-2", "https://www.amazon.com/Journeyman-T-Handle-Klein-Tools-JTH9E06/dp/B004QV4A50/ref=sr_1_2?keywords=Klein+Tools+JTH4E06+3%2F32-Inch+Hex+Key%2C+Journeyman+T-Handle%2C+4-Inch&amp;qid=1694735173&amp;sr=8-2")</f>
        <v/>
      </c>
      <c r="F5740" t="inlineStr">
        <is>
          <t>B004QV4A50</t>
        </is>
      </c>
      <c r="G5740">
        <f>_xludf.IMAGE("https://edmondsonsupply.com/cdn/shop/products/jth4e06.jpg?v=1635112029")</f>
        <v/>
      </c>
      <c r="H5740">
        <f>_xludf.IMAGE("https://m.media-amazon.com/images/I/51Yb8h41vLL._AC_UL320_.jpg")</f>
        <v/>
      </c>
      <c r="K5740" t="inlineStr">
        <is>
          <t>3.99</t>
        </is>
      </c>
      <c r="L5740" t="n">
        <v>4.27</v>
      </c>
      <c r="M5740" s="1" t="inlineStr">
        <is>
          <t>7.02%</t>
        </is>
      </c>
      <c r="N5740" s="1" t="n">
        <v>-15</v>
      </c>
      <c r="O5740" t="n">
        <v>4.7</v>
      </c>
      <c r="P5740" t="n">
        <v>390</v>
      </c>
      <c r="R5740" t="inlineStr">
        <is>
          <t>InStock</t>
        </is>
      </c>
      <c r="S5740" t="inlineStr">
        <is>
          <t>6.04</t>
        </is>
      </c>
      <c r="T5740" t="inlineStr">
        <is>
          <t>7032648794285</t>
        </is>
      </c>
    </row>
    <row r="5741" hidden="1" ht="15.75" customHeight="1">
      <c r="A5741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5741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5741" t="inlineStr">
        <is>
          <t>Klein Tools JTH6E06 3/32-Inch Hex Key, Journeyman T-Handle, 6-Inch</t>
        </is>
      </c>
      <c r="D5741" t="inlineStr">
        <is>
          <t>Klein Tools JTH9E06 3/32-Inch Hex Key, Journeyman T-Handle, 9-Inch</t>
        </is>
      </c>
      <c r="E5741" s="2">
        <f>HYPERLINK("https://www.amazon.com/Journeyman-T-Handle-Klein-Tools-JTH9E06/dp/B004QV4A50/ref=sr_1_3?keywords=Klein+Tools+JTH6E06+3%2F32-Inch+Hex+Key%2C+Journeyman+T-Handle%2C+6-Inch&amp;qid=1694735341&amp;sr=8-3", "https://www.amazon.com/Journeyman-T-Handle-Klein-Tools-JTH9E06/dp/B004QV4A50/ref=sr_1_3?keywords=Klein+Tools+JTH6E06+3%2F32-Inch+Hex+Key%2C+Journeyman+T-Handle%2C+6-Inch&amp;qid=1694735341&amp;sr=8-3")</f>
        <v/>
      </c>
      <c r="F5741" t="inlineStr">
        <is>
          <t>B004QV4A50</t>
        </is>
      </c>
      <c r="G5741">
        <f>_xludf.IMAGE("https://edmondsonsupply.com/cdn/shop/products/jth6e15_f3f40e05-27ea-4df2-91fc-a673e8aa5e4b.jpg?v=1587150971")</f>
        <v/>
      </c>
      <c r="H5741">
        <f>_xludf.IMAGE("https://m.media-amazon.com/images/I/51Yb8h41vLL._AC_UL320_.jpg")</f>
        <v/>
      </c>
      <c r="K5741" t="inlineStr">
        <is>
          <t>3.99</t>
        </is>
      </c>
      <c r="L5741" t="n">
        <v>4.27</v>
      </c>
      <c r="M5741" s="1" t="inlineStr">
        <is>
          <t>7.02%</t>
        </is>
      </c>
      <c r="N5741" s="1" t="n">
        <v>-15.94</v>
      </c>
      <c r="O5741" t="n">
        <v>4.7</v>
      </c>
      <c r="P5741" t="n">
        <v>390</v>
      </c>
      <c r="R5741" t="inlineStr">
        <is>
          <t>InStock</t>
        </is>
      </c>
      <c r="S5741" t="inlineStr">
        <is>
          <t>6.04</t>
        </is>
      </c>
      <c r="T5741" t="inlineStr">
        <is>
          <t>4512703709284</t>
        </is>
      </c>
    </row>
    <row r="5742" hidden="1" ht="15.75" customHeight="1">
      <c r="A5742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5742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5742" t="inlineStr">
        <is>
          <t>Klein Tools JTH6E06BE 3/32-Inch Ball End Hex Key with T-Handle, 6-Inch</t>
        </is>
      </c>
      <c r="D5742" t="inlineStr">
        <is>
          <t>Klein Tools JTH6E06BE 3/32-Inch Ball End Hex Key with Journeyman T-Handle, 6-Inch</t>
        </is>
      </c>
      <c r="E5742" s="2">
        <f>HYPERLINK("https://www.amazon.com/Journeyman-T-Handle-Klein-Tools-JTH6E06BE/dp/B004QVX826/ref=sr_1_1?keywords=Klein+Tools+JTH6E06BE+3%2F32-Inch+Ball+End+Hex+Key+with+T-Handle%2C+6-Inch&amp;qid=1694735201&amp;sr=8-1", "https://www.amazon.com/Journeyman-T-Handle-Klein-Tools-JTH6E06BE/dp/B004QVX826/ref=sr_1_1?keywords=Klein+Tools+JTH6E06BE+3%2F32-Inch+Ball+End+Hex+Key+with+T-Handle%2C+6-Inch&amp;qid=1694735201&amp;sr=8-1")</f>
        <v/>
      </c>
      <c r="F5742" t="inlineStr">
        <is>
          <t>B004QVX826</t>
        </is>
      </c>
      <c r="G5742">
        <f>_xludf.IMAGE("https://edmondsonsupply.com/cdn/shop/products/jth6e13be_f61308c8-99eb-44df-aac2-25c9159d6b6d.jpg?v=1633031148")</f>
        <v/>
      </c>
      <c r="H5742">
        <f>_xludf.IMAGE("https://m.media-amazon.com/images/I/51f9vBFVXgL._AC_UL320_.jpg")</f>
        <v/>
      </c>
      <c r="K5742" t="inlineStr">
        <is>
          <t>4.99</t>
        </is>
      </c>
      <c r="L5742" t="n">
        <v>5.34</v>
      </c>
      <c r="M5742" s="1" t="inlineStr">
        <is>
          <t>7.01%</t>
        </is>
      </c>
      <c r="N5742" s="1" t="n">
        <v>-16.68</v>
      </c>
      <c r="O5742" t="n">
        <v>4.8</v>
      </c>
      <c r="P5742" t="n">
        <v>454</v>
      </c>
      <c r="R5742" t="inlineStr">
        <is>
          <t>InStock</t>
        </is>
      </c>
      <c r="S5742" t="inlineStr">
        <is>
          <t>7.54</t>
        </is>
      </c>
      <c r="T5742" t="inlineStr">
        <is>
          <t>6895312601261</t>
        </is>
      </c>
    </row>
    <row r="5743" hidden="1" ht="15.75" customHeight="1">
      <c r="A5743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5743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5743" t="inlineStr">
        <is>
          <t>Klein Tools JTH6M3BE 3 mm Ball Hex Key Journeyman T-Handle 6-Inch</t>
        </is>
      </c>
      <c r="D5743" t="inlineStr">
        <is>
          <t>Klein Tools JTH6E06BE 3/32-Inch Ball End Hex Key with Journeyman T-Handle, 6-Inch</t>
        </is>
      </c>
      <c r="E5743" s="2">
        <f>HYPERLINK("https://www.amazon.com/Journeyman-T-Handle-Klein-Tools-JTH6E06BE/dp/B004QVX826/ref=sr_1_3?keywords=Klein+Tools+JTH6M3BE+3+mm+Ball+Hex+Key+Journeyman+T-Handle+6-Inch&amp;qid=1694735145&amp;sr=8-3", "https://www.amazon.com/Journeyman-T-Handle-Klein-Tools-JTH6E06BE/dp/B004QVX826/ref=sr_1_3?keywords=Klein+Tools+JTH6M3BE+3+mm+Ball+Hex+Key+Journeyman+T-Handle+6-Inch&amp;qid=1694735145&amp;sr=8-3")</f>
        <v/>
      </c>
      <c r="F5743" t="inlineStr">
        <is>
          <t>B004QVX826</t>
        </is>
      </c>
      <c r="G5743">
        <f>_xludf.IMAGE("https://edmondsonsupply.com/cdn/shop/products/jth6m8be_1b0aeba1-6d03-4a46-99d8-f6853368c71f.jpg?v=1655941616")</f>
        <v/>
      </c>
      <c r="H5743">
        <f>_xludf.IMAGE("https://m.media-amazon.com/images/I/51f9vBFVXgL._AC_UL320_.jpg")</f>
        <v/>
      </c>
      <c r="K5743" t="inlineStr">
        <is>
          <t>4.99</t>
        </is>
      </c>
      <c r="L5743" t="n">
        <v>5.34</v>
      </c>
      <c r="M5743" s="1" t="inlineStr">
        <is>
          <t>7.01%</t>
        </is>
      </c>
      <c r="N5743" s="1" t="n">
        <v>-17.51</v>
      </c>
      <c r="O5743" t="n">
        <v>4.8</v>
      </c>
      <c r="P5743" t="n">
        <v>454</v>
      </c>
      <c r="R5743" t="inlineStr">
        <is>
          <t>InStock</t>
        </is>
      </c>
      <c r="S5743" t="inlineStr">
        <is>
          <t>7.56</t>
        </is>
      </c>
      <c r="T5743" t="inlineStr">
        <is>
          <t>7727600304344</t>
        </is>
      </c>
    </row>
    <row r="5744" ht="87" customHeight="1">
      <c r="A5744" s="2">
        <f>HYPERLINK("https://edmondsonsupply.com/collections/electricians-tools/products/diablo-tools-d0424x-4-1-2-in-x-24-tooth-framing-trim-saw-blade", "https://edmondsonsupply.com/collections/electricians-tools/products/diablo-tools-d0424x-4-1-2-in-x-24-tooth-framing-trim-saw-blade")</f>
        <v/>
      </c>
      <c r="B5744" s="2">
        <f>HYPERLINK("https://edmondsonsupply.com/products/diablo-tools-d0424x-4-1-2-in-x-24-tooth-framing-trim-saw-blade", "https://edmondsonsupply.com/products/diablo-tools-d0424x-4-1-2-in-x-24-tooth-framing-trim-saw-blade")</f>
        <v/>
      </c>
      <c r="C5744" t="inlineStr">
        <is>
          <t>Diablo Tools D0424X 4-1/2 in. x 24 Tooth Framing Trim Saw Blade</t>
        </is>
      </c>
      <c r="D5744" t="inlineStr">
        <is>
          <t>Echo Corner 4-1/2 Inch Combo Pack Wood Cutting Circular Saw Blades, 3/8" Arbor 2X 24T/40T, for Rip Framing Trim Crosscut Fine Finish Wood Laminate Veneered Plywood Plastic MDF</t>
        </is>
      </c>
      <c r="E5744" s="2">
        <f>HYPERLINK("https://www.amazon.com/Echo-Corner-General-Purpose-Ultra-Thin-Woodworking/dp/B0BQB4YHBQ/ref=sr_1_5?keywords=Diablo+Tools+D0424X+4-1%2F2+in.+x+24+Tooth+Framing+Trim+Saw+Blade&amp;qid=1694735015&amp;sr=8-5", "https://www.amazon.com/Echo-Corner-General-Purpose-Ultra-Thin-Woodworking/dp/B0BQB4YHBQ/ref=sr_1_5?keywords=Diablo+Tools+D0424X+4-1%2F2+in.+x+24+Tooth+Framing+Trim+Saw+Blade&amp;qid=1694735015&amp;sr=8-5")</f>
        <v/>
      </c>
      <c r="F5744" t="inlineStr">
        <is>
          <t>B0BQB4YHBQ</t>
        </is>
      </c>
      <c r="G5744">
        <f>_xlfn.IMAGE("https://edmondsonsupply.com/cdn/shop/products/kscyqpb4khjcxmaeciqc.webp?v=1679327311")</f>
        <v/>
      </c>
      <c r="H5744">
        <f>_xlfn.IMAGE("https://m.media-amazon.com/images/I/716cG-klfkL._AC_UL320_.jpg")</f>
        <v/>
      </c>
      <c r="K5744" t="inlineStr">
        <is>
          <t>14.97</t>
        </is>
      </c>
      <c r="L5744" t="n">
        <v>16</v>
      </c>
      <c r="M5744" s="1" t="inlineStr">
        <is>
          <t>6.88%</t>
        </is>
      </c>
      <c r="N5744" s="7" t="n">
        <v>-18.98</v>
      </c>
      <c r="O5744" t="n">
        <v>4.2</v>
      </c>
      <c r="P5744" t="n">
        <v>41</v>
      </c>
      <c r="R5744" t="inlineStr">
        <is>
          <t>InStock</t>
        </is>
      </c>
      <c r="S5744" t="inlineStr">
        <is>
          <t>18.44</t>
        </is>
      </c>
      <c r="T5744" t="inlineStr">
        <is>
          <t>7964926083288</t>
        </is>
      </c>
    </row>
    <row r="5745" ht="87" customHeight="1">
      <c r="A5745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5745" s="2">
        <f>HYPERLINK("https://edmondsonsupply.com/products/diablo-tools-d0740x-7-1-4-in-x-40-tooth-finish-saw-blade", "https://edmondsonsupply.com/products/diablo-tools-d0740x-7-1-4-in-x-40-tooth-finish-saw-blade")</f>
        <v/>
      </c>
      <c r="C5745" t="inlineStr">
        <is>
          <t>Diablo Tools D0740X 7-1/4 in. x 40 Tooth Finish Saw Blade</t>
        </is>
      </c>
      <c r="D5745" t="inlineStr">
        <is>
          <t>FOXBC 7-1/4" Circular Saw Blade 60-Tooth Replacement for Freud Diablo D0760A D0760X, DeWalt DWA171460 Ultra Fine Finish Circular Saw Blade</t>
        </is>
      </c>
      <c r="E5745" s="2">
        <f>HYPERLINK("https://www.amazon.com/FOXBC-Circular-60-Tooth-Replacement-DWA171460/dp/B0C6L4CRY2/ref=sr_1_7?keywords=Diablo+Tools+D0740X+7-1%2F4+in.+x+40+Tooth+Finish+Saw+Blade&amp;qid=1694735026&amp;sr=8-7", "https://www.amazon.com/FOXBC-Circular-60-Tooth-Replacement-DWA171460/dp/B0C6L4CRY2/ref=sr_1_7?keywords=Diablo+Tools+D0740X+7-1%2F4+in.+x+40+Tooth+Finish+Saw+Blade&amp;qid=1694735026&amp;sr=8-7")</f>
        <v/>
      </c>
      <c r="F5745" t="inlineStr">
        <is>
          <t>B0C6L4CRY2</t>
        </is>
      </c>
      <c r="G5745">
        <f>_xlfn.IMAGE("https://edmondsonsupply.com/cdn/shop/products/kdrkrhhsfpivsggxnkhy.webp?v=1678975834")</f>
        <v/>
      </c>
      <c r="H5745">
        <f>_xlfn.IMAGE("https://m.media-amazon.com/images/I/7198akWEx0L._AC_UL320_.jpg")</f>
        <v/>
      </c>
      <c r="K5745" t="inlineStr">
        <is>
          <t>14.97</t>
        </is>
      </c>
      <c r="L5745" t="n">
        <v>15.99</v>
      </c>
      <c r="M5745" s="1" t="inlineStr">
        <is>
          <t>6.81%</t>
        </is>
      </c>
      <c r="N5745" s="7" t="n">
        <v>-19.93</v>
      </c>
      <c r="O5745" t="n">
        <v>4.8</v>
      </c>
      <c r="P5745" t="n">
        <v>30</v>
      </c>
      <c r="R5745" t="inlineStr">
        <is>
          <t>InStock</t>
        </is>
      </c>
      <c r="S5745" t="inlineStr">
        <is>
          <t>24.4</t>
        </is>
      </c>
      <c r="T5745" t="inlineStr">
        <is>
          <t>7962622787800</t>
        </is>
      </c>
    </row>
    <row r="5746" hidden="1" ht="15.75" customHeight="1">
      <c r="A5746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5746" s="2">
        <f>HYPERLINK("https://edmondsonsupply.com/products/greenlee-dtap10-32-drill-tap-10-32", "https://edmondsonsupply.com/products/greenlee-dtap10-32-drill-tap-10-32")</f>
        <v/>
      </c>
      <c r="C5746" t="inlineStr">
        <is>
          <t>Greenlee DTAP10-32 Drill/Tap, 10-32</t>
        </is>
      </c>
      <c r="D5746" t="inlineStr">
        <is>
          <t>DEWALT Drill Tap, UNF, 10-Inch-to-32-Inch (DWADT1032)</t>
        </is>
      </c>
      <c r="E5746" s="2">
        <f>HYPERLINK("https://www.amazon.com/DEWALT-DWADT1032-UNF-Drill-Tap/dp/B014R19N46/ref=sr_1_10?keywords=Greenlee+DTAP10-32+Drill%2FTap%2C+10-32&amp;qid=1694735404&amp;sr=8-10", "https://www.amazon.com/DEWALT-DWADT1032-UNF-Drill-Tap/dp/B014R19N46/ref=sr_1_10?keywords=Greenlee+DTAP10-32+Drill%2FTap%2C+10-32&amp;qid=1694735404&amp;sr=8-10")</f>
        <v/>
      </c>
      <c r="F5746" t="inlineStr">
        <is>
          <t>B014R19N46</t>
        </is>
      </c>
      <c r="G5746">
        <f>_xludf.IMAGE("https://edmondsonsupply.com/cdn/shop/products/DTAP10-32.jpg?v=1633030188")</f>
        <v/>
      </c>
      <c r="H5746">
        <f>_xludf.IMAGE("https://m.media-amazon.com/images/I/31mytGd4SDL._AC_UL320_.jpg")</f>
        <v/>
      </c>
      <c r="K5746" t="inlineStr">
        <is>
          <t>8.99</t>
        </is>
      </c>
      <c r="L5746" t="n">
        <v>9.59</v>
      </c>
      <c r="M5746" s="1" t="inlineStr">
        <is>
          <t>6.67%</t>
        </is>
      </c>
      <c r="N5746" s="1" t="n">
        <v>-22.25</v>
      </c>
      <c r="O5746" t="n">
        <v>4.5</v>
      </c>
      <c r="P5746" t="n">
        <v>90</v>
      </c>
      <c r="R5746" t="inlineStr">
        <is>
          <t>InStock</t>
        </is>
      </c>
      <c r="S5746" t="inlineStr">
        <is>
          <t>9.7</t>
        </is>
      </c>
      <c r="T5746" t="inlineStr">
        <is>
          <t>4395883298916</t>
        </is>
      </c>
    </row>
    <row r="5747" ht="87" customHeight="1">
      <c r="A5747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5747" s="2">
        <f>HYPERLINK("https://edmondsonsupply.com/products/klein-tools-631m-magnetic-nut-driver-set-3-inch-shaft-7-piece", "https://edmondsonsupply.com/products/klein-tools-631m-magnetic-nut-driver-set-3-inch-shaft-7-piece")</f>
        <v/>
      </c>
      <c r="C5747" t="inlineStr">
        <is>
          <t>Klein Tools 631M Magnetic Nut Driver Set 3-Inch Shaft, 7 Piece</t>
        </is>
      </c>
      <c r="D5747" t="inlineStr">
        <is>
          <t>Klein Tools 647M Tool Set, Magnetic Nut Drivers Sizes 3/16, 1/4, 5/16, 11/32, 3/8, 7/16, 1/2-Inch, 6-Inch Hollow Shafts, 7-Piece</t>
        </is>
      </c>
      <c r="E5747" s="2">
        <f>HYPERLINK("https://www.amazon.com/Klein-Tools-647M-Magnetic-7-Piece/dp/B000MKIUYQ/ref=sr_1_6?keywords=Klein+Tools+631M+Magnetic+Nut+Driver+Set+3-Inch+Shaft%2C+7+Piece&amp;qid=1694735377&amp;sr=8-6", "https://www.amazon.com/Klein-Tools-647M-Magnetic-7-Piece/dp/B000MKIUYQ/ref=sr_1_6?keywords=Klein+Tools+631M+Magnetic+Nut+Driver+Set+3-Inch+Shaft%2C+7+Piece&amp;qid=1694735377&amp;sr=8-6")</f>
        <v/>
      </c>
      <c r="F5747" t="inlineStr">
        <is>
          <t>B000MKIUYQ</t>
        </is>
      </c>
      <c r="G5747">
        <f>_xlfn.IMAGE("https://edmondsonsupply.com/cdn/shop/products/631m.jpg?v=1587147726")</f>
        <v/>
      </c>
      <c r="H5747">
        <f>_xlfn.IMAGE("https://m.media-amazon.com/images/I/61PNUE211uL._AC_UL320_.jpg")</f>
        <v/>
      </c>
      <c r="K5747" t="inlineStr">
        <is>
          <t>74.99</t>
        </is>
      </c>
      <c r="L5747" t="n">
        <v>79.98999999999999</v>
      </c>
      <c r="M5747" s="1" t="inlineStr">
        <is>
          <t>6.67%</t>
        </is>
      </c>
      <c r="N5747" s="7" t="n">
        <v>-24.97</v>
      </c>
      <c r="O5747" t="n">
        <v>4.8</v>
      </c>
      <c r="P5747" t="n">
        <v>985</v>
      </c>
      <c r="R5747" t="inlineStr">
        <is>
          <t>InStock</t>
        </is>
      </c>
      <c r="S5747" t="inlineStr">
        <is>
          <t>112.12</t>
        </is>
      </c>
      <c r="T5747" t="inlineStr">
        <is>
          <t>4414357078116</t>
        </is>
      </c>
    </row>
    <row r="5748" ht="87" customHeight="1">
      <c r="A5748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5748" s="2">
        <f>HYPERLINK("https://edmondsonsupply.com/products/klein-tools-631m-magnetic-nut-driver-set-3-inch-shaft-7-piece", "https://edmondsonsupply.com/products/klein-tools-631m-magnetic-nut-driver-set-3-inch-shaft-7-piece")</f>
        <v/>
      </c>
      <c r="C5748" t="inlineStr">
        <is>
          <t>Klein Tools 631M Magnetic Nut Driver Set 3-Inch Shaft, 7 Piece</t>
        </is>
      </c>
      <c r="D5748" t="inlineStr">
        <is>
          <t>Klein Tools 635-6 Tool Set, Heavy Duty Magnetic Nut Drivers SAE Sizes 1/4, 5/16, 3/8, 7/16, 1/2, and 9/16-Inch Hex, 6-Inch, 6-Piece</t>
        </is>
      </c>
      <c r="E5748" s="2">
        <f>HYPERLINK("https://www.amazon.com/Heavy-Duty-Driver-6-Piece-Klein-Tools/dp/B01DKNDHGM/ref=sr_1_16?keywords=Klein+Tools+631M+Magnetic+Nut+Driver+Set+3-Inch+Shaft%2C+7+Piece&amp;qid=1694735377&amp;sr=8-16", "https://www.amazon.com/Heavy-Duty-Driver-6-Piece-Klein-Tools/dp/B01DKNDHGM/ref=sr_1_16?keywords=Klein+Tools+631M+Magnetic+Nut+Driver+Set+3-Inch+Shaft%2C+7+Piece&amp;qid=1694735377&amp;sr=8-16")</f>
        <v/>
      </c>
      <c r="F5748" t="inlineStr">
        <is>
          <t>B01DKNDHGM</t>
        </is>
      </c>
      <c r="G5748">
        <f>_xlfn.IMAGE("https://edmondsonsupply.com/cdn/shop/products/631m.jpg?v=1587147726")</f>
        <v/>
      </c>
      <c r="H5748">
        <f>_xlfn.IMAGE("https://m.media-amazon.com/images/I/61eypCy1RLL._AC_UL320_.jpg")</f>
        <v/>
      </c>
      <c r="K5748" t="inlineStr">
        <is>
          <t>74.99</t>
        </is>
      </c>
      <c r="L5748" t="n">
        <v>79.98999999999999</v>
      </c>
      <c r="M5748" s="1" t="inlineStr">
        <is>
          <t>6.67%</t>
        </is>
      </c>
      <c r="N5748" s="7" t="n">
        <v>-25</v>
      </c>
      <c r="O5748" t="n">
        <v>4.7</v>
      </c>
      <c r="P5748" t="n">
        <v>943</v>
      </c>
      <c r="R5748" t="inlineStr">
        <is>
          <t>InStock</t>
        </is>
      </c>
      <c r="S5748" t="inlineStr">
        <is>
          <t>112.12</t>
        </is>
      </c>
      <c r="T5748" t="inlineStr">
        <is>
          <t>4414357078116</t>
        </is>
      </c>
    </row>
    <row r="5749" ht="87" customHeight="1">
      <c r="A5749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5749" s="2">
        <f>HYPERLINK("https://edmondsonsupply.com/products/klein-tools-1011m-metric-wire-stripper-cutter-stranded-wire", "https://edmondsonsupply.com/products/klein-tools-1011m-metric-wire-stripper-cutter-stranded-wire")</f>
        <v/>
      </c>
      <c r="C5749" t="inlineStr">
        <is>
          <t>Klein Tools 1011M Metric Wire Stripper/Cutter Stranded Wire</t>
        </is>
      </c>
      <c r="D5749" t="inlineStr">
        <is>
          <t>Klein Tools 11049 Wire Stripper / Cutter, Compact, Lightweight, Hardened Steel, Precision Ground, for Stranded Wires,Red</t>
        </is>
      </c>
      <c r="E5749" s="2">
        <f>HYPERLINK("https://www.amazon.com/Klein-Tools-11049-Stripper-Stranded/dp/B0002RI4U4/ref=sr_1_3?keywords=Klein+Tools+1011M+Metric+Wire+Stripper%2FCutter+Stranded+Wire&amp;qid=1694735312&amp;sr=8-3", "https://www.amazon.com/Klein-Tools-11049-Stripper-Stranded/dp/B0002RI4U4/ref=sr_1_3?keywords=Klein+Tools+1011M+Metric+Wire+Stripper%2FCutter+Stranded+Wire&amp;qid=1694735312&amp;sr=8-3")</f>
        <v/>
      </c>
      <c r="F5749" t="inlineStr">
        <is>
          <t>B0002RI4U4</t>
        </is>
      </c>
      <c r="G5749">
        <f>_xlfn.IMAGE("https://edmondsonsupply.com/cdn/shop/products/1011m.jpg?v=1633030273")</f>
        <v/>
      </c>
      <c r="H5749">
        <f>_xlfn.IMAGE("https://m.media-amazon.com/images/I/616jtKHIDrL._AC_UL320_.jpg")</f>
        <v/>
      </c>
      <c r="K5749" t="inlineStr">
        <is>
          <t>14.99</t>
        </is>
      </c>
      <c r="L5749" t="n">
        <v>15.97</v>
      </c>
      <c r="M5749" s="1" t="inlineStr">
        <is>
          <t>6.54%</t>
        </is>
      </c>
      <c r="N5749" s="7" t="n">
        <v>-25.06</v>
      </c>
      <c r="O5749" t="n">
        <v>4.7</v>
      </c>
      <c r="P5749" t="n">
        <v>3106</v>
      </c>
      <c r="R5749" t="inlineStr">
        <is>
          <t>InStock</t>
        </is>
      </c>
      <c r="S5749" t="inlineStr">
        <is>
          <t>22.72</t>
        </is>
      </c>
      <c r="T5749" t="inlineStr">
        <is>
          <t>5237017772200</t>
        </is>
      </c>
    </row>
    <row r="5750" ht="87" customHeight="1">
      <c r="A5750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5750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5750" t="inlineStr">
        <is>
          <t>Diablo Tools DMAMX1360 1-1/2 in. x 16 in. x 21 in. Rebar Demon™ SDS-Max 4-Cutter Carbide-Tipped Hammer Drill Bit</t>
        </is>
      </c>
      <c r="D5750" t="inlineStr">
        <is>
          <t>Diablo by Freud DMAMX1240 1 in. x 31 in. x 36 in. Rebar Demon SDS-Max 4-Cutter Full Carbide Head Hammer Bit</t>
        </is>
      </c>
      <c r="E5750" s="2">
        <f>HYPERLINK("https://www.amazon.com/Diablo-SDS-Max-4-Cutter-Carbide-Hammer/dp/B089KWF9R4/ref=sr_1_29?keywords=Diablo+Tools+DMAMX1360+1-1%2F2+in.+x+16+in.+x+21+in.+Rebar+Demon%E2%84%A2+SDS-Max+4-Cutter+Carbide-Tipped+Hammer+Drill+Bit&amp;qid=1694735042&amp;sr=8-29", "https://www.amazon.com/Diablo-SDS-Max-4-Cutter-Carbide-Hammer/dp/B089KWF9R4/ref=sr_1_29?keywords=Diablo+Tools+DMAMX1360+1-1%2F2+in.+x+16+in.+x+21+in.+Rebar+Demon%E2%84%A2+SDS-Max+4-Cutter+Carbide-Tipped+Hammer+Drill+Bit&amp;qid=1694735042&amp;sr=8-29")</f>
        <v/>
      </c>
      <c r="F5750" t="inlineStr">
        <is>
          <t>B089KWF9R4</t>
        </is>
      </c>
      <c r="G5750">
        <f>_xlfn.IMAGE("https://edmondsonsupply.com/cdn/shop/products/z2umcsdaj3y4uvsfnxoh.webp?v=1677257156")</f>
        <v/>
      </c>
      <c r="H5750">
        <f>_xlfn.IMAGE("https://m.media-amazon.com/images/I/61UhVlNC+9L._AC_UL320_.jpg")</f>
        <v/>
      </c>
      <c r="K5750" t="inlineStr">
        <is>
          <t>93.87</t>
        </is>
      </c>
      <c r="L5750" t="n">
        <v>100</v>
      </c>
      <c r="M5750" s="1" t="inlineStr">
        <is>
          <t>6.53%</t>
        </is>
      </c>
      <c r="N5750" s="7" t="n">
        <v>-25.72</v>
      </c>
      <c r="O5750" t="n">
        <v>5</v>
      </c>
      <c r="P5750" t="n">
        <v>3</v>
      </c>
      <c r="R5750" t="inlineStr">
        <is>
          <t>InStock</t>
        </is>
      </c>
      <c r="S5750" t="inlineStr">
        <is>
          <t>149.01</t>
        </is>
      </c>
      <c r="T5750" t="inlineStr">
        <is>
          <t>7950786855128</t>
        </is>
      </c>
    </row>
    <row r="5751" hidden="1" ht="15.75" customHeight="1">
      <c r="A5751" s="2">
        <f>HYPERLINK("https://edmondsonsupply.com/collections/electricians-tools/products/klein-tools-56119-illuminated-fish-rod-tip", "https://edmondsonsupply.com/collections/electricians-tools/products/klein-tools-56119-illuminated-fish-rod-tip")</f>
        <v/>
      </c>
      <c r="B5751" s="2">
        <f>HYPERLINK("https://edmondsonsupply.com/products/klein-tools-56119-illuminated-fish-rod-tip", "https://edmondsonsupply.com/products/klein-tools-56119-illuminated-fish-rod-tip")</f>
        <v/>
      </c>
      <c r="C5751" t="inlineStr">
        <is>
          <t>Klein Tools 56119 Illuminated Fish Rod Tip</t>
        </is>
      </c>
      <c r="D5751" t="inlineStr">
        <is>
          <t>Klein Tools 56119 Fish Rod Tip, Wire Pulling through Conduit is easier with Illuminated Fish Rod Tip</t>
        </is>
      </c>
      <c r="E5751" s="2">
        <f>HYPERLINK("https://www.amazon.com/Pulling-Illuminated-Klein-Tools-56119/dp/B00ABSYVUQ/ref=sr_1_1?keywords=Klein+Tools+56119+Illuminated+Fish+Rod+Tip&amp;qid=1694735239&amp;sr=8-1", "https://www.amazon.com/Pulling-Illuminated-Klein-Tools-56119/dp/B00ABSYVUQ/ref=sr_1_1?keywords=Klein+Tools+56119+Illuminated+Fish+Rod+Tip&amp;qid=1694735239&amp;sr=8-1")</f>
        <v/>
      </c>
      <c r="F5751" t="inlineStr">
        <is>
          <t>B00ABSYVUQ</t>
        </is>
      </c>
      <c r="G5751">
        <f>_xludf.IMAGE("https://edmondsonsupply.com/cdn/shop/products/56119.jpg?v=1633030794")</f>
        <v/>
      </c>
      <c r="H5751">
        <f>_xludf.IMAGE("https://m.media-amazon.com/images/I/81Xcx0EWw3L._AC_UL320_.jpg")</f>
        <v/>
      </c>
      <c r="K5751" t="inlineStr">
        <is>
          <t>9.99</t>
        </is>
      </c>
      <c r="L5751" t="n">
        <v>10.64</v>
      </c>
      <c r="M5751" s="1" t="inlineStr">
        <is>
          <t>6.51%</t>
        </is>
      </c>
      <c r="N5751" s="1" t="n">
        <v>-25.72</v>
      </c>
      <c r="O5751" t="n">
        <v>4.3</v>
      </c>
      <c r="P5751" t="n">
        <v>712</v>
      </c>
      <c r="R5751" t="inlineStr">
        <is>
          <t>InStock</t>
        </is>
      </c>
      <c r="S5751" t="inlineStr">
        <is>
          <t>14.02</t>
        </is>
      </c>
      <c r="T5751" t="inlineStr">
        <is>
          <t>5990222266536</t>
        </is>
      </c>
    </row>
    <row r="5752" ht="87" customHeight="1">
      <c r="A5752" s="2">
        <f>HYPERLINK("https://edmondsonsupply.com/collections/electricians-tools/products/greenlee-s2613-1-2-2-foam-conduit-piston-set", "https://edmondsonsupply.com/collections/electricians-tools/products/greenlee-s2613-1-2-2-foam-conduit-piston-set")</f>
        <v/>
      </c>
      <c r="B5752" s="2">
        <f>HYPERLINK("https://edmondsonsupply.com/products/greenlee-s2613-1-2-2-foam-conduit-piston-set", "https://edmondsonsupply.com/products/greenlee-s2613-1-2-2-foam-conduit-piston-set")</f>
        <v/>
      </c>
      <c r="C5752" t="inlineStr">
        <is>
          <t>Greenlee S2613 1/2-2" Foam Conduit Piston Set</t>
        </is>
      </c>
      <c r="D5752" t="inlineStr">
        <is>
          <t>Greenlee - Piston Set 1/2-2", Fishing (S2613)</t>
        </is>
      </c>
      <c r="E5752" s="2">
        <f>HYPERLINK("https://www.amazon.com/Greenlee-S2613-Conduit-Piston-Pistons/dp/B004HNBE9M/ref=sr_1_1?keywords=Greenlee+S2613+1%2F2-2%22+Foam+Conduit+Piston+Set&amp;qid=1694735362&amp;sr=8-1", "https://www.amazon.com/Greenlee-S2613-Conduit-Piston-Pistons/dp/B004HNBE9M/ref=sr_1_1?keywords=Greenlee+S2613+1%2F2-2%22+Foam+Conduit+Piston+Set&amp;qid=1694735362&amp;sr=8-1")</f>
        <v/>
      </c>
      <c r="F5752" t="inlineStr">
        <is>
          <t>B004HNBE9M</t>
        </is>
      </c>
      <c r="G5752">
        <f>_xlfn.IMAGE("https://edmondsonsupply.com/cdn/shop/products/S2613-clpd.jpg?v=1587148793")</f>
        <v/>
      </c>
      <c r="H5752">
        <f>_xlfn.IMAGE("https://m.media-amazon.com/images/I/61fR9nL5p-L._AC_UL320_.jpg")</f>
        <v/>
      </c>
      <c r="K5752" t="inlineStr">
        <is>
          <t>46.99</t>
        </is>
      </c>
      <c r="L5752" t="n">
        <v>50</v>
      </c>
      <c r="M5752" s="1" t="inlineStr">
        <is>
          <t>6.41%</t>
        </is>
      </c>
      <c r="N5752" s="7" t="n">
        <v>-26.63</v>
      </c>
      <c r="O5752" t="n">
        <v>4.6</v>
      </c>
      <c r="P5752" t="n">
        <v>139</v>
      </c>
      <c r="R5752" t="inlineStr">
        <is>
          <t>InStock</t>
        </is>
      </c>
      <c r="S5752" t="inlineStr">
        <is>
          <t>51.6</t>
        </is>
      </c>
      <c r="T5752" t="inlineStr">
        <is>
          <t>4430310178916</t>
        </is>
      </c>
    </row>
    <row r="5753" ht="87" customHeight="1">
      <c r="A5753" s="2">
        <f>HYPERLINK("https://edmondsonsupply.com/collections/electricians-tools/products/klein-tools-32559-6-in-1-multi-bit-screwdriver-extended-reach", "https://edmondsonsupply.com/collections/electricians-tools/products/klein-tools-32559-6-in-1-multi-bit-screwdriver-extended-reach")</f>
        <v/>
      </c>
      <c r="B5753" s="2">
        <f>HYPERLINK("https://edmondsonsupply.com/products/klein-tools-32559-6-in-1-multi-bit-screwdriver-extended-reach", "https://edmondsonsupply.com/products/klein-tools-32559-6-in-1-multi-bit-screwdriver-extended-reach")</f>
        <v/>
      </c>
      <c r="C5753" t="inlineStr">
        <is>
          <t>Klein Tools 32559 Multi-Bit Screwdriver / Nut Driver, 6-in-1, Extended Reach, Ph, Sl</t>
        </is>
      </c>
      <c r="D5753" t="inlineStr">
        <is>
          <t>Klein Tools 32560 Multi-Bit Screwdriver / Nut Driver, Extended Reach 6-in-1 Tool with Phillips, Slotted and Square Bits and Nut Drivers</t>
        </is>
      </c>
      <c r="E5753" s="2">
        <f>HYPERLINK("https://www.amazon.com/Extended-Screwdriver-Klein-Tools-32560/dp/B005FQDHF4/ref=sr_1_2?keywords=Klein+Tools+32559+Multi-Bit+Screwdriver+%2F+Nut+Driver%2C+6-in-1%2C+Extended+Reach%2C+Ph%2C+Sl&amp;qid=1694735413&amp;sr=8-2", "https://www.amazon.com/Extended-Screwdriver-Klein-Tools-32560/dp/B005FQDHF4/ref=sr_1_2?keywords=Klein+Tools+32559+Multi-Bit+Screwdriver+%2F+Nut+Driver%2C+6-in-1%2C+Extended+Reach%2C+Ph%2C+Sl&amp;qid=1694735413&amp;sr=8-2")</f>
        <v/>
      </c>
      <c r="F5753" t="inlineStr">
        <is>
          <t>B005FQDHF4</t>
        </is>
      </c>
      <c r="G5753">
        <f>_xlfn.IMAGE("https://edmondsonsupply.com/cdn/shop/products/32559_839a646b-b16e-42a3-8ec1-1e9f20c6214e.jpg?v=1587147888")</f>
        <v/>
      </c>
      <c r="H5753">
        <f>_xlfn.IMAGE("https://m.media-amazon.com/images/I/516UhfUKmUL._AC_UL320_.jpg")</f>
        <v/>
      </c>
      <c r="K5753" t="inlineStr">
        <is>
          <t>15.97</t>
        </is>
      </c>
      <c r="L5753" t="n">
        <v>16.99</v>
      </c>
      <c r="M5753" s="1" t="inlineStr">
        <is>
          <t>6.39%</t>
        </is>
      </c>
      <c r="N5753" s="7" t="n">
        <v>-26.69</v>
      </c>
      <c r="O5753" t="n">
        <v>4.8</v>
      </c>
      <c r="P5753" t="n">
        <v>679</v>
      </c>
      <c r="R5753" t="inlineStr">
        <is>
          <t>InStock</t>
        </is>
      </c>
      <c r="S5753" t="inlineStr">
        <is>
          <t>24.12</t>
        </is>
      </c>
      <c r="T5753" t="inlineStr">
        <is>
          <t>4388476813412</t>
        </is>
      </c>
    </row>
    <row r="5754" ht="87" customHeight="1">
      <c r="A5754" s="2">
        <f>HYPERLINK("https://edmondsonsupply.com/collections/electricians-tools/products/fluke-tl75-hard-point%E2%84%A2-test-lead-set", "https://edmondsonsupply.com/collections/electricians-tools/products/fluke-tl75-hard-point%E2%84%A2-test-lead-set")</f>
        <v/>
      </c>
      <c r="B5754" s="2">
        <f>HYPERLINK("https://edmondsonsupply.com/products/fluke-tl75-hard-point%e2%84%a2-test-lead-set", "https://edmondsonsupply.com/products/fluke-tl75-hard-point%e2%84%a2-test-lead-set")</f>
        <v/>
      </c>
      <c r="C5754" t="inlineStr">
        <is>
          <t>Fluke TL75 Hard Point™ Test Lead Set</t>
        </is>
      </c>
      <c r="D5754" t="inlineStr">
        <is>
          <t>Fluke TL75 Hard Point Test Lead Set</t>
        </is>
      </c>
      <c r="E5754" s="2">
        <f>HYPERLINK("https://www.amazon.com/Fluke-TL75-Hard-Point-Test/dp/B000E2NFP6/ref=sr_1_1?keywords=Fluke+TL75+Hard+Point%E2%84%A2+Test+Lead+Set&amp;qid=1694735185&amp;sr=8-1", "https://www.amazon.com/Fluke-TL75-Hard-Point-Test/dp/B000E2NFP6/ref=sr_1_1?keywords=Fluke+TL75+Hard+Point%E2%84%A2+Test+Lead+Set&amp;qid=1694735185&amp;sr=8-1")</f>
        <v/>
      </c>
      <c r="F5754" t="inlineStr">
        <is>
          <t>B000E2NFP6</t>
        </is>
      </c>
      <c r="G5754">
        <f>_xlfn.IMAGE("https://edmondsonsupply.com/cdn/shop/products/TL75-1_72dpi_1280x1031px_E_NR-12001.jpg?v=1633031187")</f>
        <v/>
      </c>
      <c r="H5754">
        <f>_xlfn.IMAGE("https://m.media-amazon.com/images/I/61wghbxvLUL._AC_UY218_.jpg")</f>
        <v/>
      </c>
      <c r="K5754" t="inlineStr">
        <is>
          <t>31.99</t>
        </is>
      </c>
      <c r="L5754" t="n">
        <v>33.99</v>
      </c>
      <c r="M5754" s="1" t="inlineStr">
        <is>
          <t>6.25%</t>
        </is>
      </c>
      <c r="N5754" s="7" t="n">
        <v>-26.69</v>
      </c>
      <c r="O5754" t="n">
        <v>4.7</v>
      </c>
      <c r="P5754" t="n">
        <v>412</v>
      </c>
      <c r="R5754" t="inlineStr">
        <is>
          <t>InStock</t>
        </is>
      </c>
      <c r="S5754" t="inlineStr">
        <is>
          <t>34.99</t>
        </is>
      </c>
      <c r="T5754" t="inlineStr">
        <is>
          <t>6925419249837</t>
        </is>
      </c>
    </row>
    <row r="5755" hidden="1" ht="15.75" customHeight="1">
      <c r="A5755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5755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5755" t="inlineStr">
        <is>
          <t>Diablo Tools DMAPL4040 3/16 in. x 4 in. x 6 in. Rebar Demon™ SDS-Plus 4-Cutter Full Carbide Head Hammer Bit</t>
        </is>
      </c>
      <c r="D5755" t="inlineStr">
        <is>
          <t>Diablo by Freud DMAPL4050 3/16 in. x 6 in. x 8 in. Rebar Demon SDS-Plus 4-Cutter Full Carbide Head Hammer Bit Multi, One Size</t>
        </is>
      </c>
      <c r="E5755" s="2">
        <f>HYPERLINK("https://www.amazon.com/Diablo-SDS-Plus-4-Cutter-Carbide-Hammer/dp/B089LKWR9L/ref=sr_1_31?keywords=Diablo+Tools+DMAPL4040+3%2F16+in.+x+4+in.+x+6+in.+Rebar+Demon%E2%84%A2+SDS-Plus+4-Cutter+Full+Carbide+Head+Hammer+Bit&amp;qid=1694735297&amp;sr=8-31", "https://www.amazon.com/Diablo-SDS-Plus-4-Cutter-Carbide-Hammer/dp/B089LKWR9L/ref=sr_1_31?keywords=Diablo+Tools+DMAPL4040+3%2F16+in.+x+4+in.+x+6+in.+Rebar+Demon%E2%84%A2+SDS-Plus+4-Cutter+Full+Carbide+Head+Hammer+Bit&amp;qid=1694735297&amp;sr=8-31")</f>
        <v/>
      </c>
      <c r="F5755" t="inlineStr">
        <is>
          <t>B089LKWR9L</t>
        </is>
      </c>
      <c r="G5755">
        <f>_xludf.IMAGE("https://edmondsonsupply.com/cdn/shop/products/DMAPL4040_Main-Image20200701.png?v=1633030358")</f>
        <v/>
      </c>
      <c r="H5755">
        <f>_xludf.IMAGE("https://m.media-amazon.com/images/I/61uukuKzJeL._AC_UL320_.jpg")</f>
        <v/>
      </c>
      <c r="K5755" t="inlineStr">
        <is>
          <t>8.47</t>
        </is>
      </c>
      <c r="L5755" t="n">
        <v>8.99</v>
      </c>
      <c r="M5755" s="1" t="inlineStr">
        <is>
          <t>6.14%</t>
        </is>
      </c>
      <c r="N5755" s="1" t="n">
        <v>-26.69</v>
      </c>
      <c r="O5755" t="n">
        <v>3.7</v>
      </c>
      <c r="P5755" t="n">
        <v>10</v>
      </c>
      <c r="R5755" t="inlineStr">
        <is>
          <t>InStock</t>
        </is>
      </c>
      <c r="S5755" t="inlineStr">
        <is>
          <t>undefined</t>
        </is>
      </c>
      <c r="T5755" t="inlineStr">
        <is>
          <t>5286740426920</t>
        </is>
      </c>
    </row>
    <row r="5756" ht="87" customHeight="1">
      <c r="A5756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5756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5756" t="inlineStr">
        <is>
          <t>Diablo Tools DMARG1160 1/2 in. x 10 in. x 12 in. SPEEDemon™ Red Granite Carbide Tipped Hammer Drill Bit</t>
        </is>
      </c>
      <c r="D5756" t="inlineStr">
        <is>
          <t>Diablo 1/2"x 10"x 12" SPEEDemon Red Granite Carbide Tipped Hammer Drill Bit</t>
        </is>
      </c>
      <c r="E5756" s="2">
        <f>HYPERLINK("https://www.amazon.com/Diablo-Freud-DMARG1160-SPEEDemon-Granite/dp/B089KXMNF3/ref=sr_1_8?keywords=Diablo+Tools+DMARG1160+1%2F2+in.+x+10+in.+x+12+in.+SPEEDemon%E2%84%A2+Red+Granite+Carbide+Tipped+Hammer+Drill+Bit&amp;qid=1694735262&amp;sr=8-8", "https://www.amazon.com/Diablo-Freud-DMARG1160-SPEEDemon-Granite/dp/B089KXMNF3/ref=sr_1_8?keywords=Diablo+Tools+DMARG1160+1%2F2+in.+x+10+in.+x+12+in.+SPEEDemon%E2%84%A2+Red+Granite+Carbide+Tipped+Hammer+Drill+Bit&amp;qid=1694735262&amp;sr=8-8")</f>
        <v/>
      </c>
      <c r="F5756" t="inlineStr">
        <is>
          <t>B089KXMNF3</t>
        </is>
      </c>
      <c r="G5756">
        <f>_xlfn.IMAGE("https://edmondsonsupply.com/cdn/shop/products/DMARG1160_Main-Image20200513.png?v=1633030651")</f>
        <v/>
      </c>
      <c r="H5756">
        <f>_xlfn.IMAGE("https://m.media-amazon.com/images/I/61rOnXHP8+L._AC_UL320_.jpg")</f>
        <v/>
      </c>
      <c r="K5756" t="inlineStr">
        <is>
          <t>15.97</t>
        </is>
      </c>
      <c r="L5756" t="n">
        <v>16.95</v>
      </c>
      <c r="M5756" s="1" t="inlineStr">
        <is>
          <t>6.14%</t>
        </is>
      </c>
      <c r="N5756" s="7" t="n">
        <v>-28.31</v>
      </c>
      <c r="O5756" t="n">
        <v>4.7</v>
      </c>
      <c r="P5756" t="n">
        <v>17</v>
      </c>
      <c r="R5756" t="inlineStr">
        <is>
          <t>InStock</t>
        </is>
      </c>
      <c r="S5756" t="inlineStr">
        <is>
          <t>undefined</t>
        </is>
      </c>
      <c r="T5756" t="inlineStr">
        <is>
          <t>5740401164456</t>
        </is>
      </c>
    </row>
    <row r="5757" ht="87" customHeight="1">
      <c r="A5757" s="2">
        <f>HYPERLINK("https://edmondsonsupply.com/collections/electricians-tools/products/diablo-tools-dmamx1220", "https://edmondsonsupply.com/collections/electricians-tools/products/diablo-tools-dmamx1220")</f>
        <v/>
      </c>
      <c r="B5757" s="2">
        <f>HYPERLINK("https://edmondsonsupply.com/products/diablo-tools-dmamx1220", "https://edmondsonsupply.com/products/diablo-tools-dmamx1220")</f>
        <v/>
      </c>
      <c r="C5757" t="inlineStr">
        <is>
          <t>Diablo Tools DMAMX1220 1 in. x 16 in. x 21 in. Rebar Demon™ SDS-Max 4-Cutter Full Carbide Head Hammer Drill Bit</t>
        </is>
      </c>
      <c r="D5757" t="inlineStr">
        <is>
          <t>Diablo DMAPL4310 1 in. x 16 in. x 18 in. Rebar Demon™ SDS-Plus 4-Cutter Full Carbide Head Hammer Bit</t>
        </is>
      </c>
      <c r="E5757" s="2">
        <f>HYPERLINK("https://www.amazon.com/Diablo-DMAPL4310-SDS-Plus-4-Cutter-Carbide/dp/B089KX2VKR/ref=sr_1_9?keywords=Diablo+Tools+DMAMX1220+1+in.+x+16+in.+x+21+in.+Rebar+Demon%E2%84%A2+SDS-Max+4-Cutter+Full+Carbide+Head+Hammer+Drill+Bit&amp;qid=1694735075&amp;sr=8-9", "https://www.amazon.com/Diablo-DMAPL4310-SDS-Plus-4-Cutter-Carbide/dp/B089KX2VKR/ref=sr_1_9?keywords=Diablo+Tools+DMAMX1220+1+in.+x+16+in.+x+21+in.+Rebar+Demon%E2%84%A2+SDS-Max+4-Cutter+Full+Carbide+Head+Hammer+Drill+Bit&amp;qid=1694735075&amp;sr=8-9")</f>
        <v/>
      </c>
      <c r="F5757" t="inlineStr">
        <is>
          <t>B089KX2VKR</t>
        </is>
      </c>
      <c r="G5757">
        <f>_xlfn.IMAGE("https://edmondsonsupply.com/cdn/shop/products/immoyh7jjmbau4fzhuq6.webp?v=1670431066")</f>
        <v/>
      </c>
      <c r="H5757">
        <f>_xlfn.IMAGE("https://m.media-amazon.com/images/I/61iwxfqG2VL._AC_UL320_.jpg")</f>
        <v/>
      </c>
      <c r="K5757" t="inlineStr">
        <is>
          <t>45.69</t>
        </is>
      </c>
      <c r="L5757" t="n">
        <v>48.49</v>
      </c>
      <c r="M5757" s="1" t="inlineStr">
        <is>
          <t>6.13%</t>
        </is>
      </c>
      <c r="N5757" s="7" t="n">
        <v>-28.93</v>
      </c>
      <c r="O5757" t="n">
        <v>4.5</v>
      </c>
      <c r="P5757" t="n">
        <v>32</v>
      </c>
      <c r="R5757" t="inlineStr">
        <is>
          <t>InStock</t>
        </is>
      </c>
      <c r="S5757" t="inlineStr">
        <is>
          <t>70.58</t>
        </is>
      </c>
      <c r="T5757" t="inlineStr">
        <is>
          <t>7900195356888</t>
        </is>
      </c>
    </row>
    <row r="5758" hidden="1" ht="15.75" customHeight="1">
      <c r="A5758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5758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5758" t="inlineStr">
        <is>
          <t>Klein Tools 630-7/16M 7/16-Inch Magnetic Tip Nut Driver 3-Inch Shaft</t>
        </is>
      </c>
      <c r="D5758" t="inlineStr">
        <is>
          <t>Klein Tools 640-7/16 7/16-Inch Coated Nut Driver with 3-Inch Hollow Shaft and Cushion Grip Handle</t>
        </is>
      </c>
      <c r="E5758" s="2">
        <f>HYPERLINK("https://www.amazon.com/16-Inch-Klein-Tools-640-7-16/dp/B00093DZYG/ref=sr_1_5?keywords=Klein+Tools+630-7%2F16M+7%2F16-Inch+Magnetic+Tip+Nut+Driver+3-Inch+Shaft&amp;qid=1694735273&amp;sr=8-5", "https://www.amazon.com/16-Inch-Klein-Tools-640-7-16/dp/B00093DZYG/ref=sr_1_5?keywords=Klein+Tools+630-7%2F16M+7%2F16-Inch+Magnetic+Tip+Nut+Driver+3-Inch+Shaft&amp;qid=1694735273&amp;sr=8-5")</f>
        <v/>
      </c>
      <c r="F5758" t="inlineStr">
        <is>
          <t>B00093DZYG</t>
        </is>
      </c>
      <c r="G5758">
        <f>_xludf.IMAGE("https://edmondsonsupply.com/cdn/shop/products/630-7-16m.jpg?v=1633030529")</f>
        <v/>
      </c>
      <c r="H5758">
        <f>_xludf.IMAGE("https://m.media-amazon.com/images/I/61eCMBwqqTL._AC_UL320_.jpg")</f>
        <v/>
      </c>
      <c r="K5758" t="inlineStr">
        <is>
          <t>12.24</t>
        </is>
      </c>
      <c r="L5758" t="n">
        <v>12.99</v>
      </c>
      <c r="M5758" s="1" t="inlineStr">
        <is>
          <t>6.13%</t>
        </is>
      </c>
      <c r="N5758" s="1" t="n">
        <v>-28.95</v>
      </c>
      <c r="O5758" t="n">
        <v>4.1</v>
      </c>
      <c r="P5758" t="n">
        <v>20</v>
      </c>
      <c r="R5758" t="inlineStr">
        <is>
          <t>InStock</t>
        </is>
      </c>
      <c r="S5758" t="inlineStr">
        <is>
          <t>18.54</t>
        </is>
      </c>
      <c r="T5758" t="inlineStr">
        <is>
          <t>5408853819560</t>
        </is>
      </c>
    </row>
    <row r="5759" hidden="1" ht="15.75" customHeight="1">
      <c r="A5759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5759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5759" t="inlineStr">
        <is>
          <t>Klein Tools 630-7/16M 7/16-Inch Magnetic Tip Nut Driver 3-Inch Shaft</t>
        </is>
      </c>
      <c r="D5759" t="inlineStr">
        <is>
          <t>Klein Tools 646-7/16M 7/16-Inch Magnetic Tip Hollow-Shank Nut Driver with 6-Inch Shank</t>
        </is>
      </c>
      <c r="E5759" s="2">
        <f>HYPERLINK("https://www.amazon.com/Hollow-Shank-Klein-Tools-646-7-16M/dp/B000MKIUX2/ref=sr_1_3?keywords=Klein+Tools+630-7%2F16M+7%2F16-Inch+Magnetic+Tip+Nut+Driver+3-Inch+Shaft&amp;qid=1694735273&amp;sr=8-3", "https://www.amazon.com/Hollow-Shank-Klein-Tools-646-7-16M/dp/B000MKIUX2/ref=sr_1_3?keywords=Klein+Tools+630-7%2F16M+7%2F16-Inch+Magnetic+Tip+Nut+Driver+3-Inch+Shaft&amp;qid=1694735273&amp;sr=8-3")</f>
        <v/>
      </c>
      <c r="F5759" t="inlineStr">
        <is>
          <t>B000MKIUX2</t>
        </is>
      </c>
      <c r="G5759">
        <f>_xludf.IMAGE("https://edmondsonsupply.com/cdn/shop/products/630-7-16m.jpg?v=1633030529")</f>
        <v/>
      </c>
      <c r="H5759">
        <f>_xludf.IMAGE("https://m.media-amazon.com/images/I/41MGj+evvKL._AC_UL320_.jpg")</f>
        <v/>
      </c>
      <c r="K5759" t="inlineStr">
        <is>
          <t>12.24</t>
        </is>
      </c>
      <c r="L5759" t="n">
        <v>12.99</v>
      </c>
      <c r="M5759" s="1" t="inlineStr">
        <is>
          <t>6.13%</t>
        </is>
      </c>
      <c r="N5759" s="1" t="n">
        <v>-29.38</v>
      </c>
      <c r="O5759" t="n">
        <v>4.8</v>
      </c>
      <c r="P5759" t="n">
        <v>2491</v>
      </c>
      <c r="R5759" t="inlineStr">
        <is>
          <t>InStock</t>
        </is>
      </c>
      <c r="S5759" t="inlineStr">
        <is>
          <t>18.54</t>
        </is>
      </c>
      <c r="T5759" t="inlineStr">
        <is>
          <t>5408853819560</t>
        </is>
      </c>
    </row>
    <row r="5760" ht="87" customHeight="1">
      <c r="A5760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760" s="2">
        <f>HYPERLINK("https://edmondsonsupply.com/products/diablo-tools-dag1110-7-8-in-x-7-1-2-in-auger-bit", "https://edmondsonsupply.com/products/diablo-tools-dag1110-7-8-in-x-7-1-2-in-auger-bit")</f>
        <v/>
      </c>
      <c r="C5760" t="inlineStr">
        <is>
          <t>Diablo Tools DAG1110 7/8 in. x 7-1/2 in. Auger Bit</t>
        </is>
      </c>
      <c r="D5760" t="inlineStr">
        <is>
          <t>Diablo by Freud DAG1110 7/8 in. x 7-1/2 in. Auger Bit</t>
        </is>
      </c>
      <c r="E5760" s="2">
        <f>HYPERLINK("https://www.amazon.com/Diablo-Freud-DAG1110-7-1-Auger/dp/B089KWR9F4/ref=sr_1_1?keywords=Diablo+Tools+DAG1110+7%2F8+in.+x+7-1%2F2+in.+Auger+Bit&amp;qid=1694735001&amp;sr=8-1", "https://www.amazon.com/Diablo-Freud-DAG1110-7-1-Auger/dp/B089KWR9F4/ref=sr_1_1?keywords=Diablo+Tools+DAG1110+7%2F8+in.+x+7-1%2F2+in.+Auger+Bit&amp;qid=1694735001&amp;sr=8-1")</f>
        <v/>
      </c>
      <c r="F5760" t="inlineStr">
        <is>
          <t>B089KWR9F4</t>
        </is>
      </c>
      <c r="G5760">
        <f>_xlfn.IMAGE("https://edmondsonsupply.com/cdn/shop/products/yel7mbaiyy08ii0assd5.webp?v=1680187136")</f>
        <v/>
      </c>
      <c r="H5760">
        <f>_xlfn.IMAGE("https://m.media-amazon.com/images/I/61FgY3Jv5eL._AC_UL320_.jpg")</f>
        <v/>
      </c>
      <c r="K5760" t="inlineStr">
        <is>
          <t>16.97</t>
        </is>
      </c>
      <c r="L5760" t="n">
        <v>18</v>
      </c>
      <c r="M5760" s="1" t="inlineStr">
        <is>
          <t>6.07%</t>
        </is>
      </c>
      <c r="N5760" s="7" t="n">
        <v>-30.03</v>
      </c>
      <c r="O5760" t="n">
        <v>4.8</v>
      </c>
      <c r="P5760" t="n">
        <v>48</v>
      </c>
      <c r="R5760" t="inlineStr">
        <is>
          <t>InStock</t>
        </is>
      </c>
      <c r="S5760" t="inlineStr">
        <is>
          <t>23.76</t>
        </is>
      </c>
      <c r="T5760" t="inlineStr">
        <is>
          <t>7970459549912</t>
        </is>
      </c>
    </row>
    <row r="5761" hidden="1" ht="15.75" customHeight="1">
      <c r="A5761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5761" s="2">
        <f>HYPERLINK("https://edmondsonsupply.com/products/klein-tools-66077-flip-impact-socket-7-16-and-3-8-inch", "https://edmondsonsupply.com/products/klein-tools-66077-flip-impact-socket-7-16-and-3-8-inch")</f>
        <v/>
      </c>
      <c r="C5761" t="inlineStr">
        <is>
          <t>Klein Tools 66077 Flip Impact Socket, 7/16 and 3/8-Inch</t>
        </is>
      </c>
      <c r="D5761" t="inlineStr">
        <is>
          <t>7/16-Inch Standard 6-Point Socket, 3/8-Inch Drive Klein Tools 65701</t>
        </is>
      </c>
      <c r="E5761" s="2">
        <f>HYPERLINK("https://www.amazon.com/16-Inch-Standard-Klein-Tools-65701/dp/B0002RI7LA/ref=sr_1_38?keywords=Klein+Tools+66077+Flip+Impact+Socket%2C+7%2F16+and+3%2F8-Inch&amp;qid=1694735129&amp;sr=8-38", "https://www.amazon.com/16-Inch-Standard-Klein-Tools-65701/dp/B0002RI7LA/ref=sr_1_38?keywords=Klein+Tools+66077+Flip+Impact+Socket%2C+7%2F16+and+3%2F8-Inch&amp;qid=1694735129&amp;sr=8-38")</f>
        <v/>
      </c>
      <c r="F5761" t="inlineStr">
        <is>
          <t>B0002RI7LA</t>
        </is>
      </c>
      <c r="G5761">
        <f>_xludf.IMAGE("https://edmondsonsupply.com/cdn/shop/products/66077.jpg?v=1663082226")</f>
        <v/>
      </c>
      <c r="H5761">
        <f>_xludf.IMAGE("https://m.media-amazon.com/images/I/51JMuoXJ7CL._AC_UL320_.jpg")</f>
        <v/>
      </c>
      <c r="K5761" t="inlineStr">
        <is>
          <t>10.43</t>
        </is>
      </c>
      <c r="L5761" t="n">
        <v>11.06</v>
      </c>
      <c r="M5761" s="1" t="inlineStr">
        <is>
          <t>6.04%</t>
        </is>
      </c>
      <c r="N5761" s="1" t="n">
        <v>-30.03</v>
      </c>
      <c r="O5761" t="n">
        <v>4.7</v>
      </c>
      <c r="P5761" t="n">
        <v>9</v>
      </c>
      <c r="R5761" t="inlineStr">
        <is>
          <t>InStock</t>
        </is>
      </c>
      <c r="S5761" t="inlineStr">
        <is>
          <t>14.6</t>
        </is>
      </c>
      <c r="T5761" t="inlineStr">
        <is>
          <t>7814113165528</t>
        </is>
      </c>
    </row>
    <row r="5762" ht="87" customHeight="1">
      <c r="A5762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5762" s="2">
        <f>HYPERLINK("https://edmondsonsupply.com/products/milwaukee-49-56-0505-1-4-diamond-max%e2%84%a2-hole-saw", "https://edmondsonsupply.com/products/milwaukee-49-56-0505-1-4-diamond-max%e2%84%a2-hole-saw")</f>
        <v/>
      </c>
      <c r="C5762" t="inlineStr">
        <is>
          <t>Milwaukee 49-56-0505 1/4" Diamond MAX™ Hole Saw</t>
        </is>
      </c>
      <c r="D5762" t="inlineStr">
        <is>
          <t>Milwaukee 49-56-5620 1‐1/4" Diamond Hole Saw</t>
        </is>
      </c>
      <c r="E5762" s="2">
        <f>HYPERLINK("https://www.amazon.com/Milwaukee-49-56-5620-1-1-Diamond-Hole/dp/B00KXURDC0/ref=sr_1_4?keywords=Milwaukee+49-56-0505+1%2F4%22+Diamond+MAX%E2%84%A2+Hole+Saw&amp;qid=1694735000&amp;sr=8-4", "https://www.amazon.com/Milwaukee-49-56-5620-1-1-Diamond-Hole/dp/B00KXURDC0/ref=sr_1_4?keywords=Milwaukee+49-56-0505+1%2F4%22+Diamond+MAX%E2%84%A2+Hole+Saw&amp;qid=1694735000&amp;sr=8-4")</f>
        <v/>
      </c>
      <c r="F5762" t="inlineStr">
        <is>
          <t>B00KXURDC0</t>
        </is>
      </c>
      <c r="G5762">
        <f>_xlfn.IMAGE("https://edmondsonsupply.com/cdn/shop/products/49-56-0507_1.png?v=1680111300")</f>
        <v/>
      </c>
      <c r="H5762">
        <f>_xlfn.IMAGE("https://m.media-amazon.com/images/I/711w3u20qmL._AC_UL320_.jpg")</f>
        <v/>
      </c>
      <c r="K5762" t="inlineStr">
        <is>
          <t>19.99</t>
        </is>
      </c>
      <c r="L5762" t="n">
        <v>21.19</v>
      </c>
      <c r="M5762" s="1" t="inlineStr">
        <is>
          <t>6.00%</t>
        </is>
      </c>
      <c r="N5762" s="7" t="n">
        <v>-30.21</v>
      </c>
      <c r="O5762" t="n">
        <v>4.6</v>
      </c>
      <c r="P5762" t="n">
        <v>16</v>
      </c>
      <c r="R5762" t="inlineStr">
        <is>
          <t>InStock</t>
        </is>
      </c>
      <c r="S5762" t="inlineStr">
        <is>
          <t>26.6</t>
        </is>
      </c>
      <c r="T5762" t="inlineStr">
        <is>
          <t>7969746485464</t>
        </is>
      </c>
    </row>
    <row r="5763" ht="87" customHeight="1">
      <c r="A5763" s="2">
        <f>HYPERLINK("https://edmondsonsupply.com/collections/electricians-tools/products/milwaukee-2429-21xc-m12%E2%84%A2-cordless-sub-compact-band-saw-kit", "https://edmondsonsupply.com/collections/electricians-tools/products/milwaukee-2429-21xc-m12%E2%84%A2-cordless-sub-compact-band-saw-kit")</f>
        <v/>
      </c>
      <c r="B5763" s="2">
        <f>HYPERLINK("https://edmondsonsupply.com/products/milwaukee-2429-21xc-m12%e2%84%a2-cordless-sub-compact-band-saw-kit", "https://edmondsonsupply.com/products/milwaukee-2429-21xc-m12%e2%84%a2-cordless-sub-compact-band-saw-kit")</f>
        <v/>
      </c>
      <c r="C5763" t="inlineStr">
        <is>
          <t>Milwaukee 2429-21XC M12™ Cordless Sub-Compact Band Saw Kit</t>
        </is>
      </c>
      <c r="D5763" t="inlineStr">
        <is>
          <t>Milwaukee New 2429-21xc M12 12 Volt Deep Cut Cordless Portable Band Saw Kit</t>
        </is>
      </c>
      <c r="E5763" s="2">
        <f>HYPERLINK("https://www.amazon.com/Milwaukee-2429-21xc-Volt-Cordless-Portable/dp/B01D8UDDLQ/ref=sr_1_3?keywords=Milwaukee+2429-21XC+M12%E2%84%A2+Cordless+Sub-Compact+Band+Saw+Kit&amp;qid=1694735357&amp;sr=8-3", "https://www.amazon.com/Milwaukee-2429-21xc-Volt-Cordless-Portable/dp/B01D8UDDLQ/ref=sr_1_3?keywords=Milwaukee+2429-21XC+M12%E2%84%A2+Cordless+Sub-Compact+Band+Saw+Kit&amp;qid=1694735357&amp;sr=8-3")</f>
        <v/>
      </c>
      <c r="F5763" t="inlineStr">
        <is>
          <t>B01D8UDDLQ</t>
        </is>
      </c>
      <c r="G5763">
        <f>_xlfn.IMAGE("https://edmondsonsupply.com/cdn/shop/products/2429-20_1-lg.gif?v=1587142507")</f>
        <v/>
      </c>
      <c r="H5763">
        <f>_xlfn.IMAGE("https://m.media-amazon.com/images/I/512OLLi0plL._AC_UL320_.jpg")</f>
        <v/>
      </c>
      <c r="K5763" t="inlineStr">
        <is>
          <t>269.0</t>
        </is>
      </c>
      <c r="L5763" t="n">
        <v>285</v>
      </c>
      <c r="M5763" s="1" t="inlineStr">
        <is>
          <t>5.95%</t>
        </is>
      </c>
      <c r="N5763" s="7" t="n">
        <v>-32.97</v>
      </c>
      <c r="O5763" t="n">
        <v>4.8</v>
      </c>
      <c r="P5763" t="n">
        <v>50</v>
      </c>
      <c r="R5763" t="inlineStr">
        <is>
          <t>InStock</t>
        </is>
      </c>
      <c r="S5763" t="inlineStr">
        <is>
          <t>456.0</t>
        </is>
      </c>
      <c r="T5763" t="inlineStr">
        <is>
          <t>4433752653924</t>
        </is>
      </c>
    </row>
    <row r="5764" hidden="1" ht="15.75" customHeight="1">
      <c r="A5764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764" s="2">
        <f>HYPERLINK("https://edmondsonsupply.com/products/diablo-tools-dsp2130-p2-1-in-x-6-in-spade-bit", "https://edmondsonsupply.com/products/diablo-tools-dsp2130-p2-1-in-x-6-in-spade-bit")</f>
        <v/>
      </c>
      <c r="C5764" t="inlineStr">
        <is>
          <t>Diablo Tools DSP2130-P2 1 in. x 6 in. Spade Bit</t>
        </is>
      </c>
      <c r="D5764" t="inlineStr">
        <is>
          <t>Diablo by Freud DSP2150 1-1/4 in. x 6 in. SPEEDemon Spade Bit Multi, One Size</t>
        </is>
      </c>
      <c r="E5764" s="2">
        <f>HYPERLINK("https://www.amazon.com/Diablo-1-1-SPEEDemon-Spade-Bit/dp/B089KW2K4Z/ref=sr_1_9?keywords=Diablo+Tools+DSP2130-P2+1+in.+x+6+in.+Spade+Bit&amp;qid=1694735066&amp;sr=8-9", "https://www.amazon.com/Diablo-1-1-SPEEDemon-Spade-Bit/dp/B089KW2K4Z/ref=sr_1_9?keywords=Diablo+Tools+DSP2130-P2+1+in.+x+6+in.+Spade+Bit&amp;qid=1694735066&amp;sr=8-9")</f>
        <v/>
      </c>
      <c r="F5764" t="inlineStr">
        <is>
          <t>B089KW2K4Z</t>
        </is>
      </c>
      <c r="G5764">
        <f>_xludf.IMAGE("https://edmondsonsupply.com/cdn/shop/products/peyjwqlntvnioikkr5be.webp?v=1670515689")</f>
        <v/>
      </c>
      <c r="H5764">
        <f>_xludf.IMAGE("https://m.media-amazon.com/images/I/61KC4haIgvL._AC_UL320_.jpg")</f>
        <v/>
      </c>
      <c r="K5764" t="inlineStr">
        <is>
          <t>6.39</t>
        </is>
      </c>
      <c r="L5764" t="n">
        <v>6.77</v>
      </c>
      <c r="M5764" s="1" t="inlineStr">
        <is>
          <t>5.95%</t>
        </is>
      </c>
      <c r="N5764" s="1" t="n">
        <v>-33.3</v>
      </c>
      <c r="O5764" t="n">
        <v>3.4</v>
      </c>
      <c r="P5764" t="n">
        <v>2</v>
      </c>
      <c r="R5764" t="inlineStr">
        <is>
          <t>InStock</t>
        </is>
      </c>
      <c r="S5764" t="inlineStr">
        <is>
          <t>undefined</t>
        </is>
      </c>
      <c r="T5764" t="inlineStr">
        <is>
          <t>7901272047832</t>
        </is>
      </c>
    </row>
    <row r="5765" hidden="1" ht="15.75" customHeight="1">
      <c r="A5765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5765" s="2">
        <f>HYPERLINK("https://edmondsonsupply.com/products/diablo-tools-dsp2130-p2-1-in-x-6-in-spade-bit", "https://edmondsonsupply.com/products/diablo-tools-dsp2130-p2-1-in-x-6-in-spade-bit")</f>
        <v/>
      </c>
      <c r="C5765" t="inlineStr">
        <is>
          <t>Diablo Tools DSP2130-P2 1 in. x 6 in. Spade Bit</t>
        </is>
      </c>
      <c r="D5765" t="inlineStr">
        <is>
          <t>Diablo 1-1/2 in. x 6 in. SPEEDemon Spade Bit</t>
        </is>
      </c>
      <c r="E5765" s="2">
        <f>HYPERLINK("https://www.amazon.com/Diablo-1-1-SPEEDemon-Spade-Bit/dp/B089KWPYC8/ref=sr_1_2?keywords=Diablo+Tools+DSP2130-P2+1+in.+x+6+in.+Spade+Bit&amp;qid=1694735066&amp;sr=8-2", "https://www.amazon.com/Diablo-1-1-SPEEDemon-Spade-Bit/dp/B089KWPYC8/ref=sr_1_2?keywords=Diablo+Tools+DSP2130-P2+1+in.+x+6+in.+Spade+Bit&amp;qid=1694735066&amp;sr=8-2")</f>
        <v/>
      </c>
      <c r="F5765" t="inlineStr">
        <is>
          <t>B089KWPYC8</t>
        </is>
      </c>
      <c r="G5765">
        <f>_xludf.IMAGE("https://edmondsonsupply.com/cdn/shop/products/peyjwqlntvnioikkr5be.webp?v=1670515689")</f>
        <v/>
      </c>
      <c r="H5765">
        <f>_xludf.IMAGE("https://m.media-amazon.com/images/I/61mOtHPCpLL._AC_UL320_.jpg")</f>
        <v/>
      </c>
      <c r="K5765" t="inlineStr">
        <is>
          <t>6.39</t>
        </is>
      </c>
      <c r="L5765" t="n">
        <v>6.77</v>
      </c>
      <c r="M5765" s="1" t="inlineStr">
        <is>
          <t>5.95%</t>
        </is>
      </c>
      <c r="N5765" s="1" t="n">
        <v>-33.3</v>
      </c>
      <c r="O5765" t="n">
        <v>4.1</v>
      </c>
      <c r="P5765" t="n">
        <v>11</v>
      </c>
      <c r="R5765" t="inlineStr">
        <is>
          <t>InStock</t>
        </is>
      </c>
      <c r="S5765" t="inlineStr">
        <is>
          <t>undefined</t>
        </is>
      </c>
      <c r="T5765" t="inlineStr">
        <is>
          <t>7901272047832</t>
        </is>
      </c>
    </row>
    <row r="5766" hidden="1" ht="15.75" customHeight="1">
      <c r="A5766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5766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5766" t="inlineStr">
        <is>
          <t>Diablo Tools DMAPL4070 1/4 in. x 4 in. x 6 in. Rebar Demon™ SDS-Plus 4-Cutter Full Carbide Head Hammer Bit</t>
        </is>
      </c>
      <c r="D5766" t="inlineStr">
        <is>
          <t>Diablo by Freud DMAPL4010 5/32 in. x 2 in. x 4 in. Rebar Demon SDS-Plus 4-Cutter Full Carbide Head Hammer Bit</t>
        </is>
      </c>
      <c r="E5766" s="2">
        <f>HYPERLINK("https://www.amazon.com/Diablo-SDS-Plus-4-Cutter-Carbide-Hammer/dp/B089KWVTD3/ref=sr_1_3?keywords=Diablo+Tools+DMAPL4070+1%2F4+in.+x+4+in.+x+6+in.+Rebar+Demon%E2%84%A2+SDS-Plus+4-Cutter+Full+Carbide+Head+Hammer+Bit&amp;qid=1694735303&amp;sr=8-3", "https://www.amazon.com/Diablo-SDS-Plus-4-Cutter-Carbide-Hammer/dp/B089KWVTD3/ref=sr_1_3?keywords=Diablo+Tools+DMAPL4070+1%2F4+in.+x+4+in.+x+6+in.+Rebar+Demon%E2%84%A2+SDS-Plus+4-Cutter+Full+Carbide+Head+Hammer+Bit&amp;qid=1694735303&amp;sr=8-3")</f>
        <v/>
      </c>
      <c r="F5766" t="inlineStr">
        <is>
          <t>B089KWVTD3</t>
        </is>
      </c>
      <c r="G5766">
        <f>_xludf.IMAGE("https://edmondsonsupply.com/cdn/shop/products/DMAPL4070_Main-Image20200701.png?v=1633030350")</f>
        <v/>
      </c>
      <c r="H5766">
        <f>_xludf.IMAGE("https://m.media-amazon.com/images/I/61IkB-DVS1L._AC_UL320_.jpg")</f>
        <v/>
      </c>
      <c r="K5766" t="inlineStr">
        <is>
          <t>8.97</t>
        </is>
      </c>
      <c r="L5766" t="n">
        <v>9.5</v>
      </c>
      <c r="M5766" s="1" t="inlineStr">
        <is>
          <t>5.91%</t>
        </is>
      </c>
      <c r="N5766" s="1" t="n">
        <v>-33.37</v>
      </c>
      <c r="O5766" t="n">
        <v>4.7</v>
      </c>
      <c r="P5766" t="n">
        <v>4</v>
      </c>
      <c r="R5766" t="inlineStr">
        <is>
          <t>InStock</t>
        </is>
      </c>
      <c r="S5766" t="inlineStr">
        <is>
          <t>undefined</t>
        </is>
      </c>
      <c r="T5766" t="inlineStr">
        <is>
          <t>5283100197032</t>
        </is>
      </c>
    </row>
    <row r="5767" ht="87" customHeight="1">
      <c r="A5767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5767" s="2">
        <f>HYPERLINK("https://edmondsonsupply.com/products/klein-tools-56334-steel-fish-tape-1-8-inch-x-240-foot", "https://edmondsonsupply.com/products/klein-tools-56334-steel-fish-tape-1-8-inch-x-240-foot")</f>
        <v/>
      </c>
      <c r="C5767" t="inlineStr">
        <is>
          <t>Klein Tools 56334 Steel Fish Tape, 1/8-Inch x 240-Foot</t>
        </is>
      </c>
      <c r="D5767" t="inlineStr">
        <is>
          <t>Klein Tools 56382 Non-Conductive Electrical Fish Tape, Multi-Groove Fiberglass Wire Puller, Optimized Housing and Handle, 50-Foot x 3/16-Inch</t>
        </is>
      </c>
      <c r="E5767" s="2">
        <f>HYPERLINK("https://www.amazon.com/Klein-Tools-56382-Multi-Groove-Fiberglass/dp/B081ZTKDLJ/ref=sr_1_38?keywords=Klein+Tools+56334+Steel+Fish+Tape%2C+1%2F8-Inch+x+240-Foot&amp;qid=1694735385&amp;sr=8-38", "https://www.amazon.com/Klein-Tools-56382-Multi-Groove-Fiberglass/dp/B081ZTKDLJ/ref=sr_1_38?keywords=Klein+Tools+56334+Steel+Fish+Tape%2C+1%2F8-Inch+x+240-Foot&amp;qid=1694735385&amp;sr=8-38")</f>
        <v/>
      </c>
      <c r="F5767" t="inlineStr">
        <is>
          <t>B081ZTKDLJ</t>
        </is>
      </c>
      <c r="G5767">
        <f>_xlfn.IMAGE("https://edmondsonsupply.com/cdn/shop/products/56334.jpg?v=1587147767")</f>
        <v/>
      </c>
      <c r="H5767">
        <f>_xlfn.IMAGE("https://m.media-amazon.com/images/I/51ObZVU2LaL._AC_UL320_.jpg")</f>
        <v/>
      </c>
      <c r="K5767" t="inlineStr">
        <is>
          <t>84.97</t>
        </is>
      </c>
      <c r="L5767" t="n">
        <v>89.98999999999999</v>
      </c>
      <c r="M5767" s="1" t="inlineStr">
        <is>
          <t>5.91%</t>
        </is>
      </c>
      <c r="N5767" s="7" t="n">
        <v>-33.52</v>
      </c>
      <c r="O5767" t="n">
        <v>4.4</v>
      </c>
      <c r="P5767" t="n">
        <v>100</v>
      </c>
      <c r="R5767" t="inlineStr">
        <is>
          <t>InStock</t>
        </is>
      </c>
      <c r="S5767" t="inlineStr">
        <is>
          <t>115.14</t>
        </is>
      </c>
      <c r="T5767" t="inlineStr">
        <is>
          <t>4412213723236</t>
        </is>
      </c>
    </row>
    <row r="5768" ht="87" customHeight="1">
      <c r="A5768" s="2">
        <f>HYPERLINK("https://edmondsonsupply.com/collections/electricians-tools/products/klein-tools-58890-17-pocket-tool-tote-with-shoulder-strap", "https://edmondsonsupply.com/collections/electricians-tools/products/klein-tools-58890-17-pocket-tool-tote-with-shoulder-strap")</f>
        <v/>
      </c>
      <c r="B5768" s="2">
        <f>HYPERLINK("https://edmondsonsupply.com/products/klein-tools-58890-17-pocket-tool-tote-with-shoulder-strap", "https://edmondsonsupply.com/products/klein-tools-58890-17-pocket-tool-tote-with-shoulder-strap")</f>
        <v/>
      </c>
      <c r="C5768" t="inlineStr">
        <is>
          <t>Klein Tools 58890 17 Pocket Tool Tote with Shoulder Strap</t>
        </is>
      </c>
      <c r="D5768" t="inlineStr">
        <is>
          <t>Klein Tools 55431 Tool Bag with Molded Bottom, Padded Shoulder Strap and Lighted Tool Storage with 31 Pockets</t>
        </is>
      </c>
      <c r="E5768" s="2">
        <f>HYPERLINK("https://www.amazon.com/Shoulder-Handles-Klein-Tools-55431/dp/B00MJNWO82/ref=sr_1_10?keywords=Klein+Tools+58890+17+Pocket+Tool+Tote+with+Shoulder+Strap&amp;qid=1694735362&amp;sr=8-10", "https://www.amazon.com/Shoulder-Handles-Klein-Tools-55431/dp/B00MJNWO82/ref=sr_1_10?keywords=Klein+Tools+58890+17+Pocket+Tool+Tote+with+Shoulder+Strap&amp;qid=1694735362&amp;sr=8-10")</f>
        <v/>
      </c>
      <c r="F5768" t="inlineStr">
        <is>
          <t>B00MJNWO82</t>
        </is>
      </c>
      <c r="G5768">
        <f>_xlfn.IMAGE("https://edmondsonsupply.com/cdn/shop/products/58890.jpg?v=1587148627")</f>
        <v/>
      </c>
      <c r="H5768">
        <f>_xlfn.IMAGE("https://m.media-amazon.com/images/I/71tbNRyKA9L._AC_UL320_.jpg")</f>
        <v/>
      </c>
      <c r="K5768" t="inlineStr">
        <is>
          <t>97.99</t>
        </is>
      </c>
      <c r="L5768" t="n">
        <v>103.75</v>
      </c>
      <c r="M5768" s="1" t="inlineStr">
        <is>
          <t>5.88%</t>
        </is>
      </c>
      <c r="N5768" s="7" t="n">
        <v>-37.08</v>
      </c>
      <c r="O5768" t="n">
        <v>4.6</v>
      </c>
      <c r="P5768" t="n">
        <v>447</v>
      </c>
      <c r="R5768" t="inlineStr">
        <is>
          <t>InStock</t>
        </is>
      </c>
      <c r="S5768" t="inlineStr">
        <is>
          <t>148.48</t>
        </is>
      </c>
      <c r="T5768" t="inlineStr">
        <is>
          <t>4432350740580</t>
        </is>
      </c>
    </row>
    <row r="5769" ht="87" customHeight="1">
      <c r="A5769" s="2">
        <f>HYPERLINK("https://edmondsonsupply.com/collections/electricians-tools/products/klein-tools-93pll-rechargeable-self-leveling-green-planar-laser-level", "https://edmondsonsupply.com/collections/electricians-tools/products/klein-tools-93pll-rechargeable-self-leveling-green-planar-laser-level")</f>
        <v/>
      </c>
      <c r="B5769" s="2">
        <f>HYPERLINK("https://edmondsonsupply.com/products/klein-tools-93pll-rechargeable-self-leveling-green-planar-laser-level", "https://edmondsonsupply.com/products/klein-tools-93pll-rechargeable-self-leveling-green-planar-laser-level")</f>
        <v/>
      </c>
      <c r="C5769" t="inlineStr">
        <is>
          <t>Klein Tools 93PLL Rechargeable Self-Leveling Green Planar Laser Level</t>
        </is>
      </c>
      <c r="D5769" t="inlineStr">
        <is>
          <t>Klein Tools 93PLL Self-Leveling Green Planar Laser Level (≤1mW @ 510-530nm) &amp; 935DAG Digital Electronic Level and Angle Gauge, Measures 0-90 and 0-180 Degree Ranges, Measures and Sets Angles</t>
        </is>
      </c>
      <c r="E5769" s="2">
        <f>HYPERLINK("https://www.amazon.com/Klein-Tools-Self-Leveling-510-530nm-Electronic/dp/B0BC86ZZ6Q/ref=sr_1_1?keywords=Klein+Tools+93PLL+Rechargeable+Self-Leveling+Green+Planar+Laser+Level&amp;qid=1694735109&amp;sr=8-1", "https://www.amazon.com/Klein-Tools-Self-Leveling-510-530nm-Electronic/dp/B0BC86ZZ6Q/ref=sr_1_1?keywords=Klein+Tools+93PLL+Rechargeable+Self-Leveling+Green+Planar+Laser+Level&amp;qid=1694735109&amp;sr=8-1")</f>
        <v/>
      </c>
      <c r="F5769" t="inlineStr">
        <is>
          <t>B0BC86ZZ6Q</t>
        </is>
      </c>
      <c r="G5769">
        <f>_xlfn.IMAGE("https://edmondsonsupply.com/cdn/shop/products/93pll_app8.jpg?v=1664476137")</f>
        <v/>
      </c>
      <c r="H5769">
        <f>_xlfn.IMAGE("https://m.media-amazon.com/images/I/5142-tLPqXL._AC_UL320_.jpg")</f>
        <v/>
      </c>
      <c r="K5769" t="inlineStr">
        <is>
          <t>299.99</t>
        </is>
      </c>
      <c r="L5769" t="n">
        <v>317.56</v>
      </c>
      <c r="M5769" s="1" t="inlineStr">
        <is>
          <t>5.86%</t>
        </is>
      </c>
      <c r="N5769" s="7" t="n">
        <v>-40.04</v>
      </c>
      <c r="O5769" t="n">
        <v>5</v>
      </c>
      <c r="P5769" t="n">
        <v>2</v>
      </c>
      <c r="R5769" t="inlineStr">
        <is>
          <t>InStock</t>
        </is>
      </c>
      <c r="S5769" t="inlineStr">
        <is>
          <t>455.98</t>
        </is>
      </c>
      <c r="T5769" t="inlineStr">
        <is>
          <t>7833808371928</t>
        </is>
      </c>
    </row>
    <row r="5770" hidden="1" ht="15.75" customHeight="1">
      <c r="A5770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5770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5770" t="inlineStr">
        <is>
          <t>Diablo Tools DMAPL4070 1/4 in. x 4 in. x 6 in. Rebar Demon™ SDS-Plus 4-Cutter Full Carbide Head Hammer Bit</t>
        </is>
      </c>
      <c r="D5770" t="inlineStr">
        <is>
          <t>Diablo 1/2" x 4"x6" Rebar Demon™ SDS-Plus 4-Cutter Full Carbide Head Hammer Bit</t>
        </is>
      </c>
      <c r="E5770" s="2">
        <f>HYPERLINK("https://www.amazon.com/Diablo-Freud-DMAPL4180-SDS-Plus-4-Cutter/dp/B089KW9PV4/ref=sr_1_13?keywords=Diablo+Tools+DMAPL4070+1%2F4+in.+x+4+in.+x+6+in.+Rebar+Demon%E2%84%A2+SDS-Plus+4-Cutter+Full+Carbide+Head+Hammer+Bit&amp;qid=1694735303&amp;sr=8-13", "https://www.amazon.com/Diablo-Freud-DMAPL4180-SDS-Plus-4-Cutter/dp/B089KW9PV4/ref=sr_1_13?keywords=Diablo+Tools+DMAPL4070+1%2F4+in.+x+4+in.+x+6+in.+Rebar+Demon%E2%84%A2+SDS-Plus+4-Cutter+Full+Carbide+Head+Hammer+Bit&amp;qid=1694735303&amp;sr=8-13")</f>
        <v/>
      </c>
      <c r="F5770" t="inlineStr">
        <is>
          <t>B089KW9PV4</t>
        </is>
      </c>
      <c r="G5770">
        <f>_xludf.IMAGE("https://edmondsonsupply.com/cdn/shop/products/DMAPL4070_Main-Image20200701.png?v=1633030350")</f>
        <v/>
      </c>
      <c r="H5770">
        <f>_xludf.IMAGE("https://m.media-amazon.com/images/I/61q9iw+mKpL._AC_UL320_.jpg")</f>
        <v/>
      </c>
      <c r="K5770" t="inlineStr">
        <is>
          <t>8.97</t>
        </is>
      </c>
      <c r="L5770" t="n">
        <v>9.49</v>
      </c>
      <c r="M5770" s="1" t="inlineStr">
        <is>
          <t>5.80%</t>
        </is>
      </c>
      <c r="N5770" s="1" t="n">
        <v>-43.31</v>
      </c>
      <c r="O5770" t="n">
        <v>4.5</v>
      </c>
      <c r="P5770" t="n">
        <v>57</v>
      </c>
      <c r="R5770" t="inlineStr">
        <is>
          <t>InStock</t>
        </is>
      </c>
      <c r="S5770" t="inlineStr">
        <is>
          <t>undefined</t>
        </is>
      </c>
      <c r="T5770" t="inlineStr">
        <is>
          <t>5283100197032</t>
        </is>
      </c>
    </row>
    <row r="5771" ht="87" customHeight="1">
      <c r="A5771" s="2">
        <f>HYPERLINK("https://edmondsonsupply.com/collections/electricians-tools/products/diablo-tools-dou125bw", "https://edmondsonsupply.com/collections/electricians-tools/products/diablo-tools-dou125bw")</f>
        <v/>
      </c>
      <c r="B5771" s="2">
        <f>HYPERLINK("https://edmondsonsupply.com/products/diablo-tools-dou125bw", "https://edmondsonsupply.com/products/diablo-tools-dou125bw")</f>
        <v/>
      </c>
      <c r="C5771" t="inlineStr">
        <is>
          <t>Diablo Tools DOU125BW 1-1/4 in. Universal Fit Bi-Metal Oscillating Blade for Nail-Embedded Wood</t>
        </is>
      </c>
      <c r="D5771" t="inlineStr">
        <is>
          <t>Norske Tools NOTP273 1-1/4 inch Japanese Tooth Bi-Metal Oscillating Multi Tool Accessory Blades (3 Pack Set) Universal Fit for Cutting Wood and Hard Wood</t>
        </is>
      </c>
      <c r="E5771" s="2">
        <f>HYPERLINK("https://www.amazon.com/Norske-Tools-NOTP273-Oscillating-Accessory/dp/B07GB9QHBF/ref=sr_1_25?keywords=Diablo+Tools+DOU125BW+1-1%2F4+in.+Universal+Fit+Bi-Metal+Oscillating+Blade+for+Nail-Embedded+Wood&amp;qid=1694735198&amp;sr=8-25", "https://www.amazon.com/Norske-Tools-NOTP273-Oscillating-Accessory/dp/B07GB9QHBF/ref=sr_1_25?keywords=Diablo+Tools+DOU125BW+1-1%2F4+in.+Universal+Fit+Bi-Metal+Oscillating+Blade+for+Nail-Embedded+Wood&amp;qid=1694735198&amp;sr=8-25")</f>
        <v/>
      </c>
      <c r="F5771" t="inlineStr">
        <is>
          <t>B07GB9QHBF</t>
        </is>
      </c>
      <c r="G5771">
        <f>_xlfn.IMAGE("https://edmondsonsupply.com/cdn/shop/products/gnn0wpqc8veb3qhldcrb.webp?v=1676040020")</f>
        <v/>
      </c>
      <c r="H5771">
        <f>_xlfn.IMAGE("https://m.media-amazon.com/images/I/61TOLqLfwWL._AC_UL320_.jpg")</f>
        <v/>
      </c>
      <c r="K5771" t="inlineStr">
        <is>
          <t>17.97</t>
        </is>
      </c>
      <c r="L5771" t="n">
        <v>19.01</v>
      </c>
      <c r="M5771" s="1" t="inlineStr">
        <is>
          <t>5.79%</t>
        </is>
      </c>
      <c r="N5771" s="7" t="n">
        <v>-43.38</v>
      </c>
      <c r="O5771" t="n">
        <v>4.3</v>
      </c>
      <c r="P5771" t="n">
        <v>83</v>
      </c>
      <c r="R5771" t="inlineStr">
        <is>
          <t>InStock</t>
        </is>
      </c>
      <c r="S5771" t="inlineStr">
        <is>
          <t>22.79</t>
        </is>
      </c>
      <c r="T5771" t="inlineStr">
        <is>
          <t>6846081433773</t>
        </is>
      </c>
    </row>
    <row r="5772" ht="87" customHeight="1">
      <c r="A5772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5772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5772" t="inlineStr">
        <is>
          <t>Diablo Tools DOU125JBW 1-1/4 in. Universal Fit Bi-Metal Oscillating Blades for Clean Wood</t>
        </is>
      </c>
      <c r="D5772" t="inlineStr">
        <is>
          <t>Norske Tools NOTP273 1-1/4 inch Japanese Tooth Bi-Metal Oscillating Multi Tool Accessory Blades (3 Pack Set) Universal Fit for Cutting Wood and Hard Wood</t>
        </is>
      </c>
      <c r="E5772" s="2">
        <f>HYPERLINK("https://www.amazon.com/Norske-Tools-NOTP273-Oscillating-Accessory/dp/B07GB9QHBF/ref=sr_1_18?keywords=Diablo+Tools+DOU125JBW+1-1%2F4+in.+Universal+Fit+Bi-Metal+Oscillating+Blades+for+Clean+Wood&amp;qid=1694735180&amp;sr=8-18", "https://www.amazon.com/Norske-Tools-NOTP273-Oscillating-Accessory/dp/B07GB9QHBF/ref=sr_1_18?keywords=Diablo+Tools+DOU125JBW+1-1%2F4+in.+Universal+Fit+Bi-Metal+Oscillating+Blades+for+Clean+Wood&amp;qid=1694735180&amp;sr=8-18")</f>
        <v/>
      </c>
      <c r="F5772" t="inlineStr">
        <is>
          <t>B07GB9QHBF</t>
        </is>
      </c>
      <c r="G5772">
        <f>_xlfn.IMAGE("https://edmondsonsupply.com/cdn/shop/products/DOU125JBW_Main-Image.png?v=1633638363")</f>
        <v/>
      </c>
      <c r="H5772">
        <f>_xlfn.IMAGE("https://m.media-amazon.com/images/I/61TOLqLfwWL._AC_UL320_.jpg")</f>
        <v/>
      </c>
      <c r="K5772" t="inlineStr">
        <is>
          <t>17.97</t>
        </is>
      </c>
      <c r="L5772" t="n">
        <v>19.01</v>
      </c>
      <c r="M5772" s="1" t="inlineStr">
        <is>
          <t>5.79%</t>
        </is>
      </c>
      <c r="N5772" s="7" t="n">
        <v>-44.98</v>
      </c>
      <c r="O5772" t="n">
        <v>4.3</v>
      </c>
      <c r="P5772" t="n">
        <v>83</v>
      </c>
      <c r="R5772" t="inlineStr">
        <is>
          <t>InStock</t>
        </is>
      </c>
      <c r="S5772" t="inlineStr">
        <is>
          <t>22.35</t>
        </is>
      </c>
      <c r="T5772" t="inlineStr">
        <is>
          <t>7000455807149</t>
        </is>
      </c>
    </row>
    <row r="5773" hidden="1" ht="15.75" customHeight="1">
      <c r="A5773" s="2">
        <f>HYPERLINK("https://edmondsonsupply.com/collections/electricians-tools/products/klein-tools-450-320-cable-and-wire-management-sleeves-1-25-inch-diameter-3-foot-long", "https://edmondsonsupply.com/collections/electricians-tools/products/klein-tools-450-320-cable-and-wire-management-sleeves-1-25-inch-diameter-3-foot-long")</f>
        <v/>
      </c>
      <c r="B5773" s="2">
        <f>HYPERLINK("https://edmondsonsupply.com/products/klein-tools-450-320-cable-and-wire-management-sleeves-1-25-inch-diameter-3-foot-long", "https://edmondsonsupply.com/products/klein-tools-450-320-cable-and-wire-management-sleeves-1-25-inch-diameter-3-foot-long")</f>
        <v/>
      </c>
      <c r="C5773" t="inlineStr">
        <is>
          <t>Klein Tools 450-320 Cable and Wire Management Sleeves,1.25-Inch Diameter, 3-Foot Long</t>
        </is>
      </c>
      <c r="D5773" t="inlineStr">
        <is>
          <t>Klein Tools 450-320 Cable Management Sleeve, Cord Management for Home, Office or Job, 1-1/4-Inch Max Diameter, 3-Foot Length, Black, 2-Pack</t>
        </is>
      </c>
      <c r="E5773" s="2">
        <f>HYPERLINK("https://www.amazon.com/Klein-Tools-450-320-Management-Diameter/dp/B092X37WSG/ref=sr_1_1?keywords=Klein+Tools+450-320+Cable+and+Wire+Management+Sleeves%2C1.25-Inch+Diameter%2C+3-Foot+Long&amp;qid=1694735121&amp;sr=8-1", "https://www.amazon.com/Klein-Tools-450-320-Management-Diameter/dp/B092X37WSG/ref=sr_1_1?keywords=Klein+Tools+450-320+Cable+and+Wire+Management+Sleeves%2C1.25-Inch+Diameter%2C+3-Foot+Long&amp;qid=1694735121&amp;sr=8-1")</f>
        <v/>
      </c>
      <c r="F5773" t="inlineStr">
        <is>
          <t>B092X37WSG</t>
        </is>
      </c>
      <c r="G5773">
        <f>_xludf.IMAGE("https://edmondsonsupply.com/cdn/shop/products/450320.jpg?v=1663947996")</f>
        <v/>
      </c>
      <c r="H5773">
        <f>_xludf.IMAGE("https://m.media-amazon.com/images/I/51WO50-hkcL._AC_UY218_.jpg")</f>
        <v/>
      </c>
      <c r="K5773" t="inlineStr">
        <is>
          <t>12.99</t>
        </is>
      </c>
      <c r="L5773" t="n">
        <v>13.74</v>
      </c>
      <c r="M5773" s="1" t="inlineStr">
        <is>
          <t>5.77%</t>
        </is>
      </c>
      <c r="N5773" s="1" t="n">
        <v>-46.71</v>
      </c>
      <c r="O5773" t="n">
        <v>5</v>
      </c>
      <c r="P5773" t="n">
        <v>1</v>
      </c>
      <c r="R5773" t="inlineStr">
        <is>
          <t>InStock</t>
        </is>
      </c>
      <c r="S5773" t="inlineStr">
        <is>
          <t>18.2</t>
        </is>
      </c>
      <c r="T5773" t="inlineStr">
        <is>
          <t>7827307954392</t>
        </is>
      </c>
    </row>
    <row r="5774" ht="87" customHeight="1">
      <c r="A5774" s="2">
        <f>HYPERLINK("https://edmondsonsupply.com/collections/electricians-tools/products/greenlee-615-3-foam-conduit-piston-set", "https://edmondsonsupply.com/collections/electricians-tools/products/greenlee-615-3-foam-conduit-piston-set")</f>
        <v/>
      </c>
      <c r="B5774" s="2">
        <f>HYPERLINK("https://edmondsonsupply.com/products/greenlee-615-3-foam-conduit-piston-set", "https://edmondsonsupply.com/products/greenlee-615-3-foam-conduit-piston-set")</f>
        <v/>
      </c>
      <c r="C5774" t="inlineStr">
        <is>
          <t>Greenlee 615 3" Foam Conduit Piston</t>
        </is>
      </c>
      <c r="D5774" t="inlineStr">
        <is>
          <t>Greenlee - Piston,3" Conduit, Fishing (615)</t>
        </is>
      </c>
      <c r="E5774" s="2">
        <f>HYPERLINK("https://www.amazon.com/Greenlee-615-Piston-Conduit-Rigid/dp/B002JV01HA/ref=sr_1_1?keywords=Greenlee+615+3%22+Foam+Conduit+Piston&amp;qid=1694735364&amp;sr=8-1", "https://www.amazon.com/Greenlee-615-Piston-Conduit-Rigid/dp/B002JV01HA/ref=sr_1_1?keywords=Greenlee+615+3%22+Foam+Conduit+Piston&amp;qid=1694735364&amp;sr=8-1")</f>
        <v/>
      </c>
      <c r="F5774" t="inlineStr">
        <is>
          <t>B002JV01HA</t>
        </is>
      </c>
      <c r="G5774">
        <f>_xlfn.IMAGE("https://edmondsonsupply.com/cdn/shop/products/Greenlee-614_01_5fd87526-21fb-44b9-8575-b0954e891711.jpg?v=1587149862")</f>
        <v/>
      </c>
      <c r="H5774">
        <f>_xlfn.IMAGE("https://m.media-amazon.com/images/I/61XXTs7+uuL._AC_UL320_.jpg")</f>
        <v/>
      </c>
      <c r="K5774" t="inlineStr">
        <is>
          <t>22.64</t>
        </is>
      </c>
      <c r="L5774" t="n">
        <v>23.9</v>
      </c>
      <c r="M5774" s="1" t="inlineStr">
        <is>
          <t>5.57%</t>
        </is>
      </c>
      <c r="N5774" s="7" t="n">
        <v>-46.71</v>
      </c>
      <c r="O5774" t="n">
        <v>4.1</v>
      </c>
      <c r="P5774" t="n">
        <v>23</v>
      </c>
      <c r="R5774" t="inlineStr">
        <is>
          <t>InStock</t>
        </is>
      </c>
      <c r="S5774" t="inlineStr">
        <is>
          <t>23.1</t>
        </is>
      </c>
      <c r="T5774" t="inlineStr">
        <is>
          <t>4430339375204</t>
        </is>
      </c>
    </row>
    <row r="5775" hidden="1" ht="15.75" customHeight="1">
      <c r="A5775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775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775" t="inlineStr">
        <is>
          <t>Klein Tools 630-1/4 1/4-Inch Nut Driver 3-Inch Shaft Cushion Grip</t>
        </is>
      </c>
      <c r="D5775" t="inlineStr">
        <is>
          <t>Klein Tools 610-1/4M 1/4-Inch Magnetic Nut Driver with 1-1/2-Inch Hollow Shaft and Cushion Grip Handle</t>
        </is>
      </c>
      <c r="E5775" s="2">
        <f>HYPERLINK("https://www.amazon.com/Magnetic-Cushion-Klein-610-1-4M/dp/B00093GE3A/ref=sr_1_6?keywords=Klein+Tools+630-1%2F4+1%2F4-Inch+Nut+Driver+3-Inch+Shaft+Cushion+Grip&amp;qid=1694735346&amp;sr=8-6", "https://www.amazon.com/Magnetic-Cushion-Klein-610-1-4M/dp/B00093GE3A/ref=sr_1_6?keywords=Klein+Tools+630-1%2F4+1%2F4-Inch+Nut+Driver+3-Inch+Shaft+Cushion+Grip&amp;qid=1694735346&amp;sr=8-6")</f>
        <v/>
      </c>
      <c r="F5775" t="inlineStr">
        <is>
          <t>B00093GE3A</t>
        </is>
      </c>
      <c r="G5775">
        <f>_xludf.IMAGE("https://edmondsonsupply.com/cdn/shop/products/630-1-2_4777cf99-f2bc-4f84-bc42-7e765e2a9c37.jpg?v=1587150448")</f>
        <v/>
      </c>
      <c r="H5775">
        <f>_xludf.IMAGE("https://m.media-amazon.com/images/I/41piyjqJVeL._AC_UL320_.jpg")</f>
        <v/>
      </c>
      <c r="K5775" t="inlineStr">
        <is>
          <t>8.99</t>
        </is>
      </c>
      <c r="L5775" t="n">
        <v>9.49</v>
      </c>
      <c r="M5775" s="1" t="inlineStr">
        <is>
          <t>5.56%</t>
        </is>
      </c>
      <c r="N5775" s="1" t="n">
        <v>-48.75</v>
      </c>
      <c r="O5775" t="n">
        <v>4.7</v>
      </c>
      <c r="P5775" t="n">
        <v>258</v>
      </c>
      <c r="R5775" t="inlineStr">
        <is>
          <t>InStock</t>
        </is>
      </c>
      <c r="S5775" t="inlineStr">
        <is>
          <t>11.36</t>
        </is>
      </c>
      <c r="T5775" t="inlineStr">
        <is>
          <t>4490760355940</t>
        </is>
      </c>
    </row>
    <row r="5776" hidden="1" ht="15.75" customHeight="1">
      <c r="A5776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5776" s="2">
        <f>HYPERLINK("https://edmondsonsupply.com/products/klein-tools-605-4-1-4-inch-cabinet-tip-screwdriver-4-inch-shank", "https://edmondsonsupply.com/products/klein-tools-605-4-1-4-inch-cabinet-tip-screwdriver-4-inch-shank")</f>
        <v/>
      </c>
      <c r="C5776" t="inlineStr">
        <is>
          <t>Klein Tools 605-4 1/4-Inch Cabinet Tip Screwdriver 4-Inch Shank</t>
        </is>
      </c>
      <c r="D5776" t="inlineStr">
        <is>
          <t>Klein Tools 602-4 1/4-Inch Keystone-Tip Screwdriver with 4-Inch Heavy-Duty Round-Shank</t>
        </is>
      </c>
      <c r="E5776" s="2">
        <f>HYPERLINK("https://www.amazon.com/Keystone-Tip-Screwdriver-Round-Shank-Klein-602-4/dp/B0000302WD/ref=sr_1_4?keywords=Klein+Tools+605-4+1%2F4-Inch+Cabinet+Tip+Screwdriver+4-Inch+Shank&amp;qid=1694735099&amp;sr=8-4", "https://www.amazon.com/Keystone-Tip-Screwdriver-Round-Shank-Klein-602-4/dp/B0000302WD/ref=sr_1_4?keywords=Klein+Tools+605-4+1%2F4-Inch+Cabinet+Tip+Screwdriver+4-Inch+Shank&amp;qid=1694735099&amp;sr=8-4")</f>
        <v/>
      </c>
      <c r="F5776" t="inlineStr">
        <is>
          <t>B0000302WD</t>
        </is>
      </c>
      <c r="G5776">
        <f>_xludf.IMAGE("https://edmondsonsupply.com/cdn/shop/products/605-6_ac5e56ca-920d-4d55-842f-c7dc8361f892.jpg?v=1665688377")</f>
        <v/>
      </c>
      <c r="H5776">
        <f>_xludf.IMAGE("https://m.media-amazon.com/images/I/51BHg1CmntL._AC_UL320_.jpg")</f>
        <v/>
      </c>
      <c r="K5776" t="inlineStr">
        <is>
          <t>8.99</t>
        </is>
      </c>
      <c r="L5776" t="n">
        <v>9.49</v>
      </c>
      <c r="M5776" s="1" t="inlineStr">
        <is>
          <t>5.56%</t>
        </is>
      </c>
      <c r="N5776" s="1" t="n">
        <v>-52.99</v>
      </c>
      <c r="O5776" t="n">
        <v>4.8</v>
      </c>
      <c r="P5776" t="n">
        <v>879</v>
      </c>
      <c r="R5776" t="inlineStr">
        <is>
          <t>InStock</t>
        </is>
      </c>
      <c r="S5776" t="inlineStr">
        <is>
          <t>13.6</t>
        </is>
      </c>
      <c r="T5776" t="inlineStr">
        <is>
          <t>7852059132120</t>
        </is>
      </c>
    </row>
    <row r="5777" ht="87" customHeight="1">
      <c r="A5777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5777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5777" t="inlineStr">
        <is>
          <t>Diablo Tools DMAMX1360 1-1/2 in. x 16 in. x 21 in. Rebar Demon™ SDS-Max 4-Cutter Carbide-Tipped Hammer Drill Bit</t>
        </is>
      </c>
      <c r="D5777" t="inlineStr">
        <is>
          <t>Diablo DMAMX1360 1-1/2 in. x 16 in. x 21 in. Rebar Demon™ SDS-Max 4-Cutter Carbide-Tipped Hammer Bit</t>
        </is>
      </c>
      <c r="E5777" s="2">
        <f>HYPERLINK("https://www.amazon.com/Diablo-SDS-Max-4-Cutter-Carbide-Tipped-Hammer/dp/B089KXF4R5/ref=sr_1_1?keywords=Diablo+Tools+DMAMX1360+1-1%2F2+in.+x+16+in.+x+21+in.+Rebar+Demon%E2%84%A2+SDS-Max+4-Cutter+Carbide-Tipped+Hammer+Drill+Bit&amp;qid=1694735042&amp;sr=8-1", "https://www.amazon.com/Diablo-SDS-Max-4-Cutter-Carbide-Tipped-Hammer/dp/B089KXF4R5/ref=sr_1_1?keywords=Diablo+Tools+DMAMX1360+1-1%2F2+in.+x+16+in.+x+21+in.+Rebar+Demon%E2%84%A2+SDS-Max+4-Cutter+Carbide-Tipped+Hammer+Drill+Bit&amp;qid=1694735042&amp;sr=8-1")</f>
        <v/>
      </c>
      <c r="F5777" t="inlineStr">
        <is>
          <t>B089KXF4R5</t>
        </is>
      </c>
      <c r="G5777">
        <f>_xlfn.IMAGE("https://edmondsonsupply.com/cdn/shop/products/z2umcsdaj3y4uvsfnxoh.webp?v=1677257156")</f>
        <v/>
      </c>
      <c r="H5777">
        <f>_xlfn.IMAGE("https://m.media-amazon.com/images/I/61MTkJ-cWaL._AC_UL320_.jpg")</f>
        <v/>
      </c>
      <c r="K5777" t="inlineStr">
        <is>
          <t>93.87</t>
        </is>
      </c>
      <c r="L5777" t="n">
        <v>98.98999999999999</v>
      </c>
      <c r="M5777" s="1" t="inlineStr">
        <is>
          <t>5.45%</t>
        </is>
      </c>
      <c r="N5777" s="7" t="n">
        <v>-56.93</v>
      </c>
      <c r="O5777" t="n">
        <v>5</v>
      </c>
      <c r="P5777" t="n">
        <v>5</v>
      </c>
      <c r="R5777" t="inlineStr">
        <is>
          <t>InStock</t>
        </is>
      </c>
      <c r="S5777" t="inlineStr">
        <is>
          <t>149.01</t>
        </is>
      </c>
      <c r="T5777" t="inlineStr">
        <is>
          <t>7950786855128</t>
        </is>
      </c>
    </row>
    <row r="5778" hidden="1" ht="15.75" customHeight="1">
      <c r="A5778" s="2">
        <f>HYPERLINK("https://edmondsonsupply.com/collections/electricians-tools/products/crescent-wiss-whn1n-8-3-4-hand-notcher", "https://edmondsonsupply.com/collections/electricians-tools/products/crescent-wiss-whn1n-8-3-4-hand-notcher")</f>
        <v/>
      </c>
      <c r="B5778" s="2">
        <f>HYPERLINK("https://edmondsonsupply.com/products/crescent-wiss-whn1n-8-3-4-hand-notcher", "https://edmondsonsupply.com/products/crescent-wiss-whn1n-8-3-4-hand-notcher")</f>
        <v/>
      </c>
      <c r="C5778" t="inlineStr">
        <is>
          <t>Crescent Wiss WHN1N 8-3/4" Hand Notcher</t>
        </is>
      </c>
      <c r="D5778" t="inlineStr">
        <is>
          <t>Wiss Crescent Wiss 8-3/4" Hand Notcher - WHN1N</t>
        </is>
      </c>
      <c r="E5778" s="2">
        <f>HYPERLINK("https://www.amazon.com/Wiss-WHN1N-HVAC-Duct-Notcher/dp/B06XCD4DY3/ref=sr_1_1?keywords=Crescent+Wiss+WHN1N+8-3%2F4%22+Hand+Notcher&amp;qid=1694735005&amp;sr=8-1", "https://www.amazon.com/Wiss-WHN1N-HVAC-Duct-Notcher/dp/B06XCD4DY3/ref=sr_1_1?keywords=Crescent+Wiss+WHN1N+8-3%2F4%22+Hand+Notcher&amp;qid=1694735005&amp;sr=8-1")</f>
        <v/>
      </c>
      <c r="F5778" t="inlineStr">
        <is>
          <t>B06XCD4DY3</t>
        </is>
      </c>
      <c r="G5778">
        <f>_xludf.IMAGE("https://edmondsonsupply.com/cdn/shop/products/WIS_WHN1N_IMG-MAIN.jpg?v=1679677764")</f>
        <v/>
      </c>
      <c r="H5778">
        <f>_xludf.IMAGE("https://m.media-amazon.com/images/I/81vaWRQbZiL._AC_UL320_.jpg")</f>
        <v/>
      </c>
      <c r="K5778" t="inlineStr">
        <is>
          <t>47.41</t>
        </is>
      </c>
      <c r="L5778" t="n">
        <v>49.99</v>
      </c>
      <c r="M5778" s="1" t="inlineStr">
        <is>
          <t>5.44%</t>
        </is>
      </c>
      <c r="N5778" s="1" t="n">
        <v>-57.7</v>
      </c>
      <c r="O5778" t="n">
        <v>3.9</v>
      </c>
      <c r="P5778" t="n">
        <v>33</v>
      </c>
      <c r="R5778" t="inlineStr">
        <is>
          <t>InStock</t>
        </is>
      </c>
      <c r="S5778" t="inlineStr">
        <is>
          <t>85.16</t>
        </is>
      </c>
      <c r="T5778" t="inlineStr">
        <is>
          <t>7966365810904</t>
        </is>
      </c>
    </row>
    <row r="5779" hidden="1" ht="15.75" customHeight="1">
      <c r="A5779" s="2">
        <f>HYPERLINK("https://edmondsonsupply.com/collections/electricians-tools/products/diablo-tools-dmarg1180", "https://edmondsonsupply.com/collections/electricians-tools/products/diablo-tools-dmarg1180")</f>
        <v/>
      </c>
      <c r="B5779" s="2">
        <f>HYPERLINK("https://edmondsonsupply.com/products/diablo-tools-dmarg1180", "https://edmondsonsupply.com/products/diablo-tools-dmarg1180")</f>
        <v/>
      </c>
      <c r="C5779" t="inlineStr">
        <is>
          <t>Diablo Tools DMARG1180 5/8 in. x 10 in. x 12 in. SPEEDemon™ Red Granite Carbide Tipped Hammer Drill Bit</t>
        </is>
      </c>
      <c r="D5779" t="inlineStr">
        <is>
          <t>Diablo by Freud DMARG1200 3/4 in. x 10 in. x 12 in. SPEEDemon Red Granite Carbide Tipped Hammer Drill Bit</t>
        </is>
      </c>
      <c r="E5779" s="2">
        <f>HYPERLINK("https://www.amazon.com/Diablo-Freud-DMARG1200-SPEEDemon-Granite/dp/B089KWGLL5/ref=sr_1_5?keywords=Diablo+Tools+DMARG1180+5%2F8+in.+x+10+in.+x+12+in.+SPEEDemon%E2%84%A2+Red+Granite+Carbide+Tipped+Hammer+Drill+Bit&amp;qid=1694735299&amp;sr=8-5", "https://www.amazon.com/Diablo-Freud-DMARG1200-SPEEDemon-Granite/dp/B089KWGLL5/ref=sr_1_5?keywords=Diablo+Tools+DMARG1180+5%2F8+in.+x+10+in.+x+12+in.+SPEEDemon%E2%84%A2+Red+Granite+Carbide+Tipped+Hammer+Drill+Bit&amp;qid=1694735299&amp;sr=8-5")</f>
        <v/>
      </c>
      <c r="F5779" t="inlineStr">
        <is>
          <t>B089KWGLL5</t>
        </is>
      </c>
      <c r="G5779">
        <f>_xludf.IMAGE("https://edmondsonsupply.com/cdn/shop/products/DMARG1180_Main-Image.png?v=1633030424")</f>
        <v/>
      </c>
      <c r="H5779">
        <f>_xludf.IMAGE("https://m.media-amazon.com/images/I/61fi8hhRaDL._AC_UL320_.jpg")</f>
        <v/>
      </c>
      <c r="K5779" t="inlineStr">
        <is>
          <t>18.97</t>
        </is>
      </c>
      <c r="L5779" t="n">
        <v>20</v>
      </c>
      <c r="M5779" s="1" t="inlineStr">
        <is>
          <t>5.43%</t>
        </is>
      </c>
      <c r="N5779" s="1" t="n">
        <v>-59.52</v>
      </c>
      <c r="O5779" t="n">
        <v>3.9</v>
      </c>
      <c r="P5779" t="n">
        <v>13</v>
      </c>
      <c r="R5779" t="inlineStr">
        <is>
          <t>InStock</t>
        </is>
      </c>
      <c r="S5779" t="inlineStr">
        <is>
          <t>undefined</t>
        </is>
      </c>
      <c r="T5779" t="inlineStr">
        <is>
          <t>5323605278888</t>
        </is>
      </c>
    </row>
    <row r="5780" ht="87" customHeight="1">
      <c r="A5780" s="2">
        <f>HYPERLINK("https://edmondsonsupply.com/collections/electricians-tools/products/klein-tools-d509-8-adjustable-wrench-extra-wide-jaw-8-inch", "https://edmondsonsupply.com/collections/electricians-tools/products/klein-tools-d509-8-adjustable-wrench-extra-wide-jaw-8-inch")</f>
        <v/>
      </c>
      <c r="B5780" s="2">
        <f>HYPERLINK("https://edmondsonsupply.com/products/klein-tools-d509-8-adjustable-wrench-extra-wide-jaw-8-inch", "https://edmondsonsupply.com/products/klein-tools-d509-8-adjustable-wrench-extra-wide-jaw-8-inch")</f>
        <v/>
      </c>
      <c r="C5780" t="inlineStr">
        <is>
          <t>Klein Tools D509-8 Adjustable Wrench, Extra-Wide Jaw, 8-Inch</t>
        </is>
      </c>
      <c r="D5780" t="inlineStr">
        <is>
          <t>Klein Tools D86930 Reversible Pipe Wrench/Adjustable Wrench with 2-in-1 Extra-Wide 1-1/2 -inch Jaw, 10-inch</t>
        </is>
      </c>
      <c r="E5780" s="2">
        <f>HYPERLINK("https://www.amazon.com/Reversible-Adjustable-Klein-Tools-D86930/dp/B0753L3TP6/ref=sr_1_7?keywords=Klein+Tools+D509-8+Adjustable+Wrench%2C+Extra-Wide+Jaw%2C+8-Inch&amp;qid=1694735250&amp;sr=8-7", "https://www.amazon.com/Reversible-Adjustable-Klein-Tools-D86930/dp/B0753L3TP6/ref=sr_1_7?keywords=Klein+Tools+D509-8+Adjustable+Wrench%2C+Extra-Wide+Jaw%2C+8-Inch&amp;qid=1694735250&amp;sr=8-7")</f>
        <v/>
      </c>
      <c r="F5780" t="inlineStr">
        <is>
          <t>B0753L3TP6</t>
        </is>
      </c>
      <c r="G5780">
        <f>_xlfn.IMAGE("https://edmondsonsupply.com/cdn/shop/products/d5098_b.jpg?v=1666363753")</f>
        <v/>
      </c>
      <c r="H5780">
        <f>_xlfn.IMAGE("https://m.media-amazon.com/images/I/41BoNS0zkEL._AC_UL320_.jpg")</f>
        <v/>
      </c>
      <c r="K5780" t="inlineStr">
        <is>
          <t>37.97</t>
        </is>
      </c>
      <c r="L5780" t="n">
        <v>39.99</v>
      </c>
      <c r="M5780" s="1" t="inlineStr">
        <is>
          <t>5.32%</t>
        </is>
      </c>
      <c r="N5780" s="7" t="n">
        <v>-61.9</v>
      </c>
      <c r="O5780" t="n">
        <v>4.7</v>
      </c>
      <c r="P5780" t="n">
        <v>127</v>
      </c>
      <c r="R5780" t="inlineStr">
        <is>
          <t>InStock</t>
        </is>
      </c>
      <c r="S5780" t="inlineStr">
        <is>
          <t>52.86</t>
        </is>
      </c>
      <c r="T5780" t="inlineStr">
        <is>
          <t>5822683513000</t>
        </is>
      </c>
    </row>
    <row r="5781" ht="87" customHeight="1">
      <c r="A5781" s="2">
        <f>HYPERLINK("https://edmondsonsupply.com/collections/electricians-tools/products/klein-tools-5416tsr-tool-bag-bolt-bag-with-drain-holes-no-4-canvas-5-x-9-x-10-inch", "https://edmondsonsupply.com/collections/electricians-tools/products/klein-tools-5416tsr-tool-bag-bolt-bag-with-drain-holes-no-4-canvas-5-x-9-x-10-inch")</f>
        <v/>
      </c>
      <c r="B5781" s="2">
        <f>HYPERLINK("https://edmondsonsupply.com/products/klein-tools-5416tsr-tool-bag-bolt-bag-with-drain-holes-no-4-canvas-5-x-9-x-10-inch", "https://edmondsonsupply.com/products/klein-tools-5416tsr-tool-bag-bolt-bag-with-drain-holes-no-4-canvas-5-x-9-x-10-inch")</f>
        <v/>
      </c>
      <c r="C5781" t="inlineStr">
        <is>
          <t>Klein Tools 5416TSR Tool Bag, Bolt Bag with Drain Holes, No. 4 Canvas, 5 x 9 x 10-Inch</t>
        </is>
      </c>
      <c r="D5781" t="inlineStr">
        <is>
          <t>Klein Tools 5416OCTO Tool Bag, Bull-Pin and Bolt Pouch, No. 4 Canvas with Tunnel Connection, 5 x 5 x 9-Inch</t>
        </is>
      </c>
      <c r="E5781" s="2">
        <f>HYPERLINK("https://www.amazon.com/Bull-Pin-Connection-Klein-Tools-5416OCTO/dp/B00Y6WMEZW/ref=sr_1_4?keywords=Klein+Tools+5416TSR+Tool+Bag%2C+Bolt+Bag+with+Drain+Holes%2C+No.+4+Canvas%2C+5+x+9+x+10-Inch&amp;qid=1694735252&amp;sr=8-4", "https://www.amazon.com/Bull-Pin-Connection-Klein-Tools-5416OCTO/dp/B00Y6WMEZW/ref=sr_1_4?keywords=Klein+Tools+5416TSR+Tool+Bag%2C+Bolt+Bag+with+Drain+Holes%2C+No.+4+Canvas%2C+5+x+9+x+10-Inch&amp;qid=1694735252&amp;sr=8-4")</f>
        <v/>
      </c>
      <c r="F5781" t="inlineStr">
        <is>
          <t>B00Y6WMEZW</t>
        </is>
      </c>
      <c r="G5781">
        <f>_xlfn.IMAGE("https://edmondsonsupply.com/cdn/shop/products/5416tsr.jpg?v=1633030723")</f>
        <v/>
      </c>
      <c r="H5781">
        <f>_xlfn.IMAGE("https://m.media-amazon.com/images/I/61SKfGzjXGL._AC_UL320_.jpg")</f>
        <v/>
      </c>
      <c r="K5781" t="inlineStr">
        <is>
          <t>19.94</t>
        </is>
      </c>
      <c r="L5781" t="n">
        <v>21</v>
      </c>
      <c r="M5781" s="1" t="inlineStr">
        <is>
          <t>5.32%</t>
        </is>
      </c>
      <c r="N5781" s="7" t="n">
        <v>-61.9</v>
      </c>
      <c r="O5781" t="n">
        <v>4.8</v>
      </c>
      <c r="P5781" t="n">
        <v>513</v>
      </c>
      <c r="R5781" t="inlineStr">
        <is>
          <t>InStock</t>
        </is>
      </c>
      <c r="S5781" t="inlineStr">
        <is>
          <t>31.64</t>
        </is>
      </c>
      <c r="T5781" t="inlineStr">
        <is>
          <t>5867208868008</t>
        </is>
      </c>
    </row>
    <row r="5782" hidden="1" ht="15.75" customHeight="1">
      <c r="A5782" s="2">
        <f>HYPERLINK("https://edmondsonsupply.com/collections/electricians-tools/products/greenlee-k2p-1-1-conduit-size-slug-buster%C2%AE-knockout-punch", "https://edmondsonsupply.com/collections/electricians-tools/products/greenlee-k2p-1-1-conduit-size-slug-buster%C2%AE-knockout-punch")</f>
        <v/>
      </c>
      <c r="B5782" s="2">
        <f>HYPERLINK("https://edmondsonsupply.com/products/greenlee-k2p-1-1-conduit-size-slug-buster%c2%ae-knockout-punch", "https://edmondsonsupply.com/products/greenlee-k2p-1-1-conduit-size-slug-buster%c2%ae-knockout-punch")</f>
        <v/>
      </c>
      <c r="C5782" t="inlineStr">
        <is>
          <t>Greenlee K2P-1 1" Conduit Size Slug-Buster® Knockout Punch</t>
        </is>
      </c>
      <c r="D5782" t="inlineStr">
        <is>
          <t>Greenlee K2P-3/4 Slug-Buster Knockout Punch for 3/4" Conduit, Versatile 3/4" Conduit Size Knockout Punch Tool</t>
        </is>
      </c>
      <c r="E5782" s="2">
        <f>HYPERLINK("https://www.amazon.com/Greenlee-K2P-3-4-Knockout-Punch/dp/B07Y5SPTFV/ref=sr_1_5?keywords=Greenlee+K2P-1+1%22+Conduit+Size+Slug-Buster%C2%AE+Knockout+Punch&amp;qid=1694735369&amp;sr=8-5", "https://www.amazon.com/Greenlee-K2P-3-4-Knockout-Punch/dp/B07Y5SPTFV/ref=sr_1_5?keywords=Greenlee+K2P-1+1%22+Conduit+Size+Slug-Buster%C2%AE+Knockout+Punch&amp;qid=1694735369&amp;sr=8-5")</f>
        <v/>
      </c>
      <c r="F5782" t="inlineStr">
        <is>
          <t>B07Y5SPTFV</t>
        </is>
      </c>
      <c r="G5782">
        <f>_xludf.IMAGE("https://edmondsonsupply.com/cdn/shop/products/K2P-1-CAT1.jpg?v=1587143889")</f>
        <v/>
      </c>
      <c r="H5782">
        <f>_xludf.IMAGE("https://m.media-amazon.com/images/I/51bxgevAv6L._AC_UL320_.jpg")</f>
        <v/>
      </c>
      <c r="K5782" t="inlineStr">
        <is>
          <t>35.59</t>
        </is>
      </c>
      <c r="L5782" t="n">
        <v>37.48</v>
      </c>
      <c r="M5782" s="1" t="inlineStr">
        <is>
          <t>5.31%</t>
        </is>
      </c>
      <c r="N5782" s="1" t="n">
        <v>-61.9</v>
      </c>
      <c r="O5782" t="n">
        <v>3.9</v>
      </c>
      <c r="P5782" t="n">
        <v>7</v>
      </c>
      <c r="R5782" t="inlineStr">
        <is>
          <t>InStock</t>
        </is>
      </c>
      <c r="S5782" t="inlineStr">
        <is>
          <t>39.12</t>
        </is>
      </c>
      <c r="T5782" t="inlineStr">
        <is>
          <t>4431406432356</t>
        </is>
      </c>
    </row>
    <row r="5783" hidden="1" ht="15.75" customHeight="1">
      <c r="A5783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5783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5783" t="inlineStr">
        <is>
          <t>Klein Tools JTH4E09 9/64-Inch Hex Key Journeyman T-Handle 4-Inch</t>
        </is>
      </c>
      <c r="D5783" t="inlineStr">
        <is>
          <t>Klein Tools JTH6M4 4 mm Hex Key, Journeyman T-Handle, 6-Inch</t>
        </is>
      </c>
      <c r="E5783" s="2">
        <f>HYPERLINK("https://www.amazon.com/Journeyman-T-Handle-Klein-Tools-JTH6M4/dp/B005G394YO/ref=sr_1_4?keywords=Klein+Tools+JTH4E09+9%2F64-Inch+Hex+Key+Journeyman+T-Handle+4-Inch&amp;qid=1694735175&amp;sr=8-4", "https://www.amazon.com/Journeyman-T-Handle-Klein-Tools-JTH6M4/dp/B005G394YO/ref=sr_1_4?keywords=Klein+Tools+JTH4E09+9%2F64-Inch+Hex+Key+Journeyman+T-Handle+4-Inch&amp;qid=1694735175&amp;sr=8-4")</f>
        <v/>
      </c>
      <c r="F5783" t="inlineStr">
        <is>
          <t>B005G394YO</t>
        </is>
      </c>
      <c r="G5783">
        <f>_xludf.IMAGE("https://edmondsonsupply.com/cdn/shop/products/jth4e06_be5118a6-2e9d-44f5-81ad-c027572dd2d3.jpg?v=1635981570")</f>
        <v/>
      </c>
      <c r="H5783">
        <f>_xludf.IMAGE("https://m.media-amazon.com/images/I/51+1x0vz9XL._AC_UL320_.jpg")</f>
        <v/>
      </c>
      <c r="K5783" t="inlineStr">
        <is>
          <t>3.79</t>
        </is>
      </c>
      <c r="L5783" t="n">
        <v>3.99</v>
      </c>
      <c r="M5783" s="1" t="inlineStr">
        <is>
          <t>5.28%</t>
        </is>
      </c>
      <c r="N5783" s="1" t="n">
        <v>-68.53</v>
      </c>
      <c r="O5783" t="n">
        <v>4.7</v>
      </c>
      <c r="P5783" t="n">
        <v>1530</v>
      </c>
      <c r="R5783" t="inlineStr">
        <is>
          <t>InStock</t>
        </is>
      </c>
      <c r="S5783" t="inlineStr">
        <is>
          <t>5.76</t>
        </is>
      </c>
      <c r="T5783" t="inlineStr">
        <is>
          <t>7434795876568</t>
        </is>
      </c>
    </row>
    <row r="5784" hidden="1" ht="15.75" customHeight="1">
      <c r="A5784" s="2">
        <f>HYPERLINK("https://edmondsonsupply.com/collections/electricians-tools/products/klein-tools-jth4e08-1-8-inch-hex-key-journeyman-t-handle-4-inch", "https://edmondsonsupply.com/collections/electricians-tools/products/klein-tools-jth4e08-1-8-inch-hex-key-journeyman-t-handle-4-inch")</f>
        <v/>
      </c>
      <c r="B5784" s="2">
        <f>HYPERLINK("https://edmondsonsupply.com/products/klein-tools-jth4e08-1-8-inch-hex-key-journeyman-t-handle-4-inch", "https://edmondsonsupply.com/products/klein-tools-jth4e08-1-8-inch-hex-key-journeyman-t-handle-4-inch")</f>
        <v/>
      </c>
      <c r="C5784" t="inlineStr">
        <is>
          <t>Klein Tools JTH4E08 1/8-Inch Hex Key, Journeyman T-Handle, 4-Inch</t>
        </is>
      </c>
      <c r="D5784" t="inlineStr">
        <is>
          <t>Klein Tools JTH6M4 4 mm Hex Key, Journeyman T-Handle, 6-Inch</t>
        </is>
      </c>
      <c r="E5784" s="2">
        <f>HYPERLINK("https://www.amazon.com/Journeyman-T-Handle-Klein-Tools-JTH6M4/dp/B005G394YO/ref=sr_1_4?keywords=Klein+Tools+JTH4E08+1%2F8-Inch+Hex+Key%2C+Journeyman+T-Handle%2C+4-Inch&amp;qid=1694735164&amp;sr=8-4", "https://www.amazon.com/Journeyman-T-Handle-Klein-Tools-JTH6M4/dp/B005G394YO/ref=sr_1_4?keywords=Klein+Tools+JTH4E08+1%2F8-Inch+Hex+Key%2C+Journeyman+T-Handle%2C+4-Inch&amp;qid=1694735164&amp;sr=8-4")</f>
        <v/>
      </c>
      <c r="F5784" t="inlineStr">
        <is>
          <t>B005G394YO</t>
        </is>
      </c>
      <c r="G5784">
        <f>_xludf.IMAGE("https://edmondsonsupply.com/cdn/shop/products/jth4e06_0950e3ec-22b0-4cdd-acd1-822980009e67.jpg?v=1645564818")</f>
        <v/>
      </c>
      <c r="H5784">
        <f>_xludf.IMAGE("https://m.media-amazon.com/images/I/51+1x0vz9XL._AC_UL320_.jpg")</f>
        <v/>
      </c>
      <c r="K5784" t="inlineStr">
        <is>
          <t>3.79</t>
        </is>
      </c>
      <c r="L5784" t="n">
        <v>3.99</v>
      </c>
      <c r="M5784" s="1" t="inlineStr">
        <is>
          <t>5.28%</t>
        </is>
      </c>
      <c r="N5784" s="1" t="n">
        <v>284.95</v>
      </c>
      <c r="O5784" t="n">
        <v>4.7</v>
      </c>
      <c r="P5784" t="n">
        <v>1530</v>
      </c>
      <c r="R5784" t="inlineStr">
        <is>
          <t>InStock</t>
        </is>
      </c>
      <c r="S5784" t="inlineStr">
        <is>
          <t>5.74</t>
        </is>
      </c>
      <c r="T5784" t="inlineStr">
        <is>
          <t>7614347509976</t>
        </is>
      </c>
    </row>
    <row r="5785" hidden="1" ht="15.75" customHeight="1">
      <c r="A5785" s="2">
        <f>HYPERLINK("https://edmondsonsupply.com/collections/electricians-tools/products/rack-a-tiers-47010-v-cutter", "https://edmondsonsupply.com/collections/electricians-tools/products/rack-a-tiers-47010-v-cutter")</f>
        <v/>
      </c>
      <c r="B5785" s="2">
        <f>HYPERLINK("https://edmondsonsupply.com/products/rack-a-tiers-47010-v-cutter", "https://edmondsonsupply.com/products/rack-a-tiers-47010-v-cutter")</f>
        <v/>
      </c>
      <c r="C5785" t="inlineStr">
        <is>
          <t>Rack-A-Tiers 47010 V-Cutter</t>
        </is>
      </c>
      <c r="D5785" t="inlineStr">
        <is>
          <t>Rack-A-Tiers V-Cutter NMSC Cable Stripper (47010)</t>
        </is>
      </c>
      <c r="E5785" s="2">
        <f>HYPERLINK("https://www.amazon.com/V-Cutter-Attachable-Precision-Sheathing-Stripper/dp/B00AKPFOW4/ref=sr_1_1?keywords=Rack-A-Tiers+47010+V-Cutter&amp;qid=1694734989&amp;sr=8-1", "https://www.amazon.com/V-Cutter-Attachable-Precision-Sheathing-Stripper/dp/B00AKPFOW4/ref=sr_1_1?keywords=Rack-A-Tiers+47010+V-Cutter&amp;qid=1694734989&amp;sr=8-1")</f>
        <v/>
      </c>
      <c r="F5785" t="inlineStr">
        <is>
          <t>B00AKPFOW4</t>
        </is>
      </c>
      <c r="G5785">
        <f>_xludf.IMAGE("https://edmondsonsupply.com/cdn/shop/products/47010.jpg?v=1587146041")</f>
        <v/>
      </c>
      <c r="H5785">
        <f>_xludf.IMAGE("https://m.media-amazon.com/images/I/51wvBHpYDDL._AC_UL320_.jpg")</f>
        <v/>
      </c>
      <c r="K5785" t="inlineStr">
        <is>
          <t>9.49</t>
        </is>
      </c>
      <c r="L5785" t="n">
        <v>9.99</v>
      </c>
      <c r="M5785" s="1" t="inlineStr">
        <is>
          <t>5.27%</t>
        </is>
      </c>
      <c r="N5785" s="1" t="n">
        <v>182.57</v>
      </c>
      <c r="O5785" t="n">
        <v>4.1</v>
      </c>
      <c r="P5785" t="n">
        <v>144</v>
      </c>
      <c r="R5785" t="inlineStr">
        <is>
          <t>InStock</t>
        </is>
      </c>
      <c r="S5785" t="inlineStr">
        <is>
          <t>9.99</t>
        </is>
      </c>
      <c r="T5785" t="inlineStr">
        <is>
          <t>3351176872036</t>
        </is>
      </c>
    </row>
    <row r="5786" ht="87" customHeight="1">
      <c r="A5786" s="2">
        <f>HYPERLINK("https://edmondsonsupply.com/collections/electricians-tools/products/fluke-325-true-rms-clamp-meter", "https://edmondsonsupply.com/collections/electricians-tools/products/fluke-325-true-rms-clamp-meter")</f>
        <v/>
      </c>
      <c r="B5786" s="2">
        <f>HYPERLINK("https://edmondsonsupply.com/products/fluke-325-true-rms-clamp-meter", "https://edmondsonsupply.com/products/fluke-325-true-rms-clamp-meter")</f>
        <v/>
      </c>
      <c r="C5786" t="inlineStr">
        <is>
          <t>Fluke 325 True RMS Clamp Meter</t>
        </is>
      </c>
      <c r="D5786" t="inlineStr">
        <is>
          <t>Fluke 376 True RMS AC/DC Clamp Meter with iFlex</t>
        </is>
      </c>
      <c r="E5786" s="2">
        <f>HYPERLINK("https://www.amazon.com/Fluke-True-Clamp-Meter-iFlex/dp/B0086963VC/ref=sr_1_15?keywords=Fluke+325+True+RMS+Clamp+Meter&amp;qid=1694735185&amp;sr=8-15", "https://www.amazon.com/Fluke-True-Clamp-Meter-iFlex/dp/B0086963VC/ref=sr_1_15?keywords=Fluke+325+True+RMS+Clamp+Meter&amp;qid=1694735185&amp;sr=8-15")</f>
        <v/>
      </c>
      <c r="F5786" t="inlineStr">
        <is>
          <t>B0086963VC</t>
        </is>
      </c>
      <c r="G5786">
        <f>_xlfn.IMAGE("https://edmondsonsupply.com/cdn/shop/products/Fluke_325_clamp_meter_1280x873px_E_NR-14655.jpg?v=1688679209")</f>
        <v/>
      </c>
      <c r="H5786">
        <f>_xlfn.IMAGE("https://m.media-amazon.com/images/I/51g0DI2hCPL._AC_UY218_.jpg")</f>
        <v/>
      </c>
      <c r="K5786" t="inlineStr">
        <is>
          <t>373.49</t>
        </is>
      </c>
      <c r="L5786" t="n">
        <v>393</v>
      </c>
      <c r="M5786" s="1" t="inlineStr">
        <is>
          <t>5.22%</t>
        </is>
      </c>
      <c r="N5786" s="7" t="n">
        <v>174.95</v>
      </c>
      <c r="O5786" t="n">
        <v>4.5</v>
      </c>
      <c r="P5786" t="n">
        <v>101</v>
      </c>
      <c r="R5786" t="inlineStr">
        <is>
          <t>InStock</t>
        </is>
      </c>
      <c r="S5786" t="inlineStr">
        <is>
          <t>414.99</t>
        </is>
      </c>
      <c r="T5786" t="inlineStr">
        <is>
          <t>6917985468589</t>
        </is>
      </c>
    </row>
    <row r="5787" hidden="1" ht="15.75" customHeight="1">
      <c r="A5787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5787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5787" t="inlineStr">
        <is>
          <t>Diablo Tools DMAPL2380 9/16 in. x 10 in. x 12 in. SDS-Plus 2-Cutter</t>
        </is>
      </c>
      <c r="D5787" t="inlineStr">
        <is>
          <t>Diablo DMAPL4055 3/16 in. x 10 in. x 12 in. Rebar Demon™ SDS-Plus 4-Cutter Full Carbide Head Hammer Bit</t>
        </is>
      </c>
      <c r="E5787" s="2">
        <f>HYPERLINK("https://www.amazon.com/Diablo-DMAPL4055-SDS-Plus-4-Cutter-Carbide/dp/B089LJCD42/ref=sr_1_17?keywords=Diablo+Tools+DMAPL2380+9%2F16+in.+x+10+in.+x+12+in.+SDS-Plus+2-Cutter&amp;qid=1694735296&amp;sr=8-17", "https://www.amazon.com/Diablo-DMAPL4055-SDS-Plus-4-Cutter-Carbide/dp/B089LJCD42/ref=sr_1_17?keywords=Diablo+Tools+DMAPL2380+9%2F16+in.+x+10+in.+x+12+in.+SDS-Plus+2-Cutter&amp;qid=1694735296&amp;sr=8-17")</f>
        <v/>
      </c>
      <c r="F5787" t="inlineStr">
        <is>
          <t>B089LJCD42</t>
        </is>
      </c>
      <c r="G5787">
        <f>_xludf.IMAGE("https://edmondsonsupply.com/cdn/shop/products/pn8n58bx2f87ihetrrnf.webp?v=1670435143")</f>
        <v/>
      </c>
      <c r="H5787">
        <f>_xludf.IMAGE("https://m.media-amazon.com/images/I/61cDOAhkb4L._AC_UL320_.jpg")</f>
        <v/>
      </c>
      <c r="K5787" t="inlineStr">
        <is>
          <t>14.99</t>
        </is>
      </c>
      <c r="L5787" t="n">
        <v>15.76</v>
      </c>
      <c r="M5787" s="1" t="inlineStr">
        <is>
          <t>5.14%</t>
        </is>
      </c>
      <c r="N5787" s="1" t="n">
        <v>139.95</v>
      </c>
      <c r="O5787" t="n">
        <v>2</v>
      </c>
      <c r="P5787" t="n">
        <v>1</v>
      </c>
      <c r="R5787" t="inlineStr">
        <is>
          <t>InStock</t>
        </is>
      </c>
      <c r="S5787" t="inlineStr">
        <is>
          <t>21.48</t>
        </is>
      </c>
      <c r="T5787" t="inlineStr">
        <is>
          <t>5286298222760</t>
        </is>
      </c>
    </row>
    <row r="5788" hidden="1" ht="15.75" customHeight="1">
      <c r="A5788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5788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5788" t="inlineStr">
        <is>
          <t>Klein Tools 630-1/4 1/4-Inch Nut Driver 3-Inch Shaft Cushion Grip</t>
        </is>
      </c>
      <c r="D5788" t="inlineStr">
        <is>
          <t>Klein Tools 630-1/4M Nut Driver, 1/4-Inch Magnetic Tip Nut Driver with 3-Inch Hollow Shaft, Cushion Grip Handle</t>
        </is>
      </c>
      <c r="E5788" s="2">
        <f>HYPERLINK("https://www.amazon.com/Magnetic-Klein-Tools-630-1-4M/dp/B00093GE6M/ref=sr_1_2?keywords=Klein+Tools+630-1%2F4+1%2F4-Inch+Nut+Driver+3-Inch+Shaft+Cushion+Grip&amp;qid=1694735346&amp;sr=8-2", "https://www.amazon.com/Magnetic-Klein-Tools-630-1-4M/dp/B00093GE6M/ref=sr_1_2?keywords=Klein+Tools+630-1%2F4+1%2F4-Inch+Nut+Driver+3-Inch+Shaft+Cushion+Grip&amp;qid=1694735346&amp;sr=8-2")</f>
        <v/>
      </c>
      <c r="F5788" t="inlineStr">
        <is>
          <t>B00093GE6M</t>
        </is>
      </c>
      <c r="G5788">
        <f>_xludf.IMAGE("https://edmondsonsupply.com/cdn/shop/products/630-1-2_4777cf99-f2bc-4f84-bc42-7e765e2a9c37.jpg?v=1587150448")</f>
        <v/>
      </c>
      <c r="H5788">
        <f>_xludf.IMAGE("https://m.media-amazon.com/images/I/51TXA1qvEdL._AC_UL320_.jpg")</f>
        <v/>
      </c>
      <c r="K5788" t="inlineStr">
        <is>
          <t>8.99</t>
        </is>
      </c>
      <c r="L5788" t="n">
        <v>9.449999999999999</v>
      </c>
      <c r="M5788" s="1" t="inlineStr">
        <is>
          <t>5.12%</t>
        </is>
      </c>
      <c r="N5788" s="1" t="n">
        <v>138.6</v>
      </c>
      <c r="O5788" t="n">
        <v>4.7</v>
      </c>
      <c r="P5788" t="n">
        <v>1571</v>
      </c>
      <c r="R5788" t="inlineStr">
        <is>
          <t>InStock</t>
        </is>
      </c>
      <c r="S5788" t="inlineStr">
        <is>
          <t>11.36</t>
        </is>
      </c>
      <c r="T5788" t="inlineStr">
        <is>
          <t>4490760355940</t>
        </is>
      </c>
    </row>
    <row r="5789" hidden="1" ht="15.75" customHeight="1">
      <c r="A5789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5789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5789" t="inlineStr">
        <is>
          <t>Diablo Tools DMAPL4310 1 in. x 16 in. x 18 in. Rebar Demon™ SDS-Plus 4-Cutter Full Carbide Head Hammer Drill Bit</t>
        </is>
      </c>
      <c r="D5789" t="inlineStr">
        <is>
          <t>Diablo DMAMX1180 7/8 in. x 16 in. x 21 in. Rebar Demon™ SDS-Max 4-Cutter Full Carbide Head Hammer Bit</t>
        </is>
      </c>
      <c r="E5789" s="2">
        <f>HYPERLINK("https://www.amazon.com/Diablo-SDS-Max-4-Cutter-Carbide-Hammer/dp/B089KWFF8B/ref=sr_1_11?keywords=Diablo+Tools+DMAPL4310+1+in.+x+16+in.+x+18+in.+Rebar+Demon%E2%84%A2+SDS-Plus+4-Cutter+Full+Carbide+Head+Hammer+Drill+Bit&amp;qid=1694735204&amp;sr=8-11", "https://www.amazon.com/Diablo-SDS-Max-4-Cutter-Carbide-Hammer/dp/B089KWFF8B/ref=sr_1_11?keywords=Diablo+Tools+DMAPL4310+1+in.+x+16+in.+x+18+in.+Rebar+Demon%E2%84%A2+SDS-Plus+4-Cutter+Full+Carbide+Head+Hammer+Drill+Bit&amp;qid=1694735204&amp;sr=8-11")</f>
        <v/>
      </c>
      <c r="F5789" t="inlineStr">
        <is>
          <t>B089KWFF8B</t>
        </is>
      </c>
      <c r="G5789">
        <f>_xludf.IMAGE("https://edmondsonsupply.com/cdn/shop/products/DMAPL4310_Main-Image20200701.png?v=1633031094")</f>
        <v/>
      </c>
      <c r="H5789">
        <f>_xludf.IMAGE("https://m.media-amazon.com/images/I/611fTcYRNFL._AC_UL320_.jpg")</f>
        <v/>
      </c>
      <c r="K5789" t="inlineStr">
        <is>
          <t>49.97</t>
        </is>
      </c>
      <c r="L5789" t="n">
        <v>52.51</v>
      </c>
      <c r="M5789" s="1" t="inlineStr">
        <is>
          <t>5.08%</t>
        </is>
      </c>
      <c r="N5789" s="1" t="n">
        <v>39.17</v>
      </c>
      <c r="O5789" t="n">
        <v>3.5</v>
      </c>
      <c r="P5789" t="n">
        <v>3</v>
      </c>
      <c r="R5789" t="inlineStr">
        <is>
          <t>InStock</t>
        </is>
      </c>
      <c r="S5789" t="inlineStr">
        <is>
          <t>57.56</t>
        </is>
      </c>
      <c r="T5789" t="inlineStr">
        <is>
          <t>6839830479021</t>
        </is>
      </c>
    </row>
    <row r="5790" ht="87" customHeight="1">
      <c r="A5790" s="2">
        <f>HYPERLINK("https://edmondsonsupply.com/collections/electricians-tools/products/klein-tools-5416tbr-tool-pouch-bolt-retention-pouch-canvas-tunnel-connect-5x10x9-inch", "https://edmondsonsupply.com/collections/electricians-tools/products/klein-tools-5416tbr-tool-pouch-bolt-retention-pouch-canvas-tunnel-connect-5x10x9-inch")</f>
        <v/>
      </c>
      <c r="B5790" s="2">
        <f>HYPERLINK("https://edmondsonsupply.com/products/klein-tools-5416tbr-tool-pouch-bolt-retention-pouch-canvas-tunnel-connect-5x10x9-inch", "https://edmondsonsupply.com/products/klein-tools-5416tbr-tool-pouch-bolt-retention-pouch-canvas-tunnel-connect-5x10x9-inch")</f>
        <v/>
      </c>
      <c r="C5790" t="inlineStr">
        <is>
          <t>Klein Tools 5416TBR Tool Pouch, Bolt Retention Pouch, Canvas, Tunnel Connect, 5x10x9-Inch</t>
        </is>
      </c>
      <c r="D5790" t="inlineStr">
        <is>
          <t>Klein Tools 5416TBR Tool Pouch, Bolt Retention Tool Bag Constructed of No. 4 Canvas with Reinforced Bottom, Tunnel Connect, 5 x 10 x 9-Inch</t>
        </is>
      </c>
      <c r="E5790" s="2">
        <f>HYPERLINK("https://www.amazon.com/Retention-10-Inch-Klein-Tools-5416TBR/dp/B06XYVMGZK/ref=sr_1_1?keywords=Klein+Tools+5416TBR+Tool+Pouch%2C+Bolt+Retention+Pouch%2C+Canvas%2C+Tunnel+Connect%2C+5x10x9-Inch&amp;qid=1694735096&amp;sr=8-1", "https://www.amazon.com/Retention-10-Inch-Klein-Tools-5416TBR/dp/B06XYVMGZK/ref=sr_1_1?keywords=Klein+Tools+5416TBR+Tool+Pouch%2C+Bolt+Retention+Pouch%2C+Canvas%2C+Tunnel+Connect%2C+5x10x9-Inch&amp;qid=1694735096&amp;sr=8-1")</f>
        <v/>
      </c>
      <c r="F5790" t="inlineStr">
        <is>
          <t>B06XYVMGZK</t>
        </is>
      </c>
      <c r="G5790">
        <f>_xlfn.IMAGE("https://edmondsonsupply.com/cdn/shop/products/5416tbr.jpg?v=1666359521")</f>
        <v/>
      </c>
      <c r="H5790">
        <f>_xlfn.IMAGE("https://m.media-amazon.com/images/I/61X7uHtI2DL._AC_UL320_.jpg")</f>
        <v/>
      </c>
      <c r="K5790" t="inlineStr">
        <is>
          <t>37.4</t>
        </is>
      </c>
      <c r="L5790" t="n">
        <v>39.29</v>
      </c>
      <c r="M5790" s="1" t="inlineStr">
        <is>
          <t>5.05%</t>
        </is>
      </c>
      <c r="N5790" s="7" t="n">
        <v>19.95</v>
      </c>
      <c r="O5790" t="n">
        <v>4.2</v>
      </c>
      <c r="P5790" t="n">
        <v>21</v>
      </c>
      <c r="R5790" t="inlineStr">
        <is>
          <t>InStock</t>
        </is>
      </c>
      <c r="S5790" t="inlineStr">
        <is>
          <t>62.34</t>
        </is>
      </c>
      <c r="T5790" t="inlineStr">
        <is>
          <t>7861058699480</t>
        </is>
      </c>
    </row>
    <row r="5791" ht="87" customHeight="1">
      <c r="A5791" s="2">
        <f>HYPERLINK("https://edmondsonsupply.com/collections/electricians-tools/products/klein-5416tfr", "https://edmondsonsupply.com/collections/electricians-tools/products/klein-5416tfr")</f>
        <v/>
      </c>
      <c r="B5791" s="2">
        <f>HYPERLINK("https://edmondsonsupply.com/products/klein-5416tfr", "https://edmondsonsupply.com/products/klein-5416tfr")</f>
        <v/>
      </c>
      <c r="C5791" t="inlineStr">
        <is>
          <t>Klein Tools 5416TFR Tool Bag, Flame Resistant Bolt Bag, No. 4 Canvas, 5 x 10 x 9-Inch</t>
        </is>
      </c>
      <c r="D5791" t="inlineStr">
        <is>
          <t>Klein Tools 5416OCTO Tool Bag, Bull-Pin and Bolt Pouch, No. 4 Canvas with Tunnel Connection, 5 x 5 x 9-Inch</t>
        </is>
      </c>
      <c r="E5791" s="2">
        <f>HYPERLINK("https://www.amazon.com/Bull-Pin-Connection-Klein-Tools-5416OCTO/dp/B00Y6WMEZW/ref=sr_1_15?keywords=Klein+Tools+5416TFR+Tool+Bag%2C+Flame+Resistant+Bolt+Bag%2C+No.+4+Canvas%2C+5+x+10+x+9-Inch&amp;qid=1694734988&amp;sr=8-15", "https://www.amazon.com/Bull-Pin-Connection-Klein-Tools-5416OCTO/dp/B00Y6WMEZW/ref=sr_1_15?keywords=Klein+Tools+5416TFR+Tool+Bag%2C+Flame+Resistant+Bolt+Bag%2C+No.+4+Canvas%2C+5+x+10+x+9-Inch&amp;qid=1694734988&amp;sr=8-15")</f>
        <v/>
      </c>
      <c r="F5791" t="inlineStr">
        <is>
          <t>B00Y6WMEZW</t>
        </is>
      </c>
      <c r="G5791">
        <f>_xlfn.IMAGE("https://edmondsonsupply.com/cdn/shop/products/5416tfr.jpg?v=1587149359")</f>
        <v/>
      </c>
      <c r="H5791">
        <f>_xlfn.IMAGE("https://m.media-amazon.com/images/I/61SKfGzjXGL._AC_UL320_.jpg")</f>
        <v/>
      </c>
      <c r="K5791" t="inlineStr">
        <is>
          <t>19.99</t>
        </is>
      </c>
      <c r="L5791" t="n">
        <v>21</v>
      </c>
      <c r="M5791" s="1" t="inlineStr">
        <is>
          <t>5.05%</t>
        </is>
      </c>
      <c r="N5791" s="7" t="n">
        <v>14.95</v>
      </c>
      <c r="O5791" t="n">
        <v>4.8</v>
      </c>
      <c r="P5791" t="n">
        <v>513</v>
      </c>
      <c r="R5791" t="inlineStr">
        <is>
          <t>InStock</t>
        </is>
      </c>
      <c r="S5791" t="inlineStr">
        <is>
          <t>33.64</t>
        </is>
      </c>
      <c r="T5791" t="inlineStr">
        <is>
          <t>1490970837092</t>
        </is>
      </c>
    </row>
    <row r="5792" ht="87" customHeight="1">
      <c r="A5792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5792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5792" t="inlineStr">
        <is>
          <t>Klein Tools 32801 5-in-1 Multi-Bit Screwdriver / Nut Driver, Heavy Duty</t>
        </is>
      </c>
      <c r="D5792" t="inlineStr">
        <is>
          <t>Klein Tools 32500MAG Magnetic Multi-Bit Screwdriver / Nut Driver, 11-in-1 Multi Tool with 8 Bits, 3 Nut Driver Sizes, Cushion Grip Handle</t>
        </is>
      </c>
      <c r="E5792" s="2">
        <f>HYPERLINK("https://www.amazon.com/Klein-Tools-32500MAG-Multi-Bit-Screwdriver/dp/B089LTTZWT/ref=sr_1_6?keywords=Klein+Tools+32801+5-in-1+Multi-Bit+Screwdriver+%2F+Nut+Driver%2C+Heavy+Duty&amp;qid=1694735265&amp;sr=8-6", "https://www.amazon.com/Klein-Tools-32500MAG-Multi-Bit-Screwdriver/dp/B089LTTZWT/ref=sr_1_6?keywords=Klein+Tools+32801+5-in-1+Multi-Bit+Screwdriver+%2F+Nut+Driver%2C+Heavy+Duty&amp;qid=1694735265&amp;sr=8-6")</f>
        <v/>
      </c>
      <c r="F5792" t="inlineStr">
        <is>
          <t>B089LTTZWT</t>
        </is>
      </c>
      <c r="G5792">
        <f>_xlfn.IMAGE("https://edmondsonsupply.com/cdn/shop/products/32801.jpg?v=1633030677")</f>
        <v/>
      </c>
      <c r="H5792">
        <f>_xlfn.IMAGE("https://m.media-amazon.com/images/I/61WjOoy7J0L._AC_UL320_.jpg")</f>
        <v/>
      </c>
      <c r="K5792" t="inlineStr">
        <is>
          <t>19.97</t>
        </is>
      </c>
      <c r="L5792" t="n">
        <v>20.97</v>
      </c>
      <c r="M5792" s="1" t="inlineStr">
        <is>
          <t>5.01%</t>
        </is>
      </c>
      <c r="N5792" s="7" t="n">
        <v>14.95</v>
      </c>
      <c r="O5792" t="n">
        <v>4.8</v>
      </c>
      <c r="P5792" t="n">
        <v>3916</v>
      </c>
      <c r="R5792" t="inlineStr">
        <is>
          <t>InStock</t>
        </is>
      </c>
      <c r="S5792" t="inlineStr">
        <is>
          <t>32.18</t>
        </is>
      </c>
      <c r="T5792" t="inlineStr">
        <is>
          <t>5807274819752</t>
        </is>
      </c>
    </row>
    <row r="5793" hidden="1" ht="15.75" customHeight="1">
      <c r="A5793" s="2">
        <f>HYPERLINK("https://edmondsonsupply.com/collections/electricians-tools/products/klein-tools-630-1-4m-1-4-magnetic-tip-nut-driver-3-shaft", "https://edmondsonsupply.com/collections/electricians-tools/products/klein-tools-630-1-4m-1-4-magnetic-tip-nut-driver-3-shaft")</f>
        <v/>
      </c>
      <c r="B5793" s="2">
        <f>HYPERLINK("https://edmondsonsupply.com/products/klein-tools-630-1-4m-1-4-magnetic-tip-nut-driver-3-shaft", "https://edmondsonsupply.com/products/klein-tools-630-1-4m-1-4-magnetic-tip-nut-driver-3-shaft")</f>
        <v/>
      </c>
      <c r="C5793" t="inlineStr">
        <is>
          <t>Klein Tools 630-1/4M 1/4'' Magnetic Tip Nut Driver 3'' Shaft</t>
        </is>
      </c>
      <c r="D5793" t="inlineStr">
        <is>
          <t>Klein Tools 646-1/4M Nut Driver, 1/4-Inch Magnetic Tip Nut Driver with 6-Inch Hollow Shaft, Cushion Grip Handle</t>
        </is>
      </c>
      <c r="E5793" s="2">
        <f>HYPERLINK("https://www.amazon.com/Magnetic-Klein-Tools-646-1-4M/dp/B00093GEC6/ref=sr_1_3?keywords=Klein+Tools+630-1%2F4M+1%2F4+Magnetic+Tip+Nut+Driver+3+Shaft&amp;qid=1694735269&amp;sr=8-3", "https://www.amazon.com/Magnetic-Klein-Tools-646-1-4M/dp/B00093GEC6/ref=sr_1_3?keywords=Klein+Tools+630-1%2F4M+1%2F4+Magnetic+Tip+Nut+Driver+3+Shaft&amp;qid=1694735269&amp;sr=8-3")</f>
        <v/>
      </c>
      <c r="F5793" t="inlineStr">
        <is>
          <t>B00093GEC6</t>
        </is>
      </c>
      <c r="G5793">
        <f>_xludf.IMAGE("https://edmondsonsupply.com/cdn/shop/products/630-1-4m.jpg?v=1633030524")</f>
        <v/>
      </c>
      <c r="H5793">
        <f>_xludf.IMAGE("https://m.media-amazon.com/images/I/418bbEGck1L._AC_UL320_.jpg")</f>
        <v/>
      </c>
      <c r="K5793" t="inlineStr">
        <is>
          <t>9.99</t>
        </is>
      </c>
      <c r="L5793" t="n">
        <v>10.49</v>
      </c>
      <c r="M5793" s="1" t="inlineStr">
        <is>
          <t>5.01%</t>
        </is>
      </c>
      <c r="N5793" s="1" t="n">
        <v>-2.3</v>
      </c>
      <c r="O5793" t="n">
        <v>4.8</v>
      </c>
      <c r="P5793" t="n">
        <v>2491</v>
      </c>
      <c r="R5793" t="inlineStr">
        <is>
          <t>InStock</t>
        </is>
      </c>
      <c r="S5793" t="inlineStr">
        <is>
          <t>14.38</t>
        </is>
      </c>
      <c r="T5793" t="inlineStr">
        <is>
          <t>5401694994600</t>
        </is>
      </c>
    </row>
    <row r="5794" hidden="1" ht="15.75" customHeight="1">
      <c r="A5794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5794" s="2">
        <f>HYPERLINK("https://edmondsonsupply.com/products/diablo-tools-dmapl2500-7-8-in-x-8-in-x-10-in-sds-plus-2-cutter", "https://edmondsonsupply.com/products/diablo-tools-dmapl2500-7-8-in-x-8-in-x-10-in-sds-plus-2-cutter")</f>
        <v/>
      </c>
      <c r="C5794" t="inlineStr">
        <is>
          <t>Diablo Tools DMAPL2500 7/8 in. x 8 in. x 10 in. SDS-Plus 2-Cutter</t>
        </is>
      </c>
      <c r="D5794" t="inlineStr">
        <is>
          <t>Diablo DMAPL2270 3/8 in. x 37 in. x 39 in. SDS-Plus 2-Cutter</t>
        </is>
      </c>
      <c r="E5794" s="2">
        <f>HYPERLINK("https://www.amazon.com/Diablo-DMAPL2270-37-SDS-Plus-2-Cutter/dp/B089KWQ8CF/ref=sr_1_43?keywords=Diablo+Tools+DMAPL2500+7%2F8+in.+x+8+in.+x+10+in.+SDS-Plus+2-Cutter&amp;qid=1694735171&amp;sr=8-43", "https://www.amazon.com/Diablo-DMAPL2270-37-SDS-Plus-2-Cutter/dp/B089KWQ8CF/ref=sr_1_43?keywords=Diablo+Tools+DMAPL2500+7%2F8+in.+x+8+in.+x+10+in.+SDS-Plus+2-Cutter&amp;qid=1694735171&amp;sr=8-43")</f>
        <v/>
      </c>
      <c r="F5794" t="inlineStr">
        <is>
          <t>B089KWQ8CF</t>
        </is>
      </c>
      <c r="G5794">
        <f>_xludf.IMAGE("https://edmondsonsupply.com/cdn/shop/products/2500.webp?v=1647636219")</f>
        <v/>
      </c>
      <c r="H5794">
        <f>_xludf.IMAGE("https://m.media-amazon.com/images/I/61V8X1ju9YL._AC_UL320_.jpg")</f>
        <v/>
      </c>
      <c r="K5794" t="inlineStr">
        <is>
          <t>28.97</t>
        </is>
      </c>
      <c r="L5794" t="n">
        <v>30.41</v>
      </c>
      <c r="M5794" s="1" t="inlineStr">
        <is>
          <t>4.97%</t>
        </is>
      </c>
      <c r="N5794" s="1" t="n">
        <v>-13.04</v>
      </c>
      <c r="O5794" t="n">
        <v>3.5</v>
      </c>
      <c r="P5794" t="n">
        <v>5</v>
      </c>
      <c r="R5794" t="inlineStr">
        <is>
          <t>InStock</t>
        </is>
      </c>
      <c r="S5794" t="inlineStr">
        <is>
          <t>33.98</t>
        </is>
      </c>
      <c r="T5794" t="inlineStr">
        <is>
          <t>7639201317080</t>
        </is>
      </c>
    </row>
    <row r="5795" ht="87" customHeight="1">
      <c r="A5795" s="2">
        <f>HYPERLINK("https://edmondsonsupply.com/collections/electricians-tools/products/klein-tools-j63050-journeyman%E2%84%A2-cable-cutter", "https://edmondsonsupply.com/collections/electricians-tools/products/klein-tools-j63050-journeyman%E2%84%A2-cable-cutter")</f>
        <v/>
      </c>
      <c r="B5795" s="2">
        <f>HYPERLINK("https://edmondsonsupply.com/products/klein-tools-j63050-journeyman%e2%84%a2-cable-cutter", "https://edmondsonsupply.com/products/klein-tools-j63050-journeyman%e2%84%a2-cable-cutter")</f>
        <v/>
      </c>
      <c r="C5795" t="inlineStr">
        <is>
          <t>Klein Tools J63050 Journeyman™ High Leverage Cable Cutter</t>
        </is>
      </c>
      <c r="D5795" t="inlineStr">
        <is>
          <t>Klein Tools J63225N Journeyman High-Leverage Wire Cable Cutter and Stripper for Cutting Aluminum, Soft Copper and Communications Cable,Red/Black</t>
        </is>
      </c>
      <c r="E5795" s="2">
        <f>HYPERLINK("https://www.amazon.com/High-Leverage-Communications-Klein-Tools-J63225N/dp/B08R8SNQCL/ref=sr_1_1?keywords=Klein+Tools+J63050+Journeyman%E2%84%A2+High+Leverage+Cable+Cutter&amp;qid=1694735135&amp;sr=8-1", "https://www.amazon.com/High-Leverage-Communications-Klein-Tools-J63225N/dp/B08R8SNQCL/ref=sr_1_1?keywords=Klein+Tools+J63050+Journeyman%E2%84%A2+High+Leverage+Cable+Cutter&amp;qid=1694735135&amp;sr=8-1")</f>
        <v/>
      </c>
      <c r="F5795" t="inlineStr">
        <is>
          <t>B08R8SNQCL</t>
        </is>
      </c>
      <c r="G5795">
        <f>_xlfn.IMAGE("https://edmondsonsupply.com/cdn/shop/products/j63050.jpg?v=1660349782")</f>
        <v/>
      </c>
      <c r="H5795">
        <f>_xlfn.IMAGE("https://m.media-amazon.com/images/I/61+P5wW4RkL._AC_UL320_.jpg")</f>
        <v/>
      </c>
      <c r="K5795" t="inlineStr">
        <is>
          <t>39.99</t>
        </is>
      </c>
      <c r="L5795" t="n">
        <v>41.97</v>
      </c>
      <c r="M5795" s="1" t="inlineStr">
        <is>
          <t>4.95%</t>
        </is>
      </c>
      <c r="N5795" s="7" t="n">
        <v>-56.58</v>
      </c>
      <c r="O5795" t="n">
        <v>4.7</v>
      </c>
      <c r="P5795" t="n">
        <v>424</v>
      </c>
      <c r="R5795" t="inlineStr">
        <is>
          <t>InStock</t>
        </is>
      </c>
      <c r="S5795" t="inlineStr">
        <is>
          <t>55.32</t>
        </is>
      </c>
      <c r="T5795" t="inlineStr">
        <is>
          <t>7779784949976</t>
        </is>
      </c>
    </row>
    <row r="5796" ht="87" customHeight="1">
      <c r="A5796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5796" s="2">
        <f>HYPERLINK("https://edmondsonsupply.com/products/klein-tools-rt310-afci-gfci-outlet-tester", "https://edmondsonsupply.com/products/klein-tools-rt310-afci-gfci-outlet-tester")</f>
        <v/>
      </c>
      <c r="C5796" t="inlineStr">
        <is>
          <t>Klein Tools RT310 AFCI / GFCI Outlet Tester</t>
        </is>
      </c>
      <c r="D5796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5796" s="2">
        <f>HYPERLINK("https://www.amazon.com/Klein-Tools-Receptacle-Electrical-Accessory/dp/B09P83VQDK/ref=sr_1_23?keywords=Klein+Tools+RT310+AFCI+%2F+GFCI+Outlet+Tester&amp;qid=1694734989&amp;sr=8-23", "https://www.amazon.com/Klein-Tools-Receptacle-Electrical-Accessory/dp/B09P83VQDK/ref=sr_1_23?keywords=Klein+Tools+RT310+AFCI+%2F+GFCI+Outlet+Tester&amp;qid=1694734989&amp;sr=8-23")</f>
        <v/>
      </c>
      <c r="F5796" t="inlineStr">
        <is>
          <t>B09P83VQDK</t>
        </is>
      </c>
      <c r="G5796">
        <f>_xlfn.IMAGE("https://edmondsonsupply.com/cdn/shop/products/rt310.jpg?v=1587148552")</f>
        <v/>
      </c>
      <c r="H5796">
        <f>_xlfn.IMAGE("https://m.media-amazon.com/images/I/51Y6EmT5N-L._AC_UL320_.jpg")</f>
        <v/>
      </c>
      <c r="K5796" t="inlineStr">
        <is>
          <t>39.97</t>
        </is>
      </c>
      <c r="L5796" t="n">
        <v>41.94</v>
      </c>
      <c r="M5796" s="1" t="inlineStr">
        <is>
          <t>4.93%</t>
        </is>
      </c>
      <c r="N5796" s="7" t="n"/>
      <c r="O5796" t="n">
        <v>4.9</v>
      </c>
      <c r="P5796" t="n">
        <v>20</v>
      </c>
      <c r="R5796" t="inlineStr">
        <is>
          <t>InStock</t>
        </is>
      </c>
      <c r="S5796" t="inlineStr">
        <is>
          <t>57.9</t>
        </is>
      </c>
      <c r="T5796" t="inlineStr">
        <is>
          <t>3372527779940</t>
        </is>
      </c>
    </row>
    <row r="5797" ht="87" customHeight="1">
      <c r="A5797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797" s="2">
        <f>HYPERLINK("https://edmondsonsupply.com/products/klein-tools-32500mag-11-in-1-magnetic-screwdriver-nut-driver", "https://edmondsonsupply.com/products/klein-tools-32500mag-11-in-1-magnetic-screwdriver-nut-driver")</f>
        <v/>
      </c>
      <c r="C5797" t="inlineStr">
        <is>
          <t>Klein Tools 32500MAG 11-in-1 Magnetic Screwdriver / Nut Driver</t>
        </is>
      </c>
      <c r="D5797" t="inlineStr">
        <is>
          <t>Klein Tools 80027 Screwdriver Set, 11-in-1 Multi-bit Screwdriver, 6-in-1 Stubby Screwdriver, Phillips, Slotted, Square, Torx Bits, 2-Piece</t>
        </is>
      </c>
      <c r="E5797" s="2">
        <f>HYPERLINK("https://www.amazon.com/Screwdriver-Multi-bit-Klein-Tools-80027/dp/B0912BW9HP/ref=sr_1_9?keywords=Klein+Tools+32500MAG+11-in-1+Magnetic+Screwdriver+%2F+Nut+Driver&amp;qid=1694735235&amp;sr=8-9", "https://www.amazon.com/Screwdriver-Multi-bit-Klein-Tools-80027/dp/B0912BW9HP/ref=sr_1_9?keywords=Klein+Tools+32500MAG+11-in-1+Magnetic+Screwdriver+%2F+Nut+Driver&amp;qid=1694735235&amp;sr=8-9")</f>
        <v/>
      </c>
      <c r="F5797" t="inlineStr">
        <is>
          <t>B0912BW9HP</t>
        </is>
      </c>
      <c r="G5797">
        <f>_xlfn.IMAGE("https://edmondsonsupply.com/cdn/shop/products/32500mag.jpg?v=1633030832")</f>
        <v/>
      </c>
      <c r="H5797">
        <f>_xlfn.IMAGE("https://m.media-amazon.com/images/I/51-QRUty7rL._AC_UL320_.jpg")</f>
        <v/>
      </c>
      <c r="K5797" t="inlineStr">
        <is>
          <t>20.97</t>
        </is>
      </c>
      <c r="L5797" t="n">
        <v>21.99</v>
      </c>
      <c r="M5797" s="1" t="inlineStr">
        <is>
          <t>4.86%</t>
        </is>
      </c>
      <c r="N5797" s="7" t="n"/>
      <c r="O5797" t="n">
        <v>4.8</v>
      </c>
      <c r="P5797" t="n">
        <v>13254</v>
      </c>
      <c r="R5797" t="inlineStr">
        <is>
          <t>InStock</t>
        </is>
      </c>
      <c r="S5797" t="inlineStr">
        <is>
          <t>29.38</t>
        </is>
      </c>
      <c r="T5797" t="inlineStr">
        <is>
          <t>6082199814317</t>
        </is>
      </c>
    </row>
    <row r="5798" ht="87" customHeight="1">
      <c r="A5798" s="2">
        <f>HYPERLINK("https://edmondsonsupply.com/collections/electricians-tools/products/greenlee-dtapkit-drill-tap-kit", "https://edmondsonsupply.com/collections/electricians-tools/products/greenlee-dtapkit-drill-tap-kit")</f>
        <v/>
      </c>
      <c r="B5798" s="2">
        <f>HYPERLINK("https://edmondsonsupply.com/products/greenlee-dtapkit-drill-tap-kit", "https://edmondsonsupply.com/products/greenlee-dtapkit-drill-tap-kit")</f>
        <v/>
      </c>
      <c r="C5798" t="inlineStr">
        <is>
          <t>Greenlee DTAPKIT Drill/Tap Kit</t>
        </is>
      </c>
      <c r="D5798" t="inlineStr">
        <is>
          <t>Greenlee DTAPKITM Drill/Tap/Countersink Set, Metric, 6 Pc, M3 - M10</t>
        </is>
      </c>
      <c r="E5798" s="2">
        <f>HYPERLINK("https://www.amazon.com/Greenlee-DTAPKITM-M3-M10-6-Piece-Combination/dp/B0041FIR0K/ref=sr_1_7?keywords=Greenlee+DTAPKIT+Drill%2FTap+Kit&amp;qid=1694735397&amp;sr=8-7", "https://www.amazon.com/Greenlee-DTAPKITM-M3-M10-6-Piece-Combination/dp/B0041FIR0K/ref=sr_1_7?keywords=Greenlee+DTAPKIT+Drill%2FTap+Kit&amp;qid=1694735397&amp;sr=8-7")</f>
        <v/>
      </c>
      <c r="F5798" t="inlineStr">
        <is>
          <t>B0041FIR0K</t>
        </is>
      </c>
      <c r="G5798">
        <f>_xlfn.IMAGE("https://edmondsonsupply.com/cdn/shop/products/DTAPKIT_ip_72dpi.jpg?v=1587145646")</f>
        <v/>
      </c>
      <c r="H5798">
        <f>_xlfn.IMAGE("https://m.media-amazon.com/images/I/616h10J8PQL._AC_UL320_.jpg")</f>
        <v/>
      </c>
      <c r="K5798" t="inlineStr">
        <is>
          <t>46.99</t>
        </is>
      </c>
      <c r="L5798" t="n">
        <v>49.26</v>
      </c>
      <c r="M5798" s="1" t="inlineStr">
        <is>
          <t>4.83%</t>
        </is>
      </c>
      <c r="N5798" s="7" t="n"/>
      <c r="O5798" t="n">
        <v>4.6</v>
      </c>
      <c r="P5798" t="n">
        <v>157</v>
      </c>
      <c r="R5798" t="inlineStr">
        <is>
          <t>InStock</t>
        </is>
      </c>
      <c r="S5798" t="inlineStr">
        <is>
          <t>50.0</t>
        </is>
      </c>
      <c r="T5798" t="inlineStr">
        <is>
          <t>4395595268196</t>
        </is>
      </c>
    </row>
    <row r="5799" ht="87" customHeight="1">
      <c r="A5799" s="2">
        <f>HYPERLINK("https://edmondsonsupply.com/collections/electricians-tools/products/diablo-tools-dmamx1040", "https://edmondsonsupply.com/collections/electricians-tools/products/diablo-tools-dmamx1040")</f>
        <v/>
      </c>
      <c r="B5799" s="2">
        <f>HYPERLINK("https://edmondsonsupply.com/products/diablo-tools-dmamx1040", "https://edmondsonsupply.com/products/diablo-tools-dmamx1040")</f>
        <v/>
      </c>
      <c r="C5799" t="inlineStr">
        <is>
          <t>Diablo Tools DMAMX1040 1/2 in. x 24 in. x 29 in. Rebar Demon SDS-Max 4-Cutter Full Carbide Head Hammer Bit</t>
        </is>
      </c>
      <c r="D5799" t="inlineStr">
        <is>
          <t>Diablo DMAMX1140 3/4 in. x 16 in. x 21 in. Rebar Demon™ SDS-Max 4-Cutter Full Carbide Head Hammer Bit</t>
        </is>
      </c>
      <c r="E5799" s="2">
        <f>HYPERLINK("https://www.amazon.com/Diablo-SDS-Max-4-Cutter-Carbide-Hammer/dp/B089KWP4WK/ref=sr_1_22?keywords=Diablo+Tools+DMAMX1040+1%2F2+in.+x+24+in.+x+29+in.+Rebar+Demon+SDS-Max+4-Cutter+Full+Carbide+Head+Hammer+Bit&amp;qid=1694735295&amp;sr=8-22", "https://www.amazon.com/Diablo-SDS-Max-4-Cutter-Carbide-Hammer/dp/B089KWP4WK/ref=sr_1_22?keywords=Diablo+Tools+DMAMX1040+1%2F2+in.+x+24+in.+x+29+in.+Rebar+Demon+SDS-Max+4-Cutter+Full+Carbide+Head+Hammer+Bit&amp;qid=1694735295&amp;sr=8-22")</f>
        <v/>
      </c>
      <c r="F5799" t="inlineStr">
        <is>
          <t>B089KWP4WK</t>
        </is>
      </c>
      <c r="G5799">
        <f>_xlfn.IMAGE("https://edmondsonsupply.com/cdn/shop/products/DMAMX1040_Main-Image20200701.png?v=1633030363")</f>
        <v/>
      </c>
      <c r="H5799">
        <f>_xlfn.IMAGE("https://m.media-amazon.com/images/I/61yWWNP1xrL._AC_UL320_.jpg")</f>
        <v/>
      </c>
      <c r="K5799" t="inlineStr">
        <is>
          <t>47.97</t>
        </is>
      </c>
      <c r="L5799" t="n">
        <v>50.26</v>
      </c>
      <c r="M5799" s="1" t="inlineStr">
        <is>
          <t>4.77%</t>
        </is>
      </c>
      <c r="N5799" s="7" t="n"/>
      <c r="O5799" t="n">
        <v>5</v>
      </c>
      <c r="P5799" t="n">
        <v>9</v>
      </c>
      <c r="R5799" t="inlineStr">
        <is>
          <t>InStock</t>
        </is>
      </c>
      <c r="S5799" t="inlineStr">
        <is>
          <t>72.46</t>
        </is>
      </c>
      <c r="T5799" t="inlineStr">
        <is>
          <t>5289126527144</t>
        </is>
      </c>
    </row>
    <row r="5800" ht="87" customHeight="1">
      <c r="A5800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5800" s="2">
        <f>HYPERLINK("https://edmondsonsupply.com/products/klein-tools-11057-klein-kurve%c2%ae-wire-stripper-and-cutter", "https://edmondsonsupply.com/products/klein-tools-11057-klein-kurve%c2%ae-wire-stripper-and-cutter")</f>
        <v/>
      </c>
      <c r="C5800" t="inlineStr">
        <is>
          <t>Klein Tools 11057 Klein-Kurve® Wire Stripper and Cutter</t>
        </is>
      </c>
      <c r="D5800" t="inlineStr">
        <is>
          <t>Klein Tools 11061 Wire Stripper / Wire Cutter for Solid and Stranded AWG Wire, Heavy Duty Kleins are Self Adjusting,Blue/Black</t>
        </is>
      </c>
      <c r="E5800" s="2">
        <f>HYPERLINK("https://www.amazon.com/Self-Adjusting-Stripper-Klein-Tools-11061/dp/B00CXKOEQ6/ref=sr_1_19?keywords=Klein+Tools+11057+Klein-Kurve%C2%AE+Wire+Stripper+and+Cutter&amp;qid=1694735357&amp;sr=8-19", "https://www.amazon.com/Self-Adjusting-Stripper-Klein-Tools-11061/dp/B00CXKOEQ6/ref=sr_1_19?keywords=Klein+Tools+11057+Klein-Kurve%C2%AE+Wire+Stripper+and+Cutter&amp;qid=1694735357&amp;sr=8-19")</f>
        <v/>
      </c>
      <c r="F5800" t="inlineStr">
        <is>
          <t>B00CXKOEQ6</t>
        </is>
      </c>
      <c r="G5800">
        <f>_xlfn.IMAGE("https://edmondsonsupply.com/cdn/shop/products/11057.jpg?v=1587146927")</f>
        <v/>
      </c>
      <c r="H5800">
        <f>_xlfn.IMAGE("https://m.media-amazon.com/images/I/61nMz2jkNIL._AC_UL320_.jpg")</f>
        <v/>
      </c>
      <c r="K5800" t="inlineStr">
        <is>
          <t>20.97</t>
        </is>
      </c>
      <c r="L5800" t="n">
        <v>21.97</v>
      </c>
      <c r="M5800" s="1" t="inlineStr">
        <is>
          <t>4.77%</t>
        </is>
      </c>
      <c r="N5800" s="7" t="n"/>
      <c r="O5800" t="n">
        <v>4.6</v>
      </c>
      <c r="P5800" t="n">
        <v>7723</v>
      </c>
      <c r="R5800" t="inlineStr">
        <is>
          <t>InStock</t>
        </is>
      </c>
      <c r="S5800" t="inlineStr">
        <is>
          <t>32.72</t>
        </is>
      </c>
      <c r="T5800" t="inlineStr">
        <is>
          <t>4455254720612</t>
        </is>
      </c>
    </row>
    <row r="5801" ht="87" customHeight="1">
      <c r="A5801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801" s="2">
        <f>HYPERLINK("https://edmondsonsupply.com/products/klein-tools-32500mag-11-in-1-magnetic-screwdriver-nut-driver", "https://edmondsonsupply.com/products/klein-tools-32500mag-11-in-1-magnetic-screwdriver-nut-driver")</f>
        <v/>
      </c>
      <c r="C5801" t="inlineStr">
        <is>
          <t>Klein Tools 32500MAG 11-in-1 Magnetic Screwdriver / Nut Driver</t>
        </is>
      </c>
      <c r="D5801" t="inlineStr">
        <is>
          <t>Klein Tools 32305 Multi-bit Ratcheting Screwdriver, 15-in-1 Tool with Phillips, Slotted, Square, Torx and Combo Bits and 1/4-Inch Nut Driver</t>
        </is>
      </c>
      <c r="E5801" s="2">
        <f>HYPERLINK("https://www.amazon.com/Klein-Tools-32305-Ratcheting-Screwdriver/dp/B08KFMHQCP/ref=sr_1_22?keywords=Klein+Tools+32500MAG+11-in-1+Magnetic+Screwdriver+%2F+Nut+Driver&amp;qid=1694735235&amp;sr=8-22", "https://www.amazon.com/Klein-Tools-32305-Ratcheting-Screwdriver/dp/B08KFMHQCP/ref=sr_1_22?keywords=Klein+Tools+32500MAG+11-in-1+Magnetic+Screwdriver+%2F+Nut+Driver&amp;qid=1694735235&amp;sr=8-22")</f>
        <v/>
      </c>
      <c r="F5801" t="inlineStr">
        <is>
          <t>B08KFMHQCP</t>
        </is>
      </c>
      <c r="G5801">
        <f>_xlfn.IMAGE("https://edmondsonsupply.com/cdn/shop/products/32500mag.jpg?v=1633030832")</f>
        <v/>
      </c>
      <c r="H5801">
        <f>_xlfn.IMAGE("https://m.media-amazon.com/images/I/51jA6YSPgmL._AC_UL320_.jpg")</f>
        <v/>
      </c>
      <c r="K5801" t="inlineStr">
        <is>
          <t>20.97</t>
        </is>
      </c>
      <c r="L5801" t="n">
        <v>21.97</v>
      </c>
      <c r="M5801" s="1" t="inlineStr">
        <is>
          <t>4.77%</t>
        </is>
      </c>
      <c r="N5801" s="7" t="n"/>
      <c r="O5801" t="n">
        <v>4.7</v>
      </c>
      <c r="P5801" t="n">
        <v>6042</v>
      </c>
      <c r="R5801" t="inlineStr">
        <is>
          <t>InStock</t>
        </is>
      </c>
      <c r="S5801" t="inlineStr">
        <is>
          <t>29.38</t>
        </is>
      </c>
      <c r="T5801" t="inlineStr">
        <is>
          <t>6082199814317</t>
        </is>
      </c>
    </row>
    <row r="5802" ht="87" customHeight="1">
      <c r="A5802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5802" s="2">
        <f>HYPERLINK("https://edmondsonsupply.com/products/klein-tools-32500mag-11-in-1-magnetic-screwdriver-nut-driver", "https://edmondsonsupply.com/products/klein-tools-32500mag-11-in-1-magnetic-screwdriver-nut-driver")</f>
        <v/>
      </c>
      <c r="C5802" t="inlineStr">
        <is>
          <t>Klein Tools 32500MAG 11-in-1 Magnetic Screwdriver / Nut Driver</t>
        </is>
      </c>
      <c r="D5802" t="inlineStr">
        <is>
          <t>Klein Tools 32500HD Multi-Bit Screwdriver / Nut Driver, Impact Rated 11-in-1 Tool with Phillips, Slotted, Square and Torx Tips</t>
        </is>
      </c>
      <c r="E5802" s="2">
        <f>HYPERLINK("https://www.amazon.com/Klein-Tools-32500HD-Multi-Bit-Screwdriver/dp/B0C9V6NYZ4/ref=sr_1_3?keywords=Klein+Tools+32500MAG+11-in-1+Magnetic+Screwdriver+%2F+Nut+Driver&amp;qid=1694735235&amp;sr=8-3", "https://www.amazon.com/Klein-Tools-32500HD-Multi-Bit-Screwdriver/dp/B0C9V6NYZ4/ref=sr_1_3?keywords=Klein+Tools+32500MAG+11-in-1+Magnetic+Screwdriver+%2F+Nut+Driver&amp;qid=1694735235&amp;sr=8-3")</f>
        <v/>
      </c>
      <c r="F5802" t="inlineStr">
        <is>
          <t>B0C9V6NYZ4</t>
        </is>
      </c>
      <c r="G5802">
        <f>_xlfn.IMAGE("https://edmondsonsupply.com/cdn/shop/products/32500mag.jpg?v=1633030832")</f>
        <v/>
      </c>
      <c r="H5802">
        <f>_xlfn.IMAGE("https://m.media-amazon.com/images/I/41OcyKmA3fL._AC_UL320_.jpg")</f>
        <v/>
      </c>
      <c r="K5802" t="inlineStr">
        <is>
          <t>20.97</t>
        </is>
      </c>
      <c r="L5802" t="n">
        <v>21.97</v>
      </c>
      <c r="M5802" s="1" t="inlineStr">
        <is>
          <t>4.77%</t>
        </is>
      </c>
      <c r="N5802" s="7" t="n"/>
      <c r="O5802" t="n">
        <v>4.6</v>
      </c>
      <c r="P5802" t="n">
        <v>41</v>
      </c>
      <c r="R5802" t="inlineStr">
        <is>
          <t>InStock</t>
        </is>
      </c>
      <c r="S5802" t="inlineStr">
        <is>
          <t>29.38</t>
        </is>
      </c>
      <c r="T5802" t="inlineStr">
        <is>
          <t>6082199814317</t>
        </is>
      </c>
    </row>
    <row r="5803" hidden="1" ht="15.75" customHeight="1">
      <c r="A5803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5803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5803" t="inlineStr">
        <is>
          <t>Diablo Tools DMAPL4220 5/8 in. x 6 in. x 8 in. Rebar Demon™ SDS-Plus 4-Cutter Full Carbide Head Hammer Bit</t>
        </is>
      </c>
      <c r="D5803" t="inlineStr">
        <is>
          <t>Diablo by Freud Diablo DMAPL4210 5/8 in. x 4 in. x 6 in. Rebar Demon SDS-Plus 4-Cutter Full Carbide Head Hammer Bit</t>
        </is>
      </c>
      <c r="E5803" s="2">
        <f>HYPERLINK("https://www.amazon.com/Diablo-Freud-DMAPL4210-SDS-Plus-4-Cutter/dp/B089LGF2KS/ref=sr_1_1?keywords=Diablo+Tools+DMAPL4220+5%2F8+in.+x+6+in.+x+8+in.+Rebar+Demon%E2%84%A2+SDS-Plus+4-Cutter+Full+Carbide+Head+Hammer+Bit&amp;qid=1694735306&amp;sr=8-1", "https://www.amazon.com/Diablo-Freud-DMAPL4210-SDS-Plus-4-Cutter/dp/B089LGF2KS/ref=sr_1_1?keywords=Diablo+Tools+DMAPL4220+5%2F8+in.+x+6+in.+x+8+in.+Rebar+Demon%E2%84%A2+SDS-Plus+4-Cutter+Full+Carbide+Head+Hammer+Bit&amp;qid=1694735306&amp;sr=8-1")</f>
        <v/>
      </c>
      <c r="F5803" t="inlineStr">
        <is>
          <t>B089LGF2KS</t>
        </is>
      </c>
      <c r="G5803">
        <f>_xludf.IMAGE("https://edmondsonsupply.com/cdn/shop/products/DMAPL4220.jpg?v=1633030355")</f>
        <v/>
      </c>
      <c r="H5803">
        <f>_xludf.IMAGE("https://m.media-amazon.com/images/I/61rU9ZgmndL._AC_UL320_.jpg")</f>
        <v/>
      </c>
      <c r="K5803" t="inlineStr">
        <is>
          <t>10.97</t>
        </is>
      </c>
      <c r="L5803" t="n">
        <v>11.49</v>
      </c>
      <c r="M5803" s="1" t="inlineStr">
        <is>
          <t>4.74%</t>
        </is>
      </c>
      <c r="N5803" s="1" t="n"/>
      <c r="O5803" t="n">
        <v>4.6</v>
      </c>
      <c r="P5803" t="n">
        <v>63</v>
      </c>
      <c r="R5803" t="inlineStr">
        <is>
          <t>InStock</t>
        </is>
      </c>
      <c r="S5803" t="inlineStr">
        <is>
          <t>17.16</t>
        </is>
      </c>
      <c r="T5803" t="inlineStr">
        <is>
          <t>5286142148776</t>
        </is>
      </c>
    </row>
    <row r="5804" ht="87" customHeight="1">
      <c r="A5804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5804" s="2">
        <f>HYPERLINK("https://edmondsonsupply.com/products/diablo-tools-dmast1050-5-8-in-x-2-1-16-x-sds-plus-2-cutter", "https://edmondsonsupply.com/products/diablo-tools-dmast1050-5-8-in-x-2-1-16-x-sds-plus-2-cutter")</f>
        <v/>
      </c>
      <c r="C5804" t="inlineStr">
        <is>
          <t>Diablo Tools DMAST1050 5/8 in. x 2-1/16 SDS-Plus 2-Cutter</t>
        </is>
      </c>
      <c r="D5804" t="inlineStr">
        <is>
          <t>Diablo by Freud DMAPL4200 1/2 in. x 16 in. x 18 in. Rebar Demon SDS-Plus 4-Cutter Full Carbide Head Hammer Bit</t>
        </is>
      </c>
      <c r="E5804" s="2">
        <f>HYPERLINK("https://www.amazon.com/Diablo-Freud-DMAPL4200-SDS-Plus-4-Cutter/dp/B089KW2QV1/ref=sr_1_30?keywords=Diablo+Tools+DMAST1050+5%2F8+in.+x+2-1%2F16+SDS-Plus+2-Cutter&amp;qid=1694735304&amp;sr=8-30", "https://www.amazon.com/Diablo-Freud-DMAPL4200-SDS-Plus-4-Cutter/dp/B089KW2QV1/ref=sr_1_30?keywords=Diablo+Tools+DMAST1050+5%2F8+in.+x+2-1%2F16+SDS-Plus+2-Cutter&amp;qid=1694735304&amp;sr=8-30")</f>
        <v/>
      </c>
      <c r="F5804" t="inlineStr">
        <is>
          <t>B089KW2QV1</t>
        </is>
      </c>
      <c r="G5804">
        <f>_xlfn.IMAGE("https://edmondsonsupply.com/cdn/shop/products/DMAST1050_1.jpg?v=1633030363")</f>
        <v/>
      </c>
      <c r="H5804">
        <f>_xlfn.IMAGE("https://m.media-amazon.com/images/I/61rW+ROVmNL._AC_UL320_.jpg")</f>
        <v/>
      </c>
      <c r="K5804" t="inlineStr">
        <is>
          <t>21.97</t>
        </is>
      </c>
      <c r="L5804" t="n">
        <v>23</v>
      </c>
      <c r="M5804" s="1" t="inlineStr">
        <is>
          <t>4.69%</t>
        </is>
      </c>
      <c r="N5804" s="7" t="n"/>
      <c r="O5804" t="n">
        <v>4.7</v>
      </c>
      <c r="P5804" t="n">
        <v>18</v>
      </c>
      <c r="R5804" t="inlineStr">
        <is>
          <t>InStock</t>
        </is>
      </c>
      <c r="S5804" t="inlineStr">
        <is>
          <t>29.12</t>
        </is>
      </c>
      <c r="T5804" t="inlineStr">
        <is>
          <t>5286938869928</t>
        </is>
      </c>
    </row>
    <row r="5805" ht="87" customHeight="1">
      <c r="A5805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805" s="2">
        <f>HYPERLINK("https://edmondsonsupply.com/products/klein-tools-635-1-2-1-2-inch-heavy-duty-nut-driver", "https://edmondsonsupply.com/products/klein-tools-635-1-2-1-2-inch-heavy-duty-nut-driver")</f>
        <v/>
      </c>
      <c r="C5805" t="inlineStr">
        <is>
          <t>Klein Tools 635-1/2 1/2-Inch Heavy-Duty Nut Driver</t>
        </is>
      </c>
      <c r="D5805" t="inlineStr">
        <is>
          <t>Klein Tools 630-1/2M Nut Driver, 1/2-Inch Magnetic Tip, 3-Inch Shaft</t>
        </is>
      </c>
      <c r="E5805" s="2">
        <f>HYPERLINK("https://www.amazon.com/Magnetic-Klein-Tools-630-1-2M/dp/B000MKITBU/ref=sr_1_12?keywords=Klein+Tools+635-1%2F2+1%2F2-Inch+Heavy-Duty+Nut+Driver&amp;qid=1694735353&amp;sr=8-12", "https://www.amazon.com/Magnetic-Klein-Tools-630-1-2M/dp/B000MKITBU/ref=sr_1_12?keywords=Klein+Tools+635-1%2F2+1%2F2-Inch+Heavy-Duty+Nut+Driver&amp;qid=1694735353&amp;sr=8-12")</f>
        <v/>
      </c>
      <c r="F5805" t="inlineStr">
        <is>
          <t>B000MKITBU</t>
        </is>
      </c>
      <c r="G5805">
        <f>_xlfn.IMAGE("https://edmondsonsupply.com/cdn/shop/products/635-1-2.jpg?v=1587147726")</f>
        <v/>
      </c>
      <c r="H5805">
        <f>_xlfn.IMAGE("https://m.media-amazon.com/images/I/51oPJWSEp5L._AC_UL320_.jpg")</f>
        <v/>
      </c>
      <c r="K5805" t="inlineStr">
        <is>
          <t>14.99</t>
        </is>
      </c>
      <c r="L5805" t="n">
        <v>15.69</v>
      </c>
      <c r="M5805" s="1" t="inlineStr">
        <is>
          <t>4.67%</t>
        </is>
      </c>
      <c r="N5805" s="7" t="n"/>
      <c r="O5805" t="n">
        <v>4.7</v>
      </c>
      <c r="P5805" t="n">
        <v>1571</v>
      </c>
      <c r="R5805" t="inlineStr">
        <is>
          <t>InStock</t>
        </is>
      </c>
      <c r="S5805" t="inlineStr">
        <is>
          <t>22.78</t>
        </is>
      </c>
      <c r="T5805" t="inlineStr">
        <is>
          <t>4473296945252</t>
        </is>
      </c>
    </row>
    <row r="5806" hidden="1" ht="15.75" customHeight="1">
      <c r="A5806" s="2">
        <f>HYPERLINK("https://edmondsonsupply.com/collections/electricians-tools/products/diablo-tools-dmapl2360-9-16-in-x-6-in-x-8-in-sds-plus-2-cutter", "https://edmondsonsupply.com/collections/electricians-tools/products/diablo-tools-dmapl2360-9-16-in-x-6-in-x-8-in-sds-plus-2-cutter")</f>
        <v/>
      </c>
      <c r="B5806" s="2">
        <f>HYPERLINK("https://edmondsonsupply.com/products/diablo-tools-dmapl2360-9-16-in-x-6-in-x-8-in-sds-plus-2-cutter", "https://edmondsonsupply.com/products/diablo-tools-dmapl2360-9-16-in-x-6-in-x-8-in-sds-plus-2-cutter")</f>
        <v/>
      </c>
      <c r="C5806" t="inlineStr">
        <is>
          <t>Diablo Tools DMAPL2360 9/16 in. x 6 in. x 8 in. SDS-Plus 2-Cutter</t>
        </is>
      </c>
      <c r="D5806" t="inlineStr">
        <is>
          <t>Diablo by Freud DMAPL4050 3/16 in. x 6 in. x 8 in. Rebar Demon SDS-Plus 4-Cutter Full Carbide Head Hammer Bit Multi, One Size</t>
        </is>
      </c>
      <c r="E5806" s="2">
        <f>HYPERLINK("https://www.amazon.com/Diablo-SDS-Plus-4-Cutter-Carbide-Hammer/dp/B089LKWR9L/ref=sr_1_26?keywords=Diablo+Tools+DMAPL2360+9%2F16+in.+x+6+in.+x+8+in.+SDS-Plus+2-Cutter&amp;qid=1694735296&amp;sr=8-26", "https://www.amazon.com/Diablo-SDS-Plus-4-Cutter-Carbide-Hammer/dp/B089LKWR9L/ref=sr_1_26?keywords=Diablo+Tools+DMAPL2360+9%2F16+in.+x+6+in.+x+8+in.+SDS-Plus+2-Cutter&amp;qid=1694735296&amp;sr=8-26")</f>
        <v/>
      </c>
      <c r="F5806" t="inlineStr">
        <is>
          <t>B089LKWR9L</t>
        </is>
      </c>
      <c r="G5806">
        <f>_xludf.IMAGE("https://edmondsonsupply.com/cdn/shop/products/DMAPL2360_Main-Image20200701.png?v=1633697551")</f>
        <v/>
      </c>
      <c r="H5806">
        <f>_xludf.IMAGE("https://m.media-amazon.com/images/I/61uukuKzJeL._AC_UL320_.jpg")</f>
        <v/>
      </c>
      <c r="K5806" t="inlineStr">
        <is>
          <t>8.59</t>
        </is>
      </c>
      <c r="L5806" t="n">
        <v>8.99</v>
      </c>
      <c r="M5806" s="1" t="inlineStr">
        <is>
          <t>4.66%</t>
        </is>
      </c>
      <c r="N5806" s="1" t="n"/>
      <c r="O5806" t="n">
        <v>3.7</v>
      </c>
      <c r="P5806" t="n">
        <v>10</v>
      </c>
      <c r="R5806" t="inlineStr">
        <is>
          <t>InStock</t>
        </is>
      </c>
      <c r="S5806" t="inlineStr">
        <is>
          <t>9.77</t>
        </is>
      </c>
      <c r="T5806" t="inlineStr">
        <is>
          <t>5286291046568</t>
        </is>
      </c>
    </row>
    <row r="5807" ht="87" customHeight="1">
      <c r="A5807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5807" s="2">
        <f>HYPERLINK("https://edmondsonsupply.com/products/diablo-tools-dmast1050-5-8-in-x-2-1-16-x-sds-plus-2-cutter", "https://edmondsonsupply.com/products/diablo-tools-dmast1050-5-8-in-x-2-1-16-x-sds-plus-2-cutter")</f>
        <v/>
      </c>
      <c r="C5807" t="inlineStr">
        <is>
          <t>Diablo Tools DMAST1050 5/8 in. x 2-1/16 SDS-Plus 2-Cutter</t>
        </is>
      </c>
      <c r="D5807" t="inlineStr">
        <is>
          <t>Diablo 9/16 in. x 16 in. x 18 in. SDS-Plus 2-Cutter</t>
        </is>
      </c>
      <c r="E5807" s="2">
        <f>HYPERLINK("https://www.amazon.com/Diablo-16-18-SDS-Plus-2-Cutter/dp/B089LCNF42/ref=sr_1_22?keywords=Diablo+Tools+DMAST1050+5%2F8+in.+x+2-1%2F16+SDS-Plus+2-Cutter&amp;qid=1694735304&amp;sr=8-22", "https://www.amazon.com/Diablo-16-18-SDS-Plus-2-Cutter/dp/B089LCNF42/ref=sr_1_22?keywords=Diablo+Tools+DMAST1050+5%2F8+in.+x+2-1%2F16+SDS-Plus+2-Cutter&amp;qid=1694735304&amp;sr=8-22")</f>
        <v/>
      </c>
      <c r="F5807" t="inlineStr">
        <is>
          <t>B089LCNF42</t>
        </is>
      </c>
      <c r="G5807">
        <f>_xlfn.IMAGE("https://edmondsonsupply.com/cdn/shop/products/DMAST1050_1.jpg?v=1633030363")</f>
        <v/>
      </c>
      <c r="H5807">
        <f>_xlfn.IMAGE("https://m.media-amazon.com/images/I/61vA5zuIT+L._AC_UL320_.jpg")</f>
        <v/>
      </c>
      <c r="K5807" t="inlineStr">
        <is>
          <t>21.97</t>
        </is>
      </c>
      <c r="L5807" t="n">
        <v>22.97</v>
      </c>
      <c r="M5807" s="1" t="inlineStr">
        <is>
          <t>4.55%</t>
        </is>
      </c>
      <c r="N5807" s="7" t="n"/>
      <c r="O5807" t="n">
        <v>4.5</v>
      </c>
      <c r="P5807" t="n">
        <v>2</v>
      </c>
      <c r="R5807" t="inlineStr">
        <is>
          <t>InStock</t>
        </is>
      </c>
      <c r="S5807" t="inlineStr">
        <is>
          <t>29.12</t>
        </is>
      </c>
      <c r="T5807" t="inlineStr">
        <is>
          <t>5286938869928</t>
        </is>
      </c>
    </row>
    <row r="5808" ht="87" customHeight="1">
      <c r="A5808" s="2">
        <f>HYPERLINK("https://edmondsonsupply.com/collections/electricians-tools/products/klein-tools-69381-heavy-duty-alligator-clip-test-leads-3-foot", "https://edmondsonsupply.com/collections/electricians-tools/products/klein-tools-69381-heavy-duty-alligator-clip-test-leads-3-foot")</f>
        <v/>
      </c>
      <c r="B5808" s="2">
        <f>HYPERLINK("https://edmondsonsupply.com/products/klein-tools-69381-heavy-duty-alligator-clip-test-leads-3-foot", "https://edmondsonsupply.com/products/klein-tools-69381-heavy-duty-alligator-clip-test-leads-3-foot")</f>
        <v/>
      </c>
      <c r="C5808" t="inlineStr">
        <is>
          <t>Klein Tools 69381 Heavy-Duty Alligator Clip Test Leads, 3-Foot</t>
        </is>
      </c>
      <c r="D5808" t="inlineStr">
        <is>
          <t>Klein Tools 69381 Alligator Clip Test Leads, Heavy-Duty Replacement Meter Leads, for All Meters Using Banana Plug Meter Leads, 3-Foot</t>
        </is>
      </c>
      <c r="E5808" s="2">
        <f>HYPERLINK("https://www.amazon.com/Klein-Tools-69381-Heavy-Duty-Replacement/dp/B09YTDKDPQ/ref=sr_1_1?keywords=Klein+Tools+69381+Heavy-Duty+Alligator+Clip+Test+Leads%2C+3-Foot&amp;qid=1694735094&amp;sr=8-1", "https://www.amazon.com/Klein-Tools-69381-Heavy-Duty-Replacement/dp/B09YTDKDPQ/ref=sr_1_1?keywords=Klein+Tools+69381+Heavy-Duty+Alligator+Clip+Test+Leads%2C+3-Foot&amp;qid=1694735094&amp;sr=8-1")</f>
        <v/>
      </c>
      <c r="F5808" t="inlineStr">
        <is>
          <t>B09YTDKDPQ</t>
        </is>
      </c>
      <c r="G5808">
        <f>_xlfn.IMAGE("https://edmondsonsupply.com/cdn/shop/products/69381_photo.jpg?v=1666889006")</f>
        <v/>
      </c>
      <c r="H5808">
        <f>_xlfn.IMAGE("https://m.media-amazon.com/images/I/41l4PY6Mw1L._AC_UY218_.jpg")</f>
        <v/>
      </c>
      <c r="K5808" t="inlineStr">
        <is>
          <t>14.99</t>
        </is>
      </c>
      <c r="L5808" t="n">
        <v>15.67</v>
      </c>
      <c r="M5808" s="1" t="inlineStr">
        <is>
          <t>4.54%</t>
        </is>
      </c>
      <c r="N5808" s="7" t="n"/>
      <c r="O5808" t="n">
        <v>4.7</v>
      </c>
      <c r="P5808" t="n">
        <v>169</v>
      </c>
      <c r="R5808" t="inlineStr">
        <is>
          <t>InStock</t>
        </is>
      </c>
      <c r="S5808" t="inlineStr">
        <is>
          <t>20.98</t>
        </is>
      </c>
      <c r="T5808" t="inlineStr">
        <is>
          <t>7867714371800</t>
        </is>
      </c>
    </row>
    <row r="5809" hidden="1" ht="15.75" customHeight="1">
      <c r="A5809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5809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5809" t="inlineStr">
        <is>
          <t>Klein Tools 630-5/16M 5/16-Inch Magnetic Nut Driver with Hollow Shaft</t>
        </is>
      </c>
      <c r="D5809" t="inlineStr">
        <is>
          <t>Klein Tools 646-5/16M 5/16-Inch Hex Magnetic Tip Nut Driver with 6-Inch Hollow Shank</t>
        </is>
      </c>
      <c r="E5809" s="2">
        <f>HYPERLINK("https://www.amazon.com/Klein-Tools-646-5-16M-Magnetic/dp/B00093GECG/ref=sr_1_2?keywords=Klein+Tools+630-5%2F16M+5%2F16-Inch+Magnetic+Nut+Driver+with+Hollow+Shaft&amp;qid=1694735398&amp;sr=8-2", "https://www.amazon.com/Klein-Tools-646-5-16M-Magnetic/dp/B00093GECG/ref=sr_1_2?keywords=Klein+Tools+630-5%2F16M+5%2F16-Inch+Magnetic+Nut+Driver+with+Hollow+Shaft&amp;qid=1694735398&amp;sr=8-2")</f>
        <v/>
      </c>
      <c r="F5809" t="inlineStr">
        <is>
          <t>B00093GECG</t>
        </is>
      </c>
      <c r="G5809">
        <f>_xludf.IMAGE("https://edmondsonsupply.com/cdn/shop/products/630-5-16m.jpg?v=1587148610")</f>
        <v/>
      </c>
      <c r="H5809">
        <f>_xludf.IMAGE("https://m.media-amazon.com/images/I/41j5NAMWLQL._AC_UL320_.jpg")</f>
        <v/>
      </c>
      <c r="K5809" t="inlineStr">
        <is>
          <t>9.99</t>
        </is>
      </c>
      <c r="L5809" t="n">
        <v>10.44</v>
      </c>
      <c r="M5809" s="1" t="inlineStr">
        <is>
          <t>4.50%</t>
        </is>
      </c>
      <c r="N5809" s="1" t="n"/>
      <c r="O5809" t="n">
        <v>4.8</v>
      </c>
      <c r="P5809" t="n">
        <v>2491</v>
      </c>
      <c r="R5809" t="inlineStr">
        <is>
          <t>InStock</t>
        </is>
      </c>
      <c r="S5809" t="inlineStr">
        <is>
          <t>15.12</t>
        </is>
      </c>
      <c r="T5809" t="inlineStr">
        <is>
          <t>4391884324964</t>
        </is>
      </c>
    </row>
    <row r="5810" hidden="1" ht="15.75" customHeight="1">
      <c r="A5810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5810" s="2">
        <f>HYPERLINK("https://edmondsonsupply.com/products/klein-tools-vaco-s10m-5-16-magnetic-nut-driver-3-hollow-shaft", "https://edmondsonsupply.com/products/klein-tools-vaco-s10m-5-16-magnetic-nut-driver-3-hollow-shaft")</f>
        <v/>
      </c>
      <c r="C5810" t="inlineStr">
        <is>
          <t>Klein Tools S10M 5/16-Inch Magnetic Nut Driver 3-Inch Shaft</t>
        </is>
      </c>
      <c r="D5810" t="inlineStr">
        <is>
          <t>Klein Tools 646-5/16M 5/16-Inch Hex Magnetic Tip Nut Driver with 6-Inch Hollow Shank</t>
        </is>
      </c>
      <c r="E5810" s="2">
        <f>HYPERLINK("https://www.amazon.com/Klein-Tools-646-5-16M-Magnetic/dp/B00093GECG/ref=sr_1_9?keywords=Klein+Tools+S10M+5%2F16-Inch+Magnetic+Nut+Driver+3-Inch+Shaft&amp;qid=1694735002&amp;sr=8-9", "https://www.amazon.com/Klein-Tools-646-5-16M-Magnetic/dp/B00093GECG/ref=sr_1_9?keywords=Klein+Tools+S10M+5%2F16-Inch+Magnetic+Nut+Driver+3-Inch+Shaft&amp;qid=1694735002&amp;sr=8-9")</f>
        <v/>
      </c>
      <c r="F5810" t="inlineStr">
        <is>
          <t>B00093GECG</t>
        </is>
      </c>
      <c r="G5810">
        <f>_xludf.IMAGE("https://edmondsonsupply.com/cdn/shop/products/s10m_alt2.jpg?v=1587143022")</f>
        <v/>
      </c>
      <c r="H5810">
        <f>_xludf.IMAGE("https://m.media-amazon.com/images/I/41j5NAMWLQL._AC_UL320_.jpg")</f>
        <v/>
      </c>
      <c r="K5810" t="inlineStr">
        <is>
          <t>9.99</t>
        </is>
      </c>
      <c r="L5810" t="n">
        <v>10.44</v>
      </c>
      <c r="M5810" s="1" t="inlineStr">
        <is>
          <t>4.50%</t>
        </is>
      </c>
      <c r="N5810" s="1" t="n"/>
      <c r="O5810" t="n">
        <v>4.8</v>
      </c>
      <c r="P5810" t="n">
        <v>2491</v>
      </c>
      <c r="R5810" t="inlineStr">
        <is>
          <t>InStock</t>
        </is>
      </c>
      <c r="S5810" t="inlineStr">
        <is>
          <t>15.08</t>
        </is>
      </c>
      <c r="T5810" t="inlineStr">
        <is>
          <t>2767113125988</t>
        </is>
      </c>
    </row>
    <row r="5811" hidden="1" ht="15.75" customHeight="1">
      <c r="A5811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5811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5811" t="inlineStr">
        <is>
          <t>Diablo Tools DMARG1140 7/16 in. x 4 in. x 6 in. SPEEDemon™ Red Granite Carbide Tipped Hammer Drill Bit</t>
        </is>
      </c>
      <c r="D5811" t="inlineStr">
        <is>
          <t>Diablo by Freud DMARG1140 7/16 in. x 4 in. x 6 in. SPEEDemon Red Granite Carbide Tipped Hammer Drill Bit Multi, One Size</t>
        </is>
      </c>
      <c r="E5811" s="2">
        <f>HYPERLINK("https://www.amazon.com/Diablo-SPEEDemon-Granite-Carbide-Tipped/dp/B089LJWV6X/ref=sr_1_1?keywords=Diablo+Tools+DMARG1140+7%2F16+in.+x+4+in.+x+6+in.+SPEEDemon%E2%84%A2+Red+Granite+Carbide+Tipped+Hammer+Drill+Bit&amp;qid=1694735250&amp;sr=8-1", "https://www.amazon.com/Diablo-SPEEDemon-Granite-Carbide-Tipped/dp/B089LJWV6X/ref=sr_1_1?keywords=Diablo+Tools+DMARG1140+7%2F16+in.+x+4+in.+x+6+in.+SPEEDemon%E2%84%A2+Red+Granite+Carbide+Tipped+Hammer+Drill+Bit&amp;qid=1694735250&amp;sr=8-1")</f>
        <v/>
      </c>
      <c r="F5811" t="inlineStr">
        <is>
          <t>B089LJWV6X</t>
        </is>
      </c>
      <c r="G5811">
        <f>_xludf.IMAGE("https://edmondsonsupply.com/cdn/shop/products/DMARG1140_Main-Image20200513.png?v=1633030765")</f>
        <v/>
      </c>
      <c r="H5811">
        <f>_xludf.IMAGE("https://m.media-amazon.com/images/I/61CZVnVOl-L._AC_UL320_.jpg")</f>
        <v/>
      </c>
      <c r="K5811" t="inlineStr">
        <is>
          <t>8.97</t>
        </is>
      </c>
      <c r="L5811" t="n">
        <v>9.369999999999999</v>
      </c>
      <c r="M5811" s="1" t="inlineStr">
        <is>
          <t>4.46%</t>
        </is>
      </c>
      <c r="N5811" s="1" t="n"/>
      <c r="O5811" t="n">
        <v>5</v>
      </c>
      <c r="P5811" t="n">
        <v>7</v>
      </c>
      <c r="R5811" t="inlineStr">
        <is>
          <t>InStock</t>
        </is>
      </c>
      <c r="S5811" t="inlineStr">
        <is>
          <t>undefined</t>
        </is>
      </c>
      <c r="T5811" t="inlineStr">
        <is>
          <t>5919026315432</t>
        </is>
      </c>
    </row>
    <row r="5812" ht="87" customHeight="1">
      <c r="A5812" s="2">
        <f>HYPERLINK("https://edmondsonsupply.com/collections/electricians-tools/products/copy-of-diablo-tools-d12100x-12-in-x-100-tooth-ultimate-polished-finish-saw-blade", "https://edmondsonsupply.com/collections/electricians-tools/products/copy-of-diablo-tools-d12100x-12-in-x-100-tooth-ultimate-polished-finish-saw-blade")</f>
        <v/>
      </c>
      <c r="B5812" s="2">
        <f>HYPERLINK("https://edmondsonsupply.com/products/copy-of-diablo-tools-d12100x-12-in-x-100-tooth-ultimate-polished-finish-saw-blade", "https://edmondsonsupply.com/products/copy-of-diablo-tools-d12100x-12-in-x-100-tooth-ultimate-polished-finish-saw-blade")</f>
        <v/>
      </c>
      <c r="C5812" t="inlineStr">
        <is>
          <t>Diablo Tools D1060X 10 in. x 60 Tooth Fine Finish Saw Blade</t>
        </is>
      </c>
      <c r="D5812" t="inlineStr">
        <is>
          <t>Milwaukee 10 in. x 60-Tooth Fine Finish Saw Blade</t>
        </is>
      </c>
      <c r="E5812" s="2">
        <f>HYPERLINK("https://www.amazon.com/Milwaukee-60-Tooth-Fine-Finish-Blade/dp/B01LZXUWEC/ref=sr_1_11?keywords=Diablo+Tools+D1060X+10+in.+x+60+Tooth+Fine+Finish+Saw+Blade&amp;qid=1694735313&amp;sr=8-11", "https://www.amazon.com/Milwaukee-60-Tooth-Fine-Finish-Blade/dp/B01LZXUWEC/ref=sr_1_11?keywords=Diablo+Tools+D1060X+10+in.+x+60+Tooth+Fine+Finish+Saw+Blade&amp;qid=1694735313&amp;sr=8-11")</f>
        <v/>
      </c>
      <c r="F5812" t="inlineStr">
        <is>
          <t>B01LZXUWEC</t>
        </is>
      </c>
      <c r="G5812">
        <f>_xlfn.IMAGE("https://edmondsonsupply.com/cdn/shop/products/D1060X_Main-Image20191112.png?v=1633030277")</f>
        <v/>
      </c>
      <c r="H5812">
        <f>_xlfn.IMAGE("https://m.media-amazon.com/images/I/61sEAG0N-vL._AC_UL320_.jpg")</f>
        <v/>
      </c>
      <c r="K5812" t="inlineStr">
        <is>
          <t>38.29</t>
        </is>
      </c>
      <c r="L5812" t="n">
        <v>39.99</v>
      </c>
      <c r="M5812" s="1" t="inlineStr">
        <is>
          <t>4.44%</t>
        </is>
      </c>
      <c r="N5812" s="7" t="n"/>
      <c r="O5812" t="n">
        <v>5</v>
      </c>
      <c r="P5812" t="n">
        <v>1</v>
      </c>
      <c r="R5812" t="inlineStr">
        <is>
          <t>InStock</t>
        </is>
      </c>
      <c r="S5812" t="inlineStr">
        <is>
          <t>60.65</t>
        </is>
      </c>
      <c r="T5812" t="inlineStr">
        <is>
          <t>5238382526632</t>
        </is>
      </c>
    </row>
    <row r="5813" ht="87" customHeight="1">
      <c r="A5813" s="2">
        <f>HYPERLINK("https://edmondsonsupply.com/collections/electricians-tools/products/copy-of-diablo-tools-d12100x-12-in-x-100-tooth-ultimate-polished-finish-saw-blade", "https://edmondsonsupply.com/collections/electricians-tools/products/copy-of-diablo-tools-d12100x-12-in-x-100-tooth-ultimate-polished-finish-saw-blade")</f>
        <v/>
      </c>
      <c r="B5813" s="2">
        <f>HYPERLINK("https://edmondsonsupply.com/products/copy-of-diablo-tools-d12100x-12-in-x-100-tooth-ultimate-polished-finish-saw-blade", "https://edmondsonsupply.com/products/copy-of-diablo-tools-d12100x-12-in-x-100-tooth-ultimate-polished-finish-saw-blade")</f>
        <v/>
      </c>
      <c r="C5813" t="inlineStr">
        <is>
          <t>Diablo Tools D1060X 10 in. x 60 Tooth Fine Finish Saw Blade</t>
        </is>
      </c>
      <c r="D5813" t="inlineStr">
        <is>
          <t>Diablo D1060X 10" 60T Diablo Fine Finish Work Chop Miter and Table Saw Bl</t>
        </is>
      </c>
      <c r="E5813" s="2">
        <f>HYPERLINK("https://www.amazon.com/Diablo-D1060X-Finish-Miter-Table/dp/B002YCPA1G/ref=sr_1_13?keywords=Diablo+Tools+D1060X+10+in.+x+60+Tooth+Fine+Finish+Saw+Blade&amp;qid=1694735313&amp;sr=8-13", "https://www.amazon.com/Diablo-D1060X-Finish-Miter-Table/dp/B002YCPA1G/ref=sr_1_13?keywords=Diablo+Tools+D1060X+10+in.+x+60+Tooth+Fine+Finish+Saw+Blade&amp;qid=1694735313&amp;sr=8-13")</f>
        <v/>
      </c>
      <c r="F5813" t="inlineStr">
        <is>
          <t>B002YCPA1G</t>
        </is>
      </c>
      <c r="G5813">
        <f>_xlfn.IMAGE("https://edmondsonsupply.com/cdn/shop/products/D1060X_Main-Image20191112.png?v=1633030277")</f>
        <v/>
      </c>
      <c r="H5813">
        <f>_xlfn.IMAGE("https://m.media-amazon.com/images/I/51kxK-cxaPL._AC_UL320_.jpg")</f>
        <v/>
      </c>
      <c r="K5813" t="inlineStr">
        <is>
          <t>38.29</t>
        </is>
      </c>
      <c r="L5813" t="n">
        <v>39.97</v>
      </c>
      <c r="M5813" s="1" t="inlineStr">
        <is>
          <t>4.39%</t>
        </is>
      </c>
      <c r="N5813" s="7" t="n"/>
      <c r="O5813" t="n">
        <v>5</v>
      </c>
      <c r="P5813" t="n">
        <v>4</v>
      </c>
      <c r="R5813" t="inlineStr">
        <is>
          <t>InStock</t>
        </is>
      </c>
      <c r="S5813" t="inlineStr">
        <is>
          <t>60.65</t>
        </is>
      </c>
      <c r="T5813" t="inlineStr">
        <is>
          <t>5238382526632</t>
        </is>
      </c>
    </row>
    <row r="5814" hidden="1" ht="15.75" customHeight="1">
      <c r="A5814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5814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5814" t="inlineStr">
        <is>
          <t>Diablo Tools DMAPL4040 3/16 in. x 4 in. x 6 in. Rebar Demon™ SDS-Plus 4-Cutter Full Carbide Head Hammer Bit</t>
        </is>
      </c>
      <c r="D5814" t="inlineStr">
        <is>
          <t>Diablo by Freud Diablo DMAPL4070 1/4 in. x 4 in. x 6 in. Rebar Demon SDS-Plus 4-Cutter Full Carbide Head Hammer Bit</t>
        </is>
      </c>
      <c r="E5814" s="2">
        <f>HYPERLINK("https://www.amazon.com/Diablo-Freud-DMAPL4070-SDS-Plus-4-Cutter/dp/B089KVLDML/ref=sr_1_4?keywords=Diablo+Tools+DMAPL4040+3%2F16+in.+x+4+in.+x+6+in.+Rebar+Demon%E2%84%A2+SDS-Plus+4-Cutter+Full+Carbide+Head+Hammer+Bit&amp;qid=1694735297&amp;sr=8-4", "https://www.amazon.com/Diablo-Freud-DMAPL4070-SDS-Plus-4-Cutter/dp/B089KVLDML/ref=sr_1_4?keywords=Diablo+Tools+DMAPL4040+3%2F16+in.+x+4+in.+x+6+in.+Rebar+Demon%E2%84%A2+SDS-Plus+4-Cutter+Full+Carbide+Head+Hammer+Bit&amp;qid=1694735297&amp;sr=8-4")</f>
        <v/>
      </c>
      <c r="F5814" t="inlineStr">
        <is>
          <t>B089KVLDML</t>
        </is>
      </c>
      <c r="G5814">
        <f>_xludf.IMAGE("https://edmondsonsupply.com/cdn/shop/products/DMAPL4040_Main-Image20200701.png?v=1633030358")</f>
        <v/>
      </c>
      <c r="H5814">
        <f>_xludf.IMAGE("https://m.media-amazon.com/images/I/61fLLQz5xPL._AC_UL320_.jpg")</f>
        <v/>
      </c>
      <c r="K5814" t="inlineStr">
        <is>
          <t>8.47</t>
        </is>
      </c>
      <c r="L5814" t="n">
        <v>8.84</v>
      </c>
      <c r="M5814" s="1" t="inlineStr">
        <is>
          <t>4.37%</t>
        </is>
      </c>
      <c r="N5814" s="1" t="n"/>
      <c r="O5814" t="n">
        <v>4.4</v>
      </c>
      <c r="P5814" t="n">
        <v>28</v>
      </c>
      <c r="R5814" t="inlineStr">
        <is>
          <t>InStock</t>
        </is>
      </c>
      <c r="S5814" t="inlineStr">
        <is>
          <t>undefined</t>
        </is>
      </c>
      <c r="T5814" t="inlineStr">
        <is>
          <t>5286740426920</t>
        </is>
      </c>
    </row>
    <row r="5815" hidden="1" ht="15.75" customHeight="1">
      <c r="A5815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5815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5815" t="inlineStr">
        <is>
          <t>Klein Tools 6816INS Insulated Screwdriver, 3/16-Inch Cabinet Tip, 6-Inch Round Shank</t>
        </is>
      </c>
      <c r="D5815" t="inlineStr">
        <is>
          <t>Klein Tools 621-6 Coated 3/16-Inch Cabinet Tip Flat Head Screwdriver, 6-Inch Round Shank, Cushion Grip Handle</t>
        </is>
      </c>
      <c r="E5815" s="2">
        <f>HYPERLINK("https://www.amazon.com/16-Inch-Screwdriver-Klein-Tools-621-6/dp/B00093GE44/ref=sr_1_5?keywords=Klein+Tools+6816INS+Insulated+Screwdriver%2C+3%2F16-Inch+Cabinet+Tip%2C+6-Inch+Round+Shank&amp;qid=1694735104&amp;sr=8-5", "https://www.amazon.com/16-Inch-Screwdriver-Klein-Tools-621-6/dp/B00093GE44/ref=sr_1_5?keywords=Klein+Tools+6816INS+Insulated+Screwdriver%2C+3%2F16-Inch+Cabinet+Tip%2C+6-Inch+Round+Shank&amp;qid=1694735104&amp;sr=8-5")</f>
        <v/>
      </c>
      <c r="F5815" t="inlineStr">
        <is>
          <t>B00093GE44</t>
        </is>
      </c>
      <c r="G5815">
        <f>_xludf.IMAGE("https://edmondsonsupply.com/cdn/shop/products/6816ins.jpg?v=1664812840")</f>
        <v/>
      </c>
      <c r="H5815">
        <f>_xludf.IMAGE("https://m.media-amazon.com/images/I/51PRkgD+r3L._AC_UL320_.jpg")</f>
        <v/>
      </c>
      <c r="K5815" t="inlineStr">
        <is>
          <t>11.97</t>
        </is>
      </c>
      <c r="L5815" t="n">
        <v>12.49</v>
      </c>
      <c r="M5815" s="1" t="inlineStr">
        <is>
          <t>4.34%</t>
        </is>
      </c>
      <c r="N5815" s="1" t="n"/>
      <c r="O5815" t="n">
        <v>4.4</v>
      </c>
      <c r="P5815" t="n">
        <v>25</v>
      </c>
      <c r="R5815" t="inlineStr">
        <is>
          <t>InStock</t>
        </is>
      </c>
      <c r="S5815" t="inlineStr">
        <is>
          <t>17.98</t>
        </is>
      </c>
      <c r="T5815" t="inlineStr">
        <is>
          <t>7837697966296</t>
        </is>
      </c>
    </row>
    <row r="5816" ht="87" customHeight="1">
      <c r="A5816" s="2">
        <f>HYPERLINK("https://edmondsonsupply.com/collections/electricians-tools/products/diablo-tools-dag3070-3-4-in-x-17-1-2-in-auger-bit", "https://edmondsonsupply.com/collections/electricians-tools/products/diablo-tools-dag3070-3-4-in-x-17-1-2-in-auger-bit")</f>
        <v/>
      </c>
      <c r="B5816" s="2">
        <f>HYPERLINK("https://edmondsonsupply.com/products/diablo-tools-dag3070-3-4-in-x-17-1-2-in-auger-bit", "https://edmondsonsupply.com/products/diablo-tools-dag3070-3-4-in-x-17-1-2-in-auger-bit")</f>
        <v/>
      </c>
      <c r="C5816" t="inlineStr">
        <is>
          <t>Diablo Tools DAG3070 3/4 in. x 17-1/2 in. Auger Bit</t>
        </is>
      </c>
      <c r="D5816" t="inlineStr">
        <is>
          <t>Diablo 3/4 in. x 17-1/2 in. Auger Bit</t>
        </is>
      </c>
      <c r="E5816" s="2">
        <f>HYPERLINK("https://www.amazon.com/Diablo-17-1-Auger-Bit/dp/B089LHKRPP/ref=sr_1_2?keywords=Diablo+Tools+DAG3070+3%2F4+in.+x+17-1%2F2+in.+Auger+Bit&amp;qid=1694735067&amp;sr=8-2", "https://www.amazon.com/Diablo-17-1-Auger-Bit/dp/B089LHKRPP/ref=sr_1_2?keywords=Diablo+Tools+DAG3070+3%2F4+in.+x+17-1%2F2+in.+Auger+Bit&amp;qid=1694735067&amp;sr=8-2")</f>
        <v/>
      </c>
      <c r="F5816" t="inlineStr">
        <is>
          <t>B089LHKRPP</t>
        </is>
      </c>
      <c r="G5816">
        <f>_xlfn.IMAGE("https://edmondsonsupply.com/cdn/shop/products/ljatbudptj8xmo1m7sg7.webp?v=1669994151")</f>
        <v/>
      </c>
      <c r="H5816">
        <f>_xlfn.IMAGE("https://m.media-amazon.com/images/I/61aMNURt08L._AC_UL320_.jpg")</f>
        <v/>
      </c>
      <c r="K5816" t="inlineStr">
        <is>
          <t>23.99</t>
        </is>
      </c>
      <c r="L5816" t="n">
        <v>25</v>
      </c>
      <c r="M5816" s="1" t="inlineStr">
        <is>
          <t>4.21%</t>
        </is>
      </c>
      <c r="N5816" s="7" t="n"/>
      <c r="O5816" t="n">
        <v>4.6</v>
      </c>
      <c r="P5816" t="n">
        <v>61</v>
      </c>
      <c r="R5816" t="inlineStr">
        <is>
          <t>InStock</t>
        </is>
      </c>
      <c r="S5816" t="inlineStr">
        <is>
          <t>32.3</t>
        </is>
      </c>
      <c r="T5816" t="inlineStr">
        <is>
          <t>7897497960664</t>
        </is>
      </c>
    </row>
    <row r="5817" hidden="1" ht="15.75" customHeight="1">
      <c r="A5817" s="2">
        <f>HYPERLINK("https://edmondsonsupply.com/collections/electricians-tools/products/klein-tools-671-6-rapi-driv%C2%AE-screwdriver-1-4-inch-cabinet-6-inch", "https://edmondsonsupply.com/collections/electricians-tools/products/klein-tools-671-6-rapi-driv%C2%AE-screwdriver-1-4-inch-cabinet-6-inch")</f>
        <v/>
      </c>
      <c r="B5817" s="2">
        <f>HYPERLINK("https://edmondsonsupply.com/products/klein-tools-671-6-rapi-driv%c2%ae-screwdriver-1-4-inch-cabinet-6-inch", "https://edmondsonsupply.com/products/klein-tools-671-6-rapi-driv%c2%ae-screwdriver-1-4-inch-cabinet-6-inch")</f>
        <v/>
      </c>
      <c r="C5817" t="inlineStr">
        <is>
          <t>Klein Tools 671-6 Rapi-Driv® Screwdriver, 1/4-Inch Cabinet Tip, 6-Inch Shank</t>
        </is>
      </c>
      <c r="D5817" t="inlineStr">
        <is>
          <t>Klein Tools 6826INS Insulated Screwdriver, 1000V 1/4-Inch Cabinet Tip Screwdriver with 6-Inch Shank, Tip-Ident, Cushion-Grip Handle</t>
        </is>
      </c>
      <c r="E5817" s="2">
        <f>HYPERLINK("https://www.amazon.com/Klein-Tools-6826INS-Screwdriver-Cushion-Grip/dp/B0BF79W49J/ref=sr_1_28?keywords=Klein+Tools+671-6+Rapi-Driv%C2%AE+Screwdriver%2C+1%2F4-Inch+Cabinet+Tip%2C+6-Inch+Shank&amp;qid=1694735392&amp;sr=8-28", "https://www.amazon.com/Klein-Tools-6826INS-Screwdriver-Cushion-Grip/dp/B0BF79W49J/ref=sr_1_28?keywords=Klein+Tools+671-6+Rapi-Driv%C2%AE+Screwdriver%2C+1%2F4-Inch+Cabinet+Tip%2C+6-Inch+Shank&amp;qid=1694735392&amp;sr=8-28")</f>
        <v/>
      </c>
      <c r="F5817" t="inlineStr">
        <is>
          <t>B0BF79W49J</t>
        </is>
      </c>
      <c r="G5817">
        <f>_xludf.IMAGE("https://edmondsonsupply.com/cdn/shop/products/670-6_66b04263-0a93-451f-ab2e-bb9a98ab1ffe.jpg?v=1633030192")</f>
        <v/>
      </c>
      <c r="H5817">
        <f>_xludf.IMAGE("https://m.media-amazon.com/images/I/41dJ6lRyHyL._AC_UL320_.jpg")</f>
        <v/>
      </c>
      <c r="K5817" t="inlineStr">
        <is>
          <t>11.49</t>
        </is>
      </c>
      <c r="L5817" t="n">
        <v>11.97</v>
      </c>
      <c r="M5817" s="1" t="inlineStr">
        <is>
          <t>4.18%</t>
        </is>
      </c>
      <c r="N5817" s="1" t="n"/>
      <c r="O5817" t="n">
        <v>4.9</v>
      </c>
      <c r="P5817" t="n">
        <v>9</v>
      </c>
      <c r="R5817" t="inlineStr">
        <is>
          <t>InStock</t>
        </is>
      </c>
      <c r="S5817" t="inlineStr">
        <is>
          <t>17.42</t>
        </is>
      </c>
      <c r="T5817" t="inlineStr">
        <is>
          <t>4398971617380</t>
        </is>
      </c>
    </row>
    <row r="5818" hidden="1" ht="15.75" customHeight="1">
      <c r="A5818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5818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5818" t="inlineStr">
        <is>
          <t>Klein Tools 602-6 5/16-Inch Keystone Tip Screwdriver, Cushion Grip, 6-Inch</t>
        </is>
      </c>
      <c r="D5818" t="inlineStr">
        <is>
          <t>Klein Tools 621-6 Coated 3/16-Inch Cabinet Tip Flat Head Screwdriver, 6-Inch Round Shank, Cushion Grip Handle</t>
        </is>
      </c>
      <c r="E5818" s="2">
        <f>HYPERLINK("https://www.amazon.com/16-Inch-Screwdriver-Klein-Tools-621-6/dp/B00093GE44/ref=sr_1_16?keywords=Klein+Tools+602-6+5%2F16-Inch+Keystone+Tip+Screwdriver%2C+Cushion+Grip%2C+6-Inch&amp;qid=1694735231&amp;sr=8-16", "https://www.amazon.com/16-Inch-Screwdriver-Klein-Tools-621-6/dp/B00093GE44/ref=sr_1_16?keywords=Klein+Tools+602-6+5%2F16-Inch+Keystone+Tip+Screwdriver%2C+Cushion+Grip%2C+6-Inch&amp;qid=1694735231&amp;sr=8-16")</f>
        <v/>
      </c>
      <c r="F5818" t="inlineStr">
        <is>
          <t>B00093GE44</t>
        </is>
      </c>
      <c r="G5818">
        <f>_xludf.IMAGE("https://edmondsonsupply.com/cdn/shop/products/602-6_162e3283-acea-47de-aecf-2a25f009fdcb.jpg?v=1633030880")</f>
        <v/>
      </c>
      <c r="H5818">
        <f>_xludf.IMAGE("https://m.media-amazon.com/images/I/51PRkgD+r3L._AC_UL320_.jpg")</f>
        <v/>
      </c>
      <c r="K5818" t="inlineStr">
        <is>
          <t>11.99</t>
        </is>
      </c>
      <c r="L5818" t="n">
        <v>12.49</v>
      </c>
      <c r="M5818" s="1" t="inlineStr">
        <is>
          <t>4.17%</t>
        </is>
      </c>
      <c r="N5818" s="1" t="n"/>
      <c r="O5818" t="n">
        <v>4.4</v>
      </c>
      <c r="P5818" t="n">
        <v>25</v>
      </c>
      <c r="R5818" t="inlineStr">
        <is>
          <t>InStock</t>
        </is>
      </c>
      <c r="S5818" t="inlineStr">
        <is>
          <t>18.18</t>
        </is>
      </c>
      <c r="T5818" t="inlineStr">
        <is>
          <t>6169213501613</t>
        </is>
      </c>
    </row>
    <row r="5819" ht="87" customHeight="1">
      <c r="A5819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5819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5819" t="inlineStr">
        <is>
          <t>Milwaukee 48-59-1812 M18™ &amp; M12™ Multi-Voltage Charger</t>
        </is>
      </c>
      <c r="D5819" t="inlineStr">
        <is>
          <t>Milwaukee M18 18-Volt Starter Kit (48-59-1813) - Includes 3.0Ah XC Battery (48-11-1828) with Multi-Voltage Charger (48-59-1812)</t>
        </is>
      </c>
      <c r="E5819" s="2">
        <f>HYPERLINK("https://www.amazon.com/Milwaukee-18-Volt-Starter-48-59-1813-Multi-Voltage/dp/B00HYNDQHK/ref=sr_1_40?keywords=Milwaukee+48-59-1812+M18%E2%84%A2+%26+M12%E2%84%A2+Multi-Voltage+Charger&amp;qid=1694735141&amp;sr=8-40", "https://www.amazon.com/Milwaukee-18-Volt-Starter-48-59-1813-Multi-Voltage/dp/B00HYNDQHK/ref=sr_1_40?keywords=Milwaukee+48-59-1812+M18%E2%84%A2+%26+M12%E2%84%A2+Multi-Voltage+Charger&amp;qid=1694735141&amp;sr=8-40")</f>
        <v/>
      </c>
      <c r="F5819" t="inlineStr">
        <is>
          <t>B00HYNDQHK</t>
        </is>
      </c>
      <c r="G5819">
        <f>_xlfn.IMAGE("https://edmondsonsupply.com/cdn/shop/products/60113_48-59-1812_3-lg.webp?v=1656530513")</f>
        <v/>
      </c>
      <c r="H5819">
        <f>_xlfn.IMAGE("https://m.media-amazon.com/images/I/61OBPDX83nL._AC_UL320_.jpg")</f>
        <v/>
      </c>
      <c r="K5819" t="inlineStr">
        <is>
          <t>79.0</t>
        </is>
      </c>
      <c r="L5819" t="n">
        <v>82.28</v>
      </c>
      <c r="M5819" s="1" t="inlineStr">
        <is>
          <t>4.15%</t>
        </is>
      </c>
      <c r="N5819" s="7" t="n"/>
      <c r="O5819" t="n">
        <v>4.8</v>
      </c>
      <c r="P5819" t="n">
        <v>635</v>
      </c>
      <c r="R5819" t="inlineStr">
        <is>
          <t>InStock</t>
        </is>
      </c>
      <c r="S5819" t="inlineStr">
        <is>
          <t>126.0</t>
        </is>
      </c>
      <c r="T5819" t="inlineStr">
        <is>
          <t>7733079343320</t>
        </is>
      </c>
    </row>
    <row r="5820" ht="87" customHeight="1">
      <c r="A5820" s="2">
        <f>HYPERLINK("https://edmondsonsupply.com/collections/electricians-tools/products/klein-tools-44001-blk-black-lightweight-lockback-knife-2-1-2-inch", "https://edmondsonsupply.com/collections/electricians-tools/products/klein-tools-44001-blk-black-lightweight-lockback-knife-2-1-2-inch")</f>
        <v/>
      </c>
      <c r="B5820" s="2">
        <f>HYPERLINK("https://edmondsonsupply.com/products/klein-tools-44001-blk-black-lightweight-lockback-knife-2-1-2-inch", "https://edmondsonsupply.com/products/klein-tools-44001-blk-black-lightweight-lockback-knife-2-1-2-inch")</f>
        <v/>
      </c>
      <c r="C5820" t="inlineStr">
        <is>
          <t>Klein Tools 44001-BLK Black Lightweight Lockback Knife, 2-1/2-Inch</t>
        </is>
      </c>
      <c r="D5820" t="inlineStr">
        <is>
          <t>Klein Tools 44007 Electricians Knife, Lightweight Lockback Knife with 2-1/2-Inch Coping Blade and Silver Handle</t>
        </is>
      </c>
      <c r="E5820" s="2">
        <f>HYPERLINK("https://www.amazon.com/Lightweight-Lockback-Klein-Tools-44007/dp/B001TJ1JVK/ref=sr_1_5?keywords=Klein+Tools+44001-BLK+Black+Lightweight+Lockback+Knife%2C+2-1%2F2-Inch&amp;qid=1694735242&amp;sr=8-5", "https://www.amazon.com/Lightweight-Lockback-Klein-Tools-44007/dp/B001TJ1JVK/ref=sr_1_5?keywords=Klein+Tools+44001-BLK+Black+Lightweight+Lockback+Knife%2C+2-1%2F2-Inch&amp;qid=1694735242&amp;sr=8-5")</f>
        <v/>
      </c>
      <c r="F5820" t="inlineStr">
        <is>
          <t>B001TJ1JVK</t>
        </is>
      </c>
      <c r="G5820">
        <f>_xlfn.IMAGE("https://edmondsonsupply.com/cdn/shop/products/44001-blk.jpg?v=1633030819")</f>
        <v/>
      </c>
      <c r="H5820">
        <f>_xlfn.IMAGE("https://m.media-amazon.com/images/I/71-kYHzVBIL._AC_UL320_.jpg")</f>
        <v/>
      </c>
      <c r="K5820" t="inlineStr">
        <is>
          <t>47.99</t>
        </is>
      </c>
      <c r="L5820" t="n">
        <v>49.97</v>
      </c>
      <c r="M5820" s="1" t="inlineStr">
        <is>
          <t>4.13%</t>
        </is>
      </c>
      <c r="N5820" s="7" t="n"/>
      <c r="O5820" t="n">
        <v>4.6</v>
      </c>
      <c r="P5820" t="n">
        <v>60</v>
      </c>
      <c r="R5820" t="inlineStr">
        <is>
          <t>InStock</t>
        </is>
      </c>
      <c r="S5820" t="inlineStr">
        <is>
          <t>72.98</t>
        </is>
      </c>
      <c r="T5820" t="inlineStr">
        <is>
          <t>6080581107885</t>
        </is>
      </c>
    </row>
    <row r="5821" ht="87" customHeight="1">
      <c r="A5821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5821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5821" t="inlineStr">
        <is>
          <t>Klein Tools NCVT1PKIT Non-Contact Voltage and GFCI Receptacle Test Kit</t>
        </is>
      </c>
      <c r="D5821" t="inlineStr">
        <is>
          <t>Klein Tools 80097 Beginner Tester Kit with GFCI Outlet and Receptacle Tester, Electronic Voltage Tester, Non-Contact Voltage Tester, 3-Piece Red</t>
        </is>
      </c>
      <c r="E5821" s="2">
        <f>HYPERLINK("https://www.amazon.com/Klein-Tools-80097-Beginner-3-Piece/dp/B0B7Z178B1/ref=sr_1_2?keywords=Klein+Tools+NCVT1PKIT+Non-Contact+Voltage+and+GFCI+Receptacle+Test+Kit&amp;qid=1694735031&amp;sr=8-2", "https://www.amazon.com/Klein-Tools-80097-Beginner-3-Piece/dp/B0B7Z178B1/ref=sr_1_2?keywords=Klein+Tools+NCVT1PKIT+Non-Contact+Voltage+and+GFCI+Receptacle+Test+Kit&amp;qid=1694735031&amp;sr=8-2")</f>
        <v/>
      </c>
      <c r="F5821" t="inlineStr">
        <is>
          <t>B0B7Z178B1</t>
        </is>
      </c>
      <c r="G5821">
        <f>_xlfn.IMAGE("https://edmondsonsupply.com/cdn/shop/products/ncvt1pkit.jpg?v=1677682920")</f>
        <v/>
      </c>
      <c r="H5821">
        <f>_xlfn.IMAGE("https://m.media-amazon.com/images/I/51TWbZ0INyL._AC_UL320_.jpg")</f>
        <v/>
      </c>
      <c r="K5821" t="inlineStr">
        <is>
          <t>24.97</t>
        </is>
      </c>
      <c r="L5821" t="n">
        <v>25.99</v>
      </c>
      <c r="M5821" s="1" t="inlineStr">
        <is>
          <t>4.08%</t>
        </is>
      </c>
      <c r="N5821" s="7" t="n"/>
      <c r="O5821" t="n">
        <v>4.7</v>
      </c>
      <c r="P5821" t="n">
        <v>118</v>
      </c>
      <c r="R5821" t="inlineStr">
        <is>
          <t>InStock</t>
        </is>
      </c>
      <c r="S5821" t="inlineStr">
        <is>
          <t>35.38</t>
        </is>
      </c>
      <c r="T5821" t="inlineStr">
        <is>
          <t>7953960698072</t>
        </is>
      </c>
    </row>
    <row r="5822" ht="87" customHeight="1">
      <c r="A5822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5822" s="2">
        <f>HYPERLINK("https://edmondsonsupply.com/products/diablo-tools-dmapl2500-7-8-in-x-8-in-x-10-in-sds-plus-2-cutter", "https://edmondsonsupply.com/products/diablo-tools-dmapl2500-7-8-in-x-8-in-x-10-in-sds-plus-2-cutter")</f>
        <v/>
      </c>
      <c r="C5822" t="inlineStr">
        <is>
          <t>Diablo Tools DMAPL2500 7/8 in. x 8 in. x 10 in. SDS-Plus 2-Cutter</t>
        </is>
      </c>
      <c r="D5822" t="inlineStr">
        <is>
          <t>Diablo by Freud DMAPL4270 27/32 in. x 8 in. x 10 in. Rebar Demon SDS-Plus 4-Cutter Full Carbide Head Hammer Bit</t>
        </is>
      </c>
      <c r="E5822" s="2">
        <f>HYPERLINK("https://www.amazon.com/Diablo-Freud-DMAPL4270-SDS-Plus-4-Cutter/dp/B089KXBGLM/ref=sr_1_22?keywords=Diablo+Tools+DMAPL2500+7%2F8+in.+x+8+in.+x+10+in.+SDS-Plus+2-Cutter&amp;qid=1694735171&amp;sr=8-22", "https://www.amazon.com/Diablo-Freud-DMAPL4270-SDS-Plus-4-Cutter/dp/B089KXBGLM/ref=sr_1_22?keywords=Diablo+Tools+DMAPL2500+7%2F8+in.+x+8+in.+x+10+in.+SDS-Plus+2-Cutter&amp;qid=1694735171&amp;sr=8-22")</f>
        <v/>
      </c>
      <c r="F5822" t="inlineStr">
        <is>
          <t>B089KXBGLM</t>
        </is>
      </c>
      <c r="G5822">
        <f>_xlfn.IMAGE("https://edmondsonsupply.com/cdn/shop/products/2500.webp?v=1647636219")</f>
        <v/>
      </c>
      <c r="H5822">
        <f>_xlfn.IMAGE("https://m.media-amazon.com/images/I/611A6sphG9L._AC_UL320_.jpg")</f>
        <v/>
      </c>
      <c r="K5822" t="inlineStr">
        <is>
          <t>28.97</t>
        </is>
      </c>
      <c r="L5822" t="n">
        <v>30.13</v>
      </c>
      <c r="M5822" s="1" t="inlineStr">
        <is>
          <t>4.00%</t>
        </is>
      </c>
      <c r="N5822" s="7" t="n"/>
      <c r="O5822" t="n">
        <v>5</v>
      </c>
      <c r="P5822" t="n">
        <v>2</v>
      </c>
      <c r="R5822" t="inlineStr">
        <is>
          <t>InStock</t>
        </is>
      </c>
      <c r="S5822" t="inlineStr">
        <is>
          <t>33.98</t>
        </is>
      </c>
      <c r="T5822" t="inlineStr">
        <is>
          <t>7639201317080</t>
        </is>
      </c>
    </row>
    <row r="5823" ht="87" customHeight="1">
      <c r="A5823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5823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5823" t="inlineStr">
        <is>
          <t>Klein Tools ET45VP AC/DC Voltage and GFCI Receptacle Outlet Test Kit</t>
        </is>
      </c>
      <c r="D5823" t="inlineStr">
        <is>
          <t>CaseSack case for Klein Tools ET310 AC Circuit Breaker Finder, Integrated GFCI Outlet Tester, RT310 Receptacle and Accessory Kit, 80016</t>
        </is>
      </c>
      <c r="E5823" s="2">
        <f>HYPERLINK("https://www.amazon.com/CaseSack-Consolidation-Integrated-Receptacle-Accessory/dp/B08TPHYW37/ref=sr_1_24?keywords=Klein+Tools+ET45VP+AC%2FDC+Voltage+and+GFCI+Receptacle+Outlet+Test+Kit&amp;qid=1694735138&amp;sr=8-24", "https://www.amazon.com/CaseSack-Consolidation-Integrated-Receptacle-Accessory/dp/B08TPHYW37/ref=sr_1_24?keywords=Klein+Tools+ET45VP+AC%2FDC+Voltage+and+GFCI+Receptacle+Outlet+Test+Kit&amp;qid=1694735138&amp;sr=8-24")</f>
        <v/>
      </c>
      <c r="F5823" t="inlineStr">
        <is>
          <t>B08TPHYW37</t>
        </is>
      </c>
      <c r="G5823">
        <f>_xlfn.IMAGE("https://edmondsonsupply.com/cdn/shop/products/et45vp.jpg?v=1660755922")</f>
        <v/>
      </c>
      <c r="H5823">
        <f>_xlfn.IMAGE("https://m.media-amazon.com/images/I/91QJZ0WaD3L._AC_UL320_.jpg")</f>
        <v/>
      </c>
      <c r="K5823" t="inlineStr">
        <is>
          <t>17.97</t>
        </is>
      </c>
      <c r="L5823" t="n">
        <v>18.68</v>
      </c>
      <c r="M5823" s="1" t="inlineStr">
        <is>
          <t>3.95%</t>
        </is>
      </c>
      <c r="N5823" s="7" t="n"/>
      <c r="O5823" t="n">
        <v>4.1</v>
      </c>
      <c r="P5823" t="n">
        <v>826</v>
      </c>
      <c r="R5823" t="inlineStr">
        <is>
          <t>InStock</t>
        </is>
      </c>
      <c r="S5823" t="inlineStr">
        <is>
          <t>25.82</t>
        </is>
      </c>
      <c r="T5823" t="inlineStr">
        <is>
          <t>7783562084568</t>
        </is>
      </c>
    </row>
    <row r="5824" hidden="1" ht="15.75" customHeight="1">
      <c r="A5824" s="2">
        <f>HYPERLINK("https://edmondsonsupply.com/collections/electricians-tools/products/klein-tools-70580-folding-hex-key-set-six-key-metric-sizes", "https://edmondsonsupply.com/collections/electricians-tools/products/klein-tools-70580-folding-hex-key-set-six-key-metric-sizes")</f>
        <v/>
      </c>
      <c r="B5824" s="2">
        <f>HYPERLINK("https://edmondsonsupply.com/products/klein-tools-70580-folding-hex-key-set-six-key-metric-sizes", "https://edmondsonsupply.com/products/klein-tools-70580-folding-hex-key-set-six-key-metric-sizes")</f>
        <v/>
      </c>
      <c r="C5824" t="inlineStr">
        <is>
          <t>Klein Tools 70580 Folding Hex Key Set, 6-Key, Metric Sizes</t>
        </is>
      </c>
      <c r="D5824" t="inlineStr">
        <is>
          <t>Klein Tools 70572 Grip-It Ball End Hex Set, 5-Key, Metric Sizes</t>
        </is>
      </c>
      <c r="E5824" s="2">
        <f>HYPERLINK("https://www.amazon.com/Grip-Five-Key-Ball-Hex/dp/B000936R78/ref=sr_1_5?keywords=Klein+Tools+70580+Folding+Hex+Key+Set%2C+6-Key%2C+Metric+Sizes&amp;qid=1694735390&amp;sr=8-5", "https://www.amazon.com/Grip-Five-Key-Ball-Hex/dp/B000936R78/ref=sr_1_5?keywords=Klein+Tools+70580+Folding+Hex+Key+Set%2C+6-Key%2C+Metric+Sizes&amp;qid=1694735390&amp;sr=8-5")</f>
        <v/>
      </c>
      <c r="F5824" t="inlineStr">
        <is>
          <t>B000936R78</t>
        </is>
      </c>
      <c r="G5824">
        <f>_xludf.IMAGE("https://edmondsonsupply.com/cdn/shop/products/70580.jpg?v=1587148596")</f>
        <v/>
      </c>
      <c r="H5824">
        <f>_xludf.IMAGE("https://m.media-amazon.com/images/I/51dn84Vs5NL._AC_UL320_.jpg")</f>
        <v/>
      </c>
      <c r="K5824" t="inlineStr">
        <is>
          <t>12.99</t>
        </is>
      </c>
      <c r="L5824" t="n">
        <v>13.49</v>
      </c>
      <c r="M5824" s="1" t="inlineStr">
        <is>
          <t>3.85%</t>
        </is>
      </c>
      <c r="N5824" s="1" t="n"/>
      <c r="O5824" t="n">
        <v>4.9</v>
      </c>
      <c r="P5824" t="n">
        <v>15</v>
      </c>
      <c r="R5824" t="inlineStr">
        <is>
          <t>InStock</t>
        </is>
      </c>
      <c r="S5824" t="inlineStr">
        <is>
          <t>18.32</t>
        </is>
      </c>
      <c r="T5824" t="inlineStr">
        <is>
          <t>4410310328420</t>
        </is>
      </c>
    </row>
    <row r="5825" ht="87" customHeight="1">
      <c r="A5825" s="2">
        <f>HYPERLINK("https://edmondsonsupply.com/collections/electricians-tools/products/tajima-gp-16bw-g-plus%E2%84%A2-standard-scale-16-ft-x-1-in-steel-blade-tape-measure", "https://edmondsonsupply.com/collections/electricians-tools/products/tajima-gp-16bw-g-plus%E2%84%A2-standard-scale-16-ft-x-1-in-steel-blade-tape-measure")</f>
        <v/>
      </c>
      <c r="B5825" s="2">
        <f>HYPERLINK("https://edmondsonsupply.com/products/tajima-gp-16bw-g-plus%e2%84%a2-standard-scale-16-ft-x-1-in-steel-blade-tape-measure", "https://edmondsonsupply.com/products/tajima-gp-16bw-g-plus%e2%84%a2-standard-scale-16-ft-x-1-in-steel-blade-tape-measure")</f>
        <v/>
      </c>
      <c r="C5825" t="inlineStr">
        <is>
          <t>Tajima GP-16BW G-PLUS™ Standard Scale, 16 ft x 1 in. Steel Blade Tape Measure</t>
        </is>
      </c>
      <c r="D5825" t="inlineStr">
        <is>
          <t>Tajima SSSF-16BW 16 ft. x 1 in. Standard Steel Sigma Stop Tape Measure with Safety Belt Holder</t>
        </is>
      </c>
      <c r="E5825" s="2">
        <f>HYPERLINK("https://www.amazon.com/Tajima-SSSF-16BW-Standard-Measure-Safety/dp/B08J5LNKRM/ref=sr_1_3?keywords=Tajima+GP-16BW+G-PLUS%E2%84%A2+Standard+Scale%2C+16+ft+x+1+in.+Steel+Blade+Tape+Measure&amp;qid=1694735145&amp;sr=8-3", "https://www.amazon.com/Tajima-SSSF-16BW-Standard-Measure-Safety/dp/B08J5LNKRM/ref=sr_1_3?keywords=Tajima+GP-16BW+G-PLUS%E2%84%A2+Standard+Scale%2C+16+ft+x+1+in.+Steel+Blade+Tape+Measure&amp;qid=1694735145&amp;sr=8-3")</f>
        <v/>
      </c>
      <c r="F5825" t="inlineStr">
        <is>
          <t>B08J5LNKRM</t>
        </is>
      </c>
      <c r="G5825">
        <f>_xlfn.IMAGE("https://edmondsonsupply.com/cdn/shop/products/GP-16BW_s-2.jpg?v=1655821133")</f>
        <v/>
      </c>
      <c r="H5825">
        <f>_xlfn.IMAGE("https://m.media-amazon.com/images/I/613rTXdWSyL._AC_UL320_.jpg")</f>
        <v/>
      </c>
      <c r="K5825" t="inlineStr">
        <is>
          <t>30.59</t>
        </is>
      </c>
      <c r="L5825" t="n">
        <v>31.76</v>
      </c>
      <c r="M5825" s="1" t="inlineStr">
        <is>
          <t>3.82%</t>
        </is>
      </c>
      <c r="N5825" s="7" t="n"/>
      <c r="O5825" t="n">
        <v>4.6</v>
      </c>
      <c r="P5825" t="n">
        <v>138</v>
      </c>
      <c r="R5825" t="inlineStr">
        <is>
          <t>InStock</t>
        </is>
      </c>
      <c r="S5825" t="inlineStr">
        <is>
          <t>undefined</t>
        </is>
      </c>
      <c r="T5825" t="inlineStr">
        <is>
          <t>7726164508888</t>
        </is>
      </c>
    </row>
    <row r="5826" hidden="1" ht="15.75" customHeight="1">
      <c r="A5826" s="2">
        <f>HYPERLINK("https://edmondsonsupply.com/collections/electricians-tools/products/klein-tools-70572-grip-it%C2%AE-ball-end-hex-set-5-key-metric-sizes", "https://edmondsonsupply.com/collections/electricians-tools/products/klein-tools-70572-grip-it%C2%AE-ball-end-hex-set-5-key-metric-sizes")</f>
        <v/>
      </c>
      <c r="B5826" s="2">
        <f>HYPERLINK("https://edmondsonsupply.com/products/klein-tools-70572-grip-it%c2%ae-ball-end-hex-set-5-key-metric-sizes", "https://edmondsonsupply.com/products/klein-tools-70572-grip-it%c2%ae-ball-end-hex-set-5-key-metric-sizes")</f>
        <v/>
      </c>
      <c r="C5826" t="inlineStr">
        <is>
          <t>Klein Tools 70572 Grip-It® Ball End Hex Set, 5-Key, Metric Sizes</t>
        </is>
      </c>
      <c r="D5826" t="inlineStr">
        <is>
          <t>Klein Tools 70571 Grip-It Ball End Hex Set, 5-Key, SAE Sizes</t>
        </is>
      </c>
      <c r="E5826" s="2">
        <f>HYPERLINK("https://www.amazon.com/Klein-Tools-70571-Grip-Sizes/dp/B0002RI8P0/ref=sr_1_2?keywords=Klein+Tools+70572+Grip-It%C2%AE+Ball+End+Hex+Set%2C+5-Key%2C+Metric+Sizes&amp;qid=1694735136&amp;sr=8-2", "https://www.amazon.com/Klein-Tools-70571-Grip-Sizes/dp/B0002RI8P0/ref=sr_1_2?keywords=Klein+Tools+70572+Grip-It%C2%AE+Ball+End+Hex+Set%2C+5-Key%2C+Metric+Sizes&amp;qid=1694735136&amp;sr=8-2")</f>
        <v/>
      </c>
      <c r="F5826" t="inlineStr">
        <is>
          <t>B0002RI8P0</t>
        </is>
      </c>
      <c r="G5826">
        <f>_xludf.IMAGE("https://edmondsonsupply.com/cdn/shop/products/70572.jpg?v=1661198448")</f>
        <v/>
      </c>
      <c r="H5826">
        <f>_xludf.IMAGE("https://m.media-amazon.com/images/I/51dn90ONbbL._AC_UL320_.jpg")</f>
        <v/>
      </c>
      <c r="K5826" t="inlineStr">
        <is>
          <t>13.49</t>
        </is>
      </c>
      <c r="L5826" t="n">
        <v>13.99</v>
      </c>
      <c r="M5826" s="1" t="inlineStr">
        <is>
          <t>3.71%</t>
        </is>
      </c>
      <c r="N5826" s="1" t="n"/>
      <c r="O5826" t="n">
        <v>4.6</v>
      </c>
      <c r="P5826" t="n">
        <v>159</v>
      </c>
      <c r="R5826" t="inlineStr">
        <is>
          <t>InStock</t>
        </is>
      </c>
      <c r="S5826" t="inlineStr">
        <is>
          <t>20.44</t>
        </is>
      </c>
      <c r="T5826" t="inlineStr">
        <is>
          <t>7791130312920</t>
        </is>
      </c>
    </row>
    <row r="5827" ht="87" customHeight="1">
      <c r="A5827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5827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5827" t="inlineStr">
        <is>
          <t>Klein Tools NCVT-2P Dual Range Non-Contact Voltage Tester 12 - 1000V AC</t>
        </is>
      </c>
      <c r="D5827" t="inlineStr">
        <is>
          <t>Klein Tools NCVT2PKIT Non-Contact Voltage Tester with Outlet Tester, 12-48V AC or 48 - 1000V AC Dual Range for Broad Application</t>
        </is>
      </c>
      <c r="E5827" s="2">
        <f>HYPERLINK("https://www.amazon.com/Klein-Tools-NCVT2PKIT-Non-Contact-Application/dp/B08FPHS6HL/ref=sr_1_3?keywords=Klein+Tools+NCVT-2P+Dual+Range+Non-Contact+Voltage+Tester+12+-+1000V+AC&amp;qid=1694735236&amp;sr=8-3", "https://www.amazon.com/Klein-Tools-NCVT2PKIT-Non-Contact-Application/dp/B08FPHS6HL/ref=sr_1_3?keywords=Klein+Tools+NCVT-2P+Dual+Range+Non-Contact+Voltage+Tester+12+-+1000V+AC&amp;qid=1694735236&amp;sr=8-3")</f>
        <v/>
      </c>
      <c r="F5827" t="inlineStr">
        <is>
          <t>B08FPHS6HL</t>
        </is>
      </c>
      <c r="G5827">
        <f>_xlfn.IMAGE("https://edmondsonsupply.com/cdn/shop/products/ncvt2p.jpg?v=1633030824")</f>
        <v/>
      </c>
      <c r="H5827">
        <f>_xlfn.IMAGE("https://m.media-amazon.com/images/I/511RscwJPxL._AC_UL320_.jpg")</f>
        <v/>
      </c>
      <c r="K5827" t="inlineStr">
        <is>
          <t>27.97</t>
        </is>
      </c>
      <c r="L5827" t="n">
        <v>28.99</v>
      </c>
      <c r="M5827" s="1" t="inlineStr">
        <is>
          <t>3.65%</t>
        </is>
      </c>
      <c r="N5827" s="7" t="n"/>
      <c r="O5827" t="n">
        <v>4.8</v>
      </c>
      <c r="P5827" t="n">
        <v>3246</v>
      </c>
      <c r="R5827" t="inlineStr">
        <is>
          <t>InStock</t>
        </is>
      </c>
      <c r="S5827" t="inlineStr">
        <is>
          <t>35.76</t>
        </is>
      </c>
      <c r="T5827" t="inlineStr">
        <is>
          <t>6080875626669</t>
        </is>
      </c>
    </row>
    <row r="5828" ht="87" customHeight="1">
      <c r="A5828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5828" s="2">
        <f>HYPERLINK("https://edmondsonsupply.com/products/klein-tools-31856-1-1-8-inch-carbide-hole-cutter", "https://edmondsonsupply.com/products/klein-tools-31856-1-1-8-inch-carbide-hole-cutter")</f>
        <v/>
      </c>
      <c r="C5828" t="inlineStr">
        <is>
          <t>Klein Tools 31856 1-1/8-Inch Carbide Hole Cutter</t>
        </is>
      </c>
      <c r="D5828" t="inlineStr">
        <is>
          <t>IDEAL INDUSTRIES INC. 36-303 TKO 1-1/8-Inch Carbide Tipped Hole Cutter</t>
        </is>
      </c>
      <c r="E5828" s="2">
        <f>HYPERLINK("https://www.amazon.com/36-303-8-Inch-Carbide-Tipped-Cutter/dp/B002BAZVTW/ref=sr_1_5?keywords=Klein+Tools+31856+1-1%2F8-Inch+Carbide+Hole+Cutter&amp;qid=1694734994&amp;sr=8-5", "https://www.amazon.com/36-303-8-Inch-Carbide-Tipped-Cutter/dp/B002BAZVTW/ref=sr_1_5?keywords=Klein+Tools+31856+1-1%2F8-Inch+Carbide+Hole+Cutter&amp;qid=1694734994&amp;sr=8-5")</f>
        <v/>
      </c>
      <c r="F5828" t="inlineStr">
        <is>
          <t>B002BAZVTW</t>
        </is>
      </c>
      <c r="G5828">
        <f>_xlfn.IMAGE("https://edmondsonsupply.com/cdn/shop/files/31856.jpg?v=1685712345")</f>
        <v/>
      </c>
      <c r="H5828">
        <f>_xlfn.IMAGE("https://m.media-amazon.com/images/I/511IZF-o-tL._AC_UL320_.jpg")</f>
        <v/>
      </c>
      <c r="K5828" t="inlineStr">
        <is>
          <t>35.99</t>
        </is>
      </c>
      <c r="L5828" t="n">
        <v>37.26</v>
      </c>
      <c r="M5828" s="1" t="inlineStr">
        <is>
          <t>3.53%</t>
        </is>
      </c>
      <c r="N5828" s="7" t="n"/>
      <c r="O5828" t="n">
        <v>4.9</v>
      </c>
      <c r="P5828" t="n">
        <v>32</v>
      </c>
      <c r="R5828" t="inlineStr">
        <is>
          <t>InStock</t>
        </is>
      </c>
      <c r="S5828" t="inlineStr">
        <is>
          <t>50.38</t>
        </is>
      </c>
      <c r="T5828" t="inlineStr">
        <is>
          <t>7999529910488</t>
        </is>
      </c>
    </row>
    <row r="5829" hidden="1" ht="15.75" customHeight="1">
      <c r="A5829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5829" s="2">
        <f>HYPERLINK("https://edmondsonsupply.com/products/klein-tools-s10-5-16-inch-nut-driver-3-inch-hollow-shaft", "https://edmondsonsupply.com/products/klein-tools-s10-5-16-inch-nut-driver-3-inch-hollow-shaft")</f>
        <v/>
      </c>
      <c r="C5829" t="inlineStr">
        <is>
          <t>Klein Tools S10 5/16-Inch Nut Driver 3-Inch Hollow Shaft</t>
        </is>
      </c>
      <c r="D5829" t="inlineStr">
        <is>
          <t>Crescent CND3V 5/16-Inch Hollow Shaft Cushion Grip Nutdriver, Red/Black</t>
        </is>
      </c>
      <c r="E5829" s="2">
        <f>HYPERLINK("https://www.amazon.com/Crescent-CND3V-16-Inch-Cushion-Nutdriver/dp/B00931QHGS/ref=sr_1_28?keywords=Klein+Tools+S10+5%2F16-Inch+Nut+Driver+3-Inch+Hollow+Shaft&amp;qid=1694735234&amp;sr=8-28", "https://www.amazon.com/Crescent-CND3V-16-Inch-Cushion-Nutdriver/dp/B00931QHGS/ref=sr_1_28?keywords=Klein+Tools+S10+5%2F16-Inch+Nut+Driver+3-Inch+Hollow+Shaft&amp;qid=1694735234&amp;sr=8-28")</f>
        <v/>
      </c>
      <c r="F5829" t="inlineStr">
        <is>
          <t>B00931QHGS</t>
        </is>
      </c>
      <c r="G5829">
        <f>_xludf.IMAGE("https://edmondsonsupply.com/cdn/shop/products/s10_38acacb8-6c8e-49ef-8ed3-7160ab53875a.jpg?v=1633030893")</f>
        <v/>
      </c>
      <c r="H5829">
        <f>_xludf.IMAGE("https://m.media-amazon.com/images/I/51oqCIqXaFL._AC_UL320_.jpg")</f>
        <v/>
      </c>
      <c r="K5829" t="inlineStr">
        <is>
          <t>7.99</t>
        </is>
      </c>
      <c r="L5829" t="n">
        <v>8.27</v>
      </c>
      <c r="M5829" s="1" t="inlineStr">
        <is>
          <t>3.50%</t>
        </is>
      </c>
      <c r="N5829" s="1" t="n"/>
      <c r="O5829" t="n">
        <v>4</v>
      </c>
      <c r="P5829" t="n">
        <v>31</v>
      </c>
      <c r="R5829" t="inlineStr">
        <is>
          <t>InStock</t>
        </is>
      </c>
      <c r="S5829" t="inlineStr">
        <is>
          <t>12.06</t>
        </is>
      </c>
      <c r="T5829" t="inlineStr">
        <is>
          <t>6223447031981</t>
        </is>
      </c>
    </row>
    <row r="5830" ht="87" customHeight="1">
      <c r="A5830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5830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5830" t="inlineStr">
        <is>
          <t>Klein Tools NCVT-2P Dual Range Non-Contact Voltage Tester 12 - 1000V AC</t>
        </is>
      </c>
      <c r="D5830" t="inlineStr">
        <is>
          <t>Klein Tools NCVT-2 Voltage Tester, Non-Contact Dual Range Voltage Tester Pen for Standard and Low Voltage, with 3 m Drop Protection</t>
        </is>
      </c>
      <c r="E5830" s="2">
        <f>HYPERLINK("https://www.amazon.com/Klein-Tools-NCVT-2-Standard-Protection/dp/B004FXJOQO/ref=sr_1_6?keywords=Klein+Tools+NCVT-2P+Dual+Range+Non-Contact+Voltage+Tester+12+-+1000V+AC&amp;qid=1694735236&amp;sr=8-6", "https://www.amazon.com/Klein-Tools-NCVT-2-Standard-Protection/dp/B004FXJOQO/ref=sr_1_6?keywords=Klein+Tools+NCVT-2P+Dual+Range+Non-Contact+Voltage+Tester+12+-+1000V+AC&amp;qid=1694735236&amp;sr=8-6")</f>
        <v/>
      </c>
      <c r="F5830" t="inlineStr">
        <is>
          <t>B004FXJOQO</t>
        </is>
      </c>
      <c r="G5830">
        <f>_xlfn.IMAGE("https://edmondsonsupply.com/cdn/shop/products/ncvt2p.jpg?v=1633030824")</f>
        <v/>
      </c>
      <c r="H5830">
        <f>_xlfn.IMAGE("https://m.media-amazon.com/images/I/514tywDAdHL._AC_UL320_.jpg")</f>
        <v/>
      </c>
      <c r="K5830" t="inlineStr">
        <is>
          <t>27.97</t>
        </is>
      </c>
      <c r="L5830" t="n">
        <v>28.95</v>
      </c>
      <c r="M5830" s="1" t="inlineStr">
        <is>
          <t>3.50%</t>
        </is>
      </c>
      <c r="N5830" s="7" t="n"/>
      <c r="O5830" t="n">
        <v>4.6</v>
      </c>
      <c r="P5830" t="n">
        <v>5762</v>
      </c>
      <c r="R5830" t="inlineStr">
        <is>
          <t>InStock</t>
        </is>
      </c>
      <c r="S5830" t="inlineStr">
        <is>
          <t>35.76</t>
        </is>
      </c>
      <c r="T5830" t="inlineStr">
        <is>
          <t>6080875626669</t>
        </is>
      </c>
    </row>
    <row r="5831" hidden="1" ht="15.75" customHeight="1">
      <c r="A5831" s="2">
        <f>HYPERLINK("https://edmondsonsupply.com/collections/electricians-tools/products/reed-mfg-dhr12-3-4npt-r12-drophead-3-4-npt", "https://edmondsonsupply.com/collections/electricians-tools/products/reed-mfg-dhr12-3-4npt-r12-drophead-3-4-npt")</f>
        <v/>
      </c>
      <c r="B5831" s="2">
        <f>HYPERLINK("https://edmondsonsupply.com/products/reed-mfg-dhr12-3-4npt-r12-drophead-3-4-npt", "https://edmondsonsupply.com/products/reed-mfg-dhr12-3-4npt-r12-drophead-3-4-npt")</f>
        <v/>
      </c>
      <c r="C5831" t="inlineStr">
        <is>
          <t>Reed Mfg DHR12 3/4NPT R12+ Drophead, 3/4" NPT</t>
        </is>
      </c>
      <c r="D5831" t="inlineStr">
        <is>
          <t>Reed Tool DHR12 3/4NPT R12+ Drophead, 3/4-Inch NPT</t>
        </is>
      </c>
      <c r="E5831" s="2">
        <f>HYPERLINK("https://www.amazon.com/Reed-Tool-DHR12-4NPT-Drophead/dp/B000ZH6R3M/ref=sr_1_1?keywords=Reed+Mfg+DHR12+3%2F4NPT+R12%2B+Drophead%2C+3%2F4%22+NPT&amp;qid=1694735211&amp;sr=8-1", "https://www.amazon.com/Reed-Tool-DHR12-4NPT-Drophead/dp/B000ZH6R3M/ref=sr_1_1?keywords=Reed+Mfg+DHR12+3%2F4NPT+R12%2B+Drophead%2C+3%2F4%22+NPT&amp;qid=1694735211&amp;sr=8-1")</f>
        <v/>
      </c>
      <c r="F5831" t="inlineStr">
        <is>
          <t>B000ZH6R3M</t>
        </is>
      </c>
      <c r="G5831">
        <f>_xludf.IMAGE("https://edmondsonsupply.com/cdn/shop/products/05628-DHR12-3-4NPT-RGB.jpg?v=1633031013")</f>
        <v/>
      </c>
      <c r="H5831">
        <f>_xludf.IMAGE("https://m.media-amazon.com/images/I/51I4FIWUu7L._AC_UY218_.jpg")</f>
        <v/>
      </c>
      <c r="K5831" t="inlineStr">
        <is>
          <t>121.16</t>
        </is>
      </c>
      <c r="L5831" t="n">
        <v>125.3</v>
      </c>
      <c r="M5831" s="1" t="inlineStr">
        <is>
          <t>3.42%</t>
        </is>
      </c>
      <c r="N5831" s="1" t="n"/>
      <c r="O5831" t="n">
        <v>1</v>
      </c>
      <c r="P5831" t="n">
        <v>1</v>
      </c>
      <c r="R5831" t="inlineStr">
        <is>
          <t>InStock</t>
        </is>
      </c>
      <c r="S5831" t="inlineStr">
        <is>
          <t>140.16</t>
        </is>
      </c>
      <c r="T5831" t="inlineStr">
        <is>
          <t>6698079158445</t>
        </is>
      </c>
    </row>
    <row r="5832" hidden="1" ht="15.75" customHeight="1">
      <c r="A5832" s="2">
        <f>HYPERLINK("https://edmondsonsupply.com/collections/electricians-tools/products/reed-mfg-dhr12-1-2npt-r12-drophead-1-2-npt", "https://edmondsonsupply.com/collections/electricians-tools/products/reed-mfg-dhr12-1-2npt-r12-drophead-1-2-npt")</f>
        <v/>
      </c>
      <c r="B5832" s="2">
        <f>HYPERLINK("https://edmondsonsupply.com/products/reed-mfg-dhr12-1-2npt-r12-drophead-1-2-npt", "https://edmondsonsupply.com/products/reed-mfg-dhr12-1-2npt-r12-drophead-1-2-npt")</f>
        <v/>
      </c>
      <c r="C5832" t="inlineStr">
        <is>
          <t>Reed Mfg DHR12 1/2NPT R12+ Drophead, 1/2" NPT</t>
        </is>
      </c>
      <c r="D5832" t="inlineStr">
        <is>
          <t>Reed Tool DHR12 3/4NPT R12+ Drophead, 3/4-Inch NPT</t>
        </is>
      </c>
      <c r="E5832" s="2">
        <f>HYPERLINK("https://www.amazon.com/Reed-Tool-DHR12-4NPT-Drophead/dp/B000ZH6R3M/ref=sr_1_fkmr2_2?keywords=Reed+Mfg+DHR12+1%2F2NPT+R12%2B+Drophead%2C+1%2F2%22+NPT&amp;qid=1694735220&amp;sr=8-2-fkmr2", "https://www.amazon.com/Reed-Tool-DHR12-4NPT-Drophead/dp/B000ZH6R3M/ref=sr_1_fkmr2_2?keywords=Reed+Mfg+DHR12+1%2F2NPT+R12%2B+Drophead%2C+1%2F2%22+NPT&amp;qid=1694735220&amp;sr=8-2-fkmr2")</f>
        <v/>
      </c>
      <c r="F5832" t="inlineStr">
        <is>
          <t>B000ZH6R3M</t>
        </is>
      </c>
      <c r="G5832">
        <f>_xludf.IMAGE("https://edmondsonsupply.com/cdn/shop/products/05626-DHR12-1-2NPT-RGB.jpg?v=1633031013")</f>
        <v/>
      </c>
      <c r="H5832">
        <f>_xludf.IMAGE("https://m.media-amazon.com/images/I/51I4FIWUu7L._AC_UY218_.jpg")</f>
        <v/>
      </c>
      <c r="K5832" t="inlineStr">
        <is>
          <t>121.16</t>
        </is>
      </c>
      <c r="L5832" t="n">
        <v>125.3</v>
      </c>
      <c r="M5832" s="1" t="inlineStr">
        <is>
          <t>3.42%</t>
        </is>
      </c>
      <c r="N5832" s="1" t="n"/>
      <c r="O5832" t="n">
        <v>1</v>
      </c>
      <c r="P5832" t="n">
        <v>1</v>
      </c>
      <c r="R5832" t="inlineStr">
        <is>
          <t>InStock</t>
        </is>
      </c>
      <c r="S5832" t="inlineStr">
        <is>
          <t>140.16</t>
        </is>
      </c>
      <c r="T5832" t="inlineStr">
        <is>
          <t>6698071261357</t>
        </is>
      </c>
    </row>
    <row r="5833" ht="87" customHeight="1">
      <c r="A5833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5833" s="2">
        <f>HYPERLINK("https://edmondsonsupply.com/products/klein-tools-9225-tape-measure-25-foot-magnetic-double-hook", "https://edmondsonsupply.com/products/klein-tools-9225-tape-measure-25-foot-magnetic-double-hook")</f>
        <v/>
      </c>
      <c r="C5833" t="inlineStr">
        <is>
          <t>Klein Tools 9225 Tape Measure, 25-Foot Magnetic Double-Hook</t>
        </is>
      </c>
      <c r="D5833" t="inlineStr">
        <is>
          <t>Klein Tools 9230 Tape Measure, Heavy-Duty Measuring Tape with 30-Foot Double-Hook Double-Sided Nylon Reinforced Blade, with Metal Belt Clip</t>
        </is>
      </c>
      <c r="E5833" s="2">
        <f>HYPERLINK("https://www.amazon.com/Klein-Tools-Magnetic-Double-Hook-9230KLE/dp/B07WD63HT7/ref=sr_1_8?keywords=Klein+Tools+9225+Tape+Measure%2C+25-Foot+Magnetic+Double-Hook&amp;qid=1694735384&amp;sr=8-8", "https://www.amazon.com/Klein-Tools-Magnetic-Double-Hook-9230KLE/dp/B07WD63HT7/ref=sr_1_8?keywords=Klein+Tools+9225+Tape+Measure%2C+25-Foot+Magnetic+Double-Hook&amp;qid=1694735384&amp;sr=8-8")</f>
        <v/>
      </c>
      <c r="F5833" t="inlineStr">
        <is>
          <t>B07WD63HT7</t>
        </is>
      </c>
      <c r="G5833">
        <f>_xlfn.IMAGE("https://edmondsonsupply.com/cdn/shop/products/9225_photo.jpg?v=1587146541")</f>
        <v/>
      </c>
      <c r="H5833">
        <f>_xlfn.IMAGE("https://m.media-amazon.com/images/I/51s8pyLU6TL._AC_UL320_.jpg")</f>
        <v/>
      </c>
      <c r="K5833" t="inlineStr">
        <is>
          <t>29.97</t>
        </is>
      </c>
      <c r="L5833" t="n">
        <v>30.99</v>
      </c>
      <c r="M5833" s="1" t="inlineStr">
        <is>
          <t>3.40%</t>
        </is>
      </c>
      <c r="N5833" s="7" t="n"/>
      <c r="O5833" t="n">
        <v>4.6</v>
      </c>
      <c r="P5833" t="n">
        <v>464</v>
      </c>
      <c r="R5833" t="inlineStr">
        <is>
          <t>InStock</t>
        </is>
      </c>
      <c r="S5833" t="inlineStr">
        <is>
          <t>37.02</t>
        </is>
      </c>
      <c r="T5833" t="inlineStr">
        <is>
          <t>4411542175844</t>
        </is>
      </c>
    </row>
    <row r="5834" ht="87" customHeight="1">
      <c r="A5834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5834" s="2">
        <f>HYPERLINK("https://edmondsonsupply.com/products/klein-tools-d203-8-pliers-long-nose-side-cutters-8-inch", "https://edmondsonsupply.com/products/klein-tools-d203-8-pliers-long-nose-side-cutters-8-inch")</f>
        <v/>
      </c>
      <c r="C5834" t="inlineStr">
        <is>
          <t>Klein Tools D203-8 Pliers, Needle Nose Side-Cutters, 8-Inch</t>
        </is>
      </c>
      <c r="D5834" t="inlineStr">
        <is>
          <t>Klein Tools D318-51/2C Linemans Pliers, Needle Nose Side Cutters, Spring Loaded, 5-Inch with Knurled Jaw</t>
        </is>
      </c>
      <c r="E5834" s="2">
        <f>HYPERLINK("https://www.amazon.com/Linemans-Klein-Tools-D318-51-2C/dp/B000G67F5G/ref=sr_1_14?keywords=Klein+Tools+D203-8+Pliers%2C+Needle+Nose+Side-Cutters%2C+8-Inch&amp;qid=1694735240&amp;sr=8-14", "https://www.amazon.com/Linemans-Klein-Tools-D318-51-2C/dp/B000G67F5G/ref=sr_1_14?keywords=Klein+Tools+D203-8+Pliers%2C+Needle+Nose+Side-Cutters%2C+8-Inch&amp;qid=1694735240&amp;sr=8-14")</f>
        <v/>
      </c>
      <c r="F5834" t="inlineStr">
        <is>
          <t>B000G67F5G</t>
        </is>
      </c>
      <c r="G5834">
        <f>_xlfn.IMAGE("https://edmondsonsupply.com/cdn/shop/products/d2038.jpg?v=1633030802")</f>
        <v/>
      </c>
      <c r="H5834">
        <f>_xlfn.IMAGE("https://m.media-amazon.com/images/I/41e01uS7cGL._AC_UL320_.jpg")</f>
        <v/>
      </c>
      <c r="K5834" t="inlineStr">
        <is>
          <t>29.97</t>
        </is>
      </c>
      <c r="L5834" t="n">
        <v>30.99</v>
      </c>
      <c r="M5834" s="1" t="inlineStr">
        <is>
          <t>3.40%</t>
        </is>
      </c>
      <c r="N5834" s="7" t="n"/>
      <c r="O5834" t="n">
        <v>4.2</v>
      </c>
      <c r="P5834" t="n">
        <v>44</v>
      </c>
      <c r="R5834" t="inlineStr">
        <is>
          <t>InStock</t>
        </is>
      </c>
      <c r="S5834" t="inlineStr">
        <is>
          <t>44.84</t>
        </is>
      </c>
      <c r="T5834" t="inlineStr">
        <is>
          <t>6005724577960</t>
        </is>
      </c>
    </row>
    <row r="5835" ht="87" customHeight="1">
      <c r="A5835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5835" s="2">
        <f>HYPERLINK("https://edmondsonsupply.com/products/klein-tools-d507-8-adjustable-wrench-extra-capacity-8-inch", "https://edmondsonsupply.com/products/klein-tools-d507-8-adjustable-wrench-extra-capacity-8-inch")</f>
        <v/>
      </c>
      <c r="C5835" t="inlineStr">
        <is>
          <t>Klein Tools D507-8 Adjustable Wrench, Extra Capacity 8-Inch</t>
        </is>
      </c>
      <c r="D5835" t="inlineStr">
        <is>
          <t>Klein Tools D86932 Adjustable Wrench, Forged with Slimmer Jaw and a High Polish Chrome Finish, 4-inch</t>
        </is>
      </c>
      <c r="E5835" s="2">
        <f>HYPERLINK("https://www.amazon.com/Slim-Jaw-Adjustable-Klein-Tools-D86932/dp/B0753LJHG1/ref=sr_1_16?keywords=Klein+Tools+D507-8+Adjustable+Wrench%2C+Extra+Capacity+8-Inch&amp;qid=1694734984&amp;sr=8-16", "https://www.amazon.com/Slim-Jaw-Adjustable-Klein-Tools-D86932/dp/B0753LJHG1/ref=sr_1_16?keywords=Klein+Tools+D507-8+Adjustable+Wrench%2C+Extra+Capacity+8-Inch&amp;qid=1694734984&amp;sr=8-16")</f>
        <v/>
      </c>
      <c r="F5835" t="inlineStr">
        <is>
          <t>B0753LJHG1</t>
        </is>
      </c>
      <c r="G5835">
        <f>_xlfn.IMAGE("https://edmondsonsupply.com/cdn/shop/products/d5078_b.jpg?v=1666010497")</f>
        <v/>
      </c>
      <c r="H5835">
        <f>_xlfn.IMAGE("https://m.media-amazon.com/images/I/51bQN5lP8VL._AC_UL320_.jpg")</f>
        <v/>
      </c>
      <c r="K5835" t="inlineStr">
        <is>
          <t>29.99</t>
        </is>
      </c>
      <c r="L5835" t="n">
        <v>30.99</v>
      </c>
      <c r="M5835" s="1" t="inlineStr">
        <is>
          <t>3.33%</t>
        </is>
      </c>
      <c r="N5835" s="7" t="n"/>
      <c r="O5835" t="n">
        <v>4.5</v>
      </c>
      <c r="P5835" t="n">
        <v>125</v>
      </c>
      <c r="R5835" t="inlineStr">
        <is>
          <t>InStock</t>
        </is>
      </c>
      <c r="S5835" t="inlineStr">
        <is>
          <t>45.44</t>
        </is>
      </c>
      <c r="T5835" t="inlineStr">
        <is>
          <t>4353085014116</t>
        </is>
      </c>
    </row>
    <row r="5836" ht="87" customHeight="1">
      <c r="A5836" s="2">
        <f>HYPERLINK("https://edmondsonsupply.com/collections/electricians-tools/products/klein-tools-44005c-hawkbill-lockback-knife-with-clip", "https://edmondsonsupply.com/collections/electricians-tools/products/klein-tools-44005c-hawkbill-lockback-knife-with-clip")</f>
        <v/>
      </c>
      <c r="B5836" s="2">
        <f>HYPERLINK("https://edmondsonsupply.com/products/klein-tools-44005c-hawkbill-lockback-knife-with-clip", "https://edmondsonsupply.com/products/klein-tools-44005c-hawkbill-lockback-knife-with-clip")</f>
        <v/>
      </c>
      <c r="C5836" t="inlineStr">
        <is>
          <t>Klein Tools 44005C Hawkbill Lockback Knife with Clip</t>
        </is>
      </c>
      <c r="D5836" t="inlineStr">
        <is>
          <t>Klein Tools 44005RC Hawkbill Lockback Round Tip Knife with Clip</t>
        </is>
      </c>
      <c r="E5836" s="2">
        <f>HYPERLINK("https://www.amazon.com/Klein-Tools-Hawkbill-Lockback-Round/dp/B082PKQRKT/ref=sr_1_2?keywords=Klein+Tools+44005C+Hawkbill+Lockback+Knife+with+Clip&amp;qid=1694735105&amp;sr=8-2", "https://www.amazon.com/Klein-Tools-Hawkbill-Lockback-Round/dp/B082PKQRKT/ref=sr_1_2?keywords=Klein+Tools+44005C+Hawkbill+Lockback+Knife+with+Clip&amp;qid=1694735105&amp;sr=8-2")</f>
        <v/>
      </c>
      <c r="F5836" t="inlineStr">
        <is>
          <t>B082PKQRKT</t>
        </is>
      </c>
      <c r="G5836">
        <f>_xlfn.IMAGE("https://edmondsonsupply.com/cdn/shop/products/44005c.jpg?v=1664810854")</f>
        <v/>
      </c>
      <c r="H5836">
        <f>_xlfn.IMAGE("https://m.media-amazon.com/images/I/512+ClgLcNL._AC_UL320_.jpg")</f>
        <v/>
      </c>
      <c r="K5836" t="inlineStr">
        <is>
          <t>49.99</t>
        </is>
      </c>
      <c r="L5836" t="n">
        <v>51.64</v>
      </c>
      <c r="M5836" s="1" t="inlineStr">
        <is>
          <t>3.30%</t>
        </is>
      </c>
      <c r="N5836" s="7" t="n"/>
      <c r="O5836" t="n">
        <v>5</v>
      </c>
      <c r="P5836" t="n">
        <v>1</v>
      </c>
      <c r="R5836" t="inlineStr">
        <is>
          <t>InStock</t>
        </is>
      </c>
      <c r="S5836" t="inlineStr">
        <is>
          <t>71.24</t>
        </is>
      </c>
      <c r="T5836" t="inlineStr">
        <is>
          <t>7837679616216</t>
        </is>
      </c>
    </row>
    <row r="5837" ht="87" customHeight="1">
      <c r="A5837" s="2">
        <f>HYPERLINK("https://edmondsonsupply.com/collections/electricians-tools/products/fluke-377-fc-non-contact-voltage-true-rms-ac-dc-clamp-meter-with-iflex", "https://edmondsonsupply.com/collections/electricians-tools/products/fluke-377-fc-non-contact-voltage-true-rms-ac-dc-clamp-meter-with-iflex")</f>
        <v/>
      </c>
      <c r="B5837" s="2">
        <f>HYPERLINK("https://edmondsonsupply.com/products/fluke-377-fc-non-contact-voltage-true-rms-ac-dc-clamp-meter-with-iflex", "https://edmondsonsupply.com/products/fluke-377-fc-non-contact-voltage-true-rms-ac-dc-clamp-meter-with-iflex")</f>
        <v/>
      </c>
      <c r="C5837" t="inlineStr">
        <is>
          <t>Fluke 377 FC Non-Contact Voltage True-RMS AC/DC Clamp Meter with iFlex</t>
        </is>
      </c>
      <c r="D5837" t="inlineStr">
        <is>
          <t>Fluke 376-FC True RMS AC/DC Clamp Meter with iFlex with a NIST-Traceable Calibration Certificate with Data</t>
        </is>
      </c>
      <c r="E5837" s="2">
        <f>HYPERLINK("https://www.amazon.com/Fluke-376-FC-NIST-Traceable-Calibration-Certificate/dp/B01CFXIMOU/ref=sr_1_6?keywords=Fluke+377+FC+Non-Contact+Voltage+True-RMS+AC%2FDC+Clamp+Meter+with+iFlex&amp;qid=1694735195&amp;sr=8-6", "https://www.amazon.com/Fluke-376-FC-NIST-Traceable-Calibration-Certificate/dp/B01CFXIMOU/ref=sr_1_6?keywords=Fluke+377+FC+Non-Contact+Voltage+True-RMS+AC%2FDC+Clamp+Meter+with+iFlex&amp;qid=1694735195&amp;sr=8-6")</f>
        <v/>
      </c>
      <c r="F5837" t="inlineStr">
        <is>
          <t>B01CFXIMOU</t>
        </is>
      </c>
      <c r="G5837">
        <f>_xlfn.IMAGE("https://edmondsonsupply.com/cdn/shop/products/377_FC_72dpi_499x1024px_E_NR-27677.jpg?v=1633031119")</f>
        <v/>
      </c>
      <c r="H5837">
        <f>_xlfn.IMAGE("https://m.media-amazon.com/images/I/81SZ2OCx2VL._AC_UY218_.jpg")</f>
        <v/>
      </c>
      <c r="K5837" t="inlineStr">
        <is>
          <t>639.89</t>
        </is>
      </c>
      <c r="L5837" t="n">
        <v>659.99</v>
      </c>
      <c r="M5837" s="1" t="inlineStr">
        <is>
          <t>3.14%</t>
        </is>
      </c>
      <c r="N5837" s="7" t="n"/>
      <c r="O5837" t="n">
        <v>4.6</v>
      </c>
      <c r="P5837" t="n">
        <v>21</v>
      </c>
      <c r="R5837" t="inlineStr">
        <is>
          <t>OutOfStock</t>
        </is>
      </c>
      <c r="S5837" t="inlineStr">
        <is>
          <t>710.99</t>
        </is>
      </c>
      <c r="T5837" t="inlineStr">
        <is>
          <t>6864129949869</t>
        </is>
      </c>
    </row>
    <row r="5838" ht="87" customHeight="1">
      <c r="A5838" s="2">
        <f>HYPERLINK("https://edmondsonsupply.com/collections/electricians-tools/products/diablo-tools-d0424x-4-1-2-in-x-24-tooth-framing-trim-saw-blade", "https://edmondsonsupply.com/collections/electricians-tools/products/diablo-tools-d0424x-4-1-2-in-x-24-tooth-framing-trim-saw-blade")</f>
        <v/>
      </c>
      <c r="B5838" s="2">
        <f>HYPERLINK("https://edmondsonsupply.com/products/diablo-tools-d0424x-4-1-2-in-x-24-tooth-framing-trim-saw-blade", "https://edmondsonsupply.com/products/diablo-tools-d0424x-4-1-2-in-x-24-tooth-framing-trim-saw-blade")</f>
        <v/>
      </c>
      <c r="C5838" t="inlineStr">
        <is>
          <t>Diablo Tools D0424X 4-1/2 in. x 24 Tooth Framing Trim Saw Blade</t>
        </is>
      </c>
      <c r="D5838" t="inlineStr">
        <is>
          <t>Freud D0436X Diablo 4-1/2-Inch 36 Tooth ATB Cordless Trim Saw Blade with 20-Millimeter Arbor and 3/8-Inch Reducer Bushing</t>
        </is>
      </c>
      <c r="E5838" s="2">
        <f>HYPERLINK("https://www.amazon.com/Freud-D0436X-Cordless-20-Millimeter-Reducer/dp/B0002TUFAO/ref=sr_1_1?keywords=Diablo+Tools+D0424X+4-1%2F2+in.+x+24+Tooth+Framing+Trim+Saw+Blade&amp;qid=1694735015&amp;sr=8-1", "https://www.amazon.com/Freud-D0436X-Cordless-20-Millimeter-Reducer/dp/B0002TUFAO/ref=sr_1_1?keywords=Diablo+Tools+D0424X+4-1%2F2+in.+x+24+Tooth+Framing+Trim+Saw+Blade&amp;qid=1694735015&amp;sr=8-1")</f>
        <v/>
      </c>
      <c r="F5838" t="inlineStr">
        <is>
          <t>B0002TUFAO</t>
        </is>
      </c>
      <c r="G5838">
        <f>_xlfn.IMAGE("https://edmondsonsupply.com/cdn/shop/products/kscyqpb4khjcxmaeciqc.webp?v=1679327311")</f>
        <v/>
      </c>
      <c r="H5838">
        <f>_xlfn.IMAGE("https://m.media-amazon.com/images/I/81ODrvwzTbL._AC_UL320_.jpg")</f>
        <v/>
      </c>
      <c r="K5838" t="inlineStr">
        <is>
          <t>14.97</t>
        </is>
      </c>
      <c r="L5838" t="n">
        <v>15.43</v>
      </c>
      <c r="M5838" s="1" t="inlineStr">
        <is>
          <t>3.07%</t>
        </is>
      </c>
      <c r="N5838" s="7" t="n"/>
      <c r="O5838" t="n">
        <v>4.7</v>
      </c>
      <c r="P5838" t="n">
        <v>1256</v>
      </c>
      <c r="R5838" t="inlineStr">
        <is>
          <t>InStock</t>
        </is>
      </c>
      <c r="S5838" t="inlineStr">
        <is>
          <t>18.44</t>
        </is>
      </c>
      <c r="T5838" t="inlineStr">
        <is>
          <t>7964926083288</t>
        </is>
      </c>
    </row>
    <row r="5839" hidden="1" ht="15.75" customHeight="1">
      <c r="A5839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5839" s="2">
        <f>HYPERLINK("https://edmondsonsupply.com/products/klein-tools-646-7-16-7-16-inch-nut-driver-6-inch-hollow-shaft", "https://edmondsonsupply.com/products/klein-tools-646-7-16-7-16-inch-nut-driver-6-inch-hollow-shaft")</f>
        <v/>
      </c>
      <c r="C5839" t="inlineStr">
        <is>
          <t>Klein Tools 646-7/16 7/16-Inch Nut Driver, 6-Inch Hollow Shaft</t>
        </is>
      </c>
      <c r="D5839" t="inlineStr">
        <is>
          <t>Klein Tools 630-7/16 7/16-Inch Nut Driver with 3-Inch Hollow Shaft and Cushion-Grip Handle</t>
        </is>
      </c>
      <c r="E5839" s="2">
        <f>HYPERLINK("https://www.amazon.com/Cushion-Grip-Klein-Tools-630-7-16/dp/B000BPG4CW/ref=sr_1_3?keywords=Klein+Tools+646-7%2F16+7%2F16-Inch+Nut+Driver%2C+6-Inch+Hollow+Shaft&amp;qid=1694735415&amp;sr=8-3", "https://www.amazon.com/Cushion-Grip-Klein-Tools-630-7-16/dp/B000BPG4CW/ref=sr_1_3?keywords=Klein+Tools+646-7%2F16+7%2F16-Inch+Nut+Driver%2C+6-Inch+Hollow+Shaft&amp;qid=1694735415&amp;sr=8-3")</f>
        <v/>
      </c>
      <c r="F5839" t="inlineStr">
        <is>
          <t>B000BPG4CW</t>
        </is>
      </c>
      <c r="G5839">
        <f>_xludf.IMAGE("https://edmondsonsupply.com/cdn/shop/products/646-1-2_64980020-d246-4b4b-829a-c848cc375d64.jpg?v=1587148603")</f>
        <v/>
      </c>
      <c r="H5839">
        <f>_xludf.IMAGE("https://m.media-amazon.com/images/I/41Cj8-Y8KnL._AC_UL320_.jpg")</f>
        <v/>
      </c>
      <c r="K5839" t="inlineStr">
        <is>
          <t>9.49</t>
        </is>
      </c>
      <c r="L5839" t="n">
        <v>9.779999999999999</v>
      </c>
      <c r="M5839" s="1" t="inlineStr">
        <is>
          <t>3.06%</t>
        </is>
      </c>
      <c r="N5839" s="1" t="n"/>
      <c r="O5839" t="n">
        <v>4.8</v>
      </c>
      <c r="P5839" t="n">
        <v>2069</v>
      </c>
      <c r="R5839" t="inlineStr">
        <is>
          <t>InStock</t>
        </is>
      </c>
      <c r="S5839" t="inlineStr">
        <is>
          <t>14.42</t>
        </is>
      </c>
      <c r="T5839" t="inlineStr">
        <is>
          <t>4391246889060</t>
        </is>
      </c>
    </row>
    <row r="5840" ht="87" customHeight="1">
      <c r="A5840" s="2">
        <f>HYPERLINK("https://edmondsonsupply.com/collections/electricians-tools/products/klein-tools-60407-hard-hat-vented-full-brim-with-headlamp", "https://edmondsonsupply.com/collections/electricians-tools/products/klein-tools-60407-hard-hat-vented-full-brim-with-headlamp")</f>
        <v/>
      </c>
      <c r="B5840" s="2">
        <f>HYPERLINK("https://edmondsonsupply.com/products/klein-tools-60407-hard-hat-vented-full-brim-with-headlamp", "https://edmondsonsupply.com/products/klein-tools-60407-hard-hat-vented-full-brim-with-headlamp")</f>
        <v/>
      </c>
      <c r="C5840" t="inlineStr">
        <is>
          <t>Klein Tools 60407 Hard Hat, Vented, Full Brim with Headlamp, White</t>
        </is>
      </c>
      <c r="D5840" t="inlineStr">
        <is>
          <t>Klein Tools 60401 Hard Hat, Vented, Full Brim Style, Padded, Self-Wicking Odor-Resistant Sweatband, White Large</t>
        </is>
      </c>
      <c r="E5840" s="2">
        <f>HYPERLINK("https://www.amazon.com/Klein-Tools-Hard-Vented-Style/dp/B07TPQ9JM5/ref=sr_1_7?keywords=Klein+Tools+60407+Hard+Hat%2C+Vented%2C+Full+Brim+with+Headlamp%2C+White&amp;qid=1694735427&amp;sr=8-7", "https://www.amazon.com/Klein-Tools-Hard-Vented-Style/dp/B07TPQ9JM5/ref=sr_1_7?keywords=Klein+Tools+60407+Hard+Hat%2C+Vented%2C+Full+Brim+with+Headlamp%2C+White&amp;qid=1694735427&amp;sr=8-7")</f>
        <v/>
      </c>
      <c r="F5840" t="inlineStr">
        <is>
          <t>B07TPQ9JM5</t>
        </is>
      </c>
      <c r="G5840">
        <f>_xlfn.IMAGE("https://edmondsonsupply.com/cdn/shop/products/60407.jpg?v=1587147739")</f>
        <v/>
      </c>
      <c r="H5840">
        <f>_xlfn.IMAGE("https://m.media-amazon.com/images/I/61+jjIbExZL._AC_UL320_.jpg")</f>
        <v/>
      </c>
      <c r="K5840" t="inlineStr">
        <is>
          <t>54.99</t>
        </is>
      </c>
      <c r="L5840" t="n">
        <v>56.66</v>
      </c>
      <c r="M5840" s="1" t="inlineStr">
        <is>
          <t>3.04%</t>
        </is>
      </c>
      <c r="N5840" s="7" t="n"/>
      <c r="O5840" t="n">
        <v>4.7</v>
      </c>
      <c r="P5840" t="n">
        <v>627</v>
      </c>
      <c r="R5840" t="inlineStr">
        <is>
          <t>OutOfStock</t>
        </is>
      </c>
      <c r="S5840" t="inlineStr">
        <is>
          <t>82.5</t>
        </is>
      </c>
      <c r="T5840" t="inlineStr">
        <is>
          <t>4357084446820</t>
        </is>
      </c>
    </row>
    <row r="5841" hidden="1" ht="15.75" customHeight="1">
      <c r="A5841" s="2">
        <f>HYPERLINK("https://edmondsonsupply.com/collections/electricians-tools/products/milwaukee-2880-20-m18-fuel%E2%84%A2-4-1-2-5-grinder-paddle-switch-no-lock", "https://edmondsonsupply.com/collections/electricians-tools/products/milwaukee-2880-20-m18-fuel%E2%84%A2-4-1-2-5-grinder-paddle-switch-no-lock")</f>
        <v/>
      </c>
      <c r="B5841" s="2">
        <f>HYPERLINK("https://edmondsonsupply.com/products/milwaukee-2880-20-m18-fuel%e2%84%a2-4-1-2-5-grinder-paddle-switch-no-lock", "https://edmondsonsupply.com/products/milwaukee-2880-20-m18-fuel%e2%84%a2-4-1-2-5-grinder-paddle-switch-no-lock")</f>
        <v/>
      </c>
      <c r="C5841" t="inlineStr">
        <is>
          <t>Milwaukee 2880-20 M18 FUEL™ 4-1/2" / 5" Grinder Paddle Switch, No-Lock</t>
        </is>
      </c>
      <c r="D5841" t="inlineStr">
        <is>
          <t>2880-20 M18 FUEL for Milwaukee 18 Volt 4-1/2" / 5" Grinder Paddle Switch, No-Lock (Tool Only)</t>
        </is>
      </c>
      <c r="E5841" s="2">
        <f>HYPERLINK("https://www.amazon.com/2880-20-Milwaukee-Grinder-Paddle-No-Lock/dp/B0C1BWXP7W/ref=sr_1_2?keywords=Milwaukee+2880-20+M18+FUEL%E2%84%A2+4-1%2F2%22+%2F+5%22+Grinder+Paddle+Switch%2C+No-Lock&amp;qid=1694735131&amp;sr=8-2", "https://www.amazon.com/2880-20-Milwaukee-Grinder-Paddle-No-Lock/dp/B0C1BWXP7W/ref=sr_1_2?keywords=Milwaukee+2880-20+M18+FUEL%E2%84%A2+4-1%2F2%22+%2F+5%22+Grinder+Paddle+Switch%2C+No-Lock&amp;qid=1694735131&amp;sr=8-2")</f>
        <v/>
      </c>
      <c r="F5841" t="inlineStr">
        <is>
          <t>B0C1BWXP7W</t>
        </is>
      </c>
      <c r="G5841">
        <f>_xludf.IMAGE("https://edmondsonsupply.com/cdn/shop/products/2880-20_1.webp?v=1661698933")</f>
        <v/>
      </c>
      <c r="H5841">
        <f>_xludf.IMAGE("https://m.media-amazon.com/images/I/611hF2k6v8L._AC_UL320_.jpg")</f>
        <v/>
      </c>
      <c r="K5841" t="inlineStr">
        <is>
          <t>199.0</t>
        </is>
      </c>
      <c r="L5841" t="n">
        <v>205</v>
      </c>
      <c r="M5841" s="1" t="inlineStr">
        <is>
          <t>3.02%</t>
        </is>
      </c>
      <c r="N5841" s="1" t="n"/>
      <c r="O5841" t="n">
        <v>3</v>
      </c>
      <c r="P5841" t="n">
        <v>1</v>
      </c>
      <c r="R5841" t="inlineStr">
        <is>
          <t>InStock</t>
        </is>
      </c>
      <c r="S5841" t="inlineStr">
        <is>
          <t>330.0</t>
        </is>
      </c>
      <c r="T5841" t="inlineStr">
        <is>
          <t>7795852411096</t>
        </is>
      </c>
    </row>
    <row r="5842" ht="87" customHeight="1">
      <c r="A5842" s="2">
        <f>HYPERLINK("https://edmondsonsupply.com/collections/electricians-tools/products/klein-tools-50351-steel-fish-tape-swivel-eyelet", "https://edmondsonsupply.com/collections/electricians-tools/products/klein-tools-50351-steel-fish-tape-swivel-eyelet")</f>
        <v/>
      </c>
      <c r="B5842" s="2">
        <f>HYPERLINK("https://edmondsonsupply.com/products/klein-tools-50351-steel-fish-tape-swivel-eyelet", "https://edmondsonsupply.com/products/klein-tools-50351-steel-fish-tape-swivel-eyelet")</f>
        <v/>
      </c>
      <c r="C5842" t="inlineStr">
        <is>
          <t>Klein Tools 50351 Steel Fish Tape Swivel Eyelet</t>
        </is>
      </c>
      <c r="D5842" t="inlineStr">
        <is>
          <t>Klein Tools 50351 Steel Fish Tape Swivel Eyelet for Flat-Steel Fish Tapes</t>
        </is>
      </c>
      <c r="E5842" s="2">
        <f>HYPERLINK("https://www.amazon.com/Swivel-Flat-Steel-Klein-Tools-50351/dp/B0002RI5QW/ref=sr_1_1?keywords=Klein+Tools+50351+Steel+Fish+Tape+Swivel+Eyelet&amp;qid=1694735172&amp;sr=8-1", "https://www.amazon.com/Swivel-Flat-Steel-Klein-Tools-50351/dp/B0002RI5QW/ref=sr_1_1?keywords=Klein+Tools+50351+Steel+Fish+Tape+Swivel+Eyelet&amp;qid=1694735172&amp;sr=8-1")</f>
        <v/>
      </c>
      <c r="F5842" t="inlineStr">
        <is>
          <t>B0002RI5QW</t>
        </is>
      </c>
      <c r="G5842">
        <f>_xlfn.IMAGE("https://edmondsonsupply.com/cdn/shop/products/50351.jpg?v=1641776718")</f>
        <v/>
      </c>
      <c r="H5842">
        <f>_xlfn.IMAGE("https://m.media-amazon.com/images/I/51gRwx9DMzL._AC_UL320_.jpg")</f>
        <v/>
      </c>
      <c r="K5842" t="inlineStr">
        <is>
          <t>14.99</t>
        </is>
      </c>
      <c r="L5842" t="n">
        <v>15.43</v>
      </c>
      <c r="M5842" s="1" t="inlineStr">
        <is>
          <t>2.94%</t>
        </is>
      </c>
      <c r="N5842" s="7" t="n"/>
      <c r="O5842" t="n">
        <v>4.4</v>
      </c>
      <c r="P5842" t="n">
        <v>31</v>
      </c>
      <c r="R5842" t="inlineStr">
        <is>
          <t>OutOfStock</t>
        </is>
      </c>
      <c r="S5842" t="inlineStr">
        <is>
          <t>22.72</t>
        </is>
      </c>
      <c r="T5842" t="inlineStr">
        <is>
          <t>7569996841176</t>
        </is>
      </c>
    </row>
    <row r="5843" ht="87" customHeight="1">
      <c r="A5843" s="2">
        <f>HYPERLINK("https://edmondsonsupply.com/collections/electricians-tools/products/fluke-116-323-kit", "https://edmondsonsupply.com/collections/electricians-tools/products/fluke-116-323-kit")</f>
        <v/>
      </c>
      <c r="B5843" s="2">
        <f>HYPERLINK("https://edmondsonsupply.com/products/fluke-116-323-kit", "https://edmondsonsupply.com/products/fluke-116-323-kit")</f>
        <v/>
      </c>
      <c r="C5843" t="inlineStr">
        <is>
          <t>Fluke 116/323 KIT True-RMS AC/DC HVAC Multimeter with True-RMS AC Clamp Meter Combo Kit</t>
        </is>
      </c>
      <c r="D5843" t="inlineStr">
        <is>
          <t>Fluke 116/323 Multimeter and Clamp Meter HVAC Combo Kit, AC/DC Voltage, AC Current 400 A, Microamps To Test Flame Sensors, Includes Temp Probe, Test Leads, TPAK And Carrying Case</t>
        </is>
      </c>
      <c r="E5843" s="2">
        <f>HYPERLINK("https://www.amazon.com/Fluke-323-KIT-Multimeter-Clamp/dp/B00DK8HBXS/ref=sr_1_1?keywords=Fluke+116%2F323+KIT+True-RMS+AC%2FDC+HVAC+Multimeter+with+True-RMS+AC+Clamp+Meter+Combo+Kit&amp;qid=1694735305&amp;sr=8-1", "https://www.amazon.com/Fluke-323-KIT-Multimeter-Clamp/dp/B00DK8HBXS/ref=sr_1_1?keywords=Fluke+116%2F323+KIT+True-RMS+AC%2FDC+HVAC+Multimeter+with+True-RMS+AC+Clamp+Meter+Combo+Kit&amp;qid=1694735305&amp;sr=8-1")</f>
        <v/>
      </c>
      <c r="F5843" t="inlineStr">
        <is>
          <t>B00DK8HBXS</t>
        </is>
      </c>
      <c r="G5843">
        <f>_xlfn.IMAGE("https://edmondsonsupply.com/cdn/shop/products/116323kit.jpg?v=1589825819")</f>
        <v/>
      </c>
      <c r="H5843">
        <f>_xlfn.IMAGE("https://m.media-amazon.com/images/I/71FZg+1J1-L._AC_UL320_.jpg")</f>
        <v/>
      </c>
      <c r="K5843" t="inlineStr">
        <is>
          <t>335.69</t>
        </is>
      </c>
      <c r="L5843" t="n">
        <v>344.82</v>
      </c>
      <c r="M5843" s="1" t="inlineStr">
        <is>
          <t>2.72%</t>
        </is>
      </c>
      <c r="N5843" s="7" t="n"/>
      <c r="O5843" t="n">
        <v>4.8</v>
      </c>
      <c r="P5843" t="n">
        <v>1181</v>
      </c>
      <c r="R5843" t="inlineStr">
        <is>
          <t>InStock</t>
        </is>
      </c>
      <c r="S5843" t="inlineStr">
        <is>
          <t>372.99</t>
        </is>
      </c>
      <c r="T5843" t="inlineStr">
        <is>
          <t>5238402777256</t>
        </is>
      </c>
    </row>
    <row r="5844" hidden="1" ht="15.75" customHeight="1">
      <c r="A5844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5844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5844" t="inlineStr">
        <is>
          <t>Klein Tools JTH9E11 3/16-Inch Hex Key with Journeyman T-Handle, 9-Inch</t>
        </is>
      </c>
      <c r="D5844" t="inlineStr">
        <is>
          <t>Klein Tools JTH6E12BE 7/32-Inch Ball End Hex Key with Journeyman T-Handle,6-Inch</t>
        </is>
      </c>
      <c r="E5844" s="2">
        <f>HYPERLINK("https://www.amazon.com/Journeyman-T-Handle-Klein-Tools-JTH6E12BE/dp/B004QW74L6/ref=sr_1_12?keywords=Klein+Tools+JTH9E11+3%2F16-Inch+Hex+Key+with+Journeyman+T-Handle%2C+9-Inch&amp;qid=1694735351&amp;sr=8-12", "https://www.amazon.com/Journeyman-T-Handle-Klein-Tools-JTH6E12BE/dp/B004QW74L6/ref=sr_1_12?keywords=Klein+Tools+JTH9E11+3%2F16-Inch+Hex+Key+with+Journeyman+T-Handle%2C+9-Inch&amp;qid=1694735351&amp;sr=8-12")</f>
        <v/>
      </c>
      <c r="F5844" t="inlineStr">
        <is>
          <t>B004QW74L6</t>
        </is>
      </c>
      <c r="G5844">
        <f>_xludf.IMAGE("https://edmondsonsupply.com/cdn/shop/products/jth9e12_5173eed3-120e-418c-a1cc-489b6dba3958.jpg?v=1587147554")</f>
        <v/>
      </c>
      <c r="H5844">
        <f>_xludf.IMAGE("https://m.media-amazon.com/images/I/51f9vBFVXgL._AC_UL320_.jpg")</f>
        <v/>
      </c>
      <c r="K5844" t="inlineStr">
        <is>
          <t>5.99</t>
        </is>
      </c>
      <c r="L5844" t="n">
        <v>6.15</v>
      </c>
      <c r="M5844" s="1" t="inlineStr">
        <is>
          <t>2.67%</t>
        </is>
      </c>
      <c r="N5844" s="1" t="n"/>
      <c r="O5844" t="n">
        <v>4.5</v>
      </c>
      <c r="P5844" t="n">
        <v>9</v>
      </c>
      <c r="R5844" t="inlineStr">
        <is>
          <t>InStock</t>
        </is>
      </c>
      <c r="S5844" t="inlineStr">
        <is>
          <t>9.06</t>
        </is>
      </c>
      <c r="T5844" t="inlineStr">
        <is>
          <t>4455227523172</t>
        </is>
      </c>
    </row>
    <row r="5845" hidden="1" ht="15.75" customHeight="1">
      <c r="A5845" s="2">
        <f>HYPERLINK("https://edmondsonsupply.com/collections/electricians-tools/products/klein-tools-jth6m6be-6-mm-ball-end-hex-key-journeyman%E2%84%A2-t-handle-6-inch", "https://edmondsonsupply.com/collections/electricians-tools/products/klein-tools-jth6m6be-6-mm-ball-end-hex-key-journeyman%E2%84%A2-t-handle-6-inch")</f>
        <v/>
      </c>
      <c r="B5845" s="2">
        <f>HYPERLINK("https://edmondsonsupply.com/products/klein-tools-jth6m6be-6-mm-ball-end-hex-key-journeyman%e2%84%a2-t-handle-6-inch", "https://edmondsonsupply.com/products/klein-tools-jth6m6be-6-mm-ball-end-hex-key-journeyman%e2%84%a2-t-handle-6-inch")</f>
        <v/>
      </c>
      <c r="C5845" t="inlineStr">
        <is>
          <t>Klein Tools JTH6M6BE 6 mm Ball-End Hex Key, Journeyman™ T-Handle, 6-Inch</t>
        </is>
      </c>
      <c r="D5845" t="inlineStr">
        <is>
          <t>Klein Tools JTH6E12BE 7/32-Inch Ball End Hex Key with Journeyman T-Handle,6-Inch</t>
        </is>
      </c>
      <c r="E5845" s="2">
        <f>HYPERLINK("https://www.amazon.com/Journeyman-T-Handle-Klein-Tools-JTH6E12BE/dp/B004QW74L6/ref=sr_1_4?keywords=Klein+Tools+JTH6M6BE+6+mm+Ball-End+Hex+Key%2C+Journeyman%E2%84%A2+T-Handle%2C+6-Inch&amp;qid=1694735096&amp;sr=8-4", "https://www.amazon.com/Journeyman-T-Handle-Klein-Tools-JTH6E12BE/dp/B004QW74L6/ref=sr_1_4?keywords=Klein+Tools+JTH6M6BE+6+mm+Ball-End+Hex+Key%2C+Journeyman%E2%84%A2+T-Handle%2C+6-Inch&amp;qid=1694735096&amp;sr=8-4")</f>
        <v/>
      </c>
      <c r="F5845" t="inlineStr">
        <is>
          <t>B004QW74L6</t>
        </is>
      </c>
      <c r="G5845">
        <f>_xludf.IMAGE("https://edmondsonsupply.com/cdn/shop/products/jth6m8be_8608088e-2ec0-429e-80d7-5bd927a3a1b6.jpg?v=1666111557")</f>
        <v/>
      </c>
      <c r="H5845">
        <f>_xludf.IMAGE("https://m.media-amazon.com/images/I/51f9vBFVXgL._AC_UL320_.jpg")</f>
        <v/>
      </c>
      <c r="K5845" t="inlineStr">
        <is>
          <t>5.99</t>
        </is>
      </c>
      <c r="L5845" t="n">
        <v>6.15</v>
      </c>
      <c r="M5845" s="1" t="inlineStr">
        <is>
          <t>2.67%</t>
        </is>
      </c>
      <c r="N5845" s="1" t="n"/>
      <c r="O5845" t="n">
        <v>4.5</v>
      </c>
      <c r="P5845" t="n">
        <v>9</v>
      </c>
      <c r="R5845" t="inlineStr">
        <is>
          <t>InStock</t>
        </is>
      </c>
      <c r="S5845" t="inlineStr">
        <is>
          <t>9.12</t>
        </is>
      </c>
      <c r="T5845" t="inlineStr">
        <is>
          <t>7857474404568</t>
        </is>
      </c>
    </row>
    <row r="5846" ht="87" customHeight="1">
      <c r="A5846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5846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5846" t="inlineStr">
        <is>
          <t>Klein Tools 11055RINS Insulated Klein-Kurve® Wire Stripper and Cutter</t>
        </is>
      </c>
      <c r="D5846" t="inlineStr">
        <is>
          <t>Klein Tools 11046 Wire Stripper/Cutter 16-26 AWG Stranded &amp; 11047 Wire Stripper/Cutter, Compact, Lightweight, Hardened Steel, Precision Ground, for Stranded and Solid Wires</t>
        </is>
      </c>
      <c r="E5846" s="2">
        <f>HYPERLINK("https://www.amazon.com/Klein-Tools-Stripper-Lightweight-Precision/dp/B0BNL5MC4G/ref=sr_1_20?keywords=Klein+Tools+11055RINS+Insulated+Klein-Kurve%C2%AE+Wire+Stripper+and+Cutter&amp;qid=1694735096&amp;sr=8-20", "https://www.amazon.com/Klein-Tools-Stripper-Lightweight-Precision/dp/B0BNL5MC4G/ref=sr_1_20?keywords=Klein+Tools+11055RINS+Insulated+Klein-Kurve%C2%AE+Wire+Stripper+and+Cutter&amp;qid=1694735096&amp;sr=8-20")</f>
        <v/>
      </c>
      <c r="F5846" t="inlineStr">
        <is>
          <t>B0BNL5MC4G</t>
        </is>
      </c>
      <c r="G5846">
        <f>_xlfn.IMAGE("https://edmondsonsupply.com/cdn/shop/products/11055rins.jpg?v=1667236979")</f>
        <v/>
      </c>
      <c r="H5846">
        <f>_xlfn.IMAGE("https://m.media-amazon.com/images/I/41uWm6Rw+pL._AC_UL320_.jpg")</f>
        <v/>
      </c>
      <c r="K5846" t="inlineStr">
        <is>
          <t>29.97</t>
        </is>
      </c>
      <c r="L5846" t="n">
        <v>30.75</v>
      </c>
      <c r="M5846" s="1" t="inlineStr">
        <is>
          <t>2.60%</t>
        </is>
      </c>
      <c r="N5846" s="7" t="n"/>
      <c r="O5846" t="n">
        <v>4.6</v>
      </c>
      <c r="P5846" t="n">
        <v>7</v>
      </c>
      <c r="R5846" t="inlineStr">
        <is>
          <t>InStock</t>
        </is>
      </c>
      <c r="S5846" t="inlineStr">
        <is>
          <t>41.98</t>
        </is>
      </c>
      <c r="T5846" t="inlineStr">
        <is>
          <t>7871527813336</t>
        </is>
      </c>
    </row>
    <row r="5847" ht="87" customHeight="1">
      <c r="A5847" s="2">
        <f>HYPERLINK("https://edmondsonsupply.com/collections/electricians-tools/products/klein-tools-d2000-49-diagonal-cutting-pliers-angled-head-9-inch", "https://edmondsonsupply.com/collections/electricians-tools/products/klein-tools-d2000-49-diagonal-cutting-pliers-angled-head-9-inch")</f>
        <v/>
      </c>
      <c r="B5847" s="2">
        <f>HYPERLINK("https://edmondsonsupply.com/products/klein-tools-d2000-49-diagonal-cutting-pliers-angled-head-9-inch", "https://edmondsonsupply.com/products/klein-tools-d2000-49-diagonal-cutting-pliers-angled-head-9-inch")</f>
        <v/>
      </c>
      <c r="C5847" t="inlineStr">
        <is>
          <t>Klein Tools D2000-49 Diagonal Cutting Pliers, Angled Head, 9-Inch</t>
        </is>
      </c>
      <c r="D5847" t="inlineStr">
        <is>
          <t>Klein Tools J2000-48 Pliers, Diagonal Cutting Pliers with Angled Head, Heavy-Duty to Cut ACSR, Screws, Nails, and most Hardened Wire, 8-Inch</t>
        </is>
      </c>
      <c r="E5847" s="2">
        <f>HYPERLINK("https://www.amazon.com/Klein-Tools-J2000-48-Diagonal-Cutters/dp/B0006M6Y8O/ref=sr_1_4?keywords=Klein+Tools+D2000-49+Diagonal+Cutting+Pliers%2C+Angled+Head%2C+9-Inch&amp;qid=1694735245&amp;sr=8-4", "https://www.amazon.com/Klein-Tools-J2000-48-Diagonal-Cutters/dp/B0006M6Y8O/ref=sr_1_4?keywords=Klein+Tools+D2000-49+Diagonal+Cutting+Pliers%2C+Angled+Head%2C+9-Inch&amp;qid=1694735245&amp;sr=8-4")</f>
        <v/>
      </c>
      <c r="F5847" t="inlineStr">
        <is>
          <t>B0006M6Y8O</t>
        </is>
      </c>
      <c r="G5847">
        <f>_xlfn.IMAGE("https://edmondsonsupply.com/cdn/shop/products/d2000-49.jpg?v=1633030811")</f>
        <v/>
      </c>
      <c r="H5847">
        <f>_xlfn.IMAGE("https://m.media-amazon.com/images/I/41ZnJLE+YFL._AC_UL320_.jpg")</f>
        <v/>
      </c>
      <c r="K5847" t="inlineStr">
        <is>
          <t>38.99</t>
        </is>
      </c>
      <c r="L5847" t="n">
        <v>39.99</v>
      </c>
      <c r="M5847" s="1" t="inlineStr">
        <is>
          <t>2.56%</t>
        </is>
      </c>
      <c r="N5847" s="7" t="n"/>
      <c r="O5847" t="n">
        <v>4.8</v>
      </c>
      <c r="P5847" t="n">
        <v>1553</v>
      </c>
      <c r="R5847" t="inlineStr">
        <is>
          <t>InStock</t>
        </is>
      </c>
      <c r="S5847" t="inlineStr">
        <is>
          <t>59.06</t>
        </is>
      </c>
      <c r="T5847" t="inlineStr">
        <is>
          <t>6025094987944</t>
        </is>
      </c>
    </row>
    <row r="5848" hidden="1" ht="15.75" customHeight="1">
      <c r="A5848" s="2">
        <f>HYPERLINK("https://edmondsonsupply.com/collections/electricians-tools/products/klein-tools-66078-flip-impact-socket-adapter-large-1-2-to-1-2-inch", "https://edmondsonsupply.com/collections/electricians-tools/products/klein-tools-66078-flip-impact-socket-adapter-large-1-2-to-1-2-inch")</f>
        <v/>
      </c>
      <c r="B5848" s="2">
        <f>HYPERLINK("https://edmondsonsupply.com/products/klein-tools-66078-flip-impact-socket-adapter-large-1-2-to-1-2-inch", "https://edmondsonsupply.com/products/klein-tools-66078-flip-impact-socket-adapter-large-1-2-to-1-2-inch")</f>
        <v/>
      </c>
      <c r="C5848" t="inlineStr">
        <is>
          <t>Klein Tools 66078 Flip Impact Socket Adapter, Large, 1/2 to 1/2-Inch</t>
        </is>
      </c>
      <c r="D5848" t="inlineStr">
        <is>
          <t>Klein Tools 66079 Impact Flip Socket Adapter, Small 1/4 to 1/4 -Inch Hex Adapter, Use with Klein Tools Flip Impact Socket Set 66070</t>
        </is>
      </c>
      <c r="E5848" s="2">
        <f>HYPERLINK("https://www.amazon.com/Klein-Tools-66079-Impact-Adapter/dp/B0B33WGYX5/ref=sr_1_2?keywords=Klein+Tools+66078+Flip+Impact+Socket+Adapter%2C+Large%2C+1%2F2+to+1%2F2-Inch&amp;qid=1694735127&amp;sr=8-2", "https://www.amazon.com/Klein-Tools-66079-Impact-Adapter/dp/B0B33WGYX5/ref=sr_1_2?keywords=Klein+Tools+66078+Flip+Impact+Socket+Adapter%2C+Large%2C+1%2F2+to+1%2F2-Inch&amp;qid=1694735127&amp;sr=8-2")</f>
        <v/>
      </c>
      <c r="F5848" t="inlineStr">
        <is>
          <t>B0B33WGYX5</t>
        </is>
      </c>
      <c r="G5848">
        <f>_xludf.IMAGE("https://edmondsonsupply.com/cdn/shop/products/66078.jpg?v=1674145294")</f>
        <v/>
      </c>
      <c r="H5848">
        <f>_xludf.IMAGE("https://m.media-amazon.com/images/I/41eZRUf3qGL._AC_UL320_.jpg")</f>
        <v/>
      </c>
      <c r="K5848" t="inlineStr">
        <is>
          <t>9.36</t>
        </is>
      </c>
      <c r="L5848" t="n">
        <v>9.6</v>
      </c>
      <c r="M5848" s="1" t="inlineStr">
        <is>
          <t>2.56%</t>
        </is>
      </c>
      <c r="N5848" s="1" t="n"/>
      <c r="O5848" t="n">
        <v>3.8</v>
      </c>
      <c r="P5848" t="n">
        <v>5</v>
      </c>
      <c r="R5848" t="inlineStr">
        <is>
          <t>InStock</t>
        </is>
      </c>
      <c r="S5848" t="inlineStr">
        <is>
          <t>15.6</t>
        </is>
      </c>
      <c r="T5848" t="inlineStr">
        <is>
          <t>7814086361304</t>
        </is>
      </c>
    </row>
    <row r="5849" hidden="1" ht="15.75" customHeight="1">
      <c r="A5849" s="2">
        <f>HYPERLINK("https://edmondsonsupply.com/collections/electricians-tools/products/klein-tools-sl316-35-5-3-16-inch-slotted-drivers-3-1-2-inch-bit-5-pack", "https://edmondsonsupply.com/collections/electricians-tools/products/klein-tools-sl316-35-5-3-16-inch-slotted-drivers-3-1-2-inch-bit-5-pack")</f>
        <v/>
      </c>
      <c r="B5849" s="2">
        <f>HYPERLINK("https://edmondsonsupply.com/products/klein-tools-sl316-35-5-3-16-inch-slotted-drivers-3-1-2-inch-bit-5-pack", "https://edmondsonsupply.com/products/klein-tools-sl316-35-5-3-16-inch-slotted-drivers-3-1-2-inch-bit-5-pack")</f>
        <v/>
      </c>
      <c r="C5849" t="inlineStr">
        <is>
          <t>Klein Tools SL316-35-5 3/16-Inch Slotted Drivers, 3-1/2-Inch Bit, 5-Pack</t>
        </is>
      </c>
      <c r="D5849" t="inlineStr">
        <is>
          <t>Klein Tools SL14355 1/4-Inch Slotted Power Drivers, 3-1/2-Inch, 5-Pack</t>
        </is>
      </c>
      <c r="E5849" s="2">
        <f>HYPERLINK("https://www.amazon.com/Slotted-Drivers-Klein-Tools-SL14355/dp/B00MU68TWS/ref=sr_1_2?keywords=Klein+Tools+SL316-35-5+3%2F16-Inch+Slotted+Drivers%2C+3-1%2F2-Inch+Bit%2C+5-Pack&amp;qid=1694735336&amp;sr=8-2", "https://www.amazon.com/Slotted-Drivers-Klein-Tools-SL14355/dp/B00MU68TWS/ref=sr_1_2?keywords=Klein+Tools+SL316-35-5+3%2F16-Inch+Slotted+Drivers%2C+3-1%2F2-Inch+Bit%2C+5-Pack&amp;qid=1694735336&amp;sr=8-2")</f>
        <v/>
      </c>
      <c r="F5849" t="inlineStr">
        <is>
          <t>B00MU68TWS</t>
        </is>
      </c>
      <c r="G5849">
        <f>_xludf.IMAGE("https://edmondsonsupply.com/cdn/shop/products/sl316355.jpg?v=1587144978")</f>
        <v/>
      </c>
      <c r="H5849">
        <f>_xludf.IMAGE("https://m.media-amazon.com/images/I/51YB9fb8nVL._AC_UL320_.jpg")</f>
        <v/>
      </c>
      <c r="K5849" t="inlineStr">
        <is>
          <t>12.49</t>
        </is>
      </c>
      <c r="L5849" t="n">
        <v>12.8</v>
      </c>
      <c r="M5849" s="1" t="inlineStr">
        <is>
          <t>2.48%</t>
        </is>
      </c>
      <c r="N5849" s="1" t="n"/>
      <c r="O5849" t="n">
        <v>4.6</v>
      </c>
      <c r="P5849" t="n">
        <v>10</v>
      </c>
      <c r="R5849" t="inlineStr">
        <is>
          <t>InStock</t>
        </is>
      </c>
      <c r="S5849" t="inlineStr">
        <is>
          <t>18.92</t>
        </is>
      </c>
      <c r="T5849" t="inlineStr">
        <is>
          <t>4505586172004</t>
        </is>
      </c>
    </row>
    <row r="5850" hidden="1" ht="15.75" customHeight="1">
      <c r="A5850" s="2">
        <f>HYPERLINK("https://edmondsonsupply.com/collections/electricians-tools/products/klein-tools-sl14-35-5-1-4-inch-slotted-power-drivers-3-1-2-inch-5-pack", "https://edmondsonsupply.com/collections/electricians-tools/products/klein-tools-sl14-35-5-1-4-inch-slotted-power-drivers-3-1-2-inch-5-pack")</f>
        <v/>
      </c>
      <c r="B5850" s="2">
        <f>HYPERLINK("https://edmondsonsupply.com/products/klein-tools-sl14-35-5-1-4-inch-slotted-power-drivers-3-1-2-inch-5-pack", "https://edmondsonsupply.com/products/klein-tools-sl14-35-5-1-4-inch-slotted-power-drivers-3-1-2-inch-5-pack")</f>
        <v/>
      </c>
      <c r="C5850" t="inlineStr">
        <is>
          <t>Klein Tools SL14-35-5 1/4-Inch Slotted Power Drivers, 3-1/2-Inch, 5-Pack</t>
        </is>
      </c>
      <c r="D5850" t="inlineStr">
        <is>
          <t>Klein Tools SL14355 1/4-Inch Slotted Power Drivers, 3-1/2-Inch, 5-Pack</t>
        </is>
      </c>
      <c r="E5850" s="2">
        <f>HYPERLINK("https://www.amazon.com/Slotted-Drivers-Klein-Tools-SL14355/dp/B00MU68TWS/ref=sr_1_1?keywords=Klein+Tools+SL14-35-5+1%2F4-Inch+Slotted+Power+Drivers%2C+3-1%2F2-Inch%2C+5-Pack&amp;qid=1694735339&amp;sr=8-1", "https://www.amazon.com/Slotted-Drivers-Klein-Tools-SL14355/dp/B00MU68TWS/ref=sr_1_1?keywords=Klein+Tools+SL14-35-5+1%2F4-Inch+Slotted+Power+Drivers%2C+3-1%2F2-Inch%2C+5-Pack&amp;qid=1694735339&amp;sr=8-1")</f>
        <v/>
      </c>
      <c r="F5850" t="inlineStr">
        <is>
          <t>B00MU68TWS</t>
        </is>
      </c>
      <c r="G5850">
        <f>_xludf.IMAGE("https://edmondsonsupply.com/cdn/shop/products/sl14355.jpg?v=1587150431")</f>
        <v/>
      </c>
      <c r="H5850">
        <f>_xludf.IMAGE("https://m.media-amazon.com/images/I/51YB9fb8nVL._AC_UL320_.jpg")</f>
        <v/>
      </c>
      <c r="K5850" t="inlineStr">
        <is>
          <t>12.49</t>
        </is>
      </c>
      <c r="L5850" t="n">
        <v>12.8</v>
      </c>
      <c r="M5850" s="1" t="inlineStr">
        <is>
          <t>2.48%</t>
        </is>
      </c>
      <c r="N5850" s="1" t="n"/>
      <c r="O5850" t="n">
        <v>4.6</v>
      </c>
      <c r="P5850" t="n">
        <v>10</v>
      </c>
      <c r="R5850" t="inlineStr">
        <is>
          <t>InStock</t>
        </is>
      </c>
      <c r="S5850" t="inlineStr">
        <is>
          <t>18.92</t>
        </is>
      </c>
      <c r="T5850" t="inlineStr">
        <is>
          <t>4505584762980</t>
        </is>
      </c>
    </row>
    <row r="5851" ht="87" customHeight="1">
      <c r="A5851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5851" s="2">
        <f>HYPERLINK("https://edmondsonsupply.com/products/diablo-tools-dmast1050-5-8-in-x-2-1-16-x-sds-plus-2-cutter", "https://edmondsonsupply.com/products/diablo-tools-dmast1050-5-8-in-x-2-1-16-x-sds-plus-2-cutter")</f>
        <v/>
      </c>
      <c r="C5851" t="inlineStr">
        <is>
          <t>Diablo Tools DMAST1050 5/8 in. x 2-1/16 SDS-Plus 2-Cutter</t>
        </is>
      </c>
      <c r="D5851" t="inlineStr">
        <is>
          <t>Diablo by Freud DMAPL4230 5/8 in. x 10 in. x 12 in. Rebar Demon SDS-Plus 4-Cutter Full Carbide Head Hammer Bit</t>
        </is>
      </c>
      <c r="E5851" s="2">
        <f>HYPERLINK("https://www.amazon.com/Diablo-Freud-DMAPL4230-SDS-Plus-4-Cutter/dp/B089LCN234/ref=sr_1_9?keywords=Diablo+Tools+DMAST1050+5%2F8+in.+x+2-1%2F16+SDS-Plus+2-Cutter&amp;qid=1694735304&amp;sr=8-9", "https://www.amazon.com/Diablo-Freud-DMAPL4230-SDS-Plus-4-Cutter/dp/B089LCN234/ref=sr_1_9?keywords=Diablo+Tools+DMAST1050+5%2F8+in.+x+2-1%2F16+SDS-Plus+2-Cutter&amp;qid=1694735304&amp;sr=8-9")</f>
        <v/>
      </c>
      <c r="F5851" t="inlineStr">
        <is>
          <t>B089LCN234</t>
        </is>
      </c>
      <c r="G5851">
        <f>_xlfn.IMAGE("https://edmondsonsupply.com/cdn/shop/products/DMAST1050_1.jpg?v=1633030363")</f>
        <v/>
      </c>
      <c r="H5851">
        <f>_xlfn.IMAGE("https://m.media-amazon.com/images/I/61r649wmyhL._AC_UL320_.jpg")</f>
        <v/>
      </c>
      <c r="K5851" t="inlineStr">
        <is>
          <t>21.97</t>
        </is>
      </c>
      <c r="L5851" t="n">
        <v>22.51</v>
      </c>
      <c r="M5851" s="1" t="inlineStr">
        <is>
          <t>2.46%</t>
        </is>
      </c>
      <c r="N5851" s="7" t="n"/>
      <c r="O5851" t="n">
        <v>4.7</v>
      </c>
      <c r="P5851" t="n">
        <v>47</v>
      </c>
      <c r="R5851" t="inlineStr">
        <is>
          <t>InStock</t>
        </is>
      </c>
      <c r="S5851" t="inlineStr">
        <is>
          <t>29.12</t>
        </is>
      </c>
      <c r="T5851" t="inlineStr">
        <is>
          <t>5286938869928</t>
        </is>
      </c>
    </row>
    <row r="5852" ht="87" customHeight="1">
      <c r="A5852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5852" s="2">
        <f>HYPERLINK("https://edmondsonsupply.com/products/klein-tools-51608-1-2-inch-iron-conduit-bender-head", "https://edmondsonsupply.com/products/klein-tools-51608-1-2-inch-iron-conduit-bender-head")</f>
        <v/>
      </c>
      <c r="C5852" t="inlineStr">
        <is>
          <t>Klein Tools 51608 1/2-inch Iron Conduit Bender Head</t>
        </is>
      </c>
      <c r="D5852" t="inlineStr">
        <is>
          <t>Klein Tools 51608 Iron Conduit Bender Head, for 1/2-Inch EMT, Compatible with Klein Tools Angle Setter (Cat. No. 51611)</t>
        </is>
      </c>
      <c r="E5852" s="2">
        <f>HYPERLINK("https://www.amazon.com/Conduit-Compatible-Klein-Tools-51608/dp/B08VYJMT3R/ref=sr_1_1?keywords=Klein+Tools+51608+1%2F2-inch+Iron+Conduit+Bender+Head&amp;qid=1694735173&amp;sr=8-1", "https://www.amazon.com/Conduit-Compatible-Klein-Tools-51608/dp/B08VYJMT3R/ref=sr_1_1?keywords=Klein+Tools+51608+1%2F2-inch+Iron+Conduit+Bender+Head&amp;qid=1694735173&amp;sr=8-1")</f>
        <v/>
      </c>
      <c r="F5852" t="inlineStr">
        <is>
          <t>B08VYJMT3R</t>
        </is>
      </c>
      <c r="G5852">
        <f>_xlfn.IMAGE("https://edmondsonsupply.com/cdn/shop/products/51608.jpg?v=1643679335")</f>
        <v/>
      </c>
      <c r="H5852">
        <f>_xlfn.IMAGE("https://m.media-amazon.com/images/I/61mnVTiX18L._AC_UL320_.jpg")</f>
        <v/>
      </c>
      <c r="K5852" t="inlineStr">
        <is>
          <t>39.99</t>
        </is>
      </c>
      <c r="L5852" t="n">
        <v>40.91</v>
      </c>
      <c r="M5852" s="1" t="inlineStr">
        <is>
          <t>2.30%</t>
        </is>
      </c>
      <c r="N5852" s="7" t="n"/>
      <c r="O5852" t="n">
        <v>4.3</v>
      </c>
      <c r="P5852" t="n">
        <v>17</v>
      </c>
      <c r="R5852" t="inlineStr">
        <is>
          <t>InStock</t>
        </is>
      </c>
      <c r="S5852" t="inlineStr">
        <is>
          <t>60.66</t>
        </is>
      </c>
      <c r="T5852" t="inlineStr">
        <is>
          <t>7597417693400</t>
        </is>
      </c>
    </row>
    <row r="5853" hidden="1" ht="15.75" customHeight="1">
      <c r="A5853" s="2">
        <f>HYPERLINK("https://edmondsonsupply.com/collections/electricians-tools/products/fluke-80pk-1-bead-probe", "https://edmondsonsupply.com/collections/electricians-tools/products/fluke-80pk-1-bead-probe")</f>
        <v/>
      </c>
      <c r="B5853" s="2">
        <f>HYPERLINK("https://edmondsonsupply.com/products/fluke-80pk-1-bead-probe", "https://edmondsonsupply.com/products/fluke-80pk-1-bead-probe")</f>
        <v/>
      </c>
      <c r="C5853" t="inlineStr">
        <is>
          <t>Fluke 80PK-1 Bead Probe</t>
        </is>
      </c>
      <c r="D5853" t="inlineStr">
        <is>
          <t>Fluke 80PK-11 Type-K Velcro Thermocouple Temperature Probe</t>
        </is>
      </c>
      <c r="E5853" s="2">
        <f>HYPERLINK("https://www.amazon.com/Fluke-80PK-11-Type-K-Thermocouple-Temperature/dp/B000R81U3G/ref=sr_1_9?keywords=Fluke+80PK-1+Bead+Probe&amp;qid=1694735184&amp;sr=8-9", "https://www.amazon.com/Fluke-80PK-11-Type-K-Thermocouple-Temperature/dp/B000R81U3G/ref=sr_1_9?keywords=Fluke+80PK-1+Bead+Probe&amp;qid=1694735184&amp;sr=8-9")</f>
        <v/>
      </c>
      <c r="F5853" t="inlineStr">
        <is>
          <t>B000R81U3G</t>
        </is>
      </c>
      <c r="G5853">
        <f>_xludf.IMAGE("https://edmondsonsupply.com/cdn/shop/products/80pk-1a.png?v=1633466414")</f>
        <v/>
      </c>
      <c r="H5853">
        <f>_xludf.IMAGE("https://m.media-amazon.com/images/I/51HSoQzN4JL._AC_UY218_.jpg")</f>
        <v/>
      </c>
      <c r="K5853" t="inlineStr">
        <is>
          <t>56.99</t>
        </is>
      </c>
      <c r="L5853" t="n">
        <v>58.3</v>
      </c>
      <c r="M5853" s="1" t="inlineStr">
        <is>
          <t>2.30%</t>
        </is>
      </c>
      <c r="N5853" s="1" t="n"/>
      <c r="O5853" t="n">
        <v>3.7</v>
      </c>
      <c r="P5853" t="n">
        <v>19</v>
      </c>
      <c r="R5853" t="inlineStr">
        <is>
          <t>InStock</t>
        </is>
      </c>
      <c r="S5853" t="inlineStr">
        <is>
          <t>59.99</t>
        </is>
      </c>
      <c r="T5853" t="inlineStr">
        <is>
          <t>6995087130797</t>
        </is>
      </c>
    </row>
    <row r="5854" hidden="1" ht="15.75" customHeight="1">
      <c r="A5854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5854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5854" t="inlineStr">
        <is>
          <t>Diablo Tools DMARG1150 1/2 in. x 4 in. x 6 in. SPEEDemon™ Red Granite Carbide Tipped Hammer Drill Bit</t>
        </is>
      </c>
      <c r="D5854" t="inlineStr">
        <is>
          <t>Diablo by Freud DMARG1150 1/2 in. x 4 in. x 6 in. SPEEDemon Red Granite Carbide Tipped Hammer Drill Bit</t>
        </is>
      </c>
      <c r="E5854" s="2">
        <f>HYPERLINK("https://www.amazon.com/Diablo-Freud-DMARG1150-SPEEDemon-Granite/dp/B089LKXD71/ref=sr_1_1?keywords=Diablo+Tools+DMARG1150+1%2F2+in.+x+4+in.+x+6+in.+SPEEDemon%E2%84%A2+Red+Granite+Carbide+Tipped+Hammer+Drill+Bit&amp;qid=1694735282&amp;sr=8-1", "https://www.amazon.com/Diablo-Freud-DMARG1150-SPEEDemon-Granite/dp/B089LKXD71/ref=sr_1_1?keywords=Diablo+Tools+DMARG1150+1%2F2+in.+x+4+in.+x+6+in.+SPEEDemon%E2%84%A2+Red+Granite+Carbide+Tipped+Hammer+Drill+Bit&amp;qid=1694735282&amp;sr=8-1")</f>
        <v/>
      </c>
      <c r="F5854" t="inlineStr">
        <is>
          <t>B089LKXD71</t>
        </is>
      </c>
      <c r="G5854">
        <f>_xludf.IMAGE("https://edmondsonsupply.com/cdn/shop/products/DMARG1150_Main-Image20200702.png?v=1633030510")</f>
        <v/>
      </c>
      <c r="H5854">
        <f>_xludf.IMAGE("https://m.media-amazon.com/images/I/61Irr3Gr9YL._AC_UL320_.jpg")</f>
        <v/>
      </c>
      <c r="K5854" t="inlineStr">
        <is>
          <t>9.97</t>
        </is>
      </c>
      <c r="L5854" t="n">
        <v>10.19</v>
      </c>
      <c r="M5854" s="1" t="inlineStr">
        <is>
          <t>2.21%</t>
        </is>
      </c>
      <c r="N5854" s="1" t="n"/>
      <c r="O5854" t="n">
        <v>4.3</v>
      </c>
      <c r="P5854" t="n">
        <v>19</v>
      </c>
      <c r="R5854" t="inlineStr">
        <is>
          <t>InStock</t>
        </is>
      </c>
      <c r="S5854" t="inlineStr">
        <is>
          <t>undefined</t>
        </is>
      </c>
      <c r="T5854" t="inlineStr">
        <is>
          <t>5386513907880</t>
        </is>
      </c>
    </row>
    <row r="5855" ht="87" customHeight="1">
      <c r="A5855" s="2">
        <f>HYPERLINK("https://edmondsonsupply.com/collections/electricians-tools/products/greenlee-7238sb-slug-buster%C2%AE-1-2-2-knockout-kit-with-ratchet", "https://edmondsonsupply.com/collections/electricians-tools/products/greenlee-7238sb-slug-buster%C2%AE-1-2-2-knockout-kit-with-ratchet")</f>
        <v/>
      </c>
      <c r="B5855" s="2">
        <f>HYPERLINK("https://edmondsonsupply.com/products/greenlee-7238sb-slug-buster%c2%ae-1-2-2-knockout-kit-with-ratchet", "https://edmondsonsupply.com/products/greenlee-7238sb-slug-buster%c2%ae-1-2-2-knockout-kit-with-ratchet")</f>
        <v/>
      </c>
      <c r="C5855" t="inlineStr">
        <is>
          <t>Greenlee 7238SB Slug-Buster® 1/2" - 2" Knockout Kit with Ratchet</t>
        </is>
      </c>
      <c r="D5855" t="inlineStr">
        <is>
          <t>Greenlee 7238SB Slug-Buster Knockout Punch Kit with Hex Ratchet Wrench, 1/2" - 2"</t>
        </is>
      </c>
      <c r="E5855" s="2">
        <f>HYPERLINK("https://www.amazon.com/Greenlee-7238SB-Slug-Buster-Knockout-Ratchet/dp/B000LDGN5C/ref=sr_1_1?keywords=Greenlee+7238SB+Slug-Buster%C2%AE+1%2F2%22+-+2%22+Knockout+Kit+with+Ratchet&amp;qid=1694735389&amp;sr=8-1", "https://www.amazon.com/Greenlee-7238SB-Slug-Buster-Knockout-Ratchet/dp/B000LDGN5C/ref=sr_1_1?keywords=Greenlee+7238SB+Slug-Buster%C2%AE+1%2F2%22+-+2%22+Knockout+Kit+with+Ratchet&amp;qid=1694735389&amp;sr=8-1")</f>
        <v/>
      </c>
      <c r="F5855" t="inlineStr">
        <is>
          <t>B000LDGN5C</t>
        </is>
      </c>
      <c r="G5855">
        <f>_xlfn.IMAGE("https://edmondsonsupply.com/cdn/shop/products/7238SB-CAT1.jpg?v=1587150226")</f>
        <v/>
      </c>
      <c r="H5855">
        <f>_xlfn.IMAGE("https://m.media-amazon.com/images/I/91M3i7xL8lL._AC_UL320_.jpg")</f>
        <v/>
      </c>
      <c r="K5855" t="inlineStr">
        <is>
          <t>376.32</t>
        </is>
      </c>
      <c r="L5855" t="n">
        <v>384.32</v>
      </c>
      <c r="M5855" s="1" t="inlineStr">
        <is>
          <t>2.13%</t>
        </is>
      </c>
      <c r="N5855" s="7" t="n"/>
      <c r="O5855" t="n">
        <v>4.6</v>
      </c>
      <c r="P5855" t="n">
        <v>298</v>
      </c>
      <c r="R5855" t="inlineStr">
        <is>
          <t>InStock</t>
        </is>
      </c>
      <c r="S5855" t="inlineStr">
        <is>
          <t>448.0</t>
        </is>
      </c>
      <c r="T5855" t="inlineStr">
        <is>
          <t>4430553743460</t>
        </is>
      </c>
    </row>
    <row r="5856" hidden="1" ht="15.75" customHeight="1">
      <c r="A5856" s="2">
        <f>HYPERLINK("https://edmondsonsupply.com/collections/electricians-tools/products/klein-tools-jth4e08-1-8-inch-hex-key-journeyman-t-handle-4-inch", "https://edmondsonsupply.com/collections/electricians-tools/products/klein-tools-jth4e08-1-8-inch-hex-key-journeyman-t-handle-4-inch")</f>
        <v/>
      </c>
      <c r="B5856" s="2">
        <f>HYPERLINK("https://edmondsonsupply.com/products/klein-tools-jth4e08-1-8-inch-hex-key-journeyman-t-handle-4-inch", "https://edmondsonsupply.com/products/klein-tools-jth4e08-1-8-inch-hex-key-journeyman-t-handle-4-inch")</f>
        <v/>
      </c>
      <c r="C5856" t="inlineStr">
        <is>
          <t>Klein Tools JTH4E08 1/8-Inch Hex Key, Journeyman T-Handle, 4-Inch</t>
        </is>
      </c>
      <c r="D5856" t="inlineStr">
        <is>
          <t>Klein Tools JTH4E08 1/8-Inch Hex Key with Journeyman T-Handle, 4-Inch</t>
        </is>
      </c>
      <c r="E5856" s="2">
        <f>HYPERLINK("https://www.amazon.com/Klein-Tools-JTH4E08-Journeyman-T-Handle/dp/B004ITRDJ0/ref=sr_1_1?keywords=Klein+Tools+JTH4E08+1%2F8-Inch+Hex+Key%2C+Journeyman+T-Handle%2C+4-Inch&amp;qid=1694735164&amp;sr=8-1", "https://www.amazon.com/Klein-Tools-JTH4E08-Journeyman-T-Handle/dp/B004ITRDJ0/ref=sr_1_1?keywords=Klein+Tools+JTH4E08+1%2F8-Inch+Hex+Key%2C+Journeyman+T-Handle%2C+4-Inch&amp;qid=1694735164&amp;sr=8-1")</f>
        <v/>
      </c>
      <c r="F5856" t="inlineStr">
        <is>
          <t>B004ITRDJ0</t>
        </is>
      </c>
      <c r="G5856">
        <f>_xludf.IMAGE("https://edmondsonsupply.com/cdn/shop/products/jth4e06_0950e3ec-22b0-4cdd-acd1-822980009e67.jpg?v=1645564818")</f>
        <v/>
      </c>
      <c r="H5856">
        <f>_xludf.IMAGE("https://m.media-amazon.com/images/I/41qPlbWa2FL._AC_UL320_.jpg")</f>
        <v/>
      </c>
      <c r="K5856" t="inlineStr">
        <is>
          <t>3.79</t>
        </is>
      </c>
      <c r="L5856" t="n">
        <v>3.87</v>
      </c>
      <c r="M5856" s="1" t="inlineStr">
        <is>
          <t>2.11%</t>
        </is>
      </c>
      <c r="N5856" s="1" t="n"/>
      <c r="O5856" t="n">
        <v>4.8</v>
      </c>
      <c r="P5856" t="n">
        <v>2477</v>
      </c>
      <c r="R5856" t="inlineStr">
        <is>
          <t>InStock</t>
        </is>
      </c>
      <c r="S5856" t="inlineStr">
        <is>
          <t>5.74</t>
        </is>
      </c>
      <c r="T5856" t="inlineStr">
        <is>
          <t>7614347509976</t>
        </is>
      </c>
    </row>
    <row r="5857" ht="87" customHeight="1">
      <c r="A5857" s="2">
        <f>HYPERLINK("https://edmondsonsupply.com/collections/electricians-tools/products/diablo-tools-dmapl2220-p25-3-8-in-x-4-in-x-6-in-sds-plus-2-cutter", "https://edmondsonsupply.com/collections/electricians-tools/products/diablo-tools-dmapl2220-p25-3-8-in-x-4-in-x-6-in-sds-plus-2-cutter")</f>
        <v/>
      </c>
      <c r="B5857" s="2">
        <f>HYPERLINK("https://edmondsonsupply.com/products/diablo-tools-dmapl2220-p25-3-8-in-x-4-in-x-6-in-sds-plus-2-cutter", "https://edmondsonsupply.com/products/diablo-tools-dmapl2220-p25-3-8-in-x-4-in-x-6-in-sds-plus-2-cutter")</f>
        <v/>
      </c>
      <c r="C5857" t="inlineStr">
        <is>
          <t>Diablo Tools DMAPL2220-P25 3/8 in. x 4 in. x 6 in. SDS-Plus 2-Cutter (25 pack)</t>
        </is>
      </c>
      <c r="D5857" t="inlineStr">
        <is>
          <t>Diablo by Freud DMAPL4180-P25 1/2 in. x 4 in. x 6 in. Rebar Demon SDS-Plus 4-Cutter Full Carbide Head Hammer Bit (25-Pack) Multi, One Size</t>
        </is>
      </c>
      <c r="E5857" s="2">
        <f>HYPERLINK("https://www.amazon.com/Diablo-Rebar-4-Cutter-Carbide-Hammer/dp/B089LGWV7F/ref=sr_1_21?keywords=Diablo+Tools+DMAPL2220-P25+3%2F8+in.+x+4+in.+x+6+in.+SDS-Plus+2-Cutter+%2825+pack%29&amp;qid=1694735313&amp;sr=8-21", "https://www.amazon.com/Diablo-Rebar-4-Cutter-Carbide-Hammer/dp/B089LGWV7F/ref=sr_1_21?keywords=Diablo+Tools+DMAPL2220-P25+3%2F8+in.+x+4+in.+x+6+in.+SDS-Plus+2-Cutter+%2825+pack%29&amp;qid=1694735313&amp;sr=8-21")</f>
        <v/>
      </c>
      <c r="F5857" t="inlineStr">
        <is>
          <t>B089LGWV7F</t>
        </is>
      </c>
      <c r="G5857">
        <f>_xlfn.IMAGE("https://edmondsonsupply.com/cdn/shop/products/DMAPL2220.jpg?v=1633030349")</f>
        <v/>
      </c>
      <c r="H5857">
        <f>_xlfn.IMAGE("https://m.media-amazon.com/images/I/61q9iw+mKpL._AC_UL320_.jpg")</f>
        <v/>
      </c>
      <c r="K5857" t="inlineStr">
        <is>
          <t>97.97</t>
        </is>
      </c>
      <c r="L5857" t="n">
        <v>99.98999999999999</v>
      </c>
      <c r="M5857" s="1" t="inlineStr">
        <is>
          <t>2.06%</t>
        </is>
      </c>
      <c r="N5857" s="7" t="n"/>
      <c r="O5857" t="n">
        <v>5</v>
      </c>
      <c r="P5857" t="n">
        <v>2</v>
      </c>
      <c r="R5857" t="inlineStr">
        <is>
          <t>InStock</t>
        </is>
      </c>
      <c r="S5857" t="inlineStr">
        <is>
          <t>140.84</t>
        </is>
      </c>
      <c r="T5857" t="inlineStr">
        <is>
          <t>5283050061992</t>
        </is>
      </c>
    </row>
    <row r="5858" ht="87" customHeight="1">
      <c r="A5858" s="2">
        <f>HYPERLINK("https://edmondsonsupply.com/collections/electricians-tools/products/klein-tools-56341-stainless-steel-fish-tape-1-8-inch-x-240-foot", "https://edmondsonsupply.com/collections/electricians-tools/products/klein-tools-56341-stainless-steel-fish-tape-1-8-inch-x-240-foot")</f>
        <v/>
      </c>
      <c r="B5858" s="2">
        <f>HYPERLINK("https://edmondsonsupply.com/products/klein-tools-56341-stainless-steel-fish-tape-1-8-inch-x-240-foot", "https://edmondsonsupply.com/products/klein-tools-56341-stainless-steel-fish-tape-1-8-inch-x-240-foot")</f>
        <v/>
      </c>
      <c r="C5858" t="inlineStr">
        <is>
          <t>Klein Tools 56341 Stainless Steel Fish Tape, 1/8-Inch x 240-Foot</t>
        </is>
      </c>
      <c r="D5858" t="inlineStr">
        <is>
          <t>Klein Tools 56004 Fish Tape, 240-Foot Long x 1/8-Inch Wide Steel Pull Line for Heavy Duty Wire Pulls, Updated Model Cat. No. 56334 Available</t>
        </is>
      </c>
      <c r="E5858" s="2">
        <f>HYPERLINK("https://www.amazon.com/240-Foot-Measuring-Klein-Tools-56004/dp/B0026TDB5Y/ref=sr_1_3?keywords=Klein+Tools+56341+Stainless+Steel+Fish+Tape%2C+1%2F8-Inch+x+240-Foot&amp;qid=1694735094&amp;sr=8-3", "https://www.amazon.com/240-Foot-Measuring-Klein-Tools-56004/dp/B0026TDB5Y/ref=sr_1_3?keywords=Klein+Tools+56341+Stainless+Steel+Fish+Tape%2C+1%2F8-Inch+x+240-Foot&amp;qid=1694735094&amp;sr=8-3")</f>
        <v/>
      </c>
      <c r="F5858" t="inlineStr">
        <is>
          <t>B0026TDB5Y</t>
        </is>
      </c>
      <c r="G5858">
        <f>_xlfn.IMAGE("https://edmondsonsupply.com/cdn/shop/products/56341.jpg?v=1666901345")</f>
        <v/>
      </c>
      <c r="H5858">
        <f>_xlfn.IMAGE("https://m.media-amazon.com/images/I/61YlVKsUkcL._AC_UL320_.jpg")</f>
        <v/>
      </c>
      <c r="K5858" t="inlineStr">
        <is>
          <t>114.99</t>
        </is>
      </c>
      <c r="L5858" t="n">
        <v>117.35</v>
      </c>
      <c r="M5858" s="1" t="inlineStr">
        <is>
          <t>2.05%</t>
        </is>
      </c>
      <c r="N5858" s="7" t="n"/>
      <c r="O5858" t="n">
        <v>4.1</v>
      </c>
      <c r="P5858" t="n">
        <v>81</v>
      </c>
      <c r="R5858" t="inlineStr">
        <is>
          <t>InStock</t>
        </is>
      </c>
      <c r="S5858" t="inlineStr">
        <is>
          <t>168.08</t>
        </is>
      </c>
      <c r="T5858" t="inlineStr">
        <is>
          <t>7867914944728</t>
        </is>
      </c>
    </row>
    <row r="5859" ht="87" customHeight="1">
      <c r="A5859" s="2">
        <f>HYPERLINK("https://edmondsonsupply.com/collections/electricians-tools/products/klein-tools-58890-17-pocket-tool-tote-with-shoulder-strap", "https://edmondsonsupply.com/collections/electricians-tools/products/klein-tools-58890-17-pocket-tool-tote-with-shoulder-strap")</f>
        <v/>
      </c>
      <c r="B5859" s="2">
        <f>HYPERLINK("https://edmondsonsupply.com/products/klein-tools-58890-17-pocket-tool-tote-with-shoulder-strap", "https://edmondsonsupply.com/products/klein-tools-58890-17-pocket-tool-tote-with-shoulder-strap")</f>
        <v/>
      </c>
      <c r="C5859" t="inlineStr">
        <is>
          <t>Klein Tools 58890 17 Pocket Tool Tote with Shoulder Strap</t>
        </is>
      </c>
      <c r="D5859" t="inlineStr">
        <is>
          <t>Klein Tools 510218SPBLK Tool Bag, Large 18-Inch Deluxe Canvas Tool Bag and Organizer with 13 Pockets and Shoulder Strap, Black</t>
        </is>
      </c>
      <c r="E5859" s="2">
        <f>HYPERLINK("https://www.amazon.com/Klein-Tools-Deluxe-Canvas-18-Inch/dp/B07VB168TG/ref=sr_1_8?keywords=Klein+Tools+58890+17+Pocket+Tool+Tote+with+Shoulder+Strap&amp;qid=1694735362&amp;sr=8-8", "https://www.amazon.com/Klein-Tools-Deluxe-Canvas-18-Inch/dp/B07VB168TG/ref=sr_1_8?keywords=Klein+Tools+58890+17+Pocket+Tool+Tote+with+Shoulder+Strap&amp;qid=1694735362&amp;sr=8-8")</f>
        <v/>
      </c>
      <c r="F5859" t="inlineStr">
        <is>
          <t>B07VB168TG</t>
        </is>
      </c>
      <c r="G5859">
        <f>_xlfn.IMAGE("https://edmondsonsupply.com/cdn/shop/products/58890.jpg?v=1587148627")</f>
        <v/>
      </c>
      <c r="H5859">
        <f>_xlfn.IMAGE("https://m.media-amazon.com/images/I/71FluabrW6L._AC_UL320_.jpg")</f>
        <v/>
      </c>
      <c r="K5859" t="inlineStr">
        <is>
          <t>97.99</t>
        </is>
      </c>
      <c r="L5859" t="n">
        <v>99.98999999999999</v>
      </c>
      <c r="M5859" s="1" t="inlineStr">
        <is>
          <t>2.04%</t>
        </is>
      </c>
      <c r="N5859" s="7" t="n"/>
      <c r="O5859" t="n">
        <v>4.7</v>
      </c>
      <c r="P5859" t="n">
        <v>657</v>
      </c>
      <c r="R5859" t="inlineStr">
        <is>
          <t>InStock</t>
        </is>
      </c>
      <c r="S5859" t="inlineStr">
        <is>
          <t>148.48</t>
        </is>
      </c>
      <c r="T5859" t="inlineStr">
        <is>
          <t>4432350740580</t>
        </is>
      </c>
    </row>
    <row r="5860" ht="87" customHeight="1">
      <c r="A5860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5860" s="2">
        <f>HYPERLINK("https://edmondsonsupply.com/products/diablo-tools-dag3090-7-8-in-x-17-1-2-in-auger-bit", "https://edmondsonsupply.com/products/diablo-tools-dag3090-7-8-in-x-17-1-2-in-auger-bit")</f>
        <v/>
      </c>
      <c r="C5860" t="inlineStr">
        <is>
          <t>Diablo Tools DAG3090 7/8 in. x 17-1/2 in. Auger Bit</t>
        </is>
      </c>
      <c r="D5860" t="inlineStr">
        <is>
          <t>Diablo 1/2 in. x 17-1/2 in. Auger Bit</t>
        </is>
      </c>
      <c r="E5860" s="2">
        <f>HYPERLINK("https://www.amazon.com/Diablo-Freud-DAG3030-17-1-Auger/dp/B089KVBK8P/ref=sr_1_4?keywords=Diablo+Tools+DAG3090+7%2F8+in.+x+17-1%2F2+in.+Auger+Bit&amp;qid=1694735031&amp;sr=8-4", "https://www.amazon.com/Diablo-Freud-DAG3030-17-1-Auger/dp/B089KVBK8P/ref=sr_1_4?keywords=Diablo+Tools+DAG3090+7%2F8+in.+x+17-1%2F2+in.+Auger+Bit&amp;qid=1694735031&amp;sr=8-4")</f>
        <v/>
      </c>
      <c r="F5860" t="inlineStr">
        <is>
          <t>B089KVBK8P</t>
        </is>
      </c>
      <c r="G5860">
        <f>_xlfn.IMAGE("https://edmondsonsupply.com/cdn/shop/products/aorgtpkivjubhtbiiau0.webp?v=1677256849")</f>
        <v/>
      </c>
      <c r="H5860">
        <f>_xlfn.IMAGE("https://m.media-amazon.com/images/I/61gYTsV7rCL._AC_UL320_.jpg")</f>
        <v/>
      </c>
      <c r="K5860" t="inlineStr">
        <is>
          <t>22.99</t>
        </is>
      </c>
      <c r="L5860" t="n">
        <v>23.45</v>
      </c>
      <c r="M5860" s="1" t="inlineStr">
        <is>
          <t>2.00%</t>
        </is>
      </c>
      <c r="N5860" s="7" t="n"/>
      <c r="O5860" t="n">
        <v>4.4</v>
      </c>
      <c r="P5860" t="n">
        <v>12</v>
      </c>
      <c r="R5860" t="inlineStr">
        <is>
          <t>InStock</t>
        </is>
      </c>
      <c r="S5860" t="inlineStr">
        <is>
          <t>36.28</t>
        </is>
      </c>
      <c r="T5860" t="inlineStr">
        <is>
          <t>7950782136536</t>
        </is>
      </c>
    </row>
    <row r="5861" hidden="1" ht="15.75" customHeight="1">
      <c r="A5861" s="2">
        <f>HYPERLINK("https://edmondsonsupply.com/collections/electricians-tools/products/reed-mfg-dhr12-1npt-r12-drophead-1-npt", "https://edmondsonsupply.com/collections/electricians-tools/products/reed-mfg-dhr12-1npt-r12-drophead-1-npt")</f>
        <v/>
      </c>
      <c r="B5861" s="2">
        <f>HYPERLINK("https://edmondsonsupply.com/products/reed-mfg-dhr12-1npt-r12-drophead-1-npt", "https://edmondsonsupply.com/products/reed-mfg-dhr12-1npt-r12-drophead-1-npt")</f>
        <v/>
      </c>
      <c r="C5861" t="inlineStr">
        <is>
          <t>Reed Mfg DHR12 1NPT R12+ Drophead, 1" NPT</t>
        </is>
      </c>
      <c r="D5861" t="inlineStr">
        <is>
          <t>Reed Tool DHR12 1NPT R12+ Drophead, 1-Inch NPT</t>
        </is>
      </c>
      <c r="E5861" s="2">
        <f>HYPERLINK("https://www.amazon.com/Reed-Tool-DHR12-1NPT-Drophead/dp/B000ZGZ0PY/ref=sr_1_1?keywords=Reed+Mfg+DHR12+1NPT+R12%2B+Drophead%2C+1%22+NPT&amp;qid=1694735213&amp;sr=8-1", "https://www.amazon.com/Reed-Tool-DHR12-1NPT-Drophead/dp/B000ZGZ0PY/ref=sr_1_1?keywords=Reed+Mfg+DHR12+1NPT+R12%2B+Drophead%2C+1%22+NPT&amp;qid=1694735213&amp;sr=8-1")</f>
        <v/>
      </c>
      <c r="F5861" t="inlineStr">
        <is>
          <t>B000ZGZ0PY</t>
        </is>
      </c>
      <c r="G5861">
        <f>_xludf.IMAGE("https://edmondsonsupply.com/cdn/shop/products/05630-DHR12-1NPT-RGB.jpg?v=1633031013")</f>
        <v/>
      </c>
      <c r="H5861">
        <f>_xludf.IMAGE("https://m.media-amazon.com/images/I/61ePWvUMWkL._AC_UY218_.jpg")</f>
        <v/>
      </c>
      <c r="K5861" t="inlineStr">
        <is>
          <t>154.86</t>
        </is>
      </c>
      <c r="L5861" t="n">
        <v>157.93</v>
      </c>
      <c r="M5861" s="1" t="inlineStr">
        <is>
          <t>1.98%</t>
        </is>
      </c>
      <c r="N5861" s="1" t="n"/>
      <c r="O5861" t="n">
        <v>1</v>
      </c>
      <c r="P5861" t="n">
        <v>1</v>
      </c>
      <c r="R5861" t="inlineStr">
        <is>
          <t>InStock</t>
        </is>
      </c>
      <c r="S5861" t="inlineStr">
        <is>
          <t>179.13</t>
        </is>
      </c>
      <c r="T5861" t="inlineStr">
        <is>
          <t>6698083811501</t>
        </is>
      </c>
    </row>
    <row r="5862" ht="87" customHeight="1">
      <c r="A5862" s="2">
        <f>HYPERLINK("https://edmondsonsupply.com/collections/electricians-tools/products/klein-tools-29026-li-ion-battery", "https://edmondsonsupply.com/collections/electricians-tools/products/klein-tools-29026-li-ion-battery")</f>
        <v/>
      </c>
      <c r="B5862" s="2">
        <f>HYPERLINK("https://edmondsonsupply.com/products/klein-tools-29026-li-ion-battery", "https://edmondsonsupply.com/products/klein-tools-29026-li-ion-battery")</f>
        <v/>
      </c>
      <c r="C5862" t="inlineStr">
        <is>
          <t>Klein Tools 29026 Li-Ion Battery</t>
        </is>
      </c>
      <c r="D5862" t="inlineStr">
        <is>
          <t>Klein Tools 29026 Rechargeable Li-ion Battery, 3.7V 10400 mAh Battery, for Klein Tools Self-Leveling Laser Level Cat. No. 93PLL</t>
        </is>
      </c>
      <c r="E5862" s="2">
        <f>HYPERLINK("https://www.amazon.com/Klein-Tools-29026-Rechargeable-Self-Leveling/dp/B09C6SDHXS/ref=sr_1_1?keywords=Klein+Tools+29026+Li-Ion+Battery&amp;qid=1694735116&amp;sr=8-1", "https://www.amazon.com/Klein-Tools-29026-Rechargeable-Self-Leveling/dp/B09C6SDHXS/ref=sr_1_1?keywords=Klein+Tools+29026+Li-Ion+Battery&amp;qid=1694735116&amp;sr=8-1")</f>
        <v/>
      </c>
      <c r="F5862" t="inlineStr">
        <is>
          <t>B09C6SDHXS</t>
        </is>
      </c>
      <c r="G5862">
        <f>_xlfn.IMAGE("https://edmondsonsupply.com/cdn/shop/products/29026.jpg?v=1664476716")</f>
        <v/>
      </c>
      <c r="H5862">
        <f>_xlfn.IMAGE("https://m.media-amazon.com/images/I/41nEzSxwfXL._AC_UL320_.jpg")</f>
        <v/>
      </c>
      <c r="K5862" t="inlineStr">
        <is>
          <t>51.99</t>
        </is>
      </c>
      <c r="L5862" t="n">
        <v>52.99</v>
      </c>
      <c r="M5862" s="1" t="inlineStr">
        <is>
          <t>1.92%</t>
        </is>
      </c>
      <c r="N5862" s="7" t="n"/>
      <c r="O5862" t="n">
        <v>5</v>
      </c>
      <c r="P5862" t="n">
        <v>6</v>
      </c>
      <c r="R5862" t="inlineStr">
        <is>
          <t>InStock</t>
        </is>
      </c>
      <c r="S5862" t="inlineStr">
        <is>
          <t>72.8</t>
        </is>
      </c>
      <c r="T5862" t="inlineStr">
        <is>
          <t>7833819250904</t>
        </is>
      </c>
    </row>
    <row r="5863" ht="87" customHeight="1">
      <c r="A5863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863" s="2">
        <f>HYPERLINK("https://edmondsonsupply.com/products/klein-tools-635-1-2-1-2-inch-heavy-duty-nut-driver", "https://edmondsonsupply.com/products/klein-tools-635-1-2-1-2-inch-heavy-duty-nut-driver")</f>
        <v/>
      </c>
      <c r="C5863" t="inlineStr">
        <is>
          <t>Klein Tools 635-1/2 1/2-Inch Heavy-Duty Nut Driver</t>
        </is>
      </c>
      <c r="D5863" t="inlineStr">
        <is>
          <t>Klein Tools 65064 Hex Head 2-in-1 Nut Driver, 1/4-Inch and 5/16-Inch</t>
        </is>
      </c>
      <c r="E5863" s="2">
        <f>HYPERLINK("https://www.amazon.com/Driver-16-Inch-Klein-Tools-65064/dp/B01N2S3D09/ref=sr_1_19?keywords=Klein+Tools+635-1%2F2+1%2F2-Inch+Heavy-Duty+Nut+Driver&amp;qid=1694735353&amp;sr=8-19", "https://www.amazon.com/Driver-16-Inch-Klein-Tools-65064/dp/B01N2S3D09/ref=sr_1_19?keywords=Klein+Tools+635-1%2F2+1%2F2-Inch+Heavy-Duty+Nut+Driver&amp;qid=1694735353&amp;sr=8-19")</f>
        <v/>
      </c>
      <c r="F5863" t="inlineStr">
        <is>
          <t>B01N2S3D09</t>
        </is>
      </c>
      <c r="G5863">
        <f>_xlfn.IMAGE("https://edmondsonsupply.com/cdn/shop/products/635-1-2.jpg?v=1587147726")</f>
        <v/>
      </c>
      <c r="H5863">
        <f>_xlfn.IMAGE("https://m.media-amazon.com/images/I/51WqGb8KzpL._AC_UL320_.jpg")</f>
        <v/>
      </c>
      <c r="K5863" t="inlineStr">
        <is>
          <t>14.99</t>
        </is>
      </c>
      <c r="L5863" t="n">
        <v>15.27</v>
      </c>
      <c r="M5863" s="1" t="inlineStr">
        <is>
          <t>1.87%</t>
        </is>
      </c>
      <c r="N5863" s="7" t="n"/>
      <c r="O5863" t="n">
        <v>4.8</v>
      </c>
      <c r="P5863" t="n">
        <v>1404</v>
      </c>
      <c r="R5863" t="inlineStr">
        <is>
          <t>InStock</t>
        </is>
      </c>
      <c r="S5863" t="inlineStr">
        <is>
          <t>22.78</t>
        </is>
      </c>
      <c r="T5863" t="inlineStr">
        <is>
          <t>4473296945252</t>
        </is>
      </c>
    </row>
    <row r="5864" hidden="1" ht="15.75" customHeight="1">
      <c r="A5864" s="2">
        <f>HYPERLINK("https://edmondsonsupply.com/collections/electricians-tools/products/klein-tools-cl900-2000a-digital-clamp-meter", "https://edmondsonsupply.com/collections/electricians-tools/products/klein-tools-cl900-2000a-digital-clamp-meter")</f>
        <v/>
      </c>
      <c r="B5864" s="2">
        <f>HYPERLINK("https://edmondsonsupply.com/products/klein-tools-cl900-2000a-digital-clamp-meter", "https://edmondsonsupply.com/products/klein-tools-cl900-2000a-digital-clamp-meter")</f>
        <v/>
      </c>
      <c r="C5864" t="inlineStr">
        <is>
          <t>Klein Tools CL900 Digital Clamp Meter, AC Auto-Range TRMS, Low Impedance (LoZ), 2000 Amp</t>
        </is>
      </c>
      <c r="D5864" t="inlineStr">
        <is>
          <t>Klein Tools CL900 Digital Clamp Meter, Autoranging TRMS, AC/DC Voltage/Current, 2000A, LOZ, Continuity, Frequency, NCVT, Temp, More, 1000V &amp; 69417 Rare-Earth Magnetic Hanger, with Strap</t>
        </is>
      </c>
      <c r="E5864" s="2">
        <f>HYPERLINK("https://www.amazon.com/Klein-Tools-Autoranging-Continuity-Rare-Earth/dp/B0BD3SYSDK/ref=sr_1_4?keywords=Klein+Tools+CL900+Digital+Clamp+Meter%2C+AC+Auto-Range+TRMS%2C+Low+Impedance+%28LoZ%29%2C+2000+Amp&amp;qid=1694735343&amp;sr=8-4", "https://www.amazon.com/Klein-Tools-Autoranging-Continuity-Rare-Earth/dp/B0BD3SYSDK/ref=sr_1_4?keywords=Klein+Tools+CL900+Digital+Clamp+Meter%2C+AC+Auto-Range+TRMS%2C+Low+Impedance+%28LoZ%29%2C+2000+Amp&amp;qid=1694735343&amp;sr=8-4")</f>
        <v/>
      </c>
      <c r="F5864" t="inlineStr">
        <is>
          <t>B0BD3SYSDK</t>
        </is>
      </c>
      <c r="G5864">
        <f>_xludf.IMAGE("https://edmondsonsupply.com/cdn/shop/products/cl900_alt11.jpg?v=1601603929")</f>
        <v/>
      </c>
      <c r="H5864">
        <f>_xludf.IMAGE("https://m.media-amazon.com/images/I/41aFg66k3IL._AC_UY218_.jpg")</f>
        <v/>
      </c>
      <c r="K5864" t="inlineStr">
        <is>
          <t>169.99</t>
        </is>
      </c>
      <c r="L5864" t="n">
        <v>172.99</v>
      </c>
      <c r="M5864" s="1" t="inlineStr">
        <is>
          <t>1.76%</t>
        </is>
      </c>
      <c r="N5864" s="1" t="n"/>
      <c r="O5864" t="n">
        <v>4</v>
      </c>
      <c r="P5864" t="n">
        <v>2</v>
      </c>
      <c r="R5864" t="inlineStr">
        <is>
          <t>InStock</t>
        </is>
      </c>
      <c r="S5864" t="inlineStr">
        <is>
          <t>241.94</t>
        </is>
      </c>
      <c r="T5864" t="inlineStr">
        <is>
          <t>4474673954916</t>
        </is>
      </c>
    </row>
    <row r="5865" ht="87" customHeight="1">
      <c r="A5865" s="2">
        <f>HYPERLINK("https://edmondsonsupply.com/collections/electricians-tools/products/fluke-62-max-handheld-infrared-laser-thermometer", "https://edmondsonsupply.com/collections/electricians-tools/products/fluke-62-max-handheld-infrared-laser-thermometer")</f>
        <v/>
      </c>
      <c r="B5865" s="2">
        <f>HYPERLINK("https://edmondsonsupply.com/products/fluke-62-max-handheld-infrared-laser-thermometer", "https://edmondsonsupply.com/products/fluke-62-max-handheld-infrared-laser-thermometer")</f>
        <v/>
      </c>
      <c r="C5865" t="inlineStr">
        <is>
          <t>Fluke 62 MAX+ Handheld Infrared Laser Thermometer</t>
        </is>
      </c>
      <c r="D5865" t="inlineStr">
        <is>
          <t>Fluke 62 Max+ Infrared Thermometer (Not for human temp), -20 to +1202 Degree F Range</t>
        </is>
      </c>
      <c r="E5865" s="2">
        <f>HYPERLINK("https://www.amazon.com/Fluke-MAX-Thermometer-Contact-Degree/dp/B0089N2ZH6/ref=sr_1_2?keywords=Fluke+62+MAX+Handheld+Infrared+Laser+Thermometer&amp;qid=1694735180&amp;sr=8-2", "https://www.amazon.com/Fluke-MAX-Thermometer-Contact-Degree/dp/B0089N2ZH6/ref=sr_1_2?keywords=Fluke+62+MAX+Handheld+Infrared+Laser+Thermometer&amp;qid=1694735180&amp;sr=8-2")</f>
        <v/>
      </c>
      <c r="F5865" t="inlineStr">
        <is>
          <t>B0089N2ZH6</t>
        </is>
      </c>
      <c r="G5865">
        <f>_xlfn.IMAGE("https://edmondsonsupply.com/cdn/shop/products/Fluke_62_MAX__back_499x1024px_E_NR-18387.jpg?v=1633031180")</f>
        <v/>
      </c>
      <c r="H5865">
        <f>_xlfn.IMAGE("https://m.media-amazon.com/images/I/61s2T8Q6l2L._AC_UY218_.jpg")</f>
        <v/>
      </c>
      <c r="K5865" t="inlineStr">
        <is>
          <t>179.99</t>
        </is>
      </c>
      <c r="L5865" t="n">
        <v>182.91</v>
      </c>
      <c r="M5865" s="1" t="inlineStr">
        <is>
          <t>1.62%</t>
        </is>
      </c>
      <c r="N5865" s="7" t="n"/>
      <c r="O5865" t="n">
        <v>4.6</v>
      </c>
      <c r="P5865" t="n">
        <v>863</v>
      </c>
      <c r="R5865" t="inlineStr">
        <is>
          <t>InStock</t>
        </is>
      </c>
      <c r="S5865" t="inlineStr">
        <is>
          <t>199.99</t>
        </is>
      </c>
      <c r="T5865" t="inlineStr">
        <is>
          <t>6918056050861</t>
        </is>
      </c>
    </row>
    <row r="5866" hidden="1" ht="15.75" customHeight="1">
      <c r="A5866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5866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5866" t="inlineStr">
        <is>
          <t>Klein Tools 630-7/16M 7/16-Inch Magnetic Tip Nut Driver 3-Inch Shaft</t>
        </is>
      </c>
      <c r="D5866" t="inlineStr">
        <is>
          <t>Klein Tools 630-7/16M 7/16-Inch Magnetic Tip Nut Driver 3-Inch Hollow Shaft</t>
        </is>
      </c>
      <c r="E5866" s="2">
        <f>HYPERLINK("https://www.amazon.com/Klein-Tools-630-7-16M-Magnetic/dp/B00093GE80/ref=sr_1_1?keywords=Klein+Tools+630-7%2F16M+7%2F16-Inch+Magnetic+Tip+Nut+Driver+3-Inch+Shaft&amp;qid=1694735273&amp;sr=8-1", "https://www.amazon.com/Klein-Tools-630-7-16M-Magnetic/dp/B00093GE80/ref=sr_1_1?keywords=Klein+Tools+630-7%2F16M+7%2F16-Inch+Magnetic+Tip+Nut+Driver+3-Inch+Shaft&amp;qid=1694735273&amp;sr=8-1")</f>
        <v/>
      </c>
      <c r="F5866" t="inlineStr">
        <is>
          <t>B00093GE80</t>
        </is>
      </c>
      <c r="G5866">
        <f>_xludf.IMAGE("https://edmondsonsupply.com/cdn/shop/products/630-7-16m.jpg?v=1633030529")</f>
        <v/>
      </c>
      <c r="H5866">
        <f>_xludf.IMAGE("https://m.media-amazon.com/images/I/51lmlO98BaL._AC_UL320_.jpg")</f>
        <v/>
      </c>
      <c r="K5866" t="inlineStr">
        <is>
          <t>12.24</t>
        </is>
      </c>
      <c r="L5866" t="n">
        <v>12.43</v>
      </c>
      <c r="M5866" s="1" t="inlineStr">
        <is>
          <t>1.55%</t>
        </is>
      </c>
      <c r="N5866" s="1" t="n"/>
      <c r="O5866" t="n">
        <v>4.7</v>
      </c>
      <c r="P5866" t="n">
        <v>1571</v>
      </c>
      <c r="R5866" t="inlineStr">
        <is>
          <t>InStock</t>
        </is>
      </c>
      <c r="S5866" t="inlineStr">
        <is>
          <t>18.54</t>
        </is>
      </c>
      <c r="T5866" t="inlineStr">
        <is>
          <t>5408853819560</t>
        </is>
      </c>
    </row>
    <row r="5867" hidden="1" ht="15.75" customHeight="1">
      <c r="A5867" s="2">
        <f>HYPERLINK("https://edmondsonsupply.com/collections/electricians-tools/products/klein-tools-70574-grip-it-nine-key-hex-set-with-2-positions-sae", "https://edmondsonsupply.com/collections/electricians-tools/products/klein-tools-70574-grip-it-nine-key-hex-set-with-2-positions-sae")</f>
        <v/>
      </c>
      <c r="B5867" s="2">
        <f>HYPERLINK("https://edmondsonsupply.com/products/klein-tools-70574-grip-it-nine-key-hex-set-with-2-positions-sae", "https://edmondsonsupply.com/products/klein-tools-70574-grip-it-nine-key-hex-set-with-2-positions-sae")</f>
        <v/>
      </c>
      <c r="C5867" t="inlineStr">
        <is>
          <t>Klein Tools 70574 Grip-It® Hex Key Set, 9-Key, 4-1/2-Inch Handle, SAE Sizes</t>
        </is>
      </c>
      <c r="D5867" t="inlineStr">
        <is>
          <t>Klein Tools 70575 Grip-It Hex Key Set, 9-Key, 3-3/4-Inch Handle, SAE Sizes</t>
        </is>
      </c>
      <c r="E5867" s="2">
        <f>HYPERLINK("https://www.amazon.com/Grip-Square-Klein-Tools-70575/dp/B0002RI8PK/ref=sr_1_2?keywords=Klein+Tools+70574+Grip-It%C2%AE+Hex+Key+Set%2C+9-Key%2C+4-1%2F2-Inch+Handle%2C+SAE+Sizes&amp;qid=1694735228&amp;sr=8-2", "https://www.amazon.com/Grip-Square-Klein-Tools-70575/dp/B0002RI8PK/ref=sr_1_2?keywords=Klein+Tools+70574+Grip-It%C2%AE+Hex+Key+Set%2C+9-Key%2C+4-1%2F2-Inch+Handle%2C+SAE+Sizes&amp;qid=1694735228&amp;sr=8-2")</f>
        <v/>
      </c>
      <c r="F5867" t="inlineStr">
        <is>
          <t>B0002RI8PK</t>
        </is>
      </c>
      <c r="G5867">
        <f>_xludf.IMAGE("https://edmondsonsupply.com/cdn/shop/products/70574.jpg?v=1633030924")</f>
        <v/>
      </c>
      <c r="H5867">
        <f>_xludf.IMAGE("https://m.media-amazon.com/images/I/51C7aw6OxTL._AC_UL320_.jpg")</f>
        <v/>
      </c>
      <c r="K5867" t="inlineStr">
        <is>
          <t>10.58</t>
        </is>
      </c>
      <c r="L5867" t="n">
        <v>10.74</v>
      </c>
      <c r="M5867" s="1" t="inlineStr">
        <is>
          <t>1.51%</t>
        </is>
      </c>
      <c r="N5867" s="1" t="n"/>
      <c r="O5867" t="n">
        <v>4.4</v>
      </c>
      <c r="P5867" t="n">
        <v>65</v>
      </c>
      <c r="R5867" t="inlineStr">
        <is>
          <t>InStock</t>
        </is>
      </c>
      <c r="S5867" t="inlineStr">
        <is>
          <t>undefined</t>
        </is>
      </c>
      <c r="T5867" t="inlineStr">
        <is>
          <t>6536956444845</t>
        </is>
      </c>
    </row>
    <row r="5868" hidden="1" ht="15.75" customHeight="1">
      <c r="A5868" s="2">
        <f>HYPERLINK("https://edmondsonsupply.com/collections/electricians-tools/products/reed-mfg-dhr12-1-1-2npt-r12-drophead-1-1-2-npt", "https://edmondsonsupply.com/collections/electricians-tools/products/reed-mfg-dhr12-1-1-2npt-r12-drophead-1-1-2-npt")</f>
        <v/>
      </c>
      <c r="B5868" s="2">
        <f>HYPERLINK("https://edmondsonsupply.com/products/reed-mfg-dhr12-1-1-2npt-r12-drophead-1-1-2-npt", "https://edmondsonsupply.com/products/reed-mfg-dhr12-1-1-2npt-r12-drophead-1-1-2-npt")</f>
        <v/>
      </c>
      <c r="C5868" t="inlineStr">
        <is>
          <t>Reed Mfg DHR12 1 1/2NPT R12+ Drophead, 1-1/2" NPT</t>
        </is>
      </c>
      <c r="D5868" t="inlineStr">
        <is>
          <t>Reed Tool DHR12 1 1/2NPT R12+ Drophead, 1-1/2-Inch NPT</t>
        </is>
      </c>
      <c r="E5868" s="2">
        <f>HYPERLINK("https://www.amazon.com/Reed-Tool-DHR12-2NPT-Drophead/dp/B000ZGXUMY/ref=sr_1_1?keywords=Reed+Mfg+DHR12+1+1%2F2NPT+R12%2B+Drophead%2C+1-1%2F2%22+NPT&amp;qid=1694735211&amp;sr=8-1", "https://www.amazon.com/Reed-Tool-DHR12-2NPT-Drophead/dp/B000ZGXUMY/ref=sr_1_1?keywords=Reed+Mfg+DHR12+1+1%2F2NPT+R12%2B+Drophead%2C+1-1%2F2%22+NPT&amp;qid=1694735211&amp;sr=8-1")</f>
        <v/>
      </c>
      <c r="F5868" t="inlineStr">
        <is>
          <t>B000ZGXUMY</t>
        </is>
      </c>
      <c r="G5868">
        <f>_xludf.IMAGE("https://edmondsonsupply.com/cdn/shop/products/57_1_43919434-23d1-4a38-ae34-862e7aaca453.jpg?v=1633031013")</f>
        <v/>
      </c>
      <c r="H5868">
        <f>_xludf.IMAGE("https://m.media-amazon.com/images/I/61Y5u+qPi2L._AC_UY218_.jpg")</f>
        <v/>
      </c>
      <c r="K5868" t="inlineStr">
        <is>
          <t>170.7</t>
        </is>
      </c>
      <c r="L5868" t="n">
        <v>172.93</v>
      </c>
      <c r="M5868" s="1" t="inlineStr">
        <is>
          <t>1.31%</t>
        </is>
      </c>
      <c r="N5868" s="1" t="n"/>
      <c r="O5868" t="n">
        <v>1</v>
      </c>
      <c r="P5868" t="n">
        <v>1</v>
      </c>
      <c r="R5868" t="inlineStr">
        <is>
          <t>InStock</t>
        </is>
      </c>
      <c r="S5868" t="inlineStr">
        <is>
          <t>197.46</t>
        </is>
      </c>
      <c r="T5868" t="inlineStr">
        <is>
          <t>6698100195501</t>
        </is>
      </c>
    </row>
    <row r="5869" ht="87" customHeight="1">
      <c r="A5869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5869" s="2">
        <f>HYPERLINK("https://edmondsonsupply.com/products/klein-tools-j203-8-pliers-needle-nose-side-cutters-8-inch", "https://edmondsonsupply.com/products/klein-tools-j203-8-pliers-needle-nose-side-cutters-8-inch")</f>
        <v/>
      </c>
      <c r="C5869" t="inlineStr">
        <is>
          <t>Klein Tools J203-8 Pliers, Needle Nose Side-Cutters, 8-Inch</t>
        </is>
      </c>
      <c r="D5869" t="inlineStr">
        <is>
          <t>Klein Tools D2000-8 Pliers, 8-Inch Side Cutters, High Leverage Lineman's Pliers Cut ACSR, Screws, Nails, Hard Wire</t>
        </is>
      </c>
      <c r="E5869" s="2">
        <f>HYPERLINK("https://www.amazon.com/Cutters-High-Leverage-Cutting-Klein-D2000-8/dp/B00093D4Q0/ref=sr_1_21?keywords=Klein+Tools+J203-8+Pliers%2C+Needle+Nose+Side-Cutters%2C+8-Inch&amp;qid=1694735171&amp;sr=8-21", "https://www.amazon.com/Cutters-High-Leverage-Cutting-Klein-D2000-8/dp/B00093D4Q0/ref=sr_1_21?keywords=Klein+Tools+J203-8+Pliers%2C+Needle+Nose+Side-Cutters%2C+8-Inch&amp;qid=1694735171&amp;sr=8-21")</f>
        <v/>
      </c>
      <c r="F5869" t="inlineStr">
        <is>
          <t>B00093D4Q0</t>
        </is>
      </c>
      <c r="G5869">
        <f>_xlfn.IMAGE("https://edmondsonsupply.com/cdn/shop/products/j2038.jpg?v=1644709677")</f>
        <v/>
      </c>
      <c r="H5869">
        <f>_xlfn.IMAGE("https://m.media-amazon.com/images/I/41aQv-4-6+L._AC_UL320_.jpg")</f>
        <v/>
      </c>
      <c r="K5869" t="inlineStr">
        <is>
          <t>38.49</t>
        </is>
      </c>
      <c r="L5869" t="n">
        <v>38.99</v>
      </c>
      <c r="M5869" s="1" t="inlineStr">
        <is>
          <t>1.30%</t>
        </is>
      </c>
      <c r="N5869" s="7" t="n"/>
      <c r="O5869" t="n">
        <v>4.3</v>
      </c>
      <c r="P5869" t="n">
        <v>84</v>
      </c>
      <c r="R5869" t="inlineStr">
        <is>
          <t>InStock</t>
        </is>
      </c>
      <c r="S5869" t="inlineStr">
        <is>
          <t>58.32</t>
        </is>
      </c>
      <c r="T5869" t="inlineStr">
        <is>
          <t>7606180249816</t>
        </is>
      </c>
    </row>
    <row r="5870" ht="87" customHeight="1">
      <c r="A5870" s="2">
        <f>HYPERLINK("https://edmondsonsupply.com/collections/electricians-tools/products/klein-tools-506-15-adjustable-wrench-standard-capacity-15-inch", "https://edmondsonsupply.com/collections/electricians-tools/products/klein-tools-506-15-adjustable-wrench-standard-capacity-15-inch")</f>
        <v/>
      </c>
      <c r="B5870" s="2">
        <f>HYPERLINK("https://edmondsonsupply.com/products/klein-tools-506-15-adjustable-wrench-standard-capacity-15-inch", "https://edmondsonsupply.com/products/klein-tools-506-15-adjustable-wrench-standard-capacity-15-inch")</f>
        <v/>
      </c>
      <c r="C5870" t="inlineStr">
        <is>
          <t>Klein Tools 506-15 Adjustable Wrench Standard Capacity, 15-Inch</t>
        </is>
      </c>
      <c r="D5870" t="inlineStr">
        <is>
          <t>Klein Tools 506-15 Adjustable Wrench, Forged Drive Wrench with High Polish Chrome Finish and Contoured Handle, 15-Inch</t>
        </is>
      </c>
      <c r="E5870" s="2">
        <f>HYPERLINK("https://www.amazon.com/Klein-Tools-Adjustable-Standard-Capacity/dp/B00093DZ2I/ref=sr_1_1?keywords=Klein+Tools+506-15+Adjustable+Wrench+Standard+Capacity%2C+15-Inch&amp;qid=1694735166&amp;sr=8-1", "https://www.amazon.com/Klein-Tools-Adjustable-Standard-Capacity/dp/B00093DZ2I/ref=sr_1_1?keywords=Klein+Tools+506-15+Adjustable+Wrench+Standard+Capacity%2C+15-Inch&amp;qid=1694735166&amp;sr=8-1")</f>
        <v/>
      </c>
      <c r="F5870" t="inlineStr">
        <is>
          <t>B00093DZ2I</t>
        </is>
      </c>
      <c r="G5870">
        <f>_xlfn.IMAGE("https://edmondsonsupply.com/cdn/shop/products/50615.jpg?v=1646140297")</f>
        <v/>
      </c>
      <c r="H5870">
        <f>_xlfn.IMAGE("https://m.media-amazon.com/images/I/51T7pAaitgL._AC_UL320_.jpg")</f>
        <v/>
      </c>
      <c r="K5870" t="inlineStr">
        <is>
          <t>75.99</t>
        </is>
      </c>
      <c r="L5870" t="n">
        <v>76.97</v>
      </c>
      <c r="M5870" s="1" t="inlineStr">
        <is>
          <t>1.29%</t>
        </is>
      </c>
      <c r="N5870" s="7" t="n"/>
      <c r="O5870" t="n">
        <v>4.5</v>
      </c>
      <c r="P5870" t="n">
        <v>7</v>
      </c>
      <c r="R5870" t="inlineStr">
        <is>
          <t>InStock</t>
        </is>
      </c>
      <c r="S5870" t="inlineStr">
        <is>
          <t>113.6</t>
        </is>
      </c>
      <c r="T5870" t="inlineStr">
        <is>
          <t>7621620728024</t>
        </is>
      </c>
    </row>
    <row r="5871" hidden="1" ht="15.75" customHeight="1">
      <c r="A5871" s="2">
        <f>HYPERLINK("https://edmondsonsupply.com/collections/electricians-tools/products/diablo-tools-dmapl2400-5-8-in-x-6-in-x-8-in-sds-plus-2-cutter", "https://edmondsonsupply.com/collections/electricians-tools/products/diablo-tools-dmapl2400-5-8-in-x-6-in-x-8-in-sds-plus-2-cutter")</f>
        <v/>
      </c>
      <c r="B5871" s="2">
        <f>HYPERLINK("https://edmondsonsupply.com/products/diablo-tools-dmapl2400-5-8-in-x-6-in-x-8-in-sds-plus-2-cutter", "https://edmondsonsupply.com/products/diablo-tools-dmapl2400-5-8-in-x-6-in-x-8-in-sds-plus-2-cutter")</f>
        <v/>
      </c>
      <c r="C5871" t="inlineStr">
        <is>
          <t>Diablo Tools DMAPL2400 5/8 in. x 6 in. x 8 in. SDS‑Plus 2‑Cutter</t>
        </is>
      </c>
      <c r="D5871" t="inlineStr">
        <is>
          <t>Diablo by Freud DMAPL4050 3/16 in. x 6 in. x 8 in. Rebar Demon SDS-Plus 4-Cutter Full Carbide Head Hammer Bit Multi, One Size</t>
        </is>
      </c>
      <c r="E5871" s="2">
        <f>HYPERLINK("https://www.amazon.com/Diablo-SDS-Plus-4-Cutter-Carbide-Hammer/dp/B089LKWR9L/ref=sr_1_33?keywords=Diablo+Tools+DMAPL2400+5%2F8+in.+x+6+in.+x+8+in.+SDS%E2%80%91Plus+2%E2%80%91Cutter&amp;qid=1694735276&amp;sr=8-33", "https://www.amazon.com/Diablo-SDS-Plus-4-Cutter-Carbide-Hammer/dp/B089LKWR9L/ref=sr_1_33?keywords=Diablo+Tools+DMAPL2400+5%2F8+in.+x+6+in.+x+8+in.+SDS%E2%80%91Plus+2%E2%80%91Cutter&amp;qid=1694735276&amp;sr=8-33")</f>
        <v/>
      </c>
      <c r="F5871" t="inlineStr">
        <is>
          <t>B089LKWR9L</t>
        </is>
      </c>
      <c r="G5871">
        <f>_xludf.IMAGE("https://edmondsonsupply.com/cdn/shop/products/pn8n58bx2f87ihetrrnf_f6b67816-c0ba-4ddd-9eb9-58f843607bd5.webp?v=1676039619")</f>
        <v/>
      </c>
      <c r="H5871">
        <f>_xludf.IMAGE("https://m.media-amazon.com/images/I/61uukuKzJeL._AC_UL320_.jpg")</f>
        <v/>
      </c>
      <c r="K5871" t="inlineStr">
        <is>
          <t>8.88</t>
        </is>
      </c>
      <c r="L5871" t="n">
        <v>8.99</v>
      </c>
      <c r="M5871" s="1" t="inlineStr">
        <is>
          <t>1.24%</t>
        </is>
      </c>
      <c r="N5871" s="1" t="n"/>
      <c r="O5871" t="n">
        <v>3.7</v>
      </c>
      <c r="P5871" t="n">
        <v>10</v>
      </c>
      <c r="R5871" t="inlineStr">
        <is>
          <t>InStock</t>
        </is>
      </c>
      <c r="S5871" t="inlineStr">
        <is>
          <t>14.09</t>
        </is>
      </c>
      <c r="T5871" t="inlineStr">
        <is>
          <t>5418407723176</t>
        </is>
      </c>
    </row>
    <row r="5872" ht="87" customHeight="1">
      <c r="A5872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5872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5872" t="inlineStr">
        <is>
          <t>Diablo Tools DMAPL9920-S7 7pc Rebar Demon™ SDS-Plus 4-Cutter Full Carbide Head Hammer Bit Set</t>
        </is>
      </c>
      <c r="D5872" t="inlineStr">
        <is>
          <t>Diablo 7pc Rebar Demon SDS-Plus 4-Cutter Full Carbide Head Hammer Bit Set</t>
        </is>
      </c>
      <c r="E5872" s="2">
        <f>HYPERLINK("https://www.amazon.com/Diablo-Freud-DMAPL9920-S7-SDS-Plus-4-Cutter/dp/B089LJJ6KJ/ref=sr_1_1?keywords=Diablo+Tools+DMAPL9920-S7+7pc+Rebar+Demon%E2%84%A2+SDS-Plus+4-Cutter+Full+Carbide+Head+Hammer+Bit+Set&amp;qid=1694735019&amp;sr=8-1", "https://www.amazon.com/Diablo-Freud-DMAPL9920-S7-SDS-Plus-4-Cutter/dp/B089LJJ6KJ/ref=sr_1_1?keywords=Diablo+Tools+DMAPL9920-S7+7pc+Rebar+Demon%E2%84%A2+SDS-Plus+4-Cutter+Full+Carbide+Head+Hammer+Bit+Set&amp;qid=1694735019&amp;sr=8-1")</f>
        <v/>
      </c>
      <c r="F5872" t="inlineStr">
        <is>
          <t>B089LJJ6KJ</t>
        </is>
      </c>
      <c r="G5872">
        <f>_xlfn.IMAGE("https://edmondsonsupply.com/cdn/shop/products/vgtm2xrrra4yfevsszgf.webp?v=1679328619")</f>
        <v/>
      </c>
      <c r="H5872">
        <f>_xlfn.IMAGE("https://m.media-amazon.com/images/I/61zvSTnM+LL._AC_UL320_.jpg")</f>
        <v/>
      </c>
      <c r="K5872" t="inlineStr">
        <is>
          <t>37.97</t>
        </is>
      </c>
      <c r="L5872" t="n">
        <v>38.38</v>
      </c>
      <c r="M5872" s="1" t="inlineStr">
        <is>
          <t>1.08%</t>
        </is>
      </c>
      <c r="N5872" s="7" t="n"/>
      <c r="O5872" t="n">
        <v>4.3</v>
      </c>
      <c r="P5872" t="n">
        <v>22</v>
      </c>
      <c r="R5872" t="inlineStr">
        <is>
          <t>InStock</t>
        </is>
      </c>
      <c r="S5872" t="inlineStr">
        <is>
          <t>55.56</t>
        </is>
      </c>
      <c r="T5872" t="inlineStr">
        <is>
          <t>7964936995032</t>
        </is>
      </c>
    </row>
    <row r="5873" ht="87" customHeight="1">
      <c r="A5873" s="2">
        <f>HYPERLINK("https://edmondsonsupply.com/collections/electricians-tools/products/greenlee-0251-08am-8-high-leverage-diagonal-cutting-pliers-angled-molded-handle", "https://edmondsonsupply.com/collections/electricians-tools/products/greenlee-0251-08am-8-high-leverage-diagonal-cutting-pliers-angled-molded-handle")</f>
        <v/>
      </c>
      <c r="B5873" s="2">
        <f>HYPERLINK("https://edmondsonsupply.com/products/greenlee-0251-08am-8-high-leverage-diagonal-cutting-pliers-angled-molded-handle", "https://edmondsonsupply.com/products/greenlee-0251-08am-8-high-leverage-diagonal-cutting-pliers-angled-molded-handle")</f>
        <v/>
      </c>
      <c r="C5873" t="inlineStr">
        <is>
          <t>Greenlee 0251-08AM 8" High-Leverage Diagonal Cutting Pliers, Angled, Molded Handle</t>
        </is>
      </c>
      <c r="D5873" t="inlineStr">
        <is>
          <t>Greenlee 0251-08AM High Leverage Diagonal Cutting Pliers, Angled Molded Grip, 8"</t>
        </is>
      </c>
      <c r="E5873" s="2">
        <f>HYPERLINK("https://www.amazon.com/Greenlee-0251-08AM-Leverage-Diagonal-Cutting/dp/B001HWFOAQ/ref=sr_1_1?keywords=Greenlee+0251-08AM+8%22+High-Leverage+Diagonal+Cutting+Pliers%2C+Angled%2C+Molded+Handle&amp;qid=1694735373&amp;sr=8-1", "https://www.amazon.com/Greenlee-0251-08AM-Leverage-Diagonal-Cutting/dp/B001HWFOAQ/ref=sr_1_1?keywords=Greenlee+0251-08AM+8%22+High-Leverage+Diagonal+Cutting+Pliers%2C+Angled%2C+Molded+Handle&amp;qid=1694735373&amp;sr=8-1")</f>
        <v/>
      </c>
      <c r="F5873" t="inlineStr">
        <is>
          <t>B001HWFOAQ</t>
        </is>
      </c>
      <c r="G5873">
        <f>_xlfn.IMAGE("https://edmondsonsupply.com/cdn/shop/products/0251-08M.jpg?v=1587145660")</f>
        <v/>
      </c>
      <c r="H5873">
        <f>_xlfn.IMAGE("https://m.media-amazon.com/images/I/71VQQYNQgDL._AC_UL320_.jpg")</f>
        <v/>
      </c>
      <c r="K5873" t="inlineStr">
        <is>
          <t>32.62</t>
        </is>
      </c>
      <c r="L5873" t="n">
        <v>32.95</v>
      </c>
      <c r="M5873" s="1" t="inlineStr">
        <is>
          <t>1.01%</t>
        </is>
      </c>
      <c r="N5873" s="7" t="n"/>
      <c r="O5873" t="n">
        <v>4.7</v>
      </c>
      <c r="P5873" t="n">
        <v>380</v>
      </c>
      <c r="R5873" t="inlineStr">
        <is>
          <t>InStock</t>
        </is>
      </c>
      <c r="S5873" t="inlineStr">
        <is>
          <t>35.85</t>
        </is>
      </c>
      <c r="T5873" t="inlineStr">
        <is>
          <t>4418423849060</t>
        </is>
      </c>
    </row>
    <row r="5874" ht="87" customHeight="1">
      <c r="A5874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5874" s="2">
        <f>HYPERLINK("https://edmondsonsupply.com/products/klein-tools-d228-8-diagonal-cutting-pliers-high-leverage-8-inch", "https://edmondsonsupply.com/products/klein-tools-d228-8-diagonal-cutting-pliers-high-leverage-8-inch")</f>
        <v/>
      </c>
      <c r="C5874" t="inlineStr">
        <is>
          <t>Klein Tools D228-8 Diagonal Cutting Pliers, High-Leverage, 8-Inch</t>
        </is>
      </c>
      <c r="D5874" t="inlineStr">
        <is>
          <t>Klein Tools D243-8 Pliers, Diagonal Cutting Pliers with Wire Stripping Holes, High-Leverage Design, 8-Inch</t>
        </is>
      </c>
      <c r="E5874" s="2">
        <f>HYPERLINK("https://www.amazon.com/Leverage-Stripping-Klein-Tools-D243-8/dp/B0002RI9OU/ref=sr_1_8?keywords=Klein+Tools+D228-8+Diagonal+Cutting+Pliers%2C+High-Leverage%2C+8-Inch&amp;qid=1694735247&amp;sr=8-8", "https://www.amazon.com/Leverage-Stripping-Klein-Tools-D243-8/dp/B0002RI9OU/ref=sr_1_8?keywords=Klein+Tools+D228-8+Diagonal+Cutting+Pliers%2C+High-Leverage%2C+8-Inch&amp;qid=1694735247&amp;sr=8-8")</f>
        <v/>
      </c>
      <c r="F5874" t="inlineStr">
        <is>
          <t>B0002RI9OU</t>
        </is>
      </c>
      <c r="G5874">
        <f>_xlfn.IMAGE("https://edmondsonsupply.com/cdn/shop/products/d2288.jpg?v=1633030753")</f>
        <v/>
      </c>
      <c r="H5874">
        <f>_xlfn.IMAGE("https://m.media-amazon.com/images/I/417XVXKHG6L._AC_UL320_.jpg")</f>
        <v/>
      </c>
      <c r="K5874" t="inlineStr">
        <is>
          <t>29.97</t>
        </is>
      </c>
      <c r="L5874" t="n">
        <v>30.27</v>
      </c>
      <c r="M5874" s="1" t="inlineStr">
        <is>
          <t>1.00%</t>
        </is>
      </c>
      <c r="N5874" s="7" t="n"/>
      <c r="O5874" t="n">
        <v>4.4</v>
      </c>
      <c r="P5874" t="n">
        <v>38</v>
      </c>
      <c r="R5874" t="inlineStr">
        <is>
          <t>InStock</t>
        </is>
      </c>
      <c r="S5874" t="inlineStr">
        <is>
          <t>42.78</t>
        </is>
      </c>
      <c r="T5874" t="inlineStr">
        <is>
          <t>5896908472488</t>
        </is>
      </c>
    </row>
    <row r="5875" hidden="1" ht="15.75" customHeight="1">
      <c r="A5875" s="2">
        <f>HYPERLINK("https://edmondsonsupply.com/collections/electricians-tools/products/klein-tools-32234-power-driver-set-assorted-bits-3-1-2-inch", "https://edmondsonsupply.com/collections/electricians-tools/products/klein-tools-32234-power-driver-set-assorted-bits-3-1-2-inch")</f>
        <v/>
      </c>
      <c r="B5875" s="2">
        <f>HYPERLINK("https://edmondsonsupply.com/products/klein-tools-32234-power-driver-set-assorted-bits-3-1-2-inch", "https://edmondsonsupply.com/products/klein-tools-32234-power-driver-set-assorted-bits-3-1-2-inch")</f>
        <v/>
      </c>
      <c r="C5875" t="inlineStr">
        <is>
          <t>Klein Tools 32234 Power Driver Set, Assorted Bits, 3-1/2-Inch</t>
        </is>
      </c>
      <c r="D5875" t="inlineStr">
        <is>
          <t>Power Driver Set, Assorted Bits, 3-1/2-Inch Klein Tools 32234</t>
        </is>
      </c>
      <c r="E5875" s="2">
        <f>HYPERLINK("https://www.amazon.com/Driver-Assorted-Klein-Tools-32234/dp/B00PP4LGO0/ref=sr_1_1?keywords=Klein+Tools+32234+Power+Driver+Set%2C+Assorted+Bits%2C+3-1%2F2-Inch&amp;qid=1694735389&amp;sr=8-1", "https://www.amazon.com/Driver-Assorted-Klein-Tools-32234/dp/B00PP4LGO0/ref=sr_1_1?keywords=Klein+Tools+32234+Power+Driver+Set%2C+Assorted+Bits%2C+3-1%2F2-Inch&amp;qid=1694735389&amp;sr=8-1")</f>
        <v/>
      </c>
      <c r="F5875" t="inlineStr">
        <is>
          <t>B00PP4LGO0</t>
        </is>
      </c>
      <c r="G5875">
        <f>_xludf.IMAGE("https://edmondsonsupply.com/cdn/shop/products/32234.jpg?v=1587145699")</f>
        <v/>
      </c>
      <c r="H5875">
        <f>_xludf.IMAGE("https://m.media-amazon.com/images/I/51M636OX5qL._AC_UL320_.jpg")</f>
        <v/>
      </c>
      <c r="K5875" t="inlineStr">
        <is>
          <t>13.49</t>
        </is>
      </c>
      <c r="L5875" t="n">
        <v>13.62</v>
      </c>
      <c r="M5875" s="1" t="inlineStr">
        <is>
          <t>0.96%</t>
        </is>
      </c>
      <c r="N5875" s="1" t="n"/>
      <c r="O5875" t="n">
        <v>4.5</v>
      </c>
      <c r="P5875" t="n">
        <v>432</v>
      </c>
      <c r="R5875" t="inlineStr">
        <is>
          <t>InStock</t>
        </is>
      </c>
      <c r="S5875" t="inlineStr">
        <is>
          <t>20.44</t>
        </is>
      </c>
      <c r="T5875" t="inlineStr">
        <is>
          <t>4407924523108</t>
        </is>
      </c>
    </row>
    <row r="5876" ht="87" customHeight="1">
      <c r="A5876" s="2">
        <f>HYPERLINK("https://edmondsonsupply.com/collections/electricians-tools/products/diablo-tools-d0536x-5-3-8-in-x-36-tooth-finish-trim-saw-blade", "https://edmondsonsupply.com/collections/electricians-tools/products/diablo-tools-d0536x-5-3-8-in-x-36-tooth-finish-trim-saw-blade")</f>
        <v/>
      </c>
      <c r="B5876" s="2">
        <f>HYPERLINK("https://edmondsonsupply.com/products/diablo-tools-d0536x-5-3-8-in-x-36-tooth-finish-trim-saw-blade", "https://edmondsonsupply.com/products/diablo-tools-d0536x-5-3-8-in-x-36-tooth-finish-trim-saw-blade")</f>
        <v/>
      </c>
      <c r="C5876" t="inlineStr">
        <is>
          <t>Diablo Tools D0536X 5-3/8 in. x 36 Tooth Finish Trim Saw Blade</t>
        </is>
      </c>
      <c r="D5876" t="inlineStr">
        <is>
          <t>Freud D0536X Diablo 5-3/8-Inch 36 Tooth ATB Finish Cordless Trim Saw Blade</t>
        </is>
      </c>
      <c r="E5876" s="2">
        <f>HYPERLINK("https://www.amazon.com/Freud-D0536X-Diablo-8-Inch-Cordless/dp/B00008WQ2U/ref=sr_1_1?keywords=Diablo+Tools+D0536X+5-3%2F8+in.+x+36+Tooth+Finish+Trim+Saw+Blade&amp;qid=1694735017&amp;sr=8-1", "https://www.amazon.com/Freud-D0536X-Diablo-8-Inch-Cordless/dp/B00008WQ2U/ref=sr_1_1?keywords=Diablo+Tools+D0536X+5-3%2F8+in.+x+36+Tooth+Finish+Trim+Saw+Blade&amp;qid=1694735017&amp;sr=8-1")</f>
        <v/>
      </c>
      <c r="F5876" t="inlineStr">
        <is>
          <t>B00008WQ2U</t>
        </is>
      </c>
      <c r="G5876">
        <f>_xlfn.IMAGE("https://edmondsonsupply.com/cdn/shop/products/tlu1mfykudka2gxayxql.webp?v=1679326425")</f>
        <v/>
      </c>
      <c r="H5876">
        <f>_xlfn.IMAGE("https://m.media-amazon.com/images/I/71071TfHvML._AC_UL320_.jpg")</f>
        <v/>
      </c>
      <c r="K5876" t="inlineStr">
        <is>
          <t>16.97</t>
        </is>
      </c>
      <c r="L5876" t="n">
        <v>17.13</v>
      </c>
      <c r="M5876" s="1" t="inlineStr">
        <is>
          <t>0.94%</t>
        </is>
      </c>
      <c r="N5876" s="7" t="n"/>
      <c r="O5876" t="n">
        <v>4.8</v>
      </c>
      <c r="P5876" t="n">
        <v>1027</v>
      </c>
      <c r="R5876" t="inlineStr">
        <is>
          <t>InStock</t>
        </is>
      </c>
      <c r="S5876" t="inlineStr">
        <is>
          <t>26.04</t>
        </is>
      </c>
      <c r="T5876" t="inlineStr">
        <is>
          <t>7964916482264</t>
        </is>
      </c>
    </row>
    <row r="5877" ht="87" customHeight="1">
      <c r="A5877" s="2">
        <f>HYPERLINK("https://edmondsonsupply.com/collections/electricians-tools/products/amprobe-thwd-3-relative-humidity-temperature-meter", "https://edmondsonsupply.com/collections/electricians-tools/products/amprobe-thwd-3-relative-humidity-temperature-meter")</f>
        <v/>
      </c>
      <c r="B5877" s="2">
        <f>HYPERLINK("https://edmondsonsupply.com/products/amprobe-thwd-3-relative-humidity-temperature-meter", "https://edmondsonsupply.com/products/amprobe-thwd-3-relative-humidity-temperature-meter")</f>
        <v/>
      </c>
      <c r="C5877" t="inlineStr">
        <is>
          <t>Amprobe THWD-3 Relative Humidity Temperature Meter</t>
        </is>
      </c>
      <c r="D5877" t="inlineStr">
        <is>
          <t>Amprobe THWD-3 Relative Humidity Temperature Meter</t>
        </is>
      </c>
      <c r="E5877" s="2">
        <f>HYPERLINK("https://www.amazon.com/Amprobe-THWD-3-Temperature-Relative-Humidity/dp/B002ICF5AI/ref=sr_1_1?keywords=Amprobe+THWD-3+Relative+Humidity+Temperature+Meter&amp;qid=1694735184&amp;sr=8-1", "https://www.amazon.com/Amprobe-THWD-3-Temperature-Relative-Humidity/dp/B002ICF5AI/ref=sr_1_1?keywords=Amprobe+THWD-3+Relative+Humidity+Temperature+Meter&amp;qid=1694735184&amp;sr=8-1")</f>
        <v/>
      </c>
      <c r="F5877" t="inlineStr">
        <is>
          <t>B002ICF5AI</t>
        </is>
      </c>
      <c r="G5877">
        <f>_xlfn.IMAGE("https://edmondsonsupply.com/cdn/shop/products/THWD-3.png?v=1633526329")</f>
        <v/>
      </c>
      <c r="H5877">
        <f>_xlfn.IMAGE("https://m.media-amazon.com/images/I/51VeR6DpHLL._AC_UL320_.jpg")</f>
        <v/>
      </c>
      <c r="K5877" t="inlineStr">
        <is>
          <t>176.36</t>
        </is>
      </c>
      <c r="L5877" t="n">
        <v>177.95</v>
      </c>
      <c r="M5877" s="1" t="inlineStr">
        <is>
          <t>0.90%</t>
        </is>
      </c>
      <c r="N5877" s="7" t="n"/>
      <c r="O5877" t="n">
        <v>4.7</v>
      </c>
      <c r="P5877" t="n">
        <v>156</v>
      </c>
      <c r="R5877" t="inlineStr">
        <is>
          <t>InStock</t>
        </is>
      </c>
      <c r="S5877" t="inlineStr">
        <is>
          <t>195.99</t>
        </is>
      </c>
      <c r="T5877" t="inlineStr">
        <is>
          <t>6996577550509</t>
        </is>
      </c>
    </row>
    <row r="5878" ht="87" customHeight="1">
      <c r="A5878" s="2">
        <f>HYPERLINK("https://edmondsonsupply.com/collections/electricians-tools/products/klein-tools-56341-stainless-steel-fish-tape-1-8-inch-x-240-foot", "https://edmondsonsupply.com/collections/electricians-tools/products/klein-tools-56341-stainless-steel-fish-tape-1-8-inch-x-240-foot")</f>
        <v/>
      </c>
      <c r="B5878" s="2">
        <f>HYPERLINK("https://edmondsonsupply.com/products/klein-tools-56341-stainless-steel-fish-tape-1-8-inch-x-240-foot", "https://edmondsonsupply.com/products/klein-tools-56341-stainless-steel-fish-tape-1-8-inch-x-240-foot")</f>
        <v/>
      </c>
      <c r="C5878" t="inlineStr">
        <is>
          <t>Klein Tools 56341 Stainless Steel Fish Tape, 1/8-Inch x 240-Foot</t>
        </is>
      </c>
      <c r="D5878" t="inlineStr">
        <is>
          <t>Klein Tools 56008 Fish Tape, 1/8-Inch Stainless Steel Fish Tape , Easy-Feed Sloped Handle, 240-Foot, Updated Model Cat. No. 56341 Available</t>
        </is>
      </c>
      <c r="E5878" s="2">
        <f>HYPERLINK("https://www.amazon.com/Stainless-240-Foot-Klein-Tools-56008/dp/B002PDVHXO/ref=sr_1_2?keywords=Klein+Tools+56341+Stainless+Steel+Fish+Tape%2C+1%2F8-Inch+x+240-Foot&amp;qid=1694735094&amp;sr=8-2", "https://www.amazon.com/Stainless-240-Foot-Klein-Tools-56008/dp/B002PDVHXO/ref=sr_1_2?keywords=Klein+Tools+56341+Stainless+Steel+Fish+Tape%2C+1%2F8-Inch+x+240-Foot&amp;qid=1694735094&amp;sr=8-2")</f>
        <v/>
      </c>
      <c r="F5878" t="inlineStr">
        <is>
          <t>B002PDVHXO</t>
        </is>
      </c>
      <c r="G5878">
        <f>_xlfn.IMAGE("https://edmondsonsupply.com/cdn/shop/products/56341.jpg?v=1666901345")</f>
        <v/>
      </c>
      <c r="H5878">
        <f>_xlfn.IMAGE("https://m.media-amazon.com/images/I/61xbap4AX1L._AC_UL320_.jpg")</f>
        <v/>
      </c>
      <c r="K5878" t="inlineStr">
        <is>
          <t>114.99</t>
        </is>
      </c>
      <c r="L5878" t="n">
        <v>115.99</v>
      </c>
      <c r="M5878" s="1" t="inlineStr">
        <is>
          <t>0.87%</t>
        </is>
      </c>
      <c r="N5878" s="7" t="n"/>
      <c r="O5878" t="n">
        <v>4.1</v>
      </c>
      <c r="P5878" t="n">
        <v>25</v>
      </c>
      <c r="R5878" t="inlineStr">
        <is>
          <t>InStock</t>
        </is>
      </c>
      <c r="S5878" t="inlineStr">
        <is>
          <t>168.08</t>
        </is>
      </c>
      <c r="T5878" t="inlineStr">
        <is>
          <t>7867914944728</t>
        </is>
      </c>
    </row>
    <row r="5879" ht="87" customHeight="1">
      <c r="A5879" s="2">
        <f>HYPERLINK("https://edmondsonsupply.com/collections/electricians-tools/products/greenlee-1927-ss-stainless-steel-7-5-wire-stripper-cutter-crimper", "https://edmondsonsupply.com/collections/electricians-tools/products/greenlee-1927-ss-stainless-steel-7-5-wire-stripper-cutter-crimper")</f>
        <v/>
      </c>
      <c r="B5879" s="2">
        <f>HYPERLINK("https://edmondsonsupply.com/products/greenlee-1927-ss-stainless-steel-7-5-wire-stripper-cutter-crimper", "https://edmondsonsupply.com/products/greenlee-1927-ss-stainless-steel-7-5-wire-stripper-cutter-crimper")</f>
        <v/>
      </c>
      <c r="C5879" t="inlineStr">
        <is>
          <t>Greenlee 1927-SS Stainless Steel 7.5" Wire Stripper/Cutter/Crimper</t>
        </is>
      </c>
      <c r="D5879" t="inlineStr">
        <is>
          <t>Greenlee 1955-SS Stainless Steel Wire Stripper for 10-18 AWG Solid and 12-20 AWG Stranded, Heavy-Duty Stripper, Cutter, and Crimper Tool</t>
        </is>
      </c>
      <c r="E5879" s="2">
        <f>HYPERLINK("https://www.amazon.com/Greenlee-1955-SS-Stainless-Stripper-7-5-Inches/dp/B00GFXD22E/ref=sr_1_2?keywords=Greenlee+1927-SS+Stainless+Steel+7.5%22+Wire+Stripper%2FCutter%2FCrimper&amp;qid=1694735238&amp;sr=8-2", "https://www.amazon.com/Greenlee-1955-SS-Stainless-Stripper-7-5-Inches/dp/B00GFXD22E/ref=sr_1_2?keywords=Greenlee+1927-SS+Stainless+Steel+7.5%22+Wire+Stripper%2FCutter%2FCrimper&amp;qid=1694735238&amp;sr=8-2")</f>
        <v/>
      </c>
      <c r="F5879" t="inlineStr">
        <is>
          <t>B00GFXD22E</t>
        </is>
      </c>
      <c r="G5879">
        <f>_xlfn.IMAGE("https://edmondsonsupply.com/cdn/shop/products/1927-SS_side_closed.jpg?v=1633030807")</f>
        <v/>
      </c>
      <c r="H5879">
        <f>_xlfn.IMAGE("https://m.media-amazon.com/images/I/818sDIaL7HL._AC_UL320_.jpg")</f>
        <v/>
      </c>
      <c r="K5879" t="inlineStr">
        <is>
          <t>25.3</t>
        </is>
      </c>
      <c r="L5879" t="n">
        <v>25.48</v>
      </c>
      <c r="M5879" s="1" t="inlineStr">
        <is>
          <t>0.71%</t>
        </is>
      </c>
      <c r="N5879" s="7" t="n"/>
      <c r="O5879" t="n">
        <v>4.7</v>
      </c>
      <c r="P5879" t="n">
        <v>521</v>
      </c>
      <c r="R5879" t="inlineStr">
        <is>
          <t>InStock</t>
        </is>
      </c>
      <c r="S5879" t="inlineStr">
        <is>
          <t>26.1</t>
        </is>
      </c>
      <c r="T5879" t="inlineStr">
        <is>
          <t>6009496535208</t>
        </is>
      </c>
    </row>
    <row r="5880" ht="87" customHeight="1">
      <c r="A5880" s="2">
        <f>HYPERLINK("https://edmondsonsupply.com/collections/electricians-tools/products/diablo-tools-dmast1020-1-2-in-x-13-16-in-sds-plus-2-cutter-stop-bit", "https://edmondsonsupply.com/collections/electricians-tools/products/diablo-tools-dmast1020-1-2-in-x-13-16-in-sds-plus-2-cutter-stop-bit")</f>
        <v/>
      </c>
      <c r="B5880" s="2">
        <f>HYPERLINK("https://edmondsonsupply.com/products/diablo-tools-dmast1020-1-2-in-x-13-16-in-sds-plus-2-cutter-stop-bit", "https://edmondsonsupply.com/products/diablo-tools-dmast1020-1-2-in-x-13-16-in-sds-plus-2-cutter-stop-bit")</f>
        <v/>
      </c>
      <c r="C5880" t="inlineStr">
        <is>
          <t>Diablo Tools DMAST1020 1/2 in. x 13/16 in. SDS‑Plus 2‑Cutter Stop Bit</t>
        </is>
      </c>
      <c r="D5880" t="inlineStr">
        <is>
          <t>Diablo 1/2 in. x 13/16 in. SDS-Plus 2-Cutter Stop Bit</t>
        </is>
      </c>
      <c r="E5880" s="2">
        <f>HYPERLINK("https://www.amazon.com/Diablo-DMAST1020-SDS-Plus-2-Cutter-Stop/dp/B089LG9PRR/ref=sr_1_1?keywords=Diablo+Tools+DMAST1020+1%2F2+in.+x+13%2F16+in.+SDS%E2%80%91Plus+2%E2%80%91Cutter+Stop+Bit&amp;qid=1694735282&amp;sr=8-1", "https://www.amazon.com/Diablo-DMAST1020-SDS-Plus-2-Cutter-Stop/dp/B089LG9PRR/ref=sr_1_1?keywords=Diablo+Tools+DMAST1020+1%2F2+in.+x+13%2F16+in.+SDS%E2%80%91Plus+2%E2%80%91Cutter+Stop+Bit&amp;qid=1694735282&amp;sr=8-1")</f>
        <v/>
      </c>
      <c r="F5880" t="inlineStr">
        <is>
          <t>B089LG9PRR</t>
        </is>
      </c>
      <c r="G5880">
        <f>_xlfn.IMAGE("https://edmondsonsupply.com/cdn/shop/products/DMAST1020_Main-Image20200331.png?v=1633030467")</f>
        <v/>
      </c>
      <c r="H5880">
        <f>_xlfn.IMAGE("https://m.media-amazon.com/images/I/61arWCzmktL._AC_UL320_.jpg")</f>
        <v/>
      </c>
      <c r="K5880" t="inlineStr">
        <is>
          <t>17.97</t>
        </is>
      </c>
      <c r="L5880" t="n">
        <v>18.08</v>
      </c>
      <c r="M5880" s="1" t="inlineStr">
        <is>
          <t>0.61%</t>
        </is>
      </c>
      <c r="N5880" s="7" t="n"/>
      <c r="O5880" t="n">
        <v>4.5</v>
      </c>
      <c r="P5880" t="n">
        <v>10</v>
      </c>
      <c r="R5880" t="inlineStr">
        <is>
          <t>InStock</t>
        </is>
      </c>
      <c r="S5880" t="inlineStr">
        <is>
          <t>23.34</t>
        </is>
      </c>
      <c r="T5880" t="inlineStr">
        <is>
          <t>5365128855720</t>
        </is>
      </c>
    </row>
    <row r="5881" ht="87" customHeight="1">
      <c r="A5881" s="2">
        <f>HYPERLINK("https://edmondsonsupply.com/collections/electricians-tools/products/milwaukee-2553-22", "https://edmondsonsupply.com/collections/electricians-tools/products/milwaukee-2553-22")</f>
        <v/>
      </c>
      <c r="B5881" s="2">
        <f>HYPERLINK("https://edmondsonsupply.com/products/milwaukee-2553-22", "https://edmondsonsupply.com/products/milwaukee-2553-22")</f>
        <v/>
      </c>
      <c r="C5881" t="inlineStr">
        <is>
          <t>Milwaukee 2553-22 M12 FUEL™ 1/4" Hex Impact Driver Kit</t>
        </is>
      </c>
      <c r="D5881" t="inlineStr">
        <is>
          <t>Milwaukee 2553-21 M12 FUEL 1/4 in. Hex Impact Driver Kit with One 2.0 Ah Battery, Charger and Bag</t>
        </is>
      </c>
      <c r="E5881" s="2">
        <f>HYPERLINK("https://www.amazon.com/Milwaukee-2553-21-Impact-Battery-Charger/dp/B08D5T2SPF/ref=sr_1_3?keywords=Milwaukee+2553-22+M12+FUEL%E2%84%A2+1%2F4%22+Hex+Impact+Driver+Kit&amp;qid=1694735083&amp;sr=8-3", "https://www.amazon.com/Milwaukee-2553-21-Impact-Battery-Charger/dp/B08D5T2SPF/ref=sr_1_3?keywords=Milwaukee+2553-22+M12+FUEL%E2%84%A2+1%2F4%22+Hex+Impact+Driver+Kit&amp;qid=1694735083&amp;sr=8-3")</f>
        <v/>
      </c>
      <c r="F5881" t="inlineStr">
        <is>
          <t>B08D5T2SPF</t>
        </is>
      </c>
      <c r="G5881">
        <f>_xlfn.IMAGE("https://edmondsonsupply.com/cdn/shop/products/2553-22_Kit.webp?v=1668445129")</f>
        <v/>
      </c>
      <c r="H5881">
        <f>_xlfn.IMAGE("https://m.media-amazon.com/images/I/61JERNgsA7L._AC_UL320_.jpg")</f>
        <v/>
      </c>
      <c r="K5881" t="inlineStr">
        <is>
          <t>169.0</t>
        </is>
      </c>
      <c r="L5881" t="n">
        <v>169.99</v>
      </c>
      <c r="M5881" s="1" t="inlineStr">
        <is>
          <t>0.59%</t>
        </is>
      </c>
      <c r="N5881" s="7" t="n"/>
      <c r="O5881" t="n">
        <v>4.8</v>
      </c>
      <c r="P5881" t="n">
        <v>164</v>
      </c>
      <c r="R5881" t="inlineStr">
        <is>
          <t>InStock</t>
        </is>
      </c>
      <c r="S5881" t="inlineStr">
        <is>
          <t>299.0</t>
        </is>
      </c>
      <c r="T5881" t="inlineStr">
        <is>
          <t>7884423528664</t>
        </is>
      </c>
    </row>
    <row r="5882" ht="87" customHeight="1">
      <c r="A5882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5882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5882" t="inlineStr">
        <is>
          <t>Diablo Tools DMAPL4310 1 in. x 16 in. x 18 in. Rebar Demon™ SDS-Plus 4-Cutter Full Carbide Head Hammer Drill Bit</t>
        </is>
      </c>
      <c r="D5882" t="inlineStr">
        <is>
          <t>Diablo DMAMX1140 3/4 in. x 16 in. x 21 in. Rebar Demon™ SDS-Max 4-Cutter Full Carbide Head Hammer Bit</t>
        </is>
      </c>
      <c r="E5882" s="2">
        <f>HYPERLINK("https://www.amazon.com/Diablo-SDS-Max-4-Cutter-Carbide-Hammer/dp/B089KWP4WK/ref=sr_1_15?keywords=Diablo+Tools+DMAPL4310+1+in.+x+16+in.+x+18+in.+Rebar+Demon%E2%84%A2+SDS-Plus+4-Cutter+Full+Carbide+Head+Hammer+Drill+Bit&amp;qid=1694735204&amp;sr=8-15", "https://www.amazon.com/Diablo-SDS-Max-4-Cutter-Carbide-Hammer/dp/B089KWP4WK/ref=sr_1_15?keywords=Diablo+Tools+DMAPL4310+1+in.+x+16+in.+x+18+in.+Rebar+Demon%E2%84%A2+SDS-Plus+4-Cutter+Full+Carbide+Head+Hammer+Drill+Bit&amp;qid=1694735204&amp;sr=8-15")</f>
        <v/>
      </c>
      <c r="F5882" t="inlineStr">
        <is>
          <t>B089KWP4WK</t>
        </is>
      </c>
      <c r="G5882">
        <f>_xlfn.IMAGE("https://edmondsonsupply.com/cdn/shop/products/DMAPL4310_Main-Image20200701.png?v=1633031094")</f>
        <v/>
      </c>
      <c r="H5882">
        <f>_xlfn.IMAGE("https://m.media-amazon.com/images/I/61yWWNP1xrL._AC_UL320_.jpg")</f>
        <v/>
      </c>
      <c r="K5882" t="inlineStr">
        <is>
          <t>49.97</t>
        </is>
      </c>
      <c r="L5882" t="n">
        <v>50.26</v>
      </c>
      <c r="M5882" s="1" t="inlineStr">
        <is>
          <t>0.58%</t>
        </is>
      </c>
      <c r="N5882" s="7" t="n"/>
      <c r="O5882" t="n">
        <v>5</v>
      </c>
      <c r="P5882" t="n">
        <v>9</v>
      </c>
      <c r="R5882" t="inlineStr">
        <is>
          <t>InStock</t>
        </is>
      </c>
      <c r="S5882" t="inlineStr">
        <is>
          <t>57.56</t>
        </is>
      </c>
      <c r="T5882" t="inlineStr">
        <is>
          <t>6839830479021</t>
        </is>
      </c>
    </row>
    <row r="5883" hidden="1" ht="15.75" customHeight="1">
      <c r="A5883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5883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5883" t="inlineStr">
        <is>
          <t>Diablo Tools DMAPL4070 1/4 in. x 4 in. x 6 in. Rebar Demon™ SDS-Plus 4-Cutter Full Carbide Head Hammer Bit</t>
        </is>
      </c>
      <c r="D5883" t="inlineStr">
        <is>
          <t>Diablo 1/4" x 6"x8" Rebar Demon SDS-Plus 4-Cutter Full Carbide Head Hammer Bit</t>
        </is>
      </c>
      <c r="E5883" s="2">
        <f>HYPERLINK("https://www.amazon.com/Diablo-SDS-Plus-4-Cutter-Carbide-Hammer/dp/B089KWHXK2/ref=sr_1_2?keywords=Diablo+Tools+DMAPL4070+1%2F4+in.+x+4+in.+x+6+in.+Rebar+Demon%E2%84%A2+SDS-Plus+4-Cutter+Full+Carbide+Head+Hammer+Bit&amp;qid=1694735303&amp;sr=8-2", "https://www.amazon.com/Diablo-SDS-Plus-4-Cutter-Carbide-Hammer/dp/B089KWHXK2/ref=sr_1_2?keywords=Diablo+Tools+DMAPL4070+1%2F4+in.+x+4+in.+x+6+in.+Rebar+Demon%E2%84%A2+SDS-Plus+4-Cutter+Full+Carbide+Head+Hammer+Bit&amp;qid=1694735303&amp;sr=8-2")</f>
        <v/>
      </c>
      <c r="F5883" t="inlineStr">
        <is>
          <t>B089KWHXK2</t>
        </is>
      </c>
      <c r="G5883">
        <f>_xludf.IMAGE("https://edmondsonsupply.com/cdn/shop/products/DMAPL4070_Main-Image20200701.png?v=1633030350")</f>
        <v/>
      </c>
      <c r="H5883">
        <f>_xludf.IMAGE("https://m.media-amazon.com/images/I/61hTQXRoh+L._AC_UL320_.jpg")</f>
        <v/>
      </c>
      <c r="K5883" t="inlineStr">
        <is>
          <t>8.97</t>
        </is>
      </c>
      <c r="L5883" t="n">
        <v>9.02</v>
      </c>
      <c r="M5883" s="1" t="inlineStr">
        <is>
          <t>0.56%</t>
        </is>
      </c>
      <c r="N5883" s="1" t="n"/>
      <c r="O5883" t="n">
        <v>4.3</v>
      </c>
      <c r="P5883" t="n">
        <v>19</v>
      </c>
      <c r="R5883" t="inlineStr">
        <is>
          <t>InStock</t>
        </is>
      </c>
      <c r="S5883" t="inlineStr">
        <is>
          <t>undefined</t>
        </is>
      </c>
      <c r="T5883" t="inlineStr">
        <is>
          <t>5283100197032</t>
        </is>
      </c>
    </row>
    <row r="5884" ht="87" customHeight="1">
      <c r="A5884" s="2">
        <f>HYPERLINK("https://edmondsonsupply.com/collections/electricians-tools/products/klein-tools-60407rl-hard-hat-vented-full-brim-with-rechargeable-headlamp-white", "https://edmondsonsupply.com/collections/electricians-tools/products/klein-tools-60407rl-hard-hat-vented-full-brim-with-rechargeable-headlamp-white")</f>
        <v/>
      </c>
      <c r="B5884" s="2">
        <f>HYPERLINK("https://edmondsonsupply.com/products/klein-tools-60407rl-hard-hat-vented-full-brim-with-rechargeable-headlamp-white", "https://edmondsonsupply.com/products/klein-tools-60407rl-hard-hat-vented-full-brim-with-rechargeable-headlamp-white")</f>
        <v/>
      </c>
      <c r="C5884" t="inlineStr">
        <is>
          <t>Klein Tools 60407RL Hard Hat, Vented, Full Brim with Rechargeable Headlamp, White</t>
        </is>
      </c>
      <c r="D5884" t="inlineStr">
        <is>
          <t>Klein Tools 60407RL Hard Hat, Rechargeable Headlamp, White &amp; 60181 Cooling Helmet Liner, Under Hard Hat Cap with Mesh Fabric at Crown</t>
        </is>
      </c>
      <c r="E5884" s="2">
        <f>HYPERLINK("https://www.amazon.com/Klein-Tools-60407RL-Rechargeable-Headlamp/dp/B0BR1ZQB58/ref=sr_1_11?keywords=Klein+Tools+60407RL+Hard+Hat%2C+Vented%2C+Full+Brim+with+Rechargeable+Headlamp%2C+White&amp;qid=1694735114&amp;sr=8-11", "https://www.amazon.com/Klein-Tools-60407RL-Rechargeable-Headlamp/dp/B0BR1ZQB58/ref=sr_1_11?keywords=Klein+Tools+60407RL+Hard+Hat%2C+Vented%2C+Full+Brim+with+Rechargeable+Headlamp%2C+White&amp;qid=1694735114&amp;sr=8-11")</f>
        <v/>
      </c>
      <c r="F5884" t="inlineStr">
        <is>
          <t>B0BR1ZQB58</t>
        </is>
      </c>
      <c r="G5884">
        <f>_xlfn.IMAGE("https://edmondsonsupply.com/cdn/shop/products/60407rl_d.jpg?v=1665589857")</f>
        <v/>
      </c>
      <c r="H5884">
        <f>_xlfn.IMAGE("https://m.media-amazon.com/images/I/41I3OS+7E0L._AC_UL320_.jpg")</f>
        <v/>
      </c>
      <c r="K5884" t="inlineStr">
        <is>
          <t>69.99</t>
        </is>
      </c>
      <c r="L5884" t="n">
        <v>70.36</v>
      </c>
      <c r="M5884" s="1" t="inlineStr">
        <is>
          <t>0.53%</t>
        </is>
      </c>
      <c r="N5884" s="7" t="n"/>
      <c r="O5884" t="n">
        <v>5</v>
      </c>
      <c r="P5884" t="n">
        <v>1</v>
      </c>
      <c r="R5884" t="inlineStr">
        <is>
          <t>InStock</t>
        </is>
      </c>
      <c r="S5884" t="inlineStr">
        <is>
          <t>105.0</t>
        </is>
      </c>
      <c r="T5884" t="inlineStr">
        <is>
          <t>7849949855960</t>
        </is>
      </c>
    </row>
    <row r="5885" ht="87" customHeight="1">
      <c r="A5885" s="2">
        <f>HYPERLINK("https://edmondsonsupply.com/collections/electricians-tools/products/klein-tools-2000-48-eins-diagonal-cutting-pliers-insulated-angled-head-8-inch", "https://edmondsonsupply.com/collections/electricians-tools/products/klein-tools-2000-48-eins-diagonal-cutting-pliers-insulated-angled-head-8-inch")</f>
        <v/>
      </c>
      <c r="B5885" s="2">
        <f>HYPERLINK("https://edmondsonsupply.com/products/klein-tools-2000-48-eins-diagonal-cutting-pliers-insulated-angled-head-8-inch", "https://edmondsonsupply.com/products/klein-tools-2000-48-eins-diagonal-cutting-pliers-insulated-angled-head-8-inch")</f>
        <v/>
      </c>
      <c r="C5885" t="inlineStr">
        <is>
          <t>Klein Tools 2000-48-EINS Diagonal Cutting Pliers, Insulated, Angled Head, 8-Inch</t>
        </is>
      </c>
      <c r="D5885" t="inlineStr">
        <is>
          <t>Klein Tools D2000-48-INS Pliers, Insulated Heavy-Duty Diagonal Cutting Pliers with Angled Head and 1000V Rated Insulated Grips, 8-Inch</t>
        </is>
      </c>
      <c r="E5885" s="2">
        <f>HYPERLINK("https://www.amazon.com/Klein-Tools-D2000-48-INS-Insulated-Leverage/dp/B000LDFIVC/ref=sr_1_1?keywords=Klein+Tools+2000-48-EINS+Diagonal+Cutting+Pliers%2C+Insulated%2C+Angled+Head%2C+8-Inch&amp;qid=1694735272&amp;sr=8-1", "https://www.amazon.com/Klein-Tools-D2000-48-INS-Insulated-Leverage/dp/B000LDFIVC/ref=sr_1_1?keywords=Klein+Tools+2000-48-EINS+Diagonal+Cutting+Pliers%2C+Insulated%2C+Angled+Head%2C+8-Inch&amp;qid=1694735272&amp;sr=8-1")</f>
        <v/>
      </c>
      <c r="F5885" t="inlineStr">
        <is>
          <t>B000LDFIVC</t>
        </is>
      </c>
      <c r="G5885">
        <f>_xlfn.IMAGE("https://edmondsonsupply.com/cdn/shop/products/200048eins.jpg?v=1633030513")</f>
        <v/>
      </c>
      <c r="H5885">
        <f>_xlfn.IMAGE("https://m.media-amazon.com/images/I/51D7A8E7ncL._AC_UL320_.jpg")</f>
        <v/>
      </c>
      <c r="K5885" t="inlineStr">
        <is>
          <t>64.99</t>
        </is>
      </c>
      <c r="L5885" t="n">
        <v>65.28</v>
      </c>
      <c r="M5885" s="1" t="inlineStr">
        <is>
          <t>0.45%</t>
        </is>
      </c>
      <c r="N5885" s="7" t="n"/>
      <c r="O5885" t="n">
        <v>4.8</v>
      </c>
      <c r="P5885" t="n">
        <v>111</v>
      </c>
      <c r="R5885" t="inlineStr">
        <is>
          <t>InStock</t>
        </is>
      </c>
      <c r="S5885" t="inlineStr">
        <is>
          <t>100.92</t>
        </is>
      </c>
      <c r="T5885" t="inlineStr">
        <is>
          <t>5387314954408</t>
        </is>
      </c>
    </row>
    <row r="5886" ht="87" customHeight="1">
      <c r="A5886" s="2">
        <f>HYPERLINK("https://edmondsonsupply.com/collections/electricians-tools/products/klein-tools-5416tsr-tool-bag-bolt-bag-with-drain-holes-no-4-canvas-5-x-9-x-10-inch", "https://edmondsonsupply.com/collections/electricians-tools/products/klein-tools-5416tsr-tool-bag-bolt-bag-with-drain-holes-no-4-canvas-5-x-9-x-10-inch")</f>
        <v/>
      </c>
      <c r="B5886" s="2">
        <f>HYPERLINK("https://edmondsonsupply.com/products/klein-tools-5416tsr-tool-bag-bolt-bag-with-drain-holes-no-4-canvas-5-x-9-x-10-inch", "https://edmondsonsupply.com/products/klein-tools-5416tsr-tool-bag-bolt-bag-with-drain-holes-no-4-canvas-5-x-9-x-10-inch")</f>
        <v/>
      </c>
      <c r="C5886" t="inlineStr">
        <is>
          <t>Klein Tools 5416TSR Tool Bag, Bolt Bag with Drain Holes, No. 4 Canvas, 5 x 9 x 10-Inch</t>
        </is>
      </c>
      <c r="D5886" t="inlineStr">
        <is>
          <t>Klein Tools 5416TFR Tool Bag, Flame Resistant Canvas Bag for Bolt Storage with Double Reinforced Bottom and Tunnel Connect, 5 x 10 x 9-Inch</t>
        </is>
      </c>
      <c r="E5886" s="2">
        <f>HYPERLINK("https://www.amazon.com/Resistant-Canvas-Klein-Tools-5416TFR/dp/B0116IFD6A/ref=sr_1_3?keywords=Klein+Tools+5416TSR+Tool+Bag%2C+Bolt+Bag+with+Drain+Holes%2C+No.+4+Canvas%2C+5+x+9+x+10-Inch&amp;qid=1694735252&amp;sr=8-3", "https://www.amazon.com/Resistant-Canvas-Klein-Tools-5416TFR/dp/B0116IFD6A/ref=sr_1_3?keywords=Klein+Tools+5416TSR+Tool+Bag%2C+Bolt+Bag+with+Drain+Holes%2C+No.+4+Canvas%2C+5+x+9+x+10-Inch&amp;qid=1694735252&amp;sr=8-3")</f>
        <v/>
      </c>
      <c r="F5886" t="inlineStr">
        <is>
          <t>B0116IFD6A</t>
        </is>
      </c>
      <c r="G5886">
        <f>_xlfn.IMAGE("https://edmondsonsupply.com/cdn/shop/products/5416tsr.jpg?v=1633030723")</f>
        <v/>
      </c>
      <c r="H5886">
        <f>_xlfn.IMAGE("https://m.media-amazon.com/images/I/71-H03ahZOL._AC_UL320_.jpg")</f>
        <v/>
      </c>
      <c r="K5886" t="inlineStr">
        <is>
          <t>19.94</t>
        </is>
      </c>
      <c r="L5886" t="n">
        <v>19.99</v>
      </c>
      <c r="M5886" s="1" t="inlineStr">
        <is>
          <t>0.25%</t>
        </is>
      </c>
      <c r="N5886" s="7" t="n"/>
      <c r="O5886" t="n">
        <v>4.8</v>
      </c>
      <c r="P5886" t="n">
        <v>7379</v>
      </c>
      <c r="R5886" t="inlineStr">
        <is>
          <t>InStock</t>
        </is>
      </c>
      <c r="S5886" t="inlineStr">
        <is>
          <t>31.64</t>
        </is>
      </c>
      <c r="T5886" t="inlineStr">
        <is>
          <t>5867208868008</t>
        </is>
      </c>
    </row>
    <row r="5887" ht="87" customHeight="1">
      <c r="A5887" s="2">
        <f>HYPERLINK("https://edmondsonsupply.com/collections/electricians-tools/products/channellock-3017", "https://edmondsonsupply.com/collections/electricians-tools/products/channellock-3017")</f>
        <v/>
      </c>
      <c r="B5887" s="2">
        <f>HYPERLINK("https://edmondsonsupply.com/products/channellock-3017", "https://edmondsonsupply.com/products/channellock-3017")</f>
        <v/>
      </c>
      <c r="C5887" t="inlineStr">
        <is>
          <t>Channellock 3017 8-Inch Long Nose Pliers</t>
        </is>
      </c>
      <c r="D5887" t="inlineStr">
        <is>
          <t>TEKTON 8 Inch Long Nose Pliers | PGF10008</t>
        </is>
      </c>
      <c r="E5887" s="2">
        <f>HYPERLINK("https://www.amazon.com/TEKTON-8-Inch-Long-Pliers-PGF10008/dp/B07KPRPMM2/ref=sr_1_22?keywords=Channellock+3017+8-Inch+Long+Nose+Pliers&amp;qid=1694735304&amp;sr=8-22", "https://www.amazon.com/TEKTON-8-Inch-Long-Pliers-PGF10008/dp/B07KPRPMM2/ref=sr_1_22?keywords=Channellock+3017+8-Inch+Long+Nose+Pliers&amp;qid=1694735304&amp;sr=8-22")</f>
        <v/>
      </c>
      <c r="F5887" t="inlineStr">
        <is>
          <t>B07KPRPMM2</t>
        </is>
      </c>
      <c r="G5887">
        <f>_xlfn.IMAGE("https://edmondsonsupply.com/cdn/shop/products/3017-683x1024.jpg?v=1633030322")</f>
        <v/>
      </c>
      <c r="H5887">
        <f>_xlfn.IMAGE("https://m.media-amazon.com/images/I/61s0dbXfB7L._AC_UL320_.jpg")</f>
        <v/>
      </c>
      <c r="K5887" t="inlineStr">
        <is>
          <t>19.95</t>
        </is>
      </c>
      <c r="L5887" t="n">
        <v>20</v>
      </c>
      <c r="M5887" s="1" t="inlineStr">
        <is>
          <t>0.25%</t>
        </is>
      </c>
      <c r="N5887" s="7" t="n"/>
      <c r="O5887" t="n">
        <v>4.7</v>
      </c>
      <c r="P5887" t="n">
        <v>188</v>
      </c>
      <c r="R5887" t="inlineStr">
        <is>
          <t>InStock</t>
        </is>
      </c>
      <c r="S5887" t="inlineStr">
        <is>
          <t>29.97</t>
        </is>
      </c>
      <c r="T5887" t="inlineStr">
        <is>
          <t>5245817159848</t>
        </is>
      </c>
    </row>
    <row r="5888" hidden="1" ht="15.75" customHeight="1">
      <c r="A5888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5888" s="2">
        <f>HYPERLINK("https://edmondsonsupply.com/products/diablo-tools-d0624x-6-1-2-in-24-tooth-framing-saw-blade", "https://edmondsonsupply.com/products/diablo-tools-d0624x-6-1-2-in-24-tooth-framing-saw-blade")</f>
        <v/>
      </c>
      <c r="C5888" t="inlineStr">
        <is>
          <t>Diablo Tools D0624X 6-1/2 in. 24-Tooth Framing Saw Blade</t>
        </is>
      </c>
      <c r="D5888" t="inlineStr">
        <is>
          <t>DEWALT Circular Saw Blade, 6 1/2 Inch, 24 Tooth, Framing (DWA161224)</t>
        </is>
      </c>
      <c r="E5888" s="2">
        <f>HYPERLINK("https://www.amazon.com/DEWALT-DWA161224-2-Inch-24-Tooth-Circular/dp/B07P9H1K4F/ref=sr_1_14?keywords=Diablo+Tools+D0624X+6-1%2F2+in.+24-Tooth+Framing+Saw+Blade&amp;qid=1694735025&amp;sr=8-14", "https://www.amazon.com/DEWALT-DWA161224-2-Inch-24-Tooth-Circular/dp/B07P9H1K4F/ref=sr_1_14?keywords=Diablo+Tools+D0624X+6-1%2F2+in.+24-Tooth+Framing+Saw+Blade&amp;qid=1694735025&amp;sr=8-14")</f>
        <v/>
      </c>
      <c r="F5888" t="inlineStr">
        <is>
          <t>B07P9H1K4F</t>
        </is>
      </c>
      <c r="G5888">
        <f>_xludf.IMAGE("https://edmondsonsupply.com/cdn/shop/products/mfin0gl4ono6qztsnrth.webp?v=1678982694")</f>
        <v/>
      </c>
      <c r="H5888">
        <f>_xludf.IMAGE("https://m.media-amazon.com/images/I/61DHgXj2LvL._AC_UL320_.jpg")</f>
        <v/>
      </c>
      <c r="K5888" t="inlineStr">
        <is>
          <t>11.97</t>
        </is>
      </c>
      <c r="L5888" t="n">
        <v>12</v>
      </c>
      <c r="M5888" s="1" t="inlineStr">
        <is>
          <t>0.25%</t>
        </is>
      </c>
      <c r="N5888" s="1" t="n"/>
      <c r="O5888" t="n">
        <v>4.8</v>
      </c>
      <c r="P5888" t="n">
        <v>1624</v>
      </c>
      <c r="R5888" t="inlineStr">
        <is>
          <t>InStock</t>
        </is>
      </c>
      <c r="S5888" t="inlineStr">
        <is>
          <t>17.38</t>
        </is>
      </c>
      <c r="T5888" t="inlineStr">
        <is>
          <t>7962732855512</t>
        </is>
      </c>
    </row>
    <row r="5889" hidden="1" ht="15.75" customHeight="1">
      <c r="A5889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5889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5889" t="inlineStr">
        <is>
          <t>Diablo Tools DMAPL4070 1/4 in. x 4 in. x 6 in. Rebar Demon™ SDS-Plus 4-Cutter Full Carbide Head Hammer Bit</t>
        </is>
      </c>
      <c r="D5889" t="inlineStr">
        <is>
          <t>Diablo by Freud DMAPL4050 3/16 in. x 6 in. x 8 in. Rebar Demon SDS-Plus 4-Cutter Full Carbide Head Hammer Bit Multi, One Size</t>
        </is>
      </c>
      <c r="E5889" s="2">
        <f>HYPERLINK("https://www.amazon.com/Diablo-SDS-Plus-4-Cutter-Carbide-Hammer/dp/B089LKWR9L/ref=sr_1_30?keywords=Diablo+Tools+DMAPL4070+1%2F4+in.+x+4+in.+x+6+in.+Rebar+Demon%E2%84%A2+SDS-Plus+4-Cutter+Full+Carbide+Head+Hammer+Bit&amp;qid=1694735303&amp;sr=8-30", "https://www.amazon.com/Diablo-SDS-Plus-4-Cutter-Carbide-Hammer/dp/B089LKWR9L/ref=sr_1_30?keywords=Diablo+Tools+DMAPL4070+1%2F4+in.+x+4+in.+x+6+in.+Rebar+Demon%E2%84%A2+SDS-Plus+4-Cutter+Full+Carbide+Head+Hammer+Bit&amp;qid=1694735303&amp;sr=8-30")</f>
        <v/>
      </c>
      <c r="F5889" t="inlineStr">
        <is>
          <t>B089LKWR9L</t>
        </is>
      </c>
      <c r="G5889">
        <f>_xludf.IMAGE("https://edmondsonsupply.com/cdn/shop/products/DMAPL4070_Main-Image20200701.png?v=1633030350")</f>
        <v/>
      </c>
      <c r="H5889">
        <f>_xludf.IMAGE("https://m.media-amazon.com/images/I/61uukuKzJeL._AC_UL320_.jpg")</f>
        <v/>
      </c>
      <c r="K5889" t="inlineStr">
        <is>
          <t>8.97</t>
        </is>
      </c>
      <c r="L5889" t="n">
        <v>8.99</v>
      </c>
      <c r="M5889" s="1" t="inlineStr">
        <is>
          <t>0.22%</t>
        </is>
      </c>
      <c r="N5889" s="1" t="n"/>
      <c r="O5889" t="n">
        <v>3.7</v>
      </c>
      <c r="P5889" t="n">
        <v>10</v>
      </c>
      <c r="R5889" t="inlineStr">
        <is>
          <t>InStock</t>
        </is>
      </c>
      <c r="S5889" t="inlineStr">
        <is>
          <t>undefined</t>
        </is>
      </c>
      <c r="T5889" t="inlineStr">
        <is>
          <t>5283100197032</t>
        </is>
      </c>
    </row>
    <row r="5890" hidden="1" ht="15.75" customHeight="1">
      <c r="A5890" s="2">
        <f>HYPERLINK("https://edmondsonsupply.com/collections/electricians-tools/products/diablo-tools-dmarg1140-7-16-in-x-4-in-x-6-in-speedemon%E2%84%A2-red-granite-carbide-tipped-hammer-drill-bit", "https://edmondsonsupply.com/collections/electricians-tools/products/diablo-tools-dmarg1140-7-16-in-x-4-in-x-6-in-speedemon%E2%84%A2-red-granite-carbide-tipped-hammer-drill-bit")</f>
        <v/>
      </c>
      <c r="B5890" s="2">
        <f>HYPERLINK("https://edmondsonsupply.com/products/diablo-tools-dmarg1140-7-16-in-x-4-in-x-6-in-speedemon%e2%84%a2-red-granite-carbide-tipped-hammer-drill-bit", "https://edmondsonsupply.com/products/diablo-tools-dmarg1140-7-16-in-x-4-in-x-6-in-speedemon%e2%84%a2-red-granite-carbide-tipped-hammer-drill-bit")</f>
        <v/>
      </c>
      <c r="C5890" t="inlineStr">
        <is>
          <t>Diablo Tools DMARG1140 7/16 in. x 4 in. x 6 in. SPEEDemon™ Red Granite Carbide Tipped Hammer Drill Bit</t>
        </is>
      </c>
      <c r="D5890" t="inlineStr">
        <is>
          <t>Sabre Tools 7/16 Inch x 12 Inch SDS Plus Rotary Hammer Drill Bit, Carbide Tipped for Brick, Stone, and Concrete Version 2 (7/16" x 10" x 12")</t>
        </is>
      </c>
      <c r="E5890" s="2">
        <f>HYPERLINK("https://www.amazon.com/Sabre-Tools-Carbide-Concrete-Version/dp/B0BL1JRTCP/ref=sr_1_17?keywords=Diablo+Tools+DMARG1140+7%2F16+in.+x+4+in.+x+6+in.+SPEEDemon%E2%84%A2+Red+Granite+Carbide+Tipped+Hammer+Drill+Bit&amp;qid=1694735250&amp;sr=8-17", "https://www.amazon.com/Sabre-Tools-Carbide-Concrete-Version/dp/B0BL1JRTCP/ref=sr_1_17?keywords=Diablo+Tools+DMARG1140+7%2F16+in.+x+4+in.+x+6+in.+SPEEDemon%E2%84%A2+Red+Granite+Carbide+Tipped+Hammer+Drill+Bit&amp;qid=1694735250&amp;sr=8-17")</f>
        <v/>
      </c>
      <c r="F5890" t="inlineStr">
        <is>
          <t>B0BL1JRTCP</t>
        </is>
      </c>
      <c r="G5890">
        <f>_xludf.IMAGE("https://edmondsonsupply.com/cdn/shop/products/DMARG1140_Main-Image20200513.png?v=1633030765")</f>
        <v/>
      </c>
      <c r="H5890">
        <f>_xludf.IMAGE("https://m.media-amazon.com/images/I/61EC+ASb3oL._AC_UL320_.jpg")</f>
        <v/>
      </c>
      <c r="K5890" t="inlineStr">
        <is>
          <t>8.97</t>
        </is>
      </c>
      <c r="L5890" t="n">
        <v>8.99</v>
      </c>
      <c r="M5890" s="1" t="inlineStr">
        <is>
          <t>0.22%</t>
        </is>
      </c>
      <c r="N5890" s="1" t="n"/>
      <c r="O5890" t="n">
        <v>4.6</v>
      </c>
      <c r="P5890" t="n">
        <v>796</v>
      </c>
      <c r="R5890" t="inlineStr">
        <is>
          <t>InStock</t>
        </is>
      </c>
      <c r="S5890" t="inlineStr">
        <is>
          <t>undefined</t>
        </is>
      </c>
      <c r="T5890" t="inlineStr">
        <is>
          <t>5919026315432</t>
        </is>
      </c>
    </row>
    <row r="5891" ht="87" customHeight="1">
      <c r="A5891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5891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5891" t="inlineStr">
        <is>
          <t>Diablo Tools DOU125BF 1-1/4 in. Universal Fit Bi-Metal Oscillating Blade for Metal</t>
        </is>
      </c>
      <c r="D5891" t="inlineStr">
        <is>
          <t>Norske Tools NOTP273 1-1/4 inch Japanese Tooth Bi-Metal Oscillating Multi Tool Accessory Blades (3 Pack Set) Universal Fit for Cutting Wood and Hard Wood</t>
        </is>
      </c>
      <c r="E5891" s="2">
        <f>HYPERLINK("https://www.amazon.com/Norske-Tools-NOTP273-Oscillating-Accessory/dp/B07GB9QHBF/ref=sr_1_22?keywords=Diablo+Tools+DOU125BF+1-1%2F4+in.+Universal+Fit+Bi-Metal+Oscillating+Blade+for+Metal&amp;qid=1694734995&amp;sr=8-22", "https://www.amazon.com/Norske-Tools-NOTP273-Oscillating-Accessory/dp/B07GB9QHBF/ref=sr_1_22?keywords=Diablo+Tools+DOU125BF+1-1%2F4+in.+Universal+Fit+Bi-Metal+Oscillating+Blade+for+Metal&amp;qid=1694734995&amp;sr=8-22")</f>
        <v/>
      </c>
      <c r="F5891" t="inlineStr">
        <is>
          <t>B07GB9QHBF</t>
        </is>
      </c>
      <c r="G5891">
        <f>_xlfn.IMAGE("https://edmondsonsupply.com/cdn/shop/files/k1d1qiwmm4npznsdbwtg.webp?v=1685467858")</f>
        <v/>
      </c>
      <c r="H5891">
        <f>_xlfn.IMAGE("https://m.media-amazon.com/images/I/61TOLqLfwWL._AC_UL320_.jpg")</f>
        <v/>
      </c>
      <c r="K5891" t="inlineStr">
        <is>
          <t>18.97</t>
        </is>
      </c>
      <c r="L5891" t="n">
        <v>19.01</v>
      </c>
      <c r="M5891" s="1" t="inlineStr">
        <is>
          <t>0.21%</t>
        </is>
      </c>
      <c r="N5891" s="7" t="n"/>
      <c r="O5891" t="n">
        <v>4.3</v>
      </c>
      <c r="P5891" t="n">
        <v>83</v>
      </c>
      <c r="R5891" t="inlineStr">
        <is>
          <t>InStock</t>
        </is>
      </c>
      <c r="S5891" t="inlineStr">
        <is>
          <t>22.35</t>
        </is>
      </c>
      <c r="T5891" t="inlineStr">
        <is>
          <t>7997877584088</t>
        </is>
      </c>
    </row>
    <row r="5892" ht="87" customHeight="1">
      <c r="A5892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5892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5892" t="inlineStr">
        <is>
          <t>Diablo Tools DMAPL4070-P25 1/4 in. x 4 in. x 6 in. Rebar Demon™ SDS-Plus 4-Cutter Full Carbide Head Hammer Bit (25-Pack)</t>
        </is>
      </c>
      <c r="D5892" t="inlineStr">
        <is>
          <t>Diablo by Freud DMAPL4040-P25 3/16 in. x 4 in. x 6 in. Rebar Demon™ SDS-Plus 4-Cutter Full Carbide Head Hammer Bit (25-Pack)</t>
        </is>
      </c>
      <c r="E5892" s="2" t="n"/>
      <c r="F5892" t="inlineStr">
        <is>
          <t>B089LKW42D</t>
        </is>
      </c>
      <c r="G5892">
        <f>_xlfn.IMAGE("https://edmondsonsupply.com/cdn/shop/products/DMAPL4070.jpg?v=1633030350")</f>
        <v/>
      </c>
      <c r="H5892">
        <f>_xlfn.IMAGE("https://m.media-amazon.com/images/I/61WAyx865hL._AC_UL320_.jpg")</f>
        <v/>
      </c>
      <c r="K5892" t="inlineStr">
        <is>
          <t>79.47</t>
        </is>
      </c>
      <c r="L5892" t="n">
        <v>79.63</v>
      </c>
      <c r="M5892" s="1" t="inlineStr">
        <is>
          <t>0.20%</t>
        </is>
      </c>
      <c r="N5892" s="7" t="n"/>
      <c r="O5892" t="n">
        <v>5</v>
      </c>
      <c r="P5892" t="n">
        <v>2</v>
      </c>
      <c r="R5892" t="inlineStr">
        <is>
          <t>InStock</t>
        </is>
      </c>
      <c r="S5892" t="inlineStr">
        <is>
          <t>106.66</t>
        </is>
      </c>
      <c r="T5892" t="inlineStr">
        <is>
          <t>5283065069736</t>
        </is>
      </c>
    </row>
    <row r="5893" hidden="1" ht="15.75" customHeight="1">
      <c r="A5893" s="2">
        <f>HYPERLINK("https://edmondsonsupply.com/collections/electricians-tools/products/klein-tools-6844ins-insulated-screwdriver-2-square-tip-4-inch-round-shank", "https://edmondsonsupply.com/collections/electricians-tools/products/klein-tools-6844ins-insulated-screwdriver-2-square-tip-4-inch-round-shank")</f>
        <v/>
      </c>
      <c r="B5893" s="2">
        <f>HYPERLINK("https://edmondsonsupply.com/products/klein-tools-6844ins-insulated-screwdriver-2-square-tip-4-inch-round-shank", "https://edmondsonsupply.com/products/klein-tools-6844ins-insulated-screwdriver-2-square-tip-4-inch-round-shank")</f>
        <v/>
      </c>
      <c r="C5893" t="inlineStr">
        <is>
          <t>Klein Tools 6844INS Insulated Screwdriver, #2 Square Tip, 4-Inch Round Shank</t>
        </is>
      </c>
      <c r="D5893" t="inlineStr">
        <is>
          <t>Klein Tools 6844INS Insulated Screwdriver, 1000V #2 Square Tip Screwdriver with 4-Inch Shank, Tip-Ident, Cushion-Grip Handle</t>
        </is>
      </c>
      <c r="E5893" s="2">
        <f>HYPERLINK("https://www.amazon.com/Klein-Tools-6844INS-Screwdriver-Cushion-Grip/dp/B0BF7L6BZ6/ref=sr_1_1?keywords=Klein+Tools+6844INS+Insulated+Screwdriver%2C+%232+Square+Tip%2C+4-Inch+Round+Shank&amp;qid=1694735101&amp;sr=8-1", "https://www.amazon.com/Klein-Tools-6844INS-Screwdriver-Cushion-Grip/dp/B0BF7L6BZ6/ref=sr_1_1?keywords=Klein+Tools+6844INS+Insulated+Screwdriver%2C+%232+Square+Tip%2C+4-Inch+Round+Shank&amp;qid=1694735101&amp;sr=8-1")</f>
        <v/>
      </c>
      <c r="F5893" t="inlineStr">
        <is>
          <t>B0BF7L6BZ6</t>
        </is>
      </c>
      <c r="G5893">
        <f>_xludf.IMAGE("https://edmondsonsupply.com/cdn/shop/products/6844ins.jpg?v=1664817203")</f>
        <v/>
      </c>
      <c r="H5893">
        <f>_xludf.IMAGE("https://m.media-amazon.com/images/I/41RKewAXjvL._AC_UL320_.jpg")</f>
        <v/>
      </c>
      <c r="K5893" t="inlineStr">
        <is>
          <t>9.97</t>
        </is>
      </c>
      <c r="L5893" t="n">
        <v>9.99</v>
      </c>
      <c r="M5893" s="1" t="inlineStr">
        <is>
          <t>0.20%</t>
        </is>
      </c>
      <c r="N5893" s="1" t="n"/>
      <c r="O5893" t="n">
        <v>4.9</v>
      </c>
      <c r="P5893" t="n">
        <v>202</v>
      </c>
      <c r="R5893" t="inlineStr">
        <is>
          <t>InStock</t>
        </is>
      </c>
      <c r="S5893" t="inlineStr">
        <is>
          <t>15.12</t>
        </is>
      </c>
      <c r="T5893" t="inlineStr">
        <is>
          <t>7837735551192</t>
        </is>
      </c>
    </row>
    <row r="5894" hidden="1" ht="15.75" customHeight="1">
      <c r="A5894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5894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5894" t="inlineStr">
        <is>
          <t>Klein Tools 6884INS Insulated Screwdriver, #1 Square Tip, 4-Inch Shank</t>
        </is>
      </c>
      <c r="D5894" t="inlineStr">
        <is>
          <t>Klein Tools 6844INS Insulated Screwdriver, 1000V #2 Square Tip Screwdriver with 4-Inch Shank, Tip-Ident, Cushion-Grip Handle</t>
        </is>
      </c>
      <c r="E5894" s="2">
        <f>HYPERLINK("https://www.amazon.com/Klein-Tools-6844INS-Screwdriver-Cushion-Grip/dp/B0BF7L6BZ6/ref=sr_1_5?keywords=Klein+Tools+6884INS+Insulated+Screwdriver%2C+%231+Square+Tip%2C+4-Inch+Shank&amp;qid=1694735104&amp;sr=8-5", "https://www.amazon.com/Klein-Tools-6844INS-Screwdriver-Cushion-Grip/dp/B0BF7L6BZ6/ref=sr_1_5?keywords=Klein+Tools+6884INS+Insulated+Screwdriver%2C+%231+Square+Tip%2C+4-Inch+Shank&amp;qid=1694735104&amp;sr=8-5")</f>
        <v/>
      </c>
      <c r="F5894" t="inlineStr">
        <is>
          <t>B0BF7L6BZ6</t>
        </is>
      </c>
      <c r="G5894">
        <f>_xludf.IMAGE("https://edmondsonsupply.com/cdn/shop/products/6884ins.jpg?v=1664889244")</f>
        <v/>
      </c>
      <c r="H5894">
        <f>_xludf.IMAGE("https://m.media-amazon.com/images/I/41RKewAXjvL._AC_UL320_.jpg")</f>
        <v/>
      </c>
      <c r="K5894" t="inlineStr">
        <is>
          <t>9.97</t>
        </is>
      </c>
      <c r="L5894" t="n">
        <v>9.99</v>
      </c>
      <c r="M5894" s="1" t="inlineStr">
        <is>
          <t>0.20%</t>
        </is>
      </c>
      <c r="N5894" s="1" t="n"/>
      <c r="O5894" t="n">
        <v>4.9</v>
      </c>
      <c r="P5894" t="n">
        <v>202</v>
      </c>
      <c r="R5894" t="inlineStr">
        <is>
          <t>InStock</t>
        </is>
      </c>
      <c r="S5894" t="inlineStr">
        <is>
          <t>14.98</t>
        </is>
      </c>
      <c r="T5894" t="inlineStr">
        <is>
          <t>7839150735576</t>
        </is>
      </c>
    </row>
    <row r="5895" hidden="1" ht="15.75" customHeight="1">
      <c r="A5895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895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895" t="inlineStr">
        <is>
          <t>Klein Tools 6824INS Insulated Screwdriver, 1/4-Inch Cabinet Tip, 4-Inch Round Shank</t>
        </is>
      </c>
      <c r="D5895" t="inlineStr">
        <is>
          <t>Klein Tools 6824INS Insulated Screwdriver, 1000V 1/4-Inch Cabinet Tip Screwdriver with 4-Inch Shank, Tip-Ident, Cushion-Grip Handle</t>
        </is>
      </c>
      <c r="E5895" s="2">
        <f>HYPERLINK("https://www.amazon.com/Klein-Tools-6824INS-Screwdriver-Cushion-Grip/dp/B0BF78XBPX/ref=sr_1_1?keywords=Klein+Tools+6824INS+Insulated+Screwdriver%2C+1%2F4-Inch+Cabinet+Tip%2C+4-Inch+Round+Shank&amp;qid=1694735115&amp;sr=8-1", "https://www.amazon.com/Klein-Tools-6824INS-Screwdriver-Cushion-Grip/dp/B0BF78XBPX/ref=sr_1_1?keywords=Klein+Tools+6824INS+Insulated+Screwdriver%2C+1%2F4-Inch+Cabinet+Tip%2C+4-Inch+Round+Shank&amp;qid=1694735115&amp;sr=8-1")</f>
        <v/>
      </c>
      <c r="F5895" t="inlineStr">
        <is>
          <t>B0BF78XBPX</t>
        </is>
      </c>
      <c r="G5895">
        <f>_xludf.IMAGE("https://edmondsonsupply.com/cdn/shop/products/6824ins.jpg?v=1664813487")</f>
        <v/>
      </c>
      <c r="H5895">
        <f>_xludf.IMAGE("https://m.media-amazon.com/images/I/410Gu3snLdL._AC_UL320_.jpg")</f>
        <v/>
      </c>
      <c r="K5895" t="inlineStr">
        <is>
          <t>9.97</t>
        </is>
      </c>
      <c r="L5895" t="n">
        <v>9.99</v>
      </c>
      <c r="M5895" s="1" t="inlineStr">
        <is>
          <t>0.20%</t>
        </is>
      </c>
      <c r="N5895" s="1" t="n"/>
      <c r="O5895" t="n">
        <v>4.9</v>
      </c>
      <c r="P5895" t="n">
        <v>202</v>
      </c>
      <c r="R5895" t="inlineStr">
        <is>
          <t>InStock</t>
        </is>
      </c>
      <c r="S5895" t="inlineStr">
        <is>
          <t>15.72</t>
        </is>
      </c>
      <c r="T5895" t="inlineStr">
        <is>
          <t>7837703471320</t>
        </is>
      </c>
    </row>
    <row r="5896" hidden="1" ht="15.75" customHeight="1">
      <c r="A5896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5896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5896" t="inlineStr">
        <is>
          <t>Klein Tools 6824INS Insulated Screwdriver, 1/4-Inch Cabinet Tip, 4-Inch Round Shank</t>
        </is>
      </c>
      <c r="D5896" t="inlineStr">
        <is>
          <t>Klein Tools 6834INS Insulated Screwdriver, 1000V #2 Phillips Tip Screwdriver with 4-Inch Shank, Tip-Ident, Cushion-Grip Handle</t>
        </is>
      </c>
      <c r="E5896" s="2">
        <f>HYPERLINK("https://www.amazon.com/Klein-Tools-6834INS-Screwdriver-Cushion-Grip/dp/B0BF7LCHQ9/ref=sr_1_6?keywords=Klein+Tools+6824INS+Insulated+Screwdriver%2C+1%2F4-Inch+Cabinet+Tip%2C+4-Inch+Round+Shank&amp;qid=1694735115&amp;sr=8-6", "https://www.amazon.com/Klein-Tools-6834INS-Screwdriver-Cushion-Grip/dp/B0BF7LCHQ9/ref=sr_1_6?keywords=Klein+Tools+6824INS+Insulated+Screwdriver%2C+1%2F4-Inch+Cabinet+Tip%2C+4-Inch+Round+Shank&amp;qid=1694735115&amp;sr=8-6")</f>
        <v/>
      </c>
      <c r="F5896" t="inlineStr">
        <is>
          <t>B0BF7LCHQ9</t>
        </is>
      </c>
      <c r="G5896">
        <f>_xludf.IMAGE("https://edmondsonsupply.com/cdn/shop/products/6824ins.jpg?v=1664813487")</f>
        <v/>
      </c>
      <c r="H5896">
        <f>_xludf.IMAGE("https://m.media-amazon.com/images/I/41syzbetq2L._AC_UL320_.jpg")</f>
        <v/>
      </c>
      <c r="K5896" t="inlineStr">
        <is>
          <t>9.97</t>
        </is>
      </c>
      <c r="L5896" t="n">
        <v>9.99</v>
      </c>
      <c r="M5896" s="1" t="inlineStr">
        <is>
          <t>0.20%</t>
        </is>
      </c>
      <c r="N5896" s="1" t="n"/>
      <c r="O5896" t="n">
        <v>5</v>
      </c>
      <c r="P5896" t="n">
        <v>5</v>
      </c>
      <c r="R5896" t="inlineStr">
        <is>
          <t>InStock</t>
        </is>
      </c>
      <c r="S5896" t="inlineStr">
        <is>
          <t>15.72</t>
        </is>
      </c>
      <c r="T5896" t="inlineStr">
        <is>
          <t>7837703471320</t>
        </is>
      </c>
    </row>
    <row r="5897" hidden="1" ht="15.75" customHeight="1">
      <c r="A5897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5897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5897" t="inlineStr">
        <is>
          <t>Diablo Tools DMARG1150 1/2 in. x 4 in. x 6 in. SPEEDemon™ Red Granite Carbide Tipped Hammer Drill Bit</t>
        </is>
      </c>
      <c r="D5897" t="inlineStr">
        <is>
          <t>VALYRIANTOOL 10-Pack 1/2 Inch x 6 Inch SDS Plus Rotary Hammer Drill Bits Set, Carbide Tipped for Brick, Masonry, Stone and Concrete (1/2" x 4" x 6")</t>
        </is>
      </c>
      <c r="E5897" s="2">
        <f>HYPERLINK("https://www.amazon.com/VALYRIANTOOL-10-Pack-Carbide-Masonry-Concrete/dp/B07WBW95MV/ref=sr_1_21?keywords=Diablo+Tools+DMARG1150+1%2F2+in.+x+4+in.+x+6+in.+SPEEDemon%E2%84%A2+Red+Granite+Carbide+Tipped+Hammer+Drill+Bit&amp;qid=1694735282&amp;sr=8-21", "https://www.amazon.com/VALYRIANTOOL-10-Pack-Carbide-Masonry-Concrete/dp/B07WBW95MV/ref=sr_1_21?keywords=Diablo+Tools+DMARG1150+1%2F2+in.+x+4+in.+x+6+in.+SPEEDemon%E2%84%A2+Red+Granite+Carbide+Tipped+Hammer+Drill+Bit&amp;qid=1694735282&amp;sr=8-21")</f>
        <v/>
      </c>
      <c r="F5897" t="inlineStr">
        <is>
          <t>B07WBW95MV</t>
        </is>
      </c>
      <c r="G5897">
        <f>_xludf.IMAGE("https://edmondsonsupply.com/cdn/shop/products/DMARG1150_Main-Image20200702.png?v=1633030510")</f>
        <v/>
      </c>
      <c r="H5897">
        <f>_xludf.IMAGE("https://m.media-amazon.com/images/I/61-27TT0fuL._AC_UL320_.jpg")</f>
        <v/>
      </c>
      <c r="K5897" t="inlineStr">
        <is>
          <t>9.97</t>
        </is>
      </c>
      <c r="L5897" t="n">
        <v>9.99</v>
      </c>
      <c r="M5897" s="1" t="inlineStr">
        <is>
          <t>0.20%</t>
        </is>
      </c>
      <c r="N5897" s="1" t="n"/>
      <c r="O5897" t="n">
        <v>4.3</v>
      </c>
      <c r="P5897" t="n">
        <v>47</v>
      </c>
      <c r="R5897" t="inlineStr">
        <is>
          <t>InStock</t>
        </is>
      </c>
      <c r="S5897" t="inlineStr">
        <is>
          <t>undefined</t>
        </is>
      </c>
      <c r="T5897" t="inlineStr">
        <is>
          <t>5386513907880</t>
        </is>
      </c>
    </row>
    <row r="5898" hidden="1" ht="15.75" customHeight="1">
      <c r="A5898" s="2">
        <f>HYPERLINK("https://edmondsonsupply.com/collections/electricians-tools/products/milwaukee-2732-21hd", "https://edmondsonsupply.com/collections/electricians-tools/products/milwaukee-2732-21hd")</f>
        <v/>
      </c>
      <c r="B5898" s="2">
        <f>HYPERLINK("https://edmondsonsupply.com/products/milwaukee-2732-21hd", "https://edmondsonsupply.com/products/milwaukee-2732-21hd")</f>
        <v/>
      </c>
      <c r="C5898" t="inlineStr">
        <is>
          <t>Milwaukee 2732-21HD M18 FUEL 7-1/4" Circular Saw Kit</t>
        </is>
      </c>
      <c r="D5898" t="inlineStr">
        <is>
          <t>Milwaukee M18 Fuel 2782-22 Cordless Circular Saw Kit, 5-3/8 to 5-7/8 in Blade, 20 mm Arbor/Shank, 18 VDC, M18 Lithium-Ion Battery, Right Blade Side</t>
        </is>
      </c>
      <c r="E5898" s="2">
        <f>HYPERLINK("https://www.amazon.com/Milwaukee-2782-22/dp/B06XS4X4JD/ref=sr_1_12?keywords=Milwaukee+2732-21HD+M18+FUEL+7-1%2F4%22+Circular+Saw+Kit&amp;qid=1694735304&amp;sr=8-12", "https://www.amazon.com/Milwaukee-2782-22/dp/B06XS4X4JD/ref=sr_1_12?keywords=Milwaukee+2732-21HD+M18+FUEL+7-1%2F4%22+Circular+Saw+Kit&amp;qid=1694735304&amp;sr=8-12")</f>
        <v/>
      </c>
      <c r="F5898" t="inlineStr">
        <is>
          <t>B06XS4X4JD</t>
        </is>
      </c>
      <c r="G5898">
        <f>_xludf.IMAGE("https://edmondsonsupply.com/cdn/shop/products/2732-21HD_Kit.png?v=1591470998")</f>
        <v/>
      </c>
      <c r="H5898">
        <f>_xludf.IMAGE("https://m.media-amazon.com/images/I/51J3y0+0cNL._AC_UL320_.jpg")</f>
        <v/>
      </c>
      <c r="K5898" t="inlineStr">
        <is>
          <t>449.0</t>
        </is>
      </c>
      <c r="L5898" t="n">
        <v>449.9</v>
      </c>
      <c r="M5898" s="1" t="inlineStr">
        <is>
          <t>0.20%</t>
        </is>
      </c>
      <c r="N5898" s="1" t="n"/>
      <c r="O5898" t="n">
        <v>3.7</v>
      </c>
      <c r="P5898" t="n">
        <v>21</v>
      </c>
      <c r="R5898" t="inlineStr">
        <is>
          <t>InStock</t>
        </is>
      </c>
      <c r="S5898" t="inlineStr">
        <is>
          <t>790.0</t>
        </is>
      </c>
      <c r="T5898" t="inlineStr">
        <is>
          <t>5279006064808</t>
        </is>
      </c>
    </row>
    <row r="5899" ht="87" customHeight="1">
      <c r="A5899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5899" s="2">
        <f>HYPERLINK("https://edmondsonsupply.com/products/diablo-tools-dag1110-7-8-in-x-7-1-2-in-auger-bit", "https://edmondsonsupply.com/products/diablo-tools-dag1110-7-8-in-x-7-1-2-in-auger-bit")</f>
        <v/>
      </c>
      <c r="C5899" t="inlineStr">
        <is>
          <t>Diablo Tools DAG1110 7/8 in. x 7-1/2 in. Auger Bit</t>
        </is>
      </c>
      <c r="D5899" t="inlineStr">
        <is>
          <t>Diablo 1 in. x 7-1/2 in. Auger Bit</t>
        </is>
      </c>
      <c r="E5899" s="2">
        <f>HYPERLINK("https://www.amazon.com/Diablo-7-1-Auger-Bit/dp/B089LHLLW4/ref=sr_1_9?keywords=Diablo+Tools+DAG1110+7%2F8+in.+x+7-1%2F2+in.+Auger+Bit&amp;qid=1694735001&amp;sr=8-9", "https://www.amazon.com/Diablo-7-1-Auger-Bit/dp/B089LHLLW4/ref=sr_1_9?keywords=Diablo+Tools+DAG1110+7%2F8+in.+x+7-1%2F2+in.+Auger+Bit&amp;qid=1694735001&amp;sr=8-9")</f>
        <v/>
      </c>
      <c r="F5899" t="inlineStr">
        <is>
          <t>B089LHLLW4</t>
        </is>
      </c>
      <c r="G5899">
        <f>_xlfn.IMAGE("https://edmondsonsupply.com/cdn/shop/products/yel7mbaiyy08ii0assd5.webp?v=1680187136")</f>
        <v/>
      </c>
      <c r="H5899">
        <f>_xlfn.IMAGE("https://m.media-amazon.com/images/I/61bFULmp4GL._AC_UL320_.jpg")</f>
        <v/>
      </c>
      <c r="K5899" t="inlineStr">
        <is>
          <t>16.97</t>
        </is>
      </c>
      <c r="L5899" t="n">
        <v>17</v>
      </c>
      <c r="M5899" s="1" t="inlineStr">
        <is>
          <t>0.18%</t>
        </is>
      </c>
      <c r="N5899" s="7" t="n"/>
      <c r="O5899" t="n">
        <v>4.4</v>
      </c>
      <c r="P5899" t="n">
        <v>38</v>
      </c>
      <c r="R5899" t="inlineStr">
        <is>
          <t>InStock</t>
        </is>
      </c>
      <c r="S5899" t="inlineStr">
        <is>
          <t>23.76</t>
        </is>
      </c>
      <c r="T5899" t="inlineStr">
        <is>
          <t>7970459549912</t>
        </is>
      </c>
    </row>
    <row r="5900" hidden="1" ht="15.75" customHeight="1">
      <c r="A5900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5900" s="2">
        <f>HYPERLINK("https://edmondsonsupply.com/products/diablo-tools-dmapl2320-1-2-in-x-10-in-x-12-in-sds-plus-2-cutter", "https://edmondsonsupply.com/products/diablo-tools-dmapl2320-1-2-in-x-10-in-x-12-in-sds-plus-2-cutter")</f>
        <v/>
      </c>
      <c r="C5900" t="inlineStr">
        <is>
          <t>Diablo Tools DMAPL2320 1/2 in. x 10 in. x 12 in. SDS-Plus 2-Cutter</t>
        </is>
      </c>
      <c r="D5900" t="inlineStr">
        <is>
          <t>Diablo DMAPL4120 5/16 in. x 10 in. x 12 in. Rebar Demon™ SDS-Plus 4-Cutter Full Carbide Head Hammer Bit</t>
        </is>
      </c>
      <c r="E5900" s="2">
        <f>HYPERLINK("https://www.amazon.com/Diablo-SDS-Plus-4-Cutter-Carbide-Hammer/dp/B089KTHL12/ref=sr_1_17?keywords=Diablo+Tools+DMAPL2320+1%2F2+in.+x+10+in.+x+12+in.+SDS-Plus+2-Cutter&amp;qid=1694735300&amp;sr=8-17", "https://www.amazon.com/Diablo-SDS-Plus-4-Cutter-Carbide-Hammer/dp/B089KTHL12/ref=sr_1_17?keywords=Diablo+Tools+DMAPL2320+1%2F2+in.+x+10+in.+x+12+in.+SDS-Plus+2-Cutter&amp;qid=1694735300&amp;sr=8-17")</f>
        <v/>
      </c>
      <c r="F5900" t="inlineStr">
        <is>
          <t>B089KTHL12</t>
        </is>
      </c>
      <c r="G5900">
        <f>_xludf.IMAGE("https://edmondsonsupply.com/cdn/shop/products/DMAPL2320.jpg?v=1633030356")</f>
        <v/>
      </c>
      <c r="H5900">
        <f>_xludf.IMAGE("https://m.media-amazon.com/images/I/61P8b1v1TBL._AC_UL320_.jpg")</f>
        <v/>
      </c>
      <c r="K5900" t="inlineStr">
        <is>
          <t>12.97</t>
        </is>
      </c>
      <c r="L5900" t="n">
        <v>12.99</v>
      </c>
      <c r="M5900" s="1" t="inlineStr">
        <is>
          <t>0.15%</t>
        </is>
      </c>
      <c r="N5900" s="1" t="n"/>
      <c r="O5900" t="n">
        <v>5</v>
      </c>
      <c r="P5900" t="n">
        <v>6</v>
      </c>
      <c r="R5900" t="inlineStr">
        <is>
          <t>InStock</t>
        </is>
      </c>
      <c r="S5900" t="inlineStr">
        <is>
          <t>14.25</t>
        </is>
      </c>
      <c r="T5900" t="inlineStr">
        <is>
          <t>5286282264744</t>
        </is>
      </c>
    </row>
    <row r="5901" hidden="1" ht="15.75" customHeight="1">
      <c r="A5901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5901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5901" t="inlineStr">
        <is>
          <t>Klein Tools 6924INS Slim-Tip Insulated Screwdriver, 1/4-Inch Cabinet, 4-Inch Round Shank</t>
        </is>
      </c>
      <c r="D5901" t="inlineStr">
        <is>
          <t>Klein Tools 6944INS Insulated Screwdriver, 1000V Slim Profile Tip, #2 Square with 4-Inch Shank, Cushion-Grip Handle</t>
        </is>
      </c>
      <c r="E5901" s="2">
        <f>HYPERLINK("https://www.amazon.com/Klein-Tools-6944INS-Screwdriver-Cushion-Grip/dp/B09GPYTZV3/ref=sr_1_9?keywords=Klein+Tools+6924INS+Slim-Tip+Insulated+Screwdriver%2C+1%2F4-Inch+Cabinet%2C+4-Inch+Round+Shank&amp;qid=1694735273&amp;sr=8-9", "https://www.amazon.com/Klein-Tools-6944INS-Screwdriver-Cushion-Grip/dp/B09GPYTZV3/ref=sr_1_9?keywords=Klein+Tools+6924INS+Slim-Tip+Insulated+Screwdriver%2C+1%2F4-Inch+Cabinet%2C+4-Inch+Round+Shank&amp;qid=1694735273&amp;sr=8-9")</f>
        <v/>
      </c>
      <c r="F5901" t="inlineStr">
        <is>
          <t>B09GPYTZV3</t>
        </is>
      </c>
      <c r="G5901">
        <f>_xludf.IMAGE("https://edmondsonsupply.com/cdn/shop/products/6924ins.jpg?v=1633030554")</f>
        <v/>
      </c>
      <c r="H5901">
        <f>_xludf.IMAGE("https://m.media-amazon.com/images/I/41PzygwLx+L._AC_UL320_.jpg")</f>
        <v/>
      </c>
      <c r="K5901" t="inlineStr">
        <is>
          <t>13.97</t>
        </is>
      </c>
      <c r="L5901" t="n">
        <v>13.99</v>
      </c>
      <c r="M5901" s="1" t="inlineStr">
        <is>
          <t>0.14%</t>
        </is>
      </c>
      <c r="N5901" s="1" t="n"/>
      <c r="O5901" t="n">
        <v>4.7</v>
      </c>
      <c r="P5901" t="n">
        <v>93</v>
      </c>
      <c r="R5901" t="inlineStr">
        <is>
          <t>InStock</t>
        </is>
      </c>
      <c r="S5901" t="inlineStr">
        <is>
          <t>19.54</t>
        </is>
      </c>
      <c r="T5901" t="inlineStr">
        <is>
          <t>5439557566632</t>
        </is>
      </c>
    </row>
    <row r="5902" hidden="1" ht="15.75" customHeight="1">
      <c r="A5902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5902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5902" t="inlineStr">
        <is>
          <t>Klein Tools 6924INS Slim-Tip Insulated Screwdriver, 1/4-Inch Cabinet, 4-Inch Round Shank</t>
        </is>
      </c>
      <c r="D5902" t="inlineStr">
        <is>
          <t>Klein Tools 6984INS Insulated Screwdriver, 1000V Slim Profile Tip, #1 Square with 4-Inch Shank, Cushion-Grip Handle</t>
        </is>
      </c>
      <c r="E5902" s="2">
        <f>HYPERLINK("https://www.amazon.com/Klein-Tools-6984INS-Screwdriver-Cushion-Grip/dp/B09GPZ5P2M/ref=sr_1_7?keywords=Klein+Tools+6924INS+Slim-Tip+Insulated+Screwdriver%2C+1%2F4-Inch+Cabinet%2C+4-Inch+Round+Shank&amp;qid=1694735273&amp;sr=8-7", "https://www.amazon.com/Klein-Tools-6984INS-Screwdriver-Cushion-Grip/dp/B09GPZ5P2M/ref=sr_1_7?keywords=Klein+Tools+6924INS+Slim-Tip+Insulated+Screwdriver%2C+1%2F4-Inch+Cabinet%2C+4-Inch+Round+Shank&amp;qid=1694735273&amp;sr=8-7")</f>
        <v/>
      </c>
      <c r="F5902" t="inlineStr">
        <is>
          <t>B09GPZ5P2M</t>
        </is>
      </c>
      <c r="G5902">
        <f>_xludf.IMAGE("https://edmondsonsupply.com/cdn/shop/products/6924ins.jpg?v=1633030554")</f>
        <v/>
      </c>
      <c r="H5902">
        <f>_xludf.IMAGE("https://m.media-amazon.com/images/I/41uj4ogsy3L._AC_UL320_.jpg")</f>
        <v/>
      </c>
      <c r="K5902" t="inlineStr">
        <is>
          <t>13.97</t>
        </is>
      </c>
      <c r="L5902" t="n">
        <v>13.99</v>
      </c>
      <c r="M5902" s="1" t="inlineStr">
        <is>
          <t>0.14%</t>
        </is>
      </c>
      <c r="N5902" s="1" t="n"/>
      <c r="O5902" t="n">
        <v>4.8</v>
      </c>
      <c r="P5902" t="n">
        <v>107</v>
      </c>
      <c r="R5902" t="inlineStr">
        <is>
          <t>InStock</t>
        </is>
      </c>
      <c r="S5902" t="inlineStr">
        <is>
          <t>19.54</t>
        </is>
      </c>
      <c r="T5902" t="inlineStr">
        <is>
          <t>5439557566632</t>
        </is>
      </c>
    </row>
    <row r="5903" hidden="1" ht="15.75" customHeight="1">
      <c r="A5903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5903" s="2">
        <f>HYPERLINK("https://edmondsonsupply.com/products/diablo-tools-d0740x-7-1-4-in-x-40-tooth-finish-saw-blade", "https://edmondsonsupply.com/products/diablo-tools-d0740x-7-1-4-in-x-40-tooth-finish-saw-blade")</f>
        <v/>
      </c>
      <c r="C5903" t="inlineStr">
        <is>
          <t>Diablo Tools D0740X 7-1/4 in. x 40 Tooth Finish Saw Blade</t>
        </is>
      </c>
      <c r="D5903" t="inlineStr">
        <is>
          <t>FOXBC 7-1/4" Circular Saw Blade 40 Tooth, Replacement for Freud D0740A Diablo, SKIL 75740W, DeWalt Finishing Saw Blade</t>
        </is>
      </c>
      <c r="E5903" s="2">
        <f>HYPERLINK("https://www.amazon.com/FOXBC-Circular-Replacement-D0740A-Finishing/dp/B0C6L5RLM8/ref=sr_1_5?keywords=Diablo+Tools+D0740X+7-1%2F4+in.+x+40+Tooth+Finish+Saw+Blade&amp;qid=1694735026&amp;sr=8-5", "https://www.amazon.com/FOXBC-Circular-Replacement-D0740A-Finishing/dp/B0C6L5RLM8/ref=sr_1_5?keywords=Diablo+Tools+D0740X+7-1%2F4+in.+x+40+Tooth+Finish+Saw+Blade&amp;qid=1694735026&amp;sr=8-5")</f>
        <v/>
      </c>
      <c r="F5903" t="inlineStr">
        <is>
          <t>B0C6L5RLM8</t>
        </is>
      </c>
      <c r="G5903">
        <f>_xludf.IMAGE("https://edmondsonsupply.com/cdn/shop/products/kdrkrhhsfpivsggxnkhy.webp?v=1678975834")</f>
        <v/>
      </c>
      <c r="H5903">
        <f>_xludf.IMAGE("https://m.media-amazon.com/images/I/71ar9CaHLGL._AC_UL320_.jpg")</f>
        <v/>
      </c>
      <c r="K5903" t="inlineStr">
        <is>
          <t>14.97</t>
        </is>
      </c>
      <c r="L5903" t="n">
        <v>14.99</v>
      </c>
      <c r="M5903" s="1" t="inlineStr">
        <is>
          <t>0.13%</t>
        </is>
      </c>
      <c r="N5903" s="1" t="n"/>
      <c r="O5903" t="n">
        <v>4.4</v>
      </c>
      <c r="P5903" t="n">
        <v>25</v>
      </c>
      <c r="R5903" t="inlineStr">
        <is>
          <t>InStock</t>
        </is>
      </c>
      <c r="S5903" t="inlineStr">
        <is>
          <t>24.4</t>
        </is>
      </c>
      <c r="T5903" t="inlineStr">
        <is>
          <t>7962622787800</t>
        </is>
      </c>
    </row>
    <row r="5904" hidden="1" ht="15.75" customHeight="1">
      <c r="A5904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5904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5904" t="inlineStr">
        <is>
          <t>Klein Tools 32768 3-in-1 Impact Flip Socket Set, 1/4-Inch, 5/16-Inch, 2-Piece</t>
        </is>
      </c>
      <c r="D5904" t="inlineStr">
        <is>
          <t>Klein Tools 32768 Impact Driver, 3-in-1 Impact Flip Socket and Bit Holder, 1/4 and 5/16-Inch Hex Drivers, 3 and 5-Inch Lengths, 2-Piece Set</t>
        </is>
      </c>
      <c r="E5904" s="2">
        <f>HYPERLINK("https://www.amazon.com/16-Inch-Drivers-Klein-Tools-32768/dp/B09Q52LQ5G/ref=sr_1_1?keywords=Klein+Tools+32768+3-in-1+Impact+Flip+Socket+Set%2C+1%2F4-Inch%2C+5%2F16-Inch%2C+2-Piece&amp;qid=1694735099&amp;sr=8-1", "https://www.amazon.com/16-Inch-Drivers-Klein-Tools-32768/dp/B09Q52LQ5G/ref=sr_1_1?keywords=Klein+Tools+32768+3-in-1+Impact+Flip+Socket+Set%2C+1%2F4-Inch%2C+5%2F16-Inch%2C+2-Piece&amp;qid=1694735099&amp;sr=8-1")</f>
        <v/>
      </c>
      <c r="F5904" t="inlineStr">
        <is>
          <t>B09Q52LQ5G</t>
        </is>
      </c>
      <c r="G5904">
        <f>_xludf.IMAGE("https://edmondsonsupply.com/cdn/shop/products/32768.jpg?v=1666022946")</f>
        <v/>
      </c>
      <c r="H5904">
        <f>_xludf.IMAGE("https://m.media-amazon.com/images/I/51WsqEdVfRL._AC_UL320_.jpg")</f>
        <v/>
      </c>
      <c r="K5904" t="inlineStr">
        <is>
          <t>14.97</t>
        </is>
      </c>
      <c r="L5904" t="n">
        <v>14.99</v>
      </c>
      <c r="M5904" s="1" t="inlineStr">
        <is>
          <t>0.13%</t>
        </is>
      </c>
      <c r="N5904" s="1" t="n"/>
      <c r="O5904" t="n">
        <v>4.4</v>
      </c>
      <c r="P5904" t="n">
        <v>1270</v>
      </c>
      <c r="R5904" t="inlineStr">
        <is>
          <t>InStock</t>
        </is>
      </c>
      <c r="S5904" t="inlineStr">
        <is>
          <t>21.98</t>
        </is>
      </c>
      <c r="T5904" t="inlineStr">
        <is>
          <t>7856621977816</t>
        </is>
      </c>
    </row>
    <row r="5905" hidden="1" ht="15.75" customHeight="1">
      <c r="A5905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5905" s="2">
        <f>HYPERLINK("https://edmondsonsupply.com/products/klein-tools-55470-stand-up-zipper-bags-2-pack", "https://edmondsonsupply.com/products/klein-tools-55470-stand-up-zipper-bags-2-pack")</f>
        <v/>
      </c>
      <c r="C5905" t="inlineStr">
        <is>
          <t>Klein Tools 55470 Zipper Bag, Stand-Up Tool Pouch, 2-Pack</t>
        </is>
      </c>
      <c r="D5905" t="inlineStr">
        <is>
          <t>Klein Tools 55559 Stand-Up Zipper Bag Tool Pouch with Carabiners, 7-Inch Blue and 14-Inch Gray Utility Bags with Reinforced Bottom, 2-Pack</t>
        </is>
      </c>
      <c r="E5905" s="2">
        <f>HYPERLINK("https://www.amazon.com/Klein-Tools-55559-Carabiners-Reinforced/dp/B0B11LN6SM/ref=sr_1_6?keywords=Klein+Tools+55470+Zipper+Bag%2C+Stand-Up+Tool+Pouch%2C+2-Pack&amp;qid=1694735348&amp;sr=8-6", "https://www.amazon.com/Klein-Tools-55559-Carabiners-Reinforced/dp/B0B11LN6SM/ref=sr_1_6?keywords=Klein+Tools+55470+Zipper+Bag%2C+Stand-Up+Tool+Pouch%2C+2-Pack&amp;qid=1694735348&amp;sr=8-6")</f>
        <v/>
      </c>
      <c r="F5905" t="inlineStr">
        <is>
          <t>B0B11LN6SM</t>
        </is>
      </c>
      <c r="G5905">
        <f>_xludf.IMAGE("https://edmondsonsupply.com/cdn/shop/products/55470.jpg?v=1587149313")</f>
        <v/>
      </c>
      <c r="H5905">
        <f>_xludf.IMAGE("https://m.media-amazon.com/images/I/51wgn+HFuyL._AC_UL320_.jpg")</f>
        <v/>
      </c>
      <c r="K5905" t="inlineStr">
        <is>
          <t>14.97</t>
        </is>
      </c>
      <c r="L5905" t="n">
        <v>14.99</v>
      </c>
      <c r="M5905" s="1" t="inlineStr">
        <is>
          <t>0.13%</t>
        </is>
      </c>
      <c r="N5905" s="1" t="n"/>
      <c r="O5905" t="n">
        <v>4.8</v>
      </c>
      <c r="P5905" t="n">
        <v>624</v>
      </c>
      <c r="R5905" t="inlineStr">
        <is>
          <t>InStock</t>
        </is>
      </c>
      <c r="S5905" t="inlineStr">
        <is>
          <t>21.5</t>
        </is>
      </c>
      <c r="T5905" t="inlineStr">
        <is>
          <t>1723696971876</t>
        </is>
      </c>
    </row>
    <row r="5906" hidden="1" ht="15.75" customHeight="1">
      <c r="A5906" s="2">
        <f>HYPERLINK("https://edmondsonsupply.com/collections/electricians-tools/products/klein-tools-55470-stand-up-zipper-bags-2-pack", "https://edmondsonsupply.com/collections/electricians-tools/products/klein-tools-55470-stand-up-zipper-bags-2-pack")</f>
        <v/>
      </c>
      <c r="B5906" s="2">
        <f>HYPERLINK("https://edmondsonsupply.com/products/klein-tools-55470-stand-up-zipper-bags-2-pack", "https://edmondsonsupply.com/products/klein-tools-55470-stand-up-zipper-bags-2-pack")</f>
        <v/>
      </c>
      <c r="C5906" t="inlineStr">
        <is>
          <t>Klein Tools 55470 Zipper Bag, Stand-Up Tool Pouch, 2-Pack</t>
        </is>
      </c>
      <c r="D5906" t="inlineStr">
        <is>
          <t>Klein Tools 55470 Utility Bag, Stand-Up Zipper Tool Bags, Tough 1680d Ballistic Weave, Reinforced Bottoms, Orange/Black, Gray/Black, 2-Pack</t>
        </is>
      </c>
      <c r="E5906" s="2">
        <f>HYPERLINK("https://www.amazon.com/Utility-12-5-Inch-Klein-Tools-55470/dp/B075ZYW694/ref=sr_1_1?keywords=Klein+Tools+55470+Zipper+Bag%2C+Stand-Up+Tool+Pouch%2C+2-Pack&amp;qid=1694735348&amp;sr=8-1", "https://www.amazon.com/Utility-12-5-Inch-Klein-Tools-55470/dp/B075ZYW694/ref=sr_1_1?keywords=Klein+Tools+55470+Zipper+Bag%2C+Stand-Up+Tool+Pouch%2C+2-Pack&amp;qid=1694735348&amp;sr=8-1")</f>
        <v/>
      </c>
      <c r="F5906" t="inlineStr">
        <is>
          <t>B075ZYW694</t>
        </is>
      </c>
      <c r="G5906">
        <f>_xludf.IMAGE("https://edmondsonsupply.com/cdn/shop/products/55470.jpg?v=1587149313")</f>
        <v/>
      </c>
      <c r="H5906">
        <f>_xludf.IMAGE("https://m.media-amazon.com/images/I/81mbAy3U-rL._AC_UL320_.jpg")</f>
        <v/>
      </c>
      <c r="K5906" t="inlineStr">
        <is>
          <t>14.97</t>
        </is>
      </c>
      <c r="L5906" t="n">
        <v>14.99</v>
      </c>
      <c r="M5906" s="1" t="inlineStr">
        <is>
          <t>0.13%</t>
        </is>
      </c>
      <c r="N5906" s="1" t="n"/>
      <c r="O5906" t="n">
        <v>4.7</v>
      </c>
      <c r="P5906" t="n">
        <v>3467</v>
      </c>
      <c r="R5906" t="inlineStr">
        <is>
          <t>InStock</t>
        </is>
      </c>
      <c r="S5906" t="inlineStr">
        <is>
          <t>21.5</t>
        </is>
      </c>
      <c r="T5906" t="inlineStr">
        <is>
          <t>1723696971876</t>
        </is>
      </c>
    </row>
    <row r="5907" hidden="1" ht="15.75" customHeight="1">
      <c r="A5907" s="2">
        <f>HYPERLINK("https://edmondsonsupply.com/collections/electricians-tools/products/diablo-tools-pmapc1070-s14-avanti-pro-carbide-tipped-masonry-drill-bit-set", "https://edmondsonsupply.com/collections/electricians-tools/products/diablo-tools-pmapc1070-s14-avanti-pro-carbide-tipped-masonry-drill-bit-set")</f>
        <v/>
      </c>
      <c r="B5907" s="2">
        <f>HYPERLINK("https://edmondsonsupply.com/products/diablo-tools-pmapc1070-s14-avanti-pro-carbide-tipped-masonry-drill-bit-set", "https://edmondsonsupply.com/products/diablo-tools-pmapc1070-s14-avanti-pro-carbide-tipped-masonry-drill-bit-set")</f>
        <v/>
      </c>
      <c r="C5907" t="inlineStr">
        <is>
          <t>Diablo Tools PMAPC1070-S14 Avanti Pro Carbide Tipped Masonry Drill Bit Set</t>
        </is>
      </c>
      <c r="D5907" t="inlineStr">
        <is>
          <t>AvantiPRO PMAPC1070-S14 AvantiPRO Carbide Tipped Masonry Drill Bit Set (14-pieces)</t>
        </is>
      </c>
      <c r="E5907" s="2">
        <f>HYPERLINK("https://www.amazon.com/Diablo-AvantiPRO-Carbide-Masonry-14-pieces/dp/B089LDNJ34/ref=sr_1_1?keywords=Diablo+Tools+PMAPC1070-S14+Avanti+Pro+Carbide+Tipped+Masonry+Drill+Bit+Set&amp;qid=1694735288&amp;sr=8-1", "https://www.amazon.com/Diablo-AvantiPRO-Carbide-Masonry-14-pieces/dp/B089LDNJ34/ref=sr_1_1?keywords=Diablo+Tools+PMAPC1070-S14+Avanti+Pro+Carbide+Tipped+Masonry+Drill+Bit+Set&amp;qid=1694735288&amp;sr=8-1")</f>
        <v/>
      </c>
      <c r="F5907" t="inlineStr">
        <is>
          <t>B089LDNJ34</t>
        </is>
      </c>
      <c r="G5907">
        <f>_xludf.IMAGE("https://edmondsonsupply.com/cdn/shop/products/DiabloPMAPCSAvantiProCarbideTippedMasonryDrillBitSetjpg_1280x1280_7d018642-96f9-4dac-9dd5-2403082e3f91.jpg?v=1633030511")</f>
        <v/>
      </c>
      <c r="H5907">
        <f>_xludf.IMAGE("https://m.media-amazon.com/images/I/51HdVWKlaML._AC_UL320_.jpg")</f>
        <v/>
      </c>
      <c r="K5907" t="inlineStr">
        <is>
          <t>15.97</t>
        </is>
      </c>
      <c r="L5907" t="n">
        <v>15.99</v>
      </c>
      <c r="M5907" s="1" t="inlineStr">
        <is>
          <t>0.13%</t>
        </is>
      </c>
      <c r="N5907" s="1" t="n"/>
      <c r="O5907" t="n">
        <v>2.7</v>
      </c>
      <c r="P5907" t="n">
        <v>2</v>
      </c>
      <c r="R5907" t="inlineStr">
        <is>
          <t>InStock</t>
        </is>
      </c>
      <c r="S5907" t="inlineStr">
        <is>
          <t>19.36</t>
        </is>
      </c>
      <c r="T5907" t="inlineStr">
        <is>
          <t>5386593861800</t>
        </is>
      </c>
    </row>
    <row r="5908" ht="87" customHeight="1">
      <c r="A5908" s="2">
        <f>HYPERLINK("https://edmondsonsupply.com/collections/electricians-tools/products/diablo-tools-doscgx-2-3-4-in-starlock-carbide-grit-oscillating-blade-for-grout-and-mortar", "https://edmondsonsupply.com/collections/electricians-tools/products/diablo-tools-doscgx-2-3-4-in-starlock-carbide-grit-oscillating-blade-for-grout-and-mortar")</f>
        <v/>
      </c>
      <c r="B5908" s="2">
        <f>HYPERLINK("https://edmondsonsupply.com/products/diablo-tools-doscgx-2-3-4-in-starlock-carbide-grit-oscillating-blade-for-grout-and-mortar", "https://edmondsonsupply.com/products/diablo-tools-doscgx-2-3-4-in-starlock-carbide-grit-oscillating-blade-for-grout-and-mortar")</f>
        <v/>
      </c>
      <c r="C5908" t="inlineStr">
        <is>
          <t>Diablo Tools DOSCGX 2-3/4 in. Starlock Carbide Grit Oscillating Blade for Grout and Mortar</t>
        </is>
      </c>
      <c r="D5908" t="inlineStr">
        <is>
          <t>Diablo by Freud DOSCGX 2-3/4 in. Starlock Carbide Grit Oscillating Blade for Grout and Mortar</t>
        </is>
      </c>
      <c r="E5908" s="2">
        <f>HYPERLINK("https://www.amazon.com/Diablo-Freud-DOSCGX-Starlock-Oscillating/dp/B089KW7QCF/ref=sr_1_1?keywords=Diablo+Tools+DOSCGX+2-3%2F4+in.+Starlock+Carbide+Grit+Oscillating+Blade+for+Grout+and+Mortar&amp;qid=1694735191&amp;sr=8-1", "https://www.amazon.com/Diablo-Freud-DOSCGX-Starlock-Oscillating/dp/B089KW7QCF/ref=sr_1_1?keywords=Diablo+Tools+DOSCGX+2-3%2F4+in.+Starlock+Carbide+Grit+Oscillating+Blade+for+Grout+and+Mortar&amp;qid=1694735191&amp;sr=8-1")</f>
        <v/>
      </c>
      <c r="F5908" t="inlineStr">
        <is>
          <t>B089KW7QCF</t>
        </is>
      </c>
      <c r="G5908">
        <f>_xlfn.IMAGE("https://edmondsonsupply.com/cdn/shop/products/DOSCGX_Main-Image_1.png?v=1633031123")</f>
        <v/>
      </c>
      <c r="H5908">
        <f>_xlfn.IMAGE("https://m.media-amazon.com/images/I/61MNfQjWr0L._AC_UL320_.jpg")</f>
        <v/>
      </c>
      <c r="K5908" t="inlineStr">
        <is>
          <t>23.97</t>
        </is>
      </c>
      <c r="L5908" t="n">
        <v>24</v>
      </c>
      <c r="M5908" s="1" t="inlineStr">
        <is>
          <t>0.13%</t>
        </is>
      </c>
      <c r="N5908" s="7" t="n"/>
      <c r="O5908" t="n">
        <v>4.6</v>
      </c>
      <c r="P5908" t="n">
        <v>7</v>
      </c>
      <c r="R5908" t="inlineStr">
        <is>
          <t>InStock</t>
        </is>
      </c>
      <c r="S5908" t="inlineStr">
        <is>
          <t>34.47</t>
        </is>
      </c>
      <c r="T5908" t="inlineStr">
        <is>
          <t>6866522341549</t>
        </is>
      </c>
    </row>
    <row r="5909" ht="87" customHeight="1">
      <c r="A5909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5909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5909" t="inlineStr">
        <is>
          <t>Klein Tools JTH6E17 1/2-Inch Hex Journeyman T-Handle 6-Inch</t>
        </is>
      </c>
      <c r="D5909" t="inlineStr">
        <is>
          <t>Klein Tools JTH4E17 1/2-Inch Hex Key with Journeyman T-Handle, 4-Inch</t>
        </is>
      </c>
      <c r="E5909" s="2">
        <f>HYPERLINK("https://www.amazon.com/Journeyman-T-Handle-Klein-Tools-JTH4E17/dp/B004LRBOA8/ref=sr_1_4?keywords=Klein+Tools+JTH6E17+1%2F2-Inch+Hex+Journeyman+T-Handle+6-Inch&amp;qid=1694735359&amp;sr=8-4", "https://www.amazon.com/Journeyman-T-Handle-Klein-Tools-JTH4E17/dp/B004LRBOA8/ref=sr_1_4?keywords=Klein+Tools+JTH6E17+1%2F2-Inch+Hex+Journeyman+T-Handle+6-Inch&amp;qid=1694735359&amp;sr=8-4")</f>
        <v/>
      </c>
      <c r="F5909" t="inlineStr">
        <is>
          <t>B004LRBOA8</t>
        </is>
      </c>
      <c r="G5909">
        <f>_xlfn.IMAGE("https://edmondsonsupply.com/cdn/shop/products/jth6e15_80623668-f320-404f-929d-7d7e04a8b5aa.jpg?v=1587146378")</f>
        <v/>
      </c>
      <c r="H5909">
        <f>_xlfn.IMAGE("https://m.media-amazon.com/images/I/41kJkcAGkqL._AC_UL320_.jpg")</f>
        <v/>
      </c>
      <c r="K5909" t="inlineStr">
        <is>
          <t>19.99</t>
        </is>
      </c>
      <c r="L5909" t="n">
        <v>20.01</v>
      </c>
      <c r="M5909" s="1" t="inlineStr">
        <is>
          <t>0.10%</t>
        </is>
      </c>
      <c r="N5909" s="7" t="n"/>
      <c r="O5909" t="n">
        <v>4.7</v>
      </c>
      <c r="P5909" t="n">
        <v>44</v>
      </c>
      <c r="R5909" t="inlineStr">
        <is>
          <t>InStock</t>
        </is>
      </c>
      <c r="S5909" t="inlineStr">
        <is>
          <t>30.28</t>
        </is>
      </c>
      <c r="T5909" t="inlineStr">
        <is>
          <t>4431817605220</t>
        </is>
      </c>
    </row>
    <row r="5910" ht="87" customHeight="1">
      <c r="A5910" s="2">
        <f>HYPERLINK("https://edmondsonsupply.com/collections/electricians-tools/products/klein-tools-55461-tradesman-pro%E2%84%A2-phone-holder-large", "https://edmondsonsupply.com/collections/electricians-tools/products/klein-tools-55461-tradesman-pro%E2%84%A2-phone-holder-large")</f>
        <v/>
      </c>
      <c r="B5910" s="2">
        <f>HYPERLINK("https://edmondsonsupply.com/products/klein-tools-55461-tradesman-pro%e2%84%a2-phone-holder-large", "https://edmondsonsupply.com/products/klein-tools-55461-tradesman-pro%e2%84%a2-phone-holder-large")</f>
        <v/>
      </c>
      <c r="C5910" t="inlineStr">
        <is>
          <t>Klein Tools 55461 Tradesman Pro™ Phone Holder, Large</t>
        </is>
      </c>
      <c r="D5910" t="inlineStr">
        <is>
          <t>Klein Tools 55564 Tradesman Pro Camo Phone Holder, X-Large</t>
        </is>
      </c>
      <c r="E5910" s="2">
        <f>HYPERLINK("https://www.amazon.com/Klein-Tools-55564-Tradesman-X-Large/dp/B0164D8AL2/ref=sr_1_2?keywords=Klein+Tools+55461+Tradesman+Pro%E2%84%A2+Phone+Holder%2C+Large&amp;qid=1694735258&amp;sr=8-2", "https://www.amazon.com/Klein-Tools-55564-Tradesman-X-Large/dp/B0164D8AL2/ref=sr_1_2?keywords=Klein+Tools+55461+Tradesman+Pro%E2%84%A2+Phone+Holder%2C+Large&amp;qid=1694735258&amp;sr=8-2")</f>
        <v/>
      </c>
      <c r="F5910" t="inlineStr">
        <is>
          <t>B0164D8AL2</t>
        </is>
      </c>
      <c r="G5910">
        <f>_xlfn.IMAGE("https://edmondsonsupply.com/cdn/shop/products/55461.jpg?v=1680104125")</f>
        <v/>
      </c>
      <c r="H5910">
        <f>_xlfn.IMAGE("https://m.media-amazon.com/images/I/71f8lYMzjVS._AC_UL320_.jpg")</f>
        <v/>
      </c>
      <c r="K5910" t="inlineStr">
        <is>
          <t>24.97</t>
        </is>
      </c>
      <c r="L5910" t="n">
        <v>24.99</v>
      </c>
      <c r="M5910" s="1" t="inlineStr">
        <is>
          <t>0.08%</t>
        </is>
      </c>
      <c r="N5910" s="7" t="n"/>
      <c r="O5910" t="n">
        <v>4.6</v>
      </c>
      <c r="P5910" t="n">
        <v>884</v>
      </c>
      <c r="R5910" t="inlineStr">
        <is>
          <t>InStock</t>
        </is>
      </c>
      <c r="S5910" t="inlineStr">
        <is>
          <t>37.04</t>
        </is>
      </c>
      <c r="T5910" t="inlineStr">
        <is>
          <t>5816030494888</t>
        </is>
      </c>
    </row>
    <row r="5911" ht="87" customHeight="1">
      <c r="A5911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5911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5911" t="inlineStr">
        <is>
          <t>Klein Tools NCVT1PKIT Non-Contact Voltage and GFCI Receptacle Test Kit</t>
        </is>
      </c>
      <c r="D5911" t="inlineStr">
        <is>
          <t>Klein Tools NCVT1XTKIT Non-Contact Voltage Detector Pen and GFCI Outlet Premium Test Kit, 70V to 1000V AC, Detects Common Wiring Problems,Red</t>
        </is>
      </c>
      <c r="E5911" s="2">
        <f>HYPERLINK("https://www.amazon.com/Klein-Tools-NCVT1XTKIT-Non-Contact-Detector/dp/B0BNLRMNF2/ref=sr_1_5?keywords=Klein+Tools+NCVT1PKIT+Non-Contact+Voltage+and+GFCI+Receptacle+Test+Kit&amp;qid=1694735031&amp;sr=8-5", "https://www.amazon.com/Klein-Tools-NCVT1XTKIT-Non-Contact-Detector/dp/B0BNLRMNF2/ref=sr_1_5?keywords=Klein+Tools+NCVT1PKIT+Non-Contact+Voltage+and+GFCI+Receptacle+Test+Kit&amp;qid=1694735031&amp;sr=8-5")</f>
        <v/>
      </c>
      <c r="F5911" t="inlineStr">
        <is>
          <t>B0BNLRMNF2</t>
        </is>
      </c>
      <c r="G5911">
        <f>_xlfn.IMAGE("https://edmondsonsupply.com/cdn/shop/products/ncvt1pkit.jpg?v=1677682920")</f>
        <v/>
      </c>
      <c r="H5911">
        <f>_xlfn.IMAGE("https://m.media-amazon.com/images/I/51enmFcuhEL._AC_UL320_.jpg")</f>
        <v/>
      </c>
      <c r="K5911" t="inlineStr">
        <is>
          <t>24.97</t>
        </is>
      </c>
      <c r="L5911" t="n">
        <v>24.99</v>
      </c>
      <c r="M5911" s="1" t="inlineStr">
        <is>
          <t>0.08%</t>
        </is>
      </c>
      <c r="N5911" s="7" t="n"/>
      <c r="O5911" t="n">
        <v>4.7</v>
      </c>
      <c r="P5911" t="n">
        <v>4222</v>
      </c>
      <c r="R5911" t="inlineStr">
        <is>
          <t>InStock</t>
        </is>
      </c>
      <c r="S5911" t="inlineStr">
        <is>
          <t>35.38</t>
        </is>
      </c>
      <c r="T5911" t="inlineStr">
        <is>
          <t>7953960698072</t>
        </is>
      </c>
    </row>
    <row r="5912" ht="87" customHeight="1">
      <c r="A5912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5912" s="2">
        <f>HYPERLINK("https://edmondsonsupply.com/products/klein-tools-56028-flashlight-with-worklight-led-flashlight", "https://edmondsonsupply.com/products/klein-tools-56028-flashlight-with-worklight-led-flashlight")</f>
        <v/>
      </c>
      <c r="C5912" t="inlineStr">
        <is>
          <t>Klein Tools 56028 LED Flashlight with Work Light</t>
        </is>
      </c>
      <c r="D5912" t="inlineStr">
        <is>
          <t>Blackfire - Klein Tools Outdoors - Rechargeable Waterproof Pocket Flashlight BBM6411, 275 Lumen, Dual-Direction Pocket Clip with Lanyard for Outdoor Use, Camping, Hunting, Work</t>
        </is>
      </c>
      <c r="E5912" s="2">
        <f>HYPERLINK("https://www.amazon.com/Blackfire-Rechargeable-Waterproof-BBM6411-Dual-Direction/dp/B0973SR954/ref=sr_1_6?keywords=Klein+Tools+56028+LED+Flashlight+with+Work+Light&amp;qid=1694735208&amp;sr=8-6", "https://www.amazon.com/Blackfire-Rechargeable-Waterproof-BBM6411-Dual-Direction/dp/B0973SR954/ref=sr_1_6?keywords=Klein+Tools+56028+LED+Flashlight+with+Work+Light&amp;qid=1694735208&amp;sr=8-6")</f>
        <v/>
      </c>
      <c r="F5912" t="inlineStr">
        <is>
          <t>B0973SR954</t>
        </is>
      </c>
      <c r="G5912">
        <f>_xlfn.IMAGE("https://edmondsonsupply.com/cdn/shop/products/56028.jpg?v=1587148656")</f>
        <v/>
      </c>
      <c r="H5912">
        <f>_xlfn.IMAGE("https://m.media-amazon.com/images/I/61lqPHvKTUL._AC_UL320_.jpg")</f>
        <v/>
      </c>
      <c r="K5912" t="inlineStr">
        <is>
          <t>26.97</t>
        </is>
      </c>
      <c r="L5912" t="n">
        <v>26.99</v>
      </c>
      <c r="M5912" s="1" t="inlineStr">
        <is>
          <t>0.07%</t>
        </is>
      </c>
      <c r="N5912" s="7" t="n"/>
      <c r="O5912" t="n">
        <v>4.3</v>
      </c>
      <c r="P5912" t="n">
        <v>25</v>
      </c>
      <c r="R5912" t="inlineStr">
        <is>
          <t>InStock</t>
        </is>
      </c>
      <c r="S5912" t="inlineStr">
        <is>
          <t>41.04</t>
        </is>
      </c>
      <c r="T5912" t="inlineStr">
        <is>
          <t>1778913050724</t>
        </is>
      </c>
    </row>
    <row r="5913" ht="87" customHeight="1">
      <c r="A5913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5913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5913" t="inlineStr">
        <is>
          <t>Klein Tools ET45VP AC/DC Voltage and GFCI Receptacle Outlet Test Kit</t>
        </is>
      </c>
      <c r="D5913" t="inlineStr">
        <is>
          <t>Case Compatible with Klein ET310 Tool AC Circuit Breaker Finder 80041 Outlet Repair Tool Kit RT250 Integrated GFCI Receptacle Tester and Accessories Electrical Tools Bag Storage Organizer</t>
        </is>
      </c>
      <c r="E5913" s="2">
        <f>HYPERLINK("https://www.amazon.com/Compatible-Electrical-Organizer-Integrated-Accessories/dp/B097QT7TN8/ref=sr_1_21?keywords=Klein+Tools+ET45VP+AC%2FDC+Voltage+and+GFCI+Receptacle+Outlet+Test+Kit&amp;qid=1694735138&amp;sr=8-21", "https://www.amazon.com/Compatible-Electrical-Organizer-Integrated-Accessories/dp/B097QT7TN8/ref=sr_1_21?keywords=Klein+Tools+ET45VP+AC%2FDC+Voltage+and+GFCI+Receptacle+Outlet+Test+Kit&amp;qid=1694735138&amp;sr=8-21")</f>
        <v/>
      </c>
      <c r="F5913" t="inlineStr">
        <is>
          <t>B097QT7TN8</t>
        </is>
      </c>
      <c r="G5913">
        <f>_xlfn.IMAGE("https://edmondsonsupply.com/cdn/shop/products/et45vp.jpg?v=1660755922")</f>
        <v/>
      </c>
      <c r="H5913">
        <f>_xlfn.IMAGE("https://m.media-amazon.com/images/I/918qW8otzjL._AC_UL320_.jpg")</f>
        <v/>
      </c>
      <c r="K5913" t="inlineStr">
        <is>
          <t>17.97</t>
        </is>
      </c>
      <c r="L5913" t="n">
        <v>17.98</v>
      </c>
      <c r="M5913" s="1" t="inlineStr">
        <is>
          <t>0.06%</t>
        </is>
      </c>
      <c r="N5913" s="7" t="n"/>
      <c r="O5913" t="n">
        <v>4.5</v>
      </c>
      <c r="P5913" t="n">
        <v>1272</v>
      </c>
      <c r="R5913" t="inlineStr">
        <is>
          <t>InStock</t>
        </is>
      </c>
      <c r="S5913" t="inlineStr">
        <is>
          <t>25.82</t>
        </is>
      </c>
      <c r="T5913" t="inlineStr">
        <is>
          <t>7783562084568</t>
        </is>
      </c>
    </row>
    <row r="5914" ht="87" customHeight="1">
      <c r="A5914" s="2">
        <f>HYPERLINK("https://edmondsonsupply.com/collections/electricians-tools/products/diablo-tools-dou3bs-3-pc-universal-fit-bi-metal-oscillating-blade-set", "https://edmondsonsupply.com/collections/electricians-tools/products/diablo-tools-dou3bs-3-pc-universal-fit-bi-metal-oscillating-blade-set")</f>
        <v/>
      </c>
      <c r="B5914" s="2">
        <f>HYPERLINK("https://edmondsonsupply.com/products/diablo-tools-dou3bs-3-pc-universal-fit-bi-metal-oscillating-blade-set", "https://edmondsonsupply.com/products/diablo-tools-dou3bs-3-pc-universal-fit-bi-metal-oscillating-blade-set")</f>
        <v/>
      </c>
      <c r="C5914" t="inlineStr">
        <is>
          <t>Diablo Tools DOU3BS 3 pc Universal Fit Bi-Metal Oscillating Blade Set</t>
        </is>
      </c>
      <c r="D5914" t="inlineStr">
        <is>
          <t>Diablo by Freud DOU3CS 3 pc Universal Fit Carbide Oscillating Blade Set (3-Piece)</t>
        </is>
      </c>
      <c r="E5914" s="2">
        <f>HYPERLINK("https://www.amazon.com/Diablo-Freud-DOU3CS-Universal-Oscillating/dp/B089LLB6C4/ref=sr_1_2?keywords=Diablo+Tools+DOU3BS+3+pc+Universal+Fit+Bi-Metal+Oscillating+Blade+Set&amp;qid=1694734992&amp;sr=8-2", "https://www.amazon.com/Diablo-Freud-DOU3CS-Universal-Oscillating/dp/B089LLB6C4/ref=sr_1_2?keywords=Diablo+Tools+DOU3BS+3+pc+Universal+Fit+Bi-Metal+Oscillating+Blade+Set&amp;qid=1694734992&amp;sr=8-2")</f>
        <v/>
      </c>
      <c r="F5914" t="inlineStr">
        <is>
          <t>B089LLB6C4</t>
        </is>
      </c>
      <c r="G5914">
        <f>_xlfn.IMAGE("https://edmondsonsupply.com/cdn/shop/files/mhkfr9y3q3vrvammfqa0.webp?v=1685721273")</f>
        <v/>
      </c>
      <c r="H5914">
        <f>_xlfn.IMAGE("https://m.media-amazon.com/images/I/711kdXnfvhL._AC_UL320_.jpg")</f>
        <v/>
      </c>
      <c r="K5914" t="inlineStr">
        <is>
          <t>37.97</t>
        </is>
      </c>
      <c r="L5914" t="n">
        <v>37.99</v>
      </c>
      <c r="M5914" s="1" t="inlineStr">
        <is>
          <t>0.05%</t>
        </is>
      </c>
      <c r="N5914" s="7" t="n"/>
      <c r="O5914" t="n">
        <v>4.6</v>
      </c>
      <c r="P5914" t="n">
        <v>91</v>
      </c>
      <c r="R5914" t="inlineStr">
        <is>
          <t>InStock</t>
        </is>
      </c>
      <c r="S5914" t="inlineStr">
        <is>
          <t>64.36</t>
        </is>
      </c>
      <c r="T5914" t="inlineStr">
        <is>
          <t>7999591088344</t>
        </is>
      </c>
    </row>
    <row r="5915" ht="87" customHeight="1">
      <c r="A5915" s="2">
        <f>HYPERLINK("https://edmondsonsupply.com/collections/electricians-tools/products/klein-tools-j2000-59-diagonal-cutting-pliers-heavy-duty-journeyman-9-inch", "https://edmondsonsupply.com/collections/electricians-tools/products/klein-tools-j2000-59-diagonal-cutting-pliers-heavy-duty-journeyman-9-inch")</f>
        <v/>
      </c>
      <c r="B5915" s="2">
        <f>HYPERLINK("https://edmondsonsupply.com/products/klein-tools-j2000-59-diagonal-cutting-pliers-heavy-duty-journeyman-9-inch", "https://edmondsonsupply.com/products/klein-tools-j2000-59-diagonal-cutting-pliers-heavy-duty-journeyman-9-inch")</f>
        <v/>
      </c>
      <c r="C5915" t="inlineStr">
        <is>
          <t>Klein Tools J2000-59 Diagonal Cutting Pliers, Heavy-Duty Journeyman, 9-Inch</t>
        </is>
      </c>
      <c r="D5915" t="inlineStr">
        <is>
          <t>Klein Tools J2000-48 Pliers, Diagonal Cutting Pliers with Angled Head, Heavy-Duty to Cut ACSR, Screws, Nails, and most Hardened Wire, 8-Inch</t>
        </is>
      </c>
      <c r="E5915" s="2">
        <f>HYPERLINK("https://www.amazon.com/Klein-Tools-J2000-48-Diagonal-Cutters/dp/B0006M6Y8O/ref=sr_1_2?keywords=Klein+Tools+J2000-59+Diagonal+Cutting+Pliers%2C+Heavy-Duty+Journeyman%2C+9-Inch&amp;qid=1694735247&amp;sr=8-2", "https://www.amazon.com/Klein-Tools-J2000-48-Diagonal-Cutters/dp/B0006M6Y8O/ref=sr_1_2?keywords=Klein+Tools+J2000-59+Diagonal+Cutting+Pliers%2C+Heavy-Duty+Journeyman%2C+9-Inch&amp;qid=1694735247&amp;sr=8-2")</f>
        <v/>
      </c>
      <c r="F5915" t="inlineStr">
        <is>
          <t>B0006M6Y8O</t>
        </is>
      </c>
      <c r="G5915">
        <f>_xlfn.IMAGE("https://edmondsonsupply.com/cdn/shop/products/j200059.jpg?v=1633030755")</f>
        <v/>
      </c>
      <c r="H5915">
        <f>_xlfn.IMAGE("https://m.media-amazon.com/images/I/41ZnJLE+YFL._AC_UL320_.jpg")</f>
        <v/>
      </c>
      <c r="K5915" t="inlineStr">
        <is>
          <t>39.97</t>
        </is>
      </c>
      <c r="L5915" t="n">
        <v>39.99</v>
      </c>
      <c r="M5915" s="1" t="inlineStr">
        <is>
          <t>0.05%</t>
        </is>
      </c>
      <c r="N5915" s="7" t="n"/>
      <c r="O5915" t="n">
        <v>4.8</v>
      </c>
      <c r="P5915" t="n">
        <v>1553</v>
      </c>
      <c r="R5915" t="inlineStr">
        <is>
          <t>InStock</t>
        </is>
      </c>
      <c r="S5915" t="inlineStr">
        <is>
          <t>55.98</t>
        </is>
      </c>
      <c r="T5915" t="inlineStr">
        <is>
          <t>5909578809512</t>
        </is>
      </c>
    </row>
    <row r="5916" ht="87" customHeight="1">
      <c r="A5916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5916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5916" t="inlineStr">
        <is>
          <t>Klein Tools 69149P Test Kit with Multimeter, Non-Contact Volt Tester, Receptacle Tester</t>
        </is>
      </c>
      <c r="D5916" t="inlineStr">
        <is>
          <t>Klein Tools RT250KIT Non-Contact Voltage Tester and GFCI Receptacle Tester with LCD and Flashlight, Voltage Electrical Test Kit</t>
        </is>
      </c>
      <c r="E5916" s="2">
        <f>HYPERLINK("https://www.amazon.com/Non-Contact-Receptacle-Klein-Tools-RT250KIT/dp/B08YDFQ2FV/ref=sr_1_10?keywords=Klein+Tools+69149P+Test+Kit+with+Multimeter%2C+Non-Contact+Volt+Tester%2C+Receptacle+Tester&amp;qid=1694735230&amp;sr=8-10", "https://www.amazon.com/Non-Contact-Receptacle-Klein-Tools-RT250KIT/dp/B08YDFQ2FV/ref=sr_1_10?keywords=Klein+Tools+69149P+Test+Kit+with+Multimeter%2C+Non-Contact+Volt+Tester%2C+Receptacle+Tester&amp;qid=1694735230&amp;sr=8-10")</f>
        <v/>
      </c>
      <c r="F5916" t="inlineStr">
        <is>
          <t>B08YDFQ2FV</t>
        </is>
      </c>
      <c r="G5916">
        <f>_xlfn.IMAGE("https://edmondsonsupply.com/cdn/shop/products/69149p.jpg?v=1664479017")</f>
        <v/>
      </c>
      <c r="H5916">
        <f>_xlfn.IMAGE("https://m.media-amazon.com/images/I/61WaBlkJfxL._AC_UL320_.jpg")</f>
        <v/>
      </c>
      <c r="K5916" t="inlineStr">
        <is>
          <t>39.97</t>
        </is>
      </c>
      <c r="L5916" t="n">
        <v>39.99</v>
      </c>
      <c r="M5916" s="1" t="inlineStr">
        <is>
          <t>0.05%</t>
        </is>
      </c>
      <c r="N5916" s="7" t="n"/>
      <c r="O5916" t="n">
        <v>4.8</v>
      </c>
      <c r="P5916" t="n">
        <v>1264</v>
      </c>
      <c r="R5916" t="inlineStr">
        <is>
          <t>InStock</t>
        </is>
      </c>
      <c r="S5916" t="inlineStr">
        <is>
          <t>63.9</t>
        </is>
      </c>
      <c r="T5916" t="inlineStr">
        <is>
          <t>6584860606637</t>
        </is>
      </c>
    </row>
    <row r="5917" ht="87" customHeight="1">
      <c r="A5917" s="2">
        <f>HYPERLINK("https://edmondsonsupply.com/collections/electricians-tools/products/klein-tools-66030-2-in-1-coated-impact-socket-12-point-3-4-and-9-16-inch", "https://edmondsonsupply.com/collections/electricians-tools/products/klein-tools-66030-2-in-1-coated-impact-socket-12-point-3-4-and-9-16-inch")</f>
        <v/>
      </c>
      <c r="B5917" s="2">
        <f>HYPERLINK("https://edmondsonsupply.com/products/klein-tools-66030-2-in-1-coated-impact-socket-12-point-3-4-and-9-16-inch", "https://edmondsonsupply.com/products/klein-tools-66030-2-in-1-coated-impact-socket-12-point-3-4-and-9-16-inch")</f>
        <v/>
      </c>
      <c r="C5917" t="inlineStr">
        <is>
          <t>Klein Tools 66030 2-in-1 Coated Impact Socket, 12-Point, 3/4 and 9/16-Inch</t>
        </is>
      </c>
      <c r="D5917" t="inlineStr">
        <is>
          <t>Klein Tools 66031 3-in-1 Slotted Impact Socket, 12-Point Deep Sockets, Coaxial Spring Loaded, 3/4 and 9/16-Inch Hex Sizes, 1/2-Inch Drive</t>
        </is>
      </c>
      <c r="E5917" s="2">
        <f>HYPERLINK("https://www.amazon.com/Klein-Tools-66031-Slotted-12-Point/dp/B08R6FL5P8/ref=sr_1_3?keywords=Klein+Tools+66030+2-in-1+Coated+Impact+Socket%2C+12-Point%2C+3%2F4+and+9%2F16-Inch&amp;qid=1694735096&amp;sr=8-3", "https://www.amazon.com/Klein-Tools-66031-Slotted-12-Point/dp/B08R6FL5P8/ref=sr_1_3?keywords=Klein+Tools+66030+2-in-1+Coated+Impact+Socket%2C+12-Point%2C+3%2F4+and+9%2F16-Inch&amp;qid=1694735096&amp;sr=8-3")</f>
        <v/>
      </c>
      <c r="F5917" t="inlineStr">
        <is>
          <t>B08R6FL5P8</t>
        </is>
      </c>
      <c r="G5917">
        <f>_xlfn.IMAGE("https://edmondsonsupply.com/cdn/shop/products/66030.jpg?v=1666027133")</f>
        <v/>
      </c>
      <c r="H5917">
        <f>_xlfn.IMAGE("https://m.media-amazon.com/images/I/51mIf57QKuL._AC_UL320_.jpg")</f>
        <v/>
      </c>
      <c r="K5917" t="inlineStr">
        <is>
          <t>49.98</t>
        </is>
      </c>
      <c r="L5917" t="n">
        <v>49.99</v>
      </c>
      <c r="M5917" s="1" t="inlineStr">
        <is>
          <t>0.02%</t>
        </is>
      </c>
      <c r="N5917" s="7" t="n"/>
      <c r="O5917" t="n">
        <v>4.8</v>
      </c>
      <c r="P5917" t="n">
        <v>661</v>
      </c>
      <c r="R5917" t="inlineStr">
        <is>
          <t>InStock</t>
        </is>
      </c>
      <c r="S5917" t="inlineStr">
        <is>
          <t>83.3</t>
        </is>
      </c>
      <c r="T5917" t="inlineStr">
        <is>
          <t>7856657858776</t>
        </is>
      </c>
    </row>
    <row r="5918" ht="87" customHeight="1">
      <c r="A5918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5918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5918" t="inlineStr">
        <is>
          <t>Diablo Tools DMAPL4080-P25 1/4 in. x 6 in. x 8 in. Rebar Demon™ SDS-Plus 4-Cutter Full Carbide Head Hammer Bit (25 Pack)</t>
        </is>
      </c>
      <c r="D5918" t="inlineStr">
        <is>
          <t>Diablo by Freud DMAPL4180-P25 1/2 in. x 4 in. x 6 in. Rebar Demon SDS-Plus 4-Cutter Full Carbide Head Hammer Bit (25-Pack) Multi, One Size</t>
        </is>
      </c>
      <c r="E5918" s="2">
        <f>HYPERLINK("https://www.amazon.com/Diablo-Rebar-4-Cutter-Carbide-Hammer/dp/B089LGWV7F/ref=sr_1_4?keywords=Diablo+Tools+DMAPL4080-P25+1%2F4+in.+x+6+in.+x+8+in.+Rebar+Demon%E2%84%A2+SDS-Plus+4-Cutter+Full+Carbide+Head+Hammer+Bit+%2825+Pack%29&amp;qid=1694735261&amp;sr=8-4", "https://www.amazon.com/Diablo-Rebar-4-Cutter-Carbide-Hammer/dp/B089LGWV7F/ref=sr_1_4?keywords=Diablo+Tools+DMAPL4080-P25+1%2F4+in.+x+6+in.+x+8+in.+Rebar+Demon%E2%84%A2+SDS-Plus+4-Cutter+Full+Carbide+Head+Hammer+Bit+%2825+Pack%29&amp;qid=1694735261&amp;sr=8-4")</f>
        <v/>
      </c>
      <c r="F5918" t="inlineStr">
        <is>
          <t>B089LGWV7F</t>
        </is>
      </c>
      <c r="G5918">
        <f>_xlfn.IMAGE("https://edmondsonsupply.com/cdn/shop/products/DMAPL4080-P25_Main-Image20200701.png?v=1633030623")</f>
        <v/>
      </c>
      <c r="H5918">
        <f>_xlfn.IMAGE("https://m.media-amazon.com/images/I/61q9iw+mKpL._AC_UL320_.jpg")</f>
        <v/>
      </c>
      <c r="K5918" t="inlineStr">
        <is>
          <t>99.97</t>
        </is>
      </c>
      <c r="L5918" t="n">
        <v>99.98999999999999</v>
      </c>
      <c r="M5918" s="1" t="inlineStr">
        <is>
          <t>0.02%</t>
        </is>
      </c>
      <c r="N5918" s="7" t="n"/>
      <c r="O5918" t="n">
        <v>5</v>
      </c>
      <c r="P5918" t="n">
        <v>2</v>
      </c>
      <c r="R5918" t="inlineStr">
        <is>
          <t>InStock</t>
        </is>
      </c>
      <c r="S5918" t="inlineStr">
        <is>
          <t>144.22</t>
        </is>
      </c>
      <c r="T5918" t="inlineStr">
        <is>
          <t>5660158918824</t>
        </is>
      </c>
    </row>
    <row r="5919" ht="87" customHeight="1">
      <c r="A5919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5919" s="2">
        <f>HYPERLINK("https://edmondsonsupply.com/products/klein-tools-631m-magnetic-nut-driver-set-3-inch-shaft-7-piece", "https://edmondsonsupply.com/products/klein-tools-631m-magnetic-nut-driver-set-3-inch-shaft-7-piece")</f>
        <v/>
      </c>
      <c r="C5919" t="inlineStr">
        <is>
          <t>Klein Tools 631M Magnetic Nut Driver Set 3-Inch Shaft, 7 Piece</t>
        </is>
      </c>
      <c r="D5919" t="inlineStr">
        <is>
          <t>Klein Tools 631M Tool Set, Magnetic Nut Drivers Sizes 3/16, 1/4, 5/16, 11/32, 3/8, 7/16 and 1/2-Inch on 3-Inch Full Hollow Shaft, 7-Piece</t>
        </is>
      </c>
      <c r="E5919" s="2">
        <f>HYPERLINK("https://www.amazon.com/Driver-Magnetic-3-Inch-Hollow-Klein/dp/B001BQ0DNG/ref=sr_1_1?keywords=Klein+Tools+631M+Magnetic+Nut+Driver+Set+3-Inch+Shaft%2C+7+Piece&amp;qid=1694735377&amp;sr=8-1", "https://www.amazon.com/Driver-Magnetic-3-Inch-Hollow-Klein/dp/B001BQ0DNG/ref=sr_1_1?keywords=Klein+Tools+631M+Magnetic+Nut+Driver+Set+3-Inch+Shaft%2C+7+Piece&amp;qid=1694735377&amp;sr=8-1")</f>
        <v/>
      </c>
      <c r="F5919" t="inlineStr">
        <is>
          <t>B001BQ0DNG</t>
        </is>
      </c>
      <c r="G5919">
        <f>_xlfn.IMAGE("https://edmondsonsupply.com/cdn/shop/products/631m.jpg?v=1587147726")</f>
        <v/>
      </c>
      <c r="H5919">
        <f>_xlfn.IMAGE("https://m.media-amazon.com/images/I/61pMsoh2smL._AC_UL320_.jpg")</f>
        <v/>
      </c>
      <c r="K5919" t="inlineStr">
        <is>
          <t>74.99</t>
        </is>
      </c>
      <c r="L5919" t="n">
        <v>74.98999999999999</v>
      </c>
      <c r="M5919" s="1" t="inlineStr">
        <is>
          <t>0.00%</t>
        </is>
      </c>
      <c r="N5919" s="7" t="n"/>
      <c r="O5919" t="n">
        <v>4.8</v>
      </c>
      <c r="P5919" t="n">
        <v>1145</v>
      </c>
      <c r="R5919" t="inlineStr">
        <is>
          <t>InStock</t>
        </is>
      </c>
      <c r="S5919" t="inlineStr">
        <is>
          <t>112.12</t>
        </is>
      </c>
      <c r="T5919" t="inlineStr">
        <is>
          <t>4414357078116</t>
        </is>
      </c>
    </row>
    <row r="5920" ht="87" customHeight="1">
      <c r="A5920" s="2">
        <f>HYPERLINK("https://edmondsonsupply.com/collections/electricians-tools/products/klein-tools-50350-13-inch-flexible-fish-tape-leader", "https://edmondsonsupply.com/collections/electricians-tools/products/klein-tools-50350-13-inch-flexible-fish-tape-leader")</f>
        <v/>
      </c>
      <c r="B5920" s="2">
        <f>HYPERLINK("https://edmondsonsupply.com/products/klein-tools-50350-13-inch-flexible-fish-tape-leader", "https://edmondsonsupply.com/products/klein-tools-50350-13-inch-flexible-fish-tape-leader")</f>
        <v/>
      </c>
      <c r="C5920" t="inlineStr">
        <is>
          <t>Klein Tools 50350 13-Inch Flexible Fish Tape Leader</t>
        </is>
      </c>
      <c r="D5920" t="inlineStr">
        <is>
          <t>Klein Tools 50350 13-Inch Flexible Fish Tape Leader for 1/8-Inch Wide Steel Fish Tapes</t>
        </is>
      </c>
      <c r="E5920" s="2">
        <f>HYPERLINK("https://www.amazon.com/13-Inch-Flexible-Klein-Tools-50350/dp/B000WMS9KY/ref=sr_1_1?keywords=Klein+Tools+50350+13-Inch+Flexible+Fish+Tape+Leader&amp;qid=1694735178&amp;sr=8-1", "https://www.amazon.com/13-Inch-Flexible-Klein-Tools-50350/dp/B000WMS9KY/ref=sr_1_1?keywords=Klein+Tools+50350+13-Inch+Flexible+Fish+Tape+Leader&amp;qid=1694735178&amp;sr=8-1")</f>
        <v/>
      </c>
      <c r="F5920" t="inlineStr">
        <is>
          <t>B000WMS9KY</t>
        </is>
      </c>
      <c r="G5920">
        <f>_xlfn.IMAGE("https://edmondsonsupply.com/cdn/shop/files/50350.jpg?v=1685458150")</f>
        <v/>
      </c>
      <c r="H5920">
        <f>_xlfn.IMAGE("https://m.media-amazon.com/images/I/311RIlnDdfL._AC_UL320_.jpg")</f>
        <v/>
      </c>
      <c r="K5920" t="inlineStr">
        <is>
          <t>19.97</t>
        </is>
      </c>
      <c r="L5920" t="n">
        <v>19.97</v>
      </c>
      <c r="M5920" s="1" t="inlineStr">
        <is>
          <t>0.00%</t>
        </is>
      </c>
      <c r="N5920" s="7" t="n"/>
      <c r="O5920" t="n">
        <v>4.5</v>
      </c>
      <c r="P5920" t="n">
        <v>113</v>
      </c>
      <c r="R5920" t="inlineStr">
        <is>
          <t>InStock</t>
        </is>
      </c>
      <c r="S5920" t="inlineStr">
        <is>
          <t>27.66</t>
        </is>
      </c>
      <c r="T5920" t="inlineStr">
        <is>
          <t>7022603403437</t>
        </is>
      </c>
    </row>
    <row r="5921" ht="87" customHeight="1">
      <c r="A5921" s="2">
        <f>HYPERLINK("https://edmondsonsupply.com/collections/electricians-tools/products/klein-tools-32525-tamperproof-bit-set-32-piece", "https://edmondsonsupply.com/collections/electricians-tools/products/klein-tools-32525-tamperproof-bit-set-32-piece")</f>
        <v/>
      </c>
      <c r="B5921" s="2">
        <f>HYPERLINK("https://edmondsonsupply.com/products/klein-tools-32525-tamperproof-bit-set-32-piece", "https://edmondsonsupply.com/products/klein-tools-32525-tamperproof-bit-set-32-piece")</f>
        <v/>
      </c>
      <c r="C5921" t="inlineStr">
        <is>
          <t>Klein Tools 32525 Tamperproof Bit Set, 32 Piece</t>
        </is>
      </c>
      <c r="D5921" t="inlineStr">
        <is>
          <t>Klein Tools 32525 Tamperproof Bit Set, 32-Piece, Magnetic, TORX, Hex, Spanner, TORQ, Triwing Screwdriver Bits</t>
        </is>
      </c>
      <c r="E5921" s="2">
        <f>HYPERLINK("https://www.amazon.com/Tamperproof-Screwdriver-Klein-Tools-32525/dp/B0015S4JRG/ref=sr_1_1?keywords=Klein+Tools+32525+Tamperproof+Bit+Set%2C+32+Piece&amp;qid=1694735369&amp;sr=8-1", "https://www.amazon.com/Tamperproof-Screwdriver-Klein-Tools-32525/dp/B0015S4JRG/ref=sr_1_1?keywords=Klein+Tools+32525+Tamperproof+Bit+Set%2C+32+Piece&amp;qid=1694735369&amp;sr=8-1")</f>
        <v/>
      </c>
      <c r="F5921" t="inlineStr">
        <is>
          <t>B0015S4JRG</t>
        </is>
      </c>
      <c r="G5921">
        <f>_xlfn.IMAGE("https://edmondsonsupply.com/cdn/shop/products/32525.jpg?v=1587143659")</f>
        <v/>
      </c>
      <c r="H5921">
        <f>_xlfn.IMAGE("https://m.media-amazon.com/images/I/61wuklUkIbL._AC_UL320_.jpg")</f>
        <v/>
      </c>
      <c r="K5921" t="inlineStr">
        <is>
          <t>21.99</t>
        </is>
      </c>
      <c r="L5921" t="n">
        <v>21.99</v>
      </c>
      <c r="M5921" s="1" t="inlineStr">
        <is>
          <t>0.00%</t>
        </is>
      </c>
      <c r="N5921" s="7" t="n"/>
      <c r="O5921" t="n">
        <v>4.7</v>
      </c>
      <c r="P5921" t="n">
        <v>646</v>
      </c>
      <c r="R5921" t="inlineStr">
        <is>
          <t>InStock</t>
        </is>
      </c>
      <c r="S5921" t="inlineStr">
        <is>
          <t>33.32</t>
        </is>
      </c>
      <c r="T5921" t="inlineStr">
        <is>
          <t>4427072307300</t>
        </is>
      </c>
    </row>
    <row r="5922" ht="87" customHeight="1">
      <c r="A5922" s="2">
        <f>HYPERLINK("https://edmondsonsupply.com/collections/electricians-tools/products/klein-tools-cl320-hvac-digital-clamp-meter-ac-auto-ranging-400-amp", "https://edmondsonsupply.com/collections/electricians-tools/products/klein-tools-cl320-hvac-digital-clamp-meter-ac-auto-ranging-400-amp")</f>
        <v/>
      </c>
      <c r="B5922" s="2">
        <f>HYPERLINK("https://edmondsonsupply.com/products/klein-tools-cl320-hvac-digital-clamp-meter-ac-auto-ranging-400-amp", "https://edmondsonsupply.com/products/klein-tools-cl320-hvac-digital-clamp-meter-ac-auto-ranging-400-amp")</f>
        <v/>
      </c>
      <c r="C5922" t="inlineStr">
        <is>
          <t>Klein Tools CL320 HVAC Digital Clamp Meter, AC Auto-Ranging 400 Amp</t>
        </is>
      </c>
      <c r="D5922" t="inlineStr">
        <is>
          <t>Klein Tools CL320 Digital Clamp Meter, HVAC AC Auto-ranging 400A, AC/DC Voltage, TRMS, DC Microamps, Resistance, Frequency, NCVT, Temp, More</t>
        </is>
      </c>
      <c r="E5922" s="2">
        <f>HYPERLINK("https://www.amazon.com/Klein-Tools-CL320-Digital-Electrical/dp/B08DDTV5KG/ref=sr_1_1?keywords=Klein+Tools+CL320+HVAC+Digital+Clamp+Meter%2C+AC+Auto-Ranging+400+Amp&amp;qid=1694735263&amp;sr=8-1", "https://www.amazon.com/Klein-Tools-CL320-Digital-Electrical/dp/B08DDTV5KG/ref=sr_1_1?keywords=Klein+Tools+CL320+HVAC+Digital+Clamp+Meter%2C+AC+Auto-Ranging+400+Amp&amp;qid=1694735263&amp;sr=8-1")</f>
        <v/>
      </c>
      <c r="F5922" t="inlineStr">
        <is>
          <t>B08DDTV5KG</t>
        </is>
      </c>
      <c r="G5922">
        <f>_xlfn.IMAGE("https://edmondsonsupply.com/cdn/shop/products/cl320_b.jpg?v=1633030568")</f>
        <v/>
      </c>
      <c r="H5922">
        <f>_xlfn.IMAGE("https://m.media-amazon.com/images/I/61qVZZBNj2L._AC_UY218_.jpg")</f>
        <v/>
      </c>
      <c r="K5922" t="inlineStr">
        <is>
          <t>81.99</t>
        </is>
      </c>
      <c r="L5922" t="n">
        <v>81.98999999999999</v>
      </c>
      <c r="M5922" s="1" t="inlineStr">
        <is>
          <t>0.00%</t>
        </is>
      </c>
      <c r="N5922" s="7" t="n"/>
      <c r="O5922" t="n">
        <v>4.8</v>
      </c>
      <c r="P5922" t="n">
        <v>986</v>
      </c>
      <c r="R5922" t="inlineStr">
        <is>
          <t>InStock</t>
        </is>
      </c>
      <c r="S5922" t="inlineStr">
        <is>
          <t>112.68</t>
        </is>
      </c>
      <c r="T5922" t="inlineStr">
        <is>
          <t>5480859009192</t>
        </is>
      </c>
    </row>
    <row r="5923" ht="87" customHeight="1">
      <c r="A5923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5923" s="2">
        <f>HYPERLINK("https://edmondsonsupply.com/products/klein-tools-32800-6-in-1-multi-nut-driver-heavy-duty", "https://edmondsonsupply.com/products/klein-tools-32800-6-in-1-multi-nut-driver-heavy-duty")</f>
        <v/>
      </c>
      <c r="C5923" t="inlineStr">
        <is>
          <t>Klein Tools 32800 6-in-1 6-in-1 Multi-Bit Nut Driver, Heavy Duty</t>
        </is>
      </c>
      <c r="D5923" t="inlineStr">
        <is>
          <t>Klein Tools 32800 Nut Driver, 6-in-1 NutDriver Set, SAE Standard Six Point Hex Sizes with Heavy Duty Hollow Shaft</t>
        </is>
      </c>
      <c r="E5923" s="2">
        <f>HYPERLINK("https://www.amazon.com/Driver-NutDriver-Klein-Tools-32800/dp/B01I0QVP18/ref=sr_1_1?keywords=Klein+Tools+32800+6-in-1+6-in-1+Multi-Bit+Nut+Driver%2C+Heavy+Duty&amp;qid=1694735172&amp;sr=8-1", "https://www.amazon.com/Driver-NutDriver-Klein-Tools-32800/dp/B01I0QVP18/ref=sr_1_1?keywords=Klein+Tools+32800+6-in-1+6-in-1+Multi-Bit+Nut+Driver%2C+Heavy+Duty&amp;qid=1694735172&amp;sr=8-1")</f>
        <v/>
      </c>
      <c r="F5923" t="inlineStr">
        <is>
          <t>B01I0QVP18</t>
        </is>
      </c>
      <c r="G5923">
        <f>_xlfn.IMAGE("https://edmondsonsupply.com/cdn/shop/products/32800_alt2.jpg?v=1646595019")</f>
        <v/>
      </c>
      <c r="H5923">
        <f>_xlfn.IMAGE("https://m.media-amazon.com/images/I/51LJIaQJvaL._AC_UL320_.jpg")</f>
        <v/>
      </c>
      <c r="K5923" t="inlineStr">
        <is>
          <t>29.99</t>
        </is>
      </c>
      <c r="L5923" t="n">
        <v>29.99</v>
      </c>
      <c r="M5923" s="1" t="inlineStr">
        <is>
          <t>0.00%</t>
        </is>
      </c>
      <c r="N5923" s="7" t="n"/>
      <c r="O5923" t="n">
        <v>4.7</v>
      </c>
      <c r="P5923" t="n">
        <v>1822</v>
      </c>
      <c r="R5923" t="inlineStr">
        <is>
          <t>InStock</t>
        </is>
      </c>
      <c r="S5923" t="inlineStr">
        <is>
          <t>42.2</t>
        </is>
      </c>
      <c r="T5923" t="inlineStr">
        <is>
          <t>1723912519780</t>
        </is>
      </c>
    </row>
    <row r="5924" ht="87" customHeight="1">
      <c r="A5924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5924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5924" t="inlineStr">
        <is>
          <t>Klein Tools 32801 5-in-1 Multi-Bit Screwdriver / Nut Driver, Heavy Duty</t>
        </is>
      </c>
      <c r="D5924" t="inlineStr">
        <is>
          <t>Klein Tools 32303 Multi-Bit Screwdriver / Nut Driver, Impact Rated 14-in-1 Magnetic Screwdriver Set Phillips, Slotted, Square, Combo, Torx</t>
        </is>
      </c>
      <c r="E5924" s="2">
        <f>HYPERLINK("https://www.amazon.com/Klein-Tools-Multi-bit-Screwdriver-Adjustable/dp/B08KFM8833/ref=sr_1_7?keywords=Klein+Tools+32801+5-in-1+Multi-Bit+Screwdriver+%2F+Nut+Driver%2C+Heavy+Duty&amp;qid=1694735265&amp;sr=8-7", "https://www.amazon.com/Klein-Tools-Multi-bit-Screwdriver-Adjustable/dp/B08KFM8833/ref=sr_1_7?keywords=Klein+Tools+32801+5-in-1+Multi-Bit+Screwdriver+%2F+Nut+Driver%2C+Heavy+Duty&amp;qid=1694735265&amp;sr=8-7")</f>
        <v/>
      </c>
      <c r="F5924" t="inlineStr">
        <is>
          <t>B08KFM8833</t>
        </is>
      </c>
      <c r="G5924">
        <f>_xlfn.IMAGE("https://edmondsonsupply.com/cdn/shop/products/32801.jpg?v=1633030677")</f>
        <v/>
      </c>
      <c r="H5924">
        <f>_xlfn.IMAGE("https://m.media-amazon.com/images/I/51MWPRqx3sL._AC_UL320_.jpg")</f>
        <v/>
      </c>
      <c r="K5924" t="inlineStr">
        <is>
          <t>19.97</t>
        </is>
      </c>
      <c r="L5924" t="n">
        <v>19.97</v>
      </c>
      <c r="M5924" s="1" t="inlineStr">
        <is>
          <t>0.00%</t>
        </is>
      </c>
      <c r="N5924" s="7" t="n"/>
      <c r="O5924" t="n">
        <v>4.6</v>
      </c>
      <c r="P5924" t="n">
        <v>2694</v>
      </c>
      <c r="R5924" t="inlineStr">
        <is>
          <t>InStock</t>
        </is>
      </c>
      <c r="S5924" t="inlineStr">
        <is>
          <t>32.18</t>
        </is>
      </c>
      <c r="T5924" t="inlineStr">
        <is>
          <t>5807274819752</t>
        </is>
      </c>
    </row>
    <row r="5925" ht="87" customHeight="1">
      <c r="A5925" s="2">
        <f>HYPERLINK("https://edmondsonsupply.com/collections/electricians-tools/products/klein-tools-pnd-716-5-7-16-inch-power-nut-driver-5-inch-out-of-chuck", "https://edmondsonsupply.com/collections/electricians-tools/products/klein-tools-pnd-716-5-7-16-inch-power-nut-driver-5-inch-out-of-chuck")</f>
        <v/>
      </c>
      <c r="B5925" s="2">
        <f>HYPERLINK("https://edmondsonsupply.com/products/klein-tools-pnd-716-5-7-16-inch-power-nut-driver-5-inch-out-of-chuck", "https://edmondsonsupply.com/products/klein-tools-pnd-716-5-7-16-inch-power-nut-driver-5-inch-out-of-chuck")</f>
        <v/>
      </c>
      <c r="C5925" t="inlineStr">
        <is>
          <t>Klein Tools PND7165 7/16-Inch Power Nut Driver 5-Inch Out-of-Chuck</t>
        </is>
      </c>
      <c r="D5925" t="inlineStr">
        <is>
          <t>Klein Tools PND7165 7/16-Inch Power Nut Driver 5-Inch Out-of-Chuck</t>
        </is>
      </c>
      <c r="E5925" s="2">
        <f>HYPERLINK("https://www.amazon.com/16-Inch-Driver-Klein-Tools-PND7165/dp/B00ELGQH7O/ref=sr_1_1?keywords=Klein+Tools+PND7165+7%2F16-Inch+Power+Nut+Driver+5-Inch+Out-of-Chuck&amp;qid=1694735269&amp;sr=8-1", "https://www.amazon.com/16-Inch-Driver-Klein-Tools-PND7165/dp/B00ELGQH7O/ref=sr_1_1?keywords=Klein+Tools+PND7165+7%2F16-Inch+Power+Nut+Driver+5-Inch+Out-of-Chuck&amp;qid=1694735269&amp;sr=8-1")</f>
        <v/>
      </c>
      <c r="F5925" t="inlineStr">
        <is>
          <t>B00ELGQH7O</t>
        </is>
      </c>
      <c r="G5925">
        <f>_xlfn.IMAGE("https://edmondsonsupply.com/cdn/shop/products/pnd7165.jpg?v=1633030564")</f>
        <v/>
      </c>
      <c r="H5925">
        <f>_xlfn.IMAGE("https://m.media-amazon.com/images/I/41SBQDDKBnL._AC_UL320_.jpg")</f>
        <v/>
      </c>
      <c r="K5925" t="inlineStr">
        <is>
          <t>18.99</t>
        </is>
      </c>
      <c r="L5925" t="n">
        <v>18.99</v>
      </c>
      <c r="M5925" s="1" t="inlineStr">
        <is>
          <t>0.00%</t>
        </is>
      </c>
      <c r="N5925" s="7" t="n"/>
      <c r="O5925" t="n">
        <v>4.6</v>
      </c>
      <c r="P5925" t="n">
        <v>1105</v>
      </c>
      <c r="R5925" t="inlineStr">
        <is>
          <t>InStock</t>
        </is>
      </c>
      <c r="S5925" t="inlineStr">
        <is>
          <t>30.98</t>
        </is>
      </c>
      <c r="T5925" t="inlineStr">
        <is>
          <t>5445023400104</t>
        </is>
      </c>
    </row>
    <row r="5926" hidden="1" ht="15.75" customHeight="1">
      <c r="A5926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5926" s="2">
        <f>HYPERLINK("https://edmondsonsupply.com/products/klein-tools-635-1-2-1-2-inch-heavy-duty-nut-driver", "https://edmondsonsupply.com/products/klein-tools-635-1-2-1-2-inch-heavy-duty-nut-driver")</f>
        <v/>
      </c>
      <c r="C5926" t="inlineStr">
        <is>
          <t>Klein Tools 635-1/2 1/2-Inch Heavy-Duty Nut Driver</t>
        </is>
      </c>
      <c r="D5926" t="inlineStr">
        <is>
          <t>Klein Tools 635-1/2 1/2-Inch Heavy-Duty Nut Driver</t>
        </is>
      </c>
      <c r="E5926" s="2">
        <f>HYPERLINK("https://www.amazon.com/2-Inch-Heavy-Duty-Driver-Klein-Tools/dp/B01D6CWLG4/ref=sr_1_1?keywords=Klein+Tools+635-1%2F2+1%2F2-Inch+Heavy-Duty+Nut+Driver&amp;qid=1694735353&amp;sr=8-1", "https://www.amazon.com/2-Inch-Heavy-Duty-Driver-Klein-Tools/dp/B01D6CWLG4/ref=sr_1_1?keywords=Klein+Tools+635-1%2F2+1%2F2-Inch+Heavy-Duty+Nut+Driver&amp;qid=1694735353&amp;sr=8-1")</f>
        <v/>
      </c>
      <c r="F5926" t="inlineStr">
        <is>
          <t>B01D6CWLG4</t>
        </is>
      </c>
      <c r="G5926">
        <f>_xludf.IMAGE("https://edmondsonsupply.com/cdn/shop/products/635-1-2.jpg?v=1587147726")</f>
        <v/>
      </c>
      <c r="H5926">
        <f>_xludf.IMAGE("https://m.media-amazon.com/images/I/41C1xU9OvML._AC_UL320_.jpg")</f>
        <v/>
      </c>
      <c r="K5926" t="inlineStr">
        <is>
          <t>14.99</t>
        </is>
      </c>
      <c r="L5926" t="n">
        <v>14.99</v>
      </c>
      <c r="M5926" s="1" t="inlineStr">
        <is>
          <t>0.00%</t>
        </is>
      </c>
      <c r="N5926" s="1" t="n"/>
      <c r="O5926" t="n">
        <v>4.7</v>
      </c>
      <c r="P5926" t="n">
        <v>999</v>
      </c>
      <c r="R5926" t="inlineStr">
        <is>
          <t>InStock</t>
        </is>
      </c>
      <c r="S5926" t="inlineStr">
        <is>
          <t>22.78</t>
        </is>
      </c>
      <c r="T5926" t="inlineStr">
        <is>
          <t>4473296945252</t>
        </is>
      </c>
    </row>
    <row r="5927" ht="87" customHeight="1">
      <c r="A5927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5927" s="2">
        <f>HYPERLINK("https://edmondsonsupply.com/products/klein-tools-11057-klein-kurve%c2%ae-wire-stripper-and-cutter", "https://edmondsonsupply.com/products/klein-tools-11057-klein-kurve%c2%ae-wire-stripper-and-cutter")</f>
        <v/>
      </c>
      <c r="C5927" t="inlineStr">
        <is>
          <t>Klein Tools 11057 Klein-Kurve® Wire Stripper and Cutter</t>
        </is>
      </c>
      <c r="D5927" t="inlineStr">
        <is>
          <t>Klein Tools 11057 Wire Cutter / Wire Stripper, Heavy Duty Wire Cutter Stripper for 20-30 AWG Solid Wire and 22-32 AWG Stranded Wire, One Size, Blue/Red</t>
        </is>
      </c>
      <c r="E5927" s="2">
        <f>HYPERLINK("https://www.amazon.com/Stripper-Stranded-Klein-Tools-11057/dp/B000XEUPMQ/ref=sr_1_1?keywords=Klein+Tools+11057+Klein-Kurve%C2%AE+Wire+Stripper+and+Cutter&amp;qid=1694735357&amp;sr=8-1", "https://www.amazon.com/Stripper-Stranded-Klein-Tools-11057/dp/B000XEUPMQ/ref=sr_1_1?keywords=Klein+Tools+11057+Klein-Kurve%C2%AE+Wire+Stripper+and+Cutter&amp;qid=1694735357&amp;sr=8-1")</f>
        <v/>
      </c>
      <c r="F5927" t="inlineStr">
        <is>
          <t>B000XEUPMQ</t>
        </is>
      </c>
      <c r="G5927">
        <f>_xlfn.IMAGE("https://edmondsonsupply.com/cdn/shop/products/11057.jpg?v=1587146927")</f>
        <v/>
      </c>
      <c r="H5927">
        <f>_xlfn.IMAGE("https://m.media-amazon.com/images/I/71HgWc6UcZL._AC_UL320_.jpg")</f>
        <v/>
      </c>
      <c r="K5927" t="inlineStr">
        <is>
          <t>20.97</t>
        </is>
      </c>
      <c r="L5927" t="n">
        <v>20.97</v>
      </c>
      <c r="M5927" s="1" t="inlineStr">
        <is>
          <t>0.00%</t>
        </is>
      </c>
      <c r="N5927" s="7" t="n"/>
      <c r="O5927" t="n">
        <v>4.8</v>
      </c>
      <c r="P5927" t="n">
        <v>2986</v>
      </c>
      <c r="R5927" t="inlineStr">
        <is>
          <t>InStock</t>
        </is>
      </c>
      <c r="S5927" t="inlineStr">
        <is>
          <t>32.72</t>
        </is>
      </c>
      <c r="T5927" t="inlineStr">
        <is>
          <t>4455254720612</t>
        </is>
      </c>
    </row>
    <row r="5928" ht="87" customHeight="1">
      <c r="A5928" s="2">
        <f>HYPERLINK("https://edmondsonsupply.com/collections/electricians-tools/products/klein-tools-44201-electricians-pocket-knife", "https://edmondsonsupply.com/collections/electricians-tools/products/klein-tools-44201-electricians-pocket-knife")</f>
        <v/>
      </c>
      <c r="B5928" s="2">
        <f>HYPERLINK("https://edmondsonsupply.com/products/klein-tools-44201-electricians-pocket-knife", "https://edmondsonsupply.com/products/klein-tools-44201-electricians-pocket-knife")</f>
        <v/>
      </c>
      <c r="C5928" t="inlineStr">
        <is>
          <t>Klein Tools 44201 Electrician's Pocket Knife</t>
        </is>
      </c>
      <c r="D5928" t="inlineStr">
        <is>
          <t>Klein Tools 44201 Electrician's Pocket Knife, Gray</t>
        </is>
      </c>
      <c r="E5928" s="2">
        <f>HYPERLINK("https://www.amazon.com/Electricians-Pocket-Klein-Tools-44201/dp/B018B663EG/ref=sr_1_1?keywords=Klein+Tools+44201+Electrician%27s+Pocket+Knife&amp;qid=1694735372&amp;sr=8-1", "https://www.amazon.com/Electricians-Pocket-Klein-Tools-44201/dp/B018B663EG/ref=sr_1_1?keywords=Klein+Tools+44201+Electrician%27s+Pocket+Knife&amp;qid=1694735372&amp;sr=8-1")</f>
        <v/>
      </c>
      <c r="F5928" t="inlineStr">
        <is>
          <t>B018B663EG</t>
        </is>
      </c>
      <c r="G5928">
        <f>_xlfn.IMAGE("https://edmondsonsupply.com/cdn/shop/products/44201.jpg?v=1587143552")</f>
        <v/>
      </c>
      <c r="H5928">
        <f>_xlfn.IMAGE("https://m.media-amazon.com/images/I/41OyT4hlLdL._AC_UL320_.jpg")</f>
        <v/>
      </c>
      <c r="K5928" t="inlineStr">
        <is>
          <t>21.99</t>
        </is>
      </c>
      <c r="L5928" t="n">
        <v>21.99</v>
      </c>
      <c r="M5928" s="1" t="inlineStr">
        <is>
          <t>0.00%</t>
        </is>
      </c>
      <c r="N5928" s="7" t="n"/>
      <c r="O5928" t="n">
        <v>4.7</v>
      </c>
      <c r="P5928" t="n">
        <v>888</v>
      </c>
      <c r="R5928" t="inlineStr">
        <is>
          <t>InStock</t>
        </is>
      </c>
      <c r="S5928" t="inlineStr">
        <is>
          <t>32.02</t>
        </is>
      </c>
      <c r="T5928" t="inlineStr">
        <is>
          <t>2846982471780</t>
        </is>
      </c>
    </row>
    <row r="5929" ht="87" customHeight="1">
      <c r="A5929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5929" s="2">
        <f>HYPERLINK("https://edmondsonsupply.com/products/klein-tools-31902-bi-metal-hole-saw-kit-8-piece", "https://edmondsonsupply.com/products/klein-tools-31902-bi-metal-hole-saw-kit-8-piece")</f>
        <v/>
      </c>
      <c r="C5929" t="inlineStr">
        <is>
          <t>Klein Tools 31902 Bi-Metal Hole Saw Kit, 8-Piece</t>
        </is>
      </c>
      <c r="D5929" t="inlineStr">
        <is>
          <t>Klein Tools 31902 Bi-Metal Hole Saw Kit with Arbor Bits for Cutting Steel, Drywall, Ceiling Tile, Wood, Plastic, 8-Piece</t>
        </is>
      </c>
      <c r="E5929" s="2">
        <f>HYPERLINK("https://www.amazon.com/Bi-Metal-8-Piece-Klein-Tools-31902/dp/B014WEBAO4/ref=sr_1_1?keywords=Klein+Tools+31902+Bi-Metal+Hole+Saw+Kit%2C+8-Piece&amp;qid=1694735008&amp;sr=8-1", "https://www.amazon.com/Bi-Metal-8-Piece-Klein-Tools-31902/dp/B014WEBAO4/ref=sr_1_1?keywords=Klein+Tools+31902+Bi-Metal+Hole+Saw+Kit%2C+8-Piece&amp;qid=1694735008&amp;sr=8-1")</f>
        <v/>
      </c>
      <c r="F5929" t="inlineStr">
        <is>
          <t>B014WEBAO4</t>
        </is>
      </c>
      <c r="G5929">
        <f>_xlfn.IMAGE("https://edmondsonsupply.com/cdn/shop/products/31902.jpg?v=1679665390")</f>
        <v/>
      </c>
      <c r="H5929">
        <f>_xlfn.IMAGE("https://m.media-amazon.com/images/I/51JZIdZrBtL._AC_UL320_.jpg")</f>
        <v/>
      </c>
      <c r="K5929" t="inlineStr">
        <is>
          <t>74.99</t>
        </is>
      </c>
      <c r="L5929" t="n">
        <v>74.98999999999999</v>
      </c>
      <c r="M5929" s="1" t="inlineStr">
        <is>
          <t>0.00%</t>
        </is>
      </c>
      <c r="N5929" s="7" t="n"/>
      <c r="O5929" t="n">
        <v>4.2</v>
      </c>
      <c r="P5929" t="n">
        <v>124</v>
      </c>
      <c r="R5929" t="inlineStr">
        <is>
          <t>InStock</t>
        </is>
      </c>
      <c r="S5929" t="inlineStr">
        <is>
          <t>105.24</t>
        </is>
      </c>
      <c r="T5929" t="inlineStr">
        <is>
          <t>7966205673688</t>
        </is>
      </c>
    </row>
    <row r="5930" hidden="1" ht="15.75" customHeight="1">
      <c r="A5930" s="2">
        <f>HYPERLINK("https://edmondsonsupply.com/collections/electricians-tools/products/klein-tools-6916ins-slim-tip-insulated-screwdriver-3-16-inch-cabinet-6-inch-round-shank", "https://edmondsonsupply.com/collections/electricians-tools/products/klein-tools-6916ins-slim-tip-insulated-screwdriver-3-16-inch-cabinet-6-inch-round-shank")</f>
        <v/>
      </c>
      <c r="B5930" s="2">
        <f>HYPERLINK("https://edmondsonsupply.com/products/klein-tools-6916ins-slim-tip-insulated-screwdriver-3-16-inch-cabinet-6-inch-round-shank", "https://edmondsonsupply.com/products/klein-tools-6916ins-slim-tip-insulated-screwdriver-3-16-inch-cabinet-6-inch-round-shank")</f>
        <v/>
      </c>
      <c r="C5930" t="inlineStr">
        <is>
          <t>Klein Tools 6916INS Slim-Tip Insulated Screwdriver, 3/16-Inch Cabinet, 6-Inch Round Shank</t>
        </is>
      </c>
      <c r="D5930" t="inlineStr">
        <is>
          <t>Klein Tools 6936INS Insulated Screwdriver, 1000V Slim Profile Tip, 2 Phillips with 6-Inch Shank, Cushion-Grip Handle</t>
        </is>
      </c>
      <c r="E5930" s="2">
        <f>HYPERLINK("https://www.amazon.com/Klein-Tools-6936INS-Screwdriver-Cushion-Grip/dp/B09GPZMQ1R/ref=sr_1_8?keywords=Klein+Tools+6916INS+Slim-Tip+Insulated+Screwdriver%2C+3%2F16-Inch+Cabinet%2C+6-Inch+Round+Shank&amp;qid=1694735268&amp;sr=8-8", "https://www.amazon.com/Klein-Tools-6936INS-Screwdriver-Cushion-Grip/dp/B09GPZMQ1R/ref=sr_1_8?keywords=Klein+Tools+6916INS+Slim-Tip+Insulated+Screwdriver%2C+3%2F16-Inch+Cabinet%2C+6-Inch+Round+Shank&amp;qid=1694735268&amp;sr=8-8")</f>
        <v/>
      </c>
      <c r="F5930" t="inlineStr">
        <is>
          <t>B09GPZMQ1R</t>
        </is>
      </c>
      <c r="G5930">
        <f>_xludf.IMAGE("https://edmondsonsupply.com/cdn/shop/products/6916ins.jpg?v=1633030552")</f>
        <v/>
      </c>
      <c r="H5930">
        <f>_xludf.IMAGE("https://m.media-amazon.com/images/I/414OB6kFvkL._AC_UL320_.jpg")</f>
        <v/>
      </c>
      <c r="K5930" t="inlineStr">
        <is>
          <t>14.99</t>
        </is>
      </c>
      <c r="L5930" t="n">
        <v>14.99</v>
      </c>
      <c r="M5930" s="1" t="inlineStr">
        <is>
          <t>0.00%</t>
        </is>
      </c>
      <c r="N5930" s="1" t="n"/>
      <c r="O5930" t="n">
        <v>4.9</v>
      </c>
      <c r="P5930" t="n">
        <v>70</v>
      </c>
      <c r="R5930" t="inlineStr">
        <is>
          <t>InStock</t>
        </is>
      </c>
      <c r="S5930" t="inlineStr">
        <is>
          <t>21.02</t>
        </is>
      </c>
      <c r="T5930" t="inlineStr">
        <is>
          <t>5439528468648</t>
        </is>
      </c>
    </row>
    <row r="5931" ht="87" customHeight="1">
      <c r="A5931" s="2">
        <f>HYPERLINK("https://edmondsonsupply.com/collections/electricians-tools/products/fieldpiece-sc480", "https://edmondsonsupply.com/collections/electricians-tools/products/fieldpiece-sc480")</f>
        <v/>
      </c>
      <c r="B5931" s="2">
        <f>HYPERLINK("https://edmondsonsupply.com/products/fieldpiece-sc480", "https://edmondsonsupply.com/products/fieldpiece-sc480")</f>
        <v/>
      </c>
      <c r="C5931" t="inlineStr">
        <is>
          <t>Fieldpiece SC480 Wireless Power Clamp Meter</t>
        </is>
      </c>
      <c r="D5931" t="inlineStr">
        <is>
          <t>Fieldpiece SC480 True-RMS Wireless AC Clamp Multimeter</t>
        </is>
      </c>
      <c r="E5931" s="2">
        <f>HYPERLINK("https://www.amazon.com/Fieldpiece-SC480-True-RMS-Wireless-Multimeter/dp/B0848S9YWT/ref=sr_1_1?keywords=Fieldpiece+SC480+Wireless+Power+Clamp+Meter&amp;qid=1694735376&amp;sr=8-1", "https://www.amazon.com/Fieldpiece-SC480-True-RMS-Wireless-Multimeter/dp/B0848S9YWT/ref=sr_1_1?keywords=Fieldpiece+SC480+Wireless+Power+Clamp+Meter&amp;qid=1694735376&amp;sr=8-1")</f>
        <v/>
      </c>
      <c r="F5931" t="inlineStr">
        <is>
          <t>B0848S9YWT</t>
        </is>
      </c>
      <c r="G5931">
        <f>_xlfn.IMAGE("https://edmondsonsupply.com/cdn/shop/products/SC480-main_400_350_c1_l_c.png?v=1587148044")</f>
        <v/>
      </c>
      <c r="H5931">
        <f>_xlfn.IMAGE("https://m.media-amazon.com/images/I/41GhGfpogeL._AC_UY218_.jpg")</f>
        <v/>
      </c>
      <c r="K5931" t="inlineStr">
        <is>
          <t>323.85</t>
        </is>
      </c>
      <c r="L5931" t="n">
        <v>323.85</v>
      </c>
      <c r="M5931" s="1" t="inlineStr">
        <is>
          <t>0.00%</t>
        </is>
      </c>
      <c r="N5931" s="7" t="n"/>
      <c r="O5931" t="n">
        <v>4.6</v>
      </c>
      <c r="P5931" t="n">
        <v>134</v>
      </c>
      <c r="R5931" t="inlineStr">
        <is>
          <t>InStock</t>
        </is>
      </c>
      <c r="S5931" t="inlineStr">
        <is>
          <t>381.0</t>
        </is>
      </c>
      <c r="T5931" t="inlineStr">
        <is>
          <t>4421237473380</t>
        </is>
      </c>
    </row>
    <row r="5932" ht="87" customHeight="1">
      <c r="A5932" s="2">
        <f>HYPERLINK("https://edmondsonsupply.com/collections/electricians-tools/products/milwaukee-48-22-0325g-25-ft-compact-wide-blade-magnetic-tape-measure-2-pack", "https://edmondsonsupply.com/collections/electricians-tools/products/milwaukee-48-22-0325g-25-ft-compact-wide-blade-magnetic-tape-measure-2-pack")</f>
        <v/>
      </c>
      <c r="B5932" s="2">
        <f>HYPERLINK("https://edmondsonsupply.com/products/milwaukee-48-22-0325g-25-ft-compact-wide-blade-magnetic-tape-measure-2-pack", "https://edmondsonsupply.com/products/milwaukee-48-22-0325g-25-ft-compact-wide-blade-magnetic-tape-measure-2-pack")</f>
        <v/>
      </c>
      <c r="C5932" t="inlineStr">
        <is>
          <t>Milwaukee 48-22-0325G 25 ft Compact Wide Blade Magnetic Tape Measure (2 pack)</t>
        </is>
      </c>
      <c r="D5932" t="inlineStr">
        <is>
          <t>Milwaukee 48-22-0325 Compact Wide Blade Magnetic Tape Measures</t>
        </is>
      </c>
      <c r="E5932" s="2">
        <f>HYPERLINK("https://www.amazon.com/Milwaukee-48-22-0325-Compact-Magnetic-Measures/dp/B082L6Q7WV/ref=sr_1_1?keywords=Milwaukee+48-22-0325G+25+ft+Compact+Wide+Blade+Magnetic+Tape+Measure+%282+pack%29&amp;qid=1694735045&amp;sr=8-1", "https://www.amazon.com/Milwaukee-48-22-0325-Compact-Magnetic-Measures/dp/B082L6Q7WV/ref=sr_1_1?keywords=Milwaukee+48-22-0325G+25+ft+Compact+Wide+Blade+Magnetic+Tape+Measure+%282+pack%29&amp;qid=1694735045&amp;sr=8-1")</f>
        <v/>
      </c>
      <c r="F5932" t="inlineStr">
        <is>
          <t>B082L6Q7WV</t>
        </is>
      </c>
      <c r="G5932">
        <f>_xlfn.IMAGE("https://edmondsonsupply.com/cdn/shop/products/39408948-2072-4D7D-ACDB-CAB014657D2F_7.jpg?v=1675703415")</f>
        <v/>
      </c>
      <c r="H5932">
        <f>_xlfn.IMAGE("https://m.media-amazon.com/images/I/41gSokc+0RL._AC_UL320_.jpg")</f>
        <v/>
      </c>
      <c r="K5932" t="inlineStr">
        <is>
          <t>22.97</t>
        </is>
      </c>
      <c r="L5932" t="n">
        <v>22.97</v>
      </c>
      <c r="M5932" s="1" t="inlineStr">
        <is>
          <t>0.00%</t>
        </is>
      </c>
      <c r="N5932" s="7" t="n"/>
      <c r="O5932" t="n">
        <v>4.5</v>
      </c>
      <c r="P5932" t="n">
        <v>205</v>
      </c>
      <c r="R5932" t="inlineStr">
        <is>
          <t>OutOfStock</t>
        </is>
      </c>
      <c r="S5932" t="inlineStr">
        <is>
          <t>undefined</t>
        </is>
      </c>
      <c r="T5932" t="inlineStr">
        <is>
          <t>7940150919384</t>
        </is>
      </c>
    </row>
    <row r="5933" hidden="1" ht="15.75" customHeight="1">
      <c r="A5933" s="2">
        <f>HYPERLINK("https://edmondsonsupply.com/collections/electricians-tools/products/klein-tools-25951-step-bit-kit-spiral-double-fluted-vaco-3-piece", "https://edmondsonsupply.com/collections/electricians-tools/products/klein-tools-25951-step-bit-kit-spiral-double-fluted-vaco-3-piece")</f>
        <v/>
      </c>
      <c r="B5933" s="2">
        <f>HYPERLINK("https://edmondsonsupply.com/products/klein-tools-25951-step-bit-kit-spiral-double-fluted-vaco-3-piece", "https://edmondsonsupply.com/products/klein-tools-25951-step-bit-kit-spiral-double-fluted-vaco-3-piece")</f>
        <v/>
      </c>
      <c r="C5933" t="inlineStr">
        <is>
          <t>Klein Tools 25951 Step Bit Kit, Spiral Double-Fluted, VACO, 3-Piece</t>
        </is>
      </c>
      <c r="D5933" t="inlineStr">
        <is>
          <t>Klein Tools 25951 Electrician's Step Drill Bit Set, Spiral Double Fluted, Titanium Nitride Coating, 1/4-Inch Impact Shank, Case, 3-Piece</t>
        </is>
      </c>
      <c r="E5933" s="2">
        <f>HYPERLINK("https://www.amazon.com/Klein-Tools-25951-Electricians-Titanium/dp/B0BLFRJLDX/ref=sr_1_1?keywords=Klein+Tools+25951+Step+Bit+Kit%2C+Spiral+Double-Fluted%2C+VACO%2C+3-Piece&amp;qid=1694735063&amp;sr=8-1", "https://www.amazon.com/Klein-Tools-25951-Electricians-Titanium/dp/B0BLFRJLDX/ref=sr_1_1?keywords=Klein+Tools+25951+Step+Bit+Kit%2C+Spiral+Double-Fluted%2C+VACO%2C+3-Piece&amp;qid=1694735063&amp;sr=8-1")</f>
        <v/>
      </c>
      <c r="F5933" t="inlineStr">
        <is>
          <t>B0BLFRJLDX</t>
        </is>
      </c>
      <c r="G5933">
        <f>_xludf.IMAGE("https://edmondsonsupply.com/cdn/shop/products/25951_b.jpg?v=1670520155")</f>
        <v/>
      </c>
      <c r="H5933">
        <f>_xludf.IMAGE("https://m.media-amazon.com/images/I/61dZd3WvlgL._AC_UY218_.jpg")</f>
        <v/>
      </c>
      <c r="K5933" t="inlineStr">
        <is>
          <t>99.99</t>
        </is>
      </c>
      <c r="L5933" t="n">
        <v>99.98999999999999</v>
      </c>
      <c r="M5933" s="1" t="inlineStr">
        <is>
          <t>0.00%</t>
        </is>
      </c>
      <c r="N5933" s="1" t="n"/>
      <c r="O5933" t="n">
        <v>3.8</v>
      </c>
      <c r="P5933" t="n">
        <v>6</v>
      </c>
      <c r="R5933" t="inlineStr">
        <is>
          <t>InStock</t>
        </is>
      </c>
      <c r="S5933" t="inlineStr">
        <is>
          <t>149.98</t>
        </is>
      </c>
      <c r="T5933" t="inlineStr">
        <is>
          <t>7901303341272</t>
        </is>
      </c>
    </row>
    <row r="5934" ht="87" customHeight="1">
      <c r="A5934" s="2">
        <f>HYPERLINK("https://edmondsonsupply.com/collections/electricians-tools/products/tajima-jpr-265st-japan-pull%E2%84%A2265-short-16-tpi-blade", "https://edmondsonsupply.com/collections/electricians-tools/products/tajima-jpr-265st-japan-pull%E2%84%A2265-short-16-tpi-blade")</f>
        <v/>
      </c>
      <c r="B5934" s="2">
        <f>HYPERLINK("https://edmondsonsupply.com/products/tajima-jpr-265st-japan-pull%e2%84%a2265-short-16-tpi-blade", "https://edmondsonsupply.com/products/tajima-jpr-265st-japan-pull%e2%84%a2265-short-16-tpi-blade")</f>
        <v/>
      </c>
      <c r="C5934" t="inlineStr">
        <is>
          <t>Tajima JPR-265ST Japan Pull™265 Short, 16 TPI Blade</t>
        </is>
      </c>
      <c r="D5934" t="inlineStr">
        <is>
          <t>TAJIMA Pull-Stroke Saw - 265 mm x 16 TPI Japanese Flush Cut Hand Saw with Quick-Release Blade &amp; Short Elastomer Straight Handle - JPR-265ST</t>
        </is>
      </c>
      <c r="E5934" s="2">
        <f>HYPERLINK("https://www.amazon.com/TAJIMA-Pull-Stroke-Saw-Quick-Release-Elastomer/dp/B00ID1PKD0/ref=sr_1_1?keywords=Tajima+JPR-265ST+Japan+Pull%E2%84%A2265+Short%2C+16+TPI+Blade&amp;qid=1694735169&amp;sr=8-1", "https://www.amazon.com/TAJIMA-Pull-Stroke-Saw-Quick-Release-Elastomer/dp/B00ID1PKD0/ref=sr_1_1?keywords=Tajima+JPR-265ST+Japan+Pull%E2%84%A2265+Short%2C+16+TPI+Blade&amp;qid=1694735169&amp;sr=8-1")</f>
        <v/>
      </c>
      <c r="F5934" t="inlineStr">
        <is>
          <t>B00ID1PKD0</t>
        </is>
      </c>
      <c r="G5934">
        <f>_xlfn.IMAGE("https://edmondsonsupply.com/cdn/shop/products/JPR-265ST.jpg?v=1655820362")</f>
        <v/>
      </c>
      <c r="H5934">
        <f>_xlfn.IMAGE("https://m.media-amazon.com/images/I/71cdoT0D2wL._AC_UL320_.jpg")</f>
        <v/>
      </c>
      <c r="K5934" t="inlineStr">
        <is>
          <t>41.6</t>
        </is>
      </c>
      <c r="L5934" t="n">
        <v>41.6</v>
      </c>
      <c r="M5934" s="1" t="inlineStr">
        <is>
          <t>0.00%</t>
        </is>
      </c>
      <c r="N5934" s="7" t="n"/>
      <c r="O5934" t="n">
        <v>4.5</v>
      </c>
      <c r="P5934" t="n">
        <v>59</v>
      </c>
      <c r="R5934" t="inlineStr">
        <is>
          <t>InStock</t>
        </is>
      </c>
      <c r="S5934" t="inlineStr">
        <is>
          <t>43.79</t>
        </is>
      </c>
      <c r="T5934" t="inlineStr">
        <is>
          <t>7726159298776</t>
        </is>
      </c>
    </row>
    <row r="5935" ht="87" customHeight="1">
      <c r="A5935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5935" s="2">
        <f>HYPERLINK("https://edmondsonsupply.com/products/klein-tools-d507-10-adjustable-wrench-extra-capacity-10-inch", "https://edmondsonsupply.com/products/klein-tools-d507-10-adjustable-wrench-extra-capacity-10-inch")</f>
        <v/>
      </c>
      <c r="C5935" t="inlineStr">
        <is>
          <t>Klein Tools D507-10 Adjustable Wrench Extra Capacity, 10-Inch</t>
        </is>
      </c>
      <c r="D5935" t="inlineStr">
        <is>
          <t>Klein Tools 507-10 Adjustable Wrench, Extra Capacity Jaw Forged Drive Wrench with High Polish Chrome Finish, 10-Inch</t>
        </is>
      </c>
      <c r="E5935" s="2">
        <f>HYPERLINK("https://www.amazon.com/Klein-Tools-507-10-Adjustable-Extra-Capacity/dp/B001BQ0DZE/ref=sr_1_2?keywords=Klein+Tools+D507-10+Adjustable+Wrench+Extra+Capacity%2C+10-Inch&amp;qid=1694735353&amp;sr=8-2", "https://www.amazon.com/Klein-Tools-507-10-Adjustable-Extra-Capacity/dp/B001BQ0DZE/ref=sr_1_2?keywords=Klein+Tools+D507-10+Adjustable+Wrench+Extra+Capacity%2C+10-Inch&amp;qid=1694735353&amp;sr=8-2")</f>
        <v/>
      </c>
      <c r="F5935" t="inlineStr">
        <is>
          <t>B001BQ0DZE</t>
        </is>
      </c>
      <c r="G5935">
        <f>_xlfn.IMAGE("https://edmondsonsupply.com/cdn/shop/products/d50710.jpg?v=1666011197")</f>
        <v/>
      </c>
      <c r="H5935">
        <f>_xlfn.IMAGE("https://m.media-amazon.com/images/I/41QFoeMz0WL._AC_UL320_.jpg")</f>
        <v/>
      </c>
      <c r="K5935" t="inlineStr">
        <is>
          <t>35.99</t>
        </is>
      </c>
      <c r="L5935" t="n">
        <v>35.99</v>
      </c>
      <c r="M5935" s="1" t="inlineStr">
        <is>
          <t>0.00%</t>
        </is>
      </c>
      <c r="N5935" s="7" t="n"/>
      <c r="O5935" t="n">
        <v>4.7</v>
      </c>
      <c r="P5935" t="n">
        <v>20</v>
      </c>
      <c r="R5935" t="inlineStr">
        <is>
          <t>InStock</t>
        </is>
      </c>
      <c r="S5935" t="inlineStr">
        <is>
          <t>54.54</t>
        </is>
      </c>
      <c r="T5935" t="inlineStr">
        <is>
          <t>4436115554404</t>
        </is>
      </c>
    </row>
    <row r="5936" ht="87" customHeight="1">
      <c r="A5936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5936" s="2">
        <f>HYPERLINK("https://edmondsonsupply.com/products/klein-tools-d507-10-adjustable-wrench-extra-capacity-10-inch", "https://edmondsonsupply.com/products/klein-tools-d507-10-adjustable-wrench-extra-capacity-10-inch")</f>
        <v/>
      </c>
      <c r="C5936" t="inlineStr">
        <is>
          <t>Klein Tools D507-10 Adjustable Wrench Extra Capacity, 10-Inch</t>
        </is>
      </c>
      <c r="D5936" t="inlineStr">
        <is>
          <t>Klein Tools D507-10 Adjustable Drive Wrench, Forged with Extra Capacity Jaw and High Polish Chrome Finish, 10-inch</t>
        </is>
      </c>
      <c r="E5936" s="2">
        <f>HYPERLINK("https://www.amazon.com/Adjustable-Capacity-Klein-Tools-D507-10/dp/B000ALGRG0/ref=sr_1_1?keywords=Klein+Tools+D507-10+Adjustable+Wrench+Extra+Capacity%2C+10-Inch&amp;qid=1694735353&amp;sr=8-1", "https://www.amazon.com/Adjustable-Capacity-Klein-Tools-D507-10/dp/B000ALGRG0/ref=sr_1_1?keywords=Klein+Tools+D507-10+Adjustable+Wrench+Extra+Capacity%2C+10-Inch&amp;qid=1694735353&amp;sr=8-1")</f>
        <v/>
      </c>
      <c r="F5936" t="inlineStr">
        <is>
          <t>B000ALGRG0</t>
        </is>
      </c>
      <c r="G5936">
        <f>_xlfn.IMAGE("https://edmondsonsupply.com/cdn/shop/products/d50710.jpg?v=1666011197")</f>
        <v/>
      </c>
      <c r="H5936">
        <f>_xlfn.IMAGE("https://m.media-amazon.com/images/I/51G2nXuUvrL._AC_UL320_.jpg")</f>
        <v/>
      </c>
      <c r="K5936" t="inlineStr">
        <is>
          <t>35.99</t>
        </is>
      </c>
      <c r="L5936" t="n">
        <v>35.99</v>
      </c>
      <c r="M5936" s="1" t="inlineStr">
        <is>
          <t>0.00%</t>
        </is>
      </c>
      <c r="N5936" s="7" t="n"/>
      <c r="O5936" t="n">
        <v>4.8</v>
      </c>
      <c r="P5936" t="n">
        <v>497</v>
      </c>
      <c r="R5936" t="inlineStr">
        <is>
          <t>InStock</t>
        </is>
      </c>
      <c r="S5936" t="inlineStr">
        <is>
          <t>54.54</t>
        </is>
      </c>
      <c r="T5936" t="inlineStr">
        <is>
          <t>4436115554404</t>
        </is>
      </c>
    </row>
    <row r="5937" ht="87" customHeight="1">
      <c r="A5937" s="2">
        <f>HYPERLINK("https://edmondsonsupply.com/collections/electricians-tools/products/klein-tools-aepjs2-bluetooth%C2%AE-speaker-with-magnetic-strap", "https://edmondsonsupply.com/collections/electricians-tools/products/klein-tools-aepjs2-bluetooth%C2%AE-speaker-with-magnetic-strap")</f>
        <v/>
      </c>
      <c r="B5937" s="2">
        <f>HYPERLINK("https://edmondsonsupply.com/products/klein-tools-aepjs2-bluetooth%c2%ae-speaker-with-magnetic-strap", "https://edmondsonsupply.com/products/klein-tools-aepjs2-bluetooth%c2%ae-speaker-with-magnetic-strap")</f>
        <v/>
      </c>
      <c r="C5937" t="inlineStr">
        <is>
          <t>Klein Tools AEPJS2 Bluetooth® Speaker with Magnetic Strap</t>
        </is>
      </c>
      <c r="D5937" t="inlineStr">
        <is>
          <t>Klein Tools AEPJS2 Bluetooth Speaker With Magnetic Strip and Hook, Rechargeable, Wireless and Aux Capable, Hands Free Capable, Smart Phone Charging, 10 Hr Run Time, IP54 Dust and Water Resistant</t>
        </is>
      </c>
      <c r="E5937" s="2">
        <f>HYPERLINK("https://www.amazon.com/Klein-AEPJS2-Bluetooth%C3%82-Speaker-Magnetic/dp/B084LL5CM8/ref=sr_1_1?keywords=Klein+Tools+AEPJS2+Bluetooth%C2%AE+Speaker+with+Magnetic+Strap&amp;qid=1694735381&amp;sr=8-1", "https://www.amazon.com/Klein-AEPJS2-Bluetooth%C3%82-Speaker-Magnetic/dp/B084LL5CM8/ref=sr_1_1?keywords=Klein+Tools+AEPJS2+Bluetooth%C2%AE+Speaker+with+Magnetic+Strap&amp;qid=1694735381&amp;sr=8-1")</f>
        <v/>
      </c>
      <c r="F5937" t="inlineStr">
        <is>
          <t>B084LL5CM8</t>
        </is>
      </c>
      <c r="G5937">
        <f>_xlfn.IMAGE("https://edmondsonsupply.com/cdn/shop/products/aepjs2.jpg?v=1587144958")</f>
        <v/>
      </c>
      <c r="H5937">
        <f>_xlfn.IMAGE("https://m.media-amazon.com/images/I/71LxxIwLvmL._AC_UY218_.jpg")</f>
        <v/>
      </c>
      <c r="K5937" t="inlineStr">
        <is>
          <t>39.97</t>
        </is>
      </c>
      <c r="L5937" t="n">
        <v>39.97</v>
      </c>
      <c r="M5937" s="1" t="inlineStr">
        <is>
          <t>0.00%</t>
        </is>
      </c>
      <c r="N5937" s="7" t="n"/>
      <c r="O5937" t="n">
        <v>4.6</v>
      </c>
      <c r="P5937" t="n">
        <v>915</v>
      </c>
      <c r="R5937" t="inlineStr">
        <is>
          <t>InStock</t>
        </is>
      </c>
      <c r="S5937" t="inlineStr">
        <is>
          <t>56.0</t>
        </is>
      </c>
      <c r="T5937" t="inlineStr">
        <is>
          <t>4412117614692</t>
        </is>
      </c>
    </row>
    <row r="5938" ht="87" customHeight="1">
      <c r="A5938" s="2">
        <f>HYPERLINK("https://edmondsonsupply.com/collections/electricians-tools/products/crescent-tools-atwj2610vs-2-pc-wide-jaw-adjustable-wrench-set-6-10", "https://edmondsonsupply.com/collections/electricians-tools/products/crescent-tools-atwj2610vs-2-pc-wide-jaw-adjustable-wrench-set-6-10")</f>
        <v/>
      </c>
      <c r="B5938" s="2">
        <f>HYPERLINK("https://edmondsonsupply.com/products/crescent-tools-atwj2610vs-2-pc-wide-jaw-adjustable-wrench-set-6-10", "https://edmondsonsupply.com/products/crescent-tools-atwj2610vs-2-pc-wide-jaw-adjustable-wrench-set-6-10")</f>
        <v/>
      </c>
      <c r="C5938" t="inlineStr">
        <is>
          <t>Crescent Tools ATWJ2610VS 2 Pc. Wide Jaw Adjustable Wrench Set 6" &amp; 10"</t>
        </is>
      </c>
      <c r="D5938" t="inlineStr">
        <is>
          <t>Crescent 2 Pc. Wide Jaw Adjustable Wrench Set 6" &amp; 10" - ATWJ2610VS</t>
        </is>
      </c>
      <c r="E5938" s="2">
        <f>HYPERLINK("https://www.amazon.com/Crescent-ATWJ2610VS-10-Adjustable-Wrench/dp/B07NVHYKF1/ref=sr_1_1?keywords=Crescent+Tools+ATWJ2610VS+2+Pc.+Wide+Jaw+Adjustable+Wrench+Set+6%22+%26+10%22&amp;qid=1694735009&amp;sr=8-1", "https://www.amazon.com/Crescent-ATWJ2610VS-10-Adjustable-Wrench/dp/B07NVHYKF1/ref=sr_1_1?keywords=Crescent+Tools+ATWJ2610VS+2+Pc.+Wide+Jaw+Adjustable+Wrench+Set+6%22+%26+10%22&amp;qid=1694735009&amp;sr=8-1")</f>
        <v/>
      </c>
      <c r="F5938" t="inlineStr">
        <is>
          <t>B07NVHYKF1</t>
        </is>
      </c>
      <c r="G5938">
        <f>_xlfn.IMAGE("https://edmondsonsupply.com/cdn/shop/products/CRS_ATWJ2610VS_MAIN.jpg?v=1680013457")</f>
        <v/>
      </c>
      <c r="H5938">
        <f>_xlfn.IMAGE("https://m.media-amazon.com/images/I/61hbSdqZptL._AC_UL320_.jpg")</f>
        <v/>
      </c>
      <c r="K5938" t="inlineStr">
        <is>
          <t>34.99</t>
        </is>
      </c>
      <c r="L5938" t="n">
        <v>34.99</v>
      </c>
      <c r="M5938" s="1" t="inlineStr">
        <is>
          <t>0.00%</t>
        </is>
      </c>
      <c r="N5938" s="7" t="n"/>
      <c r="O5938" t="n">
        <v>4.7</v>
      </c>
      <c r="P5938" t="n">
        <v>829</v>
      </c>
      <c r="R5938" t="inlineStr">
        <is>
          <t>InStock</t>
        </is>
      </c>
      <c r="S5938" t="inlineStr">
        <is>
          <t>68.25</t>
        </is>
      </c>
      <c r="T5938" t="inlineStr">
        <is>
          <t>7968993870040</t>
        </is>
      </c>
    </row>
    <row r="5939" ht="87" customHeight="1">
      <c r="A5939" s="2">
        <f>HYPERLINK("https://edmondsonsupply.com/collections/electricians-tools/products/klein-tools-88910-mini-tube-cutter", "https://edmondsonsupply.com/collections/electricians-tools/products/klein-tools-88910-mini-tube-cutter")</f>
        <v/>
      </c>
      <c r="B5939" s="2">
        <f>HYPERLINK("https://edmondsonsupply.com/products/klein-tools-88910-mini-tube-cutter", "https://edmondsonsupply.com/products/klein-tools-88910-mini-tube-cutter")</f>
        <v/>
      </c>
      <c r="C5939" t="inlineStr">
        <is>
          <t>Klein Tools 88910 Mini Tube Cutter</t>
        </is>
      </c>
      <c r="D5939" t="inlineStr">
        <is>
          <t>Klein Tools 88910 Mini Tube Cutter</t>
        </is>
      </c>
      <c r="E5939" s="2">
        <f>HYPERLINK("https://www.amazon.com/Mini-Cutter-Klein-Tools-88910/dp/B0778PB1QQ/ref=sr_1_1?keywords=Klein+Tools+88910+Mini+Tube+Cutter&amp;qid=1694735177&amp;sr=8-1", "https://www.amazon.com/Mini-Cutter-Klein-Tools-88910/dp/B0778PB1QQ/ref=sr_1_1?keywords=Klein+Tools+88910+Mini+Tube+Cutter&amp;qid=1694735177&amp;sr=8-1")</f>
        <v/>
      </c>
      <c r="F5939" t="inlineStr">
        <is>
          <t>B0778PB1QQ</t>
        </is>
      </c>
      <c r="G5939">
        <f>_xlfn.IMAGE("https://edmondsonsupply.com/cdn/shop/products/88910.jpg?v=1638577903")</f>
        <v/>
      </c>
      <c r="H5939">
        <f>_xlfn.IMAGE("https://m.media-amazon.com/images/I/51CIEV+sSFL._AC_UL320_.jpg")</f>
        <v/>
      </c>
      <c r="K5939" t="inlineStr">
        <is>
          <t>19.99</t>
        </is>
      </c>
      <c r="L5939" t="n">
        <v>19.99</v>
      </c>
      <c r="M5939" s="1" t="inlineStr">
        <is>
          <t>0.00%</t>
        </is>
      </c>
      <c r="N5939" s="7" t="n"/>
      <c r="O5939" t="n">
        <v>4.4</v>
      </c>
      <c r="P5939" t="n">
        <v>226</v>
      </c>
      <c r="R5939" t="inlineStr">
        <is>
          <t>InStock</t>
        </is>
      </c>
      <c r="S5939" t="inlineStr">
        <is>
          <t>27.36</t>
        </is>
      </c>
      <c r="T5939" t="inlineStr">
        <is>
          <t>7539584631000</t>
        </is>
      </c>
    </row>
    <row r="5940" ht="87" customHeight="1">
      <c r="A5940" s="2">
        <f>HYPERLINK("https://edmondsonsupply.com/collections/electricians-tools/products/klein-tools-ti290-rechargeable-pro-thermal-imager", "https://edmondsonsupply.com/collections/electricians-tools/products/klein-tools-ti290-rechargeable-pro-thermal-imager")</f>
        <v/>
      </c>
      <c r="B5940" s="2">
        <f>HYPERLINK("https://edmondsonsupply.com/products/klein-tools-ti290-rechargeable-pro-thermal-imager", "https://edmondsonsupply.com/products/klein-tools-ti290-rechargeable-pro-thermal-imager")</f>
        <v/>
      </c>
      <c r="C5940" t="inlineStr">
        <is>
          <t>Klein Tools TI290 Rechargeable Pro Thermal Imager</t>
        </is>
      </c>
      <c r="D5940" t="inlineStr">
        <is>
          <t>Klein Tools TI290 Rechargeable PRO Thermal Imaging Camera, Over 49000 Pixels, Wi-Fi Data Transfer, 3 Palettes, High / Low Temperature Points</t>
        </is>
      </c>
      <c r="E5940" s="2">
        <f>HYPERLINK("https://www.amazon.com/Klein-Tools-TI290-Rechargeable-Temperature/dp/B0BWC6NNWF/ref=sr_1_1?keywords=Klein+Tools+TI290+Rechargeable+Pro+Thermal+Imager&amp;qid=1694735039&amp;sr=8-1", "https://www.amazon.com/Klein-Tools-TI290-Rechargeable-Temperature/dp/B0BWC6NNWF/ref=sr_1_1?keywords=Klein+Tools+TI290+Rechargeable+Pro+Thermal+Imager&amp;qid=1694735039&amp;sr=8-1")</f>
        <v/>
      </c>
      <c r="F5940" t="inlineStr">
        <is>
          <t>B0BWC6NNWF</t>
        </is>
      </c>
      <c r="G5940">
        <f>_xlfn.IMAGE("https://edmondsonsupply.com/cdn/shop/products/ti290_family.jpg?v=1677681932")</f>
        <v/>
      </c>
      <c r="H5940">
        <f>_xlfn.IMAGE("https://m.media-amazon.com/images/I/71xtR87DGvL._AC_UY218_.jpg")</f>
        <v/>
      </c>
      <c r="K5940" t="inlineStr">
        <is>
          <t>499.99</t>
        </is>
      </c>
      <c r="L5940" t="n">
        <v>499.99</v>
      </c>
      <c r="M5940" s="1" t="inlineStr">
        <is>
          <t>0.00%</t>
        </is>
      </c>
      <c r="N5940" s="7" t="n"/>
      <c r="O5940" t="n">
        <v>4.1</v>
      </c>
      <c r="P5940" t="n">
        <v>5</v>
      </c>
      <c r="R5940" t="inlineStr">
        <is>
          <t>InStock</t>
        </is>
      </c>
      <c r="S5940" t="inlineStr">
        <is>
          <t>778.0</t>
        </is>
      </c>
      <c r="T5940" t="inlineStr">
        <is>
          <t>7953955717336</t>
        </is>
      </c>
    </row>
    <row r="5941" ht="87" customHeight="1">
      <c r="A5941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5941" s="2">
        <f>HYPERLINK("https://edmondsonsupply.com/products/klein-tools-56333-steel-fish-tape-1-8-inch-x-120-foot", "https://edmondsonsupply.com/products/klein-tools-56333-steel-fish-tape-1-8-inch-x-120-foot")</f>
        <v/>
      </c>
      <c r="C5941" t="inlineStr">
        <is>
          <t>Klein Tools 56333 Steel Fish Tape, 1/8-Inch x 120-Foot</t>
        </is>
      </c>
      <c r="D5941" t="inlineStr">
        <is>
          <t>Klein Tools 56333 Electrical Fish Tape, Steel Wire Puller with Double Loop Tip, Optimized Housing and Handle, 1/8-Inch x 120-Foot</t>
        </is>
      </c>
      <c r="E5941" s="2">
        <f>HYPERLINK("https://www.amazon.com/Klein-Tools-56333-Optimized-120-Foot/dp/B081TVVJTY/ref=sr_1_1?keywords=Klein+Tools+56333+Steel+Fish+Tape%2C+1%2F8-Inch+x+120-Foot&amp;qid=1694735382&amp;sr=8-1", "https://www.amazon.com/Klein-Tools-56333-Optimized-120-Foot/dp/B081TVVJTY/ref=sr_1_1?keywords=Klein+Tools+56333+Steel+Fish+Tape%2C+1%2F8-Inch+x+120-Foot&amp;qid=1694735382&amp;sr=8-1")</f>
        <v/>
      </c>
      <c r="F5941" t="inlineStr">
        <is>
          <t>B081TVVJTY</t>
        </is>
      </c>
      <c r="G5941">
        <f>_xlfn.IMAGE("https://edmondsonsupply.com/cdn/shop/products/56333.jpg?v=1587147770")</f>
        <v/>
      </c>
      <c r="H5941">
        <f>_xlfn.IMAGE("https://m.media-amazon.com/images/I/51qsQYpwj0L._AC_UL320_.jpg")</f>
        <v/>
      </c>
      <c r="K5941" t="inlineStr">
        <is>
          <t>54.97</t>
        </is>
      </c>
      <c r="L5941" t="n">
        <v>54.97</v>
      </c>
      <c r="M5941" s="1" t="inlineStr">
        <is>
          <t>0.00%</t>
        </is>
      </c>
      <c r="N5941" s="7" t="n"/>
      <c r="O5941" t="n">
        <v>4.6</v>
      </c>
      <c r="P5941" t="n">
        <v>334</v>
      </c>
      <c r="R5941" t="inlineStr">
        <is>
          <t>InStock</t>
        </is>
      </c>
      <c r="S5941" t="inlineStr">
        <is>
          <t>82.48</t>
        </is>
      </c>
      <c r="T5941" t="inlineStr">
        <is>
          <t>4412208578660</t>
        </is>
      </c>
    </row>
    <row r="5942" hidden="1" ht="15.75" customHeight="1">
      <c r="A5942" s="2">
        <f>HYPERLINK("https://edmondsonsupply.com/collections/electricians-tools/products/klein-tools-56251-wire-marker-book-120-240v-3-phase-1-48", "https://edmondsonsupply.com/collections/electricians-tools/products/klein-tools-56251-wire-marker-book-120-240v-3-phase-1-48")</f>
        <v/>
      </c>
      <c r="B5942" s="2">
        <f>HYPERLINK("https://edmondsonsupply.com/products/klein-tools-56251-wire-marker-book-120-240v-3-phase-1-48", "https://edmondsonsupply.com/products/klein-tools-56251-wire-marker-book-120-240v-3-phase-1-48")</f>
        <v/>
      </c>
      <c r="C5942" t="inlineStr">
        <is>
          <t>Klein Tools 56251 Wire Marker Book, 120/240V 3 Phase 1-48</t>
        </is>
      </c>
      <c r="D5942" t="inlineStr">
        <is>
          <t>Klein Tools 56251 Wire Marker Book, 120/240V 3 Phase 1-48, Black, Blue, Red Printed on White, 1 Count (Pack of 1)</t>
        </is>
      </c>
      <c r="E5942" s="2">
        <f>HYPERLINK("https://www.amazon.com/Marker-Phase-Klein-Tools-56251/dp/B073YYNDLS/ref=sr_1_1?keywords=Klein+Tools+56251+Wire+Marker+Book%2C+120%2F240V+3+Phase+1-48&amp;qid=1694735170&amp;sr=8-1", "https://www.amazon.com/Marker-Phase-Klein-Tools-56251/dp/B073YYNDLS/ref=sr_1_1?keywords=Klein+Tools+56251+Wire+Marker+Book%2C+120%2F240V+3+Phase+1-48&amp;qid=1694735170&amp;sr=8-1")</f>
        <v/>
      </c>
      <c r="F5942" t="inlineStr">
        <is>
          <t>B073YYNDLS</t>
        </is>
      </c>
      <c r="G5942">
        <f>_xludf.IMAGE("https://edmondsonsupply.com/cdn/shop/products/56251.jpg?v=1639847162")</f>
        <v/>
      </c>
      <c r="H5942">
        <f>_xludf.IMAGE("https://m.media-amazon.com/images/I/61kdgic4ssL._AC_UL320_.jpg")</f>
        <v/>
      </c>
      <c r="K5942" t="inlineStr">
        <is>
          <t>11.99</t>
        </is>
      </c>
      <c r="L5942" t="n">
        <v>11.99</v>
      </c>
      <c r="M5942" s="1" t="inlineStr">
        <is>
          <t>0.00%</t>
        </is>
      </c>
      <c r="N5942" s="1" t="n"/>
      <c r="O5942" t="n">
        <v>4.7</v>
      </c>
      <c r="P5942" t="n">
        <v>1057</v>
      </c>
      <c r="R5942" t="inlineStr">
        <is>
          <t>InStock</t>
        </is>
      </c>
      <c r="S5942" t="inlineStr">
        <is>
          <t>18.24</t>
        </is>
      </c>
      <c r="T5942" t="inlineStr">
        <is>
          <t>7553317109976</t>
        </is>
      </c>
    </row>
    <row r="5943" ht="87" customHeight="1">
      <c r="A5943" s="2">
        <f>HYPERLINK("https://edmondsonsupply.com/collections/electricians-tools/products/klein-tools-32538-10-fold-screwdriver-nut-driver-fractional-hex", "https://edmondsonsupply.com/collections/electricians-tools/products/klein-tools-32538-10-fold-screwdriver-nut-driver-fractional-hex")</f>
        <v/>
      </c>
      <c r="B5943" s="2">
        <f>HYPERLINK("https://edmondsonsupply.com/products/klein-tools-32538-10-fold-screwdriver-nut-driver-fractional-hex", "https://edmondsonsupply.com/products/klein-tools-32538-10-fold-screwdriver-nut-driver-fractional-hex")</f>
        <v/>
      </c>
      <c r="C5943" t="inlineStr">
        <is>
          <t>Klein Tools 32538 10-Fold Screwdriver / Nut Driver, Fractional Hex</t>
        </is>
      </c>
      <c r="D5943" t="inlineStr">
        <is>
          <t>Klein Tools 32538 10-Fold Screwdriver / Nut Driver, Fractional Hex</t>
        </is>
      </c>
      <c r="E5943" s="2">
        <f>HYPERLINK("https://www.amazon.com/Fractional-Screwdriver-Klein-Tools-32538/dp/B0031D9NSS/ref=sr_1_1?keywords=Klein+Tools+32538+10-Fold+Screwdriver+%2F+Nut+Driver%2C+Fractional+Hex&amp;qid=1694735172&amp;sr=8-1", "https://www.amazon.com/Fractional-Screwdriver-Klein-Tools-32538/dp/B0031D9NSS/ref=sr_1_1?keywords=Klein+Tools+32538+10-Fold+Screwdriver+%2F+Nut+Driver%2C+Fractional+Hex&amp;qid=1694735172&amp;sr=8-1")</f>
        <v/>
      </c>
      <c r="F5943" t="inlineStr">
        <is>
          <t>B0031D9NSS</t>
        </is>
      </c>
      <c r="G5943">
        <f>_xlfn.IMAGE("https://edmondsonsupply.com/cdn/shop/products/32538.jpg?v=1642959018")</f>
        <v/>
      </c>
      <c r="H5943">
        <f>_xlfn.IMAGE("https://m.media-amazon.com/images/I/51oV4zAuP7L._AC_UL320_.jpg")</f>
        <v/>
      </c>
      <c r="K5943" t="inlineStr">
        <is>
          <t>29.99</t>
        </is>
      </c>
      <c r="L5943" t="n">
        <v>29.99</v>
      </c>
      <c r="M5943" s="1" t="inlineStr">
        <is>
          <t>0.00%</t>
        </is>
      </c>
      <c r="N5943" s="7" t="n"/>
      <c r="O5943" t="n">
        <v>4.6</v>
      </c>
      <c r="P5943" t="n">
        <v>871</v>
      </c>
      <c r="R5943" t="inlineStr">
        <is>
          <t>InStock</t>
        </is>
      </c>
      <c r="S5943" t="inlineStr">
        <is>
          <t>45.36</t>
        </is>
      </c>
      <c r="T5943" t="inlineStr">
        <is>
          <t>7590378799320</t>
        </is>
      </c>
    </row>
    <row r="5944" hidden="1" ht="15.75" customHeight="1">
      <c r="A5944" s="2">
        <f>HYPERLINK("https://edmondsonsupply.com/collections/electricians-tools/products/klein-tools-86600-1-4-inch-magnetic-hex-drivers-3-pack", "https://edmondsonsupply.com/collections/electricians-tools/products/klein-tools-86600-1-4-inch-magnetic-hex-drivers-3-pack")</f>
        <v/>
      </c>
      <c r="B5944" s="2">
        <f>HYPERLINK("https://edmondsonsupply.com/products/klein-tools-86600-1-4-inch-magnetic-hex-drivers-3-pack", "https://edmondsonsupply.com/products/klein-tools-86600-1-4-inch-magnetic-hex-drivers-3-pack")</f>
        <v/>
      </c>
      <c r="C5944" t="inlineStr">
        <is>
          <t>Klein Tools 86600 1/4-Inch Magnetic Hex Drivers, 3-Pack</t>
        </is>
      </c>
      <c r="D5944" t="inlineStr">
        <is>
          <t>Klein Tools 86600 1/4-Inch Magnetic Hex Drivers, 3-Pack</t>
        </is>
      </c>
      <c r="E5944" s="2">
        <f>HYPERLINK("https://www.amazon.com/Magnetic-Drivers-Klein-Tools-86600/dp/B0043GVDX0/ref=sr_1_1?keywords=Klein+Tools+86600+1%2F4-Inch+Magnetic+Hex+Drivers%2C+3-Pack&amp;qid=1694735168&amp;sr=8-1", "https://www.amazon.com/Magnetic-Drivers-Klein-Tools-86600/dp/B0043GVDX0/ref=sr_1_1?keywords=Klein+Tools+86600+1%2F4-Inch+Magnetic+Hex+Drivers%2C+3-Pack&amp;qid=1694735168&amp;sr=8-1")</f>
        <v/>
      </c>
      <c r="F5944" t="inlineStr">
        <is>
          <t>B0043GVDX0</t>
        </is>
      </c>
      <c r="G5944">
        <f>_xludf.IMAGE("https://edmondsonsupply.com/cdn/shop/products/86600.png?v=1645569632")</f>
        <v/>
      </c>
      <c r="H5944">
        <f>_xludf.IMAGE("https://m.media-amazon.com/images/I/6147J4xgyLL._AC_UL320_.jpg")</f>
        <v/>
      </c>
      <c r="K5944" t="inlineStr">
        <is>
          <t>6.99</t>
        </is>
      </c>
      <c r="L5944" t="n">
        <v>6.99</v>
      </c>
      <c r="M5944" s="1" t="inlineStr">
        <is>
          <t>0.00%</t>
        </is>
      </c>
      <c r="N5944" s="1" t="n"/>
      <c r="O5944" t="n">
        <v>4.7</v>
      </c>
      <c r="P5944" t="n">
        <v>1163</v>
      </c>
      <c r="R5944" t="inlineStr">
        <is>
          <t>InStock</t>
        </is>
      </c>
      <c r="S5944" t="inlineStr">
        <is>
          <t>10.6</t>
        </is>
      </c>
      <c r="T5944" t="inlineStr">
        <is>
          <t>7614370054360</t>
        </is>
      </c>
    </row>
    <row r="5945" ht="87" customHeight="1">
      <c r="A5945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5945" s="2">
        <f>HYPERLINK("https://edmondsonsupply.com/products/klein-tools-647m-magnetic-nut-driver-set-6-inch-shafts-7-piece", "https://edmondsonsupply.com/products/klein-tools-647m-magnetic-nut-driver-set-6-inch-shafts-7-piece")</f>
        <v/>
      </c>
      <c r="C5945" t="inlineStr">
        <is>
          <t>Klein Tools 647M Magnetic Nut Driver Set, 6-Inch Shafts, 7-Piece</t>
        </is>
      </c>
      <c r="D5945" t="inlineStr">
        <is>
          <t>Klein Tools 635-6 Tool Set, Heavy Duty Magnetic Nut Drivers SAE Sizes 1/4, 5/16, 3/8, 7/16, 1/2, and 9/16-Inch Hex, 6-Inch, 6-Piece</t>
        </is>
      </c>
      <c r="E5945" s="2">
        <f>HYPERLINK("https://www.amazon.com/Heavy-Duty-Driver-6-Piece-Klein-Tools/dp/B01DKNDHGM/ref=sr_1_8?keywords=Klein+Tools+647M+Magnetic+Nut+Driver+Set%2C+6-Inch+Shafts%2C+7-Piece&amp;qid=1694735271&amp;sr=8-8", "https://www.amazon.com/Heavy-Duty-Driver-6-Piece-Klein-Tools/dp/B01DKNDHGM/ref=sr_1_8?keywords=Klein+Tools+647M+Magnetic+Nut+Driver+Set%2C+6-Inch+Shafts%2C+7-Piece&amp;qid=1694735271&amp;sr=8-8")</f>
        <v/>
      </c>
      <c r="F5945" t="inlineStr">
        <is>
          <t>B01DKNDHGM</t>
        </is>
      </c>
      <c r="G5945">
        <f>_xlfn.IMAGE("https://edmondsonsupply.com/cdn/shop/products/647m.jpg?v=1633030530")</f>
        <v/>
      </c>
      <c r="H5945">
        <f>_xlfn.IMAGE("https://m.media-amazon.com/images/I/61eypCy1RLL._AC_UL320_.jpg")</f>
        <v/>
      </c>
      <c r="K5945" t="inlineStr">
        <is>
          <t>79.99</t>
        </is>
      </c>
      <c r="L5945" t="n">
        <v>79.98999999999999</v>
      </c>
      <c r="M5945" s="1" t="inlineStr">
        <is>
          <t>0.00%</t>
        </is>
      </c>
      <c r="N5945" s="7" t="n"/>
      <c r="O5945" t="n">
        <v>4.7</v>
      </c>
      <c r="P5945" t="n">
        <v>943</v>
      </c>
      <c r="R5945" t="inlineStr">
        <is>
          <t>InStock</t>
        </is>
      </c>
      <c r="S5945" t="inlineStr">
        <is>
          <t>117.72</t>
        </is>
      </c>
      <c r="T5945" t="inlineStr">
        <is>
          <t>5408872136872</t>
        </is>
      </c>
    </row>
    <row r="5946" ht="87" customHeight="1">
      <c r="A5946" s="2">
        <f>HYPERLINK("https://edmondsonsupply.com/collections/electricians-tools/products/klein-tools-69359-lead-adapters-red-and-black-3-foot", "https://edmondsonsupply.com/collections/electricians-tools/products/klein-tools-69359-lead-adapters-red-and-black-3-foot")</f>
        <v/>
      </c>
      <c r="B5946" s="2">
        <f>HYPERLINK("https://edmondsonsupply.com/products/klein-tools-69359-lead-adapters-red-and-black-3-foot", "https://edmondsonsupply.com/products/klein-tools-69359-lead-adapters-red-and-black-3-foot")</f>
        <v/>
      </c>
      <c r="C5946" t="inlineStr">
        <is>
          <t>Klein Tools 69359 Lead Adapters, Red and Black, 3-Foot</t>
        </is>
      </c>
      <c r="D5946" t="inlineStr">
        <is>
          <t>Klein Tools 69359 Lead Adapters, Attach to Alligator Clips, Outlet Tabs / Prongs, for all Meters with Banana-Type Connectors, 3-Foot Pair</t>
        </is>
      </c>
      <c r="E5946" s="2">
        <f>HYPERLINK("https://www.amazon.com/Klein-Tools-69359-Banana-Type-Connectors/dp/B0BN2HNCLV/ref=sr_1_1?keywords=Klein+Tools+69359+Lead+Adapters%2C+Red+and+Black%2C+3-Foot&amp;qid=1694735049&amp;sr=8-1", "https://www.amazon.com/Klein-Tools-69359-Banana-Type-Connectors/dp/B0BN2HNCLV/ref=sr_1_1?keywords=Klein+Tools+69359+Lead+Adapters%2C+Red+and+Black%2C+3-Foot&amp;qid=1694735049&amp;sr=8-1")</f>
        <v/>
      </c>
      <c r="F5946" t="inlineStr">
        <is>
          <t>B0BN2HNCLV</t>
        </is>
      </c>
      <c r="G5946">
        <f>_xlfn.IMAGE("https://edmondsonsupply.com/cdn/shop/products/69359.jpg?v=1674490100")</f>
        <v/>
      </c>
      <c r="H5946">
        <f>_xlfn.IMAGE("https://m.media-amazon.com/images/I/51TpShexYpL._AC_UL320_.jpg")</f>
        <v/>
      </c>
      <c r="K5946" t="inlineStr">
        <is>
          <t>19.99</t>
        </is>
      </c>
      <c r="L5946" t="n">
        <v>19.99</v>
      </c>
      <c r="M5946" s="1" t="inlineStr">
        <is>
          <t>0.00%</t>
        </is>
      </c>
      <c r="N5946" s="7" t="n"/>
      <c r="O5946" t="n">
        <v>5</v>
      </c>
      <c r="P5946" t="n">
        <v>1</v>
      </c>
      <c r="R5946" t="inlineStr">
        <is>
          <t>InStock</t>
        </is>
      </c>
      <c r="S5946" t="inlineStr">
        <is>
          <t>25.98</t>
        </is>
      </c>
      <c r="T5946" t="inlineStr">
        <is>
          <t>7931926053080</t>
        </is>
      </c>
    </row>
    <row r="5947" hidden="1" ht="15.75" customHeight="1">
      <c r="A5947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5947" s="2">
        <f>HYPERLINK("https://edmondsonsupply.com/products/klein-tools-31944-bi-metal-hole-saw-2-3-4-inch", "https://edmondsonsupply.com/products/klein-tools-31944-bi-metal-hole-saw-2-3-4-inch")</f>
        <v/>
      </c>
      <c r="C5947" t="inlineStr">
        <is>
          <t>Klein Tools 31944 Bi-Metal Hole Saw, 2-3/4-Inch</t>
        </is>
      </c>
      <c r="D5947" t="inlineStr">
        <is>
          <t>Klein Tools 31944 Bi-Metal Hole Saw, 2-3/4-Inch</t>
        </is>
      </c>
      <c r="E5947" s="2">
        <f>HYPERLINK("https://www.amazon.com/Bi-Metal-4-Inch-Klein-Tools-31944/dp/B0198751ZO/ref=sr_1_1?keywords=Klein+Tools+31944+Bi-Metal+Hole+Saw%2C+2-3%2F4-Inch&amp;qid=1694735356&amp;sr=8-1", "https://www.amazon.com/Bi-Metal-4-Inch-Klein-Tools-31944/dp/B0198751ZO/ref=sr_1_1?keywords=Klein+Tools+31944+Bi-Metal+Hole+Saw%2C+2-3%2F4-Inch&amp;qid=1694735356&amp;sr=8-1")</f>
        <v/>
      </c>
      <c r="F5947" t="inlineStr">
        <is>
          <t>B0198751ZO</t>
        </is>
      </c>
      <c r="G5947">
        <f>_xludf.IMAGE("https://edmondsonsupply.com/cdn/shop/products/31944.jpg?v=1587150512")</f>
        <v/>
      </c>
      <c r="H5947">
        <f>_xludf.IMAGE("https://m.media-amazon.com/images/I/41k8Xei88dL._AC_UL320_.jpg")</f>
        <v/>
      </c>
      <c r="K5947" t="inlineStr">
        <is>
          <t>12.99</t>
        </is>
      </c>
      <c r="L5947" t="n">
        <v>12.99</v>
      </c>
      <c r="M5947" s="1" t="inlineStr">
        <is>
          <t>0.00%</t>
        </is>
      </c>
      <c r="N5947" s="1" t="n"/>
      <c r="O5947" t="n">
        <v>4.6</v>
      </c>
      <c r="P5947" t="n">
        <v>406</v>
      </c>
      <c r="R5947" t="inlineStr">
        <is>
          <t>InStock</t>
        </is>
      </c>
      <c r="S5947" t="inlineStr">
        <is>
          <t>18.24</t>
        </is>
      </c>
      <c r="T5947" t="inlineStr">
        <is>
          <t>4433553326180</t>
        </is>
      </c>
    </row>
    <row r="5948" ht="87" customHeight="1">
      <c r="A5948" s="2">
        <f>HYPERLINK("https://edmondsonsupply.com/collections/electricians-tools/products/diablo-tools-d0824x-8-1-4-in-x-24-tooth-framing-saw-blade", "https://edmondsonsupply.com/collections/electricians-tools/products/diablo-tools-d0824x-8-1-4-in-x-24-tooth-framing-saw-blade")</f>
        <v/>
      </c>
      <c r="B5948" s="2">
        <f>HYPERLINK("https://edmondsonsupply.com/products/diablo-tools-d0824x-8-1-4-in-x-24-tooth-framing-saw-blade", "https://edmondsonsupply.com/products/diablo-tools-d0824x-8-1-4-in-x-24-tooth-framing-saw-blade")</f>
        <v/>
      </c>
      <c r="C5948" t="inlineStr">
        <is>
          <t>Diablo Tools D0824X 8-1/4 in. x 24 Tooth Framing Saw Blade</t>
        </is>
      </c>
      <c r="D5948" t="inlineStr">
        <is>
          <t>Diablo 8-1/4-Inch 24 Tooth ATB Framing Saw Blade</t>
        </is>
      </c>
      <c r="E5948" s="2">
        <f>HYPERLINK("https://www.amazon.com/Freud-D0824X-Diablo-4-Inch-Framing/dp/B00008WQ2K/ref=sr_1_1?keywords=Diablo+Tools+D0824X+8-1%2F4+in.+x+24+Tooth+Framing+Saw+Blade&amp;qid=1694735018&amp;sr=8-1", "https://www.amazon.com/Freud-D0824X-Diablo-4-Inch-Framing/dp/B00008WQ2K/ref=sr_1_1?keywords=Diablo+Tools+D0824X+8-1%2F4+in.+x+24+Tooth+Framing+Saw+Blade&amp;qid=1694735018&amp;sr=8-1")</f>
        <v/>
      </c>
      <c r="F5948" t="inlineStr">
        <is>
          <t>B00008WQ2K</t>
        </is>
      </c>
      <c r="G5948">
        <f>_xlfn.IMAGE("https://edmondsonsupply.com/cdn/shop/products/waqxzlwfclzed6nt6ziy.webp?v=1678979454")</f>
        <v/>
      </c>
      <c r="H5948">
        <f>_xlfn.IMAGE("https://m.media-amazon.com/images/I/61+RISIzdHL._AC_UL320_.jpg")</f>
        <v/>
      </c>
      <c r="K5948" t="inlineStr">
        <is>
          <t>18.97</t>
        </is>
      </c>
      <c r="L5948" t="n">
        <v>18.97</v>
      </c>
      <c r="M5948" s="1" t="inlineStr">
        <is>
          <t>0.00%</t>
        </is>
      </c>
      <c r="N5948" s="7" t="n"/>
      <c r="O5948" t="n">
        <v>4.7</v>
      </c>
      <c r="P5948" t="n">
        <v>133</v>
      </c>
      <c r="R5948" t="inlineStr">
        <is>
          <t>InStock</t>
        </is>
      </c>
      <c r="S5948" t="inlineStr">
        <is>
          <t>26.89</t>
        </is>
      </c>
      <c r="T5948" t="inlineStr">
        <is>
          <t>7962666500312</t>
        </is>
      </c>
    </row>
    <row r="5949" ht="87" customHeight="1">
      <c r="A5949" s="2">
        <f>HYPERLINK("https://edmondsonsupply.com/collections/electricians-tools/products/klein-tools-50660-glow-in-the-dark-fish-tape-40-foot", "https://edmondsonsupply.com/collections/electricians-tools/products/klein-tools-50660-glow-in-the-dark-fish-tape-40-foot")</f>
        <v/>
      </c>
      <c r="B5949" s="2">
        <f>HYPERLINK("https://edmondsonsupply.com/products/klein-tools-50660-glow-in-the-dark-fish-tape-40-foot", "https://edmondsonsupply.com/products/klein-tools-50660-glow-in-the-dark-fish-tape-40-foot")</f>
        <v/>
      </c>
      <c r="C5949" t="inlineStr">
        <is>
          <t>Klein Tools 50660 Glow in the Dark Fish Tape, 40-Foot</t>
        </is>
      </c>
      <c r="D5949" t="inlineStr">
        <is>
          <t>Klein Tools 50660 Glow In The Dark Fish Tape, Fiberglass with Nylon Tip and Stainless-Steel Connector for Fish Rod Attachments, 40-Foot</t>
        </is>
      </c>
      <c r="E5949" s="2">
        <f>HYPERLINK("https://www.amazon.com/Klein-Tools-50660-Stainless-Steel-Attachments/dp/B0BVJXRH9J/ref=sr_1_1?keywords=Klein+Tools+50660+Glow+in+the+Dark+Fish+Tape%2C+40-Foot&amp;qid=1694735031&amp;sr=8-1", "https://www.amazon.com/Klein-Tools-50660-Stainless-Steel-Attachments/dp/B0BVJXRH9J/ref=sr_1_1?keywords=Klein+Tools+50660+Glow+in+the+Dark+Fish+Tape%2C+40-Foot&amp;qid=1694735031&amp;sr=8-1")</f>
        <v/>
      </c>
      <c r="F5949" t="inlineStr">
        <is>
          <t>B0BVJXRH9J</t>
        </is>
      </c>
      <c r="G5949">
        <f>_xlfn.IMAGE("https://edmondsonsupply.com/cdn/shop/products/50660.jpg?v=1677685297")</f>
        <v/>
      </c>
      <c r="H5949">
        <f>_xlfn.IMAGE("https://m.media-amazon.com/images/I/61TfZQjceGL._AC_UL320_.jpg")</f>
        <v/>
      </c>
      <c r="K5949" t="inlineStr">
        <is>
          <t>59.97</t>
        </is>
      </c>
      <c r="L5949" t="n">
        <v>59.97</v>
      </c>
      <c r="M5949" s="1" t="inlineStr">
        <is>
          <t>0.00%</t>
        </is>
      </c>
      <c r="N5949" s="7" t="n"/>
      <c r="O5949" t="n">
        <v>4.1</v>
      </c>
      <c r="P5949" t="n">
        <v>6</v>
      </c>
      <c r="R5949" t="inlineStr">
        <is>
          <t>InStock</t>
        </is>
      </c>
      <c r="S5949" t="inlineStr">
        <is>
          <t>89.96</t>
        </is>
      </c>
      <c r="T5949" t="inlineStr">
        <is>
          <t>7953972527320</t>
        </is>
      </c>
    </row>
    <row r="5950" ht="87" customHeight="1">
      <c r="A5950" s="2">
        <f>HYPERLINK("https://edmondsonsupply.com/collections/electricians-tools/products/klein-tools-et16-borescope-for-android%C2%AE-devices", "https://edmondsonsupply.com/collections/electricians-tools/products/klein-tools-et16-borescope-for-android%C2%AE-devices")</f>
        <v/>
      </c>
      <c r="B5950" s="2">
        <f>HYPERLINK("https://edmondsonsupply.com/products/klein-tools-et16-borescope-for-android%c2%ae-devices", "https://edmondsonsupply.com/products/klein-tools-et16-borescope-for-android%c2%ae-devices")</f>
        <v/>
      </c>
      <c r="C5950" t="inlineStr">
        <is>
          <t>Klein Tools ET16 Borescope for Android® Devices</t>
        </is>
      </c>
      <c r="D5950" t="inlineStr">
        <is>
          <t>Klein Tools ET16 Borescope Digital Camera with LED Lights, for Android Devices, USB-C or Micro-USB Connection; No Batteries Needed</t>
        </is>
      </c>
      <c r="E5950" s="2">
        <f>HYPERLINK("https://www.amazon.com/KLEIN-TOOLS-Borescope-Android-Device/dp/B08GL4465F/ref=sr_1_1?keywords=Klein+Tools+ET16+Borescope+for+Android%C2%AE+Devices&amp;qid=1694735180&amp;sr=8-1", "https://www.amazon.com/KLEIN-TOOLS-Borescope-Android-Device/dp/B08GL4465F/ref=sr_1_1?keywords=Klein+Tools+ET16+Borescope+for+Android%C2%AE+Devices&amp;qid=1694735180&amp;sr=8-1")</f>
        <v/>
      </c>
      <c r="F5950" t="inlineStr">
        <is>
          <t>B08GL4465F</t>
        </is>
      </c>
      <c r="G5950">
        <f>_xlfn.IMAGE("https://edmondsonsupply.com/cdn/shop/products/et16.jpg?v=1646585283")</f>
        <v/>
      </c>
      <c r="H5950">
        <f>_xlfn.IMAGE("https://m.media-amazon.com/images/I/61VC7T8+O7L._AC_UY218_.jpg")</f>
        <v/>
      </c>
      <c r="K5950" t="inlineStr">
        <is>
          <t>39.97</t>
        </is>
      </c>
      <c r="L5950" t="n">
        <v>39.97</v>
      </c>
      <c r="M5950" s="1" t="inlineStr">
        <is>
          <t>0.00%</t>
        </is>
      </c>
      <c r="N5950" s="7" t="n"/>
      <c r="O5950" t="n">
        <v>4.1</v>
      </c>
      <c r="P5950" t="n">
        <v>584</v>
      </c>
      <c r="R5950" t="inlineStr">
        <is>
          <t>InStock</t>
        </is>
      </c>
      <c r="S5950" t="inlineStr">
        <is>
          <t>58.12</t>
        </is>
      </c>
      <c r="T5950" t="inlineStr">
        <is>
          <t>7626907713752</t>
        </is>
      </c>
    </row>
    <row r="5951" hidden="1" ht="15.75" customHeight="1">
      <c r="A5951" s="2">
        <f>HYPERLINK("https://edmondsonsupply.com/collections/electricians-tools/products/klein-tools-jth6m2-2-mm-hex-key-journeyman-t-handle-6-inch", "https://edmondsonsupply.com/collections/electricians-tools/products/klein-tools-jth6m2-2-mm-hex-key-journeyman-t-handle-6-inch")</f>
        <v/>
      </c>
      <c r="B5951" s="2">
        <f>HYPERLINK("https://edmondsonsupply.com/products/klein-tools-jth6m2-2-mm-hex-key-journeyman-t-handle-6-inch", "https://edmondsonsupply.com/products/klein-tools-jth6m2-2-mm-hex-key-journeyman-t-handle-6-inch")</f>
        <v/>
      </c>
      <c r="C5951" t="inlineStr">
        <is>
          <t>Klein Tools JTH6M2 2 mm Hex Key, Journeyman T-Handle, 6-Inch</t>
        </is>
      </c>
      <c r="D5951" t="inlineStr">
        <is>
          <t>Klein Tools JTH6M3 3 mm Hex Key with Journeyman T-Handle, 6-Inch</t>
        </is>
      </c>
      <c r="E5951" s="2">
        <f>HYPERLINK("https://www.amazon.com/Journeyman-T-Handle-Klein-Tools-JTH6M3/dp/B005G394RG/ref=sr_1_6?keywords=Klein+Tools+JTH6M2+2+mm+Hex+Key%2C+Journeyman+T-Handle%2C+6-Inch&amp;qid=1694735354&amp;sr=8-6", "https://www.amazon.com/Journeyman-T-Handle-Klein-Tools-JTH6M3/dp/B005G394RG/ref=sr_1_6?keywords=Klein+Tools+JTH6M2+2+mm+Hex+Key%2C+Journeyman+T-Handle%2C+6-Inch&amp;qid=1694735354&amp;sr=8-6")</f>
        <v/>
      </c>
      <c r="F5951" t="inlineStr">
        <is>
          <t>B005G394RG</t>
        </is>
      </c>
      <c r="G5951">
        <f>_xludf.IMAGE("https://edmondsonsupply.com/cdn/shop/products/jth6m8_a05a7009-87dd-4391-9f0b-ef31a782bd36.jpg?v=1587147558")</f>
        <v/>
      </c>
      <c r="H5951">
        <f>_xludf.IMAGE("https://m.media-amazon.com/images/I/51+1x0vz9XL._AC_UL320_.jpg")</f>
        <v/>
      </c>
      <c r="K5951" t="inlineStr">
        <is>
          <t>3.99</t>
        </is>
      </c>
      <c r="L5951" t="n">
        <v>3.99</v>
      </c>
      <c r="M5951" s="1" t="inlineStr">
        <is>
          <t>0.00%</t>
        </is>
      </c>
      <c r="N5951" s="1" t="n"/>
      <c r="O5951" t="n">
        <v>4.7</v>
      </c>
      <c r="P5951" t="n">
        <v>358</v>
      </c>
      <c r="R5951" t="inlineStr">
        <is>
          <t>InStock</t>
        </is>
      </c>
      <c r="S5951" t="inlineStr">
        <is>
          <t>6.06</t>
        </is>
      </c>
      <c r="T5951" t="inlineStr">
        <is>
          <t>4506082738276</t>
        </is>
      </c>
    </row>
    <row r="5952" ht="87" customHeight="1">
      <c r="A5952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5952" s="2">
        <f>HYPERLINK("https://edmondsonsupply.com/products/klein-tools-56331-steel-fish-tape-1-8-inch-x-50-foot", "https://edmondsonsupply.com/products/klein-tools-56331-steel-fish-tape-1-8-inch-x-50-foot")</f>
        <v/>
      </c>
      <c r="C5952" t="inlineStr">
        <is>
          <t>Klein Tools 56331 Steel Fish Tape, 1/8-Inch x 50-Foot</t>
        </is>
      </c>
      <c r="D5952" t="inlineStr">
        <is>
          <t>Klein Tools 56331 Electrical Fish Tape, Steel Wire Puller with Double Loop Tip, Optimized Housing and Handle, 1/8-Inch x 50-Foot</t>
        </is>
      </c>
      <c r="E5952" s="2">
        <f>HYPERLINK("https://www.amazon.com/Klein-Tools-56331-Optimized-Housing/dp/B081TVR4N7/ref=sr_1_1?keywords=Klein+Tools+56331+Steel+Fish+Tape%2C+1%2F8-Inch+x+50-Foot&amp;qid=1694735384&amp;sr=8-1", "https://www.amazon.com/Klein-Tools-56331-Optimized-Housing/dp/B081TVR4N7/ref=sr_1_1?keywords=Klein+Tools+56331+Steel+Fish+Tape%2C+1%2F8-Inch+x+50-Foot&amp;qid=1694735384&amp;sr=8-1")</f>
        <v/>
      </c>
      <c r="F5952" t="inlineStr">
        <is>
          <t>B081TVR4N7</t>
        </is>
      </c>
      <c r="G5952">
        <f>_xlfn.IMAGE("https://edmondsonsupply.com/cdn/shop/products/56331.jpg?v=1587143350")</f>
        <v/>
      </c>
      <c r="H5952">
        <f>_xlfn.IMAGE("https://m.media-amazon.com/images/I/71Wab7hH7jS._AC_UL320_.jpg")</f>
        <v/>
      </c>
      <c r="K5952" t="inlineStr">
        <is>
          <t>24.99</t>
        </is>
      </c>
      <c r="L5952" t="n">
        <v>24.99</v>
      </c>
      <c r="M5952" s="1" t="inlineStr">
        <is>
          <t>0.00%</t>
        </is>
      </c>
      <c r="N5952" s="7" t="n"/>
      <c r="O5952" t="n">
        <v>4.6</v>
      </c>
      <c r="P5952" t="n">
        <v>5174</v>
      </c>
      <c r="R5952" t="inlineStr">
        <is>
          <t>InStock</t>
        </is>
      </c>
      <c r="S5952" t="inlineStr">
        <is>
          <t>30.9</t>
        </is>
      </c>
      <c r="T5952" t="inlineStr">
        <is>
          <t>4412204056676</t>
        </is>
      </c>
    </row>
    <row r="5953" ht="87" customHeight="1">
      <c r="A5953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5953" s="2">
        <f>HYPERLINK("https://edmondsonsupply.com/products/klein-tools-647m-magnetic-nut-driver-set-6-inch-shafts-7-piece", "https://edmondsonsupply.com/products/klein-tools-647m-magnetic-nut-driver-set-6-inch-shafts-7-piece")</f>
        <v/>
      </c>
      <c r="C5953" t="inlineStr">
        <is>
          <t>Klein Tools 647M Magnetic Nut Driver Set, 6-Inch Shafts, 7-Piece</t>
        </is>
      </c>
      <c r="D5953" t="inlineStr">
        <is>
          <t>Klein Tools 647M Tool Set, Magnetic Nut Drivers Sizes 3/16, 1/4, 5/16, 11/32, 3/8, 7/16, 1/2-Inch, 6-Inch Hollow Shafts, 7-Piece</t>
        </is>
      </c>
      <c r="E5953" s="2">
        <f>HYPERLINK("https://www.amazon.com/Klein-Tools-647M-Magnetic-7-Piece/dp/B000MKIUYQ/ref=sr_1_1?keywords=Klein+Tools+647M+Magnetic+Nut+Driver+Set%2C+6-Inch+Shafts%2C+7-Piece&amp;qid=1694735271&amp;sr=8-1", "https://www.amazon.com/Klein-Tools-647M-Magnetic-7-Piece/dp/B000MKIUYQ/ref=sr_1_1?keywords=Klein+Tools+647M+Magnetic+Nut+Driver+Set%2C+6-Inch+Shafts%2C+7-Piece&amp;qid=1694735271&amp;sr=8-1")</f>
        <v/>
      </c>
      <c r="F5953" t="inlineStr">
        <is>
          <t>B000MKIUYQ</t>
        </is>
      </c>
      <c r="G5953">
        <f>_xlfn.IMAGE("https://edmondsonsupply.com/cdn/shop/products/647m.jpg?v=1633030530")</f>
        <v/>
      </c>
      <c r="H5953">
        <f>_xlfn.IMAGE("https://m.media-amazon.com/images/I/61PNUE211uL._AC_UL320_.jpg")</f>
        <v/>
      </c>
      <c r="K5953" t="inlineStr">
        <is>
          <t>79.99</t>
        </is>
      </c>
      <c r="L5953" t="n">
        <v>79.98999999999999</v>
      </c>
      <c r="M5953" s="1" t="inlineStr">
        <is>
          <t>0.00%</t>
        </is>
      </c>
      <c r="N5953" s="7" t="n"/>
      <c r="O5953" t="n">
        <v>4.8</v>
      </c>
      <c r="P5953" t="n">
        <v>985</v>
      </c>
      <c r="R5953" t="inlineStr">
        <is>
          <t>InStock</t>
        </is>
      </c>
      <c r="S5953" t="inlineStr">
        <is>
          <t>117.72</t>
        </is>
      </c>
      <c r="T5953" t="inlineStr">
        <is>
          <t>5408872136872</t>
        </is>
      </c>
    </row>
    <row r="5954" ht="87" customHeight="1">
      <c r="A5954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5954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5954" t="inlineStr">
        <is>
          <t>Milwaukee 48-39-0572 18 TPI Standard Compact Portable Band Saw Blade BULK 100</t>
        </is>
      </c>
      <c r="D5954" t="inlineStr">
        <is>
          <t>Milwaukee Alloy Steel 48-39-0572 18 TPI Sub-Compact Portable Band Saw Blade For Metal, 3 Per Pack</t>
        </is>
      </c>
      <c r="E5954" s="2">
        <f>HYPERLINK("https://www.amazon.com/Milwaukee-48-39-0572-Sub-Compact-Portable-3-Pack/dp/B07FJLZSL7/ref=sr_1_30?keywords=Milwaukee+48-39-0572+18+TPI+Standard+Compact+Portable+Band+Saw+Blade+BULK+100&amp;qid=1694735025&amp;sr=8-30", "https://www.amazon.com/Milwaukee-48-39-0572-Sub-Compact-Portable-3-Pack/dp/B07FJLZSL7/ref=sr_1_30?keywords=Milwaukee+48-39-0572+18+TPI+Standard+Compact+Portable+Band+Saw+Blade+BULK+100&amp;qid=1694735025&amp;sr=8-30")</f>
        <v/>
      </c>
      <c r="F5954" t="inlineStr">
        <is>
          <t>B07FJLZSL7</t>
        </is>
      </c>
      <c r="G5954">
        <f>_xlfn.IMAGE("https://edmondsonsupply.com/cdn/shop/products/21432_48-39-0510.jpg?v=1678901662")</f>
        <v/>
      </c>
      <c r="H5954">
        <f>_xlfn.IMAGE("https://m.media-amazon.com/images/I/61eLwbcAhIL._AC_UL320_.jpg")</f>
        <v/>
      </c>
      <c r="K5954" t="inlineStr">
        <is>
          <t>21.97</t>
        </is>
      </c>
      <c r="L5954" t="n">
        <v>21.97</v>
      </c>
      <c r="M5954" s="1" t="inlineStr">
        <is>
          <t>0.00%</t>
        </is>
      </c>
      <c r="N5954" s="7" t="n"/>
      <c r="O5954" t="n">
        <v>4.7</v>
      </c>
      <c r="P5954" t="n">
        <v>838</v>
      </c>
      <c r="R5954" t="inlineStr">
        <is>
          <t>InStock</t>
        </is>
      </c>
      <c r="S5954" t="inlineStr">
        <is>
          <t>27.5</t>
        </is>
      </c>
      <c r="T5954" t="inlineStr">
        <is>
          <t>7962068549848</t>
        </is>
      </c>
    </row>
    <row r="5955" ht="87" customHeight="1">
      <c r="A5955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5955" s="2">
        <f>HYPERLINK("https://edmondsonsupply.com/products/klein-tools-ncvt1xt-non-contact-voltage-tester-70-to-1000v-ac", "https://edmondsonsupply.com/products/klein-tools-ncvt1xt-non-contact-voltage-tester-70-to-1000v-ac")</f>
        <v/>
      </c>
      <c r="C5955" t="inlineStr">
        <is>
          <t>Klein Tools NCVT1XT Non-Contact Voltage Tester, 70 to 1000V AC</t>
        </is>
      </c>
      <c r="D5955" t="inlineStr">
        <is>
          <t>Klein Tools NCVT1P Voltage Tester, Non-Contact Voltage Detector Pen, 50V to 1000V AC, Audible and Flashing LED Alarms, Pocket Clip,Green,Red,Green/Red/Yellow</t>
        </is>
      </c>
      <c r="E5955" s="2">
        <f>HYPERLINK("https://www.amazon.com/Non-Contact-Detector-Klein-Tools-NCVT1P/dp/B099SJ6469/ref=sr_1_3?keywords=Klein+Tools+NCVT1XT+Non-Contact+Voltage+Tester%2C+70+to+1000V+AC&amp;qid=1694735046&amp;sr=8-3", "https://www.amazon.com/Non-Contact-Detector-Klein-Tools-NCVT1P/dp/B099SJ6469/ref=sr_1_3?keywords=Klein+Tools+NCVT1XT+Non-Contact+Voltage+Tester%2C+70+to+1000V+AC&amp;qid=1694735046&amp;sr=8-3")</f>
        <v/>
      </c>
      <c r="F5955" t="inlineStr">
        <is>
          <t>B099SJ6469</t>
        </is>
      </c>
      <c r="G5955">
        <f>_xlfn.IMAGE("https://edmondsonsupply.com/cdn/shop/products/ncvt1xt.jpg?v=1674496568")</f>
        <v/>
      </c>
      <c r="H5955">
        <f>_xlfn.IMAGE("https://m.media-amazon.com/images/I/412nrsDmOxL._AC_UL320_.jpg")</f>
        <v/>
      </c>
      <c r="K5955" t="inlineStr">
        <is>
          <t>19.97</t>
        </is>
      </c>
      <c r="L5955" t="n">
        <v>19.97</v>
      </c>
      <c r="M5955" s="1" t="inlineStr">
        <is>
          <t>0.00%</t>
        </is>
      </c>
      <c r="N5955" s="7" t="n"/>
      <c r="O5955" t="n">
        <v>4.6</v>
      </c>
      <c r="P5955" t="n">
        <v>3415</v>
      </c>
      <c r="R5955" t="inlineStr">
        <is>
          <t>InStock</t>
        </is>
      </c>
      <c r="S5955" t="inlineStr">
        <is>
          <t>26.32</t>
        </is>
      </c>
      <c r="T5955" t="inlineStr">
        <is>
          <t>7931947155672</t>
        </is>
      </c>
    </row>
    <row r="5956" ht="87" customHeight="1">
      <c r="A5956" s="2">
        <f>HYPERLINK("https://edmondsonsupply.com/collections/electricians-tools/products/klein-tools-et920-usb-digital-meter-usb-a-and-usb-c", "https://edmondsonsupply.com/collections/electricians-tools/products/klein-tools-et920-usb-digital-meter-usb-a-and-usb-c")</f>
        <v/>
      </c>
      <c r="B5956" s="2">
        <f>HYPERLINK("https://edmondsonsupply.com/products/klein-tools-et920-usb-digital-meter-usb-a-and-usb-c", "https://edmondsonsupply.com/products/klein-tools-et920-usb-digital-meter-usb-a-and-usb-c")</f>
        <v/>
      </c>
      <c r="C5956" t="inlineStr">
        <is>
          <t>Klein Tools ET920 USB Digital Meter, USB-A and USB-C</t>
        </is>
      </c>
      <c r="D5956" t="inlineStr">
        <is>
          <t>Klein Tools ET920 USB Power Meter, USB-A and USB-C Digital Meter for Voltage, Current, Capacity, Energy and Resistance</t>
        </is>
      </c>
      <c r="E5956" s="2">
        <f>HYPERLINK("https://www.amazon.com/Klein-Tools-ET920-Capacity-Resistance/dp/B07GXZHPVR/ref=sr_1_1?keywords=Klein+Tools+ET920+USB+Digital+Meter%2C+USB-A+and+USB-C&amp;qid=1694735169&amp;sr=8-1", "https://www.amazon.com/Klein-Tools-ET920-Capacity-Resistance/dp/B07GXZHPVR/ref=sr_1_1?keywords=Klein+Tools+ET920+USB+Digital+Meter%2C+USB-A+and+USB-C&amp;qid=1694735169&amp;sr=8-1")</f>
        <v/>
      </c>
      <c r="F5956" t="inlineStr">
        <is>
          <t>B07GXZHPVR</t>
        </is>
      </c>
      <c r="G5956">
        <f>_xlfn.IMAGE("https://edmondsonsupply.com/cdn/shop/products/et920.jpg?v=1642643803")</f>
        <v/>
      </c>
      <c r="H5956">
        <f>_xlfn.IMAGE("https://m.media-amazon.com/images/I/51jtQ7jBYaL._AC_UL320_.jpg")</f>
        <v/>
      </c>
      <c r="K5956" t="inlineStr">
        <is>
          <t>39.97</t>
        </is>
      </c>
      <c r="L5956" t="n">
        <v>39.97</v>
      </c>
      <c r="M5956" s="1" t="inlineStr">
        <is>
          <t>0.00%</t>
        </is>
      </c>
      <c r="N5956" s="7" t="n"/>
      <c r="O5956" t="n">
        <v>4.5</v>
      </c>
      <c r="P5956" t="n">
        <v>1276</v>
      </c>
      <c r="R5956" t="inlineStr">
        <is>
          <t>InStock</t>
        </is>
      </c>
      <c r="S5956" t="inlineStr">
        <is>
          <t>47.98</t>
        </is>
      </c>
      <c r="T5956" t="inlineStr">
        <is>
          <t>7584862372056</t>
        </is>
      </c>
    </row>
    <row r="5957" ht="87" customHeight="1">
      <c r="A5957" s="2">
        <f>HYPERLINK("https://edmondsonsupply.com/collections/electricians-tools/products/klein-tools-56999-conduit-locknut-wrench-1-2-and-3-4", "https://edmondsonsupply.com/collections/electricians-tools/products/klein-tools-56999-conduit-locknut-wrench-1-2-and-3-4")</f>
        <v/>
      </c>
      <c r="B5957" s="2">
        <f>HYPERLINK("https://edmondsonsupply.com/products/klein-tools-56999-conduit-locknut-wrench-1-2-and-3-4", "https://edmondsonsupply.com/products/klein-tools-56999-conduit-locknut-wrench-1-2-and-3-4")</f>
        <v/>
      </c>
      <c r="C5957" t="inlineStr">
        <is>
          <t>Klein Tools 56999 Conduit Locknut Wrench, Fits 1/2-Inch, 3/4-Inch</t>
        </is>
      </c>
      <c r="D5957" t="inlineStr">
        <is>
          <t>Klein Tools 56999 Conduit Locknut Wrench for 1/2-Inch and 3/4-Inch Connectors, Direct Drive Heads Rotate</t>
        </is>
      </c>
      <c r="E5957" s="2">
        <f>HYPERLINK("https://www.amazon.com/Conduit-Connectors-Klein-Tools-56999/dp/B019A4CXPG/ref=sr_1_1?keywords=Klein+Tools+56999+Conduit+Locknut+Wrench%2C+Fits+1%2F2-Inch%2C+3%2F4-Inch&amp;qid=1694735366&amp;sr=8-1", "https://www.amazon.com/Conduit-Connectors-Klein-Tools-56999/dp/B019A4CXPG/ref=sr_1_1?keywords=Klein+Tools+56999+Conduit+Locknut+Wrench%2C+Fits+1%2F2-Inch%2C+3%2F4-Inch&amp;qid=1694735366&amp;sr=8-1")</f>
        <v/>
      </c>
      <c r="F5957" t="inlineStr">
        <is>
          <t>B019A4CXPG</t>
        </is>
      </c>
      <c r="G5957">
        <f>_xlfn.IMAGE("https://edmondsonsupply.com/cdn/shop/products/56999_4ef0f8cb-992e-403e-9e4b-33f09f0768ac.jpg?v=1587143302")</f>
        <v/>
      </c>
      <c r="H5957">
        <f>_xlfn.IMAGE("https://m.media-amazon.com/images/I/41qrbULmjpL._AC_UL320_.jpg")</f>
        <v/>
      </c>
      <c r="K5957" t="inlineStr">
        <is>
          <t>47.99</t>
        </is>
      </c>
      <c r="L5957" t="n">
        <v>47.99</v>
      </c>
      <c r="M5957" s="1" t="inlineStr">
        <is>
          <t>0.00%</t>
        </is>
      </c>
      <c r="N5957" s="7" t="n"/>
      <c r="O5957" t="n">
        <v>4.1</v>
      </c>
      <c r="P5957" t="n">
        <v>616</v>
      </c>
      <c r="R5957" t="inlineStr">
        <is>
          <t>InStock</t>
        </is>
      </c>
      <c r="S5957" t="inlineStr">
        <is>
          <t>67.36</t>
        </is>
      </c>
      <c r="T5957" t="inlineStr">
        <is>
          <t>1778402197604</t>
        </is>
      </c>
    </row>
    <row r="5958" ht="87" customHeight="1">
      <c r="A5958" s="2">
        <f>HYPERLINK("https://edmondsonsupply.com/collections/electricians-tools/products/klein-tools-48036-combination-knife-and-scissors-sharpener", "https://edmondsonsupply.com/collections/electricians-tools/products/klein-tools-48036-combination-knife-and-scissors-sharpener")</f>
        <v/>
      </c>
      <c r="B5958" s="2">
        <f>HYPERLINK("https://edmondsonsupply.com/products/klein-tools-48036-combination-knife-and-scissors-sharpener", "https://edmondsonsupply.com/products/klein-tools-48036-combination-knife-and-scissors-sharpener")</f>
        <v/>
      </c>
      <c r="C5958" t="inlineStr">
        <is>
          <t>Klein Tools 48036 Combination Knife and Scissors Sharpener</t>
        </is>
      </c>
      <c r="D5958" t="inlineStr">
        <is>
          <t>Combination Knife and Scissors Sharpener Klein Tools 48036</t>
        </is>
      </c>
      <c r="E5958" s="2">
        <f>HYPERLINK("https://www.amazon.com/Combination-Sharpener-Klein-Tools-48036/dp/B000FKGGI0/ref=sr_1_1?keywords=Klein+Tools+48036+Combination+Knife+and+Scissors+Sharpener&amp;qid=1694735368&amp;sr=8-1", "https://www.amazon.com/Combination-Sharpener-Klein-Tools-48036/dp/B000FKGGI0/ref=sr_1_1?keywords=Klein+Tools+48036+Combination+Knife+and+Scissors+Sharpener&amp;qid=1694735368&amp;sr=8-1")</f>
        <v/>
      </c>
      <c r="F5958" t="inlineStr">
        <is>
          <t>B000FKGGI0</t>
        </is>
      </c>
      <c r="G5958">
        <f>_xlfn.IMAGE("https://edmondsonsupply.com/cdn/shop/products/48036.jpg?v=1587146763")</f>
        <v/>
      </c>
      <c r="H5958">
        <f>_xlfn.IMAGE("https://m.media-amazon.com/images/I/61WekczohZL._AC_UL320_.jpg")</f>
        <v/>
      </c>
      <c r="K5958" t="inlineStr">
        <is>
          <t>16.99</t>
        </is>
      </c>
      <c r="L5958" t="n">
        <v>16.99</v>
      </c>
      <c r="M5958" s="1" t="inlineStr">
        <is>
          <t>0.00%</t>
        </is>
      </c>
      <c r="N5958" s="7" t="n"/>
      <c r="O5958" t="n">
        <v>4.3</v>
      </c>
      <c r="P5958" t="n">
        <v>393</v>
      </c>
      <c r="R5958" t="inlineStr">
        <is>
          <t>InStock</t>
        </is>
      </c>
      <c r="S5958" t="inlineStr">
        <is>
          <t>25.74</t>
        </is>
      </c>
      <c r="T5958" t="inlineStr">
        <is>
          <t>2128497410148</t>
        </is>
      </c>
    </row>
    <row r="5959" ht="87" customHeight="1">
      <c r="A5959" s="2">
        <f>HYPERLINK("https://edmondsonsupply.com/collections/electricians-tools/products/klein-tools-32517-multi-bit-screwdriver-tap-tool-14-piece", "https://edmondsonsupply.com/collections/electricians-tools/products/klein-tools-32517-multi-bit-screwdriver-tap-tool-14-piece")</f>
        <v/>
      </c>
      <c r="B5959" s="2">
        <f>HYPERLINK("https://edmondsonsupply.com/products/klein-tools-32517-multi-bit-screwdriver-tap-tool-14-piece", "https://edmondsonsupply.com/products/klein-tools-32517-multi-bit-screwdriver-tap-tool-14-piece")</f>
        <v/>
      </c>
      <c r="C5959" t="inlineStr">
        <is>
          <t>Klein Tools 32517 Multi-Bit Screwdriver / Tap Tool, 14-Piece</t>
        </is>
      </c>
      <c r="D5959" t="inlineStr">
        <is>
          <t>Klein Tools 32517 Multi-Bit Screwdriver / Tap Tool with 6 Common Tap Sizes, 4 Screwdriver Tips, and 3 Nut Driver Sizes</t>
        </is>
      </c>
      <c r="E5959" s="2">
        <f>HYPERLINK("https://www.amazon.com/Multi-Bit-Driver-Klein-Tools-32517/dp/B00NH7JUD6/ref=sr_1_1?keywords=Klein+Tools+32517+Multi-Bit+Screwdriver+%2F+Tap+Tool%2C+14-Piece&amp;qid=1694735180&amp;sr=8-1", "https://www.amazon.com/Multi-Bit-Driver-Klein-Tools-32517/dp/B00NH7JUD6/ref=sr_1_1?keywords=Klein+Tools+32517+Multi-Bit+Screwdriver+%2F+Tap+Tool%2C+14-Piece&amp;qid=1694735180&amp;sr=8-1")</f>
        <v/>
      </c>
      <c r="F5959" t="inlineStr">
        <is>
          <t>B00NH7JUD6</t>
        </is>
      </c>
      <c r="G5959">
        <f>_xlfn.IMAGE("https://edmondsonsupply.com/cdn/shop/products/32517.jpg?v=1635632632")</f>
        <v/>
      </c>
      <c r="H5959">
        <f>_xlfn.IMAGE("https://m.media-amazon.com/images/I/51FVp5xpI+L._AC_UL320_.jpg")</f>
        <v/>
      </c>
      <c r="K5959" t="inlineStr">
        <is>
          <t>32.97</t>
        </is>
      </c>
      <c r="L5959" t="n">
        <v>32.97</v>
      </c>
      <c r="M5959" s="1" t="inlineStr">
        <is>
          <t>0.00%</t>
        </is>
      </c>
      <c r="N5959" s="7" t="n"/>
      <c r="O5959" t="n">
        <v>4.7</v>
      </c>
      <c r="P5959" t="n">
        <v>193</v>
      </c>
      <c r="R5959" t="inlineStr">
        <is>
          <t>InStock</t>
        </is>
      </c>
      <c r="S5959" t="inlineStr">
        <is>
          <t>44.26</t>
        </is>
      </c>
      <c r="T5959" t="inlineStr">
        <is>
          <t>7355812085976</t>
        </is>
      </c>
    </row>
    <row r="5960" hidden="1" ht="15.75" customHeight="1">
      <c r="A5960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5960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5960" t="inlineStr">
        <is>
          <t>Klein Tools 6924INS Slim-Tip Insulated Screwdriver, 1/4-Inch Cabinet, 4-Inch Round Shank</t>
        </is>
      </c>
      <c r="D5960" t="inlineStr">
        <is>
          <t>Klein Tools 6924INS 1000V Slim Tip Insulated Screwdriver, 4-Inch Round Shank, 1/4-Inch Cabinet Tip, Cushion Grip Handle</t>
        </is>
      </c>
      <c r="E5960" s="2">
        <f>HYPERLINK("https://www.amazon.com/Klein-Tools-6924INS-Insulated-Screwdriver/dp/B088NRM4CC/ref=sr_1_1?keywords=Klein+Tools+6924INS+Slim-Tip+Insulated+Screwdriver%2C+1%2F4-Inch+Cabinet%2C+4-Inch+Round+Shank&amp;qid=1694735273&amp;sr=8-1", "https://www.amazon.com/Klein-Tools-6924INS-Insulated-Screwdriver/dp/B088NRM4CC/ref=sr_1_1?keywords=Klein+Tools+6924INS+Slim-Tip+Insulated+Screwdriver%2C+1%2F4-Inch+Cabinet%2C+4-Inch+Round+Shank&amp;qid=1694735273&amp;sr=8-1")</f>
        <v/>
      </c>
      <c r="F5960" t="inlineStr">
        <is>
          <t>B088NRM4CC</t>
        </is>
      </c>
      <c r="G5960">
        <f>_xludf.IMAGE("https://edmondsonsupply.com/cdn/shop/products/6924ins.jpg?v=1633030554")</f>
        <v/>
      </c>
      <c r="H5960">
        <f>_xludf.IMAGE("https://m.media-amazon.com/images/I/419wtU12P3L._AC_UL320_.jpg")</f>
        <v/>
      </c>
      <c r="K5960" t="inlineStr">
        <is>
          <t>13.97</t>
        </is>
      </c>
      <c r="L5960" t="n">
        <v>13.97</v>
      </c>
      <c r="M5960" s="1" t="inlineStr">
        <is>
          <t>0.00%</t>
        </is>
      </c>
      <c r="N5960" s="1" t="n"/>
      <c r="O5960" t="n">
        <v>4.8</v>
      </c>
      <c r="P5960" t="n">
        <v>1358</v>
      </c>
      <c r="R5960" t="inlineStr">
        <is>
          <t>InStock</t>
        </is>
      </c>
      <c r="S5960" t="inlineStr">
        <is>
          <t>19.54</t>
        </is>
      </c>
      <c r="T5960" t="inlineStr">
        <is>
          <t>5439557566632</t>
        </is>
      </c>
    </row>
    <row r="5961" ht="87" customHeight="1">
      <c r="A5961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5961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5961" t="inlineStr">
        <is>
          <t>Klein Tools NCVT1PKIT Non-Contact Voltage and GFCI Receptacle Test Kit</t>
        </is>
      </c>
      <c r="D5961" t="inlineStr">
        <is>
          <t>Klein Tools NCVT1PKIT Electrical Tester Kit with Non-Contact Volt Tester, 50 to 1000V AC and GFCI Receptacle Tester, 2-Piece</t>
        </is>
      </c>
      <c r="E5961" s="2">
        <f>HYPERLINK("https://www.amazon.com/Klein-Tools-NCVT1PKIT-Electrical-Non-Contact/dp/B0BS5SCNJ1/ref=sr_1_1?keywords=Klein+Tools+NCVT1PKIT+Non-Contact+Voltage+and+GFCI+Receptacle+Test+Kit&amp;qid=1694735031&amp;sr=8-1", "https://www.amazon.com/Klein-Tools-NCVT1PKIT-Electrical-Non-Contact/dp/B0BS5SCNJ1/ref=sr_1_1?keywords=Klein+Tools+NCVT1PKIT+Non-Contact+Voltage+and+GFCI+Receptacle+Test+Kit&amp;qid=1694735031&amp;sr=8-1")</f>
        <v/>
      </c>
      <c r="F5961" t="inlineStr">
        <is>
          <t>B0BS5SCNJ1</t>
        </is>
      </c>
      <c r="G5961">
        <f>_xlfn.IMAGE("https://edmondsonsupply.com/cdn/shop/products/ncvt1pkit.jpg?v=1677682920")</f>
        <v/>
      </c>
      <c r="H5961">
        <f>_xlfn.IMAGE("https://m.media-amazon.com/images/I/51CD2DGal7L._AC_UL320_.jpg")</f>
        <v/>
      </c>
      <c r="K5961" t="inlineStr">
        <is>
          <t>24.97</t>
        </is>
      </c>
      <c r="L5961" t="n">
        <v>24.97</v>
      </c>
      <c r="M5961" s="1" t="inlineStr">
        <is>
          <t>0.00%</t>
        </is>
      </c>
      <c r="N5961" s="7" t="n"/>
      <c r="O5961" t="n">
        <v>4.4</v>
      </c>
      <c r="P5961" t="n">
        <v>31</v>
      </c>
      <c r="R5961" t="inlineStr">
        <is>
          <t>InStock</t>
        </is>
      </c>
      <c r="S5961" t="inlineStr">
        <is>
          <t>35.38</t>
        </is>
      </c>
      <c r="T5961" t="inlineStr">
        <is>
          <t>7953960698072</t>
        </is>
      </c>
    </row>
    <row r="5962" ht="87" customHeight="1">
      <c r="A5962" s="2">
        <f>HYPERLINK("https://edmondsonsupply.com/collections/electricians-tools/products/klein-tools-32308-8-in-1-multi-bit-adjustable-length-stubby-screwdriver", "https://edmondsonsupply.com/collections/electricians-tools/products/klein-tools-32308-8-in-1-multi-bit-adjustable-length-stubby-screwdriver")</f>
        <v/>
      </c>
      <c r="B5962" s="2">
        <f>HYPERLINK("https://edmondsonsupply.com/products/klein-tools-32308-8-in-1-multi-bit-adjustable-length-stubby-screwdriver", "https://edmondsonsupply.com/products/klein-tools-32308-8-in-1-multi-bit-adjustable-length-stubby-screwdriver")</f>
        <v/>
      </c>
      <c r="C5962" t="inlineStr">
        <is>
          <t>Klein Tools 32308 8-in-1 Multi-Bit Adjustable Length Stubby Screwdriver</t>
        </is>
      </c>
      <c r="D5962" t="inlineStr">
        <is>
          <t>Klein Tools 32308 Multi-bit Stubby Screwdriver, Impact Rated 8-in-1 Adjustable Magnetic Tool with Phillips, Slotted, Square and Nut Driver</t>
        </is>
      </c>
      <c r="E5962" s="2">
        <f>HYPERLINK("https://www.amazon.com/Klein-Tools-Evaporative-Performance-Protection/dp/B08KFNDBRW/ref=sr_1_1?keywords=Klein+Tools+32308+8-in-1+Multi-Bit+Adjustable+Length+Stubby+Screwdriver&amp;qid=1694735167&amp;sr=8-1", "https://www.amazon.com/Klein-Tools-Evaporative-Performance-Protection/dp/B08KFNDBRW/ref=sr_1_1?keywords=Klein+Tools+32308+8-in-1+Multi-Bit+Adjustable+Length+Stubby+Screwdriver&amp;qid=1694735167&amp;sr=8-1")</f>
        <v/>
      </c>
      <c r="F5962" t="inlineStr">
        <is>
          <t>B08KFNDBRW</t>
        </is>
      </c>
      <c r="G5962">
        <f>_xlfn.IMAGE("https://edmondsonsupply.com/cdn/shop/products/32308_b.jpg?v=1647348209")</f>
        <v/>
      </c>
      <c r="H5962">
        <f>_xlfn.IMAGE("https://m.media-amazon.com/images/I/61qTHFhrhZL._AC_UL320_.jpg")</f>
        <v/>
      </c>
      <c r="K5962" t="inlineStr">
        <is>
          <t>16.97</t>
        </is>
      </c>
      <c r="L5962" t="n">
        <v>16.97</v>
      </c>
      <c r="M5962" s="1" t="inlineStr">
        <is>
          <t>0.00%</t>
        </is>
      </c>
      <c r="N5962" s="7" t="n"/>
      <c r="O5962" t="n">
        <v>4.7</v>
      </c>
      <c r="P5962" t="n">
        <v>5219</v>
      </c>
      <c r="R5962" t="inlineStr">
        <is>
          <t>InStock</t>
        </is>
      </c>
      <c r="S5962" t="inlineStr">
        <is>
          <t>23.78</t>
        </is>
      </c>
      <c r="T5962" t="inlineStr">
        <is>
          <t>7637271445720</t>
        </is>
      </c>
    </row>
    <row r="5963" hidden="1" ht="15.75" customHeight="1">
      <c r="A5963" s="2">
        <f>HYPERLINK("https://edmondsonsupply.com/collections/electricians-tools/products/klein-tools-1011-wire-stripper-cutter-10-20-12-22-awg", "https://edmondsonsupply.com/collections/electricians-tools/products/klein-tools-1011-wire-stripper-cutter-10-20-12-22-awg")</f>
        <v/>
      </c>
      <c r="B5963" s="2">
        <f>HYPERLINK("https://edmondsonsupply.com/products/klein-tools-1011-wire-stripper-cutter-10-20-12-22-awg", "https://edmondsonsupply.com/products/klein-tools-1011-wire-stripper-cutter-10-20-12-22-awg")</f>
        <v/>
      </c>
      <c r="C5963" t="inlineStr">
        <is>
          <t>Klein Tools 1011 Wire Stripper/Cutter 10-20 Solid, 12-22 AWG Stranded</t>
        </is>
      </c>
      <c r="D5963" t="inlineStr">
        <is>
          <t>Klein Tools 1011 Multi-Purpose Wire Stripper and Cutter for 10-20 AWG Solid Wire and 12-22 AWG Stranded Wire Blue</t>
        </is>
      </c>
      <c r="E5963" s="2">
        <f>HYPERLINK("https://www.amazon.com/Multi-Purpose-Stripper-Klein-Tools-1011/dp/B0000302WM/ref=sr_1_1?keywords=Klein+Tools+1011+Wire+Stripper%2FCutter+10-20+Solid%2C+12-22+AWG+Stranded&amp;qid=1694735342&amp;sr=8-1", "https://www.amazon.com/Multi-Purpose-Stripper-Klein-Tools-1011/dp/B0000302WM/ref=sr_1_1?keywords=Klein+Tools+1011+Wire+Stripper%2FCutter+10-20+Solid%2C+12-22+AWG+Stranded&amp;qid=1694735342&amp;sr=8-1")</f>
        <v/>
      </c>
      <c r="F5963" t="inlineStr">
        <is>
          <t>B0000302WM</t>
        </is>
      </c>
      <c r="G5963">
        <f>_xludf.IMAGE("https://edmondsonsupply.com/cdn/shop/products/1011.jpg?v=1587146937")</f>
        <v/>
      </c>
      <c r="H5963">
        <f>_xludf.IMAGE("https://m.media-amazon.com/images/I/71A+JfSsr6L._AC_UL320_.jpg")</f>
        <v/>
      </c>
      <c r="K5963" t="inlineStr">
        <is>
          <t>14.97</t>
        </is>
      </c>
      <c r="L5963" t="n">
        <v>14.97</v>
      </c>
      <c r="M5963" s="1" t="inlineStr">
        <is>
          <t>0.00%</t>
        </is>
      </c>
      <c r="N5963" s="1" t="n"/>
      <c r="O5963" t="n">
        <v>4.8</v>
      </c>
      <c r="P5963" t="n">
        <v>668</v>
      </c>
      <c r="R5963" t="inlineStr">
        <is>
          <t>InStock</t>
        </is>
      </c>
      <c r="S5963" t="inlineStr">
        <is>
          <t>19.92</t>
        </is>
      </c>
      <c r="T5963" t="inlineStr">
        <is>
          <t>4505307414628</t>
        </is>
      </c>
    </row>
    <row r="5964" ht="87" customHeight="1">
      <c r="A5964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5964" s="2">
        <f>HYPERLINK("https://edmondsonsupply.com/products/klein-tools-32305-15-in-1-multi-bit-ratcheting-screwdriver", "https://edmondsonsupply.com/products/klein-tools-32305-15-in-1-multi-bit-ratcheting-screwdriver")</f>
        <v/>
      </c>
      <c r="C5964" t="inlineStr">
        <is>
          <t>Klein Tools 32305 15-in-1 Multi-Bit Ratcheting Screwdriver</t>
        </is>
      </c>
      <c r="D5964" t="inlineStr">
        <is>
          <t>Klein Tools 32500HD Multi-Bit Screwdriver / Nut Driver, Impact Rated 11-in-1 Tool with Phillips, Slotted, Square and Torx Tips</t>
        </is>
      </c>
      <c r="E5964" s="2">
        <f>HYPERLINK("https://www.amazon.com/Klein-Tools-32500HD-Multi-Bit-Screwdriver/dp/B0C9V6NYZ4/ref=sr_1_20?keywords=Klein+Tools+32305+15-in-1+Multi-Bit+Ratcheting+Screwdriver&amp;qid=1694735163&amp;sr=8-20", "https://www.amazon.com/Klein-Tools-32500HD-Multi-Bit-Screwdriver/dp/B0C9V6NYZ4/ref=sr_1_20?keywords=Klein+Tools+32305+15-in-1+Multi-Bit+Ratcheting+Screwdriver&amp;qid=1694735163&amp;sr=8-20")</f>
        <v/>
      </c>
      <c r="F5964" t="inlineStr">
        <is>
          <t>B0C9V6NYZ4</t>
        </is>
      </c>
      <c r="G5964">
        <f>_xlfn.IMAGE("https://edmondsonsupply.com/cdn/shop/products/32305.jpg?v=1646965475")</f>
        <v/>
      </c>
      <c r="H5964">
        <f>_xlfn.IMAGE("https://m.media-amazon.com/images/I/41OcyKmA3fL._AC_UL320_.jpg")</f>
        <v/>
      </c>
      <c r="K5964" t="inlineStr">
        <is>
          <t>21.97</t>
        </is>
      </c>
      <c r="L5964" t="n">
        <v>21.97</v>
      </c>
      <c r="M5964" s="1" t="inlineStr">
        <is>
          <t>0.00%</t>
        </is>
      </c>
      <c r="N5964" s="7" t="n"/>
      <c r="O5964" t="n">
        <v>4.6</v>
      </c>
      <c r="P5964" t="n">
        <v>41</v>
      </c>
      <c r="R5964" t="inlineStr">
        <is>
          <t>InStock</t>
        </is>
      </c>
      <c r="S5964" t="inlineStr">
        <is>
          <t>30.78</t>
        </is>
      </c>
      <c r="T5964" t="inlineStr">
        <is>
          <t>7632426598616</t>
        </is>
      </c>
    </row>
    <row r="5965" ht="87" customHeight="1">
      <c r="A5965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5965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5965" t="inlineStr">
        <is>
          <t>Klein Tools 66050E 2-in-1 Metric Impact Socket Set, 12-Point, 5-Piece</t>
        </is>
      </c>
      <c r="D5965" t="inlineStr">
        <is>
          <t>Klein Tools 66050E Metric Socket Set, Impact with 1/2-Inch Drive, 12-Point Deep Sockets, 5-Piece Set, Includes Carrying Case</t>
        </is>
      </c>
      <c r="E5965" s="2">
        <f>HYPERLINK("https://www.amazon.com/Klein-Tools-66050E-12-Point-Carrying/dp/B08R138PF6/ref=sr_1_1?keywords=Klein+Tools+66050E+2-in-1+Metric+Impact+Socket+Set%2C+12-Point%2C+5-Piece&amp;qid=1694735136&amp;sr=8-1", "https://www.amazon.com/Klein-Tools-66050E-12-Point-Carrying/dp/B08R138PF6/ref=sr_1_1?keywords=Klein+Tools+66050E+2-in-1+Metric+Impact+Socket+Set%2C+12-Point%2C+5-Piece&amp;qid=1694735136&amp;sr=8-1")</f>
        <v/>
      </c>
      <c r="F5965" t="inlineStr">
        <is>
          <t>B08R138PF6</t>
        </is>
      </c>
      <c r="G5965">
        <f>_xlfn.IMAGE("https://edmondsonsupply.com/cdn/shop/products/66050e.jpg?v=1659120052")</f>
        <v/>
      </c>
      <c r="H5965">
        <f>_xlfn.IMAGE("https://m.media-amazon.com/images/I/61HXSd9dQWL._AC_UL320_.jpg")</f>
        <v/>
      </c>
      <c r="K5965" t="inlineStr">
        <is>
          <t>149.54</t>
        </is>
      </c>
      <c r="L5965" t="n">
        <v>149.54</v>
      </c>
      <c r="M5965" s="1" t="inlineStr">
        <is>
          <t>0.00%</t>
        </is>
      </c>
      <c r="N5965" s="7" t="n"/>
      <c r="O5965" t="n">
        <v>4.3</v>
      </c>
      <c r="P5965" t="n">
        <v>6</v>
      </c>
      <c r="R5965" t="inlineStr">
        <is>
          <t>InStock</t>
        </is>
      </c>
      <c r="S5965" t="inlineStr">
        <is>
          <t>249.24</t>
        </is>
      </c>
      <c r="T5965" t="inlineStr">
        <is>
          <t>7766623420632</t>
        </is>
      </c>
    </row>
    <row r="5966" hidden="1" ht="15.75" customHeight="1">
      <c r="A5966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5966" s="2">
        <f>HYPERLINK("https://edmondsonsupply.com/products/diablo-tools-dmapl2240-3-8-in-x-10-in-x-12-in-sds-plus-2-cutter", "https://edmondsonsupply.com/products/diablo-tools-dmapl2240-3-8-in-x-10-in-x-12-in-sds-plus-2-cutter")</f>
        <v/>
      </c>
      <c r="C5966" t="inlineStr">
        <is>
          <t>Diablo Tools DMAPL2240 3/8 in. x 10 in. x 12 in. SDS-Plus 2-Cutter</t>
        </is>
      </c>
      <c r="D5966" t="inlineStr">
        <is>
          <t>Diablo DMAPL2240 3/8 in. x 10 in. x 12 in. SDS-Plus 2-Cutter</t>
        </is>
      </c>
      <c r="E5966" s="2">
        <f>HYPERLINK("https://www.amazon.com/Diablo-10-12-SDS-Plus-2-Cutter/dp/B089KVWDFV/ref=sr_1_1?keywords=Diablo+Tools+DMAPL2240+3%2F8+in.+x+10+in.+x+12+in.+SDS-Plus+2-Cutter&amp;qid=1694735297&amp;sr=8-1", "https://www.amazon.com/Diablo-10-12-SDS-Plus-2-Cutter/dp/B089KVWDFV/ref=sr_1_1?keywords=Diablo+Tools+DMAPL2240+3%2F8+in.+x+10+in.+x+12+in.+SDS-Plus+2-Cutter&amp;qid=1694735297&amp;sr=8-1")</f>
        <v/>
      </c>
      <c r="F5966" t="inlineStr">
        <is>
          <t>B089KVWDFV</t>
        </is>
      </c>
      <c r="G5966">
        <f>_xludf.IMAGE("https://edmondsonsupply.com/cdn/shop/products/DMAPL2240-P25.jpg?v=1633030355")</f>
        <v/>
      </c>
      <c r="H5966">
        <f>_xludf.IMAGE("https://m.media-amazon.com/images/I/61jSXDDK72L._AC_UL320_.jpg")</f>
        <v/>
      </c>
      <c r="K5966" t="inlineStr">
        <is>
          <t>10.97</t>
        </is>
      </c>
      <c r="L5966" t="n">
        <v>10.97</v>
      </c>
      <c r="M5966" s="1" t="inlineStr">
        <is>
          <t>0.00%</t>
        </is>
      </c>
      <c r="N5966" s="1" t="n"/>
      <c r="O5966" t="n">
        <v>5</v>
      </c>
      <c r="P5966" t="n">
        <v>1</v>
      </c>
      <c r="R5966" t="inlineStr">
        <is>
          <t>InStock</t>
        </is>
      </c>
      <c r="S5966" t="inlineStr">
        <is>
          <t>12.38</t>
        </is>
      </c>
      <c r="T5966" t="inlineStr">
        <is>
          <t>5286161252520</t>
        </is>
      </c>
    </row>
    <row r="5967" ht="87" customHeight="1">
      <c r="A5967" s="2">
        <f>HYPERLINK("https://edmondsonsupply.com/collections/electricians-tools/products/klein-tools-56413-rechargeable-2-color-led-flashlight-with-holster", "https://edmondsonsupply.com/collections/electricians-tools/products/klein-tools-56413-rechargeable-2-color-led-flashlight-with-holster")</f>
        <v/>
      </c>
      <c r="B5967" s="2">
        <f>HYPERLINK("https://edmondsonsupply.com/products/klein-tools-56413-rechargeable-2-color-led-flashlight-with-holster", "https://edmondsonsupply.com/products/klein-tools-56413-rechargeable-2-color-led-flashlight-with-holster")</f>
        <v/>
      </c>
      <c r="C5967" t="inlineStr">
        <is>
          <t>Klein Tools 56413 Rechargeable 2-Color LED Flashlight with Holster</t>
        </is>
      </c>
      <c r="D5967" t="inlineStr">
        <is>
          <t>Klein Tools 56413 Rechargeable 2-Color LED Flashlight, Holster, Spotlight, Floodlight, Red LED, 1000 Lumens, USB Cable, Camping, Hunting</t>
        </is>
      </c>
      <c r="E5967" s="2">
        <f>HYPERLINK("https://www.amazon.com/Rechargeable-Flashlight-Klein-Tools-56413/dp/B094JV7LNF/ref=sr_1_1?keywords=Klein+Tools+56413+Rechargeable+2-Color+LED+Flashlight+with+Holster&amp;qid=1694735115&amp;sr=8-1", "https://www.amazon.com/Rechargeable-Flashlight-Klein-Tools-56413/dp/B094JV7LNF/ref=sr_1_1?keywords=Klein+Tools+56413+Rechargeable+2-Color+LED+Flashlight+with+Holster&amp;qid=1694735115&amp;sr=8-1")</f>
        <v/>
      </c>
      <c r="F5967" t="inlineStr">
        <is>
          <t>B094JV7LNF</t>
        </is>
      </c>
      <c r="G5967">
        <f>_xlfn.IMAGE("https://edmondsonsupply.com/cdn/shop/products/56413.jpg?v=1663954210")</f>
        <v/>
      </c>
      <c r="H5967">
        <f>_xlfn.IMAGE("https://m.media-amazon.com/images/I/61F2y6UWWJS._AC_UL320_.jpg")</f>
        <v/>
      </c>
      <c r="K5967" t="inlineStr">
        <is>
          <t>49.97</t>
        </is>
      </c>
      <c r="L5967" t="n">
        <v>49.97</v>
      </c>
      <c r="M5967" s="1" t="inlineStr">
        <is>
          <t>0.00%</t>
        </is>
      </c>
      <c r="N5967" s="7" t="n"/>
      <c r="O5967" t="n">
        <v>4.3</v>
      </c>
      <c r="P5967" t="n">
        <v>286</v>
      </c>
      <c r="R5967" t="inlineStr">
        <is>
          <t>InStock</t>
        </is>
      </c>
      <c r="S5967" t="inlineStr">
        <is>
          <t>72.0</t>
        </is>
      </c>
      <c r="T5967" t="inlineStr">
        <is>
          <t>7827366215896</t>
        </is>
      </c>
    </row>
    <row r="5968" hidden="1" ht="15.75" customHeight="1">
      <c r="A5968" s="2">
        <f>HYPERLINK("https://edmondsonsupply.com/collections/electricians-tools/products/klein-tools-6944ins", "https://edmondsonsupply.com/collections/electricians-tools/products/klein-tools-6944ins")</f>
        <v/>
      </c>
      <c r="B5968" s="2">
        <f>HYPERLINK("https://edmondsonsupply.com/products/klein-tools-6944ins", "https://edmondsonsupply.com/products/klein-tools-6944ins")</f>
        <v/>
      </c>
      <c r="C5968" t="inlineStr">
        <is>
          <t>Klein Tools 6944INS Slim-Tip 1000V Insulated Screwdriver, #2 Square, 4-Inch Round Shank</t>
        </is>
      </c>
      <c r="D5968" t="inlineStr">
        <is>
          <t>Klein Tools 6984INS Insulated Screwdriver, 1000V Slim Profile Tip, #1 Square with 4-Inch Shank, Cushion-Grip Handle</t>
        </is>
      </c>
      <c r="E5968" s="2">
        <f>HYPERLINK("https://www.amazon.com/Klein-Tools-6984INS-Screwdriver-Cushion-Grip/dp/B09GPZ5P2M/ref=sr_1_5?keywords=Klein+Tools+6944INS+Slim-Tip+1000V+Insulated+Screwdriver%2C+%232+Square%2C+4-Inch+Round+Shank&amp;qid=1694735113&amp;sr=8-5", "https://www.amazon.com/Klein-Tools-6984INS-Screwdriver-Cushion-Grip/dp/B09GPZ5P2M/ref=sr_1_5?keywords=Klein+Tools+6944INS+Slim-Tip+1000V+Insulated+Screwdriver%2C+%232+Square%2C+4-Inch+Round+Shank&amp;qid=1694735113&amp;sr=8-5")</f>
        <v/>
      </c>
      <c r="F5968" t="inlineStr">
        <is>
          <t>B09GPZ5P2M</t>
        </is>
      </c>
      <c r="G5968">
        <f>_xludf.IMAGE("https://edmondsonsupply.com/cdn/shop/products/6944ins.jpg?v=1664804875")</f>
        <v/>
      </c>
      <c r="H5968">
        <f>_xludf.IMAGE("https://m.media-amazon.com/images/I/41uj4ogsy3L._AC_UL320_.jpg")</f>
        <v/>
      </c>
      <c r="K5968" t="inlineStr">
        <is>
          <t>13.99</t>
        </is>
      </c>
      <c r="L5968" t="n">
        <v>13.99</v>
      </c>
      <c r="M5968" s="1" t="inlineStr">
        <is>
          <t>0.00%</t>
        </is>
      </c>
      <c r="N5968" s="1" t="n"/>
      <c r="O5968" t="n">
        <v>4.8</v>
      </c>
      <c r="P5968" t="n">
        <v>107</v>
      </c>
      <c r="R5968" t="inlineStr">
        <is>
          <t>InStock</t>
        </is>
      </c>
      <c r="S5968" t="inlineStr">
        <is>
          <t>19.54</t>
        </is>
      </c>
      <c r="T5968" t="inlineStr">
        <is>
          <t>7837602054360</t>
        </is>
      </c>
    </row>
    <row r="5969" hidden="1" ht="15.75" customHeight="1">
      <c r="A5969" s="2">
        <f>HYPERLINK("https://edmondsonsupply.com/collections/electricians-tools/products/klein-tools-6944ins", "https://edmondsonsupply.com/collections/electricians-tools/products/klein-tools-6944ins")</f>
        <v/>
      </c>
      <c r="B5969" s="2">
        <f>HYPERLINK("https://edmondsonsupply.com/products/klein-tools-6944ins", "https://edmondsonsupply.com/products/klein-tools-6944ins")</f>
        <v/>
      </c>
      <c r="C5969" t="inlineStr">
        <is>
          <t>Klein Tools 6944INS Slim-Tip 1000V Insulated Screwdriver, #2 Square, 4-Inch Round Shank</t>
        </is>
      </c>
      <c r="D5969" t="inlineStr">
        <is>
          <t>Klein Tools 6944INS Insulated Screwdriver, 1000V Slim Profile Tip, #2 Square with 4-Inch Shank, Cushion-Grip Handle</t>
        </is>
      </c>
      <c r="E5969" s="2">
        <f>HYPERLINK("https://www.amazon.com/Klein-Tools-6944INS-Screwdriver-Cushion-Grip/dp/B09GPYTZV3/ref=sr_1_1?keywords=Klein+Tools+6944INS+Slim-Tip+1000V+Insulated+Screwdriver%2C+%232+Square%2C+4-Inch+Round+Shank&amp;qid=1694735113&amp;sr=8-1", "https://www.amazon.com/Klein-Tools-6944INS-Screwdriver-Cushion-Grip/dp/B09GPYTZV3/ref=sr_1_1?keywords=Klein+Tools+6944INS+Slim-Tip+1000V+Insulated+Screwdriver%2C+%232+Square%2C+4-Inch+Round+Shank&amp;qid=1694735113&amp;sr=8-1")</f>
        <v/>
      </c>
      <c r="F5969" t="inlineStr">
        <is>
          <t>B09GPYTZV3</t>
        </is>
      </c>
      <c r="G5969">
        <f>_xludf.IMAGE("https://edmondsonsupply.com/cdn/shop/products/6944ins.jpg?v=1664804875")</f>
        <v/>
      </c>
      <c r="H5969">
        <f>_xludf.IMAGE("https://m.media-amazon.com/images/I/41PzygwLx+L._AC_UL320_.jpg")</f>
        <v/>
      </c>
      <c r="K5969" t="inlineStr">
        <is>
          <t>13.99</t>
        </is>
      </c>
      <c r="L5969" t="n">
        <v>13.99</v>
      </c>
      <c r="M5969" s="1" t="inlineStr">
        <is>
          <t>0.00%</t>
        </is>
      </c>
      <c r="N5969" s="1" t="n"/>
      <c r="O5969" t="n">
        <v>4.7</v>
      </c>
      <c r="P5969" t="n">
        <v>93</v>
      </c>
      <c r="R5969" t="inlineStr">
        <is>
          <t>InStock</t>
        </is>
      </c>
      <c r="S5969" t="inlineStr">
        <is>
          <t>19.54</t>
        </is>
      </c>
      <c r="T5969" t="inlineStr">
        <is>
          <t>7837602054360</t>
        </is>
      </c>
    </row>
    <row r="5970" ht="87" customHeight="1">
      <c r="A5970" s="2">
        <f>HYPERLINK("https://edmondsonsupply.com/collections/electricians-tools/products/klein-tools-69345-tripod", "https://edmondsonsupply.com/collections/electricians-tools/products/klein-tools-69345-tripod")</f>
        <v/>
      </c>
      <c r="B5970" s="2">
        <f>HYPERLINK("https://edmondsonsupply.com/products/klein-tools-69345-tripod", "https://edmondsonsupply.com/products/klein-tools-69345-tripod")</f>
        <v/>
      </c>
      <c r="C5970" t="inlineStr">
        <is>
          <t>Klein Tools 69345 Tripod</t>
        </is>
      </c>
      <c r="D5970" t="inlineStr">
        <is>
          <t>Klein Tools 69345 Tripod, Flexible Tripod with Mount, Lightweight Aluminum, Compatible with Klein Tools Laser Levels and Other Products</t>
        </is>
      </c>
      <c r="E5970" s="2">
        <f>HYPERLINK("https://www.amazon.com/Klein-Tools-69345-Lightweight-Compatible/dp/B09FWG54RR/ref=sr_1_1?keywords=Klein+Tools+69345+Tripod&amp;qid=1694735111&amp;sr=8-1", "https://www.amazon.com/Klein-Tools-69345-Lightweight-Compatible/dp/B09FWG54RR/ref=sr_1_1?keywords=Klein+Tools+69345+Tripod&amp;qid=1694735111&amp;sr=8-1")</f>
        <v/>
      </c>
      <c r="F5970" t="inlineStr">
        <is>
          <t>B09FWG54RR</t>
        </is>
      </c>
      <c r="G5970">
        <f>_xlfn.IMAGE("https://edmondsonsupply.com/cdn/shop/products/69345.jpg?v=1664808494")</f>
        <v/>
      </c>
      <c r="H5970">
        <f>_xlfn.IMAGE("https://m.media-amazon.com/images/I/41SqXbDaYJL._AC_UL320_.jpg")</f>
        <v/>
      </c>
      <c r="K5970" t="inlineStr">
        <is>
          <t>44.99</t>
        </is>
      </c>
      <c r="L5970" t="n">
        <v>44.99</v>
      </c>
      <c r="M5970" s="1" t="inlineStr">
        <is>
          <t>0.00%</t>
        </is>
      </c>
      <c r="N5970" s="7" t="n"/>
      <c r="O5970" t="n">
        <v>5</v>
      </c>
      <c r="P5970" t="n">
        <v>2</v>
      </c>
      <c r="R5970" t="inlineStr">
        <is>
          <t>InStock</t>
        </is>
      </c>
      <c r="S5970" t="inlineStr">
        <is>
          <t>67.5</t>
        </is>
      </c>
      <c r="T5970" t="inlineStr">
        <is>
          <t>7837653205208</t>
        </is>
      </c>
    </row>
    <row r="5971" ht="87" customHeight="1">
      <c r="A5971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5971" s="2">
        <f>HYPERLINK("https://edmondsonsupply.com/products/klein-tools-d2000-48-diagonal-cutting-pliers-angled-head-8-inch", "https://edmondsonsupply.com/products/klein-tools-d2000-48-diagonal-cutting-pliers-angled-head-8-inch")</f>
        <v/>
      </c>
      <c r="C5971" t="inlineStr">
        <is>
          <t>Klein Tools D2000-48 Diagonal Cutting Pliers, Angled Head, 8-Inch</t>
        </is>
      </c>
      <c r="D5971" t="inlineStr">
        <is>
          <t>Klein Tools D2000-48 Pliers, Linemans Diagonal Cutting Pliers with High Leverage Design, 8-Inch</t>
        </is>
      </c>
      <c r="E5971" s="2">
        <f>HYPERLINK("https://www.amazon.com/Diagonal-Linemans-Klein-Tools-D2000-48/dp/B0000302WZ/ref=sr_1_1?keywords=Klein+Tools+D2000-48+Diagonal+Cutting+Pliers%2C+Angled+Head%2C+8-Inch&amp;qid=1694735135&amp;sr=8-1", "https://www.amazon.com/Diagonal-Linemans-Klein-Tools-D2000-48/dp/B0000302WZ/ref=sr_1_1?keywords=Klein+Tools+D2000-48+Diagonal+Cutting+Pliers%2C+Angled+Head%2C+8-Inch&amp;qid=1694735135&amp;sr=8-1")</f>
        <v/>
      </c>
      <c r="F5971" t="inlineStr">
        <is>
          <t>B0000302WZ</t>
        </is>
      </c>
      <c r="G5971">
        <f>_xlfn.IMAGE("https://edmondsonsupply.com/cdn/shop/products/d200048.jpg?v=1660920588")</f>
        <v/>
      </c>
      <c r="H5971">
        <f>_xlfn.IMAGE("https://m.media-amazon.com/images/I/41Y+q+BsIsL._AC_UL320_.jpg")</f>
        <v/>
      </c>
      <c r="K5971" t="inlineStr">
        <is>
          <t>34.97</t>
        </is>
      </c>
      <c r="L5971" t="n">
        <v>34.97</v>
      </c>
      <c r="M5971" s="1" t="inlineStr">
        <is>
          <t>0.00%</t>
        </is>
      </c>
      <c r="N5971" s="7" t="n"/>
      <c r="O5971" t="n">
        <v>4.7</v>
      </c>
      <c r="P5971" t="n">
        <v>528</v>
      </c>
      <c r="R5971" t="inlineStr">
        <is>
          <t>InStock</t>
        </is>
      </c>
      <c r="S5971" t="inlineStr">
        <is>
          <t>49.78</t>
        </is>
      </c>
      <c r="T5971" t="inlineStr">
        <is>
          <t>7786125164760</t>
        </is>
      </c>
    </row>
    <row r="5972" hidden="1" ht="15.75" customHeight="1">
      <c r="A5972" s="2">
        <f>HYPERLINK("https://edmondsonsupply.com/collections/electricians-tools/products/klein-tools-31905-hole-saw-arbor-with-adapter-3-8-inch", "https://edmondsonsupply.com/collections/electricians-tools/products/klein-tools-31905-hole-saw-arbor-with-adapter-3-8-inch")</f>
        <v/>
      </c>
      <c r="B5972" s="2">
        <f>HYPERLINK("https://edmondsonsupply.com/products/klein-tools-31905-hole-saw-arbor-with-adapter-3-8-inch", "https://edmondsonsupply.com/products/klein-tools-31905-hole-saw-arbor-with-adapter-3-8-inch")</f>
        <v/>
      </c>
      <c r="C5972" t="inlineStr">
        <is>
          <t>Klein Tools 31905 Hole Saw Arbor with Adapter, 3/8-Inch</t>
        </is>
      </c>
      <c r="D5972" t="inlineStr">
        <is>
          <t>Klein Tools 31905 Hole Saw Arbor with Adapter, 3/8-Inch</t>
        </is>
      </c>
      <c r="E5972" s="2">
        <f>HYPERLINK("https://www.amazon.com/Adapter-8-Inch-Klein-Tools-31905/dp/B019874KZ6/ref=sr_1_1?keywords=Klein+Tools+31905+Hole+Saw+Arbor+with+Adapter%2C+3%2F8-Inch&amp;qid=1694735107&amp;sr=8-1", "https://www.amazon.com/Adapter-8-Inch-Klein-Tools-31905/dp/B019874KZ6/ref=sr_1_1?keywords=Klein+Tools+31905+Hole+Saw+Arbor+with+Adapter%2C+3%2F8-Inch&amp;qid=1694735107&amp;sr=8-1")</f>
        <v/>
      </c>
      <c r="F5972" t="inlineStr">
        <is>
          <t>B019874KZ6</t>
        </is>
      </c>
      <c r="G5972">
        <f>_xludf.IMAGE("https://edmondsonsupply.com/cdn/shop/products/31905.jpg?v=1665602746")</f>
        <v/>
      </c>
      <c r="H5972">
        <f>_xludf.IMAGE("https://m.media-amazon.com/images/I/41tjgdmtGhL._AC_UL320_.jpg")</f>
        <v/>
      </c>
      <c r="K5972" t="inlineStr">
        <is>
          <t>8.99</t>
        </is>
      </c>
      <c r="L5972" t="n">
        <v>8.99</v>
      </c>
      <c r="M5972" s="1" t="inlineStr">
        <is>
          <t>0.00%</t>
        </is>
      </c>
      <c r="N5972" s="1" t="n"/>
      <c r="O5972" t="n">
        <v>4.7</v>
      </c>
      <c r="P5972" t="n">
        <v>39</v>
      </c>
      <c r="R5972" t="inlineStr">
        <is>
          <t>InStock</t>
        </is>
      </c>
      <c r="S5972" t="inlineStr">
        <is>
          <t>12.62</t>
        </is>
      </c>
      <c r="T5972" t="inlineStr">
        <is>
          <t>7850183360728</t>
        </is>
      </c>
    </row>
    <row r="5973" ht="87" customHeight="1">
      <c r="A5973" s="2">
        <f>HYPERLINK("https://edmondsonsupply.com/collections/electricians-tools/products/klein-tools-ir1-infrared-digital-thermometer-with-targeting-laser-10-1", "https://edmondsonsupply.com/collections/electricians-tools/products/klein-tools-ir1-infrared-digital-thermometer-with-targeting-laser-10-1")</f>
        <v/>
      </c>
      <c r="B5973" s="2">
        <f>HYPERLINK("https://edmondsonsupply.com/products/klein-tools-ir1-infrared-digital-thermometer-with-targeting-laser-10-1", "https://edmondsonsupply.com/products/klein-tools-ir1-infrared-digital-thermometer-with-targeting-laser-10-1")</f>
        <v/>
      </c>
      <c r="C5973" t="inlineStr">
        <is>
          <t>Klein Tools IR1 Infrared Digital Thermometer with Targeting Laser, 10:1</t>
        </is>
      </c>
      <c r="D5973" t="inlineStr">
        <is>
          <t>Klein Tools IR1 Infrared Thermometer, Digital Laser Gun is Non-Contact Thermometer with a Temperature Range -4 to 752-Degree Fahrenheit</t>
        </is>
      </c>
      <c r="E5973" s="2">
        <f>HYPERLINK("https://www.amazon.com/Klein-Tools-IR1-Thermometer-Non-Contact/dp/B0873T6SGR/ref=sr_1_1?keywords=Klein+Tools+IR1+Infrared+Digital+Thermometer+with+Targeting+Laser%2C+10%3A1&amp;qid=1694735137&amp;sr=8-1", "https://www.amazon.com/Klein-Tools-IR1-Thermometer-Non-Contact/dp/B0873T6SGR/ref=sr_1_1?keywords=Klein+Tools+IR1+Infrared+Digital+Thermometer+with+Targeting+Laser%2C+10%3A1&amp;qid=1694735137&amp;sr=8-1")</f>
        <v/>
      </c>
      <c r="F5973" t="inlineStr">
        <is>
          <t>B0873T6SGR</t>
        </is>
      </c>
      <c r="G5973">
        <f>_xlfn.IMAGE("https://edmondsonsupply.com/cdn/shop/products/ir1.jpg?v=1659112251")</f>
        <v/>
      </c>
      <c r="H5973">
        <f>_xlfn.IMAGE("https://m.media-amazon.com/images/I/511oYbWbZxL._AC_UY218_.jpg")</f>
        <v/>
      </c>
      <c r="K5973" t="inlineStr">
        <is>
          <t>32.99</t>
        </is>
      </c>
      <c r="L5973" t="n">
        <v>32.99</v>
      </c>
      <c r="M5973" s="1" t="inlineStr">
        <is>
          <t>0.00%</t>
        </is>
      </c>
      <c r="N5973" s="7" t="n"/>
      <c r="O5973" t="n">
        <v>4.7</v>
      </c>
      <c r="P5973" t="n">
        <v>2072</v>
      </c>
      <c r="R5973" t="inlineStr">
        <is>
          <t>InStock</t>
        </is>
      </c>
      <c r="S5973" t="inlineStr">
        <is>
          <t>48.5</t>
        </is>
      </c>
      <c r="T5973" t="inlineStr">
        <is>
          <t>7766524231896</t>
        </is>
      </c>
    </row>
    <row r="5974" ht="87" customHeight="1">
      <c r="A5974" s="2">
        <f>HYPERLINK("https://edmondsonsupply.com/collections/electricians-tools/products/klein-tools-51604-iron-conduit-bender-full-assembly-3-4-inch-emt-with-angle-setter%E2%84%A2", "https://edmondsonsupply.com/collections/electricians-tools/products/klein-tools-51604-iron-conduit-bender-full-assembly-3-4-inch-emt-with-angle-setter%E2%84%A2")</f>
        <v/>
      </c>
      <c r="B5974" s="2">
        <f>HYPERLINK("https://edmondsonsupply.com/products/klein-tools-51604-iron-conduit-bender-full-assembly-3-4-inch-emt-with-angle-setter%e2%84%a2", "https://edmondsonsupply.com/products/klein-tools-51604-iron-conduit-bender-full-assembly-3-4-inch-emt-with-angle-setter%e2%84%a2")</f>
        <v/>
      </c>
      <c r="C5974" t="inlineStr">
        <is>
          <t>Klein Tools 51604 Iron Conduit Bender Full Assembly, 3/4-Inch EMT with Angle Setter™</t>
        </is>
      </c>
      <c r="D5974" t="inlineStr">
        <is>
          <t>Klein Tools 51604 Iron Conduit Bender Full Assembly, 3/4-Inch EMT and 1/2-Inch Rigid, Wide Foot Pedal, Benchmark Symbols and Angle Setter</t>
        </is>
      </c>
      <c r="E5974" s="2">
        <f>HYPERLINK("https://www.amazon.com/Conduit-Features-Klein-Tools-51604/dp/B08V8YVWH1/ref=sr_1_1?keywords=Klein+Tools+51604+Iron+Conduit+Bender+Full+Assembly%2C+3%2F4-Inch+EMT+with+Angle+Setter%E2%84%A2&amp;qid=1694735137&amp;sr=8-1", "https://www.amazon.com/Conduit-Features-Klein-Tools-51604/dp/B08V8YVWH1/ref=sr_1_1?keywords=Klein+Tools+51604+Iron+Conduit+Bender+Full+Assembly%2C+3%2F4-Inch+EMT+with+Angle+Setter%E2%84%A2&amp;qid=1694735137&amp;sr=8-1")</f>
        <v/>
      </c>
      <c r="F5974" t="inlineStr">
        <is>
          <t>B08V8YVWH1</t>
        </is>
      </c>
      <c r="G5974">
        <f>_xlfn.IMAGE("https://edmondsonsupply.com/cdn/shop/products/51603.jpg?v=1660829273")</f>
        <v/>
      </c>
      <c r="H5974">
        <f>_xlfn.IMAGE("https://m.media-amazon.com/images/I/41DkDVmyczL._AC_UL320_.jpg")</f>
        <v/>
      </c>
      <c r="K5974" t="inlineStr">
        <is>
          <t>74.99</t>
        </is>
      </c>
      <c r="L5974" t="n">
        <v>74.98999999999999</v>
      </c>
      <c r="M5974" s="1" t="inlineStr">
        <is>
          <t>0.00%</t>
        </is>
      </c>
      <c r="N5974" s="7" t="n"/>
      <c r="O5974" t="n">
        <v>4.8</v>
      </c>
      <c r="P5974" t="n">
        <v>44</v>
      </c>
      <c r="R5974" t="inlineStr">
        <is>
          <t>OutOfStock</t>
        </is>
      </c>
      <c r="S5974" t="inlineStr">
        <is>
          <t>108.0</t>
        </is>
      </c>
      <c r="T5974" t="inlineStr">
        <is>
          <t>7784729673944</t>
        </is>
      </c>
    </row>
    <row r="5975" ht="87" customHeight="1">
      <c r="A5975" s="2">
        <f>HYPERLINK("https://edmondsonsupply.com/collections/electricians-tools/products/klein-tools-51604-iron-conduit-bender-full-assembly-3-4-inch-emt-with-angle-setter%E2%84%A2", "https://edmondsonsupply.com/collections/electricians-tools/products/klein-tools-51604-iron-conduit-bender-full-assembly-3-4-inch-emt-with-angle-setter%E2%84%A2")</f>
        <v/>
      </c>
      <c r="B5975" s="2">
        <f>HYPERLINK("https://edmondsonsupply.com/products/klein-tools-51604-iron-conduit-bender-full-assembly-3-4-inch-emt-with-angle-setter%e2%84%a2", "https://edmondsonsupply.com/products/klein-tools-51604-iron-conduit-bender-full-assembly-3-4-inch-emt-with-angle-setter%e2%84%a2")</f>
        <v/>
      </c>
      <c r="C5975" t="inlineStr">
        <is>
          <t>Klein Tools 51604 Iron Conduit Bender Full Assembly, 3/4-Inch EMT with Angle Setter™</t>
        </is>
      </c>
      <c r="D5975" t="inlineStr">
        <is>
          <t>Klein Tools 51610 Iron Conduit Bender Head, for 1-Inch EMT or 3/4-Inch Rigid IMC, use with Klein Tools Angle Setter (Cat. No. 51613)</t>
        </is>
      </c>
      <c r="E5975" s="2">
        <f>HYPERLINK("https://www.amazon.com/Conduit-Bender-Klein-Tools-51610/dp/B08V8J5CX4/ref=sr_1_8?keywords=Klein+Tools+51604+Iron+Conduit+Bender+Full+Assembly%2C+3%2F4-Inch+EMT+with+Angle+Setter%E2%84%A2&amp;qid=1694735137&amp;sr=8-8", "https://www.amazon.com/Conduit-Bender-Klein-Tools-51610/dp/B08V8J5CX4/ref=sr_1_8?keywords=Klein+Tools+51604+Iron+Conduit+Bender+Full+Assembly%2C+3%2F4-Inch+EMT+with+Angle+Setter%E2%84%A2&amp;qid=1694735137&amp;sr=8-8")</f>
        <v/>
      </c>
      <c r="F5975" t="inlineStr">
        <is>
          <t>B08V8J5CX4</t>
        </is>
      </c>
      <c r="G5975">
        <f>_xlfn.IMAGE("https://edmondsonsupply.com/cdn/shop/products/51603.jpg?v=1660829273")</f>
        <v/>
      </c>
      <c r="H5975">
        <f>_xlfn.IMAGE("https://m.media-amazon.com/images/I/61jmGqozuVL._AC_UL320_.jpg")</f>
        <v/>
      </c>
      <c r="K5975" t="inlineStr">
        <is>
          <t>74.99</t>
        </is>
      </c>
      <c r="L5975" t="n">
        <v>74.98999999999999</v>
      </c>
      <c r="M5975" s="1" t="inlineStr">
        <is>
          <t>0.00%</t>
        </is>
      </c>
      <c r="N5975" s="7" t="n"/>
      <c r="O5975" t="n">
        <v>4.8</v>
      </c>
      <c r="P5975" t="n">
        <v>11</v>
      </c>
      <c r="R5975" t="inlineStr">
        <is>
          <t>OutOfStock</t>
        </is>
      </c>
      <c r="S5975" t="inlineStr">
        <is>
          <t>108.0</t>
        </is>
      </c>
      <c r="T5975" t="inlineStr">
        <is>
          <t>7784729673944</t>
        </is>
      </c>
    </row>
    <row r="5976" hidden="1" ht="15.75" customHeight="1">
      <c r="A5976" s="2">
        <f>HYPERLINK("https://edmondsonsupply.com/collections/electricians-tools/products/klein-tools-70572-grip-it%C2%AE-ball-end-hex-set-5-key-metric-sizes", "https://edmondsonsupply.com/collections/electricians-tools/products/klein-tools-70572-grip-it%C2%AE-ball-end-hex-set-5-key-metric-sizes")</f>
        <v/>
      </c>
      <c r="B5976" s="2">
        <f>HYPERLINK("https://edmondsonsupply.com/products/klein-tools-70572-grip-it%c2%ae-ball-end-hex-set-5-key-metric-sizes", "https://edmondsonsupply.com/products/klein-tools-70572-grip-it%c2%ae-ball-end-hex-set-5-key-metric-sizes")</f>
        <v/>
      </c>
      <c r="C5976" t="inlineStr">
        <is>
          <t>Klein Tools 70572 Grip-It® Ball End Hex Set, 5-Key, Metric Sizes</t>
        </is>
      </c>
      <c r="D5976" t="inlineStr">
        <is>
          <t>Klein Tools 70572 Grip-It Ball End Hex Set, 5-Key, Metric Sizes</t>
        </is>
      </c>
      <c r="E5976" s="2">
        <f>HYPERLINK("https://www.amazon.com/Grip-Five-Key-Ball-Hex/dp/B000936R78/ref=sr_1_1?keywords=Klein+Tools+70572+Grip-It%C2%AE+Ball+End+Hex+Set%2C+5-Key%2C+Metric+Sizes&amp;qid=1694735136&amp;sr=8-1", "https://www.amazon.com/Grip-Five-Key-Ball-Hex/dp/B000936R78/ref=sr_1_1?keywords=Klein+Tools+70572+Grip-It%C2%AE+Ball+End+Hex+Set%2C+5-Key%2C+Metric+Sizes&amp;qid=1694735136&amp;sr=8-1")</f>
        <v/>
      </c>
      <c r="F5976" t="inlineStr">
        <is>
          <t>B000936R78</t>
        </is>
      </c>
      <c r="G5976">
        <f>_xludf.IMAGE("https://edmondsonsupply.com/cdn/shop/products/70572.jpg?v=1661198448")</f>
        <v/>
      </c>
      <c r="H5976">
        <f>_xludf.IMAGE("https://m.media-amazon.com/images/I/51dn84Vs5NL._AC_UL320_.jpg")</f>
        <v/>
      </c>
      <c r="K5976" t="inlineStr">
        <is>
          <t>13.49</t>
        </is>
      </c>
      <c r="L5976" t="n">
        <v>13.49</v>
      </c>
      <c r="M5976" s="1" t="inlineStr">
        <is>
          <t>0.00%</t>
        </is>
      </c>
      <c r="N5976" s="1" t="n"/>
      <c r="O5976" t="n">
        <v>4.9</v>
      </c>
      <c r="P5976" t="n">
        <v>15</v>
      </c>
      <c r="R5976" t="inlineStr">
        <is>
          <t>InStock</t>
        </is>
      </c>
      <c r="S5976" t="inlineStr">
        <is>
          <t>20.44</t>
        </is>
      </c>
      <c r="T5976" t="inlineStr">
        <is>
          <t>7791130312920</t>
        </is>
      </c>
    </row>
    <row r="5977" ht="87" customHeight="1">
      <c r="A5977" s="2">
        <f>HYPERLINK("https://edmondsonsupply.com/collections/electricians-tools/products/klein-tools-j20017ne-heavy-duty-linemans-pliers-7-inch", "https://edmondsonsupply.com/collections/electricians-tools/products/klein-tools-j20017ne-heavy-duty-linemans-pliers-7-inch")</f>
        <v/>
      </c>
      <c r="B5977" s="2">
        <f>HYPERLINK("https://edmondsonsupply.com/products/klein-tools-j20017ne-heavy-duty-linemans-pliers-7-inch", "https://edmondsonsupply.com/products/klein-tools-j20017ne-heavy-duty-linemans-pliers-7-inch")</f>
        <v/>
      </c>
      <c r="C5977" t="inlineStr">
        <is>
          <t>Klein Tools J20017NE Heavy-Duty Lineman's Pliers, 7-Inch</t>
        </is>
      </c>
      <c r="D5977" t="inlineStr">
        <is>
          <t>Klein Tools J20017NE Heavy Duty Lineman's Pliers with High leverage Design, Heavy Duty Comfortable Handles and Knurled Jaws, 7-Inch</t>
        </is>
      </c>
      <c r="E5977" s="2">
        <f>HYPERLINK("https://www.amazon.com/Klein-Tools-J20017NE-Heavy-Duty-Linemans/dp/B002LPWQFO/ref=sr_1_1?keywords=Klein+Tools+J20017NE+Heavy-Duty+Lineman%27s+Pliers%2C+7-Inch&amp;qid=1694735135&amp;sr=8-1", "https://www.amazon.com/Klein-Tools-J20017NE-Heavy-Duty-Linemans/dp/B002LPWQFO/ref=sr_1_1?keywords=Klein+Tools+J20017NE+Heavy-Duty+Lineman%27s+Pliers%2C+7-Inch&amp;qid=1694735135&amp;sr=8-1")</f>
        <v/>
      </c>
      <c r="F5977" t="inlineStr">
        <is>
          <t>B002LPWQFO</t>
        </is>
      </c>
      <c r="G5977">
        <f>_xlfn.IMAGE("https://edmondsonsupply.com/cdn/shop/products/j20017ne.jpg?v=1662669673")</f>
        <v/>
      </c>
      <c r="H5977">
        <f>_xlfn.IMAGE("https://m.media-amazon.com/images/I/513Qfm1M5dL._AC_UL320_.jpg")</f>
        <v/>
      </c>
      <c r="K5977" t="inlineStr">
        <is>
          <t>54.99</t>
        </is>
      </c>
      <c r="L5977" t="n">
        <v>54.99</v>
      </c>
      <c r="M5977" s="1" t="inlineStr">
        <is>
          <t>0.00%</t>
        </is>
      </c>
      <c r="N5977" s="7" t="n"/>
      <c r="O5977" t="n">
        <v>4.2</v>
      </c>
      <c r="P5977" t="n">
        <v>22</v>
      </c>
      <c r="R5977" t="inlineStr">
        <is>
          <t>InStock</t>
        </is>
      </c>
      <c r="S5977" t="inlineStr">
        <is>
          <t>81.8</t>
        </is>
      </c>
      <c r="T5977" t="inlineStr">
        <is>
          <t>7809426784472</t>
        </is>
      </c>
    </row>
    <row r="5978" hidden="1" ht="15.75" customHeight="1">
      <c r="A5978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978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978" t="inlineStr">
        <is>
          <t>Klein Tools 6886INS Insulated Screwdriver, #1 Square Tip, 6-Inch Shank</t>
        </is>
      </c>
      <c r="D5978" t="inlineStr">
        <is>
          <t>Klein Tools 6856INS Insulated Screwdriver, 1000V #1 Phillips Tip Screwdriver with 6-Inch Shank, Tip-Ident, Cushion-Grip Handle</t>
        </is>
      </c>
      <c r="E5978" s="2">
        <f>HYPERLINK("https://www.amazon.com/Klein-Tools-6856INS-Screwdriver-Cushion-Grip/dp/B0BF849GDN/ref=sr_1_9?keywords=Klein+Tools+6886INS+Insulated+Screwdriver%2C+%231+Square+Tip%2C+6-Inch+Shank&amp;qid=1694735108&amp;sr=8-9", "https://www.amazon.com/Klein-Tools-6856INS-Screwdriver-Cushion-Grip/dp/B0BF849GDN/ref=sr_1_9?keywords=Klein+Tools+6886INS+Insulated+Screwdriver%2C+%231+Square+Tip%2C+6-Inch+Shank&amp;qid=1694735108&amp;sr=8-9")</f>
        <v/>
      </c>
      <c r="F5978" t="inlineStr">
        <is>
          <t>B0BF849GDN</t>
        </is>
      </c>
      <c r="G5978">
        <f>_xludf.IMAGE("https://edmondsonsupply.com/cdn/shop/products/6886ins.jpg?v=1664889697")</f>
        <v/>
      </c>
      <c r="H5978">
        <f>_xludf.IMAGE("https://m.media-amazon.com/images/I/31r26wI6cBL._AC_UL320_.jpg")</f>
        <v/>
      </c>
      <c r="K5978" t="inlineStr">
        <is>
          <t>11.97</t>
        </is>
      </c>
      <c r="L5978" t="n">
        <v>11.97</v>
      </c>
      <c r="M5978" s="1" t="inlineStr">
        <is>
          <t>0.00%</t>
        </is>
      </c>
      <c r="N5978" s="1" t="n"/>
      <c r="O5978" t="n">
        <v>4.7</v>
      </c>
      <c r="P5978" t="n">
        <v>201</v>
      </c>
      <c r="R5978" t="inlineStr">
        <is>
          <t>InStock</t>
        </is>
      </c>
      <c r="S5978" t="inlineStr">
        <is>
          <t>17.98</t>
        </is>
      </c>
      <c r="T5978" t="inlineStr">
        <is>
          <t>7839176491224</t>
        </is>
      </c>
    </row>
    <row r="5979" ht="87" customHeight="1">
      <c r="A5979" s="2">
        <f>HYPERLINK("https://edmondsonsupply.com/collections/electricians-tools/products/klein-tools-j20017ne-heavy-duty-linemans-pliers-7-inch", "https://edmondsonsupply.com/collections/electricians-tools/products/klein-tools-j20017ne-heavy-duty-linemans-pliers-7-inch")</f>
        <v/>
      </c>
      <c r="B5979" s="2">
        <f>HYPERLINK("https://edmondsonsupply.com/products/klein-tools-j20017ne-heavy-duty-linemans-pliers-7-inch", "https://edmondsonsupply.com/products/klein-tools-j20017ne-heavy-duty-linemans-pliers-7-inch")</f>
        <v/>
      </c>
      <c r="C5979" t="inlineStr">
        <is>
          <t>Klein Tools J20017NE Heavy-Duty Lineman's Pliers, 7-Inch</t>
        </is>
      </c>
      <c r="D5979" t="inlineStr">
        <is>
          <t>Klein Tools J20017NE Heavy Duty Lineman's Pliers with High leverage Design, Heavy Duty Comfortable Handles and Knurled Jaws, 7-Inch</t>
        </is>
      </c>
      <c r="E5979" s="2" t="n"/>
      <c r="F5979" t="inlineStr">
        <is>
          <t>B002LPWQFO</t>
        </is>
      </c>
      <c r="G5979">
        <f>_xlfn.IMAGE("https://edmondsonsupply.com/cdn/shop/products/j20017ne.jpg?v=1662669673")</f>
        <v/>
      </c>
      <c r="H5979">
        <f>_xlfn.IMAGE("https://m.media-amazon.com/images/I/513Qfm1M5dL._AC_UL320_.jpg")</f>
        <v/>
      </c>
      <c r="K5979" t="inlineStr">
        <is>
          <t>54.99</t>
        </is>
      </c>
      <c r="L5979" t="n">
        <v>54.99</v>
      </c>
      <c r="M5979" s="1" t="inlineStr">
        <is>
          <t>0.00%</t>
        </is>
      </c>
      <c r="N5979" s="7" t="n"/>
      <c r="O5979" t="n">
        <v>4.2</v>
      </c>
      <c r="P5979" t="n">
        <v>22</v>
      </c>
      <c r="R5979" t="inlineStr">
        <is>
          <t>InStock</t>
        </is>
      </c>
      <c r="S5979" t="inlineStr">
        <is>
          <t>81.8</t>
        </is>
      </c>
      <c r="T5979" t="inlineStr">
        <is>
          <t>7809426784472</t>
        </is>
      </c>
    </row>
    <row r="5980" hidden="1" ht="15.75" customHeight="1">
      <c r="A5980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5980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5980" t="inlineStr">
        <is>
          <t>Klein Tools 6886INS Insulated Screwdriver, #1 Square Tip, 6-Inch Shank</t>
        </is>
      </c>
      <c r="D5980" t="inlineStr">
        <is>
          <t>Klein Tools 6886INS Insulated Screwdriver, 1000V #1 Square Tip Screwdriver with 6-Inch Shank, Tip-Ident, Cushion-Grip Handle</t>
        </is>
      </c>
      <c r="E5980" s="2">
        <f>HYPERLINK("https://www.amazon.com/Klein-Tools-6886INS-Screwdriver-Cushion-Grip/dp/B0BF755ZL3/ref=sr_1_1?keywords=Klein+Tools+6886INS+Insulated+Screwdriver%2C+%231+Square+Tip%2C+6-Inch+Shank&amp;qid=1694735108&amp;sr=8-1", "https://www.amazon.com/Klein-Tools-6886INS-Screwdriver-Cushion-Grip/dp/B0BF755ZL3/ref=sr_1_1?keywords=Klein+Tools+6886INS+Insulated+Screwdriver%2C+%231+Square+Tip%2C+6-Inch+Shank&amp;qid=1694735108&amp;sr=8-1")</f>
        <v/>
      </c>
      <c r="F5980" t="inlineStr">
        <is>
          <t>B0BF755ZL3</t>
        </is>
      </c>
      <c r="G5980">
        <f>_xludf.IMAGE("https://edmondsonsupply.com/cdn/shop/products/6886ins.jpg?v=1664889697")</f>
        <v/>
      </c>
      <c r="H5980">
        <f>_xludf.IMAGE("https://m.media-amazon.com/images/I/41+5F4EQBeL._AC_UL320_.jpg")</f>
        <v/>
      </c>
      <c r="K5980" t="inlineStr">
        <is>
          <t>11.97</t>
        </is>
      </c>
      <c r="L5980" t="n">
        <v>11.97</v>
      </c>
      <c r="M5980" s="1" t="inlineStr">
        <is>
          <t>0.00%</t>
        </is>
      </c>
      <c r="N5980" s="1" t="n"/>
      <c r="O5980" t="n">
        <v>4.8</v>
      </c>
      <c r="P5980" t="n">
        <v>414</v>
      </c>
      <c r="R5980" t="inlineStr">
        <is>
          <t>InStock</t>
        </is>
      </c>
      <c r="S5980" t="inlineStr">
        <is>
          <t>17.98</t>
        </is>
      </c>
      <c r="T5980" t="inlineStr">
        <is>
          <t>7839176491224</t>
        </is>
      </c>
    </row>
    <row r="5981" hidden="1" ht="15.75" customHeight="1">
      <c r="A5981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5981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5981" t="inlineStr">
        <is>
          <t>Klein Tools 646-7/16M 7/16-Inch Magnetic Tip Nut Driver 6-Inch Shaft</t>
        </is>
      </c>
      <c r="D5981" t="inlineStr">
        <is>
          <t>Klein Tools 640-7/16 7/16-Inch Coated Nut Driver with 3-Inch Hollow Shaft and Cushion Grip Handle</t>
        </is>
      </c>
      <c r="E5981" s="2">
        <f>HYPERLINK("https://www.amazon.com/16-Inch-Klein-Tools-640-7-16/dp/B00093DZYG/ref=sr_1_8?keywords=Klein+Tools+646-7%2F16M+7%2F16-Inch+Magnetic+Tip+Nut+Driver+6-Inch+Shaft&amp;qid=1694735353&amp;sr=8-8", "https://www.amazon.com/16-Inch-Klein-Tools-640-7-16/dp/B00093DZYG/ref=sr_1_8?keywords=Klein+Tools+646-7%2F16M+7%2F16-Inch+Magnetic+Tip+Nut+Driver+6-Inch+Shaft&amp;qid=1694735353&amp;sr=8-8")</f>
        <v/>
      </c>
      <c r="F5981" t="inlineStr">
        <is>
          <t>B00093DZYG</t>
        </is>
      </c>
      <c r="G5981">
        <f>_xludf.IMAGE("https://edmondsonsupply.com/cdn/shop/products/646-5-16m_906faaaa-dd9e-40e4-bce3-8174c2b127b5.jpg?v=1587146594")</f>
        <v/>
      </c>
      <c r="H5981">
        <f>_xludf.IMAGE("https://m.media-amazon.com/images/I/61eCMBwqqTL._AC_UL320_.jpg")</f>
        <v/>
      </c>
      <c r="K5981" t="inlineStr">
        <is>
          <t>12.99</t>
        </is>
      </c>
      <c r="L5981" t="n">
        <v>12.99</v>
      </c>
      <c r="M5981" s="1" t="inlineStr">
        <is>
          <t>0.00%</t>
        </is>
      </c>
      <c r="N5981" s="1" t="n"/>
      <c r="O5981" t="n">
        <v>4.1</v>
      </c>
      <c r="P5981" t="n">
        <v>20</v>
      </c>
      <c r="R5981" t="inlineStr">
        <is>
          <t>InStock</t>
        </is>
      </c>
      <c r="S5981" t="inlineStr">
        <is>
          <t>19.74</t>
        </is>
      </c>
      <c r="T5981" t="inlineStr">
        <is>
          <t>4461840171108</t>
        </is>
      </c>
    </row>
    <row r="5982" ht="87" customHeight="1">
      <c r="A5982" s="2">
        <f>HYPERLINK("https://edmondsonsupply.com/collections/electricians-tools/products/klein-tools-66031-3-in-1-slotted-impact-socket-12-point-3-4-and-9-16-inch", "https://edmondsonsupply.com/collections/electricians-tools/products/klein-tools-66031-3-in-1-slotted-impact-socket-12-point-3-4-and-9-16-inch")</f>
        <v/>
      </c>
      <c r="B5982" s="2">
        <f>HYPERLINK("https://edmondsonsupply.com/products/klein-tools-66031-3-in-1-slotted-impact-socket-12-point-3-4-and-9-16-inch", "https://edmondsonsupply.com/products/klein-tools-66031-3-in-1-slotted-impact-socket-12-point-3-4-and-9-16-inch")</f>
        <v/>
      </c>
      <c r="C5982" t="inlineStr">
        <is>
          <t>Klein Tools 66031 3-in-1 Slotted Impact Socket, 12-Point, 3/4 and 9/16-Inch</t>
        </is>
      </c>
      <c r="D5982" t="inlineStr">
        <is>
          <t>Klein Tools 66031 3-in-1 Slotted Impact Socket, 12-Point Deep Sockets, Coaxial Spring Loaded, 3/4 and 9/16-Inch Hex Sizes, 1/2-Inch Drive</t>
        </is>
      </c>
      <c r="E5982" s="2">
        <f>HYPERLINK("https://www.amazon.com/Klein-Tools-66031-Slotted-12-Point/dp/B08R6FL5P8/ref=sr_1_1?keywords=Klein+Tools+66031+3-in-1+Slotted+Impact+Socket%2C+12-Point%2C+3%2F4+and+9%2F16-Inch&amp;qid=1694735137&amp;sr=8-1", "https://www.amazon.com/Klein-Tools-66031-Slotted-12-Point/dp/B08R6FL5P8/ref=sr_1_1?keywords=Klein+Tools+66031+3-in-1+Slotted+Impact+Socket%2C+12-Point%2C+3%2F4+and+9%2F16-Inch&amp;qid=1694735137&amp;sr=8-1")</f>
        <v/>
      </c>
      <c r="F5982" t="inlineStr">
        <is>
          <t>B08R6FL5P8</t>
        </is>
      </c>
      <c r="G5982">
        <f>_xlfn.IMAGE("https://edmondsonsupply.com/cdn/shop/products/66031.jpg?v=1659389111")</f>
        <v/>
      </c>
      <c r="H5982">
        <f>_xlfn.IMAGE("https://m.media-amazon.com/images/I/51mIf57QKuL._AC_UL320_.jpg")</f>
        <v/>
      </c>
      <c r="K5982" t="inlineStr">
        <is>
          <t>49.99</t>
        </is>
      </c>
      <c r="L5982" t="n">
        <v>49.99</v>
      </c>
      <c r="M5982" s="1" t="inlineStr">
        <is>
          <t>0.00%</t>
        </is>
      </c>
      <c r="N5982" s="7" t="n"/>
      <c r="O5982" t="n">
        <v>4.8</v>
      </c>
      <c r="P5982" t="n">
        <v>661</v>
      </c>
      <c r="R5982" t="inlineStr">
        <is>
          <t>InStock</t>
        </is>
      </c>
      <c r="S5982" t="inlineStr">
        <is>
          <t>85.0</t>
        </is>
      </c>
      <c r="T5982" t="inlineStr">
        <is>
          <t>7769476563160</t>
        </is>
      </c>
    </row>
    <row r="5983" hidden="1" ht="15.75" customHeight="1">
      <c r="A5983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5983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5983" t="inlineStr">
        <is>
          <t>Klein Tools 6884INS Insulated Screwdriver, #1 Square Tip, 4-Inch Shank</t>
        </is>
      </c>
      <c r="D5983" t="inlineStr">
        <is>
          <t>Klein Tools 6884INS Insulated Screwdriver, 1000V #1 Square Tip Screwdriver with 4-Inch Shank, Tip-Ident, Cushion-Grip Handle</t>
        </is>
      </c>
      <c r="E5983" s="2">
        <f>HYPERLINK("https://www.amazon.com/Klein-Tools-6884INS-Screwdriver-Cushion-Grip/dp/B0BF7K2YSW/ref=sr_1_1?keywords=Klein+Tools+6884INS+Insulated+Screwdriver%2C+%231+Square+Tip%2C+4-Inch+Shank&amp;qid=1694735104&amp;sr=8-1", "https://www.amazon.com/Klein-Tools-6884INS-Screwdriver-Cushion-Grip/dp/B0BF7K2YSW/ref=sr_1_1?keywords=Klein+Tools+6884INS+Insulated+Screwdriver%2C+%231+Square+Tip%2C+4-Inch+Shank&amp;qid=1694735104&amp;sr=8-1")</f>
        <v/>
      </c>
      <c r="F5983" t="inlineStr">
        <is>
          <t>B0BF7K2YSW</t>
        </is>
      </c>
      <c r="G5983">
        <f>_xludf.IMAGE("https://edmondsonsupply.com/cdn/shop/products/6884ins.jpg?v=1664889244")</f>
        <v/>
      </c>
      <c r="H5983">
        <f>_xludf.IMAGE("https://m.media-amazon.com/images/I/41avq0kPXJL._AC_UL320_.jpg")</f>
        <v/>
      </c>
      <c r="K5983" t="inlineStr">
        <is>
          <t>9.97</t>
        </is>
      </c>
      <c r="L5983" t="n">
        <v>9.970000000000001</v>
      </c>
      <c r="M5983" s="1" t="inlineStr">
        <is>
          <t>0.00%</t>
        </is>
      </c>
      <c r="N5983" s="1" t="n"/>
      <c r="O5983" t="n">
        <v>4.8</v>
      </c>
      <c r="P5983" t="n">
        <v>414</v>
      </c>
      <c r="R5983" t="inlineStr">
        <is>
          <t>InStock</t>
        </is>
      </c>
      <c r="S5983" t="inlineStr">
        <is>
          <t>14.98</t>
        </is>
      </c>
      <c r="T5983" t="inlineStr">
        <is>
          <t>7839150735576</t>
        </is>
      </c>
    </row>
    <row r="5984" hidden="1" ht="15.75" customHeight="1">
      <c r="A5984" s="2">
        <f>HYPERLINK("https://edmondsonsupply.com/collections/electricians-tools/products/klein-tools-6984ins-slim-tip-1000v-insulated-screwdriver-1-square-4-inch-round-shank", "https://edmondsonsupply.com/collections/electricians-tools/products/klein-tools-6984ins-slim-tip-1000v-insulated-screwdriver-1-square-4-inch-round-shank")</f>
        <v/>
      </c>
      <c r="B5984" s="2">
        <f>HYPERLINK("https://edmondsonsupply.com/products/klein-tools-6984ins-slim-tip-1000v-insulated-screwdriver-1-square-4-inch-round-shank", "https://edmondsonsupply.com/products/klein-tools-6984ins-slim-tip-1000v-insulated-screwdriver-1-square-4-inch-round-shank")</f>
        <v/>
      </c>
      <c r="C5984" t="inlineStr">
        <is>
          <t>Klein Tools 6984INS Slim-Tip 1000V Insulated Screwdriver, #1 Square, 4-Inch Round Shank</t>
        </is>
      </c>
      <c r="D5984" t="inlineStr">
        <is>
          <t>Klein Tools 6944INS Insulated Screwdriver, 1000V Slim Profile Tip, #2 Square with 4-Inch Shank, Cushion-Grip Handle</t>
        </is>
      </c>
      <c r="E5984" s="2">
        <f>HYPERLINK("https://www.amazon.com/Klein-Tools-6944INS-Screwdriver-Cushion-Grip/dp/B09GPYTZV3/ref=sr_1_9?keywords=Klein+Tools+6984INS+Slim-Tip+1000V+Insulated+Screwdriver%2C&amp;qid=1694735107&amp;sr=8-9", "https://www.amazon.com/Klein-Tools-6944INS-Screwdriver-Cushion-Grip/dp/B09GPYTZV3/ref=sr_1_9?keywords=Klein+Tools+6984INS+Slim-Tip+1000V+Insulated+Screwdriver%2C&amp;qid=1694735107&amp;sr=8-9")</f>
        <v/>
      </c>
      <c r="F5984" t="inlineStr">
        <is>
          <t>B09GPYTZV3</t>
        </is>
      </c>
      <c r="G5984">
        <f>_xludf.IMAGE("https://edmondsonsupply.com/cdn/shop/products/6984ins.jpg?v=1664806448")</f>
        <v/>
      </c>
      <c r="H5984">
        <f>_xludf.IMAGE("https://m.media-amazon.com/images/I/41PzygwLx+L._AC_UL320_.jpg")</f>
        <v/>
      </c>
      <c r="K5984" t="inlineStr">
        <is>
          <t>13.99</t>
        </is>
      </c>
      <c r="L5984" t="n">
        <v>13.99</v>
      </c>
      <c r="M5984" s="1" t="inlineStr">
        <is>
          <t>0.00%</t>
        </is>
      </c>
      <c r="N5984" s="1" t="n"/>
      <c r="O5984" t="n">
        <v>4.7</v>
      </c>
      <c r="P5984" t="n">
        <v>93</v>
      </c>
      <c r="R5984" t="inlineStr">
        <is>
          <t>InStock</t>
        </is>
      </c>
      <c r="S5984" t="inlineStr">
        <is>
          <t>19.54</t>
        </is>
      </c>
      <c r="T5984" t="inlineStr">
        <is>
          <t>7837625450712</t>
        </is>
      </c>
    </row>
    <row r="5985" ht="87" customHeight="1">
      <c r="A5985" s="2">
        <f>HYPERLINK("https://edmondsonsupply.com/collections/electricians-tools/products/klein-tools-et45vp-ac-dc-voltage-and-gfci-receptacle-outlet-test-kit", "https://edmondsonsupply.com/collections/electricians-tools/products/klein-tools-et45vp-ac-dc-voltage-and-gfci-receptacle-outlet-test-kit")</f>
        <v/>
      </c>
      <c r="B5985" s="2">
        <f>HYPERLINK("https://edmondsonsupply.com/products/klein-tools-et45vp-ac-dc-voltage-and-gfci-receptacle-outlet-test-kit", "https://edmondsonsupply.com/products/klein-tools-et45vp-ac-dc-voltage-and-gfci-receptacle-outlet-test-kit")</f>
        <v/>
      </c>
      <c r="C5985" t="inlineStr">
        <is>
          <t>Klein Tools ET45VP AC/DC Voltage and GFCI Receptacle Outlet Test Kit</t>
        </is>
      </c>
      <c r="D5985" t="inlineStr">
        <is>
          <t>Klein Tools ET45VP Electrical Test Kit with GFCI Outlet Tester and AC/DC Voltage Tester, Orange</t>
        </is>
      </c>
      <c r="E5985" s="2">
        <f>HYPERLINK("https://www.amazon.com/Receptacle-Electrical-Klein-Tools-ET45VP/dp/B08Y63ZG1B/ref=sr_1_1?keywords=Klein+Tools+ET45VP+AC%2FDC+Voltage+and+GFCI+Receptacle+Outlet+Test+Kit&amp;qid=1694735138&amp;sr=8-1", "https://www.amazon.com/Receptacle-Electrical-Klein-Tools-ET45VP/dp/B08Y63ZG1B/ref=sr_1_1?keywords=Klein+Tools+ET45VP+AC%2FDC+Voltage+and+GFCI+Receptacle+Outlet+Test+Kit&amp;qid=1694735138&amp;sr=8-1")</f>
        <v/>
      </c>
      <c r="F5985" t="inlineStr">
        <is>
          <t>B08Y63ZG1B</t>
        </is>
      </c>
      <c r="G5985">
        <f>_xlfn.IMAGE("https://edmondsonsupply.com/cdn/shop/products/et45vp.jpg?v=1660755922")</f>
        <v/>
      </c>
      <c r="H5985">
        <f>_xlfn.IMAGE("https://m.media-amazon.com/images/I/51g9gSN+3SL._AC_UL320_.jpg")</f>
        <v/>
      </c>
      <c r="K5985" t="inlineStr">
        <is>
          <t>17.97</t>
        </is>
      </c>
      <c r="L5985" t="n">
        <v>17.97</v>
      </c>
      <c r="M5985" s="1" t="inlineStr">
        <is>
          <t>0.00%</t>
        </is>
      </c>
      <c r="N5985" s="7" t="n"/>
      <c r="O5985" t="n">
        <v>4.6</v>
      </c>
      <c r="P5985" t="n">
        <v>240</v>
      </c>
      <c r="R5985" t="inlineStr">
        <is>
          <t>InStock</t>
        </is>
      </c>
      <c r="S5985" t="inlineStr">
        <is>
          <t>25.82</t>
        </is>
      </c>
      <c r="T5985" t="inlineStr">
        <is>
          <t>7783562084568</t>
        </is>
      </c>
    </row>
    <row r="5986" hidden="1" ht="15.75" customHeight="1">
      <c r="A5986" s="2">
        <f>HYPERLINK("https://edmondsonsupply.com/collections/electricians-tools/products/klein-tools-6984ins-slim-tip-1000v-insulated-screwdriver-1-square-4-inch-round-shank", "https://edmondsonsupply.com/collections/electricians-tools/products/klein-tools-6984ins-slim-tip-1000v-insulated-screwdriver-1-square-4-inch-round-shank")</f>
        <v/>
      </c>
      <c r="B5986" s="2">
        <f>HYPERLINK("https://edmondsonsupply.com/products/klein-tools-6984ins-slim-tip-1000v-insulated-screwdriver-1-square-4-inch-round-shank", "https://edmondsonsupply.com/products/klein-tools-6984ins-slim-tip-1000v-insulated-screwdriver-1-square-4-inch-round-shank")</f>
        <v/>
      </c>
      <c r="C5986" t="inlineStr">
        <is>
          <t>Klein Tools 6984INS Slim-Tip 1000V Insulated Screwdriver, #1 Square, 4-Inch Round Shank</t>
        </is>
      </c>
      <c r="D5986" t="inlineStr">
        <is>
          <t>Klein Tools 6984INS Insulated Screwdriver, 1000V Slim Profile Tip, #1 Square with 4-Inch Shank, Cushion-Grip Handle</t>
        </is>
      </c>
      <c r="E5986" s="2">
        <f>HYPERLINK("https://www.amazon.com/Klein-Tools-6984INS-Screwdriver-Cushion-Grip/dp/B09GPZ5P2M/ref=sr_1_1?keywords=Klein+Tools+6984INS+Slim-Tip+1000V+Insulated+Screwdriver%2C&amp;qid=1694735107&amp;sr=8-1", "https://www.amazon.com/Klein-Tools-6984INS-Screwdriver-Cushion-Grip/dp/B09GPZ5P2M/ref=sr_1_1?keywords=Klein+Tools+6984INS+Slim-Tip+1000V+Insulated+Screwdriver%2C&amp;qid=1694735107&amp;sr=8-1")</f>
        <v/>
      </c>
      <c r="F5986" t="inlineStr">
        <is>
          <t>B09GPZ5P2M</t>
        </is>
      </c>
      <c r="G5986">
        <f>_xludf.IMAGE("https://edmondsonsupply.com/cdn/shop/products/6984ins.jpg?v=1664806448")</f>
        <v/>
      </c>
      <c r="H5986">
        <f>_xludf.IMAGE("https://m.media-amazon.com/images/I/41uj4ogsy3L._AC_UL320_.jpg")</f>
        <v/>
      </c>
      <c r="K5986" t="inlineStr">
        <is>
          <t>13.99</t>
        </is>
      </c>
      <c r="L5986" t="n">
        <v>13.99</v>
      </c>
      <c r="M5986" s="1" t="inlineStr">
        <is>
          <t>0.00%</t>
        </is>
      </c>
      <c r="N5986" s="1" t="n"/>
      <c r="O5986" t="n">
        <v>4.8</v>
      </c>
      <c r="P5986" t="n">
        <v>107</v>
      </c>
      <c r="R5986" t="inlineStr">
        <is>
          <t>InStock</t>
        </is>
      </c>
      <c r="S5986" t="inlineStr">
        <is>
          <t>19.54</t>
        </is>
      </c>
      <c r="T5986" t="inlineStr">
        <is>
          <t>7837625450712</t>
        </is>
      </c>
    </row>
    <row r="5987" ht="87" customHeight="1">
      <c r="A5987" s="2">
        <f>HYPERLINK("https://edmondsonsupply.com/collections/electricians-tools/products/klein-tools-d2000-9necr-linemans-pliers-with-crimping-9-inch", "https://edmondsonsupply.com/collections/electricians-tools/products/klein-tools-d2000-9necr-linemans-pliers-with-crimping-9-inch")</f>
        <v/>
      </c>
      <c r="B5987" s="2">
        <f>HYPERLINK("https://edmondsonsupply.com/products/klein-tools-d2000-9necr-linemans-pliers-with-crimping-9-inch", "https://edmondsonsupply.com/products/klein-tools-d2000-9necr-linemans-pliers-with-crimping-9-inch")</f>
        <v/>
      </c>
      <c r="C5987" t="inlineStr">
        <is>
          <t>Klein Tools D2000-9NECR Lineman's Pliers with Crimping, 9-Inch</t>
        </is>
      </c>
      <c r="D5987" t="inlineStr">
        <is>
          <t>Klein Tools J213-9NECR Jouneyman Pliers Connector Crimp Side, With High-Leverage Design Featuring Crimping Die Behind Hinge, 9-Inch</t>
        </is>
      </c>
      <c r="E5987" s="2">
        <f>HYPERLINK("https://www.amazon.com/Klein-Tools-J213-9NECR-Jouneyman-High-Leverage/dp/B000BYBZ9U/ref=sr_1_3?keywords=Klein+Tools+D2000-9NECR+Lineman%27s+Pliers+with+Crimping%2C+9-Inch&amp;qid=1694735295&amp;sr=8-3", "https://www.amazon.com/Klein-Tools-J213-9NECR-Jouneyman-High-Leverage/dp/B000BYBZ9U/ref=sr_1_3?keywords=Klein+Tools+D2000-9NECR+Lineman%27s+Pliers+with+Crimping%2C+9-Inch&amp;qid=1694735295&amp;sr=8-3")</f>
        <v/>
      </c>
      <c r="F5987" t="inlineStr">
        <is>
          <t>B000BYBZ9U</t>
        </is>
      </c>
      <c r="G5987">
        <f>_xlfn.IMAGE("https://edmondsonsupply.com/cdn/shop/products/d20009necr.jpg?v=1633030459")</f>
        <v/>
      </c>
      <c r="H5987">
        <f>_xlfn.IMAGE("https://m.media-amazon.com/images/I/41FjzQmfBpL._AC_UL320_.jpg")</f>
        <v/>
      </c>
      <c r="K5987" t="inlineStr">
        <is>
          <t>49.99</t>
        </is>
      </c>
      <c r="L5987" t="n">
        <v>49.99</v>
      </c>
      <c r="M5987" s="1" t="inlineStr">
        <is>
          <t>0.00%</t>
        </is>
      </c>
      <c r="N5987" s="7" t="n"/>
      <c r="O5987" t="n">
        <v>4.8</v>
      </c>
      <c r="P5987" t="n">
        <v>419</v>
      </c>
      <c r="R5987" t="inlineStr">
        <is>
          <t>InStock</t>
        </is>
      </c>
      <c r="S5987" t="inlineStr">
        <is>
          <t>75.74</t>
        </is>
      </c>
      <c r="T5987" t="inlineStr">
        <is>
          <t>5349066965160</t>
        </is>
      </c>
    </row>
    <row r="5988" hidden="1" ht="15.75" customHeight="1">
      <c r="A5988" s="2">
        <f>HYPERLINK("https://edmondsonsupply.com/collections/electricians-tools/products/klein-tools-6846ins-insulated-screwdriver-2-square-tip-6-inch-round-shank", "https://edmondsonsupply.com/collections/electricians-tools/products/klein-tools-6846ins-insulated-screwdriver-2-square-tip-6-inch-round-shank")</f>
        <v/>
      </c>
      <c r="B5988" s="2">
        <f>HYPERLINK("https://edmondsonsupply.com/products/klein-tools-6846ins-insulated-screwdriver-2-square-tip-6-inch-round-shank", "https://edmondsonsupply.com/products/klein-tools-6846ins-insulated-screwdriver-2-square-tip-6-inch-round-shank")</f>
        <v/>
      </c>
      <c r="C5988" t="inlineStr">
        <is>
          <t>Klein Tools 6846INS Insulated Screwdriver, #2 Square Tip, 6-Inch Round Shank</t>
        </is>
      </c>
      <c r="D5988" t="inlineStr">
        <is>
          <t>Klein Tools 6846INS Insulated Screwdriver, 1000V #2 Square Tip Screwdriver with 6-Inch Shank, Tip-Ident, Cushion-Grip Handle</t>
        </is>
      </c>
      <c r="E5988" s="2">
        <f>HYPERLINK("https://www.amazon.com/Klein-Tools-6846INS-Screwdriver-Cushion-Grip/dp/B0BF7X96QK/ref=sr_1_1?keywords=Klein+Tools+6846INS+Insulated+Screwdriver%2C+%232+Square+Tip%2C+6-Inch+Round+Shank&amp;qid=1694735106&amp;sr=8-1", "https://www.amazon.com/Klein-Tools-6846INS-Screwdriver-Cushion-Grip/dp/B0BF7X96QK/ref=sr_1_1?keywords=Klein+Tools+6846INS+Insulated+Screwdriver%2C+%232+Square+Tip%2C+6-Inch+Round+Shank&amp;qid=1694735106&amp;sr=8-1")</f>
        <v/>
      </c>
      <c r="F5988" t="inlineStr">
        <is>
          <t>B0BF7X96QK</t>
        </is>
      </c>
      <c r="G5988">
        <f>_xludf.IMAGE("https://edmondsonsupply.com/cdn/shop/products/6846ins.jpg?v=1664817571")</f>
        <v/>
      </c>
      <c r="H5988">
        <f>_xludf.IMAGE("https://m.media-amazon.com/images/I/31EOUkZ6n3L._AC_UL320_.jpg")</f>
        <v/>
      </c>
      <c r="K5988" t="inlineStr">
        <is>
          <t>11.97</t>
        </is>
      </c>
      <c r="L5988" t="n">
        <v>11.97</v>
      </c>
      <c r="M5988" s="1" t="inlineStr">
        <is>
          <t>0.00%</t>
        </is>
      </c>
      <c r="N5988" s="1" t="n"/>
      <c r="O5988" t="n">
        <v>4.7</v>
      </c>
      <c r="P5988" t="n">
        <v>201</v>
      </c>
      <c r="R5988" t="inlineStr">
        <is>
          <t>InStock</t>
        </is>
      </c>
      <c r="S5988" t="inlineStr">
        <is>
          <t>17.98</t>
        </is>
      </c>
      <c r="T5988" t="inlineStr">
        <is>
          <t>7837739319512</t>
        </is>
      </c>
    </row>
    <row r="5989" ht="87" customHeight="1">
      <c r="A5989" s="2">
        <f>HYPERLINK("https://edmondsonsupply.com/collections/electricians-tools/products/klein-tools-j63225n-journeyman%E2%84%A2-high-leverage-cable-cutter-with-stripping", "https://edmondsonsupply.com/collections/electricians-tools/products/klein-tools-j63225n-journeyman%E2%84%A2-high-leverage-cable-cutter-with-stripping")</f>
        <v/>
      </c>
      <c r="B5989" s="2">
        <f>HYPERLINK("https://edmondsonsupply.com/products/klein-tools-j63225n-journeyman%e2%84%a2-high-leverage-cable-cutter-with-stripping", "https://edmondsonsupply.com/products/klein-tools-j63225n-journeyman%e2%84%a2-high-leverage-cable-cutter-with-stripping")</f>
        <v/>
      </c>
      <c r="C5989" t="inlineStr">
        <is>
          <t>Klein Tools J63225N Journeyman™ High Leverage Cable Cutter with Stripping</t>
        </is>
      </c>
      <c r="D5989" t="inlineStr">
        <is>
          <t>Klein Tools J63225N Journeyman High-Leverage Wire Cable Cutter and Stripper for Cutting Aluminum, Soft Copper and Communications Cable,Red/Black</t>
        </is>
      </c>
      <c r="E5989" s="2">
        <f>HYPERLINK("https://www.amazon.com/High-Leverage-Communications-Klein-Tools-J63225N/dp/B08R8SNQCL/ref=sr_1_1?keywords=Klein+Tools+J63225N+Journeyman%E2%84%A2+High+Leverage+Cable+Cutter+with+Stripping&amp;qid=1694735140&amp;sr=8-1", "https://www.amazon.com/High-Leverage-Communications-Klein-Tools-J63225N/dp/B08R8SNQCL/ref=sr_1_1?keywords=Klein+Tools+J63225N+Journeyman%E2%84%A2+High+Leverage+Cable+Cutter+with+Stripping&amp;qid=1694735140&amp;sr=8-1")</f>
        <v/>
      </c>
      <c r="F5989" t="inlineStr">
        <is>
          <t>B08R8SNQCL</t>
        </is>
      </c>
      <c r="G5989">
        <f>_xlfn.IMAGE("https://edmondsonsupply.com/cdn/shop/products/j63225n_b.jpg?v=1659387149")</f>
        <v/>
      </c>
      <c r="H5989">
        <f>_xlfn.IMAGE("https://m.media-amazon.com/images/I/61+P5wW4RkL._AC_UL320_.jpg")</f>
        <v/>
      </c>
      <c r="K5989" t="inlineStr">
        <is>
          <t>41.97</t>
        </is>
      </c>
      <c r="L5989" t="n">
        <v>41.97</v>
      </c>
      <c r="M5989" s="1" t="inlineStr">
        <is>
          <t>0.00%</t>
        </is>
      </c>
      <c r="N5989" s="7" t="n"/>
      <c r="O5989" t="n">
        <v>4.7</v>
      </c>
      <c r="P5989" t="n">
        <v>424</v>
      </c>
      <c r="R5989" t="inlineStr">
        <is>
          <t>InStock</t>
        </is>
      </c>
      <c r="S5989" t="inlineStr">
        <is>
          <t>58.08</t>
        </is>
      </c>
      <c r="T5989" t="inlineStr">
        <is>
          <t>7769461555416</t>
        </is>
      </c>
    </row>
    <row r="5990" ht="87" customHeight="1">
      <c r="A5990" s="2">
        <f>HYPERLINK("https://edmondsonsupply.com/collections/electricians-tools/products/milwaukee-2744-21", "https://edmondsonsupply.com/collections/electricians-tools/products/milwaukee-2744-21")</f>
        <v/>
      </c>
      <c r="B5990" s="2">
        <f>HYPERLINK("https://edmondsonsupply.com/products/milwaukee-2744-21", "https://edmondsonsupply.com/products/milwaukee-2744-21")</f>
        <v/>
      </c>
      <c r="C5990" t="inlineStr">
        <is>
          <t>Milwaukee 2744-21 M18 FUEL™ 21 Degree Framing Nailer Kit</t>
        </is>
      </c>
      <c r="D5990" t="inlineStr">
        <is>
          <t>Milwauke M18 FUEL 21-Degree Framing Nailer Kit (5 Ah) 2744-21</t>
        </is>
      </c>
      <c r="E5990" s="2" t="n"/>
      <c r="F5990" t="inlineStr">
        <is>
          <t>B08VNGJGL1</t>
        </is>
      </c>
      <c r="G5990">
        <f>_xlfn.IMAGE("https://edmondsonsupply.com/cdn/shop/products/2744-21_1.webp?v=1664901456")</f>
        <v/>
      </c>
      <c r="H5990">
        <f>_xlfn.IMAGE("https://m.media-amazon.com/images/I/61LiBCBn5dL._AC_UL320_.jpg")</f>
        <v/>
      </c>
      <c r="K5990" t="inlineStr">
        <is>
          <t>479.0</t>
        </is>
      </c>
      <c r="L5990" t="n">
        <v>479</v>
      </c>
      <c r="M5990" s="1" t="inlineStr">
        <is>
          <t>0.00%</t>
        </is>
      </c>
      <c r="N5990" s="7" t="n"/>
      <c r="O5990" t="n">
        <v>5</v>
      </c>
      <c r="P5990" t="n">
        <v>5</v>
      </c>
      <c r="R5990" t="inlineStr">
        <is>
          <t>OutOfStock</t>
        </is>
      </c>
      <c r="S5990" t="inlineStr">
        <is>
          <t>843.0</t>
        </is>
      </c>
      <c r="T5990" t="inlineStr">
        <is>
          <t>7839544672472</t>
        </is>
      </c>
    </row>
    <row r="5991" hidden="1" ht="15.75" customHeight="1">
      <c r="A5991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991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991" t="inlineStr">
        <is>
          <t>Klein Tools 6826INS Insulated Screwdriver, 1/4-Inch Cabinet Tip, 6-Inch Shank</t>
        </is>
      </c>
      <c r="D5991" t="inlineStr">
        <is>
          <t>Klein Tools 6816INS Insulated Screwdriver, 1000V 3/16-Inch Cabinet Tip Screwdriver with 6-Inch Shank, Tip-Ident, Cushion-Grip Handle</t>
        </is>
      </c>
      <c r="E5991" s="2">
        <f>HYPERLINK("https://www.amazon.com/Klein-Tools-6816INS-Screwdriver-Cushion-Grip/dp/B0BF7JHR5X/ref=sr_1_28?keywords=Klein+Tools+6826INS+Insulated+Screwdriver%2C+1%2F4-Inch+Cabinet+Tip%2C+6-Inch+Shank&amp;qid=1694735104&amp;sr=8-28", "https://www.amazon.com/Klein-Tools-6816INS-Screwdriver-Cushion-Grip/dp/B0BF7JHR5X/ref=sr_1_28?keywords=Klein+Tools+6826INS+Insulated+Screwdriver%2C+1%2F4-Inch+Cabinet+Tip%2C+6-Inch+Shank&amp;qid=1694735104&amp;sr=8-28")</f>
        <v/>
      </c>
      <c r="F5991" t="inlineStr">
        <is>
          <t>B0BF7JHR5X</t>
        </is>
      </c>
      <c r="G5991">
        <f>_xludf.IMAGE("https://edmondsonsupply.com/cdn/shop/products/6826ins.jpg?v=1664814069")</f>
        <v/>
      </c>
      <c r="H5991">
        <f>_xludf.IMAGE("https://m.media-amazon.com/images/I/31ngLMMA6xL._AC_UL320_.jpg")</f>
        <v/>
      </c>
      <c r="K5991" t="inlineStr">
        <is>
          <t>11.97</t>
        </is>
      </c>
      <c r="L5991" t="n">
        <v>11.97</v>
      </c>
      <c r="M5991" s="1" t="inlineStr">
        <is>
          <t>0.00%</t>
        </is>
      </c>
      <c r="N5991" s="1" t="n"/>
      <c r="O5991" t="n">
        <v>4</v>
      </c>
      <c r="P5991" t="n">
        <v>6</v>
      </c>
      <c r="R5991" t="inlineStr">
        <is>
          <t>InStock</t>
        </is>
      </c>
      <c r="S5991" t="inlineStr">
        <is>
          <t>17.98</t>
        </is>
      </c>
      <c r="T5991" t="inlineStr">
        <is>
          <t>7837707698392</t>
        </is>
      </c>
    </row>
    <row r="5992" hidden="1" ht="15.75" customHeight="1">
      <c r="A5992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992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992" t="inlineStr">
        <is>
          <t>Klein Tools 6826INS Insulated Screwdriver, 1/4-Inch Cabinet Tip, 6-Inch Shank</t>
        </is>
      </c>
      <c r="D5992" t="inlineStr">
        <is>
          <t>Klein Tools 6846INS Insulated Screwdriver, 1000V #2 Square Tip Screwdriver with 6-Inch Shank, Tip-Ident, Cushion-Grip Handle</t>
        </is>
      </c>
      <c r="E5992" s="2">
        <f>HYPERLINK("https://www.amazon.com/Klein-Tools-6846INS-Screwdriver-Cushion-Grip/dp/B0BF7X96QK/ref=sr_1_6?keywords=Klein+Tools+6826INS+Insulated+Screwdriver%2C+1%2F4-Inch+Cabinet+Tip%2C+6-Inch+Shank&amp;qid=1694735104&amp;sr=8-6", "https://www.amazon.com/Klein-Tools-6846INS-Screwdriver-Cushion-Grip/dp/B0BF7X96QK/ref=sr_1_6?keywords=Klein+Tools+6826INS+Insulated+Screwdriver%2C+1%2F4-Inch+Cabinet+Tip%2C+6-Inch+Shank&amp;qid=1694735104&amp;sr=8-6")</f>
        <v/>
      </c>
      <c r="F5992" t="inlineStr">
        <is>
          <t>B0BF7X96QK</t>
        </is>
      </c>
      <c r="G5992">
        <f>_xludf.IMAGE("https://edmondsonsupply.com/cdn/shop/products/6826ins.jpg?v=1664814069")</f>
        <v/>
      </c>
      <c r="H5992">
        <f>_xludf.IMAGE("https://m.media-amazon.com/images/I/31EOUkZ6n3L._AC_UL320_.jpg")</f>
        <v/>
      </c>
      <c r="K5992" t="inlineStr">
        <is>
          <t>11.97</t>
        </is>
      </c>
      <c r="L5992" t="n">
        <v>11.97</v>
      </c>
      <c r="M5992" s="1" t="inlineStr">
        <is>
          <t>0.00%</t>
        </is>
      </c>
      <c r="N5992" s="1" t="n"/>
      <c r="O5992" t="n">
        <v>4.7</v>
      </c>
      <c r="P5992" t="n">
        <v>201</v>
      </c>
      <c r="R5992" t="inlineStr">
        <is>
          <t>InStock</t>
        </is>
      </c>
      <c r="S5992" t="inlineStr">
        <is>
          <t>17.98</t>
        </is>
      </c>
      <c r="T5992" t="inlineStr">
        <is>
          <t>7837707698392</t>
        </is>
      </c>
    </row>
    <row r="5993" hidden="1" ht="15.75" customHeight="1">
      <c r="A5993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5993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5993" t="inlineStr">
        <is>
          <t>Klein Tools 6826INS Insulated Screwdriver, 1/4-Inch Cabinet Tip, 6-Inch Shank</t>
        </is>
      </c>
      <c r="D5993" t="inlineStr">
        <is>
          <t>Klein Tools 6826INS Insulated Screwdriver, 1000V 1/4-Inch Cabinet Tip Screwdriver with 6-Inch Shank, Tip-Ident, Cushion-Grip Handle</t>
        </is>
      </c>
      <c r="E5993" s="2">
        <f>HYPERLINK("https://www.amazon.com/Klein-Tools-6826INS-Screwdriver-Cushion-Grip/dp/B0BF79W49J/ref=sr_1_1?keywords=Klein+Tools+6826INS+Insulated+Screwdriver%2C+1%2F4-Inch+Cabinet+Tip%2C+6-Inch+Shank&amp;qid=1694735104&amp;sr=8-1", "https://www.amazon.com/Klein-Tools-6826INS-Screwdriver-Cushion-Grip/dp/B0BF79W49J/ref=sr_1_1?keywords=Klein+Tools+6826INS+Insulated+Screwdriver%2C+1%2F4-Inch+Cabinet+Tip%2C+6-Inch+Shank&amp;qid=1694735104&amp;sr=8-1")</f>
        <v/>
      </c>
      <c r="F5993" t="inlineStr">
        <is>
          <t>B0BF79W49J</t>
        </is>
      </c>
      <c r="G5993">
        <f>_xludf.IMAGE("https://edmondsonsupply.com/cdn/shop/products/6826ins.jpg?v=1664814069")</f>
        <v/>
      </c>
      <c r="H5993">
        <f>_xludf.IMAGE("https://m.media-amazon.com/images/I/41dJ6lRyHyL._AC_UL320_.jpg")</f>
        <v/>
      </c>
      <c r="K5993" t="inlineStr">
        <is>
          <t>11.97</t>
        </is>
      </c>
      <c r="L5993" t="n">
        <v>11.97</v>
      </c>
      <c r="M5993" s="1" t="inlineStr">
        <is>
          <t>0.00%</t>
        </is>
      </c>
      <c r="N5993" s="1" t="n"/>
      <c r="O5993" t="n">
        <v>4.9</v>
      </c>
      <c r="P5993" t="n">
        <v>9</v>
      </c>
      <c r="R5993" t="inlineStr">
        <is>
          <t>InStock</t>
        </is>
      </c>
      <c r="S5993" t="inlineStr">
        <is>
          <t>17.98</t>
        </is>
      </c>
      <c r="T5993" t="inlineStr">
        <is>
          <t>7837707698392</t>
        </is>
      </c>
    </row>
    <row r="5994" hidden="1" ht="15.75" customHeight="1">
      <c r="A5994" s="2">
        <f>HYPERLINK("https://edmondsonsupply.com/collections/electricians-tools/products/tajima-vr-102b-one-piece-retractable-utility-knife", "https://edmondsonsupply.com/collections/electricians-tools/products/tajima-vr-102b-one-piece-retractable-utility-knife")</f>
        <v/>
      </c>
      <c r="B5994" s="2">
        <f>HYPERLINK("https://edmondsonsupply.com/products/tajima-vr-102b-one-piece-retractable-utility-knife", "https://edmondsonsupply.com/products/tajima-vr-102b-one-piece-retractable-utility-knife")</f>
        <v/>
      </c>
      <c r="C5994" t="inlineStr">
        <is>
          <t>Tajima VR-102B One-Piece Retractable Utility Knife</t>
        </is>
      </c>
      <c r="D5994" t="inlineStr">
        <is>
          <t>TAJIMA Utility Knife - VR-Series Box Cutter with Retractable Blade &amp; 3 V-REX Blades - VR-102B</t>
        </is>
      </c>
      <c r="E5994" s="2">
        <f>HYPERLINK("https://www.amazon.com/Tajima-VR102-Retractable-Premium-Utility/dp/B003O684PU/ref=sr_1_1?keywords=Tajima+VR-102B+One-Piece+Retractable+Utility+Knife&amp;qid=1694735140&amp;sr=8-1", "https://www.amazon.com/Tajima-VR102-Retractable-Premium-Utility/dp/B003O684PU/ref=sr_1_1?keywords=Tajima+VR-102B+One-Piece+Retractable+Utility+Knife&amp;qid=1694735140&amp;sr=8-1")</f>
        <v/>
      </c>
      <c r="F5994" t="inlineStr">
        <is>
          <t>B003O684PU</t>
        </is>
      </c>
      <c r="G5994">
        <f>_xludf.IMAGE("https://edmondsonsupply.com/cdn/shop/products/VR-102B.jpg?v=1657746954")</f>
        <v/>
      </c>
      <c r="H5994">
        <f>_xludf.IMAGE("https://m.media-amazon.com/images/I/71HCO5YquHL._AC_UL320_.jpg")</f>
        <v/>
      </c>
      <c r="K5994" t="inlineStr">
        <is>
          <t>25.27</t>
        </is>
      </c>
      <c r="L5994" t="n">
        <v>25.27</v>
      </c>
      <c r="M5994" s="1" t="inlineStr">
        <is>
          <t>0.00%</t>
        </is>
      </c>
      <c r="N5994" s="1" t="n"/>
      <c r="O5994" t="n">
        <v>3.9</v>
      </c>
      <c r="P5994" t="n">
        <v>207</v>
      </c>
      <c r="R5994" t="inlineStr">
        <is>
          <t>InStock</t>
        </is>
      </c>
      <c r="S5994" t="inlineStr">
        <is>
          <t>26.59</t>
        </is>
      </c>
      <c r="T5994" t="inlineStr">
        <is>
          <t>7745552974040</t>
        </is>
      </c>
    </row>
    <row r="5995" ht="87" customHeight="1">
      <c r="A5995" s="2">
        <f>HYPERLINK("https://edmondsonsupply.com/collections/electricians-tools/products/klein-tools-9125-tape-measure-25-foot-single-hook", "https://edmondsonsupply.com/collections/electricians-tools/products/klein-tools-9125-tape-measure-25-foot-single-hook")</f>
        <v/>
      </c>
      <c r="B5995" s="2">
        <f>HYPERLINK("https://edmondsonsupply.com/products/klein-tools-9125-tape-measure-25-foot-single-hook", "https://edmondsonsupply.com/products/klein-tools-9125-tape-measure-25-foot-single-hook")</f>
        <v/>
      </c>
      <c r="C5995" t="inlineStr">
        <is>
          <t>Klein Tools 9125 Tape Measure, 25-Foot Single-Hook</t>
        </is>
      </c>
      <c r="D5995" t="inlineStr">
        <is>
          <t>Klein Tools 9125 Tape Measure, Heavy-Duty Measuring Tape with 25-Foot Single-Hook Nylon Reinforced Blade, With Metal Belt Clip</t>
        </is>
      </c>
      <c r="E5995" s="2">
        <f>HYPERLINK("https://www.amazon.com/Klein-Tools-Measure-25-Foot-Single-Hook/dp/B07WHFFY72/ref=sr_1_1?keywords=Klein+Tools+9125+Tape+Measure%2C+25-Foot+Single-Hook&amp;qid=1694735140&amp;sr=8-1", "https://www.amazon.com/Klein-Tools-Measure-25-Foot-Single-Hook/dp/B07WHFFY72/ref=sr_1_1?keywords=Klein+Tools+9125+Tape+Measure%2C+25-Foot+Single-Hook&amp;qid=1694735140&amp;sr=8-1")</f>
        <v/>
      </c>
      <c r="F5995" t="inlineStr">
        <is>
          <t>B07WHFFY72</t>
        </is>
      </c>
      <c r="G5995">
        <f>_xlfn.IMAGE("https://edmondsonsupply.com/cdn/shop/products/9125.jpg?v=1587148575")</f>
        <v/>
      </c>
      <c r="H5995">
        <f>_xlfn.IMAGE("https://m.media-amazon.com/images/I/511koRoby5L._AC_UL320_.jpg")</f>
        <v/>
      </c>
      <c r="K5995" t="inlineStr">
        <is>
          <t>19.99</t>
        </is>
      </c>
      <c r="L5995" t="n">
        <v>19.99</v>
      </c>
      <c r="M5995" s="1" t="inlineStr">
        <is>
          <t>0.00%</t>
        </is>
      </c>
      <c r="N5995" s="7" t="n"/>
      <c r="O5995" t="n">
        <v>4.4</v>
      </c>
      <c r="P5995" t="n">
        <v>245</v>
      </c>
      <c r="R5995" t="inlineStr">
        <is>
          <t>InStock</t>
        </is>
      </c>
      <c r="S5995" t="inlineStr">
        <is>
          <t>27.98</t>
        </is>
      </c>
      <c r="T5995" t="inlineStr">
        <is>
          <t>4163406430308</t>
        </is>
      </c>
    </row>
    <row r="5996" hidden="1" ht="15.75" customHeight="1">
      <c r="A5996" s="2">
        <f>HYPERLINK("https://edmondsonsupply.com/collections/electricians-tools/products/channellock-526", "https://edmondsonsupply.com/collections/electricians-tools/products/channellock-526")</f>
        <v/>
      </c>
      <c r="B5996" s="2">
        <f>HYPERLINK("https://edmondsonsupply.com/products/channellock-526", "https://edmondsonsupply.com/products/channellock-526")</f>
        <v/>
      </c>
      <c r="C5996" t="inlineStr">
        <is>
          <t>Channellock 526 6.5" Slip Joint Pliers</t>
        </is>
      </c>
      <c r="D5996" t="inlineStr">
        <is>
          <t>Channellock 526 6-Inch Slip Joint Pliers | Utility Plier with Wire Cutter | Serrated Jaw Forged from High Carbon Steel for Maximum Grip on Materials | Specially Coated for Rust Prevention| Made in USA</t>
        </is>
      </c>
      <c r="E5996" s="2">
        <f>HYPERLINK("https://www.amazon.com/Channellock-526-6-5-Inch-Joint-Plier/dp/B00004SBD9/ref=sr_1_3?keywords=Channellock+526+6.5%22+Slip+Joint+Pliers&amp;qid=1694735305&amp;sr=8-3", "https://www.amazon.com/Channellock-526-6-5-Inch-Joint-Plier/dp/B00004SBD9/ref=sr_1_3?keywords=Channellock+526+6.5%22+Slip+Joint+Pliers&amp;qid=1694735305&amp;sr=8-3")</f>
        <v/>
      </c>
      <c r="F5996" t="inlineStr">
        <is>
          <t>B00004SBD9</t>
        </is>
      </c>
      <c r="G5996">
        <f>_xludf.IMAGE("https://edmondsonsupply.com/cdn/shop/products/526-683x1024.jpg?v=1633030323")</f>
        <v/>
      </c>
      <c r="H5996">
        <f>_xludf.IMAGE("https://m.media-amazon.com/images/I/61tZS5egwRL._AC_UL320_.jpg")</f>
        <v/>
      </c>
      <c r="K5996" t="inlineStr">
        <is>
          <t>11.95</t>
        </is>
      </c>
      <c r="L5996" t="n">
        <v>11.95</v>
      </c>
      <c r="M5996" s="1" t="inlineStr">
        <is>
          <t>0.00%</t>
        </is>
      </c>
      <c r="N5996" s="1" t="n"/>
      <c r="O5996" t="n">
        <v>4.7</v>
      </c>
      <c r="P5996" t="n">
        <v>2651</v>
      </c>
      <c r="R5996" t="inlineStr">
        <is>
          <t>InStock</t>
        </is>
      </c>
      <c r="S5996" t="inlineStr">
        <is>
          <t>17.04</t>
        </is>
      </c>
      <c r="T5996" t="inlineStr">
        <is>
          <t>5245864509608</t>
        </is>
      </c>
    </row>
    <row r="5997" ht="87" customHeight="1">
      <c r="A5997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5997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5997" t="inlineStr">
        <is>
          <t>Klein Tools CL320KIT HVAC Digital Clamp Meter Electrical Test Kit</t>
        </is>
      </c>
      <c r="D5997" t="inlineStr">
        <is>
          <t>Klein Tools CL320KIT HVAC Kit for HVAC Testing; Digital Clamp Meter, Non-Contact Voltage Tester, and Infrared/Probe Thermometer</t>
        </is>
      </c>
      <c r="E5997" s="2">
        <f>HYPERLINK("https://www.amazon.com/Klein-Tools-CL320KIT-Non-Contact-Thermometer/dp/B08ZJSN5X3/ref=sr_1_1?keywords=Klein+Tools+CL320KIT+HVAC+Digital+Clamp+Meter+Electrical+Test+Kit&amp;qid=1694735135&amp;sr=8-1", "https://www.amazon.com/Klein-Tools-CL320KIT-Non-Contact-Thermometer/dp/B08ZJSN5X3/ref=sr_1_1?keywords=Klein+Tools+CL320KIT+HVAC+Digital+Clamp+Meter+Electrical+Test+Kit&amp;qid=1694735135&amp;sr=8-1")</f>
        <v/>
      </c>
      <c r="F5997" t="inlineStr">
        <is>
          <t>B08ZJSN5X3</t>
        </is>
      </c>
      <c r="G5997">
        <f>_xlfn.IMAGE("https://edmondsonsupply.com/cdn/shop/products/cl320kit_photo.jpg?v=1660753251")</f>
        <v/>
      </c>
      <c r="H5997">
        <f>_xlfn.IMAGE("https://m.media-amazon.com/images/I/61JFrOx-zjL._AC_UY218_.jpg")</f>
        <v/>
      </c>
      <c r="K5997" t="inlineStr">
        <is>
          <t>118.99</t>
        </is>
      </c>
      <c r="L5997" t="n">
        <v>118.99</v>
      </c>
      <c r="M5997" s="1" t="inlineStr">
        <is>
          <t>0.00%</t>
        </is>
      </c>
      <c r="N5997" s="7" t="n"/>
      <c r="O5997" t="n">
        <v>4.8</v>
      </c>
      <c r="P5997" t="n">
        <v>986</v>
      </c>
      <c r="R5997" t="inlineStr">
        <is>
          <t>InStock</t>
        </is>
      </c>
      <c r="S5997" t="inlineStr">
        <is>
          <t>170.54</t>
        </is>
      </c>
      <c r="T5997" t="inlineStr">
        <is>
          <t>7783540949208</t>
        </is>
      </c>
    </row>
    <row r="5998" ht="87" customHeight="1">
      <c r="A5998" s="2">
        <f>HYPERLINK("https://edmondsonsupply.com/collections/electricians-tools/products/klein-tools-63711-open-jaw-ratcheting-cable-cutter", "https://edmondsonsupply.com/collections/electricians-tools/products/klein-tools-63711-open-jaw-ratcheting-cable-cutter")</f>
        <v/>
      </c>
      <c r="B5998" s="2">
        <f>HYPERLINK("https://edmondsonsupply.com/products/klein-tools-63711-open-jaw-ratcheting-cable-cutter", "https://edmondsonsupply.com/products/klein-tools-63711-open-jaw-ratcheting-cable-cutter")</f>
        <v/>
      </c>
      <c r="C5998" t="inlineStr">
        <is>
          <t>Klein Tools 63711 Open Jaw Ratcheting Cable Cutter</t>
        </is>
      </c>
      <c r="D5998" t="inlineStr">
        <is>
          <t>Klein Tools 63711 Wire Cable Cutter with Open Front Loading Jaws Cuts 600 MCM Copper, 750 MCM Aluminum</t>
        </is>
      </c>
      <c r="E5998" s="2">
        <f>HYPERLINK("https://www.amazon.com/Cutter-Loading-Aluminum-Klein-Tools/dp/B00GI5GZ8M/ref=sr_1_1?keywords=Klein+Tools+63711+Open+Jaw+Ratcheting+Cable+Cutter&amp;qid=1694735115&amp;sr=8-1", "https://www.amazon.com/Cutter-Loading-Aluminum-Klein-Tools/dp/B00GI5GZ8M/ref=sr_1_1?keywords=Klein+Tools+63711+Open+Jaw+Ratcheting+Cable+Cutter&amp;qid=1694735115&amp;sr=8-1")</f>
        <v/>
      </c>
      <c r="F5998" t="inlineStr">
        <is>
          <t>B00GI5GZ8M</t>
        </is>
      </c>
      <c r="G5998">
        <f>_xlfn.IMAGE("https://edmondsonsupply.com/cdn/shop/products/63711.jpg?v=1664130144")</f>
        <v/>
      </c>
      <c r="H5998">
        <f>_xlfn.IMAGE("https://m.media-amazon.com/images/I/51wteTWu6NL._AC_UL320_.jpg")</f>
        <v/>
      </c>
      <c r="K5998" t="inlineStr">
        <is>
          <t>272.69</t>
        </is>
      </c>
      <c r="L5998" t="n">
        <v>272.69</v>
      </c>
      <c r="M5998" s="1" t="inlineStr">
        <is>
          <t>0.00%</t>
        </is>
      </c>
      <c r="N5998" s="7" t="n"/>
      <c r="O5998" t="n">
        <v>4.6</v>
      </c>
      <c r="P5998" t="n">
        <v>342</v>
      </c>
      <c r="R5998" t="inlineStr">
        <is>
          <t>InStock</t>
        </is>
      </c>
      <c r="S5998" t="inlineStr">
        <is>
          <t>474.24</t>
        </is>
      </c>
      <c r="T5998" t="inlineStr">
        <is>
          <t>7829533884632</t>
        </is>
      </c>
    </row>
    <row r="5999" ht="87" customHeight="1">
      <c r="A5999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5999" s="2">
        <f>HYPERLINK("https://edmondsonsupply.com/products/klein-tools-51609-3-4-inch-iron-conduit-bender-head", "https://edmondsonsupply.com/products/klein-tools-51609-3-4-inch-iron-conduit-bender-head")</f>
        <v/>
      </c>
      <c r="C5999" t="inlineStr">
        <is>
          <t>Klein Tools 51609 3/4-Inch Iron Conduit Bender Head</t>
        </is>
      </c>
      <c r="D5999" t="inlineStr">
        <is>
          <t>Klein Tools 51603 Iron Conduit Bender Full Assembly, 1/2-Inch EMT, Wide Foot Pedal, Benchmark Symbols and Angle Setter</t>
        </is>
      </c>
      <c r="E5999" s="2">
        <f>HYPERLINK("https://www.amazon.com/Klein-Tools-51603-Conduit-Features/dp/B08W6GJTHW/ref=sr_1_10?keywords=Klein+Tools+51609+3%2F4-Inch+Iron+Conduit+Bender+Head&amp;qid=1694735132&amp;sr=8-10", "https://www.amazon.com/Klein-Tools-51603-Conduit-Features/dp/B08W6GJTHW/ref=sr_1_10?keywords=Klein+Tools+51609+3%2F4-Inch+Iron+Conduit+Bender+Head&amp;qid=1694735132&amp;sr=8-10")</f>
        <v/>
      </c>
      <c r="F5999" t="inlineStr">
        <is>
          <t>B08W6GJTHW</t>
        </is>
      </c>
      <c r="G5999">
        <f>_xlfn.IMAGE("https://edmondsonsupply.com/cdn/shop/products/51609.jpg?v=1661867147")</f>
        <v/>
      </c>
      <c r="H5999">
        <f>_xlfn.IMAGE("https://m.media-amazon.com/images/I/31lf3y-9bSL._AC_UL320_.jpg")</f>
        <v/>
      </c>
      <c r="K5999" t="inlineStr">
        <is>
          <t>59.99</t>
        </is>
      </c>
      <c r="L5999" t="n">
        <v>59.99</v>
      </c>
      <c r="M5999" s="1" t="inlineStr">
        <is>
          <t>0.00%</t>
        </is>
      </c>
      <c r="N5999" s="7" t="n"/>
      <c r="O5999" t="n">
        <v>4.9</v>
      </c>
      <c r="P5999" t="n">
        <v>31</v>
      </c>
      <c r="R5999" t="inlineStr">
        <is>
          <t>InStock</t>
        </is>
      </c>
      <c r="S5999" t="inlineStr">
        <is>
          <t>90.22</t>
        </is>
      </c>
      <c r="T5999" t="inlineStr">
        <is>
          <t>7797415837912</t>
        </is>
      </c>
    </row>
    <row r="6000" ht="87" customHeight="1">
      <c r="A6000" s="2">
        <f>HYPERLINK("https://edmondsonsupply.com/collections/electricians-tools/products/klein-tools-ti222-thermal-imager-for-ios-devices", "https://edmondsonsupply.com/collections/electricians-tools/products/klein-tools-ti222-thermal-imager-for-ios-devices")</f>
        <v/>
      </c>
      <c r="B6000" s="2">
        <f>HYPERLINK("https://edmondsonsupply.com/products/klein-tools-ti222-thermal-imager-for-ios-devices", "https://edmondsonsupply.com/products/klein-tools-ti222-thermal-imager-for-ios-devices")</f>
        <v/>
      </c>
      <c r="C6000" t="inlineStr">
        <is>
          <t>Klein Tools TI222 Thermal Imager for iOS Devices</t>
        </is>
      </c>
      <c r="D6000" t="inlineStr">
        <is>
          <t>Klein Tools TI222 Thermal Imager for iOS Devices, Thermal Imaging Camera, 10,800 Pixels, Three Color Palettes, High/Low Temperatures</t>
        </is>
      </c>
      <c r="E6000" s="2">
        <f>HYPERLINK("https://www.amazon.com/Klein-Tools-TI222-Thermal-Imager-Temperatures/dp/B0B4PXYRS1/ref=sr_1_1?keywords=Klein+Tools+TI222+Thermal+Imager+for+iOS+Devices&amp;qid=1694735124&amp;sr=8-1", "https://www.amazon.com/Klein-Tools-TI222-Thermal-Imager-Temperatures/dp/B0B4PXYRS1/ref=sr_1_1?keywords=Klein+Tools+TI222+Thermal+Imager+for+iOS+Devices&amp;qid=1694735124&amp;sr=8-1")</f>
        <v/>
      </c>
      <c r="F6000" t="inlineStr">
        <is>
          <t>B0B4PXYRS1</t>
        </is>
      </c>
      <c r="G6000">
        <f>_xlfn.IMAGE("https://edmondsonsupply.com/cdn/shop/products/ti222.jpg?v=1663593119")</f>
        <v/>
      </c>
      <c r="H6000">
        <f>_xlfn.IMAGE("https://m.media-amazon.com/images/I/5136eVKO+tL._AC_UY218_.jpg")</f>
        <v/>
      </c>
      <c r="K6000" t="inlineStr">
        <is>
          <t>249.99</t>
        </is>
      </c>
      <c r="L6000" t="n">
        <v>249.99</v>
      </c>
      <c r="M6000" s="1" t="inlineStr">
        <is>
          <t>0.00%</t>
        </is>
      </c>
      <c r="N6000" s="7" t="n"/>
      <c r="O6000" t="n">
        <v>4.5</v>
      </c>
      <c r="P6000" t="n">
        <v>91</v>
      </c>
      <c r="R6000" t="inlineStr">
        <is>
          <t>InStock</t>
        </is>
      </c>
      <c r="S6000" t="inlineStr">
        <is>
          <t>369.98</t>
        </is>
      </c>
      <c r="T6000" t="inlineStr">
        <is>
          <t>7817753133272</t>
        </is>
      </c>
    </row>
    <row r="6001" hidden="1" ht="15.75" customHeight="1">
      <c r="A6001" s="2">
        <f>HYPERLINK("https://edmondsonsupply.com/collections/electricians-tools/products/klein-tools-et310trans-replacement-transmitter-for-et310", "https://edmondsonsupply.com/collections/electricians-tools/products/klein-tools-et310trans-replacement-transmitter-for-et310")</f>
        <v/>
      </c>
      <c r="B6001" s="2">
        <f>HYPERLINK("https://edmondsonsupply.com/products/klein-tools-et310trans-replacement-transmitter-for-et310", "https://edmondsonsupply.com/products/klein-tools-et310trans-replacement-transmitter-for-et310")</f>
        <v/>
      </c>
      <c r="C6001" t="inlineStr">
        <is>
          <t>Klein Tools ET310TRANS Replacement Transmitter for ET310</t>
        </is>
      </c>
      <c r="D6001" t="inlineStr">
        <is>
          <t>Klein Tools ET310TRANS ET310 Circuit Breaker Finder Replacement Transmitter, Digital Circuit Breaker Finder, Integrated GFCI Outlet Tester</t>
        </is>
      </c>
      <c r="E6001" s="2">
        <f>HYPERLINK("https://www.amazon.com/Klein-Tools-ET310TRANS-Replacement-Transmitter/dp/B0B6PZ31KW/ref=sr_1_1?keywords=Klein+Tools+ET310TRANS+Replacement+Transmitter+for+ET310&amp;qid=1694735125&amp;sr=8-1", "https://www.amazon.com/Klein-Tools-ET310TRANS-Replacement-Transmitter/dp/B0B6PZ31KW/ref=sr_1_1?keywords=Klein+Tools+ET310TRANS+Replacement+Transmitter+for+ET310&amp;qid=1694735125&amp;sr=8-1")</f>
        <v/>
      </c>
      <c r="F6001" t="inlineStr">
        <is>
          <t>B0B6PZ31KW</t>
        </is>
      </c>
      <c r="G6001">
        <f>_xludf.IMAGE("https://edmondsonsupply.com/cdn/shop/products/et310trans.jpg?v=1663678062")</f>
        <v/>
      </c>
      <c r="H6001">
        <f>_xludf.IMAGE("https://m.media-amazon.com/images/I/41ZLBVj0ZYL._AC_UL320_.jpg")</f>
        <v/>
      </c>
      <c r="K6001" t="inlineStr">
        <is>
          <t>12.99</t>
        </is>
      </c>
      <c r="L6001" t="n">
        <v>12.99</v>
      </c>
      <c r="M6001" s="1" t="inlineStr">
        <is>
          <t>0.00%</t>
        </is>
      </c>
      <c r="N6001" s="1" t="n"/>
      <c r="O6001" t="n">
        <v>4.7</v>
      </c>
      <c r="P6001" t="n">
        <v>28</v>
      </c>
      <c r="R6001" t="inlineStr">
        <is>
          <t>InStock</t>
        </is>
      </c>
      <c r="S6001" t="inlineStr">
        <is>
          <t>19.58</t>
        </is>
      </c>
      <c r="T6001" t="inlineStr">
        <is>
          <t>7823606907096</t>
        </is>
      </c>
    </row>
    <row r="6002" hidden="1" ht="15.75" customHeight="1">
      <c r="A6002" s="2">
        <f>HYPERLINK("https://edmondsonsupply.com/collections/electricians-tools/products/klein-tools-60486-cooling-pva-towel-high-visibility-yellow-2-pack", "https://edmondsonsupply.com/collections/electricians-tools/products/klein-tools-60486-cooling-pva-towel-high-visibility-yellow-2-pack")</f>
        <v/>
      </c>
      <c r="B6002" s="2">
        <f>HYPERLINK("https://edmondsonsupply.com/products/klein-tools-60486-cooling-pva-towel-high-visibility-yellow-2-pack", "https://edmondsonsupply.com/products/klein-tools-60486-cooling-pva-towel-high-visibility-yellow-2-pack")</f>
        <v/>
      </c>
      <c r="C6002" t="inlineStr">
        <is>
          <t>Klein Tools 60486 Cooling PVA Towel, High-Visibility Yellow, 2-Pack</t>
        </is>
      </c>
      <c r="D6002" t="inlineStr">
        <is>
          <t>Klein Tools 60486 Cooling Towel with Evaporative PVA Technology, Comes in Resealable Bag with Convenient Carabiner Clip, Yellow, 2-Pack</t>
        </is>
      </c>
      <c r="E6002" s="2">
        <f>HYPERLINK("https://www.amazon.com/Klein-Tools-60486-Evaporative-Technology/dp/B092XBY412/ref=sr_1_13?keywords=Klein+Tools+60486+Cooling+PVA+Towel%2C+High-Visibility+Yellow%2C+2-Pack&amp;qid=1694735124&amp;sr=8-13", "https://www.amazon.com/Klein-Tools-60486-Evaporative-Technology/dp/B092XBY412/ref=sr_1_13?keywords=Klein+Tools+60486+Cooling+PVA+Towel%2C+High-Visibility+Yellow%2C+2-Pack&amp;qid=1694735124&amp;sr=8-13")</f>
        <v/>
      </c>
      <c r="F6002" t="inlineStr">
        <is>
          <t>B092XBY412</t>
        </is>
      </c>
      <c r="G6002">
        <f>_xludf.IMAGE("https://edmondsonsupply.com/cdn/shop/products/60486_b.jpg?v=1663690931")</f>
        <v/>
      </c>
      <c r="H6002">
        <f>_xludf.IMAGE("https://m.media-amazon.com/images/I/51IdxJPDWlL._AC_UL320_.jpg")</f>
        <v/>
      </c>
      <c r="K6002" t="inlineStr">
        <is>
          <t>9.99</t>
        </is>
      </c>
      <c r="L6002" t="n">
        <v>9.99</v>
      </c>
      <c r="M6002" s="1" t="inlineStr">
        <is>
          <t>0.00%</t>
        </is>
      </c>
      <c r="N6002" s="1" t="n"/>
      <c r="O6002" t="n">
        <v>4.8</v>
      </c>
      <c r="P6002" t="n">
        <v>13</v>
      </c>
      <c r="R6002" t="inlineStr">
        <is>
          <t>InStock</t>
        </is>
      </c>
      <c r="S6002" t="inlineStr">
        <is>
          <t>14.0</t>
        </is>
      </c>
      <c r="T6002" t="inlineStr">
        <is>
          <t>7823734407384</t>
        </is>
      </c>
    </row>
    <row r="6003" ht="87" customHeight="1">
      <c r="A6003" s="2">
        <f>HYPERLINK("https://edmondsonsupply.com/collections/electricians-tools/products/klein-tools-11055glw-high-visibility-klein-kurve%C2%AE-wire-stripper-cutter", "https://edmondsonsupply.com/collections/electricians-tools/products/klein-tools-11055glw-high-visibility-klein-kurve%C2%AE-wire-stripper-cutter")</f>
        <v/>
      </c>
      <c r="B6003" s="2">
        <f>HYPERLINK("https://edmondsonsupply.com/products/klein-tools-11055glw-high-visibility-klein-kurve%c2%ae-wire-stripper-cutter", "https://edmondsonsupply.com/products/klein-tools-11055glw-high-visibility-klein-kurve%c2%ae-wire-stripper-cutter")</f>
        <v/>
      </c>
      <c r="C6003" t="inlineStr">
        <is>
          <t>Klein Tools 11055GLW High-Visibility Klein-Kurve® Wire Stripper / Cutter</t>
        </is>
      </c>
      <c r="D6003" t="inlineStr">
        <is>
          <t>Klein Tools 11055GLW Wire Stripper / Cutter, Klein-Kurve Stripper / Cutter, 10-18 AWG Solid, 12-20 AWG Stranded Wire, Glow in the Dark Grips</t>
        </is>
      </c>
      <c r="E6003" s="2">
        <f>HYPERLINK("https://www.amazon.com/Klein-Tools-11055GLW-Stripper-Klein-Kurve/dp/B09FVTWPQV/ref=sr_1_1?keywords=Klein+Tools+11055GLW+High-Visibility+Klein-Kurve%C2%AE+Wire+Stripper+%2F+Cutter&amp;qid=1694735109&amp;sr=8-1", "https://www.amazon.com/Klein-Tools-11055GLW-Stripper-Klein-Kurve/dp/B09FVTWPQV/ref=sr_1_1?keywords=Klein+Tools+11055GLW+High-Visibility+Klein-Kurve%C2%AE+Wire+Stripper+%2F+Cutter&amp;qid=1694735109&amp;sr=8-1")</f>
        <v/>
      </c>
      <c r="F6003" t="inlineStr">
        <is>
          <t>B09FVTWPQV</t>
        </is>
      </c>
      <c r="G6003">
        <f>_xlfn.IMAGE("https://edmondsonsupply.com/cdn/shop/products/11055glw.jpg?v=1664801193")</f>
        <v/>
      </c>
      <c r="H6003">
        <f>_xlfn.IMAGE("https://m.media-amazon.com/images/I/41qRg9375VL._AC_UL320_.jpg")</f>
        <v/>
      </c>
      <c r="K6003" t="inlineStr">
        <is>
          <t>26.99</t>
        </is>
      </c>
      <c r="L6003" t="n">
        <v>26.99</v>
      </c>
      <c r="M6003" s="1" t="inlineStr">
        <is>
          <t>0.00%</t>
        </is>
      </c>
      <c r="N6003" s="7" t="n"/>
      <c r="O6003" t="n">
        <v>4.8</v>
      </c>
      <c r="P6003" t="n">
        <v>7578</v>
      </c>
      <c r="R6003" t="inlineStr">
        <is>
          <t>InStock</t>
        </is>
      </c>
      <c r="S6003" t="inlineStr">
        <is>
          <t>39.3</t>
        </is>
      </c>
      <c r="T6003" t="inlineStr">
        <is>
          <t>7837508337880</t>
        </is>
      </c>
    </row>
    <row r="6004" ht="87" customHeight="1">
      <c r="A6004" s="2">
        <f>HYPERLINK("https://edmondsonsupply.com/collections/electricians-tools/products/klein-tools-51606", "https://edmondsonsupply.com/collections/electricians-tools/products/klein-tools-51606")</f>
        <v/>
      </c>
      <c r="B6004" s="2">
        <f>HYPERLINK("https://edmondsonsupply.com/products/klein-tools-51606", "https://edmondsonsupply.com/products/klein-tools-51606")</f>
        <v/>
      </c>
      <c r="C6004" t="inlineStr">
        <is>
          <t>Klein Tools 51606 Aluminum Conduit Bender Full Assembly, 1/2-Inch EMT with Angle Setter™</t>
        </is>
      </c>
      <c r="D6004" t="inlineStr">
        <is>
          <t>Klein Tools 51606 Aluminum Conduit Bender Full Assembly, 1/2-Inch EMT, Wide Food Pedal, Benchmark Symbols and Angle Setter</t>
        </is>
      </c>
      <c r="E6004" s="2">
        <f>HYPERLINK("https://www.amazon.com/Aluminum-Benchmark-Technology-Klein-Tools/dp/B08L41DC9N/ref=sr_1_1?keywords=Klein+Tools+51606+Aluminum+Conduit+Bender+Full+Assembly%2C+1%2F2-Inch+EMT+with+Angle+Setter%E2%84%A2&amp;qid=1694735120&amp;sr=8-1", "https://www.amazon.com/Aluminum-Benchmark-Technology-Klein-Tools/dp/B08L41DC9N/ref=sr_1_1?keywords=Klein+Tools+51606+Aluminum+Conduit+Bender+Full+Assembly%2C+1%2F2-Inch+EMT+with+Angle+Setter%E2%84%A2&amp;qid=1694735120&amp;sr=8-1")</f>
        <v/>
      </c>
      <c r="F6004" t="inlineStr">
        <is>
          <t>B08L41DC9N</t>
        </is>
      </c>
      <c r="G6004">
        <f>_xlfn.IMAGE("https://edmondsonsupply.com/cdn/shop/products/51606.jpg?v=1663942126")</f>
        <v/>
      </c>
      <c r="H6004">
        <f>_xlfn.IMAGE("https://m.media-amazon.com/images/I/41JBDxEE8NL._AC_UL320_.jpg")</f>
        <v/>
      </c>
      <c r="K6004" t="inlineStr">
        <is>
          <t>39.97</t>
        </is>
      </c>
      <c r="L6004" t="n">
        <v>39.97</v>
      </c>
      <c r="M6004" s="1" t="inlineStr">
        <is>
          <t>0.00%</t>
        </is>
      </c>
      <c r="N6004" s="7" t="n"/>
      <c r="O6004" t="n">
        <v>4.8</v>
      </c>
      <c r="P6004" t="n">
        <v>258</v>
      </c>
      <c r="R6004" t="inlineStr">
        <is>
          <t>InStock</t>
        </is>
      </c>
      <c r="S6004" t="inlineStr">
        <is>
          <t>55.98</t>
        </is>
      </c>
      <c r="T6004" t="inlineStr">
        <is>
          <t>7827248447704</t>
        </is>
      </c>
    </row>
    <row r="6005" ht="87" customHeight="1">
      <c r="A6005" s="2">
        <f>HYPERLINK("https://edmondsonsupply.com/collections/electricians-tools/products/klein-tools-50611-magnetic-wire-puller", "https://edmondsonsupply.com/collections/electricians-tools/products/klein-tools-50611-magnetic-wire-puller")</f>
        <v/>
      </c>
      <c r="B6005" s="2">
        <f>HYPERLINK("https://edmondsonsupply.com/products/klein-tools-50611-magnetic-wire-puller", "https://edmondsonsupply.com/products/klein-tools-50611-magnetic-wire-puller")</f>
        <v/>
      </c>
      <c r="C6005" t="inlineStr">
        <is>
          <t>Klein Tools 50611 Magnetic Wire Puller</t>
        </is>
      </c>
      <c r="D6005" t="inlineStr">
        <is>
          <t>Klein Tools 50611 Magnetic Wire Puller, Fishes and Pulls Wire Cable Behind Walls or Tight Spaces, Stainless-Steel Leader, Rare Earth Magnet</t>
        </is>
      </c>
      <c r="E6005" s="2">
        <f>HYPERLINK("https://www.amazon.com/Magnetic-Puller-Stainless-Steel-Klein-Tools/dp/B093J6Z5QT/ref=sr_1_1?keywords=Klein+Tools+50611+Magnetic+Wire+Puller&amp;qid=1694735124&amp;sr=8-1", "https://www.amazon.com/Magnetic-Puller-Stainless-Steel-Klein-Tools/dp/B093J6Z5QT/ref=sr_1_1?keywords=Klein+Tools+50611+Magnetic+Wire+Puller&amp;qid=1694735124&amp;sr=8-1")</f>
        <v/>
      </c>
      <c r="F6005" t="inlineStr">
        <is>
          <t>B093J6Z5QT</t>
        </is>
      </c>
      <c r="G6005">
        <f>_xlfn.IMAGE("https://edmondsonsupply.com/cdn/shop/products/50611.jpg?v=1663951524")</f>
        <v/>
      </c>
      <c r="H6005">
        <f>_xlfn.IMAGE("https://m.media-amazon.com/images/I/5165nncGD9S._AC_UL320_.jpg")</f>
        <v/>
      </c>
      <c r="K6005" t="inlineStr">
        <is>
          <t>69.97</t>
        </is>
      </c>
      <c r="L6005" t="n">
        <v>69.97</v>
      </c>
      <c r="M6005" s="1" t="inlineStr">
        <is>
          <t>0.00%</t>
        </is>
      </c>
      <c r="N6005" s="7" t="n"/>
      <c r="O6005" t="n">
        <v>4.6</v>
      </c>
      <c r="P6005" t="n">
        <v>497</v>
      </c>
      <c r="R6005" t="inlineStr">
        <is>
          <t>InStock</t>
        </is>
      </c>
      <c r="S6005" t="inlineStr">
        <is>
          <t>106.06</t>
        </is>
      </c>
      <c r="T6005" t="inlineStr">
        <is>
          <t>7827343999192</t>
        </is>
      </c>
    </row>
    <row r="6006" hidden="1" ht="15.75" customHeight="1">
      <c r="A6006" s="2">
        <f>HYPERLINK("https://edmondsonsupply.com/collections/electricians-tools/products/klein-tools-60487-cooling-headband-blue-2-pack", "https://edmondsonsupply.com/collections/electricians-tools/products/klein-tools-60487-cooling-headband-blue-2-pack")</f>
        <v/>
      </c>
      <c r="B6006" s="2">
        <f>HYPERLINK("https://edmondsonsupply.com/products/klein-tools-60487-cooling-headband-blue-2-pack", "https://edmondsonsupply.com/products/klein-tools-60487-cooling-headband-blue-2-pack")</f>
        <v/>
      </c>
      <c r="C6006" t="inlineStr">
        <is>
          <t>Klein Tools 60487 Cooling Headband, Blue, 2-Pack</t>
        </is>
      </c>
      <c r="D6006" t="inlineStr">
        <is>
          <t>Klein Tools 60487 Headband, Cooling Evaporative Sweatband, Reversible and Lightweight, Can be Worn under Hard Hat or Helmet, Blue, 2-Pack</t>
        </is>
      </c>
      <c r="E6006" s="2">
        <f>HYPERLINK("https://www.amazon.com/Klein-Tools-Evaporative-Lightweight-60487/dp/B092XCFFKH/ref=sr_1_1?keywords=Klein+Tools+60487+Cooling+Headband%2C+Blue%2C+2-Pack&amp;qid=1694735121&amp;sr=8-1", "https://www.amazon.com/Klein-Tools-Evaporative-Lightweight-60487/dp/B092XCFFKH/ref=sr_1_1?keywords=Klein+Tools+60487+Cooling+Headband%2C+Blue%2C+2-Pack&amp;qid=1694735121&amp;sr=8-1")</f>
        <v/>
      </c>
      <c r="F6006" t="inlineStr">
        <is>
          <t>B092XCFFKH</t>
        </is>
      </c>
      <c r="G6006">
        <f>_xludf.IMAGE("https://edmondsonsupply.com/cdn/shop/products/60487.jpg?v=1663691363")</f>
        <v/>
      </c>
      <c r="H6006">
        <f>_xludf.IMAGE("https://m.media-amazon.com/images/I/71+kqo8iJYS._AC_UL320_.jpg")</f>
        <v/>
      </c>
      <c r="K6006" t="inlineStr">
        <is>
          <t>9.99</t>
        </is>
      </c>
      <c r="L6006" t="n">
        <v>9.99</v>
      </c>
      <c r="M6006" s="1" t="inlineStr">
        <is>
          <t>0.00%</t>
        </is>
      </c>
      <c r="N6006" s="1" t="n"/>
      <c r="O6006" t="n">
        <v>4.4</v>
      </c>
      <c r="P6006" t="n">
        <v>203</v>
      </c>
      <c r="R6006" t="inlineStr">
        <is>
          <t>InStock</t>
        </is>
      </c>
      <c r="S6006" t="inlineStr">
        <is>
          <t>13.9</t>
        </is>
      </c>
      <c r="T6006" t="inlineStr">
        <is>
          <t>7823737749720</t>
        </is>
      </c>
    </row>
    <row r="6007" ht="87" customHeight="1">
      <c r="A6007" s="2">
        <f>HYPERLINK("https://edmondsonsupply.com/collections/electricians-tools/products/klein-tools-56411-rechargeable-waterproof-led-pocket-light-with-lanyard", "https://edmondsonsupply.com/collections/electricians-tools/products/klein-tools-56411-rechargeable-waterproof-led-pocket-light-with-lanyard")</f>
        <v/>
      </c>
      <c r="B6007" s="2">
        <f>HYPERLINK("https://edmondsonsupply.com/products/klein-tools-56411-rechargeable-waterproof-led-pocket-light-with-lanyard", "https://edmondsonsupply.com/products/klein-tools-56411-rechargeable-waterproof-led-pocket-light-with-lanyard")</f>
        <v/>
      </c>
      <c r="C6007" t="inlineStr">
        <is>
          <t>Klein Tools 56411 Rechargeable Waterproof LED Pocket Light with Lanyard</t>
        </is>
      </c>
      <c r="D6007" t="inlineStr">
        <is>
          <t>Klein Tools 56411 Rechargeable Pocket Flashlight, 275 Lumen, Dual-Direction Pocket Clip and Lanyard, IP67 Waterproof, 10-Foot Drop Rating</t>
        </is>
      </c>
      <c r="E6007" s="2">
        <f>HYPERLINK("https://www.amazon.com/Klein-Tools-56411-Rechargeable-Dual-Direction/dp/B0948329XF/ref=sr_1_1?keywords=Klein+Tools+56411+Rechargeable+Waterproof+LED+Pocket+Light+with+Lanyard&amp;qid=1694735121&amp;sr=8-1", "https://www.amazon.com/Klein-Tools-56411-Rechargeable-Dual-Direction/dp/B0948329XF/ref=sr_1_1?keywords=Klein+Tools+56411+Rechargeable+Waterproof+LED+Pocket+Light+with+Lanyard&amp;qid=1694735121&amp;sr=8-1")</f>
        <v/>
      </c>
      <c r="F6007" t="inlineStr">
        <is>
          <t>B0948329XF</t>
        </is>
      </c>
      <c r="G6007">
        <f>_xlfn.IMAGE("https://edmondsonsupply.com/cdn/shop/products/56411.jpg?v=1663952448")</f>
        <v/>
      </c>
      <c r="H6007">
        <f>_xlfn.IMAGE("https://m.media-amazon.com/images/I/51tftSPlJHS._AC_UL320_.jpg")</f>
        <v/>
      </c>
      <c r="K6007" t="inlineStr">
        <is>
          <t>29.97</t>
        </is>
      </c>
      <c r="L6007" t="n">
        <v>29.97</v>
      </c>
      <c r="M6007" s="1" t="inlineStr">
        <is>
          <t>0.00%</t>
        </is>
      </c>
      <c r="N6007" s="7" t="n"/>
      <c r="O6007" t="n">
        <v>4.3</v>
      </c>
      <c r="P6007" t="n">
        <v>94</v>
      </c>
      <c r="R6007" t="inlineStr">
        <is>
          <t>InStock</t>
        </is>
      </c>
      <c r="S6007" t="inlineStr">
        <is>
          <t>42.0</t>
        </is>
      </c>
      <c r="T6007" t="inlineStr">
        <is>
          <t>7827354779864</t>
        </is>
      </c>
    </row>
    <row r="6008" ht="87" customHeight="1">
      <c r="A6008" s="2">
        <f>HYPERLINK("https://edmondsonsupply.com/collections/electricians-tools/products/klein-tools-51607-aluminum-conduit-bender-full-assembly-3-4-inch-emt-with-angle-setter%E2%84%A2", "https://edmondsonsupply.com/collections/electricians-tools/products/klein-tools-51607-aluminum-conduit-bender-full-assembly-3-4-inch-emt-with-angle-setter%E2%84%A2")</f>
        <v/>
      </c>
      <c r="B6008" s="2">
        <f>HYPERLINK("https://edmondsonsupply.com/products/klein-tools-51607-aluminum-conduit-bender-full-assembly-3-4-inch-emt-with-angle-setter%e2%84%a2", "https://edmondsonsupply.com/products/klein-tools-51607-aluminum-conduit-bender-full-assembly-3-4-inch-emt-with-angle-setter%e2%84%a2")</f>
        <v/>
      </c>
      <c r="C6008" t="inlineStr">
        <is>
          <t>Klein Tools 51607 Aluminum Conduit Bender Full Assembly, 3/4-Inch EMT with Angle Setter™</t>
        </is>
      </c>
      <c r="D6008" t="inlineStr">
        <is>
          <t>Klein Tools 51607 Aluminum Conduit Bender Full Assembly, 3/4-Inch EMT, 1/2-Inch Rigid, Wide Foot Pedal, Benchmark Symbols and Angle Setter</t>
        </is>
      </c>
      <c r="E6008" s="2">
        <f>HYPERLINK("https://www.amazon.com/Aluminum-Benchmark-Technology-Klein-Tools/dp/B08L41G5G5/ref=sr_1_1?keywords=Klein+Tools+51607+Aluminum+Conduit+Bender+Full+Assembly%2C+3%2F4-Inch+EMT+with+Angle+Setter%E2%84%A2&amp;qid=1694735118&amp;sr=8-1", "https://www.amazon.com/Aluminum-Benchmark-Technology-Klein-Tools/dp/B08L41G5G5/ref=sr_1_1?keywords=Klein+Tools+51607+Aluminum+Conduit+Bender+Full+Assembly%2C+3%2F4-Inch+EMT+with+Angle+Setter%E2%84%A2&amp;qid=1694735118&amp;sr=8-1")</f>
        <v/>
      </c>
      <c r="F6008" t="inlineStr">
        <is>
          <t>B08L41G5G5</t>
        </is>
      </c>
      <c r="G6008">
        <f>_xlfn.IMAGE("https://edmondsonsupply.com/cdn/shop/products/51607.jpg?v=1663942654")</f>
        <v/>
      </c>
      <c r="H6008">
        <f>_xlfn.IMAGE("https://m.media-amazon.com/images/I/419ZjlOD69L._AC_UL320_.jpg")</f>
        <v/>
      </c>
      <c r="K6008" t="inlineStr">
        <is>
          <t>44.99</t>
        </is>
      </c>
      <c r="L6008" t="n">
        <v>44.99</v>
      </c>
      <c r="M6008" s="1" t="inlineStr">
        <is>
          <t>0.00%</t>
        </is>
      </c>
      <c r="N6008" s="7" t="n"/>
      <c r="O6008" t="n">
        <v>4.7</v>
      </c>
      <c r="P6008" t="n">
        <v>342</v>
      </c>
      <c r="R6008" t="inlineStr">
        <is>
          <t>InStock</t>
        </is>
      </c>
      <c r="S6008" t="inlineStr">
        <is>
          <t>63.0</t>
        </is>
      </c>
      <c r="T6008" t="inlineStr">
        <is>
          <t>7827252216024</t>
        </is>
      </c>
    </row>
    <row r="6009" hidden="1" ht="15.75" customHeight="1">
      <c r="A6009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6009" s="2">
        <f>HYPERLINK("https://edmondsonsupply.com/products/klein-tools-31948-bi-metal-hole-saw-3-inch", "https://edmondsonsupply.com/products/klein-tools-31948-bi-metal-hole-saw-3-inch")</f>
        <v/>
      </c>
      <c r="C6009" t="inlineStr">
        <is>
          <t>Klein Tools 31948 Bi-Metal Hole Saw, 3-Inch</t>
        </is>
      </c>
      <c r="D6009" t="inlineStr">
        <is>
          <t>Klein Tools 31534 Bi-Metal Hole Saw, 2-1/8-Inch</t>
        </is>
      </c>
      <c r="E6009" s="2">
        <f>HYPERLINK("https://www.amazon.com/Klein-Tools-31534-Bi-Metal-8-Inch/dp/B0009OIJFA/ref=sr_1_6?keywords=Klein+Tools+31948+Bi-Metal+Hole+Saw%2C+3-Inch&amp;qid=1694735118&amp;sr=8-6", "https://www.amazon.com/Klein-Tools-31534-Bi-Metal-8-Inch/dp/B0009OIJFA/ref=sr_1_6?keywords=Klein+Tools+31948+Bi-Metal+Hole+Saw%2C+3-Inch&amp;qid=1694735118&amp;sr=8-6")</f>
        <v/>
      </c>
      <c r="F6009" t="inlineStr">
        <is>
          <t>B0009OIJFA</t>
        </is>
      </c>
      <c r="G6009">
        <f>_xludf.IMAGE("https://edmondsonsupply.com/cdn/shop/products/31948.jpg?v=1663945105")</f>
        <v/>
      </c>
      <c r="H6009">
        <f>_xludf.IMAGE("https://m.media-amazon.com/images/I/31Wk-f8wwaL._AC_UL320_.jpg")</f>
        <v/>
      </c>
      <c r="K6009" t="inlineStr">
        <is>
          <t>14.99</t>
        </is>
      </c>
      <c r="L6009" t="n">
        <v>14.99</v>
      </c>
      <c r="M6009" s="1" t="inlineStr">
        <is>
          <t>0.00%</t>
        </is>
      </c>
      <c r="N6009" s="1" t="n"/>
      <c r="O6009" t="n">
        <v>5</v>
      </c>
      <c r="P6009" t="n">
        <v>5</v>
      </c>
      <c r="R6009" t="inlineStr">
        <is>
          <t>InStock</t>
        </is>
      </c>
      <c r="S6009" t="inlineStr">
        <is>
          <t>19.62</t>
        </is>
      </c>
      <c r="T6009" t="inlineStr">
        <is>
          <t>7827277185240</t>
        </is>
      </c>
    </row>
    <row r="6010" ht="87" customHeight="1">
      <c r="A6010" s="2">
        <f>HYPERLINK("https://edmondsonsupply.com/collections/electricians-tools/products/channellock-3017", "https://edmondsonsupply.com/collections/electricians-tools/products/channellock-3017")</f>
        <v/>
      </c>
      <c r="B6010" s="2">
        <f>HYPERLINK("https://edmondsonsupply.com/products/channellock-3017", "https://edmondsonsupply.com/products/channellock-3017")</f>
        <v/>
      </c>
      <c r="C6010" t="inlineStr">
        <is>
          <t>Channellock 3017 8-Inch Long Nose Pliers</t>
        </is>
      </c>
      <c r="D6010" t="inlineStr">
        <is>
          <t>Channellock 3017 8-Inch Long Nose Plier, Blue</t>
        </is>
      </c>
      <c r="E6010" s="2">
        <f>HYPERLINK("https://www.amazon.com/Channellock-3017-Long-Plier-8-Inch/dp/B000189FGQ/ref=sr_1_1?keywords=Channellock+3017+8-Inch+Long+Nose+Pliers&amp;qid=1694735304&amp;sr=8-1", "https://www.amazon.com/Channellock-3017-Long-Plier-8-Inch/dp/B000189FGQ/ref=sr_1_1?keywords=Channellock+3017+8-Inch+Long+Nose+Pliers&amp;qid=1694735304&amp;sr=8-1")</f>
        <v/>
      </c>
      <c r="F6010" t="inlineStr">
        <is>
          <t>B000189FGQ</t>
        </is>
      </c>
      <c r="G6010">
        <f>_xlfn.IMAGE("https://edmondsonsupply.com/cdn/shop/products/3017-683x1024.jpg?v=1633030322")</f>
        <v/>
      </c>
      <c r="H6010">
        <f>_xlfn.IMAGE("https://m.media-amazon.com/images/I/61fH3od8SVL._AC_UL320_.jpg")</f>
        <v/>
      </c>
      <c r="K6010" t="inlineStr">
        <is>
          <t>19.95</t>
        </is>
      </c>
      <c r="L6010" t="n">
        <v>19.95</v>
      </c>
      <c r="M6010" s="1" t="inlineStr">
        <is>
          <t>0.00%</t>
        </is>
      </c>
      <c r="N6010" s="7" t="n"/>
      <c r="O6010" t="n">
        <v>4.7</v>
      </c>
      <c r="P6010" t="n">
        <v>1174</v>
      </c>
      <c r="R6010" t="inlineStr">
        <is>
          <t>InStock</t>
        </is>
      </c>
      <c r="S6010" t="inlineStr">
        <is>
          <t>29.97</t>
        </is>
      </c>
      <c r="T6010" t="inlineStr">
        <is>
          <t>5245817159848</t>
        </is>
      </c>
    </row>
    <row r="6011" hidden="1" ht="15.75" customHeight="1">
      <c r="A6011" s="2">
        <f>HYPERLINK("https://edmondsonsupply.com/collections/electricians-tools/products/klein-tools-aeseb1-bluetooth%C2%AE-jobsite-earbuds", "https://edmondsonsupply.com/collections/electricians-tools/products/klein-tools-aeseb1-bluetooth%C2%AE-jobsite-earbuds")</f>
        <v/>
      </c>
      <c r="B6011" s="2">
        <f>HYPERLINK("https://edmondsonsupply.com/products/klein-tools-aeseb1-bluetooth%c2%ae-jobsite-earbuds", "https://edmondsonsupply.com/products/klein-tools-aeseb1-bluetooth%c2%ae-jobsite-earbuds")</f>
        <v/>
      </c>
      <c r="C6011" t="inlineStr">
        <is>
          <t>Klein Tools AESEB1 Bluetooth® Jobsite Earbuds</t>
        </is>
      </c>
      <c r="D6011" t="inlineStr">
        <is>
          <t>Klein Tools AESEB1 Bluetooth Jobsite Earbuds, Wireless Hearing Protection Earplugs with 28dB Noise Reduction Rating, 15-Hour Playtime</t>
        </is>
      </c>
      <c r="E6011" s="2">
        <f>HYPERLINK("https://www.amazon.com/Klein-Tools-AESEB1-Bluetooth-Protection/dp/B09NCK1VM2/ref=sr_1_1?keywords=Klein+Tools+AESEB1+Bluetooth%C2%AE+Jobsite+Earbuds&amp;qid=1694735114&amp;sr=8-1", "https://www.amazon.com/Klein-Tools-AESEB1-Bluetooth-Protection/dp/B09NCK1VM2/ref=sr_1_1?keywords=Klein+Tools+AESEB1+Bluetooth%C2%AE+Jobsite+Earbuds&amp;qid=1694735114&amp;sr=8-1")</f>
        <v/>
      </c>
      <c r="F6011" t="inlineStr">
        <is>
          <t>B09NCK1VM2</t>
        </is>
      </c>
      <c r="G6011">
        <f>_xludf.IMAGE("https://edmondsonsupply.com/cdn/shop/products/aeseb1.jpg?v=1666014599")</f>
        <v/>
      </c>
      <c r="H6011">
        <f>_xludf.IMAGE("https://m.media-amazon.com/images/I/51yf0kAECQL._AC_UY218_.jpg")</f>
        <v/>
      </c>
      <c r="K6011" t="inlineStr">
        <is>
          <t>69.97</t>
        </is>
      </c>
      <c r="L6011" t="n">
        <v>69.97</v>
      </c>
      <c r="M6011" s="1" t="inlineStr">
        <is>
          <t>0.00%</t>
        </is>
      </c>
      <c r="N6011" s="1" t="n"/>
      <c r="O6011" t="n">
        <v>3.6</v>
      </c>
      <c r="P6011" t="n">
        <v>238</v>
      </c>
      <c r="R6011" t="inlineStr">
        <is>
          <t>InStock</t>
        </is>
      </c>
      <c r="S6011" t="inlineStr">
        <is>
          <t>97.98</t>
        </is>
      </c>
      <c r="T6011" t="inlineStr">
        <is>
          <t>7856541237464</t>
        </is>
      </c>
    </row>
    <row r="6012" hidden="1" ht="15.75" customHeight="1">
      <c r="A6012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6012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6012" t="inlineStr">
        <is>
          <t>Klein Tools 6866INS Insulated Screwdriver, 5/16-Inch Cabinet Tip, 6-Inch Shank</t>
        </is>
      </c>
      <c r="D6012" t="inlineStr">
        <is>
          <t>Klein Tools 6816INS Insulated Screwdriver, 1000V 3/16-Inch Cabinet Tip Screwdriver with 6-Inch Shank, Tip-Ident, Cushion-Grip Handle</t>
        </is>
      </c>
      <c r="E6012" s="2">
        <f>HYPERLINK("https://www.amazon.com/Klein-Tools-6816INS-Screwdriver-Cushion-Grip/dp/B0BF7JHR5X/ref=sr_1_30?keywords=Klein+Tools+6866INS+Insulated+Screwdriver%2C+5%2F16-Inch+Cabinet+Tip%2C+6-Inch+Shank&amp;qid=1694735117&amp;sr=8-30", "https://www.amazon.com/Klein-Tools-6816INS-Screwdriver-Cushion-Grip/dp/B0BF7JHR5X/ref=sr_1_30?keywords=Klein+Tools+6866INS+Insulated+Screwdriver%2C+5%2F16-Inch+Cabinet+Tip%2C+6-Inch+Shank&amp;qid=1694735117&amp;sr=8-30")</f>
        <v/>
      </c>
      <c r="F6012" t="inlineStr">
        <is>
          <t>B0BF7JHR5X</t>
        </is>
      </c>
      <c r="G6012">
        <f>_xludf.IMAGE("https://edmondsonsupply.com/cdn/shop/products/6866ins.jpg?v=1664818689")</f>
        <v/>
      </c>
      <c r="H6012">
        <f>_xludf.IMAGE("https://m.media-amazon.com/images/I/31ngLMMA6xL._AC_UL320_.jpg")</f>
        <v/>
      </c>
      <c r="K6012" t="inlineStr">
        <is>
          <t>11.97</t>
        </is>
      </c>
      <c r="L6012" t="n">
        <v>11.97</v>
      </c>
      <c r="M6012" s="1" t="inlineStr">
        <is>
          <t>0.00%</t>
        </is>
      </c>
      <c r="N6012" s="1" t="n"/>
      <c r="O6012" t="n">
        <v>4</v>
      </c>
      <c r="P6012" t="n">
        <v>6</v>
      </c>
      <c r="R6012" t="inlineStr">
        <is>
          <t>InStock</t>
        </is>
      </c>
      <c r="S6012" t="inlineStr">
        <is>
          <t>17.98</t>
        </is>
      </c>
      <c r="T6012" t="inlineStr">
        <is>
          <t>7837748068568</t>
        </is>
      </c>
    </row>
    <row r="6013" ht="87" customHeight="1">
      <c r="A6013" s="2">
        <f>HYPERLINK("https://edmondsonsupply.com/collections/electricians-tools/products/milwaukee-48-22-7400-2-pc-6-10-adjustable-wrench-set", "https://edmondsonsupply.com/collections/electricians-tools/products/milwaukee-48-22-7400-2-pc-6-10-adjustable-wrench-set")</f>
        <v/>
      </c>
      <c r="B6013" s="2">
        <f>HYPERLINK("https://edmondsonsupply.com/products/milwaukee-48-22-7400-2-pc-6-10-adjustable-wrench-set", "https://edmondsonsupply.com/products/milwaukee-48-22-7400-2-pc-6-10-adjustable-wrench-set")</f>
        <v/>
      </c>
      <c r="C6013" t="inlineStr">
        <is>
          <t>Milwaukee 48-22-7400 2 Pc. 6" &amp; 10" Adjustable Wrench Set</t>
        </is>
      </c>
      <c r="D6013" t="inlineStr">
        <is>
          <t>Milwaukee AGN 48-22-7400 Wrench Set Adjacent, 6 &amp; 10"</t>
        </is>
      </c>
      <c r="E6013" s="2">
        <f>HYPERLINK("https://www.amazon.com/AGN-48-22-7400-Wrench-Set-Adjacent/dp/B01CRHGJDU/ref=sr_1_14?keywords=Milwaukee+48-22-7400+2+Pc.+6%22+%26+10%22+Adjustable+Wrench+Set&amp;qid=1694735125&amp;sr=8-14", "https://www.amazon.com/AGN-48-22-7400-Wrench-Set-Adjacent/dp/B01CRHGJDU/ref=sr_1_14?keywords=Milwaukee+48-22-7400+2+Pc.+6%22+%26+10%22+Adjustable+Wrench+Set&amp;qid=1694735125&amp;sr=8-14")</f>
        <v/>
      </c>
      <c r="F6013" t="inlineStr">
        <is>
          <t>B01CRHGJDU</t>
        </is>
      </c>
      <c r="G6013">
        <f>_xlfn.IMAGE("https://edmondsonsupply.com/cdn/shop/products/48-22-7400_1.png?v=1663604221")</f>
        <v/>
      </c>
      <c r="H6013">
        <f>_xlfn.IMAGE("https://m.media-amazon.com/images/I/51jHysy-NLL._AC_UL320_.jpg")</f>
        <v/>
      </c>
      <c r="K6013" t="inlineStr">
        <is>
          <t>32.97</t>
        </is>
      </c>
      <c r="L6013" t="n">
        <v>32.97</v>
      </c>
      <c r="M6013" s="1" t="inlineStr">
        <is>
          <t>0.00%</t>
        </is>
      </c>
      <c r="N6013" s="7" t="n"/>
      <c r="O6013" t="n">
        <v>4.8</v>
      </c>
      <c r="P6013" t="n">
        <v>1118</v>
      </c>
      <c r="R6013" t="inlineStr">
        <is>
          <t>InStock</t>
        </is>
      </c>
      <c r="S6013" t="inlineStr">
        <is>
          <t>49.3</t>
        </is>
      </c>
      <c r="T6013" t="inlineStr">
        <is>
          <t>7822965473496</t>
        </is>
      </c>
    </row>
    <row r="6014" hidden="1" ht="15.75" customHeight="1">
      <c r="A6014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6014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6014" t="inlineStr">
        <is>
          <t>Klein Tools 6866INS Insulated Screwdriver, 5/16-Inch Cabinet Tip, 6-Inch Shank</t>
        </is>
      </c>
      <c r="D6014" t="inlineStr">
        <is>
          <t>Klein Tools 6866INS Insulated Screwdriver, 1000V 5/16-Inch Cabinet Tip, Screwdriver with 6-Inch Shank, Tip-Ident, Cushion-Grip Handle</t>
        </is>
      </c>
      <c r="E6014" s="2">
        <f>HYPERLINK("https://www.amazon.com/Klein-Tools-6866INS-Screwdriver-Cushion-Grip/dp/B0BF73PSWC/ref=sr_1_1?keywords=Klein+Tools+6866INS+Insulated+Screwdriver%2C+5%2F16-Inch+Cabinet+Tip%2C+6-Inch+Shank&amp;qid=1694735117&amp;sr=8-1", "https://www.amazon.com/Klein-Tools-6866INS-Screwdriver-Cushion-Grip/dp/B0BF73PSWC/ref=sr_1_1?keywords=Klein+Tools+6866INS+Insulated+Screwdriver%2C+5%2F16-Inch+Cabinet+Tip%2C+6-Inch+Shank&amp;qid=1694735117&amp;sr=8-1")</f>
        <v/>
      </c>
      <c r="F6014" t="inlineStr">
        <is>
          <t>B0BF73PSWC</t>
        </is>
      </c>
      <c r="G6014">
        <f>_xludf.IMAGE("https://edmondsonsupply.com/cdn/shop/products/6866ins.jpg?v=1664818689")</f>
        <v/>
      </c>
      <c r="H6014">
        <f>_xludf.IMAGE("https://m.media-amazon.com/images/I/41Sx5h6xG-L._AC_UL320_.jpg")</f>
        <v/>
      </c>
      <c r="K6014" t="inlineStr">
        <is>
          <t>11.97</t>
        </is>
      </c>
      <c r="L6014" t="n">
        <v>11.97</v>
      </c>
      <c r="M6014" s="1" t="inlineStr">
        <is>
          <t>0.00%</t>
        </is>
      </c>
      <c r="N6014" s="1" t="n"/>
      <c r="O6014" t="n">
        <v>4.9</v>
      </c>
      <c r="P6014" t="n">
        <v>202</v>
      </c>
      <c r="R6014" t="inlineStr">
        <is>
          <t>InStock</t>
        </is>
      </c>
      <c r="S6014" t="inlineStr">
        <is>
          <t>17.98</t>
        </is>
      </c>
      <c r="T6014" t="inlineStr">
        <is>
          <t>7837748068568</t>
        </is>
      </c>
    </row>
    <row r="6015" hidden="1" ht="15.75" customHeight="1">
      <c r="A6015" s="2">
        <f>HYPERLINK("https://edmondsonsupply.com/collections/electricians-tools/products/klein-tools-jth9e06-3-32-inch-hex-key-journeyman%E2%84%A2-t-handle-9-inch", "https://edmondsonsupply.com/collections/electricians-tools/products/klein-tools-jth9e06-3-32-inch-hex-key-journeyman%E2%84%A2-t-handle-9-inch")</f>
        <v/>
      </c>
      <c r="B6015" s="2">
        <f>HYPERLINK("https://edmondsonsupply.com/products/klein-tools-jth9e06-3-32-inch-hex-key-journeyman%e2%84%a2-t-handle-9-inch", "https://edmondsonsupply.com/products/klein-tools-jth9e06-3-32-inch-hex-key-journeyman%e2%84%a2-t-handle-9-inch")</f>
        <v/>
      </c>
      <c r="C6015" t="inlineStr">
        <is>
          <t>Klein Tools JTH9E06 3/32-Inch Hex Key, Journeyman™ T-Handle, 9-Inch</t>
        </is>
      </c>
      <c r="D6015" t="inlineStr">
        <is>
          <t>5/32-Inch Hex Key with Journeyman T-Handle, 9-Inch Klein Tools JTH9E10</t>
        </is>
      </c>
      <c r="E6015" s="2">
        <f>HYPERLINK("https://www.amazon.com/Journeyman-T-Handle-Klein-Tools-JTH9E10/dp/B004QV8H90/ref=sr_1_6?keywords=Klein+Tools+JTH9E06+3%2F32-Inch+Hex+Key%2C+Journeyman%E2%84%A2+T-Handle%2C+9-Inch&amp;qid=1694735129&amp;sr=8-6", "https://www.amazon.com/Journeyman-T-Handle-Klein-Tools-JTH9E10/dp/B004QV8H90/ref=sr_1_6?keywords=Klein+Tools+JTH9E06+3%2F32-Inch+Hex+Key%2C+Journeyman%E2%84%A2+T-Handle%2C+9-Inch&amp;qid=1694735129&amp;sr=8-6")</f>
        <v/>
      </c>
      <c r="F6015" t="inlineStr">
        <is>
          <t>B004QV8H90</t>
        </is>
      </c>
      <c r="G6015">
        <f>_xludf.IMAGE("https://edmondsonsupply.com/cdn/shop/products/jth6e15_2136116f-dcd1-4a81-ab1c-471762cb8f3e.jpg?v=1662657547")</f>
        <v/>
      </c>
      <c r="H6015">
        <f>_xludf.IMAGE("https://m.media-amazon.com/images/I/51Yb8h41vLL._AC_UL320_.jpg")</f>
        <v/>
      </c>
      <c r="K6015" t="inlineStr">
        <is>
          <t>4.49</t>
        </is>
      </c>
      <c r="L6015" t="n">
        <v>4.49</v>
      </c>
      <c r="M6015" s="1" t="inlineStr">
        <is>
          <t>0.00%</t>
        </is>
      </c>
      <c r="N6015" s="1" t="n"/>
      <c r="O6015" t="n">
        <v>4.8</v>
      </c>
      <c r="P6015" t="n">
        <v>293</v>
      </c>
      <c r="R6015" t="inlineStr">
        <is>
          <t>InStock</t>
        </is>
      </c>
      <c r="S6015" t="inlineStr">
        <is>
          <t>6.82</t>
        </is>
      </c>
      <c r="T6015" t="inlineStr">
        <is>
          <t>7809328808152</t>
        </is>
      </c>
    </row>
    <row r="6016" ht="87" customHeight="1">
      <c r="A6016" s="2">
        <f>HYPERLINK("https://edmondsonsupply.com/collections/electricians-tools/products/klein-tools-65129-2-in-1-nut-driver-hex-head-slide-drive%E2%84%A2-6-inch", "https://edmondsonsupply.com/collections/electricians-tools/products/klein-tools-65129-2-in-1-nut-driver-hex-head-slide-drive%E2%84%A2-6-inch")</f>
        <v/>
      </c>
      <c r="B6016" s="2">
        <f>HYPERLINK("https://edmondsonsupply.com/products/klein-tools-65129-2-in-1-nut-driver-hex-head-slide-drive%e2%84%a2-6-inch", "https://edmondsonsupply.com/products/klein-tools-65129-2-in-1-nut-driver-hex-head-slide-drive%e2%84%a2-6-inch")</f>
        <v/>
      </c>
      <c r="C6016" t="inlineStr">
        <is>
          <t>Klein Tools 65129 2-in-1 Nut Driver, Hex Head Slide Drive™, 6-Inch</t>
        </is>
      </c>
      <c r="D6016" t="inlineStr">
        <is>
          <t>Klein Tools 65129 2-in-1 Nut Driver, Hex Head Slide Drive, 6-Inch</t>
        </is>
      </c>
      <c r="E6016" s="2">
        <f>HYPERLINK("https://www.amazon.com/Driver-6-Inch-Klein-Tools-65129/dp/B0716VDFTD/ref=sr_1_1?keywords=Klein+Tools+65129+2-in-1+Nut+Driver%2C+Hex+Head+Slide+Drive%E2%84%A2%2C+6-Inch&amp;qid=1694735118&amp;sr=8-1", "https://www.amazon.com/Driver-6-Inch-Klein-Tools-65129/dp/B0716VDFTD/ref=sr_1_1?keywords=Klein+Tools+65129+2-in-1+Nut+Driver%2C+Hex+Head+Slide+Drive%E2%84%A2%2C+6-Inch&amp;qid=1694735118&amp;sr=8-1")</f>
        <v/>
      </c>
      <c r="F6016" t="inlineStr">
        <is>
          <t>B0716VDFTD</t>
        </is>
      </c>
      <c r="G6016">
        <f>_xlfn.IMAGE("https://edmondsonsupply.com/cdn/shop/products/65129.jpg?v=1664459800")</f>
        <v/>
      </c>
      <c r="H6016">
        <f>_xlfn.IMAGE("https://m.media-amazon.com/images/I/31G5opAPxjL._AC_UL320_.jpg")</f>
        <v/>
      </c>
      <c r="K6016" t="inlineStr">
        <is>
          <t>19.97</t>
        </is>
      </c>
      <c r="L6016" t="n">
        <v>19.97</v>
      </c>
      <c r="M6016" s="1" t="inlineStr">
        <is>
          <t>0.00%</t>
        </is>
      </c>
      <c r="N6016" s="7" t="n"/>
      <c r="O6016" t="n">
        <v>4.8</v>
      </c>
      <c r="P6016" t="n">
        <v>687</v>
      </c>
      <c r="R6016" t="inlineStr">
        <is>
          <t>InStock</t>
        </is>
      </c>
      <c r="S6016" t="inlineStr">
        <is>
          <t>31.06</t>
        </is>
      </c>
      <c r="T6016" t="inlineStr">
        <is>
          <t>7833473155288</t>
        </is>
      </c>
    </row>
    <row r="6017" ht="87" customHeight="1">
      <c r="A6017" s="2">
        <f>HYPERLINK("https://edmondsonsupply.com/collections/electricians-tools/products/klein-tools-60407rl-hard-hat-vented-full-brim-with-rechargeable-headlamp-white", "https://edmondsonsupply.com/collections/electricians-tools/products/klein-tools-60407rl-hard-hat-vented-full-brim-with-rechargeable-headlamp-white")</f>
        <v/>
      </c>
      <c r="B6017" s="2">
        <f>HYPERLINK("https://edmondsonsupply.com/products/klein-tools-60407rl-hard-hat-vented-full-brim-with-rechargeable-headlamp-white", "https://edmondsonsupply.com/products/klein-tools-60407rl-hard-hat-vented-full-brim-with-rechargeable-headlamp-white")</f>
        <v/>
      </c>
      <c r="C6017" t="inlineStr">
        <is>
          <t>Klein Tools 60407RL Hard Hat, Vented, Full Brim with Rechargeable Headlamp, White</t>
        </is>
      </c>
      <c r="D6017" t="inlineStr">
        <is>
          <t>Klein Tools 60406RL Hard Hat, Rechargeable Headlamp, Non-vented, Full Brim Style, Padded Self-Wicking Odor-Resistant Sweatband, Tested up to 20kV, White</t>
        </is>
      </c>
      <c r="E6017" s="2">
        <f>HYPERLINK("https://www.amazon.com/Klein-Tools-60406RL-Rechargeable-Odor-Resistant/dp/B08FBZT3BW/ref=sr_1_2?keywords=Klein+Tools+60407RL+Hard+Hat%2C+Vented%2C+Full+Brim+with+Rechargeable+Headlamp%2C+White&amp;qid=1694735114&amp;sr=8-2", "https://www.amazon.com/Klein-Tools-60406RL-Rechargeable-Odor-Resistant/dp/B08FBZT3BW/ref=sr_1_2?keywords=Klein+Tools+60407RL+Hard+Hat%2C+Vented%2C+Full+Brim+with+Rechargeable+Headlamp%2C+White&amp;qid=1694735114&amp;sr=8-2")</f>
        <v/>
      </c>
      <c r="F6017" t="inlineStr">
        <is>
          <t>B08FBZT3BW</t>
        </is>
      </c>
      <c r="G6017">
        <f>_xlfn.IMAGE("https://edmondsonsupply.com/cdn/shop/products/60407rl_d.jpg?v=1665589857")</f>
        <v/>
      </c>
      <c r="H6017">
        <f>_xlfn.IMAGE("https://m.media-amazon.com/images/I/61cNP5T1keL._AC_UL320_.jpg")</f>
        <v/>
      </c>
      <c r="K6017" t="inlineStr">
        <is>
          <t>69.99</t>
        </is>
      </c>
      <c r="L6017" t="n">
        <v>69.98999999999999</v>
      </c>
      <c r="M6017" s="1" t="inlineStr">
        <is>
          <t>0.00%</t>
        </is>
      </c>
      <c r="N6017" s="7" t="n"/>
      <c r="O6017" t="n">
        <v>4.7</v>
      </c>
      <c r="P6017" t="n">
        <v>357</v>
      </c>
      <c r="R6017" t="inlineStr">
        <is>
          <t>InStock</t>
        </is>
      </c>
      <c r="S6017" t="inlineStr">
        <is>
          <t>105.0</t>
        </is>
      </c>
      <c r="T6017" t="inlineStr">
        <is>
          <t>7849949855960</t>
        </is>
      </c>
    </row>
    <row r="6018" hidden="1" ht="15.75" customHeight="1">
      <c r="A6018" s="2">
        <f>HYPERLINK("https://edmondsonsupply.com/collections/electricians-tools/products/klein-tools-60156-intrinsically-safe-led-headlamp", "https://edmondsonsupply.com/collections/electricians-tools/products/klein-tools-60156-intrinsically-safe-led-headlamp")</f>
        <v/>
      </c>
      <c r="B6018" s="2">
        <f>HYPERLINK("https://edmondsonsupply.com/products/klein-tools-60156-intrinsically-safe-led-headlamp", "https://edmondsonsupply.com/products/klein-tools-60156-intrinsically-safe-led-headlamp")</f>
        <v/>
      </c>
      <c r="C6018" t="inlineStr">
        <is>
          <t>Klein Tools 60156 Intrinsically Safe LED Headlamp</t>
        </is>
      </c>
      <c r="D6018" t="inlineStr">
        <is>
          <t>Klein Tools 60156 Intrinsically Safe LED IP67 Headlamp for Hazardous Areas, Mounts to Klein Hard Hats and Safety Helmets</t>
        </is>
      </c>
      <c r="E6018" s="2">
        <f>HYPERLINK("https://www.amazon.com/Intrinsically-Hazardous-Klein-Tools-60156/dp/B095XLB3XW/ref=sr_1_1?keywords=Klein+Tools+60156+Intrinsically+Safe+LED+Headlamp&amp;qid=1694735118&amp;sr=8-1", "https://www.amazon.com/Intrinsically-Hazardous-Klein-Tools-60156/dp/B095XLB3XW/ref=sr_1_1?keywords=Klein+Tools+60156+Intrinsically+Safe+LED+Headlamp&amp;qid=1694735118&amp;sr=8-1")</f>
        <v/>
      </c>
      <c r="F6018" t="inlineStr">
        <is>
          <t>B095XLB3XW</t>
        </is>
      </c>
      <c r="G6018">
        <f>_xludf.IMAGE("https://edmondsonsupply.com/cdn/shop/products/60156.jpg?v=1664380433")</f>
        <v/>
      </c>
      <c r="H6018">
        <f>_xludf.IMAGE("https://m.media-amazon.com/images/I/61fqqNW9DLS._AC_UL320_.jpg")</f>
        <v/>
      </c>
      <c r="K6018" t="inlineStr">
        <is>
          <t>64.99</t>
        </is>
      </c>
      <c r="L6018" t="n">
        <v>64.98999999999999</v>
      </c>
      <c r="M6018" s="1" t="inlineStr">
        <is>
          <t>0.00%</t>
        </is>
      </c>
      <c r="N6018" s="1" t="n"/>
      <c r="O6018" t="n">
        <v>3.7</v>
      </c>
      <c r="P6018" t="n">
        <v>28</v>
      </c>
      <c r="R6018" t="inlineStr">
        <is>
          <t>InStock</t>
        </is>
      </c>
      <c r="S6018" t="inlineStr">
        <is>
          <t>83.98</t>
        </is>
      </c>
      <c r="T6018" t="inlineStr">
        <is>
          <t>7832053809368</t>
        </is>
      </c>
    </row>
    <row r="6019" hidden="1" ht="15.75" customHeight="1">
      <c r="A6019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019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019" t="inlineStr">
        <is>
          <t>Klein Tools 6986INS Slim-Tip 1000V Insulated Screwdriver, #1 Square, 6-Inch Round Shank</t>
        </is>
      </c>
      <c r="D6019" t="inlineStr">
        <is>
          <t>Klein Tools 6936INS Insulated Screwdriver, 1000V Slim Profile Tip, 2 Phillips with 6-Inch Shank, Cushion-Grip Handle</t>
        </is>
      </c>
      <c r="E6019" s="2">
        <f>HYPERLINK("https://www.amazon.com/Klein-Tools-6936INS-Screwdriver-Cushion-Grip/dp/B09GPZMQ1R/ref=sr_1_9?keywords=Klein+Tools+6986INS+Slim-Tip+1000V+Insulated+Screwdriver%2C+%231+Square%2C+6-Inch+Round+Shank&amp;qid=1694735117&amp;sr=8-9", "https://www.amazon.com/Klein-Tools-6936INS-Screwdriver-Cushion-Grip/dp/B09GPZMQ1R/ref=sr_1_9?keywords=Klein+Tools+6986INS+Slim-Tip+1000V+Insulated+Screwdriver%2C+%231+Square%2C+6-Inch+Round+Shank&amp;qid=1694735117&amp;sr=8-9")</f>
        <v/>
      </c>
      <c r="F6019" t="inlineStr">
        <is>
          <t>B09GPZMQ1R</t>
        </is>
      </c>
      <c r="G6019">
        <f>_xludf.IMAGE("https://edmondsonsupply.com/cdn/shop/products/6986ins.jpg?v=1664806830")</f>
        <v/>
      </c>
      <c r="H6019">
        <f>_xludf.IMAGE("https://m.media-amazon.com/images/I/414OB6kFvkL._AC_UL320_.jpg")</f>
        <v/>
      </c>
      <c r="K6019" t="inlineStr">
        <is>
          <t>14.99</t>
        </is>
      </c>
      <c r="L6019" t="n">
        <v>14.99</v>
      </c>
      <c r="M6019" s="1" t="inlineStr">
        <is>
          <t>0.00%</t>
        </is>
      </c>
      <c r="N6019" s="1" t="n"/>
      <c r="O6019" t="n">
        <v>4.9</v>
      </c>
      <c r="P6019" t="n">
        <v>70</v>
      </c>
      <c r="R6019" t="inlineStr">
        <is>
          <t>InStock</t>
        </is>
      </c>
      <c r="S6019" t="inlineStr">
        <is>
          <t>20.98</t>
        </is>
      </c>
      <c r="T6019" t="inlineStr">
        <is>
          <t>7837634461912</t>
        </is>
      </c>
    </row>
    <row r="6020" ht="87" customHeight="1">
      <c r="A6020" s="2">
        <f>HYPERLINK("https://edmondsonsupply.com/collections/electricians-tools/products/klein-tools-51610-1-iron-conduit-bender-head", "https://edmondsonsupply.com/collections/electricians-tools/products/klein-tools-51610-1-iron-conduit-bender-head")</f>
        <v/>
      </c>
      <c r="B6020" s="2">
        <f>HYPERLINK("https://edmondsonsupply.com/products/klein-tools-51610-1-iron-conduit-bender-head", "https://edmondsonsupply.com/products/klein-tools-51610-1-iron-conduit-bender-head")</f>
        <v/>
      </c>
      <c r="C6020" t="inlineStr">
        <is>
          <t>Klein Tools 51610 1" Iron Conduit Bender Head</t>
        </is>
      </c>
      <c r="D6020" t="inlineStr">
        <is>
          <t>Klein Tools 51610 Iron Conduit Bender Head, for 1-Inch EMT or 3/4-Inch Rigid IMC, use with Klein Tools Angle Setter (Cat. No. 51613)</t>
        </is>
      </c>
      <c r="E6020" s="2">
        <f>HYPERLINK("https://www.amazon.com/Conduit-Bender-Klein-Tools-51610/dp/B08V8J5CX4/ref=sr_1_1?keywords=Klein+Tools+51610+1%22+Iron+Conduit+Bender+Head&amp;qid=1694735131&amp;sr=8-1", "https://www.amazon.com/Conduit-Bender-Klein-Tools-51610/dp/B08V8J5CX4/ref=sr_1_1?keywords=Klein+Tools+51610+1%22+Iron+Conduit+Bender+Head&amp;qid=1694735131&amp;sr=8-1")</f>
        <v/>
      </c>
      <c r="F6020" t="inlineStr">
        <is>
          <t>B08V8J5CX4</t>
        </is>
      </c>
      <c r="G6020">
        <f>_xlfn.IMAGE("https://edmondsonsupply.com/cdn/shop/products/51610.jpg?v=1661975879")</f>
        <v/>
      </c>
      <c r="H6020">
        <f>_xlfn.IMAGE("https://m.media-amazon.com/images/I/61jmGqozuVL._AC_UL320_.jpg")</f>
        <v/>
      </c>
      <c r="K6020" t="inlineStr">
        <is>
          <t>74.99</t>
        </is>
      </c>
      <c r="L6020" t="n">
        <v>74.98999999999999</v>
      </c>
      <c r="M6020" s="1" t="inlineStr">
        <is>
          <t>0.00%</t>
        </is>
      </c>
      <c r="N6020" s="7" t="n"/>
      <c r="O6020" t="n">
        <v>4.8</v>
      </c>
      <c r="P6020" t="n">
        <v>11</v>
      </c>
      <c r="R6020" t="inlineStr">
        <is>
          <t>InStock</t>
        </is>
      </c>
      <c r="S6020" t="inlineStr">
        <is>
          <t>113.68</t>
        </is>
      </c>
      <c r="T6020" t="inlineStr">
        <is>
          <t>7798372630744</t>
        </is>
      </c>
    </row>
    <row r="6021" hidden="1" ht="15.75" customHeight="1">
      <c r="A6021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021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021" t="inlineStr">
        <is>
          <t>Klein Tools 6986INS Slim-Tip 1000V Insulated Screwdriver, #1 Square, 6-Inch Round Shank</t>
        </is>
      </c>
      <c r="D6021" t="inlineStr">
        <is>
          <t>Klein Tools 6956INS Insulated Screwdriver, 1000V Slim Profile Tip, 1 Philliips with 6-Inch Shank, Cushion-Grip Handle</t>
        </is>
      </c>
      <c r="E6021" s="2">
        <f>HYPERLINK("https://www.amazon.com/Klein-Tools-6956INS-Screwdriver-Cushion-Grip/dp/B09H9GV5CP/ref=sr_1_8?keywords=Klein+Tools+6986INS+Slim-Tip+1000V+Insulated+Screwdriver%2C+%231+Square%2C+6-Inch+Round+Shank&amp;qid=1694735117&amp;sr=8-8", "https://www.amazon.com/Klein-Tools-6956INS-Screwdriver-Cushion-Grip/dp/B09H9GV5CP/ref=sr_1_8?keywords=Klein+Tools+6986INS+Slim-Tip+1000V+Insulated+Screwdriver%2C+%231+Square%2C+6-Inch+Round+Shank&amp;qid=1694735117&amp;sr=8-8")</f>
        <v/>
      </c>
      <c r="F6021" t="inlineStr">
        <is>
          <t>B09H9GV5CP</t>
        </is>
      </c>
      <c r="G6021">
        <f>_xludf.IMAGE("https://edmondsonsupply.com/cdn/shop/products/6986ins.jpg?v=1664806830")</f>
        <v/>
      </c>
      <c r="H6021">
        <f>_xludf.IMAGE("https://m.media-amazon.com/images/I/41XYb1ZhlVL._AC_UL320_.jpg")</f>
        <v/>
      </c>
      <c r="K6021" t="inlineStr">
        <is>
          <t>14.99</t>
        </is>
      </c>
      <c r="L6021" t="n">
        <v>14.99</v>
      </c>
      <c r="M6021" s="1" t="inlineStr">
        <is>
          <t>0.00%</t>
        </is>
      </c>
      <c r="N6021" s="1" t="n"/>
      <c r="O6021" t="n">
        <v>4.5</v>
      </c>
      <c r="P6021" t="n">
        <v>10</v>
      </c>
      <c r="R6021" t="inlineStr">
        <is>
          <t>InStock</t>
        </is>
      </c>
      <c r="S6021" t="inlineStr">
        <is>
          <t>20.98</t>
        </is>
      </c>
      <c r="T6021" t="inlineStr">
        <is>
          <t>7837634461912</t>
        </is>
      </c>
    </row>
    <row r="6022" hidden="1" ht="15.75" customHeight="1">
      <c r="A6022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6022" s="2">
        <f>HYPERLINK("https://edmondsonsupply.com/products/klein-tools-66077-flip-impact-socket-7-16-and-3-8-inch", "https://edmondsonsupply.com/products/klein-tools-66077-flip-impact-socket-7-16-and-3-8-inch")</f>
        <v/>
      </c>
      <c r="C6022" t="inlineStr">
        <is>
          <t>Klein Tools 66077 Flip Impact Socket, 7/16 and 3/8-Inch</t>
        </is>
      </c>
      <c r="D6022" t="inlineStr">
        <is>
          <t>Klein Tools 66077 Impact Driver Flip Socket, 7/16- and 3/8-Inch Sizes, Use with Klein Tools Compact Impact Wrenches BAT20CW, BAT20CW1</t>
        </is>
      </c>
      <c r="E6022" s="2">
        <f>HYPERLINK("https://www.amazon.com/Klein-Tools-66077-Wrenches-BAT20CW1/dp/B0B34JMDCL/ref=sr_1_1?keywords=Klein+Tools+66077+Flip+Impact+Socket%2C+7%2F16+and+3%2F8-Inch&amp;qid=1694735129&amp;sr=8-1", "https://www.amazon.com/Klein-Tools-66077-Wrenches-BAT20CW1/dp/B0B34JMDCL/ref=sr_1_1?keywords=Klein+Tools+66077+Flip+Impact+Socket%2C+7%2F16+and+3%2F8-Inch&amp;qid=1694735129&amp;sr=8-1")</f>
        <v/>
      </c>
      <c r="F6022" t="inlineStr">
        <is>
          <t>B0B34JMDCL</t>
        </is>
      </c>
      <c r="G6022">
        <f>_xludf.IMAGE("https://edmondsonsupply.com/cdn/shop/products/66077.jpg?v=1663082226")</f>
        <v/>
      </c>
      <c r="H6022">
        <f>_xludf.IMAGE("https://m.media-amazon.com/images/I/41vtzEP3nEL._AC_UL320_.jpg")</f>
        <v/>
      </c>
      <c r="K6022" t="inlineStr">
        <is>
          <t>10.43</t>
        </is>
      </c>
      <c r="L6022" t="n">
        <v>10.43</v>
      </c>
      <c r="M6022" s="1" t="inlineStr">
        <is>
          <t>0.00%</t>
        </is>
      </c>
      <c r="N6022" s="1" t="n"/>
      <c r="O6022" t="n">
        <v>4.8</v>
      </c>
      <c r="P6022" t="n">
        <v>5</v>
      </c>
      <c r="R6022" t="inlineStr">
        <is>
          <t>InStock</t>
        </is>
      </c>
      <c r="S6022" t="inlineStr">
        <is>
          <t>14.6</t>
        </is>
      </c>
      <c r="T6022" t="inlineStr">
        <is>
          <t>7814113165528</t>
        </is>
      </c>
    </row>
    <row r="6023" hidden="1" ht="15.75" customHeight="1">
      <c r="A6023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023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023" t="inlineStr">
        <is>
          <t>Klein Tools 6986INS Slim-Tip 1000V Insulated Screwdriver, #1 Square, 6-Inch Round Shank</t>
        </is>
      </c>
      <c r="D6023" t="inlineStr">
        <is>
          <t>Klein Tools 6926INS Insulated Screwdriver, 1000V Slim Profile Tip, 1/4-Inch Cabinet Screwdriver with 6-Inch Shank, Cushion-Grip Handle</t>
        </is>
      </c>
      <c r="E6023" s="2">
        <f>HYPERLINK("https://www.amazon.com/Klein-Tools-6926INS-Screwdriver-Cushion-Grip/dp/B09GL1X5SZ/ref=sr_1_4?keywords=Klein+Tools+6986INS+Slim-Tip+1000V+Insulated+Screwdriver%2C+%231+Square%2C+6-Inch+Round+Shank&amp;qid=1694735117&amp;sr=8-4", "https://www.amazon.com/Klein-Tools-6926INS-Screwdriver-Cushion-Grip/dp/B09GL1X5SZ/ref=sr_1_4?keywords=Klein+Tools+6986INS+Slim-Tip+1000V+Insulated+Screwdriver%2C+%231+Square%2C+6-Inch+Round+Shank&amp;qid=1694735117&amp;sr=8-4")</f>
        <v/>
      </c>
      <c r="F6023" t="inlineStr">
        <is>
          <t>B09GL1X5SZ</t>
        </is>
      </c>
      <c r="G6023">
        <f>_xludf.IMAGE("https://edmondsonsupply.com/cdn/shop/products/6986ins.jpg?v=1664806830")</f>
        <v/>
      </c>
      <c r="H6023">
        <f>_xludf.IMAGE("https://m.media-amazon.com/images/I/41JbepP5oGL._AC_UL320_.jpg")</f>
        <v/>
      </c>
      <c r="K6023" t="inlineStr">
        <is>
          <t>14.99</t>
        </is>
      </c>
      <c r="L6023" t="n">
        <v>14.99</v>
      </c>
      <c r="M6023" s="1" t="inlineStr">
        <is>
          <t>0.00%</t>
        </is>
      </c>
      <c r="N6023" s="1" t="n"/>
      <c r="O6023" t="n">
        <v>4.8</v>
      </c>
      <c r="P6023" t="n">
        <v>85</v>
      </c>
      <c r="R6023" t="inlineStr">
        <is>
          <t>InStock</t>
        </is>
      </c>
      <c r="S6023" t="inlineStr">
        <is>
          <t>20.98</t>
        </is>
      </c>
      <c r="T6023" t="inlineStr">
        <is>
          <t>7837634461912</t>
        </is>
      </c>
    </row>
    <row r="6024" ht="87" customHeight="1">
      <c r="A6024" s="2">
        <f>HYPERLINK("https://edmondsonsupply.com/collections/electricians-tools/products/channellock-6wcb", "https://edmondsonsupply.com/collections/electricians-tools/products/channellock-6wcb")</f>
        <v/>
      </c>
      <c r="B6024" s="2">
        <f>HYPERLINK("https://edmondsonsupply.com/products/channellock-6wcb", "https://edmondsonsupply.com/products/channellock-6wcb")</f>
        <v/>
      </c>
      <c r="C6024" t="inlineStr">
        <is>
          <t>Channellock 6WCB 6-Inch CODE BLUE® WIDEAZZ® Adjustable Wrench</t>
        </is>
      </c>
      <c r="D6024" t="inlineStr">
        <is>
          <t>Channellock 6WCB 6-Inch WideAzz Adjustable Wrench, CODE BLUE</t>
        </is>
      </c>
      <c r="E6024" s="2">
        <f>HYPERLINK("https://www.amazon.com/Channellock-6WCB-WideAzz-Adjustable-1-34-Inch/dp/B0014FGUYU/ref=sr_1_1?keywords=Channellock+6WCB+6-Inch+CODE+BLUE%C2%AE+WIDEAZZ%C2%AE+Adjustable+Wrench&amp;qid=1694735305&amp;sr=8-1", "https://www.amazon.com/Channellock-6WCB-WideAzz-Adjustable-1-34-Inch/dp/B0014FGUYU/ref=sr_1_1?keywords=Channellock+6WCB+6-Inch+CODE+BLUE%C2%AE+WIDEAZZ%C2%AE+Adjustable+Wrench&amp;qid=1694735305&amp;sr=8-1")</f>
        <v/>
      </c>
      <c r="F6024" t="inlineStr">
        <is>
          <t>B0014FGUYU</t>
        </is>
      </c>
      <c r="G6024">
        <f>_xlfn.IMAGE("https://edmondsonsupply.com/cdn/shop/products/6WCB-683x1024.jpg?v=1633030324")</f>
        <v/>
      </c>
      <c r="H6024">
        <f>_xlfn.IMAGE("https://m.media-amazon.com/images/I/81wjMZduaNL._AC_UL320_.jpg")</f>
        <v/>
      </c>
      <c r="K6024" t="inlineStr">
        <is>
          <t>27.95</t>
        </is>
      </c>
      <c r="L6024" t="n">
        <v>27.95</v>
      </c>
      <c r="M6024" s="1" t="inlineStr">
        <is>
          <t>0.00%</t>
        </is>
      </c>
      <c r="N6024" s="7" t="n"/>
      <c r="O6024" t="n">
        <v>4.8</v>
      </c>
      <c r="P6024" t="n">
        <v>4409</v>
      </c>
      <c r="R6024" t="inlineStr">
        <is>
          <t>InStock</t>
        </is>
      </c>
      <c r="S6024" t="inlineStr">
        <is>
          <t>45.08</t>
        </is>
      </c>
      <c r="T6024" t="inlineStr">
        <is>
          <t>5247289655464</t>
        </is>
      </c>
    </row>
    <row r="6025" ht="87" customHeight="1">
      <c r="A6025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6025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6025" t="inlineStr">
        <is>
          <t>Klein Tools 51605 Iron Conduit Bender Full Assembly, 1-Inch EMT with Angle Setter™</t>
        </is>
      </c>
      <c r="D6025" t="inlineStr">
        <is>
          <t>Klein Tools 51605 Iron Conduit Bender Full Assembly, 1-Inch EMT and 3/4-Inch Rigid, Wide Foot Pedal, Benchmark Symbols and Angle Setter</t>
        </is>
      </c>
      <c r="E6025" s="2">
        <f>HYPERLINK("https://www.amazon.com/Conduit-Technology-Benchmark-Klein-Tools/dp/B08L3ZQCT1/ref=sr_1_1?keywords=Klein+Tools+51605+Iron+Conduit+Bender+Full+Assembly%2C+1-Inch+EMT+with+Angle+Setter%E2%84%A2&amp;qid=1694735128&amp;sr=8-1", "https://www.amazon.com/Conduit-Technology-Benchmark-Klein-Tools/dp/B08L3ZQCT1/ref=sr_1_1?keywords=Klein+Tools+51605+Iron+Conduit+Bender+Full+Assembly%2C+1-Inch+EMT+with+Angle+Setter%E2%84%A2&amp;qid=1694735128&amp;sr=8-1")</f>
        <v/>
      </c>
      <c r="F6025" t="inlineStr">
        <is>
          <t>B08L3ZQCT1</t>
        </is>
      </c>
      <c r="G6025">
        <f>_xlfn.IMAGE("https://edmondsonsupply.com/cdn/shop/products/51605.jpg?v=1663938749")</f>
        <v/>
      </c>
      <c r="H6025">
        <f>_xlfn.IMAGE("https://m.media-amazon.com/images/I/41stj4NcdUL._AC_UL320_.jpg")</f>
        <v/>
      </c>
      <c r="K6025" t="inlineStr">
        <is>
          <t>99.97</t>
        </is>
      </c>
      <c r="L6025" t="n">
        <v>99.97</v>
      </c>
      <c r="M6025" s="1" t="inlineStr">
        <is>
          <t>0.00%</t>
        </is>
      </c>
      <c r="N6025" s="7" t="n"/>
      <c r="O6025" t="n">
        <v>4.7</v>
      </c>
      <c r="P6025" t="n">
        <v>60</v>
      </c>
      <c r="R6025" t="inlineStr">
        <is>
          <t>InStock</t>
        </is>
      </c>
      <c r="S6025" t="inlineStr">
        <is>
          <t>149.98</t>
        </is>
      </c>
      <c r="T6025" t="inlineStr">
        <is>
          <t>7827205619928</t>
        </is>
      </c>
    </row>
    <row r="6026" hidden="1" ht="15.75" customHeight="1">
      <c r="A6026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026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026" t="inlineStr">
        <is>
          <t>Klein Tools 6986INS Slim-Tip 1000V Insulated Screwdriver, #1 Square, 6-Inch Round Shank</t>
        </is>
      </c>
      <c r="D6026" t="inlineStr">
        <is>
          <t>Klein Tools 6986INS Insulated Screwdriver, 1000V Slim Profile Tip, #1 Square with 6-Inch Shank, Cushion-Grip Handle</t>
        </is>
      </c>
      <c r="E6026" s="2">
        <f>HYPERLINK("https://www.amazon.com/Klein-Tools-6986INS-Screwdriver-Cushion-Grip/dp/B09GPYQ7DM/ref=sr_1_1?keywords=Klein+Tools+6986INS+Slim-Tip+1000V+Insulated+Screwdriver%2C+%231+Square%2C+6-Inch+Round+Shank&amp;qid=1694735117&amp;sr=8-1", "https://www.amazon.com/Klein-Tools-6986INS-Screwdriver-Cushion-Grip/dp/B09GPYQ7DM/ref=sr_1_1?keywords=Klein+Tools+6986INS+Slim-Tip+1000V+Insulated+Screwdriver%2C+%231+Square%2C+6-Inch+Round+Shank&amp;qid=1694735117&amp;sr=8-1")</f>
        <v/>
      </c>
      <c r="F6026" t="inlineStr">
        <is>
          <t>B09GPYQ7DM</t>
        </is>
      </c>
      <c r="G6026">
        <f>_xludf.IMAGE("https://edmondsonsupply.com/cdn/shop/products/6986ins.jpg?v=1664806830")</f>
        <v/>
      </c>
      <c r="H6026">
        <f>_xludf.IMAGE("https://m.media-amazon.com/images/I/41d5Ic37xZL._AC_UL320_.jpg")</f>
        <v/>
      </c>
      <c r="K6026" t="inlineStr">
        <is>
          <t>14.99</t>
        </is>
      </c>
      <c r="L6026" t="n">
        <v>14.99</v>
      </c>
      <c r="M6026" s="1" t="inlineStr">
        <is>
          <t>0.00%</t>
        </is>
      </c>
      <c r="N6026" s="1" t="n"/>
      <c r="O6026" t="n">
        <v>4.8</v>
      </c>
      <c r="P6026" t="n">
        <v>29</v>
      </c>
      <c r="R6026" t="inlineStr">
        <is>
          <t>InStock</t>
        </is>
      </c>
      <c r="S6026" t="inlineStr">
        <is>
          <t>20.98</t>
        </is>
      </c>
      <c r="T6026" t="inlineStr">
        <is>
          <t>7837634461912</t>
        </is>
      </c>
    </row>
    <row r="6027" ht="87" customHeight="1">
      <c r="A6027" s="2">
        <f>HYPERLINK("https://edmondsonsupply.com/collections/electricians-tools/products/klein-tools-56412-rechargeable-led-flashlight-with-worklight", "https://edmondsonsupply.com/collections/electricians-tools/products/klein-tools-56412-rechargeable-led-flashlight-with-worklight")</f>
        <v/>
      </c>
      <c r="B6027" s="2">
        <f>HYPERLINK("https://edmondsonsupply.com/products/klein-tools-56412-rechargeable-led-flashlight-with-worklight", "https://edmondsonsupply.com/products/klein-tools-56412-rechargeable-led-flashlight-with-worklight")</f>
        <v/>
      </c>
      <c r="C6027" t="inlineStr">
        <is>
          <t>Klein Tools 56412 Rechargeable LED Flashlight with Worklight</t>
        </is>
      </c>
      <c r="D6027" t="inlineStr">
        <is>
          <t>Klein Tools 56403 LED Light, Rechargeable Flashlight / Worklight with Kickstand and Carabiner, Charges Small Electronics, for Work, Camping</t>
        </is>
      </c>
      <c r="E6027" s="2">
        <f>HYPERLINK("https://www.amazon.com/Klein-Tools-56403-Rechargeable-Illumination/dp/B07V4FTX6C/ref=sr_1_2?keywords=Klein+Tools+56412+Rechargeable+LED+Flashlight+with+Worklight&amp;qid=1694735114&amp;sr=8-2", "https://www.amazon.com/Klein-Tools-56403-Rechargeable-Illumination/dp/B07V4FTX6C/ref=sr_1_2?keywords=Klein+Tools+56412+Rechargeable+LED+Flashlight+with+Worklight&amp;qid=1694735114&amp;sr=8-2")</f>
        <v/>
      </c>
      <c r="F6027" t="inlineStr">
        <is>
          <t>B07V4FTX6C</t>
        </is>
      </c>
      <c r="G6027">
        <f>_xlfn.IMAGE("https://edmondsonsupply.com/cdn/shop/products/56412.jpg?v=1663953549")</f>
        <v/>
      </c>
      <c r="H6027">
        <f>_xlfn.IMAGE("https://m.media-amazon.com/images/I/61Gs90A8wDL._AC_UL320_.jpg")</f>
        <v/>
      </c>
      <c r="K6027" t="inlineStr">
        <is>
          <t>39.97</t>
        </is>
      </c>
      <c r="L6027" t="n">
        <v>39.97</v>
      </c>
      <c r="M6027" s="1" t="inlineStr">
        <is>
          <t>0.00%</t>
        </is>
      </c>
      <c r="N6027" s="7" t="n"/>
      <c r="O6027" t="n">
        <v>4.8</v>
      </c>
      <c r="P6027" t="n">
        <v>2746</v>
      </c>
      <c r="R6027" t="inlineStr">
        <is>
          <t>InStock</t>
        </is>
      </c>
      <c r="S6027" t="inlineStr">
        <is>
          <t>59.64</t>
        </is>
      </c>
      <c r="T6027" t="inlineStr">
        <is>
          <t>7827358056664</t>
        </is>
      </c>
    </row>
    <row r="6028" ht="87" customHeight="1">
      <c r="A6028" s="2">
        <f>HYPERLINK("https://edmondsonsupply.com/collections/electricians-tools/products/klein-tools-56412-rechargeable-led-flashlight-with-worklight", "https://edmondsonsupply.com/collections/electricians-tools/products/klein-tools-56412-rechargeable-led-flashlight-with-worklight")</f>
        <v/>
      </c>
      <c r="B6028" s="2">
        <f>HYPERLINK("https://edmondsonsupply.com/products/klein-tools-56412-rechargeable-led-flashlight-with-worklight", "https://edmondsonsupply.com/products/klein-tools-56412-rechargeable-led-flashlight-with-worklight")</f>
        <v/>
      </c>
      <c r="C6028" t="inlineStr">
        <is>
          <t>Klein Tools 56412 Rechargeable LED Flashlight with Worklight</t>
        </is>
      </c>
      <c r="D6028" t="inlineStr">
        <is>
          <t>Klein Tools 56412 Rechargeable LED Flashlight with Worklight, 500 Lumens, USB Charging Cable, Pocket Clip, Battery Life Indicator, Magnetic</t>
        </is>
      </c>
      <c r="E6028" s="2">
        <f>HYPERLINK("https://www.amazon.com/Rechargeable-Flashlight-Worklight-Klein-Tools/dp/B0947YMH51/ref=sr_1_1?keywords=Klein+Tools+56412+Rechargeable+LED+Flashlight+with+Worklight&amp;qid=1694735114&amp;sr=8-1", "https://www.amazon.com/Rechargeable-Flashlight-Worklight-Klein-Tools/dp/B0947YMH51/ref=sr_1_1?keywords=Klein+Tools+56412+Rechargeable+LED+Flashlight+with+Worklight&amp;qid=1694735114&amp;sr=8-1")</f>
        <v/>
      </c>
      <c r="F6028" t="inlineStr">
        <is>
          <t>B0947YMH51</t>
        </is>
      </c>
      <c r="G6028">
        <f>_xlfn.IMAGE("https://edmondsonsupply.com/cdn/shop/products/56412.jpg?v=1663953549")</f>
        <v/>
      </c>
      <c r="H6028">
        <f>_xlfn.IMAGE("https://m.media-amazon.com/images/I/51Of8ojN4aS._AC_UL320_.jpg")</f>
        <v/>
      </c>
      <c r="K6028" t="inlineStr">
        <is>
          <t>39.97</t>
        </is>
      </c>
      <c r="L6028" t="n">
        <v>39.97</v>
      </c>
      <c r="M6028" s="1" t="inlineStr">
        <is>
          <t>0.00%</t>
        </is>
      </c>
      <c r="N6028" s="7" t="n"/>
      <c r="O6028" t="n">
        <v>4.6</v>
      </c>
      <c r="P6028" t="n">
        <v>418</v>
      </c>
      <c r="R6028" t="inlineStr">
        <is>
          <t>InStock</t>
        </is>
      </c>
      <c r="S6028" t="inlineStr">
        <is>
          <t>59.64</t>
        </is>
      </c>
      <c r="T6028" t="inlineStr">
        <is>
          <t>7827358056664</t>
        </is>
      </c>
    </row>
    <row r="6029" hidden="1" ht="15.75" customHeight="1">
      <c r="A6029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6029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6029" t="inlineStr">
        <is>
          <t>Klein Tools 6816INS Insulated Screwdriver, 3/16-Inch Cabinet Tip, 6-Inch Round Shank</t>
        </is>
      </c>
      <c r="D6029" t="inlineStr">
        <is>
          <t>Klein Tools 6866INS Insulated Screwdriver, 1000V 5/16-Inch Cabinet Tip, Screwdriver with 6-Inch Shank, Tip-Ident, Cushion-Grip Handle</t>
        </is>
      </c>
      <c r="E6029" s="2">
        <f>HYPERLINK("https://www.amazon.com/Klein-Tools-6866INS-Screwdriver-Cushion-Grip/dp/B0BF73PSWC/ref=sr_1_4?keywords=Klein+Tools+6816INS+Insulated+Screwdriver%2C+3%2F16-Inch+Cabinet+Tip%2C+6-Inch+Round+Shank&amp;qid=1694735104&amp;sr=8-4", "https://www.amazon.com/Klein-Tools-6866INS-Screwdriver-Cushion-Grip/dp/B0BF73PSWC/ref=sr_1_4?keywords=Klein+Tools+6816INS+Insulated+Screwdriver%2C+3%2F16-Inch+Cabinet+Tip%2C+6-Inch+Round+Shank&amp;qid=1694735104&amp;sr=8-4")</f>
        <v/>
      </c>
      <c r="F6029" t="inlineStr">
        <is>
          <t>B0BF73PSWC</t>
        </is>
      </c>
      <c r="G6029">
        <f>_xludf.IMAGE("https://edmondsonsupply.com/cdn/shop/products/6816ins.jpg?v=1664812840")</f>
        <v/>
      </c>
      <c r="H6029">
        <f>_xludf.IMAGE("https://m.media-amazon.com/images/I/41Sx5h6xG-L._AC_UL320_.jpg")</f>
        <v/>
      </c>
      <c r="K6029" t="inlineStr">
        <is>
          <t>11.97</t>
        </is>
      </c>
      <c r="L6029" t="n">
        <v>11.97</v>
      </c>
      <c r="M6029" s="1" t="inlineStr">
        <is>
          <t>0.00%</t>
        </is>
      </c>
      <c r="N6029" s="1" t="n"/>
      <c r="O6029" t="n">
        <v>4.9</v>
      </c>
      <c r="P6029" t="n">
        <v>202</v>
      </c>
      <c r="R6029" t="inlineStr">
        <is>
          <t>InStock</t>
        </is>
      </c>
      <c r="S6029" t="inlineStr">
        <is>
          <t>17.98</t>
        </is>
      </c>
      <c r="T6029" t="inlineStr">
        <is>
          <t>7837697966296</t>
        </is>
      </c>
    </row>
    <row r="6030" hidden="1" ht="15.75" customHeight="1">
      <c r="A6030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6030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6030" t="inlineStr">
        <is>
          <t>Klein Tools 6816INS Insulated Screwdriver, 3/16-Inch Cabinet Tip, 6-Inch Round Shank</t>
        </is>
      </c>
      <c r="D6030" t="inlineStr">
        <is>
          <t>Klein Tools 6816INS Insulated Screwdriver, 1000V 3/16-Inch Cabinet Tip Screwdriver with 6-Inch Shank, Tip-Ident, Cushion-Grip Handle</t>
        </is>
      </c>
      <c r="E6030" s="2">
        <f>HYPERLINK("https://www.amazon.com/Klein-Tools-6816INS-Screwdriver-Cushion-Grip/dp/B0BF7JHR5X/ref=sr_1_2?keywords=Klein+Tools+6816INS+Insulated+Screwdriver%2C+3%2F16-Inch+Cabinet+Tip%2C+6-Inch+Round+Shank&amp;qid=1694735104&amp;sr=8-2", "https://www.amazon.com/Klein-Tools-6816INS-Screwdriver-Cushion-Grip/dp/B0BF7JHR5X/ref=sr_1_2?keywords=Klein+Tools+6816INS+Insulated+Screwdriver%2C+3%2F16-Inch+Cabinet+Tip%2C+6-Inch+Round+Shank&amp;qid=1694735104&amp;sr=8-2")</f>
        <v/>
      </c>
      <c r="F6030" t="inlineStr">
        <is>
          <t>B0BF7JHR5X</t>
        </is>
      </c>
      <c r="G6030">
        <f>_xludf.IMAGE("https://edmondsonsupply.com/cdn/shop/products/6816ins.jpg?v=1664812840")</f>
        <v/>
      </c>
      <c r="H6030">
        <f>_xludf.IMAGE("https://m.media-amazon.com/images/I/31ngLMMA6xL._AC_UL320_.jpg")</f>
        <v/>
      </c>
      <c r="K6030" t="inlineStr">
        <is>
          <t>11.97</t>
        </is>
      </c>
      <c r="L6030" t="n">
        <v>11.97</v>
      </c>
      <c r="M6030" s="1" t="inlineStr">
        <is>
          <t>0.00%</t>
        </is>
      </c>
      <c r="N6030" s="1" t="n"/>
      <c r="O6030" t="n">
        <v>4</v>
      </c>
      <c r="P6030" t="n">
        <v>6</v>
      </c>
      <c r="R6030" t="inlineStr">
        <is>
          <t>InStock</t>
        </is>
      </c>
      <c r="S6030" t="inlineStr">
        <is>
          <t>17.98</t>
        </is>
      </c>
      <c r="T6030" t="inlineStr">
        <is>
          <t>7837697966296</t>
        </is>
      </c>
    </row>
    <row r="6031" ht="87" customHeight="1">
      <c r="A6031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6031" s="2">
        <f>HYPERLINK("https://edmondsonsupply.com/products/klein-tools-32900-7-in-1-impact-flip-socket-with-handle", "https://edmondsonsupply.com/products/klein-tools-32900-7-in-1-impact-flip-socket-with-handle")</f>
        <v/>
      </c>
      <c r="C6031" t="inlineStr">
        <is>
          <t>Klein Tools 32900 7-in-1 Impact Flip Socket with Handle</t>
        </is>
      </c>
      <c r="D6031" t="inlineStr">
        <is>
          <t>Klein Tools 32717 Precision Screwdriver Set with Case, All-in-One Multi-Function Repair Tool Kit Includes 39 Bits for Apple Products &amp; 32900 Impact Driver, 7-in-1 Impact Flip Socket Set with Handle</t>
        </is>
      </c>
      <c r="E6031" s="2">
        <f>HYPERLINK("https://www.amazon.com/Klein-Tools-Precision-Screwdriver-Multi-Function/dp/B0CB12C2ND/ref=sr_1_8?keywords=Klein+Tools+32900+7-in-1+Impact+Flip+Socket+with+Handle&amp;qid=1694735103&amp;sr=8-8", "https://www.amazon.com/Klein-Tools-Precision-Screwdriver-Multi-Function/dp/B0CB12C2ND/ref=sr_1_8?keywords=Klein+Tools+32900+7-in-1+Impact+Flip+Socket+with+Handle&amp;qid=1694735103&amp;sr=8-8")</f>
        <v/>
      </c>
      <c r="F6031" t="inlineStr">
        <is>
          <t>B0CB12C2ND</t>
        </is>
      </c>
      <c r="G6031">
        <f>_xlfn.IMAGE("https://edmondsonsupply.com/cdn/shop/products/32900_b.jpg?v=1666024787")</f>
        <v/>
      </c>
      <c r="H6031">
        <f>_xlfn.IMAGE("https://m.media-amazon.com/images/I/51QIIQOlsBL._AC_UL320_.jpg")</f>
        <v/>
      </c>
      <c r="K6031" t="inlineStr">
        <is>
          <t>29.97</t>
        </is>
      </c>
      <c r="L6031" t="n">
        <v>29.97</v>
      </c>
      <c r="M6031" s="1" t="inlineStr">
        <is>
          <t>0.00%</t>
        </is>
      </c>
      <c r="N6031" s="7" t="n"/>
      <c r="O6031" t="n">
        <v>4.9</v>
      </c>
      <c r="P6031" t="n">
        <v>2759</v>
      </c>
      <c r="R6031" t="inlineStr">
        <is>
          <t>InStock</t>
        </is>
      </c>
      <c r="S6031" t="inlineStr">
        <is>
          <t>45.0</t>
        </is>
      </c>
      <c r="T6031" t="inlineStr">
        <is>
          <t>7856651239640</t>
        </is>
      </c>
    </row>
    <row r="6032" hidden="1" ht="15.75" customHeight="1">
      <c r="A6032" s="2">
        <f>HYPERLINK("https://edmondsonsupply.com/collections/electricians-tools/products/klein-tools-32238-drill-tap-8-32", "https://edmondsonsupply.com/collections/electricians-tools/products/klein-tools-32238-drill-tap-8-32")</f>
        <v/>
      </c>
      <c r="B6032" s="2">
        <f>HYPERLINK("https://edmondsonsupply.com/products/klein-tools-32238-drill-tap-8-32", "https://edmondsonsupply.com/products/klein-tools-32238-drill-tap-8-32")</f>
        <v/>
      </c>
      <c r="C6032" t="inlineStr">
        <is>
          <t>Klein Tools 32238 Drill Tap, 8-32</t>
        </is>
      </c>
      <c r="D6032" t="inlineStr">
        <is>
          <t>Klein Tools 32241 Drill Tap, 12-24</t>
        </is>
      </c>
      <c r="E6032" s="2">
        <f>HYPERLINK("https://www.amazon.com/12-24-Drill-Klein-Tools-32241/dp/B019874QVY/ref=sr_1_36?keywords=Klein+Tools+32238+Drill+Tap%2C+8-32&amp;qid=1694735339&amp;sr=8-36", "https://www.amazon.com/12-24-Drill-Klein-Tools-32241/dp/B019874QVY/ref=sr_1_36?keywords=Klein+Tools+32238+Drill+Tap%2C+8-32&amp;qid=1694735339&amp;sr=8-36")</f>
        <v/>
      </c>
      <c r="F6032" t="inlineStr">
        <is>
          <t>B019874QVY</t>
        </is>
      </c>
      <c r="G6032">
        <f>_xludf.IMAGE("https://edmondsonsupply.com/cdn/shop/products/32238.jpg?v=1587151206")</f>
        <v/>
      </c>
      <c r="H6032">
        <f>_xludf.IMAGE("https://m.media-amazon.com/images/I/41fNNNsIAVL._AC_UL320_.jpg")</f>
        <v/>
      </c>
      <c r="K6032" t="inlineStr">
        <is>
          <t>6.99</t>
        </is>
      </c>
      <c r="L6032" t="n">
        <v>6.99</v>
      </c>
      <c r="M6032" s="1" t="inlineStr">
        <is>
          <t>0.00%</t>
        </is>
      </c>
      <c r="N6032" s="1" t="n"/>
      <c r="O6032" t="n">
        <v>4.4</v>
      </c>
      <c r="P6032" t="n">
        <v>22</v>
      </c>
      <c r="R6032" t="inlineStr">
        <is>
          <t>InStock</t>
        </is>
      </c>
      <c r="S6032" t="inlineStr">
        <is>
          <t>10.64</t>
        </is>
      </c>
      <c r="T6032" t="inlineStr">
        <is>
          <t>4505605832804</t>
        </is>
      </c>
    </row>
    <row r="6033" hidden="1" ht="15.75" customHeight="1">
      <c r="A6033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6033" s="2">
        <f>HYPERLINK("https://edmondsonsupply.com/products/klein-tools-31940-bi-metal-hole-saw-2-1-2-inch", "https://edmondsonsupply.com/products/klein-tools-31940-bi-metal-hole-saw-2-1-2-inch")</f>
        <v/>
      </c>
      <c r="C6033" t="inlineStr">
        <is>
          <t>Klein Tools 31940 Bi-Metal Hole Saw, 2-1/2-Inch</t>
        </is>
      </c>
      <c r="D6033" t="inlineStr">
        <is>
          <t>Klein Tools 31958 Bi-Metal Hole Saw, Heavy-Duty 3 5/8-Inch Steel Cutting Hole Saw with Multiple Leverage Points</t>
        </is>
      </c>
      <c r="E6033" s="2">
        <f>HYPERLINK("https://www.amazon.com/Bi-Metal-8-Inch-Klein-Tools-31958/dp/B01987566S/ref=sr_1_15?keywords=Klein+Tools+31940+Bi-Metal+Hole+Saw%2C+2-1%2F2-Inch&amp;qid=1694735159&amp;sr=8-15", "https://www.amazon.com/Bi-Metal-8-Inch-Klein-Tools-31958/dp/B01987566S/ref=sr_1_15?keywords=Klein+Tools+31940+Bi-Metal+Hole+Saw%2C+2-1%2F2-Inch&amp;qid=1694735159&amp;sr=8-15")</f>
        <v/>
      </c>
      <c r="F6033" t="inlineStr">
        <is>
          <t>B01987566S</t>
        </is>
      </c>
      <c r="G6033">
        <f>_xludf.IMAGE("https://edmondsonsupply.com/cdn/shop/products/31940.jpg?v=1649380086")</f>
        <v/>
      </c>
      <c r="H6033">
        <f>_xludf.IMAGE("https://m.media-amazon.com/images/I/417oWF+SE6L._AC_UL320_.jpg")</f>
        <v/>
      </c>
      <c r="K6033" t="inlineStr">
        <is>
          <t>13.99</t>
        </is>
      </c>
      <c r="L6033" t="n">
        <v>13.99</v>
      </c>
      <c r="M6033" s="1" t="inlineStr">
        <is>
          <t>0.00%</t>
        </is>
      </c>
      <c r="N6033" s="1" t="n"/>
      <c r="O6033" t="n">
        <v>4.6</v>
      </c>
      <c r="P6033" t="n">
        <v>252</v>
      </c>
      <c r="R6033" t="inlineStr">
        <is>
          <t>InStock</t>
        </is>
      </c>
      <c r="S6033" t="inlineStr">
        <is>
          <t>18.22</t>
        </is>
      </c>
      <c r="T6033" t="inlineStr">
        <is>
          <t>7657257074904</t>
        </is>
      </c>
    </row>
    <row r="6034" ht="87" customHeight="1">
      <c r="A6034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6034" s="2">
        <f>HYPERLINK("https://edmondsonsupply.com/products/klein-tools-32510-magnetic-screwdriver-with-32-tamperproof-bits", "https://edmondsonsupply.com/products/klein-tools-32510-magnetic-screwdriver-with-32-tamperproof-bits")</f>
        <v/>
      </c>
      <c r="C6034" t="inlineStr">
        <is>
          <t>Klein Tools 32510 Magnetic Screwdriver with 32 Tamperproof Bits</t>
        </is>
      </c>
      <c r="D6034" t="inlineStr">
        <is>
          <t>Klein Tools 32510 Magnetic Multibit Screwdriver with Sturdy Torx, Hex, Spanner, Tri-Wing, Torq and Nut Tamperproof Bits and Storage Block</t>
        </is>
      </c>
      <c r="E6034" s="2">
        <f>HYPERLINK("https://www.amazon.com/Klein-Tools-32510-Screwdriver-Tamperproof/dp/B0018BS7GY/ref=sr_1_1?keywords=Klein+Tools+32510+Magnetic+Screwdriver+with+32+Tamperproof+Bits&amp;qid=1694735159&amp;sr=8-1", "https://www.amazon.com/Klein-Tools-32510-Screwdriver-Tamperproof/dp/B0018BS7GY/ref=sr_1_1?keywords=Klein+Tools+32510+Magnetic+Screwdriver+with+32+Tamperproof+Bits&amp;qid=1694735159&amp;sr=8-1")</f>
        <v/>
      </c>
      <c r="F6034" t="inlineStr">
        <is>
          <t>B0018BS7GY</t>
        </is>
      </c>
      <c r="G6034">
        <f>_xlfn.IMAGE("https://edmondsonsupply.com/cdn/shop/products/32510_alt2.jpg?v=1653267434")</f>
        <v/>
      </c>
      <c r="H6034">
        <f>_xlfn.IMAGE("https://m.media-amazon.com/images/I/51bvmlQNvEL._AC_UL320_.jpg")</f>
        <v/>
      </c>
      <c r="K6034" t="inlineStr">
        <is>
          <t>29.97</t>
        </is>
      </c>
      <c r="L6034" t="n">
        <v>29.97</v>
      </c>
      <c r="M6034" s="1" t="inlineStr">
        <is>
          <t>0.00%</t>
        </is>
      </c>
      <c r="N6034" s="7" t="n"/>
      <c r="O6034" t="n">
        <v>4.8</v>
      </c>
      <c r="P6034" t="n">
        <v>1329</v>
      </c>
      <c r="R6034" t="inlineStr">
        <is>
          <t>InStock</t>
        </is>
      </c>
      <c r="S6034" t="inlineStr">
        <is>
          <t>43.88</t>
        </is>
      </c>
      <c r="T6034" t="inlineStr">
        <is>
          <t>7696117367000</t>
        </is>
      </c>
    </row>
    <row r="6035" ht="87" customHeight="1">
      <c r="A6035" s="2">
        <f>HYPERLINK("https://edmondsonsupply.com/collections/electricians-tools/products/klein-tools-55913-tradesman-pro%E2%84%A2-modular-parts-pouch-with-belt-clip", "https://edmondsonsupply.com/collections/electricians-tools/products/klein-tools-55913-tradesman-pro%E2%84%A2-modular-parts-pouch-with-belt-clip")</f>
        <v/>
      </c>
      <c r="B6035" s="2">
        <f>HYPERLINK("https://edmondsonsupply.com/products/klein-tools-55913-tradesman-pro%e2%84%a2-modular-parts-pouch-with-belt-clip", "https://edmondsonsupply.com/products/klein-tools-55913-tradesman-pro%e2%84%a2-modular-parts-pouch-with-belt-clip")</f>
        <v/>
      </c>
      <c r="C6035" t="inlineStr">
        <is>
          <t>Klein Tools 55913 Tradesman Pro™ Modular Parts Pouch with Belt Clip</t>
        </is>
      </c>
      <c r="D6035" t="inlineStr">
        <is>
          <t>Klein Tools 55913 Tool Pouch, Tradesman Pro Modular Parts Pouch with Belt Clip works with Klein Click Lock Modular Wall Rack and Tool Belts</t>
        </is>
      </c>
      <c r="E6035" s="2">
        <f>HYPERLINK("https://www.amazon.com/Klein-Tools-55913-Tradesman-Modular/dp/B084WLBQNT/ref=sr_1_1?keywords=Klein+Tools+55913+Tradesman+Pro%E2%84%A2+Modular+Parts+Pouch+with+Belt+Clip&amp;qid=1694735343&amp;sr=8-1", "https://www.amazon.com/Klein-Tools-55913-Tradesman-Modular/dp/B084WLBQNT/ref=sr_1_1?keywords=Klein+Tools+55913+Tradesman+Pro%E2%84%A2+Modular+Parts+Pouch+with+Belt+Clip&amp;qid=1694735343&amp;sr=8-1")</f>
        <v/>
      </c>
      <c r="F6035" t="inlineStr">
        <is>
          <t>B084WLBQNT</t>
        </is>
      </c>
      <c r="G6035">
        <f>_xlfn.IMAGE("https://edmondsonsupply.com/cdn/shop/products/55913.jpg?v=1587143426")</f>
        <v/>
      </c>
      <c r="H6035">
        <f>_xlfn.IMAGE("https://m.media-amazon.com/images/I/714xEYLyDBL._AC_UL320_.jpg")</f>
        <v/>
      </c>
      <c r="K6035" t="inlineStr">
        <is>
          <t>34.99</t>
        </is>
      </c>
      <c r="L6035" t="n">
        <v>34.99</v>
      </c>
      <c r="M6035" s="1" t="inlineStr">
        <is>
          <t>0.00%</t>
        </is>
      </c>
      <c r="N6035" s="7" t="n"/>
      <c r="O6035" t="n">
        <v>4.4</v>
      </c>
      <c r="P6035" t="n">
        <v>633</v>
      </c>
      <c r="R6035" t="inlineStr">
        <is>
          <t>InStock</t>
        </is>
      </c>
      <c r="S6035" t="inlineStr">
        <is>
          <t>49.0</t>
        </is>
      </c>
      <c r="T6035" t="inlineStr">
        <is>
          <t>4498945081444</t>
        </is>
      </c>
    </row>
    <row r="6036" ht="87" customHeight="1">
      <c r="A6036" s="2">
        <f>HYPERLINK("https://edmondsonsupply.com/collections/electricians-tools/products/klein-tools-55918-tradesman-pro%E2%84%A2-modular-tool-belt-m", "https://edmondsonsupply.com/collections/electricians-tools/products/klein-tools-55918-tradesman-pro%E2%84%A2-modular-tool-belt-m")</f>
        <v/>
      </c>
      <c r="B6036" s="2">
        <f>HYPERLINK("https://edmondsonsupply.com/products/klein-tools-55918-tradesman-pro%e2%84%a2-modular-tool-belt-m", "https://edmondsonsupply.com/products/klein-tools-55918-tradesman-pro%e2%84%a2-modular-tool-belt-m")</f>
        <v/>
      </c>
      <c r="C6036" t="inlineStr">
        <is>
          <t>Klein Tools 55918 Tradesman Pro™ Modular Tool Belt - M</t>
        </is>
      </c>
      <c r="D6036" t="inlineStr">
        <is>
          <t>Klein Tools 55918 Tool Belt, Electrician Tool Belt for use with Modular Pouches from Klein Tools Click Lock Modular System, Size M Black</t>
        </is>
      </c>
      <c r="E6036" s="2">
        <f>HYPERLINK("https://www.amazon.com/Klein-Tools-55918-Electrician-Modular/dp/B085S8CJCL/ref=sr_1_1?keywords=Klein+Tools+55918+Tradesman+Pro%E2%84%A2+Modular+Tool+Belt+-+M&amp;qid=1694735347&amp;sr=8-1", "https://www.amazon.com/Klein-Tools-55918-Electrician-Modular/dp/B085S8CJCL/ref=sr_1_1?keywords=Klein+Tools+55918+Tradesman+Pro%E2%84%A2+Modular+Tool+Belt+-+M&amp;qid=1694735347&amp;sr=8-1")</f>
        <v/>
      </c>
      <c r="F6036" t="inlineStr">
        <is>
          <t>B085S8CJCL</t>
        </is>
      </c>
      <c r="G6036">
        <f>_xlfn.IMAGE("https://edmondsonsupply.com/cdn/shop/products/55919.jpg?v=1587146701")</f>
        <v/>
      </c>
      <c r="H6036">
        <f>_xlfn.IMAGE("https://m.media-amazon.com/images/I/71Bym1tjK6L._AC_UL320_.jpg")</f>
        <v/>
      </c>
      <c r="K6036" t="inlineStr">
        <is>
          <t>35.99</t>
        </is>
      </c>
      <c r="L6036" t="n">
        <v>35.99</v>
      </c>
      <c r="M6036" s="1" t="inlineStr">
        <is>
          <t>0.00%</t>
        </is>
      </c>
      <c r="N6036" s="7" t="n"/>
      <c r="O6036" t="n">
        <v>4.4</v>
      </c>
      <c r="P6036" t="n">
        <v>633</v>
      </c>
      <c r="R6036" t="inlineStr">
        <is>
          <t>InStock</t>
        </is>
      </c>
      <c r="S6036" t="inlineStr">
        <is>
          <t>50.58</t>
        </is>
      </c>
      <c r="T6036" t="inlineStr">
        <is>
          <t>4498958254180</t>
        </is>
      </c>
    </row>
    <row r="6037" ht="87" customHeight="1">
      <c r="A6037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037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037" t="inlineStr">
        <is>
          <t>Klein Tools 2288RINS Diagonal Cutting Pliers, Insulated, High Leverage, 8-Inch</t>
        </is>
      </c>
      <c r="D6037" t="inlineStr">
        <is>
          <t>Klein Tools J248-8 Pliers, Diagonal Cutting Pliers with Angeled Head, Short Jaws, High-Leverage Design, 8-Inch</t>
        </is>
      </c>
      <c r="E6037" s="2">
        <f>HYPERLINK("https://www.amazon.com/Klein-Tools-J248-8-Diagonal-Cutters-Angled/dp/B000CRY52A/ref=sr_1_4?keywords=Klein+Tools+2288RINS+Diagonal+Cutting+Pliers%2C+Insulated%2C+High+Leverage%2C+8-Inch&amp;qid=1694735093&amp;sr=8-4", "https://www.amazon.com/Klein-Tools-J248-8-Diagonal-Cutters-Angled/dp/B000CRY52A/ref=sr_1_4?keywords=Klein+Tools+2288RINS+Diagonal+Cutting+Pliers%2C+Insulated%2C+High+Leverage%2C+8-Inch&amp;qid=1694735093&amp;sr=8-4")</f>
        <v/>
      </c>
      <c r="F6037" t="inlineStr">
        <is>
          <t>B000CRY52A</t>
        </is>
      </c>
      <c r="G6037">
        <f>_xlfn.IMAGE("https://edmondsonsupply.com/cdn/shop/products/2288rins.jpg?v=1667238570")</f>
        <v/>
      </c>
      <c r="H6037">
        <f>_xlfn.IMAGE("https://m.media-amazon.com/images/I/51AWyzskD+L._AC_UL320_.jpg")</f>
        <v/>
      </c>
      <c r="K6037" t="inlineStr">
        <is>
          <t>39.97</t>
        </is>
      </c>
      <c r="L6037" t="n">
        <v>39.97</v>
      </c>
      <c r="M6037" s="1" t="inlineStr">
        <is>
          <t>0.00%</t>
        </is>
      </c>
      <c r="N6037" s="7" t="n"/>
      <c r="O6037" t="n">
        <v>4.9</v>
      </c>
      <c r="P6037" t="n">
        <v>488</v>
      </c>
      <c r="R6037" t="inlineStr">
        <is>
          <t>InStock</t>
        </is>
      </c>
      <c r="S6037" t="inlineStr">
        <is>
          <t>55.98</t>
        </is>
      </c>
      <c r="T6037" t="inlineStr">
        <is>
          <t>7871537807576</t>
        </is>
      </c>
    </row>
    <row r="6038" hidden="1" ht="15.75" customHeight="1">
      <c r="A6038" s="2">
        <f>HYPERLINK("https://edmondsonsupply.com/collections/electricians-tools/products/klein-tools-60465-neck-and-face-cooling-band-high-visibility-yellow", "https://edmondsonsupply.com/collections/electricians-tools/products/klein-tools-60465-neck-and-face-cooling-band-high-visibility-yellow")</f>
        <v/>
      </c>
      <c r="B6038" s="2">
        <f>HYPERLINK("https://edmondsonsupply.com/products/klein-tools-60465-neck-and-face-cooling-band-high-visibility-yellow", "https://edmondsonsupply.com/products/klein-tools-60465-neck-and-face-cooling-band-high-visibility-yellow")</f>
        <v/>
      </c>
      <c r="C6038" t="inlineStr">
        <is>
          <t>Klein Tools 60465 Neck and Face Cooling Band, High-Visibility Yellow</t>
        </is>
      </c>
      <c r="D6038" t="inlineStr">
        <is>
          <t>Klein Tools 60465 Cooling Band for Neck and Face with Evaporative Performance Knit Fabric, Cools Instantly When Wet, UPF 50 Protection, Yellow</t>
        </is>
      </c>
      <c r="E6038" s="2">
        <f>HYPERLINK("https://www.amazon.com/Klein-60465-Evaporative-Performance-Protection/dp/B08L5LWPH3/ref=sr_1_2?keywords=Klein+Tools+60465+Neck+and+Face+Cooling+Band%2C+High-Visibility+Yellow&amp;qid=1694735163&amp;sr=8-2", "https://www.amazon.com/Klein-60465-Evaporative-Performance-Protection/dp/B08L5LWPH3/ref=sr_1_2?keywords=Klein+Tools+60465+Neck+and+Face+Cooling+Band%2C+High-Visibility+Yellow&amp;qid=1694735163&amp;sr=8-2")</f>
        <v/>
      </c>
      <c r="F6038" t="inlineStr">
        <is>
          <t>B08L5LWPH3</t>
        </is>
      </c>
      <c r="G6038">
        <f>_xludf.IMAGE("https://edmondsonsupply.com/cdn/shop/products/60465.jpg?v=1647478569")</f>
        <v/>
      </c>
      <c r="H6038">
        <f>_xludf.IMAGE("https://m.media-amazon.com/images/I/61XfIfPNM0L._AC_UL320_.jpg")</f>
        <v/>
      </c>
      <c r="K6038" t="inlineStr">
        <is>
          <t>9.99</t>
        </is>
      </c>
      <c r="L6038" t="n">
        <v>9.99</v>
      </c>
      <c r="M6038" s="1" t="inlineStr">
        <is>
          <t>0.00%</t>
        </is>
      </c>
      <c r="N6038" s="1" t="n"/>
      <c r="O6038" t="n">
        <v>4.4</v>
      </c>
      <c r="P6038" t="n">
        <v>66</v>
      </c>
      <c r="R6038" t="inlineStr">
        <is>
          <t>InStock</t>
        </is>
      </c>
      <c r="S6038" t="inlineStr">
        <is>
          <t>14.0</t>
        </is>
      </c>
      <c r="T6038" t="inlineStr">
        <is>
          <t>7638084387032</t>
        </is>
      </c>
    </row>
    <row r="6039" ht="87" customHeight="1">
      <c r="A6039" s="2">
        <f>HYPERLINK("https://edmondsonsupply.com/collections/electricians-tools/products/klein-tools-832-26-linemans-claw-milled-hammer", "https://edmondsonsupply.com/collections/electricians-tools/products/klein-tools-832-26-linemans-claw-milled-hammer")</f>
        <v/>
      </c>
      <c r="B6039" s="2">
        <f>HYPERLINK("https://edmondsonsupply.com/products/klein-tools-832-26-linemans-claw-milled-hammer", "https://edmondsonsupply.com/products/klein-tools-832-26-linemans-claw-milled-hammer")</f>
        <v/>
      </c>
      <c r="C6039" t="inlineStr">
        <is>
          <t>Klein Tools 832-26 Lineman's Claw Milled Hammer</t>
        </is>
      </c>
      <c r="D6039" t="inlineStr">
        <is>
          <t>Klein Tools 832-26 Lineman's Claw Milled Hammer, 26-Ounce, Fiberglass Handle, Heavy Duty for Utility Poles, Milled Face, High Visibility Orange</t>
        </is>
      </c>
      <c r="E6039" s="2">
        <f>HYPERLINK("https://www.amazon.com/Klein-Tools-832-26-Linemans-Fiberglass/dp/B08LPYBCR9/ref=sr_1_1?keywords=Klein+Tools+832-26+Linemans+Claw+Milled+Hammer&amp;qid=1694735164&amp;sr=8-1", "https://www.amazon.com/Klein-Tools-832-26-Linemans-Fiberglass/dp/B08LPYBCR9/ref=sr_1_1?keywords=Klein+Tools+832-26+Linemans+Claw+Milled+Hammer&amp;qid=1694735164&amp;sr=8-1")</f>
        <v/>
      </c>
      <c r="F6039" t="inlineStr">
        <is>
          <t>B08LPYBCR9</t>
        </is>
      </c>
      <c r="G6039">
        <f>_xlfn.IMAGE("https://edmondsonsupply.com/cdn/shop/products/83226_b.jpg?v=1648164275")</f>
        <v/>
      </c>
      <c r="H6039">
        <f>_xlfn.IMAGE("https://m.media-amazon.com/images/I/51Mm300N+bL._AC_UL320_.jpg")</f>
        <v/>
      </c>
      <c r="K6039" t="inlineStr">
        <is>
          <t>46.21</t>
        </is>
      </c>
      <c r="L6039" t="n">
        <v>46.21</v>
      </c>
      <c r="M6039" s="1" t="inlineStr">
        <is>
          <t>0.00%</t>
        </is>
      </c>
      <c r="N6039" s="7" t="n"/>
      <c r="O6039" t="n">
        <v>4.7</v>
      </c>
      <c r="P6039" t="n">
        <v>350</v>
      </c>
      <c r="R6039" t="inlineStr">
        <is>
          <t>InStock</t>
        </is>
      </c>
      <c r="S6039" t="inlineStr">
        <is>
          <t>77.02</t>
        </is>
      </c>
      <c r="T6039" t="inlineStr">
        <is>
          <t>7643083440344</t>
        </is>
      </c>
    </row>
    <row r="6040" ht="87" customHeight="1">
      <c r="A6040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6040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6040" t="inlineStr">
        <is>
          <t>Channellock 430X 10-Inch SPEEDGRIP™ Straight Jaw Tongue &amp; Groove Pliers</t>
        </is>
      </c>
      <c r="D6040" t="inlineStr">
        <is>
          <t>CHANNELLOCK 430X 10-inch SPEEDGRIP Straight Jaw Tongue &amp; Groove Pliers | Made in USA | Forged High Carbon Steel</t>
        </is>
      </c>
      <c r="E6040" s="2">
        <f>HYPERLINK("https://www.amazon.com/CHANNELLOCK-430X-10-inch-SPEEDGRIP-Straight/dp/B07P42JFMG/ref=sr_1_1?keywords=Channellock+430X+10-Inch+SPEEDGRIP%E2%84%A2+Straight+Jaw+Tongue+%26+Groove+Pliers&amp;qid=1694735165&amp;sr=8-1", "https://www.amazon.com/CHANNELLOCK-430X-10-inch-SPEEDGRIP-Straight/dp/B07P42JFMG/ref=sr_1_1?keywords=Channellock+430X+10-Inch+SPEEDGRIP%E2%84%A2+Straight+Jaw+Tongue+%26+Groove+Pliers&amp;qid=1694735165&amp;sr=8-1")</f>
        <v/>
      </c>
      <c r="F6040" t="inlineStr">
        <is>
          <t>B07P42JFMG</t>
        </is>
      </c>
      <c r="G6040">
        <f>_xlfn.IMAGE("https://edmondsonsupply.com/cdn/shop/products/430X.jpg?v=1647100497")</f>
        <v/>
      </c>
      <c r="H6040">
        <f>_xlfn.IMAGE("https://m.media-amazon.com/images/I/71xwTtkFcHL._AC_UL320_.jpg")</f>
        <v/>
      </c>
      <c r="K6040" t="inlineStr">
        <is>
          <t>26.95</t>
        </is>
      </c>
      <c r="L6040" t="n">
        <v>26.95</v>
      </c>
      <c r="M6040" s="1" t="inlineStr">
        <is>
          <t>0.00%</t>
        </is>
      </c>
      <c r="N6040" s="7" t="n"/>
      <c r="O6040" t="n">
        <v>4.4</v>
      </c>
      <c r="P6040" t="n">
        <v>577</v>
      </c>
      <c r="R6040" t="inlineStr">
        <is>
          <t>InStock</t>
        </is>
      </c>
      <c r="S6040" t="inlineStr">
        <is>
          <t>40.47</t>
        </is>
      </c>
      <c r="T6040" t="inlineStr">
        <is>
          <t>7633790238936</t>
        </is>
      </c>
    </row>
    <row r="6041" hidden="1" ht="15.75" customHeight="1">
      <c r="A6041" s="2">
        <f>HYPERLINK("https://edmondsonsupply.com/collections/electricians-tools/products/klein-tools-jth6e06-3-32-inch-hex-key-journeyman-t-handle-6-inch", "https://edmondsonsupply.com/collections/electricians-tools/products/klein-tools-jth6e06-3-32-inch-hex-key-journeyman-t-handle-6-inch")</f>
        <v/>
      </c>
      <c r="B6041" s="2">
        <f>HYPERLINK("https://edmondsonsupply.com/products/klein-tools-jth6e06-3-32-inch-hex-key-journeyman-t-handle-6-inch", "https://edmondsonsupply.com/products/klein-tools-jth6e06-3-32-inch-hex-key-journeyman-t-handle-6-inch")</f>
        <v/>
      </c>
      <c r="C6041" t="inlineStr">
        <is>
          <t>Klein Tools JTH6E06 3/32-Inch Hex Key, Journeyman T-Handle, 6-Inch</t>
        </is>
      </c>
      <c r="D6041" t="inlineStr">
        <is>
          <t>Klein Tools JTH6M3 3 mm Hex Key with Journeyman T-Handle, 6-Inch</t>
        </is>
      </c>
      <c r="E6041" s="2">
        <f>HYPERLINK("https://www.amazon.com/Journeyman-T-Handle-Klein-Tools-JTH6M3/dp/B005G394RG/ref=sr_1_7?keywords=Klein+Tools+JTH6E06+3%2F32-Inch+Hex+Key%2C+Journeyman+T-Handle%2C+6-Inch&amp;qid=1694735341&amp;sr=8-7", "https://www.amazon.com/Journeyman-T-Handle-Klein-Tools-JTH6M3/dp/B005G394RG/ref=sr_1_7?keywords=Klein+Tools+JTH6E06+3%2F32-Inch+Hex+Key%2C+Journeyman+T-Handle%2C+6-Inch&amp;qid=1694735341&amp;sr=8-7")</f>
        <v/>
      </c>
      <c r="F6041" t="inlineStr">
        <is>
          <t>B005G394RG</t>
        </is>
      </c>
      <c r="G6041">
        <f>_xludf.IMAGE("https://edmondsonsupply.com/cdn/shop/products/jth6e15_f3f40e05-27ea-4df2-91fc-a673e8aa5e4b.jpg?v=1587150971")</f>
        <v/>
      </c>
      <c r="H6041">
        <f>_xludf.IMAGE("https://m.media-amazon.com/images/I/51+1x0vz9XL._AC_UL320_.jpg")</f>
        <v/>
      </c>
      <c r="K6041" t="inlineStr">
        <is>
          <t>3.99</t>
        </is>
      </c>
      <c r="L6041" t="n">
        <v>3.99</v>
      </c>
      <c r="M6041" s="1" t="inlineStr">
        <is>
          <t>0.00%</t>
        </is>
      </c>
      <c r="N6041" s="1" t="n"/>
      <c r="O6041" t="n">
        <v>4.7</v>
      </c>
      <c r="P6041" t="n">
        <v>358</v>
      </c>
      <c r="R6041" t="inlineStr">
        <is>
          <t>InStock</t>
        </is>
      </c>
      <c r="S6041" t="inlineStr">
        <is>
          <t>6.04</t>
        </is>
      </c>
      <c r="T6041" t="inlineStr">
        <is>
          <t>4512703709284</t>
        </is>
      </c>
    </row>
    <row r="6042" hidden="1" ht="15.75" customHeight="1">
      <c r="A6042" s="2">
        <f>HYPERLINK("https://edmondsonsupply.com/collections/electricians-tools/products/klein-tools-jth4e10-5-32-inch-hex-key-journeyman-t-handle-4-inch", "https://edmondsonsupply.com/collections/electricians-tools/products/klein-tools-jth4e10-5-32-inch-hex-key-journeyman-t-handle-4-inch")</f>
        <v/>
      </c>
      <c r="B6042" s="2">
        <f>HYPERLINK("https://edmondsonsupply.com/products/klein-tools-jth4e10-5-32-inch-hex-key-journeyman-t-handle-4-inch", "https://edmondsonsupply.com/products/klein-tools-jth4e10-5-32-inch-hex-key-journeyman-t-handle-4-inch")</f>
        <v/>
      </c>
      <c r="C6042" t="inlineStr">
        <is>
          <t>Klein Tools JTH4E10 5/32-Inch Hex Key, Journeyman T-Handle, 4-Inch</t>
        </is>
      </c>
      <c r="D6042" t="inlineStr">
        <is>
          <t>Klein Tools JTH6M4 4 mm Hex Key, Journeyman T-Handle, 6-Inch</t>
        </is>
      </c>
      <c r="E6042" s="2">
        <f>HYPERLINK("https://www.amazon.com/Journeyman-T-Handle-Klein-Tools-JTH6M4/dp/B005G394YO/ref=sr_1_4?keywords=Klein+Tools+JTH4E10+5%2F32-Inch+Hex+Key%2C+Journeyman+T-Handle%2C+4-Inch&amp;qid=1694735166&amp;sr=8-4", "https://www.amazon.com/Journeyman-T-Handle-Klein-Tools-JTH6M4/dp/B005G394YO/ref=sr_1_4?keywords=Klein+Tools+JTH4E10+5%2F32-Inch+Hex+Key%2C+Journeyman+T-Handle%2C+4-Inch&amp;qid=1694735166&amp;sr=8-4")</f>
        <v/>
      </c>
      <c r="F6042" t="inlineStr">
        <is>
          <t>B005G394YO</t>
        </is>
      </c>
      <c r="G6042">
        <f>_xludf.IMAGE("https://edmondsonsupply.com/cdn/shop/products/jth4e17_ce261606-f524-49c5-9cd5-8c9f52dd1e03.jpg?v=1645565342")</f>
        <v/>
      </c>
      <c r="H6042">
        <f>_xludf.IMAGE("https://m.media-amazon.com/images/I/51+1x0vz9XL._AC_UL320_.jpg")</f>
        <v/>
      </c>
      <c r="K6042" t="inlineStr">
        <is>
          <t>3.99</t>
        </is>
      </c>
      <c r="L6042" t="n">
        <v>3.99</v>
      </c>
      <c r="M6042" s="1" t="inlineStr">
        <is>
          <t>0.00%</t>
        </is>
      </c>
      <c r="N6042" s="1" t="n"/>
      <c r="O6042" t="n">
        <v>4.7</v>
      </c>
      <c r="P6042" t="n">
        <v>1530</v>
      </c>
      <c r="R6042" t="inlineStr">
        <is>
          <t>InStock</t>
        </is>
      </c>
      <c r="S6042" t="inlineStr">
        <is>
          <t>6.04</t>
        </is>
      </c>
      <c r="T6042" t="inlineStr">
        <is>
          <t>7614353015000</t>
        </is>
      </c>
    </row>
    <row r="6043" ht="87" customHeight="1">
      <c r="A6043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6043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6043" t="inlineStr">
        <is>
          <t>Channellock 440X 12-Inch SPEEDGRIP™ Straight Jaw Tongue &amp; Groove Pliers</t>
        </is>
      </c>
      <c r="D6043" t="inlineStr">
        <is>
          <t>CHANNELLOCK 440X 12-inch SPEEDGRIP Straight Jaw Tongue &amp; Groove Pliers | Made in USA | Forged High Carbon Steel</t>
        </is>
      </c>
      <c r="E6043" s="2">
        <f>HYPERLINK("https://www.amazon.com/CHANNELLOCK-440X-12-inch-SPEEDGRIP-Straight/dp/B07R11V4X3/ref=sr_1_1?keywords=Channellock+440X+12-Inch+SPEEDGRIP%E2%84%A2+Straight+Jaw+Tongue+%26+Groove+Pliers&amp;qid=1694735165&amp;sr=8-1", "https://www.amazon.com/CHANNELLOCK-440X-12-inch-SPEEDGRIP-Straight/dp/B07R11V4X3/ref=sr_1_1?keywords=Channellock+440X+12-Inch+SPEEDGRIP%E2%84%A2+Straight+Jaw+Tongue+%26+Groove+Pliers&amp;qid=1694735165&amp;sr=8-1")</f>
        <v/>
      </c>
      <c r="F6043" t="inlineStr">
        <is>
          <t>B07R11V4X3</t>
        </is>
      </c>
      <c r="G6043">
        <f>_xlfn.IMAGE("https://edmondsonsupply.com/cdn/shop/products/440X.jpg?v=1647104734")</f>
        <v/>
      </c>
      <c r="H6043">
        <f>_xlfn.IMAGE("https://m.media-amazon.com/images/I/61zy7hHkDbL._AC_UL320_.jpg")</f>
        <v/>
      </c>
      <c r="K6043" t="inlineStr">
        <is>
          <t>32.95</t>
        </is>
      </c>
      <c r="L6043" t="n">
        <v>32.95</v>
      </c>
      <c r="M6043" s="1" t="inlineStr">
        <is>
          <t>0.00%</t>
        </is>
      </c>
      <c r="N6043" s="7" t="n"/>
      <c r="O6043" t="n">
        <v>4.4</v>
      </c>
      <c r="P6043" t="n">
        <v>577</v>
      </c>
      <c r="R6043" t="inlineStr">
        <is>
          <t>InStock</t>
        </is>
      </c>
      <c r="S6043" t="inlineStr">
        <is>
          <t>45.99</t>
        </is>
      </c>
      <c r="T6043" t="inlineStr">
        <is>
          <t>7633805279448</t>
        </is>
      </c>
    </row>
    <row r="6044" ht="87" customHeight="1">
      <c r="A6044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6044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6044" t="inlineStr">
        <is>
          <t>Klein Tools NCVT3PKIT Dual Range NCVT and AC/DC Voltage Tester Electrical Test Kit</t>
        </is>
      </c>
      <c r="D6044" t="inlineStr">
        <is>
          <t>Klein Tools NCVT3PKIT Electrical Test Kit, Dual-Range Non-Contact Voltage Tester with Flashlight, AC/DC Voltage Tester</t>
        </is>
      </c>
      <c r="E6044" s="2">
        <f>HYPERLINK("https://www.amazon.com/Klein-Tools-NCVT3PKIT-Electrical-Non-Contact/dp/B08SY9XFJK/ref=sr_1_1?keywords=Klein+Tools+NCVT3PKIT+Dual+Range+NCVT+and+AC%2FDC+Voltage+Tester+Electrical+Test+Kit&amp;qid=1694735090&amp;sr=8-1", "https://www.amazon.com/Klein-Tools-NCVT3PKIT-Electrical-Non-Contact/dp/B08SY9XFJK/ref=sr_1_1?keywords=Klein+Tools+NCVT3PKIT+Dual+Range+NCVT+and+AC%2FDC+Voltage+Tester+Electrical+Test+Kit&amp;qid=1694735090&amp;sr=8-1")</f>
        <v/>
      </c>
      <c r="F6044" t="inlineStr">
        <is>
          <t>B08SY9XFJK</t>
        </is>
      </c>
      <c r="G6044">
        <f>_xlfn.IMAGE("https://edmondsonsupply.com/cdn/shop/products/ncvt3pkit.jpg?v=1667228452")</f>
        <v/>
      </c>
      <c r="H6044">
        <f>_xlfn.IMAGE("https://m.media-amazon.com/images/I/519yG6StX0L._AC_UL320_.jpg")</f>
        <v/>
      </c>
      <c r="K6044" t="inlineStr">
        <is>
          <t>34.99</t>
        </is>
      </c>
      <c r="L6044" t="n">
        <v>34.99</v>
      </c>
      <c r="M6044" s="1" t="inlineStr">
        <is>
          <t>0.00%</t>
        </is>
      </c>
      <c r="N6044" s="7" t="n"/>
      <c r="O6044" t="n">
        <v>4.7</v>
      </c>
      <c r="P6044" t="n">
        <v>4222</v>
      </c>
      <c r="R6044" t="inlineStr">
        <is>
          <t>InStock</t>
        </is>
      </c>
      <c r="S6044" t="inlineStr">
        <is>
          <t>48.52</t>
        </is>
      </c>
      <c r="T6044" t="inlineStr">
        <is>
          <t>7871488032984</t>
        </is>
      </c>
    </row>
    <row r="6045" ht="87" customHeight="1">
      <c r="A6045" s="2">
        <f>HYPERLINK("https://edmondsonsupply.com/collections/electricians-tools/products/klein-tools-29610-powerhub-1", "https://edmondsonsupply.com/collections/electricians-tools/products/klein-tools-29610-powerhub-1")</f>
        <v/>
      </c>
      <c r="B6045" s="2">
        <f>HYPERLINK("https://edmondsonsupply.com/products/klein-tools-29610-powerhub-1", "https://edmondsonsupply.com/products/klein-tools-29610-powerhub-1")</f>
        <v/>
      </c>
      <c r="C6045" t="inlineStr">
        <is>
          <t>Klein Tools 29610 PowerHub 1</t>
        </is>
      </c>
      <c r="D6045" t="inlineStr">
        <is>
          <t>Klein Tools 29610 PowerHub, 6 Surge Protected Covered 15A Outlets, 5000 Lumen Work Light, 4 USB Ports, Built-in GFCI, Overcurrent Protection</t>
        </is>
      </c>
      <c r="E6045" s="2">
        <f>HYPERLINK("https://www.amazon.com/Klein-Tools-29610-Overcurrent-Protection/dp/B0BHTLTWCN/ref=sr_1_1?keywords=Klein+Tools+29610+PowerHub+1&amp;qid=1694735091&amp;sr=8-1", "https://www.amazon.com/Klein-Tools-29610-Overcurrent-Protection/dp/B0BHTLTWCN/ref=sr_1_1?keywords=Klein+Tools+29610+PowerHub+1&amp;qid=1694735091&amp;sr=8-1")</f>
        <v/>
      </c>
      <c r="F6045" t="inlineStr">
        <is>
          <t>B0BHTLTWCN</t>
        </is>
      </c>
      <c r="G6045">
        <f>_xlfn.IMAGE("https://edmondsonsupply.com/cdn/shop/products/29610.jpg?v=1667309582")</f>
        <v/>
      </c>
      <c r="H6045">
        <f>_xlfn.IMAGE("https://m.media-amazon.com/images/I/514lsNwaPNL._AC_UL320_.jpg")</f>
        <v/>
      </c>
      <c r="K6045" t="inlineStr">
        <is>
          <t>249.99</t>
        </is>
      </c>
      <c r="L6045" t="n">
        <v>249.99</v>
      </c>
      <c r="M6045" s="1" t="inlineStr">
        <is>
          <t>0.00%</t>
        </is>
      </c>
      <c r="N6045" s="7" t="n"/>
      <c r="O6045" t="n">
        <v>4.9</v>
      </c>
      <c r="P6045" t="n">
        <v>742</v>
      </c>
      <c r="R6045" t="inlineStr">
        <is>
          <t>InStock</t>
        </is>
      </c>
      <c r="S6045" t="inlineStr">
        <is>
          <t>373.98</t>
        </is>
      </c>
      <c r="T6045" t="inlineStr">
        <is>
          <t>7872351633624</t>
        </is>
      </c>
    </row>
    <row r="6046" ht="87" customHeight="1">
      <c r="A6046" s="2">
        <f>HYPERLINK("https://edmondsonsupply.com/collections/electricians-tools/products/milwaukee-2448-20-m12%E2%84%A2-cable-stapler", "https://edmondsonsupply.com/collections/electricians-tools/products/milwaukee-2448-20-m12%E2%84%A2-cable-stapler")</f>
        <v/>
      </c>
      <c r="B6046" s="2">
        <f>HYPERLINK("https://edmondsonsupply.com/products/milwaukee-2448-20-m12%e2%84%a2-cable-stapler", "https://edmondsonsupply.com/products/milwaukee-2448-20-m12%e2%84%a2-cable-stapler")</f>
        <v/>
      </c>
      <c r="C6046" t="inlineStr">
        <is>
          <t>Milwaukee 2448-20 M12™ Cable Stapler</t>
        </is>
      </c>
      <c r="D6046" t="inlineStr">
        <is>
          <t>Milwaukee M12 12-Volt Lithium-Ion Cordless Cable Stapler (Tool-Only), (2448-20)</t>
        </is>
      </c>
      <c r="E6046" s="2">
        <f>HYPERLINK("https://www.amazon.com/Milwaukee-Lithium-Ion-Cordless-Tool-Only-2448-20/dp/B0BQ1KTBDS/ref=sr_1_1?keywords=Milwaukee+2448-20+M12%E2%84%A2+Cable+Stapler&amp;qid=1694735084&amp;sr=8-1", "https://www.amazon.com/Milwaukee-Lithium-Ion-Cordless-Tool-Only-2448-20/dp/B0BQ1KTBDS/ref=sr_1_1?keywords=Milwaukee+2448-20+M12%E2%84%A2+Cable+Stapler&amp;qid=1694735084&amp;sr=8-1")</f>
        <v/>
      </c>
      <c r="F6046" t="inlineStr">
        <is>
          <t>B0BQ1KTBDS</t>
        </is>
      </c>
      <c r="G6046">
        <f>_xlfn.IMAGE("https://edmondsonsupply.com/cdn/shop/products/2448-20_1.webp?v=1671722158")</f>
        <v/>
      </c>
      <c r="H6046">
        <f>_xlfn.IMAGE("https://m.media-amazon.com/images/I/31t3oibBmiL._AC_UL320_.jpg")</f>
        <v/>
      </c>
      <c r="K6046" t="inlineStr">
        <is>
          <t>229.0</t>
        </is>
      </c>
      <c r="L6046" t="n">
        <v>229</v>
      </c>
      <c r="M6046" s="1" t="inlineStr">
        <is>
          <t>0.00%</t>
        </is>
      </c>
      <c r="N6046" s="7" t="n"/>
      <c r="O6046" t="n">
        <v>5</v>
      </c>
      <c r="P6046" t="n">
        <v>29</v>
      </c>
      <c r="R6046" t="inlineStr">
        <is>
          <t>InStock</t>
        </is>
      </c>
      <c r="S6046" t="inlineStr">
        <is>
          <t>404.0</t>
        </is>
      </c>
      <c r="T6046" t="inlineStr">
        <is>
          <t>7910236913880</t>
        </is>
      </c>
    </row>
    <row r="6047" ht="87" customHeight="1">
      <c r="A6047" s="2">
        <f>HYPERLINK("https://edmondsonsupply.com/collections/electricians-tools/products/klein-tools-9416r-1000v-insulated-tool-kit-3-piece", "https://edmondsonsupply.com/collections/electricians-tools/products/klein-tools-9416r-1000v-insulated-tool-kit-3-piece")</f>
        <v/>
      </c>
      <c r="B6047" s="2">
        <f>HYPERLINK("https://edmondsonsupply.com/products/klein-tools-9416r-1000v-insulated-tool-kit-3-piece", "https://edmondsonsupply.com/products/klein-tools-9416r-1000v-insulated-tool-kit-3-piece")</f>
        <v/>
      </c>
      <c r="C6047" t="inlineStr">
        <is>
          <t>Klein Tools 9416R 1000V Insulated Tool Kit, 3-Piece</t>
        </is>
      </c>
      <c r="D6047" t="inlineStr">
        <is>
          <t>Klein Tools 9416R 1000V Insulated Plier and Wire Stripper Tool Kit with Side-Cutter, Diagonal-Cutter and Wire Stripper, 3-Piece</t>
        </is>
      </c>
      <c r="E6047" s="2">
        <f>HYPERLINK("https://www.amazon.com/Klein-Tools-9416R-Side-Cutter-Diagonal-Cutter/dp/B0BG1G4MVK/ref=sr_1_1?keywords=Klein+Tools+9416R+1000V+Insulated+Tool+Kit%2C+3-Piece&amp;qid=1694735088&amp;sr=8-1", "https://www.amazon.com/Klein-Tools-9416R-Side-Cutter-Diagonal-Cutter/dp/B0BG1G4MVK/ref=sr_1_1?keywords=Klein+Tools+9416R+1000V+Insulated+Tool+Kit%2C+3-Piece&amp;qid=1694735088&amp;sr=8-1")</f>
        <v/>
      </c>
      <c r="F6047" t="inlineStr">
        <is>
          <t>B0BG1G4MVK</t>
        </is>
      </c>
      <c r="G6047">
        <f>_xlfn.IMAGE("https://edmondsonsupply.com/cdn/shop/products/9416r.jpg?v=1667327475")</f>
        <v/>
      </c>
      <c r="H6047">
        <f>_xlfn.IMAGE("https://m.media-amazon.com/images/I/51OrLBvKffL._AC_UL320_.jpg")</f>
        <v/>
      </c>
      <c r="K6047" t="inlineStr">
        <is>
          <t>84.99</t>
        </is>
      </c>
      <c r="L6047" t="n">
        <v>84.98999999999999</v>
      </c>
      <c r="M6047" s="1" t="inlineStr">
        <is>
          <t>0.00%</t>
        </is>
      </c>
      <c r="N6047" s="7" t="n"/>
      <c r="O6047" t="n">
        <v>4.6</v>
      </c>
      <c r="P6047" t="n">
        <v>54</v>
      </c>
      <c r="R6047" t="inlineStr">
        <is>
          <t>InStock</t>
        </is>
      </c>
      <c r="S6047" t="inlineStr">
        <is>
          <t>127.48</t>
        </is>
      </c>
      <c r="T6047" t="inlineStr">
        <is>
          <t>7872648347864</t>
        </is>
      </c>
    </row>
    <row r="6048" hidden="1" ht="15.75" customHeight="1">
      <c r="A6048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6048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6048" t="inlineStr">
        <is>
          <t>Klein Tools 630-1/4 1/4-Inch Nut Driver 3-Inch Shaft Cushion Grip</t>
        </is>
      </c>
      <c r="D6048" t="inlineStr">
        <is>
          <t>Capri Tools Kontour 1/4-Inch Nut Driver, 3-Inch Hollow Shaft</t>
        </is>
      </c>
      <c r="E6048" s="2">
        <f>HYPERLINK("https://www.amazon.com/Capri-Tools-Kontour-4-Inch-Driver/dp/B079G77TV8/ref=sr_1_20?keywords=Klein+Tools+630-1%2F4+1%2F4-Inch+Nut+Driver+3-Inch+Shaft+Cushion+Grip&amp;qid=1694735346&amp;sr=8-20", "https://www.amazon.com/Capri-Tools-Kontour-4-Inch-Driver/dp/B079G77TV8/ref=sr_1_20?keywords=Klein+Tools+630-1%2F4+1%2F4-Inch+Nut+Driver+3-Inch+Shaft+Cushion+Grip&amp;qid=1694735346&amp;sr=8-20")</f>
        <v/>
      </c>
      <c r="F6048" t="inlineStr">
        <is>
          <t>B079G77TV8</t>
        </is>
      </c>
      <c r="G6048">
        <f>_xludf.IMAGE("https://edmondsonsupply.com/cdn/shop/products/630-1-2_4777cf99-f2bc-4f84-bc42-7e765e2a9c37.jpg?v=1587150448")</f>
        <v/>
      </c>
      <c r="H6048">
        <f>_xludf.IMAGE("https://m.media-amazon.com/images/I/61WQl+EeauL._AC_UL320_.jpg")</f>
        <v/>
      </c>
      <c r="K6048" t="inlineStr">
        <is>
          <t>8.99</t>
        </is>
      </c>
      <c r="L6048" t="n">
        <v>8.99</v>
      </c>
      <c r="M6048" s="1" t="inlineStr">
        <is>
          <t>0.00%</t>
        </is>
      </c>
      <c r="N6048" s="1" t="n"/>
      <c r="O6048" t="n">
        <v>4.5</v>
      </c>
      <c r="P6048" t="n">
        <v>62</v>
      </c>
      <c r="R6048" t="inlineStr">
        <is>
          <t>InStock</t>
        </is>
      </c>
      <c r="S6048" t="inlineStr">
        <is>
          <t>11.36</t>
        </is>
      </c>
      <c r="T6048" t="inlineStr">
        <is>
          <t>4490760355940</t>
        </is>
      </c>
    </row>
    <row r="6049" ht="87" customHeight="1">
      <c r="A6049" s="2">
        <f>HYPERLINK("https://edmondsonsupply.com/collections/electricians-tools/products/klein-tools-55912-tradesman-pro%E2%84%A2-modular-piping-pouch-with-belt-clip", "https://edmondsonsupply.com/collections/electricians-tools/products/klein-tools-55912-tradesman-pro%E2%84%A2-modular-piping-pouch-with-belt-clip")</f>
        <v/>
      </c>
      <c r="B6049" s="2">
        <f>HYPERLINK("https://edmondsonsupply.com/products/klein-tools-55912-tradesman-pro%e2%84%a2-modular-piping-pouch-with-belt-clip", "https://edmondsonsupply.com/products/klein-tools-55912-tradesman-pro%e2%84%a2-modular-piping-pouch-with-belt-clip")</f>
        <v/>
      </c>
      <c r="C6049" t="inlineStr">
        <is>
          <t>Klein Tools 55912 Tradesman Pro™ Modular Piping Pouch with Belt Clip</t>
        </is>
      </c>
      <c r="D6049" t="inlineStr">
        <is>
          <t>Klein Tools 55912 Tool Pouch, Tradesman Pro Modular Piping Tool Pouch with Belt Clip for Klein Click Lock Modular Wall Rack and Tool Belts</t>
        </is>
      </c>
      <c r="E6049" s="2">
        <f>HYPERLINK("https://www.amazon.com/Klein-Tools-55912-Tradesman-Modular/dp/B084WH3XBV/ref=sr_1_1?keywords=Klein+Tools+55912+Tradesman+Pro%E2%84%A2+Modular+Piping+Pouch+with+Belt+Clip&amp;qid=1694735349&amp;sr=8-1", "https://www.amazon.com/Klein-Tools-55912-Tradesman-Modular/dp/B084WH3XBV/ref=sr_1_1?keywords=Klein+Tools+55912+Tradesman+Pro%E2%84%A2+Modular+Piping+Pouch+with+Belt+Clip&amp;qid=1694735349&amp;sr=8-1")</f>
        <v/>
      </c>
      <c r="F6049" t="inlineStr">
        <is>
          <t>B084WH3XBV</t>
        </is>
      </c>
      <c r="G6049">
        <f>_xlfn.IMAGE("https://edmondsonsupply.com/cdn/shop/products/55912.jpg?v=1587143428")</f>
        <v/>
      </c>
      <c r="H6049">
        <f>_xlfn.IMAGE("https://m.media-amazon.com/images/I/61059qDJhdL._AC_UL320_.jpg")</f>
        <v/>
      </c>
      <c r="K6049" t="inlineStr">
        <is>
          <t>29.99</t>
        </is>
      </c>
      <c r="L6049" t="n">
        <v>29.99</v>
      </c>
      <c r="M6049" s="1" t="inlineStr">
        <is>
          <t>0.00%</t>
        </is>
      </c>
      <c r="N6049" s="7" t="n"/>
      <c r="O6049" t="n">
        <v>4.4</v>
      </c>
      <c r="P6049" t="n">
        <v>633</v>
      </c>
      <c r="R6049" t="inlineStr">
        <is>
          <t>InStock</t>
        </is>
      </c>
      <c r="S6049" t="inlineStr">
        <is>
          <t>41.96</t>
        </is>
      </c>
      <c r="T6049" t="inlineStr">
        <is>
          <t>4498938888292</t>
        </is>
      </c>
    </row>
    <row r="6050" hidden="1" ht="15.75" customHeight="1">
      <c r="A6050" s="2">
        <f>HYPERLINK("https://edmondsonsupply.com/collections/electricians-tools/products/klein-tools-31874-replacement-hole-cutter-pilot-bit", "https://edmondsonsupply.com/collections/electricians-tools/products/klein-tools-31874-replacement-hole-cutter-pilot-bit")</f>
        <v/>
      </c>
      <c r="B6050" s="2">
        <f>HYPERLINK("https://edmondsonsupply.com/products/klein-tools-31874-replacement-hole-cutter-pilot-bit", "https://edmondsonsupply.com/products/klein-tools-31874-replacement-hole-cutter-pilot-bit")</f>
        <v/>
      </c>
      <c r="C6050" t="inlineStr">
        <is>
          <t>Klein Tools 31874 Replacement Hole Cutter Pilot Bit</t>
        </is>
      </c>
      <c r="D6050" t="inlineStr">
        <is>
          <t>Klein Tools 31874 Replacement Hole Cutter Pilot Bit</t>
        </is>
      </c>
      <c r="E6050" s="2">
        <f>HYPERLINK("https://www.amazon.com/Replacement-Cutter-Klein-Tools-31874/dp/B005ZU4F7E/ref=sr_1_1?keywords=Klein+Tools+31874+Replacement+Hole+Cutter+Pilot+Bit&amp;qid=1694735351&amp;sr=8-1", "https://www.amazon.com/Replacement-Cutter-Klein-Tools-31874/dp/B005ZU4F7E/ref=sr_1_1?keywords=Klein+Tools+31874+Replacement+Hole+Cutter+Pilot+Bit&amp;qid=1694735351&amp;sr=8-1")</f>
        <v/>
      </c>
      <c r="F6050" t="inlineStr">
        <is>
          <t>B005ZU4F7E</t>
        </is>
      </c>
      <c r="G6050">
        <f>_xludf.IMAGE("https://edmondsonsupply.com/cdn/shop/products/31874_b.jpg?v=1674494632")</f>
        <v/>
      </c>
      <c r="H6050">
        <f>_xludf.IMAGE("https://m.media-amazon.com/images/I/41gCuWi05EL._AC_UL320_.jpg")</f>
        <v/>
      </c>
      <c r="K6050" t="inlineStr">
        <is>
          <t>7.99</t>
        </is>
      </c>
      <c r="L6050" t="n">
        <v>7.99</v>
      </c>
      <c r="M6050" s="1" t="inlineStr">
        <is>
          <t>0.00%</t>
        </is>
      </c>
      <c r="N6050" s="1" t="n"/>
      <c r="O6050" t="n">
        <v>4.7</v>
      </c>
      <c r="P6050" t="n">
        <v>561</v>
      </c>
      <c r="R6050" t="inlineStr">
        <is>
          <t>InStock</t>
        </is>
      </c>
      <c r="S6050" t="inlineStr">
        <is>
          <t>10.54</t>
        </is>
      </c>
      <c r="T6050" t="inlineStr">
        <is>
          <t>4440725323876</t>
        </is>
      </c>
    </row>
    <row r="6051" ht="87" customHeight="1">
      <c r="A6051" s="2">
        <f>HYPERLINK("https://edmondsonsupply.com/collections/electricians-tools/products/klein-tools-lbl100-laser-line-bubble-level", "https://edmondsonsupply.com/collections/electricians-tools/products/klein-tools-lbl100-laser-line-bubble-level")</f>
        <v/>
      </c>
      <c r="B6051" s="2">
        <f>HYPERLINK("https://edmondsonsupply.com/products/klein-tools-lbl100-laser-line-bubble-level", "https://edmondsonsupply.com/products/klein-tools-lbl100-laser-line-bubble-level")</f>
        <v/>
      </c>
      <c r="C6051" t="inlineStr">
        <is>
          <t>Klein Tools LBL100 Laser Level with Bubble Vials, Magnetic</t>
        </is>
      </c>
      <c r="D6051" t="inlineStr">
        <is>
          <t>Klein Tools LBL100 Laser Level with Level Bubble Vials, Magnetic, 3-Vial with Leveling Base, Laser Line and Laser Spot, Orange</t>
        </is>
      </c>
      <c r="E6051" s="2">
        <f>HYPERLINK("https://www.amazon.com/Klein-Tools-LBL100-Magnetic-Leveling/dp/B085ST5CY4/ref=sr_1_1?keywords=Klein+Tools+LBL100+Laser+Level+with+Bubble+Vials%2C+Magnetic&amp;qid=1694735350&amp;sr=8-1", "https://www.amazon.com/Klein-Tools-LBL100-Magnetic-Leveling/dp/B085ST5CY4/ref=sr_1_1?keywords=Klein+Tools+LBL100+Laser+Level+with+Bubble+Vials%2C+Magnetic&amp;qid=1694735350&amp;sr=8-1")</f>
        <v/>
      </c>
      <c r="F6051" t="inlineStr">
        <is>
          <t>B085ST5CY4</t>
        </is>
      </c>
      <c r="G6051">
        <f>_xlfn.IMAGE("https://edmondsonsupply.com/cdn/shop/products/lbl100.jpg?v=1587146515")</f>
        <v/>
      </c>
      <c r="H6051">
        <f>_xlfn.IMAGE("https://m.media-amazon.com/images/I/51adE+hdA2L._AC_UL320_.jpg")</f>
        <v/>
      </c>
      <c r="K6051" t="inlineStr">
        <is>
          <t>59.97</t>
        </is>
      </c>
      <c r="L6051" t="n">
        <v>59.97</v>
      </c>
      <c r="M6051" s="1" t="inlineStr">
        <is>
          <t>0.00%</t>
        </is>
      </c>
      <c r="N6051" s="7" t="n"/>
      <c r="O6051" t="n">
        <v>4.5</v>
      </c>
      <c r="P6051" t="n">
        <v>762</v>
      </c>
      <c r="R6051" t="inlineStr">
        <is>
          <t>InStock</t>
        </is>
      </c>
      <c r="S6051" t="inlineStr">
        <is>
          <t>83.8</t>
        </is>
      </c>
      <c r="T6051" t="inlineStr">
        <is>
          <t>4499608043620</t>
        </is>
      </c>
    </row>
    <row r="6052" ht="87" customHeight="1">
      <c r="A6052" s="2">
        <f>HYPERLINK("https://edmondsonsupply.com/collections/electricians-tools/products/klein-tools-55920-tradesman-pro%E2%84%A2-modular-tool-belt-xl", "https://edmondsonsupply.com/collections/electricians-tools/products/klein-tools-55920-tradesman-pro%E2%84%A2-modular-tool-belt-xl")</f>
        <v/>
      </c>
      <c r="B6052" s="2">
        <f>HYPERLINK("https://edmondsonsupply.com/products/klein-tools-55920-tradesman-pro%e2%84%a2-modular-tool-belt-xl", "https://edmondsonsupply.com/products/klein-tools-55920-tradesman-pro%e2%84%a2-modular-tool-belt-xl")</f>
        <v/>
      </c>
      <c r="C6052" t="inlineStr">
        <is>
          <t>Klein Tools 55920 Tradesman Pro™ Modular Tool Belt - XL</t>
        </is>
      </c>
      <c r="D6052" t="inlineStr">
        <is>
          <t>Klein Tools 55920 Tool Belt, Electrician Tool Belt for use with Modular Pouches from Klein Tools Click Lock Modular System, Size XL Black</t>
        </is>
      </c>
      <c r="E6052" s="2">
        <f>HYPERLINK("https://www.amazon.com/Klein-Tools-55920-Electrician-Modular/dp/B085LPD3N6/ref=sr_1_2?keywords=Klein+Tools+55920+Tradesman+Pro%E2%84%A2+Modular+Tool+Belt+-+XL&amp;qid=1694735348&amp;sr=8-2", "https://www.amazon.com/Klein-Tools-55920-Electrician-Modular/dp/B085LPD3N6/ref=sr_1_2?keywords=Klein+Tools+55920+Tradesman+Pro%E2%84%A2+Modular+Tool+Belt+-+XL&amp;qid=1694735348&amp;sr=8-2")</f>
        <v/>
      </c>
      <c r="F6052" t="inlineStr">
        <is>
          <t>B085LPD3N6</t>
        </is>
      </c>
      <c r="G6052">
        <f>_xlfn.IMAGE("https://edmondsonsupply.com/cdn/shop/products/55919_1bacdbc3-31ed-40af-9272-b84f49462631.jpg?v=1587150191")</f>
        <v/>
      </c>
      <c r="H6052">
        <f>_xlfn.IMAGE("https://m.media-amazon.com/images/I/61Bb4-xtjrL._AC_UL320_.jpg")</f>
        <v/>
      </c>
      <c r="K6052" t="inlineStr">
        <is>
          <t>35.99</t>
        </is>
      </c>
      <c r="L6052" t="n">
        <v>35.99</v>
      </c>
      <c r="M6052" s="1" t="inlineStr">
        <is>
          <t>0.00%</t>
        </is>
      </c>
      <c r="N6052" s="7" t="n"/>
      <c r="O6052" t="n">
        <v>4.4</v>
      </c>
      <c r="P6052" t="n">
        <v>633</v>
      </c>
      <c r="R6052" t="inlineStr">
        <is>
          <t>InStock</t>
        </is>
      </c>
      <c r="S6052" t="inlineStr">
        <is>
          <t>50.58</t>
        </is>
      </c>
      <c r="T6052" t="inlineStr">
        <is>
          <t>4498967068772</t>
        </is>
      </c>
    </row>
    <row r="6053" ht="87" customHeight="1">
      <c r="A6053" s="2">
        <f>HYPERLINK("https://edmondsonsupply.com/collections/electricians-tools/products/klein-tools-vdv110-095-coax-cable-radial-stripper", "https://edmondsonsupply.com/collections/electricians-tools/products/klein-tools-vdv110-095-coax-cable-radial-stripper")</f>
        <v/>
      </c>
      <c r="B6053" s="2">
        <f>HYPERLINK("https://edmondsonsupply.com/products/klein-tools-vdv110-095-coax-cable-radial-stripper", "https://edmondsonsupply.com/products/klein-tools-vdv110-095-coax-cable-radial-stripper")</f>
        <v/>
      </c>
      <c r="C6053" t="inlineStr">
        <is>
          <t>Klein Tools VDV110-095 Coax Cable Radial Stripper</t>
        </is>
      </c>
      <c r="D6053" t="inlineStr">
        <is>
          <t>Klein Tools VDV110-095 Coax Cable Radial Stripper,Yellow/Gray</t>
        </is>
      </c>
      <c r="E6053" s="2">
        <f>HYPERLINK("https://www.amazon.com/Radial-Stripper-Klein-Tools-VDV110-095/dp/B00BEZWJ6I/ref=sr_1_1?keywords=Klein+Tools+VDV110-095+Coax+Cable+Radial+Stripper&amp;qid=1694735276&amp;sr=8-1", "https://www.amazon.com/Radial-Stripper-Klein-Tools-VDV110-095/dp/B00BEZWJ6I/ref=sr_1_1?keywords=Klein+Tools+VDV110-095+Coax+Cable+Radial+Stripper&amp;qid=1694735276&amp;sr=8-1")</f>
        <v/>
      </c>
      <c r="F6053" t="inlineStr">
        <is>
          <t>B00BEZWJ6I</t>
        </is>
      </c>
      <c r="G6053">
        <f>_xlfn.IMAGE("https://edmondsonsupply.com/cdn/shop/products/vdv110-095.jpg?v=1633030592")</f>
        <v/>
      </c>
      <c r="H6053">
        <f>_xlfn.IMAGE("https://m.media-amazon.com/images/I/51RWuQFyIVL._AC_UL320_.jpg")</f>
        <v/>
      </c>
      <c r="K6053" t="inlineStr">
        <is>
          <t>17.99</t>
        </is>
      </c>
      <c r="L6053" t="n">
        <v>17.99</v>
      </c>
      <c r="M6053" s="1" t="inlineStr">
        <is>
          <t>0.00%</t>
        </is>
      </c>
      <c r="N6053" s="7" t="n"/>
      <c r="O6053" t="n">
        <v>4.7</v>
      </c>
      <c r="P6053" t="n">
        <v>2990</v>
      </c>
      <c r="R6053" t="inlineStr">
        <is>
          <t>InStock</t>
        </is>
      </c>
      <c r="S6053" t="inlineStr">
        <is>
          <t>25.74</t>
        </is>
      </c>
      <c r="T6053" t="inlineStr">
        <is>
          <t>5604615880872</t>
        </is>
      </c>
    </row>
    <row r="6054" ht="87" customHeight="1">
      <c r="A6054" s="2">
        <f>HYPERLINK("https://edmondsonsupply.com/collections/electricians-tools/products/klein-tools-55921-tradesman-pro%E2%84%A2-modular-wall-rack", "https://edmondsonsupply.com/collections/electricians-tools/products/klein-tools-55921-tradesman-pro%E2%84%A2-modular-wall-rack")</f>
        <v/>
      </c>
      <c r="B6054" s="2">
        <f>HYPERLINK("https://edmondsonsupply.com/products/klein-tools-55921-tradesman-pro%e2%84%a2-modular-wall-rack", "https://edmondsonsupply.com/products/klein-tools-55921-tradesman-pro%e2%84%a2-modular-wall-rack")</f>
        <v/>
      </c>
      <c r="C6054" t="inlineStr">
        <is>
          <t>Klein Tools 55921 Tradesman Pro™ Modular Wall Rack</t>
        </is>
      </c>
      <c r="D6054" t="inlineStr">
        <is>
          <t>Klein Tools 55921 Tool Rack, Tradesman Pro Modular Wall Mount Rack Works with Klein Click Lock Modular Pouches</t>
        </is>
      </c>
      <c r="E6054" s="2">
        <f>HYPERLINK("https://www.amazon.com/Klein-Tools-55921-Tradesman-Modular/dp/B084WQC8FX/ref=sr_1_1?keywords=Klein+Tools+55921+Tradesman+Pro%E2%84%A2+Modular+Wall+Rack&amp;qid=1694735351&amp;sr=8-1", "https://www.amazon.com/Klein-Tools-55921-Tradesman-Modular/dp/B084WQC8FX/ref=sr_1_1?keywords=Klein+Tools+55921+Tradesman+Pro%E2%84%A2+Modular+Wall+Rack&amp;qid=1694735351&amp;sr=8-1")</f>
        <v/>
      </c>
      <c r="F6054" t="inlineStr">
        <is>
          <t>B084WQC8FX</t>
        </is>
      </c>
      <c r="G6054">
        <f>_xlfn.IMAGE("https://edmondsonsupply.com/cdn/shop/products/55921.jpg?v=1587143596")</f>
        <v/>
      </c>
      <c r="H6054">
        <f>_xlfn.IMAGE("https://m.media-amazon.com/images/I/41Z3d6gEyYL._AC_UL320_.jpg")</f>
        <v/>
      </c>
      <c r="K6054" t="inlineStr">
        <is>
          <t>24.99</t>
        </is>
      </c>
      <c r="L6054" t="n">
        <v>24.99</v>
      </c>
      <c r="M6054" s="1" t="inlineStr">
        <is>
          <t>0.00%</t>
        </is>
      </c>
      <c r="N6054" s="7" t="n"/>
      <c r="O6054" t="n">
        <v>4.4</v>
      </c>
      <c r="P6054" t="n">
        <v>633</v>
      </c>
      <c r="R6054" t="inlineStr">
        <is>
          <t>InStock</t>
        </is>
      </c>
      <c r="S6054" t="inlineStr">
        <is>
          <t>36.3</t>
        </is>
      </c>
      <c r="T6054" t="inlineStr">
        <is>
          <t>4498969231460</t>
        </is>
      </c>
    </row>
    <row r="6055" hidden="1" ht="15.75" customHeight="1">
      <c r="A6055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6055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6055" t="inlineStr">
        <is>
          <t>Klein Tools 646-7/16M 7/16-Inch Magnetic Tip Nut Driver 6-Inch Shaft</t>
        </is>
      </c>
      <c r="D6055" t="inlineStr">
        <is>
          <t>Klein Tools 646-7/16M 7/16-Inch Magnetic Tip Hollow-Shank Nut Driver with 6-Inch Shank</t>
        </is>
      </c>
      <c r="E6055" s="2">
        <f>HYPERLINK("https://www.amazon.com/Hollow-Shank-Klein-Tools-646-7-16M/dp/B000MKIUX2/ref=sr_1_1?keywords=Klein+Tools+646-7%2F16M+7%2F16-Inch+Magnetic+Tip+Nut+Driver+6-Inch+Shaft&amp;qid=1694735353&amp;sr=8-1", "https://www.amazon.com/Hollow-Shank-Klein-Tools-646-7-16M/dp/B000MKIUX2/ref=sr_1_1?keywords=Klein+Tools+646-7%2F16M+7%2F16-Inch+Magnetic+Tip+Nut+Driver+6-Inch+Shaft&amp;qid=1694735353&amp;sr=8-1")</f>
        <v/>
      </c>
      <c r="F6055" t="inlineStr">
        <is>
          <t>B000MKIUX2</t>
        </is>
      </c>
      <c r="G6055">
        <f>_xludf.IMAGE("https://edmondsonsupply.com/cdn/shop/products/646-5-16m_906faaaa-dd9e-40e4-bce3-8174c2b127b5.jpg?v=1587146594")</f>
        <v/>
      </c>
      <c r="H6055">
        <f>_xludf.IMAGE("https://m.media-amazon.com/images/I/41MGj+evvKL._AC_UL320_.jpg")</f>
        <v/>
      </c>
      <c r="K6055" t="inlineStr">
        <is>
          <t>12.99</t>
        </is>
      </c>
      <c r="L6055" t="n">
        <v>12.99</v>
      </c>
      <c r="M6055" s="1" t="inlineStr">
        <is>
          <t>0.00%</t>
        </is>
      </c>
      <c r="N6055" s="1" t="n"/>
      <c r="O6055" t="n">
        <v>4.8</v>
      </c>
      <c r="P6055" t="n">
        <v>2491</v>
      </c>
      <c r="R6055" t="inlineStr">
        <is>
          <t>InStock</t>
        </is>
      </c>
      <c r="S6055" t="inlineStr">
        <is>
          <t>19.74</t>
        </is>
      </c>
      <c r="T6055" t="inlineStr">
        <is>
          <t>4461840171108</t>
        </is>
      </c>
    </row>
    <row r="6056" hidden="1" ht="15.75" customHeight="1">
      <c r="A6056" s="2">
        <f>HYPERLINK("https://edmondsonsupply.com/collections/electricians-tools/products/klein-tools-25950-step-bit-kit-spiral-double-fluted-vaco-4-piece", "https://edmondsonsupply.com/collections/electricians-tools/products/klein-tools-25950-step-bit-kit-spiral-double-fluted-vaco-4-piece")</f>
        <v/>
      </c>
      <c r="B6056" s="2">
        <f>HYPERLINK("https://edmondsonsupply.com/products/klein-tools-25950-step-bit-kit-spiral-double-fluted-vaco-4-piece", "https://edmondsonsupply.com/products/klein-tools-25950-step-bit-kit-spiral-double-fluted-vaco-4-piece")</f>
        <v/>
      </c>
      <c r="C6056" t="inlineStr">
        <is>
          <t>Klein Tools 25950 Step Bit Kit, Spiral Double-Fluted, VACO, 4-Piece</t>
        </is>
      </c>
      <c r="D6056" t="inlineStr">
        <is>
          <t>Klein Tools 25951 Electrician's Step Drill Bit Set, Spiral Double Fluted, Titanium Nitride Coating, 1/4-Inch Impact Shank, Case, 3-Piece</t>
        </is>
      </c>
      <c r="E6056" s="2">
        <f>HYPERLINK("https://www.amazon.com/Klein-Tools-25951-Electricians-Titanium/dp/B0BLFRJLDX/ref=sr_1_1?keywords=Klein+Tools+25950+Step+Bit+Kit%2C+Spiral+Double-Fluted%2C+VACO%2C+4-Piece&amp;qid=1694735069&amp;sr=8-1", "https://www.amazon.com/Klein-Tools-25951-Electricians-Titanium/dp/B0BLFRJLDX/ref=sr_1_1?keywords=Klein+Tools+25950+Step+Bit+Kit%2C+Spiral+Double-Fluted%2C+VACO%2C+4-Piece&amp;qid=1694735069&amp;sr=8-1")</f>
        <v/>
      </c>
      <c r="F6056" t="inlineStr">
        <is>
          <t>B0BLFRJLDX</t>
        </is>
      </c>
      <c r="G6056">
        <f>_xludf.IMAGE("https://edmondsonsupply.com/cdn/shop/products/25950_b.jpg?v=1670518985")</f>
        <v/>
      </c>
      <c r="H6056">
        <f>_xludf.IMAGE("https://m.media-amazon.com/images/I/61dZd3WvlgL._AC_UY218_.jpg")</f>
        <v/>
      </c>
      <c r="K6056" t="inlineStr">
        <is>
          <t>99.99</t>
        </is>
      </c>
      <c r="L6056" t="n">
        <v>99.98999999999999</v>
      </c>
      <c r="M6056" s="1" t="inlineStr">
        <is>
          <t>0.00%</t>
        </is>
      </c>
      <c r="N6056" s="1" t="n"/>
      <c r="O6056" t="n">
        <v>3.8</v>
      </c>
      <c r="P6056" t="n">
        <v>6</v>
      </c>
      <c r="R6056" t="inlineStr">
        <is>
          <t>InStock</t>
        </is>
      </c>
      <c r="S6056" t="inlineStr">
        <is>
          <t>149.98</t>
        </is>
      </c>
      <c r="T6056" t="inlineStr">
        <is>
          <t>7901299835096</t>
        </is>
      </c>
    </row>
    <row r="6057" ht="87" customHeight="1">
      <c r="A6057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6057" s="2">
        <f>HYPERLINK("https://edmondsonsupply.com/products/klein-tools-32305-15-in-1-multi-bit-ratcheting-screwdriver", "https://edmondsonsupply.com/products/klein-tools-32305-15-in-1-multi-bit-ratcheting-screwdriver")</f>
        <v/>
      </c>
      <c r="C6057" t="inlineStr">
        <is>
          <t>Klein Tools 32305 15-in-1 Multi-Bit Ratcheting Screwdriver</t>
        </is>
      </c>
      <c r="D6057" t="inlineStr">
        <is>
          <t>Klein Tools 32305 Multi-bit Ratcheting Screwdriver, 15-in-1 Tool with Phillips, Slotted, Square, Torx and Combo Bits and 1/4-Inch Nut Driver</t>
        </is>
      </c>
      <c r="E6057" s="2">
        <f>HYPERLINK("https://www.amazon.com/Klein-Tools-32305-Ratcheting-Screwdriver/dp/B08KFMHQCP/ref=sr_1_1?keywords=Klein+Tools+32305+15-in-1+Multi-Bit+Ratcheting+Screwdriver&amp;qid=1694735163&amp;sr=8-1", "https://www.amazon.com/Klein-Tools-32305-Ratcheting-Screwdriver/dp/B08KFMHQCP/ref=sr_1_1?keywords=Klein+Tools+32305+15-in-1+Multi-Bit+Ratcheting+Screwdriver&amp;qid=1694735163&amp;sr=8-1")</f>
        <v/>
      </c>
      <c r="F6057" t="inlineStr">
        <is>
          <t>B08KFMHQCP</t>
        </is>
      </c>
      <c r="G6057">
        <f>_xlfn.IMAGE("https://edmondsonsupply.com/cdn/shop/products/32305.jpg?v=1646965475")</f>
        <v/>
      </c>
      <c r="H6057">
        <f>_xlfn.IMAGE("https://m.media-amazon.com/images/I/51jA6YSPgmL._AC_UL320_.jpg")</f>
        <v/>
      </c>
      <c r="K6057" t="inlineStr">
        <is>
          <t>21.97</t>
        </is>
      </c>
      <c r="L6057" t="n">
        <v>21.97</v>
      </c>
      <c r="M6057" s="1" t="inlineStr">
        <is>
          <t>0.00%</t>
        </is>
      </c>
      <c r="N6057" s="7" t="n"/>
      <c r="O6057" t="n">
        <v>4.7</v>
      </c>
      <c r="P6057" t="n">
        <v>6042</v>
      </c>
      <c r="R6057" t="inlineStr">
        <is>
          <t>InStock</t>
        </is>
      </c>
      <c r="S6057" t="inlineStr">
        <is>
          <t>30.78</t>
        </is>
      </c>
      <c r="T6057" t="inlineStr">
        <is>
          <t>7632426598616</t>
        </is>
      </c>
    </row>
    <row r="6058" hidden="1" ht="15.75" customHeight="1">
      <c r="A6058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058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058" t="inlineStr">
        <is>
          <t>Klein Tools 6946INS Slim-Tip 1000V Insulated Screwdriver, #2 Square, 6-Inch Round Shank</t>
        </is>
      </c>
      <c r="D6058" t="inlineStr">
        <is>
          <t>Klein Tools 6926INS Insulated Screwdriver, 1000V Slim Profile Tip, 1/4-Inch Cabinet Screwdriver with 6-Inch Shank, Cushion-Grip Handle</t>
        </is>
      </c>
      <c r="E6058" s="2">
        <f>HYPERLINK("https://www.amazon.com/Klein-Tools-6926INS-Screwdriver-Cushion-Grip/dp/B09GL1X5SZ/ref=sr_1_10?keywords=Klein+Tools+6946INS+Slim-Tip+1000V+Insulated+Screwdriver%2C+%232+Square%2C+6-Inch+Round+Shank&amp;qid=1694735275&amp;sr=8-10", "https://www.amazon.com/Klein-Tools-6926INS-Screwdriver-Cushion-Grip/dp/B09GL1X5SZ/ref=sr_1_10?keywords=Klein+Tools+6946INS+Slim-Tip+1000V+Insulated+Screwdriver%2C+%232+Square%2C+6-Inch+Round+Shank&amp;qid=1694735275&amp;sr=8-10")</f>
        <v/>
      </c>
      <c r="F6058" t="inlineStr">
        <is>
          <t>B09GL1X5SZ</t>
        </is>
      </c>
      <c r="G6058">
        <f>_xludf.IMAGE("https://edmondsonsupply.com/cdn/shop/products/6946ins.jpg?v=1633030561")</f>
        <v/>
      </c>
      <c r="H6058">
        <f>_xludf.IMAGE("https://m.media-amazon.com/images/I/41JbepP5oGL._AC_UL320_.jpg")</f>
        <v/>
      </c>
      <c r="K6058" t="inlineStr">
        <is>
          <t>14.99</t>
        </is>
      </c>
      <c r="L6058" t="n">
        <v>14.99</v>
      </c>
      <c r="M6058" s="1" t="inlineStr">
        <is>
          <t>0.00%</t>
        </is>
      </c>
      <c r="N6058" s="1" t="n"/>
      <c r="O6058" t="n">
        <v>4.8</v>
      </c>
      <c r="P6058" t="n">
        <v>85</v>
      </c>
      <c r="R6058" t="inlineStr">
        <is>
          <t>InStock</t>
        </is>
      </c>
      <c r="S6058" t="inlineStr">
        <is>
          <t>21.02</t>
        </is>
      </c>
      <c r="T6058" t="inlineStr">
        <is>
          <t>5439611502760</t>
        </is>
      </c>
    </row>
    <row r="6059" hidden="1" ht="15.75" customHeight="1">
      <c r="A6059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059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059" t="inlineStr">
        <is>
          <t>Klein Tools 6946INS Slim-Tip 1000V Insulated Screwdriver, #2 Square, 6-Inch Round Shank</t>
        </is>
      </c>
      <c r="D6059" t="inlineStr">
        <is>
          <t>Klein Tools 6956INS Insulated Screwdriver, 1000V Slim Profile Tip, 1 Philliips with 6-Inch Shank, Cushion-Grip Handle</t>
        </is>
      </c>
      <c r="E6059" s="2">
        <f>HYPERLINK("https://www.amazon.com/Klein-Tools-6956INS-Screwdriver-Cushion-Grip/dp/B09H9GV5CP/ref=sr_1_8?keywords=Klein+Tools+6946INS+Slim-Tip+1000V+Insulated+Screwdriver%2C+%232+Square%2C+6-Inch+Round+Shank&amp;qid=1694735275&amp;sr=8-8", "https://www.amazon.com/Klein-Tools-6956INS-Screwdriver-Cushion-Grip/dp/B09H9GV5CP/ref=sr_1_8?keywords=Klein+Tools+6946INS+Slim-Tip+1000V+Insulated+Screwdriver%2C+%232+Square%2C+6-Inch+Round+Shank&amp;qid=1694735275&amp;sr=8-8")</f>
        <v/>
      </c>
      <c r="F6059" t="inlineStr">
        <is>
          <t>B09H9GV5CP</t>
        </is>
      </c>
      <c r="G6059">
        <f>_xludf.IMAGE("https://edmondsonsupply.com/cdn/shop/products/6946ins.jpg?v=1633030561")</f>
        <v/>
      </c>
      <c r="H6059">
        <f>_xludf.IMAGE("https://m.media-amazon.com/images/I/41XYb1ZhlVL._AC_UL320_.jpg")</f>
        <v/>
      </c>
      <c r="K6059" t="inlineStr">
        <is>
          <t>14.99</t>
        </is>
      </c>
      <c r="L6059" t="n">
        <v>14.99</v>
      </c>
      <c r="M6059" s="1" t="inlineStr">
        <is>
          <t>0.00%</t>
        </is>
      </c>
      <c r="N6059" s="1" t="n"/>
      <c r="O6059" t="n">
        <v>4.5</v>
      </c>
      <c r="P6059" t="n">
        <v>10</v>
      </c>
      <c r="R6059" t="inlineStr">
        <is>
          <t>InStock</t>
        </is>
      </c>
      <c r="S6059" t="inlineStr">
        <is>
          <t>21.02</t>
        </is>
      </c>
      <c r="T6059" t="inlineStr">
        <is>
          <t>5439611502760</t>
        </is>
      </c>
    </row>
    <row r="6060" hidden="1" ht="15.75" customHeight="1">
      <c r="A6060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060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060" t="inlineStr">
        <is>
          <t>Klein Tools 6946INS Slim-Tip 1000V Insulated Screwdriver, #2 Square, 6-Inch Round Shank</t>
        </is>
      </c>
      <c r="D6060" t="inlineStr">
        <is>
          <t>Klein Tools 6936INS Insulated Screwdriver, 1000V Slim Profile Tip, 2 Phillips with 6-Inch Shank, Cushion-Grip Handle</t>
        </is>
      </c>
      <c r="E6060" s="2">
        <f>HYPERLINK("https://www.amazon.com/Klein-Tools-6936INS-Screwdriver-Cushion-Grip/dp/B09GPZMQ1R/ref=sr_1_6?keywords=Klein+Tools+6946INS+Slim-Tip+1000V+Insulated+Screwdriver%2C+%232+Square%2C+6-Inch+Round+Shank&amp;qid=1694735275&amp;sr=8-6", "https://www.amazon.com/Klein-Tools-6936INS-Screwdriver-Cushion-Grip/dp/B09GPZMQ1R/ref=sr_1_6?keywords=Klein+Tools+6946INS+Slim-Tip+1000V+Insulated+Screwdriver%2C+%232+Square%2C+6-Inch+Round+Shank&amp;qid=1694735275&amp;sr=8-6")</f>
        <v/>
      </c>
      <c r="F6060" t="inlineStr">
        <is>
          <t>B09GPZMQ1R</t>
        </is>
      </c>
      <c r="G6060">
        <f>_xludf.IMAGE("https://edmondsonsupply.com/cdn/shop/products/6946ins.jpg?v=1633030561")</f>
        <v/>
      </c>
      <c r="H6060">
        <f>_xludf.IMAGE("https://m.media-amazon.com/images/I/414OB6kFvkL._AC_UL320_.jpg")</f>
        <v/>
      </c>
      <c r="K6060" t="inlineStr">
        <is>
          <t>14.99</t>
        </is>
      </c>
      <c r="L6060" t="n">
        <v>14.99</v>
      </c>
      <c r="M6060" s="1" t="inlineStr">
        <is>
          <t>0.00%</t>
        </is>
      </c>
      <c r="N6060" s="1" t="n"/>
      <c r="O6060" t="n">
        <v>4.9</v>
      </c>
      <c r="P6060" t="n">
        <v>70</v>
      </c>
      <c r="R6060" t="inlineStr">
        <is>
          <t>InStock</t>
        </is>
      </c>
      <c r="S6060" t="inlineStr">
        <is>
          <t>21.02</t>
        </is>
      </c>
      <c r="T6060" t="inlineStr">
        <is>
          <t>5439611502760</t>
        </is>
      </c>
    </row>
    <row r="6061" hidden="1" ht="15.75" customHeight="1">
      <c r="A6061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061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061" t="inlineStr">
        <is>
          <t>Klein Tools 6946INS Slim-Tip 1000V Insulated Screwdriver, #2 Square, 6-Inch Round Shank</t>
        </is>
      </c>
      <c r="D6061" t="inlineStr">
        <is>
          <t>Klein Tools 6986INS Insulated Screwdriver, 1000V Slim Profile Tip, #1 Square with 6-Inch Shank, Cushion-Grip Handle</t>
        </is>
      </c>
      <c r="E6061" s="2">
        <f>HYPERLINK("https://www.amazon.com/Klein-Tools-6986INS-Screwdriver-Cushion-Grip/dp/B09GPYQ7DM/ref=sr_1_5?keywords=Klein+Tools+6946INS+Slim-Tip+1000V+Insulated+Screwdriver%2C+%232+Square%2C+6-Inch+Round+Shank&amp;qid=1694735275&amp;sr=8-5", "https://www.amazon.com/Klein-Tools-6986INS-Screwdriver-Cushion-Grip/dp/B09GPYQ7DM/ref=sr_1_5?keywords=Klein+Tools+6946INS+Slim-Tip+1000V+Insulated+Screwdriver%2C+%232+Square%2C+6-Inch+Round+Shank&amp;qid=1694735275&amp;sr=8-5")</f>
        <v/>
      </c>
      <c r="F6061" t="inlineStr">
        <is>
          <t>B09GPYQ7DM</t>
        </is>
      </c>
      <c r="G6061">
        <f>_xludf.IMAGE("https://edmondsonsupply.com/cdn/shop/products/6946ins.jpg?v=1633030561")</f>
        <v/>
      </c>
      <c r="H6061">
        <f>_xludf.IMAGE("https://m.media-amazon.com/images/I/41d5Ic37xZL._AC_UL320_.jpg")</f>
        <v/>
      </c>
      <c r="K6061" t="inlineStr">
        <is>
          <t>14.99</t>
        </is>
      </c>
      <c r="L6061" t="n">
        <v>14.99</v>
      </c>
      <c r="M6061" s="1" t="inlineStr">
        <is>
          <t>0.00%</t>
        </is>
      </c>
      <c r="N6061" s="1" t="n"/>
      <c r="O6061" t="n">
        <v>4.8</v>
      </c>
      <c r="P6061" t="n">
        <v>29</v>
      </c>
      <c r="R6061" t="inlineStr">
        <is>
          <t>InStock</t>
        </is>
      </c>
      <c r="S6061" t="inlineStr">
        <is>
          <t>21.02</t>
        </is>
      </c>
      <c r="T6061" t="inlineStr">
        <is>
          <t>5439611502760</t>
        </is>
      </c>
    </row>
    <row r="6062" ht="87" customHeight="1">
      <c r="A6062" s="2">
        <f>HYPERLINK("https://edmondsonsupply.com/collections/electricians-tools/products/klein-tools-50550-glow-in-the-dark-fish-tape-20-foot", "https://edmondsonsupply.com/collections/electricians-tools/products/klein-tools-50550-glow-in-the-dark-fish-tape-20-foot")</f>
        <v/>
      </c>
      <c r="B6062" s="2">
        <f>HYPERLINK("https://edmondsonsupply.com/products/klein-tools-50550-glow-in-the-dark-fish-tape-20-foot", "https://edmondsonsupply.com/products/klein-tools-50550-glow-in-the-dark-fish-tape-20-foot")</f>
        <v/>
      </c>
      <c r="C6062" t="inlineStr">
        <is>
          <t>Klein Tools 50550 Glow in the Dark Fish Tape, 20-Foot</t>
        </is>
      </c>
      <c r="D6062" t="inlineStr">
        <is>
          <t>Klein Tools 50550 20-Foot Glow In The Dark Fish Tape, Fiberglass with Nylon Tip and Stainless-Steel Connector for Fish Rod Attachments</t>
        </is>
      </c>
      <c r="E6062" s="2">
        <f>HYPERLINK("https://www.amazon.com/Klein-Tools-5055020-Foot-Stainless-Steel-50550/dp/B08N5FML65/ref=sr_1_1?keywords=Klein+Tools+50550+Glow+in+the+Dark+Fish+Tape%2C+20-Foot&amp;qid=1694735158&amp;sr=8-1", "https://www.amazon.com/Klein-Tools-5055020-Foot-Stainless-Steel-50550/dp/B08N5FML65/ref=sr_1_1?keywords=Klein+Tools+50550+Glow+in+the+Dark+Fish+Tape%2C+20-Foot&amp;qid=1694735158&amp;sr=8-1")</f>
        <v/>
      </c>
      <c r="F6062" t="inlineStr">
        <is>
          <t>B08N5FML65</t>
        </is>
      </c>
      <c r="G6062">
        <f>_xlfn.IMAGE("https://edmondsonsupply.com/cdn/shop/products/50550_c.jpg?v=1650066147")</f>
        <v/>
      </c>
      <c r="H6062">
        <f>_xlfn.IMAGE("https://m.media-amazon.com/images/I/51r5uoGNk9L._AC_UL320_.jpg")</f>
        <v/>
      </c>
      <c r="K6062" t="inlineStr">
        <is>
          <t>34.97</t>
        </is>
      </c>
      <c r="L6062" t="n">
        <v>34.97</v>
      </c>
      <c r="M6062" s="1" t="inlineStr">
        <is>
          <t>0.00%</t>
        </is>
      </c>
      <c r="N6062" s="7" t="n"/>
      <c r="O6062" t="n">
        <v>4.5</v>
      </c>
      <c r="P6062" t="n">
        <v>445</v>
      </c>
      <c r="R6062" t="inlineStr">
        <is>
          <t>InStock</t>
        </is>
      </c>
      <c r="S6062" t="inlineStr">
        <is>
          <t>52.46</t>
        </is>
      </c>
      <c r="T6062" t="inlineStr">
        <is>
          <t>7664909615320</t>
        </is>
      </c>
    </row>
    <row r="6063" hidden="1" ht="15.75" customHeight="1">
      <c r="A6063" s="2">
        <f>HYPERLINK("https://edmondsonsupply.com/collections/electricians-tools/products/klein-tools-32238-drill-tap-8-32", "https://edmondsonsupply.com/collections/electricians-tools/products/klein-tools-32238-drill-tap-8-32")</f>
        <v/>
      </c>
      <c r="B6063" s="2">
        <f>HYPERLINK("https://edmondsonsupply.com/products/klein-tools-32238-drill-tap-8-32", "https://edmondsonsupply.com/products/klein-tools-32238-drill-tap-8-32")</f>
        <v/>
      </c>
      <c r="C6063" t="inlineStr">
        <is>
          <t>Klein Tools 32238 Drill Tap, 8-32</t>
        </is>
      </c>
      <c r="D6063" t="inlineStr">
        <is>
          <t>Klein Tools 32238 Drill Tap, 8-32</t>
        </is>
      </c>
      <c r="E6063" s="2">
        <f>HYPERLINK("https://www.amazon.com/Klein-Tools-32238-8-32-Drill/dp/B019874Q82/ref=sr_1_1?keywords=Klein+Tools+32238+Drill+Tap%2C+8-32&amp;qid=1694735339&amp;sr=8-1", "https://www.amazon.com/Klein-Tools-32238-8-32-Drill/dp/B019874Q82/ref=sr_1_1?keywords=Klein+Tools+32238+Drill+Tap%2C+8-32&amp;qid=1694735339&amp;sr=8-1")</f>
        <v/>
      </c>
      <c r="F6063" t="inlineStr">
        <is>
          <t>B019874Q82</t>
        </is>
      </c>
      <c r="G6063">
        <f>_xludf.IMAGE("https://edmondsonsupply.com/cdn/shop/products/32238.jpg?v=1587151206")</f>
        <v/>
      </c>
      <c r="H6063">
        <f>_xludf.IMAGE("https://m.media-amazon.com/images/I/618Zy84ZV3L._AC_UL320_.jpg")</f>
        <v/>
      </c>
      <c r="K6063" t="inlineStr">
        <is>
          <t>6.99</t>
        </is>
      </c>
      <c r="L6063" t="n">
        <v>6.99</v>
      </c>
      <c r="M6063" s="1" t="inlineStr">
        <is>
          <t>0.00%</t>
        </is>
      </c>
      <c r="N6063" s="1" t="n"/>
      <c r="O6063" t="n">
        <v>4.6</v>
      </c>
      <c r="P6063" t="n">
        <v>826</v>
      </c>
      <c r="R6063" t="inlineStr">
        <is>
          <t>InStock</t>
        </is>
      </c>
      <c r="S6063" t="inlineStr">
        <is>
          <t>10.64</t>
        </is>
      </c>
      <c r="T6063" t="inlineStr">
        <is>
          <t>4505605832804</t>
        </is>
      </c>
    </row>
    <row r="6064" hidden="1" ht="15.75" customHeight="1">
      <c r="A6064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064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064" t="inlineStr">
        <is>
          <t>Klein Tools 6926INS Slim-Tip 1000V Insulated Screwdriver, 1/4-Inch Cabinet, 6-Inch</t>
        </is>
      </c>
      <c r="D6064" t="inlineStr">
        <is>
          <t>Klein Tools 6926INS Insulated Screwdriver, 1000V Slim Profile Tip, 1/4-Inch Cabinet Screwdriver with 6-Inch Shank, Cushion-Grip Handle</t>
        </is>
      </c>
      <c r="E6064" s="2">
        <f>HYPERLINK("https://www.amazon.com/Klein-Tools-6926INS-Screwdriver-Cushion-Grip/dp/B09GL1X5SZ/ref=sr_1_1?keywords=Klein+Tools+6926INS+Slim-Tip+1000V+Insulated+Screwdriver%2C+1%2F4-Inch+Cabinet%2C+6-Inch&amp;qid=1694735143&amp;sr=8-1", "https://www.amazon.com/Klein-Tools-6926INS-Screwdriver-Cushion-Grip/dp/B09GL1X5SZ/ref=sr_1_1?keywords=Klein+Tools+6926INS+Slim-Tip+1000V+Insulated+Screwdriver%2C+1%2F4-Inch+Cabinet%2C+6-Inch&amp;qid=1694735143&amp;sr=8-1")</f>
        <v/>
      </c>
      <c r="F6064" t="inlineStr">
        <is>
          <t>B09GL1X5SZ</t>
        </is>
      </c>
      <c r="G6064">
        <f>_xludf.IMAGE("https://edmondsonsupply.com/cdn/shop/products/6926ins.jpg?v=1664803626")</f>
        <v/>
      </c>
      <c r="H6064">
        <f>_xludf.IMAGE("https://m.media-amazon.com/images/I/41JbepP5oGL._AC_UL320_.jpg")</f>
        <v/>
      </c>
      <c r="K6064" t="inlineStr">
        <is>
          <t>14.99</t>
        </is>
      </c>
      <c r="L6064" t="n">
        <v>14.99</v>
      </c>
      <c r="M6064" s="1" t="inlineStr">
        <is>
          <t>0.00%</t>
        </is>
      </c>
      <c r="N6064" s="1" t="n"/>
      <c r="O6064" t="n">
        <v>4.8</v>
      </c>
      <c r="P6064" t="n">
        <v>85</v>
      </c>
      <c r="R6064" t="inlineStr">
        <is>
          <t>InStock</t>
        </is>
      </c>
      <c r="S6064" t="inlineStr">
        <is>
          <t>20.98</t>
        </is>
      </c>
      <c r="T6064" t="inlineStr">
        <is>
          <t>7837578625240</t>
        </is>
      </c>
    </row>
    <row r="6065" hidden="1" ht="15.75" customHeight="1">
      <c r="A6065" s="2">
        <f>HYPERLINK("https://edmondsonsupply.com/collections/electricians-tools/products/klein-tools-89-replacement-handles-for-8-to-9-pliers", "https://edmondsonsupply.com/collections/electricians-tools/products/klein-tools-89-replacement-handles-for-8-to-9-pliers")</f>
        <v/>
      </c>
      <c r="B6065" s="2">
        <f>HYPERLINK("https://edmondsonsupply.com/products/klein-tools-89-replacement-handles-for-8-to-9-pliers", "https://edmondsonsupply.com/products/klein-tools-89-replacement-handles-for-8-to-9-pliers")</f>
        <v/>
      </c>
      <c r="C6065" t="inlineStr">
        <is>
          <t>Klein Tools 89 Replacement Handles for 8'' to 9'' Pliers</t>
        </is>
      </c>
      <c r="D6065" t="inlineStr">
        <is>
          <t>Klein Tools 89 Replacement Handles, Plastic Handle Replacement Set for 8 to 9-Inch Pliers</t>
        </is>
      </c>
      <c r="E6065" s="2">
        <f>HYPERLINK("https://www.amazon.com/Replacement-Handles-Klein-Tools-89/dp/B00093D7AI/ref=sr_1_1?keywords=Klein+Tools+89+Replacement+Handles+for+8%27%27+to+9%27%27+Pliers&amp;qid=1694735336&amp;sr=8-1", "https://www.amazon.com/Replacement-Handles-Klein-Tools-89/dp/B00093D7AI/ref=sr_1_1?keywords=Klein+Tools+89+Replacement+Handles+for+8%27%27+to+9%27%27+Pliers&amp;qid=1694735336&amp;sr=8-1")</f>
        <v/>
      </c>
      <c r="F6065" t="inlineStr">
        <is>
          <t>B00093D7AI</t>
        </is>
      </c>
      <c r="G6065">
        <f>_xludf.IMAGE("https://edmondsonsupply.com/cdn/shop/files/70_0b24bc56-8d2a-42e8-b550-bb1464fe4c9b.jpg?v=1690206628")</f>
        <v/>
      </c>
      <c r="H6065">
        <f>_xludf.IMAGE("https://m.media-amazon.com/images/I/51D3i2TWRwS._AC_UL320_.jpg")</f>
        <v/>
      </c>
      <c r="K6065" t="inlineStr">
        <is>
          <t>9.99</t>
        </is>
      </c>
      <c r="L6065" t="n">
        <v>9.99</v>
      </c>
      <c r="M6065" s="1" t="inlineStr">
        <is>
          <t>0.00%</t>
        </is>
      </c>
      <c r="N6065" s="1" t="n"/>
      <c r="O6065" t="n">
        <v>4.6</v>
      </c>
      <c r="P6065" t="n">
        <v>1644</v>
      </c>
      <c r="R6065" t="inlineStr">
        <is>
          <t>InStock</t>
        </is>
      </c>
      <c r="S6065" t="inlineStr">
        <is>
          <t>14.9</t>
        </is>
      </c>
      <c r="T6065" t="inlineStr">
        <is>
          <t>4512708624484</t>
        </is>
      </c>
    </row>
    <row r="6066" hidden="1" ht="15.75" customHeight="1">
      <c r="A6066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066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066" t="inlineStr">
        <is>
          <t>Klein Tools 6926INS Slim-Tip 1000V Insulated Screwdriver, 1/4-Inch Cabinet, 6-Inch</t>
        </is>
      </c>
      <c r="D6066" t="inlineStr">
        <is>
          <t>Klein Tools 6936INS Insulated Screwdriver, 1000V Slim Profile Tip, 2 Phillips with 6-Inch Shank, Cushion-Grip Handle</t>
        </is>
      </c>
      <c r="E6066" s="2">
        <f>HYPERLINK("https://www.amazon.com/Klein-Tools-6936INS-Screwdriver-Cushion-Grip/dp/B09GPZMQ1R/ref=sr_1_4?keywords=Klein+Tools+6926INS+Slim-Tip+1000V+Insulated+Screwdriver%2C+1%2F4-Inch+Cabinet%2C+6-Inch&amp;qid=1694735143&amp;sr=8-4", "https://www.amazon.com/Klein-Tools-6936INS-Screwdriver-Cushion-Grip/dp/B09GPZMQ1R/ref=sr_1_4?keywords=Klein+Tools+6926INS+Slim-Tip+1000V+Insulated+Screwdriver%2C+1%2F4-Inch+Cabinet%2C+6-Inch&amp;qid=1694735143&amp;sr=8-4")</f>
        <v/>
      </c>
      <c r="F6066" t="inlineStr">
        <is>
          <t>B09GPZMQ1R</t>
        </is>
      </c>
      <c r="G6066">
        <f>_xludf.IMAGE("https://edmondsonsupply.com/cdn/shop/products/6926ins.jpg?v=1664803626")</f>
        <v/>
      </c>
      <c r="H6066">
        <f>_xludf.IMAGE("https://m.media-amazon.com/images/I/414OB6kFvkL._AC_UL320_.jpg")</f>
        <v/>
      </c>
      <c r="K6066" t="inlineStr">
        <is>
          <t>14.99</t>
        </is>
      </c>
      <c r="L6066" t="n">
        <v>14.99</v>
      </c>
      <c r="M6066" s="1" t="inlineStr">
        <is>
          <t>0.00%</t>
        </is>
      </c>
      <c r="N6066" s="1" t="n"/>
      <c r="O6066" t="n">
        <v>4.9</v>
      </c>
      <c r="P6066" t="n">
        <v>70</v>
      </c>
      <c r="R6066" t="inlineStr">
        <is>
          <t>InStock</t>
        </is>
      </c>
      <c r="S6066" t="inlineStr">
        <is>
          <t>20.98</t>
        </is>
      </c>
      <c r="T6066" t="inlineStr">
        <is>
          <t>7837578625240</t>
        </is>
      </c>
    </row>
    <row r="6067" hidden="1" ht="15.75" customHeight="1">
      <c r="A6067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067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067" t="inlineStr">
        <is>
          <t>Klein Tools 6926INS Slim-Tip 1000V Insulated Screwdriver, 1/4-Inch Cabinet, 6-Inch</t>
        </is>
      </c>
      <c r="D6067" t="inlineStr">
        <is>
          <t>Klein Tools 6986INS Insulated Screwdriver, 1000V Slim Profile Tip, #1 Square with 6-Inch Shank, Cushion-Grip Handle</t>
        </is>
      </c>
      <c r="E6067" s="2">
        <f>HYPERLINK("https://www.amazon.com/Klein-Tools-6986INS-Screwdriver-Cushion-Grip/dp/B09GPYQ7DM/ref=sr_1_6?keywords=Klein+Tools+6926INS+Slim-Tip+1000V+Insulated+Screwdriver%2C+1%2F4-Inch+Cabinet%2C+6-Inch&amp;qid=1694735143&amp;sr=8-6", "https://www.amazon.com/Klein-Tools-6986INS-Screwdriver-Cushion-Grip/dp/B09GPYQ7DM/ref=sr_1_6?keywords=Klein+Tools+6926INS+Slim-Tip+1000V+Insulated+Screwdriver%2C+1%2F4-Inch+Cabinet%2C+6-Inch&amp;qid=1694735143&amp;sr=8-6")</f>
        <v/>
      </c>
      <c r="F6067" t="inlineStr">
        <is>
          <t>B09GPYQ7DM</t>
        </is>
      </c>
      <c r="G6067">
        <f>_xludf.IMAGE("https://edmondsonsupply.com/cdn/shop/products/6926ins.jpg?v=1664803626")</f>
        <v/>
      </c>
      <c r="H6067">
        <f>_xludf.IMAGE("https://m.media-amazon.com/images/I/41d5Ic37xZL._AC_UL320_.jpg")</f>
        <v/>
      </c>
      <c r="K6067" t="inlineStr">
        <is>
          <t>14.99</t>
        </is>
      </c>
      <c r="L6067" t="n">
        <v>14.99</v>
      </c>
      <c r="M6067" s="1" t="inlineStr">
        <is>
          <t>0.00%</t>
        </is>
      </c>
      <c r="N6067" s="1" t="n"/>
      <c r="O6067" t="n">
        <v>4.8</v>
      </c>
      <c r="P6067" t="n">
        <v>29</v>
      </c>
      <c r="R6067" t="inlineStr">
        <is>
          <t>InStock</t>
        </is>
      </c>
      <c r="S6067" t="inlineStr">
        <is>
          <t>20.98</t>
        </is>
      </c>
      <c r="T6067" t="inlineStr">
        <is>
          <t>7837578625240</t>
        </is>
      </c>
    </row>
    <row r="6068" hidden="1" ht="15.75" customHeight="1">
      <c r="A6068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068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068" t="inlineStr">
        <is>
          <t>Klein Tools 6926INS Slim-Tip 1000V Insulated Screwdriver, 1/4-Inch Cabinet, 6-Inch</t>
        </is>
      </c>
      <c r="D6068" t="inlineStr">
        <is>
          <t>Klein Tools 6956INS Insulated Screwdriver, 1000V Slim Profile Tip, 1 Philliips with 6-Inch Shank, Cushion-Grip Handle</t>
        </is>
      </c>
      <c r="E6068" s="2">
        <f>HYPERLINK("https://www.amazon.com/Klein-Tools-6956INS-Screwdriver-Cushion-Grip/dp/B09H9GV5CP/ref=sr_1_10?keywords=Klein+Tools+6926INS+Slim-Tip+1000V+Insulated+Screwdriver%2C+1%2F4-Inch+Cabinet%2C+6-Inch&amp;qid=1694735143&amp;sr=8-10", "https://www.amazon.com/Klein-Tools-6956INS-Screwdriver-Cushion-Grip/dp/B09H9GV5CP/ref=sr_1_10?keywords=Klein+Tools+6926INS+Slim-Tip+1000V+Insulated+Screwdriver%2C+1%2F4-Inch+Cabinet%2C+6-Inch&amp;qid=1694735143&amp;sr=8-10")</f>
        <v/>
      </c>
      <c r="F6068" t="inlineStr">
        <is>
          <t>B09H9GV5CP</t>
        </is>
      </c>
      <c r="G6068">
        <f>_xludf.IMAGE("https://edmondsonsupply.com/cdn/shop/products/6926ins.jpg?v=1664803626")</f>
        <v/>
      </c>
      <c r="H6068">
        <f>_xludf.IMAGE("https://m.media-amazon.com/images/I/41XYb1ZhlVL._AC_UL320_.jpg")</f>
        <v/>
      </c>
      <c r="K6068" t="inlineStr">
        <is>
          <t>14.99</t>
        </is>
      </c>
      <c r="L6068" t="n">
        <v>14.99</v>
      </c>
      <c r="M6068" s="1" t="inlineStr">
        <is>
          <t>0.00%</t>
        </is>
      </c>
      <c r="N6068" s="1" t="n"/>
      <c r="O6068" t="n">
        <v>4.5</v>
      </c>
      <c r="P6068" t="n">
        <v>10</v>
      </c>
      <c r="R6068" t="inlineStr">
        <is>
          <t>InStock</t>
        </is>
      </c>
      <c r="S6068" t="inlineStr">
        <is>
          <t>20.98</t>
        </is>
      </c>
      <c r="T6068" t="inlineStr">
        <is>
          <t>7837578625240</t>
        </is>
      </c>
    </row>
    <row r="6069" hidden="1" ht="15.75" customHeight="1">
      <c r="A6069" s="2">
        <f>HYPERLINK("https://edmondsonsupply.com/collections/electricians-tools/products/klein-tools-70571-grip-it%C2%AE-ball-end-hex-set-5-key-sae-sizes", "https://edmondsonsupply.com/collections/electricians-tools/products/klein-tools-70571-grip-it%C2%AE-ball-end-hex-set-5-key-sae-sizes")</f>
        <v/>
      </c>
      <c r="B6069" s="2">
        <f>HYPERLINK("https://edmondsonsupply.com/products/klein-tools-70571-grip-it%c2%ae-ball-end-hex-set-5-key-sae-sizes", "https://edmondsonsupply.com/products/klein-tools-70571-grip-it%c2%ae-ball-end-hex-set-5-key-sae-sizes")</f>
        <v/>
      </c>
      <c r="C6069" t="inlineStr">
        <is>
          <t>Klein Tools 70571 Grip-It® Ball End Hex Set, 5-Key, SAE Sizes</t>
        </is>
      </c>
      <c r="D6069" t="inlineStr">
        <is>
          <t>Klein Tools 70571 Grip-It Ball End Hex Set, 5-Key, SAE Sizes</t>
        </is>
      </c>
      <c r="E6069" s="2">
        <f>HYPERLINK("https://www.amazon.com/Klein-Tools-70571-Grip-Sizes/dp/B0002RI8P0/ref=sr_1_1?keywords=Klein+Tools+70571+Grip-It%C2%AE+Ball+End+Hex+Set%2C+5-Key%2C+SAE+Sizes&amp;qid=1694735101&amp;sr=8-1", "https://www.amazon.com/Klein-Tools-70571-Grip-Sizes/dp/B0002RI8P0/ref=sr_1_1?keywords=Klein+Tools+70571+Grip-It%C2%AE+Ball+End+Hex+Set%2C+5-Key%2C+SAE+Sizes&amp;qid=1694735101&amp;sr=8-1")</f>
        <v/>
      </c>
      <c r="F6069" t="inlineStr">
        <is>
          <t>B0002RI8P0</t>
        </is>
      </c>
      <c r="G6069">
        <f>_xludf.IMAGE("https://edmondsonsupply.com/cdn/shop/products/70571.jpg?v=1665688779")</f>
        <v/>
      </c>
      <c r="H6069">
        <f>_xludf.IMAGE("https://m.media-amazon.com/images/I/51dn90ONbbL._AC_UL320_.jpg")</f>
        <v/>
      </c>
      <c r="K6069" t="inlineStr">
        <is>
          <t>13.99</t>
        </is>
      </c>
      <c r="L6069" t="n">
        <v>13.99</v>
      </c>
      <c r="M6069" s="1" t="inlineStr">
        <is>
          <t>0.00%</t>
        </is>
      </c>
      <c r="N6069" s="1" t="n"/>
      <c r="O6069" t="n">
        <v>4.6</v>
      </c>
      <c r="P6069" t="n">
        <v>159</v>
      </c>
      <c r="R6069" t="inlineStr">
        <is>
          <t>InStock</t>
        </is>
      </c>
      <c r="S6069" t="inlineStr">
        <is>
          <t>21.2</t>
        </is>
      </c>
      <c r="T6069" t="inlineStr">
        <is>
          <t>7852070764760</t>
        </is>
      </c>
    </row>
    <row r="6070" ht="87" customHeight="1">
      <c r="A6070" s="2">
        <f>HYPERLINK("https://edmondsonsupply.com/collections/electricians-tools/products/klein-tools-66060-2-in-1-impact-socket-set-6-point-6-piece", "https://edmondsonsupply.com/collections/electricians-tools/products/klein-tools-66060-2-in-1-impact-socket-set-6-point-6-piece")</f>
        <v/>
      </c>
      <c r="B6070" s="2">
        <f>HYPERLINK("https://edmondsonsupply.com/products/klein-tools-66060-2-in-1-impact-socket-set-6-point-6-piece", "https://edmondsonsupply.com/products/klein-tools-66060-2-in-1-impact-socket-set-6-point-6-piece")</f>
        <v/>
      </c>
      <c r="C6070" t="inlineStr">
        <is>
          <t>Klein Tools 66060 2-in-1 Impact Socket Set, 6-Point, 6-Piece</t>
        </is>
      </c>
      <c r="D6070" t="inlineStr">
        <is>
          <t>Klein Tools 66010 2-in-1 Impact Socket Set, 6-Piece Tool Set with 12-Point Deep Sockets with 1/2-Inch Drive, Includes Tool Case</t>
        </is>
      </c>
      <c r="E6070" s="2">
        <f>HYPERLINK("https://www.amazon.com/Klein-Tools-66010-High-Torque-12-Point/dp/B07NZS6998/ref=sr_1_2?keywords=Klein+Tools+66060+2-in-1+Impact+Socket+Set%2C+6-Point%2C+6-Piece&amp;qid=1694735105&amp;sr=8-2", "https://www.amazon.com/Klein-Tools-66010-High-Torque-12-Point/dp/B07NZS6998/ref=sr_1_2?keywords=Klein+Tools+66060+2-in-1+Impact+Socket+Set%2C+6-Point%2C+6-Piece&amp;qid=1694735105&amp;sr=8-2")</f>
        <v/>
      </c>
      <c r="F6070" t="inlineStr">
        <is>
          <t>B07NZS6998</t>
        </is>
      </c>
      <c r="G6070">
        <f>_xlfn.IMAGE("https://edmondsonsupply.com/cdn/shop/products/66060.jpg?v=1665592747")</f>
        <v/>
      </c>
      <c r="H6070">
        <f>_xlfn.IMAGE("https://m.media-amazon.com/images/I/51QnKGm7EiL._AC_UL320_.jpg")</f>
        <v/>
      </c>
      <c r="K6070" t="inlineStr">
        <is>
          <t>199.99</t>
        </is>
      </c>
      <c r="L6070" t="n">
        <v>199.99</v>
      </c>
      <c r="M6070" s="1" t="inlineStr">
        <is>
          <t>0.00%</t>
        </is>
      </c>
      <c r="N6070" s="7" t="n"/>
      <c r="O6070" t="n">
        <v>4.8</v>
      </c>
      <c r="P6070" t="n">
        <v>380</v>
      </c>
      <c r="R6070" t="inlineStr">
        <is>
          <t>InStock</t>
        </is>
      </c>
      <c r="S6070" t="inlineStr">
        <is>
          <t>344.76</t>
        </is>
      </c>
      <c r="T6070" t="inlineStr">
        <is>
          <t>7850034561240</t>
        </is>
      </c>
    </row>
    <row r="6071" hidden="1" ht="15.75" customHeight="1">
      <c r="A6071" s="2">
        <f>HYPERLINK("https://edmondsonsupply.com/collections/electricians-tools/products/tajima-gs-25bw-gs-lock%E2%84%A2-standard-scale-25-ft-x-1-in-steel-blade-tape-measure", "https://edmondsonsupply.com/collections/electricians-tools/products/tajima-gs-25bw-gs-lock%E2%84%A2-standard-scale-25-ft-x-1-in-steel-blade-tape-measure")</f>
        <v/>
      </c>
      <c r="B6071" s="2">
        <f>HYPERLINK("https://edmondsonsupply.com/products/tajima-gs-25bw-gs-lock%e2%84%a2-standard-scale-25-ft-x-1-in-steel-blade-tape-measure", "https://edmondsonsupply.com/products/tajima-gs-25bw-gs-lock%e2%84%a2-standard-scale-25-ft-x-1-in-steel-blade-tape-measure")</f>
        <v/>
      </c>
      <c r="C6071" t="inlineStr">
        <is>
          <t>Tajima GS-25BW GS Lock™ Standard Scale, 25 ft x 1-1/16 in. Steel Blade Tape Measure</t>
        </is>
      </c>
      <c r="D6071" t="inlineStr">
        <is>
          <t>TAJIMA Tape Measure - 25 ft / 7.5 m x 1-1/16 inch GS-Lock Measuring Tape with Dual Metric/Standard Scale &amp; Acrylic Coated Blade - GS-25/7.5MBW</t>
        </is>
      </c>
      <c r="E6071" s="2">
        <f>HYPERLINK("https://www.amazon.com/TAJIMA-GS25-7-5MBW-Standard-Metric/dp/B07KJYHXG2/ref=sr_1_1?keywords=Tajima+GS-25BW+GS+Lock%E2%84%A2+Standard+Scale%2C+25+ft+x+1-1%2F16+in.+Steel+Blade+Tape+Measure&amp;qid=1694735144&amp;sr=8-1", "https://www.amazon.com/TAJIMA-GS25-7-5MBW-Standard-Metric/dp/B07KJYHXG2/ref=sr_1_1?keywords=Tajima+GS-25BW+GS+Lock%E2%84%A2+Standard+Scale%2C+25+ft+x+1-1%2F16+in.+Steel+Blade+Tape+Measure&amp;qid=1694735144&amp;sr=8-1")</f>
        <v/>
      </c>
      <c r="F6071" t="inlineStr">
        <is>
          <t>B07KJYHXG2</t>
        </is>
      </c>
      <c r="G6071">
        <f>_xludf.IMAGE("https://edmondsonsupply.com/cdn/shop/products/GS25BW.jpg?v=1655828685")</f>
        <v/>
      </c>
      <c r="H6071">
        <f>_xludf.IMAGE("https://m.media-amazon.com/images/I/51PaItjwi6L._AC_UL320_.jpg")</f>
        <v/>
      </c>
      <c r="K6071" t="inlineStr">
        <is>
          <t>40.08</t>
        </is>
      </c>
      <c r="L6071" t="n">
        <v>40.08</v>
      </c>
      <c r="M6071" s="1" t="inlineStr">
        <is>
          <t>0.00%</t>
        </is>
      </c>
      <c r="N6071" s="1" t="n"/>
      <c r="O6071" t="n">
        <v>4</v>
      </c>
      <c r="P6071" t="n">
        <v>46</v>
      </c>
      <c r="R6071" t="inlineStr">
        <is>
          <t>InStock</t>
        </is>
      </c>
      <c r="S6071" t="inlineStr">
        <is>
          <t>42.19</t>
        </is>
      </c>
      <c r="T6071" t="inlineStr">
        <is>
          <t>7726262583512</t>
        </is>
      </c>
    </row>
    <row r="6072" ht="87" customHeight="1">
      <c r="A6072" s="2">
        <f>HYPERLINK("https://edmondsonsupply.com/collections/electricians-tools/products/tajima-gs-25bw-gs-lock%E2%84%A2-standard-scale-25-ft-x-1-in-steel-blade-tape-measure", "https://edmondsonsupply.com/collections/electricians-tools/products/tajima-gs-25bw-gs-lock%E2%84%A2-standard-scale-25-ft-x-1-in-steel-blade-tape-measure")</f>
        <v/>
      </c>
      <c r="B6072" s="2">
        <f>HYPERLINK("https://edmondsonsupply.com/products/tajima-gs-25bw-gs-lock%e2%84%a2-standard-scale-25-ft-x-1-in-steel-blade-tape-measure", "https://edmondsonsupply.com/products/tajima-gs-25bw-gs-lock%e2%84%a2-standard-scale-25-ft-x-1-in-steel-blade-tape-measure")</f>
        <v/>
      </c>
      <c r="C6072" t="inlineStr">
        <is>
          <t>Tajima GS-25BW GS Lock™ Standard Scale, 25 ft x 1-1/16 in. Steel Blade Tape Measure</t>
        </is>
      </c>
      <c r="D6072" t="inlineStr">
        <is>
          <t>TAJIMA Tape Measure - 25 ft x 1-1/16 inch GS-Lock Measuring Tape with Shock Resistant Case &amp; Acrylic Coated Blade - GS-25BW</t>
        </is>
      </c>
      <c r="E6072" s="2">
        <f>HYPERLINK("https://www.amazon.com/TAJIMA-Tape-Measure-Measuring-Resistant/dp/B07KK41D2P/ref=sr_1_3?keywords=Tajima+GS-25BW+GS+Lock%E2%84%A2+Standard+Scale%2C+25+ft+x+1-1%2F16+in.+Steel+Blade+Tape+Measure&amp;qid=1694735144&amp;sr=8-3", "https://www.amazon.com/TAJIMA-Tape-Measure-Measuring-Resistant/dp/B07KK41D2P/ref=sr_1_3?keywords=Tajima+GS-25BW+GS+Lock%E2%84%A2+Standard+Scale%2C+25+ft+x+1-1%2F16+in.+Steel+Blade+Tape+Measure&amp;qid=1694735144&amp;sr=8-3")</f>
        <v/>
      </c>
      <c r="F6072" t="inlineStr">
        <is>
          <t>B07KK41D2P</t>
        </is>
      </c>
      <c r="G6072">
        <f>_xlfn.IMAGE("https://edmondsonsupply.com/cdn/shop/products/GS25BW.jpg?v=1655828685")</f>
        <v/>
      </c>
      <c r="H6072">
        <f>_xlfn.IMAGE("https://m.media-amazon.com/images/I/41wNZHxS7bL._AC_UL320_.jpg")</f>
        <v/>
      </c>
      <c r="K6072" t="inlineStr">
        <is>
          <t>40.08</t>
        </is>
      </c>
      <c r="L6072" t="n">
        <v>40.08</v>
      </c>
      <c r="M6072" s="1" t="inlineStr">
        <is>
          <t>0.00%</t>
        </is>
      </c>
      <c r="N6072" s="7" t="n"/>
      <c r="O6072" t="n">
        <v>4.5</v>
      </c>
      <c r="P6072" t="n">
        <v>135</v>
      </c>
      <c r="R6072" t="inlineStr">
        <is>
          <t>InStock</t>
        </is>
      </c>
      <c r="S6072" t="inlineStr">
        <is>
          <t>42.19</t>
        </is>
      </c>
      <c r="T6072" t="inlineStr">
        <is>
          <t>7726262583512</t>
        </is>
      </c>
    </row>
    <row r="6073" ht="87" customHeight="1">
      <c r="A6073" s="2">
        <f>HYPERLINK("https://edmondsonsupply.com/collections/electricians-tools/products/tajima-jpr-300-japan-pull%E2%84%A2-300-13-tpi-blade", "https://edmondsonsupply.com/collections/electricians-tools/products/tajima-jpr-300-japan-pull%E2%84%A2-300-13-tpi-blade")</f>
        <v/>
      </c>
      <c r="B6073" s="2">
        <f>HYPERLINK("https://edmondsonsupply.com/products/tajima-jpr-300-japan-pull%e2%84%a2-300-13-tpi-blade", "https://edmondsonsupply.com/products/tajima-jpr-300-japan-pull%e2%84%a2-300-13-tpi-blade")</f>
        <v/>
      </c>
      <c r="C6073" t="inlineStr">
        <is>
          <t>Tajima JPR-300 Japan Pull™ 300, 13 TPI Blade</t>
        </is>
      </c>
      <c r="D6073" t="inlineStr">
        <is>
          <t>TAJIMA Pull-Stroke Saw - 300 mm x 13 TPI Japanese Flush Cut Hand Saw with Quick-Release Blade &amp; Non-Slip Elastomer Handle - JPR-300</t>
        </is>
      </c>
      <c r="E6073" s="2">
        <f>HYPERLINK("https://www.amazon.com/TAJIMA-Pull-Stroke-Saw-Quick-Release-Elastomer/dp/B0042B4M16/ref=sr_1_1?keywords=Tajima+JPR-300+Japan+Pull%E2%84%A2+300%2C+13+TPI+Blade&amp;qid=1694735144&amp;sr=8-1", "https://www.amazon.com/TAJIMA-Pull-Stroke-Saw-Quick-Release-Elastomer/dp/B0042B4M16/ref=sr_1_1?keywords=Tajima+JPR-300+Japan+Pull%E2%84%A2+300%2C+13+TPI+Blade&amp;qid=1694735144&amp;sr=8-1")</f>
        <v/>
      </c>
      <c r="F6073" t="inlineStr">
        <is>
          <t>B0042B4M16</t>
        </is>
      </c>
      <c r="G6073">
        <f>_xlfn.IMAGE("https://edmondsonsupply.com/cdn/shop/products/JPR-300.jpg?v=1655820670")</f>
        <v/>
      </c>
      <c r="H6073">
        <f>_xlfn.IMAGE("https://m.media-amazon.com/images/I/614xP2Y5m5L._AC_UL320_.jpg")</f>
        <v/>
      </c>
      <c r="K6073" t="inlineStr">
        <is>
          <t>32.28</t>
        </is>
      </c>
      <c r="L6073" t="n">
        <v>32.28</v>
      </c>
      <c r="M6073" s="1" t="inlineStr">
        <is>
          <t>0.00%</t>
        </is>
      </c>
      <c r="N6073" s="7" t="n"/>
      <c r="O6073" t="n">
        <v>4.5</v>
      </c>
      <c r="P6073" t="n">
        <v>37</v>
      </c>
      <c r="R6073" t="inlineStr">
        <is>
          <t>InStock</t>
        </is>
      </c>
      <c r="S6073" t="inlineStr">
        <is>
          <t>33.99</t>
        </is>
      </c>
      <c r="T6073" t="inlineStr">
        <is>
          <t>7726161395928</t>
        </is>
      </c>
    </row>
    <row r="6074" ht="87" customHeight="1">
      <c r="A6074" s="2">
        <f>HYPERLINK("https://edmondsonsupply.com/collections/electricians-tools/products/klein-tools-66060-2-in-1-impact-socket-set-6-point-6-piece", "https://edmondsonsupply.com/collections/electricians-tools/products/klein-tools-66060-2-in-1-impact-socket-set-6-point-6-piece")</f>
        <v/>
      </c>
      <c r="B6074" s="2">
        <f>HYPERLINK("https://edmondsonsupply.com/products/klein-tools-66060-2-in-1-impact-socket-set-6-point-6-piece", "https://edmondsonsupply.com/products/klein-tools-66060-2-in-1-impact-socket-set-6-point-6-piece")</f>
        <v/>
      </c>
      <c r="C6074" t="inlineStr">
        <is>
          <t>Klein Tools 66060 2-in-1 Impact Socket Set, 6-Point, 6-Piece</t>
        </is>
      </c>
      <c r="D6074" t="inlineStr">
        <is>
          <t>Klein Tools 66060 2-in-1 Impact Socket Set, 6-Piece Tool Set with 6-Point Deep Sockets with 1/2-Inch Drive, Includes Tool Case</t>
        </is>
      </c>
      <c r="E6074" s="2">
        <f>HYPERLINK("https://www.amazon.com/6-Piece-6-Point-Klein-Tools-66060/dp/B09NDQC58N/ref=sr_1_1?keywords=Klein+Tools+66060+2-in-1+Impact+Socket+Set%2C+6-Point%2C+6-Piece&amp;qid=1694735105&amp;sr=8-1", "https://www.amazon.com/6-Piece-6-Point-Klein-Tools-66060/dp/B09NDQC58N/ref=sr_1_1?keywords=Klein+Tools+66060+2-in-1+Impact+Socket+Set%2C+6-Point%2C+6-Piece&amp;qid=1694735105&amp;sr=8-1")</f>
        <v/>
      </c>
      <c r="F6074" t="inlineStr">
        <is>
          <t>B09NDQC58N</t>
        </is>
      </c>
      <c r="G6074">
        <f>_xlfn.IMAGE("https://edmondsonsupply.com/cdn/shop/products/66060.jpg?v=1665592747")</f>
        <v/>
      </c>
      <c r="H6074">
        <f>_xlfn.IMAGE("https://m.media-amazon.com/images/I/61eqgi0t5cL._AC_UL320_.jpg")</f>
        <v/>
      </c>
      <c r="K6074" t="inlineStr">
        <is>
          <t>199.99</t>
        </is>
      </c>
      <c r="L6074" t="n">
        <v>199.99</v>
      </c>
      <c r="M6074" s="1" t="inlineStr">
        <is>
          <t>0.00%</t>
        </is>
      </c>
      <c r="N6074" s="7" t="n"/>
      <c r="O6074" t="n">
        <v>4.5</v>
      </c>
      <c r="P6074" t="n">
        <v>11</v>
      </c>
      <c r="R6074" t="inlineStr">
        <is>
          <t>InStock</t>
        </is>
      </c>
      <c r="S6074" t="inlineStr">
        <is>
          <t>344.76</t>
        </is>
      </c>
      <c r="T6074" t="inlineStr">
        <is>
          <t>7850034561240</t>
        </is>
      </c>
    </row>
    <row r="6075" ht="87" customHeight="1">
      <c r="A6075" s="2">
        <f>HYPERLINK("https://edmondsonsupply.com/collections/electricians-tools/products/klein-tools-31906-hole-saw-arbor-with-pins-7-16-inch", "https://edmondsonsupply.com/collections/electricians-tools/products/klein-tools-31906-hole-saw-arbor-with-pins-7-16-inch")</f>
        <v/>
      </c>
      <c r="B6075" s="2">
        <f>HYPERLINK("https://edmondsonsupply.com/products/klein-tools-31906-hole-saw-arbor-with-pins-7-16-inch", "https://edmondsonsupply.com/products/klein-tools-31906-hole-saw-arbor-with-pins-7-16-inch")</f>
        <v/>
      </c>
      <c r="C6075" t="inlineStr">
        <is>
          <t>Klein Tools 31906 Hole Saw Arbor With Pins, 7/16-Inch</t>
        </is>
      </c>
      <c r="D6075" t="inlineStr">
        <is>
          <t>Klein Tools 31906 Hole Saw Arbor With Pins, 7/16-Inch</t>
        </is>
      </c>
      <c r="E6075" s="2">
        <f>HYPERLINK("https://www.amazon.com/Arbor-16-Inch-Klein-Tools-31906/dp/B0198751UO/ref=sr_1_1?keywords=Klein+Tools+31906+Hole+Saw+Arbor+With+Pins%2C+7%2F16-Inch&amp;qid=1694735099&amp;sr=8-1", "https://www.amazon.com/Arbor-16-Inch-Klein-Tools-31906/dp/B0198751UO/ref=sr_1_1?keywords=Klein+Tools+31906+Hole+Saw+Arbor+With+Pins%2C+7%2F16-Inch&amp;qid=1694735099&amp;sr=8-1")</f>
        <v/>
      </c>
      <c r="F6075" t="inlineStr">
        <is>
          <t>B0198751UO</t>
        </is>
      </c>
      <c r="G6075">
        <f>_xlfn.IMAGE("https://edmondsonsupply.com/cdn/shop/products/31906.jpg?v=1665670390")</f>
        <v/>
      </c>
      <c r="H6075">
        <f>_xlfn.IMAGE("https://m.media-amazon.com/images/I/51WjO5DQ0bL._AC_UL320_.jpg")</f>
        <v/>
      </c>
      <c r="K6075" t="inlineStr">
        <is>
          <t>15.99</t>
        </is>
      </c>
      <c r="L6075" t="n">
        <v>15.99</v>
      </c>
      <c r="M6075" s="1" t="inlineStr">
        <is>
          <t>0.00%</t>
        </is>
      </c>
      <c r="N6075" s="7" t="n"/>
      <c r="O6075" t="n">
        <v>4.5</v>
      </c>
      <c r="P6075" t="n">
        <v>232</v>
      </c>
      <c r="R6075" t="inlineStr">
        <is>
          <t>InStock</t>
        </is>
      </c>
      <c r="S6075" t="inlineStr">
        <is>
          <t>22.44</t>
        </is>
      </c>
      <c r="T6075" t="inlineStr">
        <is>
          <t>7851715494104</t>
        </is>
      </c>
    </row>
    <row r="6076" hidden="1" ht="15.75" customHeight="1">
      <c r="A6076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6076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6076" t="inlineStr">
        <is>
          <t>Klein Tools 600-6 5/16-Inch Keystone Screwdriver 6-Inch SQ Shank</t>
        </is>
      </c>
      <c r="D6076" t="inlineStr">
        <is>
          <t>Klein Tools 600-6 5/16-Inch Keystone Screwdriver 6-Inch Square Shank</t>
        </is>
      </c>
      <c r="E6076" s="2">
        <f>HYPERLINK("https://www.amazon.com/Keystone-Screwdriver-Klein-Tools-600-6/dp/B0000302WN/ref=sr_1_1?keywords=Klein+Tools+600-6+5%2F16-Inch+Keystone+Screwdriver+6-Inch+SQ+Shank&amp;qid=1694735292&amp;sr=8-1", "https://www.amazon.com/Keystone-Screwdriver-Klein-Tools-600-6/dp/B0000302WN/ref=sr_1_1?keywords=Klein+Tools+600-6+5%2F16-Inch+Keystone+Screwdriver+6-Inch+SQ+Shank&amp;qid=1694735292&amp;sr=8-1")</f>
        <v/>
      </c>
      <c r="F6076" t="inlineStr">
        <is>
          <t>B0000302WN</t>
        </is>
      </c>
      <c r="G6076">
        <f>_xludf.IMAGE("https://edmondsonsupply.com/cdn/shop/products/600-6.jpg?v=1633030381")</f>
        <v/>
      </c>
      <c r="H6076">
        <f>_xludf.IMAGE("https://m.media-amazon.com/images/I/31Tq2Zz8NBL._AC_UL320_.jpg")</f>
        <v/>
      </c>
      <c r="K6076" t="inlineStr">
        <is>
          <t>13.97</t>
        </is>
      </c>
      <c r="L6076" t="n">
        <v>13.97</v>
      </c>
      <c r="M6076" s="1" t="inlineStr">
        <is>
          <t>0.00%</t>
        </is>
      </c>
      <c r="N6076" s="1" t="n"/>
      <c r="O6076" t="n">
        <v>4.8</v>
      </c>
      <c r="P6076" t="n">
        <v>1834</v>
      </c>
      <c r="R6076" t="inlineStr">
        <is>
          <t>InStock</t>
        </is>
      </c>
      <c r="S6076" t="inlineStr">
        <is>
          <t>18.5</t>
        </is>
      </c>
      <c r="T6076" t="inlineStr">
        <is>
          <t>5296722542760</t>
        </is>
      </c>
    </row>
    <row r="6077" hidden="1" ht="15.75" customHeight="1">
      <c r="A6077" s="2">
        <f>HYPERLINK("https://edmondsonsupply.com/collections/electricians-tools/products/channellock-528", "https://edmondsonsupply.com/collections/electricians-tools/products/channellock-528")</f>
        <v/>
      </c>
      <c r="B6077" s="2">
        <f>HYPERLINK("https://edmondsonsupply.com/products/channellock-528", "https://edmondsonsupply.com/products/channellock-528")</f>
        <v/>
      </c>
      <c r="C6077" t="inlineStr">
        <is>
          <t>Channellock 528 8-Inch Slip Joint Pliers</t>
        </is>
      </c>
      <c r="D6077" t="inlineStr">
        <is>
          <t>Channellock 528 8-Inch Slip Joint Pliers|Utility Plier with Wire Cutter|Serrated Jaw Forged from High Carbon Steel for Maximum Grip on Materials|Specially Coated for Rust Prevention,Blue</t>
        </is>
      </c>
      <c r="E6077" s="2">
        <f>HYPERLINK("https://www.amazon.com/Channellock-528-8-Inch-Joint-Plier/dp/B0002FT6H6/ref=sr_1_1?keywords=Channellock+528+8-Inch+Slip+Joint+Pliers&amp;qid=1694735315&amp;sr=8-1", "https://www.amazon.com/Channellock-528-8-Inch-Joint-Plier/dp/B0002FT6H6/ref=sr_1_1?keywords=Channellock+528+8-Inch+Slip+Joint+Pliers&amp;qid=1694735315&amp;sr=8-1")</f>
        <v/>
      </c>
      <c r="F6077" t="inlineStr">
        <is>
          <t>B0002FT6H6</t>
        </is>
      </c>
      <c r="G6077">
        <f>_xludf.IMAGE("https://edmondsonsupply.com/cdn/shop/products/528-683x1024.jpg?v=1633030323")</f>
        <v/>
      </c>
      <c r="H6077">
        <f>_xludf.IMAGE("https://m.media-amazon.com/images/I/71B4-bPpJwL._AC_UL320_.jpg")</f>
        <v/>
      </c>
      <c r="K6077" t="inlineStr">
        <is>
          <t>12.95</t>
        </is>
      </c>
      <c r="L6077" t="n">
        <v>12.95</v>
      </c>
      <c r="M6077" s="1" t="inlineStr">
        <is>
          <t>0.00%</t>
        </is>
      </c>
      <c r="N6077" s="1" t="n"/>
      <c r="O6077" t="n">
        <v>4.7</v>
      </c>
      <c r="P6077" t="n">
        <v>2651</v>
      </c>
      <c r="R6077" t="inlineStr">
        <is>
          <t>InStock</t>
        </is>
      </c>
      <c r="S6077" t="inlineStr">
        <is>
          <t>17.55</t>
        </is>
      </c>
      <c r="T6077" t="inlineStr">
        <is>
          <t>5245868966056</t>
        </is>
      </c>
    </row>
    <row r="6078" hidden="1" ht="15.75" customHeight="1">
      <c r="A6078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6078" s="2">
        <f>HYPERLINK("https://edmondsonsupply.com/products/klein-tools-605-4-1-4-inch-cabinet-tip-screwdriver-4-inch-shank", "https://edmondsonsupply.com/products/klein-tools-605-4-1-4-inch-cabinet-tip-screwdriver-4-inch-shank")</f>
        <v/>
      </c>
      <c r="C6078" t="inlineStr">
        <is>
          <t>Klein Tools 605-4 1/4-Inch Cabinet Tip Screwdriver 4-Inch Shank</t>
        </is>
      </c>
      <c r="D6078" t="inlineStr">
        <is>
          <t>Klein Tools 663 #3 Square Recess Tip Screwdriver with 4-Inch Round Shank and Cushion Grip Handle</t>
        </is>
      </c>
      <c r="E6078" s="2">
        <f>HYPERLINK("https://www.amazon.com/Screwdriver-Cushion-Klein-Tools-663/dp/B00093D6Z4/ref=sr_1_12?keywords=Klein+Tools+605-4+1%2F4-Inch+Cabinet+Tip+Screwdriver+4-Inch+Shank&amp;qid=1694735099&amp;sr=8-12", "https://www.amazon.com/Screwdriver-Cushion-Klein-Tools-663/dp/B00093D6Z4/ref=sr_1_12?keywords=Klein+Tools+605-4+1%2F4-Inch+Cabinet+Tip+Screwdriver+4-Inch+Shank&amp;qid=1694735099&amp;sr=8-12")</f>
        <v/>
      </c>
      <c r="F6078" t="inlineStr">
        <is>
          <t>B00093D6Z4</t>
        </is>
      </c>
      <c r="G6078">
        <f>_xludf.IMAGE("https://edmondsonsupply.com/cdn/shop/products/605-6_ac5e56ca-920d-4d55-842f-c7dc8361f892.jpg?v=1665688377")</f>
        <v/>
      </c>
      <c r="H6078">
        <f>_xludf.IMAGE("https://m.media-amazon.com/images/I/61jriV60weL._AC_UL320_.jpg")</f>
        <v/>
      </c>
      <c r="K6078" t="inlineStr">
        <is>
          <t>8.99</t>
        </is>
      </c>
      <c r="L6078" t="n">
        <v>8.99</v>
      </c>
      <c r="M6078" s="1" t="inlineStr">
        <is>
          <t>0.00%</t>
        </is>
      </c>
      <c r="N6078" s="1" t="n"/>
      <c r="O6078" t="n">
        <v>4.8</v>
      </c>
      <c r="P6078" t="n">
        <v>1357</v>
      </c>
      <c r="R6078" t="inlineStr">
        <is>
          <t>InStock</t>
        </is>
      </c>
      <c r="S6078" t="inlineStr">
        <is>
          <t>13.6</t>
        </is>
      </c>
      <c r="T6078" t="inlineStr">
        <is>
          <t>7852059132120</t>
        </is>
      </c>
    </row>
    <row r="6079" hidden="1" ht="15.75" customHeight="1">
      <c r="A6079" s="2">
        <f>HYPERLINK("https://edmondsonsupply.com/collections/electricians-tools/products/klein-tools-jth6e13-1-4-inch-hex-key-journeyman-t-handle-6-inch", "https://edmondsonsupply.com/collections/electricians-tools/products/klein-tools-jth6e13-1-4-inch-hex-key-journeyman-t-handle-6-inch")</f>
        <v/>
      </c>
      <c r="B6079" s="2">
        <f>HYPERLINK("https://edmondsonsupply.com/products/klein-tools-jth6e13-1-4-inch-hex-key-journeyman-t-handle-6-inch", "https://edmondsonsupply.com/products/klein-tools-jth6e13-1-4-inch-hex-key-journeyman-t-handle-6-inch")</f>
        <v/>
      </c>
      <c r="C6079" t="inlineStr">
        <is>
          <t>Klein Tools JTH6E13 1/4-Inch Hex Key, Journeyman™ T-Handle, 6-Inch</t>
        </is>
      </c>
      <c r="D6079" t="inlineStr">
        <is>
          <t>Klein Tools JTH6E13 1/4-Inch Hex Key with Journeyman T-Handle, 6-Inch</t>
        </is>
      </c>
      <c r="E6079" s="2">
        <f>HYPERLINK("https://www.amazon.com/Journeyman-T-Handle-Klein-Tools-JTH6E13/dp/B004ITXH36/ref=sr_1_1?keywords=Klein+Tools+JTH6E13+1%2F4-Inch+Hex+Key%2C+Journeyman%E2%84%A2+T-Handle%2C+6-Inch&amp;qid=1694735318&amp;sr=8-1", "https://www.amazon.com/Journeyman-T-Handle-Klein-Tools-JTH6E13/dp/B004ITXH36/ref=sr_1_1?keywords=Klein+Tools+JTH6E13+1%2F4-Inch+Hex+Key%2C+Journeyman%E2%84%A2+T-Handle%2C+6-Inch&amp;qid=1694735318&amp;sr=8-1")</f>
        <v/>
      </c>
      <c r="F6079" t="inlineStr">
        <is>
          <t>B004ITXH36</t>
        </is>
      </c>
      <c r="G6079">
        <f>_xludf.IMAGE("https://edmondsonsupply.com/cdn/shop/products/jth6e15_6c39ee71-7394-4eeb-8e78-2a1961a59f2c.jpg?v=1589422596")</f>
        <v/>
      </c>
      <c r="H6079">
        <f>_xludf.IMAGE("https://m.media-amazon.com/images/I/51Yb8h41vLL._AC_UL320_.jpg")</f>
        <v/>
      </c>
      <c r="K6079" t="inlineStr">
        <is>
          <t>5.99</t>
        </is>
      </c>
      <c r="L6079" t="n">
        <v>5.99</v>
      </c>
      <c r="M6079" s="1" t="inlineStr">
        <is>
          <t>0.00%</t>
        </is>
      </c>
      <c r="N6079" s="1" t="n"/>
      <c r="O6079" t="n">
        <v>4.8</v>
      </c>
      <c r="P6079" t="n">
        <v>2477</v>
      </c>
      <c r="R6079" t="inlineStr">
        <is>
          <t>InStock</t>
        </is>
      </c>
      <c r="S6079" t="inlineStr">
        <is>
          <t>9.08</t>
        </is>
      </c>
      <c r="T6079" t="inlineStr">
        <is>
          <t>4654951628900</t>
        </is>
      </c>
    </row>
    <row r="6080" hidden="1" ht="15.75" customHeight="1">
      <c r="A6080" s="2">
        <f>HYPERLINK("https://edmondsonsupply.com/collections/electricians-tools/products/tajima-gs-16-5mbw-gs-lock%E2%84%A2-standard-metric-scale-16-ft-5-m-x-1-in-25mm-steel-blade-tape-measure", "https://edmondsonsupply.com/collections/electricians-tools/products/tajima-gs-16-5mbw-gs-lock%E2%84%A2-standard-metric-scale-16-ft-5-m-x-1-in-25mm-steel-blade-tape-measure")</f>
        <v/>
      </c>
      <c r="B6080" s="2">
        <f>HYPERLINK("https://edmondsonsupply.com/products/tajima-gs-16-5mbw-gs-lock%e2%84%a2-standard-metric-scale-16-ft-5-m-x-1-in-25mm-steel-blade-tape-measure", "https://edmondsonsupply.com/products/tajima-gs-16-5mbw-gs-lock%e2%84%a2-standard-metric-scale-16-ft-5-m-x-1-in-25mm-steel-blade-tape-measure")</f>
        <v/>
      </c>
      <c r="C6080" t="inlineStr">
        <is>
          <t>Tajima GS-16/5MBW GS Lock™ Standard &amp; Metric Scale, 16 ft/ 5 m x 1 in./25mm Steel Blade Tape Measure</t>
        </is>
      </c>
      <c r="D6080" t="inlineStr">
        <is>
          <t>Tajima GS-16/5MBW 16 ft./5 m x 1 in. Standard and Metric Steel GS-Lock Tape Measure</t>
        </is>
      </c>
      <c r="E6080" s="2">
        <f>HYPERLINK("https://www.amazon.com/TAJIMA-GS-16-5MBW-Standard-Metric/dp/B07KK4HWTX/ref=sr_1_1?keywords=Tajima+GS-16%2F5MBW+GS+Lock%E2%84%A2+Standard+%26+Metric+Scale%2C+16+ft%2F+5+m+x+1+in.%2F25mm+Steel+Blade+Tape+Measure&amp;qid=1694735144&amp;sr=8-1", "https://www.amazon.com/TAJIMA-GS-16-5MBW-Standard-Metric/dp/B07KK4HWTX/ref=sr_1_1?keywords=Tajima+GS-16%2F5MBW+GS+Lock%E2%84%A2+Standard+%26+Metric+Scale%2C+16+ft%2F+5+m+x+1+in.%2F25mm+Steel+Blade+Tape+Measure&amp;qid=1694735144&amp;sr=8-1")</f>
        <v/>
      </c>
      <c r="F6080" t="inlineStr">
        <is>
          <t>B07KK4HWTX</t>
        </is>
      </c>
      <c r="G6080">
        <f>_xludf.IMAGE("https://edmondsonsupply.com/cdn/shop/products/GS16-5MBW.jpg?v=1655829307")</f>
        <v/>
      </c>
      <c r="H6080">
        <f>_xludf.IMAGE("https://m.media-amazon.com/images/I/51vAY18AaEL._AC_UL320_.jpg")</f>
        <v/>
      </c>
      <c r="K6080" t="inlineStr">
        <is>
          <t>27.92</t>
        </is>
      </c>
      <c r="L6080" t="n">
        <v>27.92</v>
      </c>
      <c r="M6080" s="1" t="inlineStr">
        <is>
          <t>0.00%</t>
        </is>
      </c>
      <c r="N6080" s="1" t="n"/>
      <c r="O6080" t="n">
        <v>4</v>
      </c>
      <c r="P6080" t="n">
        <v>46</v>
      </c>
      <c r="R6080" t="inlineStr">
        <is>
          <t>InStock</t>
        </is>
      </c>
      <c r="S6080" t="inlineStr">
        <is>
          <t>29.39</t>
        </is>
      </c>
      <c r="T6080" t="inlineStr">
        <is>
          <t>7726331560152</t>
        </is>
      </c>
    </row>
    <row r="6081" ht="87" customHeight="1">
      <c r="A6081" s="2">
        <f>HYPERLINK("https://edmondsonsupply.com/collections/electricians-tools/products/klein-tools-60568-heavy-knit-hat-high-visibility-yellow-patch-logo", "https://edmondsonsupply.com/collections/electricians-tools/products/klein-tools-60568-heavy-knit-hat-high-visibility-yellow-patch-logo")</f>
        <v/>
      </c>
      <c r="B6081" s="2">
        <f>HYPERLINK("https://edmondsonsupply.com/products/klein-tools-60568-heavy-knit-hat-high-visibility-yellow-patch-logo", "https://edmondsonsupply.com/products/klein-tools-60568-heavy-knit-hat-high-visibility-yellow-patch-logo")</f>
        <v/>
      </c>
      <c r="C6081" t="inlineStr">
        <is>
          <t>Klein Tools 60568 Heavy Knit Hat, High-Visibility Yellow, Patch Logo</t>
        </is>
      </c>
      <c r="D6081" t="inlineStr">
        <is>
          <t>Klein Tools 60568 Heavy Knit Hat with Wide Cuff, Yellow, One Size Fits Most, Vintage Patch Logo</t>
        </is>
      </c>
      <c r="E6081" s="2">
        <f>HYPERLINK("https://www.amazon.com/Klein-Tools-Standard-Heavy-Yellow/dp/B0BHLJTFKX/ref=sr_1_1?keywords=Klein+Tools+60568+Heavy+Knit+Hat%2C+High-Visibility+Yellow%2C+Patch+Logo&amp;qid=1694735095&amp;sr=8-1", "https://www.amazon.com/Klein-Tools-Standard-Heavy-Yellow/dp/B0BHLJTFKX/ref=sr_1_1?keywords=Klein+Tools+60568+Heavy+Knit+Hat%2C+High-Visibility+Yellow%2C+Patch+Logo&amp;qid=1694735095&amp;sr=8-1")</f>
        <v/>
      </c>
      <c r="F6081" t="inlineStr">
        <is>
          <t>B0BHLJTFKX</t>
        </is>
      </c>
      <c r="G6081">
        <f>_xlfn.IMAGE("https://edmondsonsupply.com/cdn/shop/products/60568.jpg?v=1667325022")</f>
        <v/>
      </c>
      <c r="H6081">
        <f>_xlfn.IMAGE("https://m.media-amazon.com/images/I/611rwhgvNtL._AC_UL320_.jpg")</f>
        <v/>
      </c>
      <c r="K6081" t="inlineStr">
        <is>
          <t>19.99</t>
        </is>
      </c>
      <c r="L6081" t="n">
        <v>19.99</v>
      </c>
      <c r="M6081" s="1" t="inlineStr">
        <is>
          <t>0.00%</t>
        </is>
      </c>
      <c r="N6081" s="7" t="n"/>
      <c r="O6081" t="n">
        <v>5</v>
      </c>
      <c r="P6081" t="n">
        <v>1</v>
      </c>
      <c r="R6081" t="inlineStr">
        <is>
          <t>InStock</t>
        </is>
      </c>
      <c r="S6081" t="inlineStr">
        <is>
          <t>27.98</t>
        </is>
      </c>
      <c r="T6081" t="inlineStr">
        <is>
          <t>7872637468888</t>
        </is>
      </c>
    </row>
    <row r="6082" ht="87" customHeight="1">
      <c r="A6082" s="2">
        <f>HYPERLINK("https://edmondsonsupply.com/collections/electricians-tools/products/tajima-gp-30bw-g-plus%E2%84%A2-standard-scale-30-ft-x-1-in-steel-blade-tape-measure", "https://edmondsonsupply.com/collections/electricians-tools/products/tajima-gp-30bw-g-plus%E2%84%A2-standard-scale-30-ft-x-1-in-steel-blade-tape-measure")</f>
        <v/>
      </c>
      <c r="B6082" s="2">
        <f>HYPERLINK("https://edmondsonsupply.com/products/tajima-gp-30bw-g-plus%e2%84%a2-standard-scale-30-ft-x-1-in-steel-blade-tape-measure", "https://edmondsonsupply.com/products/tajima-gp-30bw-g-plus%e2%84%a2-standard-scale-30-ft-x-1-in-steel-blade-tape-measure")</f>
        <v/>
      </c>
      <c r="C6082" t="inlineStr">
        <is>
          <t>Tajima GP-30BW G-PLUS™ Standard Scale, 30 ft x 1 in. Steel Blade Tape Measure</t>
        </is>
      </c>
      <c r="D6082" t="inlineStr">
        <is>
          <t>TAJIMA Tape Measure - 30 ft x 1 inch G-Plus Measuring Tape with Armored Case &amp; Acrylic Coated Blade - GP-30BW</t>
        </is>
      </c>
      <c r="E6082" s="2">
        <f>HYPERLINK("https://www.amazon.com/TAJIMA-Tape-Measure-Measuring-Armored/dp/B001S2QNOQ/ref=sr_1_1?keywords=Tajima+GP-30BW+G-PLUS%E2%84%A2+Standard+Scale%2C+30+ft+x+1+in.+Steel+Blade+Tape+Measure&amp;qid=1694735145&amp;sr=8-1", "https://www.amazon.com/TAJIMA-Tape-Measure-Measuring-Armored/dp/B001S2QNOQ/ref=sr_1_1?keywords=Tajima+GP-30BW+G-PLUS%E2%84%A2+Standard+Scale%2C+30+ft+x+1+in.+Steel+Blade+Tape+Measure&amp;qid=1694735145&amp;sr=8-1")</f>
        <v/>
      </c>
      <c r="F6082" t="inlineStr">
        <is>
          <t>B001S2QNOQ</t>
        </is>
      </c>
      <c r="G6082">
        <f>_xlfn.IMAGE("https://edmondsonsupply.com/cdn/shop/products/GP-30BW.jpg?v=1655821822")</f>
        <v/>
      </c>
      <c r="H6082">
        <f>_xlfn.IMAGE("https://m.media-amazon.com/images/I/61NWT8g7txL._AC_UL320_.jpg")</f>
        <v/>
      </c>
      <c r="K6082" t="inlineStr">
        <is>
          <t>38.93</t>
        </is>
      </c>
      <c r="L6082" t="n">
        <v>38.93</v>
      </c>
      <c r="M6082" s="1" t="inlineStr">
        <is>
          <t>0.00%</t>
        </is>
      </c>
      <c r="N6082" s="7" t="n"/>
      <c r="O6082" t="n">
        <v>4.1</v>
      </c>
      <c r="P6082" t="n">
        <v>112</v>
      </c>
      <c r="R6082" t="inlineStr">
        <is>
          <t>InStock</t>
        </is>
      </c>
      <c r="S6082" t="inlineStr">
        <is>
          <t>40.99</t>
        </is>
      </c>
      <c r="T6082" t="inlineStr">
        <is>
          <t>7726172111064</t>
        </is>
      </c>
    </row>
    <row r="6083" hidden="1" ht="15.75" customHeight="1">
      <c r="A6083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6083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6083" t="inlineStr">
        <is>
          <t>Klein Tools JTH6M3BE 3 mm Ball Hex Key Journeyman T-Handle 6-Inch</t>
        </is>
      </c>
      <c r="D6083" t="inlineStr">
        <is>
          <t>Klein Tools JTH6M3BE 3 mm Ball End Hex Key with Journeyman T-Handle, 6-Inch</t>
        </is>
      </c>
      <c r="E6083" s="2">
        <f>HYPERLINK("https://www.amazon.com/Journeyman-T-Handle-Klein-Tools-JTH6M3BE/dp/B005G394V2/ref=sr_1_1?keywords=Klein+Tools+JTH6M3BE+3+mm+Ball+Hex+Key+Journeyman+T-Handle+6-Inch&amp;qid=1694735145&amp;sr=8-1", "https://www.amazon.com/Journeyman-T-Handle-Klein-Tools-JTH6M3BE/dp/B005G394V2/ref=sr_1_1?keywords=Klein+Tools+JTH6M3BE+3+mm+Ball+Hex+Key+Journeyman+T-Handle+6-Inch&amp;qid=1694735145&amp;sr=8-1")</f>
        <v/>
      </c>
      <c r="F6083" t="inlineStr">
        <is>
          <t>B005G394V2</t>
        </is>
      </c>
      <c r="G6083">
        <f>_xludf.IMAGE("https://edmondsonsupply.com/cdn/shop/products/jth6m8be_1b0aeba1-6d03-4a46-99d8-f6853368c71f.jpg?v=1655941616")</f>
        <v/>
      </c>
      <c r="H6083">
        <f>_xludf.IMAGE("https://m.media-amazon.com/images/I/51huXA+ij8L._AC_UL320_.jpg")</f>
        <v/>
      </c>
      <c r="K6083" t="inlineStr">
        <is>
          <t>4.99</t>
        </is>
      </c>
      <c r="L6083" t="n">
        <v>4.99</v>
      </c>
      <c r="M6083" s="1" t="inlineStr">
        <is>
          <t>0.00%</t>
        </is>
      </c>
      <c r="N6083" s="1" t="n"/>
      <c r="O6083" t="n">
        <v>4.6</v>
      </c>
      <c r="P6083" t="n">
        <v>184</v>
      </c>
      <c r="R6083" t="inlineStr">
        <is>
          <t>InStock</t>
        </is>
      </c>
      <c r="S6083" t="inlineStr">
        <is>
          <t>7.56</t>
        </is>
      </c>
      <c r="T6083" t="inlineStr">
        <is>
          <t>7727600304344</t>
        </is>
      </c>
    </row>
    <row r="6084" ht="87" customHeight="1">
      <c r="A6084" s="2">
        <f>HYPERLINK("https://edmondsonsupply.com/collections/electricians-tools/products/copy-of-diablo-tools-d1050x-10-in-x-50-tooth-combination-saw-blade", "https://edmondsonsupply.com/collections/electricians-tools/products/copy-of-diablo-tools-d1050x-10-in-x-50-tooth-combination-saw-blade")</f>
        <v/>
      </c>
      <c r="B6084" s="2">
        <f>HYPERLINK("https://edmondsonsupply.com/products/copy-of-diablo-tools-d1050x-10-in-x-50-tooth-combination-saw-blade", "https://edmondsonsupply.com/products/copy-of-diablo-tools-d1050x-10-in-x-50-tooth-combination-saw-blade")</f>
        <v/>
      </c>
      <c r="C6084" t="inlineStr">
        <is>
          <t>Diablo Tools D1244X 12 in. x 44 Tooth General Purpose Wood Saw Blade</t>
        </is>
      </c>
      <c r="D6084" t="inlineStr">
        <is>
          <t>Freud D1244X Diablo 12" 44 Tooth ATB General Purpose Miter Saw Blade 1" Arbor</t>
        </is>
      </c>
      <c r="E6084" s="2">
        <f>HYPERLINK("https://www.amazon.com/Freud-D1244X-12-Inch-General-Purpose/dp/B00008WQ33/ref=sr_1_1?keywords=Diablo+Tools+D1244X+12+in.+x+44+Tooth+General+Purpose+Wood+Saw+Blade&amp;qid=1694735323&amp;sr=8-1", "https://www.amazon.com/Freud-D1244X-12-Inch-General-Purpose/dp/B00008WQ33/ref=sr_1_1?keywords=Diablo+Tools+D1244X+12+in.+x+44+Tooth+General+Purpose+Wood+Saw+Blade&amp;qid=1694735323&amp;sr=8-1")</f>
        <v/>
      </c>
      <c r="F6084" t="inlineStr">
        <is>
          <t>B00008WQ33</t>
        </is>
      </c>
      <c r="G6084">
        <f>_xlfn.IMAGE("https://edmondsonsupply.com/cdn/shop/products/D1244X_Main-Image20191121.png?v=1633030270")</f>
        <v/>
      </c>
      <c r="H6084">
        <f>_xlfn.IMAGE("https://m.media-amazon.com/images/I/515tBFtlF9L._AC_UL320_.jpg")</f>
        <v/>
      </c>
      <c r="K6084" t="inlineStr">
        <is>
          <t>34.97</t>
        </is>
      </c>
      <c r="L6084" t="n">
        <v>34.97</v>
      </c>
      <c r="M6084" s="1" t="inlineStr">
        <is>
          <t>0.00%</t>
        </is>
      </c>
      <c r="N6084" s="7" t="n"/>
      <c r="O6084" t="n">
        <v>4.8</v>
      </c>
      <c r="P6084" t="n">
        <v>678</v>
      </c>
      <c r="R6084" t="inlineStr">
        <is>
          <t>InStock</t>
        </is>
      </c>
      <c r="S6084" t="inlineStr">
        <is>
          <t>52.42</t>
        </is>
      </c>
      <c r="T6084" t="inlineStr">
        <is>
          <t>4681854681188</t>
        </is>
      </c>
    </row>
    <row r="6085" hidden="1" ht="15.75" customHeight="1">
      <c r="A6085" s="2">
        <f>HYPERLINK("https://edmondsonsupply.com/collections/electricians-tools/products/klein-tools-51611-1-2-inch-angle-setter%E2%84%A2", "https://edmondsonsupply.com/collections/electricians-tools/products/klein-tools-51611-1-2-inch-angle-setter%E2%84%A2")</f>
        <v/>
      </c>
      <c r="B6085" s="2">
        <f>HYPERLINK("https://edmondsonsupply.com/products/klein-tools-51611-1-2-inch-angle-setter%e2%84%a2", "https://edmondsonsupply.com/products/klein-tools-51611-1-2-inch-angle-setter%e2%84%a2")</f>
        <v/>
      </c>
      <c r="C6085" t="inlineStr">
        <is>
          <t>Klein Tools 51611 1/2-Inch Angle Setter™</t>
        </is>
      </c>
      <c r="D6085" t="inlineStr">
        <is>
          <t>Klein Tools 51611 Conduit Bender 1/2-Inch Angle Setter, For Use With Klein Tools Conduit Benders (Cat Nos. 51606 and 51603)</t>
        </is>
      </c>
      <c r="E6085" s="2">
        <f>HYPERLINK("https://www.amazon.com/Klein-Tools-51611-Conduit-Benders/dp/B08L5J5TRQ/ref=sr_1_1?keywords=Klein+Tools+51611+1%2F2-Inch+Angle+Setter%E2%84%A2&amp;qid=1694735142&amp;sr=8-1", "https://www.amazon.com/Klein-Tools-51611-Conduit-Benders/dp/B08L5J5TRQ/ref=sr_1_1?keywords=Klein+Tools+51611+1%2F2-Inch+Angle+Setter%E2%84%A2&amp;qid=1694735142&amp;sr=8-1")</f>
        <v/>
      </c>
      <c r="F6085" t="inlineStr">
        <is>
          <t>B08L5J5TRQ</t>
        </is>
      </c>
      <c r="G6085">
        <f>_xludf.IMAGE("https://edmondsonsupply.com/cdn/shop/products/51611.jpg?v=1661976456")</f>
        <v/>
      </c>
      <c r="H6085">
        <f>_xludf.IMAGE("https://m.media-amazon.com/images/I/51VnnTm4FKL._AC_UL320_.jpg")</f>
        <v/>
      </c>
      <c r="K6085" t="inlineStr">
        <is>
          <t>9.97</t>
        </is>
      </c>
      <c r="L6085" t="n">
        <v>9.970000000000001</v>
      </c>
      <c r="M6085" s="1" t="inlineStr">
        <is>
          <t>0.00%</t>
        </is>
      </c>
      <c r="N6085" s="1" t="n"/>
      <c r="O6085" t="n">
        <v>4.4</v>
      </c>
      <c r="P6085" t="n">
        <v>67</v>
      </c>
      <c r="R6085" t="inlineStr">
        <is>
          <t>InStock</t>
        </is>
      </c>
      <c r="S6085" t="inlineStr">
        <is>
          <t>12.96</t>
        </is>
      </c>
      <c r="T6085" t="inlineStr">
        <is>
          <t>7798377840856</t>
        </is>
      </c>
    </row>
    <row r="6086" ht="87" customHeight="1">
      <c r="A6086" s="2">
        <f>HYPERLINK("https://edmondsonsupply.com/collections/electricians-tools/products/tajima-cnv-100lt-convoy%C2%AE-lite-ultra-lightweight-caulk-gun", "https://edmondsonsupply.com/collections/electricians-tools/products/tajima-cnv-100lt-convoy%C2%AE-lite-ultra-lightweight-caulk-gun")</f>
        <v/>
      </c>
      <c r="B6086" s="2">
        <f>HYPERLINK("https://edmondsonsupply.com/products/tajima-cnv-100lt-convoy%c2%ae-lite-ultra-lightweight-caulk-gun", "https://edmondsonsupply.com/products/tajima-cnv-100lt-convoy%c2%ae-lite-ultra-lightweight-caulk-gun")</f>
        <v/>
      </c>
      <c r="C6086" t="inlineStr">
        <is>
          <t>Tajima CNV-100LT Convoy® Lite, Ultra-lightweight Caulk Gun</t>
        </is>
      </c>
      <c r="D6086" t="inlineStr">
        <is>
          <t>TAJIMA Caulk Gun - 1/10 Gallon (10 oz) Convoy Lite Caulking Tool with Ultra Lightweight ABS Construction &amp; Auto Flow Stop - CNV-100LT</t>
        </is>
      </c>
      <c r="E6086" s="2">
        <f>HYPERLINK("https://www.amazon.com/TAJIMA-Caulk-Gun-Lightweight-Construction/dp/B001S2QO18/ref=sr_1_1?keywords=Tajima+CNV-100LT+Convoy%C2%AE+Lite%2C+Ultra-lightweight+Caulk+Gun&amp;qid=1694735146&amp;sr=8-1", "https://www.amazon.com/TAJIMA-Caulk-Gun-Lightweight-Construction/dp/B001S2QO18/ref=sr_1_1?keywords=Tajima+CNV-100LT+Convoy%C2%AE+Lite%2C+Ultra-lightweight+Caulk+Gun&amp;qid=1694735146&amp;sr=8-1")</f>
        <v/>
      </c>
      <c r="F6086" t="inlineStr">
        <is>
          <t>B001S2QO18</t>
        </is>
      </c>
      <c r="G6086">
        <f>_xlfn.IMAGE("https://edmondsonsupply.com/cdn/shop/products/CNV-100LT_s-e1512090930712.jpg?v=1655301110")</f>
        <v/>
      </c>
      <c r="H6086">
        <f>_xlfn.IMAGE("https://m.media-amazon.com/images/I/61bzaT9pDwL._AC_UL320_.jpg")</f>
        <v/>
      </c>
      <c r="K6086" t="inlineStr">
        <is>
          <t>20.8</t>
        </is>
      </c>
      <c r="L6086" t="n">
        <v>20.8</v>
      </c>
      <c r="M6086" s="1" t="inlineStr">
        <is>
          <t>0.00%</t>
        </is>
      </c>
      <c r="N6086" s="7" t="n"/>
      <c r="O6086" t="n">
        <v>4.4</v>
      </c>
      <c r="P6086" t="n">
        <v>149</v>
      </c>
      <c r="R6086" t="inlineStr">
        <is>
          <t>InStock</t>
        </is>
      </c>
      <c r="S6086" t="inlineStr">
        <is>
          <t>21.89</t>
        </is>
      </c>
      <c r="T6086" t="inlineStr">
        <is>
          <t>7718418874584</t>
        </is>
      </c>
    </row>
    <row r="6087" ht="87" customHeight="1">
      <c r="A6087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6087" s="2">
        <f>HYPERLINK("https://edmondsonsupply.com/products/klein-tools-rt250-gfci-receptacle-tester-with-lcd", "https://edmondsonsupply.com/products/klein-tools-rt250-gfci-receptacle-tester-with-lcd")</f>
        <v/>
      </c>
      <c r="C6087" t="inlineStr">
        <is>
          <t>Klein Tools RT250 GFCI Receptacle Tester with LCD</t>
        </is>
      </c>
      <c r="D6087" t="inlineStr">
        <is>
          <t>Klein Tools RT250 GFCI Outlet Tester with LCD Display, Electric Voltage Tester for Standard 3-Wire 120V Electrical Receptacles,Green/Red</t>
        </is>
      </c>
      <c r="E6087" s="2">
        <f>HYPERLINK("https://www.amazon.com/Receptacle-Electrical-Klein-Tools-RT250/dp/B08QW7K1JJ/ref=sr_1_1?keywords=Klein+Tools+RT250+GFCI+Receptacle+Tester+with+LCD&amp;qid=1694735148&amp;sr=8-1", "https://www.amazon.com/Receptacle-Electrical-Klein-Tools-RT250/dp/B08QW7K1JJ/ref=sr_1_1?keywords=Klein+Tools+RT250+GFCI+Receptacle+Tester+with+LCD&amp;qid=1694735148&amp;sr=8-1")</f>
        <v/>
      </c>
      <c r="F6087" t="inlineStr">
        <is>
          <t>B08QW7K1JJ</t>
        </is>
      </c>
      <c r="G6087">
        <f>_xlfn.IMAGE("https://edmondsonsupply.com/cdn/shop/products/rt250_photo_c.jpg?v=1661363824")</f>
        <v/>
      </c>
      <c r="H6087">
        <f>_xlfn.IMAGE("https://m.media-amazon.com/images/I/61j28ynJ7bL._AC_UL320_.jpg")</f>
        <v/>
      </c>
      <c r="K6087" t="inlineStr">
        <is>
          <t>21.97</t>
        </is>
      </c>
      <c r="L6087" t="n">
        <v>21.97</v>
      </c>
      <c r="M6087" s="1" t="inlineStr">
        <is>
          <t>0.00%</t>
        </is>
      </c>
      <c r="N6087" s="7" t="n"/>
      <c r="O6087" t="n">
        <v>4.8</v>
      </c>
      <c r="P6087" t="n">
        <v>7942</v>
      </c>
      <c r="R6087" t="inlineStr">
        <is>
          <t>InStock</t>
        </is>
      </c>
      <c r="S6087" t="inlineStr">
        <is>
          <t>30.78</t>
        </is>
      </c>
      <c r="T6087" t="inlineStr">
        <is>
          <t>7793138729176</t>
        </is>
      </c>
    </row>
    <row r="6088" ht="87" customHeight="1">
      <c r="A6088" s="2">
        <f>HYPERLINK("https://edmondsonsupply.com/collections/electricians-tools/products/klein-tools-31866-carbide-hole-cutter-1-3-4-inch", "https://edmondsonsupply.com/collections/electricians-tools/products/klein-tools-31866-carbide-hole-cutter-1-3-4-inch")</f>
        <v/>
      </c>
      <c r="B6088" s="2">
        <f>HYPERLINK("https://edmondsonsupply.com/products/klein-tools-31866-carbide-hole-cutter-1-3-4-inch", "https://edmondsonsupply.com/products/klein-tools-31866-carbide-hole-cutter-1-3-4-inch")</f>
        <v/>
      </c>
      <c r="C6088" t="inlineStr">
        <is>
          <t>Klein Tools 31866 Carbide Hole Cutter, 1-3/4-Inch</t>
        </is>
      </c>
      <c r="D6088" t="inlineStr">
        <is>
          <t>Klein Tools 31866 Heavy Duty Hole Cutter, 1-3/4-Inch Carbide Hole Cutter Cuts Stainless Steel, Mild Steel, Iron, and Copper</t>
        </is>
      </c>
      <c r="E6088" s="2">
        <f>HYPERLINK("https://www.amazon.com/Klein-Tools-31866-Carbide-Cutter/dp/B00776T3KI/ref=sr_1_2?keywords=Klein+Tools+31866+Carbide+Hole+Cutter%2C+1-3%2F4-Inch&amp;qid=1694735334&amp;sr=8-2", "https://www.amazon.com/Klein-Tools-31866-Carbide-Cutter/dp/B00776T3KI/ref=sr_1_2?keywords=Klein+Tools+31866+Carbide+Hole+Cutter%2C+1-3%2F4-Inch&amp;qid=1694735334&amp;sr=8-2")</f>
        <v/>
      </c>
      <c r="F6088" t="inlineStr">
        <is>
          <t>B00776T3KI</t>
        </is>
      </c>
      <c r="G6088">
        <f>_xlfn.IMAGE("https://edmondsonsupply.com/cdn/shop/products/31866_alt3.jpg?v=1587143976")</f>
        <v/>
      </c>
      <c r="H6088">
        <f>_xlfn.IMAGE("https://m.media-amazon.com/images/I/41-ss2+AkML._AC_UL320_.jpg")</f>
        <v/>
      </c>
      <c r="K6088" t="inlineStr">
        <is>
          <t>49.99</t>
        </is>
      </c>
      <c r="L6088" t="n">
        <v>49.99</v>
      </c>
      <c r="M6088" s="1" t="inlineStr">
        <is>
          <t>0.00%</t>
        </is>
      </c>
      <c r="N6088" s="7" t="n"/>
      <c r="O6088" t="n">
        <v>4.5</v>
      </c>
      <c r="P6088" t="n">
        <v>472</v>
      </c>
      <c r="R6088" t="inlineStr">
        <is>
          <t>InStock</t>
        </is>
      </c>
      <c r="S6088" t="inlineStr">
        <is>
          <t>70.84</t>
        </is>
      </c>
      <c r="T6088" t="inlineStr">
        <is>
          <t>4512241582180</t>
        </is>
      </c>
    </row>
    <row r="6089" ht="87" customHeight="1">
      <c r="A6089" s="2">
        <f>HYPERLINK("https://edmondsonsupply.com/collections/electricians-tools/products/klein-tools-31866-carbide-hole-cutter-1-3-4-inch", "https://edmondsonsupply.com/collections/electricians-tools/products/klein-tools-31866-carbide-hole-cutter-1-3-4-inch")</f>
        <v/>
      </c>
      <c r="B6089" s="2">
        <f>HYPERLINK("https://edmondsonsupply.com/products/klein-tools-31866-carbide-hole-cutter-1-3-4-inch", "https://edmondsonsupply.com/products/klein-tools-31866-carbide-hole-cutter-1-3-4-inch")</f>
        <v/>
      </c>
      <c r="C6089" t="inlineStr">
        <is>
          <t>Klein Tools 31866 Carbide Hole Cutter, 1-3/4-Inch</t>
        </is>
      </c>
      <c r="D6089" t="inlineStr">
        <is>
          <t>Klein Tools 31866 Heavy Duty Hole Cutter, 1-3/4-Inch Carbide Hole Cutter Cuts Stainless Steel, Mild Steel, Iron, and Copper</t>
        </is>
      </c>
      <c r="E6089" s="2" t="n"/>
      <c r="F6089" t="inlineStr">
        <is>
          <t>B00776T3KI</t>
        </is>
      </c>
      <c r="G6089">
        <f>_xlfn.IMAGE("https://edmondsonsupply.com/cdn/shop/products/31866_alt3.jpg?v=1587143976")</f>
        <v/>
      </c>
      <c r="H6089">
        <f>_xlfn.IMAGE("https://m.media-amazon.com/images/I/41-ss2+AkML._AC_UL320_.jpg")</f>
        <v/>
      </c>
      <c r="K6089" t="inlineStr">
        <is>
          <t>49.99</t>
        </is>
      </c>
      <c r="L6089" t="n">
        <v>49.99</v>
      </c>
      <c r="M6089" s="1" t="inlineStr">
        <is>
          <t>0.00%</t>
        </is>
      </c>
      <c r="N6089" s="7" t="n"/>
      <c r="O6089" t="n">
        <v>4.5</v>
      </c>
      <c r="P6089" t="n">
        <v>472</v>
      </c>
      <c r="R6089" t="inlineStr">
        <is>
          <t>InStock</t>
        </is>
      </c>
      <c r="S6089" t="inlineStr">
        <is>
          <t>70.84</t>
        </is>
      </c>
      <c r="T6089" t="inlineStr">
        <is>
          <t>4512241582180</t>
        </is>
      </c>
    </row>
    <row r="6090" ht="87" customHeight="1">
      <c r="A6090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6090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6090" t="inlineStr">
        <is>
          <t>Klein Tools 11055RINS Insulated Klein-Kurve® Wire Stripper and Cutter</t>
        </is>
      </c>
      <c r="D6090" t="inlineStr">
        <is>
          <t>Klein Tools 11063W Wire Cutter / Wire Stripper, Heavy Duty Automatic Wire Stripper Tool for 8-20 AWG Solid and 10-22 AWG Stranded Electrical Wire,Blue/Black</t>
        </is>
      </c>
      <c r="E6090" s="2">
        <f>HYPERLINK("https://www.amazon.com/Stripper-Electrical-Klein-Tools-11063W/dp/B00BC39YFQ/ref=sr_1_14?keywords=Klein+Tools+11055RINS+Insulated+Klein-Kurve%C2%AE+Wire+Stripper+and+Cutter&amp;qid=1694735096&amp;sr=8-14", "https://www.amazon.com/Stripper-Electrical-Klein-Tools-11063W/dp/B00BC39YFQ/ref=sr_1_14?keywords=Klein+Tools+11055RINS+Insulated+Klein-Kurve%C2%AE+Wire+Stripper+and+Cutter&amp;qid=1694735096&amp;sr=8-14")</f>
        <v/>
      </c>
      <c r="F6090" t="inlineStr">
        <is>
          <t>B00BC39YFQ</t>
        </is>
      </c>
      <c r="G6090">
        <f>_xlfn.IMAGE("https://edmondsonsupply.com/cdn/shop/products/11055rins.jpg?v=1667236979")</f>
        <v/>
      </c>
      <c r="H6090">
        <f>_xlfn.IMAGE("https://m.media-amazon.com/images/I/51cWJR-r31L._AC_UL320_.jpg")</f>
        <v/>
      </c>
      <c r="K6090" t="inlineStr">
        <is>
          <t>29.97</t>
        </is>
      </c>
      <c r="L6090" t="n">
        <v>29.97</v>
      </c>
      <c r="M6090" s="1" t="inlineStr">
        <is>
          <t>0.00%</t>
        </is>
      </c>
      <c r="N6090" s="7" t="n"/>
      <c r="O6090" t="n">
        <v>4.8</v>
      </c>
      <c r="P6090" t="n">
        <v>9108</v>
      </c>
      <c r="R6090" t="inlineStr">
        <is>
          <t>InStock</t>
        </is>
      </c>
      <c r="S6090" t="inlineStr">
        <is>
          <t>41.98</t>
        </is>
      </c>
      <c r="T6090" t="inlineStr">
        <is>
          <t>7871527813336</t>
        </is>
      </c>
    </row>
    <row r="6091" ht="87" customHeight="1">
      <c r="A6091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6091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6091" t="inlineStr">
        <is>
          <t>Klein Tools JTH9E17 1/2-Inch Hex Key with Journeyman T-Handle, 9-Inch</t>
        </is>
      </c>
      <c r="D6091" t="inlineStr">
        <is>
          <t>Klein Tools JTH9E17 1/2-Inch Hex Key, Journeyman T-Handle, 9-Inch</t>
        </is>
      </c>
      <c r="E6091" s="2">
        <f>HYPERLINK("https://www.amazon.com/Journeyman-T-Handle-Klein-Tools-JTH9E17/dp/B004QV6NL4/ref=sr_1_1?keywords=Klein+Tools+JTH9E17+1%2F2-Inch+Hex+Key+with+Journeyman+T-Handle%2C+9-Inch&amp;qid=1694735337&amp;sr=8-1", "https://www.amazon.com/Journeyman-T-Handle-Klein-Tools-JTH9E17/dp/B004QV6NL4/ref=sr_1_1?keywords=Klein+Tools+JTH9E17+1%2F2-Inch+Hex+Key+with+Journeyman+T-Handle%2C+9-Inch&amp;qid=1694735337&amp;sr=8-1")</f>
        <v/>
      </c>
      <c r="F6091" t="inlineStr">
        <is>
          <t>B004QV6NL4</t>
        </is>
      </c>
      <c r="G6091">
        <f>_xlfn.IMAGE("https://edmondsonsupply.com/cdn/shop/products/jth9e12_c458fab1-bd79-4a70-ae62-7e6646bd3d84.jpg?v=1587146369")</f>
        <v/>
      </c>
      <c r="H6091">
        <f>_xlfn.IMAGE("https://m.media-amazon.com/images/I/51Yb8h41vLL._AC_UL320_.jpg")</f>
        <v/>
      </c>
      <c r="K6091" t="inlineStr">
        <is>
          <t>23.99</t>
        </is>
      </c>
      <c r="L6091" t="n">
        <v>23.99</v>
      </c>
      <c r="M6091" s="1" t="inlineStr">
        <is>
          <t>0.00%</t>
        </is>
      </c>
      <c r="N6091" s="7" t="n"/>
      <c r="O6091" t="n">
        <v>4.8</v>
      </c>
      <c r="P6091" t="n">
        <v>193</v>
      </c>
      <c r="R6091" t="inlineStr">
        <is>
          <t>InStock</t>
        </is>
      </c>
      <c r="S6091" t="inlineStr">
        <is>
          <t>36.36</t>
        </is>
      </c>
      <c r="T6091" t="inlineStr">
        <is>
          <t>4505575981156</t>
        </is>
      </c>
    </row>
    <row r="6092" ht="87" customHeight="1">
      <c r="A6092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6092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6092" t="inlineStr">
        <is>
          <t>Klein Tools 11055RINS Insulated Klein-Kurve® Wire Stripper and Cutter</t>
        </is>
      </c>
      <c r="D6092" t="inlineStr">
        <is>
          <t>Klein Tools K1412 Wire Cutter / Wire Stripper, Dual NM Cable Stripper / Cutter Cuts Solid Copper Wire, Strips 12 and 14 AWG Solid Wire,Yellow/White</t>
        </is>
      </c>
      <c r="E6092" s="2">
        <f>HYPERLINK("https://www.amazon.com/Cutter-Stripper-Klein-Tools-K1412/dp/B000F9HIEC/ref=sr_1_7?keywords=Klein+Tools+11055RINS+Insulated+Klein-Kurve%C2%AE+Wire+Stripper+and+Cutter&amp;qid=1694735096&amp;sr=8-7", "https://www.amazon.com/Cutter-Stripper-Klein-Tools-K1412/dp/B000F9HIEC/ref=sr_1_7?keywords=Klein+Tools+11055RINS+Insulated+Klein-Kurve%C2%AE+Wire+Stripper+and+Cutter&amp;qid=1694735096&amp;sr=8-7")</f>
        <v/>
      </c>
      <c r="F6092" t="inlineStr">
        <is>
          <t>B000F9HIEC</t>
        </is>
      </c>
      <c r="G6092">
        <f>_xlfn.IMAGE("https://edmondsonsupply.com/cdn/shop/products/11055rins.jpg?v=1667236979")</f>
        <v/>
      </c>
      <c r="H6092">
        <f>_xlfn.IMAGE("https://m.media-amazon.com/images/I/41sdPMsHXcL._AC_UL320_.jpg")</f>
        <v/>
      </c>
      <c r="K6092" t="inlineStr">
        <is>
          <t>29.97</t>
        </is>
      </c>
      <c r="L6092" t="n">
        <v>29.97</v>
      </c>
      <c r="M6092" s="1" t="inlineStr">
        <is>
          <t>0.00%</t>
        </is>
      </c>
      <c r="N6092" s="7" t="n"/>
      <c r="O6092" t="n">
        <v>4.8</v>
      </c>
      <c r="P6092" t="n">
        <v>1847</v>
      </c>
      <c r="R6092" t="inlineStr">
        <is>
          <t>InStock</t>
        </is>
      </c>
      <c r="S6092" t="inlineStr">
        <is>
          <t>41.98</t>
        </is>
      </c>
      <c r="T6092" t="inlineStr">
        <is>
          <t>7871527813336</t>
        </is>
      </c>
    </row>
    <row r="6093" ht="87" customHeight="1">
      <c r="A6093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6093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6093" t="inlineStr">
        <is>
          <t>Klein Tools 11055RINS Insulated Klein-Kurve® Wire Stripper and Cutter</t>
        </is>
      </c>
      <c r="D6093" t="inlineStr">
        <is>
          <t>Klein Tools 11055RINS 1000V Insulated Klein Kurve Wire Stripper/Cutter Cuts and Strips 10-18 Solid and 12-20 Stranded AWG Wire, Orange</t>
        </is>
      </c>
      <c r="E6093" s="2">
        <f>HYPERLINK("https://www.amazon.com/Klein-Tools-11055RINS-Insulated-Stripper/dp/B0BFZBQ9XF/ref=sr_1_1?keywords=Klein+Tools+11055RINS+Insulated+Klein-Kurve%C2%AE+Wire+Stripper+and+Cutter&amp;qid=1694735096&amp;sr=8-1", "https://www.amazon.com/Klein-Tools-11055RINS-Insulated-Stripper/dp/B0BFZBQ9XF/ref=sr_1_1?keywords=Klein+Tools+11055RINS+Insulated+Klein-Kurve%C2%AE+Wire+Stripper+and+Cutter&amp;qid=1694735096&amp;sr=8-1")</f>
        <v/>
      </c>
      <c r="F6093" t="inlineStr">
        <is>
          <t>B0BFZBQ9XF</t>
        </is>
      </c>
      <c r="G6093">
        <f>_xlfn.IMAGE("https://edmondsonsupply.com/cdn/shop/products/11055rins.jpg?v=1667236979")</f>
        <v/>
      </c>
      <c r="H6093">
        <f>_xlfn.IMAGE("https://m.media-amazon.com/images/I/41Pemveg6bL._AC_UL320_.jpg")</f>
        <v/>
      </c>
      <c r="K6093" t="inlineStr">
        <is>
          <t>29.97</t>
        </is>
      </c>
      <c r="L6093" t="n">
        <v>29.97</v>
      </c>
      <c r="M6093" s="1" t="inlineStr">
        <is>
          <t>0.00%</t>
        </is>
      </c>
      <c r="N6093" s="7" t="n"/>
      <c r="O6093" t="n">
        <v>4.6</v>
      </c>
      <c r="P6093" t="n">
        <v>54</v>
      </c>
      <c r="R6093" t="inlineStr">
        <is>
          <t>InStock</t>
        </is>
      </c>
      <c r="S6093" t="inlineStr">
        <is>
          <t>41.98</t>
        </is>
      </c>
      <c r="T6093" t="inlineStr">
        <is>
          <t>7871527813336</t>
        </is>
      </c>
    </row>
    <row r="6094" hidden="1" ht="15.75" customHeight="1">
      <c r="A6094" s="2">
        <f>HYPERLINK("https://edmondsonsupply.com/collections/electricians-tools/products/klein-tools-jth6e07-7-64-inch-hex-key-journeyman%E2%84%A2-t-handle-6-inch", "https://edmondsonsupply.com/collections/electricians-tools/products/klein-tools-jth6e07-7-64-inch-hex-key-journeyman%E2%84%A2-t-handle-6-inch")</f>
        <v/>
      </c>
      <c r="B6094" s="2">
        <f>HYPERLINK("https://edmondsonsupply.com/products/klein-tools-jth6e07-7-64-inch-hex-key-journeyman%e2%84%a2-t-handle-6-inch", "https://edmondsonsupply.com/products/klein-tools-jth6e07-7-64-inch-hex-key-journeyman%e2%84%a2-t-handle-6-inch")</f>
        <v/>
      </c>
      <c r="C6094" t="inlineStr">
        <is>
          <t>Klein Tools JTH6E07 7/64-Inch Hex Key, Journeyman™ T-Handle, 6-Inch</t>
        </is>
      </c>
      <c r="D6094" t="inlineStr">
        <is>
          <t>Klein Tools JTH6E07 7/64-Inch Hex Key, Journeyman T-Handle, 6-Inch</t>
        </is>
      </c>
      <c r="E6094" s="2">
        <f>HYPERLINK("https://www.amazon.com/Klein-Tools-JTH6E07-64-Inch-Journeyman/dp/B004LS11IM/ref=sr_1_1?keywords=Klein+Tools+JTH6E07+7%2F64-Inch+Hex+Key%2C+Journeyman%E2%84%A2+T-Handle%2C+6-Inch&amp;qid=1694735097&amp;sr=8-1", "https://www.amazon.com/Klein-Tools-JTH6E07-64-Inch-Journeyman/dp/B004LS11IM/ref=sr_1_1?keywords=Klein+Tools+JTH6E07+7%2F64-Inch+Hex+Key%2C+Journeyman%E2%84%A2+T-Handle%2C+6-Inch&amp;qid=1694735097&amp;sr=8-1")</f>
        <v/>
      </c>
      <c r="F6094" t="inlineStr">
        <is>
          <t>B004LS11IM</t>
        </is>
      </c>
      <c r="G6094">
        <f>_xludf.IMAGE("https://edmondsonsupply.com/cdn/shop/products/jth6e15_1.jpg?v=1666369631")</f>
        <v/>
      </c>
      <c r="H6094">
        <f>_xludf.IMAGE("https://m.media-amazon.com/images/I/51Yb8h41vLL._AC_UL320_.jpg")</f>
        <v/>
      </c>
      <c r="K6094" t="inlineStr">
        <is>
          <t>3.99</t>
        </is>
      </c>
      <c r="L6094" t="n">
        <v>3.99</v>
      </c>
      <c r="M6094" s="1" t="inlineStr">
        <is>
          <t>0.00%</t>
        </is>
      </c>
      <c r="N6094" s="1" t="n"/>
      <c r="O6094" t="n">
        <v>4.8</v>
      </c>
      <c r="P6094" t="n">
        <v>2477</v>
      </c>
      <c r="R6094" t="inlineStr">
        <is>
          <t>InStock</t>
        </is>
      </c>
      <c r="S6094" t="inlineStr">
        <is>
          <t>6.04</t>
        </is>
      </c>
      <c r="T6094" t="inlineStr">
        <is>
          <t>7861255078104</t>
        </is>
      </c>
    </row>
    <row r="6095" ht="87" customHeight="1">
      <c r="A6095" s="2">
        <f>HYPERLINK("https://edmondsonsupply.com/collections/electricians-tools/products/klein-tools-55461-tradesman-pro%E2%84%A2-phone-holder-large", "https://edmondsonsupply.com/collections/electricians-tools/products/klein-tools-55461-tradesman-pro%E2%84%A2-phone-holder-large")</f>
        <v/>
      </c>
      <c r="B6095" s="2">
        <f>HYPERLINK("https://edmondsonsupply.com/products/klein-tools-55461-tradesman-pro%e2%84%a2-phone-holder-large", "https://edmondsonsupply.com/products/klein-tools-55461-tradesman-pro%e2%84%a2-phone-holder-large")</f>
        <v/>
      </c>
      <c r="C6095" t="inlineStr">
        <is>
          <t>Klein Tools 55461 Tradesman Pro™ Phone Holder, Large</t>
        </is>
      </c>
      <c r="D6095" t="inlineStr">
        <is>
          <t>Klein Tools 55461 Phone Holder, Large, Fits iPhone, Google, LG, Samsung Phones, With Magnetic Closure and Belt Clip</t>
        </is>
      </c>
      <c r="E6095" s="2">
        <f>HYPERLINK("https://www.amazon.com/Tradesman-Holder-Klein-Tools-55461/dp/B00G8RNLWI/ref=sr_1_1?keywords=Klein+Tools+55461+Tradesman+Pro%E2%84%A2+Phone+Holder%2C+Large&amp;qid=1694735258&amp;sr=8-1", "https://www.amazon.com/Tradesman-Holder-Klein-Tools-55461/dp/B00G8RNLWI/ref=sr_1_1?keywords=Klein+Tools+55461+Tradesman+Pro%E2%84%A2+Phone+Holder%2C+Large&amp;qid=1694735258&amp;sr=8-1")</f>
        <v/>
      </c>
      <c r="F6095" t="inlineStr">
        <is>
          <t>B00G8RNLWI</t>
        </is>
      </c>
      <c r="G6095">
        <f>_xlfn.IMAGE("https://edmondsonsupply.com/cdn/shop/products/55461.jpg?v=1680104125")</f>
        <v/>
      </c>
      <c r="H6095">
        <f>_xlfn.IMAGE("https://m.media-amazon.com/images/I/614ptzyU1WL._AC_UL320_.jpg")</f>
        <v/>
      </c>
      <c r="K6095" t="inlineStr">
        <is>
          <t>24.97</t>
        </is>
      </c>
      <c r="L6095" t="n">
        <v>24.97</v>
      </c>
      <c r="M6095" s="1" t="inlineStr">
        <is>
          <t>0.00%</t>
        </is>
      </c>
      <c r="N6095" s="7" t="n"/>
      <c r="O6095" t="n">
        <v>4.6</v>
      </c>
      <c r="P6095" t="n">
        <v>2210</v>
      </c>
      <c r="R6095" t="inlineStr">
        <is>
          <t>InStock</t>
        </is>
      </c>
      <c r="S6095" t="inlineStr">
        <is>
          <t>37.04</t>
        </is>
      </c>
      <c r="T6095" t="inlineStr">
        <is>
          <t>5816030494888</t>
        </is>
      </c>
    </row>
    <row r="6096" ht="87" customHeight="1">
      <c r="A6096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6096" s="2">
        <f>HYPERLINK("https://edmondsonsupply.com/products/klein-tools-11057-klein-kurve%c2%ae-wire-stripper-and-cutter", "https://edmondsonsupply.com/products/klein-tools-11057-klein-kurve%c2%ae-wire-stripper-and-cutter")</f>
        <v/>
      </c>
      <c r="C6096" t="inlineStr">
        <is>
          <t>Klein Tools 11057 Klein-Kurve® Wire Stripper and Cutter</t>
        </is>
      </c>
      <c r="D6096" t="inlineStr">
        <is>
          <t>Klein Tools 1019 Klein Kurve Wire Stripper / Crimper / Cutter for B and IDC Connectors, Terminals, More</t>
        </is>
      </c>
      <c r="E6096" s="2">
        <f>HYPERLINK("https://www.amazon.com/Klein-Tools-1019-Connectors-Terminals/dp/B07GFYBW4V/ref=sr_1_11?keywords=Klein+Tools+11057+Klein-Kurve%C2%AE+Wire+Stripper+and+Cutter&amp;qid=1694735357&amp;sr=8-11", "https://www.amazon.com/Klein-Tools-1019-Connectors-Terminals/dp/B07GFYBW4V/ref=sr_1_11?keywords=Klein+Tools+11057+Klein-Kurve%C2%AE+Wire+Stripper+and+Cutter&amp;qid=1694735357&amp;sr=8-11")</f>
        <v/>
      </c>
      <c r="F6096" t="inlineStr">
        <is>
          <t>B07GFYBW4V</t>
        </is>
      </c>
      <c r="G6096">
        <f>_xlfn.IMAGE("https://edmondsonsupply.com/cdn/shop/products/11057.jpg?v=1587146927")</f>
        <v/>
      </c>
      <c r="H6096">
        <f>_xlfn.IMAGE("https://m.media-amazon.com/images/I/41CdFsk2lFL._AC_UL320_.jpg")</f>
        <v/>
      </c>
      <c r="K6096" t="inlineStr">
        <is>
          <t>20.97</t>
        </is>
      </c>
      <c r="L6096" t="n">
        <v>20.97</v>
      </c>
      <c r="M6096" s="1" t="inlineStr">
        <is>
          <t>0.00%</t>
        </is>
      </c>
      <c r="N6096" s="7" t="n"/>
      <c r="O6096" t="n">
        <v>4.7</v>
      </c>
      <c r="P6096" t="n">
        <v>1795</v>
      </c>
      <c r="R6096" t="inlineStr">
        <is>
          <t>InStock</t>
        </is>
      </c>
      <c r="S6096" t="inlineStr">
        <is>
          <t>32.72</t>
        </is>
      </c>
      <c r="T6096" t="inlineStr">
        <is>
          <t>4455254720612</t>
        </is>
      </c>
    </row>
    <row r="6097" hidden="1" ht="15.75" customHeight="1">
      <c r="A6097" s="2">
        <f>HYPERLINK("https://edmondsonsupply.com/collections/electricians-tools/products/klein-tools-vdv327-103-wire-pick", "https://edmondsonsupply.com/collections/electricians-tools/products/klein-tools-vdv327-103-wire-pick")</f>
        <v/>
      </c>
      <c r="B6097" s="2">
        <f>HYPERLINK("https://edmondsonsupply.com/products/klein-tools-vdv327-103-wire-pick", "https://edmondsonsupply.com/products/klein-tools-vdv327-103-wire-pick")</f>
        <v/>
      </c>
      <c r="C6097" t="inlineStr">
        <is>
          <t>Klein Tools VDV327-103 Wire Pick</t>
        </is>
      </c>
      <c r="D6097" t="inlineStr">
        <is>
          <t>Klein Tools VDV327-103 Wire Pick</t>
        </is>
      </c>
      <c r="E6097" s="2">
        <f>HYPERLINK("https://www.amazon.com/Wire-Pick-Klein-Tools-VDV327-103/dp/B00ITG4PNK/ref=sr_1_1?keywords=Klein+Tools+VDV327-103+Wire+Pick&amp;qid=1694735228&amp;sr=8-1", "https://www.amazon.com/Wire-Pick-Klein-Tools-VDV327-103/dp/B00ITG4PNK/ref=sr_1_1?keywords=Klein+Tools+VDV327-103+Wire+Pick&amp;qid=1694735228&amp;sr=8-1")</f>
        <v/>
      </c>
      <c r="F6097" t="inlineStr">
        <is>
          <t>B00ITG4PNK</t>
        </is>
      </c>
      <c r="G6097">
        <f>_xludf.IMAGE("https://edmondsonsupply.com/cdn/shop/products/vdv327-103.jpg?v=1633030929")</f>
        <v/>
      </c>
      <c r="H6097">
        <f>_xludf.IMAGE("https://m.media-amazon.com/images/I/41pI4Nn4DFL._AC_UL320_.jpg")</f>
        <v/>
      </c>
      <c r="K6097" t="inlineStr">
        <is>
          <t>13.99</t>
        </is>
      </c>
      <c r="L6097" t="n">
        <v>13.99</v>
      </c>
      <c r="M6097" s="1" t="inlineStr">
        <is>
          <t>0.00%</t>
        </is>
      </c>
      <c r="N6097" s="1" t="n"/>
      <c r="O6097" t="n">
        <v>4.7</v>
      </c>
      <c r="P6097" t="n">
        <v>218</v>
      </c>
      <c r="R6097" t="inlineStr">
        <is>
          <t>InStock</t>
        </is>
      </c>
      <c r="S6097" t="inlineStr">
        <is>
          <t>18.92</t>
        </is>
      </c>
      <c r="T6097" t="inlineStr">
        <is>
          <t>6553452413101</t>
        </is>
      </c>
    </row>
    <row r="6098" ht="87" customHeight="1">
      <c r="A6098" s="2">
        <f>HYPERLINK("https://edmondsonsupply.com/collections/electricians-tools/products/klein-tools-d509-8-adjustable-wrench-extra-wide-jaw-8-inch", "https://edmondsonsupply.com/collections/electricians-tools/products/klein-tools-d509-8-adjustable-wrench-extra-wide-jaw-8-inch")</f>
        <v/>
      </c>
      <c r="B6098" s="2">
        <f>HYPERLINK("https://edmondsonsupply.com/products/klein-tools-d509-8-adjustable-wrench-extra-wide-jaw-8-inch", "https://edmondsonsupply.com/products/klein-tools-d509-8-adjustable-wrench-extra-wide-jaw-8-inch")</f>
        <v/>
      </c>
      <c r="C6098" t="inlineStr">
        <is>
          <t>Klein Tools D509-8 Adjustable Wrench, Extra-Wide Jaw, 8-Inch</t>
        </is>
      </c>
      <c r="D6098" t="inlineStr">
        <is>
          <t>Klein Tools D509-8 Adjustable Wrench, Extra Wide Jaw Forged Drive Wrench with High Polish Chrome Finish, 8-Inch</t>
        </is>
      </c>
      <c r="E6098" s="2">
        <f>HYPERLINK("https://www.amazon.com/Adjustable-Extra-Wide-Klein-Tools-D509-8/dp/B00BC39ZZU/ref=sr_1_1?keywords=Klein+Tools+D509-8+Adjustable+Wrench%2C+Extra-Wide+Jaw%2C+8-Inch&amp;qid=1694735250&amp;sr=8-1", "https://www.amazon.com/Adjustable-Extra-Wide-Klein-Tools-D509-8/dp/B00BC39ZZU/ref=sr_1_1?keywords=Klein+Tools+D509-8+Adjustable+Wrench%2C+Extra-Wide+Jaw%2C+8-Inch&amp;qid=1694735250&amp;sr=8-1")</f>
        <v/>
      </c>
      <c r="F6098" t="inlineStr">
        <is>
          <t>B00BC39ZZU</t>
        </is>
      </c>
      <c r="G6098">
        <f>_xlfn.IMAGE("https://edmondsonsupply.com/cdn/shop/products/d5098_b.jpg?v=1666363753")</f>
        <v/>
      </c>
      <c r="H6098">
        <f>_xlfn.IMAGE("https://m.media-amazon.com/images/I/511ofkIFE8L._AC_UL320_.jpg")</f>
        <v/>
      </c>
      <c r="K6098" t="inlineStr">
        <is>
          <t>37.97</t>
        </is>
      </c>
      <c r="L6098" t="n">
        <v>37.97</v>
      </c>
      <c r="M6098" s="1" t="inlineStr">
        <is>
          <t>0.00%</t>
        </is>
      </c>
      <c r="N6098" s="7" t="n"/>
      <c r="O6098" t="n">
        <v>4.8</v>
      </c>
      <c r="P6098" t="n">
        <v>497</v>
      </c>
      <c r="R6098" t="inlineStr">
        <is>
          <t>InStock</t>
        </is>
      </c>
      <c r="S6098" t="inlineStr">
        <is>
          <t>52.86</t>
        </is>
      </c>
      <c r="T6098" t="inlineStr">
        <is>
          <t>5822683513000</t>
        </is>
      </c>
    </row>
    <row r="6099" ht="87" customHeight="1">
      <c r="A6099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6099" s="2">
        <f>HYPERLINK("https://edmondsonsupply.com/products/klein-tools-et600-insulation-resistance-tester", "https://edmondsonsupply.com/products/klein-tools-et600-insulation-resistance-tester")</f>
        <v/>
      </c>
      <c r="C6099" t="inlineStr">
        <is>
          <t>Klein Tools ET600 Insulation Resistance Tester</t>
        </is>
      </c>
      <c r="D6099" t="inlineStr">
        <is>
          <t>Klein Tools ET600 Multimeter, Megohmmeter Insulation Tester, 4000 Ohms Resistance, 125V/250V/500V/1000V, Auto-Ranging TRMS Multimeter</t>
        </is>
      </c>
      <c r="E6099" s="2">
        <f>HYPERLINK("https://www.amazon.com/Klein-Tools-ET600-Megohmmeter-Insulation/dp/B07ZZX5TK8/ref=sr_1_1?keywords=Klein+Tools+ET600+Insulation+Resistance+Tester&amp;qid=1694734978&amp;sr=8-1", "https://www.amazon.com/Klein-Tools-ET600-Megohmmeter-Insulation/dp/B07ZZX5TK8/ref=sr_1_1?keywords=Klein+Tools+ET600+Insulation+Resistance+Tester&amp;qid=1694734978&amp;sr=8-1")</f>
        <v/>
      </c>
      <c r="F6099" t="inlineStr">
        <is>
          <t>B07ZZX5TK8</t>
        </is>
      </c>
      <c r="G6099">
        <f>_xlfn.IMAGE("https://edmondsonsupply.com/cdn/shop/products/et600_accessories_b.jpg?v=1677685603")</f>
        <v/>
      </c>
      <c r="H6099">
        <f>_xlfn.IMAGE("https://m.media-amazon.com/images/I/61NxYsCuofL._AC_UY218_.jpg")</f>
        <v/>
      </c>
      <c r="K6099" t="inlineStr">
        <is>
          <t>164.99</t>
        </is>
      </c>
      <c r="L6099" t="n">
        <v>164.99</v>
      </c>
      <c r="M6099" s="1" t="inlineStr">
        <is>
          <t>0.00%</t>
        </is>
      </c>
      <c r="N6099" s="7" t="n"/>
      <c r="O6099" t="n">
        <v>4.7</v>
      </c>
      <c r="P6099" t="n">
        <v>1004</v>
      </c>
      <c r="R6099" t="inlineStr">
        <is>
          <t>InStock</t>
        </is>
      </c>
      <c r="S6099" t="inlineStr">
        <is>
          <t>231.0</t>
        </is>
      </c>
      <c r="T6099" t="inlineStr">
        <is>
          <t>4411568095332</t>
        </is>
      </c>
    </row>
    <row r="6100" ht="87" customHeight="1">
      <c r="A6100" s="2">
        <f>HYPERLINK("https://edmondsonsupply.com/collections/electricians-tools/products/klein-tools-vdv500-705-tone-probe-test-and-trace-kit", "https://edmondsonsupply.com/collections/electricians-tools/products/klein-tools-vdv500-705-tone-probe-test-and-trace-kit")</f>
        <v/>
      </c>
      <c r="B6100" s="2">
        <f>HYPERLINK("https://edmondsonsupply.com/products/klein-tools-vdv500-705-tone-probe-test-and-trace-kit", "https://edmondsonsupply.com/products/klein-tools-vdv500-705-tone-probe-test-and-trace-kit")</f>
        <v/>
      </c>
      <c r="C6100" t="inlineStr">
        <is>
          <t>Klein Tools VDV500-705 Tone &amp; Probe Test and Trace Kit</t>
        </is>
      </c>
      <c r="D6100" t="inlineStr">
        <is>
          <t>Klein Tools VDV500-705 Tone Generator and Probe Kit, Wire Tracer and Tester with Probe Includes Alligator Clips and RJ11 / RJ12 / RJ45 Plug</t>
        </is>
      </c>
      <c r="E6100" s="2">
        <f>HYPERLINK("https://www.amazon.com/Klein-Tools-VDV500-705-Generator-Alligator/dp/B084LKVBM5/ref=sr_1_1?keywords=Klein+Tools+VDV500-705+Tone&amp;qid=1694735386&amp;sr=8-1", "https://www.amazon.com/Klein-Tools-VDV500-705-Generator-Alligator/dp/B084LKVBM5/ref=sr_1_1?keywords=Klein+Tools+VDV500-705+Tone&amp;qid=1694735386&amp;sr=8-1")</f>
        <v/>
      </c>
      <c r="F6100" t="inlineStr">
        <is>
          <t>B084LKVBM5</t>
        </is>
      </c>
      <c r="G6100">
        <f>_xlfn.IMAGE("https://edmondsonsupply.com/cdn/shop/products/vdv500705.jpg?v=1587144799")</f>
        <v/>
      </c>
      <c r="H6100">
        <f>_xlfn.IMAGE("https://m.media-amazon.com/images/I/618N66F611L._AC_UY218_.jpg")</f>
        <v/>
      </c>
      <c r="K6100" t="inlineStr">
        <is>
          <t>39.97</t>
        </is>
      </c>
      <c r="L6100" t="n">
        <v>39.97</v>
      </c>
      <c r="M6100" s="1" t="inlineStr">
        <is>
          <t>0.00%</t>
        </is>
      </c>
      <c r="N6100" s="7" t="n"/>
      <c r="O6100" t="n">
        <v>4.4</v>
      </c>
      <c r="P6100" t="n">
        <v>238</v>
      </c>
      <c r="R6100" t="inlineStr">
        <is>
          <t>InStock</t>
        </is>
      </c>
      <c r="S6100" t="inlineStr">
        <is>
          <t>55.98</t>
        </is>
      </c>
      <c r="T6100" t="inlineStr">
        <is>
          <t>4412899590244</t>
        </is>
      </c>
    </row>
    <row r="6101" ht="87" customHeight="1">
      <c r="A6101" s="2">
        <f>HYPERLINK("https://edmondsonsupply.com/collections/electricians-tools/products/klein-tools-93lcls-laser-level-self-leveling-red-cross-line-level-and-red-plumb-spot", "https://edmondsonsupply.com/collections/electricians-tools/products/klein-tools-93lcls-laser-level-self-leveling-red-cross-line-level-and-red-plumb-spot")</f>
        <v/>
      </c>
      <c r="B6101" s="2">
        <f>HYPERLINK("https://edmondsonsupply.com/products/klein-tools-93lcls-laser-level-self-leveling-red-cross-line-level-and-red-plumb-spot", "https://edmondsonsupply.com/products/klein-tools-93lcls-laser-level-self-leveling-red-cross-line-level-and-red-plumb-spot")</f>
        <v/>
      </c>
      <c r="C6101" t="inlineStr">
        <is>
          <t>Klein Tools 93LCLS Laser Level, Self-Leveling Red Cross-Line Level and Red Plumb Spot</t>
        </is>
      </c>
      <c r="D6101" t="inlineStr">
        <is>
          <t>Klein Tools 93LCLS Laser Level, Self Leveling, Cross Line Level with Plumb Spot and Magnetic Mounting Clamp</t>
        </is>
      </c>
      <c r="E6101" s="2">
        <f>HYPERLINK("https://www.amazon.com/Self-Leveling-Magnetic-Klein-Tools-93LCLS/dp/B0753K7XQF/ref=sr_1_1?keywords=Klein+Tools+93LCLS+Laser+Level%2C+Self-Leveling+Red+Cross-Line+Level+and+Red+Plumb+Spot&amp;qid=1694735226&amp;sr=8-1", "https://www.amazon.com/Self-Leveling-Magnetic-Klein-Tools-93LCLS/dp/B0753K7XQF/ref=sr_1_1?keywords=Klein+Tools+93LCLS+Laser+Level%2C+Self-Leveling+Red+Cross-Line+Level+and+Red+Plumb+Spot&amp;qid=1694735226&amp;sr=8-1")</f>
        <v/>
      </c>
      <c r="F6101" t="inlineStr">
        <is>
          <t>B0753K7XQF</t>
        </is>
      </c>
      <c r="G6101">
        <f>_xlfn.IMAGE("https://edmondsonsupply.com/cdn/shop/files/93lcls_b.jpg?v=1685714711")</f>
        <v/>
      </c>
      <c r="H6101">
        <f>_xlfn.IMAGE("https://m.media-amazon.com/images/I/61AqaTcHiwL._AC_UL320_.jpg")</f>
        <v/>
      </c>
      <c r="K6101" t="inlineStr">
        <is>
          <t>149.97</t>
        </is>
      </c>
      <c r="L6101" t="n">
        <v>149.97</v>
      </c>
      <c r="M6101" s="1" t="inlineStr">
        <is>
          <t>0.00%</t>
        </is>
      </c>
      <c r="N6101" s="7" t="n"/>
      <c r="O6101" t="n">
        <v>4.5</v>
      </c>
      <c r="P6101" t="n">
        <v>2212</v>
      </c>
      <c r="R6101" t="inlineStr">
        <is>
          <t>InStock</t>
        </is>
      </c>
      <c r="S6101" t="inlineStr">
        <is>
          <t>230.88</t>
        </is>
      </c>
      <c r="T6101" t="inlineStr">
        <is>
          <t>6589388685485</t>
        </is>
      </c>
    </row>
    <row r="6102" ht="87" customHeight="1">
      <c r="A6102" s="2">
        <f>HYPERLINK("https://edmondsonsupply.com/collections/electricians-tools/products/klein-tools-69190-magnetic-hanger", "https://edmondsonsupply.com/collections/electricians-tools/products/klein-tools-69190-magnetic-hanger")</f>
        <v/>
      </c>
      <c r="B6102" s="2">
        <f>HYPERLINK("https://edmondsonsupply.com/products/klein-tools-69190-magnetic-hanger", "https://edmondsonsupply.com/products/klein-tools-69190-magnetic-hanger")</f>
        <v/>
      </c>
      <c r="C6102" t="inlineStr">
        <is>
          <t>Klein Tools 69190 Magnetic Hanger</t>
        </is>
      </c>
      <c r="D6102" t="inlineStr">
        <is>
          <t>Klein Tools 69190 Magnetic Hanger for Electric Multimeters with Velcro Loop and Hook for Hands Free Use</t>
        </is>
      </c>
      <c r="E6102" s="2">
        <f>HYPERLINK("https://www.amazon.com/Magnetic-Multimeters-Klein-Tools-69190/dp/B003USDOD4/ref=sr_1_1?keywords=Klein+Tools+69190+Magnetic+Hanger&amp;qid=1694735208&amp;sr=8-1", "https://www.amazon.com/Magnetic-Multimeters-Klein-Tools-69190/dp/B003USDOD4/ref=sr_1_1?keywords=Klein+Tools+69190+Magnetic+Hanger&amp;qid=1694735208&amp;sr=8-1")</f>
        <v/>
      </c>
      <c r="F6102" t="inlineStr">
        <is>
          <t>B003USDOD4</t>
        </is>
      </c>
      <c r="G6102">
        <f>_xlfn.IMAGE("https://edmondsonsupply.com/cdn/shop/products/69190.jpg?v=1633031095")</f>
        <v/>
      </c>
      <c r="H6102">
        <f>_xlfn.IMAGE("https://m.media-amazon.com/images/I/61tQe8u+O1L._AC_UL320_.jpg")</f>
        <v/>
      </c>
      <c r="K6102" t="inlineStr">
        <is>
          <t>20.99</t>
        </is>
      </c>
      <c r="L6102" t="n">
        <v>20.99</v>
      </c>
      <c r="M6102" s="1" t="inlineStr">
        <is>
          <t>0.00%</t>
        </is>
      </c>
      <c r="N6102" s="7" t="n"/>
      <c r="O6102" t="n">
        <v>4.1</v>
      </c>
      <c r="P6102" t="n">
        <v>99</v>
      </c>
      <c r="R6102" t="inlineStr">
        <is>
          <t>InStock</t>
        </is>
      </c>
      <c r="S6102" t="inlineStr">
        <is>
          <t>31.34</t>
        </is>
      </c>
      <c r="T6102" t="inlineStr">
        <is>
          <t>6840979521709</t>
        </is>
      </c>
    </row>
    <row r="6103" ht="87" customHeight="1">
      <c r="A6103" s="2">
        <f>HYPERLINK("https://edmondsonsupply.com/collections/electricians-tools/products/klein-tools-935l-24-inch-bubble-level-rare-earth-magnet", "https://edmondsonsupply.com/collections/electricians-tools/products/klein-tools-935l-24-inch-bubble-level-rare-earth-magnet")</f>
        <v/>
      </c>
      <c r="B6103" s="2">
        <f>HYPERLINK("https://edmondsonsupply.com/products/klein-tools-935l-24-inch-bubble-level-rare-earth-magnet", "https://edmondsonsupply.com/products/klein-tools-935l-24-inch-bubble-level-rare-earth-magnet")</f>
        <v/>
      </c>
      <c r="C6103" t="inlineStr">
        <is>
          <t>Klein Tools 935L Bubble Level, 3 Vial, 24-Inch</t>
        </is>
      </c>
      <c r="D6103" t="inlineStr">
        <is>
          <t>Klein Tools 935L Level, 24-Inch Magnetic Bubble Level with Adjustable Vial and Top V-Groove, High Viz Orange</t>
        </is>
      </c>
      <c r="E6103" s="2">
        <f>HYPERLINK("https://www.amazon.com/Magnetic-Adjustable-Klein-Tools-935L/dp/B07G2DLXKL/ref=sr_1_1?keywords=Klein+Tools+935L+Bubble+Level%2C+3+Vial%2C+24-Inch&amp;qid=1694735394&amp;sr=8-1", "https://www.amazon.com/Magnetic-Adjustable-Klein-Tools-935L/dp/B07G2DLXKL/ref=sr_1_1?keywords=Klein+Tools+935L+Bubble+Level%2C+3+Vial%2C+24-Inch&amp;qid=1694735394&amp;sr=8-1")</f>
        <v/>
      </c>
      <c r="F6103" t="inlineStr">
        <is>
          <t>B07G2DLXKL</t>
        </is>
      </c>
      <c r="G6103">
        <f>_xlfn.IMAGE("https://edmondsonsupply.com/cdn/shop/products/935l_beautyr.jpg?v=1587143096")</f>
        <v/>
      </c>
      <c r="H6103">
        <f>_xlfn.IMAGE("https://m.media-amazon.com/images/I/51dhBnwf8JL._AC_UL320_.jpg")</f>
        <v/>
      </c>
      <c r="K6103" t="inlineStr">
        <is>
          <t>49.99</t>
        </is>
      </c>
      <c r="L6103" t="n">
        <v>49.99</v>
      </c>
      <c r="M6103" s="1" t="inlineStr">
        <is>
          <t>0.00%</t>
        </is>
      </c>
      <c r="N6103" s="7" t="n"/>
      <c r="O6103" t="n">
        <v>4.8</v>
      </c>
      <c r="P6103" t="n">
        <v>434</v>
      </c>
      <c r="R6103" t="inlineStr">
        <is>
          <t>InStock</t>
        </is>
      </c>
      <c r="S6103" t="inlineStr">
        <is>
          <t>77.48</t>
        </is>
      </c>
      <c r="T6103" t="inlineStr">
        <is>
          <t>1779756826724</t>
        </is>
      </c>
    </row>
    <row r="6104" hidden="1" ht="15.75" customHeight="1">
      <c r="A6104" s="2">
        <f>HYPERLINK("https://edmondsonsupply.com/collections/electricians-tools/products/klein-tools-rt110-receptacle-tester", "https://edmondsonsupply.com/collections/electricians-tools/products/klein-tools-rt110-receptacle-tester")</f>
        <v/>
      </c>
      <c r="B6104" s="2">
        <f>HYPERLINK("https://edmondsonsupply.com/products/klein-tools-rt110-receptacle-tester", "https://edmondsonsupply.com/products/klein-tools-rt110-receptacle-tester")</f>
        <v/>
      </c>
      <c r="C6104" t="inlineStr">
        <is>
          <t>Klein Tools RT110 Receptacle Tester</t>
        </is>
      </c>
      <c r="D6104" t="inlineStr">
        <is>
          <t>Klein Tools RT110 Outlet Tester, AC Electrical Receptacle Tester for North American Outlets</t>
        </is>
      </c>
      <c r="E6104" s="2">
        <f>HYPERLINK("https://www.amazon.com/Receptacle-Tester-Klein-Tools-RT110/dp/B01AKX3AYE/ref=sr_1_1?keywords=Klein+Tools+RT110+Receptacle+Tester&amp;qid=1694735205&amp;sr=8-1", "https://www.amazon.com/Receptacle-Tester-Klein-Tools-RT110/dp/B01AKX3AYE/ref=sr_1_1?keywords=Klein+Tools+RT110+Receptacle+Tester&amp;qid=1694735205&amp;sr=8-1")</f>
        <v/>
      </c>
      <c r="F6104" t="inlineStr">
        <is>
          <t>B01AKX3AYE</t>
        </is>
      </c>
      <c r="G6104">
        <f>_xludf.IMAGE("https://edmondsonsupply.com/cdn/shop/products/rt110.jpg?v=1633031036")</f>
        <v/>
      </c>
      <c r="H6104">
        <f>_xludf.IMAGE("https://m.media-amazon.com/images/I/51+w2FODeGL._AC_UL320_.jpg")</f>
        <v/>
      </c>
      <c r="K6104" t="inlineStr">
        <is>
          <t>9.97</t>
        </is>
      </c>
      <c r="L6104" t="n">
        <v>9.970000000000001</v>
      </c>
      <c r="M6104" s="1" t="inlineStr">
        <is>
          <t>0.00%</t>
        </is>
      </c>
      <c r="N6104" s="1" t="n"/>
      <c r="O6104" t="n">
        <v>4.8</v>
      </c>
      <c r="P6104" t="n">
        <v>2429</v>
      </c>
      <c r="R6104" t="inlineStr">
        <is>
          <t>InStock</t>
        </is>
      </c>
      <c r="S6104" t="inlineStr">
        <is>
          <t>12.12</t>
        </is>
      </c>
      <c r="T6104" t="inlineStr">
        <is>
          <t>6740486619309</t>
        </is>
      </c>
    </row>
    <row r="6105" hidden="1" ht="15.75" customHeight="1">
      <c r="A6105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6105" s="2">
        <f>HYPERLINK("https://edmondsonsupply.com/products/klein-tools-s10-5-16-inch-nut-driver-3-inch-hollow-shaft", "https://edmondsonsupply.com/products/klein-tools-s10-5-16-inch-nut-driver-3-inch-hollow-shaft")</f>
        <v/>
      </c>
      <c r="C6105" t="inlineStr">
        <is>
          <t>Klein Tools S10 5/16-Inch Nut Driver 3-Inch Hollow Shaft</t>
        </is>
      </c>
      <c r="D6105" t="inlineStr">
        <is>
          <t>Klein Tools S106 5/16-Inch Nut Driver, 6-Inch Shaft</t>
        </is>
      </c>
      <c r="E6105" s="2">
        <f>HYPERLINK("https://www.amazon.com/Klein-Tools-S106-16-Inch-Driver/dp/B000936PDO/ref=sr_1_8?keywords=Klein+Tools+S10+5%2F16-Inch+Nut+Driver+3-Inch+Hollow+Shaft&amp;qid=1694735234&amp;sr=8-8", "https://www.amazon.com/Klein-Tools-S106-16-Inch-Driver/dp/B000936PDO/ref=sr_1_8?keywords=Klein+Tools+S10+5%2F16-Inch+Nut+Driver+3-Inch+Hollow+Shaft&amp;qid=1694735234&amp;sr=8-8")</f>
        <v/>
      </c>
      <c r="F6105" t="inlineStr">
        <is>
          <t>B000936PDO</t>
        </is>
      </c>
      <c r="G6105">
        <f>_xludf.IMAGE("https://edmondsonsupply.com/cdn/shop/products/s10_38acacb8-6c8e-49ef-8ed3-7160ab53875a.jpg?v=1633030893")</f>
        <v/>
      </c>
      <c r="H6105">
        <f>_xludf.IMAGE("https://m.media-amazon.com/images/I/41MR57vMQTL._AC_UL320_.jpg")</f>
        <v/>
      </c>
      <c r="K6105" t="inlineStr">
        <is>
          <t>7.99</t>
        </is>
      </c>
      <c r="L6105" t="n">
        <v>7.99</v>
      </c>
      <c r="M6105" s="1" t="inlineStr">
        <is>
          <t>0.00%</t>
        </is>
      </c>
      <c r="N6105" s="1" t="n"/>
      <c r="O6105" t="n">
        <v>4.5</v>
      </c>
      <c r="P6105" t="n">
        <v>151</v>
      </c>
      <c r="R6105" t="inlineStr">
        <is>
          <t>InStock</t>
        </is>
      </c>
      <c r="S6105" t="inlineStr">
        <is>
          <t>12.06</t>
        </is>
      </c>
      <c r="T6105" t="inlineStr">
        <is>
          <t>6223447031981</t>
        </is>
      </c>
    </row>
    <row r="6106" ht="87" customHeight="1">
      <c r="A6106" s="2">
        <f>HYPERLINK("https://edmondsonsupply.com/collections/electricians-tools/products/klein-tools-631-nut-driver-set-3-inch-shafts-cushion-grip-7-piece", "https://edmondsonsupply.com/collections/electricians-tools/products/klein-tools-631-nut-driver-set-3-inch-shafts-cushion-grip-7-piece")</f>
        <v/>
      </c>
      <c r="B6106" s="2">
        <f>HYPERLINK("https://edmondsonsupply.com/products/klein-tools-631-nut-driver-set-3-inch-shafts-cushion-grip-7-piece", "https://edmondsonsupply.com/products/klein-tools-631-nut-driver-set-3-inch-shafts-cushion-grip-7-piece")</f>
        <v/>
      </c>
      <c r="C6106" t="inlineStr">
        <is>
          <t>Klein Tools 631 Nut Driver Set, 3-Inch Shafts, Cushion Grip, 7-Piece</t>
        </is>
      </c>
      <c r="D6106" t="inlineStr">
        <is>
          <t>Klein Tools 631 Tool Set, Nut Driver Set w/Hex Nut Sizes 3/16, 1/4, 5/16, 11/32, 3/8, 7/16 and 1/2-Inch on 3-Inch Full Hollow Shaft, 7-Piece</t>
        </is>
      </c>
      <c r="E6106" s="2">
        <f>HYPERLINK("https://www.amazon.com/Driver-3-Inch-Klein-Tools-631/dp/B0000BYEPS/ref=sr_1_1?keywords=Klein+Tools+631+Nut+Driver+Set%2C+3-Inch+Shafts%2C+Cushion+Grip%2C+7-Piece&amp;qid=1694735184&amp;sr=8-1", "https://www.amazon.com/Driver-3-Inch-Klein-Tools-631/dp/B0000BYEPS/ref=sr_1_1?keywords=Klein+Tools+631+Nut+Driver+Set%2C+3-Inch+Shafts%2C+Cushion+Grip%2C+7-Piece&amp;qid=1694735184&amp;sr=8-1")</f>
        <v/>
      </c>
      <c r="F6106" t="inlineStr">
        <is>
          <t>B0000BYEPS</t>
        </is>
      </c>
      <c r="G6106">
        <f>_xlfn.IMAGE("https://edmondsonsupply.com/cdn/shop/products/631.jpg?v=1632441079")</f>
        <v/>
      </c>
      <c r="H6106">
        <f>_xlfn.IMAGE("https://m.media-amazon.com/images/I/61TOWXMg3oL._AC_UL320_.jpg")</f>
        <v/>
      </c>
      <c r="K6106" t="inlineStr">
        <is>
          <t>59.99</t>
        </is>
      </c>
      <c r="L6106" t="n">
        <v>59.99</v>
      </c>
      <c r="M6106" s="1" t="inlineStr">
        <is>
          <t>0.00%</t>
        </is>
      </c>
      <c r="N6106" s="7" t="n"/>
      <c r="O6106" t="n">
        <v>4.8</v>
      </c>
      <c r="P6106" t="n">
        <v>1145</v>
      </c>
      <c r="R6106" t="inlineStr">
        <is>
          <t>InStock</t>
        </is>
      </c>
      <c r="S6106" t="inlineStr">
        <is>
          <t>82.2</t>
        </is>
      </c>
      <c r="T6106" t="inlineStr">
        <is>
          <t>6961446420653</t>
        </is>
      </c>
    </row>
    <row r="6107" hidden="1" ht="15.75" customHeight="1">
      <c r="A6107" s="2">
        <f>HYPERLINK("https://edmondsonsupply.com/collections/electricians-tools/products/klein-tools-646-3-8m-3-8-magnetic-tip-cushion-grip-nut-driver-6-hollow-shank", "https://edmondsonsupply.com/collections/electricians-tools/products/klein-tools-646-3-8m-3-8-magnetic-tip-cushion-grip-nut-driver-6-hollow-shank")</f>
        <v/>
      </c>
      <c r="B6107" s="2">
        <f>HYPERLINK("https://edmondsonsupply.com/products/klein-tools-646-3-8m-3-8-magnetic-tip-cushion-grip-nut-driver-6-hollow-shank", "https://edmondsonsupply.com/products/klein-tools-646-3-8m-3-8-magnetic-tip-cushion-grip-nut-driver-6-hollow-shank")</f>
        <v/>
      </c>
      <c r="C6107" t="inlineStr">
        <is>
          <t>Klein Tools 646-3/8M 3/8'' Magnetic Tip Nut Driver 6'' Shaft</t>
        </is>
      </c>
      <c r="D6107" t="inlineStr">
        <is>
          <t>Klein Tools 646-3/8M Magnetic Tip Nut Driver, 3/8-Inch with 6-Inch Hollow Shank</t>
        </is>
      </c>
      <c r="E6107" s="2">
        <f>HYPERLINK("https://www.amazon.com/Magnetic-Klein-Tools-646-3-8M/dp/B000MKKD78/ref=sr_1_1?keywords=Klein+Tools+646-3%2F8M+3%2F8%27%27+Magnetic+Tip+Nut+Driver+6%27%27+Shaft&amp;qid=1694735399&amp;sr=8-1", "https://www.amazon.com/Magnetic-Klein-Tools-646-3-8M/dp/B000MKKD78/ref=sr_1_1?keywords=Klein+Tools+646-3%2F8M+3%2F8%27%27+Magnetic+Tip+Nut+Driver+6%27%27+Shaft&amp;qid=1694735399&amp;sr=8-1")</f>
        <v/>
      </c>
      <c r="F6107" t="inlineStr">
        <is>
          <t>B000MKKD78</t>
        </is>
      </c>
      <c r="G6107">
        <f>_xludf.IMAGE("https://edmondsonsupply.com/cdn/shop/products/646-3-8m.jpg?v=1587143221")</f>
        <v/>
      </c>
      <c r="H6107">
        <f>_xludf.IMAGE("https://m.media-amazon.com/images/I/41xN-SH9qBL._AC_UL320_.jpg")</f>
        <v/>
      </c>
      <c r="K6107" t="inlineStr">
        <is>
          <t>11.99</t>
        </is>
      </c>
      <c r="L6107" t="n">
        <v>11.99</v>
      </c>
      <c r="M6107" s="1" t="inlineStr">
        <is>
          <t>0.00%</t>
        </is>
      </c>
      <c r="N6107" s="1" t="n"/>
      <c r="O6107" t="n">
        <v>4.8</v>
      </c>
      <c r="P6107" t="n">
        <v>2491</v>
      </c>
      <c r="R6107" t="inlineStr">
        <is>
          <t>InStock</t>
        </is>
      </c>
      <c r="S6107" t="inlineStr">
        <is>
          <t>18.16</t>
        </is>
      </c>
      <c r="T6107" t="inlineStr">
        <is>
          <t>2767010988132</t>
        </is>
      </c>
    </row>
    <row r="6108" ht="87" customHeight="1">
      <c r="A6108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6108" s="2">
        <f>HYPERLINK("https://edmondsonsupply.com/products/klein-tools-vdv500-123-probe-pro-tracing-probe", "https://edmondsonsupply.com/products/klein-tools-vdv500-123-probe-pro-tracing-probe")</f>
        <v/>
      </c>
      <c r="C6108" t="inlineStr">
        <is>
          <t>Klein Tools VDV500-123 Probe-PRO Tracing Probe</t>
        </is>
      </c>
      <c r="D6108" t="inlineStr">
        <is>
          <t>Klein Tools VDV500-123 Cable Tracer Probe-Pro Tracing Probe with Replaceable Non-Metallic, Conductive Tip and a Light for Use in Dark Spaces</t>
        </is>
      </c>
      <c r="E6108" s="2">
        <f>HYPERLINK("https://www.amazon.com/Klein-Tools-VDV500-123-Replaceable-Non-Metallic/dp/B07ZWCM8L5/ref=sr_1_2?keywords=Klein+Tools+VDV500-123+Probe-PRO+Tracing+Probe&amp;qid=1694734977&amp;sr=8-2", "https://www.amazon.com/Klein-Tools-VDV500-123-Replaceable-Non-Metallic/dp/B07ZWCM8L5/ref=sr_1_2?keywords=Klein+Tools+VDV500-123+Probe-PRO+Tracing+Probe&amp;qid=1694734977&amp;sr=8-2")</f>
        <v/>
      </c>
      <c r="F6108" t="inlineStr">
        <is>
          <t>B07ZWCM8L5</t>
        </is>
      </c>
      <c r="G6108">
        <f>_xlfn.IMAGE("https://edmondsonsupply.com/cdn/shop/products/vdv500123.jpg?v=1587142783")</f>
        <v/>
      </c>
      <c r="H6108">
        <f>_xlfn.IMAGE("https://m.media-amazon.com/images/I/51ObUlpe-TL._AC_UY218_.jpg")</f>
        <v/>
      </c>
      <c r="K6108" t="inlineStr">
        <is>
          <t>44.99</t>
        </is>
      </c>
      <c r="L6108" t="n">
        <v>44.99</v>
      </c>
      <c r="M6108" s="1" t="inlineStr">
        <is>
          <t>0.00%</t>
        </is>
      </c>
      <c r="N6108" s="7" t="n"/>
      <c r="O6108" t="n">
        <v>4.7</v>
      </c>
      <c r="P6108" t="n">
        <v>690</v>
      </c>
      <c r="R6108" t="inlineStr">
        <is>
          <t>InStock</t>
        </is>
      </c>
      <c r="S6108" t="inlineStr">
        <is>
          <t>63.0</t>
        </is>
      </c>
      <c r="T6108" t="inlineStr">
        <is>
          <t>4274361466980</t>
        </is>
      </c>
    </row>
    <row r="6109" ht="87" customHeight="1">
      <c r="A6109" s="2">
        <f>HYPERLINK("https://edmondsonsupply.com/collections/electricians-tools/products/klein-tools-56409-polymer-fish-rod-set-glow-in-the-dark", "https://edmondsonsupply.com/collections/electricians-tools/products/klein-tools-56409-polymer-fish-rod-set-glow-in-the-dark")</f>
        <v/>
      </c>
      <c r="B6109" s="2">
        <f>HYPERLINK("https://edmondsonsupply.com/products/klein-tools-56409-polymer-fish-rod-set-glow-in-the-dark", "https://edmondsonsupply.com/products/klein-tools-56409-polymer-fish-rod-set-glow-in-the-dark")</f>
        <v/>
      </c>
      <c r="C6109" t="inlineStr">
        <is>
          <t>Klein Tools 56409 Mid-Flex Glow Rod Set, 9-Foot</t>
        </is>
      </c>
      <c r="D6109" t="inlineStr">
        <is>
          <t>Klein Tools 56409 Mid-Flex Glow Rod Set, 9-Foot, Splinter Guard Coating, Stainless Steel Connectors, Glows in Dark</t>
        </is>
      </c>
      <c r="E6109" s="2">
        <f>HYPERLINK("https://www.amazon.com/Mid-Flex-9-Foot-Klein-Tools-56409/dp/B00CQM3TZ8/ref=sr_1_1?keywords=Klein+Tools+56409+Mid-Flex+Glow+Rod+Set%2C+9-Foot&amp;qid=1694735185&amp;sr=8-1", "https://www.amazon.com/Mid-Flex-9-Foot-Klein-Tools-56409/dp/B00CQM3TZ8/ref=sr_1_1?keywords=Klein+Tools+56409+Mid-Flex+Glow+Rod+Set%2C+9-Foot&amp;qid=1694735185&amp;sr=8-1")</f>
        <v/>
      </c>
      <c r="F6109" t="inlineStr">
        <is>
          <t>B00CQM3TZ8</t>
        </is>
      </c>
      <c r="G6109">
        <f>_xlfn.IMAGE("https://edmondsonsupply.com/cdn/shop/products/56409.jpg?v=1641777660")</f>
        <v/>
      </c>
      <c r="H6109">
        <f>_xlfn.IMAGE("https://m.media-amazon.com/images/I/41RinMCr4EL._AC_UL320_.jpg")</f>
        <v/>
      </c>
      <c r="K6109" t="inlineStr">
        <is>
          <t>39.97</t>
        </is>
      </c>
      <c r="L6109" t="n">
        <v>39.97</v>
      </c>
      <c r="M6109" s="1" t="inlineStr">
        <is>
          <t>0.00%</t>
        </is>
      </c>
      <c r="N6109" s="7" t="n"/>
      <c r="O6109" t="n">
        <v>4.6</v>
      </c>
      <c r="P6109" t="n">
        <v>545</v>
      </c>
      <c r="R6109" t="inlineStr">
        <is>
          <t>InStock</t>
        </is>
      </c>
      <c r="S6109" t="inlineStr">
        <is>
          <t>60.56</t>
        </is>
      </c>
      <c r="T6109" t="inlineStr">
        <is>
          <t>7569998053592</t>
        </is>
      </c>
    </row>
    <row r="6110" ht="87" customHeight="1">
      <c r="A6110" s="2">
        <f>HYPERLINK("https://edmondsonsupply.com/collections/electricians-tools/products/klein-tools-pnd-916-5-9-16-inch-power-nut-driver-5-inch-out-of-chuck", "https://edmondsonsupply.com/collections/electricians-tools/products/klein-tools-pnd-916-5-9-16-inch-power-nut-driver-5-inch-out-of-chuck")</f>
        <v/>
      </c>
      <c r="B6110" s="2">
        <f>HYPERLINK("https://edmondsonsupply.com/products/klein-tools-pnd-916-5-9-16-inch-power-nut-driver-5-inch-out-of-chuck", "https://edmondsonsupply.com/products/klein-tools-pnd-916-5-9-16-inch-power-nut-driver-5-inch-out-of-chuck")</f>
        <v/>
      </c>
      <c r="C6110" t="inlineStr">
        <is>
          <t>Klein Tools PND-916-5 9/16-Inch Power Nut Driver, 5-Inch Out-of-Chuck</t>
        </is>
      </c>
      <c r="D6110" t="inlineStr">
        <is>
          <t>Klein Tools PND9165 9/16-Inch Power Nut Driver, 5-Inch Out-of-Chuck</t>
        </is>
      </c>
      <c r="E6110" s="2">
        <f>HYPERLINK("https://www.amazon.com/16-Inch-Driver-Klein-Tools-PND9165/dp/B00ELGQM9C/ref=sr_1_2?keywords=Klein+Tools+PND-916-5+9%2F16-Inch+Power+Nut+Driver%2C+5-Inch+Out-of-Chuck&amp;qid=1694735251&amp;sr=8-2", "https://www.amazon.com/16-Inch-Driver-Klein-Tools-PND9165/dp/B00ELGQM9C/ref=sr_1_2?keywords=Klein+Tools+PND-916-5+9%2F16-Inch+Power+Nut+Driver%2C+5-Inch+Out-of-Chuck&amp;qid=1694735251&amp;sr=8-2")</f>
        <v/>
      </c>
      <c r="F6110" t="inlineStr">
        <is>
          <t>B00ELGQM9C</t>
        </is>
      </c>
      <c r="G6110">
        <f>_xlfn.IMAGE("https://edmondsonsupply.com/cdn/shop/products/pnd9165.jpg?v=1633030684")</f>
        <v/>
      </c>
      <c r="H6110">
        <f>_xlfn.IMAGE("https://m.media-amazon.com/images/I/419piFtDHiL._AC_UL320_.jpg")</f>
        <v/>
      </c>
      <c r="K6110" t="inlineStr">
        <is>
          <t>18.99</t>
        </is>
      </c>
      <c r="L6110" t="n">
        <v>18.99</v>
      </c>
      <c r="M6110" s="1" t="inlineStr">
        <is>
          <t>0.00%</t>
        </is>
      </c>
      <c r="N6110" s="7" t="n"/>
      <c r="O6110" t="n">
        <v>4.6</v>
      </c>
      <c r="P6110" t="n">
        <v>1105</v>
      </c>
      <c r="R6110" t="inlineStr">
        <is>
          <t>InStock</t>
        </is>
      </c>
      <c r="S6110" t="inlineStr">
        <is>
          <t>30.98</t>
        </is>
      </c>
      <c r="T6110" t="inlineStr">
        <is>
          <t>5816050614440</t>
        </is>
      </c>
    </row>
    <row r="6111" ht="87" customHeight="1">
      <c r="A6111" s="2">
        <f>HYPERLINK("https://edmondsonsupply.com/collections/electricians-tools/products/klein-tools-66040-2-in-1-impact-socket-set-12-point-5-piece", "https://edmondsonsupply.com/collections/electricians-tools/products/klein-tools-66040-2-in-1-impact-socket-set-12-point-5-piece")</f>
        <v/>
      </c>
      <c r="B6111" s="2">
        <f>HYPERLINK("https://edmondsonsupply.com/products/klein-tools-66040-2-in-1-impact-socket-set-12-point-5-piece", "https://edmondsonsupply.com/products/klein-tools-66040-2-in-1-impact-socket-set-12-point-5-piece")</f>
        <v/>
      </c>
      <c r="C6111" t="inlineStr">
        <is>
          <t>Klein Tools 66040 2-in-1 Impact Socket Set, 12-Point, 5-Piece</t>
        </is>
      </c>
      <c r="D6111" t="inlineStr">
        <is>
          <t>Klein Tools 66040 2-in-1 Impact Socket Set, 5-Piece Tool Set with 12-Point Deep Sockets with 1/2-Inch Drive, Includes Tool Case</t>
        </is>
      </c>
      <c r="E6111" s="2">
        <f>HYPERLINK("https://www.amazon.com/Klein-Tools-5-Piece-6-Point-Sockets/dp/B08363H71P/ref=sr_1_1?keywords=Klein+Tools+66040+2-in-1+Impact+Socket+Set%2C+12-Point%2C+5-Piece&amp;qid=1694734983&amp;sr=8-1", "https://www.amazon.com/Klein-Tools-5-Piece-6-Point-Sockets/dp/B08363H71P/ref=sr_1_1?keywords=Klein+Tools+66040+2-in-1+Impact+Socket+Set%2C+12-Point%2C+5-Piece&amp;qid=1694734983&amp;sr=8-1")</f>
        <v/>
      </c>
      <c r="F6111" t="inlineStr">
        <is>
          <t>B08363H71P</t>
        </is>
      </c>
      <c r="G6111">
        <f>_xlfn.IMAGE("https://edmondsonsupply.com/cdn/shop/products/66040.jpg?v=1659120255")</f>
        <v/>
      </c>
      <c r="H6111">
        <f>_xlfn.IMAGE("https://m.media-amazon.com/images/I/618QcMhYqSL._AC_UL320_.jpg")</f>
        <v/>
      </c>
      <c r="K6111" t="inlineStr">
        <is>
          <t>124.79</t>
        </is>
      </c>
      <c r="L6111" t="n">
        <v>124.79</v>
      </c>
      <c r="M6111" s="1" t="inlineStr">
        <is>
          <t>0.00%</t>
        </is>
      </c>
      <c r="N6111" s="7" t="n"/>
      <c r="O6111" t="n">
        <v>4.8</v>
      </c>
      <c r="P6111" t="n">
        <v>1150</v>
      </c>
      <c r="R6111" t="inlineStr">
        <is>
          <t>InStock</t>
        </is>
      </c>
      <c r="S6111" t="inlineStr">
        <is>
          <t>217.02</t>
        </is>
      </c>
      <c r="T6111" t="inlineStr">
        <is>
          <t>7766538846424</t>
        </is>
      </c>
    </row>
    <row r="6112" hidden="1" ht="15.75" customHeight="1">
      <c r="A6112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6112" s="2">
        <f>HYPERLINK("https://edmondsonsupply.com/products/klein-tools-vaco-s10m-5-16-magnetic-nut-driver-3-hollow-shaft", "https://edmondsonsupply.com/products/klein-tools-vaco-s10m-5-16-magnetic-nut-driver-3-hollow-shaft")</f>
        <v/>
      </c>
      <c r="C6112" t="inlineStr">
        <is>
          <t>Klein Tools S10M 5/16-Inch Magnetic Nut Driver 3-Inch Shaft</t>
        </is>
      </c>
      <c r="D6112" t="inlineStr">
        <is>
          <t>Auniwaig Imperial 5/16-Inch Hex Nut Drivers Non-Magnetic Six Point Tip Steel with 3.66-Inch Shaft 1PCS</t>
        </is>
      </c>
      <c r="E6112" s="2">
        <f>HYPERLINK("https://www.amazon.com/Auniwaig-Imperial-16-Inch-Non-Magnetic-3-66-Inch/dp/B09CTT91BH/ref=sr_1_41?keywords=Klein+Tools+S10M+5%2F16-Inch+Magnetic+Nut+Driver+3-Inch+Shaft&amp;qid=1694735002&amp;sr=8-41", "https://www.amazon.com/Auniwaig-Imperial-16-Inch-Non-Magnetic-3-66-Inch/dp/B09CTT91BH/ref=sr_1_41?keywords=Klein+Tools+S10M+5%2F16-Inch+Magnetic+Nut+Driver+3-Inch+Shaft&amp;qid=1694735002&amp;sr=8-41")</f>
        <v/>
      </c>
      <c r="F6112" t="inlineStr">
        <is>
          <t>B09CTT91BH</t>
        </is>
      </c>
      <c r="G6112">
        <f>_xludf.IMAGE("https://edmondsonsupply.com/cdn/shop/products/s10m_alt2.jpg?v=1587143022")</f>
        <v/>
      </c>
      <c r="H6112">
        <f>_xludf.IMAGE("https://m.media-amazon.com/images/I/51VWuEmaY5L._AC_UL320_.jpg")</f>
        <v/>
      </c>
      <c r="K6112" t="inlineStr">
        <is>
          <t>9.99</t>
        </is>
      </c>
      <c r="L6112" t="n">
        <v>9.99</v>
      </c>
      <c r="M6112" s="1" t="inlineStr">
        <is>
          <t>0.00%</t>
        </is>
      </c>
      <c r="N6112" s="1" t="n"/>
      <c r="O6112" t="n">
        <v>4.2</v>
      </c>
      <c r="P6112" t="n">
        <v>5</v>
      </c>
      <c r="R6112" t="inlineStr">
        <is>
          <t>InStock</t>
        </is>
      </c>
      <c r="S6112" t="inlineStr">
        <is>
          <t>15.08</t>
        </is>
      </c>
      <c r="T6112" t="inlineStr">
        <is>
          <t>2767113125988</t>
        </is>
      </c>
    </row>
    <row r="6113" ht="87" customHeight="1">
      <c r="A6113" s="2">
        <f>HYPERLINK("https://edmondsonsupply.com/collections/electricians-tools/products/rack-a-tiers-77455-bend-all-cable-bender", "https://edmondsonsupply.com/collections/electricians-tools/products/rack-a-tiers-77455-bend-all-cable-bender")</f>
        <v/>
      </c>
      <c r="B6113" s="2">
        <f>HYPERLINK("https://edmondsonsupply.com/products/rack-a-tiers-77455-bend-all-cable-bender", "https://edmondsonsupply.com/products/rack-a-tiers-77455-bend-all-cable-bender")</f>
        <v/>
      </c>
      <c r="C6113" t="inlineStr">
        <is>
          <t>Rack-A-Tiers 77455 Bend-All Cable Bender</t>
        </is>
      </c>
      <c r="D6113" t="inlineStr">
        <is>
          <t>Rack-A-Tiers Bend-All - Cable Bender, Wire Bender, Connects to 1/2" Ratchet, Machined Aircraft Aluminum (77455)</t>
        </is>
      </c>
      <c r="E6113" s="2">
        <f>HYPERLINK("https://www.amazon.com/77455-Bend-All-Knuckle-Enclosures-3AWG-500-Centimeter/dp/B00QW2AZ9G/ref=sr_1_1?keywords=Rack-A-Tiers+77455+Bend-All+Cable+Bender&amp;qid=1694734982&amp;sr=8-1", "https://www.amazon.com/77455-Bend-All-Knuckle-Enclosures-3AWG-500-Centimeter/dp/B00QW2AZ9G/ref=sr_1_1?keywords=Rack-A-Tiers+77455+Bend-All+Cable+Bender&amp;qid=1694734982&amp;sr=8-1")</f>
        <v/>
      </c>
      <c r="F6113" t="inlineStr">
        <is>
          <t>B00QW2AZ9G</t>
        </is>
      </c>
      <c r="G6113">
        <f>_xlfn.IMAGE("https://edmondsonsupply.com/cdn/shop/products/rack-a-tiers-wire-strippers-77455-64_1000.jpg?v=1587150308")</f>
        <v/>
      </c>
      <c r="H6113">
        <f>_xlfn.IMAGE("https://m.media-amazon.com/images/I/51YVlmUS7HL._AC_UL320_.jpg")</f>
        <v/>
      </c>
      <c r="K6113" t="inlineStr">
        <is>
          <t>38.99</t>
        </is>
      </c>
      <c r="L6113" t="n">
        <v>38.99</v>
      </c>
      <c r="M6113" s="1" t="inlineStr">
        <is>
          <t>0.00%</t>
        </is>
      </c>
      <c r="N6113" s="7" t="n"/>
      <c r="O6113" t="n">
        <v>4.4</v>
      </c>
      <c r="P6113" t="n">
        <v>688</v>
      </c>
      <c r="R6113" t="inlineStr">
        <is>
          <t>InStock</t>
        </is>
      </c>
      <c r="S6113" t="inlineStr">
        <is>
          <t>41.99</t>
        </is>
      </c>
      <c r="T6113" t="inlineStr">
        <is>
          <t>3259230421092</t>
        </is>
      </c>
    </row>
    <row r="6114" hidden="1" ht="15.75" customHeight="1">
      <c r="A6114" s="2">
        <f>HYPERLINK("https://edmondsonsupply.com/collections/electricians-tools/products/klein-tools-650-cushion-grip-scratch-awl", "https://edmondsonsupply.com/collections/electricians-tools/products/klein-tools-650-cushion-grip-scratch-awl")</f>
        <v/>
      </c>
      <c r="B6114" s="2">
        <f>HYPERLINK("https://edmondsonsupply.com/products/klein-tools-650-cushion-grip-scratch-awl", "https://edmondsonsupply.com/products/klein-tools-650-cushion-grip-scratch-awl")</f>
        <v/>
      </c>
      <c r="C6114" t="inlineStr">
        <is>
          <t>Klein Tools 650 Cushion-Grip Scratch Awl</t>
        </is>
      </c>
      <c r="D6114" t="inlineStr">
        <is>
          <t>Klein Tools 650 Scratch Awl with 3-1/2-Inch Shank and Cushion Grip</t>
        </is>
      </c>
      <c r="E6114" s="2">
        <f>HYPERLINK("https://www.amazon.com/Scratch-Cushion-Klein-Tools-650/dp/B0000302W2/ref=sr_1_1?keywords=Klein+Tools+650+Cushion-Grip+Scratch+Awl&amp;qid=1694735241&amp;sr=8-1", "https://www.amazon.com/Scratch-Cushion-Klein-Tools-650/dp/B0000302W2/ref=sr_1_1?keywords=Klein+Tools+650+Cushion-Grip+Scratch+Awl&amp;qid=1694735241&amp;sr=8-1")</f>
        <v/>
      </c>
      <c r="F6114" t="inlineStr">
        <is>
          <t>B0000302W2</t>
        </is>
      </c>
      <c r="G6114">
        <f>_xludf.IMAGE("https://edmondsonsupply.com/cdn/shop/products/650.jpg?v=1633030813")</f>
        <v/>
      </c>
      <c r="H6114">
        <f>_xludf.IMAGE("https://m.media-amazon.com/images/I/51y0stAoHwL._AC_UL320_.jpg")</f>
        <v/>
      </c>
      <c r="K6114" t="inlineStr">
        <is>
          <t>12.49</t>
        </is>
      </c>
      <c r="L6114" t="n">
        <v>12.49</v>
      </c>
      <c r="M6114" s="1" t="inlineStr">
        <is>
          <t>0.00%</t>
        </is>
      </c>
      <c r="N6114" s="1" t="n"/>
      <c r="O6114" t="n">
        <v>4.8</v>
      </c>
      <c r="P6114" t="n">
        <v>1389</v>
      </c>
      <c r="R6114" t="inlineStr">
        <is>
          <t>InStock</t>
        </is>
      </c>
      <c r="S6114" t="inlineStr">
        <is>
          <t>18.92</t>
        </is>
      </c>
      <c r="T6114" t="inlineStr">
        <is>
          <t>6064841916589</t>
        </is>
      </c>
    </row>
    <row r="6115" hidden="1" ht="15.75" customHeight="1">
      <c r="A6115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6115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6115" t="inlineStr">
        <is>
          <t>Klein Tools JTH9E08 1/8-Inch Hex Key with Journeyman T-Handle, 9-Inch</t>
        </is>
      </c>
      <c r="D6115" t="inlineStr">
        <is>
          <t>5/32-Inch Hex Key with Journeyman T-Handle, 9-Inch Klein Tools JTH9E10</t>
        </is>
      </c>
      <c r="E6115" s="2">
        <f>HYPERLINK("https://www.amazon.com/Journeyman-T-Handle-Klein-Tools-JTH9E10/dp/B004QV8H90/ref=sr_1_6?keywords=Klein+Tools+JTH9E08+1%2F8-Inch+Hex+Key+with+Journeyman+T-Handle%2C+9-Inch&amp;qid=1694735421&amp;sr=8-6", "https://www.amazon.com/Journeyman-T-Handle-Klein-Tools-JTH9E10/dp/B004QV8H90/ref=sr_1_6?keywords=Klein+Tools+JTH9E08+1%2F8-Inch+Hex+Key+with+Journeyman+T-Handle%2C+9-Inch&amp;qid=1694735421&amp;sr=8-6")</f>
        <v/>
      </c>
      <c r="F6115" t="inlineStr">
        <is>
          <t>B004QV8H90</t>
        </is>
      </c>
      <c r="G6115">
        <f>_xludf.IMAGE("https://edmondsonsupply.com/cdn/shop/products/jth6e15_f2733d2c-ab65-41d7-8597-f1dfd8fcaabf.jpg?v=1587142807")</f>
        <v/>
      </c>
      <c r="H6115">
        <f>_xludf.IMAGE("https://m.media-amazon.com/images/I/51Yb8h41vLL._AC_UL320_.jpg")</f>
        <v/>
      </c>
      <c r="K6115" t="inlineStr">
        <is>
          <t>4.49</t>
        </is>
      </c>
      <c r="L6115" t="n">
        <v>4.49</v>
      </c>
      <c r="M6115" s="1" t="inlineStr">
        <is>
          <t>0.00%</t>
        </is>
      </c>
      <c r="N6115" s="1" t="n"/>
      <c r="O6115" t="n">
        <v>4.8</v>
      </c>
      <c r="P6115" t="n">
        <v>293</v>
      </c>
      <c r="R6115" t="inlineStr">
        <is>
          <t>InStock</t>
        </is>
      </c>
      <c r="S6115" t="inlineStr">
        <is>
          <t>6.82</t>
        </is>
      </c>
      <c r="T6115" t="inlineStr">
        <is>
          <t>4352186810468</t>
        </is>
      </c>
    </row>
    <row r="6116" hidden="1" ht="15.75" customHeight="1">
      <c r="A6116" s="2">
        <f>HYPERLINK("https://edmondsonsupply.com/collections/electricians-tools/products/copy-of-klein-tools-jth6m5-5-mm-hex-key-journeyman-t-handle-6-inch", "https://edmondsonsupply.com/collections/electricians-tools/products/copy-of-klein-tools-jth6m5-5-mm-hex-key-journeyman-t-handle-6-inch")</f>
        <v/>
      </c>
      <c r="B6116" s="2">
        <f>HYPERLINK("https://edmondsonsupply.com/products/copy-of-klein-tools-jth6m5-5-mm-hex-key-journeyman-t-handle-6-inch", "https://edmondsonsupply.com/products/copy-of-klein-tools-jth6m5-5-mm-hex-key-journeyman-t-handle-6-inch")</f>
        <v/>
      </c>
      <c r="C6116" t="inlineStr">
        <is>
          <t>Klein Tools JTH6M5 5 mm Hex Key, Journeyman T-Handle, 6-Inch</t>
        </is>
      </c>
      <c r="D6116" t="inlineStr">
        <is>
          <t>Klein Tools JTH6M3 3 mm Hex Key with Journeyman T-Handle, 6-Inch</t>
        </is>
      </c>
      <c r="E6116" s="2">
        <f>HYPERLINK("https://www.amazon.com/Journeyman-T-Handle-Klein-Tools-JTH6M3/dp/B005G394RG/ref=sr_1_5?keywords=Klein+Tools+JTH6M5+5+mm+Hex+Key%2C+Journeyman+T-Handle%2C+6-Inch&amp;qid=1694735404&amp;sr=8-5", "https://www.amazon.com/Journeyman-T-Handle-Klein-Tools-JTH6M3/dp/B005G394RG/ref=sr_1_5?keywords=Klein+Tools+JTH6M5+5+mm+Hex+Key%2C+Journeyman+T-Handle%2C+6-Inch&amp;qid=1694735404&amp;sr=8-5")</f>
        <v/>
      </c>
      <c r="F6116" t="inlineStr">
        <is>
          <t>B005G394RG</t>
        </is>
      </c>
      <c r="G6116">
        <f>_xludf.IMAGE("https://edmondsonsupply.com/cdn/shop/products/jth6m8_86ab4962-b2b5-468b-a9d8-cba525456227.jpg?v=1587150411")</f>
        <v/>
      </c>
      <c r="H6116">
        <f>_xludf.IMAGE("https://m.media-amazon.com/images/I/51+1x0vz9XL._AC_UL320_.jpg")</f>
        <v/>
      </c>
      <c r="K6116" t="inlineStr">
        <is>
          <t>3.99</t>
        </is>
      </c>
      <c r="L6116" t="n">
        <v>3.99</v>
      </c>
      <c r="M6116" s="1" t="inlineStr">
        <is>
          <t>0.00%</t>
        </is>
      </c>
      <c r="N6116" s="1" t="n"/>
      <c r="O6116" t="n">
        <v>4.7</v>
      </c>
      <c r="P6116" t="n">
        <v>358</v>
      </c>
      <c r="R6116" t="inlineStr">
        <is>
          <t>InStock</t>
        </is>
      </c>
      <c r="S6116" t="inlineStr">
        <is>
          <t>6.04</t>
        </is>
      </c>
      <c r="T6116" t="inlineStr">
        <is>
          <t>4391573028964</t>
        </is>
      </c>
    </row>
    <row r="6117" ht="87" customHeight="1">
      <c r="A6117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117" s="2">
        <f>HYPERLINK("https://edmondsonsupply.com/products/klein-tools-32500mag-11-in-1-magnetic-screwdriver-nut-driver", "https://edmondsonsupply.com/products/klein-tools-32500mag-11-in-1-magnetic-screwdriver-nut-driver")</f>
        <v/>
      </c>
      <c r="C6117" t="inlineStr">
        <is>
          <t>Klein Tools 32500MAG 11-in-1 Magnetic Screwdriver / Nut Driver</t>
        </is>
      </c>
      <c r="D6117" t="inlineStr">
        <is>
          <t>Klein Tools 32500MAG Magnetic Multi-Bit Screwdriver / Nut Driver, 11-in-1 Multi Tool with 8 Bits, 3 Nut Driver Sizes, Cushion Grip Handle</t>
        </is>
      </c>
      <c r="E6117" s="2">
        <f>HYPERLINK("https://www.amazon.com/Klein-Tools-32500MAG-Multi-Bit-Screwdriver/dp/B089LTTZWT/ref=sr_1_1?keywords=Klein+Tools+32500MAG+11-in-1+Magnetic+Screwdriver+%2F+Nut+Driver&amp;qid=1694735235&amp;sr=8-1", "https://www.amazon.com/Klein-Tools-32500MAG-Multi-Bit-Screwdriver/dp/B089LTTZWT/ref=sr_1_1?keywords=Klein+Tools+32500MAG+11-in-1+Magnetic+Screwdriver+%2F+Nut+Driver&amp;qid=1694735235&amp;sr=8-1")</f>
        <v/>
      </c>
      <c r="F6117" t="inlineStr">
        <is>
          <t>B089LTTZWT</t>
        </is>
      </c>
      <c r="G6117">
        <f>_xlfn.IMAGE("https://edmondsonsupply.com/cdn/shop/products/32500mag.jpg?v=1633030832")</f>
        <v/>
      </c>
      <c r="H6117">
        <f>_xlfn.IMAGE("https://m.media-amazon.com/images/I/61WjOoy7J0L._AC_UL320_.jpg")</f>
        <v/>
      </c>
      <c r="K6117" t="inlineStr">
        <is>
          <t>20.97</t>
        </is>
      </c>
      <c r="L6117" t="n">
        <v>20.97</v>
      </c>
      <c r="M6117" s="1" t="inlineStr">
        <is>
          <t>0.00%</t>
        </is>
      </c>
      <c r="N6117" s="7" t="n"/>
      <c r="O6117" t="n">
        <v>4.8</v>
      </c>
      <c r="P6117" t="n">
        <v>3916</v>
      </c>
      <c r="R6117" t="inlineStr">
        <is>
          <t>InStock</t>
        </is>
      </c>
      <c r="S6117" t="inlineStr">
        <is>
          <t>29.38</t>
        </is>
      </c>
      <c r="T6117" t="inlineStr">
        <is>
          <t>6082199814317</t>
        </is>
      </c>
    </row>
    <row r="6118" ht="87" customHeight="1">
      <c r="A6118" s="2">
        <f>HYPERLINK("https://edmondsonsupply.com/collections/electricians-tools/products/klein-tools-31868-carbide-hole-cutter-2-inch", "https://edmondsonsupply.com/collections/electricians-tools/products/klein-tools-31868-carbide-hole-cutter-2-inch")</f>
        <v/>
      </c>
      <c r="B6118" s="2">
        <f>HYPERLINK("https://edmondsonsupply.com/products/klein-tools-31868-carbide-hole-cutter-2-inch", "https://edmondsonsupply.com/products/klein-tools-31868-carbide-hole-cutter-2-inch")</f>
        <v/>
      </c>
      <c r="C6118" t="inlineStr">
        <is>
          <t>Klein Tools 31868 Carbide Hole Cutter, 2-Inch</t>
        </is>
      </c>
      <c r="D6118" t="inlineStr">
        <is>
          <t>Klein Tools 31868 Heavy Duty Hole Cutter, 2-Inch Carbide Hole Cutter Cuts Stainless Steel, Mild Steel, Iron, and Copper</t>
        </is>
      </c>
      <c r="E6118" s="2">
        <f>HYPERLINK("https://www.amazon.com/Carbide-Cutter-Klein-Tools-31868/dp/B00776T3D0/ref=sr_1_1?keywords=Klein+Tools+31868+Carbide+Hole+Cutter%2C+2-Inch&amp;qid=1694735185&amp;sr=8-1", "https://www.amazon.com/Carbide-Cutter-Klein-Tools-31868/dp/B00776T3D0/ref=sr_1_1?keywords=Klein+Tools+31868+Carbide+Hole+Cutter%2C+2-Inch&amp;qid=1694735185&amp;sr=8-1")</f>
        <v/>
      </c>
      <c r="F6118" t="inlineStr">
        <is>
          <t>B00776T3D0</t>
        </is>
      </c>
      <c r="G6118">
        <f>_xlfn.IMAGE("https://edmondsonsupply.com/cdn/shop/products/31868.jpg?v=1635112576")</f>
        <v/>
      </c>
      <c r="H6118">
        <f>_xlfn.IMAGE("https://m.media-amazon.com/images/I/41W7PbNCmTL._AC_UL320_.jpg")</f>
        <v/>
      </c>
      <c r="K6118" t="inlineStr">
        <is>
          <t>59.99</t>
        </is>
      </c>
      <c r="L6118" t="n">
        <v>59.99</v>
      </c>
      <c r="M6118" s="1" t="inlineStr">
        <is>
          <t>0.00%</t>
        </is>
      </c>
      <c r="N6118" s="7" t="n"/>
      <c r="O6118" t="n">
        <v>4.5</v>
      </c>
      <c r="P6118" t="n">
        <v>472</v>
      </c>
      <c r="R6118" t="inlineStr">
        <is>
          <t>InStock</t>
        </is>
      </c>
      <c r="S6118" t="inlineStr">
        <is>
          <t>90.98</t>
        </is>
      </c>
      <c r="T6118" t="inlineStr">
        <is>
          <t>7032653938861</t>
        </is>
      </c>
    </row>
    <row r="6119" hidden="1" ht="15.75" customHeight="1">
      <c r="A6119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6119" s="2">
        <f>HYPERLINK("https://edmondsonsupply.com/products/klein-tools-s10-5-16-inch-nut-driver-3-inch-hollow-shaft", "https://edmondsonsupply.com/products/klein-tools-s10-5-16-inch-nut-driver-3-inch-hollow-shaft")</f>
        <v/>
      </c>
      <c r="C6119" t="inlineStr">
        <is>
          <t>Klein Tools S10 5/16-Inch Nut Driver 3-Inch Hollow Shaft</t>
        </is>
      </c>
      <c r="D6119" t="inlineStr">
        <is>
          <t>Klein Tools 646-5/16 5/16-Inch Nut Driver with 6-Inch Hollow Shaft and Cushion Grip Handle</t>
        </is>
      </c>
      <c r="E6119" s="2">
        <f>HYPERLINK("https://www.amazon.com/16-Inch-Driver-Cushion-Klein-Tools/dp/B000LEZVWM/ref=sr_1_6?keywords=Klein+Tools+S10+5%2F16-Inch+Nut+Driver+3-Inch+Hollow+Shaft&amp;qid=1694735234&amp;sr=8-6", "https://www.amazon.com/16-Inch-Driver-Cushion-Klein-Tools/dp/B000LEZVWM/ref=sr_1_6?keywords=Klein+Tools+S10+5%2F16-Inch+Nut+Driver+3-Inch+Hollow+Shaft&amp;qid=1694735234&amp;sr=8-6")</f>
        <v/>
      </c>
      <c r="F6119" t="inlineStr">
        <is>
          <t>B000LEZVWM</t>
        </is>
      </c>
      <c r="G6119">
        <f>_xludf.IMAGE("https://edmondsonsupply.com/cdn/shop/products/s10_38acacb8-6c8e-49ef-8ed3-7160ab53875a.jpg?v=1633030893")</f>
        <v/>
      </c>
      <c r="H6119">
        <f>_xludf.IMAGE("https://m.media-amazon.com/images/I/31sSFYGqdfL._AC_UL320_.jpg")</f>
        <v/>
      </c>
      <c r="K6119" t="inlineStr">
        <is>
          <t>7.99</t>
        </is>
      </c>
      <c r="L6119" t="n">
        <v>7.99</v>
      </c>
      <c r="M6119" s="1" t="inlineStr">
        <is>
          <t>0.00%</t>
        </is>
      </c>
      <c r="N6119" s="1" t="n"/>
      <c r="O6119" t="n">
        <v>4.8</v>
      </c>
      <c r="P6119" t="n">
        <v>2491</v>
      </c>
      <c r="R6119" t="inlineStr">
        <is>
          <t>InStock</t>
        </is>
      </c>
      <c r="S6119" t="inlineStr">
        <is>
          <t>12.06</t>
        </is>
      </c>
      <c r="T6119" t="inlineStr">
        <is>
          <t>6223447031981</t>
        </is>
      </c>
    </row>
    <row r="6120" ht="87" customHeight="1">
      <c r="A6120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6120" s="2">
        <f>HYPERLINK("https://edmondsonsupply.com/products/klein-tools-rt310-afci-gfci-outlet-tester", "https://edmondsonsupply.com/products/klein-tools-rt310-afci-gfci-outlet-tester")</f>
        <v/>
      </c>
      <c r="C6120" t="inlineStr">
        <is>
          <t>Klein Tools RT310 AFCI / GFCI Outlet Tester</t>
        </is>
      </c>
      <c r="D6120" t="inlineStr">
        <is>
          <t>Klein Tools RT310 Outlet Tester, AFCI and GFCI Receptacle Tester for North American AC Electrical Outlets</t>
        </is>
      </c>
      <c r="E6120" s="2">
        <f>HYPERLINK("https://www.amazon.com/Klein-Tools-RT310-Electrical-Receptacles/dp/B07PMDRHXB/ref=sr_1_1?keywords=Klein+Tools+RT310+AFCI+%2F+GFCI+Outlet+Tester&amp;qid=1694734989&amp;sr=8-1", "https://www.amazon.com/Klein-Tools-RT310-Electrical-Receptacles/dp/B07PMDRHXB/ref=sr_1_1?keywords=Klein+Tools+RT310+AFCI+%2F+GFCI+Outlet+Tester&amp;qid=1694734989&amp;sr=8-1")</f>
        <v/>
      </c>
      <c r="F6120" t="inlineStr">
        <is>
          <t>B07PMDRHXB</t>
        </is>
      </c>
      <c r="G6120">
        <f>_xlfn.IMAGE("https://edmondsonsupply.com/cdn/shop/products/rt310.jpg?v=1587148552")</f>
        <v/>
      </c>
      <c r="H6120">
        <f>_xlfn.IMAGE("https://m.media-amazon.com/images/I/51C46-kDFFL._AC_UL320_.jpg")</f>
        <v/>
      </c>
      <c r="K6120" t="inlineStr">
        <is>
          <t>39.97</t>
        </is>
      </c>
      <c r="L6120" t="n">
        <v>39.97</v>
      </c>
      <c r="M6120" s="1" t="inlineStr">
        <is>
          <t>0.00%</t>
        </is>
      </c>
      <c r="N6120" s="7" t="n"/>
      <c r="O6120" t="n">
        <v>4.7</v>
      </c>
      <c r="P6120" t="n">
        <v>1603</v>
      </c>
      <c r="R6120" t="inlineStr">
        <is>
          <t>InStock</t>
        </is>
      </c>
      <c r="S6120" t="inlineStr">
        <is>
          <t>57.9</t>
        </is>
      </c>
      <c r="T6120" t="inlineStr">
        <is>
          <t>3372527779940</t>
        </is>
      </c>
    </row>
    <row r="6121" ht="87" customHeight="1">
      <c r="A6121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6121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6121" t="inlineStr">
        <is>
          <t>Klein Tools 69149P Test Kit with Multimeter, Non-Contact Volt Tester, Receptacle Tester</t>
        </is>
      </c>
      <c r="D6121" t="inlineStr">
        <is>
          <t>Klein Tools 69149P Electrical Test Kit with Digital Multimeter, Noncontact Voltage Tester and Electrical Outlet Tester, Leads and Batteries, Green,Red</t>
        </is>
      </c>
      <c r="E6121" s="2">
        <f>HYPERLINK("https://www.amazon.com/Klein-Tools-69149P-Multimeter-Noncontact/dp/B09C6MGD7J/ref=sr_1_1?keywords=Klein+Tools+69149P+Test+Kit+with+Multimeter%2C+Non-Contact+Volt+Tester%2C+Receptacle+Tester&amp;qid=1694735230&amp;sr=8-1", "https://www.amazon.com/Klein-Tools-69149P-Multimeter-Noncontact/dp/B09C6MGD7J/ref=sr_1_1?keywords=Klein+Tools+69149P+Test+Kit+with+Multimeter%2C+Non-Contact+Volt+Tester%2C+Receptacle+Tester&amp;qid=1694735230&amp;sr=8-1")</f>
        <v/>
      </c>
      <c r="F6121" t="inlineStr">
        <is>
          <t>B09C6MGD7J</t>
        </is>
      </c>
      <c r="G6121">
        <f>_xlfn.IMAGE("https://edmondsonsupply.com/cdn/shop/products/69149p.jpg?v=1664479017")</f>
        <v/>
      </c>
      <c r="H6121">
        <f>_xlfn.IMAGE("https://m.media-amazon.com/images/I/61+WhEXhVkL._AC_UL320_.jpg")</f>
        <v/>
      </c>
      <c r="K6121" t="inlineStr">
        <is>
          <t>39.97</t>
        </is>
      </c>
      <c r="L6121" t="n">
        <v>39.97</v>
      </c>
      <c r="M6121" s="1" t="inlineStr">
        <is>
          <t>0.00%</t>
        </is>
      </c>
      <c r="N6121" s="7" t="n"/>
      <c r="O6121" t="n">
        <v>4.7</v>
      </c>
      <c r="P6121" t="n">
        <v>1341</v>
      </c>
      <c r="R6121" t="inlineStr">
        <is>
          <t>InStock</t>
        </is>
      </c>
      <c r="S6121" t="inlineStr">
        <is>
          <t>63.9</t>
        </is>
      </c>
      <c r="T6121" t="inlineStr">
        <is>
          <t>6584860606637</t>
        </is>
      </c>
    </row>
    <row r="6122" ht="87" customHeight="1">
      <c r="A6122" s="2">
        <f>HYPERLINK("https://edmondsonsupply.com/collections/electricians-tools/products/klein-tools-56382-multi-groove-fiberglass-fish-tape-with-nylon-tip-50-foot", "https://edmondsonsupply.com/collections/electricians-tools/products/klein-tools-56382-multi-groove-fiberglass-fish-tape-with-nylon-tip-50-foot")</f>
        <v/>
      </c>
      <c r="B6122" s="2">
        <f>HYPERLINK("https://edmondsonsupply.com/products/klein-tools-56382-multi-groove-fiberglass-fish-tape-with-nylon-tip-50-foot", "https://edmondsonsupply.com/products/klein-tools-56382-multi-groove-fiberglass-fish-tape-with-nylon-tip-50-foot")</f>
        <v/>
      </c>
      <c r="C6122" t="inlineStr">
        <is>
          <t>Klein Tools 56382 Multi-Groove Fiberglass Fish Tape with Nylon Tip, 50-Foot</t>
        </is>
      </c>
      <c r="D6122" t="inlineStr">
        <is>
          <t>Klein Tools 56382 Non-Conductive Electrical Fish Tape, Multi-Groove Fiberglass Wire Puller, Optimized Housing and Handle, 50-Foot x 3/16-Inch</t>
        </is>
      </c>
      <c r="E6122" s="2">
        <f>HYPERLINK("https://www.amazon.com/Klein-Tools-56382-Multi-Groove-Fiberglass/dp/B081ZTKDLJ/ref=sr_1_1?keywords=Klein+Tools+56382+Multi-Groove+Fiberglass+Fish+Tape+with+Nylon+Tip%2C+50-Foot&amp;qid=1694735387&amp;sr=8-1", "https://www.amazon.com/Klein-Tools-56382-Multi-Groove-Fiberglass/dp/B081ZTKDLJ/ref=sr_1_1?keywords=Klein+Tools+56382+Multi-Groove+Fiberglass+Fish+Tape+with+Nylon+Tip%2C+50-Foot&amp;qid=1694735387&amp;sr=8-1")</f>
        <v/>
      </c>
      <c r="F6122" t="inlineStr">
        <is>
          <t>B081ZTKDLJ</t>
        </is>
      </c>
      <c r="G6122">
        <f>_xlfn.IMAGE("https://edmondsonsupply.com/cdn/shop/products/56382.jpg?v=1587145193")</f>
        <v/>
      </c>
      <c r="H6122">
        <f>_xlfn.IMAGE("https://m.media-amazon.com/images/I/51ObZVU2LaL._AC_UL320_.jpg")</f>
        <v/>
      </c>
      <c r="K6122" t="inlineStr">
        <is>
          <t>89.99</t>
        </is>
      </c>
      <c r="L6122" t="n">
        <v>89.98999999999999</v>
      </c>
      <c r="M6122" s="1" t="inlineStr">
        <is>
          <t>0.00%</t>
        </is>
      </c>
      <c r="N6122" s="7" t="n"/>
      <c r="O6122" t="n">
        <v>4.4</v>
      </c>
      <c r="P6122" t="n">
        <v>100</v>
      </c>
      <c r="R6122" t="inlineStr">
        <is>
          <t>InStock</t>
        </is>
      </c>
      <c r="S6122" t="inlineStr">
        <is>
          <t>131.4</t>
        </is>
      </c>
      <c r="T6122" t="inlineStr">
        <is>
          <t>4412577874020</t>
        </is>
      </c>
    </row>
    <row r="6123" ht="87" customHeight="1">
      <c r="A6123" s="2">
        <f>HYPERLINK("https://edmondsonsupply.com/collections/electricians-tools/products/klein-tools-vdv501-853-scout%C2%AE-pro-3-tester-with-test-map%E2%84%A2-remote-kit", "https://edmondsonsupply.com/collections/electricians-tools/products/klein-tools-vdv501-853-scout%C2%AE-pro-3-tester-with-test-map%E2%84%A2-remote-kit")</f>
        <v/>
      </c>
      <c r="B6123" s="2">
        <f>HYPERLINK("https://edmondsonsupply.com/products/klein-tools-vdv501-853-scout%c2%ae-pro-3-tester-with-test-map%e2%84%a2-remote-kit", "https://edmondsonsupply.com/products/klein-tools-vdv501-853-scout%c2%ae-pro-3-tester-with-test-map%e2%84%a2-remote-kit")</f>
        <v/>
      </c>
      <c r="C6123" t="inlineStr">
        <is>
          <t>Klein Tools VDV501-853 Scout® Pro 3 Tester with Test + Map™ Remote Kit</t>
        </is>
      </c>
      <c r="D6123" t="inlineStr">
        <is>
          <t>Klein Tools VDV501-853 Coaxial Cable Tester, Scout Pro 3 with Test-n-Map Remote, Includes Remotes #2 - #6, Tests Voice, Data and Video Cable</t>
        </is>
      </c>
      <c r="E6123" s="2">
        <f>HYPERLINK("https://www.amazon.com/Klein-Tools-VDV501-853-CoaxialCable-Test-n-Map/dp/B08BD9JFS4/ref=sr_1_1?keywords=Klein+Tools+VDV501-853+Scout%C2%AE+Pro+3+Tester+with+Test+%2B+Map%E2%84%A2+Remote+Kit&amp;qid=1694735254&amp;sr=8-1", "https://www.amazon.com/Klein-Tools-VDV501-853-CoaxialCable-Test-n-Map/dp/B08BD9JFS4/ref=sr_1_1?keywords=Klein+Tools+VDV501-853+Scout%C2%AE+Pro+3+Tester+with+Test+%2B+Map%E2%84%A2+Remote+Kit&amp;qid=1694735254&amp;sr=8-1")</f>
        <v/>
      </c>
      <c r="F6123" t="inlineStr">
        <is>
          <t>B08BD9JFS4</t>
        </is>
      </c>
      <c r="G6123">
        <f>_xlfn.IMAGE("https://edmondsonsupply.com/cdn/shop/products/vdv501853_b.jpg?v=1633030673")</f>
        <v/>
      </c>
      <c r="H6123">
        <f>_xlfn.IMAGE("https://m.media-amazon.com/images/I/61o+cBuUS1L._AC_UY218_.jpg")</f>
        <v/>
      </c>
      <c r="K6123" t="inlineStr">
        <is>
          <t>259.99</t>
        </is>
      </c>
      <c r="L6123" t="n">
        <v>259.99</v>
      </c>
      <c r="M6123" s="1" t="inlineStr">
        <is>
          <t>0.00%</t>
        </is>
      </c>
      <c r="N6123" s="7" t="n"/>
      <c r="O6123" t="n">
        <v>4.7</v>
      </c>
      <c r="P6123" t="n">
        <v>2175</v>
      </c>
      <c r="R6123" t="inlineStr">
        <is>
          <t>InStock</t>
        </is>
      </c>
      <c r="S6123" t="inlineStr">
        <is>
          <t>400.6</t>
        </is>
      </c>
      <c r="T6123" t="inlineStr">
        <is>
          <t>5799827800232</t>
        </is>
      </c>
    </row>
    <row r="6124" ht="87" customHeight="1">
      <c r="A6124" s="2">
        <f>HYPERLINK("https://edmondsonsupply.com/collections/electricians-tools/products/klein-tools-ti250-rechargeable-thermal-imager", "https://edmondsonsupply.com/collections/electricians-tools/products/klein-tools-ti250-rechargeable-thermal-imager")</f>
        <v/>
      </c>
      <c r="B6124" s="2">
        <f>HYPERLINK("https://edmondsonsupply.com/products/klein-tools-ti250-rechargeable-thermal-imager", "https://edmondsonsupply.com/products/klein-tools-ti250-rechargeable-thermal-imager")</f>
        <v/>
      </c>
      <c r="C6124" t="inlineStr">
        <is>
          <t>Klein Tools TI250 Rechargeable Thermal Imager</t>
        </is>
      </c>
      <c r="D6124" t="inlineStr">
        <is>
          <t>Klein Tools TI250 Rechargeable Thermal Imaging Camera, Camera Displays Over 10,000 Pixels with 3 Color Palettes, High / Low Temperature Points</t>
        </is>
      </c>
      <c r="E6124" s="2">
        <f>HYPERLINK("https://www.amazon.com/Klein-Tools-TI250-Rechargeable-Temperature/dp/B089QW8R9S/ref=sr_1_1?keywords=Klein+Tools+TI250+Rechargeable+Thermal+Imager&amp;qid=1694735236&amp;sr=8-1", "https://www.amazon.com/Klein-Tools-TI250-Rechargeable-Temperature/dp/B089QW8R9S/ref=sr_1_1?keywords=Klein+Tools+TI250+Rechargeable+Thermal+Imager&amp;qid=1694735236&amp;sr=8-1")</f>
        <v/>
      </c>
      <c r="F6124" t="inlineStr">
        <is>
          <t>B089QW8R9S</t>
        </is>
      </c>
      <c r="G6124">
        <f>_xlfn.IMAGE("https://edmondsonsupply.com/cdn/shop/products/ti250_b.jpg?v=1633030829")</f>
        <v/>
      </c>
      <c r="H6124">
        <f>_xlfn.IMAGE("https://m.media-amazon.com/images/I/61p-y0mTosL._AC_UY218_.jpg")</f>
        <v/>
      </c>
      <c r="K6124" t="inlineStr">
        <is>
          <t>299.99</t>
        </is>
      </c>
      <c r="L6124" t="n">
        <v>299.99</v>
      </c>
      <c r="M6124" s="1" t="inlineStr">
        <is>
          <t>0.00%</t>
        </is>
      </c>
      <c r="N6124" s="7" t="n"/>
      <c r="O6124" t="n">
        <v>4.5</v>
      </c>
      <c r="P6124" t="n">
        <v>775</v>
      </c>
      <c r="R6124" t="inlineStr">
        <is>
          <t>InStock</t>
        </is>
      </c>
      <c r="S6124" t="inlineStr">
        <is>
          <t>478.0</t>
        </is>
      </c>
      <c r="T6124" t="inlineStr">
        <is>
          <t>6082170552493</t>
        </is>
      </c>
    </row>
    <row r="6125" ht="87" customHeight="1">
      <c r="A6125" s="2">
        <f>HYPERLINK("https://edmondsonsupply.com/collections/electricians-tools/products/klein-tools-d2000-49-diagonal-cutting-pliers-angled-head-9-inch", "https://edmondsonsupply.com/collections/electricians-tools/products/klein-tools-d2000-49-diagonal-cutting-pliers-angled-head-9-inch")</f>
        <v/>
      </c>
      <c r="B6125" s="2">
        <f>HYPERLINK("https://edmondsonsupply.com/products/klein-tools-d2000-49-diagonal-cutting-pliers-angled-head-9-inch", "https://edmondsonsupply.com/products/klein-tools-d2000-49-diagonal-cutting-pliers-angled-head-9-inch")</f>
        <v/>
      </c>
      <c r="C6125" t="inlineStr">
        <is>
          <t>Klein Tools D2000-49 Diagonal Cutting Pliers, Angled Head, 9-Inch</t>
        </is>
      </c>
      <c r="D6125" t="inlineStr">
        <is>
          <t>Klein Tools D2000-49 Pliers, Diagonal Cutting Pliers with Heavy-Duty Cutting Knives, Short Jaws and Dual Material Grips, 9-Inch</t>
        </is>
      </c>
      <c r="E6125" s="2">
        <f>HYPERLINK("https://www.amazon.com/Klein-Tools-D2000-49-Pliers-Diagonal-Cutters/dp/B01KKCNNWY/ref=sr_1_1?keywords=Klein+Tools+D2000-49+Diagonal+Cutting+Pliers%2C+Angled+Head%2C+9-Inch&amp;qid=1694735245&amp;sr=8-1", "https://www.amazon.com/Klein-Tools-D2000-49-Pliers-Diagonal-Cutters/dp/B01KKCNNWY/ref=sr_1_1?keywords=Klein+Tools+D2000-49+Diagonal+Cutting+Pliers%2C+Angled+Head%2C+9-Inch&amp;qid=1694735245&amp;sr=8-1")</f>
        <v/>
      </c>
      <c r="F6125" t="inlineStr">
        <is>
          <t>B01KKCNNWY</t>
        </is>
      </c>
      <c r="G6125">
        <f>_xlfn.IMAGE("https://edmondsonsupply.com/cdn/shop/products/d2000-49.jpg?v=1633030811")</f>
        <v/>
      </c>
      <c r="H6125">
        <f>_xlfn.IMAGE("https://m.media-amazon.com/images/I/41YARuDNT4L._AC_UL320_.jpg")</f>
        <v/>
      </c>
      <c r="K6125" t="inlineStr">
        <is>
          <t>38.99</t>
        </is>
      </c>
      <c r="L6125" t="n">
        <v>38.99</v>
      </c>
      <c r="M6125" s="1" t="inlineStr">
        <is>
          <t>0.00%</t>
        </is>
      </c>
      <c r="N6125" s="7" t="n"/>
      <c r="O6125" t="n">
        <v>4.7</v>
      </c>
      <c r="P6125" t="n">
        <v>415</v>
      </c>
      <c r="R6125" t="inlineStr">
        <is>
          <t>InStock</t>
        </is>
      </c>
      <c r="S6125" t="inlineStr">
        <is>
          <t>59.06</t>
        </is>
      </c>
      <c r="T6125" t="inlineStr">
        <is>
          <t>6025094987944</t>
        </is>
      </c>
    </row>
    <row r="6126" hidden="1" ht="15.75" customHeight="1">
      <c r="A6126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6126" s="2">
        <f>HYPERLINK("https://edmondsonsupply.com/products/klein-tools-31932-bi-metal-hole-saw-2-inch", "https://edmondsonsupply.com/products/klein-tools-31932-bi-metal-hole-saw-2-inch")</f>
        <v/>
      </c>
      <c r="C6126" t="inlineStr">
        <is>
          <t>Klein Tools 31932 Bi-Metal Hole Saw, 2-Inch</t>
        </is>
      </c>
      <c r="D6126" t="inlineStr">
        <is>
          <t>Klein Tools 31932 Bi-Metal Hole Saw, 2-Inch with Easy Slug Removal</t>
        </is>
      </c>
      <c r="E6126" s="2">
        <f>HYPERLINK("https://www.amazon.com/Bi-Metal-2-Inch-Klein-Tools-31932/dp/B019874WBS/ref=sr_1_1?keywords=Klein+Tools+31932+Bi-Metal+Hole+Saw%2C+2-Inch&amp;qid=1694735227&amp;sr=8-1", "https://www.amazon.com/Bi-Metal-2-Inch-Klein-Tools-31932/dp/B019874WBS/ref=sr_1_1?keywords=Klein+Tools+31932+Bi-Metal+Hole+Saw%2C+2-Inch&amp;qid=1694735227&amp;sr=8-1")</f>
        <v/>
      </c>
      <c r="F6126" t="inlineStr">
        <is>
          <t>B019874WBS</t>
        </is>
      </c>
      <c r="G6126">
        <f>_xludf.IMAGE("https://edmondsonsupply.com/cdn/shop/products/31932.jpg?v=1633030939")</f>
        <v/>
      </c>
      <c r="H6126">
        <f>_xludf.IMAGE("https://m.media-amazon.com/images/I/514gOtu-YJL._AC_UL320_.jpg")</f>
        <v/>
      </c>
      <c r="K6126" t="inlineStr">
        <is>
          <t>10.99</t>
        </is>
      </c>
      <c r="L6126" t="n">
        <v>10.99</v>
      </c>
      <c r="M6126" s="1" t="inlineStr">
        <is>
          <t>0.00%</t>
        </is>
      </c>
      <c r="N6126" s="1" t="n"/>
      <c r="O6126" t="n">
        <v>4.6</v>
      </c>
      <c r="P6126" t="n">
        <v>406</v>
      </c>
      <c r="R6126" t="inlineStr">
        <is>
          <t>InStock</t>
        </is>
      </c>
      <c r="S6126" t="inlineStr">
        <is>
          <t>15.42</t>
        </is>
      </c>
      <c r="T6126" t="inlineStr">
        <is>
          <t>6572814434477</t>
        </is>
      </c>
    </row>
    <row r="6127" ht="87" customHeight="1">
      <c r="A6127" s="2">
        <f>HYPERLINK("https://edmondsonsupply.com/collections/electricians-tools/products/klein-tools-22002-large-broad-blade-utility-shear", "https://edmondsonsupply.com/collections/electricians-tools/products/klein-tools-22002-large-broad-blade-utility-shear")</f>
        <v/>
      </c>
      <c r="B6127" s="2">
        <f>HYPERLINK("https://edmondsonsupply.com/products/klein-tools-22002-large-broad-blade-utility-shear", "https://edmondsonsupply.com/products/klein-tools-22002-large-broad-blade-utility-shear")</f>
        <v/>
      </c>
      <c r="C6127" t="inlineStr">
        <is>
          <t>Klein Tools 22002 Large Broad Blade Utility Shear</t>
        </is>
      </c>
      <c r="D6127" t="inlineStr">
        <is>
          <t>Klein Tools 22002 Scissors, Broad Blade Utility Shear Cuts Anything from Rubber to Metal, with Extended Handled, Serrated Blade, 8.5-Inch</t>
        </is>
      </c>
      <c r="E6127" s="2">
        <f>HYPERLINK("https://www.amazon.com/Klein-Tools-22002-Scissors-Anything/dp/B001UBYWJS/ref=sr_1_1?keywords=Klein+Tools+22002+Large+Broad+Blade+Utility+Shear&amp;qid=1694735237&amp;sr=8-1", "https://www.amazon.com/Klein-Tools-22002-Scissors-Anything/dp/B001UBYWJS/ref=sr_1_1?keywords=Klein+Tools+22002+Large+Broad+Blade+Utility+Shear&amp;qid=1694735237&amp;sr=8-1")</f>
        <v/>
      </c>
      <c r="F6127" t="inlineStr">
        <is>
          <t>B001UBYWJS</t>
        </is>
      </c>
      <c r="G6127">
        <f>_xlfn.IMAGE("https://edmondsonsupply.com/cdn/shop/products/22002.jpg?v=1633030813")</f>
        <v/>
      </c>
      <c r="H6127">
        <f>_xlfn.IMAGE("https://m.media-amazon.com/images/I/51d6CIMZeML._AC_UL320_.jpg")</f>
        <v/>
      </c>
      <c r="K6127" t="inlineStr">
        <is>
          <t>35.99</t>
        </is>
      </c>
      <c r="L6127" t="n">
        <v>35.99</v>
      </c>
      <c r="M6127" s="1" t="inlineStr">
        <is>
          <t>0.00%</t>
        </is>
      </c>
      <c r="N6127" s="7" t="n"/>
      <c r="O6127" t="n">
        <v>4.7</v>
      </c>
      <c r="P6127" t="n">
        <v>73</v>
      </c>
      <c r="R6127" t="inlineStr">
        <is>
          <t>InStock</t>
        </is>
      </c>
      <c r="S6127" t="inlineStr">
        <is>
          <t>54.54</t>
        </is>
      </c>
      <c r="T6127" t="inlineStr">
        <is>
          <t>6064844701869</t>
        </is>
      </c>
    </row>
    <row r="6128" ht="87" customHeight="1">
      <c r="A6128" s="2">
        <f>HYPERLINK("https://edmondsonsupply.com/collections/electricians-tools/products/rack-a-tiers-19455-thomas-wheeler-wire-coil-dispenser", "https://edmondsonsupply.com/collections/electricians-tools/products/rack-a-tiers-19455-thomas-wheeler-wire-coil-dispenser")</f>
        <v/>
      </c>
      <c r="B6128" s="2">
        <f>HYPERLINK("https://edmondsonsupply.com/products/rack-a-tiers-19455-thomas-wheeler-wire-coil-dispenser", "https://edmondsonsupply.com/products/rack-a-tiers-19455-thomas-wheeler-wire-coil-dispenser")</f>
        <v/>
      </c>
      <c r="C6128" t="inlineStr">
        <is>
          <t>Rack-A-Tiers 19455 Thomas Wheeler Wire Coil Dispenser</t>
        </is>
      </c>
      <c r="D6128" t="inlineStr">
        <is>
          <t>Rack-A-Tiers Thomas Wheeler Hanging Wire Dispenser (19455)</t>
        </is>
      </c>
      <c r="E6128" s="2">
        <f>HYPERLINK("https://www.amazon.com/Rack-A-Tiers-19455-Wire-Dispenser/dp/B0087TBQFE/ref=sr_1_1?keywords=Rack-A-Tiers+19455+Thomas+Wheeler+Wire+Coil+Dispenser&amp;qid=1694734983&amp;sr=8-1", "https://www.amazon.com/Rack-A-Tiers-19455-Wire-Dispenser/dp/B0087TBQFE/ref=sr_1_1?keywords=Rack-A-Tiers+19455+Thomas+Wheeler+Wire+Coil+Dispenser&amp;qid=1694734983&amp;sr=8-1")</f>
        <v/>
      </c>
      <c r="F6128" t="inlineStr">
        <is>
          <t>B0087TBQFE</t>
        </is>
      </c>
      <c r="G6128">
        <f>_xlfn.IMAGE("https://edmondsonsupply.com/cdn/shop/products/19455.jpg?v=1587146044")</f>
        <v/>
      </c>
      <c r="H6128">
        <f>_xlfn.IMAGE("https://m.media-amazon.com/images/I/51MOh71KHsL._AC_UY218_.jpg")</f>
        <v/>
      </c>
      <c r="K6128" t="inlineStr">
        <is>
          <t>75.69</t>
        </is>
      </c>
      <c r="L6128" t="n">
        <v>75.69</v>
      </c>
      <c r="M6128" s="1" t="inlineStr">
        <is>
          <t>0.00%</t>
        </is>
      </c>
      <c r="N6128" s="7" t="n"/>
      <c r="O6128" t="n">
        <v>4.1</v>
      </c>
      <c r="P6128" t="n">
        <v>67</v>
      </c>
      <c r="R6128" t="inlineStr">
        <is>
          <t>InStock</t>
        </is>
      </c>
      <c r="S6128" t="inlineStr">
        <is>
          <t>81.49</t>
        </is>
      </c>
      <c r="T6128" t="inlineStr">
        <is>
          <t>3573350695012</t>
        </is>
      </c>
    </row>
    <row r="6129" ht="87" customHeight="1">
      <c r="A6129" s="2">
        <f>HYPERLINK("https://edmondsonsupply.com/collections/electricians-tools/products/klein-tools-5416tcp-tool-bag-extra-tall-top-closing-bolt-bag-5-x-12-x-9-inch", "https://edmondsonsupply.com/collections/electricians-tools/products/klein-tools-5416tcp-tool-bag-extra-tall-top-closing-bolt-bag-5-x-12-x-9-inch")</f>
        <v/>
      </c>
      <c r="B6129" s="2">
        <f>HYPERLINK("https://edmondsonsupply.com/products/klein-tools-5416tcp-tool-bag-extra-tall-top-closing-bolt-bag-5-x-12-x-9-inch", "https://edmondsonsupply.com/products/klein-tools-5416tcp-tool-bag-extra-tall-top-closing-bolt-bag-5-x-12-x-9-inch")</f>
        <v/>
      </c>
      <c r="C6129" t="inlineStr">
        <is>
          <t>Klein Tools 5416TCP Tool Bag, Extra Tall Top Closing Bolt Bag, 5 x 12 x 9-Inch</t>
        </is>
      </c>
      <c r="D6129" t="inlineStr">
        <is>
          <t>Klein Tools 5416TCP Tool Bag, Extra Tall Top Closing Bolt Bag with 3-Inch Drawstring, Heavy-Duty No. 4 Canvas, 5 x 12 x 9-Inch</t>
        </is>
      </c>
      <c r="E6129" s="2">
        <f>HYPERLINK("https://www.amazon.com/Extra-Closing-Klein-Tools-5416TCP/dp/B008IRAM1O/ref=sr_1_1?keywords=Klein+Tools+5416TCP+Tool+Bag%2C+Extra+Tall+Top+Closing+Bolt+Bag%2C+5+x+12+x+9-Inch&amp;qid=1694734981&amp;sr=8-1", "https://www.amazon.com/Extra-Closing-Klein-Tools-5416TCP/dp/B008IRAM1O/ref=sr_1_1?keywords=Klein+Tools+5416TCP+Tool+Bag%2C+Extra+Tall+Top+Closing+Bolt+Bag%2C+5+x+12+x+9-Inch&amp;qid=1694734981&amp;sr=8-1")</f>
        <v/>
      </c>
      <c r="F6129" t="inlineStr">
        <is>
          <t>B008IRAM1O</t>
        </is>
      </c>
      <c r="G6129">
        <f>_xlfn.IMAGE("https://edmondsonsupply.com/cdn/shop/products/5416tcp.jpg?v=1633031024")</f>
        <v/>
      </c>
      <c r="H6129">
        <f>_xlfn.IMAGE("https://m.media-amazon.com/images/I/61zwtJ6VufL._AC_UL320_.jpg")</f>
        <v/>
      </c>
      <c r="K6129" t="inlineStr">
        <is>
          <t>26.22</t>
        </is>
      </c>
      <c r="L6129" t="n">
        <v>26.22</v>
      </c>
      <c r="M6129" s="1" t="inlineStr">
        <is>
          <t>0.00%</t>
        </is>
      </c>
      <c r="N6129" s="7" t="n"/>
      <c r="O6129" t="n">
        <v>4.7</v>
      </c>
      <c r="P6129" t="n">
        <v>324</v>
      </c>
      <c r="R6129" t="inlineStr">
        <is>
          <t>InStock</t>
        </is>
      </c>
      <c r="S6129" t="inlineStr">
        <is>
          <t>45.62</t>
        </is>
      </c>
      <c r="T6129" t="inlineStr">
        <is>
          <t>6715952791725</t>
        </is>
      </c>
    </row>
    <row r="6130" hidden="1" ht="15.75" customHeight="1">
      <c r="A6130" s="2">
        <f>HYPERLINK("https://edmondsonsupply.com/collections/electricians-tools/products/klein-tools-et45-ac-dc-voltage-tester", "https://edmondsonsupply.com/collections/electricians-tools/products/klein-tools-et45-ac-dc-voltage-tester")</f>
        <v/>
      </c>
      <c r="B6130" s="2">
        <f>HYPERLINK("https://edmondsonsupply.com/products/klein-tools-et45-ac-dc-voltage-tester", "https://edmondsonsupply.com/products/klein-tools-et45-ac-dc-voltage-tester")</f>
        <v/>
      </c>
      <c r="C6130" t="inlineStr">
        <is>
          <t>Klein Tools ET45 AC/DC Voltage Tester</t>
        </is>
      </c>
      <c r="D6130" t="inlineStr">
        <is>
          <t>Klein Tools ET45 Voltage Tester, AC Voltage, DC Voltage, Low Voltage Electric Tester, No Batteries Needed</t>
        </is>
      </c>
      <c r="E6130" s="2">
        <f>HYPERLINK("https://www.amazon.com/Klein-Tools-ET45-Voltage-Batteries/dp/B07NZS6DGS/ref=sr_1_1?keywords=Klein+Tools+ET45+AC%2FDC+Voltage+Tester&amp;qid=1694735227&amp;sr=8-1", "https://www.amazon.com/Klein-Tools-ET45-Voltage-Batteries/dp/B07NZS6DGS/ref=sr_1_1?keywords=Klein+Tools+ET45+AC%2FDC+Voltage+Tester&amp;qid=1694735227&amp;sr=8-1")</f>
        <v/>
      </c>
      <c r="F6130" t="inlineStr">
        <is>
          <t>B07NZS6DGS</t>
        </is>
      </c>
      <c r="G6130">
        <f>_xludf.IMAGE("https://edmondsonsupply.com/cdn/shop/products/et45.jpg?v=1647786270")</f>
        <v/>
      </c>
      <c r="H6130">
        <f>_xludf.IMAGE("https://m.media-amazon.com/images/I/41msIkks06L._AC_UL320_.jpg")</f>
        <v/>
      </c>
      <c r="K6130" t="inlineStr">
        <is>
          <t>11.99</t>
        </is>
      </c>
      <c r="L6130" t="n">
        <v>11.99</v>
      </c>
      <c r="M6130" s="1" t="inlineStr">
        <is>
          <t>0.00%</t>
        </is>
      </c>
      <c r="N6130" s="1" t="n"/>
      <c r="O6130" t="n">
        <v>4.5</v>
      </c>
      <c r="P6130" t="n">
        <v>1281</v>
      </c>
      <c r="R6130" t="inlineStr">
        <is>
          <t>InStock</t>
        </is>
      </c>
      <c r="S6130" t="inlineStr">
        <is>
          <t>16.72</t>
        </is>
      </c>
      <c r="T6130" t="inlineStr">
        <is>
          <t>3688633630820</t>
        </is>
      </c>
    </row>
    <row r="6131" hidden="1" ht="15.75" customHeight="1">
      <c r="A6131" s="2">
        <f>HYPERLINK("https://edmondsonsupply.com/collections/electricians-tools/products/rack-a-tiers-42675-3-3-8-round-multi-tool-hole-saw", "https://edmondsonsupply.com/collections/electricians-tools/products/rack-a-tiers-42675-3-3-8-round-multi-tool-hole-saw")</f>
        <v/>
      </c>
      <c r="B6131" s="2">
        <f>HYPERLINK("https://edmondsonsupply.com/products/rack-a-tiers-42675-3-3-8-round-multi-tool-hole-saw", "https://edmondsonsupply.com/products/rack-a-tiers-42675-3-3-8-round-multi-tool-hole-saw")</f>
        <v/>
      </c>
      <c r="C6131" t="inlineStr">
        <is>
          <t>Rack-A-Tiers 42675 3 3/8" Round Multi-Tool Hole Saw</t>
        </is>
      </c>
      <c r="D6131" t="inlineStr">
        <is>
          <t>Rack-A-Tiers Round Multi-Tool Hole Saw 3 3/8" Cutting recessed Lights with oscillating Multi-Tool, Round Holes in Drywall (42675)</t>
        </is>
      </c>
      <c r="E6131" s="2">
        <f>HYPERLINK("https://www.amazon.com/Rack-Tiers-Multi-Tool-recessed-oscillating/dp/B0BQPCGLL8/ref=sr_1_1?keywords=Rack-A-Tiers+42675+3+3%2F8%22+Round+Multi-Tool+Hole+Saw&amp;qid=1694734981&amp;sr=8-1", "https://www.amazon.com/Rack-Tiers-Multi-Tool-recessed-oscillating/dp/B0BQPCGLL8/ref=sr_1_1?keywords=Rack-A-Tiers+42675+3+3%2F8%22+Round+Multi-Tool+Hole+Saw&amp;qid=1694734981&amp;sr=8-1")</f>
        <v/>
      </c>
      <c r="F6131" t="inlineStr">
        <is>
          <t>B0BQPCGLL8</t>
        </is>
      </c>
      <c r="G6131">
        <f>_xludf.IMAGE("https://edmondsonsupply.com/cdn/shop/products/IMG_4900.webp?v=1677013846")</f>
        <v/>
      </c>
      <c r="H6131">
        <f>_xludf.IMAGE("https://m.media-amazon.com/images/I/51knAuGPAUL._AC_UL320_.jpg")</f>
        <v/>
      </c>
      <c r="K6131" t="inlineStr">
        <is>
          <t>27.99</t>
        </is>
      </c>
      <c r="L6131" t="n">
        <v>27.99</v>
      </c>
      <c r="M6131" s="1" t="inlineStr">
        <is>
          <t>0.00%</t>
        </is>
      </c>
      <c r="N6131" s="1" t="n"/>
      <c r="O6131" t="n">
        <v>3.5</v>
      </c>
      <c r="P6131" t="n">
        <v>10</v>
      </c>
      <c r="R6131" t="inlineStr">
        <is>
          <t>InStock</t>
        </is>
      </c>
      <c r="S6131" t="inlineStr">
        <is>
          <t>undefined</t>
        </is>
      </c>
      <c r="T6131" t="inlineStr">
        <is>
          <t>7949307379928</t>
        </is>
      </c>
    </row>
    <row r="6132" ht="87" customHeight="1">
      <c r="A6132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6132" s="2">
        <f>HYPERLINK("https://edmondsonsupply.com/products/klein-tools-635-9-16-9-16-heavy-duty-nut-driver-magnetic", "https://edmondsonsupply.com/products/klein-tools-635-9-16-9-16-heavy-duty-nut-driver-magnetic")</f>
        <v/>
      </c>
      <c r="C6132" t="inlineStr">
        <is>
          <t>Klein Tools 635-9/16 9/16-Inch Heavy-Duty Nut Driver</t>
        </is>
      </c>
      <c r="D6132" t="inlineStr">
        <is>
          <t>Klein Tools 635-9/16 9/16-Inch Heavy-Duty Nut Driver</t>
        </is>
      </c>
      <c r="E6132" s="2">
        <f>HYPERLINK("https://www.amazon.com/16-Inch-Heavy-Duty-Driver-Klein-Tools/dp/B01D6C7R4U/ref=sr_1_1?keywords=Klein+Tools+635-9%2F16+9%2F16-Inch+Heavy-Duty+Nut+Driver&amp;qid=1694735388&amp;sr=8-1", "https://www.amazon.com/16-Inch-Heavy-Duty-Driver-Klein-Tools/dp/B01D6C7R4U/ref=sr_1_1?keywords=Klein+Tools+635-9%2F16+9%2F16-Inch+Heavy-Duty+Nut+Driver&amp;qid=1694735388&amp;sr=8-1")</f>
        <v/>
      </c>
      <c r="F6132" t="inlineStr">
        <is>
          <t>B01D6C7R4U</t>
        </is>
      </c>
      <c r="G6132">
        <f>_xlfn.IMAGE("https://edmondsonsupply.com/cdn/shop/products/635-9-16.jpg?v=1587145126")</f>
        <v/>
      </c>
      <c r="H6132">
        <f>_xlfn.IMAGE("https://m.media-amazon.com/images/I/41jnUJ75-WL._AC_UL320_.jpg")</f>
        <v/>
      </c>
      <c r="K6132" t="inlineStr">
        <is>
          <t>15.99</t>
        </is>
      </c>
      <c r="L6132" t="n">
        <v>15.99</v>
      </c>
      <c r="M6132" s="1" t="inlineStr">
        <is>
          <t>0.00%</t>
        </is>
      </c>
      <c r="N6132" s="7" t="n"/>
      <c r="O6132" t="n">
        <v>4.7</v>
      </c>
      <c r="P6132" t="n">
        <v>999</v>
      </c>
      <c r="R6132" t="inlineStr">
        <is>
          <t>InStock</t>
        </is>
      </c>
      <c r="S6132" t="inlineStr">
        <is>
          <t>24.22</t>
        </is>
      </c>
      <c r="T6132" t="inlineStr">
        <is>
          <t>2766897741924</t>
        </is>
      </c>
    </row>
    <row r="6133" hidden="1" ht="15.75" customHeight="1">
      <c r="A6133" s="2">
        <f>HYPERLINK("https://edmondsonsupply.com/collections/electricians-tools/products/klein-tools-70580-folding-hex-key-set-six-key-metric-sizes", "https://edmondsonsupply.com/collections/electricians-tools/products/klein-tools-70580-folding-hex-key-set-six-key-metric-sizes")</f>
        <v/>
      </c>
      <c r="B6133" s="2">
        <f>HYPERLINK("https://edmondsonsupply.com/products/klein-tools-70580-folding-hex-key-set-six-key-metric-sizes", "https://edmondsonsupply.com/products/klein-tools-70580-folding-hex-key-set-six-key-metric-sizes")</f>
        <v/>
      </c>
      <c r="C6133" t="inlineStr">
        <is>
          <t>Klein Tools 70580 Folding Hex Key Set, 6-Key, Metric Sizes</t>
        </is>
      </c>
      <c r="D6133" t="inlineStr">
        <is>
          <t>Klein Tools 70580 Folding Hex Key Set, 6-Key, Metric Sizes</t>
        </is>
      </c>
      <c r="E6133" s="2">
        <f>HYPERLINK("https://www.amazon.com/Folding-Six-Key-Metric-Klein-Tools/dp/B0002RI8Q4/ref=sr_1_1?keywords=Klein+Tools+70580+Folding+Hex+Key+Set%2C+6-Key%2C+Metric+Sizes&amp;qid=1694735390&amp;sr=8-1", "https://www.amazon.com/Folding-Six-Key-Metric-Klein-Tools/dp/B0002RI8Q4/ref=sr_1_1?keywords=Klein+Tools+70580+Folding+Hex+Key+Set%2C+6-Key%2C+Metric+Sizes&amp;qid=1694735390&amp;sr=8-1")</f>
        <v/>
      </c>
      <c r="F6133" t="inlineStr">
        <is>
          <t>B0002RI8Q4</t>
        </is>
      </c>
      <c r="G6133">
        <f>_xludf.IMAGE("https://edmondsonsupply.com/cdn/shop/products/70580.jpg?v=1587148596")</f>
        <v/>
      </c>
      <c r="H6133">
        <f>_xludf.IMAGE("https://m.media-amazon.com/images/I/51fbqtWEXCL._AC_UL320_.jpg")</f>
        <v/>
      </c>
      <c r="K6133" t="inlineStr">
        <is>
          <t>12.99</t>
        </is>
      </c>
      <c r="L6133" t="n">
        <v>12.99</v>
      </c>
      <c r="M6133" s="1" t="inlineStr">
        <is>
          <t>0.00%</t>
        </is>
      </c>
      <c r="N6133" s="1" t="n"/>
      <c r="O6133" t="n">
        <v>4.7</v>
      </c>
      <c r="P6133" t="n">
        <v>3166</v>
      </c>
      <c r="R6133" t="inlineStr">
        <is>
          <t>InStock</t>
        </is>
      </c>
      <c r="S6133" t="inlineStr">
        <is>
          <t>18.32</t>
        </is>
      </c>
      <c r="T6133" t="inlineStr">
        <is>
          <t>4410310328420</t>
        </is>
      </c>
    </row>
    <row r="6134" ht="87" customHeight="1">
      <c r="A6134" s="2">
        <f>HYPERLINK("https://edmondsonsupply.com/collections/electricians-tools/products/klein-tools-32378-screwdriver-set-combination-tip-2-piece", "https://edmondsonsupply.com/collections/electricians-tools/products/klein-tools-32378-screwdriver-set-combination-tip-2-piece")</f>
        <v/>
      </c>
      <c r="B6134" s="2">
        <f>HYPERLINK("https://edmondsonsupply.com/products/klein-tools-32378-screwdriver-set-combination-tip-2-piece", "https://edmondsonsupply.com/products/klein-tools-32378-screwdriver-set-combination-tip-2-piece")</f>
        <v/>
      </c>
      <c r="C6134" t="inlineStr">
        <is>
          <t>Klein Tools 32378 Screwdriver Set, Combination Tip, 2-Piece</t>
        </is>
      </c>
      <c r="D6134" t="inlineStr">
        <is>
          <t>Klein Tools 32378 Combination Tip Screwdriver Set with #1 and #2 Combination Tips and Cushion-Grip Handles, 2-Piece</t>
        </is>
      </c>
      <c r="E6134" s="2">
        <f>HYPERLINK("https://www.amazon.com/Combo-Driver-4-Inch-Klein-Tools/dp/B00OJQWWFC/ref=sr_1_1?keywords=Klein+Tools+32378+Screwdriver+Set%2C+Combination+Tip%2C+2-Piece&amp;qid=1694735385&amp;sr=8-1", "https://www.amazon.com/Combo-Driver-4-Inch-Klein-Tools/dp/B00OJQWWFC/ref=sr_1_1?keywords=Klein+Tools+32378+Screwdriver+Set%2C+Combination+Tip%2C+2-Piece&amp;qid=1694735385&amp;sr=8-1")</f>
        <v/>
      </c>
      <c r="F6134" t="inlineStr">
        <is>
          <t>B00OJQWWFC</t>
        </is>
      </c>
      <c r="G6134">
        <f>_xlfn.IMAGE("https://edmondsonsupply.com/cdn/shop/products/32378.jpg?v=1587143674")</f>
        <v/>
      </c>
      <c r="H6134">
        <f>_xlfn.IMAGE("https://m.media-amazon.com/images/I/51FGokJG+uL._AC_UL320_.jpg")</f>
        <v/>
      </c>
      <c r="K6134" t="inlineStr">
        <is>
          <t>18.99</t>
        </is>
      </c>
      <c r="L6134" t="n">
        <v>18.99</v>
      </c>
      <c r="M6134" s="1" t="inlineStr">
        <is>
          <t>0.00%</t>
        </is>
      </c>
      <c r="N6134" s="7" t="n"/>
      <c r="O6134" t="n">
        <v>4.6</v>
      </c>
      <c r="P6134" t="n">
        <v>1377</v>
      </c>
      <c r="R6134" t="inlineStr">
        <is>
          <t>InStock</t>
        </is>
      </c>
      <c r="S6134" t="inlineStr">
        <is>
          <t>30.24</t>
        </is>
      </c>
      <c r="T6134" t="inlineStr">
        <is>
          <t>4427263803492</t>
        </is>
      </c>
    </row>
    <row r="6135" ht="87" customHeight="1">
      <c r="A6135" s="2">
        <f>HYPERLINK("https://edmondsonsupply.com/collections/electricians-tools/products/klein-tools-k1412-klein-kurve%C2%AE-dual-nm-cable-stripper-cutter", "https://edmondsonsupply.com/collections/electricians-tools/products/klein-tools-k1412-klein-kurve%C2%AE-dual-nm-cable-stripper-cutter")</f>
        <v/>
      </c>
      <c r="B6135" s="2">
        <f>HYPERLINK("https://edmondsonsupply.com/products/klein-tools-k1412-klein-kurve%c2%ae-dual-nm-cable-stripper-cutter", "https://edmondsonsupply.com/products/klein-tools-k1412-klein-kurve%c2%ae-dual-nm-cable-stripper-cutter")</f>
        <v/>
      </c>
      <c r="C6135" t="inlineStr">
        <is>
          <t>Klein Tools K1412 Klein-Kurve® Dual NM Cable Stripper/Cutter</t>
        </is>
      </c>
      <c r="D6135" t="inlineStr">
        <is>
          <t>Klein Tools K1412 Wire Cutter / Wire Stripper, Dual NM Cable Stripper / Cutter Cuts Solid Copper Wire, Strips 12 and 14 AWG Solid Wire,Yellow/White</t>
        </is>
      </c>
      <c r="E6135" s="2">
        <f>HYPERLINK("https://www.amazon.com/Cutter-Stripper-Klein-Tools-K1412/dp/B000F9HIEC/ref=sr_1_1?keywords=Klein+Tools+K1412+Klein-Kurve%C2%AE+Dual+NM+Cable+Stripper%2FCutter&amp;qid=1694735226&amp;sr=8-1", "https://www.amazon.com/Cutter-Stripper-Klein-Tools-K1412/dp/B000F9HIEC/ref=sr_1_1?keywords=Klein+Tools+K1412+Klein-Kurve%C2%AE+Dual+NM+Cable+Stripper%2FCutter&amp;qid=1694735226&amp;sr=8-1")</f>
        <v/>
      </c>
      <c r="F6135" t="inlineStr">
        <is>
          <t>B000F9HIEC</t>
        </is>
      </c>
      <c r="G6135">
        <f>_xlfn.IMAGE("https://edmondsonsupply.com/cdn/shop/products/k1412_b.jpg?v=1646350543")</f>
        <v/>
      </c>
      <c r="H6135">
        <f>_xlfn.IMAGE("https://m.media-amazon.com/images/I/41sdPMsHXcL._AC_UL320_.jpg")</f>
        <v/>
      </c>
      <c r="K6135" t="inlineStr">
        <is>
          <t>29.97</t>
        </is>
      </c>
      <c r="L6135" t="n">
        <v>29.97</v>
      </c>
      <c r="M6135" s="1" t="inlineStr">
        <is>
          <t>0.00%</t>
        </is>
      </c>
      <c r="N6135" s="7" t="n"/>
      <c r="O6135" t="n">
        <v>4.8</v>
      </c>
      <c r="P6135" t="n">
        <v>1847</v>
      </c>
      <c r="R6135" t="inlineStr">
        <is>
          <t>InStock</t>
        </is>
      </c>
      <c r="S6135" t="inlineStr">
        <is>
          <t>42.1</t>
        </is>
      </c>
      <c r="T6135" t="inlineStr">
        <is>
          <t>6562532130989</t>
        </is>
      </c>
    </row>
    <row r="6136" ht="87" customHeight="1">
      <c r="A6136" s="2">
        <f>HYPERLINK("https://edmondsonsupply.com/collections/electricians-tools/products/rack-a-tiers-40001-apprentice-wire-vortex-wire-pulling-guide", "https://edmondsonsupply.com/collections/electricians-tools/products/rack-a-tiers-40001-apprentice-wire-vortex-wire-pulling-guide")</f>
        <v/>
      </c>
      <c r="B6136" s="2">
        <f>HYPERLINK("https://edmondsonsupply.com/products/rack-a-tiers-40001-apprentice-wire-vortex-wire-pulling-guide", "https://edmondsonsupply.com/products/rack-a-tiers-40001-apprentice-wire-vortex-wire-pulling-guide")</f>
        <v/>
      </c>
      <c r="C6136" t="inlineStr">
        <is>
          <t>Rack-A-Tiers 40001 Wire Vortex - Wire Pulling Guide</t>
        </is>
      </c>
      <c r="D6136" t="inlineStr">
        <is>
          <t>Rack-A-Tiers Pull Buddy - Multi-Pack Wire Pulling Guides (42000)</t>
        </is>
      </c>
      <c r="E6136" s="2">
        <f>HYPERLINK("https://www.amazon.com/Rack-Tiers-42000-Multi-Pack-Buddy/dp/B0087TBOWY/ref=sr_1_2?keywords=Rack-A-Tiers+40001+Wire+Vortex+-+Wire+Pulling+Guide&amp;qid=1694734979&amp;sr=8-2", "https://www.amazon.com/Rack-Tiers-42000-Multi-Pack-Buddy/dp/B0087TBOWY/ref=sr_1_2?keywords=Rack-A-Tiers+40001+Wire+Vortex+-+Wire+Pulling+Guide&amp;qid=1694734979&amp;sr=8-2")</f>
        <v/>
      </c>
      <c r="F6136" t="inlineStr">
        <is>
          <t>B0087TBOWY</t>
        </is>
      </c>
      <c r="G6136">
        <f>_xlfn.IMAGE("https://edmondsonsupply.com/cdn/shop/products/40001-Wire-Vortex-1-1-1.png?v=1587149010")</f>
        <v/>
      </c>
      <c r="H6136">
        <f>_xlfn.IMAGE("https://m.media-amazon.com/images/I/41f9XtBUJRL._AC_UL320_.jpg")</f>
        <v/>
      </c>
      <c r="K6136" t="inlineStr">
        <is>
          <t>19.99</t>
        </is>
      </c>
      <c r="L6136" t="n">
        <v>19.99</v>
      </c>
      <c r="M6136" s="1" t="inlineStr">
        <is>
          <t>0.00%</t>
        </is>
      </c>
      <c r="N6136" s="7" t="n"/>
      <c r="O6136" t="n">
        <v>4.5</v>
      </c>
      <c r="P6136" t="n">
        <v>143</v>
      </c>
      <c r="R6136" t="inlineStr">
        <is>
          <t>InStock</t>
        </is>
      </c>
      <c r="S6136" t="inlineStr">
        <is>
          <t>21.49</t>
        </is>
      </c>
      <c r="T6136" t="inlineStr">
        <is>
          <t>3624644608100</t>
        </is>
      </c>
    </row>
    <row r="6137" hidden="1" ht="15.75" customHeight="1">
      <c r="A6137" s="2">
        <f>HYPERLINK("https://edmondsonsupply.com/collections/electricians-tools/products/klein-tools-614-3-electronics-screwdriver-3-32-2-mm-slotted-3-76-mm-blade", "https://edmondsonsupply.com/collections/electricians-tools/products/klein-tools-614-3-electronics-screwdriver-3-32-2-mm-slotted-3-76-mm-blade")</f>
        <v/>
      </c>
      <c r="B6137" s="2">
        <f>HYPERLINK("https://edmondsonsupply.com/products/klein-tools-614-3-electronics-screwdriver-3-32-2-mm-slotted-3-76-mm-blade", "https://edmondsonsupply.com/products/klein-tools-614-3-electronics-screwdriver-3-32-2-mm-slotted-3-76-mm-blade")</f>
        <v/>
      </c>
      <c r="C6137" t="inlineStr">
        <is>
          <t>Klein Tools 614-3 3/32-Inch Slotted Electronics Screwdriver, 3-Inch</t>
        </is>
      </c>
      <c r="D6137" t="inlineStr">
        <is>
          <t>Klein Tools 614-3 Electronic Screwdriver with 3/32-Inch Slotted Tip, 3-Inch Shank</t>
        </is>
      </c>
      <c r="E6137" s="2">
        <f>HYPERLINK("https://www.amazon.com/Electronic-Screwdriver-32-Inch-Klein-Tools/dp/B00B9HIBZE/ref=sr_1_1?keywords=Klein+Tools+614-3+3%2F32-Inch+Slotted+Electronics+Screwdriver%2C+3-Inch&amp;qid=1694735400&amp;sr=8-1", "https://www.amazon.com/Electronic-Screwdriver-32-Inch-Klein-Tools/dp/B00B9HIBZE/ref=sr_1_1?keywords=Klein+Tools+614-3+3%2F32-Inch+Slotted+Electronics+Screwdriver%2C+3-Inch&amp;qid=1694735400&amp;sr=8-1")</f>
        <v/>
      </c>
      <c r="F6137" t="inlineStr">
        <is>
          <t>B00B9HIBZE</t>
        </is>
      </c>
      <c r="G6137">
        <f>_xludf.IMAGE("https://edmondsonsupply.com/cdn/shop/products/614-3.jpg?v=1587143248")</f>
        <v/>
      </c>
      <c r="H6137">
        <f>_xludf.IMAGE("https://m.media-amazon.com/images/I/41VUK9PJh3L._AC_UL320_.jpg")</f>
        <v/>
      </c>
      <c r="K6137" t="inlineStr">
        <is>
          <t>8.49</t>
        </is>
      </c>
      <c r="L6137" t="n">
        <v>8.49</v>
      </c>
      <c r="M6137" s="1" t="inlineStr">
        <is>
          <t>0.00%</t>
        </is>
      </c>
      <c r="N6137" s="1" t="n"/>
      <c r="O6137" t="n">
        <v>4.7</v>
      </c>
      <c r="P6137" t="n">
        <v>332</v>
      </c>
      <c r="R6137" t="inlineStr">
        <is>
          <t>InStock</t>
        </is>
      </c>
      <c r="S6137" t="inlineStr">
        <is>
          <t>12.86</t>
        </is>
      </c>
      <c r="T6137" t="inlineStr">
        <is>
          <t>2766956003428</t>
        </is>
      </c>
    </row>
    <row r="6138" ht="87" customHeight="1">
      <c r="A6138" s="2">
        <f>HYPERLINK("https://edmondsonsupply.com/collections/electricians-tools/products/klein-tools-203-6-eins-long-nose-side-cutter-pliers-6-inch-slim-insulated", "https://edmondsonsupply.com/collections/electricians-tools/products/klein-tools-203-6-eins-long-nose-side-cutter-pliers-6-inch-slim-insulated")</f>
        <v/>
      </c>
      <c r="B6138" s="2">
        <f>HYPERLINK("https://edmondsonsupply.com/products/klein-tools-203-6-eins-long-nose-side-cutter-pliers-6-inch-slim-insulated", "https://edmondsonsupply.com/products/klein-tools-203-6-eins-long-nose-side-cutter-pliers-6-inch-slim-insulated")</f>
        <v/>
      </c>
      <c r="C6138" t="inlineStr">
        <is>
          <t>Klein Tools 2036EINS Long Nose Side Cutter Pliers 6-Inch Slim Insulated</t>
        </is>
      </c>
      <c r="D6138" t="inlineStr">
        <is>
          <t>Klein Tools 2036EINS Insulated Pliers, Long Nose Side Cutters with Knurled Jaw, Slim 6-Inch</t>
        </is>
      </c>
      <c r="E6138" s="2">
        <f>HYPERLINK("https://www.amazon.com/Klein-Tools-2036EINS-Insulated-Cutters/dp/B00JGG5OB4/ref=sr_1_1?keywords=Klein+Tools+2036EINS+Long+Nose+Side+Cutter+Pliers+6-Inch+Slim+Insulated&amp;qid=1694735202&amp;sr=8-1", "https://www.amazon.com/Klein-Tools-2036EINS-Insulated-Cutters/dp/B00JGG5OB4/ref=sr_1_1?keywords=Klein+Tools+2036EINS+Long+Nose+Side+Cutter+Pliers+6-Inch+Slim+Insulated&amp;qid=1694735202&amp;sr=8-1")</f>
        <v/>
      </c>
      <c r="F6138" t="inlineStr">
        <is>
          <t>B00JGG5OB4</t>
        </is>
      </c>
      <c r="G6138">
        <f>_xlfn.IMAGE("https://edmondsonsupply.com/cdn/shop/products/2036eins.jpg?v=1633031077")</f>
        <v/>
      </c>
      <c r="H6138">
        <f>_xlfn.IMAGE("https://m.media-amazon.com/images/I/51myk0Mm3RL._AC_UL320_.jpg")</f>
        <v/>
      </c>
      <c r="K6138" t="inlineStr">
        <is>
          <t>46.99</t>
        </is>
      </c>
      <c r="L6138" t="n">
        <v>46.99</v>
      </c>
      <c r="M6138" s="1" t="inlineStr">
        <is>
          <t>0.00%</t>
        </is>
      </c>
      <c r="N6138" s="7" t="n"/>
      <c r="O6138" t="n">
        <v>4.9</v>
      </c>
      <c r="P6138" t="n">
        <v>348</v>
      </c>
      <c r="R6138" t="inlineStr">
        <is>
          <t>InStock</t>
        </is>
      </c>
      <c r="S6138" t="inlineStr">
        <is>
          <t>71.2</t>
        </is>
      </c>
      <c r="T6138" t="inlineStr">
        <is>
          <t>6829261029549</t>
        </is>
      </c>
    </row>
    <row r="6139" ht="87" customHeight="1">
      <c r="A6139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6139" s="2">
        <f>HYPERLINK("https://edmondsonsupply.com/products/klein-tools-d228-8-diagonal-cutting-pliers-high-leverage-8-inch", "https://edmondsonsupply.com/products/klein-tools-d228-8-diagonal-cutting-pliers-high-leverage-8-inch")</f>
        <v/>
      </c>
      <c r="C6139" t="inlineStr">
        <is>
          <t>Klein Tools D228-8 Diagonal Cutting Pliers, High-Leverage, 8-Inch</t>
        </is>
      </c>
      <c r="D6139" t="inlineStr">
        <is>
          <t>Klein Tools D228-8 Pliers, Diagonal Cutting Pliers with Short Jaw and Beveled Knives, High-Leverage Color-Coded Wire Cutters, 8-Inch</t>
        </is>
      </c>
      <c r="E6139" s="2">
        <f>HYPERLINK("https://www.amazon.com/Diagonal-Leverage-Klein-Tools-D228-8/dp/B0000302VW/ref=sr_1_1?keywords=Klein+Tools+D228-8+Diagonal+Cutting+Pliers%2C+High-Leverage%2C+8-Inch&amp;qid=1694735247&amp;sr=8-1", "https://www.amazon.com/Diagonal-Leverage-Klein-Tools-D228-8/dp/B0000302VW/ref=sr_1_1?keywords=Klein+Tools+D228-8+Diagonal+Cutting+Pliers%2C+High-Leverage%2C+8-Inch&amp;qid=1694735247&amp;sr=8-1")</f>
        <v/>
      </c>
      <c r="F6139" t="inlineStr">
        <is>
          <t>B0000302VW</t>
        </is>
      </c>
      <c r="G6139">
        <f>_xlfn.IMAGE("https://edmondsonsupply.com/cdn/shop/products/d2288.jpg?v=1633030753")</f>
        <v/>
      </c>
      <c r="H6139">
        <f>_xlfn.IMAGE("https://m.media-amazon.com/images/I/51-72gFSPtL._AC_UL320_.jpg")</f>
        <v/>
      </c>
      <c r="K6139" t="inlineStr">
        <is>
          <t>29.97</t>
        </is>
      </c>
      <c r="L6139" t="n">
        <v>29.97</v>
      </c>
      <c r="M6139" s="1" t="inlineStr">
        <is>
          <t>0.00%</t>
        </is>
      </c>
      <c r="N6139" s="7" t="n"/>
      <c r="O6139" t="n">
        <v>4.8</v>
      </c>
      <c r="P6139" t="n">
        <v>2872</v>
      </c>
      <c r="R6139" t="inlineStr">
        <is>
          <t>InStock</t>
        </is>
      </c>
      <c r="S6139" t="inlineStr">
        <is>
          <t>42.78</t>
        </is>
      </c>
      <c r="T6139" t="inlineStr">
        <is>
          <t>5896908472488</t>
        </is>
      </c>
    </row>
    <row r="6140" ht="87" customHeight="1">
      <c r="A6140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6140" s="2">
        <f>HYPERLINK("https://edmondsonsupply.com/products/rack-a-tiers-11455-wire-dispenser", "https://edmondsonsupply.com/products/rack-a-tiers-11455-wire-dispenser")</f>
        <v/>
      </c>
      <c r="C6140" t="inlineStr">
        <is>
          <t>Rack-A-Tiers 11455 Wire Dispenser</t>
        </is>
      </c>
      <c r="D6140" t="inlineStr">
        <is>
          <t>Rack-A-Tiers Multi Purpose Wire Dispenser (11455)</t>
        </is>
      </c>
      <c r="E6140" s="2">
        <f>HYPERLINK("https://www.amazon.com/RACK-TIERS-11455-PURPOSE-DISPENSER/dp/B0039UVLZG/ref=sr_1_6?keywords=Rack-A-Tiers+11455+Wire+Dispenser&amp;qid=1694734977&amp;sr=8-6", "https://www.amazon.com/RACK-TIERS-11455-PURPOSE-DISPENSER/dp/B0039UVLZG/ref=sr_1_6?keywords=Rack-A-Tiers+11455+Wire+Dispenser&amp;qid=1694734977&amp;sr=8-6")</f>
        <v/>
      </c>
      <c r="F6140" t="inlineStr">
        <is>
          <t>B0039UVLZG</t>
        </is>
      </c>
      <c r="G6140">
        <f>_xlfn.IMAGE("https://edmondsonsupply.com/cdn/shop/products/11455.png?v=1587150070")</f>
        <v/>
      </c>
      <c r="H6140">
        <f>_xlfn.IMAGE("https://m.media-amazon.com/images/I/71cBlqwCtjL._AC_UL320_.jpg")</f>
        <v/>
      </c>
      <c r="K6140" t="inlineStr">
        <is>
          <t>105.39</t>
        </is>
      </c>
      <c r="L6140" t="n">
        <v>105.39</v>
      </c>
      <c r="M6140" s="1" t="inlineStr">
        <is>
          <t>0.00%</t>
        </is>
      </c>
      <c r="N6140" s="7" t="n"/>
      <c r="O6140" t="n">
        <v>4.8</v>
      </c>
      <c r="P6140" t="n">
        <v>595</v>
      </c>
      <c r="R6140" t="inlineStr">
        <is>
          <t>InStock</t>
        </is>
      </c>
      <c r="S6140" t="inlineStr">
        <is>
          <t>112.99</t>
        </is>
      </c>
      <c r="T6140" t="inlineStr">
        <is>
          <t>3259201126500</t>
        </is>
      </c>
    </row>
    <row r="6141" ht="87" customHeight="1">
      <c r="A6141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6141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6141" t="inlineStr">
        <is>
          <t>Klein Tools CL220 Digital Clamp Meter, AC Auto-Ranging 400 Amp with Temp</t>
        </is>
      </c>
      <c r="D6141" t="inlineStr">
        <is>
          <t>Klein Tools CL220 Digital Clamp Meter, Auto-Ranging 400 Amp AC, AC/DC Voltage, TRMS, Resistance, Continuity, NCVT Detection, and Temp, Orange and Black</t>
        </is>
      </c>
      <c r="E6141" s="2">
        <f>HYPERLINK("https://www.amazon.com/Klein-Tools-CL220-Auto-Ranging-Temperature/dp/B08CFWMYYY/ref=sr_1_1?keywords=Klein+Tools+CL220+Digital+Clamp+Meter%2C+AC+Auto-Ranging+400+Amp+with+Temp&amp;qid=1694735238&amp;sr=8-1", "https://www.amazon.com/Klein-Tools-CL220-Auto-Ranging-Temperature/dp/B08CFWMYYY/ref=sr_1_1?keywords=Klein+Tools+CL220+Digital+Clamp+Meter%2C+AC+Auto-Ranging+400+Amp+with+Temp&amp;qid=1694735238&amp;sr=8-1")</f>
        <v/>
      </c>
      <c r="F6141" t="inlineStr">
        <is>
          <t>B08CFWMYYY</t>
        </is>
      </c>
      <c r="G6141">
        <f>_xlfn.IMAGE("https://edmondsonsupply.com/cdn/shop/products/cl220.jpg?v=1633030821")</f>
        <v/>
      </c>
      <c r="H6141">
        <f>_xlfn.IMAGE("https://m.media-amazon.com/images/I/61PTwVjeWtL._AC_UY218_.jpg")</f>
        <v/>
      </c>
      <c r="K6141" t="inlineStr">
        <is>
          <t>69.97</t>
        </is>
      </c>
      <c r="L6141" t="n">
        <v>69.97</v>
      </c>
      <c r="M6141" s="1" t="inlineStr">
        <is>
          <t>0.00%</t>
        </is>
      </c>
      <c r="N6141" s="7" t="n"/>
      <c r="O6141" t="n">
        <v>4.7</v>
      </c>
      <c r="P6141" t="n">
        <v>810</v>
      </c>
      <c r="R6141" t="inlineStr">
        <is>
          <t>InStock</t>
        </is>
      </c>
      <c r="S6141" t="inlineStr">
        <is>
          <t>93.22</t>
        </is>
      </c>
      <c r="T6141" t="inlineStr">
        <is>
          <t>6080846463149</t>
        </is>
      </c>
    </row>
    <row r="6142" ht="87" customHeight="1">
      <c r="A6142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6142" s="2">
        <f>HYPERLINK("https://edmondsonsupply.com/products/klein-tools-d228-8-diagonal-cutting-pliers-high-leverage-8-inch", "https://edmondsonsupply.com/products/klein-tools-d228-8-diagonal-cutting-pliers-high-leverage-8-inch")</f>
        <v/>
      </c>
      <c r="C6142" t="inlineStr">
        <is>
          <t>Klein Tools D228-8 Diagonal Cutting Pliers, High-Leverage, 8-Inch</t>
        </is>
      </c>
      <c r="D6142" t="inlineStr">
        <is>
          <t>Klein Tools D248-9ST Pliers, Ironworker's Diagonal Cutting Pliers with High Leverage Design Works as Rebar Cutter and Rebar Bender, 9-Inch</t>
        </is>
      </c>
      <c r="E6142" s="2">
        <f>HYPERLINK("https://www.amazon.com/Diagonal-Ironworker-Klein-Tools-D248-9ST/dp/B0009ZAT1G/ref=sr_1_14?keywords=Klein+Tools+D228-8+Diagonal+Cutting+Pliers%2C+High-Leverage%2C+8-Inch&amp;qid=1694735247&amp;sr=8-14", "https://www.amazon.com/Diagonal-Ironworker-Klein-Tools-D248-9ST/dp/B0009ZAT1G/ref=sr_1_14?keywords=Klein+Tools+D228-8+Diagonal+Cutting+Pliers%2C+High-Leverage%2C+8-Inch&amp;qid=1694735247&amp;sr=8-14")</f>
        <v/>
      </c>
      <c r="F6142" t="inlineStr">
        <is>
          <t>B0009ZAT1G</t>
        </is>
      </c>
      <c r="G6142">
        <f>_xlfn.IMAGE("https://edmondsonsupply.com/cdn/shop/products/d2288.jpg?v=1633030753")</f>
        <v/>
      </c>
      <c r="H6142">
        <f>_xlfn.IMAGE("https://m.media-amazon.com/images/I/41QcUzpmIlL._AC_UL320_.jpg")</f>
        <v/>
      </c>
      <c r="K6142" t="inlineStr">
        <is>
          <t>29.97</t>
        </is>
      </c>
      <c r="L6142" t="n">
        <v>29.97</v>
      </c>
      <c r="M6142" s="1" t="inlineStr">
        <is>
          <t>0.00%</t>
        </is>
      </c>
      <c r="N6142" s="7" t="n"/>
      <c r="O6142" t="n">
        <v>4.8</v>
      </c>
      <c r="P6142" t="n">
        <v>5521</v>
      </c>
      <c r="R6142" t="inlineStr">
        <is>
          <t>InStock</t>
        </is>
      </c>
      <c r="S6142" t="inlineStr">
        <is>
          <t>42.78</t>
        </is>
      </c>
      <c r="T6142" t="inlineStr">
        <is>
          <t>5896908472488</t>
        </is>
      </c>
    </row>
    <row r="6143" ht="87" customHeight="1">
      <c r="A6143" s="2">
        <f>HYPERLINK("https://edmondsonsupply.com/collections/electricians-tools/products/klein-5416tfr", "https://edmondsonsupply.com/collections/electricians-tools/products/klein-5416tfr")</f>
        <v/>
      </c>
      <c r="B6143" s="2">
        <f>HYPERLINK("https://edmondsonsupply.com/products/klein-5416tfr", "https://edmondsonsupply.com/products/klein-5416tfr")</f>
        <v/>
      </c>
      <c r="C6143" t="inlineStr">
        <is>
          <t>Klein Tools 5416TFR Tool Bag, Flame Resistant Bolt Bag, No. 4 Canvas, 5 x 10 x 9-Inch</t>
        </is>
      </c>
      <c r="D6143" t="inlineStr">
        <is>
          <t>Klein Tools 5416TFR Tool Bag, Flame Resistant Canvas Bag for Bolt Storage with Double Reinforced Bottom and Tunnel Connect, 5 x 10 x 9-Inch</t>
        </is>
      </c>
      <c r="E6143" s="2">
        <f>HYPERLINK("https://www.amazon.com/Resistant-Canvas-Klein-Tools-5416TFR/dp/B0116IFD6A/ref=sr_1_1?keywords=Klein+Tools+5416TFR+Tool+Bag%2C+Flame+Resistant+Bolt+Bag%2C+No.+4+Canvas%2C+5+x+10+x+9-Inch&amp;qid=1694734988&amp;sr=8-1", "https://www.amazon.com/Resistant-Canvas-Klein-Tools-5416TFR/dp/B0116IFD6A/ref=sr_1_1?keywords=Klein+Tools+5416TFR+Tool+Bag%2C+Flame+Resistant+Bolt+Bag%2C+No.+4+Canvas%2C+5+x+10+x+9-Inch&amp;qid=1694734988&amp;sr=8-1")</f>
        <v/>
      </c>
      <c r="F6143" t="inlineStr">
        <is>
          <t>B0116IFD6A</t>
        </is>
      </c>
      <c r="G6143">
        <f>_xlfn.IMAGE("https://edmondsonsupply.com/cdn/shop/products/5416tfr.jpg?v=1587149359")</f>
        <v/>
      </c>
      <c r="H6143">
        <f>_xlfn.IMAGE("https://m.media-amazon.com/images/I/71-H03ahZOL._AC_UL320_.jpg")</f>
        <v/>
      </c>
      <c r="K6143" t="inlineStr">
        <is>
          <t>19.99</t>
        </is>
      </c>
      <c r="L6143" t="n">
        <v>19.99</v>
      </c>
      <c r="M6143" s="1" t="inlineStr">
        <is>
          <t>0.00%</t>
        </is>
      </c>
      <c r="N6143" s="7" t="n"/>
      <c r="O6143" t="n">
        <v>4.8</v>
      </c>
      <c r="P6143" t="n">
        <v>7379</v>
      </c>
      <c r="R6143" t="inlineStr">
        <is>
          <t>InStock</t>
        </is>
      </c>
      <c r="S6143" t="inlineStr">
        <is>
          <t>33.64</t>
        </is>
      </c>
      <c r="T6143" t="inlineStr">
        <is>
          <t>1490970837092</t>
        </is>
      </c>
    </row>
    <row r="6144" ht="87" customHeight="1">
      <c r="A6144" s="2">
        <f>HYPERLINK("https://edmondsonsupply.com/collections/electricians-tools/products/dewalt-dg5142-led-pro-contractor-business-portfolio", "https://edmondsonsupply.com/collections/electricians-tools/products/dewalt-dg5142-led-pro-contractor-business-portfolio")</f>
        <v/>
      </c>
      <c r="B6144" s="2">
        <f>HYPERLINK("https://edmondsonsupply.com/products/dewalt-dg5142-led-pro-contractor-business-portfolio", "https://edmondsonsupply.com/products/dewalt-dg5142-led-pro-contractor-business-portfolio")</f>
        <v/>
      </c>
      <c r="C6144" t="inlineStr">
        <is>
          <t>DeWalt DG5142 LED Pro Contractor Business Portfolio</t>
        </is>
      </c>
      <c r="D6144" t="inlineStr">
        <is>
          <t>Custom Leathercraft DEWALT DG5140 Pro Contractor's Business Portfolio Black</t>
        </is>
      </c>
      <c r="E6144" s="2">
        <f>HYPERLINK("https://www.amazon.com/DEWALT-DG5140-Contractors-Business-Portfolio/dp/B004JF51EC/ref=sr_1_2?keywords=DeWalt+DG5142+LED+Pro+Contractor+Business+Portfolio&amp;qid=1694735201&amp;sr=8-2", "https://www.amazon.com/DEWALT-DG5140-Contractors-Business-Portfolio/dp/B004JF51EC/ref=sr_1_2?keywords=DeWalt+DG5142+LED+Pro+Contractor+Business+Portfolio&amp;qid=1694735201&amp;sr=8-2")</f>
        <v/>
      </c>
      <c r="F6144" t="inlineStr">
        <is>
          <t>B004JF51EC</t>
        </is>
      </c>
      <c r="G6144">
        <f>_xlfn.IMAGE("https://edmondsonsupply.com/cdn/shop/products/Screenshot2021-07-17133543.png?v=1633031080")</f>
        <v/>
      </c>
      <c r="H6144">
        <f>_xlfn.IMAGE("https://m.media-amazon.com/images/I/91vh9J0B3DS._AC_UL320_.jpg")</f>
        <v/>
      </c>
      <c r="K6144" t="inlineStr">
        <is>
          <t>39.95</t>
        </is>
      </c>
      <c r="L6144" t="n">
        <v>39.95</v>
      </c>
      <c r="M6144" s="1" t="inlineStr">
        <is>
          <t>0.00%</t>
        </is>
      </c>
      <c r="N6144" s="7" t="n"/>
      <c r="O6144" t="n">
        <v>4.7</v>
      </c>
      <c r="P6144" t="n">
        <v>2154</v>
      </c>
      <c r="R6144" t="inlineStr">
        <is>
          <t>InStock</t>
        </is>
      </c>
      <c r="S6144" t="inlineStr">
        <is>
          <t>59.95</t>
        </is>
      </c>
      <c r="T6144" t="inlineStr">
        <is>
          <t>6830187741357</t>
        </is>
      </c>
    </row>
    <row r="6145" ht="87" customHeight="1">
      <c r="A6145" s="2">
        <f>HYPERLINK("https://edmondsonsupply.com/collections/electricians-tools/products/klein-tools-j2000-59-diagonal-cutting-pliers-heavy-duty-journeyman-9-inch", "https://edmondsonsupply.com/collections/electricians-tools/products/klein-tools-j2000-59-diagonal-cutting-pliers-heavy-duty-journeyman-9-inch")</f>
        <v/>
      </c>
      <c r="B6145" s="2">
        <f>HYPERLINK("https://edmondsonsupply.com/products/klein-tools-j2000-59-diagonal-cutting-pliers-heavy-duty-journeyman-9-inch", "https://edmondsonsupply.com/products/klein-tools-j2000-59-diagonal-cutting-pliers-heavy-duty-journeyman-9-inch")</f>
        <v/>
      </c>
      <c r="C6145" t="inlineStr">
        <is>
          <t>Klein Tools J2000-59 Diagonal Cutting Pliers, Heavy-Duty Journeyman, 9-Inch</t>
        </is>
      </c>
      <c r="D6145" t="inlineStr">
        <is>
          <t>Klein Tools J2000-59 Pliers, Diagonal Cutting Journeyman Pliers with High-Leverage Design, Larger Head and Extra Long Blades, 9-Inch</t>
        </is>
      </c>
      <c r="E6145" s="2">
        <f>HYPERLINK("https://www.amazon.com/Journeyman-Diagonal-Cut-Klein-Tools-J2000-59/dp/B075XG1DFD/ref=sr_1_1?keywords=Klein+Tools+J2000-59+Diagonal+Cutting+Pliers%2C+Heavy-Duty+Journeyman%2C+9-Inch&amp;qid=1694735247&amp;sr=8-1", "https://www.amazon.com/Journeyman-Diagonal-Cut-Klein-Tools-J2000-59/dp/B075XG1DFD/ref=sr_1_1?keywords=Klein+Tools+J2000-59+Diagonal+Cutting+Pliers%2C+Heavy-Duty+Journeyman%2C+9-Inch&amp;qid=1694735247&amp;sr=8-1")</f>
        <v/>
      </c>
      <c r="F6145" t="inlineStr">
        <is>
          <t>B075XG1DFD</t>
        </is>
      </c>
      <c r="G6145">
        <f>_xlfn.IMAGE("https://edmondsonsupply.com/cdn/shop/products/j200059.jpg?v=1633030755")</f>
        <v/>
      </c>
      <c r="H6145">
        <f>_xlfn.IMAGE("https://m.media-amazon.com/images/I/41d2z7PlSnL._AC_UL320_.jpg")</f>
        <v/>
      </c>
      <c r="K6145" t="inlineStr">
        <is>
          <t>39.97</t>
        </is>
      </c>
      <c r="L6145" t="n">
        <v>39.97</v>
      </c>
      <c r="M6145" s="1" t="inlineStr">
        <is>
          <t>0.00%</t>
        </is>
      </c>
      <c r="N6145" s="7" t="n"/>
      <c r="O6145" t="n">
        <v>4.7</v>
      </c>
      <c r="P6145" t="n">
        <v>491</v>
      </c>
      <c r="R6145" t="inlineStr">
        <is>
          <t>InStock</t>
        </is>
      </c>
      <c r="S6145" t="inlineStr">
        <is>
          <t>55.98</t>
        </is>
      </c>
      <c r="T6145" t="inlineStr">
        <is>
          <t>5909578809512</t>
        </is>
      </c>
    </row>
    <row r="6146" hidden="1" ht="15.75" customHeight="1">
      <c r="A6146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6146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6146" t="inlineStr">
        <is>
          <t>Klein Tools 630-3/8 3/8-Inch Nut Driver with 3-Inch Hollow Shaft</t>
        </is>
      </c>
      <c r="D6146" t="inlineStr">
        <is>
          <t>Capri Tools Kontour 3/8-Inch Nut Driver, 3-Inch Hollow Shaft</t>
        </is>
      </c>
      <c r="E6146" s="2">
        <f>HYPERLINK("https://www.amazon.com/Capri-Tools-Kontour-8-Inch-Driver/dp/B079G82XNX/ref=sr_1_10?keywords=Klein+Tools+630-3%2F8+3%2F8-Inch+Nut+Driver+with+3-Inch+Hollow+Shaft&amp;qid=1694735236&amp;sr=8-10", "https://www.amazon.com/Capri-Tools-Kontour-8-Inch-Driver/dp/B079G82XNX/ref=sr_1_10?keywords=Klein+Tools+630-3%2F8+3%2F8-Inch+Nut+Driver+with+3-Inch+Hollow+Shaft&amp;qid=1694735236&amp;sr=8-10")</f>
        <v/>
      </c>
      <c r="F6146" t="inlineStr">
        <is>
          <t>B079G82XNX</t>
        </is>
      </c>
      <c r="G6146">
        <f>_xludf.IMAGE("https://edmondsonsupply.com/cdn/shop/products/630-1-2_e23f9fbd-a282-44d7-b743-2cfe0f84edfa.jpg?v=1633030906")</f>
        <v/>
      </c>
      <c r="H6146">
        <f>_xludf.IMAGE("https://m.media-amazon.com/images/I/61d32Cf79OL._AC_UL320_.jpg")</f>
        <v/>
      </c>
      <c r="K6146" t="inlineStr">
        <is>
          <t>8.99</t>
        </is>
      </c>
      <c r="L6146" t="n">
        <v>8.99</v>
      </c>
      <c r="M6146" s="1" t="inlineStr">
        <is>
          <t>0.00%</t>
        </is>
      </c>
      <c r="N6146" s="1" t="n"/>
      <c r="O6146" t="n">
        <v>4.5</v>
      </c>
      <c r="P6146" t="n">
        <v>62</v>
      </c>
      <c r="R6146" t="inlineStr">
        <is>
          <t>InStock</t>
        </is>
      </c>
      <c r="S6146" t="inlineStr">
        <is>
          <t>11.74</t>
        </is>
      </c>
      <c r="T6146" t="inlineStr">
        <is>
          <t>6244382376109</t>
        </is>
      </c>
    </row>
    <row r="6147" ht="87" customHeight="1">
      <c r="A6147" s="2">
        <f>HYPERLINK("https://edmondsonsupply.com/collections/electricians-tools/products/klein-tools-935ab4v-accu-bend%E2%84%A2-level-4-vial-rem", "https://edmondsonsupply.com/collections/electricians-tools/products/klein-tools-935ab4v-accu-bend%E2%84%A2-level-4-vial-rem")</f>
        <v/>
      </c>
      <c r="B6147" s="2">
        <f>HYPERLINK("https://edmondsonsupply.com/products/klein-tools-935ab4v-accu-bend%e2%84%a2-level-4-vial-rem", "https://edmondsonsupply.com/products/klein-tools-935ab4v-accu-bend%e2%84%a2-level-4-vial-rem")</f>
        <v/>
      </c>
      <c r="C6147" t="inlineStr">
        <is>
          <t>Klein Tools 935AB4V ACCU-BEND™ Level, 4-Vial</t>
        </is>
      </c>
      <c r="D6147" t="inlineStr">
        <is>
          <t>Klein Tools 935AB4V Level, 6.25-Inch Magnetic Torpedo Level is a Conduit Level with 4 Vials, V-Groove and Magnet Track, High Viz Orange</t>
        </is>
      </c>
      <c r="E6147" s="2">
        <f>HYPERLINK("https://www.amazon.com/Klein-Tools-935AB4V-Magnetic-V-Groove/dp/B01M302QTV/ref=sr_1_1?keywords=Klein+Tools+935AB4V+ACCU-BEND%E2%84%A2+Level%2C+4-Vial&amp;qid=1694735422&amp;sr=8-1", "https://www.amazon.com/Klein-Tools-935AB4V-Magnetic-V-Groove/dp/B01M302QTV/ref=sr_1_1?keywords=Klein+Tools+935AB4V+ACCU-BEND%E2%84%A2+Level%2C+4-Vial&amp;qid=1694735422&amp;sr=8-1")</f>
        <v/>
      </c>
      <c r="F6147" t="inlineStr">
        <is>
          <t>B01M302QTV</t>
        </is>
      </c>
      <c r="G6147">
        <f>_xlfn.IMAGE("https://edmondsonsupply.com/cdn/shop/files/935ab4v_b.jpg?v=1685715011")</f>
        <v/>
      </c>
      <c r="H6147">
        <f>_xlfn.IMAGE("https://m.media-amazon.com/images/I/51Z3q6YDMaL._AC_UL320_.jpg")</f>
        <v/>
      </c>
      <c r="K6147" t="inlineStr">
        <is>
          <t>29.97</t>
        </is>
      </c>
      <c r="L6147" t="n">
        <v>29.97</v>
      </c>
      <c r="M6147" s="1" t="inlineStr">
        <is>
          <t>0.00%</t>
        </is>
      </c>
      <c r="N6147" s="7" t="n"/>
      <c r="O6147" t="n">
        <v>4.9</v>
      </c>
      <c r="P6147" t="n">
        <v>4825</v>
      </c>
      <c r="R6147" t="inlineStr">
        <is>
          <t>InStock</t>
        </is>
      </c>
      <c r="S6147" t="inlineStr">
        <is>
          <t>42.0</t>
        </is>
      </c>
      <c r="T6147" t="inlineStr">
        <is>
          <t>2766878081124</t>
        </is>
      </c>
    </row>
    <row r="6148" ht="87" customHeight="1">
      <c r="A6148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6148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6148" t="inlineStr">
        <is>
          <t>Klein Tools ET310 Digital Circuit Breaker Finder with GFCI Outlet Tester</t>
        </is>
      </c>
      <c r="D6148" t="inlineStr">
        <is>
          <t>Klein Tools ET310 AC Circuit Breaker Finder, Electric Tester With Integrated GFCI Outlet Tester</t>
        </is>
      </c>
      <c r="E6148" s="2">
        <f>HYPERLINK("https://www.amazon.com/Klein-Tools-ET310-Circuit-Integrated/dp/B07QNMCVWP/ref=sr_1_1?keywords=Klein+Tools+ET310+Digital+Circuit+Breaker+Finder+with+GFCI+Outlet+Tester&amp;qid=1694734974&amp;sr=8-1", "https://www.amazon.com/Klein-Tools-ET310-Circuit-Integrated/dp/B07QNMCVWP/ref=sr_1_1?keywords=Klein+Tools+ET310+Digital+Circuit+Breaker+Finder+with+GFCI+Outlet+Tester&amp;qid=1694734974&amp;sr=8-1")</f>
        <v/>
      </c>
      <c r="F6148" t="inlineStr">
        <is>
          <t>B07QNMCVWP</t>
        </is>
      </c>
      <c r="G6148">
        <f>_xlfn.IMAGE("https://edmondsonsupply.com/cdn/shop/products/et310_c.jpg?v=1646963918")</f>
        <v/>
      </c>
      <c r="H6148">
        <f>_xlfn.IMAGE("https://m.media-amazon.com/images/I/61pw8oA02AL._AC_UL320_.jpg")</f>
        <v/>
      </c>
      <c r="K6148" t="inlineStr">
        <is>
          <t>49.97</t>
        </is>
      </c>
      <c r="L6148" t="n">
        <v>49.97</v>
      </c>
      <c r="M6148" s="1" t="inlineStr">
        <is>
          <t>0.00%</t>
        </is>
      </c>
      <c r="N6148" s="7" t="n"/>
      <c r="O6148" t="n">
        <v>4.7</v>
      </c>
      <c r="P6148" t="n">
        <v>19527</v>
      </c>
      <c r="R6148" t="inlineStr">
        <is>
          <t>InStock</t>
        </is>
      </c>
      <c r="S6148" t="inlineStr">
        <is>
          <t>75.1</t>
        </is>
      </c>
      <c r="T6148" t="inlineStr">
        <is>
          <t>3389551280228</t>
        </is>
      </c>
    </row>
    <row r="6149" ht="87" customHeight="1">
      <c r="A6149" s="2">
        <f>HYPERLINK("https://edmondsonsupply.com/collections/electricians-tools/products/klein-tools-31737-folding-jab-saw", "https://edmondsonsupply.com/collections/electricians-tools/products/klein-tools-31737-folding-jab-saw")</f>
        <v/>
      </c>
      <c r="B6149" s="2">
        <f>HYPERLINK("https://edmondsonsupply.com/products/klein-tools-31737-folding-jab-saw", "https://edmondsonsupply.com/products/klein-tools-31737-folding-jab-saw")</f>
        <v/>
      </c>
      <c r="C6149" t="inlineStr">
        <is>
          <t>Klein Tools 31737 Folding Jab Saw</t>
        </is>
      </c>
      <c r="D6149" t="inlineStr">
        <is>
          <t>Klein Tools 31737 Folding Jab Saw / Drywall Saw, Hand Saw with Lockback at 180 and 125 Degrees and Tether Hole</t>
        </is>
      </c>
      <c r="E6149" s="2">
        <f>HYPERLINK("https://www.amazon.com/Drywall-Lockback-Klein-Tools-31737/dp/B07DKRCNX3/ref=sr_1_1?keywords=Klein+Tools+31737+Folding+Jab+Saw&amp;qid=1694735392&amp;sr=8-1", "https://www.amazon.com/Drywall-Lockback-Klein-Tools-31737/dp/B07DKRCNX3/ref=sr_1_1?keywords=Klein+Tools+31737+Folding+Jab+Saw&amp;qid=1694735392&amp;sr=8-1")</f>
        <v/>
      </c>
      <c r="F6149" t="inlineStr">
        <is>
          <t>B07DKRCNX3</t>
        </is>
      </c>
      <c r="G6149">
        <f>_xlfn.IMAGE("https://edmondsonsupply.com/cdn/shop/products/31737.jpg?v=1587149419")</f>
        <v/>
      </c>
      <c r="H6149">
        <f>_xlfn.IMAGE("https://m.media-amazon.com/images/I/51aZ4FRWZaL._AC_UL320_.jpg")</f>
        <v/>
      </c>
      <c r="K6149" t="inlineStr">
        <is>
          <t>20.99</t>
        </is>
      </c>
      <c r="L6149" t="n">
        <v>20.99</v>
      </c>
      <c r="M6149" s="1" t="inlineStr">
        <is>
          <t>0.00%</t>
        </is>
      </c>
      <c r="N6149" s="7" t="n"/>
      <c r="O6149" t="n">
        <v>4.8</v>
      </c>
      <c r="P6149" t="n">
        <v>3362</v>
      </c>
      <c r="R6149" t="inlineStr">
        <is>
          <t>InStock</t>
        </is>
      </c>
      <c r="S6149" t="inlineStr">
        <is>
          <t>30.06</t>
        </is>
      </c>
      <c r="T6149" t="inlineStr">
        <is>
          <t>1780079853668</t>
        </is>
      </c>
    </row>
    <row r="6150" ht="87" customHeight="1">
      <c r="A6150" s="2">
        <f>HYPERLINK("https://edmondsonsupply.com/collections/electricians-tools/products/rack-a-tiers-18455-wire-tub-coil-dispenser", "https://edmondsonsupply.com/collections/electricians-tools/products/rack-a-tiers-18455-wire-tub-coil-dispenser")</f>
        <v/>
      </c>
      <c r="B6150" s="2">
        <f>HYPERLINK("https://edmondsonsupply.com/products/rack-a-tiers-18455-wire-tub-coil-dispenser", "https://edmondsonsupply.com/products/rack-a-tiers-18455-wire-tub-coil-dispenser")</f>
        <v/>
      </c>
      <c r="C6150" t="inlineStr">
        <is>
          <t>Rack-A-Tiers 18455 Wire Tub</t>
        </is>
      </c>
      <c r="D6150" t="inlineStr">
        <is>
          <t>Rack-A-Tiers Wire Tub - Coil Wire Dispenser, Dispense &amp; Rewind Wire Coils, 360° Wire Dispensing, No Setup Needed (18455)</t>
        </is>
      </c>
      <c r="E6150" s="2">
        <f>HYPERLINK("https://www.amazon.com/Rack-Tiers-18455-Wire-Tub/dp/B0087TBRI0/ref=sr_1_1?keywords=Rack-A-Tiers+18455+Wire+Tub&amp;qid=1694734985&amp;sr=8-1", "https://www.amazon.com/Rack-Tiers-18455-Wire-Tub/dp/B0087TBRI0/ref=sr_1_1?keywords=Rack-A-Tiers+18455+Wire+Tub&amp;qid=1694734985&amp;sr=8-1")</f>
        <v/>
      </c>
      <c r="F6150" t="inlineStr">
        <is>
          <t>B0087TBRI0</t>
        </is>
      </c>
      <c r="G6150">
        <f>_xlfn.IMAGE("https://edmondsonsupply.com/cdn/shop/products/18455-Wire-Tub-1-1-1.png?v=1587146060")</f>
        <v/>
      </c>
      <c r="H6150">
        <f>_xlfn.IMAGE("https://m.media-amazon.com/images/I/61aM91GUOYL._AC_UL320_.jpg")</f>
        <v/>
      </c>
      <c r="K6150" t="inlineStr">
        <is>
          <t>115.39</t>
        </is>
      </c>
      <c r="L6150" t="n">
        <v>115.39</v>
      </c>
      <c r="M6150" s="1" t="inlineStr">
        <is>
          <t>0.00%</t>
        </is>
      </c>
      <c r="N6150" s="7" t="n"/>
      <c r="O6150" t="n">
        <v>4.6</v>
      </c>
      <c r="P6150" t="n">
        <v>82</v>
      </c>
      <c r="R6150" t="inlineStr">
        <is>
          <t>InStock</t>
        </is>
      </c>
      <c r="S6150" t="inlineStr">
        <is>
          <t>123.99</t>
        </is>
      </c>
      <c r="T6150" t="inlineStr">
        <is>
          <t>3573358100580</t>
        </is>
      </c>
    </row>
    <row r="6151" hidden="1" ht="15.75" customHeight="1">
      <c r="A6151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6151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6151" t="inlineStr">
        <is>
          <t>Klein Tools 602-6 5/16-Inch Keystone Tip Screwdriver, Cushion Grip, 6-Inch</t>
        </is>
      </c>
      <c r="D6151" t="inlineStr">
        <is>
          <t>Klein Tools 602-6 5/16-Inch Keystone Tip Screwdriver, 6-Inch Heavy Duty Round Shank with Cushion Grip Handle</t>
        </is>
      </c>
      <c r="E6151" s="2">
        <f>HYPERLINK("https://www.amazon.com/Keystone-Screwdriver-Klein-Tools-602-6/dp/B0000302WW/ref=sr_1_1?keywords=Klein+Tools+602-6+5%2F16-Inch+Keystone+Tip+Screwdriver%2C+Cushion+Grip%2C+6-Inch&amp;qid=1694735231&amp;sr=8-1", "https://www.amazon.com/Keystone-Screwdriver-Klein-Tools-602-6/dp/B0000302WW/ref=sr_1_1?keywords=Klein+Tools+602-6+5%2F16-Inch+Keystone+Tip+Screwdriver%2C+Cushion+Grip%2C+6-Inch&amp;qid=1694735231&amp;sr=8-1")</f>
        <v/>
      </c>
      <c r="F6151" t="inlineStr">
        <is>
          <t>B0000302WW</t>
        </is>
      </c>
      <c r="G6151">
        <f>_xludf.IMAGE("https://edmondsonsupply.com/cdn/shop/products/602-6_162e3283-acea-47de-aecf-2a25f009fdcb.jpg?v=1633030880")</f>
        <v/>
      </c>
      <c r="H6151">
        <f>_xludf.IMAGE("https://m.media-amazon.com/images/I/51yw04G5ZvL._AC_UL320_.jpg")</f>
        <v/>
      </c>
      <c r="K6151" t="inlineStr">
        <is>
          <t>11.99</t>
        </is>
      </c>
      <c r="L6151" t="n">
        <v>11.99</v>
      </c>
      <c r="M6151" s="1" t="inlineStr">
        <is>
          <t>0.00%</t>
        </is>
      </c>
      <c r="N6151" s="1" t="n"/>
      <c r="O6151" t="n">
        <v>4.8</v>
      </c>
      <c r="P6151" t="n">
        <v>879</v>
      </c>
      <c r="R6151" t="inlineStr">
        <is>
          <t>InStock</t>
        </is>
      </c>
      <c r="S6151" t="inlineStr">
        <is>
          <t>18.18</t>
        </is>
      </c>
      <c r="T6151" t="inlineStr">
        <is>
          <t>6169213501613</t>
        </is>
      </c>
    </row>
    <row r="6152" ht="87" customHeight="1">
      <c r="A6152" s="2">
        <f>HYPERLINK("https://edmondsonsupply.com/collections/electricians-tools/products/klein-tools-et40-electronic-ac-dc-voltage-tester-12-to-240v-ac-1-5-to-24v-dc", "https://edmondsonsupply.com/collections/electricians-tools/products/klein-tools-et40-electronic-ac-dc-voltage-tester-12-to-240v-ac-1-5-to-24v-dc")</f>
        <v/>
      </c>
      <c r="B6152" s="2">
        <f>HYPERLINK("https://edmondsonsupply.com/products/klein-tools-et40-electronic-ac-dc-voltage-tester-12-to-240v-ac-1-5-to-24v-dc", "https://edmondsonsupply.com/products/klein-tools-et40-electronic-ac-dc-voltage-tester-12-to-240v-ac-1-5-to-24v-dc")</f>
        <v/>
      </c>
      <c r="C6152" t="inlineStr">
        <is>
          <t>Klein Tools ET40 Electronic AC/DC Voltage Tester 12 to 240V AC, 1.5 to 24V DC</t>
        </is>
      </c>
      <c r="D6152" t="inlineStr">
        <is>
          <t>Klein Tools ET40 Digital AC/DC Voltage Tester, 12-240V AC, 1.5-24V DC, LED Illumination, DC Polarity, Auto Off, CATIII 250V-Class 2- Double Insulation, IP4 Dust and Water Resistant,Black/Orange</t>
        </is>
      </c>
      <c r="E6152" s="2">
        <f>HYPERLINK("https://www.amazon.com/Klein-Tools-ET40-Polarity-Batteries/dp/B07P45RB8S/ref=sr_1_1?keywords=Klein+Tools+ET40+Electronic+AC%2FDC+Voltage+Tester+12+to+240V+AC%2C+1.5+to+24V+DC&amp;qid=1694735231&amp;sr=8-1", "https://www.amazon.com/Klein-Tools-ET40-Polarity-Batteries/dp/B07P45RB8S/ref=sr_1_1?keywords=Klein+Tools+ET40+Electronic+AC%2FDC+Voltage+Tester+12+to+240V+AC%2C+1.5+to+24V+DC&amp;qid=1694735231&amp;sr=8-1")</f>
        <v/>
      </c>
      <c r="F6152" t="inlineStr">
        <is>
          <t>B07P45RB8S</t>
        </is>
      </c>
      <c r="G6152">
        <f>_xlfn.IMAGE("https://edmondsonsupply.com/cdn/shop/products/et40.jpg?v=1633030910")</f>
        <v/>
      </c>
      <c r="H6152">
        <f>_xlfn.IMAGE("https://m.media-amazon.com/images/I/519RV+CHdeL._AC_UL320_.jpg")</f>
        <v/>
      </c>
      <c r="K6152" t="inlineStr">
        <is>
          <t>17.97</t>
        </is>
      </c>
      <c r="L6152" t="n">
        <v>17.97</v>
      </c>
      <c r="M6152" s="1" t="inlineStr">
        <is>
          <t>0.00%</t>
        </is>
      </c>
      <c r="N6152" s="7" t="n"/>
      <c r="O6152" t="n">
        <v>4.5</v>
      </c>
      <c r="P6152" t="n">
        <v>1281</v>
      </c>
      <c r="R6152" t="inlineStr">
        <is>
          <t>InStock</t>
        </is>
      </c>
      <c r="S6152" t="inlineStr">
        <is>
          <t>23.36</t>
        </is>
      </c>
      <c r="T6152" t="inlineStr">
        <is>
          <t>6252427837613</t>
        </is>
      </c>
    </row>
    <row r="6153" ht="87" customHeight="1">
      <c r="A6153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6153" s="2">
        <f>HYPERLINK("https://edmondsonsupply.com/products/klein-tools-31870-carbide-hole-cutter-2-1-2-inch", "https://edmondsonsupply.com/products/klein-tools-31870-carbide-hole-cutter-2-1-2-inch")</f>
        <v/>
      </c>
      <c r="C6153" t="inlineStr">
        <is>
          <t>Klein Tools 31870 Carbide Hole Cutter, 2-1/2-Inch</t>
        </is>
      </c>
      <c r="D6153" t="inlineStr">
        <is>
          <t>Klein Tools 31870 Heavy Duty Hole Cutter, 2-1/2-Inch Carbide Hole Cutter Cuts Stainless Steel, Mild Steel, Iron, and Copper</t>
        </is>
      </c>
      <c r="E6153" s="2">
        <f>HYPERLINK("https://www.amazon.com/Carbide-Cutter-Klein-Tools-31870/dp/B00776T3C6/ref=sr_1_1?keywords=Klein+Tools+31870+Carbide+Hole+Cutter%2C+2-1%2F2-Inch&amp;qid=1694735218&amp;sr=8-1", "https://www.amazon.com/Carbide-Cutter-Klein-Tools-31870/dp/B00776T3C6/ref=sr_1_1?keywords=Klein+Tools+31870+Carbide+Hole+Cutter%2C+2-1%2F2-Inch&amp;qid=1694735218&amp;sr=8-1")</f>
        <v/>
      </c>
      <c r="F6153" t="inlineStr">
        <is>
          <t>B00776T3C6</t>
        </is>
      </c>
      <c r="G6153">
        <f>_xlfn.IMAGE("https://edmondsonsupply.com/cdn/shop/products/31870_alt1.jpg?v=1633030999")</f>
        <v/>
      </c>
      <c r="H6153">
        <f>_xlfn.IMAGE("https://m.media-amazon.com/images/I/41YZKcK6nOL._AC_UL320_.jpg")</f>
        <v/>
      </c>
      <c r="K6153" t="inlineStr">
        <is>
          <t>79.99</t>
        </is>
      </c>
      <c r="L6153" t="n">
        <v>79.98999999999999</v>
      </c>
      <c r="M6153" s="1" t="inlineStr">
        <is>
          <t>0.00%</t>
        </is>
      </c>
      <c r="N6153" s="7" t="n"/>
      <c r="O6153" t="n">
        <v>4.5</v>
      </c>
      <c r="P6153" t="n">
        <v>472</v>
      </c>
      <c r="R6153" t="inlineStr">
        <is>
          <t>InStock</t>
        </is>
      </c>
      <c r="S6153" t="inlineStr">
        <is>
          <t>121.2</t>
        </is>
      </c>
      <c r="T6153" t="inlineStr">
        <is>
          <t>6680619974829</t>
        </is>
      </c>
    </row>
    <row r="6154" hidden="1" ht="15.75" customHeight="1">
      <c r="A6154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6154" s="2">
        <f>HYPERLINK("https://edmondsonsupply.com/products/klein-tools-635-3-8-3-8-inch-heavy-duty-nut-driver", "https://edmondsonsupply.com/products/klein-tools-635-3-8-3-8-inch-heavy-duty-nut-driver")</f>
        <v/>
      </c>
      <c r="C6154" t="inlineStr">
        <is>
          <t>Klein Tools 635-3/8 3/8-Inch Heavy-Duty Nut Driver</t>
        </is>
      </c>
      <c r="D6154" t="inlineStr">
        <is>
          <t>Klein Tools 635-3/8 3/8-Inch Heavy-Duty Nut Driver</t>
        </is>
      </c>
      <c r="E6154" s="2">
        <f>HYPERLINK("https://www.amazon.com/8-Inch-Heavy-Duty-Driver-Klein-Tools/dp/B01D6E8NSM/ref=sr_1_1?keywords=Klein+Tools+635-3%2F8+3%2F8-Inch+Heavy-Duty+Nut+Driver&amp;qid=1694735241&amp;sr=8-1", "https://www.amazon.com/8-Inch-Heavy-Duty-Driver-Klein-Tools/dp/B01D6E8NSM/ref=sr_1_1?keywords=Klein+Tools+635-3%2F8+3%2F8-Inch+Heavy-Duty+Nut+Driver&amp;qid=1694735241&amp;sr=8-1")</f>
        <v/>
      </c>
      <c r="F6154" t="inlineStr">
        <is>
          <t>B01D6E8NSM</t>
        </is>
      </c>
      <c r="G6154">
        <f>_xludf.IMAGE("https://edmondsonsupply.com/cdn/shop/products/635-3-8.jpg?v=1633030895")</f>
        <v/>
      </c>
      <c r="H6154">
        <f>_xludf.IMAGE("https://m.media-amazon.com/images/I/41Iii738a4L._AC_UL320_.jpg")</f>
        <v/>
      </c>
      <c r="K6154" t="inlineStr">
        <is>
          <t>12.99</t>
        </is>
      </c>
      <c r="L6154" t="n">
        <v>12.99</v>
      </c>
      <c r="M6154" s="1" t="inlineStr">
        <is>
          <t>0.00%</t>
        </is>
      </c>
      <c r="N6154" s="1" t="n"/>
      <c r="O6154" t="n">
        <v>4.7</v>
      </c>
      <c r="P6154" t="n">
        <v>89</v>
      </c>
      <c r="R6154" t="inlineStr">
        <is>
          <t>InStock</t>
        </is>
      </c>
      <c r="S6154" t="inlineStr">
        <is>
          <t>19.68</t>
        </is>
      </c>
      <c r="T6154" t="inlineStr">
        <is>
          <t>6228534952109</t>
        </is>
      </c>
    </row>
    <row r="6155" ht="87" customHeight="1">
      <c r="A6155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6155" s="2">
        <f>HYPERLINK("https://edmondsonsupply.com/products/klein-tools-66070-flip-impact-socket-set-7-piece", "https://edmondsonsupply.com/products/klein-tools-66070-flip-impact-socket-set-7-piece")</f>
        <v/>
      </c>
      <c r="C6155" t="inlineStr">
        <is>
          <t>Klein Tools 66070 Flip Impact Socket Set, 7-Piece</t>
        </is>
      </c>
      <c r="D6155" t="inlineStr">
        <is>
          <t>Klein Tools 66070 Impact Socket Set, Impact Driver Flip Socket, Five Sockets with 1/4-Inch Hex and 1/2-Inch Square Socket Adapters, 7-Piece</t>
        </is>
      </c>
      <c r="E6155" s="2">
        <f>HYPERLINK("https://www.amazon.com/Klein-Tools-66070-Sockets-Adapters/dp/B0B33XLXD1/ref=sr_1_1?keywords=Klein+Tools+66070+Flip+Impact+Socket+Set%2C+7-Piece&amp;qid=1694734974&amp;sr=8-1", "https://www.amazon.com/Klein-Tools-66070-Sockets-Adapters/dp/B0B33XLXD1/ref=sr_1_1?keywords=Klein+Tools+66070+Flip+Impact+Socket+Set%2C+7-Piece&amp;qid=1694734974&amp;sr=8-1")</f>
        <v/>
      </c>
      <c r="F6155" t="inlineStr">
        <is>
          <t>B0B33XLXD1</t>
        </is>
      </c>
      <c r="G6155">
        <f>_xlfn.IMAGE("https://edmondsonsupply.com/cdn/shop/products/66070_b.jpg?v=1663251434")</f>
        <v/>
      </c>
      <c r="H6155">
        <f>_xlfn.IMAGE("https://m.media-amazon.com/images/I/71D23SffznL._AC_UL320_.jpg")</f>
        <v/>
      </c>
      <c r="K6155" t="inlineStr">
        <is>
          <t>49.97</t>
        </is>
      </c>
      <c r="L6155" t="n">
        <v>49.97</v>
      </c>
      <c r="M6155" s="1" t="inlineStr">
        <is>
          <t>0.00%</t>
        </is>
      </c>
      <c r="N6155" s="7" t="n"/>
      <c r="O6155" t="n">
        <v>4.8</v>
      </c>
      <c r="P6155" t="n">
        <v>1150</v>
      </c>
      <c r="R6155" t="inlineStr">
        <is>
          <t>InStock</t>
        </is>
      </c>
      <c r="S6155" t="inlineStr">
        <is>
          <t>69.98</t>
        </is>
      </c>
      <c r="T6155" t="inlineStr">
        <is>
          <t>7817421127896</t>
        </is>
      </c>
    </row>
    <row r="6156" hidden="1" ht="15.75" customHeight="1">
      <c r="A6156" s="2">
        <f>HYPERLINK("https://edmondsonsupply.com/collections/electricians-tools/products/klein-tools-661-screwdriver-1-square-recess-tip-4-inch-shank", "https://edmondsonsupply.com/collections/electricians-tools/products/klein-tools-661-screwdriver-1-square-recess-tip-4-inch-shank")</f>
        <v/>
      </c>
      <c r="B6156" s="2">
        <f>HYPERLINK("https://edmondsonsupply.com/products/klein-tools-661-screwdriver-1-square-recess-tip-4-inch-shank", "https://edmondsonsupply.com/products/klein-tools-661-screwdriver-1-square-recess-tip-4-inch-shank")</f>
        <v/>
      </c>
      <c r="C6156" t="inlineStr">
        <is>
          <t>Klein Tools 661 Screwdriver, #1 Square Recess Tip, 4-Inch Shank</t>
        </is>
      </c>
      <c r="D6156" t="inlineStr">
        <is>
          <t>Klein Tools 661 Screwdriver, #1 Square Recess Tip with 4-Inch Round Shank</t>
        </is>
      </c>
      <c r="E6156" s="2">
        <f>HYPERLINK("https://www.amazon.com/Klein-Tools-661-Screwdriver-Square/dp/B000FT7MKW/ref=sr_1_1?keywords=Klein+Tools+661+Screwdriver%2C+%231+Square+Recess+Tip%2C+4-Inch+Shank&amp;qid=1694735398&amp;sr=8-1", "https://www.amazon.com/Klein-Tools-661-Screwdriver-Square/dp/B000FT7MKW/ref=sr_1_1?keywords=Klein+Tools+661+Screwdriver%2C+%231+Square+Recess+Tip%2C+4-Inch+Shank&amp;qid=1694735398&amp;sr=8-1")</f>
        <v/>
      </c>
      <c r="F6156" t="inlineStr">
        <is>
          <t>B000FT7MKW</t>
        </is>
      </c>
      <c r="G6156">
        <f>_xludf.IMAGE("https://edmondsonsupply.com/cdn/shop/products/660_587071df-c969-40cb-961e-3eee072c7429.jpg?v=1587149250")</f>
        <v/>
      </c>
      <c r="H6156">
        <f>_xludf.IMAGE("https://m.media-amazon.com/images/I/61oCMRQGbUL._AC_UL320_.jpg")</f>
        <v/>
      </c>
      <c r="K6156" t="inlineStr">
        <is>
          <t>8.99</t>
        </is>
      </c>
      <c r="L6156" t="n">
        <v>8.99</v>
      </c>
      <c r="M6156" s="1" t="inlineStr">
        <is>
          <t>0.00%</t>
        </is>
      </c>
      <c r="N6156" s="1" t="n"/>
      <c r="O6156" t="n">
        <v>4.8</v>
      </c>
      <c r="P6156" t="n">
        <v>1357</v>
      </c>
      <c r="R6156" t="inlineStr">
        <is>
          <t>InStock</t>
        </is>
      </c>
      <c r="S6156" t="inlineStr">
        <is>
          <t>13.6</t>
        </is>
      </c>
      <c r="T6156" t="inlineStr">
        <is>
          <t>4398444118116</t>
        </is>
      </c>
    </row>
    <row r="6157" ht="87" customHeight="1">
      <c r="A6157" s="2">
        <f>HYPERLINK("https://edmondsonsupply.com/collections/electricians-tools/products/klein-tools-d228-8tt-diagonal-cutting-pliers-high-leverage-tie-ring-8-inch", "https://edmondsonsupply.com/collections/electricians-tools/products/klein-tools-d228-8tt-diagonal-cutting-pliers-high-leverage-tie-ring-8-inch")</f>
        <v/>
      </c>
      <c r="B6157" s="2">
        <f>HYPERLINK("https://edmondsonsupply.com/products/klein-tools-d228-8tt-diagonal-cutting-pliers-high-leverage-tie-ring-8-inch", "https://edmondsonsupply.com/products/klein-tools-d228-8tt-diagonal-cutting-pliers-high-leverage-tie-ring-8-inch")</f>
        <v/>
      </c>
      <c r="C6157" t="inlineStr">
        <is>
          <t>Klein Tools D228-8TT Diagonal Cutting Pliers, High-Leverage, Tie Ring, 8-Inch</t>
        </is>
      </c>
      <c r="D6157" t="inlineStr">
        <is>
          <t>Klein Tools D228-8TT Pliers, Diagonal Cutting Pliers with High-Leverage Design and Tether Ring, 8-Inch</t>
        </is>
      </c>
      <c r="E6157" s="2">
        <f>HYPERLINK("https://www.amazon.com/Leverage-Diagonal-Klein-Tools-D228-8TT/dp/B01K76W5UE/ref=sr_1_1?keywords=Klein+Tools+D228-8TT+Diagonal+Cutting+Pliers%2C+High-Leverage%2C+Tie+Ring%2C+8-Inch&amp;qid=1694735192&amp;sr=8-1", "https://www.amazon.com/Leverage-Diagonal-Klein-Tools-D228-8TT/dp/B01K76W5UE/ref=sr_1_1?keywords=Klein+Tools+D228-8TT+Diagonal+Cutting+Pliers%2C+High-Leverage%2C+Tie+Ring%2C+8-Inch&amp;qid=1694735192&amp;sr=8-1")</f>
        <v/>
      </c>
      <c r="F6157" t="inlineStr">
        <is>
          <t>B01K76W5UE</t>
        </is>
      </c>
      <c r="G6157">
        <f>_xlfn.IMAGE("https://edmondsonsupply.com/cdn/shop/products/d2288tt.jpg?v=1633031129")</f>
        <v/>
      </c>
      <c r="H6157">
        <f>_xlfn.IMAGE("https://m.media-amazon.com/images/I/41Jkh6uEiRL._AC_UL320_.jpg")</f>
        <v/>
      </c>
      <c r="K6157" t="inlineStr">
        <is>
          <t>32.99</t>
        </is>
      </c>
      <c r="L6157" t="n">
        <v>32.99</v>
      </c>
      <c r="M6157" s="1" t="inlineStr">
        <is>
          <t>0.00%</t>
        </is>
      </c>
      <c r="N6157" s="7" t="n"/>
      <c r="O6157" t="n">
        <v>5</v>
      </c>
      <c r="P6157" t="n">
        <v>16</v>
      </c>
      <c r="R6157" t="inlineStr">
        <is>
          <t>InStock</t>
        </is>
      </c>
      <c r="S6157" t="inlineStr">
        <is>
          <t>49.98</t>
        </is>
      </c>
      <c r="T6157" t="inlineStr">
        <is>
          <t>6879409078445</t>
        </is>
      </c>
    </row>
    <row r="6158" ht="87" customHeight="1">
      <c r="A6158" s="2">
        <f>HYPERLINK("https://edmondsonsupply.com/collections/electricians-tools/products/klein-tools-85077-screwdriver-set-multi-application-7-piece", "https://edmondsonsupply.com/collections/electricians-tools/products/klein-tools-85077-screwdriver-set-multi-application-7-piece")</f>
        <v/>
      </c>
      <c r="B6158" s="2">
        <f>HYPERLINK("https://edmondsonsupply.com/products/klein-tools-85077-screwdriver-set-multi-application-7-piece", "https://edmondsonsupply.com/products/klein-tools-85077-screwdriver-set-multi-application-7-piece")</f>
        <v/>
      </c>
      <c r="C6158" t="inlineStr">
        <is>
          <t>Klein Tools 85077 Screwdriver Set, Multi-Application, 7-Piece</t>
        </is>
      </c>
      <c r="D6158" t="inlineStr">
        <is>
          <t>Klein Tools 85077 Screwdriver Set, Multi-Application Screwdriver Kit with Cushion-Grip Handles and Tip-Ident, 7-Piece</t>
        </is>
      </c>
      <c r="E6158" s="2">
        <f>HYPERLINK("https://www.amazon.com/Application-Screwdriver-Klein-Tools-85077/dp/B0002DOL78/ref=sr_1_1?keywords=Klein+Tools+85077+Screwdriver+Set%2C+Multi-Application%2C+7-Piece&amp;qid=1694735214&amp;sr=8-1", "https://www.amazon.com/Application-Screwdriver-Klein-Tools-85077/dp/B0002DOL78/ref=sr_1_1?keywords=Klein+Tools+85077+Screwdriver+Set%2C+Multi-Application%2C+7-Piece&amp;qid=1694735214&amp;sr=8-1")</f>
        <v/>
      </c>
      <c r="F6158" t="inlineStr">
        <is>
          <t>B0002DOL78</t>
        </is>
      </c>
      <c r="G6158">
        <f>_xlfn.IMAGE("https://edmondsonsupply.com/cdn/shop/products/85077.jpg?v=1633031193")</f>
        <v/>
      </c>
      <c r="H6158">
        <f>_xlfn.IMAGE("https://m.media-amazon.com/images/I/617g3He2GNL._AC_UL320_.jpg")</f>
        <v/>
      </c>
      <c r="K6158" t="inlineStr">
        <is>
          <t>64.99</t>
        </is>
      </c>
      <c r="L6158" t="n">
        <v>64.98999999999999</v>
      </c>
      <c r="M6158" s="1" t="inlineStr">
        <is>
          <t>0.00%</t>
        </is>
      </c>
      <c r="N6158" s="7" t="n"/>
      <c r="O6158" t="n">
        <v>4.9</v>
      </c>
      <c r="P6158" t="n">
        <v>30</v>
      </c>
      <c r="R6158" t="inlineStr">
        <is>
          <t>InStock</t>
        </is>
      </c>
      <c r="S6158" t="inlineStr">
        <is>
          <t>98.46</t>
        </is>
      </c>
      <c r="T6158" t="inlineStr">
        <is>
          <t>6937808961709</t>
        </is>
      </c>
    </row>
    <row r="6159" hidden="1" ht="15.75" customHeight="1">
      <c r="A6159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6159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6159" t="inlineStr">
        <is>
          <t>Klein Tools 602-4 1/4-Inch Keystone Screwdriver, 4-Inch Round Shank</t>
        </is>
      </c>
      <c r="D6159" t="inlineStr">
        <is>
          <t>Klein Tools 602-4 1/4-Inch Keystone-Tip Screwdriver with 4-Inch Heavy-Duty Round-Shank</t>
        </is>
      </c>
      <c r="E6159" s="2">
        <f>HYPERLINK("https://www.amazon.com/Keystone-Tip-Screwdriver-Round-Shank-Klein-602-4/dp/B0000302WD/ref=sr_1_1?keywords=Klein+Tools+602-4+1%2F4-Inch+Keystone+Screwdriver%2C+4-Inch+Round+Shank&amp;qid=1694735235&amp;sr=8-1", "https://www.amazon.com/Keystone-Tip-Screwdriver-Round-Shank-Klein-602-4/dp/B0000302WD/ref=sr_1_1?keywords=Klein+Tools+602-4+1%2F4-Inch+Keystone+Screwdriver%2C+4-Inch+Round+Shank&amp;qid=1694735235&amp;sr=8-1")</f>
        <v/>
      </c>
      <c r="F6159" t="inlineStr">
        <is>
          <t>B0000302WD</t>
        </is>
      </c>
      <c r="G6159">
        <f>_xludf.IMAGE("https://edmondsonsupply.com/cdn/shop/products/602-6.jpg?v=1633030821")</f>
        <v/>
      </c>
      <c r="H6159">
        <f>_xludf.IMAGE("https://m.media-amazon.com/images/I/51BHg1CmntL._AC_UL320_.jpg")</f>
        <v/>
      </c>
      <c r="K6159" t="inlineStr">
        <is>
          <t>9.49</t>
        </is>
      </c>
      <c r="L6159" t="n">
        <v>9.49</v>
      </c>
      <c r="M6159" s="1" t="inlineStr">
        <is>
          <t>0.00%</t>
        </is>
      </c>
      <c r="N6159" s="1" t="n"/>
      <c r="O6159" t="n">
        <v>4.8</v>
      </c>
      <c r="P6159" t="n">
        <v>879</v>
      </c>
      <c r="R6159" t="inlineStr">
        <is>
          <t>InStock</t>
        </is>
      </c>
      <c r="S6159" t="inlineStr">
        <is>
          <t>14.36</t>
        </is>
      </c>
      <c r="T6159" t="inlineStr">
        <is>
          <t>6080792363181</t>
        </is>
      </c>
    </row>
    <row r="6160" ht="87" customHeight="1">
      <c r="A6160" s="2">
        <f>HYPERLINK("https://edmondsonsupply.com/collections/electricians-tools/products/klein-tools-56335-wide-steel-fish-tape-1-4-inch-x-25-foot", "https://edmondsonsupply.com/collections/electricians-tools/products/klein-tools-56335-wide-steel-fish-tape-1-4-inch-x-25-foot")</f>
        <v/>
      </c>
      <c r="B6160" s="2">
        <f>HYPERLINK("https://edmondsonsupply.com/products/klein-tools-56335-wide-steel-fish-tape-1-4-inch-x-25-foot", "https://edmondsonsupply.com/products/klein-tools-56335-wide-steel-fish-tape-1-4-inch-x-25-foot")</f>
        <v/>
      </c>
      <c r="C6160" t="inlineStr">
        <is>
          <t>Klein Tools 56335 Wide Steel Fish Tape, 1/4-Inch x 25-Foot</t>
        </is>
      </c>
      <c r="D6160" t="inlineStr">
        <is>
          <t>Klein Tools 56335 Flat Steel Electrical Fish Tape, 25-Foot 1/4-Inch Wide Spring Steel Tape, Slim Plastic Tip, Laser Etched 1-Foot Markings</t>
        </is>
      </c>
      <c r="E6160" s="2">
        <f>HYPERLINK("https://www.amazon.com/Klein-Tools-56335-25-Foot-Markings/dp/B089DT2NKR/ref=sr_1_1?keywords=Klein+Tools+56335+Wide+Steel+Fish+Tape%2C+1%2F4-Inch+x+25-Foot&amp;qid=1694735248&amp;sr=8-1", "https://www.amazon.com/Klein-Tools-56335-25-Foot-Markings/dp/B089DT2NKR/ref=sr_1_1?keywords=Klein+Tools+56335+Wide+Steel+Fish+Tape%2C+1%2F4-Inch+x+25-Foot&amp;qid=1694735248&amp;sr=8-1")</f>
        <v/>
      </c>
      <c r="F6160" t="inlineStr">
        <is>
          <t>B089DT2NKR</t>
        </is>
      </c>
      <c r="G6160">
        <f>_xlfn.IMAGE("https://edmondsonsupply.com/cdn/shop/products/56335.jpg?v=1633030737")</f>
        <v/>
      </c>
      <c r="H6160">
        <f>_xlfn.IMAGE("https://m.media-amazon.com/images/I/612EzZxxojL._AC_UL320_.jpg")</f>
        <v/>
      </c>
      <c r="K6160" t="inlineStr">
        <is>
          <t>16.97</t>
        </is>
      </c>
      <c r="L6160" t="n">
        <v>16.97</v>
      </c>
      <c r="M6160" s="1" t="inlineStr">
        <is>
          <t>0.00%</t>
        </is>
      </c>
      <c r="N6160" s="7" t="n"/>
      <c r="O6160" t="n">
        <v>4.6</v>
      </c>
      <c r="P6160" t="n">
        <v>1215</v>
      </c>
      <c r="R6160" t="inlineStr">
        <is>
          <t>InStock</t>
        </is>
      </c>
      <c r="S6160" t="inlineStr">
        <is>
          <t>24.84</t>
        </is>
      </c>
      <c r="T6160" t="inlineStr">
        <is>
          <t>5878323445928</t>
        </is>
      </c>
    </row>
    <row r="6161" hidden="1" ht="15.75" customHeight="1">
      <c r="A6161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6161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6161" t="inlineStr">
        <is>
          <t>Klein Tools 602-6 5/16-Inch Keystone Tip Screwdriver, Cushion Grip, 6-Inch</t>
        </is>
      </c>
      <c r="D6161" t="inlineStr">
        <is>
          <t>Klein Tools BD308 5/16-Inch Flat Head Screwdriver with Keystone Tip, 8-Inch Square Shank and Comfordome Handle</t>
        </is>
      </c>
      <c r="E6161" s="2">
        <f>HYPERLINK("https://www.amazon.com/Klein-Tools-BD308-Screwdriver-Comfordome/dp/B00093D4O2/ref=sr_1_29?keywords=Klein+Tools+602-6+5%2F16-Inch+Keystone+Tip+Screwdriver%2C+Cushion+Grip%2C+6-Inch&amp;qid=1694735231&amp;sr=8-29", "https://www.amazon.com/Klein-Tools-BD308-Screwdriver-Comfordome/dp/B00093D4O2/ref=sr_1_29?keywords=Klein+Tools+602-6+5%2F16-Inch+Keystone+Tip+Screwdriver%2C+Cushion+Grip%2C+6-Inch&amp;qid=1694735231&amp;sr=8-29")</f>
        <v/>
      </c>
      <c r="F6161" t="inlineStr">
        <is>
          <t>B00093D4O2</t>
        </is>
      </c>
      <c r="G6161">
        <f>_xludf.IMAGE("https://edmondsonsupply.com/cdn/shop/products/602-6_162e3283-acea-47de-aecf-2a25f009fdcb.jpg?v=1633030880")</f>
        <v/>
      </c>
      <c r="H6161">
        <f>_xludf.IMAGE("https://m.media-amazon.com/images/I/31Tlm9V1dlL._AC_UL320_.jpg")</f>
        <v/>
      </c>
      <c r="K6161" t="inlineStr">
        <is>
          <t>11.99</t>
        </is>
      </c>
      <c r="L6161" t="n">
        <v>11.99</v>
      </c>
      <c r="M6161" s="1" t="inlineStr">
        <is>
          <t>0.00%</t>
        </is>
      </c>
      <c r="N6161" s="1" t="n"/>
      <c r="O6161" t="n">
        <v>4.6</v>
      </c>
      <c r="P6161" t="n">
        <v>19</v>
      </c>
      <c r="R6161" t="inlineStr">
        <is>
          <t>InStock</t>
        </is>
      </c>
      <c r="S6161" t="inlineStr">
        <is>
          <t>18.18</t>
        </is>
      </c>
      <c r="T6161" t="inlineStr">
        <is>
          <t>6169213501613</t>
        </is>
      </c>
    </row>
    <row r="6162" ht="87" customHeight="1">
      <c r="A6162" s="2">
        <f>HYPERLINK("https://edmondsonsupply.com/collections/electricians-tools/products/klein-tools-9375-tape-measure-7-5-meter-magnetic-double-hook", "https://edmondsonsupply.com/collections/electricians-tools/products/klein-tools-9375-tape-measure-7-5-meter-magnetic-double-hook")</f>
        <v/>
      </c>
      <c r="B6162" s="2">
        <f>HYPERLINK("https://edmondsonsupply.com/products/klein-tools-9375-tape-measure-7-5-meter-magnetic-double-hook", "https://edmondsonsupply.com/products/klein-tools-9375-tape-measure-7-5-meter-magnetic-double-hook")</f>
        <v/>
      </c>
      <c r="C6162" t="inlineStr">
        <is>
          <t>Klein Tools 9375 Tape Measure, 7.5-Meter Magnetic Double-Hook</t>
        </is>
      </c>
      <c r="D6162" t="inlineStr">
        <is>
          <t>Klein Tools 9375 Tape Measure, Heavy-Duty Measuring Tape with 7.5 m Metric Double-Hook Double-Sided Nylon Reinforced Blade, Metal Belt Clip</t>
        </is>
      </c>
      <c r="E6162" s="2">
        <f>HYPERLINK("https://www.amazon.com/Klein-Tools-7-5-Meter-Magnetic-Double-Hook/dp/B07WJJQM5B/ref=sr_1_1?keywords=Klein+Tools+9375+Tape+Measure%2C+7.5-Meter+Magnetic+Double-Hook&amp;qid=1694735416&amp;sr=8-1", "https://www.amazon.com/Klein-Tools-7-5-Meter-Magnetic-Double-Hook/dp/B07WJJQM5B/ref=sr_1_1?keywords=Klein+Tools+9375+Tape+Measure%2C+7.5-Meter+Magnetic+Double-Hook&amp;qid=1694735416&amp;sr=8-1")</f>
        <v/>
      </c>
      <c r="F6162" t="inlineStr">
        <is>
          <t>B07WJJQM5B</t>
        </is>
      </c>
      <c r="G6162">
        <f>_xlfn.IMAGE("https://edmondsonsupply.com/cdn/shop/products/9375_photo.jpg?v=1587151101")</f>
        <v/>
      </c>
      <c r="H6162">
        <f>_xlfn.IMAGE("https://m.media-amazon.com/images/I/51izUnDqA6L._AC_UL320_.jpg")</f>
        <v/>
      </c>
      <c r="K6162" t="inlineStr">
        <is>
          <t>29.99</t>
        </is>
      </c>
      <c r="L6162" t="n">
        <v>29.99</v>
      </c>
      <c r="M6162" s="1" t="inlineStr">
        <is>
          <t>0.00%</t>
        </is>
      </c>
      <c r="N6162" s="7" t="n"/>
      <c r="O6162" t="n">
        <v>4.6</v>
      </c>
      <c r="P6162" t="n">
        <v>330</v>
      </c>
      <c r="R6162" t="inlineStr">
        <is>
          <t>InStock</t>
        </is>
      </c>
      <c r="S6162" t="inlineStr">
        <is>
          <t>37.42</t>
        </is>
      </c>
      <c r="T6162" t="inlineStr">
        <is>
          <t>4411555250276</t>
        </is>
      </c>
    </row>
    <row r="6163" ht="87" customHeight="1">
      <c r="A6163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6163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6163" t="inlineStr">
        <is>
          <t>Klein Tools 66004 2-in-1 Impact Socket, 6-Point, 3/4 and 9/16-Inch</t>
        </is>
      </c>
      <c r="D6163" t="inlineStr">
        <is>
          <t>Klein Tools 66004 2-in-1 Impact Socket, Socket Wrench Sizes 3/4-Inch and 9/16-Inch Hex, 6-Point Deep Socket with 1/2-Inch Drive</t>
        </is>
      </c>
      <c r="E6163" s="2">
        <f>HYPERLINK("https://www.amazon.com/6-Point-16-Inch-Klein-Tools-66004/dp/B078NJ9Y5C/ref=sr_1_1?keywords=Klein+Tools+66004+2-in-1+Impact+Socket%2C+6-Point%2C+3%2F4+and+9%2F16-Inch&amp;qid=1694735397&amp;sr=8-1", "https://www.amazon.com/6-Point-16-Inch-Klein-Tools-66004/dp/B078NJ9Y5C/ref=sr_1_1?keywords=Klein+Tools+66004+2-in-1+Impact+Socket%2C+6-Point%2C+3%2F4+and+9%2F16-Inch&amp;qid=1694735397&amp;sr=8-1")</f>
        <v/>
      </c>
      <c r="F6163" t="inlineStr">
        <is>
          <t>B078NJ9Y5C</t>
        </is>
      </c>
      <c r="G6163">
        <f>_xlfn.IMAGE("https://edmondsonsupply.com/cdn/shop/products/66004.jpg?v=1664131249")</f>
        <v/>
      </c>
      <c r="H6163">
        <f>_xlfn.IMAGE("https://m.media-amazon.com/images/I/71Oio7pyyHL._AC_UL320_.jpg")</f>
        <v/>
      </c>
      <c r="K6163" t="inlineStr">
        <is>
          <t>39.99</t>
        </is>
      </c>
      <c r="L6163" t="n">
        <v>39.99</v>
      </c>
      <c r="M6163" s="1" t="inlineStr">
        <is>
          <t>0.00%</t>
        </is>
      </c>
      <c r="N6163" s="7" t="n"/>
      <c r="O6163" t="n">
        <v>4.8</v>
      </c>
      <c r="P6163" t="n">
        <v>753</v>
      </c>
      <c r="R6163" t="inlineStr">
        <is>
          <t>InStock</t>
        </is>
      </c>
      <c r="S6163" t="inlineStr">
        <is>
          <t>68.0</t>
        </is>
      </c>
      <c r="T6163" t="inlineStr">
        <is>
          <t>4406308110436</t>
        </is>
      </c>
    </row>
    <row r="6164" ht="87" customHeight="1">
      <c r="A6164" s="2">
        <f>HYPERLINK("https://edmondsonsupply.com/collections/electricians-tools/products/crescent-lufkin-1-3-16-x-16-shockforce-nite-eye%E2%84%A2-g1-dual-sided-tape-measure", "https://edmondsonsupply.com/collections/electricians-tools/products/crescent-lufkin-1-3-16-x-16-shockforce-nite-eye%E2%84%A2-g1-dual-sided-tape-measure")</f>
        <v/>
      </c>
      <c r="B6164" s="2">
        <f>HYPERLINK("https://edmondsonsupply.com/products/crescent-lufkin-1-3-16-x-16-shockforce-nite-eye%e2%84%a2-g1-dual-sided-tape-measure", "https://edmondsonsupply.com/products/crescent-lufkin-1-3-16-x-16-shockforce-nite-eye%e2%84%a2-g1-dual-sided-tape-measure")</f>
        <v/>
      </c>
      <c r="C6164" t="inlineStr">
        <is>
          <t>Crescent Lufkin L1116B-02 1-3/16" x 16' Shockforce Nite Eye™ G1 Dual Sided Tape Measure</t>
        </is>
      </c>
      <c r="D6164" t="inlineStr">
        <is>
          <t>Crescent Lufkin 1-3/16" x 16' Sorce™ G1 Dual Sided Tape Measure - L1116</t>
        </is>
      </c>
      <c r="E6164" s="2">
        <f>HYPERLINK("https://www.amazon.com/Crescent-Lufkin-SorceTM-Sided-Measure/dp/B09PGZRBDK/ref=sr_1_5?keywords=Crescent+Lufkin+L1116B-02+1-3%2F16%22+x+16%27+Shockforce+Nite+Eye%E2%84%A2+G1+Dual+Sided+Tape+Measure&amp;qid=1694735006&amp;sr=8-5", "https://www.amazon.com/Crescent-Lufkin-SorceTM-Sided-Measure/dp/B09PGZRBDK/ref=sr_1_5?keywords=Crescent+Lufkin+L1116B-02+1-3%2F16%22+x+16%27+Shockforce+Nite+Eye%E2%84%A2+G1+Dual+Sided+Tape+Measure&amp;qid=1694735006&amp;sr=8-5")</f>
        <v/>
      </c>
      <c r="F6164" t="inlineStr">
        <is>
          <t>B09PGZRBDK</t>
        </is>
      </c>
      <c r="G6164">
        <f>_xlfn.IMAGE("https://edmondsonsupply.com/cdn/shop/products/LFK_L11168_IMG_FRONT.jpg?v=1679577698")</f>
        <v/>
      </c>
      <c r="H6164">
        <f>_xlfn.IMAGE("https://m.media-amazon.com/images/I/91chClnRXlL._AC_UL320_.jpg")</f>
        <v/>
      </c>
      <c r="K6164" t="inlineStr">
        <is>
          <t>24.99</t>
        </is>
      </c>
      <c r="L6164" t="n">
        <v>24.99</v>
      </c>
      <c r="M6164" s="1" t="inlineStr">
        <is>
          <t>0.00%</t>
        </is>
      </c>
      <c r="N6164" s="7" t="n"/>
      <c r="O6164" t="n">
        <v>5</v>
      </c>
      <c r="P6164" t="n">
        <v>1</v>
      </c>
      <c r="R6164" t="inlineStr">
        <is>
          <t>InStock</t>
        </is>
      </c>
      <c r="S6164" t="inlineStr">
        <is>
          <t>46.15</t>
        </is>
      </c>
      <c r="T6164" t="inlineStr">
        <is>
          <t>7965929898200</t>
        </is>
      </c>
    </row>
    <row r="6165" ht="87" customHeight="1">
      <c r="A6165" s="2">
        <f>HYPERLINK("https://edmondsonsupply.com/collections/electricians-tools/products/klein-tools-et180-digital-differential-manometer", "https://edmondsonsupply.com/collections/electricians-tools/products/klein-tools-et180-digital-differential-manometer")</f>
        <v/>
      </c>
      <c r="B6165" s="2">
        <f>HYPERLINK("https://edmondsonsupply.com/products/klein-tools-et180-digital-differential-manometer", "https://edmondsonsupply.com/products/klein-tools-et180-digital-differential-manometer")</f>
        <v/>
      </c>
      <c r="C6165" t="inlineStr">
        <is>
          <t>Klein Tools ET180 Digital Differential Manometer</t>
        </is>
      </c>
      <c r="D6165" t="inlineStr">
        <is>
          <t>Digital Manometer, Air and Gas Pressure Tester, Differential Dual Port Pressure Gauge, Large LCD Display with Backlight Klein Tools ET180</t>
        </is>
      </c>
      <c r="E6165" s="2">
        <f>HYPERLINK("https://www.amazon.com/Manometer-Differential-Klein-Tools-ET180/dp/B099ZYCV1L/ref=sr_1_1?keywords=Klein+Tools+ET180+Digital+Differential+Manometer&amp;qid=1694734974&amp;sr=8-1", "https://www.amazon.com/Manometer-Differential-Klein-Tools-ET180/dp/B099ZYCV1L/ref=sr_1_1?keywords=Klein+Tools+ET180+Digital+Differential+Manometer&amp;qid=1694734974&amp;sr=8-1")</f>
        <v/>
      </c>
      <c r="F6165" t="inlineStr">
        <is>
          <t>B099ZYCV1L</t>
        </is>
      </c>
      <c r="G6165">
        <f>_xlfn.IMAGE("https://edmondsonsupply.com/cdn/shop/products/et180.jpg?v=1664390112")</f>
        <v/>
      </c>
      <c r="H6165">
        <f>_xlfn.IMAGE("https://m.media-amazon.com/images/I/61Hi-kuZ5tL._AC_UY218_.jpg")</f>
        <v/>
      </c>
      <c r="K6165" t="inlineStr">
        <is>
          <t>109.99</t>
        </is>
      </c>
      <c r="L6165" t="n">
        <v>109.99</v>
      </c>
      <c r="M6165" s="1" t="inlineStr">
        <is>
          <t>0.00%</t>
        </is>
      </c>
      <c r="N6165" s="7" t="n"/>
      <c r="O6165" t="n">
        <v>4.6</v>
      </c>
      <c r="P6165" t="n">
        <v>286</v>
      </c>
      <c r="R6165" t="inlineStr">
        <is>
          <t>InStock</t>
        </is>
      </c>
      <c r="S6165" t="inlineStr">
        <is>
          <t>151.98</t>
        </is>
      </c>
      <c r="T6165" t="inlineStr">
        <is>
          <t>7832184094936</t>
        </is>
      </c>
    </row>
    <row r="6166" hidden="1" ht="15.75" customHeight="1">
      <c r="A6166" s="2">
        <f>HYPERLINK("https://edmondsonsupply.com/collections/electricians-tools/products/jameson-tools-rd0058-ground-rod-driver-5-8-in", "https://edmondsonsupply.com/collections/electricians-tools/products/jameson-tools-rd0058-ground-rod-driver-5-8-in")</f>
        <v/>
      </c>
      <c r="B6166" s="2">
        <f>HYPERLINK("https://edmondsonsupply.com/products/jameson-tools-rd0058-ground-rod-driver-5-8-in", "https://edmondsonsupply.com/products/jameson-tools-rd0058-ground-rod-driver-5-8-in")</f>
        <v/>
      </c>
      <c r="C6166" t="inlineStr">
        <is>
          <t>Jameson Tools RD0058 Ground Rod Driver, 5/8 in.</t>
        </is>
      </c>
      <c r="D6166" t="inlineStr">
        <is>
          <t>Jameson RD0058 5/8-inch Ground Rod Driver</t>
        </is>
      </c>
      <c r="E6166" s="2">
        <f>HYPERLINK("https://www.amazon.com/Jameson-RD0058-8-inch-Ground-Driver/dp/B07HJG2SZ8/ref=sr_1_1?keywords=Jameson+Tools+RD0058+Ground+Rod+Driver%2C+5%2F8+in.&amp;qid=1694734994&amp;sr=8-1", "https://www.amazon.com/Jameson-RD0058-8-inch-Ground-Driver/dp/B07HJG2SZ8/ref=sr_1_1?keywords=Jameson+Tools+RD0058+Ground+Rod+Driver%2C+5%2F8+in.&amp;qid=1694734994&amp;sr=8-1")</f>
        <v/>
      </c>
      <c r="F6166" t="inlineStr">
        <is>
          <t>B07HJG2SZ8</t>
        </is>
      </c>
      <c r="G6166">
        <f>_xludf.IMAGE("https://edmondsonsupply.com/cdn/shop/files/RD0058.jpg?v=1694387232")</f>
        <v/>
      </c>
      <c r="H6166">
        <f>_xludf.IMAGE("https://m.media-amazon.com/images/I/413mt6icHnL._AC_UL320_.jpg")</f>
        <v/>
      </c>
      <c r="K6166" t="inlineStr">
        <is>
          <t>58.99</t>
        </is>
      </c>
      <c r="L6166" t="n">
        <v>58.99</v>
      </c>
      <c r="M6166" s="1" t="inlineStr">
        <is>
          <t>0.00%</t>
        </is>
      </c>
      <c r="N6166" s="1" t="n"/>
      <c r="O6166" t="n">
        <v>3.6</v>
      </c>
      <c r="P6166" t="n">
        <v>16</v>
      </c>
      <c r="R6166" t="inlineStr">
        <is>
          <t>InStock</t>
        </is>
      </c>
      <c r="S6166" t="inlineStr">
        <is>
          <t>undefined</t>
        </is>
      </c>
      <c r="T6166" t="inlineStr">
        <is>
          <t>8036157423832</t>
        </is>
      </c>
    </row>
    <row r="6167" ht="87" customHeight="1">
      <c r="A6167" s="2">
        <f>HYPERLINK("https://edmondsonsupply.com/collections/electricians-tools/products/milwaukee-48-22-7218-18-aluminum-pipe-wrench", "https://edmondsonsupply.com/collections/electricians-tools/products/milwaukee-48-22-7218-18-aluminum-pipe-wrench")</f>
        <v/>
      </c>
      <c r="B6167" s="2">
        <f>HYPERLINK("https://edmondsonsupply.com/products/milwaukee-48-22-7218-18-aluminum-pipe-wrench", "https://edmondsonsupply.com/products/milwaukee-48-22-7218-18-aluminum-pipe-wrench")</f>
        <v/>
      </c>
      <c r="C6167" t="inlineStr">
        <is>
          <t>Milwaukee 48-22-7218 18" Aluminum Pipe Wrench</t>
        </is>
      </c>
      <c r="D6167" t="inlineStr">
        <is>
          <t>Milwaukee ELEC Tool 48 22 7218 18 In. Aluminum Pipe</t>
        </is>
      </c>
      <c r="E6167" s="2">
        <f>HYPERLINK("https://www.amazon.com/MILWAUKEE-48-22-7218-Milwaukee/dp/B01HOXOCLS/ref=sr_1_2?keywords=Milwaukee+48-22-7218+18%22+Aluminum+Pipe+Wrench&amp;qid=1694735004&amp;sr=8-2", "https://www.amazon.com/MILWAUKEE-48-22-7218-Milwaukee/dp/B01HOXOCLS/ref=sr_1_2?keywords=Milwaukee+48-22-7218+18%22+Aluminum+Pipe+Wrench&amp;qid=1694735004&amp;sr=8-2")</f>
        <v/>
      </c>
      <c r="F6167" t="inlineStr">
        <is>
          <t>B01HOXOCLS</t>
        </is>
      </c>
      <c r="G6167">
        <f>_xlfn.IMAGE("https://edmondsonsupply.com/cdn/shop/products/48-22-7218_2_1_742fcb03-c548-4ed9-8aa1-934894b7f36d.png?v=1680096673")</f>
        <v/>
      </c>
      <c r="H6167">
        <f>_xlfn.IMAGE("https://m.media-amazon.com/images/I/81bul4GtwUL._AC_UL320_.jpg")</f>
        <v/>
      </c>
      <c r="K6167" t="inlineStr">
        <is>
          <t>64.97</t>
        </is>
      </c>
      <c r="L6167" t="n">
        <v>64.97</v>
      </c>
      <c r="M6167" s="1" t="inlineStr">
        <is>
          <t>0.00%</t>
        </is>
      </c>
      <c r="N6167" s="7" t="n"/>
      <c r="O6167" t="n">
        <v>4.8</v>
      </c>
      <c r="P6167" t="n">
        <v>78</v>
      </c>
      <c r="R6167" t="inlineStr">
        <is>
          <t>InStock</t>
        </is>
      </c>
      <c r="S6167" t="inlineStr">
        <is>
          <t>103.5</t>
        </is>
      </c>
      <c r="T6167" t="inlineStr">
        <is>
          <t>7969546404056</t>
        </is>
      </c>
    </row>
    <row r="6168" ht="87" customHeight="1">
      <c r="A6168" s="2">
        <f>HYPERLINK("https://edmondsonsupply.com/collections/electricians-tools/products/klein-tools-vdv026-211-coax-cable-installation-kit-with-zipper-pouch", "https://edmondsonsupply.com/collections/electricians-tools/products/klein-tools-vdv026-211-coax-cable-installation-kit-with-zipper-pouch")</f>
        <v/>
      </c>
      <c r="B6168" s="2">
        <f>HYPERLINK("https://edmondsonsupply.com/products/klein-tools-vdv026-211-coax-cable-installation-kit-with-zipper-pouch", "https://edmondsonsupply.com/products/klein-tools-vdv026-211-coax-cable-installation-kit-with-zipper-pouch")</f>
        <v/>
      </c>
      <c r="C6168" t="inlineStr">
        <is>
          <t>Klein Tools VDV026-211 Coax Cable Installation Kit with Zipper Pouch</t>
        </is>
      </c>
      <c r="D6168" t="inlineStr">
        <is>
          <t>Klein Tools VDV026-211 Coax Installation Kit with Crimp Tool, Cable Cutter, Stripper and F Connectors with Storage Bag</t>
        </is>
      </c>
      <c r="E6168" s="2">
        <f>HYPERLINK("https://www.amazon.com/Installation-Compression-Klein-Tools-VDV026-211/dp/B07C53S78W/ref=sr_1_1?keywords=Klein+Tools+VDV026-211+Coax+Cable+Installation+Kit+with+Zipper+Pouch&amp;qid=1694735392&amp;sr=8-1", "https://www.amazon.com/Installation-Compression-Klein-Tools-VDV026-211/dp/B07C53S78W/ref=sr_1_1?keywords=Klein+Tools+VDV026-211+Coax+Cable+Installation+Kit+with+Zipper+Pouch&amp;qid=1694735392&amp;sr=8-1")</f>
        <v/>
      </c>
      <c r="F6168" t="inlineStr">
        <is>
          <t>B07C53S78W</t>
        </is>
      </c>
      <c r="G6168">
        <f>_xlfn.IMAGE("https://edmondsonsupply.com/cdn/shop/products/vdv026211.jpg?v=1587143022")</f>
        <v/>
      </c>
      <c r="H6168">
        <f>_xlfn.IMAGE("https://m.media-amazon.com/images/I/61dpMuEcXvL._AC_UL320_.jpg")</f>
        <v/>
      </c>
      <c r="K6168" t="inlineStr">
        <is>
          <t>49.97</t>
        </is>
      </c>
      <c r="L6168" t="n">
        <v>49.97</v>
      </c>
      <c r="M6168" s="1" t="inlineStr">
        <is>
          <t>0.00%</t>
        </is>
      </c>
      <c r="N6168" s="7" t="n"/>
      <c r="O6168" t="n">
        <v>4.8</v>
      </c>
      <c r="P6168" t="n">
        <v>746</v>
      </c>
      <c r="R6168" t="inlineStr">
        <is>
          <t>InStock</t>
        </is>
      </c>
      <c r="S6168" t="inlineStr">
        <is>
          <t>63.0</t>
        </is>
      </c>
      <c r="T6168" t="inlineStr">
        <is>
          <t>4397205946468</t>
        </is>
      </c>
    </row>
    <row r="6169" hidden="1" ht="15.75" customHeight="1">
      <c r="A6169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6169" s="2">
        <f>HYPERLINK("https://edmondsonsupply.com/products/klein-tools-jth6m4-4-mm-hex-with-journeyman-t-handle-6-inch", "https://edmondsonsupply.com/products/klein-tools-jth6m4-4-mm-hex-with-journeyman-t-handle-6-inch")</f>
        <v/>
      </c>
      <c r="C6169" t="inlineStr">
        <is>
          <t>Klein Tools JTH6M4 4 mm Hex with Journeyman T-Handle 6-Inch</t>
        </is>
      </c>
      <c r="D6169" t="inlineStr">
        <is>
          <t>Klein Tools JTH6M3 3 mm Hex Key with Journeyman T-Handle, 6-Inch</t>
        </is>
      </c>
      <c r="E6169" s="2">
        <f>HYPERLINK("https://www.amazon.com/Journeyman-T-Handle-Klein-Tools-JTH6M3/dp/B005G394RG/ref=sr_1_5?keywords=Klein+Tools+JTH6M4+4+mm+Hex+with+Journeyman+T-Handle+6-Inch&amp;qid=1694735242&amp;sr=8-5", "https://www.amazon.com/Journeyman-T-Handle-Klein-Tools-JTH6M3/dp/B005G394RG/ref=sr_1_5?keywords=Klein+Tools+JTH6M4+4+mm+Hex+with+Journeyman+T-Handle+6-Inch&amp;qid=1694735242&amp;sr=8-5")</f>
        <v/>
      </c>
      <c r="F6169" t="inlineStr">
        <is>
          <t>B005G394RG</t>
        </is>
      </c>
      <c r="G6169">
        <f>_xludf.IMAGE("https://edmondsonsupply.com/cdn/shop/products/jth6m8_21839492-f844-4577-89b7-6c2cb1d02f31.jpg?v=1603052109")</f>
        <v/>
      </c>
      <c r="H6169">
        <f>_xludf.IMAGE("https://m.media-amazon.com/images/I/51+1x0vz9XL._AC_UL320_.jpg")</f>
        <v/>
      </c>
      <c r="K6169" t="inlineStr">
        <is>
          <t>3.99</t>
        </is>
      </c>
      <c r="L6169" t="n">
        <v>3.99</v>
      </c>
      <c r="M6169" s="1" t="inlineStr">
        <is>
          <t>0.00%</t>
        </is>
      </c>
      <c r="N6169" s="1" t="n"/>
      <c r="O6169" t="n">
        <v>4.7</v>
      </c>
      <c r="P6169" t="n">
        <v>358</v>
      </c>
      <c r="R6169" t="inlineStr">
        <is>
          <t>InStock</t>
        </is>
      </c>
      <c r="S6169" t="inlineStr">
        <is>
          <t>6.04</t>
        </is>
      </c>
      <c r="T6169" t="inlineStr">
        <is>
          <t>5963077157032</t>
        </is>
      </c>
    </row>
    <row r="6170" ht="87" customHeight="1">
      <c r="A6170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6170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6170" t="inlineStr">
        <is>
          <t>Klein Tools 32288 8-in-1 Insulated Interchangeable Screwdriver Set</t>
        </is>
      </c>
      <c r="D6170" t="inlineStr">
        <is>
          <t>Klein Tools 85146 Screwdriver Set with Magnetizer / Demagnetizer for Magnetic Tips 3 Slotted, 3 Phillips, Non-Slip Cushion Grip, 6-Piece</t>
        </is>
      </c>
      <c r="E6170" s="2">
        <f>HYPERLINK("https://www.amazon.com/Klein-Tools-85146-Screwdriver-Demagnetizer/dp/B07W4LKR8D/ref=sr_1_30?keywords=Klein+Tools+32288+8-in-1+Insulated+Interchangeable+Screwdriver+Set&amp;qid=1694734974&amp;sr=8-30", "https://www.amazon.com/Klein-Tools-85146-Screwdriver-Demagnetizer/dp/B07W4LKR8D/ref=sr_1_30?keywords=Klein+Tools+32288+8-in-1+Insulated+Interchangeable+Screwdriver+Set&amp;qid=1694734974&amp;sr=8-30")</f>
        <v/>
      </c>
      <c r="F6170" t="inlineStr">
        <is>
          <t>B07W4LKR8D</t>
        </is>
      </c>
      <c r="G6170">
        <f>_xlfn.IMAGE("https://edmondsonsupply.com/cdn/shop/products/32288.jpg?v=1587146849")</f>
        <v/>
      </c>
      <c r="H6170">
        <f>_xlfn.IMAGE("https://m.media-amazon.com/images/I/61UOo0NmUkL._AC_UL320_.jpg")</f>
        <v/>
      </c>
      <c r="K6170" t="inlineStr">
        <is>
          <t>49.99</t>
        </is>
      </c>
      <c r="L6170" t="n">
        <v>49.99</v>
      </c>
      <c r="M6170" s="1" t="inlineStr">
        <is>
          <t>0.00%</t>
        </is>
      </c>
      <c r="N6170" s="7" t="n"/>
      <c r="O6170" t="n">
        <v>4.9</v>
      </c>
      <c r="P6170" t="n">
        <v>1806</v>
      </c>
      <c r="R6170" t="inlineStr">
        <is>
          <t>InStock</t>
        </is>
      </c>
      <c r="S6170" t="inlineStr">
        <is>
          <t>69.98</t>
        </is>
      </c>
      <c r="T6170" t="inlineStr">
        <is>
          <t>4094849613924</t>
        </is>
      </c>
    </row>
    <row r="6171" ht="87" customHeight="1">
      <c r="A6171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6171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6171" t="inlineStr">
        <is>
          <t>Klein Tools 32288 8-in-1 Insulated Interchangeable Screwdriver Set</t>
        </is>
      </c>
      <c r="D6171" t="inlineStr">
        <is>
          <t>Klein Tools 33736INS Insulated Screwdriver Set, 1000V Slim-Tip Driver with Phillips, Cabinet and Square Bits and a Magnetizer, 6-Piece</t>
        </is>
      </c>
      <c r="E6171" s="2">
        <f>HYPERLINK("https://www.amazon.com/Klein-Tools-33736INS-Screwdriver-Magnetizer/dp/B09GPZPMTD/ref=sr_1_29?keywords=Klein+Tools+32288+8-in-1+Insulated+Interchangeable+Screwdriver+Set&amp;qid=1694734974&amp;sr=8-29", "https://www.amazon.com/Klein-Tools-33736INS-Screwdriver-Magnetizer/dp/B09GPZPMTD/ref=sr_1_29?keywords=Klein+Tools+32288+8-in-1+Insulated+Interchangeable+Screwdriver+Set&amp;qid=1694734974&amp;sr=8-29")</f>
        <v/>
      </c>
      <c r="F6171" t="inlineStr">
        <is>
          <t>B09GPZPMTD</t>
        </is>
      </c>
      <c r="G6171">
        <f>_xlfn.IMAGE("https://edmondsonsupply.com/cdn/shop/products/32288.jpg?v=1587146849")</f>
        <v/>
      </c>
      <c r="H6171">
        <f>_xlfn.IMAGE("https://m.media-amazon.com/images/I/51W2DUA3c7L._AC_UL320_.jpg")</f>
        <v/>
      </c>
      <c r="K6171" t="inlineStr">
        <is>
          <t>49.99</t>
        </is>
      </c>
      <c r="L6171" t="n">
        <v>49.99</v>
      </c>
      <c r="M6171" s="1" t="inlineStr">
        <is>
          <t>0.00%</t>
        </is>
      </c>
      <c r="N6171" s="7" t="n"/>
      <c r="O6171" t="n">
        <v>4.8</v>
      </c>
      <c r="P6171" t="n">
        <v>414</v>
      </c>
      <c r="R6171" t="inlineStr">
        <is>
          <t>InStock</t>
        </is>
      </c>
      <c r="S6171" t="inlineStr">
        <is>
          <t>69.98</t>
        </is>
      </c>
      <c r="T6171" t="inlineStr">
        <is>
          <t>4094849613924</t>
        </is>
      </c>
    </row>
    <row r="6172" ht="87" customHeight="1">
      <c r="A6172" s="2">
        <f>HYPERLINK("https://edmondsonsupply.com/collections/electricians-tools/products/klein-tools-ktsb15-step-drill-bit-15-double-fluted-7-8-to-1-3-8-inch", "https://edmondsonsupply.com/collections/electricians-tools/products/klein-tools-ktsb15-step-drill-bit-15-double-fluted-7-8-to-1-3-8-inch")</f>
        <v/>
      </c>
      <c r="B6172" s="2">
        <f>HYPERLINK("https://edmondsonsupply.com/products/klein-tools-ktsb15-step-drill-bit-15-double-fluted-7-8-to-1-3-8-inch", "https://edmondsonsupply.com/products/klein-tools-ktsb15-step-drill-bit-15-double-fluted-7-8-to-1-3-8-inch")</f>
        <v/>
      </c>
      <c r="C6172" t="inlineStr">
        <is>
          <t>Klein Tools KTSB15 Step Drill Bit #15 Double Fluted 7/8 to 1-3/8-Inch</t>
        </is>
      </c>
      <c r="D6172" t="inlineStr">
        <is>
          <t>Klein Tools KTSB15 Step Drill Bit #15 Double Fluted 7/8 to 1-3/8-Inch with Easy-to-Read Step Markings and Targets, 3/8-Inch Hex Shank</t>
        </is>
      </c>
      <c r="E6172" s="2">
        <f>HYPERLINK("https://www.amazon.com/Klein-Tools-KTSB15-Double-Fluted/dp/B0171X0S0A/ref=sr_1_1?keywords=Klein+Tools+KTSB15+Step+Drill+Bit+%2315+Double+Fluted+7%2F8+to+1-3%2F8-Inch&amp;qid=1694735232&amp;sr=8-1", "https://www.amazon.com/Klein-Tools-KTSB15-Double-Fluted/dp/B0171X0S0A/ref=sr_1_1?keywords=Klein+Tools+KTSB15+Step+Drill+Bit+%2315+Double+Fluted+7%2F8+to+1-3%2F8-Inch&amp;qid=1694735232&amp;sr=8-1")</f>
        <v/>
      </c>
      <c r="F6172" t="inlineStr">
        <is>
          <t>B0171X0S0A</t>
        </is>
      </c>
      <c r="G6172">
        <f>_xlfn.IMAGE("https://edmondsonsupply.com/cdn/shop/products/ktsb15.jpg?v=1633030886")</f>
        <v/>
      </c>
      <c r="H6172">
        <f>_xlfn.IMAGE("https://m.media-amazon.com/images/I/511QhROPNmL._AC_UY218_.jpg")</f>
        <v/>
      </c>
      <c r="K6172" t="inlineStr">
        <is>
          <t>59.97</t>
        </is>
      </c>
      <c r="L6172" t="n">
        <v>59.97</v>
      </c>
      <c r="M6172" s="1" t="inlineStr">
        <is>
          <t>0.00%</t>
        </is>
      </c>
      <c r="N6172" s="7" t="n"/>
      <c r="O6172" t="n">
        <v>4.7</v>
      </c>
      <c r="P6172" t="n">
        <v>1768</v>
      </c>
      <c r="R6172" t="inlineStr">
        <is>
          <t>InStock</t>
        </is>
      </c>
      <c r="S6172" t="inlineStr">
        <is>
          <t>81.96</t>
        </is>
      </c>
      <c r="T6172" t="inlineStr">
        <is>
          <t>6217390424237</t>
        </is>
      </c>
    </row>
    <row r="6173" ht="87" customHeight="1">
      <c r="A6173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6173" s="2">
        <f>HYPERLINK("https://edmondsonsupply.com/products/klein-tools-d2000-9ne-linemans-pliers-9-inch", "https://edmondsonsupply.com/products/klein-tools-d2000-9ne-linemans-pliers-9-inch")</f>
        <v/>
      </c>
      <c r="C6173" t="inlineStr">
        <is>
          <t>Klein Tools D2000-9NE Lineman's Pliers, 9-Inch</t>
        </is>
      </c>
      <c r="D6173" t="inlineStr">
        <is>
          <t>Klein Tools J213-9NE Side Cutter Linemans Pliers, High Leverage, 9-Inch, Streamlined Design, Color Coded</t>
        </is>
      </c>
      <c r="E6173" s="2">
        <f>HYPERLINK("https://www.amazon.com/Linemans-Streamlined-Klein-Tools-J213-9NE/dp/B001TKF1BS/ref=sr_1_6?keywords=Klein+Tools+D2000-9NE+Linemans+Pliers%2C+9-Inch&amp;qid=1694735236&amp;sr=8-6", "https://www.amazon.com/Linemans-Streamlined-Klein-Tools-J213-9NE/dp/B001TKF1BS/ref=sr_1_6?keywords=Klein+Tools+D2000-9NE+Linemans+Pliers%2C+9-Inch&amp;qid=1694735236&amp;sr=8-6")</f>
        <v/>
      </c>
      <c r="F6173" t="inlineStr">
        <is>
          <t>B001TKF1BS</t>
        </is>
      </c>
      <c r="G6173">
        <f>_xlfn.IMAGE("https://edmondsonsupply.com/cdn/shop/products/d20009ne.jpg?v=1633030816")</f>
        <v/>
      </c>
      <c r="H6173">
        <f>_xlfn.IMAGE("https://m.media-amazon.com/images/I/41zk0Z6-1BL._AC_UL320_.jpg")</f>
        <v/>
      </c>
      <c r="K6173" t="inlineStr">
        <is>
          <t>39.99</t>
        </is>
      </c>
      <c r="L6173" t="n">
        <v>39.99</v>
      </c>
      <c r="M6173" s="1" t="inlineStr">
        <is>
          <t>0.00%</t>
        </is>
      </c>
      <c r="N6173" s="7" t="n"/>
      <c r="O6173" t="n">
        <v>4.8</v>
      </c>
      <c r="P6173" t="n">
        <v>746</v>
      </c>
      <c r="R6173" t="inlineStr">
        <is>
          <t>InStock</t>
        </is>
      </c>
      <c r="S6173" t="inlineStr">
        <is>
          <t>62.04</t>
        </is>
      </c>
      <c r="T6173" t="inlineStr">
        <is>
          <t>6070895411373</t>
        </is>
      </c>
    </row>
    <row r="6174" hidden="1" ht="15.75" customHeight="1">
      <c r="A6174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6174" s="2">
        <f>HYPERLINK("https://edmondsonsupply.com/products/klein-tools-630-5-8-nut-driver-5-8-inch-4-inch-hollow-shaft", "https://edmondsonsupply.com/products/klein-tools-630-5-8-nut-driver-5-8-inch-4-inch-hollow-shaft")</f>
        <v/>
      </c>
      <c r="C6174" t="inlineStr">
        <is>
          <t>Klein Tools 630-5/8 Nut Driver, 5/8-Inch, 4-Inch Hollow Shaft</t>
        </is>
      </c>
      <c r="D6174" t="inlineStr">
        <is>
          <t>Klein Tools 630-5/8 Nut Driver, 5/8-Inch, 4-Inch Hollow Shaft, Cushion Grip Handle</t>
        </is>
      </c>
      <c r="E6174" s="2">
        <f>HYPERLINK("https://www.amazon.com/Driver-Cushion-Klein-Tools-630-5/dp/B000219OBI/ref=sr_1_1?keywords=Klein+Tools+630-5%2F8+Nut+Driver%2C+5%2F8-Inch%2C+4-Inch+Hollow+Shaft&amp;qid=1694735205&amp;sr=8-1", "https://www.amazon.com/Driver-Cushion-Klein-Tools-630-5/dp/B000219OBI/ref=sr_1_1?keywords=Klein+Tools+630-5%2F8+Nut+Driver%2C+5%2F8-Inch%2C+4-Inch+Hollow+Shaft&amp;qid=1694735205&amp;sr=8-1")</f>
        <v/>
      </c>
      <c r="F6174" t="inlineStr">
        <is>
          <t>B000219OBI</t>
        </is>
      </c>
      <c r="G6174">
        <f>_xludf.IMAGE("https://edmondsonsupply.com/cdn/shop/products/630-1-2_df0ca74a-79e7-41f4-ad94-60312e01e692.jpg?v=1633031052")</f>
        <v/>
      </c>
      <c r="H6174">
        <f>_xludf.IMAGE("https://m.media-amazon.com/images/I/41Cj8-Y8KnL._AC_UL320_.jpg")</f>
        <v/>
      </c>
      <c r="K6174" t="inlineStr">
        <is>
          <t>12.49</t>
        </is>
      </c>
      <c r="L6174" t="n">
        <v>12.49</v>
      </c>
      <c r="M6174" s="1" t="inlineStr">
        <is>
          <t>0.00%</t>
        </is>
      </c>
      <c r="N6174" s="1" t="n"/>
      <c r="O6174" t="n">
        <v>4.8</v>
      </c>
      <c r="P6174" t="n">
        <v>2069</v>
      </c>
      <c r="R6174" t="inlineStr">
        <is>
          <t>InStock</t>
        </is>
      </c>
      <c r="S6174" t="inlineStr">
        <is>
          <t>18.92</t>
        </is>
      </c>
      <c r="T6174" t="inlineStr">
        <is>
          <t>6781025386669</t>
        </is>
      </c>
    </row>
    <row r="6175" ht="87" customHeight="1">
      <c r="A6175" s="2">
        <f>HYPERLINK("https://edmondsonsupply.com/collections/electricians-tools/products/klein-tools-635-6-nut-driver-set-magnetic-nut-drivers-heavy-duty-6-piece", "https://edmondsonsupply.com/collections/electricians-tools/products/klein-tools-635-6-nut-driver-set-magnetic-nut-drivers-heavy-duty-6-piece")</f>
        <v/>
      </c>
      <c r="B6175" s="2">
        <f>HYPERLINK("https://edmondsonsupply.com/products/klein-tools-635-6-nut-driver-set-magnetic-nut-drivers-heavy-duty-6-piece", "https://edmondsonsupply.com/products/klein-tools-635-6-nut-driver-set-magnetic-nut-drivers-heavy-duty-6-piece")</f>
        <v/>
      </c>
      <c r="C6175" t="inlineStr">
        <is>
          <t>Klein Tools 635-6 Nut Driver Set, Magnetic Nut Drivers, Heavy Duty, 6-Piece</t>
        </is>
      </c>
      <c r="D6175" t="inlineStr">
        <is>
          <t>Klein Tools 647M Tool Set, Magnetic Nut Drivers Sizes 3/16, 1/4, 5/16, 11/32, 3/8, 7/16, 1/2-Inch, 6-Inch Hollow Shafts, 7-Piece</t>
        </is>
      </c>
      <c r="E6175" s="2">
        <f>HYPERLINK("https://www.amazon.com/Klein-Tools-647M-Magnetic-7-Piece/dp/B000MKIUYQ/ref=sr_1_10?keywords=Klein+Tools+635-6+Nut+Driver+Set%2C+Magnetic+Nut+Drivers%2C+Heavy+Duty%2C+6-Piece&amp;qid=1694735220&amp;sr=8-10", "https://www.amazon.com/Klein-Tools-647M-Magnetic-7-Piece/dp/B000MKIUYQ/ref=sr_1_10?keywords=Klein+Tools+635-6+Nut+Driver+Set%2C+Magnetic+Nut+Drivers%2C+Heavy+Duty%2C+6-Piece&amp;qid=1694735220&amp;sr=8-10")</f>
        <v/>
      </c>
      <c r="F6175" t="inlineStr">
        <is>
          <t>B000MKIUYQ</t>
        </is>
      </c>
      <c r="G6175">
        <f>_xlfn.IMAGE("https://edmondsonsupply.com/cdn/shop/products/635-6.jpg?v=1633031003")</f>
        <v/>
      </c>
      <c r="H6175">
        <f>_xlfn.IMAGE("https://m.media-amazon.com/images/I/61PNUE211uL._AC_UL320_.jpg")</f>
        <v/>
      </c>
      <c r="K6175" t="inlineStr">
        <is>
          <t>79.99</t>
        </is>
      </c>
      <c r="L6175" t="n">
        <v>79.98999999999999</v>
      </c>
      <c r="M6175" s="1" t="inlineStr">
        <is>
          <t>0.00%</t>
        </is>
      </c>
      <c r="N6175" s="7" t="n"/>
      <c r="O6175" t="n">
        <v>4.8</v>
      </c>
      <c r="P6175" t="n">
        <v>985</v>
      </c>
      <c r="R6175" t="inlineStr">
        <is>
          <t>InStock</t>
        </is>
      </c>
      <c r="S6175" t="inlineStr">
        <is>
          <t>121.2</t>
        </is>
      </c>
      <c r="T6175" t="inlineStr">
        <is>
          <t>6690795716781</t>
        </is>
      </c>
    </row>
    <row r="6176" ht="87" customHeight="1">
      <c r="A6176" s="2">
        <f>HYPERLINK("https://edmondsonsupply.com/collections/electricians-tools/products/klein-tools-32559-6-in-1-multi-bit-screwdriver-extended-reach", "https://edmondsonsupply.com/collections/electricians-tools/products/klein-tools-32559-6-in-1-multi-bit-screwdriver-extended-reach")</f>
        <v/>
      </c>
      <c r="B6176" s="2">
        <f>HYPERLINK("https://edmondsonsupply.com/products/klein-tools-32559-6-in-1-multi-bit-screwdriver-extended-reach", "https://edmondsonsupply.com/products/klein-tools-32559-6-in-1-multi-bit-screwdriver-extended-reach")</f>
        <v/>
      </c>
      <c r="C6176" t="inlineStr">
        <is>
          <t>Klein Tools 32559 Multi-Bit Screwdriver / Nut Driver, 6-in-1, Extended Reach, Ph, Sl</t>
        </is>
      </c>
      <c r="D6176" t="inlineStr">
        <is>
          <t>Klein Tools 32559 Multi-bit Screwdriver / Nut Driver, Extended Reach 6-in-1 Tool with Nut Driver, Phillips and Slotted Bits</t>
        </is>
      </c>
      <c r="E6176" s="2">
        <f>HYPERLINK("https://www.amazon.com/Multibit-Screwdriver-Klein-Tools-32559/dp/B005FQDHDG/ref=sr_1_1?keywords=Klein+Tools+32559+Multi-Bit+Screwdriver+%2F+Nut+Driver%2C+6-in-1%2C+Extended+Reach%2C+Ph%2C+Sl&amp;qid=1694735413&amp;sr=8-1", "https://www.amazon.com/Multibit-Screwdriver-Klein-Tools-32559/dp/B005FQDHDG/ref=sr_1_1?keywords=Klein+Tools+32559+Multi-Bit+Screwdriver+%2F+Nut+Driver%2C+6-in-1%2C+Extended+Reach%2C+Ph%2C+Sl&amp;qid=1694735413&amp;sr=8-1")</f>
        <v/>
      </c>
      <c r="F6176" t="inlineStr">
        <is>
          <t>B005FQDHDG</t>
        </is>
      </c>
      <c r="G6176">
        <f>_xlfn.IMAGE("https://edmondsonsupply.com/cdn/shop/products/32559_839a646b-b16e-42a3-8ec1-1e9f20c6214e.jpg?v=1587147888")</f>
        <v/>
      </c>
      <c r="H6176">
        <f>_xlfn.IMAGE("https://m.media-amazon.com/images/I/514peoSo7EL._AC_UL320_.jpg")</f>
        <v/>
      </c>
      <c r="K6176" t="inlineStr">
        <is>
          <t>15.97</t>
        </is>
      </c>
      <c r="L6176" t="n">
        <v>15.97</v>
      </c>
      <c r="M6176" s="1" t="inlineStr">
        <is>
          <t>0.00%</t>
        </is>
      </c>
      <c r="N6176" s="7" t="n"/>
      <c r="O6176" t="n">
        <v>4.8</v>
      </c>
      <c r="P6176" t="n">
        <v>2200</v>
      </c>
      <c r="R6176" t="inlineStr">
        <is>
          <t>InStock</t>
        </is>
      </c>
      <c r="S6176" t="inlineStr">
        <is>
          <t>24.12</t>
        </is>
      </c>
      <c r="T6176" t="inlineStr">
        <is>
          <t>4388476813412</t>
        </is>
      </c>
    </row>
    <row r="6177" ht="87" customHeight="1">
      <c r="A6177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6177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6177" t="inlineStr">
        <is>
          <t>Klein Tools 51603 Iron Conduit Bender Full Assembly, 1/2-Inch EMT with Angle Setter™</t>
        </is>
      </c>
      <c r="D6177" t="inlineStr">
        <is>
          <t>Klein Tools 51603 Iron Conduit Bender Full Assembly, 1/2-Inch EMT, Wide Foot Pedal, Benchmark Symbols and Angle Setter</t>
        </is>
      </c>
      <c r="E6177" s="2">
        <f>HYPERLINK("https://www.amazon.com/Klein-Tools-51603-Conduit-Features/dp/B08W6GJTHW/ref=sr_1_1?keywords=Klein+Tools+51603+Iron+Conduit+Bender+Full+Assembly%2C+1%2F2-Inch+EMT+with+Angle+Setter%E2%84%A2&amp;qid=1694734984&amp;sr=8-1", "https://www.amazon.com/Klein-Tools-51603-Conduit-Features/dp/B08W6GJTHW/ref=sr_1_1?keywords=Klein+Tools+51603+Iron+Conduit+Bender+Full+Assembly%2C+1%2F2-Inch+EMT+with+Angle+Setter%E2%84%A2&amp;qid=1694734984&amp;sr=8-1")</f>
        <v/>
      </c>
      <c r="F6177" t="inlineStr">
        <is>
          <t>B08W6GJTHW</t>
        </is>
      </c>
      <c r="G6177">
        <f>_xlfn.IMAGE("https://edmondsonsupply.com/cdn/shop/products/51604.jpg?v=1663940749")</f>
        <v/>
      </c>
      <c r="H6177">
        <f>_xlfn.IMAGE("https://m.media-amazon.com/images/I/31lf3y-9bSL._AC_UL320_.jpg")</f>
        <v/>
      </c>
      <c r="K6177" t="inlineStr">
        <is>
          <t>59.99</t>
        </is>
      </c>
      <c r="L6177" t="n">
        <v>59.99</v>
      </c>
      <c r="M6177" s="1" t="inlineStr">
        <is>
          <t>0.00%</t>
        </is>
      </c>
      <c r="N6177" s="7" t="n"/>
      <c r="O6177" t="n">
        <v>4.9</v>
      </c>
      <c r="P6177" t="n">
        <v>31</v>
      </c>
      <c r="R6177" t="inlineStr">
        <is>
          <t>InStock</t>
        </is>
      </c>
      <c r="S6177" t="inlineStr">
        <is>
          <t>86.4</t>
        </is>
      </c>
      <c r="T6177" t="inlineStr">
        <is>
          <t>7827227574488</t>
        </is>
      </c>
    </row>
    <row r="6178" ht="87" customHeight="1">
      <c r="A6178" s="2">
        <f>HYPERLINK("https://edmondsonsupply.com/collections/electricians-tools/products/klein-tools-85091-power-conduit-reamer", "https://edmondsonsupply.com/collections/electricians-tools/products/klein-tools-85091-power-conduit-reamer")</f>
        <v/>
      </c>
      <c r="B6178" s="2">
        <f>HYPERLINK("https://edmondsonsupply.com/products/klein-tools-85091-power-conduit-reamer", "https://edmondsonsupply.com/products/klein-tools-85091-power-conduit-reamer")</f>
        <v/>
      </c>
      <c r="C6178" t="inlineStr">
        <is>
          <t>Klein Tools 85091 Power Conduit Reamer</t>
        </is>
      </c>
      <c r="D6178" t="inlineStr">
        <is>
          <t>Klein Tools 85091 Power Conduit Reamer with Improved Bit Retention, 1/2-, 3/4- and 1-Inch</t>
        </is>
      </c>
      <c r="E6178" s="2">
        <f>HYPERLINK("https://www.amazon.com/Power-Conduit-Reamer-Klein-Tools/dp/B00B9HICKI/ref=sr_1_1?keywords=Klein+Tools+85091+Power+Conduit+Reamer&amp;qid=1694735235&amp;sr=8-1", "https://www.amazon.com/Power-Conduit-Reamer-Klein-Tools/dp/B00B9HICKI/ref=sr_1_1?keywords=Klein+Tools+85091+Power+Conduit+Reamer&amp;qid=1694735235&amp;sr=8-1")</f>
        <v/>
      </c>
      <c r="F6178" t="inlineStr">
        <is>
          <t>B00B9HICKI</t>
        </is>
      </c>
      <c r="G6178">
        <f>_xlfn.IMAGE("https://edmondsonsupply.com/cdn/shop/products/85091.jpg?v=1633030889")</f>
        <v/>
      </c>
      <c r="H6178">
        <f>_xlfn.IMAGE("https://m.media-amazon.com/images/I/41eR1PHplSL._AC_UL320_.jpg")</f>
        <v/>
      </c>
      <c r="K6178" t="inlineStr">
        <is>
          <t>24.97</t>
        </is>
      </c>
      <c r="L6178" t="n">
        <v>24.97</v>
      </c>
      <c r="M6178" s="1" t="inlineStr">
        <is>
          <t>0.00%</t>
        </is>
      </c>
      <c r="N6178" s="7" t="n"/>
      <c r="O6178" t="n">
        <v>4.4</v>
      </c>
      <c r="P6178" t="n">
        <v>1417</v>
      </c>
      <c r="R6178" t="inlineStr">
        <is>
          <t>InStock</t>
        </is>
      </c>
      <c r="S6178" t="inlineStr">
        <is>
          <t>42.04</t>
        </is>
      </c>
      <c r="T6178" t="inlineStr">
        <is>
          <t>6221953269933</t>
        </is>
      </c>
    </row>
    <row r="6179" ht="87" customHeight="1">
      <c r="A6179" s="2">
        <f>HYPERLINK("https://edmondsonsupply.com/collections/electricians-tools/products/klein-tools-635-6-nut-driver-set-magnetic-nut-drivers-heavy-duty-6-piece", "https://edmondsonsupply.com/collections/electricians-tools/products/klein-tools-635-6-nut-driver-set-magnetic-nut-drivers-heavy-duty-6-piece")</f>
        <v/>
      </c>
      <c r="B6179" s="2">
        <f>HYPERLINK("https://edmondsonsupply.com/products/klein-tools-635-6-nut-driver-set-magnetic-nut-drivers-heavy-duty-6-piece", "https://edmondsonsupply.com/products/klein-tools-635-6-nut-driver-set-magnetic-nut-drivers-heavy-duty-6-piece")</f>
        <v/>
      </c>
      <c r="C6179" t="inlineStr">
        <is>
          <t>Klein Tools 635-6 Nut Driver Set, Magnetic Nut Drivers, Heavy Duty, 6-Piece</t>
        </is>
      </c>
      <c r="D6179" t="inlineStr">
        <is>
          <t>Klein Tools 635-6 Tool Set, Heavy Duty Magnetic Nut Drivers SAE Sizes 1/4, 5/16, 3/8, 7/16, 1/2, and 9/16-Inch Hex, 6-Inch, 6-Piece</t>
        </is>
      </c>
      <c r="E6179" s="2">
        <f>HYPERLINK("https://www.amazon.com/Heavy-Duty-Driver-6-Piece-Klein-Tools/dp/B01DKNDHGM/ref=sr_1_1?keywords=Klein+Tools+635-6+Nut+Driver+Set%2C+Magnetic+Nut+Drivers%2C+Heavy+Duty%2C+6-Piece&amp;qid=1694735220&amp;sr=8-1", "https://www.amazon.com/Heavy-Duty-Driver-6-Piece-Klein-Tools/dp/B01DKNDHGM/ref=sr_1_1?keywords=Klein+Tools+635-6+Nut+Driver+Set%2C+Magnetic+Nut+Drivers%2C+Heavy+Duty%2C+6-Piece&amp;qid=1694735220&amp;sr=8-1")</f>
        <v/>
      </c>
      <c r="F6179" t="inlineStr">
        <is>
          <t>B01DKNDHGM</t>
        </is>
      </c>
      <c r="G6179">
        <f>_xlfn.IMAGE("https://edmondsonsupply.com/cdn/shop/products/635-6.jpg?v=1633031003")</f>
        <v/>
      </c>
      <c r="H6179">
        <f>_xlfn.IMAGE("https://m.media-amazon.com/images/I/61eypCy1RLL._AC_UL320_.jpg")</f>
        <v/>
      </c>
      <c r="K6179" t="inlineStr">
        <is>
          <t>79.99</t>
        </is>
      </c>
      <c r="L6179" t="n">
        <v>79.98999999999999</v>
      </c>
      <c r="M6179" s="1" t="inlineStr">
        <is>
          <t>0.00%</t>
        </is>
      </c>
      <c r="N6179" s="7" t="n"/>
      <c r="O6179" t="n">
        <v>4.7</v>
      </c>
      <c r="P6179" t="n">
        <v>943</v>
      </c>
      <c r="R6179" t="inlineStr">
        <is>
          <t>InStock</t>
        </is>
      </c>
      <c r="S6179" t="inlineStr">
        <is>
          <t>121.2</t>
        </is>
      </c>
      <c r="T6179" t="inlineStr">
        <is>
          <t>6690795716781</t>
        </is>
      </c>
    </row>
    <row r="6180" ht="87" customHeight="1">
      <c r="A6180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6180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6180" t="inlineStr">
        <is>
          <t>Klein Tools 32288 8-in-1 Insulated Interchangeable Screwdriver Set</t>
        </is>
      </c>
      <c r="D6180" t="inlineStr">
        <is>
          <t>Klein Tools 32288 Insulated Screwdriver, 8-in-1 Screwdriver Set with Interchangeable Blades, 3 Phillips, 3 Slotted and 2 Square Tips</t>
        </is>
      </c>
      <c r="E6180" s="2">
        <f>HYPERLINK("https://www.amazon.com/Klein-Tools-32288-Screwdriver-Interchangeable/dp/B07WTRTVFS/ref=sr_1_1?keywords=Klein+Tools+32288+8-in-1+Insulated+Interchangeable+Screwdriver+Set&amp;qid=1694734974&amp;sr=8-1", "https://www.amazon.com/Klein-Tools-32288-Screwdriver-Interchangeable/dp/B07WTRTVFS/ref=sr_1_1?keywords=Klein+Tools+32288+8-in-1+Insulated+Interchangeable+Screwdriver+Set&amp;qid=1694734974&amp;sr=8-1")</f>
        <v/>
      </c>
      <c r="F6180" t="inlineStr">
        <is>
          <t>B07WTRTVFS</t>
        </is>
      </c>
      <c r="G6180">
        <f>_xlfn.IMAGE("https://edmondsonsupply.com/cdn/shop/products/32288.jpg?v=1587146849")</f>
        <v/>
      </c>
      <c r="H6180">
        <f>_xlfn.IMAGE("https://m.media-amazon.com/images/I/61+siNL-a8L._AC_UL320_.jpg")</f>
        <v/>
      </c>
      <c r="K6180" t="inlineStr">
        <is>
          <t>49.99</t>
        </is>
      </c>
      <c r="L6180" t="n">
        <v>49.99</v>
      </c>
      <c r="M6180" s="1" t="inlineStr">
        <is>
          <t>0.00%</t>
        </is>
      </c>
      <c r="N6180" s="7" t="n"/>
      <c r="O6180" t="n">
        <v>4.8</v>
      </c>
      <c r="P6180" t="n">
        <v>4252</v>
      </c>
      <c r="R6180" t="inlineStr">
        <is>
          <t>InStock</t>
        </is>
      </c>
      <c r="S6180" t="inlineStr">
        <is>
          <t>69.98</t>
        </is>
      </c>
      <c r="T6180" t="inlineStr">
        <is>
          <t>4094849613924</t>
        </is>
      </c>
    </row>
    <row r="6181" hidden="1" ht="15.75" customHeight="1">
      <c r="A6181" s="2">
        <f>HYPERLINK("https://edmondsonsupply.com/collections/electricians-tools/products/klein-tools-32585-4-in-1-electronics-screwdriver-torx%C2%AE", "https://edmondsonsupply.com/collections/electricians-tools/products/klein-tools-32585-4-in-1-electronics-screwdriver-torx%C2%AE")</f>
        <v/>
      </c>
      <c r="B6181" s="2">
        <f>HYPERLINK("https://edmondsonsupply.com/products/klein-tools-32585-4-in-1-electronics-screwdriver-torx%c2%ae", "https://edmondsonsupply.com/products/klein-tools-32585-4-in-1-electronics-screwdriver-torx%c2%ae")</f>
        <v/>
      </c>
      <c r="C6181" t="inlineStr">
        <is>
          <t>Klein Tools 32585 Multi-Bit Electronics Screwdriver, 4-in-1, TORX® Bits</t>
        </is>
      </c>
      <c r="D6181" t="inlineStr">
        <is>
          <t>Klein Tools 32585 Multi-bit Precision Screwdriver Set, 4-in-1 Electronics Screwdriver with Industrial Strength Torx Bits, Spin Top</t>
        </is>
      </c>
      <c r="E6181" s="2">
        <f>HYPERLINK("https://www.amazon.com/Electronics-Screwdriver-Klein-Tools-32585/dp/B0775ZJ15F/ref=sr_1_1?keywords=Klein+Tools+32585+Multi-Bit+Electronics+Screwdriver%2C+4-in-1%2C+TORX%C2%AE+Bits&amp;qid=1694735422&amp;sr=8-1", "https://www.amazon.com/Electronics-Screwdriver-Klein-Tools-32585/dp/B0775ZJ15F/ref=sr_1_1?keywords=Klein+Tools+32585+Multi-Bit+Electronics+Screwdriver%2C+4-in-1%2C+TORX%C2%AE+Bits&amp;qid=1694735422&amp;sr=8-1")</f>
        <v/>
      </c>
      <c r="F6181" t="inlineStr">
        <is>
          <t>B0775ZJ15F</t>
        </is>
      </c>
      <c r="G6181">
        <f>_xludf.IMAGE("https://edmondsonsupply.com/cdn/shop/products/32585.jpg?v=1587146818")</f>
        <v/>
      </c>
      <c r="H6181">
        <f>_xludf.IMAGE("https://m.media-amazon.com/images/I/31zFb-nVifL._AC_UL320_.jpg")</f>
        <v/>
      </c>
      <c r="K6181" t="inlineStr">
        <is>
          <t>10.97</t>
        </is>
      </c>
      <c r="L6181" t="n">
        <v>10.97</v>
      </c>
      <c r="M6181" s="1" t="inlineStr">
        <is>
          <t>0.00%</t>
        </is>
      </c>
      <c r="N6181" s="1" t="n"/>
      <c r="O6181" t="n">
        <v>4.7</v>
      </c>
      <c r="P6181" t="n">
        <v>568</v>
      </c>
      <c r="R6181" t="inlineStr">
        <is>
          <t>InStock</t>
        </is>
      </c>
      <c r="S6181" t="inlineStr">
        <is>
          <t>15.66</t>
        </is>
      </c>
      <c r="T6181" t="inlineStr">
        <is>
          <t>4360133247076</t>
        </is>
      </c>
    </row>
    <row r="6182" ht="87" customHeight="1">
      <c r="A6182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6182" s="2">
        <f>HYPERLINK("https://edmondsonsupply.com/products/klein-tools-32717-all-in-1-precision-screwdriver-set-with-case", "https://edmondsonsupply.com/products/klein-tools-32717-all-in-1-precision-screwdriver-set-with-case")</f>
        <v/>
      </c>
      <c r="C6182" t="inlineStr">
        <is>
          <t>Klein Tools 32717 All-in-1 Precision Screwdriver Set with Case</t>
        </is>
      </c>
      <c r="D6182" t="inlineStr">
        <is>
          <t>Klein Tools 32717 Precision Screwdriver Set with Case, All-in-One Multi-Function Repair Tool Kit Includes 39 Bits for Apple Products</t>
        </is>
      </c>
      <c r="E6182" s="2">
        <f>HYPERLINK("https://www.amazon.com/Klein-Tools-32717-Screwdriver-Multi-Function/dp/B08DRVM38X/ref=sr_1_1?keywords=Klein+Tools+32717+All-in-1+Precision+Screwdriver+Set+with+Case&amp;qid=1694735187&amp;sr=8-1", "https://www.amazon.com/Klein-Tools-32717-Screwdriver-Multi-Function/dp/B08DRVM38X/ref=sr_1_1?keywords=Klein+Tools+32717+All-in-1+Precision+Screwdriver+Set+with+Case&amp;qid=1694735187&amp;sr=8-1")</f>
        <v/>
      </c>
      <c r="F6182" t="inlineStr">
        <is>
          <t>B08DRVM38X</t>
        </is>
      </c>
      <c r="G6182">
        <f>_xlfn.IMAGE("https://edmondsonsupply.com/cdn/shop/products/32717.jpg?v=1633031161")</f>
        <v/>
      </c>
      <c r="H6182">
        <f>_xlfn.IMAGE("https://m.media-amazon.com/images/I/61tO1q+ldhL._AC_UL320_.jpg")</f>
        <v/>
      </c>
      <c r="K6182" t="inlineStr">
        <is>
          <t>29.97</t>
        </is>
      </c>
      <c r="L6182" t="n">
        <v>29.97</v>
      </c>
      <c r="M6182" s="1" t="inlineStr">
        <is>
          <t>0.00%</t>
        </is>
      </c>
      <c r="N6182" s="7" t="n"/>
      <c r="O6182" t="n">
        <v>4.9</v>
      </c>
      <c r="P6182" t="n">
        <v>2759</v>
      </c>
      <c r="R6182" t="inlineStr">
        <is>
          <t>InStock</t>
        </is>
      </c>
      <c r="S6182" t="inlineStr">
        <is>
          <t>41.98</t>
        </is>
      </c>
      <c r="T6182" t="inlineStr">
        <is>
          <t>6897560453293</t>
        </is>
      </c>
    </row>
    <row r="6183" ht="87" customHeight="1">
      <c r="A6183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6183" s="2">
        <f>HYPERLINK("https://edmondsonsupply.com/products/klein-tools-d2000-9ne-linemans-pliers-9-inch", "https://edmondsonsupply.com/products/klein-tools-d2000-9ne-linemans-pliers-9-inch")</f>
        <v/>
      </c>
      <c r="C6183" t="inlineStr">
        <is>
          <t>Klein Tools D2000-9NE Lineman's Pliers, 9-Inch</t>
        </is>
      </c>
      <c r="D6183" t="inlineStr">
        <is>
          <t>Klein Tools D2000-9NE Side Cutter Linemans Pliers Cut ACSR, Screws, Nails, Hard Wire, 9-Inch Electrical Pliers</t>
        </is>
      </c>
      <c r="E6183" s="2">
        <f>HYPERLINK("https://www.amazon.com/Klein-Tools-D2000-9NE-Linemans-Electrical/dp/B0031ERRNU/ref=sr_1_1?keywords=Klein+Tools+D2000-9NE+Linemans+Pliers%2C+9-Inch&amp;qid=1694735236&amp;sr=8-1", "https://www.amazon.com/Klein-Tools-D2000-9NE-Linemans-Electrical/dp/B0031ERRNU/ref=sr_1_1?keywords=Klein+Tools+D2000-9NE+Linemans+Pliers%2C+9-Inch&amp;qid=1694735236&amp;sr=8-1")</f>
        <v/>
      </c>
      <c r="F6183" t="inlineStr">
        <is>
          <t>B0031ERRNU</t>
        </is>
      </c>
      <c r="G6183">
        <f>_xlfn.IMAGE("https://edmondsonsupply.com/cdn/shop/products/d20009ne.jpg?v=1633030816")</f>
        <v/>
      </c>
      <c r="H6183">
        <f>_xlfn.IMAGE("https://m.media-amazon.com/images/I/319FPD8uLZL._AC_UL320_.jpg")</f>
        <v/>
      </c>
      <c r="K6183" t="inlineStr">
        <is>
          <t>39.99</t>
        </is>
      </c>
      <c r="L6183" t="n">
        <v>39.99</v>
      </c>
      <c r="M6183" s="1" t="inlineStr">
        <is>
          <t>0.00%</t>
        </is>
      </c>
      <c r="N6183" s="7" t="n"/>
      <c r="O6183" t="n">
        <v>4.8</v>
      </c>
      <c r="P6183" t="n">
        <v>1733</v>
      </c>
      <c r="R6183" t="inlineStr">
        <is>
          <t>InStock</t>
        </is>
      </c>
      <c r="S6183" t="inlineStr">
        <is>
          <t>62.04</t>
        </is>
      </c>
      <c r="T6183" t="inlineStr">
        <is>
          <t>6070895411373</t>
        </is>
      </c>
    </row>
    <row r="6184" ht="87" customHeight="1">
      <c r="A6184" s="2">
        <f>HYPERLINK("https://edmondsonsupply.com/collections/electricians-tools/products/klein-tools-63060-ratcheting-cable-cutter", "https://edmondsonsupply.com/collections/electricians-tools/products/klein-tools-63060-ratcheting-cable-cutter")</f>
        <v/>
      </c>
      <c r="B6184" s="2">
        <f>HYPERLINK("https://edmondsonsupply.com/products/klein-tools-63060-ratcheting-cable-cutter", "https://edmondsonsupply.com/products/klein-tools-63060-ratcheting-cable-cutter")</f>
        <v/>
      </c>
      <c r="C6184" t="inlineStr">
        <is>
          <t>Klein Tools 63060 Ratcheting Cable Cutter</t>
        </is>
      </c>
      <c r="D6184" t="inlineStr">
        <is>
          <t>Klein Tools 63060 Cable Cutters, Ratcheting Heavy Duty Cutters for Up to 750 MCM, Great for Cable Preparation</t>
        </is>
      </c>
      <c r="E6184" s="2">
        <f>HYPERLINK("https://www.amazon.com/Ratcheting-Preparation-Klein-Tools-63060/dp/B001BPYJO6/ref=sr_1_1?keywords=Klein+Tools+63060+Ratcheting+Cable+Cutter&amp;qid=1694735234&amp;sr=8-1", "https://www.amazon.com/Ratcheting-Preparation-Klein-Tools-63060/dp/B001BPYJO6/ref=sr_1_1?keywords=Klein+Tools+63060+Ratcheting+Cable+Cutter&amp;qid=1694735234&amp;sr=8-1")</f>
        <v/>
      </c>
      <c r="F6184" t="inlineStr">
        <is>
          <t>B001BPYJO6</t>
        </is>
      </c>
      <c r="G6184">
        <f>_xlfn.IMAGE("https://edmondsonsupply.com/cdn/shop/products/63060.jpg?v=1633030887")</f>
        <v/>
      </c>
      <c r="H6184">
        <f>_xlfn.IMAGE("https://m.media-amazon.com/images/I/416+PgFPpyL._AC_UL320_.jpg")</f>
        <v/>
      </c>
      <c r="K6184" t="inlineStr">
        <is>
          <t>199.99</t>
        </is>
      </c>
      <c r="L6184" t="n">
        <v>199.99</v>
      </c>
      <c r="M6184" s="1" t="inlineStr">
        <is>
          <t>0.00%</t>
        </is>
      </c>
      <c r="N6184" s="7" t="n"/>
      <c r="O6184" t="n">
        <v>4.6</v>
      </c>
      <c r="P6184" t="n">
        <v>342</v>
      </c>
      <c r="R6184" t="inlineStr">
        <is>
          <t>InStock</t>
        </is>
      </c>
      <c r="S6184" t="inlineStr">
        <is>
          <t>349.32</t>
        </is>
      </c>
      <c r="T6184" t="inlineStr">
        <is>
          <t>6220423594157</t>
        </is>
      </c>
    </row>
    <row r="6185" ht="87" customHeight="1">
      <c r="A6185" s="2">
        <f>HYPERLINK("https://edmondsonsupply.com/collections/electricians-tools/products/klein-tools-rt390", "https://edmondsonsupply.com/collections/electricians-tools/products/klein-tools-rt390")</f>
        <v/>
      </c>
      <c r="B6185" s="2">
        <f>HYPERLINK("https://edmondsonsupply.com/products/klein-tools-rt390", "https://edmondsonsupply.com/products/klein-tools-rt390")</f>
        <v/>
      </c>
      <c r="C6185" t="inlineStr">
        <is>
          <t>Klein Tools RT390 Circuit Analyzer</t>
        </is>
      </c>
      <c r="D6185" t="inlineStr">
        <is>
          <t>Klein Tools RT390 Circuit Analyzer with Large LCD, Identifies Wiring Faults, GFCI and AFCI Tester, Voltage Drop, Displays Trip Time,Orange</t>
        </is>
      </c>
      <c r="E6185" s="2">
        <f>HYPERLINK("https://www.amazon.com/Klein-Tools-RT390-Analyzer-Identifies/dp/B0BT87LJRL/ref=sr_1_1?keywords=Klein+Tools+RT390+Circuit+Analyzer&amp;qid=1694734980&amp;sr=8-1", "https://www.amazon.com/Klein-Tools-RT390-Analyzer-Identifies/dp/B0BT87LJRL/ref=sr_1_1?keywords=Klein+Tools+RT390+Circuit+Analyzer&amp;qid=1694734980&amp;sr=8-1")</f>
        <v/>
      </c>
      <c r="F6185" t="inlineStr">
        <is>
          <t>B0BT87LJRL</t>
        </is>
      </c>
      <c r="G6185">
        <f>_xlfn.IMAGE("https://edmondsonsupply.com/cdn/shop/products/rt390.jpg?v=1677683463")</f>
        <v/>
      </c>
      <c r="H6185">
        <f>_xlfn.IMAGE("https://m.media-amazon.com/images/I/71FxkqNd7pL._AC_UL320_.jpg")</f>
        <v/>
      </c>
      <c r="K6185" t="inlineStr">
        <is>
          <t>149.99</t>
        </is>
      </c>
      <c r="L6185" t="n">
        <v>149.99</v>
      </c>
      <c r="M6185" s="1" t="inlineStr">
        <is>
          <t>0.00%</t>
        </is>
      </c>
      <c r="N6185" s="7" t="n"/>
      <c r="O6185" t="n">
        <v>4.7</v>
      </c>
      <c r="P6185" t="n">
        <v>1603</v>
      </c>
      <c r="R6185" t="inlineStr">
        <is>
          <t>InStock</t>
        </is>
      </c>
      <c r="S6185" t="inlineStr">
        <is>
          <t>209.98</t>
        </is>
      </c>
      <c r="T6185" t="inlineStr">
        <is>
          <t>7953963581656</t>
        </is>
      </c>
    </row>
    <row r="6186" hidden="1" ht="15.75" customHeight="1">
      <c r="A6186" s="2">
        <f>HYPERLINK("https://edmondsonsupply.com/collections/electricians-tools/products/klein-tools-jth6m4-4-mm-hex-with-journeyman-t-handle-6-inch", "https://edmondsonsupply.com/collections/electricians-tools/products/klein-tools-jth6m4-4-mm-hex-with-journeyman-t-handle-6-inch")</f>
        <v/>
      </c>
      <c r="B6186" s="2">
        <f>HYPERLINK("https://edmondsonsupply.com/products/klein-tools-jth6m4-4-mm-hex-with-journeyman-t-handle-6-inch", "https://edmondsonsupply.com/products/klein-tools-jth6m4-4-mm-hex-with-journeyman-t-handle-6-inch")</f>
        <v/>
      </c>
      <c r="C6186" t="inlineStr">
        <is>
          <t>Klein Tools JTH6M4 4 mm Hex with Journeyman T-Handle 6-Inch</t>
        </is>
      </c>
      <c r="D6186" t="inlineStr">
        <is>
          <t>Klein Tools JTH6M4 4 mm Hex Key, Journeyman T-Handle, 6-Inch</t>
        </is>
      </c>
      <c r="E6186" s="2">
        <f>HYPERLINK("https://www.amazon.com/Journeyman-T-Handle-Klein-Tools-JTH6M4/dp/B005G394YO/ref=sr_1_1?keywords=Klein+Tools+JTH6M4+4+mm+Hex+with+Journeyman+T-Handle+6-Inch&amp;qid=1694735242&amp;sr=8-1", "https://www.amazon.com/Journeyman-T-Handle-Klein-Tools-JTH6M4/dp/B005G394YO/ref=sr_1_1?keywords=Klein+Tools+JTH6M4+4+mm+Hex+with+Journeyman+T-Handle+6-Inch&amp;qid=1694735242&amp;sr=8-1")</f>
        <v/>
      </c>
      <c r="F6186" t="inlineStr">
        <is>
          <t>B005G394YO</t>
        </is>
      </c>
      <c r="G6186">
        <f>_xludf.IMAGE("https://edmondsonsupply.com/cdn/shop/products/jth6m8_21839492-f844-4577-89b7-6c2cb1d02f31.jpg?v=1603052109")</f>
        <v/>
      </c>
      <c r="H6186">
        <f>_xludf.IMAGE("https://m.media-amazon.com/images/I/51+1x0vz9XL._AC_UL320_.jpg")</f>
        <v/>
      </c>
      <c r="K6186" t="inlineStr">
        <is>
          <t>3.99</t>
        </is>
      </c>
      <c r="L6186" t="n">
        <v>3.99</v>
      </c>
      <c r="M6186" s="1" t="inlineStr">
        <is>
          <t>0.00%</t>
        </is>
      </c>
      <c r="N6186" s="1" t="n"/>
      <c r="O6186" t="n">
        <v>4.7</v>
      </c>
      <c r="P6186" t="n">
        <v>1530</v>
      </c>
      <c r="R6186" t="inlineStr">
        <is>
          <t>InStock</t>
        </is>
      </c>
      <c r="S6186" t="inlineStr">
        <is>
          <t>6.04</t>
        </is>
      </c>
      <c r="T6186" t="inlineStr">
        <is>
          <t>5963077157032</t>
        </is>
      </c>
    </row>
    <row r="6187" ht="87" customHeight="1">
      <c r="A6187" s="2">
        <f>HYPERLINK("https://edmondsonsupply.com/collections/electricians-tools/products/klein-tools-63225-high-leverage-cable-cutter", "https://edmondsonsupply.com/collections/electricians-tools/products/klein-tools-63225-high-leverage-cable-cutter")</f>
        <v/>
      </c>
      <c r="B6187" s="2">
        <f>HYPERLINK("https://edmondsonsupply.com/products/klein-tools-63225-high-leverage-cable-cutter", "https://edmondsonsupply.com/products/klein-tools-63225-high-leverage-cable-cutter")</f>
        <v/>
      </c>
      <c r="C6187" t="inlineStr">
        <is>
          <t>Klein Tools 63225 High-Leverage Cable Cutter</t>
        </is>
      </c>
      <c r="D6187" t="inlineStr">
        <is>
          <t>Klein Tools 63225 Cable Cutter, 9-Inch High Leverage Cutter for Aluminum, Copper and Communication Cable</t>
        </is>
      </c>
      <c r="E6187" s="2">
        <f>HYPERLINK("https://www.amazon.com/9-Inch-Leverage-Aluminum-Communication-63225/dp/B08HC6N4J9/ref=sr_1_1?keywords=Klein+Tools+63225+High-Leverage+Cable+Cutter&amp;qid=1694735182&amp;sr=8-1", "https://www.amazon.com/9-Inch-Leverage-Aluminum-Communication-63225/dp/B08HC6N4J9/ref=sr_1_1?keywords=Klein+Tools+63225+High-Leverage+Cable+Cutter&amp;qid=1694735182&amp;sr=8-1")</f>
        <v/>
      </c>
      <c r="F6187" t="inlineStr">
        <is>
          <t>B08HC6N4J9</t>
        </is>
      </c>
      <c r="G6187">
        <f>_xlfn.IMAGE("https://edmondsonsupply.com/cdn/shop/products/63225_b.jpg?v=1633031163")</f>
        <v/>
      </c>
      <c r="H6187">
        <f>_xlfn.IMAGE("https://m.media-amazon.com/images/I/61tIrGUcq0L._AC_UL320_.jpg")</f>
        <v/>
      </c>
      <c r="K6187" t="inlineStr">
        <is>
          <t>35.97</t>
        </is>
      </c>
      <c r="L6187" t="n">
        <v>35.97</v>
      </c>
      <c r="M6187" s="1" t="inlineStr">
        <is>
          <t>0.00%</t>
        </is>
      </c>
      <c r="N6187" s="7" t="n"/>
      <c r="O6187" t="n">
        <v>4.7</v>
      </c>
      <c r="P6187" t="n">
        <v>424</v>
      </c>
      <c r="R6187" t="inlineStr">
        <is>
          <t>InStock</t>
        </is>
      </c>
      <c r="S6187" t="inlineStr">
        <is>
          <t>47.32</t>
        </is>
      </c>
      <c r="T6187" t="inlineStr">
        <is>
          <t>6900133429421</t>
        </is>
      </c>
    </row>
    <row r="6188" ht="87" customHeight="1">
      <c r="A6188" s="2">
        <f>HYPERLINK("https://edmondsonsupply.com/collections/electricians-tools/products/klein-tools-70586-eight-key-folding-torx%C2%AE-key-set", "https://edmondsonsupply.com/collections/electricians-tools/products/klein-tools-70586-eight-key-folding-torx%C2%AE-key-set")</f>
        <v/>
      </c>
      <c r="B6188" s="2">
        <f>HYPERLINK("https://edmondsonsupply.com/products/klein-tools-70586-eight-key-folding-torx%c2%ae-key-set", "https://edmondsonsupply.com/products/klein-tools-70586-eight-key-folding-torx%c2%ae-key-set")</f>
        <v/>
      </c>
      <c r="C6188" t="inlineStr">
        <is>
          <t>Klein Tools 70586 Eight-Key Folding TORX® Key Set</t>
        </is>
      </c>
      <c r="D6188" t="inlineStr">
        <is>
          <t>Klein Tools 70586 Folding TORX Key Set, 8-Key, SAE Sizes</t>
        </is>
      </c>
      <c r="E6188" s="2">
        <f>HYPERLINK("https://www.amazon.com/Folding-TORX-Klein-Tools-70586/dp/B0002RI8RI/ref=sr_1_1?keywords=Klein+Tools+70586+Eight-Key+Folding+TORX%C2%AE+Key+Set&amp;qid=1694735253&amp;sr=8-1", "https://www.amazon.com/Folding-TORX-Klein-Tools-70586/dp/B0002RI8RI/ref=sr_1_1?keywords=Klein+Tools+70586+Eight-Key+Folding+TORX%C2%AE+Key+Set&amp;qid=1694735253&amp;sr=8-1")</f>
        <v/>
      </c>
      <c r="F6188" t="inlineStr">
        <is>
          <t>B0002RI8RI</t>
        </is>
      </c>
      <c r="G6188">
        <f>_xlfn.IMAGE("https://edmondsonsupply.com/cdn/shop/products/70586.jpg?v=1587150144")</f>
        <v/>
      </c>
      <c r="H6188">
        <f>_xlfn.IMAGE("https://m.media-amazon.com/images/I/51FSDo5VcWL._AC_UL320_.jpg")</f>
        <v/>
      </c>
      <c r="K6188" t="inlineStr">
        <is>
          <t>17.99</t>
        </is>
      </c>
      <c r="L6188" t="n">
        <v>17.99</v>
      </c>
      <c r="M6188" s="1" t="inlineStr">
        <is>
          <t>0.00%</t>
        </is>
      </c>
      <c r="N6188" s="7" t="n"/>
      <c r="O6188" t="n">
        <v>4.8</v>
      </c>
      <c r="P6188" t="n">
        <v>163</v>
      </c>
      <c r="R6188" t="inlineStr">
        <is>
          <t>InStock</t>
        </is>
      </c>
      <c r="S6188" t="inlineStr">
        <is>
          <t>25.28</t>
        </is>
      </c>
      <c r="T6188" t="inlineStr">
        <is>
          <t>2932138344548</t>
        </is>
      </c>
    </row>
    <row r="6189" ht="87" customHeight="1">
      <c r="A6189" s="2">
        <f>HYPERLINK("https://edmondsonsupply.com/collections/electricians-tools/products/klein-tools-66001-2-in-1-impact-socket-12-point-3-4-and-9-16", "https://edmondsonsupply.com/collections/electricians-tools/products/klein-tools-66001-2-in-1-impact-socket-12-point-3-4-and-9-16")</f>
        <v/>
      </c>
      <c r="B6189" s="2">
        <f>HYPERLINK("https://edmondsonsupply.com/products/klein-tools-66001-2-in-1-impact-socket-12-point-3-4-and-9-16", "https://edmondsonsupply.com/products/klein-tools-66001-2-in-1-impact-socket-12-point-3-4-and-9-16")</f>
        <v/>
      </c>
      <c r="C6189" t="inlineStr">
        <is>
          <t>Klein Tools 66001 2-in-1 Impact Socket, 12-Point, 3/4 and 9/16-Inch</t>
        </is>
      </c>
      <c r="D6189" t="inlineStr">
        <is>
          <t>Klein Tools 66001 2-in-1 Impact Socket, Socket Wrench Sizes 3/4-Inch and 9/16-Inch Hex, 12-Point Deep Socket with 1/2-Inch Drive</t>
        </is>
      </c>
      <c r="E6189" s="2">
        <f>HYPERLINK("https://www.amazon.com/Klein-Tools-66001-12-Point-16-Inch/dp/B078NHVXWK/ref=sr_1_1?keywords=Klein+Tools+66001+2-in-1+Impact+Socket%2C+12-Point%2C+3%2F4+and+9%2F16-Inch&amp;qid=1694735393&amp;sr=8-1", "https://www.amazon.com/Klein-Tools-66001-12-Point-16-Inch/dp/B078NHVXWK/ref=sr_1_1?keywords=Klein+Tools+66001+2-in-1+Impact+Socket%2C+12-Point%2C+3%2F4+and+9%2F16-Inch&amp;qid=1694735393&amp;sr=8-1")</f>
        <v/>
      </c>
      <c r="F6189" t="inlineStr">
        <is>
          <t>B078NHVXWK</t>
        </is>
      </c>
      <c r="G6189">
        <f>_xlfn.IMAGE("https://edmondsonsupply.com/cdn/shop/products/66001.jpg?v=1587145114")</f>
        <v/>
      </c>
      <c r="H6189">
        <f>_xlfn.IMAGE("https://m.media-amazon.com/images/I/31AlECG12iL._AC_UL320_.jpg")</f>
        <v/>
      </c>
      <c r="K6189" t="inlineStr">
        <is>
          <t>39.99</t>
        </is>
      </c>
      <c r="L6189" t="n">
        <v>39.99</v>
      </c>
      <c r="M6189" s="1" t="inlineStr">
        <is>
          <t>0.00%</t>
        </is>
      </c>
      <c r="N6189" s="7" t="n"/>
      <c r="O6189" t="n">
        <v>4.8</v>
      </c>
      <c r="P6189" t="n">
        <v>753</v>
      </c>
      <c r="R6189" t="inlineStr">
        <is>
          <t>InStock</t>
        </is>
      </c>
      <c r="S6189" t="inlineStr">
        <is>
          <t>68.0</t>
        </is>
      </c>
      <c r="T6189" t="inlineStr">
        <is>
          <t>1901029556324</t>
        </is>
      </c>
    </row>
    <row r="6190" ht="87" customHeight="1">
      <c r="A6190" s="2">
        <f>HYPERLINK("https://edmondsonsupply.com/collections/electricians-tools/products/milwaukee-48-11-2440-m12%E2%84%A2-redlithium%E2%84%A2-xc-4-0-extended-capacity-battery-pack", "https://edmondsonsupply.com/collections/electricians-tools/products/milwaukee-48-11-2440-m12%E2%84%A2-redlithium%E2%84%A2-xc-4-0-extended-capacity-battery-pack")</f>
        <v/>
      </c>
      <c r="B6190" s="2">
        <f>HYPERLINK("https://edmondsonsupply.com/products/milwaukee-48-11-2440-m12%e2%84%a2-redlithium%e2%84%a2-xc-4-0-extended-capacity-battery-pack", "https://edmondsonsupply.com/products/milwaukee-48-11-2440-m12%e2%84%a2-redlithium%e2%84%a2-xc-4-0-extended-capacity-battery-pack")</f>
        <v/>
      </c>
      <c r="C6190" t="inlineStr">
        <is>
          <t>Milwaukee 48-11-2440 M12™ REDLITHIUM™ XC 4.0 Extended Capacity Battery Pack</t>
        </is>
      </c>
      <c r="D6190" t="inlineStr">
        <is>
          <t>Milwaukee 48-11-2460 M12 XC 12V 6.0 Ah Extended Capacity Lithium-Ion Battery Pack</t>
        </is>
      </c>
      <c r="E6190" s="2">
        <f>HYPERLINK("https://www.amazon.com/Milwaukee-48-11-2460-REDLITHIUM-Extended-Lithium-Ion/dp/B07FB8N31X/ref=sr_1_10?keywords=Milwaukee+48-11-2440+M12%E2%84%A2+REDLITHIUM%E2%84%A2+XC+4.0+Extended+Capacity+Battery+Pack&amp;qid=1694735150&amp;sr=8-10", "https://www.amazon.com/Milwaukee-48-11-2460-REDLITHIUM-Extended-Lithium-Ion/dp/B07FB8N31X/ref=sr_1_10?keywords=Milwaukee+48-11-2440+M12%E2%84%A2+REDLITHIUM%E2%84%A2+XC+4.0+Extended+Capacity+Battery+Pack&amp;qid=1694735150&amp;sr=8-10")</f>
        <v/>
      </c>
      <c r="F6190" t="inlineStr">
        <is>
          <t>B07FB8N31X</t>
        </is>
      </c>
      <c r="G6190">
        <f>_xlfn.IMAGE("https://edmondsonsupply.com/cdn/shop/products/64620_48-11-2440-lg.png?v=1654801817")</f>
        <v/>
      </c>
      <c r="H6190">
        <f>_xlfn.IMAGE("https://m.media-amazon.com/images/I/51MNQvfA+KL._AC_UL320_.jpg")</f>
        <v/>
      </c>
      <c r="K6190" t="inlineStr">
        <is>
          <t>89.0</t>
        </is>
      </c>
      <c r="L6190" t="n">
        <v>88.98999999999999</v>
      </c>
      <c r="M6190" s="1" t="inlineStr">
        <is>
          <t>-0.01%</t>
        </is>
      </c>
      <c r="N6190" s="7" t="n"/>
      <c r="O6190" t="n">
        <v>4.5</v>
      </c>
      <c r="P6190" t="n">
        <v>491</v>
      </c>
      <c r="R6190" t="inlineStr">
        <is>
          <t>OutOfStock</t>
        </is>
      </c>
      <c r="S6190" t="inlineStr">
        <is>
          <t>149.0</t>
        </is>
      </c>
      <c r="T6190" t="inlineStr">
        <is>
          <t>7711273943256</t>
        </is>
      </c>
    </row>
    <row r="6191" ht="87" customHeight="1">
      <c r="A6191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6191" s="2">
        <f>HYPERLINK("https://edmondsonsupply.com/products/veto-pro-pac-tech-pac-backpack-tool-bag-1", "https://edmondsonsupply.com/products/veto-pro-pac-tech-pac-backpack-tool-bag-1")</f>
        <v/>
      </c>
      <c r="C6191" t="inlineStr">
        <is>
          <t>Veto Pro Pac TECH PAC LT Laptop Backpack Tool Bag</t>
        </is>
      </c>
      <c r="D6191" t="inlineStr">
        <is>
          <t>Veto Pro Pac Tech Pac LT Tool Bag</t>
        </is>
      </c>
      <c r="E6191" s="2">
        <f>HYPERLINK("https://www.amazon.com/VETO-PRO-PAC-Tech-Pac/dp/B00WZLTCHO/ref=sr_1_1?keywords=Veto+Pro+Pac+TECH+PAC+LT+Laptop+Backpack+Tool+Bag&amp;qid=1694735205&amp;sr=8-1", "https://www.amazon.com/VETO-PRO-PAC-Tech-Pac/dp/B00WZLTCHO/ref=sr_1_1?keywords=Veto+Pro+Pac+TECH+PAC+LT+Laptop+Backpack+Tool+Bag&amp;qid=1694735205&amp;sr=8-1")</f>
        <v/>
      </c>
      <c r="F6191" t="inlineStr">
        <is>
          <t>B00WZLTCHO</t>
        </is>
      </c>
      <c r="G6191">
        <f>_xlfn.IMAGE("https://edmondsonsupply.com/cdn/shop/products/LT_1.jpg?v=1587146035")</f>
        <v/>
      </c>
      <c r="H6191">
        <f>_xlfn.IMAGE("https://m.media-amazon.com/images/I/61uz-pihn8L._AC_UL320_.jpg")</f>
        <v/>
      </c>
      <c r="K6191" t="inlineStr">
        <is>
          <t>289.99</t>
        </is>
      </c>
      <c r="L6191" t="n">
        <v>289.95</v>
      </c>
      <c r="M6191" s="1" t="inlineStr">
        <is>
          <t>-0.01%</t>
        </is>
      </c>
      <c r="N6191" s="7" t="n"/>
      <c r="O6191" t="n">
        <v>4.7</v>
      </c>
      <c r="P6191" t="n">
        <v>285</v>
      </c>
      <c r="R6191" t="inlineStr">
        <is>
          <t>InStock</t>
        </is>
      </c>
      <c r="S6191" t="inlineStr">
        <is>
          <t>undefined</t>
        </is>
      </c>
      <c r="T6191" t="inlineStr">
        <is>
          <t>3558529695844</t>
        </is>
      </c>
    </row>
    <row r="6192" ht="87" customHeight="1">
      <c r="A6192" s="2">
        <f>HYPERLINK("https://edmondsonsupply.com/collections/electricians-tools/products/klein-tools-66031-3-in-1-slotted-impact-socket-12-point-3-4-and-9-16-inch", "https://edmondsonsupply.com/collections/electricians-tools/products/klein-tools-66031-3-in-1-slotted-impact-socket-12-point-3-4-and-9-16-inch")</f>
        <v/>
      </c>
      <c r="B6192" s="2">
        <f>HYPERLINK("https://edmondsonsupply.com/products/klein-tools-66031-3-in-1-slotted-impact-socket-12-point-3-4-and-9-16-inch", "https://edmondsonsupply.com/products/klein-tools-66031-3-in-1-slotted-impact-socket-12-point-3-4-and-9-16-inch")</f>
        <v/>
      </c>
      <c r="C6192" t="inlineStr">
        <is>
          <t>Klein Tools 66031 3-in-1 Slotted Impact Socket, 12-Point, 3/4 and 9/16-Inch</t>
        </is>
      </c>
      <c r="D6192" t="inlineStr">
        <is>
          <t>Klein Tools 66030 2-in-1 Non-Marring Impact Socket, Coated 12-Point Deep Sockets, 3/4- and 9/16-Inch Sizes</t>
        </is>
      </c>
      <c r="E6192" s="2">
        <f>HYPERLINK("https://www.amazon.com/Non-Marring-12-Point-Klein-Tools-66030/dp/B09JWM5Y6N/ref=sr_1_5?keywords=Klein+Tools+66031+3-in-1+Slotted+Impact+Socket%2C+12-Point%2C+3%2F4+and+9%2F16-Inch&amp;qid=1694735137&amp;sr=8-5", "https://www.amazon.com/Non-Marring-12-Point-Klein-Tools-66030/dp/B09JWM5Y6N/ref=sr_1_5?keywords=Klein+Tools+66031+3-in-1+Slotted+Impact+Socket%2C+12-Point%2C+3%2F4+and+9%2F16-Inch&amp;qid=1694735137&amp;sr=8-5")</f>
        <v/>
      </c>
      <c r="F6192" t="inlineStr">
        <is>
          <t>B09JWM5Y6N</t>
        </is>
      </c>
      <c r="G6192">
        <f>_xlfn.IMAGE("https://edmondsonsupply.com/cdn/shop/products/66031.jpg?v=1659389111")</f>
        <v/>
      </c>
      <c r="H6192">
        <f>_xlfn.IMAGE("https://m.media-amazon.com/images/I/41w38OgEo3L._AC_UL320_.jpg")</f>
        <v/>
      </c>
      <c r="K6192" t="inlineStr">
        <is>
          <t>49.99</t>
        </is>
      </c>
      <c r="L6192" t="n">
        <v>49.98</v>
      </c>
      <c r="M6192" s="1" t="inlineStr">
        <is>
          <t>-0.02%</t>
        </is>
      </c>
      <c r="N6192" s="7" t="n"/>
      <c r="O6192" t="n">
        <v>5</v>
      </c>
      <c r="P6192" t="n">
        <v>2</v>
      </c>
      <c r="R6192" t="inlineStr">
        <is>
          <t>InStock</t>
        </is>
      </c>
      <c r="S6192" t="inlineStr">
        <is>
          <t>85.0</t>
        </is>
      </c>
      <c r="T6192" t="inlineStr">
        <is>
          <t>7769476563160</t>
        </is>
      </c>
    </row>
    <row r="6193" ht="87" customHeight="1">
      <c r="A6193" s="2">
        <f>HYPERLINK("https://edmondsonsupply.com/collections/electricians-tools/products/klein-tools-aepjs3-bluetooth%C2%AE-jobsite-speaker-with-magnet-and-hook", "https://edmondsonsupply.com/collections/electricians-tools/products/klein-tools-aepjs3-bluetooth%C2%AE-jobsite-speaker-with-magnet-and-hook")</f>
        <v/>
      </c>
      <c r="B6193" s="2">
        <f>HYPERLINK("https://edmondsonsupply.com/products/klein-tools-aepjs3-bluetooth%c2%ae-jobsite-speaker-with-magnet-and-hook", "https://edmondsonsupply.com/products/klein-tools-aepjs3-bluetooth%c2%ae-jobsite-speaker-with-magnet-and-hook")</f>
        <v/>
      </c>
      <c r="C6193" t="inlineStr">
        <is>
          <t>Klein Tools AEPJS3 Bluetooth® Jobsite Speaker with Magnet and Hook</t>
        </is>
      </c>
      <c r="D6193" t="inlineStr">
        <is>
          <t>Klein Tools AEPJS2 Bluetooth Speaker with Magnetic Strip and Hook &amp; AEPJS1 Bluetooth Speaker, Wireless Portable Jobsite Speaker Plays Audio and Answers Calls Hands Free, IPX5, Worksite Ready</t>
        </is>
      </c>
      <c r="E6193" s="2">
        <f>HYPERLINK("https://www.amazon.com/Klein-Tools-Bluetooth-Magnetic-Wireless/dp/B0C3BBLTF7/ref=sr_1_7?keywords=Klein+Tools+AEPJS3+Bluetooth%C2%AE+Jobsite+Speaker+with+Magnet+and+Hook&amp;qid=1694735122&amp;sr=8-7", "https://www.amazon.com/Klein-Tools-Bluetooth-Magnetic-Wireless/dp/B0C3BBLTF7/ref=sr_1_7?keywords=Klein+Tools+AEPJS3+Bluetooth%C2%AE+Jobsite+Speaker+with+Magnet+and+Hook&amp;qid=1694735122&amp;sr=8-7")</f>
        <v/>
      </c>
      <c r="F6193" t="inlineStr">
        <is>
          <t>B0C3BBLTF7</t>
        </is>
      </c>
      <c r="G6193">
        <f>_xlfn.IMAGE("https://edmondsonsupply.com/cdn/shop/products/aepjs3_b.jpg?v=1663946789")</f>
        <v/>
      </c>
      <c r="H6193">
        <f>_xlfn.IMAGE("https://m.media-amazon.com/images/I/61ga0Dj-31L._AC_UY218_.jpg")</f>
        <v/>
      </c>
      <c r="K6193" t="inlineStr">
        <is>
          <t>79.97</t>
        </is>
      </c>
      <c r="L6193" t="n">
        <v>79.94</v>
      </c>
      <c r="M6193" s="1" t="inlineStr">
        <is>
          <t>-0.04%</t>
        </is>
      </c>
      <c r="N6193" s="7" t="n"/>
      <c r="O6193" t="n">
        <v>5</v>
      </c>
      <c r="P6193" t="n">
        <v>1</v>
      </c>
      <c r="R6193" t="inlineStr">
        <is>
          <t>InStock</t>
        </is>
      </c>
      <c r="S6193" t="inlineStr">
        <is>
          <t>111.94</t>
        </is>
      </c>
      <c r="T6193" t="inlineStr">
        <is>
          <t>7827292553432</t>
        </is>
      </c>
    </row>
    <row r="6194" ht="87" customHeight="1">
      <c r="A6194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6194" s="2">
        <f>HYPERLINK("https://edmondsonsupply.com/products/klein-tools-51608-1-2-inch-iron-conduit-bender-head", "https://edmondsonsupply.com/products/klein-tools-51608-1-2-inch-iron-conduit-bender-head")</f>
        <v/>
      </c>
      <c r="C6194" t="inlineStr">
        <is>
          <t>Klein Tools 51608 1/2-inch Iron Conduit Bender Head</t>
        </is>
      </c>
      <c r="D6194" t="inlineStr">
        <is>
          <t>Klein Tools 51606 Aluminum Conduit Bender Full Assembly, 1/2-Inch EMT, Wide Food Pedal, Benchmark Symbols and Angle Setter</t>
        </is>
      </c>
      <c r="E6194" s="2">
        <f>HYPERLINK("https://www.amazon.com/Aluminum-Benchmark-Technology-Klein-Tools/dp/B08L41DC9N/ref=sr_1_9?keywords=Klein+Tools+51608+1%2F2-inch+Iron+Conduit+Bender+Head&amp;qid=1694735173&amp;sr=8-9", "https://www.amazon.com/Aluminum-Benchmark-Technology-Klein-Tools/dp/B08L41DC9N/ref=sr_1_9?keywords=Klein+Tools+51608+1%2F2-inch+Iron+Conduit+Bender+Head&amp;qid=1694735173&amp;sr=8-9")</f>
        <v/>
      </c>
      <c r="F6194" t="inlineStr">
        <is>
          <t>B08L41DC9N</t>
        </is>
      </c>
      <c r="G6194">
        <f>_xlfn.IMAGE("https://edmondsonsupply.com/cdn/shop/products/51608.jpg?v=1643679335")</f>
        <v/>
      </c>
      <c r="H6194">
        <f>_xlfn.IMAGE("https://m.media-amazon.com/images/I/41JBDxEE8NL._AC_UL320_.jpg")</f>
        <v/>
      </c>
      <c r="K6194" t="inlineStr">
        <is>
          <t>39.99</t>
        </is>
      </c>
      <c r="L6194" t="n">
        <v>39.97</v>
      </c>
      <c r="M6194" s="1" t="inlineStr">
        <is>
          <t>-0.05%</t>
        </is>
      </c>
      <c r="N6194" s="7" t="n"/>
      <c r="O6194" t="n">
        <v>4.8</v>
      </c>
      <c r="P6194" t="n">
        <v>258</v>
      </c>
      <c r="R6194" t="inlineStr">
        <is>
          <t>InStock</t>
        </is>
      </c>
      <c r="S6194" t="inlineStr">
        <is>
          <t>60.66</t>
        </is>
      </c>
      <c r="T6194" t="inlineStr">
        <is>
          <t>7597417693400</t>
        </is>
      </c>
    </row>
    <row r="6195" hidden="1" ht="15.75" customHeight="1">
      <c r="A6195" s="2">
        <f>HYPERLINK("https://edmondsonsupply.com/collections/electricians-tools/products/milwaukee-48-11-2425-m12%E2%84%A2-redlithium%E2%84%A2-high-output%E2%84%A2-cp2-5-battery-pack", "https://edmondsonsupply.com/collections/electricians-tools/products/milwaukee-48-11-2425-m12%E2%84%A2-redlithium%E2%84%A2-high-output%E2%84%A2-cp2-5-battery-pack")</f>
        <v/>
      </c>
      <c r="B6195" s="2">
        <f>HYPERLINK("https://edmondsonsupply.com/products/milwaukee-48-11-2425-m12%e2%84%a2-redlithium%e2%84%a2-high-output%e2%84%a2-cp2-5-battery-pack", "https://edmondsonsupply.com/products/milwaukee-48-11-2425-m12%e2%84%a2-redlithium%e2%84%a2-high-output%e2%84%a2-cp2-5-battery-pack")</f>
        <v/>
      </c>
      <c r="C6195" t="inlineStr">
        <is>
          <t>Milwaukee 48-11-2425 M12™ REDLITHIUM™ HIGH OUTPUT™ CP2.5 Battery Pack</t>
        </is>
      </c>
      <c r="D6195" t="inlineStr">
        <is>
          <t>Milwaukee 48-11-2425 12V Lithium-Ion Hight Output CP2.5Ah Battery 2 Pack</t>
        </is>
      </c>
      <c r="E6195" s="2">
        <f>HYPERLINK("https://www.amazon.com/Milwaukee-48-11-2425-Lithium-Ion-CP2-5Ah-Battery/dp/B0BVC16SGQ/ref=sr_1_2?keywords=Milwaukee+48-11-2425+M12%E2%84%A2+REDLITHIUM%E2%84%A2+HIGH+OUTPUT%E2%84%A2+CP2.5+Battery+Pack&amp;qid=1694735051&amp;sr=8-2", "https://www.amazon.com/Milwaukee-48-11-2425-Lithium-Ion-CP2-5Ah-Battery/dp/B0BVC16SGQ/ref=sr_1_2?keywords=Milwaukee+48-11-2425+M12%E2%84%A2+REDLITHIUM%E2%84%A2+HIGH+OUTPUT%E2%84%A2+CP2.5+Battery+Pack&amp;qid=1694735051&amp;sr=8-2")</f>
        <v/>
      </c>
      <c r="F6195" t="inlineStr">
        <is>
          <t>B0BVC16SGQ</t>
        </is>
      </c>
      <c r="G6195">
        <f>_xludf.IMAGE("https://edmondsonsupply.com/cdn/shop/products/48-11-2425_101.webp?v=1674138075")</f>
        <v/>
      </c>
      <c r="H6195">
        <f>_xludf.IMAGE("https://m.media-amazon.com/images/I/51uoELMu+SL._AC_UL320_.jpg")</f>
        <v/>
      </c>
      <c r="K6195" t="inlineStr">
        <is>
          <t>79.0</t>
        </is>
      </c>
      <c r="L6195" t="n">
        <v>78.95</v>
      </c>
      <c r="M6195" s="1" t="inlineStr">
        <is>
          <t>-0.06%</t>
        </is>
      </c>
      <c r="N6195" s="1" t="n"/>
      <c r="O6195" t="n">
        <v>4</v>
      </c>
      <c r="P6195" t="n">
        <v>1</v>
      </c>
      <c r="R6195" t="inlineStr">
        <is>
          <t>InStock</t>
        </is>
      </c>
      <c r="S6195" t="inlineStr">
        <is>
          <t>139.0</t>
        </is>
      </c>
      <c r="T6195" t="inlineStr">
        <is>
          <t>7926742319320</t>
        </is>
      </c>
    </row>
    <row r="6196" ht="87" customHeight="1">
      <c r="A6196" s="2">
        <f>HYPERLINK("https://edmondsonsupply.com/collections/electricians-tools/products/veto-pro-pac-tp4-tool-pouch", "https://edmondsonsupply.com/collections/electricians-tools/products/veto-pro-pac-tp4-tool-pouch")</f>
        <v/>
      </c>
      <c r="B6196" s="2">
        <f>HYPERLINK("https://edmondsonsupply.com/products/veto-pro-pac-tp4-tool-pouch", "https://edmondsonsupply.com/products/veto-pro-pac-tp4-tool-pouch")</f>
        <v/>
      </c>
      <c r="C6196" t="inlineStr">
        <is>
          <t>Veto Pro Pac TP3 Tool Bag</t>
        </is>
      </c>
      <c r="D6196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6196" s="2">
        <f>HYPERLINK("https://www.amazon.com/PB4-Durable-Access-Perfect-Backpack/dp/B0146QVSN6/ref=sr_1_37?keywords=Veto+Pro+Pac+TP3+Tool+Bag&amp;qid=1694735180&amp;sr=8-37", "https://www.amazon.com/PB4-Durable-Access-Perfect-Backpack/dp/B0146QVSN6/ref=sr_1_37?keywords=Veto+Pro+Pac+TP3+Tool+Bag&amp;qid=1694735180&amp;sr=8-37")</f>
        <v/>
      </c>
      <c r="F6196" t="inlineStr">
        <is>
          <t>B0146QVSN6</t>
        </is>
      </c>
      <c r="G6196">
        <f>_xlfn.IMAGE("https://edmondsonsupply.com/cdn/shop/products/TP3_1.jpg?v=1587144391")</f>
        <v/>
      </c>
      <c r="H6196">
        <f>_xlfn.IMAGE("https://m.media-amazon.com/images/I/51CMBYDtOXL._AC_UL320_.jpg")</f>
        <v/>
      </c>
      <c r="K6196" t="inlineStr">
        <is>
          <t>59.99</t>
        </is>
      </c>
      <c r="L6196" t="n">
        <v>59.95</v>
      </c>
      <c r="M6196" s="1" t="inlineStr">
        <is>
          <t>-0.07%</t>
        </is>
      </c>
      <c r="N6196" s="7" t="n"/>
      <c r="O6196" t="n">
        <v>4.7</v>
      </c>
      <c r="P6196" t="n">
        <v>209</v>
      </c>
      <c r="R6196" t="inlineStr">
        <is>
          <t>InStock</t>
        </is>
      </c>
      <c r="S6196" t="inlineStr">
        <is>
          <t>undefined</t>
        </is>
      </c>
      <c r="T6196" t="inlineStr">
        <is>
          <t>3561762816100</t>
        </is>
      </c>
    </row>
    <row r="6197" ht="87" customHeight="1">
      <c r="A6197" s="2">
        <f>HYPERLINK("https://edmondsonsupply.com/collections/electricians-tools/products/veto-pro-pac-tp4-tool-pouch", "https://edmondsonsupply.com/collections/electricians-tools/products/veto-pro-pac-tp4-tool-pouch")</f>
        <v/>
      </c>
      <c r="B6197" s="2">
        <f>HYPERLINK("https://edmondsonsupply.com/products/veto-pro-pac-tp4-tool-pouch", "https://edmondsonsupply.com/products/veto-pro-pac-tp4-tool-pouch")</f>
        <v/>
      </c>
      <c r="C6197" t="inlineStr">
        <is>
          <t>Veto Pro Pac TP3 Tool Bag</t>
        </is>
      </c>
      <c r="D6197" t="inlineStr">
        <is>
          <t>Veto Pro Pac TP3 Tool Pouch</t>
        </is>
      </c>
      <c r="E6197" s="2">
        <f>HYPERLINK("https://www.amazon.com/Veto-Pro-Pac-TP3-Pouch/dp/B008471T42/ref=sr_1_1?keywords=Veto+Pro+Pac+TP3+Tool+Bag&amp;qid=1694735180&amp;sr=8-1", "https://www.amazon.com/Veto-Pro-Pac-TP3-Pouch/dp/B008471T42/ref=sr_1_1?keywords=Veto+Pro+Pac+TP3+Tool+Bag&amp;qid=1694735180&amp;sr=8-1")</f>
        <v/>
      </c>
      <c r="F6197" t="inlineStr">
        <is>
          <t>B008471T42</t>
        </is>
      </c>
      <c r="G6197">
        <f>_xlfn.IMAGE("https://edmondsonsupply.com/cdn/shop/products/TP3_1.jpg?v=1587144391")</f>
        <v/>
      </c>
      <c r="H6197">
        <f>_xlfn.IMAGE("https://m.media-amazon.com/images/I/911jQmUqGIL._AC_UL320_.jpg")</f>
        <v/>
      </c>
      <c r="K6197" t="inlineStr">
        <is>
          <t>59.99</t>
        </is>
      </c>
      <c r="L6197" t="n">
        <v>59.95</v>
      </c>
      <c r="M6197" s="1" t="inlineStr">
        <is>
          <t>-0.07%</t>
        </is>
      </c>
      <c r="N6197" s="7" t="n"/>
      <c r="O6197" t="n">
        <v>4.7</v>
      </c>
      <c r="P6197" t="n">
        <v>512</v>
      </c>
      <c r="R6197" t="inlineStr">
        <is>
          <t>InStock</t>
        </is>
      </c>
      <c r="S6197" t="inlineStr">
        <is>
          <t>undefined</t>
        </is>
      </c>
      <c r="T6197" t="inlineStr">
        <is>
          <t>3561762816100</t>
        </is>
      </c>
    </row>
    <row r="6198" ht="87" customHeight="1">
      <c r="A6198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6198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6198" t="inlineStr">
        <is>
          <t>Klein Tools 1550-2 2 Blade Pocket Knife, Steel, 2-1/2-Inch Blade</t>
        </is>
      </c>
      <c r="D6198" t="inlineStr">
        <is>
          <t>Klein Tools 44213 Pocket Knife, Folding Stainless Steel Tanto Blade with Bearing Assist Open and Frame Lock, Black</t>
        </is>
      </c>
      <c r="E6198" s="2">
        <f>HYPERLINK("https://www.amazon.com/Folding-Stainless-Klein-Tools-44213/dp/B07BXX31Y8/ref=sr_1_8?keywords=Klein+Tools+1550-2+2+Blade+Pocket+Knife%2C+Steel%2C+2-1%2F2-Inch+Blade&amp;qid=1694735141&amp;sr=8-8", "https://www.amazon.com/Folding-Stainless-Klein-Tools-44213/dp/B07BXX31Y8/ref=sr_1_8?keywords=Klein+Tools+1550-2+2+Blade+Pocket+Knife%2C+Steel%2C+2-1%2F2-Inch+Blade&amp;qid=1694735141&amp;sr=8-8")</f>
        <v/>
      </c>
      <c r="F6198" t="inlineStr">
        <is>
          <t>B07BXX31Y8</t>
        </is>
      </c>
      <c r="G6198">
        <f>_xlfn.IMAGE("https://edmondsonsupply.com/cdn/shop/products/15502_b.jpg?v=1658020543")</f>
        <v/>
      </c>
      <c r="H6198">
        <f>_xlfn.IMAGE("https://m.media-amazon.com/images/I/51jhjHRblxL._AC_UL320_.jpg")</f>
        <v/>
      </c>
      <c r="K6198" t="inlineStr">
        <is>
          <t>29.99</t>
        </is>
      </c>
      <c r="L6198" t="n">
        <v>29.97</v>
      </c>
      <c r="M6198" s="1" t="inlineStr">
        <is>
          <t>-0.07%</t>
        </is>
      </c>
      <c r="N6198" s="7" t="n"/>
      <c r="O6198" t="n">
        <v>4.5</v>
      </c>
      <c r="P6198" t="n">
        <v>110</v>
      </c>
      <c r="R6198" t="inlineStr">
        <is>
          <t>InStock</t>
        </is>
      </c>
      <c r="S6198" t="inlineStr">
        <is>
          <t>45.52</t>
        </is>
      </c>
      <c r="T6198" t="inlineStr">
        <is>
          <t>2766536409188</t>
        </is>
      </c>
    </row>
    <row r="6199" hidden="1" ht="15.75" customHeight="1">
      <c r="A6199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6199" s="2">
        <f>HYPERLINK("https://edmondsonsupply.com/products/klein-tools-1011m-metric-wire-stripper-cutter-stranded-wire", "https://edmondsonsupply.com/products/klein-tools-1011m-metric-wire-stripper-cutter-stranded-wire")</f>
        <v/>
      </c>
      <c r="C6199" t="inlineStr">
        <is>
          <t>Klein Tools 1011M Metric Wire Stripper/Cutter Stranded Wire</t>
        </is>
      </c>
      <c r="D6199" t="inlineStr">
        <is>
          <t>Klein Tools 1011 Multi-Purpose Wire Stripper and Cutter for 10-20 AWG Solid Wire and 12-22 AWG Stranded Wire Blue</t>
        </is>
      </c>
      <c r="E6199" s="2">
        <f>HYPERLINK("https://www.amazon.com/Multi-Purpose-Stripper-Klein-Tools-1011/dp/B0000302WM/ref=sr_1_2?keywords=Klein+Tools+1011M+Metric+Wire+Stripper%2FCutter+Stranded+Wire&amp;qid=1694735312&amp;sr=8-2", "https://www.amazon.com/Multi-Purpose-Stripper-Klein-Tools-1011/dp/B0000302WM/ref=sr_1_2?keywords=Klein+Tools+1011M+Metric+Wire+Stripper%2FCutter+Stranded+Wire&amp;qid=1694735312&amp;sr=8-2")</f>
        <v/>
      </c>
      <c r="F6199" t="inlineStr">
        <is>
          <t>B0000302WM</t>
        </is>
      </c>
      <c r="G6199">
        <f>_xludf.IMAGE("https://edmondsonsupply.com/cdn/shop/products/1011m.jpg?v=1633030273")</f>
        <v/>
      </c>
      <c r="H6199">
        <f>_xludf.IMAGE("https://m.media-amazon.com/images/I/71A+JfSsr6L._AC_UL320_.jpg")</f>
        <v/>
      </c>
      <c r="K6199" t="inlineStr">
        <is>
          <t>14.99</t>
        </is>
      </c>
      <c r="L6199" t="n">
        <v>14.97</v>
      </c>
      <c r="M6199" s="1" t="inlineStr">
        <is>
          <t>-0.13%</t>
        </is>
      </c>
      <c r="N6199" s="1" t="n"/>
      <c r="O6199" t="n">
        <v>4.8</v>
      </c>
      <c r="P6199" t="n">
        <v>668</v>
      </c>
      <c r="R6199" t="inlineStr">
        <is>
          <t>InStock</t>
        </is>
      </c>
      <c r="S6199" t="inlineStr">
        <is>
          <t>22.72</t>
        </is>
      </c>
      <c r="T6199" t="inlineStr">
        <is>
          <t>5237017772200</t>
        </is>
      </c>
    </row>
    <row r="6200" hidden="1" ht="15.75" customHeight="1">
      <c r="A6200" s="2">
        <f>HYPERLINK("https://edmondsonsupply.com/collections/electricians-tools/products/klein-tools-50900r-locknut-wrench-set", "https://edmondsonsupply.com/collections/electricians-tools/products/klein-tools-50900r-locknut-wrench-set")</f>
        <v/>
      </c>
      <c r="B6200" s="2">
        <f>HYPERLINK("https://edmondsonsupply.com/products/klein-tools-50900r-locknut-wrench-set", "https://edmondsonsupply.com/products/klein-tools-50900r-locknut-wrench-set")</f>
        <v/>
      </c>
      <c r="C6200" t="inlineStr">
        <is>
          <t>Klein Tools 50900R Locknut Wrench Set</t>
        </is>
      </c>
      <c r="D6200" t="inlineStr">
        <is>
          <t>Klein Tools 50900R Conduit Lockout Wrench Set, Tighten and Loosen Locknuts in Tight Spaces, 1/2, 3/4 and 1-Inch, Offset Bends, 3-Piece</t>
        </is>
      </c>
      <c r="E6200" s="2">
        <f>HYPERLINK("https://www.amazon.com/Klein-Tools-Conduit-Lockout-Locknuts/dp/B0C5YSDYN1/ref=sr_1_1?keywords=Klein+Tools+50900R+Locknut+Wrench+Set&amp;qid=1694734988&amp;sr=8-1", "https://www.amazon.com/Klein-Tools-Conduit-Lockout-Locknuts/dp/B0C5YSDYN1/ref=sr_1_1?keywords=Klein+Tools+50900R+Locknut+Wrench+Set&amp;qid=1694734988&amp;sr=8-1")</f>
        <v/>
      </c>
      <c r="F6200" t="inlineStr">
        <is>
          <t>B0C5YSDYN1</t>
        </is>
      </c>
      <c r="G6200">
        <f>_xludf.IMAGE("https://edmondsonsupply.com/cdn/shop/files/50900r.jpg?v=1689789107")</f>
        <v/>
      </c>
      <c r="H6200">
        <f>_xludf.IMAGE("https://m.media-amazon.com/images/I/41LmUr65QhL._AC_UL320_.jpg")</f>
        <v/>
      </c>
      <c r="K6200" t="inlineStr">
        <is>
          <t>14.99</t>
        </is>
      </c>
      <c r="L6200" t="n">
        <v>14.97</v>
      </c>
      <c r="M6200" s="1" t="inlineStr">
        <is>
          <t>-0.13%</t>
        </is>
      </c>
      <c r="N6200" s="1" t="n"/>
      <c r="O6200" t="n">
        <v>4.5</v>
      </c>
      <c r="P6200" t="n">
        <v>102</v>
      </c>
      <c r="R6200" t="inlineStr">
        <is>
          <t>InStock</t>
        </is>
      </c>
      <c r="S6200" t="inlineStr">
        <is>
          <t>22.46</t>
        </is>
      </c>
      <c r="T6200" t="inlineStr">
        <is>
          <t>8018543968472</t>
        </is>
      </c>
    </row>
    <row r="6201" hidden="1" ht="15.75" customHeight="1">
      <c r="A6201" s="2">
        <f>HYPERLINK("https://edmondsonsupply.com/collections/electricians-tools/products/diablo-tools-d0740x-7-1-4-in-x-40-tooth-finish-saw-blade", "https://edmondsonsupply.com/collections/electricians-tools/products/diablo-tools-d0740x-7-1-4-in-x-40-tooth-finish-saw-blade")</f>
        <v/>
      </c>
      <c r="B6201" s="2">
        <f>HYPERLINK("https://edmondsonsupply.com/products/diablo-tools-d0740x-7-1-4-in-x-40-tooth-finish-saw-blade", "https://edmondsonsupply.com/products/diablo-tools-d0740x-7-1-4-in-x-40-tooth-finish-saw-blade")</f>
        <v/>
      </c>
      <c r="C6201" t="inlineStr">
        <is>
          <t>Diablo Tools D0740X 7-1/4 in. x 40 Tooth Finish Saw Blade</t>
        </is>
      </c>
      <c r="D6201" t="inlineStr">
        <is>
          <t>Freud D0740X ATB Finishing Saw Blade, multi, 7-1/4"""</t>
        </is>
      </c>
      <c r="E6201" s="2">
        <f>HYPERLINK("https://www.amazon.com/FREUD-D0740X-ATB-Finishing-Blade/dp/B00008WQ2H/ref=sr_1_1?keywords=Diablo+Tools+D0740X+7-1%2F4+in.+x+40+Tooth+Finish+Saw+Blade&amp;qid=1694735026&amp;sr=8-1", "https://www.amazon.com/FREUD-D0740X-ATB-Finishing-Blade/dp/B00008WQ2H/ref=sr_1_1?keywords=Diablo+Tools+D0740X+7-1%2F4+in.+x+40+Tooth+Finish+Saw+Blade&amp;qid=1694735026&amp;sr=8-1")</f>
        <v/>
      </c>
      <c r="F6201" t="inlineStr">
        <is>
          <t>B00008WQ2H</t>
        </is>
      </c>
      <c r="G6201">
        <f>_xludf.IMAGE("https://edmondsonsupply.com/cdn/shop/products/kdrkrhhsfpivsggxnkhy.webp?v=1678975834")</f>
        <v/>
      </c>
      <c r="H6201">
        <f>_xludf.IMAGE("https://m.media-amazon.com/images/I/81LtUAod9aL._AC_UL320_.jpg")</f>
        <v/>
      </c>
      <c r="K6201" t="inlineStr">
        <is>
          <t>14.97</t>
        </is>
      </c>
      <c r="L6201" t="n">
        <v>14.95</v>
      </c>
      <c r="M6201" s="1" t="inlineStr">
        <is>
          <t>-0.13%</t>
        </is>
      </c>
      <c r="N6201" s="1" t="n"/>
      <c r="O6201" t="n">
        <v>4.6</v>
      </c>
      <c r="P6201" t="n">
        <v>391</v>
      </c>
      <c r="R6201" t="inlineStr">
        <is>
          <t>InStock</t>
        </is>
      </c>
      <c r="S6201" t="inlineStr">
        <is>
          <t>24.4</t>
        </is>
      </c>
      <c r="T6201" t="inlineStr">
        <is>
          <t>7962622787800</t>
        </is>
      </c>
    </row>
    <row r="6202" hidden="1" ht="15.75" customHeight="1">
      <c r="A6202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6202" s="2">
        <f>HYPERLINK("https://edmondsonsupply.com/products/klein-tools-s8-1-4-inch-hollow-shaft-nut-driver-3-inch-shaft", "https://edmondsonsupply.com/products/klein-tools-s8-1-4-inch-hollow-shaft-nut-driver-3-inch-shaft")</f>
        <v/>
      </c>
      <c r="C6202" t="inlineStr">
        <is>
          <t>Klein Tools S8 1/4-Inch Hollow Shaft Nut Driver, 3-Inch Shaft</t>
        </is>
      </c>
      <c r="D6202" t="inlineStr">
        <is>
          <t>Klein Tools S8M 1/4-Inch Magnetic Nut Driver with 3-Inch Solid Shaft and Comfordome Handle</t>
        </is>
      </c>
      <c r="E6202" s="2">
        <f>HYPERLINK("https://www.amazon.com/Magnetic-Comfordome-Klein-Tools-S8M/dp/B00093GCW8/ref=sr_1_3?keywords=Klein+Tools+S8+1%2F4-Inch+Hollow+Shaft+Nut+Driver%2C+3-Inch+Shaft&amp;qid=1694735248&amp;sr=8-3", "https://www.amazon.com/Magnetic-Comfordome-Klein-Tools-S8M/dp/B00093GCW8/ref=sr_1_3?keywords=Klein+Tools+S8+1%2F4-Inch+Hollow+Shaft+Nut+Driver%2C+3-Inch+Shaft&amp;qid=1694735248&amp;sr=8-3")</f>
        <v/>
      </c>
      <c r="F6202" t="inlineStr">
        <is>
          <t>B00093GCW8</t>
        </is>
      </c>
      <c r="G6202">
        <f>_xludf.IMAGE("https://edmondsonsupply.com/cdn/shop/products/s10.jpg?v=1633030797")</f>
        <v/>
      </c>
      <c r="H6202">
        <f>_xludf.IMAGE("https://m.media-amazon.com/images/I/31hOuSIKl7L._AC_UL320_.jpg")</f>
        <v/>
      </c>
      <c r="K6202" t="inlineStr">
        <is>
          <t>7.29</t>
        </is>
      </c>
      <c r="L6202" t="n">
        <v>7.28</v>
      </c>
      <c r="M6202" s="1" t="inlineStr">
        <is>
          <t>-0.14%</t>
        </is>
      </c>
      <c r="N6202" s="1" t="n"/>
      <c r="O6202" t="n">
        <v>3.8</v>
      </c>
      <c r="P6202" t="n">
        <v>8</v>
      </c>
      <c r="R6202" t="inlineStr">
        <is>
          <t>InStock</t>
        </is>
      </c>
      <c r="S6202" t="inlineStr">
        <is>
          <t>10.74</t>
        </is>
      </c>
      <c r="T6202" t="inlineStr">
        <is>
          <t>6000424485032</t>
        </is>
      </c>
    </row>
    <row r="6203" hidden="1" ht="15.75" customHeight="1">
      <c r="A6203" s="2">
        <f>HYPERLINK("https://edmondsonsupply.com/collections/electricians-tools/products/klein-tools-s8-1-4-inch-hollow-shaft-nut-driver-3-inch-shaft", "https://edmondsonsupply.com/collections/electricians-tools/products/klein-tools-s8-1-4-inch-hollow-shaft-nut-driver-3-inch-shaft")</f>
        <v/>
      </c>
      <c r="B6203" s="2">
        <f>HYPERLINK("https://edmondsonsupply.com/products/klein-tools-s8-1-4-inch-hollow-shaft-nut-driver-3-inch-shaft", "https://edmondsonsupply.com/products/klein-tools-s8-1-4-inch-hollow-shaft-nut-driver-3-inch-shaft")</f>
        <v/>
      </c>
      <c r="C6203" t="inlineStr">
        <is>
          <t>Klein Tools S8 1/4-Inch Hollow Shaft Nut Driver, 3-Inch Shaft</t>
        </is>
      </c>
      <c r="D6203" t="inlineStr">
        <is>
          <t>Klein Tools S8 1/4-Inch Hollow Shaft Nut Driver, 3-Inch Shaft</t>
        </is>
      </c>
      <c r="E6203" s="2">
        <f>HYPERLINK("https://www.amazon.com/Klein-S8-4-Inch-Hollow-Shank-Driver/dp/B0000302VS/ref=sr_1_1?keywords=Klein+Tools+S8+1%2F4-Inch+Hollow+Shaft+Nut+Driver%2C+3-Inch+Shaft&amp;qid=1694735248&amp;sr=8-1", "https://www.amazon.com/Klein-S8-4-Inch-Hollow-Shank-Driver/dp/B0000302VS/ref=sr_1_1?keywords=Klein+Tools+S8+1%2F4-Inch+Hollow+Shaft+Nut+Driver%2C+3-Inch+Shaft&amp;qid=1694735248&amp;sr=8-1")</f>
        <v/>
      </c>
      <c r="F6203" t="inlineStr">
        <is>
          <t>B0000302VS</t>
        </is>
      </c>
      <c r="G6203">
        <f>_xludf.IMAGE("https://edmondsonsupply.com/cdn/shop/products/s10.jpg?v=1633030797")</f>
        <v/>
      </c>
      <c r="H6203">
        <f>_xludf.IMAGE("https://m.media-amazon.com/images/I/41LI6wTa36L._AC_UL320_.jpg")</f>
        <v/>
      </c>
      <c r="K6203" t="inlineStr">
        <is>
          <t>7.29</t>
        </is>
      </c>
      <c r="L6203" t="n">
        <v>7.28</v>
      </c>
      <c r="M6203" s="1" t="inlineStr">
        <is>
          <t>-0.14%</t>
        </is>
      </c>
      <c r="N6203" s="1" t="n"/>
      <c r="O6203" t="n">
        <v>4.5</v>
      </c>
      <c r="P6203" t="n">
        <v>224</v>
      </c>
      <c r="R6203" t="inlineStr">
        <is>
          <t>InStock</t>
        </is>
      </c>
      <c r="S6203" t="inlineStr">
        <is>
          <t>10.74</t>
        </is>
      </c>
      <c r="T6203" t="inlineStr">
        <is>
          <t>6000424485032</t>
        </is>
      </c>
    </row>
    <row r="6204" hidden="1" ht="15.75" customHeight="1">
      <c r="A6204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6204" s="2">
        <f>HYPERLINK("https://edmondsonsupply.com/products/klein-tools-635-3-8-3-8-inch-heavy-duty-nut-driver", "https://edmondsonsupply.com/products/klein-tools-635-3-8-3-8-inch-heavy-duty-nut-driver")</f>
        <v/>
      </c>
      <c r="C6204" t="inlineStr">
        <is>
          <t>Klein Tools 635-3/8 3/8-Inch Heavy-Duty Nut Driver</t>
        </is>
      </c>
      <c r="D6204" t="inlineStr">
        <is>
          <t>Klein Tools S126M 3/8-Inch Magnetic Nut Driver with 6-Inch Solid Shaft and Comfordome Handle</t>
        </is>
      </c>
      <c r="E6204" s="2">
        <f>HYPERLINK("https://www.amazon.com/Magnetic-Comfordome-Klein-Tools-S126M/dp/B0009OODZU/ref=sr_1_20?keywords=Klein+Tools+635-3%2F8+3%2F8-Inch+Heavy-Duty+Nut+Driver&amp;qid=1694735241&amp;sr=8-20", "https://www.amazon.com/Magnetic-Comfordome-Klein-Tools-S126M/dp/B0009OODZU/ref=sr_1_20?keywords=Klein+Tools+635-3%2F8+3%2F8-Inch+Heavy-Duty+Nut+Driver&amp;qid=1694735241&amp;sr=8-20")</f>
        <v/>
      </c>
      <c r="F6204" t="inlineStr">
        <is>
          <t>B0009OODZU</t>
        </is>
      </c>
      <c r="G6204">
        <f>_xludf.IMAGE("https://edmondsonsupply.com/cdn/shop/products/635-3-8.jpg?v=1633030895")</f>
        <v/>
      </c>
      <c r="H6204">
        <f>_xludf.IMAGE("https://m.media-amazon.com/images/I/318IOnHWWJL._AC_UL320_.jpg")</f>
        <v/>
      </c>
      <c r="K6204" t="inlineStr">
        <is>
          <t>12.99</t>
        </is>
      </c>
      <c r="L6204" t="n">
        <v>12.97</v>
      </c>
      <c r="M6204" s="1" t="inlineStr">
        <is>
          <t>-0.15%</t>
        </is>
      </c>
      <c r="N6204" s="1" t="n"/>
      <c r="O6204" t="n">
        <v>4.6</v>
      </c>
      <c r="P6204" t="n">
        <v>231</v>
      </c>
      <c r="R6204" t="inlineStr">
        <is>
          <t>InStock</t>
        </is>
      </c>
      <c r="S6204" t="inlineStr">
        <is>
          <t>19.68</t>
        </is>
      </c>
      <c r="T6204" t="inlineStr">
        <is>
          <t>6228534952109</t>
        </is>
      </c>
    </row>
    <row r="6205" hidden="1" ht="15.75" customHeight="1">
      <c r="A6205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6205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6205" t="inlineStr">
        <is>
          <t>Klein Tools 602-6 5/16-Inch Keystone Tip Screwdriver, Cushion Grip, 6-Inch</t>
        </is>
      </c>
      <c r="D6205" t="inlineStr">
        <is>
          <t>Klein Tools 6866INS Insulated Screwdriver, 1000V 5/16-Inch Cabinet Tip, Screwdriver with 6-Inch Shank, Tip-Ident, Cushion-Grip Handle</t>
        </is>
      </c>
      <c r="E6205" s="2">
        <f>HYPERLINK("https://www.amazon.com/Klein-Tools-6866INS-Screwdriver-Cushion-Grip/dp/B0BF73PSWC/ref=sr_1_3?keywords=Klein+Tools+602-6+5%2F16-Inch+Keystone+Tip+Screwdriver%2C+Cushion+Grip%2C+6-Inch&amp;qid=1694735231&amp;sr=8-3", "https://www.amazon.com/Klein-Tools-6866INS-Screwdriver-Cushion-Grip/dp/B0BF73PSWC/ref=sr_1_3?keywords=Klein+Tools+602-6+5%2F16-Inch+Keystone+Tip+Screwdriver%2C+Cushion+Grip%2C+6-Inch&amp;qid=1694735231&amp;sr=8-3")</f>
        <v/>
      </c>
      <c r="F6205" t="inlineStr">
        <is>
          <t>B0BF73PSWC</t>
        </is>
      </c>
      <c r="G6205">
        <f>_xludf.IMAGE("https://edmondsonsupply.com/cdn/shop/products/602-6_162e3283-acea-47de-aecf-2a25f009fdcb.jpg?v=1633030880")</f>
        <v/>
      </c>
      <c r="H6205">
        <f>_xludf.IMAGE("https://m.media-amazon.com/images/I/41Sx5h6xG-L._AC_UL320_.jpg")</f>
        <v/>
      </c>
      <c r="K6205" t="inlineStr">
        <is>
          <t>11.99</t>
        </is>
      </c>
      <c r="L6205" t="n">
        <v>11.97</v>
      </c>
      <c r="M6205" s="1" t="inlineStr">
        <is>
          <t>-0.17%</t>
        </is>
      </c>
      <c r="N6205" s="1" t="n"/>
      <c r="O6205" t="n">
        <v>4.9</v>
      </c>
      <c r="P6205" t="n">
        <v>202</v>
      </c>
      <c r="R6205" t="inlineStr">
        <is>
          <t>InStock</t>
        </is>
      </c>
      <c r="S6205" t="inlineStr">
        <is>
          <t>18.18</t>
        </is>
      </c>
      <c r="T6205" t="inlineStr">
        <is>
          <t>6169213501613</t>
        </is>
      </c>
    </row>
    <row r="6206" hidden="1" ht="15.75" customHeight="1">
      <c r="A6206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6206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6206" t="inlineStr">
        <is>
          <t>Klein Tools 635-1/4 1/4-Inch Nut Driver, Magnetic Tip, 4-Inch Shaft</t>
        </is>
      </c>
      <c r="D6206" t="inlineStr">
        <is>
          <t>1/4-Inch Tip Nut Driver with 3-Inch Hollow Shaft and Cushion Grip Handle Klein Tools 630-1/4</t>
        </is>
      </c>
      <c r="E6206" s="2">
        <f>HYPERLINK("https://www.amazon.com/4-Inch-Cushion-Klein-Tools-630-1/dp/B00093DZR8/ref=sr_1_7?keywords=Klein+Tools+635-1%2F4+1%2F4-Inch+Nut+Driver%2C+Magnetic+Tip%2C+4-Inch+Shaft&amp;qid=1694735101&amp;sr=8-7", "https://www.amazon.com/4-Inch-Cushion-Klein-Tools-630-1/dp/B00093DZR8/ref=sr_1_7?keywords=Klein+Tools+635-1%2F4+1%2F4-Inch+Nut+Driver%2C+Magnetic+Tip%2C+4-Inch+Shaft&amp;qid=1694735101&amp;sr=8-7")</f>
        <v/>
      </c>
      <c r="F6206" t="inlineStr">
        <is>
          <t>B00093DZR8</t>
        </is>
      </c>
      <c r="G6206">
        <f>_xludf.IMAGE("https://edmondsonsupply.com/cdn/shop/products/635-1-4.jpg?v=1666811523")</f>
        <v/>
      </c>
      <c r="H6206">
        <f>_xludf.IMAGE("https://m.media-amazon.com/images/I/41gchQgPtfL._AC_UL320_.jpg")</f>
        <v/>
      </c>
      <c r="K6206" t="inlineStr">
        <is>
          <t>11.99</t>
        </is>
      </c>
      <c r="L6206" t="n">
        <v>11.97</v>
      </c>
      <c r="M6206" s="1" t="inlineStr">
        <is>
          <t>-0.17%</t>
        </is>
      </c>
      <c r="N6206" s="1" t="n"/>
      <c r="O6206" t="n">
        <v>4.8</v>
      </c>
      <c r="P6206" t="n">
        <v>59</v>
      </c>
      <c r="R6206" t="inlineStr">
        <is>
          <t>InStock</t>
        </is>
      </c>
      <c r="S6206" t="inlineStr">
        <is>
          <t>18.18</t>
        </is>
      </c>
      <c r="T6206" t="inlineStr">
        <is>
          <t>7866294010072</t>
        </is>
      </c>
    </row>
    <row r="6207" hidden="1" ht="15.75" customHeight="1">
      <c r="A6207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6207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6207" t="inlineStr">
        <is>
          <t>Klein Tools 602-6 5/16-Inch Keystone Tip Screwdriver, Cushion Grip, 6-Inch</t>
        </is>
      </c>
      <c r="D6207" t="inlineStr">
        <is>
          <t>Klein Tools 6816INS Insulated Screwdriver, 1000V 3/16-Inch Cabinet Tip Screwdriver with 6-Inch Shank, Tip-Ident, Cushion-Grip Handle</t>
        </is>
      </c>
      <c r="E6207" s="2">
        <f>HYPERLINK("https://www.amazon.com/Klein-Tools-6816INS-Screwdriver-Cushion-Grip/dp/B0BF7JHR5X/ref=sr_1_32?keywords=Klein+Tools+602-6+5%2F16-Inch+Keystone+Tip+Screwdriver%2C+Cushion+Grip%2C+6-Inch&amp;qid=1694735231&amp;sr=8-32", "https://www.amazon.com/Klein-Tools-6816INS-Screwdriver-Cushion-Grip/dp/B0BF7JHR5X/ref=sr_1_32?keywords=Klein+Tools+602-6+5%2F16-Inch+Keystone+Tip+Screwdriver%2C+Cushion+Grip%2C+6-Inch&amp;qid=1694735231&amp;sr=8-32")</f>
        <v/>
      </c>
      <c r="F6207" t="inlineStr">
        <is>
          <t>B0BF7JHR5X</t>
        </is>
      </c>
      <c r="G6207">
        <f>_xludf.IMAGE("https://edmondsonsupply.com/cdn/shop/products/602-6_162e3283-acea-47de-aecf-2a25f009fdcb.jpg?v=1633030880")</f>
        <v/>
      </c>
      <c r="H6207">
        <f>_xludf.IMAGE("https://m.media-amazon.com/images/I/31ngLMMA6xL._AC_UL320_.jpg")</f>
        <v/>
      </c>
      <c r="K6207" t="inlineStr">
        <is>
          <t>11.99</t>
        </is>
      </c>
      <c r="L6207" t="n">
        <v>11.97</v>
      </c>
      <c r="M6207" s="1" t="inlineStr">
        <is>
          <t>-0.17%</t>
        </is>
      </c>
      <c r="N6207" s="1" t="n"/>
      <c r="O6207" t="n">
        <v>4</v>
      </c>
      <c r="P6207" t="n">
        <v>6</v>
      </c>
      <c r="R6207" t="inlineStr">
        <is>
          <t>InStock</t>
        </is>
      </c>
      <c r="S6207" t="inlineStr">
        <is>
          <t>18.18</t>
        </is>
      </c>
      <c r="T6207" t="inlineStr">
        <is>
          <t>6169213501613</t>
        </is>
      </c>
    </row>
    <row r="6208" hidden="1" ht="15.75" customHeight="1">
      <c r="A6208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6208" s="2">
        <f>HYPERLINK("https://edmondsonsupply.com/products/klein-tools-630-3-8m-3-8-magnetic-tip-nut-driver-3-hollow-shank", "https://edmondsonsupply.com/products/klein-tools-630-3-8m-3-8-magnetic-tip-nut-driver-3-hollow-shank")</f>
        <v/>
      </c>
      <c r="C6208" t="inlineStr">
        <is>
          <t>Klein Tools 630-3/8M 3/8-Inch Magnetic Tip Nut Driver</t>
        </is>
      </c>
      <c r="D6208" t="inlineStr">
        <is>
          <t>Klein Tools 630-3/8M 3/8-Inch Magnetic Tip Nut Driver with 3-Inch Hollow Shank</t>
        </is>
      </c>
      <c r="E6208" s="2">
        <f>HYPERLINK("https://www.amazon.com/Magnetic-Klein-Tools-630-3-8M/dp/B000MKH4OS/ref=sr_1_1?keywords=Klein+Tools+630-3%2F8M+3%2F8-Inch+Magnetic+Tip+Nut+Driver&amp;qid=1694735121&amp;sr=8-1", "https://www.amazon.com/Magnetic-Klein-Tools-630-3-8M/dp/B000MKH4OS/ref=sr_1_1?keywords=Klein+Tools+630-3%2F8M+3%2F8-Inch+Magnetic+Tip+Nut+Driver&amp;qid=1694735121&amp;sr=8-1")</f>
        <v/>
      </c>
      <c r="F6208" t="inlineStr">
        <is>
          <t>B000MKH4OS</t>
        </is>
      </c>
      <c r="G6208">
        <f>_xludf.IMAGE("https://edmondsonsupply.com/cdn/shop/products/630-3-8m.jpg?v=1587145139")</f>
        <v/>
      </c>
      <c r="H6208">
        <f>_xludf.IMAGE("https://m.media-amazon.com/images/I/51TxY7IaTtL._AC_UL320_.jpg")</f>
        <v/>
      </c>
      <c r="K6208" t="inlineStr">
        <is>
          <t>10.99</t>
        </is>
      </c>
      <c r="L6208" t="n">
        <v>10.97</v>
      </c>
      <c r="M6208" s="1" t="inlineStr">
        <is>
          <t>-0.18%</t>
        </is>
      </c>
      <c r="N6208" s="1" t="n"/>
      <c r="O6208" t="n">
        <v>4.7</v>
      </c>
      <c r="P6208" t="n">
        <v>1571</v>
      </c>
      <c r="R6208" t="inlineStr">
        <is>
          <t>InStock</t>
        </is>
      </c>
      <c r="S6208" t="inlineStr">
        <is>
          <t>16.66</t>
        </is>
      </c>
      <c r="T6208" t="inlineStr">
        <is>
          <t>2766802288740</t>
        </is>
      </c>
    </row>
    <row r="6209" hidden="1" ht="15.75" customHeight="1">
      <c r="A6209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6209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6209" t="inlineStr">
        <is>
          <t>Klein Tools 630-5/16M 5/16-Inch Magnetic Nut Driver with Hollow Shaft</t>
        </is>
      </c>
      <c r="D6209" t="inlineStr">
        <is>
          <t>Klein Tools 630-5/16M 5/16-Inch Magnetic Tip Nut Driver with 3-Inch Hollow Shaft</t>
        </is>
      </c>
      <c r="E6209" s="2">
        <f>HYPERLINK("https://www.amazon.com/Magnetic-Klein-Tools-630-5-16M/dp/B000LEX58E/ref=sr_1_1?keywords=Klein+Tools+630-5%2F16M+5%2F16-Inch+Magnetic+Nut+Driver+with+Hollow+Shaft&amp;qid=1694735398&amp;sr=8-1", "https://www.amazon.com/Magnetic-Klein-Tools-630-5-16M/dp/B000LEX58E/ref=sr_1_1?keywords=Klein+Tools+630-5%2F16M+5%2F16-Inch+Magnetic+Nut+Driver+with+Hollow+Shaft&amp;qid=1694735398&amp;sr=8-1")</f>
        <v/>
      </c>
      <c r="F6209" t="inlineStr">
        <is>
          <t>B000LEX58E</t>
        </is>
      </c>
      <c r="G6209">
        <f>_xludf.IMAGE("https://edmondsonsupply.com/cdn/shop/products/630-5-16m.jpg?v=1587148610")</f>
        <v/>
      </c>
      <c r="H6209">
        <f>_xludf.IMAGE("https://m.media-amazon.com/images/I/515W26xlnhL._AC_UL320_.jpg")</f>
        <v/>
      </c>
      <c r="K6209" t="inlineStr">
        <is>
          <t>9.99</t>
        </is>
      </c>
      <c r="L6209" t="n">
        <v>9.970000000000001</v>
      </c>
      <c r="M6209" s="1" t="inlineStr">
        <is>
          <t>-0.20%</t>
        </is>
      </c>
      <c r="N6209" s="1" t="n"/>
      <c r="O6209" t="n">
        <v>4.7</v>
      </c>
      <c r="P6209" t="n">
        <v>1571</v>
      </c>
      <c r="R6209" t="inlineStr">
        <is>
          <t>InStock</t>
        </is>
      </c>
      <c r="S6209" t="inlineStr">
        <is>
          <t>15.12</t>
        </is>
      </c>
      <c r="T6209" t="inlineStr">
        <is>
          <t>4391884324964</t>
        </is>
      </c>
    </row>
    <row r="6210" hidden="1" ht="15.75" customHeight="1">
      <c r="A6210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6210" s="2">
        <f>HYPERLINK("https://edmondsonsupply.com/products/klein-tools-vaco-s10m-5-16-magnetic-nut-driver-3-hollow-shaft", "https://edmondsonsupply.com/products/klein-tools-vaco-s10m-5-16-magnetic-nut-driver-3-hollow-shaft")</f>
        <v/>
      </c>
      <c r="C6210" t="inlineStr">
        <is>
          <t>Klein Tools S10M 5/16-Inch Magnetic Nut Driver 3-Inch Shaft</t>
        </is>
      </c>
      <c r="D6210" t="inlineStr">
        <is>
          <t>Klein Tools 630-5/16M 5/16-Inch Magnetic Tip Nut Driver with 3-Inch Hollow Shaft</t>
        </is>
      </c>
      <c r="E6210" s="2">
        <f>HYPERLINK("https://www.amazon.com/Magnetic-Klein-Tools-630-5-16M/dp/B000LEX58E/ref=sr_1_2?keywords=Klein+Tools+S10M+5%2F16-Inch+Magnetic+Nut+Driver+3-Inch+Shaft&amp;qid=1694735002&amp;sr=8-2", "https://www.amazon.com/Magnetic-Klein-Tools-630-5-16M/dp/B000LEX58E/ref=sr_1_2?keywords=Klein+Tools+S10M+5%2F16-Inch+Magnetic+Nut+Driver+3-Inch+Shaft&amp;qid=1694735002&amp;sr=8-2")</f>
        <v/>
      </c>
      <c r="F6210" t="inlineStr">
        <is>
          <t>B000LEX58E</t>
        </is>
      </c>
      <c r="G6210">
        <f>_xludf.IMAGE("https://edmondsonsupply.com/cdn/shop/products/s10m_alt2.jpg?v=1587143022")</f>
        <v/>
      </c>
      <c r="H6210">
        <f>_xludf.IMAGE("https://m.media-amazon.com/images/I/515W26xlnhL._AC_UL320_.jpg")</f>
        <v/>
      </c>
      <c r="K6210" t="inlineStr">
        <is>
          <t>9.99</t>
        </is>
      </c>
      <c r="L6210" t="n">
        <v>9.970000000000001</v>
      </c>
      <c r="M6210" s="1" t="inlineStr">
        <is>
          <t>-0.20%</t>
        </is>
      </c>
      <c r="N6210" s="1" t="n"/>
      <c r="O6210" t="n">
        <v>4.7</v>
      </c>
      <c r="P6210" t="n">
        <v>1571</v>
      </c>
      <c r="R6210" t="inlineStr">
        <is>
          <t>InStock</t>
        </is>
      </c>
      <c r="S6210" t="inlineStr">
        <is>
          <t>15.08</t>
        </is>
      </c>
      <c r="T6210" t="inlineStr">
        <is>
          <t>2767113125988</t>
        </is>
      </c>
    </row>
    <row r="6211" hidden="1" ht="15.75" customHeight="1">
      <c r="A6211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6211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6211" t="inlineStr">
        <is>
          <t>Klein Tools 614-4 1/8-Inch Cabinet Electronics Screwdriver, 4-Inch</t>
        </is>
      </c>
      <c r="D6211" t="inlineStr">
        <is>
          <t>Klein Tools 612-4 Screwdriver, Flat Head Terminal Block Screwdriver, 1/8-Inch Cabinet Tip, 4-Inch Round Shank, TB-DIN</t>
        </is>
      </c>
      <c r="E6211" s="2">
        <f>HYPERLINK("https://www.amazon.com/Screwdriver-Terminal-Klein-Tools-612-4/dp/B0058I6VNE/ref=sr_1_8?keywords=Klein+Tools+614-4+1%2F8-Inch+Cabinet+Electronics+Screwdriver%2C+4-Inch&amp;qid=1694735408&amp;sr=8-8", "https://www.amazon.com/Screwdriver-Terminal-Klein-Tools-612-4/dp/B0058I6VNE/ref=sr_1_8?keywords=Klein+Tools+614-4+1%2F8-Inch+Cabinet+Electronics+Screwdriver%2C+4-Inch&amp;qid=1694735408&amp;sr=8-8")</f>
        <v/>
      </c>
      <c r="F6211" t="inlineStr">
        <is>
          <t>B0058I6VNE</t>
        </is>
      </c>
      <c r="G6211">
        <f>_xludf.IMAGE("https://edmondsonsupply.com/cdn/shop/products/614-4.jpg?v=1587145143")</f>
        <v/>
      </c>
      <c r="H6211">
        <f>_xludf.IMAGE("https://m.media-amazon.com/images/I/51APfPlk95L._AC_UL320_.jpg")</f>
        <v/>
      </c>
      <c r="K6211" t="inlineStr">
        <is>
          <t>8.99</t>
        </is>
      </c>
      <c r="L6211" t="n">
        <v>8.970000000000001</v>
      </c>
      <c r="M6211" s="1" t="inlineStr">
        <is>
          <t>-0.22%</t>
        </is>
      </c>
      <c r="N6211" s="1" t="n"/>
      <c r="O6211" t="n">
        <v>4.8</v>
      </c>
      <c r="P6211" t="n">
        <v>1953</v>
      </c>
      <c r="R6211" t="inlineStr">
        <is>
          <t>InStock</t>
        </is>
      </c>
      <c r="S6211" t="inlineStr">
        <is>
          <t>13.62</t>
        </is>
      </c>
      <c r="T6211" t="inlineStr">
        <is>
          <t>4397839843428</t>
        </is>
      </c>
    </row>
    <row r="6212" hidden="1" ht="15.75" customHeight="1">
      <c r="A6212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6212" s="2">
        <f>HYPERLINK("https://edmondsonsupply.com/products/klein-tools-605-4-1-4-inch-cabinet-tip-screwdriver-4-inch-shank", "https://edmondsonsupply.com/products/klein-tools-605-4-1-4-inch-cabinet-tip-screwdriver-4-inch-shank")</f>
        <v/>
      </c>
      <c r="C6212" t="inlineStr">
        <is>
          <t>Klein Tools 605-4 1/4-Inch Cabinet Tip Screwdriver 4-Inch Shank</t>
        </is>
      </c>
      <c r="D6212" t="inlineStr">
        <is>
          <t>Klein Tools 612-4 Screwdriver, Flat Head Terminal Block Screwdriver, 1/8-Inch Cabinet Tip, 4-Inch Round Shank, TB-DIN</t>
        </is>
      </c>
      <c r="E6212" s="2">
        <f>HYPERLINK("https://www.amazon.com/Screwdriver-Terminal-Klein-Tools-612-4/dp/B0058I6VNE/ref=sr_1_7?keywords=Klein+Tools+605-4+1%2F4-Inch+Cabinet+Tip+Screwdriver+4-Inch+Shank&amp;qid=1694735099&amp;sr=8-7", "https://www.amazon.com/Screwdriver-Terminal-Klein-Tools-612-4/dp/B0058I6VNE/ref=sr_1_7?keywords=Klein+Tools+605-4+1%2F4-Inch+Cabinet+Tip+Screwdriver+4-Inch+Shank&amp;qid=1694735099&amp;sr=8-7")</f>
        <v/>
      </c>
      <c r="F6212" t="inlineStr">
        <is>
          <t>B0058I6VNE</t>
        </is>
      </c>
      <c r="G6212">
        <f>_xludf.IMAGE("https://edmondsonsupply.com/cdn/shop/products/605-6_ac5e56ca-920d-4d55-842f-c7dc8361f892.jpg?v=1665688377")</f>
        <v/>
      </c>
      <c r="H6212">
        <f>_xludf.IMAGE("https://m.media-amazon.com/images/I/51APfPlk95L._AC_UL320_.jpg")</f>
        <v/>
      </c>
      <c r="K6212" t="inlineStr">
        <is>
          <t>8.99</t>
        </is>
      </c>
      <c r="L6212" t="n">
        <v>8.970000000000001</v>
      </c>
      <c r="M6212" s="1" t="inlineStr">
        <is>
          <t>-0.22%</t>
        </is>
      </c>
      <c r="N6212" s="1" t="n"/>
      <c r="O6212" t="n">
        <v>4.8</v>
      </c>
      <c r="P6212" t="n">
        <v>1953</v>
      </c>
      <c r="R6212" t="inlineStr">
        <is>
          <t>InStock</t>
        </is>
      </c>
      <c r="S6212" t="inlineStr">
        <is>
          <t>13.6</t>
        </is>
      </c>
      <c r="T6212" t="inlineStr">
        <is>
          <t>7852059132120</t>
        </is>
      </c>
    </row>
    <row r="6213" hidden="1" ht="15.75" customHeight="1">
      <c r="A6213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6213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6213" t="inlineStr">
        <is>
          <t>Klein Tools 630-3/8 3/8-Inch Nut Driver with 3-Inch Hollow Shaft</t>
        </is>
      </c>
      <c r="D6213" t="inlineStr">
        <is>
          <t>Jonard Tools ND-63038, Nut Driver, 3/8" Hex Tip, 3" Hollow Shaft with Wide Ergonomic Comfort Grip,Blue</t>
        </is>
      </c>
      <c r="E6213" s="2">
        <f>HYPERLINK("https://www.amazon.com/Jonard-ND-63038-Cushion-Gripped-Ergonomic/dp/B006C47ANS/ref=sr_1_15?keywords=Klein+Tools+630-3%2F8+3%2F8-Inch+Nut+Driver+with+3-Inch+Hollow+Shaft&amp;qid=1694735236&amp;sr=8-15", "https://www.amazon.com/Jonard-ND-63038-Cushion-Gripped-Ergonomic/dp/B006C47ANS/ref=sr_1_15?keywords=Klein+Tools+630-3%2F8+3%2F8-Inch+Nut+Driver+with+3-Inch+Hollow+Shaft&amp;qid=1694735236&amp;sr=8-15")</f>
        <v/>
      </c>
      <c r="F6213" t="inlineStr">
        <is>
          <t>B006C47ANS</t>
        </is>
      </c>
      <c r="G6213">
        <f>_xludf.IMAGE("https://edmondsonsupply.com/cdn/shop/products/630-1-2_e23f9fbd-a282-44d7-b743-2cfe0f84edfa.jpg?v=1633030906")</f>
        <v/>
      </c>
      <c r="H6213">
        <f>_xludf.IMAGE("https://m.media-amazon.com/images/I/71WYDDiscPL._AC_UL320_.jpg")</f>
        <v/>
      </c>
      <c r="K6213" t="inlineStr">
        <is>
          <t>8.99</t>
        </is>
      </c>
      <c r="L6213" t="n">
        <v>8.949999999999999</v>
      </c>
      <c r="M6213" s="1" t="inlineStr">
        <is>
          <t>-0.44%</t>
        </is>
      </c>
      <c r="N6213" s="1" t="n"/>
      <c r="O6213" t="n">
        <v>4.5</v>
      </c>
      <c r="P6213" t="n">
        <v>127</v>
      </c>
      <c r="R6213" t="inlineStr">
        <is>
          <t>InStock</t>
        </is>
      </c>
      <c r="S6213" t="inlineStr">
        <is>
          <t>11.74</t>
        </is>
      </c>
      <c r="T6213" t="inlineStr">
        <is>
          <t>6244382376109</t>
        </is>
      </c>
    </row>
    <row r="6214" ht="87" customHeight="1">
      <c r="A6214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214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214" t="inlineStr">
        <is>
          <t>Klein Tools 32801 5-in-1 Multi-Bit Screwdriver / Nut Driver, Heavy Duty</t>
        </is>
      </c>
      <c r="D6214" t="inlineStr">
        <is>
          <t>Klein Tools 32801 5-In-1 Heavy Duty Multi-Nut Driver With Hollow Shaft for Long Bolts and Color Coded Bands</t>
        </is>
      </c>
      <c r="E6214" s="2">
        <f>HYPERLINK("https://www.amazon.com/Multi-Nut-Driver-Klein-Tools-32801/dp/B01I0RIIWQ/ref=sr_1_4?keywords=Klein+Tools+32801+5-in-1+Multi-Bit+Screwdriver+%2F+Nut+Driver%2C+Heavy+Duty&amp;qid=1694735265&amp;sr=8-4", "https://www.amazon.com/Multi-Nut-Driver-Klein-Tools-32801/dp/B01I0RIIWQ/ref=sr_1_4?keywords=Klein+Tools+32801+5-in-1+Multi-Bit+Screwdriver+%2F+Nut+Driver%2C+Heavy+Duty&amp;qid=1694735265&amp;sr=8-4")</f>
        <v/>
      </c>
      <c r="F6214" t="inlineStr">
        <is>
          <t>B01I0RIIWQ</t>
        </is>
      </c>
      <c r="G6214">
        <f>_xlfn.IMAGE("https://edmondsonsupply.com/cdn/shop/products/32801.jpg?v=1633030677")</f>
        <v/>
      </c>
      <c r="H6214">
        <f>_xlfn.IMAGE("https://m.media-amazon.com/images/I/51PwNe6LMAL._AC_UL320_.jpg")</f>
        <v/>
      </c>
      <c r="K6214" t="inlineStr">
        <is>
          <t>19.97</t>
        </is>
      </c>
      <c r="L6214" t="n">
        <v>19.88</v>
      </c>
      <c r="M6214" s="1" t="inlineStr">
        <is>
          <t>-0.45%</t>
        </is>
      </c>
      <c r="N6214" s="7" t="n"/>
      <c r="O6214" t="n">
        <v>4.7</v>
      </c>
      <c r="P6214" t="n">
        <v>1822</v>
      </c>
      <c r="R6214" t="inlineStr">
        <is>
          <t>InStock</t>
        </is>
      </c>
      <c r="S6214" t="inlineStr">
        <is>
          <t>32.18</t>
        </is>
      </c>
      <c r="T6214" t="inlineStr">
        <is>
          <t>5807274819752</t>
        </is>
      </c>
    </row>
    <row r="6215" ht="87" customHeight="1">
      <c r="A6215" s="2">
        <f>HYPERLINK("https://edmondsonsupply.com/collections/electricians-tools/products/klein-tools-ncvt1xt-non-contact-voltage-tester-70-to-1000v-ac", "https://edmondsonsupply.com/collections/electricians-tools/products/klein-tools-ncvt1xt-non-contact-voltage-tester-70-to-1000v-ac")</f>
        <v/>
      </c>
      <c r="B6215" s="2">
        <f>HYPERLINK("https://edmondsonsupply.com/products/klein-tools-ncvt1xt-non-contact-voltage-tester-70-to-1000v-ac", "https://edmondsonsupply.com/products/klein-tools-ncvt1xt-non-contact-voltage-tester-70-to-1000v-ac")</f>
        <v/>
      </c>
      <c r="C6215" t="inlineStr">
        <is>
          <t>Klein Tools NCVT1XT Non-Contact Voltage Tester, 70 to 1000V AC</t>
        </is>
      </c>
      <c r="D6215" t="inlineStr">
        <is>
          <t>Klein Tools NCVT1XT Voltage Tester, Non-Contact Voltage Detector Pen, 70V to 1000V AC, Durable IP67 Tester is Dustproof and Waterproof, Green,red</t>
        </is>
      </c>
      <c r="E6215" s="2">
        <f>HYPERLINK("https://www.amazon.com/Klein-Tools-NCVT1XT-Non-Contact-Waterproof/dp/B0BHLQ5VF1/ref=sr_1_1?keywords=Klein+Tools+NCVT1XT+Non-Contact+Voltage+Tester%2C+70+to+1000V+AC&amp;qid=1694735046&amp;sr=8-1", "https://www.amazon.com/Klein-Tools-NCVT1XT-Non-Contact-Waterproof/dp/B0BHLQ5VF1/ref=sr_1_1?keywords=Klein+Tools+NCVT1XT+Non-Contact+Voltage+Tester%2C+70+to+1000V+AC&amp;qid=1694735046&amp;sr=8-1")</f>
        <v/>
      </c>
      <c r="F6215" t="inlineStr">
        <is>
          <t>B0BHLQ5VF1</t>
        </is>
      </c>
      <c r="G6215">
        <f>_xlfn.IMAGE("https://edmondsonsupply.com/cdn/shop/products/ncvt1xt.jpg?v=1674496568")</f>
        <v/>
      </c>
      <c r="H6215">
        <f>_xlfn.IMAGE("https://m.media-amazon.com/images/I/51e9HxxrY+L._AC_UL320_.jpg")</f>
        <v/>
      </c>
      <c r="K6215" t="inlineStr">
        <is>
          <t>19.97</t>
        </is>
      </c>
      <c r="L6215" t="n">
        <v>19.88</v>
      </c>
      <c r="M6215" s="1" t="inlineStr">
        <is>
          <t>-0.45%</t>
        </is>
      </c>
      <c r="N6215" s="7" t="n"/>
      <c r="O6215" t="n">
        <v>4.6</v>
      </c>
      <c r="P6215" t="n">
        <v>75</v>
      </c>
      <c r="R6215" t="inlineStr">
        <is>
          <t>InStock</t>
        </is>
      </c>
      <c r="S6215" t="inlineStr">
        <is>
          <t>26.32</t>
        </is>
      </c>
      <c r="T6215" t="inlineStr">
        <is>
          <t>7931947155672</t>
        </is>
      </c>
    </row>
    <row r="6216" ht="87" customHeight="1">
      <c r="A6216" s="2">
        <f>HYPERLINK("https://edmondsonsupply.com/collections/electricians-tools/products/milwaukee-2744-20-m18-fuel%E2%84%A2-21-degree-framing-nailer-bare-tool", "https://edmondsonsupply.com/collections/electricians-tools/products/milwaukee-2744-20-m18-fuel%E2%84%A2-21-degree-framing-nailer-bare-tool")</f>
        <v/>
      </c>
      <c r="B6216" s="2">
        <f>HYPERLINK("https://edmondsonsupply.com/products/milwaukee-2744-20-m18-fuel%e2%84%a2-21-degree-framing-nailer-bare-tool", "https://edmondsonsupply.com/products/milwaukee-2744-20-m18-fuel%e2%84%a2-21-degree-framing-nailer-bare-tool")</f>
        <v/>
      </c>
      <c r="C6216" t="inlineStr">
        <is>
          <t>Milwaukee 2744-20 M18 FUEL™ 21 Degree Framing Nailer (BARE TOOL)</t>
        </is>
      </c>
      <c r="D6216" t="inlineStr">
        <is>
          <t>LMParts mMilwaukee 2744-20 M18 fuell 21-Degree Framing Nailer (Tool Only) New 274420, 274420 (One Pack)</t>
        </is>
      </c>
      <c r="E6216" s="2">
        <f>HYPERLINK("https://www.amazon.com/LMParts-mMilwaukee-2744-20-21-Degree-Framing/dp/B09MC9RWK3/ref=sr_1_4?keywords=Milwaukee+2744-20+M18+FUEL%E2%84%A2+21+Degree+Framing+Nailer+%28BARE+TOOL%29&amp;qid=1694735000&amp;sr=8-4", "https://www.amazon.com/LMParts-mMilwaukee-2744-20-21-Degree-Framing/dp/B09MC9RWK3/ref=sr_1_4?keywords=Milwaukee+2744-20+M18+FUEL%E2%84%A2+21+Degree+Framing+Nailer+%28BARE+TOOL%29&amp;qid=1694735000&amp;sr=8-4")</f>
        <v/>
      </c>
      <c r="F6216" t="inlineStr">
        <is>
          <t>B09MC9RWK3</t>
        </is>
      </c>
      <c r="G6216">
        <f>_xlfn.IMAGE("https://edmondsonsupply.com/cdn/shop/products/2744-20_1.webp?v=1680107906")</f>
        <v/>
      </c>
      <c r="H6216">
        <f>_xlfn.IMAGE("https://m.media-amazon.com/images/I/41B9q5GCKVL._AC_UL320_.jpg")</f>
        <v/>
      </c>
      <c r="K6216" t="inlineStr">
        <is>
          <t>379.0</t>
        </is>
      </c>
      <c r="L6216" t="n">
        <v>377.17</v>
      </c>
      <c r="M6216" s="1" t="inlineStr">
        <is>
          <t>-0.48%</t>
        </is>
      </c>
      <c r="N6216" s="7" t="n"/>
      <c r="O6216" t="n">
        <v>4.7</v>
      </c>
      <c r="P6216" t="n">
        <v>25</v>
      </c>
      <c r="R6216" t="inlineStr">
        <is>
          <t>InStock</t>
        </is>
      </c>
      <c r="S6216" t="inlineStr">
        <is>
          <t>667.0</t>
        </is>
      </c>
      <c r="T6216" t="inlineStr">
        <is>
          <t>7969715683544</t>
        </is>
      </c>
    </row>
    <row r="6217" ht="87" customHeight="1">
      <c r="A6217" s="2">
        <f>HYPERLINK("https://edmondsonsupply.com/collections/electricians-tools/products/milwaukee-2745-20-m18-fuel-30-degree-framing-nailer-tool-only", "https://edmondsonsupply.com/collections/electricians-tools/products/milwaukee-2745-20-m18-fuel-30-degree-framing-nailer-tool-only")</f>
        <v/>
      </c>
      <c r="B6217" s="2">
        <f>HYPERLINK("https://edmondsonsupply.com/products/milwaukee-2745-20-m18-fuel-30-degree-framing-nailer-tool-only", "https://edmondsonsupply.com/products/milwaukee-2745-20-m18-fuel-30-degree-framing-nailer-tool-only")</f>
        <v/>
      </c>
      <c r="C6217" t="inlineStr">
        <is>
          <t>Milwaukee 2745-20 M18 FUEL 30 Degree Framing Nailer, Tool Only</t>
        </is>
      </c>
      <c r="D6217" t="inlineStr">
        <is>
          <t>LMParts mMilwaukee 2744-20 M18 fuell 21-Degree Framing Nailer (Tool Only) New 274420, 274420 (One Pack)</t>
        </is>
      </c>
      <c r="E6217" s="2">
        <f>HYPERLINK("https://www.amazon.com/LMParts-mMilwaukee-2744-20-21-Degree-Framing/dp/B09MC9RWK3/ref=sr_1_11?keywords=Milwaukee+2745-20+M18+FUEL+30+Degree+Framing+Nailer%2C+Tool+Only&amp;qid=1694735231&amp;sr=8-11", "https://www.amazon.com/LMParts-mMilwaukee-2744-20-21-Degree-Framing/dp/B09MC9RWK3/ref=sr_1_11?keywords=Milwaukee+2745-20+M18+FUEL+30+Degree+Framing+Nailer%2C+Tool+Only&amp;qid=1694735231&amp;sr=8-11")</f>
        <v/>
      </c>
      <c r="F6217" t="inlineStr">
        <is>
          <t>B09MC9RWK3</t>
        </is>
      </c>
      <c r="G6217">
        <f>_xlfn.IMAGE("https://edmondsonsupply.com/cdn/shop/products/nail1.png?v=1633030878")</f>
        <v/>
      </c>
      <c r="H6217">
        <f>_xlfn.IMAGE("https://m.media-amazon.com/images/I/41B9q5GCKVL._AC_UL320_.jpg")</f>
        <v/>
      </c>
      <c r="K6217" t="inlineStr">
        <is>
          <t>379.0</t>
        </is>
      </c>
      <c r="L6217" t="n">
        <v>377.17</v>
      </c>
      <c r="M6217" s="1" t="inlineStr">
        <is>
          <t>-0.48%</t>
        </is>
      </c>
      <c r="N6217" s="7" t="n"/>
      <c r="O6217" t="n">
        <v>4.7</v>
      </c>
      <c r="P6217" t="n">
        <v>25</v>
      </c>
      <c r="R6217" t="inlineStr">
        <is>
          <t>InStock</t>
        </is>
      </c>
      <c r="S6217" t="inlineStr">
        <is>
          <t>667.0</t>
        </is>
      </c>
      <c r="T6217" t="inlineStr">
        <is>
          <t>6147150446765</t>
        </is>
      </c>
    </row>
    <row r="6218" hidden="1" ht="15.75" customHeight="1">
      <c r="A6218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6218" s="2">
        <f>HYPERLINK("https://edmondsonsupply.com/products/klein-tools-635-9-16-9-16-heavy-duty-nut-driver-magnetic", "https://edmondsonsupply.com/products/klein-tools-635-9-16-9-16-heavy-duty-nut-driver-magnetic")</f>
        <v/>
      </c>
      <c r="C6218" t="inlineStr">
        <is>
          <t>Klein Tools 635-9/16 9/16-Inch Heavy-Duty Nut Driver</t>
        </is>
      </c>
      <c r="D6218" t="inlineStr">
        <is>
          <t>9/16-Inch Nut Driver with 4-Inch Hollow Shank and Comfordome Handle Klein Tools S18</t>
        </is>
      </c>
      <c r="E6218" s="2">
        <f>HYPERLINK("https://www.amazon.com/16-Inch-Comfordome-Klein-Tools-S18/dp/B00093DYFG/ref=sr_1_14?keywords=Klein+Tools+635-9%2F16+9%2F16-Inch+Heavy-Duty+Nut+Driver&amp;qid=1694735388&amp;sr=8-14", "https://www.amazon.com/16-Inch-Comfordome-Klein-Tools-S18/dp/B00093DYFG/ref=sr_1_14?keywords=Klein+Tools+635-9%2F16+9%2F16-Inch+Heavy-Duty+Nut+Driver&amp;qid=1694735388&amp;sr=8-14")</f>
        <v/>
      </c>
      <c r="F6218" t="inlineStr">
        <is>
          <t>B00093DYFG</t>
        </is>
      </c>
      <c r="G6218">
        <f>_xludf.IMAGE("https://edmondsonsupply.com/cdn/shop/products/635-9-16.jpg?v=1587145126")</f>
        <v/>
      </c>
      <c r="H6218">
        <f>_xludf.IMAGE("https://m.media-amazon.com/images/I/51ES8ZYN+AL._AC_UL320_.jpg")</f>
        <v/>
      </c>
      <c r="K6218" t="inlineStr">
        <is>
          <t>15.99</t>
        </is>
      </c>
      <c r="L6218" t="n">
        <v>15.91</v>
      </c>
      <c r="M6218" s="1" t="inlineStr">
        <is>
          <t>-0.50%</t>
        </is>
      </c>
      <c r="N6218" s="1" t="n"/>
      <c r="O6218" t="n">
        <v>3.7</v>
      </c>
      <c r="P6218" t="n">
        <v>4</v>
      </c>
      <c r="R6218" t="inlineStr">
        <is>
          <t>InStock</t>
        </is>
      </c>
      <c r="S6218" t="inlineStr">
        <is>
          <t>24.22</t>
        </is>
      </c>
      <c r="T6218" t="inlineStr">
        <is>
          <t>2766897741924</t>
        </is>
      </c>
    </row>
    <row r="6219" ht="87" customHeight="1">
      <c r="A6219" s="2">
        <f>HYPERLINK("https://edmondsonsupply.com/collections/electricians-tools/products/milwaukee-48-39-0572-18-tpi-standard-compact-portable-band-saw-blade-bulk-100", "https://edmondsonsupply.com/collections/electricians-tools/products/milwaukee-48-39-0572-18-tpi-standard-compact-portable-band-saw-blade-bulk-100")</f>
        <v/>
      </c>
      <c r="B6219" s="2">
        <f>HYPERLINK("https://edmondsonsupply.com/products/milwaukee-48-39-0572-18-tpi-standard-compact-portable-band-saw-blade-bulk-100", "https://edmondsonsupply.com/products/milwaukee-48-39-0572-18-tpi-standard-compact-portable-band-saw-blade-bulk-100")</f>
        <v/>
      </c>
      <c r="C6219" t="inlineStr">
        <is>
          <t>Milwaukee 48-39-0572 18 TPI Standard Compact Portable Band Saw Blade BULK 100</t>
        </is>
      </c>
      <c r="D6219" t="inlineStr">
        <is>
          <t>Milwaukee 48-39-0572 Band Saw Blade M12 Sub-Compact 27" 18Tpi</t>
        </is>
      </c>
      <c r="E6219" s="2">
        <f>HYPERLINK("https://www.amazon.com/Milwaukee-GIDDS2-288166-Blade-Sub-Compact-18Tpi/dp/B007QUZVJ2/ref=sr_1_15?keywords=Milwaukee+48-39-0572+18+TPI+Standard+Compact+Portable+Band+Saw+Blade+BULK+100&amp;qid=1694735025&amp;sr=8-15", "https://www.amazon.com/Milwaukee-GIDDS2-288166-Blade-Sub-Compact-18Tpi/dp/B007QUZVJ2/ref=sr_1_15?keywords=Milwaukee+48-39-0572+18+TPI+Standard+Compact+Portable+Band+Saw+Blade+BULK+100&amp;qid=1694735025&amp;sr=8-15")</f>
        <v/>
      </c>
      <c r="F6219" t="inlineStr">
        <is>
          <t>B007QUZVJ2</t>
        </is>
      </c>
      <c r="G6219">
        <f>_xlfn.IMAGE("https://edmondsonsupply.com/cdn/shop/products/21432_48-39-0510.jpg?v=1678901662")</f>
        <v/>
      </c>
      <c r="H6219">
        <f>_xlfn.IMAGE("https://m.media-amazon.com/images/I/31oH3ssB4cL._AC_UL320_.jpg")</f>
        <v/>
      </c>
      <c r="K6219" t="inlineStr">
        <is>
          <t>21.97</t>
        </is>
      </c>
      <c r="L6219" t="n">
        <v>21.85</v>
      </c>
      <c r="M6219" s="1" t="inlineStr">
        <is>
          <t>-0.55%</t>
        </is>
      </c>
      <c r="N6219" s="7" t="n"/>
      <c r="O6219" t="n">
        <v>4.5</v>
      </c>
      <c r="P6219" t="n">
        <v>168</v>
      </c>
      <c r="R6219" t="inlineStr">
        <is>
          <t>InStock</t>
        </is>
      </c>
      <c r="S6219" t="inlineStr">
        <is>
          <t>27.5</t>
        </is>
      </c>
      <c r="T6219" t="inlineStr">
        <is>
          <t>7962068549848</t>
        </is>
      </c>
    </row>
    <row r="6220" ht="87" customHeight="1">
      <c r="A6220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6220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6220" t="inlineStr">
        <is>
          <t>Diablo Tools DMAPL4070-P25 1/4 in. x 4 in. x 6 in. Rebar Demon™ SDS-Plus 4-Cutter Full Carbide Head Hammer Bit (25-Pack)</t>
        </is>
      </c>
      <c r="D6220" t="inlineStr">
        <is>
          <t>Diablo DMAMX1110 5/8 in. x 24 in. x 29 in. Rebar Demon™ SDS-Max 4-Cutter Full Carbide Head Hammer Bit</t>
        </is>
      </c>
      <c r="E6220" s="2">
        <f>HYPERLINK("https://www.amazon.com/Diablo-SDS-Max-4-Cutter-Carbide-Hammer/dp/B089LJ9GHW/ref=sr_1_41?keywords=Diablo+Tools+DMAPL4070-P25+1%2F4+in.+x+4+in.+x+6+in.+Rebar+Demon%E2%84%A2+SDS-Plus+4-Cutter+Full+Carbide+Head+Hammer+Bit+%2825-Pack%29&amp;qid=1694735305&amp;sr=8-41", "https://www.amazon.com/Diablo-SDS-Max-4-Cutter-Carbide-Hammer/dp/B089LJ9GHW/ref=sr_1_41?keywords=Diablo+Tools+DMAPL4070-P25+1%2F4+in.+x+4+in.+x+6+in.+Rebar+Demon%E2%84%A2+SDS-Plus+4-Cutter+Full+Carbide+Head+Hammer+Bit+%2825-Pack%29&amp;qid=1694735305&amp;sr=8-41")</f>
        <v/>
      </c>
      <c r="F6220" t="inlineStr">
        <is>
          <t>B089LJ9GHW</t>
        </is>
      </c>
      <c r="G6220">
        <f>_xlfn.IMAGE("https://edmondsonsupply.com/cdn/shop/products/DMAPL4070.jpg?v=1633030350")</f>
        <v/>
      </c>
      <c r="H6220">
        <f>_xlfn.IMAGE("https://m.media-amazon.com/images/I/61vWAd-z8eL._AC_UL320_.jpg")</f>
        <v/>
      </c>
      <c r="K6220" t="inlineStr">
        <is>
          <t>79.47</t>
        </is>
      </c>
      <c r="L6220" t="n">
        <v>78.98999999999999</v>
      </c>
      <c r="M6220" s="1" t="inlineStr">
        <is>
          <t>-0.60%</t>
        </is>
      </c>
      <c r="N6220" s="7" t="n"/>
      <c r="O6220" t="n">
        <v>4.7</v>
      </c>
      <c r="P6220" t="n">
        <v>4</v>
      </c>
      <c r="R6220" t="inlineStr">
        <is>
          <t>InStock</t>
        </is>
      </c>
      <c r="S6220" t="inlineStr">
        <is>
          <t>106.66</t>
        </is>
      </c>
      <c r="T6220" t="inlineStr">
        <is>
          <t>5283065069736</t>
        </is>
      </c>
    </row>
    <row r="6221" ht="87" customHeight="1">
      <c r="A6221" s="2">
        <f>HYPERLINK("https://edmondsonsupply.com/collections/electricians-tools/products/klein-tools-bat20ubl-cordless-utility-led-light-tool-only", "https://edmondsonsupply.com/collections/electricians-tools/products/klein-tools-bat20ubl-cordless-utility-led-light-tool-only")</f>
        <v/>
      </c>
      <c r="B6221" s="2">
        <f>HYPERLINK("https://edmondsonsupply.com/products/klein-tools-bat20ubl-cordless-utility-led-light-tool-only", "https://edmondsonsupply.com/products/klein-tools-bat20ubl-cordless-utility-led-light-tool-only")</f>
        <v/>
      </c>
      <c r="C6221" t="inlineStr">
        <is>
          <t>Klein Tools BAT20UBL Cordless Utility LED Light (Tool Only)</t>
        </is>
      </c>
      <c r="D6221" t="inlineStr">
        <is>
          <t>Klein Tools BAT20UBL LED Utility Bucket Work Light, 20-Volt 2500 Lumens Lithium-Ion Cordless Utility Light ( Tool Only)</t>
        </is>
      </c>
      <c r="E6221" s="2">
        <f>HYPERLINK("https://www.amazon.com/Klein-Tools-BAT20UBL-Lithium-Ion-Cordless/dp/B09HW9XZLF/ref=sr_1_1?keywords=Klein+Tools+BAT20UBL+Cordless+Utility+LED+Light+%28Tool+Only%29&amp;qid=1694735112&amp;sr=8-1", "https://www.amazon.com/Klein-Tools-BAT20UBL-Lithium-Ion-Cordless/dp/B09HW9XZLF/ref=sr_1_1?keywords=Klein+Tools+BAT20UBL+Cordless+Utility+LED+Light+%28Tool+Only%29&amp;qid=1694735112&amp;sr=8-1")</f>
        <v/>
      </c>
      <c r="F6221" t="inlineStr">
        <is>
          <t>B09HW9XZLF</t>
        </is>
      </c>
      <c r="G6221">
        <f>_xlfn.IMAGE("https://edmondsonsupply.com/cdn/shop/products/bat20ubl.jpg?v=1666016493")</f>
        <v/>
      </c>
      <c r="H6221">
        <f>_xlfn.IMAGE("https://m.media-amazon.com/images/I/51119e6RKfL._AC_UL320_.jpg")</f>
        <v/>
      </c>
      <c r="K6221" t="inlineStr">
        <is>
          <t>245.73</t>
        </is>
      </c>
      <c r="L6221" t="n">
        <v>244.16</v>
      </c>
      <c r="M6221" s="1" t="inlineStr">
        <is>
          <t>-0.64%</t>
        </is>
      </c>
      <c r="N6221" s="7" t="n"/>
      <c r="O6221" t="n">
        <v>5</v>
      </c>
      <c r="P6221" t="n">
        <v>2</v>
      </c>
      <c r="R6221" t="inlineStr">
        <is>
          <t>InStock</t>
        </is>
      </c>
      <c r="S6221" t="inlineStr">
        <is>
          <t>409.54</t>
        </is>
      </c>
      <c r="T6221" t="inlineStr">
        <is>
          <t>7856569155800</t>
        </is>
      </c>
    </row>
    <row r="6222" hidden="1" ht="15.75" customHeight="1">
      <c r="A6222" s="2">
        <f>HYPERLINK("https://edmondsonsupply.com/collections/electricians-tools/products/tajima-lc-650-rock-hard%C2%AE-utility-knife-dial-blade-lock-1x-rock-hard-blade", "https://edmondsonsupply.com/collections/electricians-tools/products/tajima-lc-650-rock-hard%C2%AE-utility-knife-dial-blade-lock-1x-rock-hard-blade")</f>
        <v/>
      </c>
      <c r="B6222" s="2">
        <f>HYPERLINK("https://edmondsonsupply.com/products/tajima-lc-650-rock-hard%c2%ae-utility-knife-dial-blade-lock-1x-rock-hard-blade", "https://edmondsonsupply.com/products/tajima-lc-650-rock-hard%c2%ae-utility-knife-dial-blade-lock-1x-rock-hard-blade")</f>
        <v/>
      </c>
      <c r="C6222" t="inlineStr">
        <is>
          <t>Tajima LC-650 Rock Hard® Utility Knife, Dial Blade Lock, 1x Rock Hard Blade</t>
        </is>
      </c>
      <c r="D6222" t="inlineStr">
        <is>
          <t>TAJIMA Utility Knife - 1" 7-Point Rock Hard Snap Blade Box Cutter with Dial Lock &amp; Rock Hard Blade - LC-650</t>
        </is>
      </c>
      <c r="E6222" s="2">
        <f>HYPERLINK("https://www.amazon.com/Tajima-LC-650-Rock-Utility-Knife/dp/B0006HHWY4/ref=sr_1_1?keywords=Tajima+LC-650+Rock+Hard%C2%AE+Utility+Knife%2C+Dial+Blade+Lock%2C+1x+Rock+Hard+Blade&amp;qid=1694735199&amp;sr=8-1", "https://www.amazon.com/Tajima-LC-650-Rock-Utility-Knife/dp/B0006HHWY4/ref=sr_1_1?keywords=Tajima+LC-650+Rock+Hard%C2%AE+Utility+Knife%2C+Dial+Blade+Lock%2C+1x+Rock+Hard+Blade&amp;qid=1694735199&amp;sr=8-1")</f>
        <v/>
      </c>
      <c r="F6222" t="inlineStr">
        <is>
          <t>B0006HHWY4</t>
        </is>
      </c>
      <c r="G6222">
        <f>_xludf.IMAGE("https://edmondsonsupply.com/cdn/shop/products/LC-650_s-2.jpg?v=1633031160")</f>
        <v/>
      </c>
      <c r="H6222">
        <f>_xludf.IMAGE("https://m.media-amazon.com/images/I/61SMcIF7dlL._AC_UL320_.jpg")</f>
        <v/>
      </c>
      <c r="K6222" t="inlineStr">
        <is>
          <t>12.09</t>
        </is>
      </c>
      <c r="L6222" t="n">
        <v>12.01</v>
      </c>
      <c r="M6222" s="1" t="inlineStr">
        <is>
          <t>-0.66%</t>
        </is>
      </c>
      <c r="N6222" s="1" t="n"/>
      <c r="O6222" t="n">
        <v>4.8</v>
      </c>
      <c r="P6222" t="n">
        <v>317</v>
      </c>
      <c r="R6222" t="inlineStr">
        <is>
          <t>InStock</t>
        </is>
      </c>
      <c r="S6222" t="inlineStr">
        <is>
          <t>undefined</t>
        </is>
      </c>
      <c r="T6222" t="inlineStr">
        <is>
          <t>6897291067565</t>
        </is>
      </c>
    </row>
    <row r="6223" ht="87" customHeight="1">
      <c r="A6223" s="2">
        <f>HYPERLINK("https://edmondsonsupply.com/collections/electricians-tools/products/klein-tools-935dagl-digital-level-with-programmable-angles", "https://edmondsonsupply.com/collections/electricians-tools/products/klein-tools-935dagl-digital-level-with-programmable-angles")</f>
        <v/>
      </c>
      <c r="B6223" s="2">
        <f>HYPERLINK("https://edmondsonsupply.com/products/klein-tools-935dagl-digital-level-with-programmable-angles", "https://edmondsonsupply.com/products/klein-tools-935dagl-digital-level-with-programmable-angles")</f>
        <v/>
      </c>
      <c r="C6223" t="inlineStr">
        <is>
          <t>Klein Tools 935DAGL Digital Level with Programmable Angles</t>
        </is>
      </c>
      <c r="D6223" t="inlineStr">
        <is>
          <t>Klein Tools 935DAGL Digital Level Angle Finder with Programmable Angles, Measures 0 - 90 and 0 - 180 Degree or Dual Axis Bullseye Ranges</t>
        </is>
      </c>
      <c r="E6223" s="2">
        <f>HYPERLINK("https://www.amazon.com/935DAGL-Digital-Finder-Programmable-Measures/dp/B07L5LMYV8/ref=sr_1_1?keywords=Klein+Tools+935DAGL+Digital+Level+with+Programmable+Angles&amp;qid=1694735135&amp;sr=8-1", "https://www.amazon.com/935DAGL-Digital-Finder-Programmable-Measures/dp/B07L5LMYV8/ref=sr_1_1?keywords=Klein+Tools+935DAGL+Digital+Level+with+Programmable+Angles&amp;qid=1694735135&amp;sr=8-1")</f>
        <v/>
      </c>
      <c r="F6223" t="inlineStr">
        <is>
          <t>B07L5LMYV8</t>
        </is>
      </c>
      <c r="G6223">
        <f>_xlfn.IMAGE("https://edmondsonsupply.com/cdn/shop/products/935dagl.jpg?v=1660749694")</f>
        <v/>
      </c>
      <c r="H6223">
        <f>_xlfn.IMAGE("https://m.media-amazon.com/images/I/61y6O1e1-+L._AC_UL320_.jpg")</f>
        <v/>
      </c>
      <c r="K6223" t="inlineStr">
        <is>
          <t>59.97</t>
        </is>
      </c>
      <c r="L6223" t="n">
        <v>59.57</v>
      </c>
      <c r="M6223" s="1" t="inlineStr">
        <is>
          <t>-0.67%</t>
        </is>
      </c>
      <c r="N6223" s="7" t="n"/>
      <c r="O6223" t="n">
        <v>4.7</v>
      </c>
      <c r="P6223" t="n">
        <v>321</v>
      </c>
      <c r="R6223" t="inlineStr">
        <is>
          <t>InStock</t>
        </is>
      </c>
      <c r="S6223" t="inlineStr">
        <is>
          <t>83.8</t>
        </is>
      </c>
      <c r="T6223" t="inlineStr">
        <is>
          <t>7779783606488</t>
        </is>
      </c>
    </row>
    <row r="6224" ht="87" customHeight="1">
      <c r="A6224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6224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6224" t="inlineStr">
        <is>
          <t>Diablo Tools DMAMX1360 1-1/2 in. x 16 in. x 21 in. Rebar Demon™ SDS-Max 4-Cutter Carbide-Tipped Hammer Drill Bit</t>
        </is>
      </c>
      <c r="D6224" t="inlineStr">
        <is>
          <t>Diablo 1-3/8" x 16"x21" Rebar Demon™ SDS-Max 4-Cutter Carbide-Tipped Hammer Bit</t>
        </is>
      </c>
      <c r="E6224" s="2">
        <f>HYPERLINK("https://www.amazon.com/Diablo-SDS-Max-4-Cutter-Carbide-Tipped-Hammer/dp/B089LJCD4C/ref=sr_1_30?keywords=Diablo+Tools+DMAMX1360+1-1%2F2+in.+x+16+in.+x+21+in.+Rebar+Demon%E2%84%A2+SDS-Max+4-Cutter+Carbide-Tipped+Hammer+Drill+Bit&amp;qid=1694735042&amp;sr=8-30", "https://www.amazon.com/Diablo-SDS-Max-4-Cutter-Carbide-Tipped-Hammer/dp/B089LJCD4C/ref=sr_1_30?keywords=Diablo+Tools+DMAMX1360+1-1%2F2+in.+x+16+in.+x+21+in.+Rebar+Demon%E2%84%A2+SDS-Max+4-Cutter+Carbide-Tipped+Hammer+Drill+Bit&amp;qid=1694735042&amp;sr=8-30")</f>
        <v/>
      </c>
      <c r="F6224" t="inlineStr">
        <is>
          <t>B089LJCD4C</t>
        </is>
      </c>
      <c r="G6224">
        <f>_xlfn.IMAGE("https://edmondsonsupply.com/cdn/shop/products/z2umcsdaj3y4uvsfnxoh.webp?v=1677257156")</f>
        <v/>
      </c>
      <c r="H6224">
        <f>_xlfn.IMAGE("https://m.media-amazon.com/images/I/61LhS5ac4mL._AC_UL320_.jpg")</f>
        <v/>
      </c>
      <c r="K6224" t="inlineStr">
        <is>
          <t>93.87</t>
        </is>
      </c>
      <c r="L6224" t="n">
        <v>93.19</v>
      </c>
      <c r="M6224" s="1" t="inlineStr">
        <is>
          <t>-0.72%</t>
        </is>
      </c>
      <c r="N6224" s="7" t="n"/>
      <c r="O6224" t="n">
        <v>5</v>
      </c>
      <c r="P6224" t="n">
        <v>1</v>
      </c>
      <c r="R6224" t="inlineStr">
        <is>
          <t>InStock</t>
        </is>
      </c>
      <c r="S6224" t="inlineStr">
        <is>
          <t>149.01</t>
        </is>
      </c>
      <c r="T6224" t="inlineStr">
        <is>
          <t>7950786855128</t>
        </is>
      </c>
    </row>
    <row r="6225" ht="87" customHeight="1">
      <c r="A6225" s="2">
        <f>HYPERLINK("https://edmondsonsupply.com/collections/electricians-tools/products/klein-tools-55456bpl-tradesman-pro%E2%84%A2-tech-backpack", "https://edmondsonsupply.com/collections/electricians-tools/products/klein-tools-55456bpl-tradesman-pro%E2%84%A2-tech-backpack")</f>
        <v/>
      </c>
      <c r="B6225" s="2">
        <f>HYPERLINK("https://edmondsonsupply.com/products/klein-tools-55456bpl-tradesman-pro%e2%84%a2-tech-backpack", "https://edmondsonsupply.com/products/klein-tools-55456bpl-tradesman-pro%e2%84%a2-tech-backpack")</f>
        <v/>
      </c>
      <c r="C6225" t="inlineStr">
        <is>
          <t>Klein Tools 55456BPL Tradesman Pro™ Backpack / Tool Bag, 25 Pockets, 1-Inch Laptop Pocket</t>
        </is>
      </c>
      <c r="D6225" t="inlineStr">
        <is>
          <t>Klein Tools 55456BPL Laptop Backpack / Tool Bag, Water Resistant Technician Backpack, Padded for 1-Inch Thick Laptop or Tablet, 25 Pockets</t>
        </is>
      </c>
      <c r="E6225" s="2">
        <f>HYPERLINK("https://www.amazon.com/Electrician-Tradesman-Compartment-Klein-Tools/dp/B00G0KQKLC/ref=sr_1_1?keywords=Klein+Tools+55456BPL+Tradesman+Pro%E2%84%A2+Backpack+%2F+Tool+Bag%2C+25+Pockets%2C+1-Inch+Laptop+Pocket&amp;qid=1694735424&amp;sr=8-1", "https://www.amazon.com/Electrician-Tradesman-Compartment-Klein-Tools/dp/B00G0KQKLC/ref=sr_1_1?keywords=Klein+Tools+55456BPL+Tradesman+Pro%E2%84%A2+Backpack+%2F+Tool+Bag%2C+25+Pockets%2C+1-Inch+Laptop+Pocket&amp;qid=1694735424&amp;sr=8-1")</f>
        <v/>
      </c>
      <c r="F6225" t="inlineStr">
        <is>
          <t>B00G0KQKLC</t>
        </is>
      </c>
      <c r="G6225">
        <f>_xlfn.IMAGE("https://edmondsonsupply.com/cdn/shop/products/55456bpl.jpg?v=1679663997")</f>
        <v/>
      </c>
      <c r="H6225">
        <f>_xlfn.IMAGE("https://m.media-amazon.com/images/I/713K5Ami9CL._AC_UL320_.jpg")</f>
        <v/>
      </c>
      <c r="K6225" t="inlineStr">
        <is>
          <t>124.99</t>
        </is>
      </c>
      <c r="L6225" t="n">
        <v>124</v>
      </c>
      <c r="M6225" s="1" t="inlineStr">
        <is>
          <t>-0.79%</t>
        </is>
      </c>
      <c r="N6225" s="7" t="n"/>
      <c r="O6225" t="n">
        <v>4.7</v>
      </c>
      <c r="P6225" t="n">
        <v>710</v>
      </c>
      <c r="R6225" t="inlineStr">
        <is>
          <t>InStock</t>
        </is>
      </c>
      <c r="S6225" t="inlineStr">
        <is>
          <t>189.38</t>
        </is>
      </c>
      <c r="T6225" t="inlineStr">
        <is>
          <t>4360492613732</t>
        </is>
      </c>
    </row>
    <row r="6226" ht="87" customHeight="1">
      <c r="A6226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6226" s="2">
        <f>HYPERLINK("https://edmondsonsupply.com/products/diablo-tools-dag3090-7-8-in-x-17-1-2-in-auger-bit", "https://edmondsonsupply.com/products/diablo-tools-dag3090-7-8-in-x-17-1-2-in-auger-bit")</f>
        <v/>
      </c>
      <c r="C6226" t="inlineStr">
        <is>
          <t>Diablo Tools DAG3090 7/8 in. x 17-1/2 in. Auger Bit</t>
        </is>
      </c>
      <c r="D6226" t="inlineStr">
        <is>
          <t>Diablo by Freud DAG3100 15/16 in. x 17-1/2 in. Auger Bit Multi, One Size</t>
        </is>
      </c>
      <c r="E6226" s="2">
        <f>HYPERLINK("https://www.amazon.com/Diablo-DAG3100-17-1-Auger-Bit/dp/B089KWFBPH/ref=sr_1_8?keywords=Diablo+Tools+DAG3090+7%2F8+in.+x+17-1%2F2+in.+Auger+Bit&amp;qid=1694735031&amp;sr=8-8", "https://www.amazon.com/Diablo-DAG3100-17-1-Auger-Bit/dp/B089KWFBPH/ref=sr_1_8?keywords=Diablo+Tools+DAG3090+7%2F8+in.+x+17-1%2F2+in.+Auger+Bit&amp;qid=1694735031&amp;sr=8-8")</f>
        <v/>
      </c>
      <c r="F6226" t="inlineStr">
        <is>
          <t>B089KWFBPH</t>
        </is>
      </c>
      <c r="G6226">
        <f>_xlfn.IMAGE("https://edmondsonsupply.com/cdn/shop/products/aorgtpkivjubhtbiiau0.webp?v=1677256849")</f>
        <v/>
      </c>
      <c r="H6226">
        <f>_xlfn.IMAGE("https://m.media-amazon.com/images/I/61Lk5PecX2L._AC_UL320_.jpg")</f>
        <v/>
      </c>
      <c r="K6226" t="inlineStr">
        <is>
          <t>22.99</t>
        </is>
      </c>
      <c r="L6226" t="n">
        <v>22.8</v>
      </c>
      <c r="M6226" s="1" t="inlineStr">
        <is>
          <t>-0.83%</t>
        </is>
      </c>
      <c r="N6226" s="7" t="n"/>
      <c r="O6226" t="n">
        <v>5</v>
      </c>
      <c r="P6226" t="n">
        <v>3</v>
      </c>
      <c r="R6226" t="inlineStr">
        <is>
          <t>InStock</t>
        </is>
      </c>
      <c r="S6226" t="inlineStr">
        <is>
          <t>36.28</t>
        </is>
      </c>
      <c r="T6226" t="inlineStr">
        <is>
          <t>7950782136536</t>
        </is>
      </c>
    </row>
    <row r="6227" ht="87" customHeight="1">
      <c r="A6227" s="2">
        <f>HYPERLINK("https://edmondsonsupply.com/collections/electricians-tools/products/klein-tools-d53010-plier-wrench-10-inch", "https://edmondsonsupply.com/collections/electricians-tools/products/klein-tools-d53010-plier-wrench-10-inch")</f>
        <v/>
      </c>
      <c r="B6227" s="2">
        <f>HYPERLINK("https://edmondsonsupply.com/products/klein-tools-d53010-plier-wrench-10-inch", "https://edmondsonsupply.com/products/klein-tools-d53010-plier-wrench-10-inch")</f>
        <v/>
      </c>
      <c r="C6227" t="inlineStr">
        <is>
          <t>Klein Tools D53010 Plier Wrench, 10-Inch (D530-10)</t>
        </is>
      </c>
      <c r="D6227" t="inlineStr">
        <is>
          <t>Klein Tools D53010 Plier Wrench, Adjustable Pump Plier and Smooth Parallel Jaws, High Leverage, 10-Inch</t>
        </is>
      </c>
      <c r="E6227" s="2">
        <f>HYPERLINK("https://www.amazon.com/Klein-Tools-D53010-Adjustable-Parallel/dp/B0BYPJX3R2/ref=sr_1_1?keywords=Klein+Tools+D53010+Plier+Wrench%2C+10-Inch+%28D530-10%29&amp;qid=1694734997&amp;sr=8-1", "https://www.amazon.com/Klein-Tools-D53010-Adjustable-Parallel/dp/B0BYPJX3R2/ref=sr_1_1?keywords=Klein+Tools+D53010+Plier+Wrench%2C+10-Inch+%28D530-10%29&amp;qid=1694734997&amp;sr=8-1")</f>
        <v/>
      </c>
      <c r="F6227" t="inlineStr">
        <is>
          <t>B0BYPJX3R2</t>
        </is>
      </c>
      <c r="G6227">
        <f>_xlfn.IMAGE("https://edmondsonsupply.com/cdn/shop/products/d53010_side_paralleljaw2.jpg?v=1681738342")</f>
        <v/>
      </c>
      <c r="H6227">
        <f>_xlfn.IMAGE("https://m.media-amazon.com/images/I/41lg5eXIQGL._AC_UL320_.jpg")</f>
        <v/>
      </c>
      <c r="K6227" t="inlineStr">
        <is>
          <t>49.97</t>
        </is>
      </c>
      <c r="L6227" t="n">
        <v>49.55</v>
      </c>
      <c r="M6227" s="1" t="inlineStr">
        <is>
          <t>-0.84%</t>
        </is>
      </c>
      <c r="N6227" s="7" t="n"/>
      <c r="O6227" t="n">
        <v>4.7</v>
      </c>
      <c r="P6227" t="n">
        <v>254</v>
      </c>
      <c r="R6227" t="inlineStr">
        <is>
          <t>InStock</t>
        </is>
      </c>
      <c r="S6227" t="inlineStr">
        <is>
          <t>69.96</t>
        </is>
      </c>
      <c r="T6227" t="inlineStr">
        <is>
          <t>7980630114520</t>
        </is>
      </c>
    </row>
    <row r="6228" ht="87" customHeight="1">
      <c r="A6228" s="2">
        <f>HYPERLINK("https://edmondsonsupply.com/collections/electricians-tools/products/klein-tools-66080-2-in-1-penta-hex-flip-socket-with-adapter", "https://edmondsonsupply.com/collections/electricians-tools/products/klein-tools-66080-2-in-1-penta-hex-flip-socket-with-adapter")</f>
        <v/>
      </c>
      <c r="B6228" s="2">
        <f>HYPERLINK("https://edmondsonsupply.com/products/klein-tools-66080-2-in-1-penta-hex-flip-socket-with-adapter", "https://edmondsonsupply.com/products/klein-tools-66080-2-in-1-penta-hex-flip-socket-with-adapter")</f>
        <v/>
      </c>
      <c r="C6228" t="inlineStr">
        <is>
          <t>Klein Tools 66080 2-in-1 Penta/Hex Flip Socket with Adapter</t>
        </is>
      </c>
      <c r="D6228" t="inlineStr">
        <is>
          <t>Klein Tools 66070 Impact Socket Set, Impact Driver Flip Socket, Five Sockets with 1/4-Inch Hex and 1/2-Inch Square Socket Adapters, 7-Piece</t>
        </is>
      </c>
      <c r="E6228" s="2">
        <f>HYPERLINK("https://www.amazon.com/Klein-Tools-66070-Sockets-Adapters/dp/B0B33XLXD1/ref=sr_1_2?keywords=Klein+Tools+66080+2-in-1+Penta%2FHex+Flip+Socket+with+Adapter&amp;qid=1694735125&amp;sr=8-2", "https://www.amazon.com/Klein-Tools-66070-Sockets-Adapters/dp/B0B33XLXD1/ref=sr_1_2?keywords=Klein+Tools+66080+2-in-1+Penta%2FHex+Flip+Socket+with+Adapter&amp;qid=1694735125&amp;sr=8-2")</f>
        <v/>
      </c>
      <c r="F6228" t="inlineStr">
        <is>
          <t>B0B33XLXD1</t>
        </is>
      </c>
      <c r="G6228">
        <f>_xlfn.IMAGE("https://edmondsonsupply.com/cdn/shop/products/66080.jpg?v=1663076636")</f>
        <v/>
      </c>
      <c r="H6228">
        <f>_xlfn.IMAGE("https://m.media-amazon.com/images/I/71D23SffznL._AC_UL320_.jpg")</f>
        <v/>
      </c>
      <c r="K6228" t="inlineStr">
        <is>
          <t>50.4</t>
        </is>
      </c>
      <c r="L6228" t="n">
        <v>49.97</v>
      </c>
      <c r="M6228" s="1" t="inlineStr">
        <is>
          <t>-0.85%</t>
        </is>
      </c>
      <c r="N6228" s="7" t="n"/>
      <c r="O6228" t="n">
        <v>4.8</v>
      </c>
      <c r="P6228" t="n">
        <v>1150</v>
      </c>
      <c r="R6228" t="inlineStr">
        <is>
          <t>InStock</t>
        </is>
      </c>
      <c r="S6228" t="inlineStr">
        <is>
          <t>84.0</t>
        </is>
      </c>
      <c r="T6228" t="inlineStr">
        <is>
          <t>7814022594776</t>
        </is>
      </c>
    </row>
    <row r="6229" ht="87" customHeight="1">
      <c r="A6229" s="2">
        <f>HYPERLINK("https://edmondsonsupply.com/collections/electricians-tools/products/klein-tools-d506-4-adjustable-wrench-plastic-dipped-4-inch", "https://edmondsonsupply.com/collections/electricians-tools/products/klein-tools-d506-4-adjustable-wrench-plastic-dipped-4-inch")</f>
        <v/>
      </c>
      <c r="B6229" s="2">
        <f>HYPERLINK("https://edmondsonsupply.com/products/klein-tools-d506-4-adjustable-wrench-plastic-dipped-4-inch", "https://edmondsonsupply.com/products/klein-tools-d506-4-adjustable-wrench-plastic-dipped-4-inch")</f>
        <v/>
      </c>
      <c r="C6229" t="inlineStr">
        <is>
          <t>Klein Tools D506-4 Adjustable Wrench, Plastic Dipped, 4-Inch</t>
        </is>
      </c>
      <c r="D6229" t="inlineStr">
        <is>
          <t>Klein Tools D506-4 Adjustable Drive Wrench, Forged with High Polish Chrome Finish and a plastic dipped handle, 4-Inch</t>
        </is>
      </c>
      <c r="E6229" s="2">
        <f>HYPERLINK("https://www.amazon.com/Adjustable-Plastic-Klein-Tools-D506-4/dp/B000936OV2/ref=sr_1_1?keywords=Klein+Tools+D506-4+Adjustable+Wrench%2C+Plastic+Dipped%2C+4-Inch&amp;qid=1694735411&amp;sr=8-1", "https://www.amazon.com/Adjustable-Plastic-Klein-Tools-D506-4/dp/B000936OV2/ref=sr_1_1?keywords=Klein+Tools+D506-4+Adjustable+Wrench%2C+Plastic+Dipped%2C+4-Inch&amp;qid=1694735411&amp;sr=8-1")</f>
        <v/>
      </c>
      <c r="F6229" t="inlineStr">
        <is>
          <t>B000936OV2</t>
        </is>
      </c>
      <c r="G6229">
        <f>_xlfn.IMAGE("https://edmondsonsupply.com/cdn/shop/products/d5064.jpg?v=1587144913")</f>
        <v/>
      </c>
      <c r="H6229">
        <f>_xlfn.IMAGE("https://m.media-amazon.com/images/I/512M+05v6JL._AC_UL320_.jpg")</f>
        <v/>
      </c>
      <c r="K6229" t="inlineStr">
        <is>
          <t>24.49</t>
        </is>
      </c>
      <c r="L6229" t="n">
        <v>24.28</v>
      </c>
      <c r="M6229" s="1" t="inlineStr">
        <is>
          <t>-0.86%</t>
        </is>
      </c>
      <c r="N6229" s="7" t="n"/>
      <c r="O6229" t="n">
        <v>4.8</v>
      </c>
      <c r="P6229" t="n">
        <v>682</v>
      </c>
      <c r="R6229" t="inlineStr">
        <is>
          <t>InStock</t>
        </is>
      </c>
      <c r="S6229" t="inlineStr">
        <is>
          <t>37.1</t>
        </is>
      </c>
      <c r="T6229" t="inlineStr">
        <is>
          <t>4387858055268</t>
        </is>
      </c>
    </row>
    <row r="6230" ht="87" customHeight="1">
      <c r="A6230" s="2">
        <f>HYPERLINK("https://edmondsonsupply.com/collections/electricians-tools/products/klein-tools-55427-medium", "https://edmondsonsupply.com/collections/electricians-tools/products/klein-tools-55427-medium")</f>
        <v/>
      </c>
      <c r="B6230" s="2">
        <f>HYPERLINK("https://edmondsonsupply.com/products/klein-tools-55427-medium", "https://edmondsonsupply.com/products/klein-tools-55427-medium")</f>
        <v/>
      </c>
      <c r="C6230" t="inlineStr">
        <is>
          <t>Klein Tools 55427 Tradesman Pro Electrician's Tool Belt Medium</t>
        </is>
      </c>
      <c r="D6230" t="inlineStr">
        <is>
          <t>Klein Tools 55427 Tradesman Pro Electrician's Padded Tool Belt and Tool Pouch Combo for Long-wear Comfort and Durability Size Medium Black</t>
        </is>
      </c>
      <c r="E6230" s="2">
        <f>HYPERLINK("https://www.amazon.com/Tradesman-Electricians-Klein-Tools-55427/dp/B00BZXA2VI/ref=sr_1_1?keywords=Klein+Tools+55427+Tradesman+Pro+Electrician%27s+Tool+Belt+Medium&amp;qid=1694735377&amp;sr=8-1", "https://www.amazon.com/Tradesman-Electricians-Klein-Tools-55427/dp/B00BZXA2VI/ref=sr_1_1?keywords=Klein+Tools+55427+Tradesman+Pro+Electrician%27s+Tool+Belt+Medium&amp;qid=1694735377&amp;sr=8-1")</f>
        <v/>
      </c>
      <c r="F6230" t="inlineStr">
        <is>
          <t>B00BZXA2VI</t>
        </is>
      </c>
      <c r="G6230">
        <f>_xlfn.IMAGE("https://edmondsonsupply.com/cdn/shop/products/55428_90925240-4351-400e-90eb-aaafb44cc817.jpg?v=1587145466")</f>
        <v/>
      </c>
      <c r="H6230">
        <f>_xlfn.IMAGE("https://m.media-amazon.com/images/I/61PDnocEkaL._AC_UL320_.jpg")</f>
        <v/>
      </c>
      <c r="K6230" t="inlineStr">
        <is>
          <t>115.99</t>
        </is>
      </c>
      <c r="L6230" t="n">
        <v>114.99</v>
      </c>
      <c r="M6230" s="1" t="inlineStr">
        <is>
          <t>-0.86%</t>
        </is>
      </c>
      <c r="N6230" s="7" t="n"/>
      <c r="O6230" t="n">
        <v>4.3</v>
      </c>
      <c r="P6230" t="n">
        <v>527</v>
      </c>
      <c r="R6230" t="inlineStr">
        <is>
          <t>InStock</t>
        </is>
      </c>
      <c r="S6230" t="inlineStr">
        <is>
          <t>166.76</t>
        </is>
      </c>
      <c r="T6230" t="inlineStr">
        <is>
          <t>4414977081444</t>
        </is>
      </c>
    </row>
    <row r="6231" ht="87" customHeight="1">
      <c r="A6231" s="2">
        <f>HYPERLINK("https://edmondsonsupply.com/collections/electricians-tools/products/milwaukee-2550-22-m12%E2%84%A2-rivet-tool-kit", "https://edmondsonsupply.com/collections/electricians-tools/products/milwaukee-2550-22-m12%E2%84%A2-rivet-tool-kit")</f>
        <v/>
      </c>
      <c r="B6231" s="2">
        <f>HYPERLINK("https://edmondsonsupply.com/products/milwaukee-2550-22-m12%e2%84%a2-rivet-tool-kit", "https://edmondsonsupply.com/products/milwaukee-2550-22-m12%e2%84%a2-rivet-tool-kit")</f>
        <v/>
      </c>
      <c r="C6231" t="inlineStr">
        <is>
          <t>Milwaukee 2550-22 M12™ Rivet Tool Kit</t>
        </is>
      </c>
      <c r="D6231" t="inlineStr">
        <is>
          <t>MILWAUKEE ELECTRIC TOOLS CORP 2550-22 M12 Rivet Tool Kit (2550-22)</t>
        </is>
      </c>
      <c r="E6231" s="2">
        <f>HYPERLINK("https://www.amazon.com/MILWAUKEE-ELECTRIC-TOOLS-CORP-2550-22/dp/B07BWPKWN6/ref=sr_1_1?keywords=Milwaukee+2550-22+M12%E2%84%A2+Rivet+Tool+Kit&amp;qid=1694735052&amp;sr=8-1", "https://www.amazon.com/MILWAUKEE-ELECTRIC-TOOLS-CORP-2550-22/dp/B07BWPKWN6/ref=sr_1_1?keywords=Milwaukee+2550-22+M12%E2%84%A2+Rivet+Tool+Kit&amp;qid=1694735052&amp;sr=8-1")</f>
        <v/>
      </c>
      <c r="F6231" t="inlineStr">
        <is>
          <t>B07BWPKWN6</t>
        </is>
      </c>
      <c r="G6231">
        <f>_xlfn.IMAGE("https://edmondsonsupply.com/cdn/shop/products/2550-22_Kit.png?v=1672864826")</f>
        <v/>
      </c>
      <c r="H6231">
        <f>_xlfn.IMAGE("https://m.media-amazon.com/images/I/61CFN8IIEHL._AC_UL320_.jpg")</f>
        <v/>
      </c>
      <c r="K6231" t="inlineStr">
        <is>
          <t>429.0</t>
        </is>
      </c>
      <c r="L6231" t="n">
        <v>425</v>
      </c>
      <c r="M6231" s="1" t="inlineStr">
        <is>
          <t>-0.93%</t>
        </is>
      </c>
      <c r="N6231" s="7" t="n"/>
      <c r="O6231" t="n">
        <v>4.8</v>
      </c>
      <c r="P6231" t="n">
        <v>332</v>
      </c>
      <c r="R6231" t="inlineStr">
        <is>
          <t>InStock</t>
        </is>
      </c>
      <c r="S6231" t="inlineStr">
        <is>
          <t>815.0</t>
        </is>
      </c>
      <c r="T6231" t="inlineStr">
        <is>
          <t>7916443107544</t>
        </is>
      </c>
    </row>
    <row r="6232" hidden="1" ht="15.75" customHeight="1">
      <c r="A6232" s="2">
        <f>HYPERLINK("https://edmondsonsupply.com/collections/electricians-tools/products/diablo-tools-dmamx1080", "https://edmondsonsupply.com/collections/electricians-tools/products/diablo-tools-dmamx1080")</f>
        <v/>
      </c>
      <c r="B6232" s="2">
        <f>HYPERLINK("https://edmondsonsupply.com/products/diablo-tools-dmamx1080", "https://edmondsonsupply.com/products/diablo-tools-dmamx1080")</f>
        <v/>
      </c>
      <c r="C6232" t="inlineStr">
        <is>
          <t>Diablo Tools DMAMX1080 9/16 in. x 31 in. x 36 in. Rebar Demon SDS‑Max 4‑Cutter Full Carbide Head Hammer Bit</t>
        </is>
      </c>
      <c r="D6232" t="inlineStr">
        <is>
          <t>Diablo by Freud DMAMX1120 5/8 in. x 31 in. x 36 in. Rebar Demon SDS-Max 4-Cutter Full Carbide Head Hammer Bit</t>
        </is>
      </c>
      <c r="E6232" s="2">
        <f>HYPERLINK("https://www.amazon.com/Diablo-SDS-Max-4-Cutter-Carbide-Hammer/dp/B089LJFH3C/ref=sr_1_3?keywords=Diablo+Tools+DMAMX1080+9%2F16+in.+x+31+in.+x+36+in.+Rebar+Demon+SDS%E2%80%91Max+4%E2%80%91Cutter+Full+Carbide+Head+Hammer+Bit&amp;qid=1694735287&amp;sr=8-3", "https://www.amazon.com/Diablo-SDS-Max-4-Cutter-Carbide-Hammer/dp/B089LJFH3C/ref=sr_1_3?keywords=Diablo+Tools+DMAMX1080+9%2F16+in.+x+31+in.+x+36+in.+Rebar+Demon+SDS%E2%80%91Max+4%E2%80%91Cutter+Full+Carbide+Head+Hammer+Bit&amp;qid=1694735287&amp;sr=8-3")</f>
        <v/>
      </c>
      <c r="F6232" t="inlineStr">
        <is>
          <t>B089LJFH3C</t>
        </is>
      </c>
      <c r="G6232">
        <f>_xludf.IMAGE("https://edmondsonsupply.com/cdn/shop/products/DMAMX1080_Main-Image20200701.png?v=1609799094")</f>
        <v/>
      </c>
      <c r="H6232">
        <f>_xludf.IMAGE("https://m.media-amazon.com/images/I/615ffyRtaAL._AC_UL320_.jpg")</f>
        <v/>
      </c>
      <c r="K6232" t="inlineStr">
        <is>
          <t>82.97</t>
        </is>
      </c>
      <c r="L6232" t="n">
        <v>82.18000000000001</v>
      </c>
      <c r="M6232" s="1" t="inlineStr">
        <is>
          <t>-0.95%</t>
        </is>
      </c>
      <c r="N6232" s="1" t="n"/>
      <c r="O6232" t="n">
        <v>3.9</v>
      </c>
      <c r="P6232" t="n">
        <v>4</v>
      </c>
      <c r="R6232" t="inlineStr">
        <is>
          <t>InStock</t>
        </is>
      </c>
      <c r="S6232" t="inlineStr">
        <is>
          <t>101.36</t>
        </is>
      </c>
      <c r="T6232" t="inlineStr">
        <is>
          <t>5369223053480</t>
        </is>
      </c>
    </row>
    <row r="6233" ht="87" customHeight="1">
      <c r="A6233" s="2">
        <f>HYPERLINK("https://edmondsonsupply.com/collections/electricians-tools/products/klein-tools-cl110-digital-clamp-meter-ac-auto-ranging-400-amp", "https://edmondsonsupply.com/collections/electricians-tools/products/klein-tools-cl110-digital-clamp-meter-ac-auto-ranging-400-amp")</f>
        <v/>
      </c>
      <c r="B6233" s="2">
        <f>HYPERLINK("https://edmondsonsupply.com/products/klein-tools-cl110-digital-clamp-meter-ac-auto-ranging-400-amp", "https://edmondsonsupply.com/products/klein-tools-cl110-digital-clamp-meter-ac-auto-ranging-400-amp")</f>
        <v/>
      </c>
      <c r="C6233" t="inlineStr">
        <is>
          <t>Klein Tools CL120 Digital Clamp Meter, AC Auto-Ranging 400 Amp</t>
        </is>
      </c>
      <c r="D6233" t="inlineStr">
        <is>
          <t>Klein Tools CL120 Digital Clamp Meter, Auto-Ranging 400 Amp AC, AC/DC Voltage, Resistance, Continuity, Non-Contact Voltage Tester Detection</t>
        </is>
      </c>
      <c r="E6233" s="2">
        <f>HYPERLINK("https://www.amazon.com/Klein-Tools-CL120-Auto-Ranging-Measurements/dp/B08CP6GL49/ref=sr_1_1?keywords=Klein+Tools+CL120+Digital+Clamp+Meter%2C+AC+Auto-Ranging+400+Amp&amp;qid=1694735357&amp;sr=8-1", "https://www.amazon.com/Klein-Tools-CL120-Auto-Ranging-Measurements/dp/B08CP6GL49/ref=sr_1_1?keywords=Klein+Tools+CL120+Digital+Clamp+Meter%2C+AC+Auto-Ranging+400+Amp&amp;qid=1694735357&amp;sr=8-1")</f>
        <v/>
      </c>
      <c r="F6233" t="inlineStr">
        <is>
          <t>B08CP6GL49</t>
        </is>
      </c>
      <c r="G6233">
        <f>_xlfn.IMAGE("https://edmondsonsupply.com/cdn/shop/products/cl120.jpg?v=1633030212")</f>
        <v/>
      </c>
      <c r="H6233">
        <f>_xlfn.IMAGE("https://m.media-amazon.com/images/I/61kcTqY2rFL._AC_UY218_.jpg")</f>
        <v/>
      </c>
      <c r="K6233" t="inlineStr">
        <is>
          <t>59.97</t>
        </is>
      </c>
      <c r="L6233" t="n">
        <v>59.37</v>
      </c>
      <c r="M6233" s="1" t="inlineStr">
        <is>
          <t>-1.00%</t>
        </is>
      </c>
      <c r="N6233" s="7" t="n"/>
      <c r="O6233" t="n">
        <v>4.7</v>
      </c>
      <c r="P6233" t="n">
        <v>495</v>
      </c>
      <c r="R6233" t="inlineStr">
        <is>
          <t>InStock</t>
        </is>
      </c>
      <c r="S6233" t="inlineStr">
        <is>
          <t>85.26</t>
        </is>
      </c>
      <c r="T6233" t="inlineStr">
        <is>
          <t>4432351527012</t>
        </is>
      </c>
    </row>
    <row r="6234" hidden="1" ht="15.75" customHeight="1">
      <c r="A6234" s="2">
        <f>HYPERLINK("https://edmondsonsupply.com/collections/electricians-tools/products/klein-tools-6984ins-slim-tip-1000v-insulated-screwdriver-1-square-4-inch-round-shank", "https://edmondsonsupply.com/collections/electricians-tools/products/klein-tools-6984ins-slim-tip-1000v-insulated-screwdriver-1-square-4-inch-round-shank")</f>
        <v/>
      </c>
      <c r="B6234" s="2">
        <f>HYPERLINK("https://edmondsonsupply.com/products/klein-tools-6984ins-slim-tip-1000v-insulated-screwdriver-1-square-4-inch-round-shank", "https://edmondsonsupply.com/products/klein-tools-6984ins-slim-tip-1000v-insulated-screwdriver-1-square-4-inch-round-shank")</f>
        <v/>
      </c>
      <c r="C6234" t="inlineStr">
        <is>
          <t>Klein Tools 6984INS Slim-Tip 1000V Insulated Screwdriver, #1 Square, 4-Inch Round Shank</t>
        </is>
      </c>
      <c r="D6234" t="inlineStr">
        <is>
          <t>Klein Tools 6916INS 1000V Slim Tip Insulated Screwdriver, 6-Inch Round Shank, 3/16-Inch Cabinet Tip, Cushion Grip Handle</t>
        </is>
      </c>
      <c r="E6234" s="2">
        <f>HYPERLINK("https://www.amazon.com/Klein-Tools-6916INS-Insulated-Screwdriver/dp/B089DR97MJ/ref=sr_1_2?keywords=Klein+Tools+6984INS+Slim-Tip+1000V+Insulated+Screwdriver%2C&amp;qid=1694735107&amp;sr=8-2", "https://www.amazon.com/Klein-Tools-6916INS-Insulated-Screwdriver/dp/B089DR97MJ/ref=sr_1_2?keywords=Klein+Tools+6984INS+Slim-Tip+1000V+Insulated+Screwdriver%2C&amp;qid=1694735107&amp;sr=8-2")</f>
        <v/>
      </c>
      <c r="F6234" t="inlineStr">
        <is>
          <t>B089DR97MJ</t>
        </is>
      </c>
      <c r="G6234">
        <f>_xludf.IMAGE("https://edmondsonsupply.com/cdn/shop/products/6984ins.jpg?v=1664806448")</f>
        <v/>
      </c>
      <c r="H6234">
        <f>_xludf.IMAGE("https://m.media-amazon.com/images/I/41JpJG+Jh0L._AC_UL320_.jpg")</f>
        <v/>
      </c>
      <c r="K6234" t="inlineStr">
        <is>
          <t>13.99</t>
        </is>
      </c>
      <c r="L6234" t="n">
        <v>13.85</v>
      </c>
      <c r="M6234" s="1" t="inlineStr">
        <is>
          <t>-1.00%</t>
        </is>
      </c>
      <c r="N6234" s="1" t="n"/>
      <c r="O6234" t="n">
        <v>4.8</v>
      </c>
      <c r="P6234" t="n">
        <v>1358</v>
      </c>
      <c r="R6234" t="inlineStr">
        <is>
          <t>InStock</t>
        </is>
      </c>
      <c r="S6234" t="inlineStr">
        <is>
          <t>19.54</t>
        </is>
      </c>
      <c r="T6234" t="inlineStr">
        <is>
          <t>7837625450712</t>
        </is>
      </c>
    </row>
    <row r="6235" hidden="1" ht="15.75" customHeight="1">
      <c r="A6235" s="2">
        <f>HYPERLINK("https://edmondsonsupply.com/collections/electricians-tools/products/klein-tools-6944ins", "https://edmondsonsupply.com/collections/electricians-tools/products/klein-tools-6944ins")</f>
        <v/>
      </c>
      <c r="B6235" s="2">
        <f>HYPERLINK("https://edmondsonsupply.com/products/klein-tools-6944ins", "https://edmondsonsupply.com/products/klein-tools-6944ins")</f>
        <v/>
      </c>
      <c r="C6235" t="inlineStr">
        <is>
          <t>Klein Tools 6944INS Slim-Tip 1000V Insulated Screwdriver, #2 Square, 4-Inch Round Shank</t>
        </is>
      </c>
      <c r="D6235" t="inlineStr">
        <is>
          <t>Klein Tools 6946INS 1000V Slim Tip Insulated Screwdriver, 6-Inch Round Shank, #2 Square Tip, Cushion Grip Handle</t>
        </is>
      </c>
      <c r="E6235" s="2">
        <f>HYPERLINK("https://www.amazon.com/Klein-Tools-6946INS-Insulated-Screwdriver/dp/B088NN95Q5/ref=sr_1_4?keywords=Klein+Tools+6944INS+Slim-Tip+1000V+Insulated+Screwdriver%2C+%232+Square%2C+4-Inch+Round+Shank&amp;qid=1694735113&amp;sr=8-4", "https://www.amazon.com/Klein-Tools-6946INS-Insulated-Screwdriver/dp/B088NN95Q5/ref=sr_1_4?keywords=Klein+Tools+6944INS+Slim-Tip+1000V+Insulated+Screwdriver%2C+%232+Square%2C+4-Inch+Round+Shank&amp;qid=1694735113&amp;sr=8-4")</f>
        <v/>
      </c>
      <c r="F6235" t="inlineStr">
        <is>
          <t>B088NN95Q5</t>
        </is>
      </c>
      <c r="G6235">
        <f>_xludf.IMAGE("https://edmondsonsupply.com/cdn/shop/products/6944ins.jpg?v=1664804875")</f>
        <v/>
      </c>
      <c r="H6235">
        <f>_xludf.IMAGE("https://m.media-amazon.com/images/I/414Kb+NSPsS._AC_UL320_.jpg")</f>
        <v/>
      </c>
      <c r="K6235" t="inlineStr">
        <is>
          <t>13.99</t>
        </is>
      </c>
      <c r="L6235" t="n">
        <v>13.85</v>
      </c>
      <c r="M6235" s="1" t="inlineStr">
        <is>
          <t>-1.00%</t>
        </is>
      </c>
      <c r="N6235" s="1" t="n"/>
      <c r="O6235" t="n">
        <v>4.8</v>
      </c>
      <c r="P6235" t="n">
        <v>1358</v>
      </c>
      <c r="R6235" t="inlineStr">
        <is>
          <t>InStock</t>
        </is>
      </c>
      <c r="S6235" t="inlineStr">
        <is>
          <t>19.54</t>
        </is>
      </c>
      <c r="T6235" t="inlineStr">
        <is>
          <t>7837602054360</t>
        </is>
      </c>
    </row>
    <row r="6236" ht="87" customHeight="1">
      <c r="A6236" s="2">
        <f>HYPERLINK("https://edmondsonsupply.com/collections/electricians-tools/products/reed-mfg-r12dn-3-4-r12-segmental-dies-3-4-npt", "https://edmondsonsupply.com/collections/electricians-tools/products/reed-mfg-r12dn-3-4-r12-segmental-dies-3-4-npt")</f>
        <v/>
      </c>
      <c r="B6236" s="2">
        <f>HYPERLINK("https://edmondsonsupply.com/products/reed-mfg-r12dn-3-4-r12-segmental-dies-3-4-npt", "https://edmondsonsupply.com/products/reed-mfg-r12dn-3-4-r12-segmental-dies-3-4-npt")</f>
        <v/>
      </c>
      <c r="C6236" t="inlineStr">
        <is>
          <t>Reed Mfg R12DN 3/4 R12+ Segmental Dies, 3/4" NPT</t>
        </is>
      </c>
      <c r="D6236" t="inlineStr">
        <is>
          <t>Reed Tool R12DN 3/4 R12+ Segmental Die, 3/4-Inch NPT</t>
        </is>
      </c>
      <c r="E6236" s="2">
        <f>HYPERLINK("https://www.amazon.com/Reed-Tool-R12DN-Segmental-4-Inch/dp/B000ZHAICI/ref=sr_1_1?keywords=Reed+Mfg+R12DN+3%2F4+R12%2B+Segmental+Dies%2C+3%2F4%22+NPT&amp;qid=1694735211&amp;sr=8-1", "https://www.amazon.com/Reed-Tool-R12DN-Segmental-4-Inch/dp/B000ZHAICI/ref=sr_1_1?keywords=Reed+Mfg+R12DN+3%2F4+R12%2B+Segmental+Dies%2C+3%2F4%22+NPT&amp;qid=1694735211&amp;sr=8-1")</f>
        <v/>
      </c>
      <c r="F6236" t="inlineStr">
        <is>
          <t>B000ZHAICI</t>
        </is>
      </c>
      <c r="G6236">
        <f>_xlfn.IMAGE("https://edmondsonsupply.com/cdn/shop/products/05608-R12DN3-4-dies-RGB_fc669a29-0edc-4e96-801f-ef8fe585dce9.jpg?v=1633031014")</f>
        <v/>
      </c>
      <c r="H6236">
        <f>_xlfn.IMAGE("https://m.media-amazon.com/images/I/51A7+upQrKL._AC_UL320_.jpg")</f>
        <v/>
      </c>
      <c r="K6236" t="inlineStr">
        <is>
          <t>57.78</t>
        </is>
      </c>
      <c r="L6236" t="n">
        <v>57.14</v>
      </c>
      <c r="M6236" s="1" t="inlineStr">
        <is>
          <t>-1.11%</t>
        </is>
      </c>
      <c r="N6236" s="7" t="n"/>
      <c r="O6236" t="n">
        <v>5</v>
      </c>
      <c r="P6236" t="n">
        <v>1</v>
      </c>
      <c r="R6236" t="inlineStr">
        <is>
          <t>InStock</t>
        </is>
      </c>
      <c r="S6236" t="inlineStr">
        <is>
          <t>63.66</t>
        </is>
      </c>
      <c r="T6236" t="inlineStr">
        <is>
          <t>6698132799661</t>
        </is>
      </c>
    </row>
    <row r="6237" ht="87" customHeight="1">
      <c r="A6237" s="2">
        <f>HYPERLINK("https://edmondsonsupply.com/collections/electricians-tools/products/klein-tools-44002-lightweight-lockback-knife-2-3-8-inch-drop-point-blade-black-handle", "https://edmondsonsupply.com/collections/electricians-tools/products/klein-tools-44002-lightweight-lockback-knife-2-3-8-inch-drop-point-blade-black-handle")</f>
        <v/>
      </c>
      <c r="B6237" s="2">
        <f>HYPERLINK("https://edmondsonsupply.com/products/klein-tools-44002-lightweight-lockback-knife-2-3-8-inch-drop-point-blade-black-handle", "https://edmondsonsupply.com/products/klein-tools-44002-lightweight-lockback-knife-2-3-8-inch-drop-point-blade-black-handle")</f>
        <v/>
      </c>
      <c r="C6237" t="inlineStr">
        <is>
          <t>Klein Tools 44002 Lightweight Lockback Knife, 2-3/8-Inch Drop Point Blade, Black Handle</t>
        </is>
      </c>
      <c r="D6237" t="inlineStr">
        <is>
          <t>Klein Tools 44002 Lightweight Lockback Knife with Nylon Resin Handle, 2-3/8-Inch Drop-Point Blade,Black</t>
        </is>
      </c>
      <c r="E6237" s="2">
        <f>HYPERLINK("https://www.amazon.com/Lightweight-Drop-Point-Klein-Tools-44002/dp/B00093D5VO/ref=sr_1_1?keywords=Klein+Tools+44002+Lightweight+Lockback+Knife%2C+2-3%2F8-Inch+Drop+Point+Blade%2C+Black+Handle&amp;qid=1694735176&amp;sr=8-1", "https://www.amazon.com/Lightweight-Drop-Point-Klein-Tools-44002/dp/B00093D5VO/ref=sr_1_1?keywords=Klein+Tools+44002+Lightweight+Lockback+Knife%2C+2-3%2F8-Inch+Drop+Point+Blade%2C+Black+Handle&amp;qid=1694735176&amp;sr=8-1")</f>
        <v/>
      </c>
      <c r="F6237" t="inlineStr">
        <is>
          <t>B00093D5VO</t>
        </is>
      </c>
      <c r="G6237">
        <f>_xlfn.IMAGE("https://edmondsonsupply.com/cdn/shop/products/44002.jpg?v=1633900433")</f>
        <v/>
      </c>
      <c r="H6237">
        <f>_xlfn.IMAGE("https://m.media-amazon.com/images/I/41Nwrc8v+ZL._AC_UL320_.jpg")</f>
        <v/>
      </c>
      <c r="K6237" t="inlineStr">
        <is>
          <t>33.99</t>
        </is>
      </c>
      <c r="L6237" t="n">
        <v>33.61</v>
      </c>
      <c r="M6237" s="1" t="inlineStr">
        <is>
          <t>-1.12%</t>
        </is>
      </c>
      <c r="N6237" s="7" t="n"/>
      <c r="O6237" t="n">
        <v>4.7</v>
      </c>
      <c r="P6237" t="n">
        <v>185</v>
      </c>
      <c r="R6237" t="inlineStr">
        <is>
          <t>InStock</t>
        </is>
      </c>
      <c r="S6237" t="inlineStr">
        <is>
          <t>51.52</t>
        </is>
      </c>
      <c r="T6237" t="inlineStr">
        <is>
          <t>7007756976301</t>
        </is>
      </c>
    </row>
    <row r="6238" ht="87" customHeight="1">
      <c r="A6238" s="2">
        <f>HYPERLINK("https://edmondsonsupply.com/collections/electricians-tools/products/greenlee-gt13-non-contact-voltage-detector", "https://edmondsonsupply.com/collections/electricians-tools/products/greenlee-gt13-non-contact-voltage-detector")</f>
        <v/>
      </c>
      <c r="B6238" s="2">
        <f>HYPERLINK("https://edmondsonsupply.com/products/greenlee-gt13-non-contact-voltage-detector", "https://edmondsonsupply.com/products/greenlee-gt13-non-contact-voltage-detector")</f>
        <v/>
      </c>
      <c r="C6238" t="inlineStr">
        <is>
          <t>Greenlee GT13 Non-Contact Voltage Detector</t>
        </is>
      </c>
      <c r="D6238" t="inlineStr">
        <is>
          <t>Greenlee GT13 Non-Contact Self-Test Voltage Detector, 50V - 1000V AC,Black</t>
        </is>
      </c>
      <c r="E6238" s="2">
        <f>HYPERLINK("https://www.amazon.com/GREENLEE-Non-Contact-Voltage-Detector-M/dp/B083CNQBST/ref=sr_1_1?keywords=Greenlee+GT13+Non-Contact+Voltage+Detector&amp;qid=1694735374&amp;sr=8-1", "https://www.amazon.com/GREENLEE-Non-Contact-Voltage-Detector-M/dp/B083CNQBST/ref=sr_1_1?keywords=Greenlee+GT13+Non-Contact+Voltage+Detector&amp;qid=1694735374&amp;sr=8-1")</f>
        <v/>
      </c>
      <c r="F6238" t="inlineStr">
        <is>
          <t>B083CNQBST</t>
        </is>
      </c>
      <c r="G6238">
        <f>_xlfn.IMAGE("https://edmondsonsupply.com/cdn/shop/products/GT13_CAT2.jpg?v=1587145645")</f>
        <v/>
      </c>
      <c r="H6238">
        <f>_xlfn.IMAGE("https://m.media-amazon.com/images/I/61tjtJA30cL._AC_UL320_.jpg")</f>
        <v/>
      </c>
      <c r="K6238" t="inlineStr">
        <is>
          <t>23.89</t>
        </is>
      </c>
      <c r="L6238" t="n">
        <v>23.6</v>
      </c>
      <c r="M6238" s="1" t="inlineStr">
        <is>
          <t>-1.21%</t>
        </is>
      </c>
      <c r="N6238" s="7" t="n"/>
      <c r="O6238" t="n">
        <v>4.7</v>
      </c>
      <c r="P6238" t="n">
        <v>171</v>
      </c>
      <c r="R6238" t="inlineStr">
        <is>
          <t>InStock</t>
        </is>
      </c>
      <c r="S6238" t="inlineStr">
        <is>
          <t>25.7</t>
        </is>
      </c>
      <c r="T6238" t="inlineStr">
        <is>
          <t>4417287880804</t>
        </is>
      </c>
    </row>
    <row r="6239" ht="87" customHeight="1">
      <c r="A6239" s="2">
        <f>HYPERLINK("https://edmondsonsupply.com/collections/electricians-tools/products/klein-tools-d213-9nett-pliers-high-leverage-side-cutters-tether-ring", "https://edmondsonsupply.com/collections/electricians-tools/products/klein-tools-d213-9nett-pliers-high-leverage-side-cutters-tether-ring")</f>
        <v/>
      </c>
      <c r="B6239" s="2">
        <f>HYPERLINK("https://edmondsonsupply.com/products/klein-tools-d213-9nett-pliers-high-leverage-side-cutters-tether-ring", "https://edmondsonsupply.com/products/klein-tools-d213-9nett-pliers-high-leverage-side-cutters-tether-ring")</f>
        <v/>
      </c>
      <c r="C6239" t="inlineStr">
        <is>
          <t>Klein Tools D213-9NETT Pliers, High-Leverage Side Cutters, Tether Ring</t>
        </is>
      </c>
      <c r="D6239" t="inlineStr">
        <is>
          <t>Klein Tools D213-9NETT Pliers, High Leverage Side Cutters with Tether Ring, New England Nose</t>
        </is>
      </c>
      <c r="E6239" s="2">
        <f>HYPERLINK("https://www.amazon.com/Leverage-Cutters-Klein-Tools-D213-9NETT/dp/B01K76UXR6/ref=sr_1_1?keywords=Klein+Tools+D213-9NETT+Pliers%2C+High-Leverage+Side+Cutters%2C+Tether+Ring&amp;qid=1694735164&amp;sr=8-1", "https://www.amazon.com/Leverage-Cutters-Klein-Tools-D213-9NETT/dp/B01K76UXR6/ref=sr_1_1?keywords=Klein+Tools+D213-9NETT+Pliers%2C+High-Leverage+Side+Cutters%2C+Tether+Ring&amp;qid=1694735164&amp;sr=8-1")</f>
        <v/>
      </c>
      <c r="F6239" t="inlineStr">
        <is>
          <t>B01K76UXR6</t>
        </is>
      </c>
      <c r="G6239">
        <f>_xlfn.IMAGE("https://edmondsonsupply.com/cdn/shop/products/d2139nett.jpg?v=1647394939")</f>
        <v/>
      </c>
      <c r="H6239">
        <f>_xlfn.IMAGE("https://m.media-amazon.com/images/I/511+TPpHFoL._AC_UL320_.jpg")</f>
        <v/>
      </c>
      <c r="K6239" t="inlineStr">
        <is>
          <t>39.99</t>
        </is>
      </c>
      <c r="L6239" t="n">
        <v>39.49</v>
      </c>
      <c r="M6239" s="1" t="inlineStr">
        <is>
          <t>-1.25%</t>
        </is>
      </c>
      <c r="N6239" s="7" t="n"/>
      <c r="O6239" t="n">
        <v>4.6</v>
      </c>
      <c r="P6239" t="n">
        <v>13</v>
      </c>
      <c r="R6239" t="inlineStr">
        <is>
          <t>InStock</t>
        </is>
      </c>
      <c r="S6239" t="inlineStr">
        <is>
          <t>60.6</t>
        </is>
      </c>
      <c r="T6239" t="inlineStr">
        <is>
          <t>7637549416664</t>
        </is>
      </c>
    </row>
    <row r="6240" hidden="1" ht="15.75" customHeight="1">
      <c r="A6240" s="2">
        <f>HYPERLINK("https://edmondsonsupply.com/collections/electricians-tools/products/diablo-tools-dsp2110-7-8-x-6-speedemon%E2%84%A2-spade-bit", "https://edmondsonsupply.com/collections/electricians-tools/products/diablo-tools-dsp2110-7-8-x-6-speedemon%E2%84%A2-spade-bit")</f>
        <v/>
      </c>
      <c r="B6240" s="2">
        <f>HYPERLINK("https://edmondsonsupply.com/products/diablo-tools-dsp2110-7-8-x-6-speedemon%e2%84%a2-spade-bit", "https://edmondsonsupply.com/products/diablo-tools-dsp2110-7-8-x-6-speedemon%e2%84%a2-spade-bit")</f>
        <v/>
      </c>
      <c r="C6240" t="inlineStr">
        <is>
          <t>Diablo Tools DSP2110 7/8" x 6" SPEEDemon™ Spade Bit</t>
        </is>
      </c>
      <c r="D6240" t="inlineStr">
        <is>
          <t>Irwin Tools 88814 Speedbor Spade Wood Drill Bit 7/8" X 6", Pack of 1</t>
        </is>
      </c>
      <c r="E6240" s="2">
        <f>HYPERLINK("https://www.amazon.com/Irwin-Tools-HAN88814-Spade-Bit/dp/B00N07YR0Y/ref=sr_1_37?keywords=Diablo+Tools+DSP2110+7%2F8%22+x+6%22+SPEEDemon%E2%84%A2+Spade+Bit&amp;qid=1694735195&amp;sr=8-37", "https://www.amazon.com/Irwin-Tools-HAN88814-Spade-Bit/dp/B00N07YR0Y/ref=sr_1_37?keywords=Diablo+Tools+DSP2110+7%2F8%22+x+6%22+SPEEDemon%E2%84%A2+Spade+Bit&amp;qid=1694735195&amp;sr=8-37")</f>
        <v/>
      </c>
      <c r="F6240" t="inlineStr">
        <is>
          <t>B00N07YR0Y</t>
        </is>
      </c>
      <c r="G6240">
        <f>_xludf.IMAGE("https://edmondsonsupply.com/cdn/shop/products/DSP2110_Main-Image20200712.png?v=1633031109")</f>
        <v/>
      </c>
      <c r="H6240">
        <f>_xludf.IMAGE("https://m.media-amazon.com/images/I/51RMMedCvjS._AC_UL320_.jpg")</f>
        <v/>
      </c>
      <c r="K6240" t="inlineStr">
        <is>
          <t>5.57</t>
        </is>
      </c>
      <c r="L6240" t="n">
        <v>5.5</v>
      </c>
      <c r="M6240" s="1" t="inlineStr">
        <is>
          <t>-1.26%</t>
        </is>
      </c>
      <c r="N6240" s="1" t="n"/>
      <c r="O6240" t="n">
        <v>4.7</v>
      </c>
      <c r="P6240" t="n">
        <v>1051</v>
      </c>
      <c r="R6240" t="inlineStr">
        <is>
          <t>InStock</t>
        </is>
      </c>
      <c r="S6240" t="inlineStr">
        <is>
          <t>undefined</t>
        </is>
      </c>
      <c r="T6240" t="inlineStr">
        <is>
          <t>6851807510701</t>
        </is>
      </c>
    </row>
    <row r="6241" hidden="1" ht="15.75" customHeight="1">
      <c r="A6241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6241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6241" t="inlineStr">
        <is>
          <t>Diablo Tools DMAPL4070 1/4 in. x 4 in. x 6 in. Rebar Demon™ SDS-Plus 4-Cutter Full Carbide Head Hammer Bit</t>
        </is>
      </c>
      <c r="D6241" t="inlineStr">
        <is>
          <t>Diablo by Freud Diablo DMAPL4070 1/4 in. x 4 in. x 6 in. Rebar Demon SDS-Plus 4-Cutter Full Carbide Head Hammer Bit</t>
        </is>
      </c>
      <c r="E6241" s="2">
        <f>HYPERLINK("https://www.amazon.com/Diablo-Freud-DMAPL4070-SDS-Plus-4-Cutter/dp/B089KVLDML/ref=sr_1_1?keywords=Diablo+Tools+DMAPL4070+1%2F4+in.+x+4+in.+x+6+in.+Rebar+Demon%E2%84%A2+SDS-Plus+4-Cutter+Full+Carbide+Head+Hammer+Bit&amp;qid=1694735303&amp;sr=8-1", "https://www.amazon.com/Diablo-Freud-DMAPL4070-SDS-Plus-4-Cutter/dp/B089KVLDML/ref=sr_1_1?keywords=Diablo+Tools+DMAPL4070+1%2F4+in.+x+4+in.+x+6+in.+Rebar+Demon%E2%84%A2+SDS-Plus+4-Cutter+Full+Carbide+Head+Hammer+Bit&amp;qid=1694735303&amp;sr=8-1")</f>
        <v/>
      </c>
      <c r="F6241" t="inlineStr">
        <is>
          <t>B089KVLDML</t>
        </is>
      </c>
      <c r="G6241">
        <f>_xludf.IMAGE("https://edmondsonsupply.com/cdn/shop/products/DMAPL4070_Main-Image20200701.png?v=1633030350")</f>
        <v/>
      </c>
      <c r="H6241">
        <f>_xludf.IMAGE("https://m.media-amazon.com/images/I/61fLLQz5xPL._AC_UL320_.jpg")</f>
        <v/>
      </c>
      <c r="K6241" t="inlineStr">
        <is>
          <t>8.97</t>
        </is>
      </c>
      <c r="L6241" t="n">
        <v>8.84</v>
      </c>
      <c r="M6241" s="1" t="inlineStr">
        <is>
          <t>-1.45%</t>
        </is>
      </c>
      <c r="N6241" s="1" t="n"/>
      <c r="O6241" t="n">
        <v>4.4</v>
      </c>
      <c r="P6241" t="n">
        <v>28</v>
      </c>
      <c r="R6241" t="inlineStr">
        <is>
          <t>InStock</t>
        </is>
      </c>
      <c r="S6241" t="inlineStr">
        <is>
          <t>undefined</t>
        </is>
      </c>
      <c r="T6241" t="inlineStr">
        <is>
          <t>5283100197032</t>
        </is>
      </c>
    </row>
    <row r="6242" hidden="1" ht="15.75" customHeight="1">
      <c r="A6242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6242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6242" t="inlineStr">
        <is>
          <t>Diablo Tools DMARG1090 1/4 in. x 10 in. x 12 in. SPEEDemon™ Red Granite Carbide Tipped Hammer Drill Bit</t>
        </is>
      </c>
      <c r="D6242" t="inlineStr">
        <is>
          <t>Diablo 1/4" x 10" x 12" SPEEDemon Red Granite Carbide Tipped Hammer Drill Bit</t>
        </is>
      </c>
      <c r="E6242" s="2">
        <f>HYPERLINK("https://www.amazon.com/Diablo-DMARG1090-SPEEDemon-Granite-Carbide/dp/B089LN6CXM/ref=sr_1_1?keywords=Diablo+Tools+DMARG1090+1%2F4+in.+x+10+in.+x+12+in.+SPEEDemon%E2%84%A2+Red+Granite+Carbide+Tipped+Hammer+Drill+Bit&amp;qid=1694735286&amp;sr=8-1", "https://www.amazon.com/Diablo-DMARG1090-SPEEDemon-Granite-Carbide/dp/B089LN6CXM/ref=sr_1_1?keywords=Diablo+Tools+DMARG1090+1%2F4+in.+x+10+in.+x+12+in.+SPEEDemon%E2%84%A2+Red+Granite+Carbide+Tipped+Hammer+Drill+Bit&amp;qid=1694735286&amp;sr=8-1")</f>
        <v/>
      </c>
      <c r="F6242" t="inlineStr">
        <is>
          <t>B089LN6CXM</t>
        </is>
      </c>
      <c r="G6242">
        <f>_xludf.IMAGE("https://edmondsonsupply.com/cdn/shop/products/DMARG1090_Main-Image.png?v=1633030421")</f>
        <v/>
      </c>
      <c r="H6242">
        <f>_xludf.IMAGE("https://m.media-amazon.com/images/I/610znz4HM6L._AC_UL320_.jpg")</f>
        <v/>
      </c>
      <c r="K6242" t="inlineStr">
        <is>
          <t>11.97</t>
        </is>
      </c>
      <c r="L6242" t="n">
        <v>11.79</v>
      </c>
      <c r="M6242" s="1" t="inlineStr">
        <is>
          <t>-1.50%</t>
        </is>
      </c>
      <c r="N6242" s="1" t="n"/>
      <c r="O6242" t="n">
        <v>4.5</v>
      </c>
      <c r="P6242" t="n">
        <v>11</v>
      </c>
      <c r="R6242" t="inlineStr">
        <is>
          <t>InStock</t>
        </is>
      </c>
      <c r="S6242" t="inlineStr">
        <is>
          <t>12.5</t>
        </is>
      </c>
      <c r="T6242" t="inlineStr">
        <is>
          <t>5318039339176</t>
        </is>
      </c>
    </row>
    <row r="6243" hidden="1" ht="15.75" customHeight="1">
      <c r="A6243" s="2">
        <f>HYPERLINK("https://edmondsonsupply.com/collections/electricians-tools/products/klein-tools-51612-3-4-inch-angle-setter%E2%84%A2", "https://edmondsonsupply.com/collections/electricians-tools/products/klein-tools-51612-3-4-inch-angle-setter%E2%84%A2")</f>
        <v/>
      </c>
      <c r="B6243" s="2">
        <f>HYPERLINK("https://edmondsonsupply.com/products/klein-tools-51612-3-4-inch-angle-setter%e2%84%a2", "https://edmondsonsupply.com/products/klein-tools-51612-3-4-inch-angle-setter%e2%84%a2")</f>
        <v/>
      </c>
      <c r="C6243" t="inlineStr">
        <is>
          <t>Klein Tools 51612 3/4-Inch Angle Setter™</t>
        </is>
      </c>
      <c r="D6243" t="inlineStr">
        <is>
          <t>Klein Tools 51612 Conduit Bender 3/4-Inch Angle Setter, For Use With Klein Tools Conduit Benders (Cat Nos. 51607 and 51604)</t>
        </is>
      </c>
      <c r="E6243" s="2">
        <f>HYPERLINK("https://www.amazon.com/Klein-Tools-51612-Conduit-Benders/dp/B08L5JZM97/ref=sr_1_1?keywords=Klein+Tools+51612+3%2F4-Inch+Angle+Setter%E2%84%A2&amp;qid=1694735134&amp;sr=8-1", "https://www.amazon.com/Klein-Tools-51612-Conduit-Benders/dp/B08L5JZM97/ref=sr_1_1?keywords=Klein+Tools+51612+3%2F4-Inch+Angle+Setter%E2%84%A2&amp;qid=1694735134&amp;sr=8-1")</f>
        <v/>
      </c>
      <c r="F6243" t="inlineStr">
        <is>
          <t>B08L5JZM97</t>
        </is>
      </c>
      <c r="G6243">
        <f>_xludf.IMAGE("https://edmondsonsupply.com/cdn/shop/products/51612.jpg?v=1661977736")</f>
        <v/>
      </c>
      <c r="H6243">
        <f>_xludf.IMAGE("https://m.media-amazon.com/images/I/51x8cPtPWrL._AC_UL320_.jpg")</f>
        <v/>
      </c>
      <c r="K6243" t="inlineStr">
        <is>
          <t>9.97</t>
        </is>
      </c>
      <c r="L6243" t="n">
        <v>9.82</v>
      </c>
      <c r="M6243" s="1" t="inlineStr">
        <is>
          <t>-1.50%</t>
        </is>
      </c>
      <c r="N6243" s="1" t="n"/>
      <c r="O6243" t="n">
        <v>4.2</v>
      </c>
      <c r="P6243" t="n">
        <v>96</v>
      </c>
      <c r="R6243" t="inlineStr">
        <is>
          <t>InStock</t>
        </is>
      </c>
      <c r="S6243" t="inlineStr">
        <is>
          <t>12.96</t>
        </is>
      </c>
      <c r="T6243" t="inlineStr">
        <is>
          <t>7798382756056</t>
        </is>
      </c>
    </row>
    <row r="6244" hidden="1" ht="15.75" customHeight="1">
      <c r="A6244" s="2">
        <f>HYPERLINK("https://edmondsonsupply.com/collections/electricians-tools/products/klein-tools-51611-1-2-inch-angle-setter%E2%84%A2", "https://edmondsonsupply.com/collections/electricians-tools/products/klein-tools-51611-1-2-inch-angle-setter%E2%84%A2")</f>
        <v/>
      </c>
      <c r="B6244" s="2">
        <f>HYPERLINK("https://edmondsonsupply.com/products/klein-tools-51611-1-2-inch-angle-setter%e2%84%a2", "https://edmondsonsupply.com/products/klein-tools-51611-1-2-inch-angle-setter%e2%84%a2")</f>
        <v/>
      </c>
      <c r="C6244" t="inlineStr">
        <is>
          <t>Klein Tools 51611 1/2-Inch Angle Setter™</t>
        </is>
      </c>
      <c r="D6244" t="inlineStr">
        <is>
          <t>Klein Tools 51612 Conduit Bender 3/4-Inch Angle Setter, For Use With Klein Tools Conduit Benders (Cat Nos. 51607 and 51604)</t>
        </is>
      </c>
      <c r="E6244" s="2">
        <f>HYPERLINK("https://www.amazon.com/Klein-Tools-51612-Conduit-Benders/dp/B08L5JZM97/ref=sr_1_3?keywords=Klein+Tools+51611+1%2F2-Inch+Angle+Setter%E2%84%A2&amp;qid=1694735142&amp;sr=8-3", "https://www.amazon.com/Klein-Tools-51612-Conduit-Benders/dp/B08L5JZM97/ref=sr_1_3?keywords=Klein+Tools+51611+1%2F2-Inch+Angle+Setter%E2%84%A2&amp;qid=1694735142&amp;sr=8-3")</f>
        <v/>
      </c>
      <c r="F6244" t="inlineStr">
        <is>
          <t>B08L5JZM97</t>
        </is>
      </c>
      <c r="G6244">
        <f>_xludf.IMAGE("https://edmondsonsupply.com/cdn/shop/products/51611.jpg?v=1661976456")</f>
        <v/>
      </c>
      <c r="H6244">
        <f>_xludf.IMAGE("https://m.media-amazon.com/images/I/51x8cPtPWrL._AC_UL320_.jpg")</f>
        <v/>
      </c>
      <c r="K6244" t="inlineStr">
        <is>
          <t>9.97</t>
        </is>
      </c>
      <c r="L6244" t="n">
        <v>9.82</v>
      </c>
      <c r="M6244" s="1" t="inlineStr">
        <is>
          <t>-1.50%</t>
        </is>
      </c>
      <c r="N6244" s="1" t="n"/>
      <c r="O6244" t="n">
        <v>4.2</v>
      </c>
      <c r="P6244" t="n">
        <v>96</v>
      </c>
      <c r="R6244" t="inlineStr">
        <is>
          <t>InStock</t>
        </is>
      </c>
      <c r="S6244" t="inlineStr">
        <is>
          <t>12.96</t>
        </is>
      </c>
      <c r="T6244" t="inlineStr">
        <is>
          <t>7798377840856</t>
        </is>
      </c>
    </row>
    <row r="6245" ht="87" customHeight="1">
      <c r="A6245" s="2">
        <f>HYPERLINK("https://edmondsonsupply.com/collections/electricians-tools/products/fluke-902", "https://edmondsonsupply.com/collections/electricians-tools/products/fluke-902")</f>
        <v/>
      </c>
      <c r="B6245" s="2">
        <f>HYPERLINK("https://edmondsonsupply.com/products/fluke-902", "https://edmondsonsupply.com/products/fluke-902")</f>
        <v/>
      </c>
      <c r="C6245" t="inlineStr">
        <is>
          <t>Fluke 902 FC True-RMS HVAC Clamp Meter</t>
        </is>
      </c>
      <c r="D6245" t="inlineStr">
        <is>
          <t>Fluke 902 FC HVAC True-RMS Clamp Meter</t>
        </is>
      </c>
      <c r="E6245" s="2">
        <f>HYPERLINK("https://www.amazon.com/Fluke-FC-True-RMS-Clamp-Meter/dp/B01BENTS7M/ref=sr_1_1?keywords=Fluke+902+FC+True-RMS+HVAC+Clamp+Meter&amp;qid=1694735309&amp;sr=8-1", "https://www.amazon.com/Fluke-FC-True-RMS-Clamp-Meter/dp/B01BENTS7M/ref=sr_1_1?keywords=Fluke+902+FC+True-RMS+HVAC+Clamp+Meter&amp;qid=1694735309&amp;sr=8-1")</f>
        <v/>
      </c>
      <c r="F6245" t="inlineStr">
        <is>
          <t>B01BENTS7M</t>
        </is>
      </c>
      <c r="G6245">
        <f>_xlfn.IMAGE("https://edmondsonsupply.com/cdn/shop/products/902fc.png?v=1633030276")</f>
        <v/>
      </c>
      <c r="H6245">
        <f>_xlfn.IMAGE("https://m.media-amazon.com/images/I/71uOt4rDo0L._AC_UY218_.jpg")</f>
        <v/>
      </c>
      <c r="K6245" t="inlineStr">
        <is>
          <t>325.09</t>
        </is>
      </c>
      <c r="L6245" t="n">
        <v>320.15</v>
      </c>
      <c r="M6245" s="1" t="inlineStr">
        <is>
          <t>-1.52%</t>
        </is>
      </c>
      <c r="N6245" s="7" t="n"/>
      <c r="O6245" t="n">
        <v>4.7</v>
      </c>
      <c r="P6245" t="n">
        <v>370</v>
      </c>
      <c r="R6245" t="inlineStr">
        <is>
          <t>InStock</t>
        </is>
      </c>
      <c r="S6245" t="inlineStr">
        <is>
          <t>358.99</t>
        </is>
      </c>
      <c r="T6245" t="inlineStr">
        <is>
          <t>5238372991144</t>
        </is>
      </c>
    </row>
    <row r="6246" ht="87" customHeight="1">
      <c r="A6246" s="2">
        <f>HYPERLINK("https://edmondsonsupply.com/collections/electricians-tools/products/klein-tools-56341-stainless-steel-fish-tape-1-8-inch-x-240-foot", "https://edmondsonsupply.com/collections/electricians-tools/products/klein-tools-56341-stainless-steel-fish-tape-1-8-inch-x-240-foot")</f>
        <v/>
      </c>
      <c r="B6246" s="2">
        <f>HYPERLINK("https://edmondsonsupply.com/products/klein-tools-56341-stainless-steel-fish-tape-1-8-inch-x-240-foot", "https://edmondsonsupply.com/products/klein-tools-56341-stainless-steel-fish-tape-1-8-inch-x-240-foot")</f>
        <v/>
      </c>
      <c r="C6246" t="inlineStr">
        <is>
          <t>Klein Tools 56341 Stainless Steel Fish Tape, 1/8-Inch x 240-Foot</t>
        </is>
      </c>
      <c r="D6246" t="inlineStr">
        <is>
          <t>Klein Tools 56341 Electrical Fish Tape / Wire Puller, Stainless Steel with Double Loop Tip, Optimized Housing and Handle, 1/8-Inch x 240-Foot</t>
        </is>
      </c>
      <c r="E6246" s="2">
        <f>HYPERLINK("https://www.amazon.com/Klein-Tools-56341-Stainless-Optimized/dp/B081ZTN3MT/ref=sr_1_1?keywords=Klein+Tools+56341+Stainless+Steel+Fish+Tape%2C+1%2F8-Inch+x+240-Foot&amp;qid=1694735094&amp;sr=8-1", "https://www.amazon.com/Klein-Tools-56341-Stainless-Optimized/dp/B081ZTN3MT/ref=sr_1_1?keywords=Klein+Tools+56341+Stainless+Steel+Fish+Tape%2C+1%2F8-Inch+x+240-Foot&amp;qid=1694735094&amp;sr=8-1")</f>
        <v/>
      </c>
      <c r="F6246" t="inlineStr">
        <is>
          <t>B081ZTN3MT</t>
        </is>
      </c>
      <c r="G6246">
        <f>_xlfn.IMAGE("https://edmondsonsupply.com/cdn/shop/products/56341.jpg?v=1666901345")</f>
        <v/>
      </c>
      <c r="H6246">
        <f>_xlfn.IMAGE("https://m.media-amazon.com/images/I/51rJNR9x1ML._AC_UL320_.jpg")</f>
        <v/>
      </c>
      <c r="K6246" t="inlineStr">
        <is>
          <t>114.99</t>
        </is>
      </c>
      <c r="L6246" t="n">
        <v>112.99</v>
      </c>
      <c r="M6246" s="1" t="inlineStr">
        <is>
          <t>-1.74%</t>
        </is>
      </c>
      <c r="N6246" s="7" t="n"/>
      <c r="O6246" t="n">
        <v>4.7</v>
      </c>
      <c r="P6246" t="n">
        <v>239</v>
      </c>
      <c r="R6246" t="inlineStr">
        <is>
          <t>InStock</t>
        </is>
      </c>
      <c r="S6246" t="inlineStr">
        <is>
          <t>168.08</t>
        </is>
      </c>
      <c r="T6246" t="inlineStr">
        <is>
          <t>7867914944728</t>
        </is>
      </c>
    </row>
    <row r="6247" ht="87" customHeight="1">
      <c r="A6247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6247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6247" t="inlineStr">
        <is>
          <t>Klein Tools 602-4-INS 1/4-Inch Cabinet Tip Insulated Screwdriver, 4-Inch</t>
        </is>
      </c>
      <c r="D6247" t="inlineStr">
        <is>
          <t>Klein Tools 602-4-INS 1/4-Inch Cabinet Tip Insulated Screwdriver, 4-Inch</t>
        </is>
      </c>
      <c r="E6247" s="2">
        <f>HYPERLINK("https://www.amazon.com/Insulated-Screwdriver-Klein-Tools-602-4-INS/dp/B0006M6Y6Q/ref=sr_1_1?keywords=Klein+Tools+602-4-INS+1%2F4-Inch+Cabinet+Tip+Insulated+Screwdriver%2C+4-Inch&amp;qid=1694735209&amp;sr=8-1", "https://www.amazon.com/Insulated-Screwdriver-Klein-Tools-602-4-INS/dp/B0006M6Y6Q/ref=sr_1_1?keywords=Klein+Tools+602-4-INS+1%2F4-Inch+Cabinet+Tip+Insulated+Screwdriver%2C+4-Inch&amp;qid=1694735209&amp;sr=8-1")</f>
        <v/>
      </c>
      <c r="F6247" t="inlineStr">
        <is>
          <t>B0006M6Y6Q</t>
        </is>
      </c>
      <c r="G6247">
        <f>_xlfn.IMAGE("https://edmondsonsupply.com/cdn/shop/products/602-4-ins-photo.jpg?v=1633031051")</f>
        <v/>
      </c>
      <c r="H6247">
        <f>_xlfn.IMAGE("https://m.media-amazon.com/images/I/417fQptv8KL._AC_UL320_.jpg")</f>
        <v/>
      </c>
      <c r="K6247" t="inlineStr">
        <is>
          <t>20.99</t>
        </is>
      </c>
      <c r="L6247" t="n">
        <v>20.62</v>
      </c>
      <c r="M6247" s="1" t="inlineStr">
        <is>
          <t>-1.76%</t>
        </is>
      </c>
      <c r="N6247" s="7" t="n"/>
      <c r="O6247" t="n">
        <v>4.8</v>
      </c>
      <c r="P6247" t="n">
        <v>1068</v>
      </c>
      <c r="R6247" t="inlineStr">
        <is>
          <t>InStock</t>
        </is>
      </c>
      <c r="S6247" t="inlineStr">
        <is>
          <t>31.8</t>
        </is>
      </c>
      <c r="T6247" t="inlineStr">
        <is>
          <t>6779496890541</t>
        </is>
      </c>
    </row>
    <row r="6248" ht="87" customHeight="1">
      <c r="A6248" s="2">
        <f>HYPERLINK("https://edmondsonsupply.com/collections/electricians-tools/products/klein-tools-44001-blk-black-lightweight-lockback-knife-2-1-2-inch", "https://edmondsonsupply.com/collections/electricians-tools/products/klein-tools-44001-blk-black-lightweight-lockback-knife-2-1-2-inch")</f>
        <v/>
      </c>
      <c r="B6248" s="2">
        <f>HYPERLINK("https://edmondsonsupply.com/products/klein-tools-44001-blk-black-lightweight-lockback-knife-2-1-2-inch", "https://edmondsonsupply.com/products/klein-tools-44001-blk-black-lightweight-lockback-knife-2-1-2-inch")</f>
        <v/>
      </c>
      <c r="C6248" t="inlineStr">
        <is>
          <t>Klein Tools 44001-BLK Black Lightweight Lockback Knife, 2-1/2-Inch</t>
        </is>
      </c>
      <c r="D6248" t="inlineStr">
        <is>
          <t>Lightweight Lockback Knife with 2-1/2-Inch Drop-Point Blade and Black Aluminum Handle Klein Tools 44001-BLK</t>
        </is>
      </c>
      <c r="E6248" s="2">
        <f>HYPERLINK("https://www.amazon.com/Lightweight-Drop-Point-Klein-Tools-44001-BLK/dp/B0026T18RW/ref=sr_1_1?keywords=Klein+Tools+44001-BLK+Black+Lightweight+Lockback+Knife%2C+2-1%2F2-Inch&amp;qid=1694735242&amp;sr=8-1", "https://www.amazon.com/Lightweight-Drop-Point-Klein-Tools-44001-BLK/dp/B0026T18RW/ref=sr_1_1?keywords=Klein+Tools+44001-BLK+Black+Lightweight+Lockback+Knife%2C+2-1%2F2-Inch&amp;qid=1694735242&amp;sr=8-1")</f>
        <v/>
      </c>
      <c r="F6248" t="inlineStr">
        <is>
          <t>B0026T18RW</t>
        </is>
      </c>
      <c r="G6248">
        <f>_xlfn.IMAGE("https://edmondsonsupply.com/cdn/shop/products/44001-blk.jpg?v=1633030819")</f>
        <v/>
      </c>
      <c r="H6248">
        <f>_xlfn.IMAGE("https://m.media-amazon.com/images/I/41DnZjhhmnL._AC_UL320_.jpg")</f>
        <v/>
      </c>
      <c r="K6248" t="inlineStr">
        <is>
          <t>47.99</t>
        </is>
      </c>
      <c r="L6248" t="n">
        <v>47.14</v>
      </c>
      <c r="M6248" s="1" t="inlineStr">
        <is>
          <t>-1.77%</t>
        </is>
      </c>
      <c r="N6248" s="7" t="n"/>
      <c r="O6248" t="n">
        <v>4.5</v>
      </c>
      <c r="P6248" t="n">
        <v>68</v>
      </c>
      <c r="R6248" t="inlineStr">
        <is>
          <t>InStock</t>
        </is>
      </c>
      <c r="S6248" t="inlineStr">
        <is>
          <t>72.98</t>
        </is>
      </c>
      <c r="T6248" t="inlineStr">
        <is>
          <t>6080581107885</t>
        </is>
      </c>
    </row>
    <row r="6249" ht="87" customHeight="1">
      <c r="A6249" s="2">
        <f>HYPERLINK("https://edmondsonsupply.com/collections/electricians-tools/products/fluke-tlk289-industrial-master-test-lead-set", "https://edmondsonsupply.com/collections/electricians-tools/products/fluke-tlk289-industrial-master-test-lead-set")</f>
        <v/>
      </c>
      <c r="B6249" s="2">
        <f>HYPERLINK("https://edmondsonsupply.com/products/fluke-tlk289-industrial-master-test-lead-set", "https://edmondsonsupply.com/products/fluke-tlk289-industrial-master-test-lead-set")</f>
        <v/>
      </c>
      <c r="C6249" t="inlineStr">
        <is>
          <t>Fluke TLK289 Industrial Master Test Lead Set</t>
        </is>
      </c>
      <c r="D6249" t="inlineStr">
        <is>
          <t>Fluke TLK289 Industrial Master Test Lead Set</t>
        </is>
      </c>
      <c r="E6249" s="2">
        <f>HYPERLINK("https://www.amazon.com/Fluke-TLK289-Industrial-Master-Test/dp/B002IKE1KU/ref=sr_1_3?keywords=Fluke+TLK289+Industrial+Master+Test+Lead+Set&amp;qid=1694735184&amp;sr=8-3", "https://www.amazon.com/Fluke-TLK289-Industrial-Master-Test/dp/B002IKE1KU/ref=sr_1_3?keywords=Fluke+TLK289+Industrial+Master+Test+Lead+Set&amp;qid=1694735184&amp;sr=8-3")</f>
        <v/>
      </c>
      <c r="F6249" t="inlineStr">
        <is>
          <t>B002IKE1KU</t>
        </is>
      </c>
      <c r="G6249">
        <f>_xlfn.IMAGE("https://edmondsonsupply.com/cdn/shop/products/TLK289_1280x841px_E_NR-23772.jpg?v=1633031191")</f>
        <v/>
      </c>
      <c r="H6249">
        <f>_xlfn.IMAGE("https://m.media-amazon.com/images/I/81N4PIDxA5L._AC_UY218_.jpg")</f>
        <v/>
      </c>
      <c r="K6249" t="inlineStr">
        <is>
          <t>189.99</t>
        </is>
      </c>
      <c r="L6249" t="n">
        <v>186.61</v>
      </c>
      <c r="M6249" s="1" t="inlineStr">
        <is>
          <t>-1.78%</t>
        </is>
      </c>
      <c r="N6249" s="7" t="n"/>
      <c r="O6249" t="n">
        <v>4.8</v>
      </c>
      <c r="P6249" t="n">
        <v>1638</v>
      </c>
      <c r="R6249" t="inlineStr">
        <is>
          <t>InStock</t>
        </is>
      </c>
      <c r="S6249" t="inlineStr">
        <is>
          <t>209.99</t>
        </is>
      </c>
      <c r="T6249" t="inlineStr">
        <is>
          <t>6927938945197</t>
        </is>
      </c>
    </row>
    <row r="6250" ht="87" customHeight="1">
      <c r="A6250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6250" s="2">
        <f>HYPERLINK("https://edmondsonsupply.com/products/klein-tools-vdv526-200-lan-scout-%c2%ae-jr-2-cable-tester", "https://edmondsonsupply.com/products/klein-tools-vdv526-200-lan-scout-%c2%ae-jr-2-cable-tester")</f>
        <v/>
      </c>
      <c r="C6250" t="inlineStr">
        <is>
          <t>Klein Tools VDV526-200 LAN Scout ® Jr. 2 Cable Tester</t>
        </is>
      </c>
      <c r="D6250" t="inlineStr">
        <is>
          <t>Klein Tools VDV526-200 Cable Tester, LAN Scout Jr. 2 Ethernet Cable Tester for CAT 5e, CAT 6/6A Cables with RJ45 Connections, Yellow/Black</t>
        </is>
      </c>
      <c r="E6250" s="2">
        <f>HYPERLINK("https://www.amazon.com/Ethernet-Connections-Klein-Tools-VDV526-200/dp/B0925826M2/ref=sr_1_1?keywords=Klein+Tools+VDV526-200+LAN+Scout+%C2%AE+Jr.+2+Cable+Tester&amp;qid=1694735126&amp;sr=8-1", "https://www.amazon.com/Ethernet-Connections-Klein-Tools-VDV526-200/dp/B0925826M2/ref=sr_1_1?keywords=Klein+Tools+VDV526-200+LAN+Scout+%C2%AE+Jr.+2+Cable+Tester&amp;qid=1694735126&amp;sr=8-1")</f>
        <v/>
      </c>
      <c r="F6250" t="inlineStr">
        <is>
          <t>B0925826M2</t>
        </is>
      </c>
      <c r="G6250">
        <f>_xlfn.IMAGE("https://edmondsonsupply.com/cdn/shop/products/vdv526200.jpg?v=1663689949")</f>
        <v/>
      </c>
      <c r="H6250">
        <f>_xlfn.IMAGE("https://m.media-amazon.com/images/I/519D2efRZyL._AC_UY218_.jpg")</f>
        <v/>
      </c>
      <c r="K6250" t="inlineStr">
        <is>
          <t>54.97</t>
        </is>
      </c>
      <c r="L6250" t="n">
        <v>53.98</v>
      </c>
      <c r="M6250" s="1" t="inlineStr">
        <is>
          <t>-1.80%</t>
        </is>
      </c>
      <c r="N6250" s="7" t="n"/>
      <c r="O6250" t="n">
        <v>4.8</v>
      </c>
      <c r="P6250" t="n">
        <v>886</v>
      </c>
      <c r="R6250" t="inlineStr">
        <is>
          <t>InStock</t>
        </is>
      </c>
      <c r="S6250" t="inlineStr">
        <is>
          <t>82.5</t>
        </is>
      </c>
      <c r="T6250" t="inlineStr">
        <is>
          <t>7823726182616</t>
        </is>
      </c>
    </row>
    <row r="6251" hidden="1" ht="15.75" customHeight="1">
      <c r="A6251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6251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6251" t="inlineStr">
        <is>
          <t>Klein Tools JTH9E11 3/16-Inch Hex Key with Journeyman T-Handle, 9-Inch</t>
        </is>
      </c>
      <c r="D6251" t="inlineStr">
        <is>
          <t>Klein Tools JTH9M3 3 mm Hex Key, Journeyman T-Handle, 9-Inch</t>
        </is>
      </c>
      <c r="E6251" s="2">
        <f>HYPERLINK("https://www.amazon.com/Journeyman-T-Handle-Klein-Tools-JTH9M3/dp/B005G3HJ28/ref=sr_1_8?keywords=Klein+Tools+JTH9E11+3%2F16-Inch+Hex+Key+with+Journeyman+T-Handle%2C+9-Inch&amp;qid=1694735351&amp;sr=8-8", "https://www.amazon.com/Journeyman-T-Handle-Klein-Tools-JTH9M3/dp/B005G3HJ28/ref=sr_1_8?keywords=Klein+Tools+JTH9E11+3%2F16-Inch+Hex+Key+with+Journeyman+T-Handle%2C+9-Inch&amp;qid=1694735351&amp;sr=8-8")</f>
        <v/>
      </c>
      <c r="F6251" t="inlineStr">
        <is>
          <t>B005G3HJ28</t>
        </is>
      </c>
      <c r="G6251">
        <f>_xludf.IMAGE("https://edmondsonsupply.com/cdn/shop/products/jth9e12_5173eed3-120e-418c-a1cc-489b6dba3958.jpg?v=1587147554")</f>
        <v/>
      </c>
      <c r="H6251">
        <f>_xludf.IMAGE("https://m.media-amazon.com/images/I/51MZtGjDOtL._AC_UL320_.jpg")</f>
        <v/>
      </c>
      <c r="K6251" t="inlineStr">
        <is>
          <t>5.99</t>
        </is>
      </c>
      <c r="L6251" t="n">
        <v>5.88</v>
      </c>
      <c r="M6251" s="1" t="inlineStr">
        <is>
          <t>-1.84%</t>
        </is>
      </c>
      <c r="N6251" s="1" t="n"/>
      <c r="O6251" t="n">
        <v>4.6</v>
      </c>
      <c r="P6251" t="n">
        <v>179</v>
      </c>
      <c r="R6251" t="inlineStr">
        <is>
          <t>InStock</t>
        </is>
      </c>
      <c r="S6251" t="inlineStr">
        <is>
          <t>9.06</t>
        </is>
      </c>
      <c r="T6251" t="inlineStr">
        <is>
          <t>4455227523172</t>
        </is>
      </c>
    </row>
    <row r="6252" hidden="1" ht="15.75" customHeight="1">
      <c r="A6252" s="2">
        <f>HYPERLINK("https://edmondsonsupply.com/collections/electricians-tools/products/klein-tools-jth9m6-6-mm-hex-key-journeyman%E2%84%A2-t-handle-9-inch", "https://edmondsonsupply.com/collections/electricians-tools/products/klein-tools-jth9m6-6-mm-hex-key-journeyman%E2%84%A2-t-handle-9-inch")</f>
        <v/>
      </c>
      <c r="B6252" s="2">
        <f>HYPERLINK("https://edmondsonsupply.com/products/klein-tools-jth9m6-6-mm-hex-key-journeyman%e2%84%a2-t-handle-9-inch", "https://edmondsonsupply.com/products/klein-tools-jth9m6-6-mm-hex-key-journeyman%e2%84%a2-t-handle-9-inch")</f>
        <v/>
      </c>
      <c r="C6252" t="inlineStr">
        <is>
          <t>Klein Tools JTH9M6 6 mm Hex Key, Journeyman™ T-Handle, 9-Inch</t>
        </is>
      </c>
      <c r="D6252" t="inlineStr">
        <is>
          <t>Klein Tools JTH9M3 3 mm Hex Key, Journeyman T-Handle, 9-Inch</t>
        </is>
      </c>
      <c r="E6252" s="2">
        <f>HYPERLINK("https://www.amazon.com/Journeyman-T-Handle-Klein-Tools-JTH9M3/dp/B005G3HJ28/ref=sr_1_8?keywords=Klein+Tools+JTH9M6+6+mm+Hex+Key%2C+Journeyman%E2%84%A2+T-Handle%2C+9-Inch&amp;qid=1694735102&amp;sr=8-8", "https://www.amazon.com/Journeyman-T-Handle-Klein-Tools-JTH9M3/dp/B005G3HJ28/ref=sr_1_8?keywords=Klein+Tools+JTH9M6+6+mm+Hex+Key%2C+Journeyman%E2%84%A2+T-Handle%2C+9-Inch&amp;qid=1694735102&amp;sr=8-8")</f>
        <v/>
      </c>
      <c r="F6252" t="inlineStr">
        <is>
          <t>B005G3HJ28</t>
        </is>
      </c>
      <c r="G6252">
        <f>_xludf.IMAGE("https://edmondsonsupply.com/cdn/shop/products/jth6m8_8e3ac188-6806-4676-8198-2058bbbd4836.jpg?v=1664891890")</f>
        <v/>
      </c>
      <c r="H6252">
        <f>_xludf.IMAGE("https://m.media-amazon.com/images/I/51MZtGjDOtL._AC_UL320_.jpg")</f>
        <v/>
      </c>
      <c r="K6252" t="inlineStr">
        <is>
          <t>5.99</t>
        </is>
      </c>
      <c r="L6252" t="n">
        <v>5.88</v>
      </c>
      <c r="M6252" s="1" t="inlineStr">
        <is>
          <t>-1.84%</t>
        </is>
      </c>
      <c r="N6252" s="1" t="n"/>
      <c r="O6252" t="n">
        <v>4.6</v>
      </c>
      <c r="P6252" t="n">
        <v>179</v>
      </c>
      <c r="R6252" t="inlineStr">
        <is>
          <t>InStock</t>
        </is>
      </c>
      <c r="S6252" t="inlineStr">
        <is>
          <t>9.06</t>
        </is>
      </c>
      <c r="T6252" t="inlineStr">
        <is>
          <t>7839321981144</t>
        </is>
      </c>
    </row>
    <row r="6253" hidden="1" ht="15.75" customHeight="1">
      <c r="A6253" s="2">
        <f>HYPERLINK("https://edmondsonsupply.com/collections/electricians-tools/products/klein-tools-jth4e09-9-64-inch-hex-key-journeyman-t-handle-4-inch", "https://edmondsonsupply.com/collections/electricians-tools/products/klein-tools-jth4e09-9-64-inch-hex-key-journeyman-t-handle-4-inch")</f>
        <v/>
      </c>
      <c r="B6253" s="2">
        <f>HYPERLINK("https://edmondsonsupply.com/products/klein-tools-jth4e09-9-64-inch-hex-key-journeyman-t-handle-4-inch", "https://edmondsonsupply.com/products/klein-tools-jth4e09-9-64-inch-hex-key-journeyman-t-handle-4-inch")</f>
        <v/>
      </c>
      <c r="C6253" t="inlineStr">
        <is>
          <t>Klein Tools JTH4E09 9/64-Inch Hex Key Journeyman T-Handle 4-Inch</t>
        </is>
      </c>
      <c r="D6253" t="inlineStr">
        <is>
          <t>Klein Tools JTH4E09 9/64-Inch Hex Key with Journeyman T-Handle, 4-Inch</t>
        </is>
      </c>
      <c r="E6253" s="2">
        <f>HYPERLINK("https://www.amazon.com/Journeyman-T-Handle-Klein-Tools-JTH4E09/dp/B004ITO3H0/ref=sr_1_1?keywords=Klein+Tools+JTH4E09+9%2F64-Inch+Hex+Key+Journeyman+T-Handle+4-Inch&amp;qid=1694735175&amp;sr=8-1", "https://www.amazon.com/Journeyman-T-Handle-Klein-Tools-JTH4E09/dp/B004ITO3H0/ref=sr_1_1?keywords=Klein+Tools+JTH4E09+9%2F64-Inch+Hex+Key+Journeyman+T-Handle+4-Inch&amp;qid=1694735175&amp;sr=8-1")</f>
        <v/>
      </c>
      <c r="F6253" t="inlineStr">
        <is>
          <t>B004ITO3H0</t>
        </is>
      </c>
      <c r="G6253">
        <f>_xludf.IMAGE("https://edmondsonsupply.com/cdn/shop/products/jth4e06_be5118a6-2e9d-44f5-81ad-c027572dd2d3.jpg?v=1635981570")</f>
        <v/>
      </c>
      <c r="H6253">
        <f>_xludf.IMAGE("https://m.media-amazon.com/images/I/413bgBCbQLL._AC_UL320_.jpg")</f>
        <v/>
      </c>
      <c r="K6253" t="inlineStr">
        <is>
          <t>3.79</t>
        </is>
      </c>
      <c r="L6253" t="n">
        <v>3.72</v>
      </c>
      <c r="M6253" s="1" t="inlineStr">
        <is>
          <t>-1.85%</t>
        </is>
      </c>
      <c r="N6253" s="1" t="n"/>
      <c r="O6253" t="n">
        <v>4.8</v>
      </c>
      <c r="P6253" t="n">
        <v>2477</v>
      </c>
      <c r="R6253" t="inlineStr">
        <is>
          <t>InStock</t>
        </is>
      </c>
      <c r="S6253" t="inlineStr">
        <is>
          <t>5.76</t>
        </is>
      </c>
      <c r="T6253" t="inlineStr">
        <is>
          <t>7434795876568</t>
        </is>
      </c>
    </row>
    <row r="6254" ht="87" customHeight="1">
      <c r="A6254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6254" s="2">
        <f>HYPERLINK("https://edmondsonsupply.com/products/diablo-tools-d0760x-7-1-4-in-x-60-tooth-ultra-finish-saw-blade", "https://edmondsonsupply.com/products/diablo-tools-d0760x-7-1-4-in-x-60-tooth-ultra-finish-saw-blade")</f>
        <v/>
      </c>
      <c r="C6254" t="inlineStr">
        <is>
          <t>Diablo Tools D0760X 7-1/4 in. x 60 Tooth Ultra Finish Saw Blade</t>
        </is>
      </c>
      <c r="D6254" t="inlineStr">
        <is>
          <t>Diablo Ultra Finish Circular Saw Blade - 7 1/4in. 60 Tooth, Fine Finish, Model Number D0760X</t>
        </is>
      </c>
      <c r="E6254" s="2">
        <f>HYPERLINK("https://www.amazon.com/Diablo-Ultra-Finish-Circular-Blade/dp/B071X5DBWR/ref=sr_1_5?keywords=Diablo+Tools+D0760X+7-1%2F4+in.+x+60+Tooth+Ultra+Finish+Saw+Blade&amp;qid=1694735024&amp;sr=8-5", "https://www.amazon.com/Diablo-Ultra-Finish-Circular-Blade/dp/B071X5DBWR/ref=sr_1_5?keywords=Diablo+Tools+D0760X+7-1%2F4+in.+x+60+Tooth+Ultra+Finish+Saw+Blade&amp;qid=1694735024&amp;sr=8-5")</f>
        <v/>
      </c>
      <c r="F6254" t="inlineStr">
        <is>
          <t>B071X5DBWR</t>
        </is>
      </c>
      <c r="G6254">
        <f>_xlfn.IMAGE("https://edmondsonsupply.com/cdn/shop/products/vlfiqrihhfwf5bxirasx.webp?v=1678977162")</f>
        <v/>
      </c>
      <c r="H6254">
        <f>_xlfn.IMAGE("https://m.media-amazon.com/images/I/61JlPZnNLWL._AC_UL320_.jpg")</f>
        <v/>
      </c>
      <c r="K6254" t="inlineStr">
        <is>
          <t>19.97</t>
        </is>
      </c>
      <c r="L6254" t="n">
        <v>19.6</v>
      </c>
      <c r="M6254" s="1" t="inlineStr">
        <is>
          <t>-1.85%</t>
        </is>
      </c>
      <c r="N6254" s="7" t="n"/>
      <c r="O6254" t="n">
        <v>4.8</v>
      </c>
      <c r="P6254" t="n">
        <v>142</v>
      </c>
      <c r="R6254" t="inlineStr">
        <is>
          <t>InStock</t>
        </is>
      </c>
      <c r="S6254" t="inlineStr">
        <is>
          <t>30.2</t>
        </is>
      </c>
      <c r="T6254" t="inlineStr">
        <is>
          <t>7962630521048</t>
        </is>
      </c>
    </row>
    <row r="6255" ht="87" customHeight="1">
      <c r="A6255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6255" s="2">
        <f>HYPERLINK("https://edmondsonsupply.com/products/klein-tools-d2000-48-diagonal-cutting-pliers-angled-head-8-inch", "https://edmondsonsupply.com/products/klein-tools-d2000-48-diagonal-cutting-pliers-angled-head-8-inch")</f>
        <v/>
      </c>
      <c r="C6255" t="inlineStr">
        <is>
          <t>Klein Tools D2000-48 Diagonal Cutting Pliers, Angled Head, 8-Inch</t>
        </is>
      </c>
      <c r="D6255" t="inlineStr">
        <is>
          <t>Klein Tools D248-9STT Pliers, Ironworker's Diagonal Cutting Pliers with High-Leverage Design ad Split Ring for Tethering, 9-Inch</t>
        </is>
      </c>
      <c r="E6255" s="2">
        <f>HYPERLINK("https://www.amazon.com/Diagonal-Cutting-Klein-Tools-D248-9STT/dp/B01K76UYUW/ref=sr_1_11?keywords=Klein+Tools+D2000-48+Diagonal+Cutting+Pliers%2C+Angled+Head%2C+8-Inch&amp;qid=1694735135&amp;sr=8-11", "https://www.amazon.com/Diagonal-Cutting-Klein-Tools-D248-9STT/dp/B01K76UYUW/ref=sr_1_11?keywords=Klein+Tools+D2000-48+Diagonal+Cutting+Pliers%2C+Angled+Head%2C+8-Inch&amp;qid=1694735135&amp;sr=8-11")</f>
        <v/>
      </c>
      <c r="F6255" t="inlineStr">
        <is>
          <t>B01K76UYUW</t>
        </is>
      </c>
      <c r="G6255">
        <f>_xlfn.IMAGE("https://edmondsonsupply.com/cdn/shop/products/d200048.jpg?v=1660920588")</f>
        <v/>
      </c>
      <c r="H6255">
        <f>_xlfn.IMAGE("https://m.media-amazon.com/images/I/31gRx3nZM-L._AC_UL320_.jpg")</f>
        <v/>
      </c>
      <c r="K6255" t="inlineStr">
        <is>
          <t>34.97</t>
        </is>
      </c>
      <c r="L6255" t="n">
        <v>34.29</v>
      </c>
      <c r="M6255" s="1" t="inlineStr">
        <is>
          <t>-1.94%</t>
        </is>
      </c>
      <c r="N6255" s="7" t="n"/>
      <c r="O6255" t="n">
        <v>4.7</v>
      </c>
      <c r="P6255" t="n">
        <v>157</v>
      </c>
      <c r="R6255" t="inlineStr">
        <is>
          <t>InStock</t>
        </is>
      </c>
      <c r="S6255" t="inlineStr">
        <is>
          <t>49.78</t>
        </is>
      </c>
      <c r="T6255" t="inlineStr">
        <is>
          <t>7786125164760</t>
        </is>
      </c>
    </row>
    <row r="6256" ht="87" customHeight="1">
      <c r="A6256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6256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6256" t="inlineStr">
        <is>
          <t>Klein Tools CL390 AC/DC Digital Clamp Meter, Auto-Ranging 400 Amp</t>
        </is>
      </c>
      <c r="D6256" t="inlineStr">
        <is>
          <t>Klein Tools CL390 Digital Clamp Meter, Reverse Contrast Display, Auto Ranging 400A AC/DC Voltage,TRMS, DC Microamps, Temp, NCVT, More</t>
        </is>
      </c>
      <c r="E6256" s="2">
        <f>HYPERLINK("https://www.amazon.com/Klein-Tools-CL390-Electronic-Resistance/dp/B08DTDCG7T/ref=sr_1_1?keywords=Klein+Tools+CL390+AC%2FDC+Digital+Clamp+Meter%2C+Auto-Ranging+400+Amp&amp;qid=1694735129&amp;sr=8-1", "https://www.amazon.com/Klein-Tools-CL390-Electronic-Resistance/dp/B08DTDCG7T/ref=sr_1_1?keywords=Klein+Tools+CL390+AC%2FDC+Digital+Clamp+Meter%2C+Auto-Ranging+400+Amp&amp;qid=1694735129&amp;sr=8-1")</f>
        <v/>
      </c>
      <c r="F6256" t="inlineStr">
        <is>
          <t>B08DTDCG7T</t>
        </is>
      </c>
      <c r="G6256">
        <f>_xlfn.IMAGE("https://edmondsonsupply.com/cdn/shop/products/cl390.jpg?v=1662670722")</f>
        <v/>
      </c>
      <c r="H6256">
        <f>_xlfn.IMAGE("https://m.media-amazon.com/images/I/61RaYUw45bL._AC_UY218_.jpg")</f>
        <v/>
      </c>
      <c r="K6256" t="inlineStr">
        <is>
          <t>99.97</t>
        </is>
      </c>
      <c r="L6256" t="n">
        <v>97.98999999999999</v>
      </c>
      <c r="M6256" s="1" t="inlineStr">
        <is>
          <t>-1.98%</t>
        </is>
      </c>
      <c r="N6256" s="7" t="n"/>
      <c r="O6256" t="n">
        <v>4.6</v>
      </c>
      <c r="P6256" t="n">
        <v>1094</v>
      </c>
      <c r="R6256" t="inlineStr">
        <is>
          <t>InStock</t>
        </is>
      </c>
      <c r="S6256" t="inlineStr">
        <is>
          <t>133.3</t>
        </is>
      </c>
      <c r="T6256" t="inlineStr">
        <is>
          <t>7809430585560</t>
        </is>
      </c>
    </row>
    <row r="6257" ht="87" customHeight="1">
      <c r="A6257" s="2">
        <f>HYPERLINK("https://edmondsonsupply.com/collections/electricians-tools/products/klein-tools-d2000-9necr-linemans-pliers-with-crimping-9-inch", "https://edmondsonsupply.com/collections/electricians-tools/products/klein-tools-d2000-9necr-linemans-pliers-with-crimping-9-inch")</f>
        <v/>
      </c>
      <c r="B6257" s="2">
        <f>HYPERLINK("https://edmondsonsupply.com/products/klein-tools-d2000-9necr-linemans-pliers-with-crimping-9-inch", "https://edmondsonsupply.com/products/klein-tools-d2000-9necr-linemans-pliers-with-crimping-9-inch")</f>
        <v/>
      </c>
      <c r="C6257" t="inlineStr">
        <is>
          <t>Klein Tools D2000-9NECR Lineman's Pliers with Crimping, 9-Inch</t>
        </is>
      </c>
      <c r="D6257" t="inlineStr">
        <is>
          <t>Klein Tools D2000-9NECR Lineman's Pliers with Crimping, High-Leverage Streamline Design with Induction Hardened Knives and Knurled Jaws</t>
        </is>
      </c>
      <c r="E6257" s="2">
        <f>HYPERLINK("https://www.amazon.com/Klein-Tools-D2000-9NECR-High-Leverage-Streamline/dp/B00093GC5U/ref=sr_1_1?keywords=Klein+Tools+D2000-9NECR+Lineman%27s+Pliers+with+Crimping%2C+9-Inch&amp;qid=1694735295&amp;sr=8-1", "https://www.amazon.com/Klein-Tools-D2000-9NECR-High-Leverage-Streamline/dp/B00093GC5U/ref=sr_1_1?keywords=Klein+Tools+D2000-9NECR+Lineman%27s+Pliers+with+Crimping%2C+9-Inch&amp;qid=1694735295&amp;sr=8-1")</f>
        <v/>
      </c>
      <c r="F6257" t="inlineStr">
        <is>
          <t>B00093GC5U</t>
        </is>
      </c>
      <c r="G6257">
        <f>_xlfn.IMAGE("https://edmondsonsupply.com/cdn/shop/products/d20009necr.jpg?v=1633030459")</f>
        <v/>
      </c>
      <c r="H6257">
        <f>_xlfn.IMAGE("https://m.media-amazon.com/images/I/41FCBq7voZL._AC_UL320_.jpg")</f>
        <v/>
      </c>
      <c r="K6257" t="inlineStr">
        <is>
          <t>49.99</t>
        </is>
      </c>
      <c r="L6257" t="n">
        <v>48.99</v>
      </c>
      <c r="M6257" s="1" t="inlineStr">
        <is>
          <t>-2.00%</t>
        </is>
      </c>
      <c r="N6257" s="7" t="n"/>
      <c r="O6257" t="n">
        <v>4.8</v>
      </c>
      <c r="P6257" t="n">
        <v>1733</v>
      </c>
      <c r="R6257" t="inlineStr">
        <is>
          <t>InStock</t>
        </is>
      </c>
      <c r="S6257" t="inlineStr">
        <is>
          <t>75.74</t>
        </is>
      </c>
      <c r="T6257" t="inlineStr">
        <is>
          <t>5349066965160</t>
        </is>
      </c>
    </row>
    <row r="6258" ht="87" customHeight="1">
      <c r="A6258" s="2">
        <f>HYPERLINK("https://edmondsonsupply.com/collections/electricians-tools/products/klein-tools-d248-9stt-ironworkers-diagonal-cutting-pliers-tether-ring-8-inch", "https://edmondsonsupply.com/collections/electricians-tools/products/klein-tools-d248-9stt-ironworkers-diagonal-cutting-pliers-tether-ring-8-inch")</f>
        <v/>
      </c>
      <c r="B6258" s="2">
        <f>HYPERLINK("https://edmondsonsupply.com/products/klein-tools-d248-9stt-ironworkers-diagonal-cutting-pliers-tether-ring-8-inch", "https://edmondsonsupply.com/products/klein-tools-d248-9stt-ironworkers-diagonal-cutting-pliers-tether-ring-8-inch")</f>
        <v/>
      </c>
      <c r="C6258" t="inlineStr">
        <is>
          <t>Klein Tools D248-9STT Ironworker's Diagonal-Cutting Pliers, Tether Ring, 8-Inch</t>
        </is>
      </c>
      <c r="D6258" t="inlineStr">
        <is>
          <t>Klein Tools D248-9STT Pliers, Ironworker's Diagonal Cutting Pliers with High-Leverage Design ad Split Ring for Tethering, 9-Inch</t>
        </is>
      </c>
      <c r="E6258" s="2">
        <f>HYPERLINK("https://www.amazon.com/Diagonal-Cutting-Klein-Tools-D248-9STT/dp/B01K76UYUW/ref=sr_1_1?keywords=Klein+Tools+D248-9STT+Ironworker%27s+Diagonal-Cutting+Pliers%2C+Tether+Ring%2C+8-Inch&amp;qid=1694735375&amp;sr=8-1", "https://www.amazon.com/Diagonal-Cutting-Klein-Tools-D248-9STT/dp/B01K76UYUW/ref=sr_1_1?keywords=Klein+Tools+D248-9STT+Ironworker%27s+Diagonal-Cutting+Pliers%2C+Tether+Ring%2C+8-Inch&amp;qid=1694735375&amp;sr=8-1")</f>
        <v/>
      </c>
      <c r="F6258" t="inlineStr">
        <is>
          <t>B01K76UYUW</t>
        </is>
      </c>
      <c r="G6258">
        <f>_xlfn.IMAGE("https://edmondsonsupply.com/cdn/shop/products/d2489stt.jpg?v=1587149713")</f>
        <v/>
      </c>
      <c r="H6258">
        <f>_xlfn.IMAGE("https://m.media-amazon.com/images/I/31gRx3nZM-L._AC_UL320_.jpg")</f>
        <v/>
      </c>
      <c r="K6258" t="inlineStr">
        <is>
          <t>34.99</t>
        </is>
      </c>
      <c r="L6258" t="n">
        <v>34.29</v>
      </c>
      <c r="M6258" s="1" t="inlineStr">
        <is>
          <t>-2.00%</t>
        </is>
      </c>
      <c r="N6258" s="7" t="n"/>
      <c r="O6258" t="n">
        <v>4.7</v>
      </c>
      <c r="P6258" t="n">
        <v>157</v>
      </c>
      <c r="R6258" t="inlineStr">
        <is>
          <t>InStock</t>
        </is>
      </c>
      <c r="S6258" t="inlineStr">
        <is>
          <t>53.0</t>
        </is>
      </c>
      <c r="T6258" t="inlineStr">
        <is>
          <t>4414371725412</t>
        </is>
      </c>
    </row>
    <row r="6259" ht="87" customHeight="1">
      <c r="A6259" s="2">
        <f>HYPERLINK("https://edmondsonsupply.com/collections/electricians-tools/products/klein-tools-32619-adjustable-length-screwdriver-handle", "https://edmondsonsupply.com/collections/electricians-tools/products/klein-tools-32619-adjustable-length-screwdriver-handle")</f>
        <v/>
      </c>
      <c r="B6259" s="2">
        <f>HYPERLINK("https://edmondsonsupply.com/products/klein-tools-32619-adjustable-length-screwdriver-handle", "https://edmondsonsupply.com/products/klein-tools-32619-adjustable-length-screwdriver-handle")</f>
        <v/>
      </c>
      <c r="C6259" t="inlineStr">
        <is>
          <t>Klein Tools 32619 Adjustable Length Screwdriver Handle</t>
        </is>
      </c>
      <c r="D6259" t="inlineStr">
        <is>
          <t>Klein Tools 32619 Adjustable Length Screwdriver Handle</t>
        </is>
      </c>
      <c r="E6259" s="2">
        <f>HYPERLINK("https://www.amazon.com/Adjustable-Screwdriver-Klein-Tools-32619/dp/B01D4SREB2/ref=sr_1_1?keywords=Klein+Tools+32619+Adjustable+Length+Screwdriver+Handle&amp;qid=1694735412&amp;sr=8-1", "https://www.amazon.com/Adjustable-Screwdriver-Klein-Tools-32619/dp/B01D4SREB2/ref=sr_1_1?keywords=Klein+Tools+32619+Adjustable+Length+Screwdriver+Handle&amp;qid=1694735412&amp;sr=8-1")</f>
        <v/>
      </c>
      <c r="F6259" t="inlineStr">
        <is>
          <t>B01D4SREB2</t>
        </is>
      </c>
      <c r="G6259">
        <f>_xlfn.IMAGE("https://edmondsonsupply.com/cdn/shop/products/32619.jpg?v=1587147877")</f>
        <v/>
      </c>
      <c r="H6259">
        <f>_xlfn.IMAGE("https://m.media-amazon.com/images/I/51JPmmCSDjL._AC_UL320_.jpg")</f>
        <v/>
      </c>
      <c r="K6259" t="inlineStr">
        <is>
          <t>17.99</t>
        </is>
      </c>
      <c r="L6259" t="n">
        <v>17.63</v>
      </c>
      <c r="M6259" s="1" t="inlineStr">
        <is>
          <t>-2.00%</t>
        </is>
      </c>
      <c r="N6259" s="7" t="n"/>
      <c r="O6259" t="n">
        <v>4.7</v>
      </c>
      <c r="P6259" t="n">
        <v>322</v>
      </c>
      <c r="R6259" t="inlineStr">
        <is>
          <t>InStock</t>
        </is>
      </c>
      <c r="S6259" t="inlineStr">
        <is>
          <t>27.34</t>
        </is>
      </c>
      <c r="T6259" t="inlineStr">
        <is>
          <t>4391227097188</t>
        </is>
      </c>
    </row>
    <row r="6260" ht="87" customHeight="1">
      <c r="A6260" s="2">
        <f>HYPERLINK("https://edmondsonsupply.com/collections/electricians-tools/products/klein-tools-5416-tool-bag-bull-pin-and-bolt-pouch-belt-strap-connect-5-x-10-x-9-inch", "https://edmondsonsupply.com/collections/electricians-tools/products/klein-tools-5416-tool-bag-bull-pin-and-bolt-pouch-belt-strap-connect-5-x-10-x-9-inch")</f>
        <v/>
      </c>
      <c r="B6260" s="2">
        <f>HYPERLINK("https://edmondsonsupply.com/products/klein-tools-5416-tool-bag-bull-pin-and-bolt-pouch-belt-strap-connect-5-x-10-x-9-inch", "https://edmondsonsupply.com/products/klein-tools-5416-tool-bag-bull-pin-and-bolt-pouch-belt-strap-connect-5-x-10-x-9-inch")</f>
        <v/>
      </c>
      <c r="C6260" t="inlineStr">
        <is>
          <t>Klein Tools 5416 Tool Bag, Bull-Pin and Bolt Pouch, Belt Strap Connect, 5 x 10 x 9-Inch</t>
        </is>
      </c>
      <c r="D6260" t="inlineStr">
        <is>
          <t>Klein Tools 5416 Tool Pouch, Small Tool Bag for Bolt Storage with Bull Pin Loops and Belt Strap Connect, 5 x 10 x 9-Inch</t>
        </is>
      </c>
      <c r="E6260" s="2">
        <f>HYPERLINK("https://www.amazon.com/Canvas-Storage-Klein-Tools-5416/dp/B0002RI6JS/ref=sr_1_2?keywords=Klein+Tools+5416+Tool+Bag%2C+Bull-Pin+and+Bolt+Pouch%2C+Belt+Strap+Connect%2C+5+x+10+x+9-Inch&amp;qid=1694735013&amp;sr=8-2", "https://www.amazon.com/Canvas-Storage-Klein-Tools-5416/dp/B0002RI6JS/ref=sr_1_2?keywords=Klein+Tools+5416+Tool+Bag%2C+Bull-Pin+and+Bolt+Pouch%2C+Belt+Strap+Connect%2C+5+x+10+x+9-Inch&amp;qid=1694735013&amp;sr=8-2")</f>
        <v/>
      </c>
      <c r="F6260" t="inlineStr">
        <is>
          <t>B0002RI6JS</t>
        </is>
      </c>
      <c r="G6260">
        <f>_xlfn.IMAGE("https://edmondsonsupply.com/cdn/shop/products/5416.jpg?v=1679664980")</f>
        <v/>
      </c>
      <c r="H6260">
        <f>_xlfn.IMAGE("https://m.media-amazon.com/images/I/61w6J+DVn0L._AC_UL320_.jpg")</f>
        <v/>
      </c>
      <c r="K6260" t="inlineStr">
        <is>
          <t>17.8</t>
        </is>
      </c>
      <c r="L6260" t="n">
        <v>17.44</v>
      </c>
      <c r="M6260" s="1" t="inlineStr">
        <is>
          <t>-2.02%</t>
        </is>
      </c>
      <c r="N6260" s="7" t="n"/>
      <c r="O6260" t="n">
        <v>4.6</v>
      </c>
      <c r="P6260" t="n">
        <v>901</v>
      </c>
      <c r="R6260" t="inlineStr">
        <is>
          <t>InStock</t>
        </is>
      </c>
      <c r="S6260" t="inlineStr">
        <is>
          <t>29.06</t>
        </is>
      </c>
      <c r="T6260" t="inlineStr">
        <is>
          <t>7966205018328</t>
        </is>
      </c>
    </row>
    <row r="6261" hidden="1" ht="15.75" customHeight="1">
      <c r="A6261" s="2">
        <f>HYPERLINK("https://edmondsonsupply.com/collections/electricians-tools/products/klein-tools-70582-seven-key-metric-folding-hex-key-set", "https://edmondsonsupply.com/collections/electricians-tools/products/klein-tools-70582-seven-key-metric-folding-hex-key-set")</f>
        <v/>
      </c>
      <c r="B6261" s="2">
        <f>HYPERLINK("https://edmondsonsupply.com/products/klein-tools-70582-seven-key-metric-folding-hex-key-set", "https://edmondsonsupply.com/products/klein-tools-70582-seven-key-metric-folding-hex-key-set")</f>
        <v/>
      </c>
      <c r="C6261" t="inlineStr">
        <is>
          <t>Klein Tools 70582 Folding Hex Key Set, 7-Key, Metric Sizes</t>
        </is>
      </c>
      <c r="D6261" t="inlineStr">
        <is>
          <t>Klein Tools 70582 Folding Hex Key Set, 7-Key, Metric Sizes</t>
        </is>
      </c>
      <c r="E6261" s="2">
        <f>HYPERLINK("https://www.amazon.com/Seven-Key-Folding-Klein-Tools-70582/dp/B0002RI8QO/ref=sr_1_1?keywords=Klein+Tools+70582+Folding+Hex+Key+Set%2C+7-Key%2C+Metric+Sizes&amp;qid=1694735391&amp;sr=8-1", "https://www.amazon.com/Seven-Key-Folding-Klein-Tools-70582/dp/B0002RI8QO/ref=sr_1_1?keywords=Klein+Tools+70582+Folding+Hex+Key+Set%2C+7-Key%2C+Metric+Sizes&amp;qid=1694735391&amp;sr=8-1")</f>
        <v/>
      </c>
      <c r="F6261" t="inlineStr">
        <is>
          <t>B0002RI8QO</t>
        </is>
      </c>
      <c r="G6261">
        <f>_xludf.IMAGE("https://edmondsonsupply.com/cdn/shop/products/70582.jpg?v=1587149750")</f>
        <v/>
      </c>
      <c r="H6261">
        <f>_xludf.IMAGE("https://m.media-amazon.com/images/I/51oYhXhKARL._AC_UL320_.jpg")</f>
        <v/>
      </c>
      <c r="K6261" t="inlineStr">
        <is>
          <t>8.78</t>
        </is>
      </c>
      <c r="L6261" t="n">
        <v>8.6</v>
      </c>
      <c r="M6261" s="1" t="inlineStr">
        <is>
          <t>-2.05%</t>
        </is>
      </c>
      <c r="N6261" s="1" t="n"/>
      <c r="O6261" t="n">
        <v>4.7</v>
      </c>
      <c r="P6261" t="n">
        <v>3166</v>
      </c>
      <c r="R6261" t="inlineStr">
        <is>
          <t>InStock</t>
        </is>
      </c>
      <c r="S6261" t="inlineStr">
        <is>
          <t>12.26</t>
        </is>
      </c>
      <c r="T6261" t="inlineStr">
        <is>
          <t>4409539919972</t>
        </is>
      </c>
    </row>
    <row r="6262" ht="87" customHeight="1">
      <c r="A6262" s="2">
        <f>HYPERLINK("https://edmondsonsupply.com/collections/electricians-tools/products/fluke-tl223-suregrip%E2%84%A2-electrical-test-lead-set", "https://edmondsonsupply.com/collections/electricians-tools/products/fluke-tl223-suregrip%E2%84%A2-electrical-test-lead-set")</f>
        <v/>
      </c>
      <c r="B6262" s="2">
        <f>HYPERLINK("https://edmondsonsupply.com/products/fluke-tl223-suregrip%e2%84%a2-electrical-test-lead-set", "https://edmondsonsupply.com/products/fluke-tl223-suregrip%e2%84%a2-electrical-test-lead-set")</f>
        <v/>
      </c>
      <c r="C6262" t="inlineStr">
        <is>
          <t>Fluke TL223 SureGrip™ Electrical Test Lead Set</t>
        </is>
      </c>
      <c r="D6262" t="inlineStr">
        <is>
          <t>Fluke TL223 SureGrip Electrical Test Lead Set</t>
        </is>
      </c>
      <c r="E6262" s="2">
        <f>HYPERLINK("https://www.amazon.com/Fluke-TL223-SureGrip-Electrical-Test/dp/B0000WU0BC/ref=sr_1_1?keywords=Fluke+TL223+SureGrip%E2%84%A2+Electrical+Test+Lead+Set&amp;qid=1694735188&amp;sr=8-1", "https://www.amazon.com/Fluke-TL223-SureGrip-Electrical-Test/dp/B0000WU0BC/ref=sr_1_1?keywords=Fluke+TL223+SureGrip%E2%84%A2+Electrical+Test+Lead+Set&amp;qid=1694735188&amp;sr=8-1")</f>
        <v/>
      </c>
      <c r="F6262" t="inlineStr">
        <is>
          <t>B0000WU0BC</t>
        </is>
      </c>
      <c r="G6262">
        <f>_xlfn.IMAGE("https://edmondsonsupply.com/cdn/shop/products/223.png?v=1633540843")</f>
        <v/>
      </c>
      <c r="H6262">
        <f>_xlfn.IMAGE("https://m.media-amazon.com/images/I/510-LG82JfL._AC_UY218_.jpg")</f>
        <v/>
      </c>
      <c r="K6262" t="inlineStr">
        <is>
          <t>103.79</t>
        </is>
      </c>
      <c r="L6262" t="n">
        <v>101.65</v>
      </c>
      <c r="M6262" s="1" t="inlineStr">
        <is>
          <t>-2.06%</t>
        </is>
      </c>
      <c r="N6262" s="7" t="n"/>
      <c r="O6262" t="n">
        <v>4.8</v>
      </c>
      <c r="P6262" t="n">
        <v>66</v>
      </c>
      <c r="R6262" t="inlineStr">
        <is>
          <t>InStock</t>
        </is>
      </c>
      <c r="S6262" t="inlineStr">
        <is>
          <t>undefined</t>
        </is>
      </c>
      <c r="T6262" t="inlineStr">
        <is>
          <t>6997274198189</t>
        </is>
      </c>
    </row>
    <row r="6263" ht="87" customHeight="1">
      <c r="A6263" s="2">
        <f>HYPERLINK("https://edmondsonsupply.com/collections/electricians-tools/products/klein-tools-5481-tool-pouch-leather-pocket-tool-organizer-6-pockets-5-75x2-5x10-inch", "https://edmondsonsupply.com/collections/electricians-tools/products/klein-tools-5481-tool-pouch-leather-pocket-tool-organizer-6-pockets-5-75x2-5x10-inch")</f>
        <v/>
      </c>
      <c r="B6263" s="2">
        <f>HYPERLINK("https://edmondsonsupply.com/products/klein-tools-5481-tool-pouch-leather-pocket-tool-organizer-6-pockets-5-75x2-5x10-inch", "https://edmondsonsupply.com/products/klein-tools-5481-tool-pouch-leather-pocket-tool-organizer-6-pockets-5-75x2-5x10-inch")</f>
        <v/>
      </c>
      <c r="C6263" t="inlineStr">
        <is>
          <t>Klein Tools 5481 Tool Pouch, Leather Pocket Tool Organizer, 6-Pockets, 5.75x2.5x10-Inch</t>
        </is>
      </c>
      <c r="D6263" t="inlineStr">
        <is>
          <t>Klein Tools 5481 Tool Pouch, Back Pocket Electrician Tool Pouch made of Double Stitched and Riveted Leather, 6-Pocket, 5.75 x 2.5 x 10-Inch</t>
        </is>
      </c>
      <c r="E6263" s="2">
        <f>HYPERLINK("https://www.amazon.com/Leather-Pocket-Pouch-Klein-Tools/dp/B007V8RY9O/ref=sr_1_1?keywords=Klein+Tools+5481+Tool+Pouch%2C+Leather+Pocket+Tool+Organizer%2C+6-Pockets%2C+5.75x2.5x10-Inch&amp;qid=1694735229&amp;sr=8-1", "https://www.amazon.com/Leather-Pocket-Pouch-Klein-Tools/dp/B007V8RY9O/ref=sr_1_1?keywords=Klein+Tools+5481+Tool+Pouch%2C+Leather+Pocket+Tool+Organizer%2C+6-Pockets%2C+5.75x2.5x10-Inch&amp;qid=1694735229&amp;sr=8-1")</f>
        <v/>
      </c>
      <c r="F6263" t="inlineStr">
        <is>
          <t>B007V8RY9O</t>
        </is>
      </c>
      <c r="G6263">
        <f>_xlfn.IMAGE("https://edmondsonsupply.com/cdn/shop/products/5481.jpg?v=1633030957")</f>
        <v/>
      </c>
      <c r="H6263">
        <f>_xlfn.IMAGE("https://m.media-amazon.com/images/I/611EUnJKTbL._AC_UL320_.jpg")</f>
        <v/>
      </c>
      <c r="K6263" t="inlineStr">
        <is>
          <t>47.99</t>
        </is>
      </c>
      <c r="L6263" t="n">
        <v>47</v>
      </c>
      <c r="M6263" s="1" t="inlineStr">
        <is>
          <t>-2.06%</t>
        </is>
      </c>
      <c r="N6263" s="7" t="n"/>
      <c r="O6263" t="n">
        <v>4.3</v>
      </c>
      <c r="P6263" t="n">
        <v>153</v>
      </c>
      <c r="R6263" t="inlineStr">
        <is>
          <t>InStock</t>
        </is>
      </c>
      <c r="S6263" t="inlineStr">
        <is>
          <t>69.72</t>
        </is>
      </c>
      <c r="T6263" t="inlineStr">
        <is>
          <t>6618712506541</t>
        </is>
      </c>
    </row>
    <row r="6264" ht="87" customHeight="1">
      <c r="A6264" s="2">
        <f>HYPERLINK("https://edmondsonsupply.com/collections/electricians-tools/products/klein-tools-29250-60w-portable-solar-panel", "https://edmondsonsupply.com/collections/electricians-tools/products/klein-tools-29250-60w-portable-solar-panel")</f>
        <v/>
      </c>
      <c r="B6264" s="2">
        <f>HYPERLINK("https://edmondsonsupply.com/products/klein-tools-29250-60w-portable-solar-panel", "https://edmondsonsupply.com/products/klein-tools-29250-60w-portable-solar-panel")</f>
        <v/>
      </c>
      <c r="C6264" t="inlineStr">
        <is>
          <t>Klein Tools 29250 60W Portable Solar Panel</t>
        </is>
      </c>
      <c r="D6264" t="inlineStr">
        <is>
          <t>Klein Tools 29250 Solar Panel, 60 Watts, Foldable Solar Panel Charges Power Banks, Portable Batteries and Personal Electronics</t>
        </is>
      </c>
      <c r="E6264" s="2">
        <f>HYPERLINK("https://www.amazon.com/Batteries-Electronics-Klein-Tools-29250/dp/B096WHN6KG/ref=sr_1_1?keywords=Klein+Tools+29250+60W+Portable+Solar+Panel&amp;qid=1694735115&amp;sr=8-1", "https://www.amazon.com/Batteries-Electronics-Klein-Tools-29250/dp/B096WHN6KG/ref=sr_1_1?keywords=Klein+Tools+29250+60W+Portable+Solar+Panel&amp;qid=1694735115&amp;sr=8-1")</f>
        <v/>
      </c>
      <c r="F6264" t="inlineStr">
        <is>
          <t>B096WHN6KG</t>
        </is>
      </c>
      <c r="G6264">
        <f>_xlfn.IMAGE("https://edmondsonsupply.com/cdn/shop/products/29250.jpg?v=1664396962")</f>
        <v/>
      </c>
      <c r="H6264">
        <f>_xlfn.IMAGE("https://m.media-amazon.com/images/I/51pbv23WH5S._AC_UY218_.jpg")</f>
        <v/>
      </c>
      <c r="K6264" t="inlineStr">
        <is>
          <t>199.99</t>
        </is>
      </c>
      <c r="L6264" t="n">
        <v>195.85</v>
      </c>
      <c r="M6264" s="1" t="inlineStr">
        <is>
          <t>-2.07%</t>
        </is>
      </c>
      <c r="N6264" s="7" t="n"/>
      <c r="O6264" t="n">
        <v>4.1</v>
      </c>
      <c r="P6264" t="n">
        <v>4</v>
      </c>
      <c r="R6264" t="inlineStr">
        <is>
          <t>InStock</t>
        </is>
      </c>
      <c r="S6264" t="inlineStr">
        <is>
          <t>299.98</t>
        </is>
      </c>
      <c r="T6264" t="inlineStr">
        <is>
          <t>7832357306584</t>
        </is>
      </c>
    </row>
    <row r="6265" ht="87" customHeight="1">
      <c r="A6265" s="2">
        <f>HYPERLINK("https://edmondsonsupply.com/collections/electricians-tools/products/copy-of-diablo-tools-d1080x", "https://edmondsonsupply.com/collections/electricians-tools/products/copy-of-diablo-tools-d1080x")</f>
        <v/>
      </c>
      <c r="B6265" s="2">
        <f>HYPERLINK("https://edmondsonsupply.com/products/copy-of-diablo-tools-d1080x", "https://edmondsonsupply.com/products/copy-of-diablo-tools-d1080x")</f>
        <v/>
      </c>
      <c r="C6265" t="inlineStr">
        <is>
          <t>Diablo Tools D1040X 10 in. x 40 Tooth General Purpose Saw Blade</t>
        </is>
      </c>
      <c r="D6265" t="inlineStr">
        <is>
          <t>Freud D1040W Diablo 10-1/4-Inch 40 Tooth ATB General Purpose Saw Blade with 5/8-Inch and Diamond Knockout Arbor, Multi</t>
        </is>
      </c>
      <c r="E6265" s="2">
        <f>HYPERLINK("https://www.amazon.com/D1040W-Diablo-General-Purpose-Knockout/dp/B00027FT0M/ref=sr_1_2?keywords=Diablo+Tools+D1040X+10+in.+x+40+Tooth+General+Purpose+Saw+Blade&amp;qid=1694735312&amp;sr=8-2", "https://www.amazon.com/D1040W-Diablo-General-Purpose-Knockout/dp/B00027FT0M/ref=sr_1_2?keywords=Diablo+Tools+D1040X+10+in.+x+40+Tooth+General+Purpose+Saw+Blade&amp;qid=1694735312&amp;sr=8-2")</f>
        <v/>
      </c>
      <c r="F6265" t="inlineStr">
        <is>
          <t>B00027FT0M</t>
        </is>
      </c>
      <c r="G6265">
        <f>_xlfn.IMAGE("https://edmondsonsupply.com/cdn/shop/products/D1040X_Main-Image20200923.png?v=1633030269")</f>
        <v/>
      </c>
      <c r="H6265">
        <f>_xlfn.IMAGE("https://m.media-amazon.com/images/I/71enDVYcDPL._AC_UL320_.jpg")</f>
        <v/>
      </c>
      <c r="K6265" t="inlineStr">
        <is>
          <t>32.89</t>
        </is>
      </c>
      <c r="L6265" t="n">
        <v>32.2</v>
      </c>
      <c r="M6265" s="1" t="inlineStr">
        <is>
          <t>-2.10%</t>
        </is>
      </c>
      <c r="N6265" s="7" t="n"/>
      <c r="O6265" t="n">
        <v>4.8</v>
      </c>
      <c r="P6265" t="n">
        <v>344</v>
      </c>
      <c r="R6265" t="inlineStr">
        <is>
          <t>InStock</t>
        </is>
      </c>
      <c r="S6265" t="inlineStr">
        <is>
          <t>54.15</t>
        </is>
      </c>
      <c r="T6265" t="inlineStr">
        <is>
          <t>4681374695524</t>
        </is>
      </c>
    </row>
    <row r="6266" hidden="1" ht="15.75" customHeight="1">
      <c r="A6266" s="2">
        <f>HYPERLINK("https://edmondsonsupply.com/collections/electricians-tools/products/klein-tools-jth9e10-5-32-inch-hex-key-journeyman-t-handle-9-inch", "https://edmondsonsupply.com/collections/electricians-tools/products/klein-tools-jth9e10-5-32-inch-hex-key-journeyman-t-handle-9-inch")</f>
        <v/>
      </c>
      <c r="B6266" s="2">
        <f>HYPERLINK("https://edmondsonsupply.com/products/klein-tools-jth9e10-5-32-inch-hex-key-journeyman-t-handle-9-inch", "https://edmondsonsupply.com/products/klein-tools-jth9e10-5-32-inch-hex-key-journeyman-t-handle-9-inch")</f>
        <v/>
      </c>
      <c r="C6266" t="inlineStr">
        <is>
          <t>Klein Tools JTH9E10 5/32-Inch Hex Key, Journeyman T-Handle, 9-Inch</t>
        </is>
      </c>
      <c r="D6266" t="inlineStr">
        <is>
          <t>Klein Tools JTH9E14 5/16-Inch Hex Key, Journeyman T-Handle, 9-Inch</t>
        </is>
      </c>
      <c r="E6266" s="2">
        <f>HYPERLINK("https://www.amazon.com/Journeyman-T-Handle-Klein-Tools-JTH9E14/dp/B004QVAH4I/ref=sr_1_6?keywords=Klein+Tools+JTH9E10+5%2F32-Inch+Hex+Key%2C+Journeyman+T-Handle%2C+9-Inch&amp;qid=1694735165&amp;sr=8-6", "https://www.amazon.com/Journeyman-T-Handle-Klein-Tools-JTH9E14/dp/B004QVAH4I/ref=sr_1_6?keywords=Klein+Tools+JTH9E10+5%2F32-Inch+Hex+Key%2C+Journeyman+T-Handle%2C+9-Inch&amp;qid=1694735165&amp;sr=8-6")</f>
        <v/>
      </c>
      <c r="F6266" t="inlineStr">
        <is>
          <t>B004QVAH4I</t>
        </is>
      </c>
      <c r="G6266">
        <f>_xludf.IMAGE("https://edmondsonsupply.com/cdn/shop/products/jth9e12_37b16542-2f59-465e-8bba-0a543803dfd0.jpg?v=1647892900")</f>
        <v/>
      </c>
      <c r="H6266">
        <f>_xludf.IMAGE("https://m.media-amazon.com/images/I/51Yb8h41vLL._AC_UL320_.jpg")</f>
        <v/>
      </c>
      <c r="K6266" t="inlineStr">
        <is>
          <t>7.6</t>
        </is>
      </c>
      <c r="L6266" t="n">
        <v>7.44</v>
      </c>
      <c r="M6266" s="1" t="inlineStr">
        <is>
          <t>-2.11%</t>
        </is>
      </c>
      <c r="N6266" s="1" t="n"/>
      <c r="O6266" t="n">
        <v>4.8</v>
      </c>
      <c r="P6266" t="n">
        <v>114</v>
      </c>
      <c r="R6266" t="inlineStr">
        <is>
          <t>OutOfStock</t>
        </is>
      </c>
      <c r="S6266" t="inlineStr">
        <is>
          <t>undefined</t>
        </is>
      </c>
      <c r="T6266" t="inlineStr">
        <is>
          <t>7640873205976</t>
        </is>
      </c>
    </row>
    <row r="6267" ht="87" customHeight="1">
      <c r="A6267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6267" s="2">
        <f>HYPERLINK("https://edmondsonsupply.com/products/diablo-tools-d0704dh-7-1-4-in-x-4-tooth-fiber-cement", "https://edmondsonsupply.com/products/diablo-tools-d0704dh-7-1-4-in-x-4-tooth-fiber-cement")</f>
        <v/>
      </c>
      <c r="C6267" t="inlineStr">
        <is>
          <t>Diablo Tools D0704DH 7-1/4 in. x 4 Tooth Fiber Cement</t>
        </is>
      </c>
      <c r="D6267" t="inlineStr">
        <is>
          <t>IRWIN Tools Polycrystalline Diamond-Tipped Fiber Cement Circular Saw Blade, 7 1/4-inch, 4-Tooth (4935473)</t>
        </is>
      </c>
      <c r="E6267" s="2">
        <f>HYPERLINK("https://www.amazon.com/Tools-Polycrystalline-Diamond-Tipped-Circular-4935473/dp/B003A3O884/ref=sr_1_6?keywords=Diablo+Tools+D0704DH+7-1%2F4+in.+x+4+Tooth+Fiber+Cement&amp;qid=1694735024&amp;sr=8-6", "https://www.amazon.com/Tools-Polycrystalline-Diamond-Tipped-Circular-4935473/dp/B003A3O884/ref=sr_1_6?keywords=Diablo+Tools+D0704DH+7-1%2F4+in.+x+4+Tooth+Fiber+Cement&amp;qid=1694735024&amp;sr=8-6")</f>
        <v/>
      </c>
      <c r="F6267" t="inlineStr">
        <is>
          <t>B003A3O884</t>
        </is>
      </c>
      <c r="G6267">
        <f>_xlfn.IMAGE("https://edmondsonsupply.com/cdn/shop/products/baadnmj6vhmqufio7ofn.webp?v=1679325375")</f>
        <v/>
      </c>
      <c r="H6267">
        <f>_xlfn.IMAGE("https://m.media-amazon.com/images/I/81s25lv5aSL._AC_UL320_.jpg")</f>
        <v/>
      </c>
      <c r="K6267" t="inlineStr">
        <is>
          <t>44.97</t>
        </is>
      </c>
      <c r="L6267" t="n">
        <v>44</v>
      </c>
      <c r="M6267" s="1" t="inlineStr">
        <is>
          <t>-2.16%</t>
        </is>
      </c>
      <c r="N6267" s="7" t="n"/>
      <c r="O6267" t="n">
        <v>4.5</v>
      </c>
      <c r="P6267" t="n">
        <v>2492</v>
      </c>
      <c r="R6267" t="inlineStr">
        <is>
          <t>InStock</t>
        </is>
      </c>
      <c r="S6267" t="inlineStr">
        <is>
          <t>67.99</t>
        </is>
      </c>
      <c r="T6267" t="inlineStr">
        <is>
          <t>7964908159192</t>
        </is>
      </c>
    </row>
    <row r="6268" ht="87" customHeight="1">
      <c r="A6268" s="2">
        <f>HYPERLINK("https://edmondsonsupply.com/collections/electricians-tools/products/diablo-tools-dmapl2240-p25-3-8-in-x-10-in-x-12-in-sds-plus-2-cutter-25-pack", "https://edmondsonsupply.com/collections/electricians-tools/products/diablo-tools-dmapl2240-p25-3-8-in-x-10-in-x-12-in-sds-plus-2-cutter-25-pack")</f>
        <v/>
      </c>
      <c r="B6268" s="2">
        <f>HYPERLINK("https://edmondsonsupply.com/products/diablo-tools-dmapl2240-p25-3-8-in-x-10-in-x-12-in-sds-plus-2-cutter-25-pack", "https://edmondsonsupply.com/products/diablo-tools-dmapl2240-p25-3-8-in-x-10-in-x-12-in-sds-plus-2-cutter-25-pack")</f>
        <v/>
      </c>
      <c r="C6268" t="inlineStr">
        <is>
          <t>Diablo Tools DMAPL2240-P25 3/8 in. x 10 in. x 12 in. SDS-Plus 2-Cutter (25 Pack)</t>
        </is>
      </c>
      <c r="D6268" t="inlineStr">
        <is>
          <t>Diablo by Freud DMAPL4160-P25 3/8 in. x 10 in. x 12 in. Rebar Demon SDS-Plus 4-Cutter Full Carbide Head Hammer Bit (25-Pack)</t>
        </is>
      </c>
      <c r="E6268" s="2">
        <f>HYPERLINK("https://www.amazon.com/Diablo-Freud-DMAPL4160-P25-SDS-Plus-4-Cutter/dp/B089LKWCD1/ref=sr_1_3?keywords=Diablo+Tools+DMAPL2240-P25+3%2F8+in.+x+10+in.+x+12+in.+SDS-Plus+2-Cutter+%2825+Pack%29&amp;qid=1694735272&amp;sr=8-3", "https://www.amazon.com/Diablo-Freud-DMAPL4160-P25-SDS-Plus-4-Cutter/dp/B089LKWCD1/ref=sr_1_3?keywords=Diablo+Tools+DMAPL2240-P25+3%2F8+in.+x+10+in.+x+12+in.+SDS-Plus+2-Cutter+%2825+Pack%29&amp;qid=1694735272&amp;sr=8-3")</f>
        <v/>
      </c>
      <c r="F6268" t="inlineStr">
        <is>
          <t>B089LKWCD1</t>
        </is>
      </c>
      <c r="G6268">
        <f>_xlfn.IMAGE("https://edmondsonsupply.com/cdn/shop/products/DMAPL2240-P25_Additional-Images_0120200331.png?v=1633030515")</f>
        <v/>
      </c>
      <c r="H6268">
        <f>_xlfn.IMAGE("https://m.media-amazon.com/images/I/61MHnm3+2bL._AC_UL320_.jpg")</f>
        <v/>
      </c>
      <c r="K6268" t="inlineStr">
        <is>
          <t>184.97</t>
        </is>
      </c>
      <c r="L6268" t="n">
        <v>180.97</v>
      </c>
      <c r="M6268" s="1" t="inlineStr">
        <is>
          <t>-2.16%</t>
        </is>
      </c>
      <c r="N6268" s="7" t="n"/>
      <c r="O6268" t="n">
        <v>5</v>
      </c>
      <c r="P6268" t="n">
        <v>1</v>
      </c>
      <c r="R6268" t="inlineStr">
        <is>
          <t>InStock</t>
        </is>
      </c>
      <c r="S6268" t="inlineStr">
        <is>
          <t>257.8</t>
        </is>
      </c>
      <c r="T6268" t="inlineStr">
        <is>
          <t>5395598442664</t>
        </is>
      </c>
    </row>
    <row r="6269" ht="87" customHeight="1">
      <c r="A6269" s="2">
        <f>HYPERLINK("https://edmondsonsupply.com/collections/electricians-tools/products/copy-of-diablo-tools-d1244x", "https://edmondsonsupply.com/collections/electricians-tools/products/copy-of-diablo-tools-d1244x")</f>
        <v/>
      </c>
      <c r="B6269" s="2">
        <f>HYPERLINK("https://edmondsonsupply.com/products/copy-of-diablo-tools-d1244x", "https://edmondsonsupply.com/products/copy-of-diablo-tools-d1244x")</f>
        <v/>
      </c>
      <c r="C6269" t="inlineStr">
        <is>
          <t>Diablo Tools D1024X 10 in. x 24 Tooth Ripping Saw Blade</t>
        </is>
      </c>
      <c r="D6269" t="inlineStr">
        <is>
          <t>Freud D1024X Diablo 10" 24-Tooth ATB Ripping Saw Blade 5/8" Arbor</t>
        </is>
      </c>
      <c r="E6269" s="2">
        <f>HYPERLINK("https://www.amazon.com/D1024X-Diablo-10-Inch-24-Tooth-PermaShield/dp/B00008WQ2V/ref=sr_1_1?keywords=Diablo+Tools+D1024X+10+in.+x+24+Tooth+Ripping+Saw+Blade&amp;qid=1694735311&amp;sr=8-1", "https://www.amazon.com/D1024X-Diablo-10-Inch-24-Tooth-PermaShield/dp/B00008WQ2V/ref=sr_1_1?keywords=Diablo+Tools+D1024X+10+in.+x+24+Tooth+Ripping+Saw+Blade&amp;qid=1694735311&amp;sr=8-1")</f>
        <v/>
      </c>
      <c r="F6269" t="inlineStr">
        <is>
          <t>B00008WQ2V</t>
        </is>
      </c>
      <c r="G6269">
        <f>_xlfn.IMAGE("https://edmondsonsupply.com/cdn/shop/products/D1024X_Main-Image20191024.png?v=1609790707")</f>
        <v/>
      </c>
      <c r="H6269">
        <f>_xlfn.IMAGE("https://m.media-amazon.com/images/I/61dMXNwA4oL._AC_UL320_.jpg")</f>
        <v/>
      </c>
      <c r="K6269" t="inlineStr">
        <is>
          <t>28.59</t>
        </is>
      </c>
      <c r="L6269" t="n">
        <v>27.95</v>
      </c>
      <c r="M6269" s="1" t="inlineStr">
        <is>
          <t>-2.24%</t>
        </is>
      </c>
      <c r="N6269" s="7" t="n"/>
      <c r="O6269" t="n">
        <v>4.8</v>
      </c>
      <c r="P6269" t="n">
        <v>1165</v>
      </c>
      <c r="R6269" t="inlineStr">
        <is>
          <t>InStock</t>
        </is>
      </c>
      <c r="S6269" t="inlineStr">
        <is>
          <t>43.28</t>
        </is>
      </c>
      <c r="T6269" t="inlineStr">
        <is>
          <t>4683548360804</t>
        </is>
      </c>
    </row>
    <row r="6270" ht="87" customHeight="1">
      <c r="A6270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6270" s="2">
        <f>HYPERLINK("https://edmondsonsupply.com/products/diablo-tools-dag3090-7-8-in-x-17-1-2-in-auger-bit", "https://edmondsonsupply.com/products/diablo-tools-dag3090-7-8-in-x-17-1-2-in-auger-bit")</f>
        <v/>
      </c>
      <c r="C6270" t="inlineStr">
        <is>
          <t>Diablo Tools DAG3090 7/8 in. x 17-1/2 in. Auger Bit</t>
        </is>
      </c>
      <c r="D6270" t="inlineStr">
        <is>
          <t>Diablo 9/16 in. x 17-1/2 in. Auger Bit</t>
        </is>
      </c>
      <c r="E6270" s="2">
        <f>HYPERLINK("https://www.amazon.com/Diablo-16-17-1-Auger-Bit/dp/B089LDN2LV/ref=sr_1_9?keywords=Diablo+Tools+DAG3090+7%2F8+in.+x+17-1%2F2+in.+Auger+Bit&amp;qid=1694735031&amp;sr=8-9", "https://www.amazon.com/Diablo-16-17-1-Auger-Bit/dp/B089LDN2LV/ref=sr_1_9?keywords=Diablo+Tools+DAG3090+7%2F8+in.+x+17-1%2F2+in.+Auger+Bit&amp;qid=1694735031&amp;sr=8-9")</f>
        <v/>
      </c>
      <c r="F6270" t="inlineStr">
        <is>
          <t>B089LDN2LV</t>
        </is>
      </c>
      <c r="G6270">
        <f>_xlfn.IMAGE("https://edmondsonsupply.com/cdn/shop/products/aorgtpkivjubhtbiiau0.webp?v=1677256849")</f>
        <v/>
      </c>
      <c r="H6270">
        <f>_xlfn.IMAGE("https://m.media-amazon.com/images/I/61mtvebHezL._AC_UL320_.jpg")</f>
        <v/>
      </c>
      <c r="K6270" t="inlineStr">
        <is>
          <t>22.99</t>
        </is>
      </c>
      <c r="L6270" t="n">
        <v>22.47</v>
      </c>
      <c r="M6270" s="1" t="inlineStr">
        <is>
          <t>-2.26%</t>
        </is>
      </c>
      <c r="N6270" s="7" t="n"/>
      <c r="O6270" t="n">
        <v>4.8</v>
      </c>
      <c r="P6270" t="n">
        <v>8</v>
      </c>
      <c r="R6270" t="inlineStr">
        <is>
          <t>InStock</t>
        </is>
      </c>
      <c r="S6270" t="inlineStr">
        <is>
          <t>36.28</t>
        </is>
      </c>
      <c r="T6270" t="inlineStr">
        <is>
          <t>7950782136536</t>
        </is>
      </c>
    </row>
    <row r="6271" ht="87" customHeight="1">
      <c r="A6271" s="2">
        <f>HYPERLINK("https://edmondsonsupply.com/collections/electricians-tools/products/klein-tools-mm325-digital-multimeter-manual-ranging-600v", "https://edmondsonsupply.com/collections/electricians-tools/products/klein-tools-mm325-digital-multimeter-manual-ranging-600v")</f>
        <v/>
      </c>
      <c r="B6271" s="2">
        <f>HYPERLINK("https://edmondsonsupply.com/products/klein-tools-mm325-digital-multimeter-manual-ranging-600v", "https://edmondsonsupply.com/products/klein-tools-mm325-digital-multimeter-manual-ranging-600v")</f>
        <v/>
      </c>
      <c r="C6271" t="inlineStr">
        <is>
          <t>Klein Tools MM325 Digital Multimeter, Manual-Ranging, 600V</t>
        </is>
      </c>
      <c r="D6271" t="inlineStr">
        <is>
          <t>Klein Tools MM325 Multimeter, Digital Manual-Ranging 600V AC/DC Voltage Tester, Tests Batteries, Current, Resistance, Diodes, and Continuity, Black</t>
        </is>
      </c>
      <c r="E6271" s="2">
        <f>HYPERLINK("https://www.amazon.com/Klein-Tools-MM325-Multimeter-Manual-Ranging/dp/B0B57L9FNL/ref=sr_1_2?keywords=Klein+Tools+MM325+Digital+Multimeter%2C+Manual-Ranging%2C+600V&amp;qid=1694735122&amp;sr=8-2", "https://www.amazon.com/Klein-Tools-MM325-Multimeter-Manual-Ranging/dp/B0B57L9FNL/ref=sr_1_2?keywords=Klein+Tools+MM325+Digital+Multimeter%2C+Manual-Ranging%2C+600V&amp;qid=1694735122&amp;sr=8-2")</f>
        <v/>
      </c>
      <c r="F6271" t="inlineStr">
        <is>
          <t>B0B57L9FNL</t>
        </is>
      </c>
      <c r="G6271">
        <f>_xlfn.IMAGE("https://edmondsonsupply.com/cdn/shop/products/mm325.jpg?v=1663612847")</f>
        <v/>
      </c>
      <c r="H6271">
        <f>_xlfn.IMAGE("https://m.media-amazon.com/images/I/51ZJJXbc34L._AC_UL320_.jpg")</f>
        <v/>
      </c>
      <c r="K6271" t="inlineStr">
        <is>
          <t>34.97</t>
        </is>
      </c>
      <c r="L6271" t="n">
        <v>34.16</v>
      </c>
      <c r="M6271" s="1" t="inlineStr">
        <is>
          <t>-2.32%</t>
        </is>
      </c>
      <c r="N6271" s="7" t="n"/>
      <c r="O6271" t="n">
        <v>4.7</v>
      </c>
      <c r="P6271" t="n">
        <v>100</v>
      </c>
      <c r="R6271" t="inlineStr">
        <is>
          <t>InStock</t>
        </is>
      </c>
      <c r="S6271" t="inlineStr">
        <is>
          <t>49.98</t>
        </is>
      </c>
      <c r="T6271" t="inlineStr">
        <is>
          <t>7823042904280</t>
        </is>
      </c>
    </row>
    <row r="6272" ht="87" customHeight="1">
      <c r="A6272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6272" s="2">
        <f>HYPERLINK("https://edmondsonsupply.com/products/klein-tools-32900-7-in-1-impact-flip-socket-with-handle", "https://edmondsonsupply.com/products/klein-tools-32900-7-in-1-impact-flip-socket-with-handle")</f>
        <v/>
      </c>
      <c r="C6272" t="inlineStr">
        <is>
          <t>Klein Tools 32900 7-in-1 Impact Flip Socket with Handle</t>
        </is>
      </c>
      <c r="D6272" t="inlineStr">
        <is>
          <t>Klein Tools 32900 Impact Driver, 7-in-1 Impact Flip Socket Set with Handle, 6 Hex Driver Sizes plus a 1/4-Inch Bit Holder</t>
        </is>
      </c>
      <c r="E6272" s="2">
        <f>HYPERLINK("https://www.amazon.com/Klein-Tools-32900-Impact-Driver/dp/B09PZG4F8X/ref=sr_1_1?keywords=Klein+Tools+32900+7-in-1+Impact+Flip+Socket+with+Handle&amp;qid=1694735103&amp;sr=8-1", "https://www.amazon.com/Klein-Tools-32900-Impact-Driver/dp/B09PZG4F8X/ref=sr_1_1?keywords=Klein+Tools+32900+7-in-1+Impact+Flip+Socket+with+Handle&amp;qid=1694735103&amp;sr=8-1")</f>
        <v/>
      </c>
      <c r="F6272" t="inlineStr">
        <is>
          <t>B09PZG4F8X</t>
        </is>
      </c>
      <c r="G6272">
        <f>_xlfn.IMAGE("https://edmondsonsupply.com/cdn/shop/products/32900_b.jpg?v=1666024787")</f>
        <v/>
      </c>
      <c r="H6272">
        <f>_xlfn.IMAGE("https://m.media-amazon.com/images/I/51qL2uXqcTL._AC_UL320_.jpg")</f>
        <v/>
      </c>
      <c r="K6272" t="inlineStr">
        <is>
          <t>29.97</t>
        </is>
      </c>
      <c r="L6272" t="n">
        <v>29.25</v>
      </c>
      <c r="M6272" s="1" t="inlineStr">
        <is>
          <t>-2.40%</t>
        </is>
      </c>
      <c r="N6272" s="7" t="n"/>
      <c r="O6272" t="n">
        <v>4.7</v>
      </c>
      <c r="P6272" t="n">
        <v>2468</v>
      </c>
      <c r="R6272" t="inlineStr">
        <is>
          <t>InStock</t>
        </is>
      </c>
      <c r="S6272" t="inlineStr">
        <is>
          <t>45.0</t>
        </is>
      </c>
      <c r="T6272" t="inlineStr">
        <is>
          <t>7856651239640</t>
        </is>
      </c>
    </row>
    <row r="6273" ht="87" customHeight="1">
      <c r="A6273" s="2">
        <f>HYPERLINK("https://edmondsonsupply.com/collections/electricians-tools/products/klein-tools-56056-multi-groove-fiberglass-fish-tape-200-foot", "https://edmondsonsupply.com/collections/electricians-tools/products/klein-tools-56056-multi-groove-fiberglass-fish-tape-200-foot")</f>
        <v/>
      </c>
      <c r="B6273" s="2">
        <f>HYPERLINK("https://edmondsonsupply.com/products/klein-tools-56056-multi-groove-fiberglass-fish-tape-200-foot", "https://edmondsonsupply.com/products/klein-tools-56056-multi-groove-fiberglass-fish-tape-200-foot")</f>
        <v/>
      </c>
      <c r="C6273" t="inlineStr">
        <is>
          <t>Klein Tools 56056 Multi-Groove Fiberglass Fish Tape 200-Foot</t>
        </is>
      </c>
      <c r="D6273" t="inlineStr">
        <is>
          <t>Klein Tools 56056 Electrical Fiberglass Fish Tape, 200-Foot x 3/16-Inch Wide Multi-Groove Fish Tape with Steel Leader</t>
        </is>
      </c>
      <c r="E6273" s="2">
        <f>HYPERLINK("https://www.amazon.com/Multi-Groove-Fiberglass-200-Foot-Klein-Tools/dp/B00N6Y8RRA/ref=sr_1_1?keywords=Klein+Tools+56056+Multi-Groove+Fiberglass+Fish+Tape+200-Foot&amp;qid=1694735387&amp;sr=8-1", "https://www.amazon.com/Multi-Groove-Fiberglass-200-Foot-Klein-Tools/dp/B00N6Y8RRA/ref=sr_1_1?keywords=Klein+Tools+56056+Multi-Groove+Fiberglass+Fish+Tape+200-Foot&amp;qid=1694735387&amp;sr=8-1")</f>
        <v/>
      </c>
      <c r="F6273" t="inlineStr">
        <is>
          <t>B00N6Y8RRA</t>
        </is>
      </c>
      <c r="G6273">
        <f>_xlfn.IMAGE("https://edmondsonsupply.com/cdn/shop/products/56056.jpg?v=1587149776")</f>
        <v/>
      </c>
      <c r="H6273">
        <f>_xlfn.IMAGE("https://m.media-amazon.com/images/I/61-dcSdFpvL._AC_UL320_.jpg")</f>
        <v/>
      </c>
      <c r="K6273" t="inlineStr">
        <is>
          <t>204.99</t>
        </is>
      </c>
      <c r="L6273" t="n">
        <v>199.99</v>
      </c>
      <c r="M6273" s="1" t="inlineStr">
        <is>
          <t>-2.44%</t>
        </is>
      </c>
      <c r="N6273" s="7" t="n"/>
      <c r="O6273" t="n">
        <v>4.4</v>
      </c>
      <c r="P6273" t="n">
        <v>86</v>
      </c>
      <c r="R6273" t="inlineStr">
        <is>
          <t>InStock</t>
        </is>
      </c>
      <c r="S6273" t="inlineStr">
        <is>
          <t>310.6</t>
        </is>
      </c>
      <c r="T6273" t="inlineStr">
        <is>
          <t>4411121533028</t>
        </is>
      </c>
    </row>
    <row r="6274" ht="87" customHeight="1">
      <c r="A6274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6274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6274" t="inlineStr">
        <is>
          <t>Klein Tools JTH6E17 1/2-Inch Hex Journeyman T-Handle 6-Inch</t>
        </is>
      </c>
      <c r="D6274" t="inlineStr">
        <is>
          <t>Klein Tools JTH6E17 1/2-Inch Hex Key, Journeyman T-Handle, 6-Inch</t>
        </is>
      </c>
      <c r="E6274" s="2">
        <f>HYPERLINK("https://www.amazon.com/Journeyman-T-Handle-Klein-Tools-JTH6E17/dp/B004N604GC/ref=sr_1_1?keywords=Klein+Tools+JTH6E17+1%2F2-Inch+Hex+Journeyman+T-Handle+6-Inch&amp;qid=1694735359&amp;sr=8-1", "https://www.amazon.com/Journeyman-T-Handle-Klein-Tools-JTH6E17/dp/B004N604GC/ref=sr_1_1?keywords=Klein+Tools+JTH6E17+1%2F2-Inch+Hex+Journeyman+T-Handle+6-Inch&amp;qid=1694735359&amp;sr=8-1")</f>
        <v/>
      </c>
      <c r="F6274" t="inlineStr">
        <is>
          <t>B004N604GC</t>
        </is>
      </c>
      <c r="G6274">
        <f>_xlfn.IMAGE("https://edmondsonsupply.com/cdn/shop/products/jth6e15_80623668-f320-404f-929d-7d7e04a8b5aa.jpg?v=1587146378")</f>
        <v/>
      </c>
      <c r="H6274">
        <f>_xlfn.IMAGE("https://m.media-amazon.com/images/I/41bgisgIOrL._AC_UL320_.jpg")</f>
        <v/>
      </c>
      <c r="K6274" t="inlineStr">
        <is>
          <t>19.99</t>
        </is>
      </c>
      <c r="L6274" t="n">
        <v>19.5</v>
      </c>
      <c r="M6274" s="1" t="inlineStr">
        <is>
          <t>-2.45%</t>
        </is>
      </c>
      <c r="N6274" s="7" t="n"/>
      <c r="O6274" t="n">
        <v>4.8</v>
      </c>
      <c r="P6274" t="n">
        <v>772</v>
      </c>
      <c r="R6274" t="inlineStr">
        <is>
          <t>InStock</t>
        </is>
      </c>
      <c r="S6274" t="inlineStr">
        <is>
          <t>30.28</t>
        </is>
      </c>
      <c r="T6274" t="inlineStr">
        <is>
          <t>4431817605220</t>
        </is>
      </c>
    </row>
    <row r="6275" ht="87" customHeight="1">
      <c r="A6275" s="2">
        <f>HYPERLINK("https://edmondsonsupply.com/collections/electricians-tools/products/klein-tools-j2000-59-diagonal-cutting-pliers-heavy-duty-journeyman-9-inch", "https://edmondsonsupply.com/collections/electricians-tools/products/klein-tools-j2000-59-diagonal-cutting-pliers-heavy-duty-journeyman-9-inch")</f>
        <v/>
      </c>
      <c r="B6275" s="2">
        <f>HYPERLINK("https://edmondsonsupply.com/products/klein-tools-j2000-59-diagonal-cutting-pliers-heavy-duty-journeyman-9-inch", "https://edmondsonsupply.com/products/klein-tools-j2000-59-diagonal-cutting-pliers-heavy-duty-journeyman-9-inch")</f>
        <v/>
      </c>
      <c r="C6275" t="inlineStr">
        <is>
          <t>Klein Tools J2000-59 Diagonal Cutting Pliers, Heavy-Duty Journeyman, 9-Inch</t>
        </is>
      </c>
      <c r="D6275" t="inlineStr">
        <is>
          <t>Klein Tools D2000-49 Pliers, Diagonal Cutting Pliers with Heavy-Duty Cutting Knives, Short Jaws and Dual Material Grips, 9-Inch</t>
        </is>
      </c>
      <c r="E6275" s="2">
        <f>HYPERLINK("https://www.amazon.com/Klein-Tools-D2000-49-Pliers-Diagonal-Cutters/dp/B01KKCNNWY/ref=sr_1_5?keywords=Klein+Tools+J2000-59+Diagonal+Cutting+Pliers%2C+Heavy-Duty+Journeyman%2C+9-Inch&amp;qid=1694735247&amp;sr=8-5", "https://www.amazon.com/Klein-Tools-D2000-49-Pliers-Diagonal-Cutters/dp/B01KKCNNWY/ref=sr_1_5?keywords=Klein+Tools+J2000-59+Diagonal+Cutting+Pliers%2C+Heavy-Duty+Journeyman%2C+9-Inch&amp;qid=1694735247&amp;sr=8-5")</f>
        <v/>
      </c>
      <c r="F6275" t="inlineStr">
        <is>
          <t>B01KKCNNWY</t>
        </is>
      </c>
      <c r="G6275">
        <f>_xlfn.IMAGE("https://edmondsonsupply.com/cdn/shop/products/j200059.jpg?v=1633030755")</f>
        <v/>
      </c>
      <c r="H6275">
        <f>_xlfn.IMAGE("https://m.media-amazon.com/images/I/41YARuDNT4L._AC_UL320_.jpg")</f>
        <v/>
      </c>
      <c r="K6275" t="inlineStr">
        <is>
          <t>39.97</t>
        </is>
      </c>
      <c r="L6275" t="n">
        <v>38.99</v>
      </c>
      <c r="M6275" s="1" t="inlineStr">
        <is>
          <t>-2.45%</t>
        </is>
      </c>
      <c r="N6275" s="7" t="n"/>
      <c r="O6275" t="n">
        <v>4.7</v>
      </c>
      <c r="P6275" t="n">
        <v>415</v>
      </c>
      <c r="R6275" t="inlineStr">
        <is>
          <t>InStock</t>
        </is>
      </c>
      <c r="S6275" t="inlineStr">
        <is>
          <t>55.98</t>
        </is>
      </c>
      <c r="T6275" t="inlineStr">
        <is>
          <t>5909578809512</t>
        </is>
      </c>
    </row>
    <row r="6276" ht="87" customHeight="1">
      <c r="A6276" s="2">
        <f>HYPERLINK("https://edmondsonsupply.com/collections/electricians-tools/products/klein-tools-et920-usb-digital-meter-usb-a-and-usb-c", "https://edmondsonsupply.com/collections/electricians-tools/products/klein-tools-et920-usb-digital-meter-usb-a-and-usb-c")</f>
        <v/>
      </c>
      <c r="B6276" s="2">
        <f>HYPERLINK("https://edmondsonsupply.com/products/klein-tools-et920-usb-digital-meter-usb-a-and-usb-c", "https://edmondsonsupply.com/products/klein-tools-et920-usb-digital-meter-usb-a-and-usb-c")</f>
        <v/>
      </c>
      <c r="C6276" t="inlineStr">
        <is>
          <t>Klein Tools ET920 USB Digital Meter, USB-A and USB-C</t>
        </is>
      </c>
      <c r="D6276" t="inlineStr">
        <is>
          <t>USB C Tester,KJ-KayJI 2 in 1 USB C Type-c Tester with Clip Cable and 3A Adjustable Shift Load, Color Screen IPS Digital Multimeter,Voltage,Current,Power,Resistance,Temperature,Capacity Detector</t>
        </is>
      </c>
      <c r="E6276" s="2">
        <f>HYPERLINK("https://www.amazon.com/KJ-KayJI-Adjustable-Multimeter-Resistance-Temperature/dp/B0B6FBTRLL/ref=sr_1_43?keywords=Klein+Tools+ET920+USB+Digital+Meter%2C+USB-A+and+USB-C&amp;qid=1694735169&amp;sr=8-43", "https://www.amazon.com/KJ-KayJI-Adjustable-Multimeter-Resistance-Temperature/dp/B0B6FBTRLL/ref=sr_1_43?keywords=Klein+Tools+ET920+USB+Digital+Meter%2C+USB-A+and+USB-C&amp;qid=1694735169&amp;sr=8-43")</f>
        <v/>
      </c>
      <c r="F6276" t="inlineStr">
        <is>
          <t>B0B6FBTRLL</t>
        </is>
      </c>
      <c r="G6276">
        <f>_xlfn.IMAGE("https://edmondsonsupply.com/cdn/shop/products/et920.jpg?v=1642643803")</f>
        <v/>
      </c>
      <c r="H6276">
        <f>_xlfn.IMAGE("https://m.media-amazon.com/images/I/71Db2PzFcnL._AC_UL320_.jpg")</f>
        <v/>
      </c>
      <c r="K6276" t="inlineStr">
        <is>
          <t>39.97</t>
        </is>
      </c>
      <c r="L6276" t="n">
        <v>38.99</v>
      </c>
      <c r="M6276" s="1" t="inlineStr">
        <is>
          <t>-2.45%</t>
        </is>
      </c>
      <c r="N6276" s="7" t="n"/>
      <c r="O6276" t="n">
        <v>4.6</v>
      </c>
      <c r="P6276" t="n">
        <v>3</v>
      </c>
      <c r="R6276" t="inlineStr">
        <is>
          <t>InStock</t>
        </is>
      </c>
      <c r="S6276" t="inlineStr">
        <is>
          <t>47.98</t>
        </is>
      </c>
      <c r="T6276" t="inlineStr">
        <is>
          <t>7584862372056</t>
        </is>
      </c>
    </row>
    <row r="6277" ht="87" customHeight="1">
      <c r="A6277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6277" s="2">
        <f>HYPERLINK("https://edmondsonsupply.com/products/klein-tools-d2000-9ne-linemans-pliers-9-inch", "https://edmondsonsupply.com/products/klein-tools-d2000-9ne-linemans-pliers-9-inch")</f>
        <v/>
      </c>
      <c r="C6277" t="inlineStr">
        <is>
          <t>Klein Tools D2000-9NE Lineman's Pliers, 9-Inch</t>
        </is>
      </c>
      <c r="D6277" t="inlineStr">
        <is>
          <t>Klein Tools D2000-8 Pliers, 8-Inch Side Cutters, High Leverage Lineman's Pliers Cut ACSR, Screws, Nails, Hard Wire</t>
        </is>
      </c>
      <c r="E6277" s="2">
        <f>HYPERLINK("https://www.amazon.com/Cutters-High-Leverage-Cutting-Klein-D2000-8/dp/B00093D4Q0/ref=sr_1_11?keywords=Klein+Tools+D2000-9NE+Linemans+Pliers%2C+9-Inch&amp;qid=1694735236&amp;sr=8-11", "https://www.amazon.com/Cutters-High-Leverage-Cutting-Klein-D2000-8/dp/B00093D4Q0/ref=sr_1_11?keywords=Klein+Tools+D2000-9NE+Linemans+Pliers%2C+9-Inch&amp;qid=1694735236&amp;sr=8-11")</f>
        <v/>
      </c>
      <c r="F6277" t="inlineStr">
        <is>
          <t>B00093D4Q0</t>
        </is>
      </c>
      <c r="G6277">
        <f>_xlfn.IMAGE("https://edmondsonsupply.com/cdn/shop/products/d20009ne.jpg?v=1633030816")</f>
        <v/>
      </c>
      <c r="H6277">
        <f>_xlfn.IMAGE("https://m.media-amazon.com/images/I/41aQv-4-6+L._AC_UL320_.jpg")</f>
        <v/>
      </c>
      <c r="K6277" t="inlineStr">
        <is>
          <t>39.99</t>
        </is>
      </c>
      <c r="L6277" t="n">
        <v>38.99</v>
      </c>
      <c r="M6277" s="1" t="inlineStr">
        <is>
          <t>-2.50%</t>
        </is>
      </c>
      <c r="N6277" s="7" t="n"/>
      <c r="O6277" t="n">
        <v>4.3</v>
      </c>
      <c r="P6277" t="n">
        <v>84</v>
      </c>
      <c r="R6277" t="inlineStr">
        <is>
          <t>InStock</t>
        </is>
      </c>
      <c r="S6277" t="inlineStr">
        <is>
          <t>62.04</t>
        </is>
      </c>
      <c r="T6277" t="inlineStr">
        <is>
          <t>6070895411373</t>
        </is>
      </c>
    </row>
    <row r="6278" ht="87" customHeight="1">
      <c r="A6278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6278" s="2">
        <f>HYPERLINK("https://edmondsonsupply.com/products/klein-tools-d2000-9ne-linemans-pliers-9-inch", "https://edmondsonsupply.com/products/klein-tools-d2000-9ne-linemans-pliers-9-inch")</f>
        <v/>
      </c>
      <c r="C6278" t="inlineStr">
        <is>
          <t>Klein Tools D2000-9NE Lineman's Pliers, 9-Inch</t>
        </is>
      </c>
      <c r="D6278" t="inlineStr">
        <is>
          <t>Klein Tools D2000-49 Pliers, Diagonal Cutting Pliers with Heavy-Duty Cutting Knives, Short Jaws and Dual Material Grips, 9-Inch</t>
        </is>
      </c>
      <c r="E6278" s="2">
        <f>HYPERLINK("https://www.amazon.com/Klein-Tools-D2000-49-Pliers-Diagonal-Cutters/dp/B01KKCNNWY/ref=sr_1_17?keywords=Klein+Tools+D2000-9NE+Linemans+Pliers%2C+9-Inch&amp;qid=1694735236&amp;sr=8-17", "https://www.amazon.com/Klein-Tools-D2000-49-Pliers-Diagonal-Cutters/dp/B01KKCNNWY/ref=sr_1_17?keywords=Klein+Tools+D2000-9NE+Linemans+Pliers%2C+9-Inch&amp;qid=1694735236&amp;sr=8-17")</f>
        <v/>
      </c>
      <c r="F6278" t="inlineStr">
        <is>
          <t>B01KKCNNWY</t>
        </is>
      </c>
      <c r="G6278">
        <f>_xlfn.IMAGE("https://edmondsonsupply.com/cdn/shop/products/d20009ne.jpg?v=1633030816")</f>
        <v/>
      </c>
      <c r="H6278">
        <f>_xlfn.IMAGE("https://m.media-amazon.com/images/I/41YARuDNT4L._AC_UL320_.jpg")</f>
        <v/>
      </c>
      <c r="K6278" t="inlineStr">
        <is>
          <t>39.99</t>
        </is>
      </c>
      <c r="L6278" t="n">
        <v>38.99</v>
      </c>
      <c r="M6278" s="1" t="inlineStr">
        <is>
          <t>-2.50%</t>
        </is>
      </c>
      <c r="N6278" s="7" t="n"/>
      <c r="O6278" t="n">
        <v>4.7</v>
      </c>
      <c r="P6278" t="n">
        <v>415</v>
      </c>
      <c r="R6278" t="inlineStr">
        <is>
          <t>InStock</t>
        </is>
      </c>
      <c r="S6278" t="inlineStr">
        <is>
          <t>62.04</t>
        </is>
      </c>
      <c r="T6278" t="inlineStr">
        <is>
          <t>6070895411373</t>
        </is>
      </c>
    </row>
    <row r="6279" ht="87" customHeight="1">
      <c r="A6279" s="2">
        <f>HYPERLINK("https://edmondsonsupply.com/collections/electricians-tools/products/klein-tools-56351-fiberglass-fish-tape-with-spiral-steel-leader-100-foot", "https://edmondsonsupply.com/collections/electricians-tools/products/klein-tools-56351-fiberglass-fish-tape-with-spiral-steel-leader-100-foot")</f>
        <v/>
      </c>
      <c r="B6279" s="2">
        <f>HYPERLINK("https://edmondsonsupply.com/products/klein-tools-56351-fiberglass-fish-tape-with-spiral-steel-leader-100-foot", "https://edmondsonsupply.com/products/klein-tools-56351-fiberglass-fish-tape-with-spiral-steel-leader-100-foot")</f>
        <v/>
      </c>
      <c r="C6279" t="inlineStr">
        <is>
          <t>Klein Tools 56351 Fiberglass Fish Tape with Spiral Steel Leader, 100-Foot</t>
        </is>
      </c>
      <c r="D6279" t="inlineStr">
        <is>
          <t>Klein Tools 56351 Non-Conductive Electrical Fish Tape, Fiberglass Wire Puller w/Steel Leader, Optimized Housing, 100-Foot x 3/16-Inch</t>
        </is>
      </c>
      <c r="E6279" s="2">
        <f>HYPERLINK("https://www.amazon.com/Klein-Tools-56351-Fiberglass-0-182-Inch/dp/B081ZTDFL1/ref=sr_1_1?keywords=Klein+Tools+56351+Fiberglass+Fish+Tape+with+Spiral+Steel+Leader%2C+100-Foot&amp;qid=1694735385&amp;sr=8-1", "https://www.amazon.com/Klein-Tools-56351-Fiberglass-0-182-Inch/dp/B081ZTDFL1/ref=sr_1_1?keywords=Klein+Tools+56351+Fiberglass+Fish+Tape+with+Spiral+Steel+Leader%2C+100-Foot&amp;qid=1694735385&amp;sr=8-1")</f>
        <v/>
      </c>
      <c r="F6279" t="inlineStr">
        <is>
          <t>B081ZTDFL1</t>
        </is>
      </c>
      <c r="G6279">
        <f>_xlfn.IMAGE("https://edmondsonsupply.com/cdn/shop/products/56351.jpg?v=1587149768")</f>
        <v/>
      </c>
      <c r="H6279">
        <f>_xlfn.IMAGE("https://m.media-amazon.com/images/I/61vwlpzaQiS._AC_UL320_.jpg")</f>
        <v/>
      </c>
      <c r="K6279" t="inlineStr">
        <is>
          <t>194.99</t>
        </is>
      </c>
      <c r="L6279" t="n">
        <v>189.99</v>
      </c>
      <c r="M6279" s="1" t="inlineStr">
        <is>
          <t>-2.56%</t>
        </is>
      </c>
      <c r="N6279" s="7" t="n"/>
      <c r="O6279" t="n">
        <v>4.7</v>
      </c>
      <c r="P6279" t="n">
        <v>86</v>
      </c>
      <c r="R6279" t="inlineStr">
        <is>
          <t>InStock</t>
        </is>
      </c>
      <c r="S6279" t="inlineStr">
        <is>
          <t>277.42</t>
        </is>
      </c>
      <c r="T6279" t="inlineStr">
        <is>
          <t>4412223520868</t>
        </is>
      </c>
    </row>
    <row r="6280" ht="87" customHeight="1">
      <c r="A6280" s="2">
        <f>HYPERLINK("https://edmondsonsupply.com/collections/electricians-tools/products/diablo-tools-dmaplcc1030-1-3-8-in-sds-plus-thin-wall-carbide-tipped-core-bit", "https://edmondsonsupply.com/collections/electricians-tools/products/diablo-tools-dmaplcc1030-1-3-8-in-sds-plus-thin-wall-carbide-tipped-core-bit")</f>
        <v/>
      </c>
      <c r="B6280" s="2">
        <f>HYPERLINK("https://edmondsonsupply.com/products/diablo-tools-dmaplcc1030-1-3-8-in-sds-plus-thin-wall-carbide-tipped-core-bit", "https://edmondsonsupply.com/products/diablo-tools-dmaplcc1030-1-3-8-in-sds-plus-thin-wall-carbide-tipped-core-bit")</f>
        <v/>
      </c>
      <c r="C6280" t="inlineStr">
        <is>
          <t>Diablo Tools DMAPLCC1030 1‑3/8 in. SDS‑Plus Thin Wall Carbide Tipped Core Bit</t>
        </is>
      </c>
      <c r="D6280" t="inlineStr">
        <is>
          <t>Diablo DMAPLCC1030 1-3/8 in. SDS-Plus Thin Wall Carbide Tipped Core Bit</t>
        </is>
      </c>
      <c r="E6280" s="2">
        <f>HYPERLINK("https://www.amazon.com/Diablo-SDS-Plus-Thin-Carbide-Tipped/dp/B089KW6732/ref=sr_1_1?keywords=Diablo+Tools+DMAPLCC1030+1%E2%80%913%2F8+in.+SDS%E2%80%91Plus+Thin+Wall+Carbide+Tipped+Core+Bit&amp;qid=1694735279&amp;sr=8-1", "https://www.amazon.com/Diablo-SDS-Plus-Thin-Carbide-Tipped/dp/B089KW6732/ref=sr_1_1?keywords=Diablo+Tools+DMAPLCC1030+1%E2%80%913%2F8+in.+SDS%E2%80%91Plus+Thin+Wall+Carbide+Tipped+Core+Bit&amp;qid=1694735279&amp;sr=8-1")</f>
        <v/>
      </c>
      <c r="F6280" t="inlineStr">
        <is>
          <t>B089KW6732</t>
        </is>
      </c>
      <c r="G6280">
        <f>_xlfn.IMAGE("https://edmondsonsupply.com/cdn/shop/products/DMAPLCC1030_Main-Image20200331.png?v=1633030476")</f>
        <v/>
      </c>
      <c r="H6280">
        <f>_xlfn.IMAGE("https://m.media-amazon.com/images/I/81YzpIQPWNL._AC_UL320_.jpg")</f>
        <v/>
      </c>
      <c r="K6280" t="inlineStr">
        <is>
          <t>42.47</t>
        </is>
      </c>
      <c r="L6280" t="n">
        <v>41.37</v>
      </c>
      <c r="M6280" s="1" t="inlineStr">
        <is>
          <t>-2.59%</t>
        </is>
      </c>
      <c r="N6280" s="7" t="n"/>
      <c r="O6280" t="n">
        <v>5</v>
      </c>
      <c r="P6280" t="n">
        <v>3</v>
      </c>
      <c r="R6280" t="inlineStr">
        <is>
          <t>InStock</t>
        </is>
      </c>
      <c r="S6280" t="inlineStr">
        <is>
          <t>67.39</t>
        </is>
      </c>
      <c r="T6280" t="inlineStr">
        <is>
          <t>5369136414888</t>
        </is>
      </c>
    </row>
    <row r="6281" hidden="1" ht="15.75" customHeight="1">
      <c r="A6281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6281" s="2">
        <f>HYPERLINK("https://edmondsonsupply.com/products/klein-tools-66076-flip-impact-socket-9-16-and-1-2-inch", "https://edmondsonsupply.com/products/klein-tools-66076-flip-impact-socket-9-16-and-1-2-inch")</f>
        <v/>
      </c>
      <c r="C6281" t="inlineStr">
        <is>
          <t>Klein Tools 66076 Flip Impact Socket, 9/16 and 1/2-Inch</t>
        </is>
      </c>
      <c r="D6281" t="inlineStr">
        <is>
          <t>Klein Tools 66077 Impact Driver Flip Socket, 7/16- and 3/8-Inch Sizes, Use with Klein Tools Compact Impact Wrenches BAT20CW, BAT20CW1</t>
        </is>
      </c>
      <c r="E6281" s="2">
        <f>HYPERLINK("https://www.amazon.com/Klein-Tools-66077-Wrenches-BAT20CW1/dp/B0B34JMDCL/ref=sr_1_3?keywords=Klein+Tools+66076+Flip+Impact+Socket%2C+9%2F16+and+1%2F2-Inch&amp;qid=1694735129&amp;sr=8-3", "https://www.amazon.com/Klein-Tools-66077-Wrenches-BAT20CW1/dp/B0B34JMDCL/ref=sr_1_3?keywords=Klein+Tools+66076+Flip+Impact+Socket%2C+9%2F16+and+1%2F2-Inch&amp;qid=1694735129&amp;sr=8-3")</f>
        <v/>
      </c>
      <c r="F6281" t="inlineStr">
        <is>
          <t>B0B34JMDCL</t>
        </is>
      </c>
      <c r="G6281">
        <f>_xludf.IMAGE("https://edmondsonsupply.com/cdn/shop/products/66076.jpg?v=1663083814")</f>
        <v/>
      </c>
      <c r="H6281">
        <f>_xludf.IMAGE("https://m.media-amazon.com/images/I/41vtzEP3nEL._AC_UL320_.jpg")</f>
        <v/>
      </c>
      <c r="K6281" t="inlineStr">
        <is>
          <t>10.71</t>
        </is>
      </c>
      <c r="L6281" t="n">
        <v>10.43</v>
      </c>
      <c r="M6281" s="1" t="inlineStr">
        <is>
          <t>-2.61%</t>
        </is>
      </c>
      <c r="N6281" s="1" t="n"/>
      <c r="O6281" t="n">
        <v>4.8</v>
      </c>
      <c r="P6281" t="n">
        <v>5</v>
      </c>
      <c r="R6281" t="inlineStr">
        <is>
          <t>InStock</t>
        </is>
      </c>
      <c r="S6281" t="inlineStr">
        <is>
          <t>15.0</t>
        </is>
      </c>
      <c r="T6281" t="inlineStr">
        <is>
          <t>7814133874904</t>
        </is>
      </c>
    </row>
    <row r="6282" ht="87" customHeight="1">
      <c r="A6282" s="2">
        <f>HYPERLINK("https://edmondsonsupply.com/collections/electricians-tools/products/klein-tools-31860-carbide-hole-cutter-1-3-8-inch", "https://edmondsonsupply.com/collections/electricians-tools/products/klein-tools-31860-carbide-hole-cutter-1-3-8-inch")</f>
        <v/>
      </c>
      <c r="B6282" s="2">
        <f>HYPERLINK("https://edmondsonsupply.com/products/klein-tools-31860-carbide-hole-cutter-1-3-8-inch", "https://edmondsonsupply.com/products/klein-tools-31860-carbide-hole-cutter-1-3-8-inch")</f>
        <v/>
      </c>
      <c r="C6282" t="inlineStr">
        <is>
          <t>Klein Tools 31860 Carbide Hole Cutter, 1-3/8-Inch</t>
        </is>
      </c>
      <c r="D6282" t="inlineStr">
        <is>
          <t>Klein Tools 31860 Heavy Duty Hole Cutter, 1-3/8-Inch Carbide Hole Cutter Cuts Stainless Steel, Mild Steel, Iron, and Copper</t>
        </is>
      </c>
      <c r="E6282" s="2">
        <f>HYPERLINK("https://www.amazon.com/Carbide-Cutter-Klein-Tools-31860/dp/B0061J5B2Q/ref=sr_1_1?keywords=Klein+Tools+31860+Carbide+Hole+Cutter%2C+1-3%2F8-Inch&amp;qid=1694735240&amp;sr=8-1", "https://www.amazon.com/Carbide-Cutter-Klein-Tools-31860/dp/B0061J5B2Q/ref=sr_1_1?keywords=Klein+Tools+31860+Carbide+Hole+Cutter%2C+1-3%2F8-Inch&amp;qid=1694735240&amp;sr=8-1")</f>
        <v/>
      </c>
      <c r="F6282" t="inlineStr">
        <is>
          <t>B0061J5B2Q</t>
        </is>
      </c>
      <c r="G6282">
        <f>_xlfn.IMAGE("https://edmondsonsupply.com/cdn/shop/products/31860.jpg?v=1633030790")</f>
        <v/>
      </c>
      <c r="H6282">
        <f>_xlfn.IMAGE("https://m.media-amazon.com/images/I/71zW61z+LYL._AC_UL320_.jpg")</f>
        <v/>
      </c>
      <c r="K6282" t="inlineStr">
        <is>
          <t>37.99</t>
        </is>
      </c>
      <c r="L6282" t="n">
        <v>36.99</v>
      </c>
      <c r="M6282" s="1" t="inlineStr">
        <is>
          <t>-2.63%</t>
        </is>
      </c>
      <c r="N6282" s="7" t="n"/>
      <c r="O6282" t="n">
        <v>4.5</v>
      </c>
      <c r="P6282" t="n">
        <v>472</v>
      </c>
      <c r="R6282" t="inlineStr">
        <is>
          <t>InStock</t>
        </is>
      </c>
      <c r="S6282" t="inlineStr">
        <is>
          <t>57.54</t>
        </is>
      </c>
      <c r="T6282" t="inlineStr">
        <is>
          <t>5987970613416</t>
        </is>
      </c>
    </row>
    <row r="6283" ht="87" customHeight="1">
      <c r="A6283" s="2">
        <f>HYPERLINK("https://edmondsonsupply.com/collections/electricians-tools/products/klein-tools-56059-multi-groove-fiberglass-fish-tape-200-foot", "https://edmondsonsupply.com/collections/electricians-tools/products/klein-tools-56059-multi-groove-fiberglass-fish-tape-200-foot")</f>
        <v/>
      </c>
      <c r="B6283" s="2">
        <f>HYPERLINK("https://edmondsonsupply.com/products/klein-tools-56059-multi-groove-fiberglass-fish-tape-200-foot", "https://edmondsonsupply.com/products/klein-tools-56059-multi-groove-fiberglass-fish-tape-200-foot")</f>
        <v/>
      </c>
      <c r="C6283" t="inlineStr">
        <is>
          <t>Klein Tools 56059 Multi-Groove Fiberglass Fish Tape 200-Foot</t>
        </is>
      </c>
      <c r="D6283" t="inlineStr">
        <is>
          <t>Klein Tools 56059 Non-Conductive Fiberglass Fish Tape, 200-Foot Wall Snake is 3/16-Inch Wide Multi-Groove Fish Tape and Pulls to 500-Pound</t>
        </is>
      </c>
      <c r="E6283" s="2">
        <f>HYPERLINK("https://www.amazon.com/Klein-Tools-Non-Conductive-Fiberglass-500-Pound/dp/B00N84FXP2/ref=sr_1_1?keywords=Klein+Tools+56059+Multi-Groove+Fiberglass+Fish+Tape+200-Foot&amp;qid=1694735159&amp;sr=8-1", "https://www.amazon.com/Klein-Tools-Non-Conductive-Fiberglass-500-Pound/dp/B00N84FXP2/ref=sr_1_1?keywords=Klein+Tools+56059+Multi-Groove+Fiberglass+Fish+Tape+200-Foot&amp;qid=1694735159&amp;sr=8-1")</f>
        <v/>
      </c>
      <c r="F6283" t="inlineStr">
        <is>
          <t>B00N84FXP2</t>
        </is>
      </c>
      <c r="G6283">
        <f>_xlfn.IMAGE("https://edmondsonsupply.com/cdn/shop/products/56059.jpg?v=1648938340")</f>
        <v/>
      </c>
      <c r="H6283">
        <f>_xlfn.IMAGE("https://m.media-amazon.com/images/I/51Uut6yasyS._AC_UL320_.jpg")</f>
        <v/>
      </c>
      <c r="K6283" t="inlineStr">
        <is>
          <t>184.99</t>
        </is>
      </c>
      <c r="L6283" t="n">
        <v>179.99</v>
      </c>
      <c r="M6283" s="1" t="inlineStr">
        <is>
          <t>-2.70%</t>
        </is>
      </c>
      <c r="N6283" s="7" t="n"/>
      <c r="O6283" t="n">
        <v>4.6</v>
      </c>
      <c r="P6283" t="n">
        <v>159</v>
      </c>
      <c r="R6283" t="inlineStr">
        <is>
          <t>InStock</t>
        </is>
      </c>
      <c r="S6283" t="inlineStr">
        <is>
          <t>272.72</t>
        </is>
      </c>
      <c r="T6283" t="inlineStr">
        <is>
          <t>7652141531352</t>
        </is>
      </c>
    </row>
    <row r="6284" ht="87" customHeight="1">
      <c r="A6284" s="2">
        <f>HYPERLINK("https://edmondsonsupply.com/collections/electricians-tools/products/klein-tools-65131-2-in-1-nut-driver-hex-head-slide-drive%E2%84%A2-1-1-2-inch", "https://edmondsonsupply.com/collections/electricians-tools/products/klein-tools-65131-2-in-1-nut-driver-hex-head-slide-drive%E2%84%A2-1-1-2-inch")</f>
        <v/>
      </c>
      <c r="B6284" s="2">
        <f>HYPERLINK("https://edmondsonsupply.com/products/klein-tools-65131-2-in-1-nut-driver-hex-head-slide-drive%e2%84%a2-1-1-2-inch", "https://edmondsonsupply.com/products/klein-tools-65131-2-in-1-nut-driver-hex-head-slide-drive%e2%84%a2-1-1-2-inch")</f>
        <v/>
      </c>
      <c r="C6284" t="inlineStr">
        <is>
          <t>Klein Tools 65131 2-in-1 Nut Driver, Hex Head Slide Drive™, 1-1/2-Inch</t>
        </is>
      </c>
      <c r="D6284" t="inlineStr">
        <is>
          <t>Klein Tools 65131 2-in-1 Nut Driver, Hex Head Slide Drive, 1-1/2-Inch</t>
        </is>
      </c>
      <c r="E6284" s="2">
        <f>HYPERLINK("https://www.amazon.com/Driver-2-Inch-Klein-Tools-65131/dp/B071LCCGT1/ref=sr_1_1?keywords=Klein+Tools+65131+2-in-1+Nut+Driver%2C+Hex+Head+Slide+Drive%E2%84%A2%2C+1-1%2F2-Inch&amp;qid=1694735135&amp;sr=8-1", "https://www.amazon.com/Driver-2-Inch-Klein-Tools-65131/dp/B071LCCGT1/ref=sr_1_1?keywords=Klein+Tools+65131+2-in-1+Nut+Driver%2C+Hex+Head+Slide+Drive%E2%84%A2%2C+1-1%2F2-Inch&amp;qid=1694735135&amp;sr=8-1")</f>
        <v/>
      </c>
      <c r="F6284" t="inlineStr">
        <is>
          <t>B071LCCGT1</t>
        </is>
      </c>
      <c r="G6284">
        <f>_xlfn.IMAGE("https://edmondsonsupply.com/cdn/shop/products/65131.jpg?v=1660742745")</f>
        <v/>
      </c>
      <c r="H6284">
        <f>_xlfn.IMAGE("https://m.media-amazon.com/images/I/51SI9ktOe4L._AC_UL320_.jpg")</f>
        <v/>
      </c>
      <c r="K6284" t="inlineStr">
        <is>
          <t>18.49</t>
        </is>
      </c>
      <c r="L6284" t="n">
        <v>17.99</v>
      </c>
      <c r="M6284" s="1" t="inlineStr">
        <is>
          <t>-2.70%</t>
        </is>
      </c>
      <c r="N6284" s="7" t="n"/>
      <c r="O6284" t="n">
        <v>4.8</v>
      </c>
      <c r="P6284" t="n">
        <v>908</v>
      </c>
      <c r="R6284" t="inlineStr">
        <is>
          <t>InStock</t>
        </is>
      </c>
      <c r="S6284" t="inlineStr">
        <is>
          <t>23.68</t>
        </is>
      </c>
      <c r="T6284" t="inlineStr">
        <is>
          <t>7783466500312</t>
        </is>
      </c>
    </row>
    <row r="6285" ht="87" customHeight="1">
      <c r="A6285" s="2">
        <f>HYPERLINK("https://edmondsonsupply.com/collections/electricians-tools/products/crescent-lufkin-l1125b-02-1-3-16-x-25-shockforce-nite-eye%E2%84%A2-g1-dual-sided-tape-measure", "https://edmondsonsupply.com/collections/electricians-tools/products/crescent-lufkin-l1125b-02-1-3-16-x-25-shockforce-nite-eye%E2%84%A2-g1-dual-sided-tape-measure")</f>
        <v/>
      </c>
      <c r="B6285" s="2">
        <f>HYPERLINK("https://edmondsonsupply.com/products/crescent-lufkin-l1125b-02-1-3-16-x-25-shockforce-nite-eye%e2%84%a2-g1-dual-sided-tape-measure", "https://edmondsonsupply.com/products/crescent-lufkin-l1125b-02-1-3-16-x-25-shockforce-nite-eye%e2%84%a2-g1-dual-sided-tape-measure")</f>
        <v/>
      </c>
      <c r="C6285" t="inlineStr">
        <is>
          <t>Crescent Lufkin L1125B-02 1-3/16" x 25' Shockforce Nite Eye™ G1 Dual Sided Tape Measure</t>
        </is>
      </c>
      <c r="D6285" t="inlineStr">
        <is>
          <t>Lufkin 1-3/16" x 35' Shockforce Nite Eye G1 Dual Sided Tape Measure - L1135B</t>
        </is>
      </c>
      <c r="E6285" s="2">
        <f>HYPERLINK("https://www.amazon.com/CRESCENT-LUFKIN-Crescent-Lufkin-Shock/dp/B09N3VL34P/ref=sr_1_3?keywords=Crescent+Lufkin+L1125B-02+1-3%2F16%22+x+25%27+Shockforce+Nite+Eye%E2%84%A2+G1+Dual+Sided+Tape+Measure&amp;qid=1694735020&amp;sr=8-3", "https://www.amazon.com/CRESCENT-LUFKIN-Crescent-Lufkin-Shock/dp/B09N3VL34P/ref=sr_1_3?keywords=Crescent+Lufkin+L1125B-02+1-3%2F16%22+x+25%27+Shockforce+Nite+Eye%E2%84%A2+G1+Dual+Sided+Tape+Measure&amp;qid=1694735020&amp;sr=8-3")</f>
        <v/>
      </c>
      <c r="F6285" t="inlineStr">
        <is>
          <t>B09N3VL34P</t>
        </is>
      </c>
      <c r="G6285">
        <f>_xlfn.IMAGE("https://edmondsonsupply.com/cdn/shop/products/LFK_L1125B_MAIN.jpg?v=1679579190")</f>
        <v/>
      </c>
      <c r="H6285">
        <f>_xlfn.IMAGE("https://m.media-amazon.com/images/I/911pAo7DD4L._AC_UL320_.jpg")</f>
        <v/>
      </c>
      <c r="K6285" t="inlineStr">
        <is>
          <t>32.75</t>
        </is>
      </c>
      <c r="L6285" t="n">
        <v>31.85</v>
      </c>
      <c r="M6285" s="1" t="inlineStr">
        <is>
          <t>-2.75%</t>
        </is>
      </c>
      <c r="N6285" s="7" t="n"/>
      <c r="O6285" t="n">
        <v>4.4</v>
      </c>
      <c r="P6285" t="n">
        <v>55</v>
      </c>
      <c r="R6285" t="inlineStr">
        <is>
          <t>InStock</t>
        </is>
      </c>
      <c r="S6285" t="inlineStr">
        <is>
          <t>59.92</t>
        </is>
      </c>
      <c r="T6285" t="inlineStr">
        <is>
          <t>7965935501528</t>
        </is>
      </c>
    </row>
    <row r="6286" ht="87" customHeight="1">
      <c r="A6286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6286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6286" t="inlineStr">
        <is>
          <t>Diablo Tools DMARG1160 1/2 in. x 10 in. x 12 in. SPEEDemon™ Red Granite Carbide Tipped Hammer Drill Bit</t>
        </is>
      </c>
      <c r="D6286" t="inlineStr">
        <is>
          <t>Diablo 5/8" x 10"x12" SPEEDemon™ Red Granite Carbide Tipped Hammer Drill Bit</t>
        </is>
      </c>
      <c r="E6286" s="2">
        <f>HYPERLINK("https://www.amazon.com/Diablo-SPEEDemon-Granite-Carbide-Tipped/dp/B089LG6VXL/ref=sr_1_1?keywords=Diablo+Tools+DMARG1160+1%2F2+in.+x+10+in.+x+12+in.+SPEEDemon%E2%84%A2+Red+Granite+Carbide+Tipped+Hammer+Drill+Bit&amp;qid=1694735262&amp;sr=8-1", "https://www.amazon.com/Diablo-SPEEDemon-Granite-Carbide-Tipped/dp/B089LG6VXL/ref=sr_1_1?keywords=Diablo+Tools+DMARG1160+1%2F2+in.+x+10+in.+x+12+in.+SPEEDemon%E2%84%A2+Red+Granite+Carbide+Tipped+Hammer+Drill+Bit&amp;qid=1694735262&amp;sr=8-1")</f>
        <v/>
      </c>
      <c r="F6286" t="inlineStr">
        <is>
          <t>B089LG6VXL</t>
        </is>
      </c>
      <c r="G6286">
        <f>_xlfn.IMAGE("https://edmondsonsupply.com/cdn/shop/products/DMARG1160_Main-Image20200513.png?v=1633030651")</f>
        <v/>
      </c>
      <c r="H6286">
        <f>_xlfn.IMAGE("https://m.media-amazon.com/images/I/61oQS6tt6EL._AC_UL320_.jpg")</f>
        <v/>
      </c>
      <c r="K6286" t="inlineStr">
        <is>
          <t>15.97</t>
        </is>
      </c>
      <c r="L6286" t="n">
        <v>15.53</v>
      </c>
      <c r="M6286" s="1" t="inlineStr">
        <is>
          <t>-2.76%</t>
        </is>
      </c>
      <c r="N6286" s="7" t="n"/>
      <c r="O6286" t="n">
        <v>4.7</v>
      </c>
      <c r="P6286" t="n">
        <v>5</v>
      </c>
      <c r="R6286" t="inlineStr">
        <is>
          <t>InStock</t>
        </is>
      </c>
      <c r="S6286" t="inlineStr">
        <is>
          <t>undefined</t>
        </is>
      </c>
      <c r="T6286" t="inlineStr">
        <is>
          <t>5740401164456</t>
        </is>
      </c>
    </row>
    <row r="6287" ht="87" customHeight="1">
      <c r="A6287" s="2">
        <f>HYPERLINK("https://edmondsonsupply.com/collections/electricians-tools/products/copy-of-diablo-tools-d0748cfx", "https://edmondsonsupply.com/collections/electricians-tools/products/copy-of-diablo-tools-d0748cfx")</f>
        <v/>
      </c>
      <c r="B6287" s="2">
        <f>HYPERLINK("https://edmondsonsupply.com/products/copy-of-diablo-tools-d0748cfx", "https://edmondsonsupply.com/products/copy-of-diablo-tools-d0748cfx")</f>
        <v/>
      </c>
      <c r="C6287" t="inlineStr">
        <is>
          <t>Diablo Tools D0648F 6-1/2 in. x 48 Tooth Steel Demon Metal Cutting Saw Blade</t>
        </is>
      </c>
      <c r="D6287" t="inlineStr">
        <is>
          <t>Freud Diablo D0648F 6-1/2" x 48-Tooth Steel Demon TCG Ferrous Cutting Circular Saw Blade 5/8" Arbor</t>
        </is>
      </c>
      <c r="E6287" s="2">
        <f>HYPERLINK("https://www.amazon.com/Diablo-D0648F-48-Tooth-Ferrous-Circular/dp/B000NJECWK/ref=sr_1_1?keywords=Diablo+Tools+D0648F+6-1%2F2+in.+x+48+Tooth+Steel+Demon+Metal+Cutting+Saw+Blade&amp;qid=1694735326&amp;sr=8-1", "https://www.amazon.com/Diablo-D0648F-48-Tooth-Ferrous-Circular/dp/B000NJECWK/ref=sr_1_1?keywords=Diablo+Tools+D0648F+6-1%2F2+in.+x+48+Tooth+Steel+Demon+Metal+Cutting+Saw+Blade&amp;qid=1694735326&amp;sr=8-1")</f>
        <v/>
      </c>
      <c r="F6287" t="inlineStr">
        <is>
          <t>B000NJECWK</t>
        </is>
      </c>
      <c r="G6287">
        <f>_xlfn.IMAGE("https://edmondsonsupply.com/cdn/shop/products/D0648F_Main-Image20191203.png?v=1609790629")</f>
        <v/>
      </c>
      <c r="H6287">
        <f>_xlfn.IMAGE("https://m.media-amazon.com/images/I/719NXCrjnCL._AC_UL320_.jpg")</f>
        <v/>
      </c>
      <c r="K6287" t="inlineStr">
        <is>
          <t>34.97</t>
        </is>
      </c>
      <c r="L6287" t="n">
        <v>34</v>
      </c>
      <c r="M6287" s="1" t="inlineStr">
        <is>
          <t>-2.77%</t>
        </is>
      </c>
      <c r="N6287" s="7" t="n"/>
      <c r="O6287" t="n">
        <v>4.6</v>
      </c>
      <c r="P6287" t="n">
        <v>506</v>
      </c>
      <c r="R6287" t="inlineStr">
        <is>
          <t>InStock</t>
        </is>
      </c>
      <c r="S6287" t="inlineStr">
        <is>
          <t>45.74</t>
        </is>
      </c>
      <c r="T6287" t="inlineStr">
        <is>
          <t>4642514403428</t>
        </is>
      </c>
    </row>
    <row r="6288" ht="87" customHeight="1">
      <c r="A6288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6288" s="2">
        <f>HYPERLINK("https://edmondsonsupply.com/products/klein-tools-31856-1-1-8-inch-carbide-hole-cutter", "https://edmondsonsupply.com/products/klein-tools-31856-1-1-8-inch-carbide-hole-cutter")</f>
        <v/>
      </c>
      <c r="C6288" t="inlineStr">
        <is>
          <t>Klein Tools 31856 1-1/8-Inch Carbide Hole Cutter</t>
        </is>
      </c>
      <c r="D6288" t="inlineStr">
        <is>
          <t>Klein Tools 31856 Heavy Duty Hole Cutter, 1-1/8-Inch Carbide Hole Cutter Cuts Stainless Steel, Mild Steel, Iron, and Copper</t>
        </is>
      </c>
      <c r="E6288" s="2">
        <f>HYPERLINK("https://www.amazon.com/8-Inch-Carbide-Klein-Tools-31856/dp/B00776T2XQ/ref=sr_1_1?keywords=Klein+Tools+31856+1-1%2F8-Inch+Carbide+Hole+Cutter&amp;qid=1694734994&amp;sr=8-1", "https://www.amazon.com/8-Inch-Carbide-Klein-Tools-31856/dp/B00776T2XQ/ref=sr_1_1?keywords=Klein+Tools+31856+1-1%2F8-Inch+Carbide+Hole+Cutter&amp;qid=1694734994&amp;sr=8-1")</f>
        <v/>
      </c>
      <c r="F6288" t="inlineStr">
        <is>
          <t>B00776T2XQ</t>
        </is>
      </c>
      <c r="G6288">
        <f>_xlfn.IMAGE("https://edmondsonsupply.com/cdn/shop/files/31856.jpg?v=1685712345")</f>
        <v/>
      </c>
      <c r="H6288">
        <f>_xlfn.IMAGE("https://m.media-amazon.com/images/I/41TKex1GIjL._AC_UL320_.jpg")</f>
        <v/>
      </c>
      <c r="K6288" t="inlineStr">
        <is>
          <t>35.99</t>
        </is>
      </c>
      <c r="L6288" t="n">
        <v>34.99</v>
      </c>
      <c r="M6288" s="1" t="inlineStr">
        <is>
          <t>-2.78%</t>
        </is>
      </c>
      <c r="N6288" s="7" t="n"/>
      <c r="O6288" t="n">
        <v>4.5</v>
      </c>
      <c r="P6288" t="n">
        <v>472</v>
      </c>
      <c r="R6288" t="inlineStr">
        <is>
          <t>InStock</t>
        </is>
      </c>
      <c r="S6288" t="inlineStr">
        <is>
          <t>50.38</t>
        </is>
      </c>
      <c r="T6288" t="inlineStr">
        <is>
          <t>7999529910488</t>
        </is>
      </c>
    </row>
    <row r="6289" ht="87" customHeight="1">
      <c r="A6289" s="2">
        <f>HYPERLINK("https://edmondsonsupply.com/collections/electricians-tools/products/diablo-tools-dmamx1010", "https://edmondsonsupply.com/collections/electricians-tools/products/diablo-tools-dmamx1010")</f>
        <v/>
      </c>
      <c r="B6289" s="2">
        <f>HYPERLINK("https://edmondsonsupply.com/products/diablo-tools-dmamx1010", "https://edmondsonsupply.com/products/diablo-tools-dmamx1010")</f>
        <v/>
      </c>
      <c r="C6289" t="inlineStr">
        <is>
          <t>Diablo Tools DMAMX1010 3/8 in. x 8 in. x 13 in. Rebar Demon SDS‑Max 4‑Cutter Full Carbide Head Hammer Bit</t>
        </is>
      </c>
      <c r="D6289" t="inlineStr">
        <is>
          <t>Diablo by Freud DMAPL4300 1 in. x 8 in. x 10 in. Rebar Demon™ SDS-Plus 4-Cutter Full Carbide Head Hammer Bit</t>
        </is>
      </c>
      <c r="E6289" s="2">
        <f>HYPERLINK("https://www.amazon.com/Diablo-Freud-DMAPL4300-SDS-Plus-4-Cutter/dp/B089LL8JD8/ref=sr_1_10?keywords=Diablo+Tools+DMAMX1010+3%2F8+in.+x+8+in.+x+13+in.+Rebar+Demon+SDS%E2%80%91Max+4%E2%80%91Cutter+Full+Carbide+Head+Hammer+Bit&amp;qid=1694735277&amp;sr=8-10", "https://www.amazon.com/Diablo-Freud-DMAPL4300-SDS-Plus-4-Cutter/dp/B089LL8JD8/ref=sr_1_10?keywords=Diablo+Tools+DMAMX1010+3%2F8+in.+x+8+in.+x+13+in.+Rebar+Demon+SDS%E2%80%91Max+4%E2%80%91Cutter+Full+Carbide+Head+Hammer+Bit&amp;qid=1694735277&amp;sr=8-10")</f>
        <v/>
      </c>
      <c r="F6289" t="inlineStr">
        <is>
          <t>B089LL8JD8</t>
        </is>
      </c>
      <c r="G6289">
        <f>_xlfn.IMAGE("https://edmondsonsupply.com/cdn/shop/products/DMAMX1010_Main-Image20200701.png?v=1609797900")</f>
        <v/>
      </c>
      <c r="H6289">
        <f>_xlfn.IMAGE("https://m.media-amazon.com/images/I/616UiJGsK1L._AC_UL320_.jpg")</f>
        <v/>
      </c>
      <c r="K6289" t="inlineStr">
        <is>
          <t>34.97</t>
        </is>
      </c>
      <c r="L6289" t="n">
        <v>33.99</v>
      </c>
      <c r="M6289" s="1" t="inlineStr">
        <is>
          <t>-2.80%</t>
        </is>
      </c>
      <c r="N6289" s="7" t="n"/>
      <c r="O6289" t="n">
        <v>4.5</v>
      </c>
      <c r="P6289" t="n">
        <v>16</v>
      </c>
      <c r="R6289" t="inlineStr">
        <is>
          <t>InStock</t>
        </is>
      </c>
      <c r="S6289" t="inlineStr">
        <is>
          <t>43.11</t>
        </is>
      </c>
      <c r="T6289" t="inlineStr">
        <is>
          <t>5463785701544</t>
        </is>
      </c>
    </row>
    <row r="6290" ht="87" customHeight="1">
      <c r="A6290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6290" s="2">
        <f>HYPERLINK("https://edmondsonsupply.com/products/klein-tools-d2000-48-diagonal-cutting-pliers-angled-head-8-inch", "https://edmondsonsupply.com/products/klein-tools-d2000-48-diagonal-cutting-pliers-angled-head-8-inch")</f>
        <v/>
      </c>
      <c r="C6290" t="inlineStr">
        <is>
          <t>Klein Tools D2000-48 Diagonal Cutting Pliers, Angled Head, 8-Inch</t>
        </is>
      </c>
      <c r="D6290" t="inlineStr">
        <is>
          <t>Klein Tools D248-8-GLW Pliers, Hi-Viz Diagonal Cutting Pliers with Angled Head, Short Jaws, and Glow in the Dark Handles, 8-Inch</t>
        </is>
      </c>
      <c r="E6290" s="2">
        <f>HYPERLINK("https://www.amazon.com/Diagonal-Cutting-Klein-Tools-D248-8-GLW/dp/B00LMM39TY/ref=sr_1_9?keywords=Klein+Tools+D2000-48+Diagonal+Cutting+Pliers%2C+Angled+Head%2C+8-Inch&amp;qid=1694735135&amp;sr=8-9", "https://www.amazon.com/Diagonal-Cutting-Klein-Tools-D248-8-GLW/dp/B00LMM39TY/ref=sr_1_9?keywords=Klein+Tools+D2000-48+Diagonal+Cutting+Pliers%2C+Angled+Head%2C+8-Inch&amp;qid=1694735135&amp;sr=8-9")</f>
        <v/>
      </c>
      <c r="F6290" t="inlineStr">
        <is>
          <t>B00LMM39TY</t>
        </is>
      </c>
      <c r="G6290">
        <f>_xlfn.IMAGE("https://edmondsonsupply.com/cdn/shop/products/d200048.jpg?v=1660920588")</f>
        <v/>
      </c>
      <c r="H6290">
        <f>_xlfn.IMAGE("https://m.media-amazon.com/images/I/41HSLnsbFiL._AC_UL320_.jpg")</f>
        <v/>
      </c>
      <c r="K6290" t="inlineStr">
        <is>
          <t>34.97</t>
        </is>
      </c>
      <c r="L6290" t="n">
        <v>33.99</v>
      </c>
      <c r="M6290" s="1" t="inlineStr">
        <is>
          <t>-2.80%</t>
        </is>
      </c>
      <c r="N6290" s="7" t="n"/>
      <c r="O6290" t="n">
        <v>4.9</v>
      </c>
      <c r="P6290" t="n">
        <v>631</v>
      </c>
      <c r="R6290" t="inlineStr">
        <is>
          <t>InStock</t>
        </is>
      </c>
      <c r="S6290" t="inlineStr">
        <is>
          <t>49.78</t>
        </is>
      </c>
      <c r="T6290" t="inlineStr">
        <is>
          <t>7786125164760</t>
        </is>
      </c>
    </row>
    <row r="6291" ht="87" customHeight="1">
      <c r="A6291" s="2">
        <f>HYPERLINK("https://edmondsonsupply.com/collections/electricians-tools/products/klein-tools-32536-10-fold-screwdriver-nut-driver-torx%C2%AE", "https://edmondsonsupply.com/collections/electricians-tools/products/klein-tools-32536-10-fold-screwdriver-nut-driver-torx%C2%AE")</f>
        <v/>
      </c>
      <c r="B6291" s="2">
        <f>HYPERLINK("https://edmondsonsupply.com/products/klein-tools-32536-10-fold-screwdriver-nut-driver-torx%c2%ae", "https://edmondsonsupply.com/products/klein-tools-32536-10-fold-screwdriver-nut-driver-torx%c2%ae")</f>
        <v/>
      </c>
      <c r="C6291" t="inlineStr">
        <is>
          <t>Klein Tools 32536 10-Fold Screwdriver/Nut Driver, Torx®</t>
        </is>
      </c>
      <c r="D6291" t="inlineStr">
        <is>
          <t>Klein Tools 32536 10-Fold Screwdriver / Nut Driver, TORX</t>
        </is>
      </c>
      <c r="E6291" s="2">
        <f>HYPERLINK("https://www.amazon.com/10-Fold-Screwdriver-Klein-Tools-32536/dp/B0031D252E/ref=sr_1_1?keywords=Klein+Tools+32536+10-Fold+Screwdriver%2FNut+Driver%2C+Torx%C2%AE&amp;qid=1694735209&amp;sr=8-1", "https://www.amazon.com/10-Fold-Screwdriver-Klein-Tools-32536/dp/B0031D252E/ref=sr_1_1?keywords=Klein+Tools+32536+10-Fold+Screwdriver%2FNut+Driver%2C+Torx%C2%AE&amp;qid=1694735209&amp;sr=8-1")</f>
        <v/>
      </c>
      <c r="F6291" t="inlineStr">
        <is>
          <t>B0031D252E</t>
        </is>
      </c>
      <c r="G6291">
        <f>_xlfn.IMAGE("https://edmondsonsupply.com/cdn/shop/products/32536.jpg?v=1633031048")</f>
        <v/>
      </c>
      <c r="H6291">
        <f>_xlfn.IMAGE("https://m.media-amazon.com/images/I/41F6iw7pypL._AC_UL320_.jpg")</f>
        <v/>
      </c>
      <c r="K6291" t="inlineStr">
        <is>
          <t>29.99</t>
        </is>
      </c>
      <c r="L6291" t="n">
        <v>29.14</v>
      </c>
      <c r="M6291" s="1" t="inlineStr">
        <is>
          <t>-2.83%</t>
        </is>
      </c>
      <c r="N6291" s="7" t="n"/>
      <c r="O6291" t="n">
        <v>4.6</v>
      </c>
      <c r="P6291" t="n">
        <v>871</v>
      </c>
      <c r="R6291" t="inlineStr">
        <is>
          <t>InStock</t>
        </is>
      </c>
      <c r="S6291" t="inlineStr">
        <is>
          <t>45.36</t>
        </is>
      </c>
      <c r="T6291" t="inlineStr">
        <is>
          <t>6777831620781</t>
        </is>
      </c>
    </row>
    <row r="6292" ht="87" customHeight="1">
      <c r="A6292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6292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6292" t="inlineStr">
        <is>
          <t>Diablo Tools DMAPL4040-P25 3/16 in. x 4 in. x 6 in. Rebar Demon™ SDS-Plus 4-Cutter Full Carbide Head Hammer Bit (25-Pack)</t>
        </is>
      </c>
      <c r="D6292" t="inlineStr">
        <is>
          <t>Diablo by Freud DMAPL4040-P25 3/16 in. x 4 in. x 6 in. Rebar Demon™ SDS-Plus 4-Cutter Full Carbide Head Hammer Bit (25-Pack)</t>
        </is>
      </c>
      <c r="E6292" s="2" t="n"/>
      <c r="F6292" t="inlineStr">
        <is>
          <t>B089LKW42D</t>
        </is>
      </c>
      <c r="G6292">
        <f>_xlfn.IMAGE("https://edmondsonsupply.com/cdn/shop/products/DMAPL4040-P25.jpg?v=1633030349")</f>
        <v/>
      </c>
      <c r="H6292">
        <f>_xlfn.IMAGE("https://m.media-amazon.com/images/I/61WAyx865hL._AC_UL320_.jpg")</f>
        <v/>
      </c>
      <c r="K6292" t="inlineStr">
        <is>
          <t>81.97</t>
        </is>
      </c>
      <c r="L6292" t="n">
        <v>79.63</v>
      </c>
      <c r="M6292" s="1" t="inlineStr">
        <is>
          <t>-2.85%</t>
        </is>
      </c>
      <c r="N6292" s="7" t="n"/>
      <c r="O6292" t="n">
        <v>5</v>
      </c>
      <c r="P6292" t="n">
        <v>2</v>
      </c>
      <c r="R6292" t="inlineStr">
        <is>
          <t>InStock</t>
        </is>
      </c>
      <c r="S6292" t="inlineStr">
        <is>
          <t>117.4</t>
        </is>
      </c>
      <c r="T6292" t="inlineStr">
        <is>
          <t>5283055206568</t>
        </is>
      </c>
    </row>
    <row r="6293" hidden="1" ht="15.75" customHeight="1">
      <c r="A6293" s="2">
        <f>HYPERLINK("https://edmondsonsupply.com/collections/electricians-tools/products/diablo-tools-dhs0375dg-3-8-in-diamond-grit-hole-saws", "https://edmondsonsupply.com/collections/electricians-tools/products/diablo-tools-dhs0375dg-3-8-in-diamond-grit-hole-saws")</f>
        <v/>
      </c>
      <c r="B6293" s="2">
        <f>HYPERLINK("https://edmondsonsupply.com/products/diablo-tools-dhs0375dg-3-8-in-diamond-grit-hole-saws", "https://edmondsonsupply.com/products/diablo-tools-dhs0375dg-3-8-in-diamond-grit-hole-saws")</f>
        <v/>
      </c>
      <c r="C6293" t="inlineStr">
        <is>
          <t>Diablo Tools DHS0375DG 3/8 in. Diamond Grit Hole Saws</t>
        </is>
      </c>
      <c r="D6293" t="inlineStr">
        <is>
          <t>JINGLING 35mm 1-3/8 inch Diamond Hole Saws Granite Drill Bit Tools for Stone Pack of 2Pcs</t>
        </is>
      </c>
      <c r="E6293" s="2">
        <f>HYPERLINK("https://www.amazon.com/Diamond-Granite-Drill-Coated-Masonry/dp/B07HF7DZH8/ref=sr_1_15?keywords=Diablo+Tools+DHS0375DG+3%2F8+in.+Diamond+Grit+Hole+Saws&amp;qid=1694735077&amp;sr=8-15", "https://www.amazon.com/Diamond-Granite-Drill-Coated-Masonry/dp/B07HF7DZH8/ref=sr_1_15?keywords=Diablo+Tools+DHS0375DG+3%2F8+in.+Diamond+Grit+Hole+Saws&amp;qid=1694735077&amp;sr=8-15")</f>
        <v/>
      </c>
      <c r="F6293" t="inlineStr">
        <is>
          <t>B07HF7DZH8</t>
        </is>
      </c>
      <c r="G6293">
        <f>_xludf.IMAGE("https://edmondsonsupply.com/cdn/shop/products/mh2dqfdvyha0k7sljzkb.webp?v=1670005541")</f>
        <v/>
      </c>
      <c r="H6293">
        <f>_xludf.IMAGE("https://m.media-amazon.com/images/I/71u6oB5gohL._AC_UL320_.jpg")</f>
        <v/>
      </c>
      <c r="K6293" t="inlineStr">
        <is>
          <t>14.93</t>
        </is>
      </c>
      <c r="L6293" t="n">
        <v>14.5</v>
      </c>
      <c r="M6293" s="1" t="inlineStr">
        <is>
          <t>-2.88%</t>
        </is>
      </c>
      <c r="N6293" s="1" t="n"/>
      <c r="O6293" t="n">
        <v>4.5</v>
      </c>
      <c r="P6293" t="n">
        <v>795</v>
      </c>
      <c r="R6293" t="inlineStr">
        <is>
          <t>InStock</t>
        </is>
      </c>
      <c r="S6293" t="inlineStr">
        <is>
          <t>21.4</t>
        </is>
      </c>
      <c r="T6293" t="inlineStr">
        <is>
          <t>7897592889560</t>
        </is>
      </c>
    </row>
    <row r="6294" ht="87" customHeight="1">
      <c r="A6294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6294" s="2">
        <f>HYPERLINK("https://edmondsonsupply.com/products/klein-tools-nrhd4-4-in-1-square-impact-socket", "https://edmondsonsupply.com/products/klein-tools-nrhd4-4-in-1-square-impact-socket")</f>
        <v/>
      </c>
      <c r="C6294" t="inlineStr">
        <is>
          <t>Klein Tools NRHD4 4-in-1 Square Impact Socket</t>
        </is>
      </c>
      <c r="D6294" t="inlineStr">
        <is>
          <t>Klein Tools NRHD4 Impact Socket Set, 4-in-1 SAE Socket Wrench, 4 Point Sockets: 3/4, 13/16, 1, 1-1/8-Inch Sockets and 7/16-Inch Hex Adapter</t>
        </is>
      </c>
      <c r="E6294" s="2">
        <f>HYPERLINK("https://www.amazon.com/Square-Impact-Klein-Tools-NRHD4/dp/B078NHNF6S/ref=sr_1_1?keywords=Klein+Tools+NRHD4+4-in-1+Square+Impact+Socket&amp;qid=1694735425&amp;sr=8-1", "https://www.amazon.com/Square-Impact-Klein-Tools-NRHD4/dp/B078NHNF6S/ref=sr_1_1?keywords=Klein+Tools+NRHD4+4-in-1+Square+Impact+Socket&amp;qid=1694735425&amp;sr=8-1")</f>
        <v/>
      </c>
      <c r="F6294" t="inlineStr">
        <is>
          <t>B078NHNF6S</t>
        </is>
      </c>
      <c r="G6294">
        <f>_xlfn.IMAGE("https://edmondsonsupply.com/cdn/shop/products/nrhd4.jpg?v=1587150980")</f>
        <v/>
      </c>
      <c r="H6294">
        <f>_xlfn.IMAGE("https://m.media-amazon.com/images/I/5157oLxkmrL._AC_UL320_.jpg")</f>
        <v/>
      </c>
      <c r="K6294" t="inlineStr">
        <is>
          <t>179.99</t>
        </is>
      </c>
      <c r="L6294" t="n">
        <v>174.8</v>
      </c>
      <c r="M6294" s="1" t="inlineStr">
        <is>
          <t>-2.88%</t>
        </is>
      </c>
      <c r="N6294" s="7" t="n"/>
      <c r="O6294" t="n">
        <v>4.5</v>
      </c>
      <c r="P6294" t="n">
        <v>741</v>
      </c>
      <c r="R6294" t="inlineStr">
        <is>
          <t>InStock</t>
        </is>
      </c>
      <c r="S6294" t="inlineStr">
        <is>
          <t>291.34</t>
        </is>
      </c>
      <c r="T6294" t="inlineStr">
        <is>
          <t>4396986433636</t>
        </is>
      </c>
    </row>
    <row r="6295" ht="87" customHeight="1">
      <c r="A6295" s="2">
        <f>HYPERLINK("https://edmondsonsupply.com/collections/electricians-tools/products/channellock-326-6-xlt%E2%84%A2-long-nose-pliers-with-cutter", "https://edmondsonsupply.com/collections/electricians-tools/products/channellock-326-6-xlt%E2%84%A2-long-nose-pliers-with-cutter")</f>
        <v/>
      </c>
      <c r="B6295" s="2">
        <f>HYPERLINK("https://edmondsonsupply.com/products/channellock-326-6-xlt%e2%84%a2-long-nose-pliers-with-cutter", "https://edmondsonsupply.com/products/channellock-326-6-xlt%e2%84%a2-long-nose-pliers-with-cutter")</f>
        <v/>
      </c>
      <c r="C6295" t="inlineStr">
        <is>
          <t>Channellock 326 6-Inch XLT™ Combination Long Nose Pliers with Cutter</t>
        </is>
      </c>
      <c r="D6295" t="inlineStr">
        <is>
          <t>Channellock 326 6-Inch Long Nose Plier with Side Cutter, Blue</t>
        </is>
      </c>
      <c r="E6295" s="2">
        <f>HYPERLINK("https://www.amazon.com/Channellock-326-6-Inch-Plier-Cutter/dp/B00004SBD2/ref=sr_1_2?keywords=Channellock+326+6-Inch+XLT%E2%84%A2+Combination+Long+Nose+Pliers+with+Cutter&amp;qid=1694735302&amp;sr=8-2", "https://www.amazon.com/Channellock-326-6-Inch-Plier-Cutter/dp/B00004SBD2/ref=sr_1_2?keywords=Channellock+326+6-Inch+XLT%E2%84%A2+Combination+Long+Nose+Pliers+with+Cutter&amp;qid=1694735302&amp;sr=8-2")</f>
        <v/>
      </c>
      <c r="F6295" t="inlineStr">
        <is>
          <t>B00004SBD2</t>
        </is>
      </c>
      <c r="G6295">
        <f>_xlfn.IMAGE("https://edmondsonsupply.com/cdn/shop/products/326-tool-683x1024_1_ec755728-6805-471f-862b-6cce3c770cd5.png?v=1633030327")</f>
        <v/>
      </c>
      <c r="H6295">
        <f>_xlfn.IMAGE("https://m.media-amazon.com/images/I/61-sAD8xR4L._AC_UL320_.jpg")</f>
        <v/>
      </c>
      <c r="K6295" t="inlineStr">
        <is>
          <t>21.95</t>
        </is>
      </c>
      <c r="L6295" t="n">
        <v>21.31</v>
      </c>
      <c r="M6295" s="1" t="inlineStr">
        <is>
          <t>-2.92%</t>
        </is>
      </c>
      <c r="N6295" s="7" t="n"/>
      <c r="O6295" t="n">
        <v>4.7</v>
      </c>
      <c r="P6295" t="n">
        <v>1174</v>
      </c>
      <c r="R6295" t="inlineStr">
        <is>
          <t>InStock</t>
        </is>
      </c>
      <c r="S6295" t="inlineStr">
        <is>
          <t>34.24</t>
        </is>
      </c>
      <c r="T6295" t="inlineStr">
        <is>
          <t>5247356633256</t>
        </is>
      </c>
    </row>
    <row r="6296" ht="87" customHeight="1">
      <c r="A6296" s="2">
        <f>HYPERLINK("https://edmondsonsupply.com/collections/electricians-tools/products/klein-tools-31852-carbide-hole-cutter-7-8-inch", "https://edmondsonsupply.com/collections/electricians-tools/products/klein-tools-31852-carbide-hole-cutter-7-8-inch")</f>
        <v/>
      </c>
      <c r="B6296" s="2">
        <f>HYPERLINK("https://edmondsonsupply.com/products/klein-tools-31852-carbide-hole-cutter-7-8-inch", "https://edmondsonsupply.com/products/klein-tools-31852-carbide-hole-cutter-7-8-inch")</f>
        <v/>
      </c>
      <c r="C6296" t="inlineStr">
        <is>
          <t>Klein Tools 31852 Carbide Hole Cutter, 7/8-Inch</t>
        </is>
      </c>
      <c r="D6296" t="inlineStr">
        <is>
          <t>Klein Tools 31852 Heavy Duty Hole Cutter, 7/8-Inch Carbide Hole Cutter Cuts Stainless Steel, Mild Steel, Iron, Copper, Brass</t>
        </is>
      </c>
      <c r="E6296" s="2">
        <f>HYPERLINK("https://www.amazon.com/8-Inch-Carbide-Klein-Tools-31852/dp/B00776T23Q/ref=sr_1_1?keywords=Klein+Tools+31852+Carbide+Hole+Cutter%2C+7%2F8-Inch&amp;qid=1694735225&amp;sr=8-1", "https://www.amazon.com/8-Inch-Carbide-Klein-Tools-31852/dp/B00776T23Q/ref=sr_1_1?keywords=Klein+Tools+31852+Carbide+Hole+Cutter%2C+7%2F8-Inch&amp;qid=1694735225&amp;sr=8-1")</f>
        <v/>
      </c>
      <c r="F6296" t="inlineStr">
        <is>
          <t>B00776T23Q</t>
        </is>
      </c>
      <c r="G6296">
        <f>_xlfn.IMAGE("https://edmondsonsupply.com/cdn/shop/products/31852.jpg?v=1633030927")</f>
        <v/>
      </c>
      <c r="H6296">
        <f>_xlfn.IMAGE("https://m.media-amazon.com/images/I/41wBUpl7TfL._AC_UL320_.jpg")</f>
        <v/>
      </c>
      <c r="K6296" t="inlineStr">
        <is>
          <t>33.99</t>
        </is>
      </c>
      <c r="L6296" t="n">
        <v>32.99</v>
      </c>
      <c r="M6296" s="1" t="inlineStr">
        <is>
          <t>-2.94%</t>
        </is>
      </c>
      <c r="N6296" s="7" t="n"/>
      <c r="O6296" t="n">
        <v>4.5</v>
      </c>
      <c r="P6296" t="n">
        <v>472</v>
      </c>
      <c r="R6296" t="inlineStr">
        <is>
          <t>InStock</t>
        </is>
      </c>
      <c r="S6296" t="inlineStr">
        <is>
          <t>46.18</t>
        </is>
      </c>
      <c r="T6296" t="inlineStr">
        <is>
          <t>6545927274669</t>
        </is>
      </c>
    </row>
    <row r="6297" ht="87" customHeight="1">
      <c r="A6297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6297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6297" t="inlineStr">
        <is>
          <t>Diablo Tools DMAPL4310 1 in. x 16 in. x 18 in. Rebar Demon™ SDS-Plus 4-Cutter Full Carbide Head Hammer Drill Bit</t>
        </is>
      </c>
      <c r="D6297" t="inlineStr">
        <is>
          <t>Diablo DMAPL4310 1 in. x 16 in. x 18 in. Rebar Demon™ SDS-Plus 4-Cutter Full Carbide Head Hammer Bit</t>
        </is>
      </c>
      <c r="E6297" s="2">
        <f>HYPERLINK("https://www.amazon.com/Diablo-DMAPL4310-SDS-Plus-4-Cutter-Carbide/dp/B089KX2VKR/ref=sr_1_1?keywords=Diablo+Tools+DMAPL4310+1+in.+x+16+in.+x+18+in.+Rebar+Demon%E2%84%A2+SDS-Plus+4-Cutter+Full+Carbide+Head+Hammer+Drill+Bit&amp;qid=1694735204&amp;sr=8-1", "https://www.amazon.com/Diablo-DMAPL4310-SDS-Plus-4-Cutter-Carbide/dp/B089KX2VKR/ref=sr_1_1?keywords=Diablo+Tools+DMAPL4310+1+in.+x+16+in.+x+18+in.+Rebar+Demon%E2%84%A2+SDS-Plus+4-Cutter+Full+Carbide+Head+Hammer+Drill+Bit&amp;qid=1694735204&amp;sr=8-1")</f>
        <v/>
      </c>
      <c r="F6297" t="inlineStr">
        <is>
          <t>B089KX2VKR</t>
        </is>
      </c>
      <c r="G6297">
        <f>_xlfn.IMAGE("https://edmondsonsupply.com/cdn/shop/products/DMAPL4310_Main-Image20200701.png?v=1633031094")</f>
        <v/>
      </c>
      <c r="H6297">
        <f>_xlfn.IMAGE("https://m.media-amazon.com/images/I/61iwxfqG2VL._AC_UL320_.jpg")</f>
        <v/>
      </c>
      <c r="K6297" t="inlineStr">
        <is>
          <t>49.97</t>
        </is>
      </c>
      <c r="L6297" t="n">
        <v>48.49</v>
      </c>
      <c r="M6297" s="1" t="inlineStr">
        <is>
          <t>-2.96%</t>
        </is>
      </c>
      <c r="N6297" s="7" t="n"/>
      <c r="O6297" t="n">
        <v>4.5</v>
      </c>
      <c r="P6297" t="n">
        <v>32</v>
      </c>
      <c r="R6297" t="inlineStr">
        <is>
          <t>InStock</t>
        </is>
      </c>
      <c r="S6297" t="inlineStr">
        <is>
          <t>57.56</t>
        </is>
      </c>
      <c r="T6297" t="inlineStr">
        <is>
          <t>6839830479021</t>
        </is>
      </c>
    </row>
    <row r="6298" ht="87" customHeight="1">
      <c r="A6298" s="2">
        <f>HYPERLINK("https://edmondsonsupply.com/collections/electricians-tools/products/klein-tools-vdv770-850-test-map%E2%84%A2-remote-upgrade-kit-for-scout%C2%AE-pro-3-tester", "https://edmondsonsupply.com/collections/electricians-tools/products/klein-tools-vdv770-850-test-map%E2%84%A2-remote-upgrade-kit-for-scout%C2%AE-pro-3-tester")</f>
        <v/>
      </c>
      <c r="B6298" s="2">
        <f>HYPERLINK("https://edmondsonsupply.com/products/klein-tools-vdv770-850-test-map%e2%84%a2-remote-upgrade-kit-for-scout%c2%ae-pro-3-tester", "https://edmondsonsupply.com/products/klein-tools-vdv770-850-test-map%e2%84%a2-remote-upgrade-kit-for-scout%c2%ae-pro-3-tester")</f>
        <v/>
      </c>
      <c r="C6298" t="inlineStr">
        <is>
          <t>Klein Tools VDV770-850 Test + Map™ Remotes (#2 - #6) Upgrade Kit for Scout® Pro 3 Tester</t>
        </is>
      </c>
      <c r="D6298" t="inlineStr">
        <is>
          <t>Klein Tools VDV770-850 Tester Remote Upgrade Kit for Scout Pro 3 Tester with Single-step Test + Map Remotes (#2 thru #6)</t>
        </is>
      </c>
      <c r="E6298" s="2">
        <f>HYPERLINK("https://www.amazon.com/Klein-Tools-VDV770-850-Upgrade-Single-step/dp/B08BDBB97Z/ref=sr_1_1?keywords=Klein+Tools+VDV770-850+Test+%2B+Map%E2%84%A2+Remotes+%28%232+-+%236%29+Upgrade+Kit+for+Scout%C2%AE+Pro+3+Tester&amp;qid=1694735254&amp;sr=8-1", "https://www.amazon.com/Klein-Tools-VDV770-850-Upgrade-Single-step/dp/B08BDBB97Z/ref=sr_1_1?keywords=Klein+Tools+VDV770-850+Test+%2B+Map%E2%84%A2+Remotes+%28%232+-+%236%29+Upgrade+Kit+for+Scout%C2%AE+Pro+3+Tester&amp;qid=1694735254&amp;sr=8-1")</f>
        <v/>
      </c>
      <c r="F6298" t="inlineStr">
        <is>
          <t>B08BDBB97Z</t>
        </is>
      </c>
      <c r="G6298">
        <f>_xlfn.IMAGE("https://edmondsonsupply.com/cdn/shop/products/vdv770850.jpg?v=1633030680")</f>
        <v/>
      </c>
      <c r="H6298">
        <f>_xlfn.IMAGE("https://m.media-amazon.com/images/I/61omVaOQ2eL._AC_UY218_.jpg")</f>
        <v/>
      </c>
      <c r="K6298" t="inlineStr">
        <is>
          <t>144.99</t>
        </is>
      </c>
      <c r="L6298" t="n">
        <v>140.64</v>
      </c>
      <c r="M6298" s="1" t="inlineStr">
        <is>
          <t>-3.00%</t>
        </is>
      </c>
      <c r="N6298" s="7" t="n"/>
      <c r="O6298" t="n">
        <v>4.8</v>
      </c>
      <c r="P6298" t="n">
        <v>88</v>
      </c>
      <c r="R6298" t="inlineStr">
        <is>
          <t>OutOfStock</t>
        </is>
      </c>
      <c r="S6298" t="inlineStr">
        <is>
          <t>207.0</t>
        </is>
      </c>
      <c r="T6298" t="inlineStr">
        <is>
          <t>5815972692136</t>
        </is>
      </c>
    </row>
    <row r="6299" ht="87" customHeight="1">
      <c r="A6299" s="2">
        <f>HYPERLINK("https://edmondsonsupply.com/collections/electricians-tools/products/klein-tools-vdv027-813-lan-installer-starter-kit-punchdown", "https://edmondsonsupply.com/collections/electricians-tools/products/klein-tools-vdv027-813-lan-installer-starter-kit-punchdown")</f>
        <v/>
      </c>
      <c r="B6299" s="2">
        <f>HYPERLINK("https://edmondsonsupply.com/products/klein-tools-vdv027-813-lan-installer-starter-kit-punchdown", "https://edmondsonsupply.com/products/klein-tools-vdv027-813-lan-installer-starter-kit-punchdown")</f>
        <v/>
      </c>
      <c r="C6299" t="inlineStr">
        <is>
          <t>Klein Tools VDV027-813 LAN Installer Starter Kit, Punchdown</t>
        </is>
      </c>
      <c r="D6299" t="inlineStr">
        <is>
          <t>Klein Tools VDV027-813 LAN Installer Starter Kit, Punchdown</t>
        </is>
      </c>
      <c r="E6299" s="2">
        <f>HYPERLINK("https://www.amazon.com/Installer-Punchdown-Klein-Tools-VDV027-813/dp/B004W7OUH6/ref=sr_1_1?keywords=Klein+Tools+VDV027-813+LAN+Installer+Starter+Kit%2C+Punchdown&amp;qid=1694735247&amp;sr=8-1", "https://www.amazon.com/Installer-Punchdown-Klein-Tools-VDV027-813/dp/B004W7OUH6/ref=sr_1_1?keywords=Klein+Tools+VDV027-813+LAN+Installer+Starter+Kit%2C+Punchdown&amp;qid=1694735247&amp;sr=8-1")</f>
        <v/>
      </c>
      <c r="F6299" t="inlineStr">
        <is>
          <t>B004W7OUH6</t>
        </is>
      </c>
      <c r="G6299">
        <f>_xlfn.IMAGE("https://edmondsonsupply.com/cdn/shop/products/vdv027813_c.jpg?v=1664145537")</f>
        <v/>
      </c>
      <c r="H6299">
        <f>_xlfn.IMAGE("https://m.media-amazon.com/images/I/71oqBCrzgBL._AC_UL320_.jpg")</f>
        <v/>
      </c>
      <c r="K6299" t="inlineStr">
        <is>
          <t>102.99</t>
        </is>
      </c>
      <c r="L6299" t="n">
        <v>99.90000000000001</v>
      </c>
      <c r="M6299" s="1" t="inlineStr">
        <is>
          <t>-3.00%</t>
        </is>
      </c>
      <c r="N6299" s="7" t="n"/>
      <c r="O6299" t="n">
        <v>4.2</v>
      </c>
      <c r="P6299" t="n">
        <v>39</v>
      </c>
      <c r="R6299" t="inlineStr">
        <is>
          <t>InStock</t>
        </is>
      </c>
      <c r="S6299" t="inlineStr">
        <is>
          <t>148.46</t>
        </is>
      </c>
      <c r="T6299" t="inlineStr">
        <is>
          <t>6120968978605</t>
        </is>
      </c>
    </row>
    <row r="6300" ht="87" customHeight="1">
      <c r="A6300" s="2">
        <f>HYPERLINK("https://edmondsonsupply.com/collections/electricians-tools/products/klein-tools-702-12-12-high-tension-hacksaw", "https://edmondsonsupply.com/collections/electricians-tools/products/klein-tools-702-12-12-high-tension-hacksaw")</f>
        <v/>
      </c>
      <c r="B6300" s="2">
        <f>HYPERLINK("https://edmondsonsupply.com/products/klein-tools-702-12-12-high-tension-hacksaw", "https://edmondsonsupply.com/products/klein-tools-702-12-12-high-tension-hacksaw")</f>
        <v/>
      </c>
      <c r="C6300" t="inlineStr">
        <is>
          <t>Klein Tools 702-12 High-Tension Hacksaw</t>
        </is>
      </c>
      <c r="D6300" t="inlineStr">
        <is>
          <t>Klein Tools 702-12 Hack Saw, Includes Hand Saw and Reciprocating Blades, Adjustable Tension to 30,000 PSI</t>
        </is>
      </c>
      <c r="E6300" s="2">
        <f>HYPERLINK("https://www.amazon.com/Hacksaw-Reciprocating-Adjustable-Klein-Tools/dp/B0037NBSEY/ref=sr_1_1?keywords=Klein+Tools+702-12+High-Tension+Hacksaw&amp;qid=1694735360&amp;sr=8-1", "https://www.amazon.com/Hacksaw-Reciprocating-Adjustable-Klein-Tools/dp/B0037NBSEY/ref=sr_1_1?keywords=Klein+Tools+702-12+High-Tension+Hacksaw&amp;qid=1694735360&amp;sr=8-1")</f>
        <v/>
      </c>
      <c r="F6300" t="inlineStr">
        <is>
          <t>B0037NBSEY</t>
        </is>
      </c>
      <c r="G6300">
        <f>_xlfn.IMAGE("https://edmondsonsupply.com/cdn/shop/products/702-12.jpg?v=1587145235")</f>
        <v/>
      </c>
      <c r="H6300">
        <f>_xlfn.IMAGE("https://m.media-amazon.com/images/I/51a09JDhlDS._AC_UL320_.jpg")</f>
        <v/>
      </c>
      <c r="K6300" t="inlineStr">
        <is>
          <t>28.99</t>
        </is>
      </c>
      <c r="L6300" t="n">
        <v>28.12</v>
      </c>
      <c r="M6300" s="1" t="inlineStr">
        <is>
          <t>-3.00%</t>
        </is>
      </c>
      <c r="N6300" s="7" t="n"/>
      <c r="O6300" t="n">
        <v>4.6</v>
      </c>
      <c r="P6300" t="n">
        <v>742</v>
      </c>
      <c r="R6300" t="inlineStr">
        <is>
          <t>InStock</t>
        </is>
      </c>
      <c r="S6300" t="inlineStr">
        <is>
          <t>43.94</t>
        </is>
      </c>
      <c r="T6300" t="inlineStr">
        <is>
          <t>4432213704804</t>
        </is>
      </c>
    </row>
    <row r="6301" ht="87" customHeight="1">
      <c r="A6301" s="2">
        <f>HYPERLINK("https://edmondsonsupply.com/collections/electricians-tools/products/klein-tools-et130-digital-light-meter", "https://edmondsonsupply.com/collections/electricians-tools/products/klein-tools-et130-digital-light-meter")</f>
        <v/>
      </c>
      <c r="B6301" s="2">
        <f>HYPERLINK("https://edmondsonsupply.com/products/klein-tools-et130-digital-light-meter", "https://edmondsonsupply.com/products/klein-tools-et130-digital-light-meter")</f>
        <v/>
      </c>
      <c r="C6301" t="inlineStr">
        <is>
          <t>Klein Tools ET130 Digital Light Meter</t>
        </is>
      </c>
      <c r="D6301" t="inlineStr">
        <is>
          <t>Klein Tools ET130 Digital Light Meter</t>
        </is>
      </c>
      <c r="E6301" s="2" t="n"/>
      <c r="F6301" t="inlineStr">
        <is>
          <t>B071WG7PT4</t>
        </is>
      </c>
      <c r="G6301">
        <f>_xlfn.IMAGE("https://edmondsonsupply.com/cdn/shop/products/et130_alt5.jpg?v=1611263497")</f>
        <v/>
      </c>
      <c r="H6301">
        <f>_xlfn.IMAGE("https://m.media-amazon.com/images/I/61SlHyYVr+L._AC_UL320_.jpg")</f>
        <v/>
      </c>
      <c r="K6301" t="inlineStr">
        <is>
          <t>84.97</t>
        </is>
      </c>
      <c r="L6301" t="n">
        <v>82.42</v>
      </c>
      <c r="M6301" s="1" t="inlineStr">
        <is>
          <t>-3.00%</t>
        </is>
      </c>
      <c r="N6301" s="7" t="n"/>
      <c r="O6301" t="n">
        <v>4.6</v>
      </c>
      <c r="P6301" t="n">
        <v>250</v>
      </c>
      <c r="R6301" t="inlineStr">
        <is>
          <t>InStock</t>
        </is>
      </c>
      <c r="S6301" t="inlineStr">
        <is>
          <t>107.36</t>
        </is>
      </c>
      <c r="T6301" t="inlineStr">
        <is>
          <t>4410473349220</t>
        </is>
      </c>
    </row>
    <row r="6302" ht="87" customHeight="1">
      <c r="A6302" s="2">
        <f>HYPERLINK("https://edmondsonsupply.com/collections/electricians-tools/products/klein-tools-et130-digital-light-meter", "https://edmondsonsupply.com/collections/electricians-tools/products/klein-tools-et130-digital-light-meter")</f>
        <v/>
      </c>
      <c r="B6302" s="2">
        <f>HYPERLINK("https://edmondsonsupply.com/products/klein-tools-et130-digital-light-meter", "https://edmondsonsupply.com/products/klein-tools-et130-digital-light-meter")</f>
        <v/>
      </c>
      <c r="C6302" t="inlineStr">
        <is>
          <t>Klein Tools ET130 Digital Light Meter</t>
        </is>
      </c>
      <c r="D6302" t="inlineStr">
        <is>
          <t>Klein Tools ET130 Digital Light Meter</t>
        </is>
      </c>
      <c r="E6302" s="2">
        <f>HYPERLINK("https://www.amazon.com/Digital-Light-Klein-Tools-ET130/dp/B071WG7PT4/ref=sr_1_4?keywords=Klein+Tools+ET130+Digital+Light+Meter&amp;qid=1694734984&amp;sr=8-4", "https://www.amazon.com/Digital-Light-Klein-Tools-ET130/dp/B071WG7PT4/ref=sr_1_4?keywords=Klein+Tools+ET130+Digital+Light+Meter&amp;qid=1694734984&amp;sr=8-4")</f>
        <v/>
      </c>
      <c r="F6302" t="inlineStr">
        <is>
          <t>B071WG7PT4</t>
        </is>
      </c>
      <c r="G6302">
        <f>_xlfn.IMAGE("https://edmondsonsupply.com/cdn/shop/products/et130_alt5.jpg?v=1611263497")</f>
        <v/>
      </c>
      <c r="H6302">
        <f>_xlfn.IMAGE("https://m.media-amazon.com/images/I/61SlHyYVr+L._AC_UL320_.jpg")</f>
        <v/>
      </c>
      <c r="K6302" t="inlineStr">
        <is>
          <t>84.97</t>
        </is>
      </c>
      <c r="L6302" t="n">
        <v>82.42</v>
      </c>
      <c r="M6302" s="1" t="inlineStr">
        <is>
          <t>-3.00%</t>
        </is>
      </c>
      <c r="N6302" s="7" t="n"/>
      <c r="O6302" t="n">
        <v>4.6</v>
      </c>
      <c r="P6302" t="n">
        <v>250</v>
      </c>
      <c r="R6302" t="inlineStr">
        <is>
          <t>InStock</t>
        </is>
      </c>
      <c r="S6302" t="inlineStr">
        <is>
          <t>107.36</t>
        </is>
      </c>
      <c r="T6302" t="inlineStr">
        <is>
          <t>4410473349220</t>
        </is>
      </c>
    </row>
    <row r="6303" ht="87" customHeight="1">
      <c r="A6303" s="2">
        <f>HYPERLINK("https://edmondsonsupply.com/collections/electricians-tools/products/klein-tools-5712-powerline%E2%84%A2-tape-measure-pouch", "https://edmondsonsupply.com/collections/electricians-tools/products/klein-tools-5712-powerline%E2%84%A2-tape-measure-pouch")</f>
        <v/>
      </c>
      <c r="B6303" s="2">
        <f>HYPERLINK("https://edmondsonsupply.com/products/klein-tools-5712-powerline%e2%84%a2-tape-measure-pouch", "https://edmondsonsupply.com/products/klein-tools-5712-powerline%e2%84%a2-tape-measure-pouch")</f>
        <v/>
      </c>
      <c r="C6303" t="inlineStr">
        <is>
          <t>Klein Tools 5712 PowerLine™ Tape Measure Pouch</t>
        </is>
      </c>
      <c r="D6303" t="inlineStr">
        <is>
          <t>Klein Tools 5712 PowerLine Tape Measure Pouch</t>
        </is>
      </c>
      <c r="E6303" s="2">
        <f>HYPERLINK("https://www.amazon.com/PowerLine-Measure-Klein-Tools-5712/dp/B00093D6HW/ref=sr_1_1?keywords=Klein+Tools+5712+PowerLine%E2%84%A2+Tape+Measure+Pouch&amp;qid=1694735294&amp;sr=8-1", "https://www.amazon.com/PowerLine-Measure-Klein-Tools-5712/dp/B00093D6HW/ref=sr_1_1?keywords=Klein+Tools+5712+PowerLine%E2%84%A2+Tape+Measure+Pouch&amp;qid=1694735294&amp;sr=8-1")</f>
        <v/>
      </c>
      <c r="F6303" t="inlineStr">
        <is>
          <t>B00093D6HW</t>
        </is>
      </c>
      <c r="G6303">
        <f>_xlfn.IMAGE("https://edmondsonsupply.com/cdn/shop/products/5712.jpg?v=1587143298")</f>
        <v/>
      </c>
      <c r="H6303">
        <f>_xlfn.IMAGE("https://m.media-amazon.com/images/I/91mQ5ycpWuL._AC_UL320_.jpg")</f>
        <v/>
      </c>
      <c r="K6303" t="inlineStr">
        <is>
          <t>15.99</t>
        </is>
      </c>
      <c r="L6303" t="n">
        <v>15.51</v>
      </c>
      <c r="M6303" s="1" t="inlineStr">
        <is>
          <t>-3.00%</t>
        </is>
      </c>
      <c r="N6303" s="7" t="n"/>
      <c r="O6303" t="n">
        <v>4.6</v>
      </c>
      <c r="P6303" t="n">
        <v>793</v>
      </c>
      <c r="R6303" t="inlineStr">
        <is>
          <t>InStock</t>
        </is>
      </c>
      <c r="S6303" t="inlineStr">
        <is>
          <t>24.22</t>
        </is>
      </c>
      <c r="T6303" t="inlineStr">
        <is>
          <t>3185849794660</t>
        </is>
      </c>
    </row>
    <row r="6304" ht="87" customHeight="1">
      <c r="A6304" s="2">
        <f>HYPERLINK("https://edmondsonsupply.com/collections/electricians-tools/products/fluke-64-max-ir-thermometer", "https://edmondsonsupply.com/collections/electricians-tools/products/fluke-64-max-ir-thermometer")</f>
        <v/>
      </c>
      <c r="B6304" s="2">
        <f>HYPERLINK("https://edmondsonsupply.com/products/fluke-64-max-ir-thermometer", "https://edmondsonsupply.com/products/fluke-64-max-ir-thermometer")</f>
        <v/>
      </c>
      <c r="C6304" t="inlineStr">
        <is>
          <t>Fluke 64 MAX IR Thermometer</t>
        </is>
      </c>
      <c r="D6304" t="inlineStr">
        <is>
          <t>Fluke 64 Max Infrared Thermometer, Multi-Functional (Not for Human), -22 to 1112 °F Range</t>
        </is>
      </c>
      <c r="E6304" s="2">
        <f>HYPERLINK("https://www.amazon.com/Fluke-Infrared-Thermometer-Multi-Functional-Range/dp/B071W8PNJ4/ref=sr_1_1?keywords=Fluke+64+MAX+IR+Thermometer&amp;qid=1694735085&amp;sr=8-1", "https://www.amazon.com/Fluke-Infrared-Thermometer-Multi-Functional-Range/dp/B071W8PNJ4/ref=sr_1_1?keywords=Fluke+64+MAX+IR+Thermometer&amp;qid=1694735085&amp;sr=8-1")</f>
        <v/>
      </c>
      <c r="F6304" t="inlineStr">
        <is>
          <t>B071W8PNJ4</t>
        </is>
      </c>
      <c r="G6304">
        <f>_xlfn.IMAGE("https://edmondsonsupply.com/cdn/shop/products/fluke_64max_portrait_1500x1000_dcb53742-d539-4285-8994-6293320d293a.webp?v=1668107951")</f>
        <v/>
      </c>
      <c r="H6304">
        <f>_xlfn.IMAGE("https://m.media-amazon.com/images/I/413BsyGJEuL._AC_UY218_.jpg")</f>
        <v/>
      </c>
      <c r="K6304" t="inlineStr">
        <is>
          <t>254.99</t>
        </is>
      </c>
      <c r="L6304" t="n">
        <v>246.9</v>
      </c>
      <c r="M6304" s="1" t="inlineStr">
        <is>
          <t>-3.17%</t>
        </is>
      </c>
      <c r="N6304" s="7" t="n"/>
      <c r="O6304" t="n">
        <v>4.5</v>
      </c>
      <c r="P6304" t="n">
        <v>109</v>
      </c>
      <c r="R6304" t="inlineStr">
        <is>
          <t>OutOfStock</t>
        </is>
      </c>
      <c r="S6304" t="inlineStr">
        <is>
          <t>269.99</t>
        </is>
      </c>
      <c r="T6304" t="inlineStr">
        <is>
          <t>7880837398744</t>
        </is>
      </c>
    </row>
    <row r="6305" hidden="1" ht="15.75" customHeight="1">
      <c r="A6305" s="2">
        <f>HYPERLINK("https://edmondsonsupply.com/collections/electricians-tools/products/klein-tools-jth4e12-7-32-inch-hex-key-journeyman%E2%84%A2-t-handle-4-inch", "https://edmondsonsupply.com/collections/electricians-tools/products/klein-tools-jth4e12-7-32-inch-hex-key-journeyman%E2%84%A2-t-handle-4-inch")</f>
        <v/>
      </c>
      <c r="B6305" s="2">
        <f>HYPERLINK("https://edmondsonsupply.com/products/klein-tools-jth4e12-7-32-inch-hex-key-journeyman%e2%84%a2-t-handle-4-inch", "https://edmondsonsupply.com/products/klein-tools-jth4e12-7-32-inch-hex-key-journeyman%e2%84%a2-t-handle-4-inch")</f>
        <v/>
      </c>
      <c r="C6305" t="inlineStr">
        <is>
          <t>Klein Tools JTH4E12 7/32-Inch Hex Key, Journeyman™ T-Handle, 4-Inch</t>
        </is>
      </c>
      <c r="D6305" t="inlineStr">
        <is>
          <t>Klein Tools JTH4E12 7/32-Inch Hex Key with Journeyman T-Handle, 4-Inch</t>
        </is>
      </c>
      <c r="E6305" s="2">
        <f>HYPERLINK("https://www.amazon.com/Journeyman-T-Handle-Klein-Tools-JTH4E12/dp/B004ITSDTE/ref=sr_1_1?keywords=Klein+Tools+JTH4E12+7%2F32-Inch+Hex+Key%2C+Journeyman%E2%84%A2+T-Handle%2C+4-Inch&amp;qid=1694735135&amp;sr=8-1", "https://www.amazon.com/Journeyman-T-Handle-Klein-Tools-JTH4E12/dp/B004ITSDTE/ref=sr_1_1?keywords=Klein+Tools+JTH4E12+7%2F32-Inch+Hex+Key%2C+Journeyman%E2%84%A2+T-Handle%2C+4-Inch&amp;qid=1694735135&amp;sr=8-1")</f>
        <v/>
      </c>
      <c r="F6305" t="inlineStr">
        <is>
          <t>B004ITSDTE</t>
        </is>
      </c>
      <c r="G6305">
        <f>_xludf.IMAGE("https://edmondsonsupply.com/cdn/shop/products/jth4e12.jpg?v=1660516887")</f>
        <v/>
      </c>
      <c r="H6305">
        <f>_xludf.IMAGE("https://m.media-amazon.com/images/I/41u3rsS18AL._AC_UL320_.jpg")</f>
        <v/>
      </c>
      <c r="K6305" t="inlineStr">
        <is>
          <t>4.99</t>
        </is>
      </c>
      <c r="L6305" t="n">
        <v>4.83</v>
      </c>
      <c r="M6305" s="1" t="inlineStr">
        <is>
          <t>-3.21%</t>
        </is>
      </c>
      <c r="N6305" s="1" t="n"/>
      <c r="O6305" t="n">
        <v>4.8</v>
      </c>
      <c r="P6305" t="n">
        <v>2477</v>
      </c>
      <c r="R6305" t="inlineStr">
        <is>
          <t>InStock</t>
        </is>
      </c>
      <c r="S6305" t="inlineStr">
        <is>
          <t>7.56</t>
        </is>
      </c>
      <c r="T6305" t="inlineStr">
        <is>
          <t>7780503290072</t>
        </is>
      </c>
    </row>
    <row r="6306" ht="87" customHeight="1">
      <c r="A6306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6306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6306" t="inlineStr">
        <is>
          <t>Klein Tools 605-7-INS Insulated 1/4-Inch Cabinet Tip Screwdriver, 7-Inch</t>
        </is>
      </c>
      <c r="D6306" t="inlineStr">
        <is>
          <t>Klein Tools 605-7-INS Insulated 1/4-Inch Cabinet Tip Screwdriver, 7-Inch</t>
        </is>
      </c>
      <c r="E6306" s="2">
        <f>HYPERLINK("https://www.amazon.com/Insulated-Screwdriver-Klein-Tools-605-7-INS/dp/B00J9S1EX6/ref=sr_1_1?keywords=Klein+Tools+605-7-INS+Insulated+1%2F4-Inch+Cabinet+Tip+Screwdriver%2C+7-Inch&amp;qid=1694735376&amp;sr=8-1", "https://www.amazon.com/Insulated-Screwdriver-Klein-Tools-605-7-INS/dp/B00J9S1EX6/ref=sr_1_1?keywords=Klein+Tools+605-7-INS+Insulated+1%2F4-Inch+Cabinet+Tip+Screwdriver%2C+7-Inch&amp;qid=1694735376&amp;sr=8-1")</f>
        <v/>
      </c>
      <c r="F6306" t="inlineStr">
        <is>
          <t>B00J9S1EX6</t>
        </is>
      </c>
      <c r="G6306">
        <f>_xlfn.IMAGE("https://edmondsonsupply.com/cdn/shop/products/605-7-ins.jpg?v=1587148614")</f>
        <v/>
      </c>
      <c r="H6306">
        <f>_xlfn.IMAGE("https://m.media-amazon.com/images/I/41PbqrqWh2L._AC_UL320_.jpg")</f>
        <v/>
      </c>
      <c r="K6306" t="inlineStr">
        <is>
          <t>23.99</t>
        </is>
      </c>
      <c r="L6306" t="n">
        <v>23.22</v>
      </c>
      <c r="M6306" s="1" t="inlineStr">
        <is>
          <t>-3.21%</t>
        </is>
      </c>
      <c r="N6306" s="7" t="n"/>
      <c r="O6306" t="n">
        <v>4.8</v>
      </c>
      <c r="P6306" t="n">
        <v>1068</v>
      </c>
      <c r="R6306" t="inlineStr">
        <is>
          <t>InStock</t>
        </is>
      </c>
      <c r="S6306" t="inlineStr">
        <is>
          <t>32.58</t>
        </is>
      </c>
      <c r="T6306" t="inlineStr">
        <is>
          <t>4414349181028</t>
        </is>
      </c>
    </row>
    <row r="6307" ht="87" customHeight="1">
      <c r="A6307" s="2">
        <f>HYPERLINK("https://edmondsonsupply.com/collections/electricians-tools/products/klein-tools-12098-universal-combination-pliers-8-inch", "https://edmondsonsupply.com/collections/electricians-tools/products/klein-tools-12098-universal-combination-pliers-8-inch")</f>
        <v/>
      </c>
      <c r="B6307" s="2">
        <f>HYPERLINK("https://edmondsonsupply.com/products/klein-tools-12098-universal-combination-pliers-8-inch", "https://edmondsonsupply.com/products/klein-tools-12098-universal-combination-pliers-8-inch")</f>
        <v/>
      </c>
      <c r="C6307" t="inlineStr">
        <is>
          <t>Klein Tools 12098 Universal Combination Pliers, 8-Inch</t>
        </is>
      </c>
      <c r="D6307" t="inlineStr">
        <is>
          <t>Klein Tools 12098 High Leverage Universal Lineman Combination Pliers with Crimping Die, Toothed Pipe Grip, Induction Hardened Knives, 8-Inch</t>
        </is>
      </c>
      <c r="E6307" s="2">
        <f>HYPERLINK("https://www.amazon.com/Universal-Combination-Pliers-Klein-Tools/dp/B0002RI4UY/ref=sr_1_1?keywords=Klein+Tools+12098+Universal+Combination+Pliers%2C+8-Inch&amp;qid=1694735339&amp;sr=8-1", "https://www.amazon.com/Universal-Combination-Pliers-Klein-Tools/dp/B0002RI4UY/ref=sr_1_1?keywords=Klein+Tools+12098+Universal+Combination+Pliers%2C+8-Inch&amp;qid=1694735339&amp;sr=8-1")</f>
        <v/>
      </c>
      <c r="F6307" t="inlineStr">
        <is>
          <t>B0002RI4UY</t>
        </is>
      </c>
      <c r="G6307">
        <f>_xlfn.IMAGE("https://edmondsonsupply.com/cdn/shop/products/12098.jpg?v=1587149846")</f>
        <v/>
      </c>
      <c r="H6307">
        <f>_xlfn.IMAGE("https://m.media-amazon.com/images/I/51OlZryAiaL._AC_UL320_.jpg")</f>
        <v/>
      </c>
      <c r="K6307" t="inlineStr">
        <is>
          <t>30.99</t>
        </is>
      </c>
      <c r="L6307" t="n">
        <v>29.99</v>
      </c>
      <c r="M6307" s="1" t="inlineStr">
        <is>
          <t>-3.23%</t>
        </is>
      </c>
      <c r="N6307" s="7" t="n"/>
      <c r="O6307" t="n">
        <v>4.6</v>
      </c>
      <c r="P6307" t="n">
        <v>161</v>
      </c>
      <c r="R6307" t="inlineStr">
        <is>
          <t>InStock</t>
        </is>
      </c>
      <c r="S6307" t="inlineStr">
        <is>
          <t>44.6</t>
        </is>
      </c>
      <c r="T6307" t="inlineStr">
        <is>
          <t>4499685703780</t>
        </is>
      </c>
    </row>
    <row r="6308" ht="87" customHeight="1">
      <c r="A6308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6308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6308" t="inlineStr">
        <is>
          <t>Klein Tools NCVT-3P Dual Range Non-Contact Voltage Tester with Flashlight, 12 - 1000V AC</t>
        </is>
      </c>
      <c r="D6308" t="inlineStr">
        <is>
          <t>Klein Tools NCVT2PKIT Non-Contact Voltage Tester with Outlet Tester, 12-48V AC or 48 - 1000V AC Dual Range for Broad Application</t>
        </is>
      </c>
      <c r="E6308" s="2">
        <f>HYPERLINK("https://www.amazon.com/Klein-Tools-NCVT2PKIT-Non-Contact-Application/dp/B08FPHS6HL/ref=sr_1_8?keywords=Klein+Tools+NCVT-3P+Dual+Range+Non-Contact+Voltage+Tester+with+Flashlight%2C+12+-+1000V+AC&amp;qid=1694735337&amp;sr=8-8", "https://www.amazon.com/Klein-Tools-NCVT2PKIT-Non-Contact-Application/dp/B08FPHS6HL/ref=sr_1_8?keywords=Klein+Tools+NCVT-3P+Dual+Range+Non-Contact+Voltage+Tester+with+Flashlight%2C+12+-+1000V+AC&amp;qid=1694735337&amp;sr=8-8")</f>
        <v/>
      </c>
      <c r="F6308" t="inlineStr">
        <is>
          <t>B08FPHS6HL</t>
        </is>
      </c>
      <c r="G6308">
        <f>_xlfn.IMAGE("https://edmondsonsupply.com/cdn/shop/products/ncvt3p.jpg?v=1633030219")</f>
        <v/>
      </c>
      <c r="H6308">
        <f>_xlfn.IMAGE("https://m.media-amazon.com/images/I/511RscwJPxL._AC_UL320_.jpg")</f>
        <v/>
      </c>
      <c r="K6308" t="inlineStr">
        <is>
          <t>29.97</t>
        </is>
      </c>
      <c r="L6308" t="n">
        <v>28.99</v>
      </c>
      <c r="M6308" s="1" t="inlineStr">
        <is>
          <t>-3.27%</t>
        </is>
      </c>
      <c r="N6308" s="7" t="n"/>
      <c r="O6308" t="n">
        <v>4.8</v>
      </c>
      <c r="P6308" t="n">
        <v>3246</v>
      </c>
      <c r="R6308" t="inlineStr">
        <is>
          <t>InStock</t>
        </is>
      </c>
      <c r="S6308" t="inlineStr">
        <is>
          <t>40.36</t>
        </is>
      </c>
      <c r="T6308" t="inlineStr">
        <is>
          <t>4505582174308</t>
        </is>
      </c>
    </row>
    <row r="6309" ht="87" customHeight="1">
      <c r="A6309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6309" s="2">
        <f>HYPERLINK("https://edmondsonsupply.com/products/klein-tools-d203-8-pliers-long-nose-side-cutters-8-inch", "https://edmondsonsupply.com/products/klein-tools-d203-8-pliers-long-nose-side-cutters-8-inch")</f>
        <v/>
      </c>
      <c r="C6309" t="inlineStr">
        <is>
          <t>Klein Tools D203-8 Pliers, Needle Nose Side-Cutters, 8-Inch</t>
        </is>
      </c>
      <c r="D6309" t="inlineStr">
        <is>
          <t>Klein Tools J203-6 Needle Nose Pliers, Long Nose Side Cutters, Heavy Duty Journeyman Alligator Pliers with Curved Handles, 6-3/4-Inch</t>
        </is>
      </c>
      <c r="E6309" s="2">
        <f>HYPERLINK("https://www.amazon.com/Klein-Tools-J203-6-Pliers-Side-Cutters/dp/B000FH289O/ref=sr_1_10?keywords=Klein+Tools+D203-8+Pliers%2C+Needle+Nose+Side-Cutters%2C+8-Inch&amp;qid=1694735240&amp;sr=8-10", "https://www.amazon.com/Klein-Tools-J203-6-Pliers-Side-Cutters/dp/B000FH289O/ref=sr_1_10?keywords=Klein+Tools+D203-8+Pliers%2C+Needle+Nose+Side-Cutters%2C+8-Inch&amp;qid=1694735240&amp;sr=8-10")</f>
        <v/>
      </c>
      <c r="F6309" t="inlineStr">
        <is>
          <t>B000FH289O</t>
        </is>
      </c>
      <c r="G6309">
        <f>_xlfn.IMAGE("https://edmondsonsupply.com/cdn/shop/products/d2038.jpg?v=1633030802")</f>
        <v/>
      </c>
      <c r="H6309">
        <f>_xlfn.IMAGE("https://m.media-amazon.com/images/I/514ud2Pt0TL._AC_UL320_.jpg")</f>
        <v/>
      </c>
      <c r="K6309" t="inlineStr">
        <is>
          <t>29.97</t>
        </is>
      </c>
      <c r="L6309" t="n">
        <v>28.99</v>
      </c>
      <c r="M6309" s="1" t="inlineStr">
        <is>
          <t>-3.27%</t>
        </is>
      </c>
      <c r="N6309" s="7" t="n"/>
      <c r="O6309" t="n">
        <v>4.7</v>
      </c>
      <c r="P6309" t="n">
        <v>106</v>
      </c>
      <c r="R6309" t="inlineStr">
        <is>
          <t>InStock</t>
        </is>
      </c>
      <c r="S6309" t="inlineStr">
        <is>
          <t>44.84</t>
        </is>
      </c>
      <c r="T6309" t="inlineStr">
        <is>
          <t>6005724577960</t>
        </is>
      </c>
    </row>
    <row r="6310" ht="87" customHeight="1">
      <c r="A6310" s="2">
        <f>HYPERLINK("https://edmondsonsupply.com/collections/electricians-tools/products/klein-tools-647-nut-driver-set-6-inch-shafts-7-piece", "https://edmondsonsupply.com/collections/electricians-tools/products/klein-tools-647-nut-driver-set-6-inch-shafts-7-piece")</f>
        <v/>
      </c>
      <c r="B6310" s="2">
        <f>HYPERLINK("https://edmondsonsupply.com/products/klein-tools-647-nut-driver-set-6-inch-shafts-7-piece", "https://edmondsonsupply.com/products/klein-tools-647-nut-driver-set-6-inch-shafts-7-piece")</f>
        <v/>
      </c>
      <c r="C6310" t="inlineStr">
        <is>
          <t>Klein Tools 647 Nut Driver Set, 6-Inch Shafts, 7-Piece</t>
        </is>
      </c>
      <c r="D6310" t="inlineStr">
        <is>
          <t>Klein Tools 647 Tool Set, Nut Drivers Sizes 3/16, 1/4, 5/16, 11/32, 3/8, 7/16, 1/2-Inch, Chrome-Plated 6-Inch Shafts, Cushion Grip, 7-Piece</t>
        </is>
      </c>
      <c r="E6310" s="2">
        <f>HYPERLINK("https://www.amazon.com/Driver-6-Inch-Klein-Tools-647/dp/B0014KRVXO/ref=sr_1_1?keywords=Klein+Tools+647+Nut+Driver+Set%2C+6-Inch+Shafts%2C+7-Piece&amp;qid=1694735405&amp;sr=8-1", "https://www.amazon.com/Driver-6-Inch-Klein-Tools-647/dp/B0014KRVXO/ref=sr_1_1?keywords=Klein+Tools+647+Nut+Driver+Set%2C+6-Inch+Shafts%2C+7-Piece&amp;qid=1694735405&amp;sr=8-1")</f>
        <v/>
      </c>
      <c r="F6310" t="inlineStr">
        <is>
          <t>B0014KRVXO</t>
        </is>
      </c>
      <c r="G6310">
        <f>_xlfn.IMAGE("https://edmondsonsupply.com/cdn/shop/products/647.jpg?v=1587143213")</f>
        <v/>
      </c>
      <c r="H6310">
        <f>_xlfn.IMAGE("https://m.media-amazon.com/images/I/51usUk-EpGL._AC_UL320_.jpg")</f>
        <v/>
      </c>
      <c r="K6310" t="inlineStr">
        <is>
          <t>59.99</t>
        </is>
      </c>
      <c r="L6310" t="n">
        <v>57.99</v>
      </c>
      <c r="M6310" s="1" t="inlineStr">
        <is>
          <t>-3.33%</t>
        </is>
      </c>
      <c r="N6310" s="7" t="n"/>
      <c r="O6310" t="n">
        <v>4.8</v>
      </c>
      <c r="P6310" t="n">
        <v>734</v>
      </c>
      <c r="R6310" t="inlineStr">
        <is>
          <t>InStock</t>
        </is>
      </c>
      <c r="S6310" t="inlineStr">
        <is>
          <t>91.02</t>
        </is>
      </c>
      <c r="T6310" t="inlineStr">
        <is>
          <t>4391224770660</t>
        </is>
      </c>
    </row>
    <row r="6311" ht="87" customHeight="1">
      <c r="A6311" s="2">
        <f>HYPERLINK("https://edmondsonsupply.com/collections/electricians-tools/products/klein-tools-631-nut-driver-set-3-inch-shafts-cushion-grip-7-piece", "https://edmondsonsupply.com/collections/electricians-tools/products/klein-tools-631-nut-driver-set-3-inch-shafts-cushion-grip-7-piece")</f>
        <v/>
      </c>
      <c r="B6311" s="2">
        <f>HYPERLINK("https://edmondsonsupply.com/products/klein-tools-631-nut-driver-set-3-inch-shafts-cushion-grip-7-piece", "https://edmondsonsupply.com/products/klein-tools-631-nut-driver-set-3-inch-shafts-cushion-grip-7-piece")</f>
        <v/>
      </c>
      <c r="C6311" t="inlineStr">
        <is>
          <t>Klein Tools 631 Nut Driver Set, 3-Inch Shafts, Cushion Grip, 7-Piece</t>
        </is>
      </c>
      <c r="D6311" t="inlineStr">
        <is>
          <t>Klein Tools 647 Tool Set, Nut Drivers Sizes 3/16, 1/4, 5/16, 11/32, 3/8, 7/16, 1/2-Inch, Chrome-Plated 6-Inch Shafts, Cushion Grip, 7-Piece</t>
        </is>
      </c>
      <c r="E6311" s="2">
        <f>HYPERLINK("https://www.amazon.com/Driver-6-Inch-Klein-Tools-647/dp/B0014KRVXO/ref=sr_1_2?keywords=Klein+Tools+631+Nut+Driver+Set%2C+3-Inch+Shafts%2C+Cushion+Grip%2C+7-Piece&amp;qid=1694735184&amp;sr=8-2", "https://www.amazon.com/Driver-6-Inch-Klein-Tools-647/dp/B0014KRVXO/ref=sr_1_2?keywords=Klein+Tools+631+Nut+Driver+Set%2C+3-Inch+Shafts%2C+Cushion+Grip%2C+7-Piece&amp;qid=1694735184&amp;sr=8-2")</f>
        <v/>
      </c>
      <c r="F6311" t="inlineStr">
        <is>
          <t>B0014KRVXO</t>
        </is>
      </c>
      <c r="G6311">
        <f>_xlfn.IMAGE("https://edmondsonsupply.com/cdn/shop/products/631.jpg?v=1632441079")</f>
        <v/>
      </c>
      <c r="H6311">
        <f>_xlfn.IMAGE("https://m.media-amazon.com/images/I/51usUk-EpGL._AC_UL320_.jpg")</f>
        <v/>
      </c>
      <c r="K6311" t="inlineStr">
        <is>
          <t>59.99</t>
        </is>
      </c>
      <c r="L6311" t="n">
        <v>57.99</v>
      </c>
      <c r="M6311" s="1" t="inlineStr">
        <is>
          <t>-3.33%</t>
        </is>
      </c>
      <c r="N6311" s="7" t="n"/>
      <c r="O6311" t="n">
        <v>4.8</v>
      </c>
      <c r="P6311" t="n">
        <v>734</v>
      </c>
      <c r="R6311" t="inlineStr">
        <is>
          <t>InStock</t>
        </is>
      </c>
      <c r="S6311" t="inlineStr">
        <is>
          <t>82.2</t>
        </is>
      </c>
      <c r="T6311" t="inlineStr">
        <is>
          <t>6961446420653</t>
        </is>
      </c>
    </row>
    <row r="6312" hidden="1" ht="15.75" customHeight="1">
      <c r="A6312" s="2">
        <f>HYPERLINK("https://edmondsonsupply.com/collections/electricians-tools/products/milwaukee-2863-22r-m18-fuel%E2%84%A2-w-one-key%E2%84%A2-high-torque-impact-wrench-1-2-friction-ring-kit", "https://edmondsonsupply.com/collections/electricians-tools/products/milwaukee-2863-22r-m18-fuel%E2%84%A2-w-one-key%E2%84%A2-high-torque-impact-wrench-1-2-friction-ring-kit")</f>
        <v/>
      </c>
      <c r="B6312" s="2">
        <f>HYPERLINK("https://edmondsonsupply.com/products/milwaukee-2863-22r-m18-fuel%e2%84%a2-w-one-key%e2%84%a2-high-torque-impact-wrench-1-2-friction-ring-kit", "https://edmondsonsupply.com/products/milwaukee-2863-22r-m18-fuel%e2%84%a2-w-one-key%e2%84%a2-high-torque-impact-wrench-1-2-friction-ring-kit")</f>
        <v/>
      </c>
      <c r="C6312" t="inlineStr">
        <is>
          <t>Milwaukee 2863-22R M18 FUEL™ w/ ONE-KEY™ High Torque Impact Wrench 1/2" Friction Ring Kit</t>
        </is>
      </c>
      <c r="D6312" t="inlineStr">
        <is>
          <t>Milwaukee 2863-22 M18 FUEL w/ ONEKEY High Torque Impact Wrench 1/2 in. Friction Ring Kit</t>
        </is>
      </c>
      <c r="E6312" s="2">
        <f>HYPERLINK("https://www.amazon.com/Milwaukee-ONE-KEY-Torque-Impact-Friction/dp/B08DTMV8DQ/ref=sr_1_1?keywords=Milwaukee+2863-22R+M18+FUEL%E2%84%A2+w%2F+ONE-KEY%E2%84%A2+High+Torque+Impact+Wrench+1%2F2%22+Friction+Ring+Kit&amp;qid=1694735065&amp;sr=8-1", "https://www.amazon.com/Milwaukee-ONE-KEY-Torque-Impact-Friction/dp/B08DTMV8DQ/ref=sr_1_1?keywords=Milwaukee+2863-22R+M18+FUEL%E2%84%A2+w%2F+ONE-KEY%E2%84%A2+High+Torque+Impact+Wrench+1%2F2%22+Friction+Ring+Kit&amp;qid=1694735065&amp;sr=8-1")</f>
        <v/>
      </c>
      <c r="F6312" t="inlineStr">
        <is>
          <t>B08DTMV8DQ</t>
        </is>
      </c>
      <c r="G6312">
        <f>_xludf.IMAGE("https://edmondsonsupply.com/cdn/shop/products/2863-22R_Kit_102.png?v=1671644124")</f>
        <v/>
      </c>
      <c r="H6312">
        <f>_xludf.IMAGE("https://m.media-amazon.com/images/I/41bfbogzulL._AC_UL320_.jpg")</f>
        <v/>
      </c>
      <c r="K6312" t="inlineStr">
        <is>
          <t>569.0</t>
        </is>
      </c>
      <c r="L6312" t="n">
        <v>549.9</v>
      </c>
      <c r="M6312" s="1" t="inlineStr">
        <is>
          <t>-3.36%</t>
        </is>
      </c>
      <c r="N6312" s="1" t="n"/>
      <c r="O6312" t="n">
        <v>3.6</v>
      </c>
      <c r="P6312" t="n">
        <v>2</v>
      </c>
      <c r="R6312" t="inlineStr">
        <is>
          <t>InStock</t>
        </is>
      </c>
      <c r="S6312" t="inlineStr">
        <is>
          <t>1066.0</t>
        </is>
      </c>
      <c r="T6312" t="inlineStr">
        <is>
          <t>7909831213272</t>
        </is>
      </c>
    </row>
    <row r="6313" hidden="1" ht="15.75" customHeight="1">
      <c r="A6313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6313" s="2">
        <f>HYPERLINK("https://edmondsonsupply.com/products/diablo-tools-dmapl2240-3-8-in-x-10-in-x-12-in-sds-plus-2-cutter", "https://edmondsonsupply.com/products/diablo-tools-dmapl2240-3-8-in-x-10-in-x-12-in-sds-plus-2-cutter")</f>
        <v/>
      </c>
      <c r="C6313" t="inlineStr">
        <is>
          <t>Diablo Tools DMAPL2240 3/8 in. x 10 in. x 12 in. SDS-Plus 2-Cutter</t>
        </is>
      </c>
      <c r="D6313" t="inlineStr">
        <is>
          <t>Diablo 1/2 in. x 10 in. x 12 in. SDS-Plus 2-Cutter</t>
        </is>
      </c>
      <c r="E6313" s="2">
        <f>HYPERLINK("https://www.amazon.com/Diablo-10-12-SDS-Plus-2-Cutter/dp/B089LLL1VX/ref=sr_1_27?keywords=Diablo+Tools+DMAPL2240+3%2F8+in.+x+10+in.+x+12+in.+SDS-Plus+2-Cutter&amp;qid=1694735297&amp;sr=8-27", "https://www.amazon.com/Diablo-10-12-SDS-Plus-2-Cutter/dp/B089LLL1VX/ref=sr_1_27?keywords=Diablo+Tools+DMAPL2240+3%2F8+in.+x+10+in.+x+12+in.+SDS-Plus+2-Cutter&amp;qid=1694735297&amp;sr=8-27")</f>
        <v/>
      </c>
      <c r="F6313" t="inlineStr">
        <is>
          <t>B089LLL1VX</t>
        </is>
      </c>
      <c r="G6313">
        <f>_xludf.IMAGE("https://edmondsonsupply.com/cdn/shop/products/DMAPL2240-P25.jpg?v=1633030355")</f>
        <v/>
      </c>
      <c r="H6313">
        <f>_xludf.IMAGE("https://m.media-amazon.com/images/I/61+hWGquLCL._AC_UL320_.jpg")</f>
        <v/>
      </c>
      <c r="K6313" t="inlineStr">
        <is>
          <t>10.97</t>
        </is>
      </c>
      <c r="L6313" t="n">
        <v>10.6</v>
      </c>
      <c r="M6313" s="1" t="inlineStr">
        <is>
          <t>-3.37%</t>
        </is>
      </c>
      <c r="N6313" s="1" t="n"/>
      <c r="O6313" t="n">
        <v>4.7</v>
      </c>
      <c r="P6313" t="n">
        <v>4</v>
      </c>
      <c r="R6313" t="inlineStr">
        <is>
          <t>InStock</t>
        </is>
      </c>
      <c r="S6313" t="inlineStr">
        <is>
          <t>12.38</t>
        </is>
      </c>
      <c r="T6313" t="inlineStr">
        <is>
          <t>5286161252520</t>
        </is>
      </c>
    </row>
    <row r="6314" ht="87" customHeight="1">
      <c r="A6314" s="2">
        <f>HYPERLINK("https://edmondsonsupply.com/collections/electricians-tools/products/klein-tools-635-4-nut-driver-set-magnetic-nut-drivers-heavy-duty-4-piece", "https://edmondsonsupply.com/collections/electricians-tools/products/klein-tools-635-4-nut-driver-set-magnetic-nut-drivers-heavy-duty-4-piece")</f>
        <v/>
      </c>
      <c r="B6314" s="2">
        <f>HYPERLINK("https://edmondsonsupply.com/products/klein-tools-635-4-nut-driver-set-magnetic-nut-drivers-heavy-duty-4-piece", "https://edmondsonsupply.com/products/klein-tools-635-4-nut-driver-set-magnetic-nut-drivers-heavy-duty-4-piece")</f>
        <v/>
      </c>
      <c r="C6314" t="inlineStr">
        <is>
          <t>Klein Tools 635-4 Nut Driver Set, Magnetic Nut Drivers, Heavy Duty, 4-Piece</t>
        </is>
      </c>
      <c r="D6314" t="inlineStr">
        <is>
          <t>Klein Tools 635-4 Tool Set, Heavy Duty Magnetic Nut Drivers Hex Sizes 1/4, 5/16, 3/8, 7/16-Inch, Full Hollow Shafts w/Color Coding, 4-Piece</t>
        </is>
      </c>
      <c r="E6314" s="2">
        <f>HYPERLINK("https://www.amazon.com/Klein-Tools-Heavy-Duty-Driver-4-Piece/dp/B01D6D08UO/ref=sr_1_1?keywords=Klein+Tools+635-4+Nut+Driver+Set%2C+Magnetic+Nut+Drivers%2C+Heavy+Duty%2C+4-Piece&amp;qid=1694735170&amp;sr=8-1", "https://www.amazon.com/Klein-Tools-Heavy-Duty-Driver-4-Piece/dp/B01D6D08UO/ref=sr_1_1?keywords=Klein+Tools+635-4+Nut+Driver+Set%2C+Magnetic+Nut+Drivers%2C+Heavy+Duty%2C+4-Piece&amp;qid=1694735170&amp;sr=8-1")</f>
        <v/>
      </c>
      <c r="F6314" t="inlineStr">
        <is>
          <t>B01D6D08UO</t>
        </is>
      </c>
      <c r="G6314">
        <f>_xlfn.IMAGE("https://edmondsonsupply.com/cdn/shop/products/635-4.jpg?v=1640815398")</f>
        <v/>
      </c>
      <c r="H6314">
        <f>_xlfn.IMAGE("https://m.media-amazon.com/images/I/51svRJU945L._AC_UL320_.jpg")</f>
        <v/>
      </c>
      <c r="K6314" t="inlineStr">
        <is>
          <t>54.99</t>
        </is>
      </c>
      <c r="L6314" t="n">
        <v>53.13</v>
      </c>
      <c r="M6314" s="1" t="inlineStr">
        <is>
          <t>-3.38%</t>
        </is>
      </c>
      <c r="N6314" s="7" t="n"/>
      <c r="O6314" t="n">
        <v>4.7</v>
      </c>
      <c r="P6314" t="n">
        <v>943</v>
      </c>
      <c r="R6314" t="inlineStr">
        <is>
          <t>InStock</t>
        </is>
      </c>
      <c r="S6314" t="inlineStr">
        <is>
          <t>83.32</t>
        </is>
      </c>
      <c r="T6314" t="inlineStr">
        <is>
          <t>7559649984728</t>
        </is>
      </c>
    </row>
    <row r="6315" ht="87" customHeight="1">
      <c r="A6315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6315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6315" t="inlineStr">
        <is>
          <t>Klein Tools NCVT-3P Dual Range Non-Contact Voltage Tester with Flashlight, 12 - 1000V AC</t>
        </is>
      </c>
      <c r="D6315" t="inlineStr">
        <is>
          <t>Klein Tools NCVT-2 Voltage Tester, Non-Contact Dual Range Voltage Tester Pen for Standard and Low Voltage, with 3 m Drop Protection</t>
        </is>
      </c>
      <c r="E6315" s="2">
        <f>HYPERLINK("https://www.amazon.com/Klein-Tools-NCVT-2-Standard-Protection/dp/B004FXJOQO/ref=sr_1_5?keywords=Klein+Tools+NCVT-3P+Dual+Range+Non-Contact+Voltage+Tester+with+Flashlight%2C+12+-+1000V+AC&amp;qid=1694735337&amp;sr=8-5", "https://www.amazon.com/Klein-Tools-NCVT-2-Standard-Protection/dp/B004FXJOQO/ref=sr_1_5?keywords=Klein+Tools+NCVT-3P+Dual+Range+Non-Contact+Voltage+Tester+with+Flashlight%2C+12+-+1000V+AC&amp;qid=1694735337&amp;sr=8-5")</f>
        <v/>
      </c>
      <c r="F6315" t="inlineStr">
        <is>
          <t>B004FXJOQO</t>
        </is>
      </c>
      <c r="G6315">
        <f>_xlfn.IMAGE("https://edmondsonsupply.com/cdn/shop/products/ncvt3p.jpg?v=1633030219")</f>
        <v/>
      </c>
      <c r="H6315">
        <f>_xlfn.IMAGE("https://m.media-amazon.com/images/I/514tywDAdHL._AC_UL320_.jpg")</f>
        <v/>
      </c>
      <c r="K6315" t="inlineStr">
        <is>
          <t>29.97</t>
        </is>
      </c>
      <c r="L6315" t="n">
        <v>28.95</v>
      </c>
      <c r="M6315" s="1" t="inlineStr">
        <is>
          <t>-3.40%</t>
        </is>
      </c>
      <c r="N6315" s="7" t="n"/>
      <c r="O6315" t="n">
        <v>4.6</v>
      </c>
      <c r="P6315" t="n">
        <v>5762</v>
      </c>
      <c r="R6315" t="inlineStr">
        <is>
          <t>InStock</t>
        </is>
      </c>
      <c r="S6315" t="inlineStr">
        <is>
          <t>40.36</t>
        </is>
      </c>
      <c r="T6315" t="inlineStr">
        <is>
          <t>4505582174308</t>
        </is>
      </c>
    </row>
    <row r="6316" ht="87" customHeight="1">
      <c r="A6316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6316" s="2">
        <f>HYPERLINK("https://edmondsonsupply.com/products/diablo-tools-dmast1050-5-8-in-x-2-1-16-x-sds-plus-2-cutter", "https://edmondsonsupply.com/products/diablo-tools-dmast1050-5-8-in-x-2-1-16-x-sds-plus-2-cutter")</f>
        <v/>
      </c>
      <c r="C6316" t="inlineStr">
        <is>
          <t>Diablo Tools DMAST1050 5/8 in. x 2-1/16 SDS-Plus 2-Cutter</t>
        </is>
      </c>
      <c r="D6316" t="inlineStr">
        <is>
          <t>BOSCH HCSTP2086 5/8 In. x 2-1/16 In. SDS-plus Stop Bit,Silver</t>
        </is>
      </c>
      <c r="E6316" s="2">
        <f>HYPERLINK("https://www.amazon.com/Bosch-HCSTP2086-2-1-SDS-plus-Stop/dp/B0058PJFWQ/ref=sr_1_12?keywords=Diablo+Tools+DMAST1050+5%2F8+in.+x+2-1%2F16+SDS-Plus+2-Cutter&amp;qid=1694735304&amp;sr=8-12", "https://www.amazon.com/Bosch-HCSTP2086-2-1-SDS-plus-Stop/dp/B0058PJFWQ/ref=sr_1_12?keywords=Diablo+Tools+DMAST1050+5%2F8+in.+x+2-1%2F16+SDS-Plus+2-Cutter&amp;qid=1694735304&amp;sr=8-12")</f>
        <v/>
      </c>
      <c r="F6316" t="inlineStr">
        <is>
          <t>B0058PJFWQ</t>
        </is>
      </c>
      <c r="G6316">
        <f>_xlfn.IMAGE("https://edmondsonsupply.com/cdn/shop/products/DMAST1050_1.jpg?v=1633030363")</f>
        <v/>
      </c>
      <c r="H6316">
        <f>_xlfn.IMAGE("https://m.media-amazon.com/images/I/71sa0wNLOgL._AC_UL320_.jpg")</f>
        <v/>
      </c>
      <c r="K6316" t="inlineStr">
        <is>
          <t>21.97</t>
        </is>
      </c>
      <c r="L6316" t="n">
        <v>21.21</v>
      </c>
      <c r="M6316" s="1" t="inlineStr">
        <is>
          <t>-3.46%</t>
        </is>
      </c>
      <c r="N6316" s="7" t="n"/>
      <c r="O6316" t="n">
        <v>4.6</v>
      </c>
      <c r="P6316" t="n">
        <v>98</v>
      </c>
      <c r="R6316" t="inlineStr">
        <is>
          <t>InStock</t>
        </is>
      </c>
      <c r="S6316" t="inlineStr">
        <is>
          <t>29.12</t>
        </is>
      </c>
      <c r="T6316" t="inlineStr">
        <is>
          <t>5286938869928</t>
        </is>
      </c>
    </row>
    <row r="6317" ht="87" customHeight="1">
      <c r="A6317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6317" s="2">
        <f>HYPERLINK("https://edmondsonsupply.com/products/klein-tools-d2000-48-diagonal-cutting-pliers-angled-head-8-inch", "https://edmondsonsupply.com/products/klein-tools-d2000-48-diagonal-cutting-pliers-angled-head-8-inch")</f>
        <v/>
      </c>
      <c r="C6317" t="inlineStr">
        <is>
          <t>Klein Tools D2000-48 Diagonal Cutting Pliers, Angled Head, 8-Inch</t>
        </is>
      </c>
      <c r="D6317" t="inlineStr">
        <is>
          <t>Klein Tools D200028GLW Pliers, Hi-Viz Diagonal Cutting Pliers with Short Jaws and Glow in the Dark Handles, 8-Inch</t>
        </is>
      </c>
      <c r="E6317" s="2">
        <f>HYPERLINK("https://www.amazon.com/Klein-Tools-D200028GLW-Pliers-Diagonal-Cutters/dp/B00H7PIB66/ref=sr_1_17?keywords=Klein+Tools+D2000-48+Diagonal+Cutting+Pliers%2C+Angled+Head%2C+8-Inch&amp;qid=1694735135&amp;sr=8-17", "https://www.amazon.com/Klein-Tools-D200028GLW-Pliers-Diagonal-Cutters/dp/B00H7PIB66/ref=sr_1_17?keywords=Klein+Tools+D2000-48+Diagonal+Cutting+Pliers%2C+Angled+Head%2C+8-Inch&amp;qid=1694735135&amp;sr=8-17")</f>
        <v/>
      </c>
      <c r="F6317" t="inlineStr">
        <is>
          <t>B00H7PIB66</t>
        </is>
      </c>
      <c r="G6317">
        <f>_xlfn.IMAGE("https://edmondsonsupply.com/cdn/shop/products/d200048.jpg?v=1660920588")</f>
        <v/>
      </c>
      <c r="H6317">
        <f>_xlfn.IMAGE("https://m.media-amazon.com/images/I/41wGfd897cL._AC_UL320_.jpg")</f>
        <v/>
      </c>
      <c r="K6317" t="inlineStr">
        <is>
          <t>34.97</t>
        </is>
      </c>
      <c r="L6317" t="n">
        <v>33.75</v>
      </c>
      <c r="M6317" s="1" t="inlineStr">
        <is>
          <t>-3.49%</t>
        </is>
      </c>
      <c r="N6317" s="7" t="n"/>
      <c r="O6317" t="n">
        <v>4.7</v>
      </c>
      <c r="P6317" t="n">
        <v>497</v>
      </c>
      <c r="R6317" t="inlineStr">
        <is>
          <t>InStock</t>
        </is>
      </c>
      <c r="S6317" t="inlineStr">
        <is>
          <t>49.78</t>
        </is>
      </c>
      <c r="T6317" t="inlineStr">
        <is>
          <t>7786125164760</t>
        </is>
      </c>
    </row>
    <row r="6318" hidden="1" ht="15.75" customHeight="1">
      <c r="A6318" s="2">
        <f>HYPERLINK("https://edmondsonsupply.com/collections/electricians-tools/products/klein-tools-56250-wire-marker-book-1-48", "https://edmondsonsupply.com/collections/electricians-tools/products/klein-tools-56250-wire-marker-book-1-48")</f>
        <v/>
      </c>
      <c r="B6318" s="2">
        <f>HYPERLINK("https://edmondsonsupply.com/products/klein-tools-56250-wire-marker-book-1-48", "https://edmondsonsupply.com/products/klein-tools-56250-wire-marker-book-1-48")</f>
        <v/>
      </c>
      <c r="C6318" t="inlineStr">
        <is>
          <t>Klein Tools 56250 Wire Marker Book, 1-48</t>
        </is>
      </c>
      <c r="D6318" t="inlineStr">
        <is>
          <t>Klein Tools 56250 Wire Marker Book, 1-48, Black Print on White</t>
        </is>
      </c>
      <c r="E6318" s="2">
        <f>HYPERLINK("https://www.amazon.com/Wire-Marker-Klein-Tools-56250/dp/B072SVZKQ5/ref=sr_1_1?keywords=Klein+Tools+56250+Wire+Marker+Book%2C+1-48&amp;qid=1694734988&amp;sr=8-1", "https://www.amazon.com/Wire-Marker-Klein-Tools-56250/dp/B072SVZKQ5/ref=sr_1_1?keywords=Klein+Tools+56250+Wire+Marker+Book%2C+1-48&amp;qid=1694734988&amp;sr=8-1")</f>
        <v/>
      </c>
      <c r="F6318" t="inlineStr">
        <is>
          <t>B072SVZKQ5</t>
        </is>
      </c>
      <c r="G6318">
        <f>_xludf.IMAGE("https://edmondsonsupply.com/cdn/shop/products/56250_b.jpg?v=1667234920")</f>
        <v/>
      </c>
      <c r="H6318">
        <f>_xludf.IMAGE("https://m.media-amazon.com/images/I/61XBNJv45OL._AC_UL320_.jpg")</f>
        <v/>
      </c>
      <c r="K6318" t="inlineStr">
        <is>
          <t>13.97</t>
        </is>
      </c>
      <c r="L6318" t="n">
        <v>13.48</v>
      </c>
      <c r="M6318" s="1" t="inlineStr">
        <is>
          <t>-3.51%</t>
        </is>
      </c>
      <c r="N6318" s="1" t="n"/>
      <c r="O6318" t="n">
        <v>4.7</v>
      </c>
      <c r="P6318" t="n">
        <v>1057</v>
      </c>
      <c r="R6318" t="inlineStr">
        <is>
          <t>InStock</t>
        </is>
      </c>
      <c r="S6318" t="inlineStr">
        <is>
          <t>22.5</t>
        </is>
      </c>
      <c r="T6318" t="inlineStr">
        <is>
          <t>4496624353380</t>
        </is>
      </c>
    </row>
    <row r="6319" hidden="1" ht="15.75" customHeight="1">
      <c r="A6319" s="2">
        <f>HYPERLINK("https://edmondsonsupply.com/collections/electricians-tools/products/klein-tools-70571-grip-it%C2%AE-ball-end-hex-set-5-key-sae-sizes", "https://edmondsonsupply.com/collections/electricians-tools/products/klein-tools-70571-grip-it%C2%AE-ball-end-hex-set-5-key-sae-sizes")</f>
        <v/>
      </c>
      <c r="B6319" s="2">
        <f>HYPERLINK("https://edmondsonsupply.com/products/klein-tools-70571-grip-it%c2%ae-ball-end-hex-set-5-key-sae-sizes", "https://edmondsonsupply.com/products/klein-tools-70571-grip-it%c2%ae-ball-end-hex-set-5-key-sae-sizes")</f>
        <v/>
      </c>
      <c r="C6319" t="inlineStr">
        <is>
          <t>Klein Tools 70571 Grip-It® Ball End Hex Set, 5-Key, SAE Sizes</t>
        </is>
      </c>
      <c r="D6319" t="inlineStr">
        <is>
          <t>Klein Tools 70572 Grip-It Ball End Hex Set, 5-Key, Metric Sizes</t>
        </is>
      </c>
      <c r="E6319" s="2">
        <f>HYPERLINK("https://www.amazon.com/Grip-Five-Key-Ball-Hex/dp/B000936R78/ref=sr_1_2?keywords=Klein+Tools+70571+Grip-It%C2%AE+Ball+End+Hex+Set%2C+5-Key%2C+SAE+Sizes&amp;qid=1694735101&amp;sr=8-2", "https://www.amazon.com/Grip-Five-Key-Ball-Hex/dp/B000936R78/ref=sr_1_2?keywords=Klein+Tools+70571+Grip-It%C2%AE+Ball+End+Hex+Set%2C+5-Key%2C+SAE+Sizes&amp;qid=1694735101&amp;sr=8-2")</f>
        <v/>
      </c>
      <c r="F6319" t="inlineStr">
        <is>
          <t>B000936R78</t>
        </is>
      </c>
      <c r="G6319">
        <f>_xludf.IMAGE("https://edmondsonsupply.com/cdn/shop/products/70571.jpg?v=1665688779")</f>
        <v/>
      </c>
      <c r="H6319">
        <f>_xludf.IMAGE("https://m.media-amazon.com/images/I/51dn84Vs5NL._AC_UL320_.jpg")</f>
        <v/>
      </c>
      <c r="K6319" t="inlineStr">
        <is>
          <t>13.99</t>
        </is>
      </c>
      <c r="L6319" t="n">
        <v>13.49</v>
      </c>
      <c r="M6319" s="1" t="inlineStr">
        <is>
          <t>-3.57%</t>
        </is>
      </c>
      <c r="N6319" s="1" t="n"/>
      <c r="O6319" t="n">
        <v>4.9</v>
      </c>
      <c r="P6319" t="n">
        <v>15</v>
      </c>
      <c r="R6319" t="inlineStr">
        <is>
          <t>InStock</t>
        </is>
      </c>
      <c r="S6319" t="inlineStr">
        <is>
          <t>21.2</t>
        </is>
      </c>
      <c r="T6319" t="inlineStr">
        <is>
          <t>7852070764760</t>
        </is>
      </c>
    </row>
    <row r="6320" ht="87" customHeight="1">
      <c r="A6320" s="2">
        <f>HYPERLINK("https://edmondsonsupply.com/collections/electricians-tools/products/diablo-tools-dmapl2150-p25-1-4-in-x-6-in-x-8-in-sds-plus-2-cutter-25-pack", "https://edmondsonsupply.com/collections/electricians-tools/products/diablo-tools-dmapl2150-p25-1-4-in-x-6-in-x-8-in-sds-plus-2-cutter-25-pack")</f>
        <v/>
      </c>
      <c r="B6320" s="2">
        <f>HYPERLINK("https://edmondsonsupply.com/products/diablo-tools-dmapl2150-p25-1-4-in-x-6-in-x-8-in-sds-plus-2-cutter-25-pack", "https://edmondsonsupply.com/products/diablo-tools-dmapl2150-p25-1-4-in-x-6-in-x-8-in-sds-plus-2-cutter-25-pack")</f>
        <v/>
      </c>
      <c r="C6320" t="inlineStr">
        <is>
          <t>Diablo Tools DMAPL2150-P25 1/4 in. x 6 in. x 8 in. SDS-Plus 2-Cutter (25-Pack)</t>
        </is>
      </c>
      <c r="D6320" t="inlineStr">
        <is>
          <t>Diablo by Freud DMAPL4040-P25 3/16 in. x 4 in. x 6 in. Rebar Demon™ SDS-Plus 4-Cutter Full Carbide Head Hammer Bit (25-Pack)</t>
        </is>
      </c>
      <c r="E6320" s="2">
        <f>HYPERLINK("https://www.amazon.com/Diablo-Freud-DMAPL4040-P25-SDS-Plus-4-Cutter/dp/B089LKW42D/ref=sr_1_19?keywords=Diablo+Tools+DMAPL2150-P25+1%2F4+in.+x+6+in.+x+8+in.+SDS-Plus+2-Cutter+%2825-Pack%29&amp;qid=1694735299&amp;sr=8-19", "https://www.amazon.com/Diablo-Freud-DMAPL4040-P25-SDS-Plus-4-Cutter/dp/B089LKW42D/ref=sr_1_19?keywords=Diablo+Tools+DMAPL2150-P25+1%2F4+in.+x+6+in.+x+8+in.+SDS-Plus+2-Cutter+%2825-Pack%29&amp;qid=1694735299&amp;sr=8-19")</f>
        <v/>
      </c>
      <c r="F6320" t="inlineStr">
        <is>
          <t>B089LKW42D</t>
        </is>
      </c>
      <c r="G6320">
        <f>_xlfn.IMAGE("https://edmondsonsupply.com/cdn/shop/products/DMAPL2150-P25_Main-Image20200701.png?v=1633030349")</f>
        <v/>
      </c>
      <c r="H6320">
        <f>_xlfn.IMAGE("https://m.media-amazon.com/images/I/61WAyx865hL._AC_UL320_.jpg")</f>
        <v/>
      </c>
      <c r="K6320" t="inlineStr">
        <is>
          <t>82.6</t>
        </is>
      </c>
      <c r="L6320" t="n">
        <v>79.63</v>
      </c>
      <c r="M6320" s="1" t="inlineStr">
        <is>
          <t>-3.60%</t>
        </is>
      </c>
      <c r="N6320" s="7" t="n"/>
      <c r="O6320" t="n">
        <v>5</v>
      </c>
      <c r="P6320" t="n">
        <v>2</v>
      </c>
      <c r="R6320" t="inlineStr">
        <is>
          <t>InStock</t>
        </is>
      </c>
      <c r="S6320" t="inlineStr">
        <is>
          <t>131.12</t>
        </is>
      </c>
      <c r="T6320" t="inlineStr">
        <is>
          <t>5283037839528</t>
        </is>
      </c>
    </row>
    <row r="6321" ht="87" customHeight="1">
      <c r="A6321" s="2">
        <f>HYPERLINK("https://edmondsonsupply.com/collections/electricians-tools/products/klein-tools-ktsb01-step-drill-bit-double-fluted-1-1-8-to-1-2-inch", "https://edmondsonsupply.com/collections/electricians-tools/products/klein-tools-ktsb01-step-drill-bit-double-fluted-1-1-8-to-1-2-inch")</f>
        <v/>
      </c>
      <c r="B6321" s="2">
        <f>HYPERLINK("https://edmondsonsupply.com/products/klein-tools-ktsb01-step-drill-bit-double-fluted-1-1-8-to-1-2-inch", "https://edmondsonsupply.com/products/klein-tools-ktsb01-step-drill-bit-double-fluted-1-1-8-to-1-2-inch")</f>
        <v/>
      </c>
      <c r="C6321" t="inlineStr">
        <is>
          <t>Klein Tools KTSB01 Step Drill Bit Double-Fluted #1, 1/8 to 1/2-Inch</t>
        </is>
      </c>
      <c r="D6321" t="inlineStr">
        <is>
          <t>Klein Tools KTSB01 Step Drill Bit Double-Fluted #1, 1/8 to 1/2-Inch with Easy-to-Read Markings and Targets, 3/8-Inch Hex Shank</t>
        </is>
      </c>
      <c r="E6321" s="2">
        <f>HYPERLINK("https://www.amazon.com/Klein-Tools-KTSB01-Double-Fluted-2-Inch/dp/B014XJGXOA/ref=sr_1_1?keywords=Klein+Tools+KTSB01+Step+Drill+Bit+Double-Fluted&amp;qid=1694735175&amp;sr=8-1", "https://www.amazon.com/Klein-Tools-KTSB01-Double-Fluted-2-Inch/dp/B014XJGXOA/ref=sr_1_1?keywords=Klein+Tools+KTSB01+Step+Drill+Bit+Double-Fluted&amp;qid=1694735175&amp;sr=8-1")</f>
        <v/>
      </c>
      <c r="F6321" t="inlineStr">
        <is>
          <t>B014XJGXOA</t>
        </is>
      </c>
      <c r="G6321">
        <f>_xlfn.IMAGE("https://edmondsonsupply.com/cdn/shop/products/ktsb01.jpg?v=1633903640")</f>
        <v/>
      </c>
      <c r="H6321">
        <f>_xlfn.IMAGE("https://m.media-amazon.com/images/I/417IbPKpdoL._AC_UY218_.jpg")</f>
        <v/>
      </c>
      <c r="K6321" t="inlineStr">
        <is>
          <t>26.99</t>
        </is>
      </c>
      <c r="L6321" t="n">
        <v>25.99</v>
      </c>
      <c r="M6321" s="1" t="inlineStr">
        <is>
          <t>-3.71%</t>
        </is>
      </c>
      <c r="N6321" s="7" t="n"/>
      <c r="O6321" t="n">
        <v>4.7</v>
      </c>
      <c r="P6321" t="n">
        <v>1768</v>
      </c>
      <c r="R6321" t="inlineStr">
        <is>
          <t>InStock</t>
        </is>
      </c>
      <c r="S6321" t="inlineStr">
        <is>
          <t>36.48</t>
        </is>
      </c>
      <c r="T6321" t="inlineStr">
        <is>
          <t>7007793774765</t>
        </is>
      </c>
    </row>
    <row r="6322" ht="87" customHeight="1">
      <c r="A6322" s="2">
        <f>HYPERLINK("https://edmondsonsupply.com/collections/electricians-tools/products/klein-tools-vdv001-081-punchdown-screwdriver-multi-tool", "https://edmondsonsupply.com/collections/electricians-tools/products/klein-tools-vdv001-081-punchdown-screwdriver-multi-tool")</f>
        <v/>
      </c>
      <c r="B6322" s="2">
        <f>HYPERLINK("https://edmondsonsupply.com/products/klein-tools-vdv001-081-punchdown-screwdriver-multi-tool", "https://edmondsonsupply.com/products/klein-tools-vdv001-081-punchdown-screwdriver-multi-tool")</f>
        <v/>
      </c>
      <c r="C6322" t="inlineStr">
        <is>
          <t>Klein Tools VDV001-081 Punchdown Screwdriver Multi-Tool</t>
        </is>
      </c>
      <c r="D6322" t="inlineStr">
        <is>
          <t>Klein Tools VDV001-081 Multi-Bit Screwdriver, Punchdown Screwdriver Bayonette-Style Multi-Tool with Heavy-Duty Blade Barrek for Bit Storage</t>
        </is>
      </c>
      <c r="E6322" s="2">
        <f>HYPERLINK("https://www.amazon.com/Screwdriver-Multi-Tool-Klein-Tools-VDV001-081/dp/B00BEZWFHQ/ref=sr_1_1?keywords=Klein+Tools+VDV001-081+Punchdown+Screwdriver+Multi-Tool&amp;qid=1694735281&amp;sr=8-1", "https://www.amazon.com/Screwdriver-Multi-Tool-Klein-Tools-VDV001-081/dp/B00BEZWFHQ/ref=sr_1_1?keywords=Klein+Tools+VDV001-081+Punchdown+Screwdriver+Multi-Tool&amp;qid=1694735281&amp;sr=8-1")</f>
        <v/>
      </c>
      <c r="F6322" t="inlineStr">
        <is>
          <t>B00BEZWFHQ</t>
        </is>
      </c>
      <c r="G6322">
        <f>_xlfn.IMAGE("https://edmondsonsupply.com/cdn/shop/products/vdv001-081.jpg?v=1633030505")</f>
        <v/>
      </c>
      <c r="H6322">
        <f>_xlfn.IMAGE("https://m.media-amazon.com/images/I/41El35zGLFL._AC_UL320_.jpg")</f>
        <v/>
      </c>
      <c r="K6322" t="inlineStr">
        <is>
          <t>26.97</t>
        </is>
      </c>
      <c r="L6322" t="n">
        <v>25.97</v>
      </c>
      <c r="M6322" s="1" t="inlineStr">
        <is>
          <t>-3.71%</t>
        </is>
      </c>
      <c r="N6322" s="7" t="n"/>
      <c r="O6322" t="n">
        <v>4.8</v>
      </c>
      <c r="P6322" t="n">
        <v>166</v>
      </c>
      <c r="R6322" t="inlineStr">
        <is>
          <t>InStock</t>
        </is>
      </c>
      <c r="S6322" t="inlineStr">
        <is>
          <t>37.8</t>
        </is>
      </c>
      <c r="T6322" t="inlineStr">
        <is>
          <t>5382696501416</t>
        </is>
      </c>
    </row>
    <row r="6323" hidden="1" ht="15.75" customHeight="1">
      <c r="A6323" s="2">
        <f>HYPERLINK("https://edmondsonsupply.com/collections/electricians-tools/products/klein-tools-56255-wire-markers-household-electric-panel-w-directory", "https://edmondsonsupply.com/collections/electricians-tools/products/klein-tools-56255-wire-markers-household-electric-panel-w-directory")</f>
        <v/>
      </c>
      <c r="B6323" s="2">
        <f>HYPERLINK("https://edmondsonsupply.com/products/klein-tools-56255-wire-markers-household-electric-panel-w-directory", "https://edmondsonsupply.com/products/klein-tools-56255-wire-markers-household-electric-panel-w-directory")</f>
        <v/>
      </c>
      <c r="C6323" t="inlineStr">
        <is>
          <t>Klein Tools 56255 Wire Markers, Household Electric Panel w/Directory</t>
        </is>
      </c>
      <c r="D6323" t="inlineStr">
        <is>
          <t>Klein Tools 56255 Wire Markers, Household Electric Panel w/Directory</t>
        </is>
      </c>
      <c r="E6323" s="2">
        <f>HYPERLINK("https://www.amazon.com/Markers-Household-Directory-Klein-Tools-56255/dp/B0785PYVXW/ref=sr_1_1?keywords=Klein+Tools+56255+Wire+Markers%2C+Household+Electric+Panel+w%2FDirectory&amp;qid=1694735174&amp;sr=8-1", "https://www.amazon.com/Markers-Household-Directory-Klein-Tools-56255/dp/B0785PYVXW/ref=sr_1_1?keywords=Klein+Tools+56255+Wire+Markers%2C+Household+Electric+Panel+w%2FDirectory&amp;qid=1694735174&amp;sr=8-1")</f>
        <v/>
      </c>
      <c r="F6323" t="inlineStr">
        <is>
          <t>B0785PYVXW</t>
        </is>
      </c>
      <c r="G6323">
        <f>_xludf.IMAGE("https://edmondsonsupply.com/cdn/shop/products/56255_b.jpg?v=1641342700")</f>
        <v/>
      </c>
      <c r="H6323">
        <f>_xludf.IMAGE("https://m.media-amazon.com/images/I/61oVTocomEL._AC_UL320_.jpg")</f>
        <v/>
      </c>
      <c r="K6323" t="inlineStr">
        <is>
          <t>12.97</t>
        </is>
      </c>
      <c r="L6323" t="n">
        <v>12.48</v>
      </c>
      <c r="M6323" s="1" t="inlineStr">
        <is>
          <t>-3.78%</t>
        </is>
      </c>
      <c r="N6323" s="1" t="n"/>
      <c r="O6323" t="n">
        <v>4.4</v>
      </c>
      <c r="P6323" t="n">
        <v>979</v>
      </c>
      <c r="R6323" t="inlineStr">
        <is>
          <t>InStock</t>
        </is>
      </c>
      <c r="S6323" t="inlineStr">
        <is>
          <t>17.7</t>
        </is>
      </c>
      <c r="T6323" t="inlineStr">
        <is>
          <t>7566880997592</t>
        </is>
      </c>
    </row>
    <row r="6324" ht="87" customHeight="1">
      <c r="A6324" s="2">
        <f>HYPERLINK("https://edmondsonsupply.com/collections/electricians-tools/products/klein-tools-55564-tradesman-pro%E2%84%A2-camo-phone-holder-x-large", "https://edmondsonsupply.com/collections/electricians-tools/products/klein-tools-55564-tradesman-pro%E2%84%A2-camo-phone-holder-x-large")</f>
        <v/>
      </c>
      <c r="B6324" s="2">
        <f>HYPERLINK("https://edmondsonsupply.com/products/klein-tools-55564-tradesman-pro%e2%84%a2-camo-phone-holder-x-large", "https://edmondsonsupply.com/products/klein-tools-55564-tradesman-pro%e2%84%a2-camo-phone-holder-x-large")</f>
        <v/>
      </c>
      <c r="C6324" t="inlineStr">
        <is>
          <t>Klein Tools 55564 Tradesman Pro™ Camo Phone Holder, X-Large</t>
        </is>
      </c>
      <c r="D6324" t="inlineStr">
        <is>
          <t>Klein Tools 55564 Tradesman Pro Camo Phone Holder, X-Large</t>
        </is>
      </c>
      <c r="E6324" s="2">
        <f>HYPERLINK("https://www.amazon.com/Klein-Tools-55564-Tradesman-X-Large/dp/B0164D8AL2/ref=sr_1_1?keywords=Klein+Tools+55564+Tradesman+Pro%E2%84%A2+Camo+Phone+Holder%2C+X-Large&amp;qid=1694735394&amp;sr=8-1", "https://www.amazon.com/Klein-Tools-55564-Tradesman-X-Large/dp/B0164D8AL2/ref=sr_1_1?keywords=Klein+Tools+55564+Tradesman+Pro%E2%84%A2+Camo+Phone+Holder%2C+X-Large&amp;qid=1694735394&amp;sr=8-1")</f>
        <v/>
      </c>
      <c r="F6324" t="inlineStr">
        <is>
          <t>B0164D8AL2</t>
        </is>
      </c>
      <c r="G6324">
        <f>_xlfn.IMAGE("https://edmondsonsupply.com/cdn/shop/products/55564.jpg?v=1587150174")</f>
        <v/>
      </c>
      <c r="H6324">
        <f>_xlfn.IMAGE("https://m.media-amazon.com/images/I/71f8lYMzjVS._AC_UL320_.jpg")</f>
        <v/>
      </c>
      <c r="K6324" t="inlineStr">
        <is>
          <t>25.99</t>
        </is>
      </c>
      <c r="L6324" t="n">
        <v>24.99</v>
      </c>
      <c r="M6324" s="1" t="inlineStr">
        <is>
          <t>-3.85%</t>
        </is>
      </c>
      <c r="N6324" s="7" t="n"/>
      <c r="O6324" t="n">
        <v>4.6</v>
      </c>
      <c r="P6324" t="n">
        <v>884</v>
      </c>
      <c r="R6324" t="inlineStr">
        <is>
          <t>InStock</t>
        </is>
      </c>
      <c r="S6324" t="inlineStr">
        <is>
          <t>39.38</t>
        </is>
      </c>
      <c r="T6324" t="inlineStr">
        <is>
          <t>4396306137188</t>
        </is>
      </c>
    </row>
    <row r="6325" ht="87" customHeight="1">
      <c r="A6325" s="2">
        <f>HYPERLINK("https://edmondsonsupply.com/collections/electricians-tools/products/channellock-317", "https://edmondsonsupply.com/collections/electricians-tools/products/channellock-317")</f>
        <v/>
      </c>
      <c r="B6325" s="2">
        <f>HYPERLINK("https://edmondsonsupply.com/products/channellock-317", "https://edmondsonsupply.com/products/channellock-317")</f>
        <v/>
      </c>
      <c r="C6325" t="inlineStr">
        <is>
          <t>Channellock 317 8-Inch Long Nose Pliers with Side Cutter</t>
        </is>
      </c>
      <c r="D6325" t="inlineStr">
        <is>
          <t>Channellock 317 8-Inch Long Nose Plier with Side Cutter | Needle Nose Pliers with Knife and Anvil - Style Side Cutter | Crosshatch Jaw Forged from High Carbon Steel for Maximum Grip on Materials | Specially Coated for Rust Prevention | Comfort Grips , Blue</t>
        </is>
      </c>
      <c r="E6325" s="2">
        <f>HYPERLINK("https://www.amazon.com/Channellock-317-Plier-Cutter-8-Inch/dp/B000RY7PXY/ref=sr_1_1?keywords=Channellock+317+8-Inch+Long+Nose+Pliers+with+Side+Cutter&amp;qid=1694735322&amp;sr=8-1", "https://www.amazon.com/Channellock-317-Plier-Cutter-8-Inch/dp/B000RY7PXY/ref=sr_1_1?keywords=Channellock+317+8-Inch+Long+Nose+Pliers+with+Side+Cutter&amp;qid=1694735322&amp;sr=8-1")</f>
        <v/>
      </c>
      <c r="F6325" t="inlineStr">
        <is>
          <t>B000RY7PXY</t>
        </is>
      </c>
      <c r="G6325">
        <f>_xlfn.IMAGE("https://edmondsonsupply.com/cdn/shop/products/317-683x1024.jpg?v=1633030326")</f>
        <v/>
      </c>
      <c r="H6325">
        <f>_xlfn.IMAGE("https://m.media-amazon.com/images/I/61Y+5UDWhyL._AC_UL320_.jpg")</f>
        <v/>
      </c>
      <c r="K6325" t="inlineStr">
        <is>
          <t>24.95</t>
        </is>
      </c>
      <c r="L6325" t="n">
        <v>23.99</v>
      </c>
      <c r="M6325" s="1" t="inlineStr">
        <is>
          <t>-3.85%</t>
        </is>
      </c>
      <c r="N6325" s="7" t="n"/>
      <c r="O6325" t="n">
        <v>4.8</v>
      </c>
      <c r="P6325" t="n">
        <v>867</v>
      </c>
      <c r="R6325" t="inlineStr">
        <is>
          <t>InStock</t>
        </is>
      </c>
      <c r="S6325" t="inlineStr">
        <is>
          <t>35.15</t>
        </is>
      </c>
      <c r="T6325" t="inlineStr">
        <is>
          <t>5247343526056</t>
        </is>
      </c>
    </row>
    <row r="6326" hidden="1" ht="15.75" customHeight="1">
      <c r="A6326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6326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6326" t="inlineStr">
        <is>
          <t>Klein Tools 646-7/16M 7/16-Inch Magnetic Tip Nut Driver 6-Inch Shaft</t>
        </is>
      </c>
      <c r="D6326" t="inlineStr">
        <is>
          <t>Auniwaig Imperial 7/16-Inch Hex Nut Drivers Non-Magnetic Six Point Tip Steel with 3.66-Inch Shaft 1PCS</t>
        </is>
      </c>
      <c r="E6326" s="2">
        <f>HYPERLINK("https://www.amazon.com/Auniwaig-Imperial-16-Inch-Non-Magnetic-3-66-Inch/dp/B09CTT227K/ref=sr_1_36?keywords=Klein+Tools+646-7%2F16M+7%2F16-Inch+Magnetic+Tip+Nut+Driver+6-Inch+Shaft&amp;qid=1694735353&amp;sr=8-36", "https://www.amazon.com/Auniwaig-Imperial-16-Inch-Non-Magnetic-3-66-Inch/dp/B09CTT227K/ref=sr_1_36?keywords=Klein+Tools+646-7%2F16M+7%2F16-Inch+Magnetic+Tip+Nut+Driver+6-Inch+Shaft&amp;qid=1694735353&amp;sr=8-36")</f>
        <v/>
      </c>
      <c r="F6326" t="inlineStr">
        <is>
          <t>B09CTT227K</t>
        </is>
      </c>
      <c r="G6326">
        <f>_xludf.IMAGE("https://edmondsonsupply.com/cdn/shop/products/646-5-16m_906faaaa-dd9e-40e4-bce3-8174c2b127b5.jpg?v=1587146594")</f>
        <v/>
      </c>
      <c r="H6326">
        <f>_xludf.IMAGE("https://m.media-amazon.com/images/I/51X0TjdNi5L._AC_UL320_.jpg")</f>
        <v/>
      </c>
      <c r="K6326" t="inlineStr">
        <is>
          <t>12.99</t>
        </is>
      </c>
      <c r="L6326" t="n">
        <v>12.49</v>
      </c>
      <c r="M6326" s="1" t="inlineStr">
        <is>
          <t>-3.85%</t>
        </is>
      </c>
      <c r="N6326" s="1" t="n"/>
      <c r="O6326" t="n">
        <v>4.2</v>
      </c>
      <c r="P6326" t="n">
        <v>5</v>
      </c>
      <c r="R6326" t="inlineStr">
        <is>
          <t>InStock</t>
        </is>
      </c>
      <c r="S6326" t="inlineStr">
        <is>
          <t>19.74</t>
        </is>
      </c>
      <c r="T6326" t="inlineStr">
        <is>
          <t>4461840171108</t>
        </is>
      </c>
    </row>
    <row r="6327" ht="87" customHeight="1">
      <c r="A6327" s="2">
        <f>HYPERLINK("https://edmondsonsupply.com/collections/electricians-tools/products/milwaukee-48-22-0225-25ft-wide-blade-tape-measure", "https://edmondsonsupply.com/collections/electricians-tools/products/milwaukee-48-22-0225-25ft-wide-blade-tape-measure")</f>
        <v/>
      </c>
      <c r="B6327" s="2">
        <f>HYPERLINK("https://edmondsonsupply.com/products/milwaukee-48-22-0225-25ft-wide-blade-tape-measure", "https://edmondsonsupply.com/products/milwaukee-48-22-0225-25ft-wide-blade-tape-measure")</f>
        <v/>
      </c>
      <c r="C6327" t="inlineStr">
        <is>
          <t>Milwaukee 48-22-0225 25ft Wide Blade Tape Measure</t>
        </is>
      </c>
      <c r="D6327" t="inlineStr">
        <is>
          <t>Milwaukee 48-22-0216M 16 ft. x 1.3 in. Wide Blade Magnetic Tape Measure</t>
        </is>
      </c>
      <c r="E6327" s="2">
        <f>HYPERLINK("https://www.amazon.com/Milwaukee-48-22-0216M-Blade-Magnetic-Measure/dp/B08HTR7W3W/ref=sr_1_22?keywords=Milwaukee+48-22-0225+25ft+Wide+Blade+Tape+Measure&amp;qid=1694735418&amp;sr=8-22", "https://www.amazon.com/Milwaukee-48-22-0216M-Blade-Magnetic-Measure/dp/B08HTR7W3W/ref=sr_1_22?keywords=Milwaukee+48-22-0225+25ft+Wide+Blade+Tape+Measure&amp;qid=1694735418&amp;sr=8-22")</f>
        <v/>
      </c>
      <c r="F6327" t="inlineStr">
        <is>
          <t>B08HTR7W3W</t>
        </is>
      </c>
      <c r="G6327">
        <f>_xlfn.IMAGE("https://edmondsonsupply.com/cdn/shop/products/48-22-0225_1.png?v=1587142485")</f>
        <v/>
      </c>
      <c r="H6327">
        <f>_xlfn.IMAGE("https://m.media-amazon.com/images/I/81dmpPAn8zL._AC_UL320_.jpg")</f>
        <v/>
      </c>
      <c r="K6327" t="inlineStr">
        <is>
          <t>25.97</t>
        </is>
      </c>
      <c r="L6327" t="n">
        <v>24.97</v>
      </c>
      <c r="M6327" s="1" t="inlineStr">
        <is>
          <t>-3.85%</t>
        </is>
      </c>
      <c r="N6327" s="7" t="n"/>
      <c r="O6327" t="n">
        <v>4.4</v>
      </c>
      <c r="P6327" t="n">
        <v>106</v>
      </c>
      <c r="R6327" t="inlineStr">
        <is>
          <t>InStock</t>
        </is>
      </c>
      <c r="S6327" t="inlineStr">
        <is>
          <t>37.6</t>
        </is>
      </c>
      <c r="T6327" t="inlineStr">
        <is>
          <t>4377710198884</t>
        </is>
      </c>
    </row>
    <row r="6328" ht="87" customHeight="1">
      <c r="A6328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328" s="2">
        <f>HYPERLINK("https://edmondsonsupply.com/products/klein-tools-32307-27-in-1-multi-bit-tamperproof-screwdriver", "https://edmondsonsupply.com/products/klein-tools-32307-27-in-1-multi-bit-tamperproof-screwdriver")</f>
        <v/>
      </c>
      <c r="C6328" t="inlineStr">
        <is>
          <t>Klein Tools 32307 27-in-1 Multi-Bit Tamperproof Screwdriver</t>
        </is>
      </c>
      <c r="D6328" t="inlineStr">
        <is>
          <t>Klein Tools 32307 Multi-bit Tamperproof Screwdriver, 27-in-1 Tool with Torx, Hex, Torq and Spanner Bits with 1/4-Inch Nut Driver</t>
        </is>
      </c>
      <c r="E6328" s="2" t="n"/>
      <c r="F6328" t="inlineStr">
        <is>
          <t>B08KFL4QD4</t>
        </is>
      </c>
      <c r="G6328">
        <f>_xlfn.IMAGE("https://edmondsonsupply.com/cdn/shop/products/32307.jpg?v=1647347524")</f>
        <v/>
      </c>
      <c r="H6328">
        <f>_xlfn.IMAGE("https://m.media-amazon.com/images/I/51VWsu+sN9L._AC_UL320_.jpg")</f>
        <v/>
      </c>
      <c r="K6328" t="inlineStr">
        <is>
          <t>25.97</t>
        </is>
      </c>
      <c r="L6328" t="n">
        <v>24.97</v>
      </c>
      <c r="M6328" s="1" t="inlineStr">
        <is>
          <t>-3.85%</t>
        </is>
      </c>
      <c r="N6328" s="7" t="n"/>
      <c r="O6328" t="n">
        <v>4.7</v>
      </c>
      <c r="P6328" t="n">
        <v>1624</v>
      </c>
      <c r="R6328" t="inlineStr">
        <is>
          <t>InStock</t>
        </is>
      </c>
      <c r="S6328" t="inlineStr">
        <is>
          <t>36.38</t>
        </is>
      </c>
      <c r="T6328" t="inlineStr">
        <is>
          <t>7637266366680</t>
        </is>
      </c>
    </row>
    <row r="6329" ht="87" customHeight="1">
      <c r="A6329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329" s="2">
        <f>HYPERLINK("https://edmondsonsupply.com/products/klein-tools-32307-27-in-1-multi-bit-tamperproof-screwdriver", "https://edmondsonsupply.com/products/klein-tools-32307-27-in-1-multi-bit-tamperproof-screwdriver")</f>
        <v/>
      </c>
      <c r="C6329" t="inlineStr">
        <is>
          <t>Klein Tools 32307 27-in-1 Multi-Bit Tamperproof Screwdriver</t>
        </is>
      </c>
      <c r="D6329" t="inlineStr">
        <is>
          <t>Klein Tools 32307 Multi-bit Tamperproof Screwdriver, 27-in-1 Tool with Torx, Hex, Torq and Spanner Bits with 1/4-Inch Nut Driver</t>
        </is>
      </c>
      <c r="E6329" s="2">
        <f>HYPERLINK("https://www.amazon.com/Klein-Tools-32307-Tamperproof-Screwdriver/dp/B08KFL4QD4/ref=sr_1_1?keywords=Klein+Tools+32307+27-in-1+Multi-Bit+Tamperproof+Screwdriver&amp;qid=1694735165&amp;sr=8-1", "https://www.amazon.com/Klein-Tools-32307-Tamperproof-Screwdriver/dp/B08KFL4QD4/ref=sr_1_1?keywords=Klein+Tools+32307+27-in-1+Multi-Bit+Tamperproof+Screwdriver&amp;qid=1694735165&amp;sr=8-1")</f>
        <v/>
      </c>
      <c r="F6329" t="inlineStr">
        <is>
          <t>B08KFL4QD4</t>
        </is>
      </c>
      <c r="G6329">
        <f>_xlfn.IMAGE("https://edmondsonsupply.com/cdn/shop/products/32307.jpg?v=1647347524")</f>
        <v/>
      </c>
      <c r="H6329">
        <f>_xlfn.IMAGE("https://m.media-amazon.com/images/I/51VWsu+sN9L._AC_UL320_.jpg")</f>
        <v/>
      </c>
      <c r="K6329" t="inlineStr">
        <is>
          <t>25.97</t>
        </is>
      </c>
      <c r="L6329" t="n">
        <v>24.97</v>
      </c>
      <c r="M6329" s="1" t="inlineStr">
        <is>
          <t>-3.85%</t>
        </is>
      </c>
      <c r="N6329" s="7" t="n"/>
      <c r="O6329" t="n">
        <v>4.7</v>
      </c>
      <c r="P6329" t="n">
        <v>1624</v>
      </c>
      <c r="R6329" t="inlineStr">
        <is>
          <t>InStock</t>
        </is>
      </c>
      <c r="S6329" t="inlineStr">
        <is>
          <t>36.38</t>
        </is>
      </c>
      <c r="T6329" t="inlineStr">
        <is>
          <t>7637266366680</t>
        </is>
      </c>
    </row>
    <row r="6330" hidden="1" ht="15.75" customHeight="1">
      <c r="A6330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6330" s="2">
        <f>HYPERLINK("https://edmondsonsupply.com/products/diablo-tools-dmapl2240-3-8-in-x-10-in-x-12-in-sds-plus-2-cutter", "https://edmondsonsupply.com/products/diablo-tools-dmapl2240-3-8-in-x-10-in-x-12-in-sds-plus-2-cutter")</f>
        <v/>
      </c>
      <c r="C6330" t="inlineStr">
        <is>
          <t>Diablo Tools DMAPL2240 3/8 in. x 10 in. x 12 in. SDS-Plus 2-Cutter</t>
        </is>
      </c>
      <c r="D6330" t="inlineStr">
        <is>
          <t>Diablo 7/16 in. x 10 in. x 12 in. SDS-Plus 2-Cutter</t>
        </is>
      </c>
      <c r="E6330" s="2">
        <f>HYPERLINK("https://www.amazon.com/Diablo-DMAPL2290-16-SDS-Plus-2-Cutter/dp/B089KVPSVG/ref=sr_1_11?keywords=Diablo+Tools+DMAPL2240+3%2F8+in.+x+10+in.+x+12+in.+SDS-Plus+2-Cutter&amp;qid=1694735297&amp;sr=8-11", "https://www.amazon.com/Diablo-DMAPL2290-16-SDS-Plus-2-Cutter/dp/B089KVPSVG/ref=sr_1_11?keywords=Diablo+Tools+DMAPL2240+3%2F8+in.+x+10+in.+x+12+in.+SDS-Plus+2-Cutter&amp;qid=1694735297&amp;sr=8-11")</f>
        <v/>
      </c>
      <c r="F6330" t="inlineStr">
        <is>
          <t>B089KVPSVG</t>
        </is>
      </c>
      <c r="G6330">
        <f>_xludf.IMAGE("https://edmondsonsupply.com/cdn/shop/products/DMAPL2240-P25.jpg?v=1633030355")</f>
        <v/>
      </c>
      <c r="H6330">
        <f>_xludf.IMAGE("https://m.media-amazon.com/images/I/61fcva10QfL._AC_UL320_.jpg")</f>
        <v/>
      </c>
      <c r="K6330" t="inlineStr">
        <is>
          <t>10.97</t>
        </is>
      </c>
      <c r="L6330" t="n">
        <v>10.54</v>
      </c>
      <c r="M6330" s="1" t="inlineStr">
        <is>
          <t>-3.92%</t>
        </is>
      </c>
      <c r="N6330" s="1" t="n"/>
      <c r="O6330" t="n">
        <v>4.7</v>
      </c>
      <c r="P6330" t="n">
        <v>6</v>
      </c>
      <c r="R6330" t="inlineStr">
        <is>
          <t>InStock</t>
        </is>
      </c>
      <c r="S6330" t="inlineStr">
        <is>
          <t>12.38</t>
        </is>
      </c>
      <c r="T6330" t="inlineStr">
        <is>
          <t>5286161252520</t>
        </is>
      </c>
    </row>
    <row r="6331" ht="87" customHeight="1">
      <c r="A6331" s="2">
        <f>HYPERLINK("https://edmondsonsupply.com/collections/electricians-tools/products/klein-tools-1104-all-purpose-shears-and-bx-cutter", "https://edmondsonsupply.com/collections/electricians-tools/products/klein-tools-1104-all-purpose-shears-and-bx-cutter")</f>
        <v/>
      </c>
      <c r="B6331" s="2">
        <f>HYPERLINK("https://edmondsonsupply.com/products/klein-tools-1104-all-purpose-shears-and-bx-cutter", "https://edmondsonsupply.com/products/klein-tools-1104-all-purpose-shears-and-bx-cutter")</f>
        <v/>
      </c>
      <c r="C6331" t="inlineStr">
        <is>
          <t>Klein Tools 1104 All-Purpose Shears and BX Cutter</t>
        </is>
      </c>
      <c r="D6331" t="inlineStr">
        <is>
          <t>Klein Tools 1104 BX Cable Cutter and All-Purpose Shears for BX Cable, Sheet Metal, Steel Strapping, Bundling Wire, with Stripping Notch</t>
        </is>
      </c>
      <c r="E6331" s="2">
        <f>HYPERLINK("https://www.amazon.com/All-Purpose-Shears-Klein-Tools-1104/dp/B001BPWRPO/ref=sr_1_1?keywords=Klein+Tools+1104+All-Purpose+Shears+and+BX+Cutter&amp;qid=1694735403&amp;sr=8-1", "https://www.amazon.com/All-Purpose-Shears-Klein-Tools-1104/dp/B001BPWRPO/ref=sr_1_1?keywords=Klein+Tools+1104+All-Purpose+Shears+and+BX+Cutter&amp;qid=1694735403&amp;sr=8-1")</f>
        <v/>
      </c>
      <c r="F6331" t="inlineStr">
        <is>
          <t>B001BPWRPO</t>
        </is>
      </c>
      <c r="G6331">
        <f>_xlfn.IMAGE("https://edmondsonsupply.com/cdn/shop/products/1104.jpg?v=1587147968")</f>
        <v/>
      </c>
      <c r="H6331">
        <f>_xlfn.IMAGE("https://m.media-amazon.com/images/I/41pZ+mS3b8L._AC_UL320_.jpg")</f>
        <v/>
      </c>
      <c r="K6331" t="inlineStr">
        <is>
          <t>36.99</t>
        </is>
      </c>
      <c r="L6331" t="n">
        <v>35.52</v>
      </c>
      <c r="M6331" s="1" t="inlineStr">
        <is>
          <t>-3.97%</t>
        </is>
      </c>
      <c r="N6331" s="7" t="n"/>
      <c r="O6331" t="n">
        <v>4.7</v>
      </c>
      <c r="P6331" t="n">
        <v>637</v>
      </c>
      <c r="R6331" t="inlineStr">
        <is>
          <t>InStock</t>
        </is>
      </c>
      <c r="S6331" t="inlineStr">
        <is>
          <t>56.06</t>
        </is>
      </c>
      <c r="T6331" t="inlineStr">
        <is>
          <t>4392103641188</t>
        </is>
      </c>
    </row>
    <row r="6332" ht="87" customHeight="1">
      <c r="A6332" s="2">
        <f>HYPERLINK("https://edmondsonsupply.com/collections/electricians-tools/products/klein-tools-66030-2-in-1-coated-impact-socket-12-point-3-4-and-9-16-inch", "https://edmondsonsupply.com/collections/electricians-tools/products/klein-tools-66030-2-in-1-coated-impact-socket-12-point-3-4-and-9-16-inch")</f>
        <v/>
      </c>
      <c r="B6332" s="2">
        <f>HYPERLINK("https://edmondsonsupply.com/products/klein-tools-66030-2-in-1-coated-impact-socket-12-point-3-4-and-9-16-inch", "https://edmondsonsupply.com/products/klein-tools-66030-2-in-1-coated-impact-socket-12-point-3-4-and-9-16-inch")</f>
        <v/>
      </c>
      <c r="C6332" t="inlineStr">
        <is>
          <t>Klein Tools 66030 2-in-1 Coated Impact Socket, 12-Point, 3/4 and 9/16-Inch</t>
        </is>
      </c>
      <c r="D6332" t="inlineStr">
        <is>
          <t>Klein Tools 66030 2-in-1 Non-Marring Impact Socket, Coated 12-Point Deep Sockets, 3/4- and 9/16-Inch Sizes</t>
        </is>
      </c>
      <c r="E6332" s="2">
        <f>HYPERLINK("https://www.amazon.com/Non-Marring-12-Point-Klein-Tools-66030/dp/B09JWM5Y6N/ref=sr_1_1?keywords=Klein+Tools+66030+2-in-1+Coated+Impact+Socket%2C+12-Point%2C+3%2F4+and+9%2F16-Inch&amp;qid=1694735096&amp;sr=8-1", "https://www.amazon.com/Non-Marring-12-Point-Klein-Tools-66030/dp/B09JWM5Y6N/ref=sr_1_1?keywords=Klein+Tools+66030+2-in-1+Coated+Impact+Socket%2C+12-Point%2C+3%2F4+and+9%2F16-Inch&amp;qid=1694735096&amp;sr=8-1")</f>
        <v/>
      </c>
      <c r="F6332" t="inlineStr">
        <is>
          <t>B09JWM5Y6N</t>
        </is>
      </c>
      <c r="G6332">
        <f>_xlfn.IMAGE("https://edmondsonsupply.com/cdn/shop/products/66030.jpg?v=1666027133")</f>
        <v/>
      </c>
      <c r="H6332">
        <f>_xlfn.IMAGE("https://m.media-amazon.com/images/I/41w38OgEo3L._AC_UL320_.jpg")</f>
        <v/>
      </c>
      <c r="K6332" t="inlineStr">
        <is>
          <t>49.98</t>
        </is>
      </c>
      <c r="L6332" t="n">
        <v>47.99</v>
      </c>
      <c r="M6332" s="1" t="inlineStr">
        <is>
          <t>-3.98%</t>
        </is>
      </c>
      <c r="N6332" s="7" t="n"/>
      <c r="O6332" t="n">
        <v>5</v>
      </c>
      <c r="P6332" t="n">
        <v>2</v>
      </c>
      <c r="R6332" t="inlineStr">
        <is>
          <t>InStock</t>
        </is>
      </c>
      <c r="S6332" t="inlineStr">
        <is>
          <t>83.3</t>
        </is>
      </c>
      <c r="T6332" t="inlineStr">
        <is>
          <t>7856657858776</t>
        </is>
      </c>
    </row>
    <row r="6333" ht="87" customHeight="1">
      <c r="A6333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6333" s="2">
        <f>HYPERLINK("https://edmondsonsupply.com/products/klein-tools-d502-10-pump-pliers-10-inch", "https://edmondsonsupply.com/products/klein-tools-d502-10-pump-pliers-10-inch")</f>
        <v/>
      </c>
      <c r="C6333" t="inlineStr">
        <is>
          <t>Klein Tools D502-10 Pump Pliers, 10-Inch</t>
        </is>
      </c>
      <c r="D6333" t="inlineStr">
        <is>
          <t>Klein Tools D502-10 Pump Pliers, 10-Inch Tongue and Groove, Quick-Adjust Rivet, 1-3/4 Inch Max Parallel Jaw Range, Tension Loaded Joint</t>
        </is>
      </c>
      <c r="E6333" s="2">
        <f>HYPERLINK("https://www.amazon.com/Pliers-10-Inch-Klein-Tools-D502-10/dp/B0000302WC/ref=sr_1_1?keywords=Klein+Tools+D502-10+Pump+Pliers%2C+10-Inch&amp;qid=1694735235&amp;sr=8-1", "https://www.amazon.com/Pliers-10-Inch-Klein-Tools-D502-10/dp/B0000302WC/ref=sr_1_1?keywords=Klein+Tools+D502-10+Pump+Pliers%2C+10-Inch&amp;qid=1694735235&amp;sr=8-1")</f>
        <v/>
      </c>
      <c r="F6333" t="inlineStr">
        <is>
          <t>B0000302WC</t>
        </is>
      </c>
      <c r="G6333">
        <f>_xlfn.IMAGE("https://edmondsonsupply.com/cdn/shop/products/d50210_alt1.jpg?v=1633030884")</f>
        <v/>
      </c>
      <c r="H6333">
        <f>_xlfn.IMAGE("https://m.media-amazon.com/images/I/418n0XM7PlL._AC_UL320_.jpg")</f>
        <v/>
      </c>
      <c r="K6333" t="inlineStr">
        <is>
          <t>24.99</t>
        </is>
      </c>
      <c r="L6333" t="n">
        <v>23.99</v>
      </c>
      <c r="M6333" s="1" t="inlineStr">
        <is>
          <t>-4.00%</t>
        </is>
      </c>
      <c r="N6333" s="7" t="n"/>
      <c r="O6333" t="n">
        <v>4.7</v>
      </c>
      <c r="P6333" t="n">
        <v>226</v>
      </c>
      <c r="R6333" t="inlineStr">
        <is>
          <t>InStock</t>
        </is>
      </c>
      <c r="S6333" t="inlineStr">
        <is>
          <t>37.84</t>
        </is>
      </c>
      <c r="T6333" t="inlineStr">
        <is>
          <t>6203936669869</t>
        </is>
      </c>
    </row>
    <row r="6334" hidden="1" ht="15.75" customHeight="1">
      <c r="A6334" s="2">
        <f>HYPERLINK("https://edmondsonsupply.com/collections/electricians-tools/products/klein-tools-jth6t40-t40-torx%C2%AE-hex-key-with-journeyman-t-handle-6-inch", "https://edmondsonsupply.com/collections/electricians-tools/products/klein-tools-jth6t40-t40-torx%C2%AE-hex-key-with-journeyman-t-handle-6-inch")</f>
        <v/>
      </c>
      <c r="B6334" s="2">
        <f>HYPERLINK("https://edmondsonsupply.com/products/klein-tools-jth6t40-t40-torx%c2%ae-hex-key-with-journeyman-t-handle-6-inch", "https://edmondsonsupply.com/products/klein-tools-jth6t40-t40-torx%c2%ae-hex-key-with-journeyman-t-handle-6-inch")</f>
        <v/>
      </c>
      <c r="C6334" t="inlineStr">
        <is>
          <t>Klein Tools JTH6T40 T40 Torx® Hex Key with Journeyman T-Handle, 6-Inch</t>
        </is>
      </c>
      <c r="D6334" t="inlineStr">
        <is>
          <t>Klein Tools JTH6E13BE 1/4-Inch Ball End Hex Key with Journeyman T-Handle, 6-Inch</t>
        </is>
      </c>
      <c r="E6334" s="2">
        <f>HYPERLINK("https://www.amazon.com/Journeyman-T-Handle-Klein-Tools-JTH6E13BE/dp/B004QW52YW/ref=sr_1_3?keywords=Klein+Tools+JTH6T40+T40+Torx%C2%AE+Hex+Key+with+Journeyman+T-Handle%2C+6-Inch&amp;qid=1694735361&amp;sr=8-3", "https://www.amazon.com/Journeyman-T-Handle-Klein-Tools-JTH6E13BE/dp/B004QW52YW/ref=sr_1_3?keywords=Klein+Tools+JTH6T40+T40+Torx%C2%AE+Hex+Key+with+Journeyman+T-Handle%2C+6-Inch&amp;qid=1694735361&amp;sr=8-3")</f>
        <v/>
      </c>
      <c r="F6334" t="inlineStr">
        <is>
          <t>B004QW52YW</t>
        </is>
      </c>
      <c r="G6334">
        <f>_xludf.IMAGE("https://edmondsonsupply.com/cdn/shop/products/jth6t40_5dae4b7a-507d-4e73-a856-e10843f13488.jpg?v=1587149691")</f>
        <v/>
      </c>
      <c r="H6334">
        <f>_xludf.IMAGE("https://m.media-amazon.com/images/I/51f9vBFVXgL._AC_UL320_.jpg")</f>
        <v/>
      </c>
      <c r="K6334" t="inlineStr">
        <is>
          <t>10.99</t>
        </is>
      </c>
      <c r="L6334" t="n">
        <v>10.55</v>
      </c>
      <c r="M6334" s="1" t="inlineStr">
        <is>
          <t>-4.00%</t>
        </is>
      </c>
      <c r="N6334" s="1" t="n"/>
      <c r="O6334" t="n">
        <v>4.7</v>
      </c>
      <c r="P6334" t="n">
        <v>32</v>
      </c>
      <c r="R6334" t="inlineStr">
        <is>
          <t>InStock</t>
        </is>
      </c>
      <c r="S6334" t="inlineStr">
        <is>
          <t>16.66</t>
        </is>
      </c>
      <c r="T6334" t="inlineStr">
        <is>
          <t>4451485352036</t>
        </is>
      </c>
    </row>
    <row r="6335" ht="87" customHeight="1">
      <c r="A6335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6335" s="2">
        <f>HYPERLINK("https://edmondsonsupply.com/products/klein-tools-31900-bi-metal-hole-saw-6-3-8-inch", "https://edmondsonsupply.com/products/klein-tools-31900-bi-metal-hole-saw-6-3-8-inch")</f>
        <v/>
      </c>
      <c r="C6335" t="inlineStr">
        <is>
          <t>Klein Tools 31900 Bi-Metal Hole Saw, 6-3/8-Inch</t>
        </is>
      </c>
      <c r="D6335" t="inlineStr">
        <is>
          <t>Klein Tools 31900 Bi-Metal Hole Saw, 6-3/8-Inch, For Drywall-Ceiling Tile-Steel-Wood-Plastic, Stainless Steel, Recessed Lighting</t>
        </is>
      </c>
      <c r="E6335" s="2">
        <f>HYPERLINK("https://www.amazon.com/Bi-Metal-8-Inch-Klein-Tools-31900/dp/B0171X0FXU/ref=sr_1_1?keywords=Klein+Tools+31900+Bi-Metal+Hole+Saw%2C+6-3%2F8-Inch&amp;qid=1694735340&amp;sr=8-1", "https://www.amazon.com/Bi-Metal-8-Inch-Klein-Tools-31900/dp/B0171X0FXU/ref=sr_1_1?keywords=Klein+Tools+31900+Bi-Metal+Hole+Saw%2C+6-3%2F8-Inch&amp;qid=1694735340&amp;sr=8-1")</f>
        <v/>
      </c>
      <c r="F6335" t="inlineStr">
        <is>
          <t>B0171X0FXU</t>
        </is>
      </c>
      <c r="G6335">
        <f>_xlfn.IMAGE("https://edmondsonsupply.com/cdn/shop/products/31900.jpg?v=1587149880")</f>
        <v/>
      </c>
      <c r="H6335">
        <f>_xlfn.IMAGE("https://m.media-amazon.com/images/I/51mfU+Jrr7L._AC_UL320_.jpg")</f>
        <v/>
      </c>
      <c r="K6335" t="inlineStr">
        <is>
          <t>44.99</t>
        </is>
      </c>
      <c r="L6335" t="n">
        <v>43.17</v>
      </c>
      <c r="M6335" s="1" t="inlineStr">
        <is>
          <t>-4.05%</t>
        </is>
      </c>
      <c r="N6335" s="7" t="n"/>
      <c r="O6335" t="n">
        <v>4.5</v>
      </c>
      <c r="P6335" t="n">
        <v>211</v>
      </c>
      <c r="R6335" t="inlineStr">
        <is>
          <t>InStock</t>
        </is>
      </c>
      <c r="S6335" t="inlineStr">
        <is>
          <t>54.86</t>
        </is>
      </c>
      <c r="T6335" t="inlineStr">
        <is>
          <t>4508234514532</t>
        </is>
      </c>
    </row>
    <row r="6336" ht="87" customHeight="1">
      <c r="A6336" s="2">
        <f>HYPERLINK("https://edmondsonsupply.com/collections/electricians-tools/products/diablo-tools-dou200rbd-2-universal-fit-bi-metal-oscillating-blade-for-drywall", "https://edmondsonsupply.com/collections/electricians-tools/products/diablo-tools-dou200rbd-2-universal-fit-bi-metal-oscillating-blade-for-drywall")</f>
        <v/>
      </c>
      <c r="B6336" s="2">
        <f>HYPERLINK("https://edmondsonsupply.com/products/diablo-tools-dou200rbd-2-universal-fit-bi-metal-oscillating-blade-for-drywall", "https://edmondsonsupply.com/products/diablo-tools-dou200rbd-2-universal-fit-bi-metal-oscillating-blade-for-drywall")</f>
        <v/>
      </c>
      <c r="C6336" t="inlineStr">
        <is>
          <t>Diablo Tools DOU200RBD 2" Universal Fit Bi-Metal Oscillating Blade for Drywall</t>
        </is>
      </c>
      <c r="D6336" t="inlineStr">
        <is>
          <t>Diablo 3-1/2" Universal Fit Bi-Metal Oscillating Blade for General Purpose Cuts</t>
        </is>
      </c>
      <c r="E6336" s="2">
        <f>HYPERLINK("https://www.amazon.com/Diablo-DOU350RBGP-Universal-Bi-Metal-Oscillating/dp/B089LLG8ZQ/ref=sr_1_4?keywords=Diablo+Tools+DOU200RBD+2%22+Universal+Fit+Bi-Metal+Oscillating+Blade+for+Drywall&amp;qid=1694735196&amp;sr=8-4", "https://www.amazon.com/Diablo-DOU350RBGP-Universal-Bi-Metal-Oscillating/dp/B089LLG8ZQ/ref=sr_1_4?keywords=Diablo+Tools+DOU200RBD+2%22+Universal+Fit+Bi-Metal+Oscillating+Blade+for+Drywall&amp;qid=1694735196&amp;sr=8-4")</f>
        <v/>
      </c>
      <c r="F6336" t="inlineStr">
        <is>
          <t>B089LLG8ZQ</t>
        </is>
      </c>
      <c r="G6336">
        <f>_xlfn.IMAGE("https://edmondsonsupply.com/cdn/shop/files/h7z7383jucpsecoclphm.webp?v=1686149036")</f>
        <v/>
      </c>
      <c r="H6336">
        <f>_xlfn.IMAGE("https://m.media-amazon.com/images/I/71xBW7MA1oL._AC_UL320_.jpg")</f>
        <v/>
      </c>
      <c r="K6336" t="inlineStr">
        <is>
          <t>18.97</t>
        </is>
      </c>
      <c r="L6336" t="n">
        <v>18.2</v>
      </c>
      <c r="M6336" s="1" t="inlineStr">
        <is>
          <t>-4.06%</t>
        </is>
      </c>
      <c r="N6336" s="7" t="n"/>
      <c r="O6336" t="n">
        <v>4.4</v>
      </c>
      <c r="P6336" t="n">
        <v>8</v>
      </c>
      <c r="R6336" t="inlineStr">
        <is>
          <t>InStock</t>
        </is>
      </c>
      <c r="S6336" t="inlineStr">
        <is>
          <t>23.6</t>
        </is>
      </c>
      <c r="T6336" t="inlineStr">
        <is>
          <t>6846108008621</t>
        </is>
      </c>
    </row>
    <row r="6337" ht="87" customHeight="1">
      <c r="A6337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6337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6337" t="inlineStr">
        <is>
          <t>Diablo Tools DOU125BF 1-1/4 in. Universal Fit Bi-Metal Oscillating Blade for Metal</t>
        </is>
      </c>
      <c r="D6337" t="inlineStr">
        <is>
          <t>Diablo 3-1/2" Universal Fit Bi-Metal Oscillating Blade for General Purpose Cuts</t>
        </is>
      </c>
      <c r="E6337" s="2">
        <f>HYPERLINK("https://www.amazon.com/Diablo-DOU350RBGP-Universal-Bi-Metal-Oscillating/dp/B089LLG8ZQ/ref=sr_1_10?keywords=Diablo+Tools+DOU125BF+1-1%2F4+in.+Universal+Fit+Bi-Metal+Oscillating+Blade+for+Metal&amp;qid=1694734995&amp;sr=8-10", "https://www.amazon.com/Diablo-DOU350RBGP-Universal-Bi-Metal-Oscillating/dp/B089LLG8ZQ/ref=sr_1_10?keywords=Diablo+Tools+DOU125BF+1-1%2F4+in.+Universal+Fit+Bi-Metal+Oscillating+Blade+for+Metal&amp;qid=1694734995&amp;sr=8-10")</f>
        <v/>
      </c>
      <c r="F6337" t="inlineStr">
        <is>
          <t>B089LLG8ZQ</t>
        </is>
      </c>
      <c r="G6337">
        <f>_xlfn.IMAGE("https://edmondsonsupply.com/cdn/shop/files/k1d1qiwmm4npznsdbwtg.webp?v=1685467858")</f>
        <v/>
      </c>
      <c r="H6337">
        <f>_xlfn.IMAGE("https://m.media-amazon.com/images/I/71xBW7MA1oL._AC_UL320_.jpg")</f>
        <v/>
      </c>
      <c r="K6337" t="inlineStr">
        <is>
          <t>18.97</t>
        </is>
      </c>
      <c r="L6337" t="n">
        <v>18.2</v>
      </c>
      <c r="M6337" s="1" t="inlineStr">
        <is>
          <t>-4.06%</t>
        </is>
      </c>
      <c r="N6337" s="7" t="n"/>
      <c r="O6337" t="n">
        <v>4.4</v>
      </c>
      <c r="P6337" t="n">
        <v>8</v>
      </c>
      <c r="R6337" t="inlineStr">
        <is>
          <t>InStock</t>
        </is>
      </c>
      <c r="S6337" t="inlineStr">
        <is>
          <t>22.35</t>
        </is>
      </c>
      <c r="T6337" t="inlineStr">
        <is>
          <t>7997877584088</t>
        </is>
      </c>
    </row>
    <row r="6338" ht="87" customHeight="1">
      <c r="A6338" s="2">
        <f>HYPERLINK("https://edmondsonsupply.com/collections/electricians-tools/products/copy-of-diablo-tools-d12100x-12-in-x-100-tooth-ultimate-polished-finish-saw-blade", "https://edmondsonsupply.com/collections/electricians-tools/products/copy-of-diablo-tools-d12100x-12-in-x-100-tooth-ultimate-polished-finish-saw-blade")</f>
        <v/>
      </c>
      <c r="B6338" s="2">
        <f>HYPERLINK("https://edmondsonsupply.com/products/copy-of-diablo-tools-d12100x-12-in-x-100-tooth-ultimate-polished-finish-saw-blade", "https://edmondsonsupply.com/products/copy-of-diablo-tools-d12100x-12-in-x-100-tooth-ultimate-polished-finish-saw-blade")</f>
        <v/>
      </c>
      <c r="C6338" t="inlineStr">
        <is>
          <t>Diablo Tools D1060X 10 in. x 60 Tooth Fine Finish Saw Blade</t>
        </is>
      </c>
      <c r="D6338" t="inlineStr">
        <is>
          <t>Diabo by Freud D1060X 10" x 60 Tooth Fine Finish Saw Blade</t>
        </is>
      </c>
      <c r="E6338" s="2">
        <f>HYPERLINK("https://www.amazon.com/Freud-D1060X-10-Inch-PermaShield-Coating/dp/B00008WQ30/ref=sr_1_1?keywords=Diablo+Tools+D1060X+10+in.+x+60+Tooth+Fine+Finish+Saw+Blade&amp;qid=1694735313&amp;sr=8-1", "https://www.amazon.com/Freud-D1060X-10-Inch-PermaShield-Coating/dp/B00008WQ30/ref=sr_1_1?keywords=Diablo+Tools+D1060X+10+in.+x+60+Tooth+Fine+Finish+Saw+Blade&amp;qid=1694735313&amp;sr=8-1")</f>
        <v/>
      </c>
      <c r="F6338" t="inlineStr">
        <is>
          <t>B00008WQ30</t>
        </is>
      </c>
      <c r="G6338">
        <f>_xlfn.IMAGE("https://edmondsonsupply.com/cdn/shop/products/D1060X_Main-Image20191112.png?v=1633030277")</f>
        <v/>
      </c>
      <c r="H6338">
        <f>_xlfn.IMAGE("https://m.media-amazon.com/images/I/61mq6euJKjL._AC_UL320_.jpg")</f>
        <v/>
      </c>
      <c r="K6338" t="inlineStr">
        <is>
          <t>38.29</t>
        </is>
      </c>
      <c r="L6338" t="n">
        <v>36.73</v>
      </c>
      <c r="M6338" s="1" t="inlineStr">
        <is>
          <t>-4.07%</t>
        </is>
      </c>
      <c r="N6338" s="7" t="n"/>
      <c r="O6338" t="n">
        <v>4.8</v>
      </c>
      <c r="P6338" t="n">
        <v>2718</v>
      </c>
      <c r="R6338" t="inlineStr">
        <is>
          <t>InStock</t>
        </is>
      </c>
      <c r="S6338" t="inlineStr">
        <is>
          <t>60.65</t>
        </is>
      </c>
      <c r="T6338" t="inlineStr">
        <is>
          <t>5238382526632</t>
        </is>
      </c>
    </row>
    <row r="6339" ht="87" customHeight="1">
      <c r="A6339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6339" s="2">
        <f>HYPERLINK("https://edmondsonsupply.com/products/klein-tools-d203-8-pliers-long-nose-side-cutters-8-inch", "https://edmondsonsupply.com/products/klein-tools-d203-8-pliers-long-nose-side-cutters-8-inch")</f>
        <v/>
      </c>
      <c r="C6339" t="inlineStr">
        <is>
          <t>Klein Tools D203-8 Pliers, Needle Nose Side-Cutters, 8-Inch</t>
        </is>
      </c>
      <c r="D6339" t="inlineStr">
        <is>
          <t>Klein Tools D203-8 Needle Nose Pliers, Long Nose Side Cutters, Alligator Pliers with Extended Handles, 8-Inch</t>
        </is>
      </c>
      <c r="E6339" s="2">
        <f>HYPERLINK("https://www.amazon.com/Linemans-Alligator-Klein-Tools-D203-8/dp/B0000302WQ/ref=sr_1_1?keywords=Klein+Tools+D203-8+Pliers%2C+Needle+Nose+Side-Cutters%2C+8-Inch&amp;qid=1694735240&amp;sr=8-1", "https://www.amazon.com/Linemans-Alligator-Klein-Tools-D203-8/dp/B0000302WQ/ref=sr_1_1?keywords=Klein+Tools+D203-8+Pliers%2C+Needle+Nose+Side-Cutters%2C+8-Inch&amp;qid=1694735240&amp;sr=8-1")</f>
        <v/>
      </c>
      <c r="F6339" t="inlineStr">
        <is>
          <t>B0000302WQ</t>
        </is>
      </c>
      <c r="G6339">
        <f>_xlfn.IMAGE("https://edmondsonsupply.com/cdn/shop/products/d2038.jpg?v=1633030802")</f>
        <v/>
      </c>
      <c r="H6339">
        <f>_xlfn.IMAGE("https://m.media-amazon.com/images/I/51Ifjz4aftL._AC_UL320_.jpg")</f>
        <v/>
      </c>
      <c r="K6339" t="inlineStr">
        <is>
          <t>29.97</t>
        </is>
      </c>
      <c r="L6339" t="n">
        <v>28.74</v>
      </c>
      <c r="M6339" s="1" t="inlineStr">
        <is>
          <t>-4.10%</t>
        </is>
      </c>
      <c r="N6339" s="7" t="n"/>
      <c r="O6339" t="n">
        <v>4.8</v>
      </c>
      <c r="P6339" t="n">
        <v>930</v>
      </c>
      <c r="R6339" t="inlineStr">
        <is>
          <t>InStock</t>
        </is>
      </c>
      <c r="S6339" t="inlineStr">
        <is>
          <t>44.84</t>
        </is>
      </c>
      <c r="T6339" t="inlineStr">
        <is>
          <t>6005724577960</t>
        </is>
      </c>
    </row>
    <row r="6340" ht="87" customHeight="1">
      <c r="A6340" s="2">
        <f>HYPERLINK("https://edmondsonsupply.com/collections/electricians-tools/products/crescent-tools-cx6dbs2-2-pc-x6%E2%84%A2-4-in-1-black-oxide-spline-ratcheting-sae-wrench-set", "https://edmondsonsupply.com/collections/electricians-tools/products/crescent-tools-cx6dbs2-2-pc-x6%E2%84%A2-4-in-1-black-oxide-spline-ratcheting-sae-wrench-set")</f>
        <v/>
      </c>
      <c r="B6340" s="2">
        <f>HYPERLINK("https://edmondsonsupply.com/products/crescent-tools-cx6dbs2-2-pc-x6%e2%84%a2-4-in-1-black-oxide-spline-ratcheting-sae-wrench-set", "https://edmondsonsupply.com/products/crescent-tools-cx6dbs2-2-pc-x6%e2%84%a2-4-in-1-black-oxide-spline-ratcheting-sae-wrench-set")</f>
        <v/>
      </c>
      <c r="C6340" t="inlineStr">
        <is>
          <t>Crescent Tools CX6DBS2 2 Pc. X6™ 4-in-1 Black Oxide Spline Ratcheting SAE Wrench Set</t>
        </is>
      </c>
      <c r="D6340" t="inlineStr">
        <is>
          <t>Crescent 2 Piece X6™ 4-in-1 Black Oxide Spline Ratcheting SAE Wrench Set - CX6DBS2</t>
        </is>
      </c>
      <c r="E6340" s="2">
        <f>HYPERLINK("https://www.amazon.com/Crescent-CX6DBS2-Double-Ratcheting-2-Piece/dp/B00BRKN63U/ref=sr_1_2?keywords=Crescent+Tools+CX6DBS2+2+Pc.+X6%E2%84%A2+4-in-1+Black+Oxide+Spline+Ratcheting+SAE+Wrench+Set&amp;qid=1694734997&amp;sr=8-2", "https://www.amazon.com/Crescent-CX6DBS2-Double-Ratcheting-2-Piece/dp/B00BRKN63U/ref=sr_1_2?keywords=Crescent+Tools+CX6DBS2+2+Pc.+X6%E2%84%A2+4-in-1+Black+Oxide+Spline+Ratcheting+SAE+Wrench+Set&amp;qid=1694734997&amp;sr=8-2")</f>
        <v/>
      </c>
      <c r="F6340" t="inlineStr">
        <is>
          <t>B00BRKN63U</t>
        </is>
      </c>
      <c r="G6340">
        <f>_xlfn.IMAGE("https://edmondsonsupply.com/cdn/shop/products/CRS_CX6DBS2_FRNT_MAIN.jpg?v=1681319485")</f>
        <v/>
      </c>
      <c r="H6340">
        <f>_xlfn.IMAGE("https://m.media-amazon.com/images/I/81NehZl-bcL._AC_UL320_.jpg")</f>
        <v/>
      </c>
      <c r="K6340" t="inlineStr">
        <is>
          <t>33.98</t>
        </is>
      </c>
      <c r="L6340" t="n">
        <v>32.58</v>
      </c>
      <c r="M6340" s="1" t="inlineStr">
        <is>
          <t>-4.12%</t>
        </is>
      </c>
      <c r="N6340" s="7" t="n"/>
      <c r="O6340" t="n">
        <v>4.5</v>
      </c>
      <c r="P6340" t="n">
        <v>2629</v>
      </c>
      <c r="R6340" t="inlineStr">
        <is>
          <t>InStock</t>
        </is>
      </c>
      <c r="S6340" t="inlineStr">
        <is>
          <t>60.67</t>
        </is>
      </c>
      <c r="T6340" t="inlineStr">
        <is>
          <t>7977587376344</t>
        </is>
      </c>
    </row>
    <row r="6341" ht="87" customHeight="1">
      <c r="A6341" s="2">
        <f>HYPERLINK("https://edmondsonsupply.com/collections/electricians-tools/products/klein-tools-93pll-rechargeable-self-leveling-green-planar-laser-level", "https://edmondsonsupply.com/collections/electricians-tools/products/klein-tools-93pll-rechargeable-self-leveling-green-planar-laser-level")</f>
        <v/>
      </c>
      <c r="B6341" s="2">
        <f>HYPERLINK("https://edmondsonsupply.com/products/klein-tools-93pll-rechargeable-self-leveling-green-planar-laser-level", "https://edmondsonsupply.com/products/klein-tools-93pll-rechargeable-self-leveling-green-planar-laser-level")</f>
        <v/>
      </c>
      <c r="C6341" t="inlineStr">
        <is>
          <t>Klein Tools 93PLL Rechargeable Self-Leveling Green Planar Laser Level</t>
        </is>
      </c>
      <c r="D6341" t="inlineStr">
        <is>
          <t>Klein Tools 93PLL Self-Leveling Laser Level, Green 3x360-Deg Planes, Rechargeable Battery, Magnetic Mount, Class II Laser (≤1mW @ 510-530nm) Orange</t>
        </is>
      </c>
      <c r="E6341" s="2">
        <f>HYPERLINK("https://www.amazon.com/Klein-Tools-93PLL-Self-Leveling-Rechargeable/dp/B09C7F4H9T/ref=sr_1_2?keywords=Klein+Tools+93PLL+Rechargeable+Self-Leveling+Green+Planar+Laser+Level&amp;qid=1694735109&amp;sr=8-2", "https://www.amazon.com/Klein-Tools-93PLL-Self-Leveling-Rechargeable/dp/B09C7F4H9T/ref=sr_1_2?keywords=Klein+Tools+93PLL+Rechargeable+Self-Leveling+Green+Planar+Laser+Level&amp;qid=1694735109&amp;sr=8-2")</f>
        <v/>
      </c>
      <c r="F6341" t="inlineStr">
        <is>
          <t>B09C7F4H9T</t>
        </is>
      </c>
      <c r="G6341">
        <f>_xlfn.IMAGE("https://edmondsonsupply.com/cdn/shop/products/93pll_app8.jpg?v=1664476137")</f>
        <v/>
      </c>
      <c r="H6341">
        <f>_xlfn.IMAGE("https://m.media-amazon.com/images/I/51jR1c6Z+cL._AC_UL320_.jpg")</f>
        <v/>
      </c>
      <c r="K6341" t="inlineStr">
        <is>
          <t>299.99</t>
        </is>
      </c>
      <c r="L6341" t="n">
        <v>287.59</v>
      </c>
      <c r="M6341" s="1" t="inlineStr">
        <is>
          <t>-4.13%</t>
        </is>
      </c>
      <c r="N6341" s="7" t="n"/>
      <c r="O6341" t="n">
        <v>4.7</v>
      </c>
      <c r="P6341" t="n">
        <v>271</v>
      </c>
      <c r="R6341" t="inlineStr">
        <is>
          <t>InStock</t>
        </is>
      </c>
      <c r="S6341" t="inlineStr">
        <is>
          <t>455.98</t>
        </is>
      </c>
      <c r="T6341" t="inlineStr">
        <is>
          <t>7833808371928</t>
        </is>
      </c>
    </row>
    <row r="6342" ht="87" customHeight="1">
      <c r="A6342" s="2">
        <f>HYPERLINK("https://edmondsonsupply.com/collections/electricians-tools/products/klein-tools-k11095-klein-kurve%C2%AE-wire-stripper-cutter-8-20-awg", "https://edmondsonsupply.com/collections/electricians-tools/products/klein-tools-k11095-klein-kurve%C2%AE-wire-stripper-cutter-8-20-awg")</f>
        <v/>
      </c>
      <c r="B6342" s="2">
        <f>HYPERLINK("https://edmondsonsupply.com/products/klein-tools-k11095-klein-kurve%c2%ae-wire-stripper-cutter-8-20-awg", "https://edmondsonsupply.com/products/klein-tools-k11095-klein-kurve%c2%ae-wire-stripper-cutter-8-20-awg")</f>
        <v/>
      </c>
      <c r="C6342" t="inlineStr">
        <is>
          <t>Klein Tools K11095 Klein-Kurve® Wire Stripper / Cutter, 8-20 AWG</t>
        </is>
      </c>
      <c r="D6342" t="inlineStr">
        <is>
          <t>Klein Tools K11095 Klein-Kurve Wire Stripper and Cutter, for 8-18 AWG Solid and 10-20 AWG Stranded Wire,Blue/White</t>
        </is>
      </c>
      <c r="E6342" s="2">
        <f>HYPERLINK("https://www.amazon.com/Klein-Tools-K11095-Klein-Kurve-Stripper/dp/B08TQ83P2C/ref=sr_1_1?keywords=Klein+Tools+K11095+Klein-Kurve%C2%AE+Wire+Stripper+%2F+Cutter%2C+8-20+AWG&amp;qid=1694735132&amp;sr=8-1", "https://www.amazon.com/Klein-Tools-K11095-Klein-Kurve-Stripper/dp/B08TQ83P2C/ref=sr_1_1?keywords=Klein+Tools+K11095+Klein-Kurve%C2%AE+Wire+Stripper+%2F+Cutter%2C+8-20+AWG&amp;qid=1694735132&amp;sr=8-1")</f>
        <v/>
      </c>
      <c r="F6342" t="inlineStr">
        <is>
          <t>B08TQ83P2C</t>
        </is>
      </c>
      <c r="G6342">
        <f>_xlfn.IMAGE("https://edmondsonsupply.com/cdn/shop/products/k11095_b_front_vertical.jpg?v=1661364611")</f>
        <v/>
      </c>
      <c r="H6342">
        <f>_xlfn.IMAGE("https://m.media-amazon.com/images/I/5180XMjuiIL._AC_UL320_.jpg")</f>
        <v/>
      </c>
      <c r="K6342" t="inlineStr">
        <is>
          <t>20.97</t>
        </is>
      </c>
      <c r="L6342" t="n">
        <v>20.09</v>
      </c>
      <c r="M6342" s="1" t="inlineStr">
        <is>
          <t>-4.20%</t>
        </is>
      </c>
      <c r="N6342" s="7" t="n"/>
      <c r="O6342" t="n">
        <v>4.8</v>
      </c>
      <c r="P6342" t="n">
        <v>438</v>
      </c>
      <c r="R6342" t="inlineStr">
        <is>
          <t>InStock</t>
        </is>
      </c>
      <c r="S6342" t="inlineStr">
        <is>
          <t>29.38</t>
        </is>
      </c>
      <c r="T6342" t="inlineStr">
        <is>
          <t>7793145315544</t>
        </is>
      </c>
    </row>
    <row r="6343" ht="87" customHeight="1">
      <c r="A6343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6343" s="2">
        <f>HYPERLINK("https://edmondsonsupply.com/products/klein-tools-11057-klein-kurve%c2%ae-wire-stripper-and-cutter", "https://edmondsonsupply.com/products/klein-tools-11057-klein-kurve%c2%ae-wire-stripper-and-cutter")</f>
        <v/>
      </c>
      <c r="C6343" t="inlineStr">
        <is>
          <t>Klein Tools 11057 Klein-Kurve® Wire Stripper and Cutter</t>
        </is>
      </c>
      <c r="D6343" t="inlineStr">
        <is>
          <t>Klein Tools K11095 Klein-Kurve Wire Stripper and Cutter, for 8-18 AWG Solid and 10-20 AWG Stranded Wire,Blue/White</t>
        </is>
      </c>
      <c r="E6343" s="2">
        <f>HYPERLINK("https://www.amazon.com/Klein-Tools-K11095-Klein-Kurve-Stripper/dp/B08TQ83P2C/ref=sr_1_9?keywords=Klein+Tools+11057+Klein-Kurve%C2%AE+Wire+Stripper+and+Cutter&amp;qid=1694735357&amp;sr=8-9", "https://www.amazon.com/Klein-Tools-K11095-Klein-Kurve-Stripper/dp/B08TQ83P2C/ref=sr_1_9?keywords=Klein+Tools+11057+Klein-Kurve%C2%AE+Wire+Stripper+and+Cutter&amp;qid=1694735357&amp;sr=8-9")</f>
        <v/>
      </c>
      <c r="F6343" t="inlineStr">
        <is>
          <t>B08TQ83P2C</t>
        </is>
      </c>
      <c r="G6343">
        <f>_xlfn.IMAGE("https://edmondsonsupply.com/cdn/shop/products/11057.jpg?v=1587146927")</f>
        <v/>
      </c>
      <c r="H6343">
        <f>_xlfn.IMAGE("https://m.media-amazon.com/images/I/5180XMjuiIL._AC_UL320_.jpg")</f>
        <v/>
      </c>
      <c r="K6343" t="inlineStr">
        <is>
          <t>20.97</t>
        </is>
      </c>
      <c r="L6343" t="n">
        <v>20.09</v>
      </c>
      <c r="M6343" s="1" t="inlineStr">
        <is>
          <t>-4.20%</t>
        </is>
      </c>
      <c r="N6343" s="7" t="n"/>
      <c r="O6343" t="n">
        <v>4.8</v>
      </c>
      <c r="P6343" t="n">
        <v>438</v>
      </c>
      <c r="R6343" t="inlineStr">
        <is>
          <t>InStock</t>
        </is>
      </c>
      <c r="S6343" t="inlineStr">
        <is>
          <t>32.72</t>
        </is>
      </c>
      <c r="T6343" t="inlineStr">
        <is>
          <t>4455254720612</t>
        </is>
      </c>
    </row>
    <row r="6344" hidden="1" ht="15.75" customHeight="1">
      <c r="A6344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6344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6344" t="inlineStr">
        <is>
          <t>Klein Tools JTH6E15 3/8-Inch Hex Key with Journeyman T-Handle, 6-Inch</t>
        </is>
      </c>
      <c r="D6344" t="inlineStr">
        <is>
          <t>Klein Tools JTH6E15 3/8-Inch Hex Key, Journeyman T-Handle, 6-Inch</t>
        </is>
      </c>
      <c r="E6344" s="2">
        <f>HYPERLINK("https://www.amazon.com/Journeyman-T-Handle-Klein-Tools-JTH6E15/dp/B004N5XZZA/ref=sr_1_1?keywords=Klein+Tools+JTH6E15+3%2F8-Inch+Hex+Key+with+Journeyman+T-Handle%2C+6-Inch&amp;qid=1694735343&amp;sr=8-1", "https://www.amazon.com/Journeyman-T-Handle-Klein-Tools-JTH6E15/dp/B004N5XZZA/ref=sr_1_1?keywords=Klein+Tools+JTH6E15+3%2F8-Inch+Hex+Key+with+Journeyman+T-Handle%2C+6-Inch&amp;qid=1694735343&amp;sr=8-1")</f>
        <v/>
      </c>
      <c r="F6344" t="inlineStr">
        <is>
          <t>B004N5XZZA</t>
        </is>
      </c>
      <c r="G6344">
        <f>_xludf.IMAGE("https://edmondsonsupply.com/cdn/shop/products/jth6e15_c4dd65ba-86a8-4743-882c-88cf44faafdc.jpg?v=1587142819")</f>
        <v/>
      </c>
      <c r="H6344">
        <f>_xludf.IMAGE("https://m.media-amazon.com/images/I/51Yb8h41vLL._AC_UL320_.jpg")</f>
        <v/>
      </c>
      <c r="K6344" t="inlineStr">
        <is>
          <t>8.99</t>
        </is>
      </c>
      <c r="L6344" t="n">
        <v>8.609999999999999</v>
      </c>
      <c r="M6344" s="1" t="inlineStr">
        <is>
          <t>-4.23%</t>
        </is>
      </c>
      <c r="N6344" s="1" t="n"/>
      <c r="O6344" t="n">
        <v>4.8</v>
      </c>
      <c r="P6344" t="n">
        <v>2477</v>
      </c>
      <c r="R6344" t="inlineStr">
        <is>
          <t>InStock</t>
        </is>
      </c>
      <c r="S6344" t="inlineStr">
        <is>
          <t>13.56</t>
        </is>
      </c>
      <c r="T6344" t="inlineStr">
        <is>
          <t>4512705970276</t>
        </is>
      </c>
    </row>
    <row r="6345" hidden="1" ht="15.75" customHeight="1">
      <c r="A6345" s="2">
        <f>HYPERLINK("https://edmondsonsupply.com/collections/electricians-tools/products/klein-tools-608-10-1-8-inch-cabinet-tip-mini-screwdriver-10-inch", "https://edmondsonsupply.com/collections/electricians-tools/products/klein-tools-608-10-1-8-inch-cabinet-tip-mini-screwdriver-10-inch")</f>
        <v/>
      </c>
      <c r="B6345" s="2">
        <f>HYPERLINK("https://edmondsonsupply.com/products/klein-tools-608-10-1-8-inch-cabinet-tip-mini-screwdriver-10-inch", "https://edmondsonsupply.com/products/klein-tools-608-10-1-8-inch-cabinet-tip-mini-screwdriver-10-inch")</f>
        <v/>
      </c>
      <c r="C6345" t="inlineStr">
        <is>
          <t>Klein Tools 608-10 1/8-Inch Cabinet Tip Mini Screwdriver 10-Inch</t>
        </is>
      </c>
      <c r="D6345" t="inlineStr">
        <is>
          <t>Klein Tools 608-10 1/8-Inch Cabinet Tip Miniature Screwdriver with 10-Inch Round Shank</t>
        </is>
      </c>
      <c r="E6345" s="2">
        <f>HYPERLINK("https://www.amazon.com/Screwdriver-Cabinet-1-8x10-Round/dp/B000MKMGGY/ref=sr_1_1?keywords=Klein+Tools+608-10+1%2F8-Inch+Cabinet+Tip+Mini+Screwdriver+10-Inch&amp;qid=1694735289&amp;sr=8-1", "https://www.amazon.com/Screwdriver-Cabinet-1-8x10-Round/dp/B000MKMGGY/ref=sr_1_1?keywords=Klein+Tools+608-10+1%2F8-Inch+Cabinet+Tip+Mini+Screwdriver+10-Inch&amp;qid=1694735289&amp;sr=8-1")</f>
        <v/>
      </c>
      <c r="F6345" t="inlineStr">
        <is>
          <t>B000MKMGGY</t>
        </is>
      </c>
      <c r="G6345">
        <f>_xludf.IMAGE("https://edmondsonsupply.com/cdn/shop/products/608-6_3d55df43-d6b6-4261-9983-f7b4b6f422c4.jpg?v=1633030486")</f>
        <v/>
      </c>
      <c r="H6345">
        <f>_xludf.IMAGE("https://m.media-amazon.com/images/I/31PYmazYuTL._AC_UL320_.jpg")</f>
        <v/>
      </c>
      <c r="K6345" t="inlineStr">
        <is>
          <t>9.99</t>
        </is>
      </c>
      <c r="L6345" t="n">
        <v>9.56</v>
      </c>
      <c r="M6345" s="1" t="inlineStr">
        <is>
          <t>-4.30%</t>
        </is>
      </c>
      <c r="N6345" s="1" t="n"/>
      <c r="O6345" t="n">
        <v>4.7</v>
      </c>
      <c r="P6345" t="n">
        <v>1356</v>
      </c>
      <c r="R6345" t="inlineStr">
        <is>
          <t>InStock</t>
        </is>
      </c>
      <c r="S6345" t="inlineStr">
        <is>
          <t>15.1</t>
        </is>
      </c>
      <c r="T6345" t="inlineStr">
        <is>
          <t>5371101610152</t>
        </is>
      </c>
    </row>
    <row r="6346" hidden="1" ht="15.75" customHeight="1">
      <c r="A6346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6346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6346" t="inlineStr">
        <is>
          <t>Klein Tools 646-7/16M 7/16-Inch Magnetic Tip Nut Driver 6-Inch Shaft</t>
        </is>
      </c>
      <c r="D6346" t="inlineStr">
        <is>
          <t>Klein Tools 630-7/16M 7/16-Inch Magnetic Tip Nut Driver 3-Inch Hollow Shaft</t>
        </is>
      </c>
      <c r="E6346" s="2">
        <f>HYPERLINK("https://www.amazon.com/Klein-Tools-630-7-16M-Magnetic/dp/B00093GE80/ref=sr_1_2?keywords=Klein+Tools+646-7%2F16M+7%2F16-Inch+Magnetic+Tip+Nut+Driver+6-Inch+Shaft&amp;qid=1694735353&amp;sr=8-2", "https://www.amazon.com/Klein-Tools-630-7-16M-Magnetic/dp/B00093GE80/ref=sr_1_2?keywords=Klein+Tools+646-7%2F16M+7%2F16-Inch+Magnetic+Tip+Nut+Driver+6-Inch+Shaft&amp;qid=1694735353&amp;sr=8-2")</f>
        <v/>
      </c>
      <c r="F6346" t="inlineStr">
        <is>
          <t>B00093GE80</t>
        </is>
      </c>
      <c r="G6346">
        <f>_xludf.IMAGE("https://edmondsonsupply.com/cdn/shop/products/646-5-16m_906faaaa-dd9e-40e4-bce3-8174c2b127b5.jpg?v=1587146594")</f>
        <v/>
      </c>
      <c r="H6346">
        <f>_xludf.IMAGE("https://m.media-amazon.com/images/I/51lmlO98BaL._AC_UL320_.jpg")</f>
        <v/>
      </c>
      <c r="K6346" t="inlineStr">
        <is>
          <t>12.99</t>
        </is>
      </c>
      <c r="L6346" t="n">
        <v>12.43</v>
      </c>
      <c r="M6346" s="1" t="inlineStr">
        <is>
          <t>-4.31%</t>
        </is>
      </c>
      <c r="N6346" s="1" t="n"/>
      <c r="O6346" t="n">
        <v>4.7</v>
      </c>
      <c r="P6346" t="n">
        <v>1571</v>
      </c>
      <c r="R6346" t="inlineStr">
        <is>
          <t>InStock</t>
        </is>
      </c>
      <c r="S6346" t="inlineStr">
        <is>
          <t>19.74</t>
        </is>
      </c>
      <c r="T6346" t="inlineStr">
        <is>
          <t>4461840171108</t>
        </is>
      </c>
    </row>
    <row r="6347" ht="87" customHeight="1">
      <c r="A6347" s="2">
        <f>HYPERLINK("https://edmondsonsupply.com/collections/electricians-tools/products/klein-tools-aepjs3-bluetooth%C2%AE-jobsite-speaker-with-magnet-and-hook", "https://edmondsonsupply.com/collections/electricians-tools/products/klein-tools-aepjs3-bluetooth%C2%AE-jobsite-speaker-with-magnet-and-hook")</f>
        <v/>
      </c>
      <c r="B6347" s="2">
        <f>HYPERLINK("https://edmondsonsupply.com/products/klein-tools-aepjs3-bluetooth%c2%ae-jobsite-speaker-with-magnet-and-hook", "https://edmondsonsupply.com/products/klein-tools-aepjs3-bluetooth%c2%ae-jobsite-speaker-with-magnet-and-hook")</f>
        <v/>
      </c>
      <c r="C6347" t="inlineStr">
        <is>
          <t>Klein Tools AEPJS3 Bluetooth® Jobsite Speaker with Magnet and Hook</t>
        </is>
      </c>
      <c r="D6347" t="inlineStr">
        <is>
          <t>Klein Tools AEPJS3 Bluetooth Jobsite Speaker With Magnet and Hook, 20-Hr Run Time, Charge Devices Via USB A or C Ports, Daisy Chain for Pairing, Hands Free Capable, IP54 Dust and Water Resistant</t>
        </is>
      </c>
      <c r="E6347" s="2">
        <f>HYPERLINK("https://www.amazon.com/Klein-Tools-AEPJS3-Bluetooth-Wireless/dp/B0961KV8H1/ref=sr_1_1?keywords=Klein+Tools+AEPJS3+Bluetooth%C2%AE+Jobsite+Speaker+with+Magnet+and+Hook&amp;qid=1694735122&amp;sr=8-1", "https://www.amazon.com/Klein-Tools-AEPJS3-Bluetooth-Wireless/dp/B0961KV8H1/ref=sr_1_1?keywords=Klein+Tools+AEPJS3+Bluetooth%C2%AE+Jobsite+Speaker+with+Magnet+and+Hook&amp;qid=1694735122&amp;sr=8-1")</f>
        <v/>
      </c>
      <c r="F6347" t="inlineStr">
        <is>
          <t>B0961KV8H1</t>
        </is>
      </c>
      <c r="G6347">
        <f>_xlfn.IMAGE("https://edmondsonsupply.com/cdn/shop/products/aepjs3_b.jpg?v=1663946789")</f>
        <v/>
      </c>
      <c r="H6347">
        <f>_xlfn.IMAGE("https://m.media-amazon.com/images/I/61acIMRCM9L._AC_UY218_.jpg")</f>
        <v/>
      </c>
      <c r="K6347" t="inlineStr">
        <is>
          <t>79.97</t>
        </is>
      </c>
      <c r="L6347" t="n">
        <v>76.52</v>
      </c>
      <c r="M6347" s="1" t="inlineStr">
        <is>
          <t>-4.31%</t>
        </is>
      </c>
      <c r="N6347" s="7" t="n"/>
      <c r="O6347" t="n">
        <v>4.6</v>
      </c>
      <c r="P6347" t="n">
        <v>385</v>
      </c>
      <c r="R6347" t="inlineStr">
        <is>
          <t>InStock</t>
        </is>
      </c>
      <c r="S6347" t="inlineStr">
        <is>
          <t>111.94</t>
        </is>
      </c>
      <c r="T6347" t="inlineStr">
        <is>
          <t>7827292553432</t>
        </is>
      </c>
    </row>
    <row r="6348" ht="87" customHeight="1">
      <c r="A6348" s="2">
        <f>HYPERLINK("https://edmondsonsupply.com/collections/electricians-tools/products/klein-tools-55460-tradesman-pro%E2%84%A2-phone-holder-small", "https://edmondsonsupply.com/collections/electricians-tools/products/klein-tools-55460-tradesman-pro%E2%84%A2-phone-holder-small")</f>
        <v/>
      </c>
      <c r="B6348" s="2">
        <f>HYPERLINK("https://edmondsonsupply.com/products/klein-tools-55460-tradesman-pro%e2%84%a2-phone-holder-small", "https://edmondsonsupply.com/products/klein-tools-55460-tradesman-pro%e2%84%a2-phone-holder-small")</f>
        <v/>
      </c>
      <c r="C6348" t="inlineStr">
        <is>
          <t>Klein Tools 55460 Tradesman Pro™ Phone Holder, Small</t>
        </is>
      </c>
      <c r="D6348" t="inlineStr">
        <is>
          <t>Klein Tools 55460 Phone Holder, Small, Fits iPhone, Google, LG, Samsung Phones, With Magnetic Closure and Belt Clip</t>
        </is>
      </c>
      <c r="E6348" s="2">
        <f>HYPERLINK("https://www.amazon.com/Tradesman-Holder-Klein-Tools-55460/dp/B00G8RNKYC/ref=sr_1_1?keywords=Klein+Tools+55460+Tradesman+Pro%E2%84%A2+Phone+Holder%2C+Small&amp;qid=1694735255&amp;sr=8-1", "https://www.amazon.com/Tradesman-Holder-Klein-Tools-55460/dp/B00G8RNKYC/ref=sr_1_1?keywords=Klein+Tools+55460+Tradesman+Pro%E2%84%A2+Phone+Holder%2C+Small&amp;qid=1694735255&amp;sr=8-1")</f>
        <v/>
      </c>
      <c r="F6348" t="inlineStr">
        <is>
          <t>B00G8RNKYC</t>
        </is>
      </c>
      <c r="G6348">
        <f>_xlfn.IMAGE("https://edmondsonsupply.com/cdn/shop/products/55460.jpg?v=1633030728")</f>
        <v/>
      </c>
      <c r="H6348">
        <f>_xlfn.IMAGE("https://m.media-amazon.com/images/I/61iVLo16STL._AC_UL320_.jpg")</f>
        <v/>
      </c>
      <c r="K6348" t="inlineStr">
        <is>
          <t>22.99</t>
        </is>
      </c>
      <c r="L6348" t="n">
        <v>21.99</v>
      </c>
      <c r="M6348" s="1" t="inlineStr">
        <is>
          <t>-4.35%</t>
        </is>
      </c>
      <c r="N6348" s="7" t="n"/>
      <c r="O6348" t="n">
        <v>4.6</v>
      </c>
      <c r="P6348" t="n">
        <v>2210</v>
      </c>
      <c r="R6348" t="inlineStr">
        <is>
          <t>InStock</t>
        </is>
      </c>
      <c r="S6348" t="inlineStr">
        <is>
          <t>34.82</t>
        </is>
      </c>
      <c r="T6348" t="inlineStr">
        <is>
          <t>5868090359976</t>
        </is>
      </c>
    </row>
    <row r="6349" hidden="1" ht="15.75" customHeight="1">
      <c r="A6349" s="2">
        <f>HYPERLINK("https://edmondsonsupply.com/collections/electricians-tools/products/diablo-tools-dmapl2240-3-8-in-x-10-in-x-12-in-sds-plus-2-cutter", "https://edmondsonsupply.com/collections/electricians-tools/products/diablo-tools-dmapl2240-3-8-in-x-10-in-x-12-in-sds-plus-2-cutter")</f>
        <v/>
      </c>
      <c r="B6349" s="2">
        <f>HYPERLINK("https://edmondsonsupply.com/products/diablo-tools-dmapl2240-3-8-in-x-10-in-x-12-in-sds-plus-2-cutter", "https://edmondsonsupply.com/products/diablo-tools-dmapl2240-3-8-in-x-10-in-x-12-in-sds-plus-2-cutter")</f>
        <v/>
      </c>
      <c r="C6349" t="inlineStr">
        <is>
          <t>Diablo Tools DMAPL2240 3/8 in. x 10 in. x 12 in. SDS-Plus 2-Cutter</t>
        </is>
      </c>
      <c r="D6349" t="inlineStr">
        <is>
          <t>Sabre Tools 3/8 Inch x 12 Inch SDS Plus Rotary Hammer Drill Bit, Carbide Tipped for Brick, Stone, and Concrete Version 2 (3/8" x 10" x 12")</t>
        </is>
      </c>
      <c r="E6349" s="2">
        <f>HYPERLINK("https://www.amazon.com/Sabre-Tools-Carbide-Concrete-Version/dp/B096NMWTD2/ref=sr_1_10?keywords=Diablo+Tools+DMAPL2240+3%2F8+in.+x+10+in.+x+12+in.+SDS-Plus+2-Cutter&amp;qid=1694735297&amp;sr=8-10", "https://www.amazon.com/Sabre-Tools-Carbide-Concrete-Version/dp/B096NMWTD2/ref=sr_1_10?keywords=Diablo+Tools+DMAPL2240+3%2F8+in.+x+10+in.+x+12+in.+SDS-Plus+2-Cutter&amp;qid=1694735297&amp;sr=8-10")</f>
        <v/>
      </c>
      <c r="F6349" t="inlineStr">
        <is>
          <t>B096NMWTD2</t>
        </is>
      </c>
      <c r="G6349">
        <f>_xludf.IMAGE("https://edmondsonsupply.com/cdn/shop/products/DMAPL2240-P25.jpg?v=1633030355")</f>
        <v/>
      </c>
      <c r="H6349">
        <f>_xludf.IMAGE("https://m.media-amazon.com/images/I/51ydtdXgPxL._AC_UL320_.jpg")</f>
        <v/>
      </c>
      <c r="K6349" t="inlineStr">
        <is>
          <t>10.97</t>
        </is>
      </c>
      <c r="L6349" t="n">
        <v>10.49</v>
      </c>
      <c r="M6349" s="1" t="inlineStr">
        <is>
          <t>-4.38%</t>
        </is>
      </c>
      <c r="N6349" s="1" t="n"/>
      <c r="O6349" t="n">
        <v>4.6</v>
      </c>
      <c r="P6349" t="n">
        <v>796</v>
      </c>
      <c r="R6349" t="inlineStr">
        <is>
          <t>InStock</t>
        </is>
      </c>
      <c r="S6349" t="inlineStr">
        <is>
          <t>12.38</t>
        </is>
      </c>
      <c r="T6349" t="inlineStr">
        <is>
          <t>5286161252520</t>
        </is>
      </c>
    </row>
    <row r="6350" ht="87" customHeight="1">
      <c r="A6350" s="2">
        <f>HYPERLINK("https://edmondsonsupply.com/collections/electricians-tools/products/klein-tools-56120-fiberglass-fish-tape-replacement-leaders-2-pack", "https://edmondsonsupply.com/collections/electricians-tools/products/klein-tools-56120-fiberglass-fish-tape-replacement-leaders-2-pack")</f>
        <v/>
      </c>
      <c r="B6350" s="2">
        <f>HYPERLINK("https://edmondsonsupply.com/products/klein-tools-56120-fiberglass-fish-tape-replacement-leaders-2-pack", "https://edmondsonsupply.com/products/klein-tools-56120-fiberglass-fish-tape-replacement-leaders-2-pack")</f>
        <v/>
      </c>
      <c r="C6350" t="inlineStr">
        <is>
          <t>Klein Tools 56120 Fiberglass Fish Tape Replacement Leaders, 2-Pack</t>
        </is>
      </c>
      <c r="D6350" t="inlineStr">
        <is>
          <t>Klein Tools 56120 Fiberglass Fish Tape Replacement Leaders, 2-Pack</t>
        </is>
      </c>
      <c r="E6350" s="2">
        <f>HYPERLINK("https://www.amazon.com/Fiberglass-Replacement-Klein-Tools-56120/dp/B007CU7UFY/ref=sr_1_1?keywords=Klein+Tools+56120+Fiberglass+Fish+Tape+Replacement+Leaders%2C+2-Pack&amp;qid=1694735097&amp;sr=8-1", "https://www.amazon.com/Fiberglass-Replacement-Klein-Tools-56120/dp/B007CU7UFY/ref=sr_1_1?keywords=Klein+Tools+56120+Fiberglass+Fish+Tape+Replacement+Leaders%2C+2-Pack&amp;qid=1694735097&amp;sr=8-1")</f>
        <v/>
      </c>
      <c r="F6350" t="inlineStr">
        <is>
          <t>B007CU7UFY</t>
        </is>
      </c>
      <c r="G6350">
        <f>_xlfn.IMAGE("https://edmondsonsupply.com/cdn/shop/products/56120.jpg?v=1666108790")</f>
        <v/>
      </c>
      <c r="H6350">
        <f>_xlfn.IMAGE("https://m.media-amazon.com/images/I/61NG3guhVWL._AC_UL320_.jpg")</f>
        <v/>
      </c>
      <c r="K6350" t="inlineStr">
        <is>
          <t>39.99</t>
        </is>
      </c>
      <c r="L6350" t="n">
        <v>38.24</v>
      </c>
      <c r="M6350" s="1" t="inlineStr">
        <is>
          <t>-4.38%</t>
        </is>
      </c>
      <c r="N6350" s="7" t="n"/>
      <c r="O6350" t="n">
        <v>4.5</v>
      </c>
      <c r="P6350" t="n">
        <v>69</v>
      </c>
      <c r="R6350" t="inlineStr">
        <is>
          <t>InStock</t>
        </is>
      </c>
      <c r="S6350" t="inlineStr">
        <is>
          <t>60.58</t>
        </is>
      </c>
      <c r="T6350" t="inlineStr">
        <is>
          <t>7857447174360</t>
        </is>
      </c>
    </row>
    <row r="6351" ht="87" customHeight="1">
      <c r="A6351" s="2">
        <f>HYPERLINK("https://edmondsonsupply.com/collections/electricians-tools/products/milwaukee-2746-20-m18-fuel%E2%84%A2-18-gauge-brad-nailer-tool-only", "https://edmondsonsupply.com/collections/electricians-tools/products/milwaukee-2746-20-m18-fuel%E2%84%A2-18-gauge-brad-nailer-tool-only")</f>
        <v/>
      </c>
      <c r="B6351" s="2">
        <f>HYPERLINK("https://edmondsonsupply.com/products/milwaukee-2746-20-m18-fuel%e2%84%a2-18-gauge-brad-nailer-tool-only", "https://edmondsonsupply.com/products/milwaukee-2746-20-m18-fuel%e2%84%a2-18-gauge-brad-nailer-tool-only")</f>
        <v/>
      </c>
      <c r="C6351" t="inlineStr">
        <is>
          <t>Milwaukee 2746-20 M18 FUEL™ 18 Gauge Brad Nailer (TOOL ONLY)</t>
        </is>
      </c>
      <c r="D6351" t="inlineStr">
        <is>
          <t>Milwaukee 2746-20 M18 FUEL 18 Gauge Brad Nailer (Tool Only)</t>
        </is>
      </c>
      <c r="E6351" s="2">
        <f>HYPERLINK("https://www.amazon.com/Milwaukee-2746-20-FUEL-Gauge-Nailer/dp/B07VYJQ1KP/ref=sr_1_1?keywords=Milwaukee+2746-20+M18+FUEL%E2%84%A2+18+Gauge+Brad+Nailer+%28TOOL+ONLY%29&amp;qid=1694735058&amp;sr=8-1", "https://www.amazon.com/Milwaukee-2746-20-FUEL-Gauge-Nailer/dp/B07VYJQ1KP/ref=sr_1_1?keywords=Milwaukee+2746-20+M18+FUEL%E2%84%A2+18+Gauge+Brad+Nailer+%28TOOL+ONLY%29&amp;qid=1694735058&amp;sr=8-1")</f>
        <v/>
      </c>
      <c r="F6351" t="inlineStr">
        <is>
          <t>B07VYJQ1KP</t>
        </is>
      </c>
      <c r="G6351">
        <f>_xlfn.IMAGE("https://edmondsonsupply.com/cdn/shop/products/2746-20_1.png?v=1672864388")</f>
        <v/>
      </c>
      <c r="H6351">
        <f>_xlfn.IMAGE("https://m.media-amazon.com/images/I/71UbSbRsStL._AC_UL320_.jpg")</f>
        <v/>
      </c>
      <c r="K6351" t="inlineStr">
        <is>
          <t>299.0</t>
        </is>
      </c>
      <c r="L6351" t="n">
        <v>285.9</v>
      </c>
      <c r="M6351" s="1" t="inlineStr">
        <is>
          <t>-4.38%</t>
        </is>
      </c>
      <c r="N6351" s="7" t="n"/>
      <c r="O6351" t="n">
        <v>4.7</v>
      </c>
      <c r="P6351" t="n">
        <v>673</v>
      </c>
      <c r="R6351" t="inlineStr">
        <is>
          <t>InStock</t>
        </is>
      </c>
      <c r="S6351" t="inlineStr">
        <is>
          <t>526.0</t>
        </is>
      </c>
      <c r="T6351" t="inlineStr">
        <is>
          <t>7916440748248</t>
        </is>
      </c>
    </row>
    <row r="6352" ht="87" customHeight="1">
      <c r="A6352" s="2">
        <f>HYPERLINK("https://edmondsonsupply.com/collections/electricians-tools/products/klein-tools-d504-12-classic-klaw%E2%84%A2-pump-pliers-12-inch", "https://edmondsonsupply.com/collections/electricians-tools/products/klein-tools-d504-12-classic-klaw%E2%84%A2-pump-pliers-12-inch")</f>
        <v/>
      </c>
      <c r="B6352" s="2">
        <f>HYPERLINK("https://edmondsonsupply.com/products/klein-tools-d504-12-classic-klaw%e2%84%a2-pump-pliers-12-inch", "https://edmondsonsupply.com/products/klein-tools-d504-12-classic-klaw%e2%84%a2-pump-pliers-12-inch")</f>
        <v/>
      </c>
      <c r="C6352" t="inlineStr">
        <is>
          <t>Klein Tools D504-12 Classic Klaw™ Pump Pliers, 12-Inch</t>
        </is>
      </c>
      <c r="D6352" t="inlineStr">
        <is>
          <t>Klein Tools D504-12 Classic Klaw Pump Pliers, 12-Inch</t>
        </is>
      </c>
      <c r="E6352" s="2">
        <f>HYPERLINK("https://www.amazon.com/Classic-12-Inch-Klein-Tools-D504-12/dp/B00BJ4OSOA/ref=sr_1_1?keywords=Klein+Tools+D504-12+Classic+Klaw%E2%84%A2+Pump+Pliers%2C+12-Inch&amp;qid=1694735350&amp;sr=8-1", "https://www.amazon.com/Classic-12-Inch-Klein-Tools-D504-12/dp/B00BJ4OSOA/ref=sr_1_1?keywords=Klein+Tools+D504-12+Classic+Klaw%E2%84%A2+Pump+Pliers%2C+12-Inch&amp;qid=1694735350&amp;sr=8-1")</f>
        <v/>
      </c>
      <c r="F6352" t="inlineStr">
        <is>
          <t>B00BJ4OSOA</t>
        </is>
      </c>
      <c r="G6352">
        <f>_xlfn.IMAGE("https://edmondsonsupply.com/cdn/shop/products/d504-10_c0bbfa46-c767-4add-8961-a5c02a363d25.jpg?v=1587149190")</f>
        <v/>
      </c>
      <c r="H6352">
        <f>_xlfn.IMAGE("https://m.media-amazon.com/images/I/51o1HNVFQXL._AC_UL320_.jpg")</f>
        <v/>
      </c>
      <c r="K6352" t="inlineStr">
        <is>
          <t>44.99</t>
        </is>
      </c>
      <c r="L6352" t="n">
        <v>43.01</v>
      </c>
      <c r="M6352" s="1" t="inlineStr">
        <is>
          <t>-4.40%</t>
        </is>
      </c>
      <c r="N6352" s="7" t="n"/>
      <c r="O6352" t="n">
        <v>4.6</v>
      </c>
      <c r="P6352" t="n">
        <v>117</v>
      </c>
      <c r="R6352" t="inlineStr">
        <is>
          <t>InStock</t>
        </is>
      </c>
      <c r="S6352" t="inlineStr">
        <is>
          <t>63.14</t>
        </is>
      </c>
      <c r="T6352" t="inlineStr">
        <is>
          <t>4495463415908</t>
        </is>
      </c>
    </row>
    <row r="6353" ht="87" customHeight="1">
      <c r="A6353" s="2">
        <f>HYPERLINK("https://edmondsonsupply.com/collections/electricians-tools/products/fluke-inlp8", "https://edmondsonsupply.com/collections/electricians-tools/products/fluke-inlp8")</f>
        <v/>
      </c>
      <c r="B6353" s="2">
        <f>HYPERLINK("https://edmondsonsupply.com/products/fluke-inlp8", "https://edmondsonsupply.com/products/fluke-inlp8")</f>
        <v/>
      </c>
      <c r="C6353" t="inlineStr">
        <is>
          <t>Fluke INLP8 Insulated Long Nose Pliers with Side Cutter</t>
        </is>
      </c>
      <c r="D6353" t="inlineStr">
        <is>
          <t>Fluke - INLP8 Insulated Long Nose/w Side Cutter and Gripping Zones, 1000V</t>
        </is>
      </c>
      <c r="E6353" s="2">
        <f>HYPERLINK("https://www.amazon.com/Fluke-Insulated-Cutter-Gripping-Zones/dp/B07SFZR4DX/ref=sr_1_1?keywords=Fluke+INLP8+Insulated+Long+Nose+Pliers+with+Side+Cutter&amp;qid=1694735338&amp;sr=8-1", "https://www.amazon.com/Fluke-Insulated-Cutter-Gripping-Zones/dp/B07SFZR4DX/ref=sr_1_1?keywords=Fluke+INLP8+Insulated+Long+Nose+Pliers+with+Side+Cutter&amp;qid=1694735338&amp;sr=8-1")</f>
        <v/>
      </c>
      <c r="F6353" t="inlineStr">
        <is>
          <t>B07SFZR4DX</t>
        </is>
      </c>
      <c r="G6353">
        <f>_xlfn.IMAGE("https://edmondsonsupply.com/cdn/shop/products/inlp8.jpg?v=1588882577")</f>
        <v/>
      </c>
      <c r="H6353">
        <f>_xlfn.IMAGE("https://m.media-amazon.com/images/I/51lhOQNHSuL._AC_UL320_.jpg")</f>
        <v/>
      </c>
      <c r="K6353" t="inlineStr">
        <is>
          <t>67.49</t>
        </is>
      </c>
      <c r="L6353" t="n">
        <v>64.5</v>
      </c>
      <c r="M6353" s="1" t="inlineStr">
        <is>
          <t>-4.43%</t>
        </is>
      </c>
      <c r="N6353" s="7" t="n"/>
      <c r="O6353" t="n">
        <v>4.5</v>
      </c>
      <c r="P6353" t="n">
        <v>99</v>
      </c>
      <c r="R6353" t="inlineStr">
        <is>
          <t>OutOfStock</t>
        </is>
      </c>
      <c r="S6353" t="inlineStr">
        <is>
          <t>74.99</t>
        </is>
      </c>
      <c r="T6353" t="inlineStr">
        <is>
          <t>4625632198756</t>
        </is>
      </c>
    </row>
    <row r="6354" ht="87" customHeight="1">
      <c r="A6354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354" s="2">
        <f>HYPERLINK("https://edmondsonsupply.com/products/diablo-tools-dag1110-7-8-in-x-7-1-2-in-auger-bit", "https://edmondsonsupply.com/products/diablo-tools-dag1110-7-8-in-x-7-1-2-in-auger-bit")</f>
        <v/>
      </c>
      <c r="C6354" t="inlineStr">
        <is>
          <t>Diablo Tools DAG1110 7/8 in. x 7-1/2 in. Auger Bit</t>
        </is>
      </c>
      <c r="D6354" t="inlineStr">
        <is>
          <t>Diablo DAG3020 7/16 in. x 17-1/2 in. Auger Bit</t>
        </is>
      </c>
      <c r="E6354" s="2">
        <f>HYPERLINK("https://www.amazon.com/Diablo-DAG3020-17-1-Auger-Bit/dp/B089LGWKFF/ref=sr_1_41?keywords=Diablo+Tools+DAG1110+7%2F8+in.+x+7-1%2F2+in.+Auger+Bit&amp;qid=1694735001&amp;sr=8-41", "https://www.amazon.com/Diablo-DAG3020-17-1-Auger-Bit/dp/B089LGWKFF/ref=sr_1_41?keywords=Diablo+Tools+DAG1110+7%2F8+in.+x+7-1%2F2+in.+Auger+Bit&amp;qid=1694735001&amp;sr=8-41")</f>
        <v/>
      </c>
      <c r="F6354" t="inlineStr">
        <is>
          <t>B089LGWKFF</t>
        </is>
      </c>
      <c r="G6354">
        <f>_xlfn.IMAGE("https://edmondsonsupply.com/cdn/shop/products/yel7mbaiyy08ii0assd5.webp?v=1680187136")</f>
        <v/>
      </c>
      <c r="H6354">
        <f>_xlfn.IMAGE("https://m.media-amazon.com/images/I/61XUUNTev0L._AC_UL320_.jpg")</f>
        <v/>
      </c>
      <c r="K6354" t="inlineStr">
        <is>
          <t>16.97</t>
        </is>
      </c>
      <c r="L6354" t="n">
        <v>16.21</v>
      </c>
      <c r="M6354" s="1" t="inlineStr">
        <is>
          <t>-4.48%</t>
        </is>
      </c>
      <c r="N6354" s="7" t="n"/>
      <c r="O6354" t="n">
        <v>5</v>
      </c>
      <c r="P6354" t="n">
        <v>2</v>
      </c>
      <c r="R6354" t="inlineStr">
        <is>
          <t>InStock</t>
        </is>
      </c>
      <c r="S6354" t="inlineStr">
        <is>
          <t>23.76</t>
        </is>
      </c>
      <c r="T6354" t="inlineStr">
        <is>
          <t>7970459549912</t>
        </is>
      </c>
    </row>
    <row r="6355" ht="87" customHeight="1">
      <c r="A6355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6355" s="2">
        <f>HYPERLINK("https://edmondsonsupply.com/products/klein-tools-32305-15-in-1-multi-bit-ratcheting-screwdriver", "https://edmondsonsupply.com/products/klein-tools-32305-15-in-1-multi-bit-ratcheting-screwdriver")</f>
        <v/>
      </c>
      <c r="C6355" t="inlineStr">
        <is>
          <t>Klein Tools 32305 15-in-1 Multi-Bit Ratcheting Screwdriver</t>
        </is>
      </c>
      <c r="D6355" t="inlineStr">
        <is>
          <t>Klein Tools 32500MAG Magnetic Multi-Bit Screwdriver / Nut Driver, 11-in-1 Multi Tool with 8 Bits, 3 Nut Driver Sizes, Cushion Grip Handle</t>
        </is>
      </c>
      <c r="E6355" s="2">
        <f>HYPERLINK("https://www.amazon.com/Klein-Tools-32500MAG-Multi-Bit-Screwdriver/dp/B089LTTZWT/ref=sr_1_22?keywords=Klein+Tools+32305+15-in-1+Multi-Bit+Ratcheting+Screwdriver&amp;qid=1694735163&amp;sr=8-22", "https://www.amazon.com/Klein-Tools-32500MAG-Multi-Bit-Screwdriver/dp/B089LTTZWT/ref=sr_1_22?keywords=Klein+Tools+32305+15-in-1+Multi-Bit+Ratcheting+Screwdriver&amp;qid=1694735163&amp;sr=8-22")</f>
        <v/>
      </c>
      <c r="F6355" t="inlineStr">
        <is>
          <t>B089LTTZWT</t>
        </is>
      </c>
      <c r="G6355">
        <f>_xlfn.IMAGE("https://edmondsonsupply.com/cdn/shop/products/32305.jpg?v=1646965475")</f>
        <v/>
      </c>
      <c r="H6355">
        <f>_xlfn.IMAGE("https://m.media-amazon.com/images/I/61WjOoy7J0L._AC_UL320_.jpg")</f>
        <v/>
      </c>
      <c r="K6355" t="inlineStr">
        <is>
          <t>21.97</t>
        </is>
      </c>
      <c r="L6355" t="n">
        <v>20.97</v>
      </c>
      <c r="M6355" s="1" t="inlineStr">
        <is>
          <t>-4.55%</t>
        </is>
      </c>
      <c r="N6355" s="7" t="n"/>
      <c r="O6355" t="n">
        <v>4.8</v>
      </c>
      <c r="P6355" t="n">
        <v>3916</v>
      </c>
      <c r="R6355" t="inlineStr">
        <is>
          <t>InStock</t>
        </is>
      </c>
      <c r="S6355" t="inlineStr">
        <is>
          <t>30.78</t>
        </is>
      </c>
      <c r="T6355" t="inlineStr">
        <is>
          <t>7632426598616</t>
        </is>
      </c>
    </row>
    <row r="6356" ht="87" customHeight="1">
      <c r="A6356" s="2">
        <f>HYPERLINK("https://edmondsonsupply.com/collections/electricians-tools/products/fluke-tl175e", "https://edmondsonsupply.com/collections/electricians-tools/products/fluke-tl175e")</f>
        <v/>
      </c>
      <c r="B6356" s="2">
        <f>HYPERLINK("https://edmondsonsupply.com/products/fluke-tl175e", "https://edmondsonsupply.com/products/fluke-tl175e")</f>
        <v/>
      </c>
      <c r="C6356" t="inlineStr">
        <is>
          <t>Fluke TL175E TwistGuard™ Test Leads with 4 mm Lantern Tips</t>
        </is>
      </c>
      <c r="D6356" t="inlineStr">
        <is>
          <t>Fluke TL175E TwistGuard Double Insulated Silicone Test Lead Set with Removable 4mm Lantern Tips, 2mm Diameter Probe Tips</t>
        </is>
      </c>
      <c r="E6356" s="2">
        <f>HYPERLINK("https://www.amazon.com/Fluke-TL175E-TwistGuard-Insulated-Removable/dp/B005CTI5LA/ref=sr_1_1?keywords=Fluke+TL175E+TwistGuard%E2%84%A2+Test+Leads+with+4+mm+Lantern+Tips&amp;qid=1694735264&amp;sr=8-1", "https://www.amazon.com/Fluke-TL175E-TwistGuard-Insulated-Removable/dp/B005CTI5LA/ref=sr_1_1?keywords=Fluke+TL175E+TwistGuard%E2%84%A2+Test+Leads+with+4+mm+Lantern+Tips&amp;qid=1694735264&amp;sr=8-1")</f>
        <v/>
      </c>
      <c r="F6356" t="inlineStr">
        <is>
          <t>B005CTI5LA</t>
        </is>
      </c>
      <c r="G6356">
        <f>_xlfn.IMAGE("https://edmondsonsupply.com/cdn/shop/products/tl175e.png?v=1633030610")</f>
        <v/>
      </c>
      <c r="H6356">
        <f>_xlfn.IMAGE("https://m.media-amazon.com/images/I/519JjeFY2cL._AC_UY218_.jpg")</f>
        <v/>
      </c>
      <c r="K6356" t="inlineStr">
        <is>
          <t>43.99</t>
        </is>
      </c>
      <c r="L6356" t="n">
        <v>41.98</v>
      </c>
      <c r="M6356" s="1" t="inlineStr">
        <is>
          <t>-4.57%</t>
        </is>
      </c>
      <c r="N6356" s="7" t="n"/>
      <c r="O6356" t="n">
        <v>4.8</v>
      </c>
      <c r="P6356" t="n">
        <v>1990</v>
      </c>
      <c r="R6356" t="inlineStr">
        <is>
          <t>InStock</t>
        </is>
      </c>
      <c r="S6356" t="inlineStr">
        <is>
          <t>45.99</t>
        </is>
      </c>
      <c r="T6356" t="inlineStr">
        <is>
          <t>5645954449576</t>
        </is>
      </c>
    </row>
    <row r="6357" hidden="1" ht="15.75" customHeight="1">
      <c r="A6357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6357" s="2">
        <f>HYPERLINK("https://edmondsonsupply.com/products/klein-tools-605-4-1-4-inch-cabinet-tip-screwdriver-4-inch-shank", "https://edmondsonsupply.com/products/klein-tools-605-4-1-4-inch-cabinet-tip-screwdriver-4-inch-shank")</f>
        <v/>
      </c>
      <c r="C6357" t="inlineStr">
        <is>
          <t>Klein Tools 605-4 1/4-Inch Cabinet Tip Screwdriver 4-Inch Shank</t>
        </is>
      </c>
      <c r="D6357" t="inlineStr">
        <is>
          <t>Klein Tools 605-4 1/4-Inch Cabinet Tip Screwdriver Heavy Duty 4-Inch Round Shank</t>
        </is>
      </c>
      <c r="E6357" s="2">
        <f>HYPERLINK("https://www.amazon.com/Cabinet-Screwdriver-Klein-Tools-605-4/dp/B000BQWOO8/ref=sr_1_1?keywords=Klein+Tools+605-4+1%2F4-Inch+Cabinet+Tip+Screwdriver+4-Inch+Shank&amp;qid=1694735099&amp;sr=8-1", "https://www.amazon.com/Cabinet-Screwdriver-Klein-Tools-605-4/dp/B000BQWOO8/ref=sr_1_1?keywords=Klein+Tools+605-4+1%2F4-Inch+Cabinet+Tip+Screwdriver+4-Inch+Shank&amp;qid=1694735099&amp;sr=8-1")</f>
        <v/>
      </c>
      <c r="F6357" t="inlineStr">
        <is>
          <t>B000BQWOO8</t>
        </is>
      </c>
      <c r="G6357">
        <f>_xludf.IMAGE("https://edmondsonsupply.com/cdn/shop/products/605-6_ac5e56ca-920d-4d55-842f-c7dc8361f892.jpg?v=1665688377")</f>
        <v/>
      </c>
      <c r="H6357">
        <f>_xludf.IMAGE("https://m.media-amazon.com/images/I/41WLDr2SP+L._AC_UL320_.jpg")</f>
        <v/>
      </c>
      <c r="K6357" t="inlineStr">
        <is>
          <t>8.99</t>
        </is>
      </c>
      <c r="L6357" t="n">
        <v>8.57</v>
      </c>
      <c r="M6357" s="1" t="inlineStr">
        <is>
          <t>-4.67%</t>
        </is>
      </c>
      <c r="N6357" s="1" t="n"/>
      <c r="O6357" t="n">
        <v>4.8</v>
      </c>
      <c r="P6357" t="n">
        <v>1225</v>
      </c>
      <c r="R6357" t="inlineStr">
        <is>
          <t>InStock</t>
        </is>
      </c>
      <c r="S6357" t="inlineStr">
        <is>
          <t>13.6</t>
        </is>
      </c>
      <c r="T6357" t="inlineStr">
        <is>
          <t>7852059132120</t>
        </is>
      </c>
    </row>
    <row r="6358" ht="87" customHeight="1">
      <c r="A6358" s="2">
        <f>HYPERLINK("https://edmondsonsupply.com/collections/electricians-tools/products/klein-tools-5151-drawstring-bag-10-compartment", "https://edmondsonsupply.com/collections/electricians-tools/products/klein-tools-5151-drawstring-bag-10-compartment")</f>
        <v/>
      </c>
      <c r="B6358" s="2">
        <f>HYPERLINK("https://edmondsonsupply.com/products/klein-tools-5151-drawstring-bag-10-compartment", "https://edmondsonsupply.com/products/klein-tools-5151-drawstring-bag-10-compartment")</f>
        <v/>
      </c>
      <c r="C6358" t="inlineStr">
        <is>
          <t>Klein Tools 5151 Drawstring Bag, 10-Compartment</t>
        </is>
      </c>
      <c r="D6358" t="inlineStr">
        <is>
          <t>Klein Tools 5151 Drawstring Bag, 10-Compartment</t>
        </is>
      </c>
      <c r="E6358" s="2">
        <f>HYPERLINK("https://www.amazon.com/Drawstring-10-Compartment-Klein-Tools-5151/dp/B000936Q60/ref=sr_1_1?keywords=Klein+Tools+5151+Drawstring+Bag%2C+10-Compartment&amp;qid=1694735367&amp;sr=8-1", "https://www.amazon.com/Drawstring-10-Compartment-Klein-Tools-5151/dp/B000936Q60/ref=sr_1_1?keywords=Klein+Tools+5151+Drawstring+Bag%2C+10-Compartment&amp;qid=1694735367&amp;sr=8-1")</f>
        <v/>
      </c>
      <c r="F6358" t="inlineStr">
        <is>
          <t>B000936Q60</t>
        </is>
      </c>
      <c r="G6358">
        <f>_xlfn.IMAGE("https://edmondsonsupply.com/cdn/shop/products/5151.jpg?v=1587145508")</f>
        <v/>
      </c>
      <c r="H6358">
        <f>_xlfn.IMAGE("https://m.media-amazon.com/images/I/611VQlKepfL._AC_UL320_.jpg")</f>
        <v/>
      </c>
      <c r="K6358" t="inlineStr">
        <is>
          <t>63.99</t>
        </is>
      </c>
      <c r="L6358" t="n">
        <v>61</v>
      </c>
      <c r="M6358" s="1" t="inlineStr">
        <is>
          <t>-4.67%</t>
        </is>
      </c>
      <c r="N6358" s="7" t="n"/>
      <c r="O6358" t="n">
        <v>4.2</v>
      </c>
      <c r="P6358" t="n">
        <v>14</v>
      </c>
      <c r="R6358" t="inlineStr">
        <is>
          <t>InStock</t>
        </is>
      </c>
      <c r="S6358" t="inlineStr">
        <is>
          <t>96.96</t>
        </is>
      </c>
      <c r="T6358" t="inlineStr">
        <is>
          <t>4430993555556</t>
        </is>
      </c>
    </row>
    <row r="6359" ht="87" customHeight="1">
      <c r="A6359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359" s="2">
        <f>HYPERLINK("https://edmondsonsupply.com/products/klein-tools-32500mag-11-in-1-magnetic-screwdriver-nut-driver", "https://edmondsonsupply.com/products/klein-tools-32500mag-11-in-1-magnetic-screwdriver-nut-driver")</f>
        <v/>
      </c>
      <c r="C6359" t="inlineStr">
        <is>
          <t>Klein Tools 32500MAG 11-in-1 Magnetic Screwdriver / Nut Driver</t>
        </is>
      </c>
      <c r="D6359" t="inlineStr">
        <is>
          <t>Klein Tools 32477 Multi-Bit Screwdriver / Nut Driver 10-in-1 Multi Tool, Industrial Strength Bits, Phillips, Slotted, Square and Torx Bits</t>
        </is>
      </c>
      <c r="E6359" s="2">
        <f>HYPERLINK("https://www.amazon.com/Screwdriver-Industrial-Strength-Klein-Tools/dp/B0002RI5EY/ref=sr_1_17?keywords=Klein+Tools+32500MAG+11-in-1+Magnetic+Screwdriver+%2F+Nut+Driver&amp;qid=1694735235&amp;sr=8-17", "https://www.amazon.com/Screwdriver-Industrial-Strength-Klein-Tools/dp/B0002RI5EY/ref=sr_1_17?keywords=Klein+Tools+32500MAG+11-in-1+Magnetic+Screwdriver+%2F+Nut+Driver&amp;qid=1694735235&amp;sr=8-17")</f>
        <v/>
      </c>
      <c r="F6359" t="inlineStr">
        <is>
          <t>B0002RI5EY</t>
        </is>
      </c>
      <c r="G6359">
        <f>_xlfn.IMAGE("https://edmondsonsupply.com/cdn/shop/products/32500mag.jpg?v=1633030832")</f>
        <v/>
      </c>
      <c r="H6359">
        <f>_xlfn.IMAGE("https://m.media-amazon.com/images/I/71LrIhqEXuL._AC_UL320_.jpg")</f>
        <v/>
      </c>
      <c r="K6359" t="inlineStr">
        <is>
          <t>20.97</t>
        </is>
      </c>
      <c r="L6359" t="n">
        <v>19.99</v>
      </c>
      <c r="M6359" s="1" t="inlineStr">
        <is>
          <t>-4.67%</t>
        </is>
      </c>
      <c r="N6359" s="7" t="n"/>
      <c r="O6359" t="n">
        <v>4.7</v>
      </c>
      <c r="P6359" t="n">
        <v>555</v>
      </c>
      <c r="R6359" t="inlineStr">
        <is>
          <t>InStock</t>
        </is>
      </c>
      <c r="S6359" t="inlineStr">
        <is>
          <t>29.38</t>
        </is>
      </c>
      <c r="T6359" t="inlineStr">
        <is>
          <t>6082199814317</t>
        </is>
      </c>
    </row>
    <row r="6360" hidden="1" ht="15.75" customHeight="1">
      <c r="A6360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6360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6360" t="inlineStr">
        <is>
          <t>Diablo Tools DMAPL4180 1/2 in. x 4 in. x 6 in. Rebar Demon™ SDS-Plus 4-Cutter Full Carbide Head Hammer Bit</t>
        </is>
      </c>
      <c r="D6360" t="inlineStr">
        <is>
          <t>Diablo by Freud DMAPL4010 5/32 in. x 2 in. x 4 in. Rebar Demon SDS-Plus 4-Cutter Full Carbide Head Hammer Bit</t>
        </is>
      </c>
      <c r="E6360" s="2">
        <f>HYPERLINK("https://www.amazon.com/Diablo-SDS-Plus-4-Cutter-Carbide-Hammer/dp/B089KWVTD3/ref=sr_1_4?keywords=Diablo+Tools+DMAPL4180+1%2F2+in.+x+4+in.+x+6+in.+Rebar+Demon%E2%84%A2+SDS-Plus+4-Cutter+Full+Carbide+Head+Hammer+Bit&amp;qid=1694735298&amp;sr=8-4", "https://www.amazon.com/Diablo-SDS-Plus-4-Cutter-Carbide-Hammer/dp/B089KWVTD3/ref=sr_1_4?keywords=Diablo+Tools+DMAPL4180+1%2F2+in.+x+4+in.+x+6+in.+Rebar+Demon%E2%84%A2+SDS-Plus+4-Cutter+Full+Carbide+Head+Hammer+Bit&amp;qid=1694735298&amp;sr=8-4")</f>
        <v/>
      </c>
      <c r="F6360" t="inlineStr">
        <is>
          <t>B089KWVTD3</t>
        </is>
      </c>
      <c r="G6360">
        <f>_xludf.IMAGE("https://edmondsonsupply.com/cdn/shop/products/DMAPL4180_Main-Image20200702.png?v=1633030362")</f>
        <v/>
      </c>
      <c r="H6360">
        <f>_xludf.IMAGE("https://m.media-amazon.com/images/I/61IkB-DVS1L._AC_UL320_.jpg")</f>
        <v/>
      </c>
      <c r="K6360" t="inlineStr">
        <is>
          <t>9.97</t>
        </is>
      </c>
      <c r="L6360" t="n">
        <v>9.5</v>
      </c>
      <c r="M6360" s="1" t="inlineStr">
        <is>
          <t>-4.71%</t>
        </is>
      </c>
      <c r="N6360" s="1" t="n"/>
      <c r="O6360" t="n">
        <v>4.7</v>
      </c>
      <c r="P6360" t="n">
        <v>4</v>
      </c>
      <c r="R6360" t="inlineStr">
        <is>
          <t>InStock</t>
        </is>
      </c>
      <c r="S6360" t="inlineStr">
        <is>
          <t>undefined</t>
        </is>
      </c>
      <c r="T6360" t="inlineStr">
        <is>
          <t>5286803833000</t>
        </is>
      </c>
    </row>
    <row r="6361" hidden="1" ht="15.75" customHeight="1">
      <c r="A6361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6361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6361" t="inlineStr">
        <is>
          <t>Diablo Tools DMAPL4160 3/8 in. x 10 in. x 12 in. Rebar Demon™ SDS-Plus 4-Cutter Full Carbide Head Hammer Bit</t>
        </is>
      </c>
      <c r="D6361" t="inlineStr">
        <is>
          <t>Diablo by Freud DMAPL4010 5/32 in. x 2 in. x 4 in. Rebar Demon SDS-Plus 4-Cutter Full Carbide Head Hammer Bit</t>
        </is>
      </c>
      <c r="E6361" s="2">
        <f>HYPERLINK("https://www.amazon.com/Diablo-SDS-Plus-4-Cutter-Carbide-Hammer/dp/B089KWVTD3/ref=sr_1_28?keywords=Diablo+Tools+DMAPL4160+3%2F8+in.+x+10+in.+x+12+in.+Rebar+Demon%E2%84%A2+SDS-Plus+4-Cutter+Full+Carbide+Head+Hammer+Bit&amp;qid=1694735304&amp;sr=8-28", "https://www.amazon.com/Diablo-SDS-Plus-4-Cutter-Carbide-Hammer/dp/B089KWVTD3/ref=sr_1_28?keywords=Diablo+Tools+DMAPL4160+3%2F8+in.+x+10+in.+x+12+in.+Rebar+Demon%E2%84%A2+SDS-Plus+4-Cutter+Full+Carbide+Head+Hammer+Bit&amp;qid=1694735304&amp;sr=8-28")</f>
        <v/>
      </c>
      <c r="F6361" t="inlineStr">
        <is>
          <t>B089KWVTD3</t>
        </is>
      </c>
      <c r="G6361">
        <f>_xludf.IMAGE("https://edmondsonsupply.com/cdn/shop/products/w7y3zlfom8dhrlplcmqa.webp?v=1670439058")</f>
        <v/>
      </c>
      <c r="H6361">
        <f>_xludf.IMAGE("https://m.media-amazon.com/images/I/61IkB-DVS1L._AC_UL320_.jpg")</f>
        <v/>
      </c>
      <c r="K6361" t="inlineStr">
        <is>
          <t>9.97</t>
        </is>
      </c>
      <c r="L6361" t="n">
        <v>9.5</v>
      </c>
      <c r="M6361" s="1" t="inlineStr">
        <is>
          <t>-4.71%</t>
        </is>
      </c>
      <c r="N6361" s="1" t="n"/>
      <c r="O6361" t="n">
        <v>4.7</v>
      </c>
      <c r="P6361" t="n">
        <v>4</v>
      </c>
      <c r="R6361" t="inlineStr">
        <is>
          <t>InStock</t>
        </is>
      </c>
      <c r="S6361" t="inlineStr">
        <is>
          <t>15.02</t>
        </is>
      </c>
      <c r="T6361" t="inlineStr">
        <is>
          <t>5286778601640</t>
        </is>
      </c>
    </row>
    <row r="6362" ht="87" customHeight="1">
      <c r="A6362" s="2">
        <f>HYPERLINK("https://edmondsonsupply.com/collections/electricians-tools/products/amprobe-pk-110-three-piece-electrical-test-kit", "https://edmondsonsupply.com/collections/electricians-tools/products/amprobe-pk-110-three-piece-electrical-test-kit")</f>
        <v/>
      </c>
      <c r="B6362" s="2">
        <f>HYPERLINK("https://edmondsonsupply.com/products/amprobe-pk-110-three-piece-electrical-test-kit", "https://edmondsonsupply.com/products/amprobe-pk-110-three-piece-electrical-test-kit")</f>
        <v/>
      </c>
      <c r="C6362" t="inlineStr">
        <is>
          <t>Amprobe PK-110 Three Piece Electrical Test Kit</t>
        </is>
      </c>
      <c r="D6362" t="inlineStr">
        <is>
          <t>Amprobe PK-110 Electrical Test Kit with Voltage Probe,Black</t>
        </is>
      </c>
      <c r="E6362" s="2">
        <f>HYPERLINK("https://www.amazon.com/Amprobe-PK-110-Electrical-Voltage-Probe/dp/B00N3JJPYC/ref=sr_1_1?keywords=Amprobe+PK-110+Three+Piece+Electrical+Test+Kit&amp;qid=1694735244&amp;sr=8-1", "https://www.amazon.com/Amprobe-PK-110-Electrical-Voltage-Probe/dp/B00N3JJPYC/ref=sr_1_1?keywords=Amprobe+PK-110+Three+Piece+Electrical+Test+Kit&amp;qid=1694735244&amp;sr=8-1")</f>
        <v/>
      </c>
      <c r="F6362" t="inlineStr">
        <is>
          <t>B00N3JJPYC</t>
        </is>
      </c>
      <c r="G6362">
        <f>_xlfn.IMAGE("https://edmondsonsupply.com/cdn/shop/products/PD_PK-110-1.jpg?v=1633030780")</f>
        <v/>
      </c>
      <c r="H6362">
        <f>_xlfn.IMAGE("https://m.media-amazon.com/images/I/61DN11oMi5L._AC_UY218_.jpg")</f>
        <v/>
      </c>
      <c r="K6362" t="inlineStr">
        <is>
          <t>48.22</t>
        </is>
      </c>
      <c r="L6362" t="n">
        <v>45.94</v>
      </c>
      <c r="M6362" s="1" t="inlineStr">
        <is>
          <t>-4.73%</t>
        </is>
      </c>
      <c r="N6362" s="7" t="n"/>
      <c r="O6362" t="n">
        <v>4.3</v>
      </c>
      <c r="P6362" t="n">
        <v>170</v>
      </c>
      <c r="R6362" t="inlineStr">
        <is>
          <t>InStock</t>
        </is>
      </c>
      <c r="S6362" t="inlineStr">
        <is>
          <t>52.99</t>
        </is>
      </c>
      <c r="T6362" t="inlineStr">
        <is>
          <t>5963520311464</t>
        </is>
      </c>
    </row>
    <row r="6363" hidden="1" ht="15.75" customHeight="1">
      <c r="A6363" s="2">
        <f>HYPERLINK("https://edmondsonsupply.com/collections/electricians-tools/products/klein-tools-jth4e10-5-32-inch-hex-key-journeyman-t-handle-4-inch", "https://edmondsonsupply.com/collections/electricians-tools/products/klein-tools-jth4e10-5-32-inch-hex-key-journeyman-t-handle-4-inch")</f>
        <v/>
      </c>
      <c r="B6363" s="2">
        <f>HYPERLINK("https://edmondsonsupply.com/products/klein-tools-jth4e10-5-32-inch-hex-key-journeyman-t-handle-4-inch", "https://edmondsonsupply.com/products/klein-tools-jth4e10-5-32-inch-hex-key-journeyman-t-handle-4-inch")</f>
        <v/>
      </c>
      <c r="C6363" t="inlineStr">
        <is>
          <t>Klein Tools JTH4E10 5/32-Inch Hex Key, Journeyman T-Handle, 4-Inch</t>
        </is>
      </c>
      <c r="D6363" t="inlineStr">
        <is>
          <t>Klein Tools JTH4E10 5/32-Inch Hex Key with Journeyman T-Handle, 4-Inch</t>
        </is>
      </c>
      <c r="E6363" s="2">
        <f>HYPERLINK("https://www.amazon.com/Journeyman-T-Handle-Klein-Tools-JTH4E10/dp/B004ITOH9Y/ref=sr_1_1?keywords=Klein+Tools+JTH4E10+5%2F32-Inch+Hex+Key%2C+Journeyman+T-Handle%2C+4-Inch&amp;qid=1694735166&amp;sr=8-1", "https://www.amazon.com/Journeyman-T-Handle-Klein-Tools-JTH4E10/dp/B004ITOH9Y/ref=sr_1_1?keywords=Klein+Tools+JTH4E10+5%2F32-Inch+Hex+Key%2C+Journeyman+T-Handle%2C+4-Inch&amp;qid=1694735166&amp;sr=8-1")</f>
        <v/>
      </c>
      <c r="F6363" t="inlineStr">
        <is>
          <t>B004ITOH9Y</t>
        </is>
      </c>
      <c r="G6363">
        <f>_xludf.IMAGE("https://edmondsonsupply.com/cdn/shop/products/jth4e17_ce261606-f524-49c5-9cd5-8c9f52dd1e03.jpg?v=1645565342")</f>
        <v/>
      </c>
      <c r="H6363">
        <f>_xludf.IMAGE("https://m.media-amazon.com/images/I/41nYgFaB8fL._AC_UL320_.jpg")</f>
        <v/>
      </c>
      <c r="K6363" t="inlineStr">
        <is>
          <t>3.99</t>
        </is>
      </c>
      <c r="L6363" t="n">
        <v>3.8</v>
      </c>
      <c r="M6363" s="1" t="inlineStr">
        <is>
          <t>-4.76%</t>
        </is>
      </c>
      <c r="N6363" s="1" t="n"/>
      <c r="O6363" t="n">
        <v>4.8</v>
      </c>
      <c r="P6363" t="n">
        <v>2477</v>
      </c>
      <c r="R6363" t="inlineStr">
        <is>
          <t>InStock</t>
        </is>
      </c>
      <c r="S6363" t="inlineStr">
        <is>
          <t>6.04</t>
        </is>
      </c>
      <c r="T6363" t="inlineStr">
        <is>
          <t>7614353015000</t>
        </is>
      </c>
    </row>
    <row r="6364" ht="87" customHeight="1">
      <c r="A6364" s="2">
        <f>HYPERLINK("https://edmondsonsupply.com/collections/electricians-tools/products/klein-tools-1009-klein-kurve-long-nose-wire-stripper-wire-cutter-crimping-tool", "https://edmondsonsupply.com/collections/electricians-tools/products/klein-tools-1009-klein-kurve-long-nose-wire-stripper-wire-cutter-crimping-tool")</f>
        <v/>
      </c>
      <c r="B6364" s="2">
        <f>HYPERLINK("https://edmondsonsupply.com/products/klein-tools-1009-klein-kurve-long-nose-wire-stripper-wire-cutter-crimping-tool", "https://edmondsonsupply.com/products/klein-tools-1009-klein-kurve-long-nose-wire-stripper-wire-cutter-crimping-tool")</f>
        <v/>
      </c>
      <c r="C6364" t="inlineStr">
        <is>
          <t>Klein Tools 1009 Klein-Kurve Long-Nose Wire Stripper, Wire Cutter, Crimping Tool</t>
        </is>
      </c>
      <c r="D6364" t="inlineStr">
        <is>
          <t>Klein Tools 1009 Multi Tool, Wire Stripper, Crimping Tool, Wire Cutter, Long-Nose Multi-Purpose Electrician Tool,Gray/Yellow</t>
        </is>
      </c>
      <c r="E6364" s="2">
        <f>HYPERLINK("https://www.amazon.com/Crimping-Stripping-Klein-Tools-1009/dp/B079T9Q9X8/ref=sr_1_1?keywords=Klein+Tools+1009+Klein-Kurve+Long-Nose+Wire+Stripper%2C+Wire+Cutter%2C+Crimping+Tool&amp;qid=1694735242&amp;sr=8-1", "https://www.amazon.com/Crimping-Stripping-Klein-Tools-1009/dp/B079T9Q9X8/ref=sr_1_1?keywords=Klein+Tools+1009+Klein-Kurve+Long-Nose+Wire+Stripper%2C+Wire+Cutter%2C+Crimping+Tool&amp;qid=1694735242&amp;sr=8-1")</f>
        <v/>
      </c>
      <c r="F6364" t="inlineStr">
        <is>
          <t>B079T9Q9X8</t>
        </is>
      </c>
      <c r="G6364">
        <f>_xlfn.IMAGE("https://edmondsonsupply.com/cdn/shop/products/1009.jpg?v=1633030797")</f>
        <v/>
      </c>
      <c r="H6364">
        <f>_xlfn.IMAGE("https://m.media-amazon.com/images/I/51ktpyk63OL._AC_UL320_.jpg")</f>
        <v/>
      </c>
      <c r="K6364" t="inlineStr">
        <is>
          <t>20.97</t>
        </is>
      </c>
      <c r="L6364" t="n">
        <v>19.97</v>
      </c>
      <c r="M6364" s="1" t="inlineStr">
        <is>
          <t>-4.77%</t>
        </is>
      </c>
      <c r="N6364" s="7" t="n"/>
      <c r="O6364" t="n">
        <v>4.7</v>
      </c>
      <c r="P6364" t="n">
        <v>626</v>
      </c>
      <c r="R6364" t="inlineStr">
        <is>
          <t>InStock</t>
        </is>
      </c>
      <c r="S6364" t="inlineStr">
        <is>
          <t>30.02</t>
        </is>
      </c>
      <c r="T6364" t="inlineStr">
        <is>
          <t>6000451682472</t>
        </is>
      </c>
    </row>
    <row r="6365" ht="87" customHeight="1">
      <c r="A6365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365" s="2">
        <f>HYPERLINK("https://edmondsonsupply.com/products/klein-tools-32500mag-11-in-1-magnetic-screwdriver-nut-driver", "https://edmondsonsupply.com/products/klein-tools-32500mag-11-in-1-magnetic-screwdriver-nut-driver")</f>
        <v/>
      </c>
      <c r="C6365" t="inlineStr">
        <is>
          <t>Klein Tools 32500MAG 11-in-1 Magnetic Screwdriver / Nut Driver</t>
        </is>
      </c>
      <c r="D6365" t="inlineStr">
        <is>
          <t>Klein Tools 32303 Multi-Bit Screwdriver / Nut Driver, Impact Rated 14-in-1 Magnetic Screwdriver Set Phillips, Slotted, Square, Combo, Torx</t>
        </is>
      </c>
      <c r="E6365" s="2">
        <f>HYPERLINK("https://www.amazon.com/Klein-Tools-Multi-bit-Screwdriver-Adjustable/dp/B08KFM8833/ref=sr_1_5?keywords=Klein+Tools+32500MAG+11-in-1+Magnetic+Screwdriver+%2F+Nut+Driver&amp;qid=1694735235&amp;sr=8-5", "https://www.amazon.com/Klein-Tools-Multi-bit-Screwdriver-Adjustable/dp/B08KFM8833/ref=sr_1_5?keywords=Klein+Tools+32500MAG+11-in-1+Magnetic+Screwdriver+%2F+Nut+Driver&amp;qid=1694735235&amp;sr=8-5")</f>
        <v/>
      </c>
      <c r="F6365" t="inlineStr">
        <is>
          <t>B08KFM8833</t>
        </is>
      </c>
      <c r="G6365">
        <f>_xlfn.IMAGE("https://edmondsonsupply.com/cdn/shop/products/32500mag.jpg?v=1633030832")</f>
        <v/>
      </c>
      <c r="H6365">
        <f>_xlfn.IMAGE("https://m.media-amazon.com/images/I/51MWPRqx3sL._AC_UL320_.jpg")</f>
        <v/>
      </c>
      <c r="K6365" t="inlineStr">
        <is>
          <t>20.97</t>
        </is>
      </c>
      <c r="L6365" t="n">
        <v>19.97</v>
      </c>
      <c r="M6365" s="1" t="inlineStr">
        <is>
          <t>-4.77%</t>
        </is>
      </c>
      <c r="N6365" s="7" t="n"/>
      <c r="O6365" t="n">
        <v>4.6</v>
      </c>
      <c r="P6365" t="n">
        <v>2694</v>
      </c>
      <c r="R6365" t="inlineStr">
        <is>
          <t>InStock</t>
        </is>
      </c>
      <c r="S6365" t="inlineStr">
        <is>
          <t>29.38</t>
        </is>
      </c>
      <c r="T6365" t="inlineStr">
        <is>
          <t>6082199814317</t>
        </is>
      </c>
    </row>
    <row r="6366" ht="87" customHeight="1">
      <c r="A6366" s="2">
        <f>HYPERLINK("https://edmondsonsupply.com/collections/electricians-tools/products/klein-tools-60407rl-hard-hat-vented-full-brim-with-rechargeable-headlamp-white", "https://edmondsonsupply.com/collections/electricians-tools/products/klein-tools-60407rl-hard-hat-vented-full-brim-with-rechargeable-headlamp-white")</f>
        <v/>
      </c>
      <c r="B6366" s="2">
        <f>HYPERLINK("https://edmondsonsupply.com/products/klein-tools-60407rl-hard-hat-vented-full-brim-with-rechargeable-headlamp-white", "https://edmondsonsupply.com/products/klein-tools-60407rl-hard-hat-vented-full-brim-with-rechargeable-headlamp-white")</f>
        <v/>
      </c>
      <c r="C6366" t="inlineStr">
        <is>
          <t>Klein Tools 60407RL Hard Hat, Vented, Full Brim with Rechargeable Headlamp, White</t>
        </is>
      </c>
      <c r="D6366" t="inlineStr">
        <is>
          <t>Klein Tools 60401 Hard Hat, Vented, Full Brim Style, Padded, Self-Wicking Odor-Resistant Sweatband, White &amp; 60181 Cooling Helmet Liner, Under Hard Hat Cap with Mesh Fabric at Crown</t>
        </is>
      </c>
      <c r="E6366" s="2">
        <f>HYPERLINK("https://www.amazon.com/Klein-Tools-Self-Wicking-Odor-Resistant-Sweatband/dp/B0BGJ5GTKV/ref=sr_1_16?keywords=Klein+Tools+60407RL+Hard+Hat%2C+Vented%2C+Full+Brim+with+Rechargeable+Headlamp%2C+White&amp;qid=1694735114&amp;sr=8-16", "https://www.amazon.com/Klein-Tools-Self-Wicking-Odor-Resistant-Sweatband/dp/B0BGJ5GTKV/ref=sr_1_16?keywords=Klein+Tools+60407RL+Hard+Hat%2C+Vented%2C+Full+Brim+with+Rechargeable+Headlamp%2C+White&amp;qid=1694735114&amp;sr=8-16")</f>
        <v/>
      </c>
      <c r="F6366" t="inlineStr">
        <is>
          <t>B0BGJ5GTKV</t>
        </is>
      </c>
      <c r="G6366">
        <f>_xlfn.IMAGE("https://edmondsonsupply.com/cdn/shop/products/60407rl_d.jpg?v=1665589857")</f>
        <v/>
      </c>
      <c r="H6366">
        <f>_xlfn.IMAGE("https://m.media-amazon.com/images/I/41lJ1V88-+L._AC_UL320_.jpg")</f>
        <v/>
      </c>
      <c r="K6366" t="inlineStr">
        <is>
          <t>69.99</t>
        </is>
      </c>
      <c r="L6366" t="n">
        <v>66.65000000000001</v>
      </c>
      <c r="M6366" s="1" t="inlineStr">
        <is>
          <t>-4.77%</t>
        </is>
      </c>
      <c r="N6366" s="7" t="n"/>
      <c r="O6366" t="n">
        <v>5</v>
      </c>
      <c r="P6366" t="n">
        <v>1</v>
      </c>
      <c r="R6366" t="inlineStr">
        <is>
          <t>InStock</t>
        </is>
      </c>
      <c r="S6366" t="inlineStr">
        <is>
          <t>105.0</t>
        </is>
      </c>
      <c r="T6366" t="inlineStr">
        <is>
          <t>7849949855960</t>
        </is>
      </c>
    </row>
    <row r="6367" ht="87" customHeight="1">
      <c r="A6367" s="2">
        <f>HYPERLINK("https://edmondsonsupply.com/collections/electricians-tools/products/klein-tools-203-6-eins-long-nose-side-cutter-pliers-6-inch-slim-insulated", "https://edmondsonsupply.com/collections/electricians-tools/products/klein-tools-203-6-eins-long-nose-side-cutter-pliers-6-inch-slim-insulated")</f>
        <v/>
      </c>
      <c r="B6367" s="2">
        <f>HYPERLINK("https://edmondsonsupply.com/products/klein-tools-203-6-eins-long-nose-side-cutter-pliers-6-inch-slim-insulated", "https://edmondsonsupply.com/products/klein-tools-203-6-eins-long-nose-side-cutter-pliers-6-inch-slim-insulated")</f>
        <v/>
      </c>
      <c r="C6367" t="inlineStr">
        <is>
          <t>Klein Tools 2036EINS Long Nose Side Cutter Pliers 6-Inch Slim Insulated</t>
        </is>
      </c>
      <c r="D6367" t="inlineStr">
        <is>
          <t>Klein Tools D302-6 Needle Nose Pliers, Long Nose Side Cutters, Alligator Pliers with Curved Handle, 6-1/2-Inch</t>
        </is>
      </c>
      <c r="E6367" s="2">
        <f>HYPERLINK("https://www.amazon.com/Curved-Long-Nose-Klein-Tools-D302-6/dp/B000G6CAGK/ref=sr_1_14?keywords=Klein+Tools+2036EINS+Long+Nose+Side+Cutter+Pliers+6-Inch+Slim+Insulated&amp;qid=1694735202&amp;sr=8-14", "https://www.amazon.com/Curved-Long-Nose-Klein-Tools-D302-6/dp/B000G6CAGK/ref=sr_1_14?keywords=Klein+Tools+2036EINS+Long+Nose+Side+Cutter+Pliers+6-Inch+Slim+Insulated&amp;qid=1694735202&amp;sr=8-14")</f>
        <v/>
      </c>
      <c r="F6367" t="inlineStr">
        <is>
          <t>B000G6CAGK</t>
        </is>
      </c>
      <c r="G6367">
        <f>_xlfn.IMAGE("https://edmondsonsupply.com/cdn/shop/products/2036eins.jpg?v=1633031077")</f>
        <v/>
      </c>
      <c r="H6367">
        <f>_xlfn.IMAGE("https://m.media-amazon.com/images/I/31HPclIh6JL._AC_UL320_.jpg")</f>
        <v/>
      </c>
      <c r="K6367" t="inlineStr">
        <is>
          <t>46.99</t>
        </is>
      </c>
      <c r="L6367" t="n">
        <v>44.74</v>
      </c>
      <c r="M6367" s="1" t="inlineStr">
        <is>
          <t>-4.79%</t>
        </is>
      </c>
      <c r="N6367" s="7" t="n"/>
      <c r="O6367" t="n">
        <v>4.7</v>
      </c>
      <c r="P6367" t="n">
        <v>83</v>
      </c>
      <c r="R6367" t="inlineStr">
        <is>
          <t>InStock</t>
        </is>
      </c>
      <c r="S6367" t="inlineStr">
        <is>
          <t>71.2</t>
        </is>
      </c>
      <c r="T6367" t="inlineStr">
        <is>
          <t>6829261029549</t>
        </is>
      </c>
    </row>
    <row r="6368" ht="87" customHeight="1">
      <c r="A6368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6368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6368" t="inlineStr">
        <is>
          <t>Diablo Tools DOU250BW 2-1/2 in. Universal Fit Bi-Metal Oscillating Blade for Nail-Embedded Wood</t>
        </is>
      </c>
      <c r="D6368" t="inlineStr">
        <is>
          <t>Norske Tools NOTP273 1-1/4 inch Japanese Tooth Bi-Metal Oscillating Multi Tool Accessory Blades (3 Pack Set) Universal Fit for Cutting Wood and Hard Wood</t>
        </is>
      </c>
      <c r="E6368" s="2">
        <f>HYPERLINK("https://www.amazon.com/Norske-Tools-NOTP273-Oscillating-Accessory/dp/B07GB9QHBF/ref=sr_1_41?keywords=Diablo+Tools+DOU250BW+2-1%2F2+in.+Universal+Fit+Bi-Metal+Oscillating+Blade+for+Nail-Embedded+Wood&amp;qid=1694734995&amp;sr=8-41", "https://www.amazon.com/Norske-Tools-NOTP273-Oscillating-Accessory/dp/B07GB9QHBF/ref=sr_1_41?keywords=Diablo+Tools+DOU250BW+2-1%2F2+in.+Universal+Fit+Bi-Metal+Oscillating+Blade+for+Nail-Embedded+Wood&amp;qid=1694734995&amp;sr=8-41")</f>
        <v/>
      </c>
      <c r="F6368" t="inlineStr">
        <is>
          <t>B07GB9QHBF</t>
        </is>
      </c>
      <c r="G6368">
        <f>_xlfn.IMAGE("https://edmondsonsupply.com/cdn/shop/files/xcched1uye7bv2s0ryod.webp?v=1685717397")</f>
        <v/>
      </c>
      <c r="H6368">
        <f>_xlfn.IMAGE("https://m.media-amazon.com/images/I/61TOLqLfwWL._AC_UL320_.jpg")</f>
        <v/>
      </c>
      <c r="K6368" t="inlineStr">
        <is>
          <t>19.97</t>
        </is>
      </c>
      <c r="L6368" t="n">
        <v>19.01</v>
      </c>
      <c r="M6368" s="1" t="inlineStr">
        <is>
          <t>-4.81%</t>
        </is>
      </c>
      <c r="N6368" s="7" t="n"/>
      <c r="O6368" t="n">
        <v>4.3</v>
      </c>
      <c r="P6368" t="n">
        <v>83</v>
      </c>
      <c r="R6368" t="inlineStr">
        <is>
          <t>InStock</t>
        </is>
      </c>
      <c r="S6368" t="inlineStr">
        <is>
          <t>24.85</t>
        </is>
      </c>
      <c r="T6368" t="inlineStr">
        <is>
          <t>7999559598296</t>
        </is>
      </c>
    </row>
    <row r="6369" ht="87" customHeight="1">
      <c r="A6369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6369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6369" t="inlineStr">
        <is>
          <t>Klein Tools 602-4-INS 1/4-Inch Cabinet Tip Insulated Screwdriver, 4-Inch</t>
        </is>
      </c>
      <c r="D6369" t="inlineStr">
        <is>
          <t>Klein Tools 32293 Insulated Screwdriver, 2-in-1 Screwdriver Set with Flip Blade, #2 Phillips and1/4-Inch Slotted Tips, Double-Ended Blades</t>
        </is>
      </c>
      <c r="E6369" s="2">
        <f>HYPERLINK("https://www.amazon.com/Klein-Tools-32293-Screwdriver-Double-Ended/dp/B07WWZZQD2/ref=sr_1_11?keywords=Klein+Tools+602-4-INS+1%2F4-Inch+Cabinet+Tip+Insulated+Screwdriver%2C+4-Inch&amp;qid=1694735209&amp;sr=8-11", "https://www.amazon.com/Klein-Tools-32293-Screwdriver-Double-Ended/dp/B07WWZZQD2/ref=sr_1_11?keywords=Klein+Tools+602-4-INS+1%2F4-Inch+Cabinet+Tip+Insulated+Screwdriver%2C+4-Inch&amp;qid=1694735209&amp;sr=8-11")</f>
        <v/>
      </c>
      <c r="F6369" t="inlineStr">
        <is>
          <t>B07WWZZQD2</t>
        </is>
      </c>
      <c r="G6369">
        <f>_xlfn.IMAGE("https://edmondsonsupply.com/cdn/shop/products/602-4-ins-photo.jpg?v=1633031051")</f>
        <v/>
      </c>
      <c r="H6369">
        <f>_xlfn.IMAGE("https://m.media-amazon.com/images/I/41yk4NC2BmL._AC_UL320_.jpg")</f>
        <v/>
      </c>
      <c r="K6369" t="inlineStr">
        <is>
          <t>20.99</t>
        </is>
      </c>
      <c r="L6369" t="n">
        <v>19.98</v>
      </c>
      <c r="M6369" s="1" t="inlineStr">
        <is>
          <t>-4.81%</t>
        </is>
      </c>
      <c r="N6369" s="7" t="n"/>
      <c r="O6369" t="n">
        <v>4.8</v>
      </c>
      <c r="P6369" t="n">
        <v>2774</v>
      </c>
      <c r="R6369" t="inlineStr">
        <is>
          <t>InStock</t>
        </is>
      </c>
      <c r="S6369" t="inlineStr">
        <is>
          <t>31.8</t>
        </is>
      </c>
      <c r="T6369" t="inlineStr">
        <is>
          <t>6779496890541</t>
        </is>
      </c>
    </row>
    <row r="6370" hidden="1" ht="15.75" customHeight="1">
      <c r="A6370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6370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6370" t="inlineStr">
        <is>
          <t>Diablo Tools DMAPL4180 1/2 in. x 4 in. x 6 in. Rebar Demon™ SDS-Plus 4-Cutter Full Carbide Head Hammer Bit</t>
        </is>
      </c>
      <c r="D6370" t="inlineStr">
        <is>
          <t>Diablo 1/2" x 4"x6" Rebar Demon™ SDS-Plus 4-Cutter Full Carbide Head Hammer Bit</t>
        </is>
      </c>
      <c r="E6370" s="2">
        <f>HYPERLINK("https://www.amazon.com/Diablo-Freud-DMAPL4180-SDS-Plus-4-Cutter/dp/B089KW9PV4/ref=sr_1_16?keywords=Diablo+Tools+DMAPL4180+1%2F2+in.+x+4+in.+x+6+in.+Rebar+Demon%E2%84%A2+SDS-Plus+4-Cutter+Full+Carbide+Head+Hammer+Bit&amp;qid=1694735298&amp;sr=8-16", "https://www.amazon.com/Diablo-Freud-DMAPL4180-SDS-Plus-4-Cutter/dp/B089KW9PV4/ref=sr_1_16?keywords=Diablo+Tools+DMAPL4180+1%2F2+in.+x+4+in.+x+6+in.+Rebar+Demon%E2%84%A2+SDS-Plus+4-Cutter+Full+Carbide+Head+Hammer+Bit&amp;qid=1694735298&amp;sr=8-16")</f>
        <v/>
      </c>
      <c r="F6370" t="inlineStr">
        <is>
          <t>B089KW9PV4</t>
        </is>
      </c>
      <c r="G6370">
        <f>_xludf.IMAGE("https://edmondsonsupply.com/cdn/shop/products/DMAPL4180_Main-Image20200702.png?v=1633030362")</f>
        <v/>
      </c>
      <c r="H6370">
        <f>_xludf.IMAGE("https://m.media-amazon.com/images/I/61q9iw+mKpL._AC_UL320_.jpg")</f>
        <v/>
      </c>
      <c r="K6370" t="inlineStr">
        <is>
          <t>9.97</t>
        </is>
      </c>
      <c r="L6370" t="n">
        <v>9.49</v>
      </c>
      <c r="M6370" s="1" t="inlineStr">
        <is>
          <t>-4.81%</t>
        </is>
      </c>
      <c r="N6370" s="1" t="n"/>
      <c r="O6370" t="n">
        <v>4.5</v>
      </c>
      <c r="P6370" t="n">
        <v>57</v>
      </c>
      <c r="R6370" t="inlineStr">
        <is>
          <t>InStock</t>
        </is>
      </c>
      <c r="S6370" t="inlineStr">
        <is>
          <t>undefined</t>
        </is>
      </c>
      <c r="T6370" t="inlineStr">
        <is>
          <t>5286803833000</t>
        </is>
      </c>
    </row>
    <row r="6371" ht="87" customHeight="1">
      <c r="A6371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6371" s="2">
        <f>HYPERLINK("https://edmondsonsupply.com/products/klein-tools-ir5-dual-laser-infrared-thermometer", "https://edmondsonsupply.com/products/klein-tools-ir5-dual-laser-infrared-thermometer")</f>
        <v/>
      </c>
      <c r="C6371" t="inlineStr">
        <is>
          <t>Klein Tools IR5 Dual Laser Infrared Thermometer</t>
        </is>
      </c>
      <c r="D6371" t="inlineStr">
        <is>
          <t>Klein Tools IR5 Dual Laser 12:1 Infrared Thermometer Digital Backlit</t>
        </is>
      </c>
      <c r="E6371" s="2">
        <f>HYPERLINK("https://www.amazon.com/Klein-Tools-IR5-Dual-Laser/dp/B01DR066WU/ref=sr_1_1?keywords=Klein+Tools+IR5+Dual+Laser+Infrared+Thermometer&amp;qid=1694735248&amp;sr=8-1", "https://www.amazon.com/Klein-Tools-IR5-Dual-Laser/dp/B01DR066WU/ref=sr_1_1?keywords=Klein+Tools+IR5+Dual+Laser+Infrared+Thermometer&amp;qid=1694735248&amp;sr=8-1")</f>
        <v/>
      </c>
      <c r="F6371" t="inlineStr">
        <is>
          <t>B01DR066WU</t>
        </is>
      </c>
      <c r="G6371">
        <f>_xlfn.IMAGE("https://edmondsonsupply.com/cdn/shop/products/ir5.jpg?v=1587148495")</f>
        <v/>
      </c>
      <c r="H6371">
        <f>_xlfn.IMAGE("https://m.media-amazon.com/images/I/51XCexih1QL._AC_UY218_.jpg")</f>
        <v/>
      </c>
      <c r="K6371" t="inlineStr">
        <is>
          <t>64.97</t>
        </is>
      </c>
      <c r="L6371" t="n">
        <v>61.83</v>
      </c>
      <c r="M6371" s="1" t="inlineStr">
        <is>
          <t>-4.83%</t>
        </is>
      </c>
      <c r="N6371" s="7" t="n"/>
      <c r="O6371" t="n">
        <v>4.6</v>
      </c>
      <c r="P6371" t="n">
        <v>1020</v>
      </c>
      <c r="R6371" t="inlineStr">
        <is>
          <t>InStock</t>
        </is>
      </c>
      <c r="S6371" t="inlineStr">
        <is>
          <t>80.92</t>
        </is>
      </c>
      <c r="T6371" t="inlineStr">
        <is>
          <t>4385570160740</t>
        </is>
      </c>
    </row>
    <row r="6372" hidden="1" ht="15.75" customHeight="1">
      <c r="A6372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6372" s="2">
        <f>HYPERLINK("https://edmondsonsupply.com/products/klein-tools-608-6-1-8-inch-cabinet-tip-mini-screwdriver-6-inch", "https://edmondsonsupply.com/products/klein-tools-608-6-1-8-inch-cabinet-tip-mini-screwdriver-6-inch")</f>
        <v/>
      </c>
      <c r="C6372" t="inlineStr">
        <is>
          <t>Klein Tools 608-6 1/8-Inch Cabinet Tip Mini Screwdriver, 6-Inch</t>
        </is>
      </c>
      <c r="D6372" t="inlineStr">
        <is>
          <t>Klein Tools 608-6 1/8-Inch Cabinet Tip Mini Screwdriver, 6-Inch</t>
        </is>
      </c>
      <c r="E6372" s="2">
        <f>HYPERLINK("https://www.amazon.com/Cabinet-Screwdriver-Klein-Tools-608-6/dp/B001BQ20NC/ref=sr_1_1?keywords=Klein+Tools+608-6+1%2F8-Inch+Cabinet+Tip+Mini+Screwdriver%2C+6-Inch&amp;qid=1694735278&amp;sr=8-1", "https://www.amazon.com/Cabinet-Screwdriver-Klein-Tools-608-6/dp/B001BQ20NC/ref=sr_1_1?keywords=Klein+Tools+608-6+1%2F8-Inch+Cabinet+Tip+Mini+Screwdriver%2C+6-Inch&amp;qid=1694735278&amp;sr=8-1")</f>
        <v/>
      </c>
      <c r="F6372" t="inlineStr">
        <is>
          <t>B001BQ20NC</t>
        </is>
      </c>
      <c r="G6372">
        <f>_xludf.IMAGE("https://edmondsonsupply.com/cdn/shop/products/608-6.jpg?v=1633030486")</f>
        <v/>
      </c>
      <c r="H6372">
        <f>_xludf.IMAGE("https://m.media-amazon.com/images/I/31PYmazYuTL._AC_UL320_.jpg")</f>
        <v/>
      </c>
      <c r="K6372" t="inlineStr">
        <is>
          <t>7.99</t>
        </is>
      </c>
      <c r="L6372" t="n">
        <v>7.6</v>
      </c>
      <c r="M6372" s="1" t="inlineStr">
        <is>
          <t>-4.88%</t>
        </is>
      </c>
      <c r="N6372" s="1" t="n"/>
      <c r="O6372" t="n">
        <v>4.7</v>
      </c>
      <c r="P6372" t="n">
        <v>1356</v>
      </c>
      <c r="R6372" t="inlineStr">
        <is>
          <t>InStock</t>
        </is>
      </c>
      <c r="S6372" t="inlineStr">
        <is>
          <t>12.1</t>
        </is>
      </c>
      <c r="T6372" t="inlineStr">
        <is>
          <t>5371087683752</t>
        </is>
      </c>
    </row>
    <row r="6373" hidden="1" ht="15.75" customHeight="1">
      <c r="A6373" s="2">
        <f>HYPERLINK("https://edmondsonsupply.com/collections/electricians-tools/products/klein-tools-jth9e06-3-32-inch-hex-key-journeyman%E2%84%A2-t-handle-9-inch", "https://edmondsonsupply.com/collections/electricians-tools/products/klein-tools-jth9e06-3-32-inch-hex-key-journeyman%E2%84%A2-t-handle-9-inch")</f>
        <v/>
      </c>
      <c r="B6373" s="2">
        <f>HYPERLINK("https://edmondsonsupply.com/products/klein-tools-jth9e06-3-32-inch-hex-key-journeyman%e2%84%a2-t-handle-9-inch", "https://edmondsonsupply.com/products/klein-tools-jth9e06-3-32-inch-hex-key-journeyman%e2%84%a2-t-handle-9-inch")</f>
        <v/>
      </c>
      <c r="C6373" t="inlineStr">
        <is>
          <t>Klein Tools JTH9E06 3/32-Inch Hex Key, Journeyman™ T-Handle, 9-Inch</t>
        </is>
      </c>
      <c r="D6373" t="inlineStr">
        <is>
          <t>Klein Tools JTH9E06 3/32-Inch Hex Key, Journeyman T-Handle, 9-Inch</t>
        </is>
      </c>
      <c r="E6373" s="2">
        <f>HYPERLINK("https://www.amazon.com/Journeyman-T-Handle-Klein-Tools-JTH9E06/dp/B004QV4A50/ref=sr_1_1?keywords=Klein+Tools+JTH9E06+3%2F32-Inch+Hex+Key%2C+Journeyman%E2%84%A2+T-Handle%2C+9-Inch&amp;qid=1694735129&amp;sr=8-1", "https://www.amazon.com/Journeyman-T-Handle-Klein-Tools-JTH9E06/dp/B004QV4A50/ref=sr_1_1?keywords=Klein+Tools+JTH9E06+3%2F32-Inch+Hex+Key%2C+Journeyman%E2%84%A2+T-Handle%2C+9-Inch&amp;qid=1694735129&amp;sr=8-1")</f>
        <v/>
      </c>
      <c r="F6373" t="inlineStr">
        <is>
          <t>B004QV4A50</t>
        </is>
      </c>
      <c r="G6373">
        <f>_xludf.IMAGE("https://edmondsonsupply.com/cdn/shop/products/jth6e15_2136116f-dcd1-4a81-ab1c-471762cb8f3e.jpg?v=1662657547")</f>
        <v/>
      </c>
      <c r="H6373">
        <f>_xludf.IMAGE("https://m.media-amazon.com/images/I/51Yb8h41vLL._AC_UL320_.jpg")</f>
        <v/>
      </c>
      <c r="K6373" t="inlineStr">
        <is>
          <t>4.49</t>
        </is>
      </c>
      <c r="L6373" t="n">
        <v>4.27</v>
      </c>
      <c r="M6373" s="1" t="inlineStr">
        <is>
          <t>-4.90%</t>
        </is>
      </c>
      <c r="N6373" s="1" t="n"/>
      <c r="O6373" t="n">
        <v>4.7</v>
      </c>
      <c r="P6373" t="n">
        <v>390</v>
      </c>
      <c r="R6373" t="inlineStr">
        <is>
          <t>InStock</t>
        </is>
      </c>
      <c r="S6373" t="inlineStr">
        <is>
          <t>6.82</t>
        </is>
      </c>
      <c r="T6373" t="inlineStr">
        <is>
          <t>7809328808152</t>
        </is>
      </c>
    </row>
    <row r="6374" hidden="1" ht="15.75" customHeight="1">
      <c r="A6374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6374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6374" t="inlineStr">
        <is>
          <t>Klein Tools JTH9E08 1/8-Inch Hex Key with Journeyman T-Handle, 9-Inch</t>
        </is>
      </c>
      <c r="D6374" t="inlineStr">
        <is>
          <t>Klein Tools JTH9E08 1/8-Inch Hex Key, Journeyman T-Handle, 9-Inch</t>
        </is>
      </c>
      <c r="E6374" s="2">
        <f>HYPERLINK("https://www.amazon.com/Journeyman-T-Handle-Klein-Tools-JTH9E08/dp/B004QV8DGW/ref=sr_1_1?keywords=Klein+Tools+JTH9E08+1%2F8-Inch+Hex+Key+with+Journeyman+T-Handle%2C+9-Inch&amp;qid=1694735421&amp;sr=8-1", "https://www.amazon.com/Journeyman-T-Handle-Klein-Tools-JTH9E08/dp/B004QV8DGW/ref=sr_1_1?keywords=Klein+Tools+JTH9E08+1%2F8-Inch+Hex+Key+with+Journeyman+T-Handle%2C+9-Inch&amp;qid=1694735421&amp;sr=8-1")</f>
        <v/>
      </c>
      <c r="F6374" t="inlineStr">
        <is>
          <t>B004QV8DGW</t>
        </is>
      </c>
      <c r="G6374">
        <f>_xludf.IMAGE("https://edmondsonsupply.com/cdn/shop/products/jth6e15_f2733d2c-ab65-41d7-8597-f1dfd8fcaabf.jpg?v=1587142807")</f>
        <v/>
      </c>
      <c r="H6374">
        <f>_xludf.IMAGE("https://m.media-amazon.com/images/I/51Yb8h41vLL._AC_UL320_.jpg")</f>
        <v/>
      </c>
      <c r="K6374" t="inlineStr">
        <is>
          <t>4.49</t>
        </is>
      </c>
      <c r="L6374" t="n">
        <v>4.27</v>
      </c>
      <c r="M6374" s="1" t="inlineStr">
        <is>
          <t>-4.90%</t>
        </is>
      </c>
      <c r="N6374" s="1" t="n"/>
      <c r="O6374" t="n">
        <v>4.7</v>
      </c>
      <c r="P6374" t="n">
        <v>390</v>
      </c>
      <c r="R6374" t="inlineStr">
        <is>
          <t>InStock</t>
        </is>
      </c>
      <c r="S6374" t="inlineStr">
        <is>
          <t>6.82</t>
        </is>
      </c>
      <c r="T6374" t="inlineStr">
        <is>
          <t>4352186810468</t>
        </is>
      </c>
    </row>
    <row r="6375" hidden="1" ht="15.75" customHeight="1">
      <c r="A6375" s="2">
        <f>HYPERLINK("https://edmondsonsupply.com/collections/electricians-tools/products/klein-tools-jth9e09-9-64-inch-hex-key-journeyman%E2%84%A2-t-handle-9-inch", "https://edmondsonsupply.com/collections/electricians-tools/products/klein-tools-jth9e09-9-64-inch-hex-key-journeyman%E2%84%A2-t-handle-9-inch")</f>
        <v/>
      </c>
      <c r="B6375" s="2">
        <f>HYPERLINK("https://edmondsonsupply.com/products/klein-tools-jth9e09-9-64-inch-hex-key-journeyman%e2%84%a2-t-handle-9-inch", "https://edmondsonsupply.com/products/klein-tools-jth9e09-9-64-inch-hex-key-journeyman%e2%84%a2-t-handle-9-inch")</f>
        <v/>
      </c>
      <c r="C6375" t="inlineStr">
        <is>
          <t>Klein Tools JTH9E09 9/64-Inch Hex Key, Journeyman™ T-Handle, 9-Inch</t>
        </is>
      </c>
      <c r="D6375" t="inlineStr">
        <is>
          <t>Klein Tools JTH9E09 9/64-Inch Hex Key with Journeyman T-Handle, 9-Inch</t>
        </is>
      </c>
      <c r="E6375" s="2">
        <f>HYPERLINK("https://www.amazon.com/Journeyman-T-Handle-Klein-Tools-JTH9E09/dp/B004QV4ORY/ref=sr_1_1?keywords=Klein+Tools+JTH9E09+9%2F64-Inch+Hex+Key%2C+Journeyman%E2%84%A2+T-Handle%2C+9-Inch&amp;qid=1694734995&amp;sr=8-1", "https://www.amazon.com/Journeyman-T-Handle-Klein-Tools-JTH9E09/dp/B004QV4ORY/ref=sr_1_1?keywords=Klein+Tools+JTH9E09+9%2F64-Inch+Hex+Key%2C+Journeyman%E2%84%A2+T-Handle%2C+9-Inch&amp;qid=1694734995&amp;sr=8-1")</f>
        <v/>
      </c>
      <c r="F6375" t="inlineStr">
        <is>
          <t>B004QV4ORY</t>
        </is>
      </c>
      <c r="G6375">
        <f>_xludf.IMAGE("https://edmondsonsupply.com/cdn/shop/files/jth6e15_a82bd56b-ad18-4460-9ae1-33c48a111839.jpg?v=1684942468")</f>
        <v/>
      </c>
      <c r="H6375">
        <f>_xludf.IMAGE("https://m.media-amazon.com/images/I/51Yb8h41vLL._AC_UL320_.jpg")</f>
        <v/>
      </c>
      <c r="K6375" t="inlineStr">
        <is>
          <t>4.49</t>
        </is>
      </c>
      <c r="L6375" t="n">
        <v>4.27</v>
      </c>
      <c r="M6375" s="1" t="inlineStr">
        <is>
          <t>-4.90%</t>
        </is>
      </c>
      <c r="N6375" s="1" t="n"/>
      <c r="O6375" t="n">
        <v>4.7</v>
      </c>
      <c r="P6375" t="n">
        <v>390</v>
      </c>
      <c r="R6375" t="inlineStr">
        <is>
          <t>InStock</t>
        </is>
      </c>
      <c r="S6375" t="inlineStr">
        <is>
          <t>6.8</t>
        </is>
      </c>
      <c r="T6375" t="inlineStr">
        <is>
          <t>7995440595160</t>
        </is>
      </c>
    </row>
    <row r="6376" ht="87" customHeight="1">
      <c r="A6376" s="2">
        <f>HYPERLINK("https://edmondsonsupply.com/collections/electricians-tools/products/diablo-tools-dag3070-3-4-in-x-17-1-2-in-auger-bit", "https://edmondsonsupply.com/collections/electricians-tools/products/diablo-tools-dag3070-3-4-in-x-17-1-2-in-auger-bit")</f>
        <v/>
      </c>
      <c r="B6376" s="2">
        <f>HYPERLINK("https://edmondsonsupply.com/products/diablo-tools-dag3070-3-4-in-x-17-1-2-in-auger-bit", "https://edmondsonsupply.com/products/diablo-tools-dag3070-3-4-in-x-17-1-2-in-auger-bit")</f>
        <v/>
      </c>
      <c r="C6376" t="inlineStr">
        <is>
          <t>Diablo Tools DAG3070 3/4 in. x 17-1/2 in. Auger Bit</t>
        </is>
      </c>
      <c r="D6376" t="inlineStr">
        <is>
          <t>Diablo by Freud DAG3100 15/16 in. x 17-1/2 in. Auger Bit Multi, One Size</t>
        </is>
      </c>
      <c r="E6376" s="2">
        <f>HYPERLINK("https://www.amazon.com/Diablo-DAG3100-17-1-Auger-Bit/dp/B089KWFBPH/ref=sr_1_10?keywords=Diablo+Tools+DAG3070+3%2F4+in.+x+17-1%2F2+in.+Auger+Bit&amp;qid=1694735067&amp;sr=8-10", "https://www.amazon.com/Diablo-DAG3100-17-1-Auger-Bit/dp/B089KWFBPH/ref=sr_1_10?keywords=Diablo+Tools+DAG3070+3%2F4+in.+x+17-1%2F2+in.+Auger+Bit&amp;qid=1694735067&amp;sr=8-10")</f>
        <v/>
      </c>
      <c r="F6376" t="inlineStr">
        <is>
          <t>B089KWFBPH</t>
        </is>
      </c>
      <c r="G6376">
        <f>_xlfn.IMAGE("https://edmondsonsupply.com/cdn/shop/products/ljatbudptj8xmo1m7sg7.webp?v=1669994151")</f>
        <v/>
      </c>
      <c r="H6376">
        <f>_xlfn.IMAGE("https://m.media-amazon.com/images/I/61Lk5PecX2L._AC_UL320_.jpg")</f>
        <v/>
      </c>
      <c r="K6376" t="inlineStr">
        <is>
          <t>23.99</t>
        </is>
      </c>
      <c r="L6376" t="n">
        <v>22.8</v>
      </c>
      <c r="M6376" s="1" t="inlineStr">
        <is>
          <t>-4.96%</t>
        </is>
      </c>
      <c r="N6376" s="7" t="n"/>
      <c r="O6376" t="n">
        <v>5</v>
      </c>
      <c r="P6376" t="n">
        <v>3</v>
      </c>
      <c r="R6376" t="inlineStr">
        <is>
          <t>InStock</t>
        </is>
      </c>
      <c r="S6376" t="inlineStr">
        <is>
          <t>32.3</t>
        </is>
      </c>
      <c r="T6376" t="inlineStr">
        <is>
          <t>7897497960664</t>
        </is>
      </c>
    </row>
    <row r="6377" ht="87" customHeight="1">
      <c r="A6377" s="2">
        <f>HYPERLINK("https://edmondsonsupply.com/collections/electricians-tools/products/tajima-gp-16bw-g-plus%E2%84%A2-standard-scale-16-ft-x-1-in-steel-blade-tape-measure", "https://edmondsonsupply.com/collections/electricians-tools/products/tajima-gp-16bw-g-plus%E2%84%A2-standard-scale-16-ft-x-1-in-steel-blade-tape-measure")</f>
        <v/>
      </c>
      <c r="B6377" s="2">
        <f>HYPERLINK("https://edmondsonsupply.com/products/tajima-gp-16bw-g-plus%e2%84%a2-standard-scale-16-ft-x-1-in-steel-blade-tape-measure", "https://edmondsonsupply.com/products/tajima-gp-16bw-g-plus%e2%84%a2-standard-scale-16-ft-x-1-in-steel-blade-tape-measure")</f>
        <v/>
      </c>
      <c r="C6377" t="inlineStr">
        <is>
          <t>Tajima GP-16BW G-PLUS™ Standard Scale, 16 ft x 1 in. Steel Blade Tape Measure</t>
        </is>
      </c>
      <c r="D6377" t="inlineStr">
        <is>
          <t>TAJIMA Tape Measure - 16 ft x 1 inch G-Plus Measuring Tape with Armored Case &amp; Acrylic Coated Blade - GP-16BW</t>
        </is>
      </c>
      <c r="E6377" s="2">
        <f>HYPERLINK("https://www.amazon.com/TAJIMA-Tape-Measure-Measuring-Armored/dp/B001S2QNPA/ref=sr_1_1?keywords=Tajima+GP-16BW+G-PLUS%E2%84%A2+Standard+Scale%2C+16+ft+x+1+in.+Steel+Blade+Tape+Measure&amp;qid=1694735145&amp;sr=8-1", "https://www.amazon.com/TAJIMA-Tape-Measure-Measuring-Armored/dp/B001S2QNPA/ref=sr_1_1?keywords=Tajima+GP-16BW+G-PLUS%E2%84%A2+Standard+Scale%2C+16+ft+x+1+in.+Steel+Blade+Tape+Measure&amp;qid=1694735145&amp;sr=8-1")</f>
        <v/>
      </c>
      <c r="F6377" t="inlineStr">
        <is>
          <t>B001S2QNPA</t>
        </is>
      </c>
      <c r="G6377">
        <f>_xlfn.IMAGE("https://edmondsonsupply.com/cdn/shop/products/GP-16BW_s-2.jpg?v=1655821133")</f>
        <v/>
      </c>
      <c r="H6377">
        <f>_xlfn.IMAGE("https://m.media-amazon.com/images/I/61KUgikKosL._AC_UL320_.jpg")</f>
        <v/>
      </c>
      <c r="K6377" t="inlineStr">
        <is>
          <t>30.59</t>
        </is>
      </c>
      <c r="L6377" t="n">
        <v>29.07</v>
      </c>
      <c r="M6377" s="1" t="inlineStr">
        <is>
          <t>-4.97%</t>
        </is>
      </c>
      <c r="N6377" s="7" t="n"/>
      <c r="O6377" t="n">
        <v>4.1</v>
      </c>
      <c r="P6377" t="n">
        <v>112</v>
      </c>
      <c r="R6377" t="inlineStr">
        <is>
          <t>InStock</t>
        </is>
      </c>
      <c r="S6377" t="inlineStr">
        <is>
          <t>undefined</t>
        </is>
      </c>
      <c r="T6377" t="inlineStr">
        <is>
          <t>7726164508888</t>
        </is>
      </c>
    </row>
    <row r="6378" hidden="1" ht="15.75" customHeight="1">
      <c r="A6378" s="2">
        <f>HYPERLINK("https://edmondsonsupply.com/collections/electricians-tools/products/tajima-gs-25-7-5mbw-gs-lock%E2%84%A2-standard-metric-scale-25-ft-7-5-m-x-1-1-16-in-27mm-steel-blade-tape-measure", "https://edmondsonsupply.com/collections/electricians-tools/products/tajima-gs-25-7-5mbw-gs-lock%E2%84%A2-standard-metric-scale-25-ft-7-5-m-x-1-1-16-in-27mm-steel-blade-tape-measure")</f>
        <v/>
      </c>
      <c r="B6378" s="2">
        <f>HYPERLINK("https://edmondsonsupply.com/products/tajima-gs-25-7-5mbw-gs-lock%e2%84%a2-standard-metric-scale-25-ft-7-5-m-x-1-1-16-in-27mm-steel-blade-tape-measure", "https://edmondsonsupply.com/products/tajima-gs-25-7-5mbw-gs-lock%e2%84%a2-standard-metric-scale-25-ft-7-5-m-x-1-1-16-in-27mm-steel-blade-tape-measure")</f>
        <v/>
      </c>
      <c r="C6378" t="inlineStr">
        <is>
          <t>Tajima GS-25/7.5MBW GS Lock™ Standard &amp; Metric Scale, 25 ft/ 7.5 m x 1-1/16 in./27mm Steel Blade Tape Measure</t>
        </is>
      </c>
      <c r="D6378" t="inlineStr">
        <is>
          <t>TAJIMA Tape Measure - 25 ft / 7.5 m x 1-1/16 inch GS-Lock Measuring Tape with Dual Metric/Standard Scale &amp; Acrylic Coated Blade - GS-25/7.5MBW</t>
        </is>
      </c>
      <c r="E6378" s="2">
        <f>HYPERLINK("https://www.amazon.com/TAJIMA-GS25-7-5MBW-Standard-Metric/dp/B07KJYHXG2/ref=sr_1_1?keywords=Tajima+GS-25%2F7.5MBW+GS+Lock%E2%84%A2+Standard+%26+Metric+Scale%2C+25+ft%2F+7.5+m+x+1-1%2F16+in.%2F27mm+Steel+Blade+Tape+Measure&amp;qid=1694735146&amp;sr=8-1", "https://www.amazon.com/TAJIMA-GS25-7-5MBW-Standard-Metric/dp/B07KJYHXG2/ref=sr_1_1?keywords=Tajima+GS-25%2F7.5MBW+GS+Lock%E2%84%A2+Standard+%26+Metric+Scale%2C+25+ft%2F+7.5+m+x+1-1%2F16+in.%2F27mm+Steel+Blade+Tape+Measure&amp;qid=1694735146&amp;sr=8-1")</f>
        <v/>
      </c>
      <c r="F6378" t="inlineStr">
        <is>
          <t>B07KJYHXG2</t>
        </is>
      </c>
      <c r="G6378">
        <f>_xludf.IMAGE("https://edmondsonsupply.com/cdn/shop/products/GS25-7.5MBW.jpg?v=1655830265")</f>
        <v/>
      </c>
      <c r="H6378">
        <f>_xludf.IMAGE("https://m.media-amazon.com/images/I/51PaItjwi6L._AC_UL320_.jpg")</f>
        <v/>
      </c>
      <c r="K6378" t="inlineStr">
        <is>
          <t>42.19</t>
        </is>
      </c>
      <c r="L6378" t="n">
        <v>40.08</v>
      </c>
      <c r="M6378" s="1" t="inlineStr">
        <is>
          <t>-5.00%</t>
        </is>
      </c>
      <c r="N6378" s="1" t="n"/>
      <c r="O6378" t="n">
        <v>4</v>
      </c>
      <c r="P6378" t="n">
        <v>46</v>
      </c>
      <c r="R6378" t="inlineStr">
        <is>
          <t>InStock</t>
        </is>
      </c>
      <c r="S6378" t="inlineStr">
        <is>
          <t>undefined</t>
        </is>
      </c>
      <c r="T6378" t="inlineStr">
        <is>
          <t>7726372552920</t>
        </is>
      </c>
    </row>
    <row r="6379" ht="87" customHeight="1">
      <c r="A6379" s="2">
        <f>HYPERLINK("https://edmondsonsupply.com/collections/electricians-tools/products/tajima-gp-25bw-g-plus%E2%84%A2-standard-scale-25-ft-x-1-in-steel-blade-tape-measure", "https://edmondsonsupply.com/collections/electricians-tools/products/tajima-gp-25bw-g-plus%E2%84%A2-standard-scale-25-ft-x-1-in-steel-blade-tape-measure")</f>
        <v/>
      </c>
      <c r="B6379" s="2">
        <f>HYPERLINK("https://edmondsonsupply.com/products/tajima-gp-25bw-g-plus%e2%84%a2-standard-scale-25-ft-x-1-in-steel-blade-tape-measure", "https://edmondsonsupply.com/products/tajima-gp-25bw-g-plus%e2%84%a2-standard-scale-25-ft-x-1-in-steel-blade-tape-measure")</f>
        <v/>
      </c>
      <c r="C6379" t="inlineStr">
        <is>
          <t>Tajima GP-25BW G-PLUS™ Standard Scale, 25 ft x 1 in. Steel Blade Tape Measure</t>
        </is>
      </c>
      <c r="D6379" t="inlineStr">
        <is>
          <t>TAJIMA Tape Measure - 25 ft x 1 inch G-Plus Measuring Tape with Armored Case &amp; Acrylic Coated Blade - GP-25BW</t>
        </is>
      </c>
      <c r="E6379" s="2">
        <f>HYPERLINK("https://www.amazon.com/TAJIMA-Tape-Measure-Measuring-Armored/dp/B001S2QNP0/ref=sr_1_1?keywords=Tajima+GP-25BW+G-PLUS%E2%84%A2+Standard+Scale%2C+25+ft+x+1+in.+Steel+Blade+Tape+Measure&amp;qid=1694735141&amp;sr=8-1", "https://www.amazon.com/TAJIMA-Tape-Measure-Measuring-Armored/dp/B001S2QNP0/ref=sr_1_1?keywords=Tajima+GP-25BW+G-PLUS%E2%84%A2+Standard+Scale%2C+25+ft+x+1+in.+Steel+Blade+Tape+Measure&amp;qid=1694735141&amp;sr=8-1")</f>
        <v/>
      </c>
      <c r="F6379" t="inlineStr">
        <is>
          <t>B001S2QNP0</t>
        </is>
      </c>
      <c r="G6379">
        <f>_xlfn.IMAGE("https://edmondsonsupply.com/cdn/shop/products/GP-25BW.jpg?v=1655821525")</f>
        <v/>
      </c>
      <c r="H6379">
        <f>_xlfn.IMAGE("https://m.media-amazon.com/images/I/61KXGISx+rL._AC_UL320_.jpg")</f>
        <v/>
      </c>
      <c r="K6379" t="inlineStr">
        <is>
          <t>35.19</t>
        </is>
      </c>
      <c r="L6379" t="n">
        <v>33.43</v>
      </c>
      <c r="M6379" s="1" t="inlineStr">
        <is>
          <t>-5.00%</t>
        </is>
      </c>
      <c r="N6379" s="7" t="n"/>
      <c r="O6379" t="n">
        <v>4.1</v>
      </c>
      <c r="P6379" t="n">
        <v>112</v>
      </c>
      <c r="R6379" t="inlineStr">
        <is>
          <t>InStock</t>
        </is>
      </c>
      <c r="S6379" t="inlineStr">
        <is>
          <t>35.19</t>
        </is>
      </c>
      <c r="T6379" t="inlineStr">
        <is>
          <t>7726167883992</t>
        </is>
      </c>
    </row>
    <row r="6380" hidden="1" ht="15.75" customHeight="1">
      <c r="A6380" s="2">
        <f>HYPERLINK("https://edmondsonsupply.com/collections/electricians-tools/products/tajima-gs-16bw-gs-lock%E2%84%A2-standard-scale-16-ft-x-1-in-steel-blade-tape-measure", "https://edmondsonsupply.com/collections/electricians-tools/products/tajima-gs-16bw-gs-lock%E2%84%A2-standard-scale-16-ft-x-1-in-steel-blade-tape-measure")</f>
        <v/>
      </c>
      <c r="B6380" s="2">
        <f>HYPERLINK("https://edmondsonsupply.com/products/tajima-gs-16bw-gs-lock%e2%84%a2-standard-scale-16-ft-x-1-in-steel-blade-tape-measure", "https://edmondsonsupply.com/products/tajima-gs-16bw-gs-lock%e2%84%a2-standard-scale-16-ft-x-1-in-steel-blade-tape-measure")</f>
        <v/>
      </c>
      <c r="C6380" t="inlineStr">
        <is>
          <t>Tajima GS-16BW GS Lock™ Standard Scale, 16 ft x 1 in. Steel Blade Tape Measure</t>
        </is>
      </c>
      <c r="D6380" t="inlineStr">
        <is>
          <t>Tajima GS-16/5MBW 16 ft./5 m x 1 in. Standard and Metric Steel GS-Lock Tape Measure</t>
        </is>
      </c>
      <c r="E6380" s="2">
        <f>HYPERLINK("https://www.amazon.com/TAJIMA-GS-16-5MBW-Standard-Metric/dp/B07KK4HWTX/ref=sr_1_7?keywords=Tajima+GS-16BW+GS+Lock%E2%84%A2+Standard+Scale%2C+16+ft+x+1+in.+Steel+Blade+Tape+Measure&amp;qid=1694735152&amp;sr=8-7", "https://www.amazon.com/TAJIMA-GS-16-5MBW-Standard-Metric/dp/B07KK4HWTX/ref=sr_1_7?keywords=Tajima+GS-16BW+GS+Lock%E2%84%A2+Standard+Scale%2C+16+ft+x+1+in.+Steel+Blade+Tape+Measure&amp;qid=1694735152&amp;sr=8-7")</f>
        <v/>
      </c>
      <c r="F6380" t="inlineStr">
        <is>
          <t>B07KK4HWTX</t>
        </is>
      </c>
      <c r="G6380">
        <f>_xludf.IMAGE("https://edmondsonsupply.com/cdn/shop/products/GS16BW.jpg?v=1655827309")</f>
        <v/>
      </c>
      <c r="H6380">
        <f>_xludf.IMAGE("https://m.media-amazon.com/images/I/51vAY18AaEL._AC_UL320_.jpg")</f>
        <v/>
      </c>
      <c r="K6380" t="inlineStr">
        <is>
          <t>29.39</t>
        </is>
      </c>
      <c r="L6380" t="n">
        <v>27.92</v>
      </c>
      <c r="M6380" s="1" t="inlineStr">
        <is>
          <t>-5.00%</t>
        </is>
      </c>
      <c r="N6380" s="1" t="n"/>
      <c r="O6380" t="n">
        <v>4</v>
      </c>
      <c r="P6380" t="n">
        <v>46</v>
      </c>
      <c r="R6380" t="inlineStr">
        <is>
          <t>InStock</t>
        </is>
      </c>
      <c r="S6380" t="inlineStr">
        <is>
          <t>undefined</t>
        </is>
      </c>
      <c r="T6380" t="inlineStr">
        <is>
          <t>7726241513688</t>
        </is>
      </c>
    </row>
    <row r="6381" ht="87" customHeight="1">
      <c r="A6381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6381" s="2">
        <f>HYPERLINK("https://edmondsonsupply.com/products/milwaukee-49-56-0505-1-4-diamond-max%e2%84%a2-hole-saw", "https://edmondsonsupply.com/products/milwaukee-49-56-0505-1-4-diamond-max%e2%84%a2-hole-saw")</f>
        <v/>
      </c>
      <c r="C6381" t="inlineStr">
        <is>
          <t>Milwaukee 49-56-0505 1/4" Diamond MAX™ Hole Saw</t>
        </is>
      </c>
      <c r="D6381" t="inlineStr">
        <is>
          <t>Milwaukee Electric Tool 49-56-7055 Electric Large Thread Quick Change Hole Saw Mandrel, 1/4"</t>
        </is>
      </c>
      <c r="E6381" s="2">
        <f>HYPERLINK("https://www.amazon.com/Milwaukee-Electric-Tool-49-56-7055-Mandrel/dp/B00002249O/ref=sr_1_41?keywords=Milwaukee+49-56-0505+1%2F4%22+Diamond+MAX%E2%84%A2+Hole+Saw&amp;qid=1694735000&amp;sr=8-41", "https://www.amazon.com/Milwaukee-Electric-Tool-49-56-7055-Mandrel/dp/B00002249O/ref=sr_1_41?keywords=Milwaukee+49-56-0505+1%2F4%22+Diamond+MAX%E2%84%A2+Hole+Saw&amp;qid=1694735000&amp;sr=8-41")</f>
        <v/>
      </c>
      <c r="F6381" t="inlineStr">
        <is>
          <t>B00002249O</t>
        </is>
      </c>
      <c r="G6381">
        <f>_xlfn.IMAGE("https://edmondsonsupply.com/cdn/shop/products/49-56-0507_1.png?v=1680111300")</f>
        <v/>
      </c>
      <c r="H6381">
        <f>_xlfn.IMAGE("https://m.media-amazon.com/images/I/41vhgZaG1uL._AC_UL320_.jpg")</f>
        <v/>
      </c>
      <c r="K6381" t="inlineStr">
        <is>
          <t>19.99</t>
        </is>
      </c>
      <c r="L6381" t="n">
        <v>18.99</v>
      </c>
      <c r="M6381" s="1" t="inlineStr">
        <is>
          <t>-5.00%</t>
        </is>
      </c>
      <c r="N6381" s="7" t="n"/>
      <c r="O6381" t="n">
        <v>4.9</v>
      </c>
      <c r="P6381" t="n">
        <v>35</v>
      </c>
      <c r="R6381" t="inlineStr">
        <is>
          <t>InStock</t>
        </is>
      </c>
      <c r="S6381" t="inlineStr">
        <is>
          <t>26.6</t>
        </is>
      </c>
      <c r="T6381" t="inlineStr">
        <is>
          <t>7969746485464</t>
        </is>
      </c>
    </row>
    <row r="6382" hidden="1" ht="15.75" customHeight="1">
      <c r="A6382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6382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6382" t="inlineStr">
        <is>
          <t>Klein Tools 630-1/2 1/2-Inch Nut Driver, 3-Inch Shaft, Cushion-Grip</t>
        </is>
      </c>
      <c r="D6382" t="inlineStr">
        <is>
          <t>Klein Tools 610-1/4M 1/4-Inch Magnetic Nut Driver with 1-1/2-Inch Hollow Shaft and Cushion Grip Handle</t>
        </is>
      </c>
      <c r="E6382" s="2">
        <f>HYPERLINK("https://www.amazon.com/Magnetic-Cushion-Klein-610-1-4M/dp/B00093GE3A/ref=sr_1_7?keywords=Klein+Tools+630-1%2F2+1%2F2-Inch+Nut+Driver%2C+3-Inch+Shaft%2C+Cushion-Grip&amp;qid=1694735275&amp;sr=8-7", "https://www.amazon.com/Magnetic-Cushion-Klein-610-1-4M/dp/B00093GE3A/ref=sr_1_7?keywords=Klein+Tools+630-1%2F2+1%2F2-Inch+Nut+Driver%2C+3-Inch+Shaft%2C+Cushion-Grip&amp;qid=1694735275&amp;sr=8-7")</f>
        <v/>
      </c>
      <c r="F6382" t="inlineStr">
        <is>
          <t>B00093GE3A</t>
        </is>
      </c>
      <c r="G6382">
        <f>_xludf.IMAGE("https://edmondsonsupply.com/cdn/shop/products/630-1-2_7cf2cc87-b92f-4b67-9777-1bad53f29a16.jpg?v=1633030528")</f>
        <v/>
      </c>
      <c r="H6382">
        <f>_xludf.IMAGE("https://m.media-amazon.com/images/I/41piyjqJVeL._AC_UL320_.jpg")</f>
        <v/>
      </c>
      <c r="K6382" t="inlineStr">
        <is>
          <t>9.99</t>
        </is>
      </c>
      <c r="L6382" t="n">
        <v>9.49</v>
      </c>
      <c r="M6382" s="1" t="inlineStr">
        <is>
          <t>-5.01%</t>
        </is>
      </c>
      <c r="N6382" s="1" t="n"/>
      <c r="O6382" t="n">
        <v>4.7</v>
      </c>
      <c r="P6382" t="n">
        <v>258</v>
      </c>
      <c r="R6382" t="inlineStr">
        <is>
          <t>InStock</t>
        </is>
      </c>
      <c r="S6382" t="inlineStr">
        <is>
          <t>14.38</t>
        </is>
      </c>
      <c r="T6382" t="inlineStr">
        <is>
          <t>5408826458280</t>
        </is>
      </c>
    </row>
    <row r="6383" ht="87" customHeight="1">
      <c r="A6383" s="2">
        <f>HYPERLINK("https://edmondsonsupply.com/collections/electricians-tools/products/diablo-tools-dou200rbd-2-universal-fit-bi-metal-oscillating-blade-for-drywall", "https://edmondsonsupply.com/collections/electricians-tools/products/diablo-tools-dou200rbd-2-universal-fit-bi-metal-oscillating-blade-for-drywall")</f>
        <v/>
      </c>
      <c r="B6383" s="2">
        <f>HYPERLINK("https://edmondsonsupply.com/products/diablo-tools-dou200rbd-2-universal-fit-bi-metal-oscillating-blade-for-drywall", "https://edmondsonsupply.com/products/diablo-tools-dou200rbd-2-universal-fit-bi-metal-oscillating-blade-for-drywall")</f>
        <v/>
      </c>
      <c r="C6383" t="inlineStr">
        <is>
          <t>Diablo Tools DOU200RBD 2" Universal Fit Bi-Metal Oscillating Blade for Drywall</t>
        </is>
      </c>
      <c r="D6383" t="inlineStr">
        <is>
          <t>Diablo 2 in. Universal Fit Bi-Metal Oscillating Blade for Drywall</t>
        </is>
      </c>
      <c r="E6383" s="2">
        <f>HYPERLINK("https://www.amazon.com/Diablo-Freud-DOU200RBD-Universal-Oscillating/dp/B089KXBGLH/ref=sr_1_1?keywords=Diablo+Tools+DOU200RBD+2%22+Universal+Fit+Bi-Metal+Oscillating+Blade+for+Drywall&amp;qid=1694735196&amp;sr=8-1", "https://www.amazon.com/Diablo-Freud-DOU200RBD-Universal-Oscillating/dp/B089KXBGLH/ref=sr_1_1?keywords=Diablo+Tools+DOU200RBD+2%22+Universal+Fit+Bi-Metal+Oscillating+Blade+for+Drywall&amp;qid=1694735196&amp;sr=8-1")</f>
        <v/>
      </c>
      <c r="F6383" t="inlineStr">
        <is>
          <t>B089KXBGLH</t>
        </is>
      </c>
      <c r="G6383">
        <f>_xlfn.IMAGE("https://edmondsonsupply.com/cdn/shop/files/h7z7383jucpsecoclphm.webp?v=1686149036")</f>
        <v/>
      </c>
      <c r="H6383">
        <f>_xlfn.IMAGE("https://m.media-amazon.com/images/I/71qOVIpQSCL._AC_UL320_.jpg")</f>
        <v/>
      </c>
      <c r="K6383" t="inlineStr">
        <is>
          <t>18.97</t>
        </is>
      </c>
      <c r="L6383" t="n">
        <v>18.02</v>
      </c>
      <c r="M6383" s="1" t="inlineStr">
        <is>
          <t>-5.01%</t>
        </is>
      </c>
      <c r="N6383" s="7" t="n"/>
      <c r="O6383" t="n">
        <v>4.5</v>
      </c>
      <c r="P6383" t="n">
        <v>53</v>
      </c>
      <c r="R6383" t="inlineStr">
        <is>
          <t>InStock</t>
        </is>
      </c>
      <c r="S6383" t="inlineStr">
        <is>
          <t>23.6</t>
        </is>
      </c>
      <c r="T6383" t="inlineStr">
        <is>
          <t>6846108008621</t>
        </is>
      </c>
    </row>
    <row r="6384" ht="87" customHeight="1">
      <c r="A6384" s="2">
        <f>HYPERLINK("https://edmondsonsupply.com/collections/electricians-tools/products/copy-of-diablo-tools-d0724a-7-1-4-in-x-24-tooth-framing-saw-blade", "https://edmondsonsupply.com/collections/electricians-tools/products/copy-of-diablo-tools-d0724a-7-1-4-in-x-24-tooth-framing-saw-blade")</f>
        <v/>
      </c>
      <c r="B6384" s="2">
        <f>HYPERLINK("https://edmondsonsupply.com/products/copy-of-diablo-tools-d0724a-7-1-4-in-x-24-tooth-framing-saw-blade", "https://edmondsonsupply.com/products/copy-of-diablo-tools-d0724a-7-1-4-in-x-24-tooth-framing-saw-blade")</f>
        <v/>
      </c>
      <c r="C6384" t="inlineStr">
        <is>
          <t>Diablo Tools D1280X 12 in. x 80 Tooth Fine Finish Saw Blade</t>
        </is>
      </c>
      <c r="D6384" t="inlineStr">
        <is>
          <t>Freud D1280X Diablo 12-Inch 80 Tooth ATB Crosscutting Saw Blade with 1-Inch Arbor, Red</t>
        </is>
      </c>
      <c r="E6384" s="2">
        <f>HYPERLINK("https://www.amazon.com/D1280X-Diablo-12-Inch-Crosscutting-1-Inch/dp/B00008WQ35/ref=sr_1_1?keywords=Diablo+Tools+D1280X+12+in.+x+80+Tooth+Fine+Finish+Saw+Blade&amp;qid=1694735310&amp;sr=8-1", "https://www.amazon.com/D1280X-Diablo-12-Inch-Crosscutting-1-Inch/dp/B00008WQ35/ref=sr_1_1?keywords=Diablo+Tools+D1280X+12+in.+x+80+Tooth+Fine+Finish+Saw+Blade&amp;qid=1694735310&amp;sr=8-1")</f>
        <v/>
      </c>
      <c r="F6384" t="inlineStr">
        <is>
          <t>B00008WQ35</t>
        </is>
      </c>
      <c r="G6384">
        <f>_xlfn.IMAGE("https://edmondsonsupply.com/cdn/shop/products/D1280X_Main-Image.png?v=1633030268")</f>
        <v/>
      </c>
      <c r="H6384">
        <f>_xlfn.IMAGE("https://m.media-amazon.com/images/I/81J+RzdRQbL._AC_UL320_.jpg")</f>
        <v/>
      </c>
      <c r="K6384" t="inlineStr">
        <is>
          <t>54.97</t>
        </is>
      </c>
      <c r="L6384" t="n">
        <v>52.2</v>
      </c>
      <c r="M6384" s="1" t="inlineStr">
        <is>
          <t>-5.04%</t>
        </is>
      </c>
      <c r="N6384" s="7" t="n"/>
      <c r="O6384" t="n">
        <v>4.8</v>
      </c>
      <c r="P6384" t="n">
        <v>1319</v>
      </c>
      <c r="R6384" t="inlineStr">
        <is>
          <t>InStock</t>
        </is>
      </c>
      <c r="S6384" t="inlineStr">
        <is>
          <t>85.5</t>
        </is>
      </c>
      <c r="T6384" t="inlineStr">
        <is>
          <t>4679290224740</t>
        </is>
      </c>
    </row>
    <row r="6385" ht="87" customHeight="1">
      <c r="A6385" s="2">
        <f>HYPERLINK("https://edmondsonsupply.com/collections/electricians-tools/products/klein-tools-56221-led-clip-light", "https://edmondsonsupply.com/collections/electricians-tools/products/klein-tools-56221-led-clip-light")</f>
        <v/>
      </c>
      <c r="B6385" s="2">
        <f>HYPERLINK("https://edmondsonsupply.com/products/klein-tools-56221-led-clip-light", "https://edmondsonsupply.com/products/klein-tools-56221-led-clip-light")</f>
        <v/>
      </c>
      <c r="C6385" t="inlineStr">
        <is>
          <t>Klein Tools 56221 LED Clip Light</t>
        </is>
      </c>
      <c r="D6385" t="inlineStr">
        <is>
          <t>Klein Tools 56402 LED Light, Cap Visor Clip Light has Pivoting Head, 2xAAA Batteries, for Work, Running, Outdoor Hiking, Camping, Fishing</t>
        </is>
      </c>
      <c r="E6385" s="2">
        <f>HYPERLINK("https://www.amazon.com/Klein-Tools-56402-Pivoting-Batteries/dp/B07PST59RV/ref=sr_1_4?keywords=Klein+Tools+56221+LED+Clip+Light&amp;qid=1694735233&amp;sr=8-4", "https://www.amazon.com/Klein-Tools-56402-Pivoting-Batteries/dp/B07PST59RV/ref=sr_1_4?keywords=Klein+Tools+56221+LED+Clip+Light&amp;qid=1694735233&amp;sr=8-4")</f>
        <v/>
      </c>
      <c r="F6385" t="inlineStr">
        <is>
          <t>B07PST59RV</t>
        </is>
      </c>
      <c r="G6385">
        <f>_xlfn.IMAGE("https://edmondsonsupply.com/cdn/shop/products/56221.jpg?v=1633030868")</f>
        <v/>
      </c>
      <c r="H6385">
        <f>_xlfn.IMAGE("https://m.media-amazon.com/images/I/51Wj09Yog+L._AC_UL320_.jpg")</f>
        <v/>
      </c>
      <c r="K6385" t="inlineStr">
        <is>
          <t>19.99</t>
        </is>
      </c>
      <c r="L6385" t="n">
        <v>18.97</v>
      </c>
      <c r="M6385" s="1" t="inlineStr">
        <is>
          <t>-5.10%</t>
        </is>
      </c>
      <c r="N6385" s="7" t="n"/>
      <c r="O6385" t="n">
        <v>4.4</v>
      </c>
      <c r="P6385" t="n">
        <v>1199</v>
      </c>
      <c r="R6385" t="inlineStr">
        <is>
          <t>InStock</t>
        </is>
      </c>
      <c r="S6385" t="inlineStr">
        <is>
          <t>29.96</t>
        </is>
      </c>
      <c r="T6385" t="inlineStr">
        <is>
          <t>6135824285869</t>
        </is>
      </c>
    </row>
    <row r="6386" ht="87" customHeight="1">
      <c r="A6386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6386" s="2">
        <f>HYPERLINK("https://edmondsonsupply.com/products/klein-tools-d228-8-diagonal-cutting-pliers-high-leverage-8-inch", "https://edmondsonsupply.com/products/klein-tools-d228-8-diagonal-cutting-pliers-high-leverage-8-inch")</f>
        <v/>
      </c>
      <c r="C6386" t="inlineStr">
        <is>
          <t>Klein Tools D228-8 Diagonal Cutting Pliers, High-Leverage, 8-Inch</t>
        </is>
      </c>
      <c r="D6386" t="inlineStr">
        <is>
          <t>Klein Tools D248-8 Pliers, Diagonal Cutting Multi-Purpose Pliers with Angled Head, High-Leverage Design, and Short Jaw, 8-Inch</t>
        </is>
      </c>
      <c r="E6386" s="2">
        <f>HYPERLINK("https://www.amazon.com/Klein-Tools-D248-8-Leverage-Diagonal/dp/B0000302W8/ref=sr_1_5?keywords=Klein+Tools+D228-8+Diagonal+Cutting+Pliers%2C+High-Leverage%2C+8-Inch&amp;qid=1694735247&amp;sr=8-5", "https://www.amazon.com/Klein-Tools-D248-8-Leverage-Diagonal/dp/B0000302W8/ref=sr_1_5?keywords=Klein+Tools+D228-8+Diagonal+Cutting+Pliers%2C+High-Leverage%2C+8-Inch&amp;qid=1694735247&amp;sr=8-5")</f>
        <v/>
      </c>
      <c r="F6386" t="inlineStr">
        <is>
          <t>B0000302W8</t>
        </is>
      </c>
      <c r="G6386">
        <f>_xlfn.IMAGE("https://edmondsonsupply.com/cdn/shop/products/d2288.jpg?v=1633030753")</f>
        <v/>
      </c>
      <c r="H6386">
        <f>_xlfn.IMAGE("https://m.media-amazon.com/images/I/41KAmcIzVBL._AC_UL320_.jpg")</f>
        <v/>
      </c>
      <c r="K6386" t="inlineStr">
        <is>
          <t>29.97</t>
        </is>
      </c>
      <c r="L6386" t="n">
        <v>28.42</v>
      </c>
      <c r="M6386" s="1" t="inlineStr">
        <is>
          <t>-5.17%</t>
        </is>
      </c>
      <c r="N6386" s="7" t="n"/>
      <c r="O6386" t="n">
        <v>4.8</v>
      </c>
      <c r="P6386" t="n">
        <v>2413</v>
      </c>
      <c r="R6386" t="inlineStr">
        <is>
          <t>InStock</t>
        </is>
      </c>
      <c r="S6386" t="inlineStr">
        <is>
          <t>42.78</t>
        </is>
      </c>
      <c r="T6386" t="inlineStr">
        <is>
          <t>5896908472488</t>
        </is>
      </c>
    </row>
    <row r="6387" ht="87" customHeight="1">
      <c r="A6387" s="2">
        <f>HYPERLINK("https://edmondsonsupply.com/collections/electricians-tools/products/klein-tools-d248-8-diagonal-cutting-pliers-angled-head-short-jaw-8-inch", "https://edmondsonsupply.com/collections/electricians-tools/products/klein-tools-d248-8-diagonal-cutting-pliers-angled-head-short-jaw-8-inch")</f>
        <v/>
      </c>
      <c r="B6387" s="2">
        <f>HYPERLINK("https://edmondsonsupply.com/products/klein-tools-d248-8-diagonal-cutting-pliers-angled-head-short-jaw-8-inch", "https://edmondsonsupply.com/products/klein-tools-d248-8-diagonal-cutting-pliers-angled-head-short-jaw-8-inch")</f>
        <v/>
      </c>
      <c r="C6387" t="inlineStr">
        <is>
          <t>Klein Tools D248-8 Diagonal Cutting Pliers, Angled Head, Short Jaw, 8-Inch</t>
        </is>
      </c>
      <c r="D6387" t="inlineStr">
        <is>
          <t>Klein Tools D248-8 Pliers, Diagonal Cutting Multi-Purpose Pliers with Angled Head, High-Leverage Design, and Short Jaw, 8-Inch</t>
        </is>
      </c>
      <c r="E6387" s="2">
        <f>HYPERLINK("https://www.amazon.com/Klein-Tools-D248-8-Leverage-Diagonal/dp/B0000302W8/ref=sr_1_1?keywords=Klein+Tools+D248-8+Diagonal+Cutting+Pliers%2C+Angled+Head%2C+Short+Jaw%2C+8-Inch&amp;qid=1694735219&amp;sr=8-1", "https://www.amazon.com/Klein-Tools-D248-8-Leverage-Diagonal/dp/B0000302W8/ref=sr_1_1?keywords=Klein+Tools+D248-8+Diagonal+Cutting+Pliers%2C+Angled+Head%2C+Short+Jaw%2C+8-Inch&amp;qid=1694735219&amp;sr=8-1")</f>
        <v/>
      </c>
      <c r="F6387" t="inlineStr">
        <is>
          <t>B0000302W8</t>
        </is>
      </c>
      <c r="G6387">
        <f>_xlfn.IMAGE("https://edmondsonsupply.com/cdn/shop/products/d2488.jpg?v=1633030997")</f>
        <v/>
      </c>
      <c r="H6387">
        <f>_xlfn.IMAGE("https://m.media-amazon.com/images/I/41KAmcIzVBL._AC_UL320_.jpg")</f>
        <v/>
      </c>
      <c r="K6387" t="inlineStr">
        <is>
          <t>29.97</t>
        </is>
      </c>
      <c r="L6387" t="n">
        <v>28.42</v>
      </c>
      <c r="M6387" s="1" t="inlineStr">
        <is>
          <t>-5.17%</t>
        </is>
      </c>
      <c r="N6387" s="7" t="n"/>
      <c r="O6387" t="n">
        <v>4.8</v>
      </c>
      <c r="P6387" t="n">
        <v>2413</v>
      </c>
      <c r="R6387" t="inlineStr">
        <is>
          <t>InStock</t>
        </is>
      </c>
      <c r="S6387" t="inlineStr">
        <is>
          <t>45.42</t>
        </is>
      </c>
      <c r="T6387" t="inlineStr">
        <is>
          <t>6680617091245</t>
        </is>
      </c>
    </row>
    <row r="6388" ht="87" customHeight="1">
      <c r="A6388" s="2">
        <f>HYPERLINK("https://edmondsonsupply.com/collections/electricians-tools/products/greenlee-k2p-1-1-conduit-size-slug-buster%C2%AE-knockout-punch", "https://edmondsonsupply.com/collections/electricians-tools/products/greenlee-k2p-1-1-conduit-size-slug-buster%C2%AE-knockout-punch")</f>
        <v/>
      </c>
      <c r="B6388" s="2">
        <f>HYPERLINK("https://edmondsonsupply.com/products/greenlee-k2p-1-1-conduit-size-slug-buster%c2%ae-knockout-punch", "https://edmondsonsupply.com/products/greenlee-k2p-1-1-conduit-size-slug-buster%c2%ae-knockout-punch")</f>
        <v/>
      </c>
      <c r="C6388" t="inlineStr">
        <is>
          <t>Greenlee K2P-1 1" Conduit Size Slug-Buster® Knockout Punch</t>
        </is>
      </c>
      <c r="D6388" t="inlineStr">
        <is>
          <t>Greenlee K2P-1/2 Slug-Buster Knockout Punch for 1/2" Conduit, Versatile 1/2" Conduit Size Knockout Punch Tool</t>
        </is>
      </c>
      <c r="E6388" s="2">
        <f>HYPERLINK("https://www.amazon.com/Greenlee-K2P-1-2-Knockout-Punch/dp/B07Y5SR6FR/ref=sr_1_1?keywords=Greenlee+K2P-1+1%22+Conduit+Size+Slug-Buster%C2%AE+Knockout+Punch&amp;qid=1694735369&amp;sr=8-1", "https://www.amazon.com/Greenlee-K2P-1-2-Knockout-Punch/dp/B07Y5SR6FR/ref=sr_1_1?keywords=Greenlee+K2P-1+1%22+Conduit+Size+Slug-Buster%C2%AE+Knockout+Punch&amp;qid=1694735369&amp;sr=8-1")</f>
        <v/>
      </c>
      <c r="F6388" t="inlineStr">
        <is>
          <t>B07Y5SR6FR</t>
        </is>
      </c>
      <c r="G6388">
        <f>_xlfn.IMAGE("https://edmondsonsupply.com/cdn/shop/products/K2P-1-CAT1.jpg?v=1587143889")</f>
        <v/>
      </c>
      <c r="H6388">
        <f>_xlfn.IMAGE("https://m.media-amazon.com/images/I/11N2cR90y6L._AC_UL320_.jpg")</f>
        <v/>
      </c>
      <c r="K6388" t="inlineStr">
        <is>
          <t>35.59</t>
        </is>
      </c>
      <c r="L6388" t="n">
        <v>33.73</v>
      </c>
      <c r="M6388" s="1" t="inlineStr">
        <is>
          <t>-5.23%</t>
        </is>
      </c>
      <c r="N6388" s="7" t="n"/>
      <c r="O6388" t="n">
        <v>5</v>
      </c>
      <c r="P6388" t="n">
        <v>2</v>
      </c>
      <c r="R6388" t="inlineStr">
        <is>
          <t>InStock</t>
        </is>
      </c>
      <c r="S6388" t="inlineStr">
        <is>
          <t>39.12</t>
        </is>
      </c>
      <c r="T6388" t="inlineStr">
        <is>
          <t>4431406432356</t>
        </is>
      </c>
    </row>
    <row r="6389" hidden="1" ht="15.75" customHeight="1">
      <c r="A6389" s="2">
        <f>HYPERLINK("https://edmondsonsupply.com/collections/electricians-tools/products/klein-tools-jth6e12be", "https://edmondsonsupply.com/collections/electricians-tools/products/klein-tools-jth6e12be")</f>
        <v/>
      </c>
      <c r="B6389" s="2">
        <f>HYPERLINK("https://edmondsonsupply.com/products/klein-tools-jth6e12be", "https://edmondsonsupply.com/products/klein-tools-jth6e12be")</f>
        <v/>
      </c>
      <c r="C6389" t="inlineStr">
        <is>
          <t>Klein Tools JTH6E12BE 7/32-Inch Ball-End Hex Key, Journeyman™ T-Handle, 6-Inch</t>
        </is>
      </c>
      <c r="D6389" t="inlineStr">
        <is>
          <t>Klein Tools JTH6E12BE 7/32-Inch Ball End Hex Key with Journeyman T-Handle,6-Inch</t>
        </is>
      </c>
      <c r="E6389" s="2">
        <f>HYPERLINK("https://www.amazon.com/Journeyman-T-Handle-Klein-Tools-JTH6E12BE/dp/B004QW74L6/ref=sr_1_1?keywords=Klein+Tools+JTH6E12BE+7%2F32-Inch+Ball-End+Hex+Key%2C+Journeyman%E2%84%A2+T-Handle%2C+6-Inch&amp;qid=1694735096&amp;sr=8-1", "https://www.amazon.com/Journeyman-T-Handle-Klein-Tools-JTH6E12BE/dp/B004QW74L6/ref=sr_1_1?keywords=Klein+Tools+JTH6E12BE+7%2F32-Inch+Ball-End+Hex+Key%2C+Journeyman%E2%84%A2+T-Handle%2C+6-Inch&amp;qid=1694735096&amp;sr=8-1")</f>
        <v/>
      </c>
      <c r="F6389" t="inlineStr">
        <is>
          <t>B004QW74L6</t>
        </is>
      </c>
      <c r="G6389">
        <f>_xludf.IMAGE("https://edmondsonsupply.com/cdn/shop/products/jth6e13be_a85bb43d-b61b-410b-8eb2-5915b239751a.jpg?v=1666110771")</f>
        <v/>
      </c>
      <c r="H6389">
        <f>_xludf.IMAGE("https://m.media-amazon.com/images/I/51f9vBFVXgL._AC_UL320_.jpg")</f>
        <v/>
      </c>
      <c r="K6389" t="inlineStr">
        <is>
          <t>6.49</t>
        </is>
      </c>
      <c r="L6389" t="n">
        <v>6.15</v>
      </c>
      <c r="M6389" s="1" t="inlineStr">
        <is>
          <t>-5.24%</t>
        </is>
      </c>
      <c r="N6389" s="1" t="n"/>
      <c r="O6389" t="n">
        <v>4.5</v>
      </c>
      <c r="P6389" t="n">
        <v>9</v>
      </c>
      <c r="R6389" t="inlineStr">
        <is>
          <t>InStock</t>
        </is>
      </c>
      <c r="S6389" t="inlineStr">
        <is>
          <t>9.86</t>
        </is>
      </c>
      <c r="T6389" t="inlineStr">
        <is>
          <t>7857467457752</t>
        </is>
      </c>
    </row>
    <row r="6390" hidden="1" ht="15.75" customHeight="1">
      <c r="A6390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6390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6390" t="inlineStr">
        <is>
          <t>Klein Tools JTH9E13 1/4-Inch Hex Key with Journeyman T-Handle, 9-Inch</t>
        </is>
      </c>
      <c r="D6390" t="inlineStr">
        <is>
          <t>Klein Tools JTH6E12BE 7/32-Inch Ball End Hex Key with Journeyman T-Handle,6-Inch</t>
        </is>
      </c>
      <c r="E6390" s="2">
        <f>HYPERLINK("https://www.amazon.com/Journeyman-T-Handle-Klein-Tools-JTH6E12BE/dp/B004QW74L6/ref=sr_1_17?keywords=Klein+Tools+JTH9E13+1%2F4-Inch+Hex+Key+with+Journeyman+T-Handle%2C+9-Inch&amp;qid=1694735245&amp;sr=8-17", "https://www.amazon.com/Journeyman-T-Handle-Klein-Tools-JTH6E12BE/dp/B004QW74L6/ref=sr_1_17?keywords=Klein+Tools+JTH9E13+1%2F4-Inch+Hex+Key+with+Journeyman+T-Handle%2C+9-Inch&amp;qid=1694735245&amp;sr=8-17")</f>
        <v/>
      </c>
      <c r="F6390" t="inlineStr">
        <is>
          <t>B004QW74L6</t>
        </is>
      </c>
      <c r="G6390">
        <f>_xludf.IMAGE("https://edmondsonsupply.com/cdn/shop/products/jth9e12_7dcdbf9a-5acd-4824-8919-6aeb4a790072.jpg?v=1604060723")</f>
        <v/>
      </c>
      <c r="H6390">
        <f>_xludf.IMAGE("https://m.media-amazon.com/images/I/51f9vBFVXgL._AC_UL320_.jpg")</f>
        <v/>
      </c>
      <c r="K6390" t="inlineStr">
        <is>
          <t>6.49</t>
        </is>
      </c>
      <c r="L6390" t="n">
        <v>6.15</v>
      </c>
      <c r="M6390" s="1" t="inlineStr">
        <is>
          <t>-5.24%</t>
        </is>
      </c>
      <c r="N6390" s="1" t="n"/>
      <c r="O6390" t="n">
        <v>4.5</v>
      </c>
      <c r="P6390" t="n">
        <v>9</v>
      </c>
      <c r="R6390" t="inlineStr">
        <is>
          <t>InStock</t>
        </is>
      </c>
      <c r="S6390" t="inlineStr">
        <is>
          <t>9.84</t>
        </is>
      </c>
      <c r="T6390" t="inlineStr">
        <is>
          <t>5999069462696</t>
        </is>
      </c>
    </row>
    <row r="6391" hidden="1" ht="15.75" customHeight="1">
      <c r="A6391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6391" s="2">
        <f>HYPERLINK("https://edmondsonsupply.com/products/klein-tools-646-7-16-7-16-inch-nut-driver-6-inch-hollow-shaft", "https://edmondsonsupply.com/products/klein-tools-646-7-16-7-16-inch-nut-driver-6-inch-hollow-shaft")</f>
        <v/>
      </c>
      <c r="C6391" t="inlineStr">
        <is>
          <t>Klein Tools 646-7/16 7/16-Inch Nut Driver, 6-Inch Hollow Shaft</t>
        </is>
      </c>
      <c r="D6391" t="inlineStr">
        <is>
          <t>Capri Tools Kontour 7/16-Inch Nut Driver, 3-Inch Hollow Shaft</t>
        </is>
      </c>
      <c r="E6391" s="2">
        <f>HYPERLINK("https://www.amazon.com/Capri-Tools-Kontour-16-Inch-Driver/dp/B079GR9RQF/ref=sr_1_12?keywords=Klein+Tools+646-7%2F16+7%2F16-Inch+Nut+Driver%2C+6-Inch+Hollow+Shaft&amp;qid=1694735415&amp;sr=8-12", "https://www.amazon.com/Capri-Tools-Kontour-16-Inch-Driver/dp/B079GR9RQF/ref=sr_1_12?keywords=Klein+Tools+646-7%2F16+7%2F16-Inch+Nut+Driver%2C+6-Inch+Hollow+Shaft&amp;qid=1694735415&amp;sr=8-12")</f>
        <v/>
      </c>
      <c r="F6391" t="inlineStr">
        <is>
          <t>B079GR9RQF</t>
        </is>
      </c>
      <c r="G6391">
        <f>_xludf.IMAGE("https://edmondsonsupply.com/cdn/shop/products/646-1-2_64980020-d246-4b4b-829a-c848cc375d64.jpg?v=1587148603")</f>
        <v/>
      </c>
      <c r="H6391">
        <f>_xludf.IMAGE("https://m.media-amazon.com/images/I/61XfF+vzYOL._AC_UL320_.jpg")</f>
        <v/>
      </c>
      <c r="K6391" t="inlineStr">
        <is>
          <t>9.49</t>
        </is>
      </c>
      <c r="L6391" t="n">
        <v>8.99</v>
      </c>
      <c r="M6391" s="1" t="inlineStr">
        <is>
          <t>-5.27%</t>
        </is>
      </c>
      <c r="N6391" s="1" t="n"/>
      <c r="O6391" t="n">
        <v>4.5</v>
      </c>
      <c r="P6391" t="n">
        <v>62</v>
      </c>
      <c r="R6391" t="inlineStr">
        <is>
          <t>InStock</t>
        </is>
      </c>
      <c r="S6391" t="inlineStr">
        <is>
          <t>14.42</t>
        </is>
      </c>
      <c r="T6391" t="inlineStr">
        <is>
          <t>4391246889060</t>
        </is>
      </c>
    </row>
    <row r="6392" ht="87" customHeight="1">
      <c r="A6392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6392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6392" t="inlineStr">
        <is>
          <t>Klein Tools JTH9E17 1/2-Inch Hex Key with Journeyman T-Handle, 9-Inch</t>
        </is>
      </c>
      <c r="D6392" t="inlineStr">
        <is>
          <t>Klein Tools JTH6E17BE 1/2-Inch Ball End Hex Key with Journeyman T-Handle, 6-Inch</t>
        </is>
      </c>
      <c r="E6392" s="2">
        <f>HYPERLINK("https://www.amazon.com/Journeyman-T-Handle-Klein-Tools-JTH6E17BE/dp/B004QW58Q4/ref=sr_1_4?keywords=Klein+Tools+JTH9E17+1%2F2-Inch+Hex+Key+with+Journeyman+T-Handle%2C+9-Inch&amp;qid=1694735337&amp;sr=8-4", "https://www.amazon.com/Journeyman-T-Handle-Klein-Tools-JTH6E17BE/dp/B004QW58Q4/ref=sr_1_4?keywords=Klein+Tools+JTH9E17+1%2F2-Inch+Hex+Key+with+Journeyman+T-Handle%2C+9-Inch&amp;qid=1694735337&amp;sr=8-4")</f>
        <v/>
      </c>
      <c r="F6392" t="inlineStr">
        <is>
          <t>B004QW58Q4</t>
        </is>
      </c>
      <c r="G6392">
        <f>_xlfn.IMAGE("https://edmondsonsupply.com/cdn/shop/products/jth9e12_c458fab1-bd79-4a70-ae62-7e6646bd3d84.jpg?v=1587146369")</f>
        <v/>
      </c>
      <c r="H6392">
        <f>_xlfn.IMAGE("https://m.media-amazon.com/images/I/51f9vBFVXgL._AC_UL320_.jpg")</f>
        <v/>
      </c>
      <c r="K6392" t="inlineStr">
        <is>
          <t>23.99</t>
        </is>
      </c>
      <c r="L6392" t="n">
        <v>22.72</v>
      </c>
      <c r="M6392" s="1" t="inlineStr">
        <is>
          <t>-5.29%</t>
        </is>
      </c>
      <c r="N6392" s="7" t="n"/>
      <c r="O6392" t="n">
        <v>4.8</v>
      </c>
      <c r="P6392" t="n">
        <v>454</v>
      </c>
      <c r="R6392" t="inlineStr">
        <is>
          <t>InStock</t>
        </is>
      </c>
      <c r="S6392" t="inlineStr">
        <is>
          <t>36.36</t>
        </is>
      </c>
      <c r="T6392" t="inlineStr">
        <is>
          <t>4505575981156</t>
        </is>
      </c>
    </row>
    <row r="6393" ht="87" customHeight="1">
      <c r="A6393" s="2">
        <f>HYPERLINK("https://edmondsonsupply.com/collections/electricians-tools/products/klein-tools-d504-10b-quick-adjust-klaw%E2%84%A2-pump-pliers-10-inch", "https://edmondsonsupply.com/collections/electricians-tools/products/klein-tools-d504-10b-quick-adjust-klaw%E2%84%A2-pump-pliers-10-inch")</f>
        <v/>
      </c>
      <c r="B6393" s="2">
        <f>HYPERLINK("https://edmondsonsupply.com/products/klein-tools-d504-10b-quick-adjust-klaw%e2%84%a2-pump-pliers-10-inch", "https://edmondsonsupply.com/products/klein-tools-d504-10b-quick-adjust-klaw%e2%84%a2-pump-pliers-10-inch")</f>
        <v/>
      </c>
      <c r="C6393" t="inlineStr">
        <is>
          <t>Klein Tools D504-10B Quick-Adjust Klaw™ Pump Pliers, 10-Inch</t>
        </is>
      </c>
      <c r="D6393" t="inlineStr">
        <is>
          <t>Klein Tools D504-10B Pump Pliers, Quick-Adjust Tongue and Groove Klaw Water Pump Pliers, 10-Inch</t>
        </is>
      </c>
      <c r="E6393" s="2">
        <f>HYPERLINK("https://www.amazon.com/Quick-Adjust-10-Inch-Klein-Tools-D504-10B/dp/B00BJ4ORDM/ref=sr_1_1?keywords=Klein+Tools+D504-10B+Quick-Adjust+Klaw%E2%84%A2+Pump+Pliers%2C+10-Inch&amp;qid=1694735394&amp;sr=8-1", "https://www.amazon.com/Quick-Adjust-10-Inch-Klein-Tools-D504-10B/dp/B00BJ4ORDM/ref=sr_1_1?keywords=Klein+Tools+D504-10B+Quick-Adjust+Klaw%E2%84%A2+Pump+Pliers%2C+10-Inch&amp;qid=1694735394&amp;sr=8-1")</f>
        <v/>
      </c>
      <c r="F6393" t="inlineStr">
        <is>
          <t>B00BJ4ORDM</t>
        </is>
      </c>
      <c r="G6393">
        <f>_xlfn.IMAGE("https://edmondsonsupply.com/cdn/shop/products/d504-12b.jpg?v=1587147609")</f>
        <v/>
      </c>
      <c r="H6393">
        <f>_xlfn.IMAGE("https://m.media-amazon.com/images/I/51G8XuICYiL._AC_UL320_.jpg")</f>
        <v/>
      </c>
      <c r="K6393" t="inlineStr">
        <is>
          <t>44.99</t>
        </is>
      </c>
      <c r="L6393" t="n">
        <v>42.59</v>
      </c>
      <c r="M6393" s="1" t="inlineStr">
        <is>
          <t>-5.33%</t>
        </is>
      </c>
      <c r="N6393" s="7" t="n"/>
      <c r="O6393" t="n">
        <v>4.7</v>
      </c>
      <c r="P6393" t="n">
        <v>254</v>
      </c>
      <c r="R6393" t="inlineStr">
        <is>
          <t>InStock</t>
        </is>
      </c>
      <c r="S6393" t="inlineStr">
        <is>
          <t>63.12</t>
        </is>
      </c>
      <c r="T6393" t="inlineStr">
        <is>
          <t>4409553649764</t>
        </is>
      </c>
    </row>
    <row r="6394" ht="87" customHeight="1">
      <c r="A6394" s="2">
        <f>HYPERLINK("https://edmondsonsupply.com/collections/electricians-tools/products/diablo-tools-dsc-s24-24-pc-screwdriving-set", "https://edmondsonsupply.com/collections/electricians-tools/products/diablo-tools-dsc-s24-24-pc-screwdriving-set")</f>
        <v/>
      </c>
      <c r="B6394" s="2">
        <f>HYPERLINK("https://edmondsonsupply.com/products/diablo-tools-dsc-s24-24-pc-screwdriving-set", "https://edmondsonsupply.com/products/diablo-tools-dsc-s24-24-pc-screwdriving-set")</f>
        <v/>
      </c>
      <c r="C6394" t="inlineStr">
        <is>
          <t>Diablo Tools DSC-S24 24 pc Screwdriving Set</t>
        </is>
      </c>
      <c r="D6394" t="inlineStr">
        <is>
          <t>Diablo DSC-S24 24 pc Screwdriving Set (24-Piece)</t>
        </is>
      </c>
      <c r="E6394" s="2">
        <f>HYPERLINK("https://www.amazon.com/Diablo-DSC-S24-Screwdriving-Set-24-Piece/dp/B089KMKTNT/ref=sr_1_1?keywords=Diablo+Tools+DSC-S24+24+pc+Screwdriving+Set&amp;qid=1694735030&amp;sr=8-1", "https://www.amazon.com/Diablo-DSC-S24-Screwdriving-Set-24-Piece/dp/B089KMKTNT/ref=sr_1_1?keywords=Diablo+Tools+DSC-S24+24+pc+Screwdriving+Set&amp;qid=1694735030&amp;sr=8-1")</f>
        <v/>
      </c>
      <c r="F6394" t="inlineStr">
        <is>
          <t>B089KMKTNT</t>
        </is>
      </c>
      <c r="G6394">
        <f>_xlfn.IMAGE("https://edmondsonsupply.com/cdn/shop/products/jzusdiqrmdplkny7o0gq.webp?v=1678464202")</f>
        <v/>
      </c>
      <c r="H6394">
        <f>_xlfn.IMAGE("https://m.media-amazon.com/images/I/81KQZtvYotL._AC_UL320_.jpg")</f>
        <v/>
      </c>
      <c r="K6394" t="inlineStr">
        <is>
          <t>19.97</t>
        </is>
      </c>
      <c r="L6394" t="n">
        <v>18.9</v>
      </c>
      <c r="M6394" s="1" t="inlineStr">
        <is>
          <t>-5.36%</t>
        </is>
      </c>
      <c r="N6394" s="7" t="n"/>
      <c r="O6394" t="n">
        <v>4.8</v>
      </c>
      <c r="P6394" t="n">
        <v>6</v>
      </c>
      <c r="R6394" t="inlineStr">
        <is>
          <t>InStock</t>
        </is>
      </c>
      <c r="S6394" t="inlineStr">
        <is>
          <t>26.13</t>
        </is>
      </c>
      <c r="T6394" t="inlineStr">
        <is>
          <t>7959429841112</t>
        </is>
      </c>
    </row>
    <row r="6395" ht="87" customHeight="1">
      <c r="A6395" s="2">
        <f>HYPERLINK("https://edmondsonsupply.com/collections/electricians-tools/products/milwaukee-48-22-2182-8-key-folding-hex-key-set-metric", "https://edmondsonsupply.com/collections/electricians-tools/products/milwaukee-48-22-2182-8-key-folding-hex-key-set-metric")</f>
        <v/>
      </c>
      <c r="B6395" s="2">
        <f>HYPERLINK("https://edmondsonsupply.com/products/milwaukee-48-22-2182-8-key-folding-hex-key-set-metric", "https://edmondsonsupply.com/products/milwaukee-48-22-2182-8-key-folding-hex-key-set-metric")</f>
        <v/>
      </c>
      <c r="C6395" t="inlineStr">
        <is>
          <t>Milwaukee 48-22-2182 8-Key Folding Hex Key Set - Metric</t>
        </is>
      </c>
      <c r="D6395" t="inlineStr">
        <is>
          <t>WORKPRO W022002 8 Piece Folding Hex Key Set (Metric), Chrome-Vanadium Steel (Single Pack)</t>
        </is>
      </c>
      <c r="E6395" s="2">
        <f>HYPERLINK("https://www.amazon.com/WORKPRO-Folding-Chrome-Vanadium-Hardened-Tempered/dp/B077Q9JH8R/ref=sr_1_21?keywords=Milwaukee+48-22-2182+8-Key+Folding+Hex+Key+Set+-+Metric&amp;qid=1694735003&amp;sr=8-21", "https://www.amazon.com/WORKPRO-Folding-Chrome-Vanadium-Hardened-Tempered/dp/B077Q9JH8R/ref=sr_1_21?keywords=Milwaukee+48-22-2182+8-Key+Folding+Hex+Key+Set+-+Metric&amp;qid=1694735003&amp;sr=8-21")</f>
        <v/>
      </c>
      <c r="F6395" t="inlineStr">
        <is>
          <t>B077Q9JH8R</t>
        </is>
      </c>
      <c r="G6395">
        <f>_xlfn.IMAGE("https://edmondsonsupply.com/cdn/shop/products/48-22-2182_101.webp?v=1680184058")</f>
        <v/>
      </c>
      <c r="H6395">
        <f>_xlfn.IMAGE("https://m.media-amazon.com/images/I/81cVbNnbg-L._AC_UL320_.jpg")</f>
        <v/>
      </c>
      <c r="K6395" t="inlineStr">
        <is>
          <t>16.97</t>
        </is>
      </c>
      <c r="L6395" t="n">
        <v>16.06</v>
      </c>
      <c r="M6395" s="1" t="inlineStr">
        <is>
          <t>-5.36%</t>
        </is>
      </c>
      <c r="N6395" s="7" t="n"/>
      <c r="O6395" t="n">
        <v>4.9</v>
      </c>
      <c r="P6395" t="n">
        <v>15</v>
      </c>
      <c r="R6395" t="inlineStr">
        <is>
          <t>InStock</t>
        </is>
      </c>
      <c r="S6395" t="inlineStr">
        <is>
          <t>23.0</t>
        </is>
      </c>
      <c r="T6395" t="inlineStr">
        <is>
          <t>7970442051800</t>
        </is>
      </c>
    </row>
    <row r="6396" ht="87" customHeight="1">
      <c r="A6396" s="2">
        <f>HYPERLINK("https://edmondsonsupply.com/collections/electricians-tools/products/crescent-lufkin-l1125b-02-1-3-16-x-25-shockforce-nite-eye%E2%84%A2-g1-dual-sided-tape-measure", "https://edmondsonsupply.com/collections/electricians-tools/products/crescent-lufkin-l1125b-02-1-3-16-x-25-shockforce-nite-eye%E2%84%A2-g1-dual-sided-tape-measure")</f>
        <v/>
      </c>
      <c r="B6396" s="2">
        <f>HYPERLINK("https://edmondsonsupply.com/products/crescent-lufkin-l1125b-02-1-3-16-x-25-shockforce-nite-eye%e2%84%a2-g1-dual-sided-tape-measure", "https://edmondsonsupply.com/products/crescent-lufkin-l1125b-02-1-3-16-x-25-shockforce-nite-eye%e2%84%a2-g1-dual-sided-tape-measure")</f>
        <v/>
      </c>
      <c r="C6396" t="inlineStr">
        <is>
          <t>Crescent Lufkin L1125B-02 1-3/16" x 25' Shockforce Nite Eye™ G1 Dual Sided Tape Measure</t>
        </is>
      </c>
      <c r="D6396" t="inlineStr">
        <is>
          <t>Crescent Lufkin 1-3/16" x 35' Shockforce™ G1 Dual Sided Tape Measure - L1135</t>
        </is>
      </c>
      <c r="E6396" s="2">
        <f>HYPERLINK("https://www.amazon.com/Crescent-Lufkin-ShockforceTM-Sided-Measure/dp/B09PGYXMTP/ref=sr_1_7?keywords=Crescent+Lufkin+L1125B-02+1-3%2F16%22+x+25%27+Shockforce+Nite+Eye%E2%84%A2+G1+Dual+Sided+Tape+Measure&amp;qid=1694735020&amp;sr=8-7", "https://www.amazon.com/Crescent-Lufkin-ShockforceTM-Sided-Measure/dp/B09PGYXMTP/ref=sr_1_7?keywords=Crescent+Lufkin+L1125B-02+1-3%2F16%22+x+25%27+Shockforce+Nite+Eye%E2%84%A2+G1+Dual+Sided+Tape+Measure&amp;qid=1694735020&amp;sr=8-7")</f>
        <v/>
      </c>
      <c r="F6396" t="inlineStr">
        <is>
          <t>B09PGYXMTP</t>
        </is>
      </c>
      <c r="G6396">
        <f>_xlfn.IMAGE("https://edmondsonsupply.com/cdn/shop/products/LFK_L1125B_MAIN.jpg?v=1679579190")</f>
        <v/>
      </c>
      <c r="H6396">
        <f>_xlfn.IMAGE("https://m.media-amazon.com/images/I/91+7N5JB7GL._AC_UL320_.jpg")</f>
        <v/>
      </c>
      <c r="K6396" t="inlineStr">
        <is>
          <t>32.75</t>
        </is>
      </c>
      <c r="L6396" t="n">
        <v>30.98</v>
      </c>
      <c r="M6396" s="1" t="inlineStr">
        <is>
          <t>-5.40%</t>
        </is>
      </c>
      <c r="N6396" s="7" t="n"/>
      <c r="O6396" t="n">
        <v>5</v>
      </c>
      <c r="P6396" t="n">
        <v>1</v>
      </c>
      <c r="R6396" t="inlineStr">
        <is>
          <t>InStock</t>
        </is>
      </c>
      <c r="S6396" t="inlineStr">
        <is>
          <t>59.92</t>
        </is>
      </c>
      <c r="T6396" t="inlineStr">
        <is>
          <t>7965935501528</t>
        </is>
      </c>
    </row>
    <row r="6397" hidden="1" ht="15.75" customHeight="1">
      <c r="A6397" s="2">
        <f>HYPERLINK("https://edmondsonsupply.com/collections/electricians-tools/products/klein-tools-630-1-4m-1-4-magnetic-tip-nut-driver-3-shaft", "https://edmondsonsupply.com/collections/electricians-tools/products/klein-tools-630-1-4m-1-4-magnetic-tip-nut-driver-3-shaft")</f>
        <v/>
      </c>
      <c r="B6397" s="2">
        <f>HYPERLINK("https://edmondsonsupply.com/products/klein-tools-630-1-4m-1-4-magnetic-tip-nut-driver-3-shaft", "https://edmondsonsupply.com/products/klein-tools-630-1-4m-1-4-magnetic-tip-nut-driver-3-shaft")</f>
        <v/>
      </c>
      <c r="C6397" t="inlineStr">
        <is>
          <t>Klein Tools 630-1/4M 1/4'' Magnetic Tip Nut Driver 3'' Shaft</t>
        </is>
      </c>
      <c r="D6397" t="inlineStr">
        <is>
          <t>Klein Tools 630-1/4M Nut Driver, 1/4-Inch Magnetic Tip Nut Driver with 3-Inch Hollow Shaft, Cushion Grip Handle</t>
        </is>
      </c>
      <c r="E6397" s="2">
        <f>HYPERLINK("https://www.amazon.com/Magnetic-Klein-Tools-630-1-4M/dp/B00093GE6M/ref=sr_1_1?keywords=Klein+Tools+630-1%2F4M+1%2F4+Magnetic+Tip+Nut+Driver+3+Shaft&amp;qid=1694735269&amp;sr=8-1", "https://www.amazon.com/Magnetic-Klein-Tools-630-1-4M/dp/B00093GE6M/ref=sr_1_1?keywords=Klein+Tools+630-1%2F4M+1%2F4+Magnetic+Tip+Nut+Driver+3+Shaft&amp;qid=1694735269&amp;sr=8-1")</f>
        <v/>
      </c>
      <c r="F6397" t="inlineStr">
        <is>
          <t>B00093GE6M</t>
        </is>
      </c>
      <c r="G6397">
        <f>_xludf.IMAGE("https://edmondsonsupply.com/cdn/shop/products/630-1-4m.jpg?v=1633030524")</f>
        <v/>
      </c>
      <c r="H6397">
        <f>_xludf.IMAGE("https://m.media-amazon.com/images/I/51TXA1qvEdL._AC_UL320_.jpg")</f>
        <v/>
      </c>
      <c r="K6397" t="inlineStr">
        <is>
          <t>9.99</t>
        </is>
      </c>
      <c r="L6397" t="n">
        <v>9.449999999999999</v>
      </c>
      <c r="M6397" s="1" t="inlineStr">
        <is>
          <t>-5.41%</t>
        </is>
      </c>
      <c r="N6397" s="1" t="n"/>
      <c r="O6397" t="n">
        <v>4.7</v>
      </c>
      <c r="P6397" t="n">
        <v>1571</v>
      </c>
      <c r="R6397" t="inlineStr">
        <is>
          <t>InStock</t>
        </is>
      </c>
      <c r="S6397" t="inlineStr">
        <is>
          <t>14.38</t>
        </is>
      </c>
      <c r="T6397" t="inlineStr">
        <is>
          <t>5401694994600</t>
        </is>
      </c>
    </row>
    <row r="6398" ht="87" customHeight="1">
      <c r="A6398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6398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6398" t="inlineStr">
        <is>
          <t>Klein Tools CL220 Digital Clamp Meter, AC Auto-Ranging 400 Amp with Temp</t>
        </is>
      </c>
      <c r="D6398" t="inlineStr">
        <is>
          <t>Klein Tools Digital Clamp Meter, AC Auto-Ranging 400 Amp CL110</t>
        </is>
      </c>
      <c r="E6398" s="2">
        <f>HYPERLINK("https://www.amazon.com/Klein-Tools-Digital-Clamp-Meter/dp/B07G7BZTV3/ref=sr_1_7?keywords=Klein+Tools+CL220+Digital+Clamp+Meter%2C+AC+Auto-Ranging+400+Amp+with+Temp&amp;qid=1694735238&amp;sr=8-7", "https://www.amazon.com/Klein-Tools-Digital-Clamp-Meter/dp/B07G7BZTV3/ref=sr_1_7?keywords=Klein+Tools+CL220+Digital+Clamp+Meter%2C+AC+Auto-Ranging+400+Amp+with+Temp&amp;qid=1694735238&amp;sr=8-7")</f>
        <v/>
      </c>
      <c r="F6398" t="inlineStr">
        <is>
          <t>B07G7BZTV3</t>
        </is>
      </c>
      <c r="G6398">
        <f>_xlfn.IMAGE("https://edmondsonsupply.com/cdn/shop/products/cl220.jpg?v=1633030821")</f>
        <v/>
      </c>
      <c r="H6398">
        <f>_xlfn.IMAGE("https://m.media-amazon.com/images/I/51Dx4d1AI-L._AC_UY218_.jpg")</f>
        <v/>
      </c>
      <c r="K6398" t="inlineStr">
        <is>
          <t>69.97</t>
        </is>
      </c>
      <c r="L6398" t="n">
        <v>66.16</v>
      </c>
      <c r="M6398" s="1" t="inlineStr">
        <is>
          <t>-5.45%</t>
        </is>
      </c>
      <c r="N6398" s="7" t="n"/>
      <c r="O6398" t="n">
        <v>4.6</v>
      </c>
      <c r="P6398" t="n">
        <v>73</v>
      </c>
      <c r="R6398" t="inlineStr">
        <is>
          <t>InStock</t>
        </is>
      </c>
      <c r="S6398" t="inlineStr">
        <is>
          <t>93.22</t>
        </is>
      </c>
      <c r="T6398" t="inlineStr">
        <is>
          <t>6080846463149</t>
        </is>
      </c>
    </row>
    <row r="6399" ht="87" customHeight="1">
      <c r="A6399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6399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6399" t="inlineStr">
        <is>
          <t>Diablo Tools DOU125JBW 1-1/4 in. Universal Fit Bi-Metal Oscillating Blades for Clean Wood</t>
        </is>
      </c>
      <c r="D6399" t="inlineStr">
        <is>
          <t>Diablo by Freud DOU125BF3 1-1/4 in. Universal Fit Bi-Metal Oscillating Blades for Metal (3-Pack)</t>
        </is>
      </c>
      <c r="E6399" s="2">
        <f>HYPERLINK("https://www.amazon.com/Diablo-Freud-DOU125BF3-Universal-Oscillating/dp/B089KTHL1Z/ref=sr_1_6?keywords=Diablo+Tools+DOU125JBW+1-1%2F4+in.+Universal+Fit+Bi-Metal+Oscillating+Blades+for+Clean+Wood&amp;qid=1694735180&amp;sr=8-6", "https://www.amazon.com/Diablo-Freud-DOU125BF3-Universal-Oscillating/dp/B089KTHL1Z/ref=sr_1_6?keywords=Diablo+Tools+DOU125JBW+1-1%2F4+in.+Universal+Fit+Bi-Metal+Oscillating+Blades+for+Clean+Wood&amp;qid=1694735180&amp;sr=8-6")</f>
        <v/>
      </c>
      <c r="F6399" t="inlineStr">
        <is>
          <t>B089KTHL1Z</t>
        </is>
      </c>
      <c r="G6399">
        <f>_xlfn.IMAGE("https://edmondsonsupply.com/cdn/shop/products/DOU125JBW_Main-Image.png?v=1633638363")</f>
        <v/>
      </c>
      <c r="H6399">
        <f>_xlfn.IMAGE("https://m.media-amazon.com/images/I/61mZfXlj-XL._AC_UL320_.jpg")</f>
        <v/>
      </c>
      <c r="K6399" t="inlineStr">
        <is>
          <t>17.97</t>
        </is>
      </c>
      <c r="L6399" t="n">
        <v>16.99</v>
      </c>
      <c r="M6399" s="1" t="inlineStr">
        <is>
          <t>-5.45%</t>
        </is>
      </c>
      <c r="N6399" s="7" t="n"/>
      <c r="O6399" t="n">
        <v>4.1</v>
      </c>
      <c r="P6399" t="n">
        <v>13</v>
      </c>
      <c r="R6399" t="inlineStr">
        <is>
          <t>InStock</t>
        </is>
      </c>
      <c r="S6399" t="inlineStr">
        <is>
          <t>22.35</t>
        </is>
      </c>
      <c r="T6399" t="inlineStr">
        <is>
          <t>7000455807149</t>
        </is>
      </c>
    </row>
    <row r="6400" ht="87" customHeight="1">
      <c r="A6400" s="2">
        <f>HYPERLINK("https://edmondsonsupply.com/collections/electricians-tools/products/diablo-tools-dou125bw", "https://edmondsonsupply.com/collections/electricians-tools/products/diablo-tools-dou125bw")</f>
        <v/>
      </c>
      <c r="B6400" s="2">
        <f>HYPERLINK("https://edmondsonsupply.com/products/diablo-tools-dou125bw", "https://edmondsonsupply.com/products/diablo-tools-dou125bw")</f>
        <v/>
      </c>
      <c r="C6400" t="inlineStr">
        <is>
          <t>Diablo Tools DOU125BW 1-1/4 in. Universal Fit Bi-Metal Oscillating Blade for Nail-Embedded Wood</t>
        </is>
      </c>
      <c r="D6400" t="inlineStr">
        <is>
          <t>Diablo by Freud DOU125BF3 1-1/4 in. Universal Fit Bi-Metal Oscillating Blades for Metal (3-Pack)</t>
        </is>
      </c>
      <c r="E6400" s="2">
        <f>HYPERLINK("https://www.amazon.com/Diablo-Freud-DOU125BF3-Universal-Oscillating/dp/B089KTHL1Z/ref=sr_1_19?keywords=Diablo+Tools+DOU125BW+1-1%2F4+in.+Universal+Fit+Bi-Metal+Oscillating+Blade+for+Nail-Embedded+Wood&amp;qid=1694735198&amp;sr=8-19", "https://www.amazon.com/Diablo-Freud-DOU125BF3-Universal-Oscillating/dp/B089KTHL1Z/ref=sr_1_19?keywords=Diablo+Tools+DOU125BW+1-1%2F4+in.+Universal+Fit+Bi-Metal+Oscillating+Blade+for+Nail-Embedded+Wood&amp;qid=1694735198&amp;sr=8-19")</f>
        <v/>
      </c>
      <c r="F6400" t="inlineStr">
        <is>
          <t>B089KTHL1Z</t>
        </is>
      </c>
      <c r="G6400">
        <f>_xlfn.IMAGE("https://edmondsonsupply.com/cdn/shop/products/gnn0wpqc8veb3qhldcrb.webp?v=1676040020")</f>
        <v/>
      </c>
      <c r="H6400">
        <f>_xlfn.IMAGE("https://m.media-amazon.com/images/I/61mZfXlj-XL._AC_UL320_.jpg")</f>
        <v/>
      </c>
      <c r="K6400" t="inlineStr">
        <is>
          <t>17.97</t>
        </is>
      </c>
      <c r="L6400" t="n">
        <v>16.99</v>
      </c>
      <c r="M6400" s="1" t="inlineStr">
        <is>
          <t>-5.45%</t>
        </is>
      </c>
      <c r="N6400" s="7" t="n"/>
      <c r="O6400" t="n">
        <v>4.1</v>
      </c>
      <c r="P6400" t="n">
        <v>13</v>
      </c>
      <c r="R6400" t="inlineStr">
        <is>
          <t>InStock</t>
        </is>
      </c>
      <c r="S6400" t="inlineStr">
        <is>
          <t>22.79</t>
        </is>
      </c>
      <c r="T6400" t="inlineStr">
        <is>
          <t>6846081433773</t>
        </is>
      </c>
    </row>
    <row r="6401" ht="87" customHeight="1">
      <c r="A6401" s="2">
        <f>HYPERLINK("https://edmondsonsupply.com/collections/electricians-tools/products/diablo-tools-dou125bw", "https://edmondsonsupply.com/collections/electricians-tools/products/diablo-tools-dou125bw")</f>
        <v/>
      </c>
      <c r="B6401" s="2">
        <f>HYPERLINK("https://edmondsonsupply.com/products/diablo-tools-dou125bw", "https://edmondsonsupply.com/products/diablo-tools-dou125bw")</f>
        <v/>
      </c>
      <c r="C6401" t="inlineStr">
        <is>
          <t>Diablo Tools DOU125BW 1-1/4 in. Universal Fit Bi-Metal Oscillating Blade for Nail-Embedded Wood</t>
        </is>
      </c>
      <c r="D6401" t="inlineStr">
        <is>
          <t>Diablo by Freud DOU125CF 1-1/4 in. Universal Fit Carbide Oscillating Blade for Metal</t>
        </is>
      </c>
      <c r="E6401" s="2">
        <f>HYPERLINK("https://www.amazon.com/Diablo-Universal-Carbide-Oscillating-Blade/dp/B089LHKRPN/ref=sr_1_14?keywords=Diablo+Tools+DOU125BW+1-1%2F4+in.+Universal+Fit+Bi-Metal+Oscillating+Blade+for+Nail-Embedded+Wood&amp;qid=1694735198&amp;sr=8-14", "https://www.amazon.com/Diablo-Universal-Carbide-Oscillating-Blade/dp/B089LHKRPN/ref=sr_1_14?keywords=Diablo+Tools+DOU125BW+1-1%2F4+in.+Universal+Fit+Bi-Metal+Oscillating+Blade+for+Nail-Embedded+Wood&amp;qid=1694735198&amp;sr=8-14")</f>
        <v/>
      </c>
      <c r="F6401" t="inlineStr">
        <is>
          <t>B089LHKRPN</t>
        </is>
      </c>
      <c r="G6401">
        <f>_xlfn.IMAGE("https://edmondsonsupply.com/cdn/shop/products/gnn0wpqc8veb3qhldcrb.webp?v=1676040020")</f>
        <v/>
      </c>
      <c r="H6401">
        <f>_xlfn.IMAGE("https://m.media-amazon.com/images/I/71izb0UUOkL._AC_UL320_.jpg")</f>
        <v/>
      </c>
      <c r="K6401" t="inlineStr">
        <is>
          <t>17.97</t>
        </is>
      </c>
      <c r="L6401" t="n">
        <v>16.99</v>
      </c>
      <c r="M6401" s="1" t="inlineStr">
        <is>
          <t>-5.45%</t>
        </is>
      </c>
      <c r="N6401" s="7" t="n"/>
      <c r="O6401" t="n">
        <v>4.3</v>
      </c>
      <c r="P6401" t="n">
        <v>19</v>
      </c>
      <c r="R6401" t="inlineStr">
        <is>
          <t>InStock</t>
        </is>
      </c>
      <c r="S6401" t="inlineStr">
        <is>
          <t>22.79</t>
        </is>
      </c>
      <c r="T6401" t="inlineStr">
        <is>
          <t>6846081433773</t>
        </is>
      </c>
    </row>
    <row r="6402" ht="87" customHeight="1">
      <c r="A6402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6402" s="2">
        <f>HYPERLINK("https://edmondsonsupply.com/products/diablo-tools-d0760x-7-1-4-in-x-60-tooth-ultra-finish-saw-blade", "https://edmondsonsupply.com/products/diablo-tools-d0760x-7-1-4-in-x-60-tooth-ultra-finish-saw-blade")</f>
        <v/>
      </c>
      <c r="C6402" t="inlineStr">
        <is>
          <t>Diablo Tools D0760X 7-1/4 in. x 60 Tooth Ultra Finish Saw Blade</t>
        </is>
      </c>
      <c r="D6402" t="inlineStr">
        <is>
          <t>Freud D0760X Diablo Ultra Finish Saw Blade ATB 7-1/4-Inch by 60t 5/8-Inch Arbor</t>
        </is>
      </c>
      <c r="E6402" s="2">
        <f>HYPERLINK("https://www.amazon.com/Freud-D0760X-Diablo-Finish-4-Inch/dp/B001CZEU0S/ref=sr_1_2?keywords=Diablo+Tools+D0760X+7-1%2F4+in.+x+60+Tooth+Ultra+Finish+Saw+Blade&amp;qid=1694735024&amp;sr=8-2", "https://www.amazon.com/Freud-D0760X-Diablo-Finish-4-Inch/dp/B001CZEU0S/ref=sr_1_2?keywords=Diablo+Tools+D0760X+7-1%2F4+in.+x+60+Tooth+Ultra+Finish+Saw+Blade&amp;qid=1694735024&amp;sr=8-2")</f>
        <v/>
      </c>
      <c r="F6402" t="inlineStr">
        <is>
          <t>B001CZEU0S</t>
        </is>
      </c>
      <c r="G6402">
        <f>_xlfn.IMAGE("https://edmondsonsupply.com/cdn/shop/products/vlfiqrihhfwf5bxirasx.webp?v=1678977162")</f>
        <v/>
      </c>
      <c r="H6402">
        <f>_xlfn.IMAGE("https://m.media-amazon.com/images/I/61aig0rMpZS._AC_UL320_.jpg")</f>
        <v/>
      </c>
      <c r="K6402" t="inlineStr">
        <is>
          <t>19.97</t>
        </is>
      </c>
      <c r="L6402" t="n">
        <v>18.88</v>
      </c>
      <c r="M6402" s="1" t="inlineStr">
        <is>
          <t>-5.46%</t>
        </is>
      </c>
      <c r="N6402" s="7" t="n"/>
      <c r="O6402" t="n">
        <v>4.8</v>
      </c>
      <c r="P6402" t="n">
        <v>1391</v>
      </c>
      <c r="R6402" t="inlineStr">
        <is>
          <t>InStock</t>
        </is>
      </c>
      <c r="S6402" t="inlineStr">
        <is>
          <t>30.2</t>
        </is>
      </c>
      <c r="T6402" t="inlineStr">
        <is>
          <t>7962630521048</t>
        </is>
      </c>
    </row>
    <row r="6403" hidden="1" ht="15.75" customHeight="1">
      <c r="A6403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6403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6403" t="inlineStr">
        <is>
          <t>Klein Tools 602-4 1/4-Inch Keystone Screwdriver, 4-Inch Round Shank</t>
        </is>
      </c>
      <c r="D6403" t="inlineStr">
        <is>
          <t>Klein Tools 612-4 Screwdriver, Flat Head Terminal Block Screwdriver, 1/8-Inch Cabinet Tip, 4-Inch Round Shank, TB-DIN</t>
        </is>
      </c>
      <c r="E6403" s="2">
        <f>HYPERLINK("https://www.amazon.com/Screwdriver-Terminal-Klein-Tools-612-4/dp/B0058I6VNE/ref=sr_1_8?keywords=Klein+Tools+602-4+1%2F4-Inch+Keystone+Screwdriver%2C+4-Inch+Round+Shank&amp;qid=1694735235&amp;sr=8-8", "https://www.amazon.com/Screwdriver-Terminal-Klein-Tools-612-4/dp/B0058I6VNE/ref=sr_1_8?keywords=Klein+Tools+602-4+1%2F4-Inch+Keystone+Screwdriver%2C+4-Inch+Round+Shank&amp;qid=1694735235&amp;sr=8-8")</f>
        <v/>
      </c>
      <c r="F6403" t="inlineStr">
        <is>
          <t>B0058I6VNE</t>
        </is>
      </c>
      <c r="G6403">
        <f>_xludf.IMAGE("https://edmondsonsupply.com/cdn/shop/products/602-6.jpg?v=1633030821")</f>
        <v/>
      </c>
      <c r="H6403">
        <f>_xludf.IMAGE("https://m.media-amazon.com/images/I/51APfPlk95L._AC_UL320_.jpg")</f>
        <v/>
      </c>
      <c r="K6403" t="inlineStr">
        <is>
          <t>9.49</t>
        </is>
      </c>
      <c r="L6403" t="n">
        <v>8.970000000000001</v>
      </c>
      <c r="M6403" s="1" t="inlineStr">
        <is>
          <t>-5.48%</t>
        </is>
      </c>
      <c r="N6403" s="1" t="n"/>
      <c r="O6403" t="n">
        <v>4.8</v>
      </c>
      <c r="P6403" t="n">
        <v>1953</v>
      </c>
      <c r="R6403" t="inlineStr">
        <is>
          <t>InStock</t>
        </is>
      </c>
      <c r="S6403" t="inlineStr">
        <is>
          <t>14.36</t>
        </is>
      </c>
      <c r="T6403" t="inlineStr">
        <is>
          <t>6080792363181</t>
        </is>
      </c>
    </row>
    <row r="6404" hidden="1" ht="15.75" customHeight="1">
      <c r="A6404" s="2">
        <f>HYPERLINK("https://edmondsonsupply.com/collections/electricians-tools/products/klein-tools-32768-3-in-1-impact-flip-socket-set-1-4-inch-5-16-inch-2-piece", "https://edmondsonsupply.com/collections/electricians-tools/products/klein-tools-32768-3-in-1-impact-flip-socket-set-1-4-inch-5-16-inch-2-piece")</f>
        <v/>
      </c>
      <c r="B6404" s="2">
        <f>HYPERLINK("https://edmondsonsupply.com/products/klein-tools-32768-3-in-1-impact-flip-socket-set-1-4-inch-5-16-inch-2-piece", "https://edmondsonsupply.com/products/klein-tools-32768-3-in-1-impact-flip-socket-set-1-4-inch-5-16-inch-2-piece")</f>
        <v/>
      </c>
      <c r="C6404" t="inlineStr">
        <is>
          <t>Klein Tools 32768 3-in-1 Impact Flip Socket Set, 1/4-Inch, 5/16-Inch, 2-Piece</t>
        </is>
      </c>
      <c r="D6404" t="inlineStr">
        <is>
          <t>Klein Tools 610 Tool Set, Nut Driver Set with Stubby Nut Driver Sizes 1/4 and 5/16-Inch, Full Hollow Shaft, 2-Piece</t>
        </is>
      </c>
      <c r="E6404" s="2">
        <f>HYPERLINK("https://www.amazon.com/Klein-Tools-610-16-Inch-2-Piece/dp/B000CSKRCQ/ref=sr_1_34?keywords=Klein+Tools+32768+3-in-1+Impact+Flip+Socket+Set%2C+1%2F4-Inch%2C+5%2F16-Inch%2C+2-Piece&amp;qid=1694735099&amp;sr=8-34", "https://www.amazon.com/Klein-Tools-610-16-Inch-2-Piece/dp/B000CSKRCQ/ref=sr_1_34?keywords=Klein+Tools+32768+3-in-1+Impact+Flip+Socket+Set%2C+1%2F4-Inch%2C+5%2F16-Inch%2C+2-Piece&amp;qid=1694735099&amp;sr=8-34")</f>
        <v/>
      </c>
      <c r="F6404" t="inlineStr">
        <is>
          <t>B000CSKRCQ</t>
        </is>
      </c>
      <c r="G6404">
        <f>_xludf.IMAGE("https://edmondsonsupply.com/cdn/shop/products/32768.jpg?v=1666022946")</f>
        <v/>
      </c>
      <c r="H6404">
        <f>_xludf.IMAGE("https://m.media-amazon.com/images/I/51+8QhofFWL._AC_UL320_.jpg")</f>
        <v/>
      </c>
      <c r="K6404" t="inlineStr">
        <is>
          <t>14.97</t>
        </is>
      </c>
      <c r="L6404" t="n">
        <v>14.14</v>
      </c>
      <c r="M6404" s="1" t="inlineStr">
        <is>
          <t>-5.54%</t>
        </is>
      </c>
      <c r="N6404" s="1" t="n"/>
      <c r="O6404" t="n">
        <v>4.9</v>
      </c>
      <c r="P6404" t="n">
        <v>19</v>
      </c>
      <c r="R6404" t="inlineStr">
        <is>
          <t>InStock</t>
        </is>
      </c>
      <c r="S6404" t="inlineStr">
        <is>
          <t>21.98</t>
        </is>
      </c>
      <c r="T6404" t="inlineStr">
        <is>
          <t>7856621977816</t>
        </is>
      </c>
    </row>
    <row r="6405" ht="87" customHeight="1">
      <c r="A6405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6405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6405" t="inlineStr">
        <is>
          <t>Klein Tools 612-4-INS Insulated 1/8-Inch Slotted Screwdriver, 4-Inch</t>
        </is>
      </c>
      <c r="D6405" t="inlineStr">
        <is>
          <t>Klein Tools 601-4-INS Insulated Screwdriver, 3/16-Inch Cabinet Tip with 4-Inch Shank</t>
        </is>
      </c>
      <c r="E6405" s="2">
        <f>HYPERLINK("https://www.amazon.com/Insulated-Screwdriver-Klein-Tools-601-4-INS/dp/B000LEBVIK/ref=sr_1_3?keywords=Klein+Tools+612-4-INS+Insulated+1%2F8-Inch+Slotted+Screwdriver%2C+4-Inch&amp;qid=1694735335&amp;sr=8-3", "https://www.amazon.com/Insulated-Screwdriver-Klein-Tools-601-4-INS/dp/B000LEBVIK/ref=sr_1_3?keywords=Klein+Tools+612-4-INS+Insulated+1%2F8-Inch+Slotted+Screwdriver%2C+4-Inch&amp;qid=1694735335&amp;sr=8-3")</f>
        <v/>
      </c>
      <c r="F6405" t="inlineStr">
        <is>
          <t>B000LEBVIK</t>
        </is>
      </c>
      <c r="G6405">
        <f>_xlfn.IMAGE("https://edmondsonsupply.com/cdn/shop/products/612-4-ins.jpg?v=1587148611")</f>
        <v/>
      </c>
      <c r="H6405">
        <f>_xlfn.IMAGE("https://m.media-amazon.com/images/I/41SIcZZiIAL._AC_UL320_.jpg")</f>
        <v/>
      </c>
      <c r="K6405" t="inlineStr">
        <is>
          <t>17.99</t>
        </is>
      </c>
      <c r="L6405" t="n">
        <v>16.99</v>
      </c>
      <c r="M6405" s="1" t="inlineStr">
        <is>
          <t>-5.56%</t>
        </is>
      </c>
      <c r="N6405" s="7" t="n"/>
      <c r="O6405" t="n">
        <v>4.8</v>
      </c>
      <c r="P6405" t="n">
        <v>1068</v>
      </c>
      <c r="R6405" t="inlineStr">
        <is>
          <t>InStock</t>
        </is>
      </c>
      <c r="S6405" t="inlineStr">
        <is>
          <t>27.26</t>
        </is>
      </c>
      <c r="T6405" t="inlineStr">
        <is>
          <t>4167520911460</t>
        </is>
      </c>
    </row>
    <row r="6406" ht="87" customHeight="1">
      <c r="A6406" s="2">
        <f>HYPERLINK("https://edmondsonsupply.com/collections/electricians-tools/products/diablo-tools-dou125bw", "https://edmondsonsupply.com/collections/electricians-tools/products/diablo-tools-dou125bw")</f>
        <v/>
      </c>
      <c r="B6406" s="2">
        <f>HYPERLINK("https://edmondsonsupply.com/products/diablo-tools-dou125bw", "https://edmondsonsupply.com/products/diablo-tools-dou125bw")</f>
        <v/>
      </c>
      <c r="C6406" t="inlineStr">
        <is>
          <t>Diablo Tools DOU125BW 1-1/4 in. Universal Fit Bi-Metal Oscillating Blade for Nail-Embedded Wood</t>
        </is>
      </c>
      <c r="D6406" t="inlineStr">
        <is>
          <t>Diablo 2-1/2 in. Universal Fit Bi-Metal Oscillating Blade for Nail-Embedded Wood</t>
        </is>
      </c>
      <c r="E6406" s="2">
        <f>HYPERLINK("https://www.amazon.com/Diablo-Freud-DOU250BW-Oscillating-Nail-Embedded/dp/B089KWP5Z2/ref=sr_1_2?keywords=Diablo+Tools+DOU125BW+1-1%2F4+in.+Universal+Fit+Bi-Metal+Oscillating+Blade+for+Nail-Embedded+Wood&amp;qid=1694735198&amp;sr=8-2", "https://www.amazon.com/Diablo-Freud-DOU250BW-Oscillating-Nail-Embedded/dp/B089KWP5Z2/ref=sr_1_2?keywords=Diablo+Tools+DOU125BW+1-1%2F4+in.+Universal+Fit+Bi-Metal+Oscillating+Blade+for+Nail-Embedded+Wood&amp;qid=1694735198&amp;sr=8-2")</f>
        <v/>
      </c>
      <c r="F6406" t="inlineStr">
        <is>
          <t>B089KWP5Z2</t>
        </is>
      </c>
      <c r="G6406">
        <f>_xlfn.IMAGE("https://edmondsonsupply.com/cdn/shop/products/gnn0wpqc8veb3qhldcrb.webp?v=1676040020")</f>
        <v/>
      </c>
      <c r="H6406">
        <f>_xlfn.IMAGE("https://m.media-amazon.com/images/I/71fhfiK3NaL._AC_UL320_.jpg")</f>
        <v/>
      </c>
      <c r="K6406" t="inlineStr">
        <is>
          <t>17.97</t>
        </is>
      </c>
      <c r="L6406" t="n">
        <v>16.96</v>
      </c>
      <c r="M6406" s="1" t="inlineStr">
        <is>
          <t>-5.62%</t>
        </is>
      </c>
      <c r="N6406" s="7" t="n"/>
      <c r="O6406" t="n">
        <v>4.6</v>
      </c>
      <c r="P6406" t="n">
        <v>31</v>
      </c>
      <c r="R6406" t="inlineStr">
        <is>
          <t>InStock</t>
        </is>
      </c>
      <c r="S6406" t="inlineStr">
        <is>
          <t>22.79</t>
        </is>
      </c>
      <c r="T6406" t="inlineStr">
        <is>
          <t>6846081433773</t>
        </is>
      </c>
    </row>
    <row r="6407" ht="87" customHeight="1">
      <c r="A6407" s="2">
        <f>HYPERLINK("https://edmondsonsupply.com/collections/electricians-tools/products/fluke-tl220-suregrip%E2%84%A2-industrial-test-lead-set", "https://edmondsonsupply.com/collections/electricians-tools/products/fluke-tl220-suregrip%E2%84%A2-industrial-test-lead-set")</f>
        <v/>
      </c>
      <c r="B6407" s="2">
        <f>HYPERLINK("https://edmondsonsupply.com/products/fluke-tl220-suregrip%e2%84%a2-industrial-test-lead-set", "https://edmondsonsupply.com/products/fluke-tl220-suregrip%e2%84%a2-industrial-test-lead-set")</f>
        <v/>
      </c>
      <c r="C6407" t="inlineStr">
        <is>
          <t>Fluke TL220 SureGrip™ Industrial Test Lead Set</t>
        </is>
      </c>
      <c r="D6407" t="inlineStr">
        <is>
          <t>Fluke TL220 Corporation Industrial Test Lead Kit</t>
        </is>
      </c>
      <c r="E6407" s="2">
        <f>HYPERLINK("https://www.amazon.com/Fluke-Corporation-TL220-Industrial-Test/dp/B000FKBZFO/ref=sr_1_1?keywords=Fluke+TL220+SureGrip%E2%84%A2+Industrial+Test+Lead+Set&amp;qid=1694735182&amp;sr=8-1", "https://www.amazon.com/Fluke-Corporation-TL220-Industrial-Test/dp/B000FKBZFO/ref=sr_1_1?keywords=Fluke+TL220+SureGrip%E2%84%A2+Industrial+Test+Lead+Set&amp;qid=1694735182&amp;sr=8-1")</f>
        <v/>
      </c>
      <c r="F6407" t="inlineStr">
        <is>
          <t>B000FKBZFO</t>
        </is>
      </c>
      <c r="G6407">
        <f>_xlfn.IMAGE("https://edmondsonsupply.com/cdn/shop/products/220.png?v=1633540209")</f>
        <v/>
      </c>
      <c r="H6407">
        <f>_xlfn.IMAGE("https://m.media-amazon.com/images/I/61Xe0Xbr4JL._AC_UY218_.jpg")</f>
        <v/>
      </c>
      <c r="K6407" t="inlineStr">
        <is>
          <t>93.99</t>
        </is>
      </c>
      <c r="L6407" t="n">
        <v>88.7</v>
      </c>
      <c r="M6407" s="1" t="inlineStr">
        <is>
          <t>-5.63%</t>
        </is>
      </c>
      <c r="N6407" s="7" t="n"/>
      <c r="O6407" t="n">
        <v>4.8</v>
      </c>
      <c r="P6407" t="n">
        <v>1638</v>
      </c>
      <c r="R6407" t="inlineStr">
        <is>
          <t>InStock</t>
        </is>
      </c>
      <c r="S6407" t="inlineStr">
        <is>
          <t>104.99</t>
        </is>
      </c>
      <c r="T6407" t="inlineStr">
        <is>
          <t>6997259550893</t>
        </is>
      </c>
    </row>
    <row r="6408" ht="87" customHeight="1">
      <c r="A6408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6408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6408" t="inlineStr">
        <is>
          <t>Diablo Tools DMAPL4140-P25 3/8 in. x 4 in. x 6 in. Rebar Demon™ SDS-Plus 4-Cutter Full Carbide Head Hammer Bit (25-Pack)</t>
        </is>
      </c>
      <c r="D6408" t="inlineStr">
        <is>
          <t>Diablo by Freud DMAPL4180-P25 1/2 in. x 4 in. x 6 in. Rebar Demon SDS-Plus 4-Cutter Full Carbide Head Hammer Bit (25-Pack) Multi, One Size</t>
        </is>
      </c>
      <c r="E6408" s="2">
        <f>HYPERLINK("https://www.amazon.com/Diablo-Rebar-4-Cutter-Carbide-Hammer/dp/B089LGWV7F/ref=sr_1_4?keywords=Diablo+Tools+DMAPL4140-P25+3%2F8+in.+x+4+in.+x+6+in.+Rebar+Demon%E2%84%A2+SDS-Plus+4-Cutter+Full+Carbide+Head+Hammer+Bit+%2825-Pack%29&amp;qid=1694735299&amp;sr=8-4", "https://www.amazon.com/Diablo-Rebar-4-Cutter-Carbide-Hammer/dp/B089LGWV7F/ref=sr_1_4?keywords=Diablo+Tools+DMAPL4140-P25+3%2F8+in.+x+4+in.+x+6+in.+Rebar+Demon%E2%84%A2+SDS-Plus+4-Cutter+Full+Carbide+Head+Hammer+Bit+%2825-Pack%29&amp;qid=1694735299&amp;sr=8-4")</f>
        <v/>
      </c>
      <c r="F6408" t="inlineStr">
        <is>
          <t>B089LGWV7F</t>
        </is>
      </c>
      <c r="G6408">
        <f>_xlfn.IMAGE("https://edmondsonsupply.com/cdn/shop/products/DMAPL4140-P25.jpg?v=1633030354")</f>
        <v/>
      </c>
      <c r="H6408">
        <f>_xlfn.IMAGE("https://m.media-amazon.com/images/I/61q9iw+mKpL._AC_UL320_.jpg")</f>
        <v/>
      </c>
      <c r="K6408" t="inlineStr">
        <is>
          <t>105.97</t>
        </is>
      </c>
      <c r="L6408" t="n">
        <v>99.98999999999999</v>
      </c>
      <c r="M6408" s="1" t="inlineStr">
        <is>
          <t>-5.64%</t>
        </is>
      </c>
      <c r="N6408" s="7" t="n"/>
      <c r="O6408" t="n">
        <v>5</v>
      </c>
      <c r="P6408" t="n">
        <v>2</v>
      </c>
      <c r="R6408" t="inlineStr">
        <is>
          <t>InStock</t>
        </is>
      </c>
      <c r="S6408" t="inlineStr">
        <is>
          <t>153.56</t>
        </is>
      </c>
      <c r="T6408" t="inlineStr">
        <is>
          <t>5286131794088</t>
        </is>
      </c>
    </row>
    <row r="6409" ht="87" customHeight="1">
      <c r="A6409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6409" s="2">
        <f>HYPERLINK("https://edmondsonsupply.com/products/fluke-179-true-rms-digital-multimeter", "https://edmondsonsupply.com/products/fluke-179-true-rms-digital-multimeter")</f>
        <v/>
      </c>
      <c r="C6409" t="inlineStr">
        <is>
          <t>Fluke 179 True-RMS Digital Multimeter</t>
        </is>
      </c>
      <c r="D6409" t="inlineStr">
        <is>
          <t>Fluke 179 Multimeter with Backlight, Includes Built-In Thermometer to Measure Temperature, Measures True-RMS AC Current and Voltage, Frequency, Capacitance, Resistance, Continuity and Diode</t>
        </is>
      </c>
      <c r="E6409" s="2">
        <f>HYPERLINK("https://www.amazon.com/Fluke-ESFP-True-Multimeter-Backlight/dp/B00012Z0V6/ref=sr_1_1?keywords=Fluke+179+True-RMS+Digital+Multimeter&amp;qid=1694735225&amp;sr=8-1", "https://www.amazon.com/Fluke-ESFP-True-Multimeter-Backlight/dp/B00012Z0V6/ref=sr_1_1?keywords=Fluke+179+True-RMS+Digital+Multimeter&amp;qid=1694735225&amp;sr=8-1")</f>
        <v/>
      </c>
      <c r="F6409" t="inlineStr">
        <is>
          <t>B00012Z0V6</t>
        </is>
      </c>
      <c r="G6409">
        <f>_xlfn.IMAGE("https://edmondsonsupply.com/cdn/shop/products/e0021116_431x600_31fa1fdc-90ee-45e4-8560-4be681a24cfe.jpg?v=1633030926")</f>
        <v/>
      </c>
      <c r="H6409">
        <f>_xlfn.IMAGE("https://m.media-amazon.com/images/I/61OkwIzYjBL._AC_UL320_.jpg")</f>
        <v/>
      </c>
      <c r="K6409" t="inlineStr">
        <is>
          <t>394.19</t>
        </is>
      </c>
      <c r="L6409" t="n">
        <v>371.68</v>
      </c>
      <c r="M6409" s="1" t="inlineStr">
        <is>
          <t>-5.71%</t>
        </is>
      </c>
      <c r="N6409" s="7" t="n"/>
      <c r="O6409" t="n">
        <v>4.7</v>
      </c>
      <c r="P6409" t="n">
        <v>390</v>
      </c>
      <c r="R6409" t="inlineStr">
        <is>
          <t>OutOfStock</t>
        </is>
      </c>
      <c r="S6409" t="inlineStr">
        <is>
          <t>437.99</t>
        </is>
      </c>
      <c r="T6409" t="inlineStr">
        <is>
          <t>6544506060973</t>
        </is>
      </c>
    </row>
    <row r="6410" ht="87" customHeight="1">
      <c r="A6410" s="2">
        <f>HYPERLINK("https://edmondsonsupply.com/collections/electricians-tools/products/klein-tools-d248-9stt-ironworkers-diagonal-cutting-pliers-tether-ring-8-inch", "https://edmondsonsupply.com/collections/electricians-tools/products/klein-tools-d248-9stt-ironworkers-diagonal-cutting-pliers-tether-ring-8-inch")</f>
        <v/>
      </c>
      <c r="B6410" s="2">
        <f>HYPERLINK("https://edmondsonsupply.com/products/klein-tools-d248-9stt-ironworkers-diagonal-cutting-pliers-tether-ring-8-inch", "https://edmondsonsupply.com/products/klein-tools-d248-9stt-ironworkers-diagonal-cutting-pliers-tether-ring-8-inch")</f>
        <v/>
      </c>
      <c r="C6410" t="inlineStr">
        <is>
          <t>Klein Tools D248-9STT Ironworker's Diagonal-Cutting Pliers, Tether Ring, 8-Inch</t>
        </is>
      </c>
      <c r="D6410" t="inlineStr">
        <is>
          <t>Klein Tools D228-8TT Pliers, Diagonal Cutting Pliers with High-Leverage Design and Tether Ring, 8-Inch</t>
        </is>
      </c>
      <c r="E6410" s="2">
        <f>HYPERLINK("https://www.amazon.com/Leverage-Diagonal-Klein-Tools-D228-8TT/dp/B01K76W5UE/ref=sr_1_3?keywords=Klein+Tools+D248-9STT+Ironworker%27s+Diagonal-Cutting+Pliers%2C+Tether+Ring%2C+8-Inch&amp;qid=1694735375&amp;sr=8-3", "https://www.amazon.com/Leverage-Diagonal-Klein-Tools-D228-8TT/dp/B01K76W5UE/ref=sr_1_3?keywords=Klein+Tools+D248-9STT+Ironworker%27s+Diagonal-Cutting+Pliers%2C+Tether+Ring%2C+8-Inch&amp;qid=1694735375&amp;sr=8-3")</f>
        <v/>
      </c>
      <c r="F6410" t="inlineStr">
        <is>
          <t>B01K76W5UE</t>
        </is>
      </c>
      <c r="G6410">
        <f>_xlfn.IMAGE("https://edmondsonsupply.com/cdn/shop/products/d2489stt.jpg?v=1587149713")</f>
        <v/>
      </c>
      <c r="H6410">
        <f>_xlfn.IMAGE("https://m.media-amazon.com/images/I/41Jkh6uEiRL._AC_UL320_.jpg")</f>
        <v/>
      </c>
      <c r="K6410" t="inlineStr">
        <is>
          <t>34.99</t>
        </is>
      </c>
      <c r="L6410" t="n">
        <v>32.99</v>
      </c>
      <c r="M6410" s="1" t="inlineStr">
        <is>
          <t>-5.72%</t>
        </is>
      </c>
      <c r="N6410" s="7" t="n"/>
      <c r="O6410" t="n">
        <v>5</v>
      </c>
      <c r="P6410" t="n">
        <v>16</v>
      </c>
      <c r="R6410" t="inlineStr">
        <is>
          <t>InStock</t>
        </is>
      </c>
      <c r="S6410" t="inlineStr">
        <is>
          <t>53.0</t>
        </is>
      </c>
      <c r="T6410" t="inlineStr">
        <is>
          <t>4414371725412</t>
        </is>
      </c>
    </row>
    <row r="6411" ht="87" customHeight="1">
      <c r="A6411" s="2">
        <f>HYPERLINK("https://edmondsonsupply.com/collections/electricians-tools/products/klein-tools-d228-8-diagonal-cutting-pliers-high-leverage-8-inch", "https://edmondsonsupply.com/collections/electricians-tools/products/klein-tools-d228-8-diagonal-cutting-pliers-high-leverage-8-inch")</f>
        <v/>
      </c>
      <c r="B6411" s="2">
        <f>HYPERLINK("https://edmondsonsupply.com/products/klein-tools-d228-8-diagonal-cutting-pliers-high-leverage-8-inch", "https://edmondsonsupply.com/products/klein-tools-d228-8-diagonal-cutting-pliers-high-leverage-8-inch")</f>
        <v/>
      </c>
      <c r="C6411" t="inlineStr">
        <is>
          <t>Klein Tools D228-8 Diagonal Cutting Pliers, High-Leverage, 8-Inch</t>
        </is>
      </c>
      <c r="D6411" t="inlineStr">
        <is>
          <t>Klein Tools D2000-28 Pliers, Diagonal Cutting Pliers with Angled Head are Heavy-Duty to Cut ACSR, Screws, Nails, Most Hardened Wire, 8-Inch</t>
        </is>
      </c>
      <c r="E6411" s="2">
        <f>HYPERLINK("https://www.amazon.com/High-Leverage-Diagonal-Cutting-Klein-Tools-D2000-28/dp/B0000302WR/ref=sr_1_24?keywords=Klein+Tools+D228-8+Diagonal+Cutting+Pliers%2C+High-Leverage%2C+8-Inch&amp;qid=1694735247&amp;sr=8-24", "https://www.amazon.com/High-Leverage-Diagonal-Cutting-Klein-Tools-D2000-28/dp/B0000302WR/ref=sr_1_24?keywords=Klein+Tools+D228-8+Diagonal+Cutting+Pliers%2C+High-Leverage%2C+8-Inch&amp;qid=1694735247&amp;sr=8-24")</f>
        <v/>
      </c>
      <c r="F6411" t="inlineStr">
        <is>
          <t>B0000302WR</t>
        </is>
      </c>
      <c r="G6411">
        <f>_xlfn.IMAGE("https://edmondsonsupply.com/cdn/shop/products/d2288.jpg?v=1633030753")</f>
        <v/>
      </c>
      <c r="H6411">
        <f>_xlfn.IMAGE("https://m.media-amazon.com/images/I/41VuWJ3z3QL._AC_UL320_.jpg")</f>
        <v/>
      </c>
      <c r="K6411" t="inlineStr">
        <is>
          <t>29.97</t>
        </is>
      </c>
      <c r="L6411" t="n">
        <v>28.25</v>
      </c>
      <c r="M6411" s="1" t="inlineStr">
        <is>
          <t>-5.74%</t>
        </is>
      </c>
      <c r="N6411" s="7" t="n"/>
      <c r="O6411" t="n">
        <v>4.8</v>
      </c>
      <c r="P6411" t="n">
        <v>1451</v>
      </c>
      <c r="R6411" t="inlineStr">
        <is>
          <t>InStock</t>
        </is>
      </c>
      <c r="S6411" t="inlineStr">
        <is>
          <t>42.78</t>
        </is>
      </c>
      <c r="T6411" t="inlineStr">
        <is>
          <t>5896908472488</t>
        </is>
      </c>
    </row>
    <row r="6412" ht="87" customHeight="1">
      <c r="A6412" s="2">
        <f>HYPERLINK("https://edmondsonsupply.com/collections/electricians-tools/products/klein-tools-vdv000-133-18-compartment-vdv-protech%E2%84%A2-transport-tool-case", "https://edmondsonsupply.com/collections/electricians-tools/products/klein-tools-vdv000-133-18-compartment-vdv-protech%E2%84%A2-transport-tool-case")</f>
        <v/>
      </c>
      <c r="B6412" s="2">
        <f>HYPERLINK("https://edmondsonsupply.com/products/klein-tools-vdv000-133-18-compartment-vdv-protech%e2%84%a2-transport-tool-case", "https://edmondsonsupply.com/products/klein-tools-vdv000-133-18-compartment-vdv-protech%e2%84%a2-transport-tool-case")</f>
        <v/>
      </c>
      <c r="C6412" t="inlineStr">
        <is>
          <t>Klein Tools VDV000-133 18-Compartment VDV ProTech™ Transport Tool Case</t>
        </is>
      </c>
      <c r="D6412" t="inlineStr">
        <is>
          <t>Klein Tools VDV000-133 18-Compartment VDV ProTech Transport Tool Case</t>
        </is>
      </c>
      <c r="E6412" s="2">
        <f>HYPERLINK("https://www.amazon.com/KLEIN-VDV000-133-Protech-Transport-Case/dp/B008BAYN3Q/ref=sr_1_1?keywords=Klein+Tools+VDV000-133+18-Compartment+VDV+ProTech%E2%84%A2+Transport+Tool+Case&amp;qid=1694735242&amp;sr=8-1", "https://www.amazon.com/KLEIN-VDV000-133-Protech-Transport-Case/dp/B008BAYN3Q/ref=sr_1_1?keywords=Klein+Tools+VDV000-133+18-Compartment+VDV+ProTech%E2%84%A2+Transport+Tool+Case&amp;qid=1694735242&amp;sr=8-1")</f>
        <v/>
      </c>
      <c r="F6412" t="inlineStr">
        <is>
          <t>B008BAYN3Q</t>
        </is>
      </c>
      <c r="G6412">
        <f>_xlfn.IMAGE("https://edmondsonsupply.com/cdn/shop/products/vdv000133.jpg?v=1633030790")</f>
        <v/>
      </c>
      <c r="H6412">
        <f>_xlfn.IMAGE("https://m.media-amazon.com/images/I/51Ei3YmOSLL._AC_UL320_.jpg")</f>
        <v/>
      </c>
      <c r="K6412" t="inlineStr">
        <is>
          <t>43.49</t>
        </is>
      </c>
      <c r="L6412" t="n">
        <v>40.99</v>
      </c>
      <c r="M6412" s="1" t="inlineStr">
        <is>
          <t>-5.75%</t>
        </is>
      </c>
      <c r="N6412" s="7" t="n"/>
      <c r="O6412" t="n">
        <v>4.7</v>
      </c>
      <c r="P6412" t="n">
        <v>52</v>
      </c>
      <c r="R6412" t="inlineStr">
        <is>
          <t>OutOfStock</t>
        </is>
      </c>
      <c r="S6412" t="inlineStr">
        <is>
          <t>65.88</t>
        </is>
      </c>
      <c r="T6412" t="inlineStr">
        <is>
          <t>5984618119336</t>
        </is>
      </c>
    </row>
    <row r="6413" ht="87" customHeight="1">
      <c r="A6413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413" s="2">
        <f>HYPERLINK("https://edmondsonsupply.com/products/diablo-tools-dag1110-7-8-in-x-7-1-2-in-auger-bit", "https://edmondsonsupply.com/products/diablo-tools-dag1110-7-8-in-x-7-1-2-in-auger-bit")</f>
        <v/>
      </c>
      <c r="C6413" t="inlineStr">
        <is>
          <t>Diablo Tools DAG1110 7/8 in. x 7-1/2 in. Auger Bit</t>
        </is>
      </c>
      <c r="D6413" t="inlineStr">
        <is>
          <t>Diablo 3/4 in. x 7-1/2 in. Auger Bit</t>
        </is>
      </c>
      <c r="E6413" s="2">
        <f>HYPERLINK("https://www.amazon.com/Diablo-Freud-DAG1090-7-1-Auger/dp/B089KW4S6Y/ref=sr_1_4?keywords=Diablo+Tools+DAG1110+7%2F8+in.+x+7-1%2F2+in.+Auger+Bit&amp;qid=1694735001&amp;sr=8-4", "https://www.amazon.com/Diablo-Freud-DAG1090-7-1-Auger/dp/B089KW4S6Y/ref=sr_1_4?keywords=Diablo+Tools+DAG1110+7%2F8+in.+x+7-1%2F2+in.+Auger+Bit&amp;qid=1694735001&amp;sr=8-4")</f>
        <v/>
      </c>
      <c r="F6413" t="inlineStr">
        <is>
          <t>B089KW4S6Y</t>
        </is>
      </c>
      <c r="G6413">
        <f>_xlfn.IMAGE("https://edmondsonsupply.com/cdn/shop/products/yel7mbaiyy08ii0assd5.webp?v=1680187136")</f>
        <v/>
      </c>
      <c r="H6413">
        <f>_xlfn.IMAGE("https://m.media-amazon.com/images/I/61wiLPAG21L._AC_UL320_.jpg")</f>
        <v/>
      </c>
      <c r="K6413" t="inlineStr">
        <is>
          <t>16.97</t>
        </is>
      </c>
      <c r="L6413" t="n">
        <v>15.99</v>
      </c>
      <c r="M6413" s="1" t="inlineStr">
        <is>
          <t>-5.77%</t>
        </is>
      </c>
      <c r="N6413" s="7" t="n"/>
      <c r="O6413" t="n">
        <v>4.4</v>
      </c>
      <c r="P6413" t="n">
        <v>35</v>
      </c>
      <c r="R6413" t="inlineStr">
        <is>
          <t>InStock</t>
        </is>
      </c>
      <c r="S6413" t="inlineStr">
        <is>
          <t>23.76</t>
        </is>
      </c>
      <c r="T6413" t="inlineStr">
        <is>
          <t>7970459549912</t>
        </is>
      </c>
    </row>
    <row r="6414" ht="87" customHeight="1">
      <c r="A6414" s="2">
        <f>HYPERLINK("https://edmondsonsupply.com/collections/electricians-tools/products/klein-tools-pjsfm1-rechargeable-personal-jobsite-fan", "https://edmondsonsupply.com/collections/electricians-tools/products/klein-tools-pjsfm1-rechargeable-personal-jobsite-fan")</f>
        <v/>
      </c>
      <c r="B6414" s="2">
        <f>HYPERLINK("https://edmondsonsupply.com/products/klein-tools-pjsfm1-rechargeable-personal-jobsite-fan", "https://edmondsonsupply.com/products/klein-tools-pjsfm1-rechargeable-personal-jobsite-fan")</f>
        <v/>
      </c>
      <c r="C6414" t="inlineStr">
        <is>
          <t>Klein Tools PJSFM1 Rechargeable Personal Jobsite Fan</t>
        </is>
      </c>
      <c r="D6414" t="inlineStr">
        <is>
          <t>Klein Tools PJSFM1 Cordless Rechargeable Fan with USB-C Charging Cord and Multiple Mounting Options Perfect for the Jobsite, Orange/Gray, 7-Inch</t>
        </is>
      </c>
      <c r="E6414" s="2">
        <f>HYPERLINK("https://www.amazon.com/Klein-Tools-PJSFM1-Operated-Rechargeable/dp/B088CGFY1S/ref=sr_1_1?keywords=Klein+Tools+PJSFM1+Rechargeable+Personal+Jobsite+Fan&amp;qid=1694735330&amp;sr=8-1", "https://www.amazon.com/Klein-Tools-PJSFM1-Operated-Rechargeable/dp/B088CGFY1S/ref=sr_1_1?keywords=Klein+Tools+PJSFM1+Rechargeable+Personal+Jobsite+Fan&amp;qid=1694735330&amp;sr=8-1")</f>
        <v/>
      </c>
      <c r="F6414" t="inlineStr">
        <is>
          <t>B088CGFY1S</t>
        </is>
      </c>
      <c r="G6414">
        <f>_xlfn.IMAGE("https://edmondsonsupply.com/cdn/shop/products/pjsfm1.jpg?v=1633030249")</f>
        <v/>
      </c>
      <c r="H6414">
        <f>_xlfn.IMAGE("https://m.media-amazon.com/images/I/71B-WAHN2VL._AC_UL320_.jpg")</f>
        <v/>
      </c>
      <c r="K6414" t="inlineStr">
        <is>
          <t>59.97</t>
        </is>
      </c>
      <c r="L6414" t="n">
        <v>56.5</v>
      </c>
      <c r="M6414" s="1" t="inlineStr">
        <is>
          <t>-5.79%</t>
        </is>
      </c>
      <c r="N6414" s="7" t="n"/>
      <c r="O6414" t="n">
        <v>4.6</v>
      </c>
      <c r="P6414" t="n">
        <v>704</v>
      </c>
      <c r="R6414" t="inlineStr">
        <is>
          <t>InStock</t>
        </is>
      </c>
      <c r="S6414" t="inlineStr">
        <is>
          <t>86.16</t>
        </is>
      </c>
      <c r="T6414" t="inlineStr">
        <is>
          <t>4625197531236</t>
        </is>
      </c>
    </row>
    <row r="6415" ht="87" customHeight="1">
      <c r="A6415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6415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6415" t="inlineStr">
        <is>
          <t>Klein Tools 1550-2 2 Blade Pocket Knife, Steel, 2-1/2-Inch Blade</t>
        </is>
      </c>
      <c r="D6415" t="inlineStr">
        <is>
          <t>Klein Tools 44220 Pocket Knife, Black, Drop Point Blade</t>
        </is>
      </c>
      <c r="E6415" s="2">
        <f>HYPERLINK("https://www.amazon.com/Pocket-Drop-Point-Klein-Tools-44220/dp/B01GU099NW/ref=sr_1_12?keywords=Klein+Tools+1550-2+2+Blade+Pocket+Knife%2C+Steel%2C+2-1%2F2-Inch+Blade&amp;qid=1694735141&amp;sr=8-12", "https://www.amazon.com/Pocket-Drop-Point-Klein-Tools-44220/dp/B01GU099NW/ref=sr_1_12?keywords=Klein+Tools+1550-2+2+Blade+Pocket+Knife%2C+Steel%2C+2-1%2F2-Inch+Blade&amp;qid=1694735141&amp;sr=8-12")</f>
        <v/>
      </c>
      <c r="F6415" t="inlineStr">
        <is>
          <t>B01GU099NW</t>
        </is>
      </c>
      <c r="G6415">
        <f>_xlfn.IMAGE("https://edmondsonsupply.com/cdn/shop/products/15502_b.jpg?v=1658020543")</f>
        <v/>
      </c>
      <c r="H6415">
        <f>_xlfn.IMAGE("https://m.media-amazon.com/images/I/31f+zLgEQNL._AC_UL320_.jpg")</f>
        <v/>
      </c>
      <c r="K6415" t="inlineStr">
        <is>
          <t>29.99</t>
        </is>
      </c>
      <c r="L6415" t="n">
        <v>28.25</v>
      </c>
      <c r="M6415" s="1" t="inlineStr">
        <is>
          <t>-5.80%</t>
        </is>
      </c>
      <c r="N6415" s="7" t="n"/>
      <c r="O6415" t="n">
        <v>4.7</v>
      </c>
      <c r="P6415" t="n">
        <v>310</v>
      </c>
      <c r="R6415" t="inlineStr">
        <is>
          <t>InStock</t>
        </is>
      </c>
      <c r="S6415" t="inlineStr">
        <is>
          <t>45.52</t>
        </is>
      </c>
      <c r="T6415" t="inlineStr">
        <is>
          <t>2766536409188</t>
        </is>
      </c>
    </row>
    <row r="6416" ht="87" customHeight="1">
      <c r="A6416" s="2">
        <f>HYPERLINK("https://edmondsonsupply.com/collections/electricians-tools/products/klein-tools-vdv770-851-test-map%E2%84%A2-remotes-7-12-expansion-kit-for-scout%C2%AE-pro-3-tester", "https://edmondsonsupply.com/collections/electricians-tools/products/klein-tools-vdv770-851-test-map%E2%84%A2-remotes-7-12-expansion-kit-for-scout%C2%AE-pro-3-tester")</f>
        <v/>
      </c>
      <c r="B6416" s="2">
        <f>HYPERLINK("https://edmondsonsupply.com/products/klein-tools-vdv770-851-test-map%e2%84%a2-remotes-7-12-expansion-kit-for-scout%c2%ae-pro-3-tester", "https://edmondsonsupply.com/products/klein-tools-vdv770-851-test-map%e2%84%a2-remotes-7-12-expansion-kit-for-scout%c2%ae-pro-3-tester")</f>
        <v/>
      </c>
      <c r="C6416" t="inlineStr">
        <is>
          <t>Klein Tools VDV770-851 Test + Map™ Remotes (#7 - #12) Expansion Kit for Scout® Pro 3 Tester</t>
        </is>
      </c>
      <c r="D6416" t="inlineStr">
        <is>
          <t>Klein Tools VDV770-851 Tester Remote Expansion Kit for Scout Pro 3 Testers with Single-Step Test + Map Remotes #7 - #12</t>
        </is>
      </c>
      <c r="E6416" s="2">
        <f>HYPERLINK("https://www.amazon.com/Klein-Tools-VDV770-851-Expansion-Single-Step/dp/B08BDB9CV3/ref=sr_1_1?keywords=Klein+Tools+VDV770-851+Test+%2B+Map%E2%84%A2+Remotes+%28%237+-+%2312%29+Expansion+Kit+for+Scout%C2%AE+Pro+3+Tester&amp;qid=1694735261&amp;sr=8-1", "https://www.amazon.com/Klein-Tools-VDV770-851-Expansion-Single-Step/dp/B08BDB9CV3/ref=sr_1_1?keywords=Klein+Tools+VDV770-851+Test+%2B+Map%E2%84%A2+Remotes+%28%237+-+%2312%29+Expansion+Kit+for+Scout%C2%AE+Pro+3+Tester&amp;qid=1694735261&amp;sr=8-1")</f>
        <v/>
      </c>
      <c r="F6416" t="inlineStr">
        <is>
          <t>B08BDB9CV3</t>
        </is>
      </c>
      <c r="G6416">
        <f>_xlfn.IMAGE("https://edmondsonsupply.com/cdn/shop/products/vdv770851.jpg?v=1633030682")</f>
        <v/>
      </c>
      <c r="H6416">
        <f>_xlfn.IMAGE("https://m.media-amazon.com/images/I/61NvXKhAsRL._AC_UY218_.jpg")</f>
        <v/>
      </c>
      <c r="K6416" t="inlineStr">
        <is>
          <t>119.99</t>
        </is>
      </c>
      <c r="L6416" t="n">
        <v>112.99</v>
      </c>
      <c r="M6416" s="1" t="inlineStr">
        <is>
          <t>-5.83%</t>
        </is>
      </c>
      <c r="N6416" s="7" t="n"/>
      <c r="O6416" t="n">
        <v>4.9</v>
      </c>
      <c r="P6416" t="n">
        <v>58</v>
      </c>
      <c r="R6416" t="inlineStr">
        <is>
          <t>OutOfStock</t>
        </is>
      </c>
      <c r="S6416" t="inlineStr">
        <is>
          <t>169.5</t>
        </is>
      </c>
      <c r="T6416" t="inlineStr">
        <is>
          <t>5816003133608</t>
        </is>
      </c>
    </row>
    <row r="6417" ht="87" customHeight="1">
      <c r="A6417" s="2">
        <f>HYPERLINK("https://edmondsonsupply.com/collections/electricians-tools/products/klein-tools-cl900-2000a-digital-clamp-meter", "https://edmondsonsupply.com/collections/electricians-tools/products/klein-tools-cl900-2000a-digital-clamp-meter")</f>
        <v/>
      </c>
      <c r="B6417" s="2">
        <f>HYPERLINK("https://edmondsonsupply.com/products/klein-tools-cl900-2000a-digital-clamp-meter", "https://edmondsonsupply.com/products/klein-tools-cl900-2000a-digital-clamp-meter")</f>
        <v/>
      </c>
      <c r="C6417" t="inlineStr">
        <is>
          <t>Klein Tools CL900 Digital Clamp Meter, AC Auto-Range TRMS, Low Impedance (LoZ), 2000 Amp</t>
        </is>
      </c>
      <c r="D6417" t="inlineStr">
        <is>
          <t>Klein Tools CL900 Digital Clamp Meter, Autoranging TRMS, AC/DC Voltage/Current, 2000A, LoZ , Continuity, Frequency, NCVT, Temp, More, 1000V</t>
        </is>
      </c>
      <c r="E6417" s="2">
        <f>HYPERLINK("https://www.amazon.com/Resistance-Continuity-Klein-Tools-CL900/dp/B079MV9DRH/ref=sr_1_1?keywords=Klein+Tools+CL900+Digital+Clamp+Meter%2C+AC+Auto-Range+TRMS%2C+Low+Impedance+%28LoZ%29%2C+2000+Amp&amp;qid=1694735343&amp;sr=8-1", "https://www.amazon.com/Resistance-Continuity-Klein-Tools-CL900/dp/B079MV9DRH/ref=sr_1_1?keywords=Klein+Tools+CL900+Digital+Clamp+Meter%2C+AC+Auto-Range+TRMS%2C+Low+Impedance+%28LoZ%29%2C+2000+Amp&amp;qid=1694735343&amp;sr=8-1")</f>
        <v/>
      </c>
      <c r="F6417" t="inlineStr">
        <is>
          <t>B079MV9DRH</t>
        </is>
      </c>
      <c r="G6417">
        <f>_xlfn.IMAGE("https://edmondsonsupply.com/cdn/shop/products/cl900_alt11.jpg?v=1601603929")</f>
        <v/>
      </c>
      <c r="H6417">
        <f>_xlfn.IMAGE("https://m.media-amazon.com/images/I/61r+0acAu3L._AC_UY218_.jpg")</f>
        <v/>
      </c>
      <c r="K6417" t="inlineStr">
        <is>
          <t>169.99</t>
        </is>
      </c>
      <c r="L6417" t="n">
        <v>159.99</v>
      </c>
      <c r="M6417" s="1" t="inlineStr">
        <is>
          <t>-5.88%</t>
        </is>
      </c>
      <c r="N6417" s="7" t="n"/>
      <c r="O6417" t="n">
        <v>4.6</v>
      </c>
      <c r="P6417" t="n">
        <v>396</v>
      </c>
      <c r="R6417" t="inlineStr">
        <is>
          <t>InStock</t>
        </is>
      </c>
      <c r="S6417" t="inlineStr">
        <is>
          <t>241.94</t>
        </is>
      </c>
      <c r="T6417" t="inlineStr">
        <is>
          <t>4474673954916</t>
        </is>
      </c>
    </row>
    <row r="6418" ht="87" customHeight="1">
      <c r="A6418" s="2">
        <f>HYPERLINK("https://edmondsonsupply.com/collections/electricians-tools/products/klein-tools-69409-line-splitter-10x", "https://edmondsonsupply.com/collections/electricians-tools/products/klein-tools-69409-line-splitter-10x")</f>
        <v/>
      </c>
      <c r="B6418" s="2">
        <f>HYPERLINK("https://edmondsonsupply.com/products/klein-tools-69409-line-splitter-10x", "https://edmondsonsupply.com/products/klein-tools-69409-line-splitter-10x")</f>
        <v/>
      </c>
      <c r="C6418" t="inlineStr">
        <is>
          <t>Klein Tools 69409 Line Splitter 10x</t>
        </is>
      </c>
      <c r="D6418" t="inlineStr">
        <is>
          <t>Klein Tools 69409 Line Splitter 10x Black</t>
        </is>
      </c>
      <c r="E6418" s="2">
        <f>HYPERLINK("https://www.amazon.com/Line-Splitter-Klein-Tools-69409/dp/B01B7RTNSO/ref=sr_1_1?keywords=Klein+Tools+69409+Line+Splitter+10x&amp;qid=1694735419&amp;sr=8-1", "https://www.amazon.com/Line-Splitter-Klein-Tools-69409/dp/B01B7RTNSO/ref=sr_1_1?keywords=Klein+Tools+69409+Line+Splitter+10x&amp;qid=1694735419&amp;sr=8-1")</f>
        <v/>
      </c>
      <c r="F6418" t="inlineStr">
        <is>
          <t>B01B7RTNSO</t>
        </is>
      </c>
      <c r="G6418">
        <f>_xlfn.IMAGE("https://edmondsonsupply.com/cdn/shop/products/69409.jpg?v=1587146689")</f>
        <v/>
      </c>
      <c r="H6418">
        <f>_xlfn.IMAGE("https://m.media-amazon.com/images/I/41CUR-YzspL._AC_UL320_.jpg")</f>
        <v/>
      </c>
      <c r="K6418" t="inlineStr">
        <is>
          <t>16.97</t>
        </is>
      </c>
      <c r="L6418" t="n">
        <v>15.97</v>
      </c>
      <c r="M6418" s="1" t="inlineStr">
        <is>
          <t>-5.89%</t>
        </is>
      </c>
      <c r="N6418" s="7" t="n"/>
      <c r="O6418" t="n">
        <v>4.8</v>
      </c>
      <c r="P6418" t="n">
        <v>1394</v>
      </c>
      <c r="R6418" t="inlineStr">
        <is>
          <t>InStock</t>
        </is>
      </c>
      <c r="S6418" t="inlineStr">
        <is>
          <t>20.48</t>
        </is>
      </c>
      <c r="T6418" t="inlineStr">
        <is>
          <t>1723598045284</t>
        </is>
      </c>
    </row>
    <row r="6419" hidden="1" ht="15.75" customHeight="1">
      <c r="A6419" s="2">
        <f>HYPERLINK("https://edmondsonsupply.com/collections/electricians-tools/products/diablo-tools-dmarg1150-1-2-in-x-4-in-x-6-in-speedemon%E2%84%A2-red-granite-carbide-tipped-hammer-drill-bit", "https://edmondsonsupply.com/collections/electricians-tools/products/diablo-tools-dmarg1150-1-2-in-x-4-in-x-6-in-speedemon%E2%84%A2-red-granite-carbide-tipped-hammer-drill-bit")</f>
        <v/>
      </c>
      <c r="B6419" s="2">
        <f>HYPERLINK("https://edmondsonsupply.com/products/diablo-tools-dmarg1150-1-2-in-x-4-in-x-6-in-speedemon%e2%84%a2-red-granite-carbide-tipped-hammer-drill-bit", "https://edmondsonsupply.com/products/diablo-tools-dmarg1150-1-2-in-x-4-in-x-6-in-speedemon%e2%84%a2-red-granite-carbide-tipped-hammer-drill-bit")</f>
        <v/>
      </c>
      <c r="C6419" t="inlineStr">
        <is>
          <t>Diablo Tools DMARG1150 1/2 in. x 4 in. x 6 in. SPEEDemon™ Red Granite Carbide Tipped Hammer Drill Bit</t>
        </is>
      </c>
      <c r="D6419" t="inlineStr">
        <is>
          <t>Diablo by Freud DMARG1140 7/16 in. x 4 in. x 6 in. SPEEDemon Red Granite Carbide Tipped Hammer Drill Bit Multi, One Size</t>
        </is>
      </c>
      <c r="E6419" s="2">
        <f>HYPERLINK("https://www.amazon.com/Diablo-SPEEDemon-Granite-Carbide-Tipped/dp/B089LJWV6X/ref=sr_1_6?keywords=Diablo+Tools+DMARG1150+1%2F2+in.+x+4+in.+x+6+in.+SPEEDemon%E2%84%A2+Red+Granite+Carbide+Tipped+Hammer+Drill+Bit&amp;qid=1694735282&amp;sr=8-6", "https://www.amazon.com/Diablo-SPEEDemon-Granite-Carbide-Tipped/dp/B089LJWV6X/ref=sr_1_6?keywords=Diablo+Tools+DMARG1150+1%2F2+in.+x+4+in.+x+6+in.+SPEEDemon%E2%84%A2+Red+Granite+Carbide+Tipped+Hammer+Drill+Bit&amp;qid=1694735282&amp;sr=8-6")</f>
        <v/>
      </c>
      <c r="F6419" t="inlineStr">
        <is>
          <t>B089LJWV6X</t>
        </is>
      </c>
      <c r="G6419">
        <f>_xludf.IMAGE("https://edmondsonsupply.com/cdn/shop/products/DMARG1150_Main-Image20200702.png?v=1633030510")</f>
        <v/>
      </c>
      <c r="H6419">
        <f>_xludf.IMAGE("https://m.media-amazon.com/images/I/61CZVnVOl-L._AC_UL320_.jpg")</f>
        <v/>
      </c>
      <c r="K6419" t="inlineStr">
        <is>
          <t>9.97</t>
        </is>
      </c>
      <c r="L6419" t="n">
        <v>9.369999999999999</v>
      </c>
      <c r="M6419" s="1" t="inlineStr">
        <is>
          <t>-6.02%</t>
        </is>
      </c>
      <c r="N6419" s="1" t="n"/>
      <c r="O6419" t="n">
        <v>5</v>
      </c>
      <c r="P6419" t="n">
        <v>7</v>
      </c>
      <c r="R6419" t="inlineStr">
        <is>
          <t>InStock</t>
        </is>
      </c>
      <c r="S6419" t="inlineStr">
        <is>
          <t>undefined</t>
        </is>
      </c>
      <c r="T6419" t="inlineStr">
        <is>
          <t>5386513907880</t>
        </is>
      </c>
    </row>
    <row r="6420" ht="87" customHeight="1">
      <c r="A6420" s="2">
        <f>HYPERLINK("https://edmondsonsupply.com/collections/electricians-tools/products/klein-tools-85191-conduit-fitting-and-reaming-screwdriver", "https://edmondsonsupply.com/collections/electricians-tools/products/klein-tools-85191-conduit-fitting-and-reaming-screwdriver")</f>
        <v/>
      </c>
      <c r="B6420" s="2">
        <f>HYPERLINK("https://edmondsonsupply.com/products/klein-tools-85191-conduit-fitting-and-reaming-screwdriver", "https://edmondsonsupply.com/products/klein-tools-85191-conduit-fitting-and-reaming-screwdriver")</f>
        <v/>
      </c>
      <c r="C6420" t="inlineStr">
        <is>
          <t>Klein Tools 85191 Conduit-Fitting and Reaming Screwdriver</t>
        </is>
      </c>
      <c r="D6420" t="inlineStr">
        <is>
          <t>Klein Tools 85191 Screwdriver / Conduit Reamer, Conduit Fitting and Reaming Screwdriver for 1/2-Inch, 3/4-Inch, and 1-Inch Thin-Wall Conduit</t>
        </is>
      </c>
      <c r="E6420" s="2">
        <f>HYPERLINK("https://www.amazon.com/Screwdriver-Thin-Wall-Klein-Tools-85191/dp/B000CER0T8/ref=sr_1_1?keywords=Klein+Tools+85191+Conduit-Fitting+and+Reaming+Screwdriver&amp;qid=1694735413&amp;sr=8-1", "https://www.amazon.com/Screwdriver-Thin-Wall-Klein-Tools-85191/dp/B000CER0T8/ref=sr_1_1?keywords=Klein+Tools+85191+Conduit-Fitting+and+Reaming+Screwdriver&amp;qid=1694735413&amp;sr=8-1")</f>
        <v/>
      </c>
      <c r="F6420" t="inlineStr">
        <is>
          <t>B000CER0T8</t>
        </is>
      </c>
      <c r="G6420">
        <f>_xlfn.IMAGE("https://edmondsonsupply.com/cdn/shop/products/85191.jpg?v=1587147694")</f>
        <v/>
      </c>
      <c r="H6420">
        <f>_xlfn.IMAGE("https://m.media-amazon.com/images/I/51wfYPpIkML._AC_UL320_.jpg")</f>
        <v/>
      </c>
      <c r="K6420" t="inlineStr">
        <is>
          <t>34.97</t>
        </is>
      </c>
      <c r="L6420" t="n">
        <v>32.86</v>
      </c>
      <c r="M6420" s="1" t="inlineStr">
        <is>
          <t>-6.03%</t>
        </is>
      </c>
      <c r="N6420" s="7" t="n"/>
      <c r="O6420" t="n">
        <v>4.8</v>
      </c>
      <c r="P6420" t="n">
        <v>3074</v>
      </c>
      <c r="R6420" t="inlineStr">
        <is>
          <t>InStock</t>
        </is>
      </c>
      <c r="S6420" t="inlineStr">
        <is>
          <t>51.04</t>
        </is>
      </c>
      <c r="T6420" t="inlineStr">
        <is>
          <t>4391711277156</t>
        </is>
      </c>
    </row>
    <row r="6421" ht="87" customHeight="1">
      <c r="A6421" s="2">
        <f>HYPERLINK("https://edmondsonsupply.com/collections/electricians-tools/products/milwaukee-2598-22-m12-fuel%E2%84%A2-2-tool-combo-kit-1-2-hammer-drill-and-1-4-hex-impact-driver", "https://edmondsonsupply.com/collections/electricians-tools/products/milwaukee-2598-22-m12-fuel%E2%84%A2-2-tool-combo-kit-1-2-hammer-drill-and-1-4-hex-impact-driver")</f>
        <v/>
      </c>
      <c r="B6421" s="2">
        <f>HYPERLINK("https://edmondsonsupply.com/products/milwaukee-2598-22-m12-fuel%e2%84%a2-2-tool-combo-kit-1-2-hammer-drill-and-1-4-hex-impact-driver", "https://edmondsonsupply.com/products/milwaukee-2598-22-m12-fuel%e2%84%a2-2-tool-combo-kit-1-2-hammer-drill-and-1-4-hex-impact-driver")</f>
        <v/>
      </c>
      <c r="C6421" t="inlineStr">
        <is>
          <t>Milwaukee 2598-22 M12 FUEL™ 2-Tool Combo Kit: 1/2" Hammer Drill and 1/4" Hex Impact Driver</t>
        </is>
      </c>
      <c r="D6421" t="inlineStr">
        <is>
          <t>Milwaukee 2598-22 M12 FUEL 2-Tool Combo Kit: 1/2 in. Hammer Drill and 1/4 in. Hex Impact Driver</t>
        </is>
      </c>
      <c r="E6421" s="2">
        <f>HYPERLINK("https://www.amazon.com/Milwaukee-2598-22-FUEL-2-Tool-Combo/dp/B07F9Q4H5S/ref=sr_1_1?keywords=Milwaukee+2598-22+M12+FUEL%E2%84%A2+2-Tool+Combo+Kit%3A+1%2F2%22+Hammer+Drill+and+1%2F4%22+Hex+Impact+Driver&amp;qid=1694735109&amp;sr=8-1", "https://www.amazon.com/Milwaukee-2598-22-FUEL-2-Tool-Combo/dp/B07F9Q4H5S/ref=sr_1_1?keywords=Milwaukee+2598-22+M12+FUEL%E2%84%A2+2-Tool+Combo+Kit%3A+1%2F2%22+Hammer+Drill+and+1%2F4%22+Hex+Impact+Driver&amp;qid=1694735109&amp;sr=8-1")</f>
        <v/>
      </c>
      <c r="F6421" t="inlineStr">
        <is>
          <t>B07F9Q4H5S</t>
        </is>
      </c>
      <c r="G6421">
        <f>_xlfn.IMAGE("https://edmondsonsupply.com/cdn/shop/products/2598-22_Kit.png?v=1668446772")</f>
        <v/>
      </c>
      <c r="H6421">
        <f>_xlfn.IMAGE("https://m.media-amazon.com/images/I/617O-7-wU2L._AC_UL320_.jpg")</f>
        <v/>
      </c>
      <c r="K6421" t="inlineStr">
        <is>
          <t>229.0</t>
        </is>
      </c>
      <c r="L6421" t="n">
        <v>215</v>
      </c>
      <c r="M6421" s="1" t="inlineStr">
        <is>
          <t>-6.11%</t>
        </is>
      </c>
      <c r="N6421" s="7" t="n"/>
      <c r="O6421" t="n">
        <v>4.8</v>
      </c>
      <c r="P6421" t="n">
        <v>68</v>
      </c>
      <c r="R6421" t="inlineStr">
        <is>
          <t>InStock</t>
        </is>
      </c>
      <c r="S6421" t="inlineStr">
        <is>
          <t>429.0</t>
        </is>
      </c>
      <c r="T6421" t="inlineStr">
        <is>
          <t>7839840829656</t>
        </is>
      </c>
    </row>
    <row r="6422" ht="87" customHeight="1">
      <c r="A6422" s="2">
        <f>HYPERLINK("https://edmondsonsupply.com/collections/electricians-tools/products/copy-of-diablo-tools-ddd045dia101f-4-1-2-in-diamond-metal-cut-off-blade-1", "https://edmondsonsupply.com/collections/electricians-tools/products/copy-of-diablo-tools-ddd045dia101f-4-1-2-in-diamond-metal-cut-off-blade-1")</f>
        <v/>
      </c>
      <c r="B6422" s="2">
        <f>HYPERLINK("https://edmondsonsupply.com/products/copy-of-diablo-tools-ddd045dia101f-4-1-2-in-diamond-metal-cut-off-blade-1", "https://edmondsonsupply.com/products/copy-of-diablo-tools-ddd045dia101f-4-1-2-in-diamond-metal-cut-off-blade-1")</f>
        <v/>
      </c>
      <c r="C6422" t="inlineStr">
        <is>
          <t>Diablo Tools D0748CFX 7-1/4 in. x 48 Tooth Cermet Metal and Stainless Steel Cutting Saw Blade</t>
        </is>
      </c>
      <c r="D6422" t="inlineStr">
        <is>
          <t>Evolution Power Tools 185BLADESS Stainless Steel Cutting Saw Blade, 7-1/4-Inch x 48-Tooth , Yellow</t>
        </is>
      </c>
      <c r="E6422" s="2">
        <f>HYPERLINK("https://www.amazon.com/Evolution-Power-Tools-185BLADESS-Stainless/dp/B004Q09EFC/ref=sr_1_6?keywords=Diablo+Tools+D0748CFX+7-1%2F4+in.+x+48+Tooth+Cermet+Metal+and+Stainless+Steel+Cutting+Saw+Blade&amp;qid=1694735332&amp;sr=8-6", "https://www.amazon.com/Evolution-Power-Tools-185BLADESS-Stainless/dp/B004Q09EFC/ref=sr_1_6?keywords=Diablo+Tools+D0748CFX+7-1%2F4+in.+x+48+Tooth+Cermet+Metal+and+Stainless+Steel+Cutting+Saw+Blade&amp;qid=1694735332&amp;sr=8-6")</f>
        <v/>
      </c>
      <c r="F6422" t="inlineStr">
        <is>
          <t>B004Q09EFC</t>
        </is>
      </c>
      <c r="G6422">
        <f>_xlfn.IMAGE("https://edmondsonsupply.com/cdn/shop/products/D0748CFA_Main-Image.png?v=1633030259")</f>
        <v/>
      </c>
      <c r="H6422">
        <f>_xlfn.IMAGE("https://m.media-amazon.com/images/I/71YtsfQlGVL._AC_UL320_.jpg")</f>
        <v/>
      </c>
      <c r="K6422" t="inlineStr">
        <is>
          <t>34.97</t>
        </is>
      </c>
      <c r="L6422" t="n">
        <v>32.8</v>
      </c>
      <c r="M6422" s="1" t="inlineStr">
        <is>
          <t>-6.21%</t>
        </is>
      </c>
      <c r="N6422" s="7" t="n"/>
      <c r="O6422" t="n">
        <v>4.4</v>
      </c>
      <c r="P6422" t="n">
        <v>3036</v>
      </c>
      <c r="R6422" t="inlineStr">
        <is>
          <t>InStock</t>
        </is>
      </c>
      <c r="S6422" t="inlineStr">
        <is>
          <t>50.75</t>
        </is>
      </c>
      <c r="T6422" t="inlineStr">
        <is>
          <t>4641789739108</t>
        </is>
      </c>
    </row>
    <row r="6423" ht="87" customHeight="1">
      <c r="A6423" s="2">
        <f>HYPERLINK("https://edmondsonsupply.com/collections/electricians-tools/products/fluke-377-fc-non-contact-voltage-true-rms-ac-dc-clamp-meter-with-iflex", "https://edmondsonsupply.com/collections/electricians-tools/products/fluke-377-fc-non-contact-voltage-true-rms-ac-dc-clamp-meter-with-iflex")</f>
        <v/>
      </c>
      <c r="B6423" s="2">
        <f>HYPERLINK("https://edmondsonsupply.com/products/fluke-377-fc-non-contact-voltage-true-rms-ac-dc-clamp-meter-with-iflex", "https://edmondsonsupply.com/products/fluke-377-fc-non-contact-voltage-true-rms-ac-dc-clamp-meter-with-iflex")</f>
        <v/>
      </c>
      <c r="C6423" t="inlineStr">
        <is>
          <t>Fluke 377 FC Non-Contact Voltage True-RMS AC/DC Clamp Meter with iFlex</t>
        </is>
      </c>
      <c r="D6423" t="inlineStr">
        <is>
          <t>Fluke 377FC AC/DC TRMS Non-Contact Voltage Wireless Clamp w/iFlex</t>
        </is>
      </c>
      <c r="E6423" s="2">
        <f>HYPERLINK("https://www.amazon.com/Fluke-377FC-Non-Contact-Voltage-Wireless/dp/B0916LXCWW/ref=sr_1_1?keywords=Fluke+377+FC+Non-Contact+Voltage+True-RMS+AC%2FDC+Clamp+Meter+with+iFlex&amp;qid=1694735195&amp;sr=8-1", "https://www.amazon.com/Fluke-377FC-Non-Contact-Voltage-Wireless/dp/B0916LXCWW/ref=sr_1_1?keywords=Fluke+377+FC+Non-Contact+Voltage+True-RMS+AC%2FDC+Clamp+Meter+with+iFlex&amp;qid=1694735195&amp;sr=8-1")</f>
        <v/>
      </c>
      <c r="F6423" t="inlineStr">
        <is>
          <t>B0916LXCWW</t>
        </is>
      </c>
      <c r="G6423">
        <f>_xlfn.IMAGE("https://edmondsonsupply.com/cdn/shop/products/377_FC_72dpi_499x1024px_E_NR-27677.jpg?v=1633031119")</f>
        <v/>
      </c>
      <c r="H6423">
        <f>_xlfn.IMAGE("https://m.media-amazon.com/images/I/7112bqFKTjL._AC_UY218_.jpg")</f>
        <v/>
      </c>
      <c r="K6423" t="inlineStr">
        <is>
          <t>639.89</t>
        </is>
      </c>
      <c r="L6423" t="n">
        <v>600</v>
      </c>
      <c r="M6423" s="1" t="inlineStr">
        <is>
          <t>-6.23%</t>
        </is>
      </c>
      <c r="N6423" s="7" t="n"/>
      <c r="O6423" t="n">
        <v>4.4</v>
      </c>
      <c r="P6423" t="n">
        <v>39</v>
      </c>
      <c r="R6423" t="inlineStr">
        <is>
          <t>OutOfStock</t>
        </is>
      </c>
      <c r="S6423" t="inlineStr">
        <is>
          <t>710.99</t>
        </is>
      </c>
      <c r="T6423" t="inlineStr">
        <is>
          <t>6864129949869</t>
        </is>
      </c>
    </row>
    <row r="6424" ht="87" customHeight="1">
      <c r="A6424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6424" s="2">
        <f>HYPERLINK("https://edmondsonsupply.com/products/klein-tools-647m-magnetic-nut-driver-set-6-inch-shafts-7-piece", "https://edmondsonsupply.com/products/klein-tools-647m-magnetic-nut-driver-set-6-inch-shafts-7-piece")</f>
        <v/>
      </c>
      <c r="C6424" t="inlineStr">
        <is>
          <t>Klein Tools 647M Magnetic Nut Driver Set, 6-Inch Shafts, 7-Piece</t>
        </is>
      </c>
      <c r="D6424" t="inlineStr">
        <is>
          <t>Klein Tools 631M Tool Set, Magnetic Nut Drivers Sizes 3/16, 1/4, 5/16, 11/32, 3/8, 7/16 and 1/2-Inch on 3-Inch Full Hollow Shaft, 7-Piece</t>
        </is>
      </c>
      <c r="E6424" s="2">
        <f>HYPERLINK("https://www.amazon.com/Driver-Magnetic-3-Inch-Hollow-Klein/dp/B001BQ0DNG/ref=sr_1_10?keywords=Klein+Tools+647M+Magnetic+Nut+Driver+Set%2C+6-Inch+Shafts%2C+7-Piece&amp;qid=1694735271&amp;sr=8-10", "https://www.amazon.com/Driver-Magnetic-3-Inch-Hollow-Klein/dp/B001BQ0DNG/ref=sr_1_10?keywords=Klein+Tools+647M+Magnetic+Nut+Driver+Set%2C+6-Inch+Shafts%2C+7-Piece&amp;qid=1694735271&amp;sr=8-10")</f>
        <v/>
      </c>
      <c r="F6424" t="inlineStr">
        <is>
          <t>B001BQ0DNG</t>
        </is>
      </c>
      <c r="G6424">
        <f>_xlfn.IMAGE("https://edmondsonsupply.com/cdn/shop/products/647m.jpg?v=1633030530")</f>
        <v/>
      </c>
      <c r="H6424">
        <f>_xlfn.IMAGE("https://m.media-amazon.com/images/I/61pMsoh2smL._AC_UL320_.jpg")</f>
        <v/>
      </c>
      <c r="K6424" t="inlineStr">
        <is>
          <t>79.99</t>
        </is>
      </c>
      <c r="L6424" t="n">
        <v>74.98999999999999</v>
      </c>
      <c r="M6424" s="1" t="inlineStr">
        <is>
          <t>-6.25%</t>
        </is>
      </c>
      <c r="N6424" s="7" t="n"/>
      <c r="O6424" t="n">
        <v>4.8</v>
      </c>
      <c r="P6424" t="n">
        <v>1145</v>
      </c>
      <c r="R6424" t="inlineStr">
        <is>
          <t>InStock</t>
        </is>
      </c>
      <c r="S6424" t="inlineStr">
        <is>
          <t>117.72</t>
        </is>
      </c>
      <c r="T6424" t="inlineStr">
        <is>
          <t>5408872136872</t>
        </is>
      </c>
    </row>
    <row r="6425" hidden="1" ht="15.75" customHeight="1">
      <c r="A6425" s="2">
        <f>HYPERLINK("https://edmondsonsupply.com/collections/electricians-tools/products/diablo-tools-dmapl4040-3-16-in-x-4-in-x-6-in-rebar-demon%E2%84%A2-sds-plus-4-cutter-full-carbide-head-hammer-bit", "https://edmondsonsupply.com/collections/electricians-tools/products/diablo-tools-dmapl4040-3-16-in-x-4-in-x-6-in-rebar-demon%E2%84%A2-sds-plus-4-cutter-full-carbide-head-hammer-bit")</f>
        <v/>
      </c>
      <c r="B6425" s="2">
        <f>HYPERLINK("https://edmondsonsupply.com/products/diablo-tools-dmapl4040-3-16-in-x-4-in-x-6-in-rebar-demon%e2%84%a2-sds-plus-4-cutter-full-carbide-head-hammer-bit", "https://edmondsonsupply.com/products/diablo-tools-dmapl4040-3-16-in-x-4-in-x-6-in-rebar-demon%e2%84%a2-sds-plus-4-cutter-full-carbide-head-hammer-bit")</f>
        <v/>
      </c>
      <c r="C6425" t="inlineStr">
        <is>
          <t>Diablo Tools DMAPL4040 3/16 in. x 4 in. x 6 in. Rebar Demon™ SDS-Plus 4-Cutter Full Carbide Head Hammer Bit</t>
        </is>
      </c>
      <c r="D6425" t="inlineStr">
        <is>
          <t>Diablo 3/16" x 4"x6" Rebar Demon™ SDS-Plus 4-Cutter Full Carbide Head Hammer Bit</t>
        </is>
      </c>
      <c r="E6425" s="2">
        <f>HYPERLINK("https://www.amazon.com/Diablo-Freud-DMAPL4040-SDS-Plus-4-Cutter/dp/B089L9LMZX/ref=sr_1_2?keywords=Diablo+Tools+DMAPL4040+3%2F16+in.+x+4+in.+x+6+in.+Rebar+Demon%E2%84%A2+SDS-Plus+4-Cutter+Full+Carbide+Head+Hammer+Bit&amp;qid=1694735297&amp;sr=8-2", "https://www.amazon.com/Diablo-Freud-DMAPL4040-SDS-Plus-4-Cutter/dp/B089L9LMZX/ref=sr_1_2?keywords=Diablo+Tools+DMAPL4040+3%2F16+in.+x+4+in.+x+6+in.+Rebar+Demon%E2%84%A2+SDS-Plus+4-Cutter+Full+Carbide+Head+Hammer+Bit&amp;qid=1694735297&amp;sr=8-2")</f>
        <v/>
      </c>
      <c r="F6425" t="inlineStr">
        <is>
          <t>B089L9LMZX</t>
        </is>
      </c>
      <c r="G6425">
        <f>_xludf.IMAGE("https://edmondsonsupply.com/cdn/shop/products/DMAPL4040_Main-Image20200701.png?v=1633030358")</f>
        <v/>
      </c>
      <c r="H6425">
        <f>_xludf.IMAGE("https://m.media-amazon.com/images/I/61WAyx865hL._AC_UL320_.jpg")</f>
        <v/>
      </c>
      <c r="K6425" t="inlineStr">
        <is>
          <t>8.47</t>
        </is>
      </c>
      <c r="L6425" t="n">
        <v>7.93</v>
      </c>
      <c r="M6425" s="1" t="inlineStr">
        <is>
          <t>-6.38%</t>
        </is>
      </c>
      <c r="N6425" s="1" t="n"/>
      <c r="O6425" t="n">
        <v>4.6</v>
      </c>
      <c r="P6425" t="n">
        <v>58</v>
      </c>
      <c r="R6425" t="inlineStr">
        <is>
          <t>InStock</t>
        </is>
      </c>
      <c r="S6425" t="inlineStr">
        <is>
          <t>undefined</t>
        </is>
      </c>
      <c r="T6425" t="inlineStr">
        <is>
          <t>5286740426920</t>
        </is>
      </c>
    </row>
    <row r="6426" ht="87" customHeight="1">
      <c r="A6426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6426" s="2">
        <f>HYPERLINK("https://edmondsonsupply.com/products/klein-tools-vdv427-300-impact-punchdown-tool-66-110-blade", "https://edmondsonsupply.com/products/klein-tools-vdv427-300-impact-punchdown-tool-66-110-blade")</f>
        <v/>
      </c>
      <c r="C6426" t="inlineStr">
        <is>
          <t>Klein Tools VDV427-300 Impact Punchdown Tool, 66/110 Blade</t>
        </is>
      </c>
      <c r="D6426" t="inlineStr">
        <is>
          <t>Klein Tools VDV427-300 Impact Punchdown Tool with 66/110 Blade, Reliable CAT Cable Connections, Adjustable Force, Includes Pick and Spudger</t>
        </is>
      </c>
      <c r="E6426" s="2">
        <f>HYPERLINK("https://www.amazon.com/Klein-Tools-KLEBE-VDV427-300-Punchdown/dp/B08J2DN6HC/ref=sr_1_1?keywords=Klein+Tools+VDV427-300+Impact+Punchdown+Tool%2C+66%2F110+Blade&amp;qid=1694735168&amp;sr=8-1", "https://www.amazon.com/Klein-Tools-KLEBE-VDV427-300-Punchdown/dp/B08J2DN6HC/ref=sr_1_1?keywords=Klein+Tools+VDV427-300+Impact+Punchdown+Tool%2C+66%2F110+Blade&amp;qid=1694735168&amp;sr=8-1")</f>
        <v/>
      </c>
      <c r="F6426" t="inlineStr">
        <is>
          <t>B08J2DN6HC</t>
        </is>
      </c>
      <c r="G6426">
        <f>_xlfn.IMAGE("https://edmondsonsupply.com/cdn/shop/products/vdv427300.jpg?v=1646010568")</f>
        <v/>
      </c>
      <c r="H6426">
        <f>_xlfn.IMAGE("https://m.media-amazon.com/images/I/51Cdx8nwReL._AC_UL320_.jpg")</f>
        <v/>
      </c>
      <c r="K6426" t="inlineStr">
        <is>
          <t>39.97</t>
        </is>
      </c>
      <c r="L6426" t="n">
        <v>37.41</v>
      </c>
      <c r="M6426" s="1" t="inlineStr">
        <is>
          <t>-6.40%</t>
        </is>
      </c>
      <c r="N6426" s="7" t="n"/>
      <c r="O6426" t="n">
        <v>4.8</v>
      </c>
      <c r="P6426" t="n">
        <v>840</v>
      </c>
      <c r="R6426" t="inlineStr">
        <is>
          <t>InStock</t>
        </is>
      </c>
      <c r="S6426" t="inlineStr">
        <is>
          <t>55.98</t>
        </is>
      </c>
      <c r="T6426" t="inlineStr">
        <is>
          <t>7620069818584</t>
        </is>
      </c>
    </row>
    <row r="6427" hidden="1" ht="15.75" customHeight="1">
      <c r="A6427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6427" s="2">
        <f>HYPERLINK("https://edmondsonsupply.com/products/diablo-tools-dag3090-7-8-in-x-17-1-2-in-auger-bit", "https://edmondsonsupply.com/products/diablo-tools-dag3090-7-8-in-x-17-1-2-in-auger-bit")</f>
        <v/>
      </c>
      <c r="C6427" t="inlineStr">
        <is>
          <t>Diablo Tools DAG3090 7/8 in. x 17-1/2 in. Auger Bit</t>
        </is>
      </c>
      <c r="D6427" t="inlineStr">
        <is>
          <t>Diablo 11/16 in. x 17-1/2 in. Auger Bit</t>
        </is>
      </c>
      <c r="E6427" s="2">
        <f>HYPERLINK("https://www.amazon.com/Diablo-11-17-1-Auger-Bit/dp/B089LKXB3Q/ref=sr_1_11?keywords=Diablo+Tools+DAG3090+7%2F8+in.+x+17-1%2F2+in.+Auger+Bit&amp;qid=1694735031&amp;sr=8-11", "https://www.amazon.com/Diablo-11-17-1-Auger-Bit/dp/B089LKXB3Q/ref=sr_1_11?keywords=Diablo+Tools+DAG3090+7%2F8+in.+x+17-1%2F2+in.+Auger+Bit&amp;qid=1694735031&amp;sr=8-11")</f>
        <v/>
      </c>
      <c r="F6427" t="inlineStr">
        <is>
          <t>B089LKXB3Q</t>
        </is>
      </c>
      <c r="G6427">
        <f>_xludf.IMAGE("https://edmondsonsupply.com/cdn/shop/products/aorgtpkivjubhtbiiau0.webp?v=1677256849")</f>
        <v/>
      </c>
      <c r="H6427">
        <f>_xludf.IMAGE("https://m.media-amazon.com/images/I/611ED+F4CpL._AC_UL320_.jpg")</f>
        <v/>
      </c>
      <c r="K6427" t="inlineStr">
        <is>
          <t>22.99</t>
        </is>
      </c>
      <c r="L6427" t="n">
        <v>21.5</v>
      </c>
      <c r="M6427" s="1" t="inlineStr">
        <is>
          <t>-6.48%</t>
        </is>
      </c>
      <c r="N6427" s="1" t="n"/>
      <c r="O6427" t="n">
        <v>3.8</v>
      </c>
      <c r="P6427" t="n">
        <v>6</v>
      </c>
      <c r="R6427" t="inlineStr">
        <is>
          <t>InStock</t>
        </is>
      </c>
      <c r="S6427" t="inlineStr">
        <is>
          <t>36.28</t>
        </is>
      </c>
      <c r="T6427" t="inlineStr">
        <is>
          <t>7950782136536</t>
        </is>
      </c>
    </row>
    <row r="6428" ht="87" customHeight="1">
      <c r="A6428" s="2">
        <f>HYPERLINK("https://edmondsonsupply.com/collections/electricians-tools/products/fluke-325-true-rms-clamp-meter", "https://edmondsonsupply.com/collections/electricians-tools/products/fluke-325-true-rms-clamp-meter")</f>
        <v/>
      </c>
      <c r="B6428" s="2">
        <f>HYPERLINK("https://edmondsonsupply.com/products/fluke-325-true-rms-clamp-meter", "https://edmondsonsupply.com/products/fluke-325-true-rms-clamp-meter")</f>
        <v/>
      </c>
      <c r="C6428" t="inlineStr">
        <is>
          <t>Fluke 325 True RMS Clamp Meter</t>
        </is>
      </c>
      <c r="D6428" t="inlineStr">
        <is>
          <t>ITSPWR Bundle containing Fluke 325 TRMS Clamp Multimeter, for Commercial and Residential Electricians, and ITSPWR High-Density Fiber Cleaning Cloth</t>
        </is>
      </c>
      <c r="E6428" s="2">
        <f>HYPERLINK("https://www.amazon.com/ITSPWR-containing-Residential-Electricians-High-Density/dp/B0C49MYVDZ/ref=sr_1_6?keywords=Fluke+325+True+RMS+Clamp+Meter&amp;qid=1694735185&amp;sr=8-6", "https://www.amazon.com/ITSPWR-containing-Residential-Electricians-High-Density/dp/B0C49MYVDZ/ref=sr_1_6?keywords=Fluke+325+True+RMS+Clamp+Meter&amp;qid=1694735185&amp;sr=8-6")</f>
        <v/>
      </c>
      <c r="F6428" t="inlineStr">
        <is>
          <t>B0C49MYVDZ</t>
        </is>
      </c>
      <c r="G6428">
        <f>_xlfn.IMAGE("https://edmondsonsupply.com/cdn/shop/products/Fluke_325_clamp_meter_1280x873px_E_NR-14655.jpg?v=1688679209")</f>
        <v/>
      </c>
      <c r="H6428">
        <f>_xlfn.IMAGE("https://m.media-amazon.com/images/I/81D4lWc2YmL._AC_UY218_.jpg")</f>
        <v/>
      </c>
      <c r="K6428" t="inlineStr">
        <is>
          <t>373.49</t>
        </is>
      </c>
      <c r="L6428" t="n">
        <v>349</v>
      </c>
      <c r="M6428" s="1" t="inlineStr">
        <is>
          <t>-6.56%</t>
        </is>
      </c>
      <c r="N6428" s="7" t="n"/>
      <c r="O6428" t="n">
        <v>5</v>
      </c>
      <c r="P6428" t="n">
        <v>1</v>
      </c>
      <c r="R6428" t="inlineStr">
        <is>
          <t>InStock</t>
        </is>
      </c>
      <c r="S6428" t="inlineStr">
        <is>
          <t>414.99</t>
        </is>
      </c>
      <c r="T6428" t="inlineStr">
        <is>
          <t>6917985468589</t>
        </is>
      </c>
    </row>
    <row r="6429" ht="87" customHeight="1">
      <c r="A6429" s="2">
        <f>HYPERLINK("https://edmondsonsupply.com/collections/electricians-tools/products/fluke-325-true-rms-clamp-meter", "https://edmondsonsupply.com/collections/electricians-tools/products/fluke-325-true-rms-clamp-meter")</f>
        <v/>
      </c>
      <c r="B6429" s="2">
        <f>HYPERLINK("https://edmondsonsupply.com/products/fluke-325-true-rms-clamp-meter", "https://edmondsonsupply.com/products/fluke-325-true-rms-clamp-meter")</f>
        <v/>
      </c>
      <c r="C6429" t="inlineStr">
        <is>
          <t>Fluke 325 True RMS Clamp Meter</t>
        </is>
      </c>
      <c r="D6429" t="inlineStr">
        <is>
          <t>ITSPWR Bundle containing Fluke 325 TRMS Clamp Multimeter, for Commercial and Residential Electricians, and ITSPWR High-Density Fiber Cleaning Cloth</t>
        </is>
      </c>
      <c r="E6429" s="2" t="n"/>
      <c r="F6429" t="inlineStr">
        <is>
          <t>B0C49MYVDZ</t>
        </is>
      </c>
      <c r="G6429">
        <f>_xlfn.IMAGE("https://edmondsonsupply.com/cdn/shop/products/Fluke_325_clamp_meter_1280x873px_E_NR-14655.jpg?v=1688679209")</f>
        <v/>
      </c>
      <c r="H6429">
        <f>_xlfn.IMAGE("https://m.media-amazon.com/images/I/81D4lWc2YmL._AC_UY218_.jpg")</f>
        <v/>
      </c>
      <c r="K6429" t="inlineStr">
        <is>
          <t>373.49</t>
        </is>
      </c>
      <c r="L6429" t="n">
        <v>349</v>
      </c>
      <c r="M6429" s="1" t="inlineStr">
        <is>
          <t>-6.56%</t>
        </is>
      </c>
      <c r="N6429" s="7" t="n"/>
      <c r="O6429" t="n">
        <v>5</v>
      </c>
      <c r="P6429" t="n">
        <v>1</v>
      </c>
      <c r="R6429" t="inlineStr">
        <is>
          <t>InStock</t>
        </is>
      </c>
      <c r="S6429" t="inlineStr">
        <is>
          <t>414.99</t>
        </is>
      </c>
      <c r="T6429" t="inlineStr">
        <is>
          <t>6917985468589</t>
        </is>
      </c>
    </row>
    <row r="6430" hidden="1" ht="15.75" customHeight="1">
      <c r="A6430" s="2">
        <f>HYPERLINK("https://edmondsonsupply.com/collections/electricians-tools/products/diablo-tools-dsp2130-p2-1-in-x-6-in-spade-bit", "https://edmondsonsupply.com/collections/electricians-tools/products/diablo-tools-dsp2130-p2-1-in-x-6-in-spade-bit")</f>
        <v/>
      </c>
      <c r="B6430" s="2">
        <f>HYPERLINK("https://edmondsonsupply.com/products/diablo-tools-dsp2130-p2-1-in-x-6-in-spade-bit", "https://edmondsonsupply.com/products/diablo-tools-dsp2130-p2-1-in-x-6-in-spade-bit")</f>
        <v/>
      </c>
      <c r="C6430" t="inlineStr">
        <is>
          <t>Diablo Tools DSP2130-P2 1 in. x 6 in. Spade Bit</t>
        </is>
      </c>
      <c r="D6430" t="inlineStr">
        <is>
          <t>Diablo 1 in. x 6 in. SPEEDemon Spade Bit</t>
        </is>
      </c>
      <c r="E6430" s="2">
        <f>HYPERLINK("https://www.amazon.com/Diablo-SPEEDemon-Spade-Bit/dp/B089LDP1TD/ref=sr_1_27?keywords=Diablo+Tools+DSP2130-P2+1+in.+x+6+in.+Spade+Bit&amp;qid=1694735066&amp;sr=8-27", "https://www.amazon.com/Diablo-SPEEDemon-Spade-Bit/dp/B089LDP1TD/ref=sr_1_27?keywords=Diablo+Tools+DSP2130-P2+1+in.+x+6+in.+Spade+Bit&amp;qid=1694735066&amp;sr=8-27")</f>
        <v/>
      </c>
      <c r="F6430" t="inlineStr">
        <is>
          <t>B089LDP1TD</t>
        </is>
      </c>
      <c r="G6430">
        <f>_xludf.IMAGE("https://edmondsonsupply.com/cdn/shop/products/peyjwqlntvnioikkr5be.webp?v=1670515689")</f>
        <v/>
      </c>
      <c r="H6430">
        <f>_xludf.IMAGE("https://m.media-amazon.com/images/I/61wXjms-mZL._AC_UL320_.jpg")</f>
        <v/>
      </c>
      <c r="K6430" t="inlineStr">
        <is>
          <t>6.39</t>
        </is>
      </c>
      <c r="L6430" t="n">
        <v>5.97</v>
      </c>
      <c r="M6430" s="1" t="inlineStr">
        <is>
          <t>-6.57%</t>
        </is>
      </c>
      <c r="N6430" s="1" t="n"/>
      <c r="O6430" t="n">
        <v>4.4</v>
      </c>
      <c r="P6430" t="n">
        <v>34</v>
      </c>
      <c r="R6430" t="inlineStr">
        <is>
          <t>InStock</t>
        </is>
      </c>
      <c r="S6430" t="inlineStr">
        <is>
          <t>undefined</t>
        </is>
      </c>
      <c r="T6430" t="inlineStr">
        <is>
          <t>7901272047832</t>
        </is>
      </c>
    </row>
    <row r="6431" ht="87" customHeight="1">
      <c r="A6431" s="2">
        <f>HYPERLINK("https://edmondsonsupply.com/collections/electricians-tools/products/diablo-tools-dou275rcgp-2-3-4-in-universal-fit-carbide-oscillating-blade-for-general-purpose-cuts", "https://edmondsonsupply.com/collections/electricians-tools/products/diablo-tools-dou275rcgp-2-3-4-in-universal-fit-carbide-oscillating-blade-for-general-purpose-cuts")</f>
        <v/>
      </c>
      <c r="B6431" s="2">
        <f>HYPERLINK("https://edmondsonsupply.com/products/diablo-tools-dou275rcgp-2-3-4-in-universal-fit-carbide-oscillating-blade-for-general-purpose-cuts", "https://edmondsonsupply.com/products/diablo-tools-dou275rcgp-2-3-4-in-universal-fit-carbide-oscillating-blade-for-general-purpose-cuts")</f>
        <v/>
      </c>
      <c r="C6431" t="inlineStr">
        <is>
          <t>Diablo Tools DOU275RCGP 2-3/4 in. Universal Fit Carbide Oscillating Blade for General Purpose Cuts</t>
        </is>
      </c>
      <c r="D6431" t="inlineStr">
        <is>
          <t>Diablo 1-1/4" Universal Carbide Oscillating Blades for General Purpose Cuts 3pk</t>
        </is>
      </c>
      <c r="E6431" s="2">
        <f>HYPERLINK("https://www.amazon.com/Diablo-Freud-DOU125CGP3-Universal-Oscillating/dp/B089KW6C8Q/ref=sr_1_3?keywords=Diablo+Tools+DOU275RCGP+2-3%2F4+in.+Universal+Fit+Carbide+Oscillating+Blade+for+General+Purpose+Cuts&amp;qid=1694734993&amp;sr=8-3", "https://www.amazon.com/Diablo-Freud-DOU125CGP3-Universal-Oscillating/dp/B089KW6C8Q/ref=sr_1_3?keywords=Diablo+Tools+DOU275RCGP+2-3%2F4+in.+Universal+Fit+Carbide+Oscillating+Blade+for+General+Purpose+Cuts&amp;qid=1694734993&amp;sr=8-3")</f>
        <v/>
      </c>
      <c r="F6431" t="inlineStr">
        <is>
          <t>B089KW6C8Q</t>
        </is>
      </c>
      <c r="G6431">
        <f>_xlfn.IMAGE("https://edmondsonsupply.com/cdn/shop/files/kukkli8nylq54bgtz0o5.webp?v=1685720266")</f>
        <v/>
      </c>
      <c r="H6431">
        <f>_xlfn.IMAGE("https://m.media-amazon.com/images/I/71lNEMXVnHL._AC_UL320_.jpg")</f>
        <v/>
      </c>
      <c r="K6431" t="inlineStr">
        <is>
          <t>29.97</t>
        </is>
      </c>
      <c r="L6431" t="n">
        <v>27.99</v>
      </c>
      <c r="M6431" s="1" t="inlineStr">
        <is>
          <t>-6.61%</t>
        </is>
      </c>
      <c r="N6431" s="7" t="n"/>
      <c r="O6431" t="n">
        <v>4.5</v>
      </c>
      <c r="P6431" t="n">
        <v>139</v>
      </c>
      <c r="R6431" t="inlineStr">
        <is>
          <t>InStock</t>
        </is>
      </c>
      <c r="S6431" t="inlineStr">
        <is>
          <t>37.28</t>
        </is>
      </c>
      <c r="T6431" t="inlineStr">
        <is>
          <t>7999583125720</t>
        </is>
      </c>
    </row>
    <row r="6432" ht="87" customHeight="1">
      <c r="A6432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6432" s="2">
        <f>HYPERLINK("https://edmondsonsupply.com/products/diablo-tools-dag3090-7-8-in-x-17-1-2-in-auger-bit", "https://edmondsonsupply.com/products/diablo-tools-dag3090-7-8-in-x-17-1-2-in-auger-bit")</f>
        <v/>
      </c>
      <c r="C6432" t="inlineStr">
        <is>
          <t>Diablo Tools DAG3090 7/8 in. x 17-1/2 in. Auger Bit</t>
        </is>
      </c>
      <c r="D6432" t="inlineStr">
        <is>
          <t>Diablo 1-1/8 in. x 7-1/2 in. Auger Bit</t>
        </is>
      </c>
      <c r="E6432" s="2">
        <f>HYPERLINK("https://www.amazon.com/Diablo-Freud-DAG1140-1-1-Auger/dp/B089LK4BYB/ref=sr_1_33?keywords=Diablo+Tools+DAG3090+7%2F8+in.+x+17-1%2F2+in.+Auger+Bit&amp;qid=1694735031&amp;sr=8-33", "https://www.amazon.com/Diablo-Freud-DAG1140-1-1-Auger/dp/B089LK4BYB/ref=sr_1_33?keywords=Diablo+Tools+DAG3090+7%2F8+in.+x+17-1%2F2+in.+Auger+Bit&amp;qid=1694735031&amp;sr=8-33")</f>
        <v/>
      </c>
      <c r="F6432" t="inlineStr">
        <is>
          <t>B089LK4BYB</t>
        </is>
      </c>
      <c r="G6432">
        <f>_xlfn.IMAGE("https://edmondsonsupply.com/cdn/shop/products/aorgtpkivjubhtbiiau0.webp?v=1677256849")</f>
        <v/>
      </c>
      <c r="H6432">
        <f>_xlfn.IMAGE("https://m.media-amazon.com/images/I/71oBAD0fx0L._AC_UL320_.jpg")</f>
        <v/>
      </c>
      <c r="K6432" t="inlineStr">
        <is>
          <t>22.99</t>
        </is>
      </c>
      <c r="L6432" t="n">
        <v>21.47</v>
      </c>
      <c r="M6432" s="1" t="inlineStr">
        <is>
          <t>-6.61%</t>
        </is>
      </c>
      <c r="N6432" s="7" t="n"/>
      <c r="O6432" t="n">
        <v>4.2</v>
      </c>
      <c r="P6432" t="n">
        <v>10</v>
      </c>
      <c r="R6432" t="inlineStr">
        <is>
          <t>InStock</t>
        </is>
      </c>
      <c r="S6432" t="inlineStr">
        <is>
          <t>36.28</t>
        </is>
      </c>
      <c r="T6432" t="inlineStr">
        <is>
          <t>7950782136536</t>
        </is>
      </c>
    </row>
    <row r="6433" ht="87" customHeight="1">
      <c r="A6433" s="2">
        <f>HYPERLINK("https://edmondsonsupply.com/collections/electricians-tools/products/klein-tools-vdv026-211-coax-cable-installation-kit-with-zipper-pouch", "https://edmondsonsupply.com/collections/electricians-tools/products/klein-tools-vdv026-211-coax-cable-installation-kit-with-zipper-pouch")</f>
        <v/>
      </c>
      <c r="B6433" s="2">
        <f>HYPERLINK("https://edmondsonsupply.com/products/klein-tools-vdv026-211-coax-cable-installation-kit-with-zipper-pouch", "https://edmondsonsupply.com/products/klein-tools-vdv026-211-coax-cable-installation-kit-with-zipper-pouch")</f>
        <v/>
      </c>
      <c r="C6433" t="inlineStr">
        <is>
          <t>Klein Tools VDV026-211 Coax Cable Installation Kit with Zipper Pouch</t>
        </is>
      </c>
      <c r="D6433" t="inlineStr">
        <is>
          <t>Klein Tools VDV026-212 Coax Installation Kit with Crimp Tool, Cable Cutter, Stripper and F connectors with Storage Bag</t>
        </is>
      </c>
      <c r="E6433" s="2">
        <f>HYPERLINK("https://www.amazon.com/Installation-Punchdown-Klein-Tools-VDV026-212/dp/B07C571X1P/ref=sr_1_2?keywords=Klein+Tools+VDV026-211+Coax+Cable+Installation+Kit+with+Zipper+Pouch&amp;qid=1694735392&amp;sr=8-2", "https://www.amazon.com/Installation-Punchdown-Klein-Tools-VDV026-212/dp/B07C571X1P/ref=sr_1_2?keywords=Klein+Tools+VDV026-211+Coax+Cable+Installation+Kit+with+Zipper+Pouch&amp;qid=1694735392&amp;sr=8-2")</f>
        <v/>
      </c>
      <c r="F6433" t="inlineStr">
        <is>
          <t>B07C571X1P</t>
        </is>
      </c>
      <c r="G6433">
        <f>_xlfn.IMAGE("https://edmondsonsupply.com/cdn/shop/products/vdv026211.jpg?v=1587143022")</f>
        <v/>
      </c>
      <c r="H6433">
        <f>_xlfn.IMAGE("https://m.media-amazon.com/images/I/613hZMo0zZL._AC_UL320_.jpg")</f>
        <v/>
      </c>
      <c r="K6433" t="inlineStr">
        <is>
          <t>49.97</t>
        </is>
      </c>
      <c r="L6433" t="n">
        <v>46.65</v>
      </c>
      <c r="M6433" s="1" t="inlineStr">
        <is>
          <t>-6.64%</t>
        </is>
      </c>
      <c r="N6433" s="7" t="n"/>
      <c r="O6433" t="n">
        <v>4.7</v>
      </c>
      <c r="P6433" t="n">
        <v>699</v>
      </c>
      <c r="R6433" t="inlineStr">
        <is>
          <t>InStock</t>
        </is>
      </c>
      <c r="S6433" t="inlineStr">
        <is>
          <t>63.0</t>
        </is>
      </c>
      <c r="T6433" t="inlineStr">
        <is>
          <t>4397205946468</t>
        </is>
      </c>
    </row>
    <row r="6434" ht="87" customHeight="1">
      <c r="A6434" s="2">
        <f>HYPERLINK("https://edmondsonsupply.com/collections/electricians-tools/products/fieldpiece-adk7-deluxe-silicone-test-lead-kit", "https://edmondsonsupply.com/collections/electricians-tools/products/fieldpiece-adk7-deluxe-silicone-test-lead-kit")</f>
        <v/>
      </c>
      <c r="B6434" s="2">
        <f>HYPERLINK("https://edmondsonsupply.com/products/fieldpiece-adk7-deluxe-silicone-test-lead-kit", "https://edmondsonsupply.com/products/fieldpiece-adk7-deluxe-silicone-test-lead-kit")</f>
        <v/>
      </c>
      <c r="C6434" t="inlineStr">
        <is>
          <t>Fieldpiece ADK7 Deluxe Silicone Test Lead Kit</t>
        </is>
      </c>
      <c r="D6434" t="inlineStr">
        <is>
          <t>Fieldpiece ADK7 Deluxe Silicone Test Lead Kit</t>
        </is>
      </c>
      <c r="E6434" s="2">
        <f>HYPERLINK("https://www.amazon.com/Fieldpiece-ADK7-Deluxe-Silicone-Test/dp/B0013NH6SM/ref=sr_1_3?keywords=Fieldpiece+ADK7+Deluxe+Silicone+Test+Lead+Kit&amp;qid=1694735206&amp;sr=8-3", "https://www.amazon.com/Fieldpiece-ADK7-Deluxe-Silicone-Test/dp/B0013NH6SM/ref=sr_1_3?keywords=Fieldpiece+ADK7+Deluxe+Silicone+Test+Lead+Kit&amp;qid=1694735206&amp;sr=8-3")</f>
        <v/>
      </c>
      <c r="F6434" t="inlineStr">
        <is>
          <t>B0013NH6SM</t>
        </is>
      </c>
      <c r="G6434">
        <f>_xlfn.IMAGE("https://edmondsonsupply.com/cdn/shop/products/adk7.png?v=1633031044")</f>
        <v/>
      </c>
      <c r="H6434">
        <f>_xlfn.IMAGE("https://m.media-amazon.com/images/I/71v1bksaBZL._AC_UY218_.jpg")</f>
        <v/>
      </c>
      <c r="K6434" t="inlineStr">
        <is>
          <t>39.1</t>
        </is>
      </c>
      <c r="L6434" t="n">
        <v>36.5</v>
      </c>
      <c r="M6434" s="1" t="inlineStr">
        <is>
          <t>-6.65%</t>
        </is>
      </c>
      <c r="N6434" s="7" t="n"/>
      <c r="O6434" t="n">
        <v>4.7</v>
      </c>
      <c r="P6434" t="n">
        <v>434</v>
      </c>
      <c r="R6434" t="inlineStr">
        <is>
          <t>InStock</t>
        </is>
      </c>
      <c r="S6434" t="inlineStr">
        <is>
          <t>46.0</t>
        </is>
      </c>
      <c r="T6434" t="inlineStr">
        <is>
          <t>6759850377389</t>
        </is>
      </c>
    </row>
    <row r="6435" ht="87" customHeight="1">
      <c r="A6435" s="2">
        <f>HYPERLINK("https://edmondsonsupply.com/collections/electricians-tools/products/klein-tools-56350-fiberglass-fish-tape-with-spiral-steel-leader-50-foot", "https://edmondsonsupply.com/collections/electricians-tools/products/klein-tools-56350-fiberglass-fish-tape-with-spiral-steel-leader-50-foot")</f>
        <v/>
      </c>
      <c r="B6435" s="2">
        <f>HYPERLINK("https://edmondsonsupply.com/products/klein-tools-56350-fiberglass-fish-tape-with-spiral-steel-leader-50-foot", "https://edmondsonsupply.com/products/klein-tools-56350-fiberglass-fish-tape-with-spiral-steel-leader-50-foot")</f>
        <v/>
      </c>
      <c r="C6435" t="inlineStr">
        <is>
          <t>Klein Tools 56350 Fiberglass Fish Tape with Spiral Steel Leader, 50-Foot</t>
        </is>
      </c>
      <c r="D6435" t="inlineStr">
        <is>
          <t>Klein Tools 56380 Non-Conductive Electrical Fish Tape, Multi-Groove Fiberglass Wire Puller with Steel Leader, 100-Foot x 3/16-Inch,Orange/Black</t>
        </is>
      </c>
      <c r="E6435" s="2">
        <f>HYPERLINK("https://www.amazon.com/Klein-Tools-56380-Multi-Groove-Fiberglass/dp/B0822229DW/ref=sr_1_2?keywords=Klein+Tools+56350+Fiberglass+Fish+Tape+with+Spiral+Steel+Leader%2C+50-Foot&amp;qid=1694735382&amp;sr=8-2", "https://www.amazon.com/Klein-Tools-56380-Multi-Groove-Fiberglass/dp/B0822229DW/ref=sr_1_2?keywords=Klein+Tools+56350+Fiberglass+Fish+Tape+with+Spiral+Steel+Leader%2C+50-Foot&amp;qid=1694735382&amp;sr=8-2")</f>
        <v/>
      </c>
      <c r="F6435" t="inlineStr">
        <is>
          <t>B0822229DW</t>
        </is>
      </c>
      <c r="G6435">
        <f>_xlfn.IMAGE("https://edmondsonsupply.com/cdn/shop/products/56350.jpg?v=1587147765")</f>
        <v/>
      </c>
      <c r="H6435">
        <f>_xlfn.IMAGE("https://m.media-amazon.com/images/I/51m05Po5U+L._AC_UL320_.jpg")</f>
        <v/>
      </c>
      <c r="K6435" t="inlineStr">
        <is>
          <t>149.99</t>
        </is>
      </c>
      <c r="L6435" t="n">
        <v>139.99</v>
      </c>
      <c r="M6435" s="1" t="inlineStr">
        <is>
          <t>-6.67%</t>
        </is>
      </c>
      <c r="N6435" s="7" t="n"/>
      <c r="O6435" t="n">
        <v>4.7</v>
      </c>
      <c r="P6435" t="n">
        <v>86</v>
      </c>
      <c r="R6435" t="inlineStr">
        <is>
          <t>InStock</t>
        </is>
      </c>
      <c r="S6435" t="inlineStr">
        <is>
          <t>211.76</t>
        </is>
      </c>
      <c r="T6435" t="inlineStr">
        <is>
          <t>4412217983076</t>
        </is>
      </c>
    </row>
    <row r="6436" hidden="1" ht="15.75" customHeight="1">
      <c r="A6436" s="2">
        <f>HYPERLINK("https://edmondsonsupply.com/collections/electricians-tools/products/klein-tools-56115-fiberglass-fish-tape-repair-kit", "https://edmondsonsupply.com/collections/electricians-tools/products/klein-tools-56115-fiberglass-fish-tape-repair-kit")</f>
        <v/>
      </c>
      <c r="B6436" s="2">
        <f>HYPERLINK("https://edmondsonsupply.com/products/klein-tools-56115-fiberglass-fish-tape-repair-kit", "https://edmondsonsupply.com/products/klein-tools-56115-fiberglass-fish-tape-repair-kit")</f>
        <v/>
      </c>
      <c r="C6436" t="inlineStr">
        <is>
          <t>Klein Tools 56115 Fiberglass Fish Tape Repair Kit</t>
        </is>
      </c>
      <c r="D6436" t="inlineStr">
        <is>
          <t>Klein Tools 56115 Fiberglass Fish Tape Repair Kit Black</t>
        </is>
      </c>
      <c r="E6436" s="2">
        <f>HYPERLINK("https://www.amazon.com/Fiberglass-Repair-Klein-Tools-56115/dp/B0061J53S8/ref=sr_1_1?keywords=Klein+Tools+56115+Fiberglass+Fish+Tape+Repair+Kit&amp;qid=1694735098&amp;sr=8-1", "https://www.amazon.com/Fiberglass-Repair-Klein-Tools-56115/dp/B0061J53S8/ref=sr_1_1?keywords=Klein+Tools+56115+Fiberglass+Fish+Tape+Repair+Kit&amp;qid=1694735098&amp;sr=8-1")</f>
        <v/>
      </c>
      <c r="F6436" t="inlineStr">
        <is>
          <t>B0061J53S8</t>
        </is>
      </c>
      <c r="G6436">
        <f>_xludf.IMAGE("https://edmondsonsupply.com/cdn/shop/products/56115.jpg?v=1666107209")</f>
        <v/>
      </c>
      <c r="H6436">
        <f>_xludf.IMAGE("https://m.media-amazon.com/images/I/61mAtTm8KZL._AC_UL320_.jpg")</f>
        <v/>
      </c>
      <c r="K6436" t="inlineStr">
        <is>
          <t>149.99</t>
        </is>
      </c>
      <c r="L6436" t="n">
        <v>139.99</v>
      </c>
      <c r="M6436" s="1" t="inlineStr">
        <is>
          <t>-6.67%</t>
        </is>
      </c>
      <c r="N6436" s="1" t="n"/>
      <c r="O6436" t="n">
        <v>3.9</v>
      </c>
      <c r="P6436" t="n">
        <v>27</v>
      </c>
      <c r="R6436" t="inlineStr">
        <is>
          <t>InStock</t>
        </is>
      </c>
      <c r="S6436" t="inlineStr">
        <is>
          <t>227.26</t>
        </is>
      </c>
      <c r="T6436" t="inlineStr">
        <is>
          <t>7857427185880</t>
        </is>
      </c>
    </row>
    <row r="6437" hidden="1" ht="15.75" customHeight="1">
      <c r="A6437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6437" s="2">
        <f>HYPERLINK("https://edmondsonsupply.com/products/klein-tools-31948-bi-metal-hole-saw-3-inch", "https://edmondsonsupply.com/products/klein-tools-31948-bi-metal-hole-saw-3-inch")</f>
        <v/>
      </c>
      <c r="C6437" t="inlineStr">
        <is>
          <t>Klein Tools 31948 Bi-Metal Hole Saw, 3-Inch</t>
        </is>
      </c>
      <c r="D6437" t="inlineStr">
        <is>
          <t>Klein Tools 31948 3-Inch Bi-Metal Hole Saw for Steel Cutting, Heavy-Duty Hole Saw with Multiple Leverage, Cuts Iron, Aluminum, Wood, Plastic</t>
        </is>
      </c>
      <c r="E6437" s="2">
        <f>HYPERLINK("https://www.amazon.com/Bi-Metal-3-Inch-Klein-Tools-31948/dp/B0198751L8/ref=sr_1_1?keywords=Klein+Tools+31948+Bi-Metal+Hole+Saw%2C+3-Inch&amp;qid=1694735118&amp;sr=8-1", "https://www.amazon.com/Bi-Metal-3-Inch-Klein-Tools-31948/dp/B0198751L8/ref=sr_1_1?keywords=Klein+Tools+31948+Bi-Metal+Hole+Saw%2C+3-Inch&amp;qid=1694735118&amp;sr=8-1")</f>
        <v/>
      </c>
      <c r="F6437" t="inlineStr">
        <is>
          <t>B0198751L8</t>
        </is>
      </c>
      <c r="G6437">
        <f>_xludf.IMAGE("https://edmondsonsupply.com/cdn/shop/products/31948.jpg?v=1663945105")</f>
        <v/>
      </c>
      <c r="H6437">
        <f>_xludf.IMAGE("https://m.media-amazon.com/images/I/41htaCI9OJL._AC_UL320_.jpg")</f>
        <v/>
      </c>
      <c r="K6437" t="inlineStr">
        <is>
          <t>14.99</t>
        </is>
      </c>
      <c r="L6437" t="n">
        <v>13.99</v>
      </c>
      <c r="M6437" s="1" t="inlineStr">
        <is>
          <t>-6.67%</t>
        </is>
      </c>
      <c r="N6437" s="1" t="n"/>
      <c r="O6437" t="n">
        <v>4.6</v>
      </c>
      <c r="P6437" t="n">
        <v>406</v>
      </c>
      <c r="R6437" t="inlineStr">
        <is>
          <t>InStock</t>
        </is>
      </c>
      <c r="S6437" t="inlineStr">
        <is>
          <t>19.62</t>
        </is>
      </c>
      <c r="T6437" t="inlineStr">
        <is>
          <t>7827277185240</t>
        </is>
      </c>
    </row>
    <row r="6438" hidden="1" ht="15.75" customHeight="1">
      <c r="A6438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438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438" t="inlineStr">
        <is>
          <t>Klein Tools 6926INS Slim-Tip 1000V Insulated Screwdriver, 1/4-Inch Cabinet, 6-Inch</t>
        </is>
      </c>
      <c r="D6438" t="inlineStr">
        <is>
          <t>Klein Tools 6944INS Insulated Screwdriver, 1000V Slim Profile Tip, #2 Square with 4-Inch Shank, Cushion-Grip Handle</t>
        </is>
      </c>
      <c r="E6438" s="2">
        <f>HYPERLINK("https://www.amazon.com/Klein-Tools-6944INS-Screwdriver-Cushion-Grip/dp/B09GPYTZV3/ref=sr_1_11?keywords=Klein+Tools+6926INS+Slim-Tip+1000V+Insulated+Screwdriver%2C+1%2F4-Inch+Cabinet%2C+6-Inch&amp;qid=1694735143&amp;sr=8-11", "https://www.amazon.com/Klein-Tools-6944INS-Screwdriver-Cushion-Grip/dp/B09GPYTZV3/ref=sr_1_11?keywords=Klein+Tools+6926INS+Slim-Tip+1000V+Insulated+Screwdriver%2C+1%2F4-Inch+Cabinet%2C+6-Inch&amp;qid=1694735143&amp;sr=8-11")</f>
        <v/>
      </c>
      <c r="F6438" t="inlineStr">
        <is>
          <t>B09GPYTZV3</t>
        </is>
      </c>
      <c r="G6438">
        <f>_xludf.IMAGE("https://edmondsonsupply.com/cdn/shop/products/6926ins.jpg?v=1664803626")</f>
        <v/>
      </c>
      <c r="H6438">
        <f>_xludf.IMAGE("https://m.media-amazon.com/images/I/41PzygwLx+L._AC_UL320_.jpg")</f>
        <v/>
      </c>
      <c r="K6438" t="inlineStr">
        <is>
          <t>14.99</t>
        </is>
      </c>
      <c r="L6438" t="n">
        <v>13.99</v>
      </c>
      <c r="M6438" s="1" t="inlineStr">
        <is>
          <t>-6.67%</t>
        </is>
      </c>
      <c r="N6438" s="1" t="n"/>
      <c r="O6438" t="n">
        <v>4.7</v>
      </c>
      <c r="P6438" t="n">
        <v>93</v>
      </c>
      <c r="R6438" t="inlineStr">
        <is>
          <t>InStock</t>
        </is>
      </c>
      <c r="S6438" t="inlineStr">
        <is>
          <t>20.98</t>
        </is>
      </c>
      <c r="T6438" t="inlineStr">
        <is>
          <t>7837578625240</t>
        </is>
      </c>
    </row>
    <row r="6439" hidden="1" ht="15.75" customHeight="1">
      <c r="A6439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439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439" t="inlineStr">
        <is>
          <t>Klein Tools 6986INS Slim-Tip 1000V Insulated Screwdriver, #1 Square, 6-Inch Round Shank</t>
        </is>
      </c>
      <c r="D6439" t="inlineStr">
        <is>
          <t>Klein Tools 6944INS Insulated Screwdriver, 1000V Slim Profile Tip, #2 Square with 4-Inch Shank, Cushion-Grip Handle</t>
        </is>
      </c>
      <c r="E6439" s="2">
        <f>HYPERLINK("https://www.amazon.com/Klein-Tools-6944INS-Screwdriver-Cushion-Grip/dp/B09GPYTZV3/ref=sr_1_6?keywords=Klein+Tools+6986INS+Slim-Tip+1000V+Insulated+Screwdriver%2C+%231+Square%2C+6-Inch+Round+Shank&amp;qid=1694735117&amp;sr=8-6", "https://www.amazon.com/Klein-Tools-6944INS-Screwdriver-Cushion-Grip/dp/B09GPYTZV3/ref=sr_1_6?keywords=Klein+Tools+6986INS+Slim-Tip+1000V+Insulated+Screwdriver%2C+%231+Square%2C+6-Inch+Round+Shank&amp;qid=1694735117&amp;sr=8-6")</f>
        <v/>
      </c>
      <c r="F6439" t="inlineStr">
        <is>
          <t>B09GPYTZV3</t>
        </is>
      </c>
      <c r="G6439">
        <f>_xludf.IMAGE("https://edmondsonsupply.com/cdn/shop/products/6986ins.jpg?v=1664806830")</f>
        <v/>
      </c>
      <c r="H6439">
        <f>_xludf.IMAGE("https://m.media-amazon.com/images/I/41PzygwLx+L._AC_UL320_.jpg")</f>
        <v/>
      </c>
      <c r="K6439" t="inlineStr">
        <is>
          <t>14.99</t>
        </is>
      </c>
      <c r="L6439" t="n">
        <v>13.99</v>
      </c>
      <c r="M6439" s="1" t="inlineStr">
        <is>
          <t>-6.67%</t>
        </is>
      </c>
      <c r="N6439" s="1" t="n"/>
      <c r="O6439" t="n">
        <v>4.7</v>
      </c>
      <c r="P6439" t="n">
        <v>93</v>
      </c>
      <c r="R6439" t="inlineStr">
        <is>
          <t>InStock</t>
        </is>
      </c>
      <c r="S6439" t="inlineStr">
        <is>
          <t>20.98</t>
        </is>
      </c>
      <c r="T6439" t="inlineStr">
        <is>
          <t>7837634461912</t>
        </is>
      </c>
    </row>
    <row r="6440" hidden="1" ht="15.75" customHeight="1">
      <c r="A6440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440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440" t="inlineStr">
        <is>
          <t>Klein Tools 6946INS Slim-Tip 1000V Insulated Screwdriver, #2 Square, 6-Inch Round Shank</t>
        </is>
      </c>
      <c r="D6440" t="inlineStr">
        <is>
          <t>Klein Tools 6984INS Insulated Screwdriver, 1000V Slim Profile Tip, #1 Square with 4-Inch Shank, Cushion-Grip Handle</t>
        </is>
      </c>
      <c r="E6440" s="2">
        <f>HYPERLINK("https://www.amazon.com/Klein-Tools-6984INS-Screwdriver-Cushion-Grip/dp/B09GPZ5P2M/ref=sr_1_9?keywords=Klein+Tools+6946INS+Slim-Tip+1000V+Insulated+Screwdriver%2C+%232+Square%2C+6-Inch+Round+Shank&amp;qid=1694735275&amp;sr=8-9", "https://www.amazon.com/Klein-Tools-6984INS-Screwdriver-Cushion-Grip/dp/B09GPZ5P2M/ref=sr_1_9?keywords=Klein+Tools+6946INS+Slim-Tip+1000V+Insulated+Screwdriver%2C+%232+Square%2C+6-Inch+Round+Shank&amp;qid=1694735275&amp;sr=8-9")</f>
        <v/>
      </c>
      <c r="F6440" t="inlineStr">
        <is>
          <t>B09GPZ5P2M</t>
        </is>
      </c>
      <c r="G6440">
        <f>_xludf.IMAGE("https://edmondsonsupply.com/cdn/shop/products/6946ins.jpg?v=1633030561")</f>
        <v/>
      </c>
      <c r="H6440">
        <f>_xludf.IMAGE("https://m.media-amazon.com/images/I/41uj4ogsy3L._AC_UL320_.jpg")</f>
        <v/>
      </c>
      <c r="K6440" t="inlineStr">
        <is>
          <t>14.99</t>
        </is>
      </c>
      <c r="L6440" t="n">
        <v>13.99</v>
      </c>
      <c r="M6440" s="1" t="inlineStr">
        <is>
          <t>-6.67%</t>
        </is>
      </c>
      <c r="N6440" s="1" t="n"/>
      <c r="O6440" t="n">
        <v>4.8</v>
      </c>
      <c r="P6440" t="n">
        <v>107</v>
      </c>
      <c r="R6440" t="inlineStr">
        <is>
          <t>InStock</t>
        </is>
      </c>
      <c r="S6440" t="inlineStr">
        <is>
          <t>21.02</t>
        </is>
      </c>
      <c r="T6440" t="inlineStr">
        <is>
          <t>5439611502760</t>
        </is>
      </c>
    </row>
    <row r="6441" hidden="1" ht="15.75" customHeight="1">
      <c r="A6441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441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441" t="inlineStr">
        <is>
          <t>Klein Tools 6926INS Slim-Tip 1000V Insulated Screwdriver, 1/4-Inch Cabinet, 6-Inch</t>
        </is>
      </c>
      <c r="D6441" t="inlineStr">
        <is>
          <t>Klein Tools 6984INS Insulated Screwdriver, 1000V Slim Profile Tip, #1 Square with 4-Inch Shank, Cushion-Grip Handle</t>
        </is>
      </c>
      <c r="E6441" s="2">
        <f>HYPERLINK("https://www.amazon.com/Klein-Tools-6984INS-Screwdriver-Cushion-Grip/dp/B09GPZ5P2M/ref=sr_1_13?keywords=Klein+Tools+6926INS+Slim-Tip+1000V+Insulated+Screwdriver%2C+1%2F4-Inch+Cabinet%2C+6-Inch&amp;qid=1694735143&amp;sr=8-13", "https://www.amazon.com/Klein-Tools-6984INS-Screwdriver-Cushion-Grip/dp/B09GPZ5P2M/ref=sr_1_13?keywords=Klein+Tools+6926INS+Slim-Tip+1000V+Insulated+Screwdriver%2C+1%2F4-Inch+Cabinet%2C+6-Inch&amp;qid=1694735143&amp;sr=8-13")</f>
        <v/>
      </c>
      <c r="F6441" t="inlineStr">
        <is>
          <t>B09GPZ5P2M</t>
        </is>
      </c>
      <c r="G6441">
        <f>_xludf.IMAGE("https://edmondsonsupply.com/cdn/shop/products/6926ins.jpg?v=1664803626")</f>
        <v/>
      </c>
      <c r="H6441">
        <f>_xludf.IMAGE("https://m.media-amazon.com/images/I/41uj4ogsy3L._AC_UL320_.jpg")</f>
        <v/>
      </c>
      <c r="K6441" t="inlineStr">
        <is>
          <t>14.99</t>
        </is>
      </c>
      <c r="L6441" t="n">
        <v>13.99</v>
      </c>
      <c r="M6441" s="1" t="inlineStr">
        <is>
          <t>-6.67%</t>
        </is>
      </c>
      <c r="N6441" s="1" t="n"/>
      <c r="O6441" t="n">
        <v>4.8</v>
      </c>
      <c r="P6441" t="n">
        <v>107</v>
      </c>
      <c r="R6441" t="inlineStr">
        <is>
          <t>InStock</t>
        </is>
      </c>
      <c r="S6441" t="inlineStr">
        <is>
          <t>20.98</t>
        </is>
      </c>
      <c r="T6441" t="inlineStr">
        <is>
          <t>7837578625240</t>
        </is>
      </c>
    </row>
    <row r="6442" hidden="1" ht="15.75" customHeight="1">
      <c r="A6442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442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442" t="inlineStr">
        <is>
          <t>Klein Tools 6986INS Slim-Tip 1000V Insulated Screwdriver, #1 Square, 6-Inch Round Shank</t>
        </is>
      </c>
      <c r="D6442" t="inlineStr">
        <is>
          <t>Klein Tools 6984INS Insulated Screwdriver, 1000V Slim Profile Tip, #1 Square with 4-Inch Shank, Cushion-Grip Handle</t>
        </is>
      </c>
      <c r="E6442" s="2">
        <f>HYPERLINK("https://www.amazon.com/Klein-Tools-6984INS-Screwdriver-Cushion-Grip/dp/B09GPZ5P2M/ref=sr_1_3?keywords=Klein+Tools+6986INS+Slim-Tip+1000V+Insulated+Screwdriver%2C+%231+Square%2C+6-Inch+Round+Shank&amp;qid=1694735117&amp;sr=8-3", "https://www.amazon.com/Klein-Tools-6984INS-Screwdriver-Cushion-Grip/dp/B09GPZ5P2M/ref=sr_1_3?keywords=Klein+Tools+6986INS+Slim-Tip+1000V+Insulated+Screwdriver%2C+%231+Square%2C+6-Inch+Round+Shank&amp;qid=1694735117&amp;sr=8-3")</f>
        <v/>
      </c>
      <c r="F6442" t="inlineStr">
        <is>
          <t>B09GPZ5P2M</t>
        </is>
      </c>
      <c r="G6442">
        <f>_xludf.IMAGE("https://edmondsonsupply.com/cdn/shop/products/6986ins.jpg?v=1664806830")</f>
        <v/>
      </c>
      <c r="H6442">
        <f>_xludf.IMAGE("https://m.media-amazon.com/images/I/41uj4ogsy3L._AC_UL320_.jpg")</f>
        <v/>
      </c>
      <c r="K6442" t="inlineStr">
        <is>
          <t>14.99</t>
        </is>
      </c>
      <c r="L6442" t="n">
        <v>13.99</v>
      </c>
      <c r="M6442" s="1" t="inlineStr">
        <is>
          <t>-6.67%</t>
        </is>
      </c>
      <c r="N6442" s="1" t="n"/>
      <c r="O6442" t="n">
        <v>4.8</v>
      </c>
      <c r="P6442" t="n">
        <v>107</v>
      </c>
      <c r="R6442" t="inlineStr">
        <is>
          <t>InStock</t>
        </is>
      </c>
      <c r="S6442" t="inlineStr">
        <is>
          <t>20.98</t>
        </is>
      </c>
      <c r="T6442" t="inlineStr">
        <is>
          <t>7837634461912</t>
        </is>
      </c>
    </row>
    <row r="6443" hidden="1" ht="15.75" customHeight="1">
      <c r="A6443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6443" s="2">
        <f>HYPERLINK("https://edmondsonsupply.com/products/klein-tools-31948-bi-metal-hole-saw-3-inch", "https://edmondsonsupply.com/products/klein-tools-31948-bi-metal-hole-saw-3-inch")</f>
        <v/>
      </c>
      <c r="C6443" t="inlineStr">
        <is>
          <t>Klein Tools 31948 Bi-Metal Hole Saw, 3-Inch</t>
        </is>
      </c>
      <c r="D6443" t="inlineStr">
        <is>
          <t>Klein Tools 31958 Bi-Metal Hole Saw, Heavy-Duty 3 5/8-Inch Steel Cutting Hole Saw with Multiple Leverage Points</t>
        </is>
      </c>
      <c r="E6443" s="2">
        <f>HYPERLINK("https://www.amazon.com/Bi-Metal-8-Inch-Klein-Tools-31958/dp/B01987566S/ref=sr_1_2?keywords=Klein+Tools+31948+Bi-Metal+Hole+Saw%2C+3-Inch&amp;qid=1694735118&amp;sr=8-2", "https://www.amazon.com/Bi-Metal-8-Inch-Klein-Tools-31958/dp/B01987566S/ref=sr_1_2?keywords=Klein+Tools+31948+Bi-Metal+Hole+Saw%2C+3-Inch&amp;qid=1694735118&amp;sr=8-2")</f>
        <v/>
      </c>
      <c r="F6443" t="inlineStr">
        <is>
          <t>B01987566S</t>
        </is>
      </c>
      <c r="G6443">
        <f>_xludf.IMAGE("https://edmondsonsupply.com/cdn/shop/products/31948.jpg?v=1663945105")</f>
        <v/>
      </c>
      <c r="H6443">
        <f>_xludf.IMAGE("https://m.media-amazon.com/images/I/417oWF+SE6L._AC_UL320_.jpg")</f>
        <v/>
      </c>
      <c r="K6443" t="inlineStr">
        <is>
          <t>14.99</t>
        </is>
      </c>
      <c r="L6443" t="n">
        <v>13.99</v>
      </c>
      <c r="M6443" s="1" t="inlineStr">
        <is>
          <t>-6.67%</t>
        </is>
      </c>
      <c r="N6443" s="1" t="n"/>
      <c r="O6443" t="n">
        <v>4.6</v>
      </c>
      <c r="P6443" t="n">
        <v>252</v>
      </c>
      <c r="R6443" t="inlineStr">
        <is>
          <t>InStock</t>
        </is>
      </c>
      <c r="S6443" t="inlineStr">
        <is>
          <t>19.62</t>
        </is>
      </c>
      <c r="T6443" t="inlineStr">
        <is>
          <t>7827277185240</t>
        </is>
      </c>
    </row>
    <row r="6444" hidden="1" ht="15.75" customHeight="1">
      <c r="A6444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444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444" t="inlineStr">
        <is>
          <t>Klein Tools 6946INS Slim-Tip 1000V Insulated Screwdriver, #2 Square, 6-Inch Round Shank</t>
        </is>
      </c>
      <c r="D6444" t="inlineStr">
        <is>
          <t>Klein Tools 6944INS Insulated Screwdriver, 1000V Slim Profile Tip, #2 Square with 4-Inch Shank, Cushion-Grip Handle</t>
        </is>
      </c>
      <c r="E6444" s="2">
        <f>HYPERLINK("https://www.amazon.com/Klein-Tools-6944INS-Screwdriver-Cushion-Grip/dp/B09GPYTZV3/ref=sr_1_4?keywords=Klein+Tools+6946INS+Slim-Tip+1000V+Insulated+Screwdriver%2C+%232+Square%2C+6-Inch+Round+Shank&amp;qid=1694735275&amp;sr=8-4", "https://www.amazon.com/Klein-Tools-6944INS-Screwdriver-Cushion-Grip/dp/B09GPYTZV3/ref=sr_1_4?keywords=Klein+Tools+6946INS+Slim-Tip+1000V+Insulated+Screwdriver%2C+%232+Square%2C+6-Inch+Round+Shank&amp;qid=1694735275&amp;sr=8-4")</f>
        <v/>
      </c>
      <c r="F6444" t="inlineStr">
        <is>
          <t>B09GPYTZV3</t>
        </is>
      </c>
      <c r="G6444">
        <f>_xludf.IMAGE("https://edmondsonsupply.com/cdn/shop/products/6946ins.jpg?v=1633030561")</f>
        <v/>
      </c>
      <c r="H6444">
        <f>_xludf.IMAGE("https://m.media-amazon.com/images/I/41PzygwLx+L._AC_UL320_.jpg")</f>
        <v/>
      </c>
      <c r="K6444" t="inlineStr">
        <is>
          <t>14.99</t>
        </is>
      </c>
      <c r="L6444" t="n">
        <v>13.99</v>
      </c>
      <c r="M6444" s="1" t="inlineStr">
        <is>
          <t>-6.67%</t>
        </is>
      </c>
      <c r="N6444" s="1" t="n"/>
      <c r="O6444" t="n">
        <v>4.7</v>
      </c>
      <c r="P6444" t="n">
        <v>93</v>
      </c>
      <c r="R6444" t="inlineStr">
        <is>
          <t>InStock</t>
        </is>
      </c>
      <c r="S6444" t="inlineStr">
        <is>
          <t>21.02</t>
        </is>
      </c>
      <c r="T6444" t="inlineStr">
        <is>
          <t>5439611502760</t>
        </is>
      </c>
    </row>
    <row r="6445" ht="87" customHeight="1">
      <c r="A6445" s="2">
        <f>HYPERLINK("https://edmondsonsupply.com/collections/electricians-tools/products/fluke-tlk289-industrial-master-test-lead-set", "https://edmondsonsupply.com/collections/electricians-tools/products/fluke-tlk289-industrial-master-test-lead-set")</f>
        <v/>
      </c>
      <c r="B6445" s="2">
        <f>HYPERLINK("https://edmondsonsupply.com/products/fluke-tlk289-industrial-master-test-lead-set", "https://edmondsonsupply.com/products/fluke-tlk289-industrial-master-test-lead-set")</f>
        <v/>
      </c>
      <c r="C6445" t="inlineStr">
        <is>
          <t>Fluke TLK289 Industrial Master Test Lead Set</t>
        </is>
      </c>
      <c r="D6445" t="inlineStr">
        <is>
          <t>Fluke TLK287 Electronics Master Test Lead Set</t>
        </is>
      </c>
      <c r="E6445" s="2" t="n"/>
      <c r="F6445" t="inlineStr">
        <is>
          <t>B003AHE96G</t>
        </is>
      </c>
      <c r="G6445">
        <f>_xlfn.IMAGE("https://edmondsonsupply.com/cdn/shop/products/TLK289_1280x841px_E_NR-23772.jpg?v=1633031191")</f>
        <v/>
      </c>
      <c r="H6445">
        <f>_xlfn.IMAGE("https://m.media-amazon.com/images/I/61JEjFCnhtL._AC_UY218_.jpg")</f>
        <v/>
      </c>
      <c r="K6445" t="inlineStr">
        <is>
          <t>189.99</t>
        </is>
      </c>
      <c r="L6445" t="n">
        <v>177.29</v>
      </c>
      <c r="M6445" s="1" t="inlineStr">
        <is>
          <t>-6.68%</t>
        </is>
      </c>
      <c r="N6445" s="7" t="n"/>
      <c r="O6445" t="n">
        <v>4.6</v>
      </c>
      <c r="P6445" t="n">
        <v>91</v>
      </c>
      <c r="R6445" t="inlineStr">
        <is>
          <t>InStock</t>
        </is>
      </c>
      <c r="S6445" t="inlineStr">
        <is>
          <t>209.99</t>
        </is>
      </c>
      <c r="T6445" t="inlineStr">
        <is>
          <t>6927938945197</t>
        </is>
      </c>
    </row>
    <row r="6446" ht="87" customHeight="1">
      <c r="A6446" s="2">
        <f>HYPERLINK("https://edmondsonsupply.com/collections/electricians-tools/products/fluke-tlk289-industrial-master-test-lead-set", "https://edmondsonsupply.com/collections/electricians-tools/products/fluke-tlk289-industrial-master-test-lead-set")</f>
        <v/>
      </c>
      <c r="B6446" s="2">
        <f>HYPERLINK("https://edmondsonsupply.com/products/fluke-tlk289-industrial-master-test-lead-set", "https://edmondsonsupply.com/products/fluke-tlk289-industrial-master-test-lead-set")</f>
        <v/>
      </c>
      <c r="C6446" t="inlineStr">
        <is>
          <t>Fluke TLK289 Industrial Master Test Lead Set</t>
        </is>
      </c>
      <c r="D6446" t="inlineStr">
        <is>
          <t>Fluke TLK287 Electronics Master Test Lead Set</t>
        </is>
      </c>
      <c r="E6446" s="2">
        <f>HYPERLINK("https://www.amazon.com/Fluke-TLK287-Electronics-Master-Test/dp/B003AHE96G/ref=sr_1_4?keywords=Fluke+TLK289+Industrial+Master+Test+Lead+Set&amp;qid=1694735184&amp;sr=8-4", "https://www.amazon.com/Fluke-TLK287-Electronics-Master-Test/dp/B003AHE96G/ref=sr_1_4?keywords=Fluke+TLK289+Industrial+Master+Test+Lead+Set&amp;qid=1694735184&amp;sr=8-4")</f>
        <v/>
      </c>
      <c r="F6446" t="inlineStr">
        <is>
          <t>B003AHE96G</t>
        </is>
      </c>
      <c r="G6446">
        <f>_xlfn.IMAGE("https://edmondsonsupply.com/cdn/shop/products/TLK289_1280x841px_E_NR-23772.jpg?v=1633031191")</f>
        <v/>
      </c>
      <c r="H6446">
        <f>_xlfn.IMAGE("https://m.media-amazon.com/images/I/61JEjFCnhtL._AC_UY218_.jpg")</f>
        <v/>
      </c>
      <c r="K6446" t="inlineStr">
        <is>
          <t>189.99</t>
        </is>
      </c>
      <c r="L6446" t="n">
        <v>177.29</v>
      </c>
      <c r="M6446" s="1" t="inlineStr">
        <is>
          <t>-6.68%</t>
        </is>
      </c>
      <c r="N6446" s="7" t="n"/>
      <c r="O6446" t="n">
        <v>4.6</v>
      </c>
      <c r="P6446" t="n">
        <v>91</v>
      </c>
      <c r="R6446" t="inlineStr">
        <is>
          <t>InStock</t>
        </is>
      </c>
      <c r="S6446" t="inlineStr">
        <is>
          <t>209.99</t>
        </is>
      </c>
      <c r="T6446" t="inlineStr">
        <is>
          <t>6927938945197</t>
        </is>
      </c>
    </row>
    <row r="6447" ht="87" customHeight="1">
      <c r="A6447" s="2">
        <f>HYPERLINK("https://edmondsonsupply.com/collections/electricians-tools/products/fluke-inlp8", "https://edmondsonsupply.com/collections/electricians-tools/products/fluke-inlp8")</f>
        <v/>
      </c>
      <c r="B6447" s="2">
        <f>HYPERLINK("https://edmondsonsupply.com/products/fluke-inlp8", "https://edmondsonsupply.com/products/fluke-inlp8")</f>
        <v/>
      </c>
      <c r="C6447" t="inlineStr">
        <is>
          <t>Fluke INLP8 Insulated Long Nose Pliers with Side Cutter</t>
        </is>
      </c>
      <c r="D6447" t="inlineStr">
        <is>
          <t>Klein Tools 2038EINS Long Nose Side Cutter Insulated Pliers with Slim Induction Hardened Cutting Knives for Long Life, 8-Inch</t>
        </is>
      </c>
      <c r="E6447" s="2">
        <f>HYPERLINK("https://www.amazon.com/Klein-Tools-2038EINS-Cutter-Insulated/dp/B00JGG5PTU/ref=sr_1_2?keywords=Fluke+INLP8+Insulated+Long+Nose+Pliers+with+Side+Cutter&amp;qid=1694735338&amp;sr=8-2", "https://www.amazon.com/Klein-Tools-2038EINS-Cutter-Insulated/dp/B00JGG5PTU/ref=sr_1_2?keywords=Fluke+INLP8+Insulated+Long+Nose+Pliers+with+Side+Cutter&amp;qid=1694735338&amp;sr=8-2")</f>
        <v/>
      </c>
      <c r="F6447" t="inlineStr">
        <is>
          <t>B00JGG5PTU</t>
        </is>
      </c>
      <c r="G6447">
        <f>_xlfn.IMAGE("https://edmondsonsupply.com/cdn/shop/products/inlp8.jpg?v=1588882577")</f>
        <v/>
      </c>
      <c r="H6447">
        <f>_xlfn.IMAGE("https://m.media-amazon.com/images/I/41acyPPC4wL._AC_UL320_.jpg")</f>
        <v/>
      </c>
      <c r="K6447" t="inlineStr">
        <is>
          <t>67.49</t>
        </is>
      </c>
      <c r="L6447" t="n">
        <v>62.97</v>
      </c>
      <c r="M6447" s="1" t="inlineStr">
        <is>
          <t>-6.70%</t>
        </is>
      </c>
      <c r="N6447" s="7" t="n"/>
      <c r="O6447" t="n">
        <v>4.9</v>
      </c>
      <c r="P6447" t="n">
        <v>348</v>
      </c>
      <c r="R6447" t="inlineStr">
        <is>
          <t>OutOfStock</t>
        </is>
      </c>
      <c r="S6447" t="inlineStr">
        <is>
          <t>74.99</t>
        </is>
      </c>
      <c r="T6447" t="inlineStr">
        <is>
          <t>4625632198756</t>
        </is>
      </c>
    </row>
    <row r="6448" ht="87" customHeight="1">
      <c r="A6448" s="2">
        <f>HYPERLINK("https://edmondsonsupply.com/collections/electricians-tools/products/fluke-87v", "https://edmondsonsupply.com/collections/electricians-tools/products/fluke-87v")</f>
        <v/>
      </c>
      <c r="B6448" s="2">
        <f>HYPERLINK("https://edmondsonsupply.com/products/fluke-87v", "https://edmondsonsupply.com/products/fluke-87v")</f>
        <v/>
      </c>
      <c r="C6448" t="inlineStr">
        <is>
          <t>Fluke 87V Industrial Multimeter</t>
        </is>
      </c>
      <c r="D6448" t="inlineStr">
        <is>
          <t>Fluke 179/EDA2 6-Piece Industrial Electronics Multimeter Combo Kit</t>
        </is>
      </c>
      <c r="E6448" s="2">
        <f>HYPERLINK("https://www.amazon.com/Fluke-EDA2-Industrial-Electronics-Multimeter/dp/B000VREBPM/ref=sr_1_30?keywords=Fluke+87V+Industrial+Multimeter&amp;qid=1694735314&amp;sr=8-30", "https://www.amazon.com/Fluke-EDA2-Industrial-Electronics-Multimeter/dp/B000VREBPM/ref=sr_1_30?keywords=Fluke+87V+Industrial+Multimeter&amp;qid=1694735314&amp;sr=8-30")</f>
        <v/>
      </c>
      <c r="F6448" t="inlineStr">
        <is>
          <t>B000VREBPM</t>
        </is>
      </c>
      <c r="G6448">
        <f>_xlfn.IMAGE("https://edmondsonsupply.com/cdn/shop/products/875.jpg?v=1633030274")</f>
        <v/>
      </c>
      <c r="H6448">
        <f>_xlfn.IMAGE("https://m.media-amazon.com/images/I/71fczyyOr2L._AC_UL320_.jpg")</f>
        <v/>
      </c>
      <c r="K6448" t="inlineStr">
        <is>
          <t>459.89</t>
        </is>
      </c>
      <c r="L6448" t="n">
        <v>428.99</v>
      </c>
      <c r="M6448" s="1" t="inlineStr">
        <is>
          <t>-6.72%</t>
        </is>
      </c>
      <c r="N6448" s="7" t="n"/>
      <c r="O6448" t="n">
        <v>4.6</v>
      </c>
      <c r="P6448" t="n">
        <v>218</v>
      </c>
      <c r="R6448" t="inlineStr">
        <is>
          <t>InStock</t>
        </is>
      </c>
      <c r="S6448" t="inlineStr">
        <is>
          <t>521.99</t>
        </is>
      </c>
      <c r="T6448" t="inlineStr">
        <is>
          <t>5238369452200</t>
        </is>
      </c>
    </row>
    <row r="6449" hidden="1" ht="15.75" customHeight="1">
      <c r="A6449" s="2">
        <f>HYPERLINK("https://edmondsonsupply.com/collections/electricians-tools/products/klein-tools-jth6e08-1-8-inch-hex-key-journeyman-t-handle-6-inch", "https://edmondsonsupply.com/collections/electricians-tools/products/klein-tools-jth6e08-1-8-inch-hex-key-journeyman-t-handle-6-inch")</f>
        <v/>
      </c>
      <c r="B6449" s="2">
        <f>HYPERLINK("https://edmondsonsupply.com/products/klein-tools-jth6e08-1-8-inch-hex-key-journeyman-t-handle-6-inch", "https://edmondsonsupply.com/products/klein-tools-jth6e08-1-8-inch-hex-key-journeyman-t-handle-6-inch")</f>
        <v/>
      </c>
      <c r="C6449" t="inlineStr">
        <is>
          <t>Klein Tools JTH6E08 1/8-Inch Hex Key, Journeyman T-Handle, 6-Inch</t>
        </is>
      </c>
      <c r="D6449" t="inlineStr">
        <is>
          <t>Klein Tools JTH6E08 1/8-Inch Hex Key with Journeyman T-Handle, 6-Inch</t>
        </is>
      </c>
      <c r="E6449" s="2">
        <f>HYPERLINK("https://www.amazon.com/Klein-Tools-JTH6E08-Journeyman-T-Handle/dp/B004N5XP1O/ref=sr_1_1?keywords=Klein+Tools+JTH6E08+1%2F8-Inch+Hex+Key%2C+Journeyman+T-Handle%2C+6-Inch&amp;qid=1694735241&amp;sr=8-1", "https://www.amazon.com/Klein-Tools-JTH6E08-Journeyman-T-Handle/dp/B004N5XP1O/ref=sr_1_1?keywords=Klein+Tools+JTH6E08+1%2F8-Inch+Hex+Key%2C+Journeyman+T-Handle%2C+6-Inch&amp;qid=1694735241&amp;sr=8-1")</f>
        <v/>
      </c>
      <c r="F6449" t="inlineStr">
        <is>
          <t>B004N5XP1O</t>
        </is>
      </c>
      <c r="G6449">
        <f>_xludf.IMAGE("https://edmondsonsupply.com/cdn/shop/products/jth6e15_e3103b57-060e-4d47-a405-4e66dc6bbb91.jpg?v=1604272072")</f>
        <v/>
      </c>
      <c r="H6449">
        <f>_xludf.IMAGE("https://m.media-amazon.com/images/I/51Yb8h41vLL._AC_UL320_.jpg")</f>
        <v/>
      </c>
      <c r="K6449" t="inlineStr">
        <is>
          <t>3.99</t>
        </is>
      </c>
      <c r="L6449" t="n">
        <v>3.72</v>
      </c>
      <c r="M6449" s="1" t="inlineStr">
        <is>
          <t>-6.77%</t>
        </is>
      </c>
      <c r="N6449" s="1" t="n"/>
      <c r="O6449" t="n">
        <v>4.8</v>
      </c>
      <c r="P6449" t="n">
        <v>2477</v>
      </c>
      <c r="R6449" t="inlineStr">
        <is>
          <t>InStock</t>
        </is>
      </c>
      <c r="S6449" t="inlineStr">
        <is>
          <t>6.04</t>
        </is>
      </c>
      <c r="T6449" t="inlineStr">
        <is>
          <t>6005767635112</t>
        </is>
      </c>
    </row>
    <row r="6450" ht="87" customHeight="1">
      <c r="A6450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6450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6450" t="inlineStr">
        <is>
          <t>Diablo Tools DOU250JBW3 2-1/2 in. Universal Fit Bi-Metal Oscillating Blade for Clean Wood (3 pk)</t>
        </is>
      </c>
      <c r="D6450" t="inlineStr">
        <is>
          <t>Diablo by Freud DOU125JBW3 1-1/4 in. Universal Fit Bi-Metal Oscillating Blades for Clean Wood (3-Pack)</t>
        </is>
      </c>
      <c r="E6450" s="2">
        <f>HYPERLINK("https://www.amazon.com/Diablo-Freud-DOU125JBW3-Universal-Oscillating/dp/B089KX3SWM/ref=sr_1_1?keywords=Diablo+Tools+DOU250JBW3+2-1%2F2+in.+Universal+Fit+Bi-Metal+Oscillating+Blade+for+Clean+Wood+%283+pk%29&amp;qid=1694734992&amp;sr=8-1", "https://www.amazon.com/Diablo-Freud-DOU125JBW3-Universal-Oscillating/dp/B089KX3SWM/ref=sr_1_1?keywords=Diablo+Tools+DOU250JBW3+2-1%2F2+in.+Universal+Fit+Bi-Metal+Oscillating+Blade+for+Clean+Wood+%283+pk%29&amp;qid=1694734992&amp;sr=8-1")</f>
        <v/>
      </c>
      <c r="F6450" t="inlineStr">
        <is>
          <t>B089KX3SWM</t>
        </is>
      </c>
      <c r="G6450">
        <f>_xlfn.IMAGE("https://edmondsonsupply.com/cdn/shop/files/pycnap4eb1urn2hxvudq_1.webp?v=1685719587")</f>
        <v/>
      </c>
      <c r="H6450">
        <f>_xlfn.IMAGE("https://m.media-amazon.com/images/I/61wFHtmEH5L._AC_UL320_.jpg")</f>
        <v/>
      </c>
      <c r="K6450" t="inlineStr">
        <is>
          <t>31.32</t>
        </is>
      </c>
      <c r="L6450" t="n">
        <v>29.19</v>
      </c>
      <c r="M6450" s="1" t="inlineStr">
        <is>
          <t>-6.80%</t>
        </is>
      </c>
      <c r="N6450" s="7" t="n"/>
      <c r="O6450" t="n">
        <v>4.5</v>
      </c>
      <c r="P6450" t="n">
        <v>48</v>
      </c>
      <c r="R6450" t="inlineStr">
        <is>
          <t>InStock</t>
        </is>
      </c>
      <c r="S6450" t="inlineStr">
        <is>
          <t>49.72</t>
        </is>
      </c>
      <c r="T6450" t="inlineStr">
        <is>
          <t>7999575654616</t>
        </is>
      </c>
    </row>
    <row r="6451" ht="87" customHeight="1">
      <c r="A6451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6451" s="2">
        <f>HYPERLINK("https://edmondsonsupply.com/products/klein-tools-d507-8-adjustable-wrench-extra-capacity-8-inch", "https://edmondsonsupply.com/products/klein-tools-d507-8-adjustable-wrench-extra-capacity-8-inch")</f>
        <v/>
      </c>
      <c r="C6451" t="inlineStr">
        <is>
          <t>Klein Tools D507-8 Adjustable Wrench, Extra Capacity 8-Inch</t>
        </is>
      </c>
      <c r="D6451" t="inlineStr">
        <is>
          <t>Klein Tools 507-8 Adjustable Wrench, Extra Capacity Jaw Forged Drive Wrench with High Polish Chrome Finish, 8-Inch</t>
        </is>
      </c>
      <c r="E6451" s="2">
        <f>HYPERLINK("https://www.amazon.com/Adjustable-Extra-Capacity-Klein-Tools-507-8/dp/B0002RI5SA/ref=sr_1_2?keywords=Klein+Tools+D507-8+Adjustable+Wrench%2C+Extra+Capacity+8-Inch&amp;qid=1694734984&amp;sr=8-2", "https://www.amazon.com/Adjustable-Extra-Capacity-Klein-Tools-507-8/dp/B0002RI5SA/ref=sr_1_2?keywords=Klein+Tools+D507-8+Adjustable+Wrench%2C+Extra+Capacity+8-Inch&amp;qid=1694734984&amp;sr=8-2")</f>
        <v/>
      </c>
      <c r="F6451" t="inlineStr">
        <is>
          <t>B0002RI5SA</t>
        </is>
      </c>
      <c r="G6451">
        <f>_xlfn.IMAGE("https://edmondsonsupply.com/cdn/shop/products/d5078_b.jpg?v=1666010497")</f>
        <v/>
      </c>
      <c r="H6451">
        <f>_xlfn.IMAGE("https://m.media-amazon.com/images/I/51neMDEiFVL._AC_UL320_.jpg")</f>
        <v/>
      </c>
      <c r="K6451" t="inlineStr">
        <is>
          <t>29.99</t>
        </is>
      </c>
      <c r="L6451" t="n">
        <v>27.95</v>
      </c>
      <c r="M6451" s="1" t="inlineStr">
        <is>
          <t>-6.80%</t>
        </is>
      </c>
      <c r="N6451" s="7" t="n"/>
      <c r="O6451" t="n">
        <v>4.3</v>
      </c>
      <c r="P6451" t="n">
        <v>26</v>
      </c>
      <c r="R6451" t="inlineStr">
        <is>
          <t>InStock</t>
        </is>
      </c>
      <c r="S6451" t="inlineStr">
        <is>
          <t>45.44</t>
        </is>
      </c>
      <c r="T6451" t="inlineStr">
        <is>
          <t>4353085014116</t>
        </is>
      </c>
    </row>
    <row r="6452" hidden="1" ht="15.75" customHeight="1">
      <c r="A6452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6452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6452" t="inlineStr">
        <is>
          <t>Diablo Tools DMAPL4055 3/16 in. x 10 in. x 12 in. Rebar Demon™ SDS‑Plus 4‑Cutter Full Carbide Head Hammer Bit</t>
        </is>
      </c>
      <c r="D6452" t="inlineStr">
        <is>
          <t>Diablo by Freud DMAPL4160 3/8 in. x 10 in. x 12 in. Rebar Demon SDS-Plus 4-Cutter Full Carbide Head Hammer Bit</t>
        </is>
      </c>
      <c r="E6452" s="2">
        <f>HYPERLINK("https://www.amazon.com/Diablo-Freud-DMAPL4160-SDS-Plus-4-Cutter/dp/B089KX25B7/ref=sr_1_3?keywords=Diablo+Tools+DMAPL4055+3%2F16+in.+x+10+in.+x+12+in.+Rebar+Demon%E2%84%A2+SDS%E2%80%91Plus+4%E2%80%91Cutter+Full+Carbide+Head+Hammer+Bit&amp;qid=1694735287&amp;sr=8-3", "https://www.amazon.com/Diablo-Freud-DMAPL4160-SDS-Plus-4-Cutter/dp/B089KX25B7/ref=sr_1_3?keywords=Diablo+Tools+DMAPL4055+3%2F16+in.+x+10+in.+x+12+in.+Rebar+Demon%E2%84%A2+SDS%E2%80%91Plus+4%E2%80%91Cutter+Full+Carbide+Head+Hammer+Bit&amp;qid=1694735287&amp;sr=8-3")</f>
        <v/>
      </c>
      <c r="F6452" t="inlineStr">
        <is>
          <t>B089KX25B7</t>
        </is>
      </c>
      <c r="G6452">
        <f>_xludf.IMAGE("https://edmondsonsupply.com/cdn/shop/products/DMAPL4055_Main-Image20200331.png?v=1633030416")</f>
        <v/>
      </c>
      <c r="H6452">
        <f>_xludf.IMAGE("https://m.media-amazon.com/images/I/61MHnm3+2bL._AC_UL320_.jpg")</f>
        <v/>
      </c>
      <c r="K6452" t="inlineStr">
        <is>
          <t>13.97</t>
        </is>
      </c>
      <c r="L6452" t="n">
        <v>13.01</v>
      </c>
      <c r="M6452" s="1" t="inlineStr">
        <is>
          <t>-6.87%</t>
        </is>
      </c>
      <c r="N6452" s="1" t="n"/>
      <c r="O6452" t="n">
        <v>4.5</v>
      </c>
      <c r="P6452" t="n">
        <v>39</v>
      </c>
      <c r="R6452" t="inlineStr">
        <is>
          <t>InStock</t>
        </is>
      </c>
      <c r="S6452" t="inlineStr">
        <is>
          <t>19.56</t>
        </is>
      </c>
      <c r="T6452" t="inlineStr">
        <is>
          <t>5316790714536</t>
        </is>
      </c>
    </row>
    <row r="6453" hidden="1" ht="15.75" customHeight="1">
      <c r="A6453" s="2">
        <f>HYPERLINK("https://edmondsonsupply.com/collections/electricians-tools/products/klein-tools-jth9e14-5-16-inch-hex-key-journeyman%E2%84%A2-t-handle-9-inch", "https://edmondsonsupply.com/collections/electricians-tools/products/klein-tools-jth9e14-5-16-inch-hex-key-journeyman%E2%84%A2-t-handle-9-inch")</f>
        <v/>
      </c>
      <c r="B6453" s="2">
        <f>HYPERLINK("https://edmondsonsupply.com/products/klein-tools-jth9e14-5-16-inch-hex-key-journeyman%e2%84%a2-t-handle-9-inch", "https://edmondsonsupply.com/products/klein-tools-jth9e14-5-16-inch-hex-key-journeyman%e2%84%a2-t-handle-9-inch")</f>
        <v/>
      </c>
      <c r="C6453" t="inlineStr">
        <is>
          <t>Klein Tools JTH9E14 5/16-Inch Hex Key, Journeyman™ T-Handle, 9-Inch</t>
        </is>
      </c>
      <c r="D6453" t="inlineStr">
        <is>
          <t>Klein Tools JTH9E14 5/16-Inch Hex Key, Journeyman T-Handle, 9-Inch</t>
        </is>
      </c>
      <c r="E6453" s="2">
        <f>HYPERLINK("https://www.amazon.com/Journeyman-T-Handle-Klein-Tools-JTH9E14/dp/B004QVAH4I/ref=sr_1_1?keywords=Klein+Tools+JTH9E14+5%2F16-Inch+Hex+Key%2C+Journeyman%E2%84%A2+T-Handle%2C+9-Inch&amp;qid=1694735101&amp;sr=8-1", "https://www.amazon.com/Journeyman-T-Handle-Klein-Tools-JTH9E14/dp/B004QVAH4I/ref=sr_1_1?keywords=Klein+Tools+JTH9E14+5%2F16-Inch+Hex+Key%2C+Journeyman%E2%84%A2+T-Handle%2C+9-Inch&amp;qid=1694735101&amp;sr=8-1")</f>
        <v/>
      </c>
      <c r="F6453" t="inlineStr">
        <is>
          <t>B004QVAH4I</t>
        </is>
      </c>
      <c r="G6453">
        <f>_xludf.IMAGE("https://edmondsonsupply.com/cdn/shop/products/jth6e15_f4984146-222a-4a1f-9fb4-94d2ee6d0a9d.jpg?v=1665597420")</f>
        <v/>
      </c>
      <c r="H6453">
        <f>_xludf.IMAGE("https://m.media-amazon.com/images/I/51Yb8h41vLL._AC_UL320_.jpg")</f>
        <v/>
      </c>
      <c r="K6453" t="inlineStr">
        <is>
          <t>7.99</t>
        </is>
      </c>
      <c r="L6453" t="n">
        <v>7.44</v>
      </c>
      <c r="M6453" s="1" t="inlineStr">
        <is>
          <t>-6.88%</t>
        </is>
      </c>
      <c r="N6453" s="1" t="n"/>
      <c r="O6453" t="n">
        <v>4.8</v>
      </c>
      <c r="P6453" t="n">
        <v>114</v>
      </c>
      <c r="R6453" t="inlineStr">
        <is>
          <t>InStock</t>
        </is>
      </c>
      <c r="S6453" t="inlineStr">
        <is>
          <t>12.12</t>
        </is>
      </c>
      <c r="T6453" t="inlineStr">
        <is>
          <t>7850142204120</t>
        </is>
      </c>
    </row>
    <row r="6454" ht="87" customHeight="1">
      <c r="A6454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6454" s="2">
        <f>HYPERLINK("https://edmondsonsupply.com/products/klein-tools-57032-screwdriver-set-torque-6-piece", "https://edmondsonsupply.com/products/klein-tools-57032-screwdriver-set-torque-6-piece")</f>
        <v/>
      </c>
      <c r="C6454" t="inlineStr">
        <is>
          <t>Klein Tools 57032 Screwdriver Set, Torque, 6-Piece</t>
        </is>
      </c>
      <c r="D6454" t="inlineStr">
        <is>
          <t>Klein Tools 57032 Screwdriver Set, Torque Screwdriver Kit with Phillips, Slotted, Square Bits, 1/4-Inch Nut Driver, Case Included, 6-Piece</t>
        </is>
      </c>
      <c r="E6454" s="2">
        <f>HYPERLINK("https://www.amazon.com/Torque-Screwdriver-Klein-Tools-57032/dp/B00N0V93OK/ref=sr_1_1?keywords=Klein+Tools+57032+Screwdriver+Set%2C+Torque%2C+6-Piece&amp;qid=1694735042&amp;sr=8-1", "https://www.amazon.com/Torque-Screwdriver-Klein-Tools-57032/dp/B00N0V93OK/ref=sr_1_1?keywords=Klein+Tools+57032+Screwdriver+Set%2C+Torque%2C+6-Piece&amp;qid=1694735042&amp;sr=8-1")</f>
        <v/>
      </c>
      <c r="F6454" t="inlineStr">
        <is>
          <t>B00N0V93OK</t>
        </is>
      </c>
      <c r="G6454">
        <f>_xlfn.IMAGE("https://edmondsonsupply.com/cdn/shop/products/57032set.jpg?v=1675348782")</f>
        <v/>
      </c>
      <c r="H6454">
        <f>_xlfn.IMAGE("https://m.media-amazon.com/images/I/71o9zv+qoQL._AC_UL320_.jpg")</f>
        <v/>
      </c>
      <c r="K6454" t="inlineStr">
        <is>
          <t>299.99</t>
        </is>
      </c>
      <c r="L6454" t="n">
        <v>279</v>
      </c>
      <c r="M6454" s="1" t="inlineStr">
        <is>
          <t>-7.00%</t>
        </is>
      </c>
      <c r="N6454" s="7" t="n"/>
      <c r="O6454" t="n">
        <v>4.3</v>
      </c>
      <c r="P6454" t="n">
        <v>36</v>
      </c>
      <c r="R6454" t="inlineStr">
        <is>
          <t>InStock</t>
        </is>
      </c>
      <c r="S6454" t="inlineStr">
        <is>
          <t>433.06</t>
        </is>
      </c>
      <c r="T6454" t="inlineStr">
        <is>
          <t>7937805385944</t>
        </is>
      </c>
    </row>
    <row r="6455" hidden="1" ht="15.75" customHeight="1">
      <c r="A6455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6455" s="2">
        <f>HYPERLINK("https://edmondsonsupply.com/products/klein-tools-1011m-metric-wire-stripper-cutter-stranded-wire", "https://edmondsonsupply.com/products/klein-tools-1011m-metric-wire-stripper-cutter-stranded-wire")</f>
        <v/>
      </c>
      <c r="C6455" t="inlineStr">
        <is>
          <t>Klein Tools 1011M Metric Wire Stripper/Cutter Stranded Wire</t>
        </is>
      </c>
      <c r="D6455" t="inlineStr">
        <is>
          <t>Klein Tools 1011M Wire Stripper/Cutter Stranded Wire,Blue</t>
        </is>
      </c>
      <c r="E6455" s="2">
        <f>HYPERLINK("https://www.amazon.com/KLEIN-TOOLS-Wire-Stripper-Cutter/dp/B00AM1Z0UC/ref=sr_1_1?keywords=Klein+Tools+1011M+Metric+Wire+Stripper%2FCutter+Stranded+Wire&amp;qid=1694735312&amp;sr=8-1", "https://www.amazon.com/KLEIN-TOOLS-Wire-Stripper-Cutter/dp/B00AM1Z0UC/ref=sr_1_1?keywords=Klein+Tools+1011M+Metric+Wire+Stripper%2FCutter+Stranded+Wire&amp;qid=1694735312&amp;sr=8-1")</f>
        <v/>
      </c>
      <c r="F6455" t="inlineStr">
        <is>
          <t>B00AM1Z0UC</t>
        </is>
      </c>
      <c r="G6455">
        <f>_xludf.IMAGE("https://edmondsonsupply.com/cdn/shop/products/1011m.jpg?v=1633030273")</f>
        <v/>
      </c>
      <c r="H6455">
        <f>_xludf.IMAGE("https://m.media-amazon.com/images/I/61x1rjoC-NL._AC_UL320_.jpg")</f>
        <v/>
      </c>
      <c r="K6455" t="inlineStr">
        <is>
          <t>14.99</t>
        </is>
      </c>
      <c r="L6455" t="n">
        <v>13.94</v>
      </c>
      <c r="M6455" s="1" t="inlineStr">
        <is>
          <t>-7.00%</t>
        </is>
      </c>
      <c r="N6455" s="1" t="n"/>
      <c r="O6455" t="n">
        <v>4.7</v>
      </c>
      <c r="P6455" t="n">
        <v>16</v>
      </c>
      <c r="R6455" t="inlineStr">
        <is>
          <t>InStock</t>
        </is>
      </c>
      <c r="S6455" t="inlineStr">
        <is>
          <t>22.72</t>
        </is>
      </c>
      <c r="T6455" t="inlineStr">
        <is>
          <t>5237017772200</t>
        </is>
      </c>
    </row>
    <row r="6456" hidden="1" ht="15.75" customHeight="1">
      <c r="A6456" s="2">
        <f>HYPERLINK("https://edmondsonsupply.com/collections/electricians-tools/products/diablo-tools-dmapl4055-3-16-in-x-10-in-x-12-in-rebar-demon%E2%84%A2-sds-plus-4-cutter-full-carbide-head-hammer-bit", "https://edmondsonsupply.com/collections/electricians-tools/products/diablo-tools-dmapl4055-3-16-in-x-10-in-x-12-in-rebar-demon%E2%84%A2-sds-plus-4-cutter-full-carbide-head-hammer-bit")</f>
        <v/>
      </c>
      <c r="B6456" s="2">
        <f>HYPERLINK("https://edmondsonsupply.com/products/diablo-tools-dmapl4055-3-16-in-x-10-in-x-12-in-rebar-demon%e2%84%a2-sds-plus-4-cutter-full-carbide-head-hammer-bit", "https://edmondsonsupply.com/products/diablo-tools-dmapl4055-3-16-in-x-10-in-x-12-in-rebar-demon%e2%84%a2-sds-plus-4-cutter-full-carbide-head-hammer-bit")</f>
        <v/>
      </c>
      <c r="C6456" t="inlineStr">
        <is>
          <t>Diablo Tools DMAPL4055 3/16 in. x 10 in. x 12 in. Rebar Demon™ SDS‑Plus 4‑Cutter Full Carbide Head Hammer Bit</t>
        </is>
      </c>
      <c r="D6456" t="inlineStr">
        <is>
          <t>Diablo DMAPL4120 5/16 in. x 10 in. x 12 in. Rebar Demon™ SDS-Plus 4-Cutter Full Carbide Head Hammer Bit</t>
        </is>
      </c>
      <c r="E6456" s="2">
        <f>HYPERLINK("https://www.amazon.com/Diablo-SDS-Plus-4-Cutter-Carbide-Hammer/dp/B089KTHL12/ref=sr_1_2?keywords=Diablo+Tools+DMAPL4055+3%2F16+in.+x+10+in.+x+12+in.+Rebar+Demon%E2%84%A2+SDS%E2%80%91Plus+4%E2%80%91Cutter+Full+Carbide+Head+Hammer+Bit&amp;qid=1694735287&amp;sr=8-2", "https://www.amazon.com/Diablo-SDS-Plus-4-Cutter-Carbide-Hammer/dp/B089KTHL12/ref=sr_1_2?keywords=Diablo+Tools+DMAPL4055+3%2F16+in.+x+10+in.+x+12+in.+Rebar+Demon%E2%84%A2+SDS%E2%80%91Plus+4%E2%80%91Cutter+Full+Carbide+Head+Hammer+Bit&amp;qid=1694735287&amp;sr=8-2")</f>
        <v/>
      </c>
      <c r="F6456" t="inlineStr">
        <is>
          <t>B089KTHL12</t>
        </is>
      </c>
      <c r="G6456">
        <f>_xludf.IMAGE("https://edmondsonsupply.com/cdn/shop/products/DMAPL4055_Main-Image20200331.png?v=1633030416")</f>
        <v/>
      </c>
      <c r="H6456">
        <f>_xludf.IMAGE("https://m.media-amazon.com/images/I/61P8b1v1TBL._AC_UL320_.jpg")</f>
        <v/>
      </c>
      <c r="K6456" t="inlineStr">
        <is>
          <t>13.97</t>
        </is>
      </c>
      <c r="L6456" t="n">
        <v>12.99</v>
      </c>
      <c r="M6456" s="1" t="inlineStr">
        <is>
          <t>-7.02%</t>
        </is>
      </c>
      <c r="N6456" s="1" t="n"/>
      <c r="O6456" t="n">
        <v>5</v>
      </c>
      <c r="P6456" t="n">
        <v>6</v>
      </c>
      <c r="R6456" t="inlineStr">
        <is>
          <t>InStock</t>
        </is>
      </c>
      <c r="S6456" t="inlineStr">
        <is>
          <t>19.56</t>
        </is>
      </c>
      <c r="T6456" t="inlineStr">
        <is>
          <t>5316790714536</t>
        </is>
      </c>
    </row>
    <row r="6457" hidden="1" ht="15.75" customHeight="1">
      <c r="A6457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6457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6457" t="inlineStr">
        <is>
          <t>Diablo Tools DMAPL4100 1/4 in. x 16 in. x 18 in. Rebar Demon™ SDS‑Plus 4‑Cutter Full Carbide Head Hammer Bit</t>
        </is>
      </c>
      <c r="D6457" t="inlineStr">
        <is>
          <t>Diablo DMAPL4055 3/16 in. x 10 in. x 12 in. Rebar Demon™ SDS-Plus 4-Cutter Full Carbide Head Hammer Bit</t>
        </is>
      </c>
      <c r="E6457" s="2" t="n"/>
      <c r="F6457" t="inlineStr">
        <is>
          <t>B089LJCD42</t>
        </is>
      </c>
      <c r="G6457">
        <f>_xludf.IMAGE("https://edmondsonsupply.com/cdn/shop/products/DMAPL4100_Main-Image20200701.png?v=1633030520")</f>
        <v/>
      </c>
      <c r="H6457">
        <f>_xludf.IMAGE("https://m.media-amazon.com/images/I/61cDOAhkb4L._AC_UL320_.jpg")</f>
        <v/>
      </c>
      <c r="K6457" t="inlineStr">
        <is>
          <t>16.97</t>
        </is>
      </c>
      <c r="L6457" t="n">
        <v>15.76</v>
      </c>
      <c r="M6457" s="1" t="inlineStr">
        <is>
          <t>-7.13%</t>
        </is>
      </c>
      <c r="N6457" s="1" t="n"/>
      <c r="O6457" t="n">
        <v>2</v>
      </c>
      <c r="P6457" t="n">
        <v>1</v>
      </c>
      <c r="R6457" t="inlineStr">
        <is>
          <t>InStock</t>
        </is>
      </c>
      <c r="S6457" t="inlineStr">
        <is>
          <t>undefined</t>
        </is>
      </c>
      <c r="T6457" t="inlineStr">
        <is>
          <t>5399840882856</t>
        </is>
      </c>
    </row>
    <row r="6458" hidden="1" ht="15.75" customHeight="1">
      <c r="A6458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6458" s="2">
        <f>HYPERLINK("https://edmondsonsupply.com/products/diablo-tools-dmast1050-5-8-in-x-2-1-16-x-sds-plus-2-cutter", "https://edmondsonsupply.com/products/diablo-tools-dmast1050-5-8-in-x-2-1-16-x-sds-plus-2-cutter")</f>
        <v/>
      </c>
      <c r="C6458" t="inlineStr">
        <is>
          <t>Diablo Tools DMAST1050 5/8 in. x 2-1/16 SDS-Plus 2-Cutter</t>
        </is>
      </c>
      <c r="D6458" t="inlineStr">
        <is>
          <t>Diablo 1/2 in. x 1-11/16 in. x SDS-Plus 2-Cutter</t>
        </is>
      </c>
      <c r="E6458" s="2">
        <f>HYPERLINK("https://www.amazon.com/Diablo-1-11-16-SDS-Plus-2-Cutter/dp/B089KVV91N/ref=sr_1_36?keywords=Diablo+Tools+DMAST1050+5%2F8+in.+x+2-1%2F16+SDS-Plus+2-Cutter&amp;qid=1694735304&amp;sr=8-36", "https://www.amazon.com/Diablo-1-11-16-SDS-Plus-2-Cutter/dp/B089KVV91N/ref=sr_1_36?keywords=Diablo+Tools+DMAST1050+5%2F8+in.+x+2-1%2F16+SDS-Plus+2-Cutter&amp;qid=1694735304&amp;sr=8-36")</f>
        <v/>
      </c>
      <c r="F6458" t="inlineStr">
        <is>
          <t>B089KVV91N</t>
        </is>
      </c>
      <c r="G6458">
        <f>_xludf.IMAGE("https://edmondsonsupply.com/cdn/shop/products/DMAST1050_1.jpg?v=1633030363")</f>
        <v/>
      </c>
      <c r="H6458">
        <f>_xludf.IMAGE("https://m.media-amazon.com/images/I/71hFSVgA3gL._AC_UL320_.jpg")</f>
        <v/>
      </c>
      <c r="K6458" t="inlineStr">
        <is>
          <t>21.97</t>
        </is>
      </c>
      <c r="L6458" t="n">
        <v>20.4</v>
      </c>
      <c r="M6458" s="1" t="inlineStr">
        <is>
          <t>-7.15%</t>
        </is>
      </c>
      <c r="N6458" s="1" t="n"/>
      <c r="O6458" t="n">
        <v>3.7</v>
      </c>
      <c r="P6458" t="n">
        <v>7</v>
      </c>
      <c r="R6458" t="inlineStr">
        <is>
          <t>InStock</t>
        </is>
      </c>
      <c r="S6458" t="inlineStr">
        <is>
          <t>29.12</t>
        </is>
      </c>
      <c r="T6458" t="inlineStr">
        <is>
          <t>5286938869928</t>
        </is>
      </c>
    </row>
    <row r="6459" ht="87" customHeight="1">
      <c r="A6459" s="2">
        <f>HYPERLINK("https://edmondsonsupply.com/collections/electricians-tools/products/diablo-tools-dag", "https://edmondsonsupply.com/collections/electricians-tools/products/diablo-tools-dag")</f>
        <v/>
      </c>
      <c r="B6459" s="2">
        <f>HYPERLINK("https://edmondsonsupply.com/products/diablo-tools-dag", "https://edmondsonsupply.com/products/diablo-tools-dag")</f>
        <v/>
      </c>
      <c r="C6459" t="inlineStr">
        <is>
          <t>Diablo Tools DAG3010 3/8 in. x 17-1/2 in. Auger Bit</t>
        </is>
      </c>
      <c r="D6459" t="inlineStr">
        <is>
          <t>Diablo DAG3020 7/16 in. x 17-1/2 in. Auger Bit</t>
        </is>
      </c>
      <c r="E6459" s="2">
        <f>HYPERLINK("https://www.amazon.com/Diablo-DAG3020-17-1-Auger-Bit/dp/B089LGWKFF/ref=sr_1_9?keywords=Diablo+Tools+DAG3010+3%2F8+in.+x+17-1%2F2+in.+Auger+Bit&amp;qid=1694735073&amp;sr=8-9", "https://www.amazon.com/Diablo-DAG3020-17-1-Auger-Bit/dp/B089LGWKFF/ref=sr_1_9?keywords=Diablo+Tools+DAG3010+3%2F8+in.+x+17-1%2F2+in.+Auger+Bit&amp;qid=1694735073&amp;sr=8-9")</f>
        <v/>
      </c>
      <c r="F6459" t="inlineStr">
        <is>
          <t>B089LGWKFF</t>
        </is>
      </c>
      <c r="G6459">
        <f>_xlfn.IMAGE("https://edmondsonsupply.com/cdn/shop/products/xfctdbahz5wx3g461fm8.webp?v=1669991052")</f>
        <v/>
      </c>
      <c r="H6459">
        <f>_xlfn.IMAGE("https://m.media-amazon.com/images/I/61XUUNTev0L._AC_UL320_.jpg")</f>
        <v/>
      </c>
      <c r="K6459" t="inlineStr">
        <is>
          <t>17.47</t>
        </is>
      </c>
      <c r="L6459" t="n">
        <v>16.21</v>
      </c>
      <c r="M6459" s="1" t="inlineStr">
        <is>
          <t>-7.21%</t>
        </is>
      </c>
      <c r="N6459" s="7" t="n"/>
      <c r="O6459" t="n">
        <v>5</v>
      </c>
      <c r="P6459" t="n">
        <v>2</v>
      </c>
      <c r="R6459" t="inlineStr">
        <is>
          <t>InStock</t>
        </is>
      </c>
      <c r="S6459" t="inlineStr">
        <is>
          <t>25.04</t>
        </is>
      </c>
      <c r="T6459" t="inlineStr">
        <is>
          <t>7897480921304</t>
        </is>
      </c>
    </row>
    <row r="6460" hidden="1" ht="15.75" customHeight="1">
      <c r="A6460" s="2">
        <f>HYPERLINK("https://edmondsonsupply.com/collections/electricians-tools/products/klein-tools-31907-replacement-pilot-bit-1-4-x-3-1-2-inch", "https://edmondsonsupply.com/collections/electricians-tools/products/klein-tools-31907-replacement-pilot-bit-1-4-x-3-1-2-inch")</f>
        <v/>
      </c>
      <c r="B6460" s="2">
        <f>HYPERLINK("https://edmondsonsupply.com/products/klein-tools-31907-replacement-pilot-bit-1-4-x-3-1-2-inch", "https://edmondsonsupply.com/products/klein-tools-31907-replacement-pilot-bit-1-4-x-3-1-2-inch")</f>
        <v/>
      </c>
      <c r="C6460" t="inlineStr">
        <is>
          <t>Klein Tools 31907 Replacement Pilot Bit, 1/4 x 3-1/2-Inch</t>
        </is>
      </c>
      <c r="D6460" t="inlineStr">
        <is>
          <t>Klein Tools 32545 Replacement Bit, Tamperproof TORX #8 and #10</t>
        </is>
      </c>
      <c r="E6460" s="2">
        <f>HYPERLINK("https://www.amazon.com/Klein-Tools-32545-Replacement-Tamperproof/dp/B00776T7UE/ref=sr_1_37?keywords=Klein+Tools+31907+Replacement+Pilot+Bit%2C+1%2F4+x+3-1%2F2-Inch&amp;qid=1694735214&amp;sr=8-37", "https://www.amazon.com/Klein-Tools-32545-Replacement-Tamperproof/dp/B00776T7UE/ref=sr_1_37?keywords=Klein+Tools+31907+Replacement+Pilot+Bit%2C+1%2F4+x+3-1%2F2-Inch&amp;qid=1694735214&amp;sr=8-37")</f>
        <v/>
      </c>
      <c r="F6460" t="inlineStr">
        <is>
          <t>B00776T7UE</t>
        </is>
      </c>
      <c r="G6460">
        <f>_xludf.IMAGE("https://edmondsonsupply.com/cdn/shop/products/31907.jpg?v=1633031111")</f>
        <v/>
      </c>
      <c r="H6460">
        <f>_xludf.IMAGE("https://m.media-amazon.com/images/I/51bjokZ4tCL._AC_UL320_.jpg")</f>
        <v/>
      </c>
      <c r="K6460" t="inlineStr">
        <is>
          <t>4.99</t>
        </is>
      </c>
      <c r="L6460" t="n">
        <v>4.63</v>
      </c>
      <c r="M6460" s="1" t="inlineStr">
        <is>
          <t>-7.21%</t>
        </is>
      </c>
      <c r="N6460" s="1" t="n"/>
      <c r="O6460" t="n">
        <v>4.7</v>
      </c>
      <c r="P6460" t="n">
        <v>171</v>
      </c>
      <c r="R6460" t="inlineStr">
        <is>
          <t>InStock</t>
        </is>
      </c>
      <c r="S6460" t="inlineStr">
        <is>
          <t>5.6</t>
        </is>
      </c>
      <c r="T6460" t="inlineStr">
        <is>
          <t>6851948445869</t>
        </is>
      </c>
    </row>
    <row r="6461" ht="87" customHeight="1">
      <c r="A6461" s="2">
        <f>HYPERLINK("https://edmondsonsupply.com/collections/electricians-tools/products/milwaukee-49-56-0509-diamond-max%E2%84%A2-hole-saws", "https://edmondsonsupply.com/collections/electricians-tools/products/milwaukee-49-56-0509-diamond-max%E2%84%A2-hole-saws")</f>
        <v/>
      </c>
      <c r="B6461" s="2">
        <f>HYPERLINK("https://edmondsonsupply.com/products/milwaukee-49-56-0509-diamond-max%e2%84%a2-hole-saws", "https://edmondsonsupply.com/products/milwaukee-49-56-0509-diamond-max%e2%84%a2-hole-saws")</f>
        <v/>
      </c>
      <c r="C6461" t="inlineStr">
        <is>
          <t>Milwaukee 49-56-0509 3/8" Diamond MAX™ Hole Saw</t>
        </is>
      </c>
      <c r="D6461" t="inlineStr">
        <is>
          <t>Milwaukee 49-56-5605 7/8" Diamond Hole Saw</t>
        </is>
      </c>
      <c r="E6461" s="2">
        <f>HYPERLINK("https://www.amazon.com/Milwaukee-49-56-5605-Diamond-Hole-Saw/dp/B00LCU3HX4/ref=sr_1_21?keywords=Milwaukee+49-56-0509+3%2F8%22+Diamond+MAX%E2%84%A2+Hole+Saw&amp;qid=1694735061&amp;sr=8-21", "https://www.amazon.com/Milwaukee-49-56-5605-Diamond-Hole-Saw/dp/B00LCU3HX4/ref=sr_1_21?keywords=Milwaukee+49-56-0509+3%2F8%22+Diamond+MAX%E2%84%A2+Hole+Saw&amp;qid=1694735061&amp;sr=8-21")</f>
        <v/>
      </c>
      <c r="F6461" t="inlineStr">
        <is>
          <t>B00LCU3HX4</t>
        </is>
      </c>
      <c r="G6461">
        <f>_xlfn.IMAGE("https://edmondsonsupply.com/cdn/shop/products/images.jpg?v=1678461630")</f>
        <v/>
      </c>
      <c r="H6461">
        <f>_xlfn.IMAGE("https://m.media-amazon.com/images/I/5152pon1x9L._AC_UL320_.jpg")</f>
        <v/>
      </c>
      <c r="K6461" t="inlineStr">
        <is>
          <t>19.98</t>
        </is>
      </c>
      <c r="L6461" t="n">
        <v>18.53</v>
      </c>
      <c r="M6461" s="1" t="inlineStr">
        <is>
          <t>-7.26%</t>
        </is>
      </c>
      <c r="N6461" s="7" t="n"/>
      <c r="O6461" t="n">
        <v>4.3</v>
      </c>
      <c r="P6461" t="n">
        <v>16</v>
      </c>
      <c r="R6461" t="inlineStr">
        <is>
          <t>InStock</t>
        </is>
      </c>
      <c r="S6461" t="inlineStr">
        <is>
          <t>30.9</t>
        </is>
      </c>
      <c r="T6461" t="inlineStr">
        <is>
          <t>7910281019608</t>
        </is>
      </c>
    </row>
    <row r="6462" hidden="1" ht="15.75" customHeight="1">
      <c r="A6462" s="2">
        <f>HYPERLINK("https://edmondsonsupply.com/collections/electricians-tools/products/diablo-tools-dhs0188dg-3-16-in-diamond-grit-hole-saws", "https://edmondsonsupply.com/collections/electricians-tools/products/diablo-tools-dhs0188dg-3-16-in-diamond-grit-hole-saws")</f>
        <v/>
      </c>
      <c r="B6462" s="2">
        <f>HYPERLINK("https://edmondsonsupply.com/products/diablo-tools-dhs0188dg-3-16-in-diamond-grit-hole-saws", "https://edmondsonsupply.com/products/diablo-tools-dhs0188dg-3-16-in-diamond-grit-hole-saws")</f>
        <v/>
      </c>
      <c r="C6462" t="inlineStr">
        <is>
          <t>Diablo Tools DHS0188DG 3/16 in. Diamond Grit Hole Saws</t>
        </is>
      </c>
      <c r="D6462" t="inlineStr">
        <is>
          <t>JINGLING 5mm 3/16" Diamond Hole Saws Glass Drill Bit Masonry Tools Pack of 20Pcs</t>
        </is>
      </c>
      <c r="E6462" s="2">
        <f>HYPERLINK("https://www.amazon.com/JINGLING-Diamond-Glass-Drill-Masonry/dp/B08FJBX9PD/ref=sr_1_6?keywords=Diablo+Tools+DHS0188DG+3%2F16+in.+Diamond+Grit+Hole+Saws&amp;qid=1694735075&amp;sr=8-6", "https://www.amazon.com/JINGLING-Diamond-Glass-Drill-Masonry/dp/B08FJBX9PD/ref=sr_1_6?keywords=Diablo+Tools+DHS0188DG+3%2F16+in.+Diamond+Grit+Hole+Saws&amp;qid=1694735075&amp;sr=8-6")</f>
        <v/>
      </c>
      <c r="F6462" t="inlineStr">
        <is>
          <t>B08FJBX9PD</t>
        </is>
      </c>
      <c r="G6462">
        <f>_xludf.IMAGE("https://edmondsonsupply.com/cdn/shop/products/p5rk004y6neplsyvgnpq.webp?v=1670002824")</f>
        <v/>
      </c>
      <c r="H6462">
        <f>_xludf.IMAGE("https://m.media-amazon.com/images/I/61tCqlBIdpL._AC_UL320_.jpg")</f>
        <v/>
      </c>
      <c r="K6462" t="inlineStr">
        <is>
          <t>12.93</t>
        </is>
      </c>
      <c r="L6462" t="n">
        <v>11.99</v>
      </c>
      <c r="M6462" s="1" t="inlineStr">
        <is>
          <t>-7.27%</t>
        </is>
      </c>
      <c r="N6462" s="1" t="n"/>
      <c r="O6462" t="n">
        <v>4.3</v>
      </c>
      <c r="P6462" t="n">
        <v>562</v>
      </c>
      <c r="R6462" t="inlineStr">
        <is>
          <t>InStock</t>
        </is>
      </c>
      <c r="S6462" t="inlineStr">
        <is>
          <t>18.54</t>
        </is>
      </c>
      <c r="T6462" t="inlineStr">
        <is>
          <t>7897582371032</t>
        </is>
      </c>
    </row>
    <row r="6463" hidden="1" ht="15.75" customHeight="1">
      <c r="A6463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6463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6463" t="inlineStr">
        <is>
          <t>Klein Tools 630-7/16M 7/16-Inch Magnetic Tip Nut Driver 3-Inch Shaft</t>
        </is>
      </c>
      <c r="D6463" t="inlineStr">
        <is>
          <t>Klein Tools 610-5/16M 5/16-Inch Magnetic Tip Nut Driver with 1-1/2-Inch Hollow Shaft and Cushion Grip Handle</t>
        </is>
      </c>
      <c r="E6463" s="2">
        <f>HYPERLINK("https://www.amazon.com/Magnetic-Klein-Tools-610-5-16M/dp/B00093DZP0/ref=sr_1_18?keywords=Klein+Tools+630-7%2F16M+7%2F16-Inch+Magnetic+Tip+Nut+Driver+3-Inch+Shaft&amp;qid=1694735273&amp;sr=8-18", "https://www.amazon.com/Magnetic-Klein-Tools-610-5-16M/dp/B00093DZP0/ref=sr_1_18?keywords=Klein+Tools+630-7%2F16M+7%2F16-Inch+Magnetic+Tip+Nut+Driver+3-Inch+Shaft&amp;qid=1694735273&amp;sr=8-18")</f>
        <v/>
      </c>
      <c r="F6463" t="inlineStr">
        <is>
          <t>B00093DZP0</t>
        </is>
      </c>
      <c r="G6463">
        <f>_xludf.IMAGE("https://edmondsonsupply.com/cdn/shop/products/630-7-16m.jpg?v=1633030529")</f>
        <v/>
      </c>
      <c r="H6463">
        <f>_xludf.IMAGE("https://m.media-amazon.com/images/I/41rQZ0-NNZL._AC_UL320_.jpg")</f>
        <v/>
      </c>
      <c r="K6463" t="inlineStr">
        <is>
          <t>12.24</t>
        </is>
      </c>
      <c r="L6463" t="n">
        <v>11.34</v>
      </c>
      <c r="M6463" s="1" t="inlineStr">
        <is>
          <t>-7.35%</t>
        </is>
      </c>
      <c r="N6463" s="1" t="n"/>
      <c r="O6463" t="n">
        <v>4.7</v>
      </c>
      <c r="P6463" t="n">
        <v>258</v>
      </c>
      <c r="R6463" t="inlineStr">
        <is>
          <t>InStock</t>
        </is>
      </c>
      <c r="S6463" t="inlineStr">
        <is>
          <t>18.54</t>
        </is>
      </c>
      <c r="T6463" t="inlineStr">
        <is>
          <t>5408853819560</t>
        </is>
      </c>
    </row>
    <row r="6464" ht="87" customHeight="1">
      <c r="A6464" s="2">
        <f>HYPERLINK("https://edmondsonsupply.com/collections/electricians-tools/products/fluke-80ak-a-thermocouple-adapter-type-k", "https://edmondsonsupply.com/collections/electricians-tools/products/fluke-80ak-a-thermocouple-adapter-type-k")</f>
        <v/>
      </c>
      <c r="B6464" s="2">
        <f>HYPERLINK("https://edmondsonsupply.com/products/fluke-80ak-a-thermocouple-adapter-type-k", "https://edmondsonsupply.com/products/fluke-80ak-a-thermocouple-adapter-type-k")</f>
        <v/>
      </c>
      <c r="C6464" t="inlineStr">
        <is>
          <t>Fluke 80AK-A Thermocouple Adapter, Type K</t>
        </is>
      </c>
      <c r="D6464" t="inlineStr">
        <is>
          <t>Fluke 80AK-A Thermocouple Adapter</t>
        </is>
      </c>
      <c r="E6464" s="2">
        <f>HYPERLINK("https://www.amazon.com/Fluke-80AK-A-Thermocouple-Adapter/dp/B000VRFKFW/ref=sr_1_1?keywords=Fluke+80AK-A+Thermocouple+Adapter%2C+Type+K&amp;qid=1694735126&amp;sr=8-1", "https://www.amazon.com/Fluke-80AK-A-Thermocouple-Adapter/dp/B000VRFKFW/ref=sr_1_1?keywords=Fluke+80AK-A+Thermocouple+Adapter%2C+Type+K&amp;qid=1694735126&amp;sr=8-1")</f>
        <v/>
      </c>
      <c r="F6464" t="inlineStr">
        <is>
          <t>B000VRFKFW</t>
        </is>
      </c>
      <c r="G6464">
        <f>_xlfn.IMAGE("https://edmondsonsupply.com/cdn/shop/products/f-80ak-a_01a_h-1500x1000.webp?v=1662642921")</f>
        <v/>
      </c>
      <c r="H6464">
        <f>_xlfn.IMAGE("https://m.media-amazon.com/images/I/61OZf2FafeL._AC_UY218_.jpg")</f>
        <v/>
      </c>
      <c r="K6464" t="inlineStr">
        <is>
          <t>39.99</t>
        </is>
      </c>
      <c r="L6464" t="n">
        <v>37</v>
      </c>
      <c r="M6464" s="1" t="inlineStr">
        <is>
          <t>-7.48%</t>
        </is>
      </c>
      <c r="N6464" s="7" t="n"/>
      <c r="O6464" t="n">
        <v>4.7</v>
      </c>
      <c r="P6464" t="n">
        <v>262</v>
      </c>
      <c r="R6464" t="inlineStr">
        <is>
          <t>InStock</t>
        </is>
      </c>
      <c r="S6464" t="inlineStr">
        <is>
          <t>42.99</t>
        </is>
      </c>
      <c r="T6464" t="inlineStr">
        <is>
          <t>7808997687512</t>
        </is>
      </c>
    </row>
    <row r="6465" hidden="1" ht="15.75" customHeight="1">
      <c r="A6465" s="2">
        <f>HYPERLINK("https://edmondsonsupply.com/collections/electricians-tools/products/reed-mfg-dhr12-1-1-2npt-r12-drophead-1-1-2-npt", "https://edmondsonsupply.com/collections/electricians-tools/products/reed-mfg-dhr12-1-1-2npt-r12-drophead-1-1-2-npt")</f>
        <v/>
      </c>
      <c r="B6465" s="2">
        <f>HYPERLINK("https://edmondsonsupply.com/products/reed-mfg-dhr12-1-1-2npt-r12-drophead-1-1-2-npt", "https://edmondsonsupply.com/products/reed-mfg-dhr12-1-1-2npt-r12-drophead-1-1-2-npt")</f>
        <v/>
      </c>
      <c r="C6465" t="inlineStr">
        <is>
          <t>Reed Mfg DHR12 1 1/2NPT R12+ Drophead, 1-1/2" NPT</t>
        </is>
      </c>
      <c r="D6465" t="inlineStr">
        <is>
          <t>Reed Tool DHR12 1NPT R12+ Drophead, 1-Inch NPT</t>
        </is>
      </c>
      <c r="E6465" s="2">
        <f>HYPERLINK("https://www.amazon.com/Reed-Tool-DHR12-1NPT-Drophead/dp/B000ZGZ0PY/ref=sr_1_fkmr0_2?keywords=Reed+Mfg+DHR12+1+1%2F2NPT+R12%2B+Drophead%2C+1-1%2F2%22+NPT&amp;qid=1694735211&amp;sr=8-2-fkmr0", "https://www.amazon.com/Reed-Tool-DHR12-1NPT-Drophead/dp/B000ZGZ0PY/ref=sr_1_fkmr0_2?keywords=Reed+Mfg+DHR12+1+1%2F2NPT+R12%2B+Drophead%2C+1-1%2F2%22+NPT&amp;qid=1694735211&amp;sr=8-2-fkmr0")</f>
        <v/>
      </c>
      <c r="F6465" t="inlineStr">
        <is>
          <t>B000ZGZ0PY</t>
        </is>
      </c>
      <c r="G6465">
        <f>_xludf.IMAGE("https://edmondsonsupply.com/cdn/shop/products/57_1_43919434-23d1-4a38-ae34-862e7aaca453.jpg?v=1633031013")</f>
        <v/>
      </c>
      <c r="H6465">
        <f>_xludf.IMAGE("https://m.media-amazon.com/images/I/61ePWvUMWkL._AC_UY218_.jpg")</f>
        <v/>
      </c>
      <c r="K6465" t="inlineStr">
        <is>
          <t>170.7</t>
        </is>
      </c>
      <c r="L6465" t="n">
        <v>157.93</v>
      </c>
      <c r="M6465" s="1" t="inlineStr">
        <is>
          <t>-7.48%</t>
        </is>
      </c>
      <c r="N6465" s="1" t="n"/>
      <c r="O6465" t="n">
        <v>1</v>
      </c>
      <c r="P6465" t="n">
        <v>1</v>
      </c>
      <c r="R6465" t="inlineStr">
        <is>
          <t>InStock</t>
        </is>
      </c>
      <c r="S6465" t="inlineStr">
        <is>
          <t>197.46</t>
        </is>
      </c>
      <c r="T6465" t="inlineStr">
        <is>
          <t>6698100195501</t>
        </is>
      </c>
    </row>
    <row r="6466" ht="87" customHeight="1">
      <c r="A6466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6466" s="2">
        <f>HYPERLINK("https://edmondsonsupply.com/products/klein-tools-d2000-9ne-linemans-pliers-9-inch", "https://edmondsonsupply.com/products/klein-tools-d2000-9ne-linemans-pliers-9-inch")</f>
        <v/>
      </c>
      <c r="C6466" t="inlineStr">
        <is>
          <t>Klein Tools D2000-9NE Lineman's Pliers, 9-Inch</t>
        </is>
      </c>
      <c r="D6466" t="inlineStr">
        <is>
          <t>Klein Tools D213-9 Lineman's Square Nose Pliers, High Leverage Electrical Pliers with Induction Hardened Knives, 9-Inch</t>
        </is>
      </c>
      <c r="E6466" s="2">
        <f>HYPERLINK("https://www.amazon.com/Klein-Tools-D213-9-Linemans-Square/dp/B000LNK3OY/ref=sr_1_12?keywords=Klein+Tools+D2000-9NE+Linemans+Pliers%2C+9-Inch&amp;qid=1694735236&amp;sr=8-12", "https://www.amazon.com/Klein-Tools-D213-9-Linemans-Square/dp/B000LNK3OY/ref=sr_1_12?keywords=Klein+Tools+D2000-9NE+Linemans+Pliers%2C+9-Inch&amp;qid=1694735236&amp;sr=8-12")</f>
        <v/>
      </c>
      <c r="F6466" t="inlineStr">
        <is>
          <t>B000LNK3OY</t>
        </is>
      </c>
      <c r="G6466">
        <f>_xlfn.IMAGE("https://edmondsonsupply.com/cdn/shop/products/d20009ne.jpg?v=1633030816")</f>
        <v/>
      </c>
      <c r="H6466">
        <f>_xlfn.IMAGE("https://m.media-amazon.com/images/I/51Z5USetZ4L._AC_UL320_.jpg")</f>
        <v/>
      </c>
      <c r="K6466" t="inlineStr">
        <is>
          <t>39.99</t>
        </is>
      </c>
      <c r="L6466" t="n">
        <v>36.99</v>
      </c>
      <c r="M6466" s="1" t="inlineStr">
        <is>
          <t>-7.50%</t>
        </is>
      </c>
      <c r="N6466" s="7" t="n"/>
      <c r="O6466" t="n">
        <v>4.6</v>
      </c>
      <c r="P6466" t="n">
        <v>175</v>
      </c>
      <c r="R6466" t="inlineStr">
        <is>
          <t>InStock</t>
        </is>
      </c>
      <c r="S6466" t="inlineStr">
        <is>
          <t>62.04</t>
        </is>
      </c>
      <c r="T6466" t="inlineStr">
        <is>
          <t>6070895411373</t>
        </is>
      </c>
    </row>
    <row r="6467" hidden="1" ht="15.75" customHeight="1">
      <c r="A6467" s="2">
        <f>HYPERLINK("https://edmondsonsupply.com/collections/electricians-tools/products/diablo-tools-dmarg1170-5-8-in-x-4-in-x-6-in-speedemon%E2%84%A2-red-granite-carbide-tipped-hammer-drill-bit", "https://edmondsonsupply.com/collections/electricians-tools/products/diablo-tools-dmarg1170-5-8-in-x-4-in-x-6-in-speedemon%E2%84%A2-red-granite-carbide-tipped-hammer-drill-bit")</f>
        <v/>
      </c>
      <c r="B6467" s="2">
        <f>HYPERLINK("https://edmondsonsupply.com/products/diablo-tools-dmarg1170-5-8-in-x-4-in-x-6-in-speedemon%e2%84%a2-red-granite-carbide-tipped-hammer-drill-bit", "https://edmondsonsupply.com/products/diablo-tools-dmarg1170-5-8-in-x-4-in-x-6-in-speedemon%e2%84%a2-red-granite-carbide-tipped-hammer-drill-bit")</f>
        <v/>
      </c>
      <c r="C6467" t="inlineStr">
        <is>
          <t>Diablo Tools DMARG1170 5/8 in. x 4 in. x 6 in. SPEEDemon™ Red Granite Carbide Tipped Hammer Drill Bit</t>
        </is>
      </c>
      <c r="D6467" t="inlineStr">
        <is>
          <t>Diablo by Freud DMARG1170 5/8 in. x 4 in. x 6 in. SPEEDemon Red Granite Carbide Tipped Hammer Drill Bit</t>
        </is>
      </c>
      <c r="E6467" s="2">
        <f>HYPERLINK("https://www.amazon.com/Diablo-Freud-DMARG1170-SPEEDemon-Granite/dp/B089LHNF2T/ref=sr_1_4?keywords=Diablo+Tools+DMARG1170+5%2F8+in.+x+4+in.+x+6+in.+SPEEDemon%E2%84%A2+Red+Granite+Carbide+Tipped+Hammer+Drill+Bit&amp;qid=1694735259&amp;sr=8-4", "https://www.amazon.com/Diablo-Freud-DMARG1170-SPEEDemon-Granite/dp/B089LHNF2T/ref=sr_1_4?keywords=Diablo+Tools+DMARG1170+5%2F8+in.+x+4+in.+x+6+in.+SPEEDemon%E2%84%A2+Red+Granite+Carbide+Tipped+Hammer+Drill+Bit&amp;qid=1694735259&amp;sr=8-4")</f>
        <v/>
      </c>
      <c r="F6467" t="inlineStr">
        <is>
          <t>B089LHNF2T</t>
        </is>
      </c>
      <c r="G6467">
        <f>_xludf.IMAGE("https://edmondsonsupply.com/cdn/shop/products/DMARG1170_Main-Image20200702.png?v=1633030651")</f>
        <v/>
      </c>
      <c r="H6467">
        <f>_xludf.IMAGE("https://m.media-amazon.com/images/I/61+aCAjnkLL._AC_UL320_.jpg")</f>
        <v/>
      </c>
      <c r="K6467" t="inlineStr">
        <is>
          <t>12.97</t>
        </is>
      </c>
      <c r="L6467" t="n">
        <v>11.99</v>
      </c>
      <c r="M6467" s="1" t="inlineStr">
        <is>
          <t>-7.56%</t>
        </is>
      </c>
      <c r="N6467" s="1" t="n"/>
      <c r="O6467" t="n">
        <v>4.6</v>
      </c>
      <c r="P6467" t="n">
        <v>14</v>
      </c>
      <c r="R6467" t="inlineStr">
        <is>
          <t>InStock</t>
        </is>
      </c>
      <c r="S6467" t="inlineStr">
        <is>
          <t>undefined</t>
        </is>
      </c>
      <c r="T6467" t="inlineStr">
        <is>
          <t>5740431704232</t>
        </is>
      </c>
    </row>
    <row r="6468" hidden="1" ht="15.75" customHeight="1">
      <c r="A6468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468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468" t="inlineStr">
        <is>
          <t>Klein Tools 6946INS Slim-Tip 1000V Insulated Screwdriver, #2 Square, 6-Inch Round Shank</t>
        </is>
      </c>
      <c r="D6468" t="inlineStr">
        <is>
          <t>Klein Tools 6946INS 1000V Slim Tip Insulated Screwdriver, 6-Inch Round Shank, #2 Square Tip, Cushion Grip Handle</t>
        </is>
      </c>
      <c r="E6468" s="2">
        <f>HYPERLINK("https://www.amazon.com/Klein-Tools-6946INS-Insulated-Screwdriver/dp/B088NN95Q5/ref=sr_1_1?keywords=Klein+Tools+6946INS+Slim-Tip+1000V+Insulated+Screwdriver%2C+%232+Square%2C+6-Inch+Round+Shank&amp;qid=1694735275&amp;sr=8-1", "https://www.amazon.com/Klein-Tools-6946INS-Insulated-Screwdriver/dp/B088NN95Q5/ref=sr_1_1?keywords=Klein+Tools+6946INS+Slim-Tip+1000V+Insulated+Screwdriver%2C+%232+Square%2C+6-Inch+Round+Shank&amp;qid=1694735275&amp;sr=8-1")</f>
        <v/>
      </c>
      <c r="F6468" t="inlineStr">
        <is>
          <t>B088NN95Q5</t>
        </is>
      </c>
      <c r="G6468">
        <f>_xludf.IMAGE("https://edmondsonsupply.com/cdn/shop/products/6946ins.jpg?v=1633030561")</f>
        <v/>
      </c>
      <c r="H6468">
        <f>_xludf.IMAGE("https://m.media-amazon.com/images/I/414Kb+NSPsS._AC_UL320_.jpg")</f>
        <v/>
      </c>
      <c r="K6468" t="inlineStr">
        <is>
          <t>14.99</t>
        </is>
      </c>
      <c r="L6468" t="n">
        <v>13.85</v>
      </c>
      <c r="M6468" s="1" t="inlineStr">
        <is>
          <t>-7.61%</t>
        </is>
      </c>
      <c r="N6468" s="1" t="n"/>
      <c r="O6468" t="n">
        <v>4.8</v>
      </c>
      <c r="P6468" t="n">
        <v>1358</v>
      </c>
      <c r="R6468" t="inlineStr">
        <is>
          <t>InStock</t>
        </is>
      </c>
      <c r="S6468" t="inlineStr">
        <is>
          <t>21.02</t>
        </is>
      </c>
      <c r="T6468" t="inlineStr">
        <is>
          <t>5439611502760</t>
        </is>
      </c>
    </row>
    <row r="6469" hidden="1" ht="15.75" customHeight="1">
      <c r="A6469" s="2">
        <f>HYPERLINK("https://edmondsonsupply.com/collections/electricians-tools/products/klein-tools-6916ins-slim-tip-insulated-screwdriver-3-16-inch-cabinet-6-inch-round-shank", "https://edmondsonsupply.com/collections/electricians-tools/products/klein-tools-6916ins-slim-tip-insulated-screwdriver-3-16-inch-cabinet-6-inch-round-shank")</f>
        <v/>
      </c>
      <c r="B6469" s="2">
        <f>HYPERLINK("https://edmondsonsupply.com/products/klein-tools-6916ins-slim-tip-insulated-screwdriver-3-16-inch-cabinet-6-inch-round-shank", "https://edmondsonsupply.com/products/klein-tools-6916ins-slim-tip-insulated-screwdriver-3-16-inch-cabinet-6-inch-round-shank")</f>
        <v/>
      </c>
      <c r="C6469" t="inlineStr">
        <is>
          <t>Klein Tools 6916INS Slim-Tip Insulated Screwdriver, 3/16-Inch Cabinet, 6-Inch Round Shank</t>
        </is>
      </c>
      <c r="D6469" t="inlineStr">
        <is>
          <t>Klein Tools 6916INS 1000V Slim Tip Insulated Screwdriver, 6-Inch Round Shank, 3/16-Inch Cabinet Tip, Cushion Grip Handle</t>
        </is>
      </c>
      <c r="E6469" s="2">
        <f>HYPERLINK("https://www.amazon.com/Klein-Tools-6916INS-Insulated-Screwdriver/dp/B089DR97MJ/ref=sr_1_1?keywords=Klein+Tools+6916INS+Slim-Tip+Insulated+Screwdriver%2C+3%2F16-Inch+Cabinet%2C+6-Inch+Round+Shank&amp;qid=1694735268&amp;sr=8-1", "https://www.amazon.com/Klein-Tools-6916INS-Insulated-Screwdriver/dp/B089DR97MJ/ref=sr_1_1?keywords=Klein+Tools+6916INS+Slim-Tip+Insulated+Screwdriver%2C+3%2F16-Inch+Cabinet%2C+6-Inch+Round+Shank&amp;qid=1694735268&amp;sr=8-1")</f>
        <v/>
      </c>
      <c r="F6469" t="inlineStr">
        <is>
          <t>B089DR97MJ</t>
        </is>
      </c>
      <c r="G6469">
        <f>_xludf.IMAGE("https://edmondsonsupply.com/cdn/shop/products/6916ins.jpg?v=1633030552")</f>
        <v/>
      </c>
      <c r="H6469">
        <f>_xludf.IMAGE("https://m.media-amazon.com/images/I/41JpJG+Jh0L._AC_UL320_.jpg")</f>
        <v/>
      </c>
      <c r="K6469" t="inlineStr">
        <is>
          <t>14.99</t>
        </is>
      </c>
      <c r="L6469" t="n">
        <v>13.85</v>
      </c>
      <c r="M6469" s="1" t="inlineStr">
        <is>
          <t>-7.61%</t>
        </is>
      </c>
      <c r="N6469" s="1" t="n"/>
      <c r="O6469" t="n">
        <v>4.8</v>
      </c>
      <c r="P6469" t="n">
        <v>1358</v>
      </c>
      <c r="R6469" t="inlineStr">
        <is>
          <t>InStock</t>
        </is>
      </c>
      <c r="S6469" t="inlineStr">
        <is>
          <t>21.02</t>
        </is>
      </c>
      <c r="T6469" t="inlineStr">
        <is>
          <t>5439528468648</t>
        </is>
      </c>
    </row>
    <row r="6470" hidden="1" ht="15.75" customHeight="1">
      <c r="A6470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470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470" t="inlineStr">
        <is>
          <t>Klein Tools 6926INS Slim-Tip 1000V Insulated Screwdriver, 1/4-Inch Cabinet, 6-Inch</t>
        </is>
      </c>
      <c r="D6470" t="inlineStr">
        <is>
          <t>Klein Tools 6916INS 1000V Slim Tip Insulated Screwdriver, 6-Inch Round Shank, 3/16-Inch Cabinet Tip, Cushion Grip Handle</t>
        </is>
      </c>
      <c r="E6470" s="2">
        <f>HYPERLINK("https://www.amazon.com/Klein-Tools-6916INS-Insulated-Screwdriver/dp/B089DR97MJ/ref=sr_1_2?keywords=Klein+Tools+6926INS+Slim-Tip+1000V+Insulated+Screwdriver%2C+1%2F4-Inch+Cabinet%2C+6-Inch&amp;qid=1694735143&amp;sr=8-2", "https://www.amazon.com/Klein-Tools-6916INS-Insulated-Screwdriver/dp/B089DR97MJ/ref=sr_1_2?keywords=Klein+Tools+6926INS+Slim-Tip+1000V+Insulated+Screwdriver%2C+1%2F4-Inch+Cabinet%2C+6-Inch&amp;qid=1694735143&amp;sr=8-2")</f>
        <v/>
      </c>
      <c r="F6470" t="inlineStr">
        <is>
          <t>B089DR97MJ</t>
        </is>
      </c>
      <c r="G6470">
        <f>_xludf.IMAGE("https://edmondsonsupply.com/cdn/shop/products/6926ins.jpg?v=1664803626")</f>
        <v/>
      </c>
      <c r="H6470">
        <f>_xludf.IMAGE("https://m.media-amazon.com/images/I/41JpJG+Jh0L._AC_UL320_.jpg")</f>
        <v/>
      </c>
      <c r="K6470" t="inlineStr">
        <is>
          <t>14.99</t>
        </is>
      </c>
      <c r="L6470" t="n">
        <v>13.85</v>
      </c>
      <c r="M6470" s="1" t="inlineStr">
        <is>
          <t>-7.61%</t>
        </is>
      </c>
      <c r="N6470" s="1" t="n"/>
      <c r="O6470" t="n">
        <v>4.8</v>
      </c>
      <c r="P6470" t="n">
        <v>1358</v>
      </c>
      <c r="R6470" t="inlineStr">
        <is>
          <t>InStock</t>
        </is>
      </c>
      <c r="S6470" t="inlineStr">
        <is>
          <t>20.98</t>
        </is>
      </c>
      <c r="T6470" t="inlineStr">
        <is>
          <t>7837578625240</t>
        </is>
      </c>
    </row>
    <row r="6471" hidden="1" ht="15.75" customHeight="1">
      <c r="A6471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471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471" t="inlineStr">
        <is>
          <t>Klein Tools 6986INS Slim-Tip 1000V Insulated Screwdriver, #1 Square, 6-Inch Round Shank</t>
        </is>
      </c>
      <c r="D6471" t="inlineStr">
        <is>
          <t>Klein Tools 6946INS 1000V Slim Tip Insulated Screwdriver, 6-Inch Round Shank, #2 Square Tip, Cushion Grip Handle</t>
        </is>
      </c>
      <c r="E6471" s="2">
        <f>HYPERLINK("https://www.amazon.com/Klein-Tools-6946INS-Insulated-Screwdriver/dp/B088NN95Q5/ref=sr_1_2?keywords=Klein+Tools+6986INS+Slim-Tip+1000V+Insulated+Screwdriver%2C+%231+Square%2C+6-Inch+Round+Shank&amp;qid=1694735117&amp;sr=8-2", "https://www.amazon.com/Klein-Tools-6946INS-Insulated-Screwdriver/dp/B088NN95Q5/ref=sr_1_2?keywords=Klein+Tools+6986INS+Slim-Tip+1000V+Insulated+Screwdriver%2C+%231+Square%2C+6-Inch+Round+Shank&amp;qid=1694735117&amp;sr=8-2")</f>
        <v/>
      </c>
      <c r="F6471" t="inlineStr">
        <is>
          <t>B088NN95Q5</t>
        </is>
      </c>
      <c r="G6471">
        <f>_xludf.IMAGE("https://edmondsonsupply.com/cdn/shop/products/6986ins.jpg?v=1664806830")</f>
        <v/>
      </c>
      <c r="H6471">
        <f>_xludf.IMAGE("https://m.media-amazon.com/images/I/414Kb+NSPsS._AC_UL320_.jpg")</f>
        <v/>
      </c>
      <c r="K6471" t="inlineStr">
        <is>
          <t>14.99</t>
        </is>
      </c>
      <c r="L6471" t="n">
        <v>13.85</v>
      </c>
      <c r="M6471" s="1" t="inlineStr">
        <is>
          <t>-7.61%</t>
        </is>
      </c>
      <c r="N6471" s="1" t="n"/>
      <c r="O6471" t="n">
        <v>4.8</v>
      </c>
      <c r="P6471" t="n">
        <v>1358</v>
      </c>
      <c r="R6471" t="inlineStr">
        <is>
          <t>InStock</t>
        </is>
      </c>
      <c r="S6471" t="inlineStr">
        <is>
          <t>20.98</t>
        </is>
      </c>
      <c r="T6471" t="inlineStr">
        <is>
          <t>7837634461912</t>
        </is>
      </c>
    </row>
    <row r="6472" ht="87" customHeight="1">
      <c r="A6472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6472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6472" t="inlineStr">
        <is>
          <t>Diablo Tools DMAPL4160-P25 3/8 in. x 10 in. x 12 in. Rebar Demon™ SDS-Plus 4-Cutter Full Carbide Head Hammer Bit (25 pack)</t>
        </is>
      </c>
      <c r="D6472" t="inlineStr">
        <is>
          <t>Diablo by Freud DMAPL4160-P25 3/8 in. x 10 in. x 12 in. Rebar Demon SDS-Plus 4-Cutter Full Carbide Head Hammer Bit (25-Pack)</t>
        </is>
      </c>
      <c r="E6472" s="2" t="n"/>
      <c r="F6472" t="inlineStr">
        <is>
          <t>B089LKWCD1</t>
        </is>
      </c>
      <c r="G6472">
        <f>_xlfn.IMAGE("https://edmondsonsupply.com/cdn/shop/products/DMAPL4160_Main-Image20200702.png?v=1633030463")</f>
        <v/>
      </c>
      <c r="H6472">
        <f>_xlfn.IMAGE("https://m.media-amazon.com/images/I/61MHnm3+2bL._AC_UL320_.jpg")</f>
        <v/>
      </c>
      <c r="K6472" t="inlineStr">
        <is>
          <t>195.97</t>
        </is>
      </c>
      <c r="L6472" t="n">
        <v>180.97</v>
      </c>
      <c r="M6472" s="1" t="inlineStr">
        <is>
          <t>-7.65%</t>
        </is>
      </c>
      <c r="N6472" s="7" t="n"/>
      <c r="O6472" t="n">
        <v>5</v>
      </c>
      <c r="P6472" t="n">
        <v>1</v>
      </c>
      <c r="R6472" t="inlineStr">
        <is>
          <t>InStock</t>
        </is>
      </c>
      <c r="S6472" t="inlineStr">
        <is>
          <t>283.58</t>
        </is>
      </c>
      <c r="T6472" t="inlineStr">
        <is>
          <t>5361994236072</t>
        </is>
      </c>
    </row>
    <row r="6473" hidden="1" ht="15.75" customHeight="1">
      <c r="A6473" s="2">
        <f>HYPERLINK("https://edmondsonsupply.com/collections/electricians-tools/products/klein-tools-630-5-8-nut-driver-5-8-inch-4-inch-hollow-shaft", "https://edmondsonsupply.com/collections/electricians-tools/products/klein-tools-630-5-8-nut-driver-5-8-inch-4-inch-hollow-shaft")</f>
        <v/>
      </c>
      <c r="B6473" s="2">
        <f>HYPERLINK("https://edmondsonsupply.com/products/klein-tools-630-5-8-nut-driver-5-8-inch-4-inch-hollow-shaft", "https://edmondsonsupply.com/products/klein-tools-630-5-8-nut-driver-5-8-inch-4-inch-hollow-shaft")</f>
        <v/>
      </c>
      <c r="C6473" t="inlineStr">
        <is>
          <t>Klein Tools 630-5/8 Nut Driver, 5/8-Inch, 4-Inch Hollow Shaft</t>
        </is>
      </c>
      <c r="D6473" t="inlineStr">
        <is>
          <t>Klein Tools 630-4.5MM 4.5 mm Nut Driver with 3-Inch Hollow Shaft and Cushion Grip Handle</t>
        </is>
      </c>
      <c r="E6473" s="2">
        <f>HYPERLINK("https://www.amazon.com/Klein-Tools-630-4-5MM-Driver-Cushion/dp/B0009OTGSY/ref=sr_1_9?keywords=Klein+Tools+630-5%2F8+Nut+Driver%2C+5%2F8-Inch%2C+4-Inch+Hollow+Shaft&amp;qid=1694735205&amp;sr=8-9", "https://www.amazon.com/Klein-Tools-630-4-5MM-Driver-Cushion/dp/B0009OTGSY/ref=sr_1_9?keywords=Klein+Tools+630-5%2F8+Nut+Driver%2C+5%2F8-Inch%2C+4-Inch+Hollow+Shaft&amp;qid=1694735205&amp;sr=8-9")</f>
        <v/>
      </c>
      <c r="F6473" t="inlineStr">
        <is>
          <t>B0009OTGSY</t>
        </is>
      </c>
      <c r="G6473">
        <f>_xludf.IMAGE("https://edmondsonsupply.com/cdn/shop/products/630-1-2_df0ca74a-79e7-41f4-ad94-60312e01e692.jpg?v=1633031052")</f>
        <v/>
      </c>
      <c r="H6473">
        <f>_xludf.IMAGE("https://m.media-amazon.com/images/I/51J7GyuS2WL._AC_UL320_.jpg")</f>
        <v/>
      </c>
      <c r="K6473" t="inlineStr">
        <is>
          <t>12.49</t>
        </is>
      </c>
      <c r="L6473" t="n">
        <v>11.53</v>
      </c>
      <c r="M6473" s="1" t="inlineStr">
        <is>
          <t>-7.69%</t>
        </is>
      </c>
      <c r="N6473" s="1" t="n"/>
      <c r="O6473" t="n">
        <v>4.8</v>
      </c>
      <c r="P6473" t="n">
        <v>1115</v>
      </c>
      <c r="R6473" t="inlineStr">
        <is>
          <t>InStock</t>
        </is>
      </c>
      <c r="S6473" t="inlineStr">
        <is>
          <t>18.92</t>
        </is>
      </c>
      <c r="T6473" t="inlineStr">
        <is>
          <t>6781025386669</t>
        </is>
      </c>
    </row>
    <row r="6474" hidden="1" ht="15.75" customHeight="1">
      <c r="A6474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6474" s="2">
        <f>HYPERLINK("https://edmondsonsupply.com/products/klein-tools-635-3-8-3-8-inch-heavy-duty-nut-driver", "https://edmondsonsupply.com/products/klein-tools-635-3-8-3-8-inch-heavy-duty-nut-driver")</f>
        <v/>
      </c>
      <c r="C6474" t="inlineStr">
        <is>
          <t>Klein Tools 635-3/8 3/8-Inch Heavy-Duty Nut Driver</t>
        </is>
      </c>
      <c r="D6474" t="inlineStr">
        <is>
          <t>Klein Tools 646-3/8M Magnetic Tip Nut Driver, 3/8-Inch with 6-Inch Hollow Shank</t>
        </is>
      </c>
      <c r="E6474" s="2">
        <f>HYPERLINK("https://www.amazon.com/Magnetic-Klein-Tools-646-3-8M/dp/B000MKKD78/ref=sr_1_4?keywords=Klein+Tools+635-3%2F8+3%2F8-Inch+Heavy-Duty+Nut+Driver&amp;qid=1694735241&amp;sr=8-4", "https://www.amazon.com/Magnetic-Klein-Tools-646-3-8M/dp/B000MKKD78/ref=sr_1_4?keywords=Klein+Tools+635-3%2F8+3%2F8-Inch+Heavy-Duty+Nut+Driver&amp;qid=1694735241&amp;sr=8-4")</f>
        <v/>
      </c>
      <c r="F6474" t="inlineStr">
        <is>
          <t>B000MKKD78</t>
        </is>
      </c>
      <c r="G6474">
        <f>_xludf.IMAGE("https://edmondsonsupply.com/cdn/shop/products/635-3-8.jpg?v=1633030895")</f>
        <v/>
      </c>
      <c r="H6474">
        <f>_xludf.IMAGE("https://m.media-amazon.com/images/I/41xN-SH9qBL._AC_UL320_.jpg")</f>
        <v/>
      </c>
      <c r="K6474" t="inlineStr">
        <is>
          <t>12.99</t>
        </is>
      </c>
      <c r="L6474" t="n">
        <v>11.99</v>
      </c>
      <c r="M6474" s="1" t="inlineStr">
        <is>
          <t>-7.70%</t>
        </is>
      </c>
      <c r="N6474" s="1" t="n"/>
      <c r="O6474" t="n">
        <v>4.8</v>
      </c>
      <c r="P6474" t="n">
        <v>2491</v>
      </c>
      <c r="R6474" t="inlineStr">
        <is>
          <t>InStock</t>
        </is>
      </c>
      <c r="S6474" t="inlineStr">
        <is>
          <t>19.68</t>
        </is>
      </c>
      <c r="T6474" t="inlineStr">
        <is>
          <t>6228534952109</t>
        </is>
      </c>
    </row>
    <row r="6475" ht="87" customHeight="1">
      <c r="A6475" s="2">
        <f>HYPERLINK("https://edmondsonsupply.com/collections/electricians-tools/products/klein-tools-d213-9neth-linemans-bolt-thread-holding-pliers-9-inch", "https://edmondsonsupply.com/collections/electricians-tools/products/klein-tools-d213-9neth-linemans-bolt-thread-holding-pliers-9-inch")</f>
        <v/>
      </c>
      <c r="B6475" s="2">
        <f>HYPERLINK("https://edmondsonsupply.com/products/klein-tools-d213-9neth-linemans-bolt-thread-holding-pliers-9-inch", "https://edmondsonsupply.com/products/klein-tools-d213-9neth-linemans-bolt-thread-holding-pliers-9-inch")</f>
        <v/>
      </c>
      <c r="C6475" t="inlineStr">
        <is>
          <t>Klein Tools D213-9NETH Lineman's Bolt-Thread Holding Pliers, 9-Inch</t>
        </is>
      </c>
      <c r="D6475" t="inlineStr">
        <is>
          <t>Klein Tools D213-9NETH Lineman's Bolt-Thread Holding Pliers, High-Leverage Streamline Design with Rounded Nose and Knurled Jaw, 9-Inch</t>
        </is>
      </c>
      <c r="E6475" s="2">
        <f>HYPERLINK("https://www.amazon.com/Linemans-Bolt-Thread-Klein-Tools-D213-9NETH/dp/B0002RI9LI/ref=sr_1_1?keywords=Klein+Tools+D213-9NETH+Lineman%27s+Bolt-Thread+Holding+Pliers%2C+9-Inch&amp;qid=1694735236&amp;sr=8-1", "https://www.amazon.com/Linemans-Bolt-Thread-Klein-Tools-D213-9NETH/dp/B0002RI9LI/ref=sr_1_1?keywords=Klein+Tools+D213-9NETH+Lineman%27s+Bolt-Thread+Holding+Pliers%2C+9-Inch&amp;qid=1694735236&amp;sr=8-1")</f>
        <v/>
      </c>
      <c r="F6475" t="inlineStr">
        <is>
          <t>B0002RI9LI</t>
        </is>
      </c>
      <c r="G6475">
        <f>_xlfn.IMAGE("https://edmondsonsupply.com/cdn/shop/products/d2139neth.jpg?v=1633030817")</f>
        <v/>
      </c>
      <c r="H6475">
        <f>_xlfn.IMAGE("https://m.media-amazon.com/images/I/41zLBRo7-aL._AC_UL320_.jpg")</f>
        <v/>
      </c>
      <c r="K6475" t="inlineStr">
        <is>
          <t>39.99</t>
        </is>
      </c>
      <c r="L6475" t="n">
        <v>36.9</v>
      </c>
      <c r="M6475" s="1" t="inlineStr">
        <is>
          <t>-7.73%</t>
        </is>
      </c>
      <c r="N6475" s="7" t="n"/>
      <c r="O6475" t="n">
        <v>4.8</v>
      </c>
      <c r="P6475" t="n">
        <v>4116</v>
      </c>
      <c r="R6475" t="inlineStr">
        <is>
          <t>InStock</t>
        </is>
      </c>
      <c r="S6475" t="inlineStr">
        <is>
          <t>60.58</t>
        </is>
      </c>
      <c r="T6475" t="inlineStr">
        <is>
          <t>6070906749101</t>
        </is>
      </c>
    </row>
    <row r="6476" ht="87" customHeight="1">
      <c r="A6476" s="2">
        <f>HYPERLINK("https://edmondsonsupply.com/collections/electricians-tools/products/klein-tools-69407-tradesman-pro%E2%84%A2-carrying-case-medium", "https://edmondsonsupply.com/collections/electricians-tools/products/klein-tools-69407-tradesman-pro%E2%84%A2-carrying-case-medium")</f>
        <v/>
      </c>
      <c r="B6476" s="2">
        <f>HYPERLINK("https://edmondsonsupply.com/products/klein-tools-69407-tradesman-pro%e2%84%a2-carrying-case-medium", "https://edmondsonsupply.com/products/klein-tools-69407-tradesman-pro%e2%84%a2-carrying-case-medium")</f>
        <v/>
      </c>
      <c r="C6476" t="inlineStr">
        <is>
          <t>Klein Tools 69407 Tradesman Pro™ Carrying Case, Medium</t>
        </is>
      </c>
      <c r="D6476" t="inlineStr">
        <is>
          <t>Klein Tools 69407 Tradesman Pro Carrying Case, Medium</t>
        </is>
      </c>
      <c r="E6476" s="2">
        <f>HYPERLINK("https://www.amazon.com/Tradesman-Carrying-Klein-Tools-69407/dp/B00FZEO79Q/ref=sr_1_1?keywords=Klein+Tools+69407+Tradesman+Pro%E2%84%A2+Carrying+Case%2C+Medium&amp;qid=1694735195&amp;sr=8-1", "https://www.amazon.com/Tradesman-Carrying-Klein-Tools-69407/dp/B00FZEO79Q/ref=sr_1_1?keywords=Klein+Tools+69407+Tradesman+Pro%E2%84%A2+Carrying+Case%2C+Medium&amp;qid=1694735195&amp;sr=8-1")</f>
        <v/>
      </c>
      <c r="F6476" t="inlineStr">
        <is>
          <t>B00FZEO79Q</t>
        </is>
      </c>
      <c r="G6476">
        <f>_xlfn.IMAGE("https://edmondsonsupply.com/cdn/shop/products/69407.jpg?v=1587148653")</f>
        <v/>
      </c>
      <c r="H6476">
        <f>_xlfn.IMAGE("https://m.media-amazon.com/images/I/61PYa7ecItL._AC_UL320_.jpg")</f>
        <v/>
      </c>
      <c r="K6476" t="inlineStr">
        <is>
          <t>37.99</t>
        </is>
      </c>
      <c r="L6476" t="n">
        <v>35</v>
      </c>
      <c r="M6476" s="1" t="inlineStr">
        <is>
          <t>-7.87%</t>
        </is>
      </c>
      <c r="N6476" s="7" t="n"/>
      <c r="O6476" t="n">
        <v>4.7</v>
      </c>
      <c r="P6476" t="n">
        <v>191</v>
      </c>
      <c r="R6476" t="inlineStr">
        <is>
          <t>InStock</t>
        </is>
      </c>
      <c r="S6476" t="inlineStr">
        <is>
          <t>57.58</t>
        </is>
      </c>
      <c r="T6476" t="inlineStr">
        <is>
          <t>2847118852196</t>
        </is>
      </c>
    </row>
    <row r="6477" ht="87" customHeight="1">
      <c r="A6477" s="2">
        <f>HYPERLINK("https://edmondsonsupply.com/collections/electricians-tools/products/klein-tools-58890-17-pocket-tool-tote-with-shoulder-strap", "https://edmondsonsupply.com/collections/electricians-tools/products/klein-tools-58890-17-pocket-tool-tote-with-shoulder-strap")</f>
        <v/>
      </c>
      <c r="B6477" s="2">
        <f>HYPERLINK("https://edmondsonsupply.com/products/klein-tools-58890-17-pocket-tool-tote-with-shoulder-strap", "https://edmondsonsupply.com/products/klein-tools-58890-17-pocket-tool-tote-with-shoulder-strap")</f>
        <v/>
      </c>
      <c r="C6477" t="inlineStr">
        <is>
          <t>Klein Tools 58890 17 Pocket Tool Tote with Shoulder Strap</t>
        </is>
      </c>
      <c r="D6477" t="inlineStr">
        <is>
          <t>Klein Tools 5541610-14 Tool Bag with Shoulder Strap Has 40 Pockets for Tool Storage and Orange Interior</t>
        </is>
      </c>
      <c r="E6477" s="2">
        <f>HYPERLINK("https://www.amazon.com/Shoulder-Interior-Klein-Tools-5541610-14/dp/B00MS16CU6/ref=sr_1_3?keywords=Klein+Tools+58890+17+Pocket+Tool+Tote+with+Shoulder+Strap&amp;qid=1694735362&amp;sr=8-3", "https://www.amazon.com/Shoulder-Interior-Klein-Tools-5541610-14/dp/B00MS16CU6/ref=sr_1_3?keywords=Klein+Tools+58890+17+Pocket+Tool+Tote+with+Shoulder+Strap&amp;qid=1694735362&amp;sr=8-3")</f>
        <v/>
      </c>
      <c r="F6477" t="inlineStr">
        <is>
          <t>B00MS16CU6</t>
        </is>
      </c>
      <c r="G6477">
        <f>_xlfn.IMAGE("https://edmondsonsupply.com/cdn/shop/products/58890.jpg?v=1587148627")</f>
        <v/>
      </c>
      <c r="H6477">
        <f>_xlfn.IMAGE("https://m.media-amazon.com/images/I/61ach47aWeL._AC_UL320_.jpg")</f>
        <v/>
      </c>
      <c r="K6477" t="inlineStr">
        <is>
          <t>97.99</t>
        </is>
      </c>
      <c r="L6477" t="n">
        <v>90.15000000000001</v>
      </c>
      <c r="M6477" s="1" t="inlineStr">
        <is>
          <t>-8.00%</t>
        </is>
      </c>
      <c r="N6477" s="7" t="n"/>
      <c r="O6477" t="n">
        <v>4.8</v>
      </c>
      <c r="P6477" t="n">
        <v>2931</v>
      </c>
      <c r="R6477" t="inlineStr">
        <is>
          <t>InStock</t>
        </is>
      </c>
      <c r="S6477" t="inlineStr">
        <is>
          <t>148.48</t>
        </is>
      </c>
      <c r="T6477" t="inlineStr">
        <is>
          <t>4432350740580</t>
        </is>
      </c>
    </row>
    <row r="6478" ht="87" customHeight="1">
      <c r="A6478" s="2">
        <f>HYPERLINK("https://edmondsonsupply.com/collections/electricians-tools/products/greenlee-cm-450-true-rms-ac-clamp-meter", "https://edmondsonsupply.com/collections/electricians-tools/products/greenlee-cm-450-true-rms-ac-clamp-meter")</f>
        <v/>
      </c>
      <c r="B6478" s="2">
        <f>HYPERLINK("https://edmondsonsupply.com/products/greenlee-cm-450-true-rms-ac-clamp-meter", "https://edmondsonsupply.com/products/greenlee-cm-450-true-rms-ac-clamp-meter")</f>
        <v/>
      </c>
      <c r="C6478" t="inlineStr">
        <is>
          <t>Greenlee CM-450 True RMS AC Clamp Meter</t>
        </is>
      </c>
      <c r="D6478" t="inlineStr">
        <is>
          <t>Greenlee CM-450 AC Clamp-on Meter, True RMS, Greens</t>
        </is>
      </c>
      <c r="E6478" s="2">
        <f>HYPERLINK("https://www.amazon.com/Greenlee-CM-450-Clamp-Meter-True/dp/B002COQGI2/ref=sr_1_1?keywords=Greenlee+CM-450+True+RMS+AC+Clamp+Meter&amp;qid=1694735381&amp;sr=8-1", "https://www.amazon.com/Greenlee-CM-450-Clamp-Meter-True/dp/B002COQGI2/ref=sr_1_1?keywords=Greenlee+CM-450+True+RMS+AC+Clamp+Meter&amp;qid=1694735381&amp;sr=8-1")</f>
        <v/>
      </c>
      <c r="F6478" t="inlineStr">
        <is>
          <t>B002COQGI2</t>
        </is>
      </c>
      <c r="G6478">
        <f>_xlfn.IMAGE("https://edmondsonsupply.com/cdn/shop/products/CM-450.jpg?v=1587145652")</f>
        <v/>
      </c>
      <c r="H6478">
        <f>_xlfn.IMAGE("https://m.media-amazon.com/images/I/81vbk2IYPrL._AC_UY218_.jpg")</f>
        <v/>
      </c>
      <c r="K6478" t="inlineStr">
        <is>
          <t>98.55</t>
        </is>
      </c>
      <c r="L6478" t="n">
        <v>90.61</v>
      </c>
      <c r="M6478" s="1" t="inlineStr">
        <is>
          <t>-8.06%</t>
        </is>
      </c>
      <c r="N6478" s="7" t="n"/>
      <c r="O6478" t="n">
        <v>4.2</v>
      </c>
      <c r="P6478" t="n">
        <v>38</v>
      </c>
      <c r="R6478" t="inlineStr">
        <is>
          <t>InStock</t>
        </is>
      </c>
      <c r="S6478" t="inlineStr">
        <is>
          <t>108.3</t>
        </is>
      </c>
      <c r="T6478" t="inlineStr">
        <is>
          <t>4412781002852</t>
        </is>
      </c>
    </row>
    <row r="6479" ht="87" customHeight="1">
      <c r="A6479" s="2">
        <f>HYPERLINK("https://edmondsonsupply.com/collections/electricians-tools/products/klein-tools-88904-professional-tubing-cutter", "https://edmondsonsupply.com/collections/electricians-tools/products/klein-tools-88904-professional-tubing-cutter")</f>
        <v/>
      </c>
      <c r="B6479" s="2">
        <f>HYPERLINK("https://edmondsonsupply.com/products/klein-tools-88904-professional-tubing-cutter", "https://edmondsonsupply.com/products/klein-tools-88904-professional-tubing-cutter")</f>
        <v/>
      </c>
      <c r="C6479" t="inlineStr">
        <is>
          <t>Klein Tools 88904 Professional Tube Cutter</t>
        </is>
      </c>
      <c r="D6479" t="inlineStr">
        <is>
          <t>Klein Tools 88904 Professional Tube Cutter, 4-Roller Tracking System, Accurate Cutting for HVAC, Reaming Tool, Includes Extra Cutting Wheel</t>
        </is>
      </c>
      <c r="E6479" s="2">
        <f>HYPERLINK("https://www.amazon.com/Professional-Cutter-Klein-Tools-88904/dp/B0040YMJ7Y/ref=sr_1_1?keywords=Klein+Tools+88904+Professional+Tube+Cutter&amp;qid=1694735401&amp;sr=8-1", "https://www.amazon.com/Professional-Cutter-Klein-Tools-88904/dp/B0040YMJ7Y/ref=sr_1_1?keywords=Klein+Tools+88904+Professional+Tube+Cutter&amp;qid=1694735401&amp;sr=8-1")</f>
        <v/>
      </c>
      <c r="F6479" t="inlineStr">
        <is>
          <t>B0040YMJ7Y</t>
        </is>
      </c>
      <c r="G6479">
        <f>_xlfn.IMAGE("https://edmondsonsupply.com/cdn/shop/products/88904.jpg?v=1587147687")</f>
        <v/>
      </c>
      <c r="H6479">
        <f>_xlfn.IMAGE("https://m.media-amazon.com/images/I/51svAU4OwLL._AC_UL320_.jpg")</f>
        <v/>
      </c>
      <c r="K6479" t="inlineStr">
        <is>
          <t>41.99</t>
        </is>
      </c>
      <c r="L6479" t="n">
        <v>38.6</v>
      </c>
      <c r="M6479" s="1" t="inlineStr">
        <is>
          <t>-8.07%</t>
        </is>
      </c>
      <c r="N6479" s="7" t="n"/>
      <c r="O6479" t="n">
        <v>4.8</v>
      </c>
      <c r="P6479" t="n">
        <v>885</v>
      </c>
      <c r="R6479" t="inlineStr">
        <is>
          <t>InStock</t>
        </is>
      </c>
      <c r="S6479" t="inlineStr">
        <is>
          <t>62.74</t>
        </is>
      </c>
      <c r="T6479" t="inlineStr">
        <is>
          <t>3728177594468</t>
        </is>
      </c>
    </row>
    <row r="6480" ht="87" customHeight="1">
      <c r="A6480" s="2">
        <f>HYPERLINK("https://edmondsonsupply.com/collections/electricians-tools/products/milwaukee-2729-22-m18-fuel%E2%84%A2-deep-cut-band-saw-kit", "https://edmondsonsupply.com/collections/electricians-tools/products/milwaukee-2729-22-m18-fuel%E2%84%A2-deep-cut-band-saw-kit")</f>
        <v/>
      </c>
      <c r="B6480" s="2">
        <f>HYPERLINK("https://edmondsonsupply.com/products/milwaukee-2729-22-m18-fuel%e2%84%a2-deep-cut-band-saw-kit", "https://edmondsonsupply.com/products/milwaukee-2729-22-m18-fuel%e2%84%a2-deep-cut-band-saw-kit")</f>
        <v/>
      </c>
      <c r="C6480" t="inlineStr">
        <is>
          <t>Milwaukee 2729-22 M18 FUEL™ Deep Cut Band Saw Kit</t>
        </is>
      </c>
      <c r="D6480" t="inlineStr">
        <is>
          <t>Milwaukee 2729-21 M18 Fuel Deep Cut Band Saw 1 Bat Kit</t>
        </is>
      </c>
      <c r="E6480" s="2">
        <f>HYPERLINK("https://www.amazon.com/Milwaukee-2729-21-Fuel-Deep-Band/dp/B00LBHVG6I/ref=sr_1_1?keywords=Milwaukee+2729-22+M18+FUEL%E2%84%A2+Deep+Cut+Band+Saw+Kit&amp;qid=1694735132&amp;sr=8-1", "https://www.amazon.com/Milwaukee-2729-21-Fuel-Deep-Band/dp/B00LBHVG6I/ref=sr_1_1?keywords=Milwaukee+2729-22+M18+FUEL%E2%84%A2+Deep+Cut+Band+Saw+Kit&amp;qid=1694735132&amp;sr=8-1")</f>
        <v/>
      </c>
      <c r="F6480" t="inlineStr">
        <is>
          <t>B00LBHVG6I</t>
        </is>
      </c>
      <c r="G6480">
        <f>_xlfn.IMAGE("https://edmondsonsupply.com/cdn/shop/products/190813alex272922XC50Kit.webp?v=1661701754")</f>
        <v/>
      </c>
      <c r="H6480">
        <f>_xlfn.IMAGE("https://m.media-amazon.com/images/I/91PaU7HdenL._AC_UL320_.jpg")</f>
        <v/>
      </c>
      <c r="K6480" t="inlineStr">
        <is>
          <t>729.0</t>
        </is>
      </c>
      <c r="L6480" t="n">
        <v>669.99</v>
      </c>
      <c r="M6480" s="1" t="inlineStr">
        <is>
          <t>-8.09%</t>
        </is>
      </c>
      <c r="N6480" s="7" t="n"/>
      <c r="O6480" t="n">
        <v>4.7</v>
      </c>
      <c r="P6480" t="n">
        <v>166</v>
      </c>
      <c r="R6480" t="inlineStr">
        <is>
          <t>InStock</t>
        </is>
      </c>
      <c r="S6480" t="inlineStr">
        <is>
          <t>1178.0</t>
        </is>
      </c>
      <c r="T6480" t="inlineStr">
        <is>
          <t>7795892977880</t>
        </is>
      </c>
    </row>
    <row r="6481" hidden="1" ht="15.75" customHeight="1">
      <c r="A6481" s="2">
        <f>HYPERLINK("https://edmondsonsupply.com/collections/electricians-tools/products/clc-5127", "https://edmondsonsupply.com/collections/electricians-tools/products/clc-5127")</f>
        <v/>
      </c>
      <c r="B6481" s="2">
        <f>HYPERLINK("https://edmondsonsupply.com/products/clc-5127", "https://edmondsonsupply.com/products/clc-5127")</f>
        <v/>
      </c>
      <c r="C6481" t="inlineStr">
        <is>
          <t>CLC 5127 Large Cell Phone Holder</t>
        </is>
      </c>
      <c r="D6481" t="inlineStr">
        <is>
          <t>CLC Custom Leathercraft 5127 Large Cell Phone Holster , Black</t>
        </is>
      </c>
      <c r="E6481" s="2">
        <f>HYPERLINK("https://www.amazon.com/Custom-Leathercraft-5127-Large-Holster/dp/B0006GPZ8A/ref=sr_1_1?keywords=CLC+5127+Large+Cell+Phone+Holder&amp;qid=1694735307&amp;sr=8-1", "https://www.amazon.com/Custom-Leathercraft-5127-Large-Holster/dp/B0006GPZ8A/ref=sr_1_1?keywords=CLC+5127+Large+Cell+Phone+Holder&amp;qid=1694735307&amp;sr=8-1")</f>
        <v/>
      </c>
      <c r="F6481" t="inlineStr">
        <is>
          <t>B0006GPZ8A</t>
        </is>
      </c>
      <c r="G6481">
        <f>_xludf.IMAGE("https://edmondsonsupply.com/cdn/shop/products/5127.jpg?v=1609778828")</f>
        <v/>
      </c>
      <c r="H6481">
        <f>_xludf.IMAGE("https://m.media-amazon.com/images/I/71cshdz5PZL._AC_UL320_.jpg")</f>
        <v/>
      </c>
      <c r="K6481" t="inlineStr">
        <is>
          <t>12.95</t>
        </is>
      </c>
      <c r="L6481" t="n">
        <v>11.9</v>
      </c>
      <c r="M6481" s="1" t="inlineStr">
        <is>
          <t>-8.11%</t>
        </is>
      </c>
      <c r="N6481" s="1" t="n"/>
      <c r="O6481" t="n">
        <v>4.4</v>
      </c>
      <c r="P6481" t="n">
        <v>83</v>
      </c>
      <c r="R6481" t="inlineStr">
        <is>
          <t>InStock</t>
        </is>
      </c>
      <c r="S6481" t="inlineStr">
        <is>
          <t>22.95</t>
        </is>
      </c>
      <c r="T6481" t="inlineStr">
        <is>
          <t>5267955286184</t>
        </is>
      </c>
    </row>
    <row r="6482" hidden="1" ht="15.75" customHeight="1">
      <c r="A6482" s="2">
        <f>HYPERLINK("https://edmondsonsupply.com/collections/electricians-tools/products/klein-tools-vdv110-261-twisted-pair-radial-stripper", "https://edmondsonsupply.com/collections/electricians-tools/products/klein-tools-vdv110-261-twisted-pair-radial-stripper")</f>
        <v/>
      </c>
      <c r="B6482" s="2">
        <f>HYPERLINK("https://edmondsonsupply.com/products/klein-tools-vdv110-261-twisted-pair-radial-stripper", "https://edmondsonsupply.com/products/klein-tools-vdv110-261-twisted-pair-radial-stripper")</f>
        <v/>
      </c>
      <c r="C6482" t="inlineStr">
        <is>
          <t>Klein Tools VDV110-261 Twisted Pair Radial Stripper</t>
        </is>
      </c>
      <c r="D6482" t="inlineStr">
        <is>
          <t>Klein Tools VDV110-261 Twisted Pair Radial Stripper,Yellow/Blue</t>
        </is>
      </c>
      <c r="E6482" s="2">
        <f>HYPERLINK("https://www.amazon.com/Twisted-Stripper-Klein-Tools-VDV110-261/dp/B073YDM1J6/ref=sr_1_1?keywords=Klein+Tools+VDV110-261+Twisted+Pair+Radial+Stripper&amp;qid=1694735258&amp;sr=8-1", "https://www.amazon.com/Twisted-Stripper-Klein-Tools-VDV110-261/dp/B073YDM1J6/ref=sr_1_1?keywords=Klein+Tools+VDV110-261+Twisted+Pair+Radial+Stripper&amp;qid=1694735258&amp;sr=8-1")</f>
        <v/>
      </c>
      <c r="F6482" t="inlineStr">
        <is>
          <t>B073YDM1J6</t>
        </is>
      </c>
      <c r="G6482">
        <f>_xludf.IMAGE("https://edmondsonsupply.com/cdn/shop/products/vdv110261.jpg?v=1633030648")</f>
        <v/>
      </c>
      <c r="H6482">
        <f>_xludf.IMAGE("https://m.media-amazon.com/images/I/410OUmGDevL._AC_UL320_.jpg")</f>
        <v/>
      </c>
      <c r="K6482" t="inlineStr">
        <is>
          <t>15.99</t>
        </is>
      </c>
      <c r="L6482" t="n">
        <v>14.69</v>
      </c>
      <c r="M6482" s="1" t="inlineStr">
        <is>
          <t>-8.13%</t>
        </is>
      </c>
      <c r="N6482" s="1" t="n"/>
      <c r="O6482" t="n">
        <v>4.7</v>
      </c>
      <c r="P6482" t="n">
        <v>2990</v>
      </c>
      <c r="R6482" t="inlineStr">
        <is>
          <t>InStock</t>
        </is>
      </c>
      <c r="S6482" t="inlineStr">
        <is>
          <t>22.94</t>
        </is>
      </c>
      <c r="T6482" t="inlineStr">
        <is>
          <t>5734528057512</t>
        </is>
      </c>
    </row>
    <row r="6483" ht="87" customHeight="1">
      <c r="A6483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483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483" t="inlineStr">
        <is>
          <t>Klein Tools 2288RINS Diagonal Cutting Pliers, Insulated, High Leverage, 8-Inch</t>
        </is>
      </c>
      <c r="D6483" t="inlineStr">
        <is>
          <t>Klein Tools 2288RINS 1000V Insulated Diagonal Cutter Pliers, High Leverage Design, Induction Hardened Knives, 8-Inch</t>
        </is>
      </c>
      <c r="E6483" s="2">
        <f>HYPERLINK("https://www.amazon.com/Klein-Tools-2288RINS-Insulated-Induction/dp/B0BG1JPVMM/ref=sr_1_1?keywords=Klein+Tools+2288RINS+Diagonal+Cutting+Pliers%2C+Insulated%2C+High+Leverage%2C+8-Inch&amp;qid=1694735093&amp;sr=8-1", "https://www.amazon.com/Klein-Tools-2288RINS-Insulated-Induction/dp/B0BG1JPVMM/ref=sr_1_1?keywords=Klein+Tools+2288RINS+Diagonal+Cutting+Pliers%2C+Insulated%2C+High+Leverage%2C+8-Inch&amp;qid=1694735093&amp;sr=8-1")</f>
        <v/>
      </c>
      <c r="F6483" t="inlineStr">
        <is>
          <t>B0BG1JPVMM</t>
        </is>
      </c>
      <c r="G6483">
        <f>_xlfn.IMAGE("https://edmondsonsupply.com/cdn/shop/products/2288rins.jpg?v=1667238570")</f>
        <v/>
      </c>
      <c r="H6483">
        <f>_xlfn.IMAGE("https://m.media-amazon.com/images/I/41AzeY3t1LL._AC_UL320_.jpg")</f>
        <v/>
      </c>
      <c r="K6483" t="inlineStr">
        <is>
          <t>39.97</t>
        </is>
      </c>
      <c r="L6483" t="n">
        <v>36.67</v>
      </c>
      <c r="M6483" s="1" t="inlineStr">
        <is>
          <t>-8.26%</t>
        </is>
      </c>
      <c r="N6483" s="7" t="n"/>
      <c r="O6483" t="n">
        <v>4.6</v>
      </c>
      <c r="P6483" t="n">
        <v>54</v>
      </c>
      <c r="R6483" t="inlineStr">
        <is>
          <t>InStock</t>
        </is>
      </c>
      <c r="S6483" t="inlineStr">
        <is>
          <t>55.98</t>
        </is>
      </c>
      <c r="T6483" t="inlineStr">
        <is>
          <t>7871537807576</t>
        </is>
      </c>
    </row>
    <row r="6484" hidden="1" ht="15.75" customHeight="1">
      <c r="A6484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6484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6484" t="inlineStr">
        <is>
          <t>Diablo Tools DMAPL2380 9/16 in. x 10 in. x 12 in. SDS-Plus 2-Cutter</t>
        </is>
      </c>
      <c r="D6484" t="inlineStr">
        <is>
          <t>Diablo 9/16 in. x 10 in. x 12 in. SDS-Plus 2-Cutter</t>
        </is>
      </c>
      <c r="E6484" s="2">
        <f>HYPERLINK("https://www.amazon.com/Diablo-DMAPL2380-16-SDS-Plus-2-Cutter/dp/B089LGWH7X/ref=sr_1_1?keywords=Diablo+Tools+DMAPL2380+9%2F16+in.+x+10+in.+x+12+in.+SDS-Plus+2-Cutter&amp;qid=1694735296&amp;sr=8-1", "https://www.amazon.com/Diablo-DMAPL2380-16-SDS-Plus-2-Cutter/dp/B089LGWH7X/ref=sr_1_1?keywords=Diablo+Tools+DMAPL2380+9%2F16+in.+x+10+in.+x+12+in.+SDS-Plus+2-Cutter&amp;qid=1694735296&amp;sr=8-1")</f>
        <v/>
      </c>
      <c r="F6484" t="inlineStr">
        <is>
          <t>B089LGWH7X</t>
        </is>
      </c>
      <c r="G6484">
        <f>_xludf.IMAGE("https://edmondsonsupply.com/cdn/shop/products/pn8n58bx2f87ihetrrnf.webp?v=1670435143")</f>
        <v/>
      </c>
      <c r="H6484">
        <f>_xludf.IMAGE("https://m.media-amazon.com/images/I/6120+2+rRTL._AC_UL320_.jpg")</f>
        <v/>
      </c>
      <c r="K6484" t="inlineStr">
        <is>
          <t>14.99</t>
        </is>
      </c>
      <c r="L6484" t="n">
        <v>13.73</v>
      </c>
      <c r="M6484" s="1" t="inlineStr">
        <is>
          <t>-8.41%</t>
        </is>
      </c>
      <c r="N6484" s="1" t="n"/>
      <c r="O6484" t="n">
        <v>5</v>
      </c>
      <c r="P6484" t="n">
        <v>1</v>
      </c>
      <c r="R6484" t="inlineStr">
        <is>
          <t>InStock</t>
        </is>
      </c>
      <c r="S6484" t="inlineStr">
        <is>
          <t>21.48</t>
        </is>
      </c>
      <c r="T6484" t="inlineStr">
        <is>
          <t>5286298222760</t>
        </is>
      </c>
    </row>
    <row r="6485" ht="87" customHeight="1">
      <c r="A6485" s="2">
        <f>HYPERLINK("https://edmondsonsupply.com/collections/electricians-tools/products/copy-of-diablo-tools-d1040x-10-in-x-40-tooth-general-purpose-saw-blade", "https://edmondsonsupply.com/collections/electricians-tools/products/copy-of-diablo-tools-d1040x-10-in-x-40-tooth-general-purpose-saw-blade")</f>
        <v/>
      </c>
      <c r="B6485" s="2">
        <f>HYPERLINK("https://edmondsonsupply.com/products/copy-of-diablo-tools-d1040x-10-in-x-40-tooth-general-purpose-saw-blade", "https://edmondsonsupply.com/products/copy-of-diablo-tools-d1040x-10-in-x-40-tooth-general-purpose-saw-blade")</f>
        <v/>
      </c>
      <c r="C6485" t="inlineStr">
        <is>
          <t>Diablo Tools D1050X 10 in. x 50 Tooth Combination Saw Blade</t>
        </is>
      </c>
      <c r="D6485" t="inlineStr">
        <is>
          <t>Diablo by Freud "Freud D1050X Diablo 10"" 50-tooth ATB Combo Saw Blade w/5/8"" Arbor&amp;PermaShield"</t>
        </is>
      </c>
      <c r="E6485" s="2">
        <f>HYPERLINK("https://www.amazon.com/Diablo-D1050X-Combination-Saw-Blade/dp/B00008WQ2Z/ref=sr_1_30?keywords=Diablo+Tools+D1050X+10+in.+x+50+Tooth+Combination+Saw+Blade&amp;qid=1694735310&amp;sr=8-30", "https://www.amazon.com/Diablo-D1050X-Combination-Saw-Blade/dp/B00008WQ2Z/ref=sr_1_30?keywords=Diablo+Tools+D1050X+10+in.+x+50+Tooth+Combination+Saw+Blade&amp;qid=1694735310&amp;sr=8-30")</f>
        <v/>
      </c>
      <c r="F6485" t="inlineStr">
        <is>
          <t>B00008WQ2Z</t>
        </is>
      </c>
      <c r="G6485">
        <f>_xlfn.IMAGE("https://edmondsonsupply.com/cdn/shop/products/D1050X_Main-Image20191112.png?v=1633030269")</f>
        <v/>
      </c>
      <c r="H6485">
        <f>_xlfn.IMAGE("https://m.media-amazon.com/images/I/61YRuWMaqNS._AC_UL320_.jpg")</f>
        <v/>
      </c>
      <c r="K6485" t="inlineStr">
        <is>
          <t>37.97</t>
        </is>
      </c>
      <c r="L6485" t="n">
        <v>34.75</v>
      </c>
      <c r="M6485" s="1" t="inlineStr">
        <is>
          <t>-8.48%</t>
        </is>
      </c>
      <c r="N6485" s="7" t="n"/>
      <c r="O6485" t="n">
        <v>4.8</v>
      </c>
      <c r="P6485" t="n">
        <v>2471</v>
      </c>
      <c r="R6485" t="inlineStr">
        <is>
          <t>InStock</t>
        </is>
      </c>
      <c r="S6485" t="inlineStr">
        <is>
          <t>56.46</t>
        </is>
      </c>
      <c r="T6485" t="inlineStr">
        <is>
          <t>4681639559268</t>
        </is>
      </c>
    </row>
    <row r="6486" ht="87" customHeight="1">
      <c r="A6486" s="2">
        <f>HYPERLINK("https://edmondsonsupply.com/collections/electricians-tools/products/copy-of-diablo-tools-ddd045dia101f-4-1-2-in-diamond-metal-cut-off-blade-1", "https://edmondsonsupply.com/collections/electricians-tools/products/copy-of-diablo-tools-ddd045dia101f-4-1-2-in-diamond-metal-cut-off-blade-1")</f>
        <v/>
      </c>
      <c r="B6486" s="2">
        <f>HYPERLINK("https://edmondsonsupply.com/products/copy-of-diablo-tools-ddd045dia101f-4-1-2-in-diamond-metal-cut-off-blade-1", "https://edmondsonsupply.com/products/copy-of-diablo-tools-ddd045dia101f-4-1-2-in-diamond-metal-cut-off-blade-1")</f>
        <v/>
      </c>
      <c r="C6486" t="inlineStr">
        <is>
          <t>Diablo Tools D0748CFX 7-1/4 in. x 48 Tooth Cermet Metal and Stainless Steel Cutting Saw Blade</t>
        </is>
      </c>
      <c r="D6486" t="inlineStr">
        <is>
          <t>Freud Diablo DO748F Diablo Steel Demon 7 1/4 Inch 48-Tooth Titanium Carbide TCG Ferrous Metal Cutting Circular Saw Blade w/ Perma Shield Non-Stick Coating and Laser Cut Stabilizing Vents</t>
        </is>
      </c>
      <c r="E6486" s="2">
        <f>HYPERLINK("https://www.amazon.com/Diablo-48-Tooth-Titanium-Non-Stick-Stabilizing/dp/B00008WQ3B/ref=sr_1_12?keywords=Diablo+Tools+D0748CFX+7-1%2F4+in.+x+48+Tooth+Cermet+Metal+and+Stainless+Steel+Cutting+Saw+Blade&amp;qid=1694735332&amp;sr=8-12", "https://www.amazon.com/Diablo-48-Tooth-Titanium-Non-Stick-Stabilizing/dp/B00008WQ3B/ref=sr_1_12?keywords=Diablo+Tools+D0748CFX+7-1%2F4+in.+x+48+Tooth+Cermet+Metal+and+Stainless+Steel+Cutting+Saw+Blade&amp;qid=1694735332&amp;sr=8-12")</f>
        <v/>
      </c>
      <c r="F6486" t="inlineStr">
        <is>
          <t>B00008WQ3B</t>
        </is>
      </c>
      <c r="G6486">
        <f>_xlfn.IMAGE("https://edmondsonsupply.com/cdn/shop/products/D0748CFA_Main-Image.png?v=1633030259")</f>
        <v/>
      </c>
      <c r="H6486">
        <f>_xlfn.IMAGE("https://m.media-amazon.com/images/I/81-8IB+80KL._AC_UL320_.jpg")</f>
        <v/>
      </c>
      <c r="K6486" t="inlineStr">
        <is>
          <t>34.97</t>
        </is>
      </c>
      <c r="L6486" t="n">
        <v>32</v>
      </c>
      <c r="M6486" s="1" t="inlineStr">
        <is>
          <t>-8.49%</t>
        </is>
      </c>
      <c r="N6486" s="7" t="n"/>
      <c r="O6486" t="n">
        <v>4.6</v>
      </c>
      <c r="P6486" t="n">
        <v>531</v>
      </c>
      <c r="R6486" t="inlineStr">
        <is>
          <t>InStock</t>
        </is>
      </c>
      <c r="S6486" t="inlineStr">
        <is>
          <t>50.75</t>
        </is>
      </c>
      <c r="T6486" t="inlineStr">
        <is>
          <t>4641789739108</t>
        </is>
      </c>
    </row>
    <row r="6487" ht="87" customHeight="1">
      <c r="A6487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6487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6487" t="inlineStr">
        <is>
          <t>Diablo Tools DOU125BF3 1-1/4 in. Universal Fit Bi-Metal Oscillating Blade for Metal (3 pack)</t>
        </is>
      </c>
      <c r="D6487" t="inlineStr">
        <is>
          <t>Diablo by Freud DOU125CF3 1-1/4 in. Universal Fit Carbide Oscillating Blades for Metal (3-Pack)</t>
        </is>
      </c>
      <c r="E6487" s="2">
        <f>HYPERLINK("https://www.amazon.com/Diablo-Freud-DOU125CF3-Universal-Oscillating/dp/B089LKXD7L/ref=sr_1_4?keywords=Diablo+Tools+DOU125BF3+1-1%2F4+in.+Universal+Fit+Bi-Metal+Oscillating+Blade+for+Metal+%283+pack%29&amp;qid=1694734993&amp;sr=8-4", "https://www.amazon.com/Diablo-Freud-DOU125CF3-Universal-Oscillating/dp/B089LKXD7L/ref=sr_1_4?keywords=Diablo+Tools+DOU125BF3+1-1%2F4+in.+Universal+Fit+Bi-Metal+Oscillating+Blade+for+Metal+%283+pack%29&amp;qid=1694734993&amp;sr=8-4")</f>
        <v/>
      </c>
      <c r="F6487" t="inlineStr">
        <is>
          <t>B089LKXD7L</t>
        </is>
      </c>
      <c r="G6487">
        <f>_xlfn.IMAGE("https://edmondsonsupply.com/cdn/shop/files/k1d1qiwmm4npznsdbwtg_4dc7bdf3-43a4-4863-8a1d-f71b60bc7c6d.webp?v=1685468179")</f>
        <v/>
      </c>
      <c r="H6487">
        <f>_xlfn.IMAGE("https://m.media-amazon.com/images/I/71izb0UUOkL._AC_UL320_.jpg")</f>
        <v/>
      </c>
      <c r="K6487" t="inlineStr">
        <is>
          <t>34.97</t>
        </is>
      </c>
      <c r="L6487" t="n">
        <v>32</v>
      </c>
      <c r="M6487" s="1" t="inlineStr">
        <is>
          <t>-8.49%</t>
        </is>
      </c>
      <c r="N6487" s="7" t="n"/>
      <c r="O6487" t="n">
        <v>4.5</v>
      </c>
      <c r="P6487" t="n">
        <v>164</v>
      </c>
      <c r="R6487" t="inlineStr">
        <is>
          <t>InStock</t>
        </is>
      </c>
      <c r="S6487" t="inlineStr">
        <is>
          <t>43.53</t>
        </is>
      </c>
      <c r="T6487" t="inlineStr">
        <is>
          <t>7997880729816</t>
        </is>
      </c>
    </row>
    <row r="6488" ht="87" customHeight="1">
      <c r="A6488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6488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6488" t="inlineStr">
        <is>
          <t>Diablo Tools DOU125JBW3 1-1/4 in. Universal Fit Bi-Metal Oscillating Blades for Clean Wood</t>
        </is>
      </c>
      <c r="D6488" t="inlineStr">
        <is>
          <t>Diablo by Freud DOU125CF3 1-1/4 in. Universal Fit Carbide Oscillating Blades for Metal (3-Pack)</t>
        </is>
      </c>
      <c r="E6488" s="2">
        <f>HYPERLINK("https://www.amazon.com/Diablo-Freud-DOU125CF3-Universal-Oscillating/dp/B089LKXD7L/ref=sr_1_8?keywords=Diablo+Tools+DOU125JBW3+1-1%2F4+in.+Universal+Fit+Bi-Metal+Oscillating+Blades+for+Clean+Wood&amp;qid=1694735211&amp;sr=8-8", "https://www.amazon.com/Diablo-Freud-DOU125CF3-Universal-Oscillating/dp/B089LKXD7L/ref=sr_1_8?keywords=Diablo+Tools+DOU125JBW3+1-1%2F4+in.+Universal+Fit+Bi-Metal+Oscillating+Blades+for+Clean+Wood&amp;qid=1694735211&amp;sr=8-8")</f>
        <v/>
      </c>
      <c r="F6488" t="inlineStr">
        <is>
          <t>B089LKXD7L</t>
        </is>
      </c>
      <c r="G6488">
        <f>_xlfn.IMAGE("https://edmondsonsupply.com/cdn/shop/products/DOU125JBW3_Main-Image.png?v=1633031095")</f>
        <v/>
      </c>
      <c r="H6488">
        <f>_xlfn.IMAGE("https://m.media-amazon.com/images/I/71izb0UUOkL._AC_UL320_.jpg")</f>
        <v/>
      </c>
      <c r="K6488" t="inlineStr">
        <is>
          <t>34.97</t>
        </is>
      </c>
      <c r="L6488" t="n">
        <v>32</v>
      </c>
      <c r="M6488" s="1" t="inlineStr">
        <is>
          <t>-8.49%</t>
        </is>
      </c>
      <c r="N6488" s="7" t="n"/>
      <c r="O6488" t="n">
        <v>4.5</v>
      </c>
      <c r="P6488" t="n">
        <v>164</v>
      </c>
      <c r="R6488" t="inlineStr">
        <is>
          <t>InStock</t>
        </is>
      </c>
      <c r="S6488" t="inlineStr">
        <is>
          <t>43.53</t>
        </is>
      </c>
      <c r="T6488" t="inlineStr">
        <is>
          <t>6839865278637</t>
        </is>
      </c>
    </row>
    <row r="6489" hidden="1" ht="15.75" customHeight="1">
      <c r="A6489" s="2">
        <f>HYPERLINK("https://edmondsonsupply.com/collections/electricians-tools/products/milwaukee-48-22-1501-fastback%E2%84%A2-folding-utility-knife-wire-stripper", "https://edmondsonsupply.com/collections/electricians-tools/products/milwaukee-48-22-1501-fastback%E2%84%A2-folding-utility-knife-wire-stripper")</f>
        <v/>
      </c>
      <c r="B6489" s="2">
        <f>HYPERLINK("https://edmondsonsupply.com/products/milwaukee-48-22-1501-fastback%e2%84%a2-folding-utility-knife-wire-stripper", "https://edmondsonsupply.com/products/milwaukee-48-22-1501-fastback%e2%84%a2-folding-utility-knife-wire-stripper")</f>
        <v/>
      </c>
      <c r="C6489" t="inlineStr">
        <is>
          <t>Milwaukee 48-22-1501 FASTBACK™ Folding Utility Knife - Wire Stripper</t>
        </is>
      </c>
      <c r="D6489" t="inlineStr">
        <is>
          <t>Milwaukee 48-22-1501 Fastback Folding Utility Knife with Wire Stripper, Gut Hook, and Quick Blade Change</t>
        </is>
      </c>
      <c r="E6489" s="2">
        <f>HYPERLINK("https://www.amazon.com/Milwaukee-48-22-1501-Fastback-Folding-Stripper/dp/B083G6J5T3/ref=sr_1_1?keywords=Milwaukee+48-22-1501+FASTBACK%E2%84%A2+Folding+Utility+Knife+-+Wire+Stripper&amp;qid=1694735390&amp;sr=8-1", "https://www.amazon.com/Milwaukee-48-22-1501-Fastback-Folding-Stripper/dp/B083G6J5T3/ref=sr_1_1?keywords=Milwaukee+48-22-1501+FASTBACK%E2%84%A2+Folding+Utility+Knife+-+Wire+Stripper&amp;qid=1694735390&amp;sr=8-1")</f>
        <v/>
      </c>
      <c r="F6489" t="inlineStr">
        <is>
          <t>B083G6J5T3</t>
        </is>
      </c>
      <c r="G6489">
        <f>_xludf.IMAGE("https://edmondsonsupply.com/cdn/shop/products/48-22-1501_3.png?v=1587149055")</f>
        <v/>
      </c>
      <c r="H6489">
        <f>_xludf.IMAGE("https://m.media-amazon.com/images/I/41WVxcFxEZL._AC_UL320_.jpg")</f>
        <v/>
      </c>
      <c r="K6489" t="inlineStr">
        <is>
          <t>11.99</t>
        </is>
      </c>
      <c r="L6489" t="n">
        <v>10.97</v>
      </c>
      <c r="M6489" s="1" t="inlineStr">
        <is>
          <t>-8.51%</t>
        </is>
      </c>
      <c r="N6489" s="1" t="n"/>
      <c r="O6489" t="n">
        <v>4.8</v>
      </c>
      <c r="P6489" t="n">
        <v>483</v>
      </c>
      <c r="R6489" t="inlineStr">
        <is>
          <t>InStock</t>
        </is>
      </c>
      <c r="S6489" t="inlineStr">
        <is>
          <t>17.7</t>
        </is>
      </c>
      <c r="T6489" t="inlineStr">
        <is>
          <t>4399146139748</t>
        </is>
      </c>
    </row>
    <row r="6490" ht="87" customHeight="1">
      <c r="A6490" s="2">
        <f>HYPERLINK("https://edmondsonsupply.com/collections/electricians-tools/products/milwaukee-2960-22-m18-fuel%E2%84%A2-3-8-mid-torque-impact-wrench-w-friction-ring-kit", "https://edmondsonsupply.com/collections/electricians-tools/products/milwaukee-2960-22-m18-fuel%E2%84%A2-3-8-mid-torque-impact-wrench-w-friction-ring-kit")</f>
        <v/>
      </c>
      <c r="B6490" s="2">
        <f>HYPERLINK("https://edmondsonsupply.com/products/milwaukee-2960-22-m18-fuel%e2%84%a2-3-8-mid-torque-impact-wrench-w-friction-ring-kit", "https://edmondsonsupply.com/products/milwaukee-2960-22-m18-fuel%e2%84%a2-3-8-mid-torque-impact-wrench-w-friction-ring-kit")</f>
        <v/>
      </c>
      <c r="C6490" t="inlineStr">
        <is>
          <t>Milwaukee 2960-22 M18 FUEL™ 3/8 " Mid-Torque Impact Wrench w/ Friction Ring Kit</t>
        </is>
      </c>
      <c r="D6490" t="inlineStr">
        <is>
          <t>Milwaukee M18 18V Fuel 3/8" Mid-Torque Impact Wrench Kit Cordless Lithium-Ion Brushless 2960-22 with (2) 5Ah XC Batteries, Charger &amp; Carrying Tool Case</t>
        </is>
      </c>
      <c r="E6490" s="2">
        <f>HYPERLINK("https://www.amazon.com/Milwaukee-Mid-Torque-Lithium-Ion-Brushless-Batteries/dp/B09SJ6THNK/ref=sr_1_4?keywords=Milwaukee+2960-22+M18+FUEL%E2%84%A2+3%2F8+%22+Mid-Torque+Impact+Wrench+w%2F+Friction+Ring+Kit&amp;qid=1694735132&amp;sr=8-4", "https://www.amazon.com/Milwaukee-Mid-Torque-Lithium-Ion-Brushless-Batteries/dp/B09SJ6THNK/ref=sr_1_4?keywords=Milwaukee+2960-22+M18+FUEL%E2%84%A2+3%2F8+%22+Mid-Torque+Impact+Wrench+w%2F+Friction+Ring+Kit&amp;qid=1694735132&amp;sr=8-4")</f>
        <v/>
      </c>
      <c r="F6490" t="inlineStr">
        <is>
          <t>B09SJ6THNK</t>
        </is>
      </c>
      <c r="G6490">
        <f>_xlfn.IMAGE("https://edmondsonsupply.com/cdn/shop/products/2960-22_Kit_1.png?v=1661616340")</f>
        <v/>
      </c>
      <c r="H6490">
        <f>_xlfn.IMAGE("https://m.media-amazon.com/images/I/71kKMvvnS+L._AC_UL320_.jpg")</f>
        <v/>
      </c>
      <c r="K6490" t="inlineStr">
        <is>
          <t>459.0</t>
        </is>
      </c>
      <c r="L6490" t="n">
        <v>419.9</v>
      </c>
      <c r="M6490" s="1" t="inlineStr">
        <is>
          <t>-8.52%</t>
        </is>
      </c>
      <c r="N6490" s="7" t="n"/>
      <c r="O6490" t="n">
        <v>4.7</v>
      </c>
      <c r="P6490" t="n">
        <v>102</v>
      </c>
      <c r="R6490" t="inlineStr">
        <is>
          <t>InStock</t>
        </is>
      </c>
      <c r="S6490" t="inlineStr">
        <is>
          <t>755.0</t>
        </is>
      </c>
      <c r="T6490" t="inlineStr">
        <is>
          <t>7795189809368</t>
        </is>
      </c>
    </row>
    <row r="6491" hidden="1" ht="15.75" customHeight="1">
      <c r="A6491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6491" s="2">
        <f>HYPERLINK("https://edmondsonsupply.com/products/diablo-tools-d0624x-6-1-2-in-24-tooth-framing-saw-blade", "https://edmondsonsupply.com/products/diablo-tools-d0624x-6-1-2-in-24-tooth-framing-saw-blade")</f>
        <v/>
      </c>
      <c r="C6491" t="inlineStr">
        <is>
          <t>Diablo Tools D0624X 6-1/2 in. 24-Tooth Framing Saw Blade</t>
        </is>
      </c>
      <c r="D6491" t="inlineStr">
        <is>
          <t>Freud D0624X Diablo 6-1/2-Inch 24-Tooth ATB Framing Saw Blade with 5/8-Inch Arbor, Multi</t>
        </is>
      </c>
      <c r="E6491" s="2">
        <f>HYPERLINK("https://www.amazon.com/D0624X-Diablo-2-Inch-24-Tooth-Framing/dp/B00008WQ2P/ref=sr_1_1?keywords=Diablo+Tools+D0624X+6-1%2F2+in.+24-Tooth+Framing+Saw+Blade&amp;qid=1694735025&amp;sr=8-1", "https://www.amazon.com/D0624X-Diablo-2-Inch-24-Tooth-Framing/dp/B00008WQ2P/ref=sr_1_1?keywords=Diablo+Tools+D0624X+6-1%2F2+in.+24-Tooth+Framing+Saw+Blade&amp;qid=1694735025&amp;sr=8-1")</f>
        <v/>
      </c>
      <c r="F6491" t="inlineStr">
        <is>
          <t>B00008WQ2P</t>
        </is>
      </c>
      <c r="G6491">
        <f>_xludf.IMAGE("https://edmondsonsupply.com/cdn/shop/products/mfin0gl4ono6qztsnrth.webp?v=1678982694")</f>
        <v/>
      </c>
      <c r="H6491">
        <f>_xludf.IMAGE("https://m.media-amazon.com/images/I/710QLWtKtLL._AC_UL320_.jpg")</f>
        <v/>
      </c>
      <c r="K6491" t="inlineStr">
        <is>
          <t>11.97</t>
        </is>
      </c>
      <c r="L6491" t="n">
        <v>10.95</v>
      </c>
      <c r="M6491" s="1" t="inlineStr">
        <is>
          <t>-8.52%</t>
        </is>
      </c>
      <c r="N6491" s="1" t="n"/>
      <c r="O6491" t="n">
        <v>4.8</v>
      </c>
      <c r="P6491" t="n">
        <v>1497</v>
      </c>
      <c r="R6491" t="inlineStr">
        <is>
          <t>InStock</t>
        </is>
      </c>
      <c r="S6491" t="inlineStr">
        <is>
          <t>17.38</t>
        </is>
      </c>
      <c r="T6491" t="inlineStr">
        <is>
          <t>7962732855512</t>
        </is>
      </c>
    </row>
    <row r="6492" ht="87" customHeight="1">
      <c r="A6492" s="2">
        <f>HYPERLINK("https://edmondsonsupply.com/collections/electricians-tools/products/hilmor-1839074-lhsm2pc-6-magnetic-tip-nut-driver-2-piece-set-1-4-5-16", "https://edmondsonsupply.com/collections/electricians-tools/products/hilmor-1839074-lhsm2pc-6-magnetic-tip-nut-driver-2-piece-set-1-4-5-16")</f>
        <v/>
      </c>
      <c r="B6492" s="2">
        <f>HYPERLINK("https://edmondsonsupply.com/products/hilmor-1839074-lhsm2pc-6-magnetic-tip-nut-driver-2-piece-set-1-4-5-16", "https://edmondsonsupply.com/products/hilmor-1839074-lhsm2pc-6-magnetic-tip-nut-driver-2-piece-set-1-4-5-16")</f>
        <v/>
      </c>
      <c r="C6492" t="inlineStr">
        <is>
          <t>Hilmor 1839074 LHSM2PC 6" Magnetic Tip Nut-Driver 2-Piece Set - 1/4" &amp; 5/16"</t>
        </is>
      </c>
      <c r="D6492" t="inlineStr">
        <is>
          <t>NordWolf 5-Piece SAE Nut Driver Set, Impact Magnetic Nut Setters Made From S2 Steel, Imperial Sizes 1/4"-5/16"-3/8"-7/16"-1/2"</t>
        </is>
      </c>
      <c r="E6492" s="2">
        <f>HYPERLINK("https://www.amazon.com/NordWolf-5-Piece-Impact-Magnetic-Driver/dp/B09BKZHP82/ref=sr_1_8?keywords=Hilmor+1839074+LHSM2PC+6%22+Magnetic+Tip+Nut-Driver+2-Piece+Set+-+1%2F4%22+%26+5%2F16%22&amp;qid=1694735368&amp;sr=8-8", "https://www.amazon.com/NordWolf-5-Piece-Impact-Magnetic-Driver/dp/B09BKZHP82/ref=sr_1_8?keywords=Hilmor+1839074+LHSM2PC+6%22+Magnetic+Tip+Nut-Driver+2-Piece+Set+-+1%2F4%22+%26+5%2F16%22&amp;qid=1694735368&amp;sr=8-8")</f>
        <v/>
      </c>
      <c r="F6492" t="inlineStr">
        <is>
          <t>B09BKZHP82</t>
        </is>
      </c>
      <c r="G6492">
        <f>_xlfn.IMAGE("https://edmondsonsupply.com/cdn/shop/products/1839074-O1.jpg?v=1587149469")</f>
        <v/>
      </c>
      <c r="H6492">
        <f>_xlfn.IMAGE("https://m.media-amazon.com/images/I/81W9P3RPz3L._AC_UL320_.jpg")</f>
        <v/>
      </c>
      <c r="K6492" t="inlineStr">
        <is>
          <t>21.87</t>
        </is>
      </c>
      <c r="L6492" t="n">
        <v>19.99</v>
      </c>
      <c r="M6492" s="1" t="inlineStr">
        <is>
          <t>-8.60%</t>
        </is>
      </c>
      <c r="N6492" s="7" t="n"/>
      <c r="O6492" t="n">
        <v>4.6</v>
      </c>
      <c r="P6492" t="n">
        <v>58</v>
      </c>
      <c r="R6492" t="inlineStr">
        <is>
          <t>InStock</t>
        </is>
      </c>
      <c r="S6492" t="inlineStr">
        <is>
          <t>undefined</t>
        </is>
      </c>
      <c r="T6492" t="inlineStr">
        <is>
          <t>2099239780452</t>
        </is>
      </c>
    </row>
    <row r="6493" ht="87" customHeight="1">
      <c r="A6493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6493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6493" t="inlineStr">
        <is>
          <t>Channellock 430X 10-Inch SPEEDGRIP™ Straight Jaw Tongue &amp; Groove Pliers</t>
        </is>
      </c>
      <c r="D6493" t="inlineStr">
        <is>
          <t>STEELHEAD 3-Piece Straight Jaw Tongue and Groove Pliers Set (12inch, 10inch &amp; 7inch), Groove Joint Pliers, Carbon Steel, High-Visibility Handle, USA-Based Support,SH-00-PL-B3-0-1</t>
        </is>
      </c>
      <c r="E6493" s="2">
        <f>HYPERLINK("https://www.amazon.com/STEELHEAD-Straight-High-Visibility-USA-Based-SH-00-PL-B3-0-1/dp/B07TVL8NLL/ref=sr_1_14?keywords=Channellock+430X+10-Inch+SPEEDGRIP%E2%84%A2+Straight+Jaw+Tongue+%26+Groove+Pliers&amp;qid=1694735165&amp;sr=8-14", "https://www.amazon.com/STEELHEAD-Straight-High-Visibility-USA-Based-SH-00-PL-B3-0-1/dp/B07TVL8NLL/ref=sr_1_14?keywords=Channellock+430X+10-Inch+SPEEDGRIP%E2%84%A2+Straight+Jaw+Tongue+%26+Groove+Pliers&amp;qid=1694735165&amp;sr=8-14")</f>
        <v/>
      </c>
      <c r="F6493" t="inlineStr">
        <is>
          <t>B07TVL8NLL</t>
        </is>
      </c>
      <c r="G6493">
        <f>_xlfn.IMAGE("https://edmondsonsupply.com/cdn/shop/products/430X.jpg?v=1647100497")</f>
        <v/>
      </c>
      <c r="H6493">
        <f>_xlfn.IMAGE("https://m.media-amazon.com/images/I/81Bjb5m+1vL._AC_UL320_.jpg")</f>
        <v/>
      </c>
      <c r="K6493" t="inlineStr">
        <is>
          <t>26.95</t>
        </is>
      </c>
      <c r="L6493" t="n">
        <v>24.63</v>
      </c>
      <c r="M6493" s="1" t="inlineStr">
        <is>
          <t>-8.61%</t>
        </is>
      </c>
      <c r="N6493" s="7" t="n"/>
      <c r="O6493" t="n">
        <v>4.4</v>
      </c>
      <c r="P6493" t="n">
        <v>87</v>
      </c>
      <c r="R6493" t="inlineStr">
        <is>
          <t>InStock</t>
        </is>
      </c>
      <c r="S6493" t="inlineStr">
        <is>
          <t>40.47</t>
        </is>
      </c>
      <c r="T6493" t="inlineStr">
        <is>
          <t>7633790238936</t>
        </is>
      </c>
    </row>
    <row r="6494" hidden="1" ht="15.75" customHeight="1">
      <c r="A6494" s="2">
        <f>HYPERLINK("https://edmondsonsupply.com/collections/electricians-tools/products/klein-tools-630-1-2-1-2-inch-nut-driver-3-inch-shaft-cushion-grip", "https://edmondsonsupply.com/collections/electricians-tools/products/klein-tools-630-1-2-1-2-inch-nut-driver-3-inch-shaft-cushion-grip")</f>
        <v/>
      </c>
      <c r="B6494" s="2">
        <f>HYPERLINK("https://edmondsonsupply.com/products/klein-tools-630-1-2-1-2-inch-nut-driver-3-inch-shaft-cushion-grip", "https://edmondsonsupply.com/products/klein-tools-630-1-2-1-2-inch-nut-driver-3-inch-shaft-cushion-grip")</f>
        <v/>
      </c>
      <c r="C6494" t="inlineStr">
        <is>
          <t>Klein Tools 630-1/2 1/2-Inch Nut Driver, 3-Inch Shaft, Cushion-Grip</t>
        </is>
      </c>
      <c r="D6494" t="inlineStr">
        <is>
          <t>Klein Tools 630-1/2 1/2-Inch Nut Driver, 3-Inch Shaft, Cushion-Grip</t>
        </is>
      </c>
      <c r="E6494" s="2">
        <f>HYPERLINK("https://www.amazon.com/2-Inch-Cushion-Grip-Klein-Tools-630-1/dp/B000BQ7R7W/ref=sr_1_1?keywords=Klein+Tools+630-1%2F2+1%2F2-Inch+Nut+Driver%2C+3-Inch+Shaft%2C+Cushion-Grip&amp;qid=1694735275&amp;sr=8-1", "https://www.amazon.com/2-Inch-Cushion-Grip-Klein-Tools-630-1/dp/B000BQ7R7W/ref=sr_1_1?keywords=Klein+Tools+630-1%2F2+1%2F2-Inch+Nut+Driver%2C+3-Inch+Shaft%2C+Cushion-Grip&amp;qid=1694735275&amp;sr=8-1")</f>
        <v/>
      </c>
      <c r="F6494" t="inlineStr">
        <is>
          <t>B000BQ7R7W</t>
        </is>
      </c>
      <c r="G6494">
        <f>_xludf.IMAGE("https://edmondsonsupply.com/cdn/shop/products/630-1-2_7cf2cc87-b92f-4b67-9777-1bad53f29a16.jpg?v=1633030528")</f>
        <v/>
      </c>
      <c r="H6494">
        <f>_xludf.IMAGE("https://m.media-amazon.com/images/I/515pcWc9GiL._AC_UL320_.jpg")</f>
        <v/>
      </c>
      <c r="K6494" t="inlineStr">
        <is>
          <t>9.99</t>
        </is>
      </c>
      <c r="L6494" t="n">
        <v>9.130000000000001</v>
      </c>
      <c r="M6494" s="1" t="inlineStr">
        <is>
          <t>-8.61%</t>
        </is>
      </c>
      <c r="N6494" s="1" t="n"/>
      <c r="O6494" t="n">
        <v>4.8</v>
      </c>
      <c r="P6494" t="n">
        <v>2069</v>
      </c>
      <c r="R6494" t="inlineStr">
        <is>
          <t>InStock</t>
        </is>
      </c>
      <c r="S6494" t="inlineStr">
        <is>
          <t>14.38</t>
        </is>
      </c>
      <c r="T6494" t="inlineStr">
        <is>
          <t>5408826458280</t>
        </is>
      </c>
    </row>
    <row r="6495" ht="87" customHeight="1">
      <c r="A6495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6495" s="2">
        <f>HYPERLINK("https://edmondsonsupply.com/products/fluke-179-true-rms-digital-multimeter", "https://edmondsonsupply.com/products/fluke-179-true-rms-digital-multimeter")</f>
        <v/>
      </c>
      <c r="C6495" t="inlineStr">
        <is>
          <t>Fluke 179 True-RMS Digital Multimeter</t>
        </is>
      </c>
      <c r="D6495" t="inlineStr">
        <is>
          <t>Fluke 177 True-RMS Digital Multimeter</t>
        </is>
      </c>
      <c r="E6495" s="2">
        <f>HYPERLINK("https://www.amazon.com/Fluke-177-ESFP-Digital-Multimeter/dp/B005WFW26S/ref=sr_1_6?keywords=Fluke+179+True-RMS+Digital+Multimeter&amp;qid=1694735225&amp;sr=8-6", "https://www.amazon.com/Fluke-177-ESFP-Digital-Multimeter/dp/B005WFW26S/ref=sr_1_6?keywords=Fluke+179+True-RMS+Digital+Multimeter&amp;qid=1694735225&amp;sr=8-6")</f>
        <v/>
      </c>
      <c r="F6495" t="inlineStr">
        <is>
          <t>B005WFW26S</t>
        </is>
      </c>
      <c r="G6495">
        <f>_xlfn.IMAGE("https://edmondsonsupply.com/cdn/shop/products/e0021116_431x600_31fa1fdc-90ee-45e4-8560-4be681a24cfe.jpg?v=1633030926")</f>
        <v/>
      </c>
      <c r="H6495">
        <f>_xlfn.IMAGE("https://m.media-amazon.com/images/I/81+6ClCEkYL._AC_UL320_.jpg")</f>
        <v/>
      </c>
      <c r="K6495" t="inlineStr">
        <is>
          <t>394.19</t>
        </is>
      </c>
      <c r="L6495" t="n">
        <v>360.1</v>
      </c>
      <c r="M6495" s="1" t="inlineStr">
        <is>
          <t>-8.65%</t>
        </is>
      </c>
      <c r="N6495" s="7" t="n"/>
      <c r="O6495" t="n">
        <v>4.5</v>
      </c>
      <c r="P6495" t="n">
        <v>143</v>
      </c>
      <c r="R6495" t="inlineStr">
        <is>
          <t>OutOfStock</t>
        </is>
      </c>
      <c r="S6495" t="inlineStr">
        <is>
          <t>437.99</t>
        </is>
      </c>
      <c r="T6495" t="inlineStr">
        <is>
          <t>6544506060973</t>
        </is>
      </c>
    </row>
    <row r="6496" hidden="1" ht="15.75" customHeight="1">
      <c r="A6496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6496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6496" t="inlineStr">
        <is>
          <t>Diablo Tools DMAMX1110 5/8 in. x 24 in. x 29 in. Rebar Demon™ SDS-Max 4-Cutter Full Carbide Head Hammer Bit</t>
        </is>
      </c>
      <c r="D6496" t="inlineStr">
        <is>
          <t>Diablo by Freud DMAMX1120 5/8 in. x 31 in. x 36 in. Rebar Demon SDS-Max 4-Cutter Full Carbide Head Hammer Bit</t>
        </is>
      </c>
      <c r="E6496" s="2">
        <f>HYPERLINK("https://www.amazon.com/Diablo-SDS-Max-4-Cutter-Carbide-Hammer/dp/B089LJFH3C/ref=sr_1_3?keywords=Diablo+Tools+DMAMX1110+5%2F8+in.+x+24+in.+x+29+in.+Rebar+Demon%E2%84%A2+SDS-Max+4-Cutter+Full+Carbide+Head+Hammer+Bit&amp;qid=1694735304&amp;sr=8-3", "https://www.amazon.com/Diablo-SDS-Max-4-Cutter-Carbide-Hammer/dp/B089LJFH3C/ref=sr_1_3?keywords=Diablo+Tools+DMAMX1110+5%2F8+in.+x+24+in.+x+29+in.+Rebar+Demon%E2%84%A2+SDS-Max+4-Cutter+Full+Carbide+Head+Hammer+Bit&amp;qid=1694735304&amp;sr=8-3")</f>
        <v/>
      </c>
      <c r="F6496" t="inlineStr">
        <is>
          <t>B089LJFH3C</t>
        </is>
      </c>
      <c r="G6496">
        <f>_xludf.IMAGE("https://edmondsonsupply.com/cdn/shop/products/DMAMX1110_1.jpg?v=1633030364")</f>
        <v/>
      </c>
      <c r="H6496">
        <f>_xludf.IMAGE("https://m.media-amazon.com/images/I/615ffyRtaAL._AC_UL320_.jpg")</f>
        <v/>
      </c>
      <c r="K6496" t="inlineStr">
        <is>
          <t>89.97</t>
        </is>
      </c>
      <c r="L6496" t="n">
        <v>82.18000000000001</v>
      </c>
      <c r="M6496" s="1" t="inlineStr">
        <is>
          <t>-8.66%</t>
        </is>
      </c>
      <c r="N6496" s="1" t="n"/>
      <c r="O6496" t="n">
        <v>3.9</v>
      </c>
      <c r="P6496" t="n">
        <v>4</v>
      </c>
      <c r="R6496" t="inlineStr">
        <is>
          <t>InStock</t>
        </is>
      </c>
      <c r="S6496" t="inlineStr">
        <is>
          <t>115.5</t>
        </is>
      </c>
      <c r="T6496" t="inlineStr">
        <is>
          <t>5289159655592</t>
        </is>
      </c>
    </row>
    <row r="6497" ht="87" customHeight="1">
      <c r="A6497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6497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6497" t="inlineStr">
        <is>
          <t>Diablo Tools DOU250BW 2-1/2 in. Universal Fit Bi-Metal Oscillating Blade for Nail-Embedded Wood</t>
        </is>
      </c>
      <c r="D6497" t="inlineStr">
        <is>
          <t>Diablo 3-1/2" Universal Fit Bi-Metal Oscillating Blade for General Purpose Cuts</t>
        </is>
      </c>
      <c r="E6497" s="2">
        <f>HYPERLINK("https://www.amazon.com/Diablo-DOU350RBGP-Universal-Bi-Metal-Oscillating/dp/B089LLG8ZQ/ref=sr_1_14?keywords=Diablo+Tools+DOU250BW+2-1%2F2+in.+Universal+Fit+Bi-Metal+Oscillating+Blade+for+Nail-Embedded+Wood&amp;qid=1694734995&amp;sr=8-14", "https://www.amazon.com/Diablo-DOU350RBGP-Universal-Bi-Metal-Oscillating/dp/B089LLG8ZQ/ref=sr_1_14?keywords=Diablo+Tools+DOU250BW+2-1%2F2+in.+Universal+Fit+Bi-Metal+Oscillating+Blade+for+Nail-Embedded+Wood&amp;qid=1694734995&amp;sr=8-14")</f>
        <v/>
      </c>
      <c r="F6497" t="inlineStr">
        <is>
          <t>B089LLG8ZQ</t>
        </is>
      </c>
      <c r="G6497">
        <f>_xlfn.IMAGE("https://edmondsonsupply.com/cdn/shop/files/xcched1uye7bv2s0ryod.webp?v=1685717397")</f>
        <v/>
      </c>
      <c r="H6497">
        <f>_xlfn.IMAGE("https://m.media-amazon.com/images/I/71xBW7MA1oL._AC_UL320_.jpg")</f>
        <v/>
      </c>
      <c r="K6497" t="inlineStr">
        <is>
          <t>19.97</t>
        </is>
      </c>
      <c r="L6497" t="n">
        <v>18.2</v>
      </c>
      <c r="M6497" s="1" t="inlineStr">
        <is>
          <t>-8.86%</t>
        </is>
      </c>
      <c r="N6497" s="7" t="n"/>
      <c r="O6497" t="n">
        <v>4.4</v>
      </c>
      <c r="P6497" t="n">
        <v>8</v>
      </c>
      <c r="R6497" t="inlineStr">
        <is>
          <t>InStock</t>
        </is>
      </c>
      <c r="S6497" t="inlineStr">
        <is>
          <t>24.85</t>
        </is>
      </c>
      <c r="T6497" t="inlineStr">
        <is>
          <t>7999559598296</t>
        </is>
      </c>
    </row>
    <row r="6498" ht="87" customHeight="1">
      <c r="A6498" s="2">
        <f>HYPERLINK("https://edmondsonsupply.com/collections/electricians-tools/products/klein-tools-vdv212-008-sen-compact-compression-crimper-f-connector", "https://edmondsonsupply.com/collections/electricians-tools/products/klein-tools-vdv212-008-sen-compact-compression-crimper-f-connector")</f>
        <v/>
      </c>
      <c r="B6498" s="2">
        <f>HYPERLINK("https://edmondsonsupply.com/products/klein-tools-vdv212-008-sen-compact-compression-crimper-f-connector", "https://edmondsonsupply.com/products/klein-tools-vdv212-008-sen-compact-compression-crimper-f-connector")</f>
        <v/>
      </c>
      <c r="C6498" t="inlineStr">
        <is>
          <t>Klein Tools VDV212-008-SEN Compact Compression Crimper, F-Connector</t>
        </is>
      </c>
      <c r="D6498" t="inlineStr">
        <is>
          <t>Klein Tools VDV212-008-SEN Compact Compression Crimper, F-Connector</t>
        </is>
      </c>
      <c r="E6498" s="2">
        <f>HYPERLINK("https://www.amazon.com/Klein-Tools-VDV212-008-SEN-Compression-F-Connector/dp/B002KWZCR2/ref=sr_1_1?keywords=Klein+Tools+VDV212-008-SEN+Compact+Compression+Crimper%2C+F-Connector&amp;qid=1694735272&amp;sr=8-1", "https://www.amazon.com/Klein-Tools-VDV212-008-SEN-Compression-F-Connector/dp/B002KWZCR2/ref=sr_1_1?keywords=Klein+Tools+VDV212-008-SEN+Compact+Compression+Crimper%2C+F-Connector&amp;qid=1694735272&amp;sr=8-1")</f>
        <v/>
      </c>
      <c r="F6498" t="inlineStr">
        <is>
          <t>B002KWZCR2</t>
        </is>
      </c>
      <c r="G6498">
        <f>_xlfn.IMAGE("https://edmondsonsupply.com/cdn/shop/products/vdv212-008.jpg?v=1666113179")</f>
        <v/>
      </c>
      <c r="H6498">
        <f>_xlfn.IMAGE("https://m.media-amazon.com/images/I/51XLRXlGzoL._AC_UL320_.jpg")</f>
        <v/>
      </c>
      <c r="K6498" t="inlineStr">
        <is>
          <t>19.99</t>
        </is>
      </c>
      <c r="L6498" t="n">
        <v>18.19</v>
      </c>
      <c r="M6498" s="1" t="inlineStr">
        <is>
          <t>-9.00%</t>
        </is>
      </c>
      <c r="N6498" s="7" t="n"/>
      <c r="O6498" t="n">
        <v>4.7</v>
      </c>
      <c r="P6498" t="n">
        <v>1492</v>
      </c>
      <c r="R6498" t="inlineStr">
        <is>
          <t>InStock</t>
        </is>
      </c>
      <c r="S6498" t="inlineStr">
        <is>
          <t>30.3</t>
        </is>
      </c>
      <c r="T6498" t="inlineStr">
        <is>
          <t>5401715769512</t>
        </is>
      </c>
    </row>
    <row r="6499" hidden="1" ht="15.75" customHeight="1">
      <c r="A6499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6499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6499" t="inlineStr">
        <is>
          <t>Klein Tools 635-1/4 1/4-Inch Nut Driver, Magnetic Tip, 4-Inch Shaft</t>
        </is>
      </c>
      <c r="D6499" t="inlineStr">
        <is>
          <t>Klein Tools 635-1/4 1/4-Inch Heavy Duty Nut Driver with Magnetic Tip, 4-Inch Hollow Shaft, Cushion Grip Handle</t>
        </is>
      </c>
      <c r="E6499" s="2">
        <f>HYPERLINK("https://www.amazon.com/4-Inch-Magnetic-Cushion-Klein-Tools/dp/B01D6DZRFA/ref=sr_1_1?keywords=Klein+Tools+635-1%2F4+1%2F4-Inch+Nut+Driver%2C+Magnetic+Tip%2C+4-Inch+Shaft&amp;qid=1694735101&amp;sr=8-1", "https://www.amazon.com/4-Inch-Magnetic-Cushion-Klein-Tools/dp/B01D6DZRFA/ref=sr_1_1?keywords=Klein+Tools+635-1%2F4+1%2F4-Inch+Nut+Driver%2C+Magnetic+Tip%2C+4-Inch+Shaft&amp;qid=1694735101&amp;sr=8-1")</f>
        <v/>
      </c>
      <c r="F6499" t="inlineStr">
        <is>
          <t>B01D6DZRFA</t>
        </is>
      </c>
      <c r="G6499">
        <f>_xludf.IMAGE("https://edmondsonsupply.com/cdn/shop/products/635-1-4.jpg?v=1666811523")</f>
        <v/>
      </c>
      <c r="H6499">
        <f>_xludf.IMAGE("https://m.media-amazon.com/images/I/41DrStZKvjL._AC_UL320_.jpg")</f>
        <v/>
      </c>
      <c r="K6499" t="inlineStr">
        <is>
          <t>11.99</t>
        </is>
      </c>
      <c r="L6499" t="n">
        <v>10.91</v>
      </c>
      <c r="M6499" s="1" t="inlineStr">
        <is>
          <t>-9.01%</t>
        </is>
      </c>
      <c r="N6499" s="1" t="n"/>
      <c r="O6499" t="n">
        <v>4.7</v>
      </c>
      <c r="P6499" t="n">
        <v>999</v>
      </c>
      <c r="R6499" t="inlineStr">
        <is>
          <t>InStock</t>
        </is>
      </c>
      <c r="S6499" t="inlineStr">
        <is>
          <t>18.18</t>
        </is>
      </c>
      <c r="T6499" t="inlineStr">
        <is>
          <t>7866294010072</t>
        </is>
      </c>
    </row>
    <row r="6500" ht="87" customHeight="1">
      <c r="A6500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6500" s="2">
        <f>HYPERLINK("https://edmondsonsupply.com/products/diablo-tools-dmast1050-5-8-in-x-2-1-16-x-sds-plus-2-cutter", "https://edmondsonsupply.com/products/diablo-tools-dmast1050-5-8-in-x-2-1-16-x-sds-plus-2-cutter")</f>
        <v/>
      </c>
      <c r="C6500" t="inlineStr">
        <is>
          <t>Diablo Tools DMAST1050 5/8 in. x 2-1/16 SDS-Plus 2-Cutter</t>
        </is>
      </c>
      <c r="D6500" t="inlineStr">
        <is>
          <t>Diablo 3/8 in. x 16 in. x 18 in. SDS-Plus 2-Cutter</t>
        </is>
      </c>
      <c r="E6500" s="2">
        <f>HYPERLINK("https://www.amazon.com/Diablo-DMAPL2250-16-SDS-Plus-2-Cutter/dp/B089KW3B6T/ref=sr_1_27?keywords=Diablo+Tools+DMAST1050+5%2F8+in.+x+2-1%2F16+SDS-Plus+2-Cutter&amp;qid=1694735304&amp;sr=8-27", "https://www.amazon.com/Diablo-DMAPL2250-16-SDS-Plus-2-Cutter/dp/B089KW3B6T/ref=sr_1_27?keywords=Diablo+Tools+DMAST1050+5%2F8+in.+x+2-1%2F16+SDS-Plus+2-Cutter&amp;qid=1694735304&amp;sr=8-27")</f>
        <v/>
      </c>
      <c r="F6500" t="inlineStr">
        <is>
          <t>B089KW3B6T</t>
        </is>
      </c>
      <c r="G6500">
        <f>_xlfn.IMAGE("https://edmondsonsupply.com/cdn/shop/products/DMAST1050_1.jpg?v=1633030363")</f>
        <v/>
      </c>
      <c r="H6500">
        <f>_xlfn.IMAGE("https://m.media-amazon.com/images/I/61JRNqT4IHL._AC_UL320_.jpg")</f>
        <v/>
      </c>
      <c r="K6500" t="inlineStr">
        <is>
          <t>21.97</t>
        </is>
      </c>
      <c r="L6500" t="n">
        <v>19.99</v>
      </c>
      <c r="M6500" s="1" t="inlineStr">
        <is>
          <t>-9.01%</t>
        </is>
      </c>
      <c r="N6500" s="7" t="n"/>
      <c r="O6500" t="n">
        <v>4.9</v>
      </c>
      <c r="P6500" t="n">
        <v>8</v>
      </c>
      <c r="R6500" t="inlineStr">
        <is>
          <t>InStock</t>
        </is>
      </c>
      <c r="S6500" t="inlineStr">
        <is>
          <t>29.12</t>
        </is>
      </c>
      <c r="T6500" t="inlineStr">
        <is>
          <t>5286938869928</t>
        </is>
      </c>
    </row>
    <row r="6501" ht="87" customHeight="1">
      <c r="A6501" s="2">
        <f>HYPERLINK("https://edmondsonsupply.com/collections/electricians-tools/products/klein-tools-vdv526-052-cable-tester-lan-scout%C2%AE-jr-continuity-tester", "https://edmondsonsupply.com/collections/electricians-tools/products/klein-tools-vdv526-052-cable-tester-lan-scout%C2%AE-jr-continuity-tester")</f>
        <v/>
      </c>
      <c r="B6501" s="2">
        <f>HYPERLINK("https://edmondsonsupply.com/products/klein-tools-vdv526-052-cable-tester-lan-scout%c2%ae-jr-continuity-tester", "https://edmondsonsupply.com/products/klein-tools-vdv526-052-cable-tester-lan-scout%c2%ae-jr-continuity-tester")</f>
        <v/>
      </c>
      <c r="C6501" t="inlineStr">
        <is>
          <t>Klein Tools VDV526-052 Cable Tester, LAN Scout® Jr. Continuity Tester</t>
        </is>
      </c>
      <c r="D6501" t="inlineStr">
        <is>
          <t>Klein Tools VDV526-200 Cable Tester, LAN Scout Jr. 2 Ethernet Cable Tester for CAT 5e, CAT 6/6A Cables with RJ45 Connections, Yellow/Black</t>
        </is>
      </c>
      <c r="E6501" s="2">
        <f>HYPERLINK("https://www.amazon.com/Ethernet-Connections-Klein-Tools-VDV526-200/dp/B0925826M2/ref=sr_1_3?keywords=Klein+Tools+VDV526-052+Cable+Tester%2C+LAN+Scout%C2%AE+Jr.+Continuity+Tester&amp;qid=1694734999&amp;sr=8-3", "https://www.amazon.com/Ethernet-Connections-Klein-Tools-VDV526-200/dp/B0925826M2/ref=sr_1_3?keywords=Klein+Tools+VDV526-052+Cable+Tester%2C+LAN+Scout%C2%AE+Jr.+Continuity+Tester&amp;qid=1694734999&amp;sr=8-3")</f>
        <v/>
      </c>
      <c r="F6501" t="inlineStr">
        <is>
          <t>B0925826M2</t>
        </is>
      </c>
      <c r="G6501">
        <f>_xlfn.IMAGE("https://edmondsonsupply.com/cdn/shop/files/vdv526-052.jpg?v=1685032494")</f>
        <v/>
      </c>
      <c r="H6501">
        <f>_xlfn.IMAGE("https://m.media-amazon.com/images/I/519D2efRZyL._AC_UY218_.jpg")</f>
        <v/>
      </c>
      <c r="K6501" t="inlineStr">
        <is>
          <t>59.97</t>
        </is>
      </c>
      <c r="L6501" t="n">
        <v>54.56</v>
      </c>
      <c r="M6501" s="1" t="inlineStr">
        <is>
          <t>-9.02%</t>
        </is>
      </c>
      <c r="N6501" s="7" t="n"/>
      <c r="O6501" t="n">
        <v>4.8</v>
      </c>
      <c r="P6501" t="n">
        <v>886</v>
      </c>
      <c r="R6501" t="inlineStr">
        <is>
          <t>InStock</t>
        </is>
      </c>
      <c r="S6501" t="inlineStr">
        <is>
          <t>96.68</t>
        </is>
      </c>
      <c r="T6501" t="inlineStr">
        <is>
          <t>7995835678936</t>
        </is>
      </c>
    </row>
    <row r="6502" ht="87" customHeight="1">
      <c r="A6502" s="2">
        <f>HYPERLINK("https://edmondsonsupply.com/collections/electricians-tools/products/diablo-tools-d0536x-5-3-8-in-x-36-tooth-finish-trim-saw-blade", "https://edmondsonsupply.com/collections/electricians-tools/products/diablo-tools-d0536x-5-3-8-in-x-36-tooth-finish-trim-saw-blade")</f>
        <v/>
      </c>
      <c r="B6502" s="2">
        <f>HYPERLINK("https://edmondsonsupply.com/products/diablo-tools-d0536x-5-3-8-in-x-36-tooth-finish-trim-saw-blade", "https://edmondsonsupply.com/products/diablo-tools-d0536x-5-3-8-in-x-36-tooth-finish-trim-saw-blade")</f>
        <v/>
      </c>
      <c r="C6502" t="inlineStr">
        <is>
          <t>Diablo Tools D0536X 5-3/8 in. x 36 Tooth Finish Trim Saw Blade</t>
        </is>
      </c>
      <c r="D6502" t="inlineStr">
        <is>
          <t>Freud D0436X Diablo 4-1/2-Inch 36 Tooth ATB Cordless Trim Saw Blade with 20-Millimeter Arbor and 3/8-Inch Reducer Bushing</t>
        </is>
      </c>
      <c r="E6502" s="2">
        <f>HYPERLINK("https://www.amazon.com/Freud-D0436X-Cordless-20-Millimeter-Reducer/dp/B0002TUFAO/ref=sr_1_9?keywords=Diablo+Tools+D0536X+5-3%2F8+in.+x+36+Tooth+Finish+Trim+Saw+Blade&amp;qid=1694735017&amp;sr=8-9", "https://www.amazon.com/Freud-D0436X-Cordless-20-Millimeter-Reducer/dp/B0002TUFAO/ref=sr_1_9?keywords=Diablo+Tools+D0536X+5-3%2F8+in.+x+36+Tooth+Finish+Trim+Saw+Blade&amp;qid=1694735017&amp;sr=8-9")</f>
        <v/>
      </c>
      <c r="F6502" t="inlineStr">
        <is>
          <t>B0002TUFAO</t>
        </is>
      </c>
      <c r="G6502">
        <f>_xlfn.IMAGE("https://edmondsonsupply.com/cdn/shop/products/tlu1mfykudka2gxayxql.webp?v=1679326425")</f>
        <v/>
      </c>
      <c r="H6502">
        <f>_xlfn.IMAGE("https://m.media-amazon.com/images/I/81ODrvwzTbL._AC_UL320_.jpg")</f>
        <v/>
      </c>
      <c r="K6502" t="inlineStr">
        <is>
          <t>16.97</t>
        </is>
      </c>
      <c r="L6502" t="n">
        <v>15.43</v>
      </c>
      <c r="M6502" s="1" t="inlineStr">
        <is>
          <t>-9.07%</t>
        </is>
      </c>
      <c r="N6502" s="7" t="n"/>
      <c r="O6502" t="n">
        <v>4.7</v>
      </c>
      <c r="P6502" t="n">
        <v>1256</v>
      </c>
      <c r="R6502" t="inlineStr">
        <is>
          <t>InStock</t>
        </is>
      </c>
      <c r="S6502" t="inlineStr">
        <is>
          <t>26.04</t>
        </is>
      </c>
      <c r="T6502" t="inlineStr">
        <is>
          <t>7964916482264</t>
        </is>
      </c>
    </row>
    <row r="6503" ht="87" customHeight="1">
      <c r="A6503" s="2">
        <f>HYPERLINK("https://edmondsonsupply.com/collections/electricians-tools/products/milwaukee-48-22-7314-14-cheater-adaptable-pipe-wrench", "https://edmondsonsupply.com/collections/electricians-tools/products/milwaukee-48-22-7314-14-cheater-adaptable-pipe-wrench")</f>
        <v/>
      </c>
      <c r="B6503" s="2">
        <f>HYPERLINK("https://edmondsonsupply.com/products/milwaukee-48-22-7314-14-cheater-adaptable-pipe-wrench", "https://edmondsonsupply.com/products/milwaukee-48-22-7314-14-cheater-adaptable-pipe-wrench")</f>
        <v/>
      </c>
      <c r="C6503" t="inlineStr">
        <is>
          <t>Milwaukee 48-22-7314 CHEATER Steel Adaptable Pipe Wrench</t>
        </is>
      </c>
      <c r="D6503" t="inlineStr">
        <is>
          <t>Milwaukee 48-22-7314 CHEATER Adaptable Pipe Wrench</t>
        </is>
      </c>
      <c r="E6503" s="2">
        <f>HYPERLINK("https://www.amazon.com/Milwaukee-48-22-7314-MILWAUKEE/dp/B01CRHGIYA/ref=sr_1_1?keywords=Milwaukee+48-22-7314+CHEATER+Steel+Adaptable+Pipe+Wrench&amp;qid=1694735420&amp;sr=8-1", "https://www.amazon.com/Milwaukee-48-22-7314-MILWAUKEE/dp/B01CRHGIYA/ref=sr_1_1?keywords=Milwaukee+48-22-7314+CHEATER+Steel+Adaptable+Pipe+Wrench&amp;qid=1694735420&amp;sr=8-1")</f>
        <v/>
      </c>
      <c r="F6503" t="inlineStr">
        <is>
          <t>B01CRHGIYA</t>
        </is>
      </c>
      <c r="G6503">
        <f>_xlfn.IMAGE("https://edmondsonsupply.com/cdn/shop/products/milwaukee-pipe-wrenches-48-22-7314-64_1000.jpg?v=1587144753")</f>
        <v/>
      </c>
      <c r="H6503">
        <f>_xlfn.IMAGE("https://m.media-amazon.com/images/I/71ziG8yXW9L._AC_UL320_.jpg")</f>
        <v/>
      </c>
      <c r="K6503" t="inlineStr">
        <is>
          <t>109.97</t>
        </is>
      </c>
      <c r="L6503" t="n">
        <v>99.98999999999999</v>
      </c>
      <c r="M6503" s="1" t="inlineStr">
        <is>
          <t>-9.08%</t>
        </is>
      </c>
      <c r="N6503" s="7" t="n"/>
      <c r="O6503" t="n">
        <v>4.7</v>
      </c>
      <c r="P6503" t="n">
        <v>297</v>
      </c>
      <c r="R6503" t="inlineStr">
        <is>
          <t>InStock</t>
        </is>
      </c>
      <c r="S6503" t="inlineStr">
        <is>
          <t>159.7</t>
        </is>
      </c>
      <c r="T6503" t="inlineStr">
        <is>
          <t>4358613827684</t>
        </is>
      </c>
    </row>
    <row r="6504" ht="87" customHeight="1">
      <c r="A6504" s="2">
        <f>HYPERLINK("https://edmondsonsupply.com/collections/electricians-tools/products/diablo-tools-dag3040-9-16-in-x-17-1-2-in-auger-bit", "https://edmondsonsupply.com/collections/electricians-tools/products/diablo-tools-dag3040-9-16-in-x-17-1-2-in-auger-bit")</f>
        <v/>
      </c>
      <c r="B6504" s="2">
        <f>HYPERLINK("https://edmondsonsupply.com/products/diablo-tools-dag3040-9-16-in-x-17-1-2-in-auger-bit", "https://edmondsonsupply.com/products/diablo-tools-dag3040-9-16-in-x-17-1-2-in-auger-bit")</f>
        <v/>
      </c>
      <c r="C6504" t="inlineStr">
        <is>
          <t>Diablo Tools DAG3040 9/16 in. x 17-1/2 in. Auger Bit</t>
        </is>
      </c>
      <c r="D6504" t="inlineStr">
        <is>
          <t>Diablo DAG3020 7/16 in. x 17-1/2 in. Auger Bit</t>
        </is>
      </c>
      <c r="E6504" s="2">
        <f>HYPERLINK("https://www.amazon.com/Diablo-DAG3020-17-1-Auger-Bit/dp/B089LGWKFF/ref=sr_1_6?keywords=Diablo+Tools+DAG3040+9%2F16+in.+x+17-1%2F2+in.+Auger+Bit&amp;qid=1694735069&amp;sr=8-6", "https://www.amazon.com/Diablo-DAG3020-17-1-Auger-Bit/dp/B089LGWKFF/ref=sr_1_6?keywords=Diablo+Tools+DAG3040+9%2F16+in.+x+17-1%2F2+in.+Auger+Bit&amp;qid=1694735069&amp;sr=8-6")</f>
        <v/>
      </c>
      <c r="F6504" t="inlineStr">
        <is>
          <t>B089LGWKFF</t>
        </is>
      </c>
      <c r="G6504">
        <f>_xlfn.IMAGE("https://edmondsonsupply.com/cdn/shop/products/fmfcptadhtney3owwa7y.webp?v=1669993222")</f>
        <v/>
      </c>
      <c r="H6504">
        <f>_xlfn.IMAGE("https://m.media-amazon.com/images/I/61XUUNTev0L._AC_UL320_.jpg")</f>
        <v/>
      </c>
      <c r="K6504" t="inlineStr">
        <is>
          <t>17.83</t>
        </is>
      </c>
      <c r="L6504" t="n">
        <v>16.21</v>
      </c>
      <c r="M6504" s="1" t="inlineStr">
        <is>
          <t>-9.09%</t>
        </is>
      </c>
      <c r="N6504" s="7" t="n"/>
      <c r="O6504" t="n">
        <v>5</v>
      </c>
      <c r="P6504" t="n">
        <v>2</v>
      </c>
      <c r="R6504" t="inlineStr">
        <is>
          <t>InStock</t>
        </is>
      </c>
      <c r="S6504" t="inlineStr">
        <is>
          <t>28.28</t>
        </is>
      </c>
      <c r="T6504" t="inlineStr">
        <is>
          <t>7897495142616</t>
        </is>
      </c>
    </row>
    <row r="6505" ht="87" customHeight="1">
      <c r="A6505" s="2">
        <f>HYPERLINK("https://edmondsonsupply.com/collections/electricians-tools/products/klein-tools-d86930-reversible-jaw-adjustable-pipe-wrench-10-inch", "https://edmondsonsupply.com/collections/electricians-tools/products/klein-tools-d86930-reversible-jaw-adjustable-pipe-wrench-10-inch")</f>
        <v/>
      </c>
      <c r="B6505" s="2">
        <f>HYPERLINK("https://edmondsonsupply.com/products/klein-tools-d86930-reversible-jaw-adjustable-pipe-wrench-10-inch", "https://edmondsonsupply.com/products/klein-tools-d86930-reversible-jaw-adjustable-pipe-wrench-10-inch")</f>
        <v/>
      </c>
      <c r="C6505" t="inlineStr">
        <is>
          <t>Klein Tools D86930 Reversible Jaw/Adjustable Pipe Wrench, 10-Inch</t>
        </is>
      </c>
      <c r="D6505" t="inlineStr">
        <is>
          <t>Klein Tools D86930 Reversible Pipe Wrench/Adjustable Wrench with 2-in-1 Extra-Wide 1-1/2 -inch Jaw, 10-inch</t>
        </is>
      </c>
      <c r="E6505" s="2">
        <f>HYPERLINK("https://www.amazon.com/Reversible-Adjustable-Klein-Tools-D86930/dp/B0753L3TP6/ref=sr_1_1?keywords=Klein+Tools+D86930+Reversible+Jaw%2FAdjustable+Pipe+Wrench%2C+10-Inch&amp;qid=1694735357&amp;sr=8-1", "https://www.amazon.com/Reversible-Adjustable-Klein-Tools-D86930/dp/B0753L3TP6/ref=sr_1_1?keywords=Klein+Tools+D86930+Reversible+Jaw%2FAdjustable+Pipe+Wrench%2C+10-Inch&amp;qid=1694735357&amp;sr=8-1")</f>
        <v/>
      </c>
      <c r="F6505" t="inlineStr">
        <is>
          <t>B0753L3TP6</t>
        </is>
      </c>
      <c r="G6505">
        <f>_xlfn.IMAGE("https://edmondsonsupply.com/cdn/shop/products/d86930.jpg?v=1587142930")</f>
        <v/>
      </c>
      <c r="H6505">
        <f>_xlfn.IMAGE("https://m.media-amazon.com/images/I/41BoNS0zkEL._AC_UL320_.jpg")</f>
        <v/>
      </c>
      <c r="K6505" t="inlineStr">
        <is>
          <t>43.99</t>
        </is>
      </c>
      <c r="L6505" t="n">
        <v>39.99</v>
      </c>
      <c r="M6505" s="1" t="inlineStr">
        <is>
          <t>-9.09%</t>
        </is>
      </c>
      <c r="N6505" s="7" t="n"/>
      <c r="O6505" t="n">
        <v>4.7</v>
      </c>
      <c r="P6505" t="n">
        <v>127</v>
      </c>
      <c r="R6505" t="inlineStr">
        <is>
          <t>InStock</t>
        </is>
      </c>
      <c r="S6505" t="inlineStr">
        <is>
          <t>63.4</t>
        </is>
      </c>
      <c r="T6505" t="inlineStr">
        <is>
          <t>4431821996132</t>
        </is>
      </c>
    </row>
    <row r="6506" ht="87" customHeight="1">
      <c r="A6506" s="2">
        <f>HYPERLINK("https://edmondsonsupply.com/collections/electricians-tools/products/klein-tools-69358-lead-adapters-20-foot", "https://edmondsonsupply.com/collections/electricians-tools/products/klein-tools-69358-lead-adapters-20-foot")</f>
        <v/>
      </c>
      <c r="B6506" s="2">
        <f>HYPERLINK("https://edmondsonsupply.com/products/klein-tools-69358-lead-adapters-20-foot", "https://edmondsonsupply.com/products/klein-tools-69358-lead-adapters-20-foot")</f>
        <v/>
      </c>
      <c r="C6506" t="inlineStr">
        <is>
          <t>Klein Tools 69358 Lead Adapters, 20-Foot</t>
        </is>
      </c>
      <c r="D6506" t="inlineStr">
        <is>
          <t>Klein Tools 69359 Lead Adapters, Attach to Alligator Clips, Outlet Tabs / Prongs, for all Meters with Banana-Type Connectors, 3-Foot Pair</t>
        </is>
      </c>
      <c r="E6506" s="2">
        <f>HYPERLINK("https://www.amazon.com/Klein-Tools-69359-Banana-Type-Connectors/dp/B0BN2HNCLV/ref=sr_1_2?keywords=Klein+Tools+69358+Lead+Adapters%2C+20-Foot&amp;qid=1694735053&amp;sr=8-2", "https://www.amazon.com/Klein-Tools-69359-Banana-Type-Connectors/dp/B0BN2HNCLV/ref=sr_1_2?keywords=Klein+Tools+69358+Lead+Adapters%2C+20-Foot&amp;qid=1694735053&amp;sr=8-2")</f>
        <v/>
      </c>
      <c r="F6506" t="inlineStr">
        <is>
          <t>B0BN2HNCLV</t>
        </is>
      </c>
      <c r="G6506">
        <f>_xlfn.IMAGE("https://edmondsonsupply.com/cdn/shop/products/69358.jpg?v=1674489737")</f>
        <v/>
      </c>
      <c r="H6506">
        <f>_xlfn.IMAGE("https://m.media-amazon.com/images/I/51TpShexYpL._AC_UL320_.jpg")</f>
        <v/>
      </c>
      <c r="K6506" t="inlineStr">
        <is>
          <t>21.99</t>
        </is>
      </c>
      <c r="L6506" t="n">
        <v>19.99</v>
      </c>
      <c r="M6506" s="1" t="inlineStr">
        <is>
          <t>-9.10%</t>
        </is>
      </c>
      <c r="N6506" s="7" t="n"/>
      <c r="O6506" t="n">
        <v>5</v>
      </c>
      <c r="P6506" t="n">
        <v>1</v>
      </c>
      <c r="R6506" t="inlineStr">
        <is>
          <t>InStock</t>
        </is>
      </c>
      <c r="S6506" t="inlineStr">
        <is>
          <t>33.34</t>
        </is>
      </c>
      <c r="T6506" t="inlineStr">
        <is>
          <t>7931924938968</t>
        </is>
      </c>
    </row>
    <row r="6507" ht="87" customHeight="1">
      <c r="A6507" s="2">
        <f>HYPERLINK("https://edmondsonsupply.com/collections/electricians-tools/products/klein-tools-56414-rechargeable-2-color-led-headlamp-with-adjustable-strap", "https://edmondsonsupply.com/collections/electricians-tools/products/klein-tools-56414-rechargeable-2-color-led-headlamp-with-adjustable-strap")</f>
        <v/>
      </c>
      <c r="B6507" s="2">
        <f>HYPERLINK("https://edmondsonsupply.com/products/klein-tools-56414-rechargeable-2-color-led-headlamp-with-adjustable-strap", "https://edmondsonsupply.com/products/klein-tools-56414-rechargeable-2-color-led-headlamp-with-adjustable-strap")</f>
        <v/>
      </c>
      <c r="C6507" t="inlineStr">
        <is>
          <t>Klein Tools 56414 Rechargeable 2-Color LED Headlamp with Adjustable Strap</t>
        </is>
      </c>
      <c r="D6507" t="inlineStr">
        <is>
          <t>Klein Tools 56414 Rechargeable 2-Color LED Headlamp, Fabric Strap, Spotlight, Floodlight, Red LED, 800 Lumens, USB Cable, Camping, Running</t>
        </is>
      </c>
      <c r="E6507" s="2">
        <f>HYPERLINK("https://www.amazon.com/Klein-Tools-56414-Rechargeable-Floodlight/dp/B09482MPPZ/ref=sr_1_1?keywords=Klein+Tools+56414+Rechargeable+2-Color+LED+Headlamp+with+Adjustable+Strap&amp;qid=1694735116&amp;sr=8-1", "https://www.amazon.com/Klein-Tools-56414-Rechargeable-Floodlight/dp/B09482MPPZ/ref=sr_1_1?keywords=Klein+Tools+56414+Rechargeable+2-Color+LED+Headlamp+with+Adjustable+Strap&amp;qid=1694735116&amp;sr=8-1")</f>
        <v/>
      </c>
      <c r="F6507" t="inlineStr">
        <is>
          <t>B09482MPPZ</t>
        </is>
      </c>
      <c r="G6507">
        <f>_xlfn.IMAGE("https://edmondsonsupply.com/cdn/shop/products/56414.jpg?v=1663954728")</f>
        <v/>
      </c>
      <c r="H6507">
        <f>_xlfn.IMAGE("https://m.media-amazon.com/images/I/51qWbdOxpNS._AC_UL320_.jpg")</f>
        <v/>
      </c>
      <c r="K6507" t="inlineStr">
        <is>
          <t>54.97</t>
        </is>
      </c>
      <c r="L6507" t="n">
        <v>49.97</v>
      </c>
      <c r="M6507" s="1" t="inlineStr">
        <is>
          <t>-9.10%</t>
        </is>
      </c>
      <c r="N6507" s="7" t="n"/>
      <c r="O6507" t="n">
        <v>4.3</v>
      </c>
      <c r="P6507" t="n">
        <v>244</v>
      </c>
      <c r="R6507" t="inlineStr">
        <is>
          <t>InStock</t>
        </is>
      </c>
      <c r="S6507" t="inlineStr">
        <is>
          <t>81.62</t>
        </is>
      </c>
      <c r="T6507" t="inlineStr">
        <is>
          <t>7827369853144</t>
        </is>
      </c>
    </row>
    <row r="6508" ht="87" customHeight="1">
      <c r="A6508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6508" s="2">
        <f>HYPERLINK("https://edmondsonsupply.com/products/klein-tools-32305-15-in-1-multi-bit-ratcheting-screwdriver", "https://edmondsonsupply.com/products/klein-tools-32305-15-in-1-multi-bit-ratcheting-screwdriver")</f>
        <v/>
      </c>
      <c r="C6508" t="inlineStr">
        <is>
          <t>Klein Tools 32305 15-in-1 Multi-Bit Ratcheting Screwdriver</t>
        </is>
      </c>
      <c r="D6508" t="inlineStr">
        <is>
          <t>Klein Tools 32328 Precision Screwdriver, 27-in-1 Multi-Bit Screwdriver, Bits for Apple Product Repair, Rare-Earth Magnet</t>
        </is>
      </c>
      <c r="E6508" s="2">
        <f>HYPERLINK("https://www.amazon.com/Klein-Tools-32328-Screwdriver-Rare-Earth/dp/B09Z78CPK3/ref=sr_1_25?keywords=Klein+Tools+32305+15-in-1+Multi-Bit+Ratcheting+Screwdriver&amp;qid=1694735163&amp;sr=8-25", "https://www.amazon.com/Klein-Tools-32328-Screwdriver-Rare-Earth/dp/B09Z78CPK3/ref=sr_1_25?keywords=Klein+Tools+32305+15-in-1+Multi-Bit+Ratcheting+Screwdriver&amp;qid=1694735163&amp;sr=8-25")</f>
        <v/>
      </c>
      <c r="F6508" t="inlineStr">
        <is>
          <t>B09Z78CPK3</t>
        </is>
      </c>
      <c r="G6508">
        <f>_xlfn.IMAGE("https://edmondsonsupply.com/cdn/shop/products/32305.jpg?v=1646965475")</f>
        <v/>
      </c>
      <c r="H6508">
        <f>_xlfn.IMAGE("https://m.media-amazon.com/images/I/41AMJw8sOTL._AC_UL320_.jpg")</f>
        <v/>
      </c>
      <c r="K6508" t="inlineStr">
        <is>
          <t>21.97</t>
        </is>
      </c>
      <c r="L6508" t="n">
        <v>19.97</v>
      </c>
      <c r="M6508" s="1" t="inlineStr">
        <is>
          <t>-9.10%</t>
        </is>
      </c>
      <c r="N6508" s="7" t="n"/>
      <c r="O6508" t="n">
        <v>4.8</v>
      </c>
      <c r="P6508" t="n">
        <v>537</v>
      </c>
      <c r="R6508" t="inlineStr">
        <is>
          <t>InStock</t>
        </is>
      </c>
      <c r="S6508" t="inlineStr">
        <is>
          <t>30.78</t>
        </is>
      </c>
      <c r="T6508" t="inlineStr">
        <is>
          <t>7632426598616</t>
        </is>
      </c>
    </row>
    <row r="6509" ht="87" customHeight="1">
      <c r="A6509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6509" s="2">
        <f>HYPERLINK("https://edmondsonsupply.com/products/klein-tools-32305-15-in-1-multi-bit-ratcheting-screwdriver", "https://edmondsonsupply.com/products/klein-tools-32305-15-in-1-multi-bit-ratcheting-screwdriver")</f>
        <v/>
      </c>
      <c r="C6509" t="inlineStr">
        <is>
          <t>Klein Tools 32305 15-in-1 Multi-Bit Ratcheting Screwdriver</t>
        </is>
      </c>
      <c r="D6509" t="inlineStr">
        <is>
          <t>Klein Tools 32303 Multi-Bit Screwdriver / Nut Driver, Impact Rated 14-in-1 Magnetic Screwdriver Set Phillips, Slotted, Square, Combo, Torx</t>
        </is>
      </c>
      <c r="E6509" s="2">
        <f>HYPERLINK("https://www.amazon.com/Klein-Tools-Multi-bit-Screwdriver-Adjustable/dp/B08KFM8833/ref=sr_1_19?keywords=Klein+Tools+32305+15-in-1+Multi-Bit+Ratcheting+Screwdriver&amp;qid=1694735163&amp;sr=8-19", "https://www.amazon.com/Klein-Tools-Multi-bit-Screwdriver-Adjustable/dp/B08KFM8833/ref=sr_1_19?keywords=Klein+Tools+32305+15-in-1+Multi-Bit+Ratcheting+Screwdriver&amp;qid=1694735163&amp;sr=8-19")</f>
        <v/>
      </c>
      <c r="F6509" t="inlineStr">
        <is>
          <t>B08KFM8833</t>
        </is>
      </c>
      <c r="G6509">
        <f>_xlfn.IMAGE("https://edmondsonsupply.com/cdn/shop/products/32305.jpg?v=1646965475")</f>
        <v/>
      </c>
      <c r="H6509">
        <f>_xlfn.IMAGE("https://m.media-amazon.com/images/I/51MWPRqx3sL._AC_UL320_.jpg")</f>
        <v/>
      </c>
      <c r="K6509" t="inlineStr">
        <is>
          <t>21.97</t>
        </is>
      </c>
      <c r="L6509" t="n">
        <v>19.97</v>
      </c>
      <c r="M6509" s="1" t="inlineStr">
        <is>
          <t>-9.10%</t>
        </is>
      </c>
      <c r="N6509" s="7" t="n"/>
      <c r="O6509" t="n">
        <v>4.6</v>
      </c>
      <c r="P6509" t="n">
        <v>2694</v>
      </c>
      <c r="R6509" t="inlineStr">
        <is>
          <t>InStock</t>
        </is>
      </c>
      <c r="S6509" t="inlineStr">
        <is>
          <t>30.78</t>
        </is>
      </c>
      <c r="T6509" t="inlineStr">
        <is>
          <t>7632426598616</t>
        </is>
      </c>
    </row>
    <row r="6510" ht="87" customHeight="1">
      <c r="A6510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6510" s="2">
        <f>HYPERLINK("https://edmondsonsupply.com/products/klein-tools-j203-8-pliers-needle-nose-side-cutters-8-inch", "https://edmondsonsupply.com/products/klein-tools-j203-8-pliers-needle-nose-side-cutters-8-inch")</f>
        <v/>
      </c>
      <c r="C6510" t="inlineStr">
        <is>
          <t>Klein Tools J203-8 Pliers, Needle Nose Side-Cutters, 8-Inch</t>
        </is>
      </c>
      <c r="D6510" t="inlineStr">
        <is>
          <t>Klein Tools J203-8 8-Inch Needle Nose Pliers, Heavy Duty Cutting, Extended Handles, High Leverage, Induction Hardened with Hot-Riveted Joint</t>
        </is>
      </c>
      <c r="E6510" s="2">
        <f>HYPERLINK("https://www.amazon.com/Klein-Tools-J203-8-Needle-Journeyman/dp/B0009X8GP4/ref=sr_1_1?keywords=Klein+Tools+J203-8+Pliers%2C+Needle+Nose+Side-Cutters%2C+8-Inch&amp;qid=1694735171&amp;sr=8-1", "https://www.amazon.com/Klein-Tools-J203-8-Needle-Journeyman/dp/B0009X8GP4/ref=sr_1_1?keywords=Klein+Tools+J203-8+Pliers%2C+Needle+Nose+Side-Cutters%2C+8-Inch&amp;qid=1694735171&amp;sr=8-1")</f>
        <v/>
      </c>
      <c r="F6510" t="inlineStr">
        <is>
          <t>B0009X8GP4</t>
        </is>
      </c>
      <c r="G6510">
        <f>_xlfn.IMAGE("https://edmondsonsupply.com/cdn/shop/products/j2038.jpg?v=1644709677")</f>
        <v/>
      </c>
      <c r="H6510">
        <f>_xlfn.IMAGE("https://m.media-amazon.com/images/I/410yItANVhS._AC_UL320_.jpg")</f>
        <v/>
      </c>
      <c r="K6510" t="inlineStr">
        <is>
          <t>38.49</t>
        </is>
      </c>
      <c r="L6510" t="n">
        <v>34.97</v>
      </c>
      <c r="M6510" s="1" t="inlineStr">
        <is>
          <t>-9.15%</t>
        </is>
      </c>
      <c r="N6510" s="7" t="n"/>
      <c r="O6510" t="n">
        <v>4.8</v>
      </c>
      <c r="P6510" t="n">
        <v>1333</v>
      </c>
      <c r="R6510" t="inlineStr">
        <is>
          <t>InStock</t>
        </is>
      </c>
      <c r="S6510" t="inlineStr">
        <is>
          <t>58.32</t>
        </is>
      </c>
      <c r="T6510" t="inlineStr">
        <is>
          <t>7606180249816</t>
        </is>
      </c>
    </row>
    <row r="6511" hidden="1" ht="15.75" customHeight="1">
      <c r="A6511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6511" s="2">
        <f>HYPERLINK("https://edmondsonsupply.com/products/klein-tools-635-7-16-7-16-inch-heavy-duty-nut-driver", "https://edmondsonsupply.com/products/klein-tools-635-7-16-7-16-inch-heavy-duty-nut-driver")</f>
        <v/>
      </c>
      <c r="C6511" t="inlineStr">
        <is>
          <t>Klein Tools 635-7/16 7/16-Inch Heavy-Duty Nut Driver</t>
        </is>
      </c>
      <c r="D6511" t="inlineStr">
        <is>
          <t>Klein Tools 635-7/16 7/16-Inch Heavy-Duty Nut Driver</t>
        </is>
      </c>
      <c r="E6511" s="2">
        <f>HYPERLINK("https://www.amazon.com/16-Inch-Heavy-Duty-Driver-Klein-Tools/dp/B01D6FPYRE/ref=sr_1_1?keywords=Klein+Tools+635-7%2F16+7%2F16-Inch+Heavy-Duty+Nut+Driver&amp;qid=1694735398&amp;sr=8-1", "https://www.amazon.com/16-Inch-Heavy-Duty-Driver-Klein-Tools/dp/B01D6FPYRE/ref=sr_1_1?keywords=Klein+Tools+635-7%2F16+7%2F16-Inch+Heavy-Duty+Nut+Driver&amp;qid=1694735398&amp;sr=8-1")</f>
        <v/>
      </c>
      <c r="F6511" t="inlineStr">
        <is>
          <t>B01D6FPYRE</t>
        </is>
      </c>
      <c r="G6511">
        <f>_xludf.IMAGE("https://edmondsonsupply.com/cdn/shop/products/635-7-16.jpg?v=1587145128")</f>
        <v/>
      </c>
      <c r="H6511">
        <f>_xludf.IMAGE("https://m.media-amazon.com/images/I/41wh4vxYIPL._AC_UL320_.jpg")</f>
        <v/>
      </c>
      <c r="K6511" t="inlineStr">
        <is>
          <t>14.49</t>
        </is>
      </c>
      <c r="L6511" t="n">
        <v>13.16</v>
      </c>
      <c r="M6511" s="1" t="inlineStr">
        <is>
          <t>-9.18%</t>
        </is>
      </c>
      <c r="N6511" s="1" t="n"/>
      <c r="O6511" t="n">
        <v>4.7</v>
      </c>
      <c r="P6511" t="n">
        <v>999</v>
      </c>
      <c r="R6511" t="inlineStr">
        <is>
          <t>InStock</t>
        </is>
      </c>
      <c r="S6511" t="inlineStr">
        <is>
          <t>21.94</t>
        </is>
      </c>
      <c r="T6511" t="inlineStr">
        <is>
          <t>4410745978980</t>
        </is>
      </c>
    </row>
    <row r="6512" ht="87" customHeight="1">
      <c r="A6512" s="2">
        <f>HYPERLINK("https://edmondsonsupply.com/collections/electricians-tools/products/klein-tools-44201-electricians-pocket-knife", "https://edmondsonsupply.com/collections/electricians-tools/products/klein-tools-44201-electricians-pocket-knife")</f>
        <v/>
      </c>
      <c r="B6512" s="2">
        <f>HYPERLINK("https://edmondsonsupply.com/products/klein-tools-44201-electricians-pocket-knife", "https://edmondsonsupply.com/products/klein-tools-44201-electricians-pocket-knife")</f>
        <v/>
      </c>
      <c r="C6512" t="inlineStr">
        <is>
          <t>Klein Tools 44201 Electrician's Pocket Knife</t>
        </is>
      </c>
      <c r="D6512" t="inlineStr">
        <is>
          <t>Klein Tools 44228 Electrician's Pocket Knife with Stainless Steel Blade, Perfect for Splitting Cable, Stripping Wire and Everyday Tasks, Black</t>
        </is>
      </c>
      <c r="E6512" s="2">
        <f>HYPERLINK("https://www.amazon.com/KLEIN-TOOLS-Electricians-Pocket-Knife/dp/B08BX8VWBH/ref=sr_1_2?keywords=Klein+Tools+44201+Electrician%27s+Pocket+Knife&amp;qid=1694735372&amp;sr=8-2", "https://www.amazon.com/KLEIN-TOOLS-Electricians-Pocket-Knife/dp/B08BX8VWBH/ref=sr_1_2?keywords=Klein+Tools+44201+Electrician%27s+Pocket+Knife&amp;qid=1694735372&amp;sr=8-2")</f>
        <v/>
      </c>
      <c r="F6512" t="inlineStr">
        <is>
          <t>B08BX8VWBH</t>
        </is>
      </c>
      <c r="G6512">
        <f>_xlfn.IMAGE("https://edmondsonsupply.com/cdn/shop/products/44201.jpg?v=1587143552")</f>
        <v/>
      </c>
      <c r="H6512">
        <f>_xlfn.IMAGE("https://m.media-amazon.com/images/I/515fF9QDalL._AC_UL320_.jpg")</f>
        <v/>
      </c>
      <c r="K6512" t="inlineStr">
        <is>
          <t>21.99</t>
        </is>
      </c>
      <c r="L6512" t="n">
        <v>19.97</v>
      </c>
      <c r="M6512" s="1" t="inlineStr">
        <is>
          <t>-9.19%</t>
        </is>
      </c>
      <c r="N6512" s="7" t="n"/>
      <c r="O6512" t="n">
        <v>4.7</v>
      </c>
      <c r="P6512" t="n">
        <v>966</v>
      </c>
      <c r="R6512" t="inlineStr">
        <is>
          <t>InStock</t>
        </is>
      </c>
      <c r="S6512" t="inlineStr">
        <is>
          <t>32.02</t>
        </is>
      </c>
      <c r="T6512" t="inlineStr">
        <is>
          <t>2846982471780</t>
        </is>
      </c>
    </row>
    <row r="6513" ht="87" customHeight="1">
      <c r="A6513" s="2">
        <f>HYPERLINK("https://edmondsonsupply.com/collections/electricians-tools/products/klein-tools-32525-tamperproof-bit-set-32-piece", "https://edmondsonsupply.com/collections/electricians-tools/products/klein-tools-32525-tamperproof-bit-set-32-piece")</f>
        <v/>
      </c>
      <c r="B6513" s="2">
        <f>HYPERLINK("https://edmondsonsupply.com/products/klein-tools-32525-tamperproof-bit-set-32-piece", "https://edmondsonsupply.com/products/klein-tools-32525-tamperproof-bit-set-32-piece")</f>
        <v/>
      </c>
      <c r="C6513" t="inlineStr">
        <is>
          <t>Klein Tools 32525 Tamperproof Bit Set, 32 Piece</t>
        </is>
      </c>
      <c r="D6513" t="inlineStr">
        <is>
          <t>Klein Tools 32327 Precision Screwdriver Set, 27-in-1 Multi-Bit Screwdriver with 26 Tamperproof Bits, Onboard Storage, Rare-Earth Magnet</t>
        </is>
      </c>
      <c r="E6513" s="2">
        <f>HYPERLINK("https://www.amazon.com/Klein-Tools-Precision-Screwdriver-Tamperproof/dp/B09SVP9NDQ/ref=sr_1_9?keywords=Klein+Tools+32525+Tamperproof+Bit+Set%2C+32+Piece&amp;qid=1694735369&amp;sr=8-9", "https://www.amazon.com/Klein-Tools-Precision-Screwdriver-Tamperproof/dp/B09SVP9NDQ/ref=sr_1_9?keywords=Klein+Tools+32525+Tamperproof+Bit+Set%2C+32+Piece&amp;qid=1694735369&amp;sr=8-9")</f>
        <v/>
      </c>
      <c r="F6513" t="inlineStr">
        <is>
          <t>B09SVP9NDQ</t>
        </is>
      </c>
      <c r="G6513">
        <f>_xlfn.IMAGE("https://edmondsonsupply.com/cdn/shop/products/32525.jpg?v=1587143659")</f>
        <v/>
      </c>
      <c r="H6513">
        <f>_xlfn.IMAGE("https://m.media-amazon.com/images/I/41eUHzyQqQL._AC_UL320_.jpg")</f>
        <v/>
      </c>
      <c r="K6513" t="inlineStr">
        <is>
          <t>21.99</t>
        </is>
      </c>
      <c r="L6513" t="n">
        <v>19.97</v>
      </c>
      <c r="M6513" s="1" t="inlineStr">
        <is>
          <t>-9.19%</t>
        </is>
      </c>
      <c r="N6513" s="7" t="n"/>
      <c r="O6513" t="n">
        <v>4.7</v>
      </c>
      <c r="P6513" t="n">
        <v>756</v>
      </c>
      <c r="R6513" t="inlineStr">
        <is>
          <t>InStock</t>
        </is>
      </c>
      <c r="S6513" t="inlineStr">
        <is>
          <t>33.32</t>
        </is>
      </c>
      <c r="T6513" t="inlineStr">
        <is>
          <t>4427072307300</t>
        </is>
      </c>
    </row>
    <row r="6514" hidden="1" ht="15.75" customHeight="1">
      <c r="A6514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6514" s="2">
        <f>HYPERLINK("https://edmondsonsupply.com/products/klein-tools-s10-5-16-inch-nut-driver-3-inch-hollow-shaft", "https://edmondsonsupply.com/products/klein-tools-s10-5-16-inch-nut-driver-3-inch-hollow-shaft")</f>
        <v/>
      </c>
      <c r="C6514" t="inlineStr">
        <is>
          <t>Klein Tools S10 5/16-Inch Nut Driver 3-Inch Hollow Shaft</t>
        </is>
      </c>
      <c r="D6514" t="inlineStr">
        <is>
          <t>Klein Tools S10 5/16-Inch Nut Driver with 3-Inch Hollow Shaft and Comfordome Handle</t>
        </is>
      </c>
      <c r="E6514" s="2">
        <f>HYPERLINK("https://www.amazon.com/16-Inch-Comfordome-Klein-Tools-S10/dp/B0000302VV/ref=sr_1_1?keywords=Klein+Tools+S10+5%2F16-Inch+Nut+Driver+3-Inch+Hollow+Shaft&amp;qid=1694735234&amp;sr=8-1", "https://www.amazon.com/16-Inch-Comfordome-Klein-Tools-S10/dp/B0000302VV/ref=sr_1_1?keywords=Klein+Tools+S10+5%2F16-Inch+Nut+Driver+3-Inch+Hollow+Shaft&amp;qid=1694735234&amp;sr=8-1")</f>
        <v/>
      </c>
      <c r="F6514" t="inlineStr">
        <is>
          <t>B0000302VV</t>
        </is>
      </c>
      <c r="G6514">
        <f>_xludf.IMAGE("https://edmondsonsupply.com/cdn/shop/products/s10_38acacb8-6c8e-49ef-8ed3-7160ab53875a.jpg?v=1633030893")</f>
        <v/>
      </c>
      <c r="H6514">
        <f>_xludf.IMAGE("https://m.media-amazon.com/images/I/41aAb0fCVtL._AC_UL320_.jpg")</f>
        <v/>
      </c>
      <c r="K6514" t="inlineStr">
        <is>
          <t>7.99</t>
        </is>
      </c>
      <c r="L6514" t="n">
        <v>7.24</v>
      </c>
      <c r="M6514" s="1" t="inlineStr">
        <is>
          <t>-9.39%</t>
        </is>
      </c>
      <c r="N6514" s="1" t="n"/>
      <c r="O6514" t="n">
        <v>4.5</v>
      </c>
      <c r="P6514" t="n">
        <v>224</v>
      </c>
      <c r="R6514" t="inlineStr">
        <is>
          <t>InStock</t>
        </is>
      </c>
      <c r="S6514" t="inlineStr">
        <is>
          <t>12.06</t>
        </is>
      </c>
      <c r="T6514" t="inlineStr">
        <is>
          <t>6223447031981</t>
        </is>
      </c>
    </row>
    <row r="6515" hidden="1" ht="15.75" customHeight="1">
      <c r="A6515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6515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6515" t="inlineStr">
        <is>
          <t>Klein Tools JTH9E13 1/4-Inch Hex Key with Journeyman T-Handle, 9-Inch</t>
        </is>
      </c>
      <c r="D6515" t="inlineStr">
        <is>
          <t>Klein Tools JTH9M3 3 mm Hex Key, Journeyman T-Handle, 9-Inch</t>
        </is>
      </c>
      <c r="E6515" s="2">
        <f>HYPERLINK("https://www.amazon.com/Journeyman-T-Handle-Klein-Tools-JTH9M3/dp/B005G3HJ28/ref=sr_1_8?keywords=Klein+Tools+JTH9E13+1%2F4-Inch+Hex+Key+with+Journeyman+T-Handle%2C+9-Inch&amp;qid=1694735245&amp;sr=8-8", "https://www.amazon.com/Journeyman-T-Handle-Klein-Tools-JTH9M3/dp/B005G3HJ28/ref=sr_1_8?keywords=Klein+Tools+JTH9E13+1%2F4-Inch+Hex+Key+with+Journeyman+T-Handle%2C+9-Inch&amp;qid=1694735245&amp;sr=8-8")</f>
        <v/>
      </c>
      <c r="F6515" t="inlineStr">
        <is>
          <t>B005G3HJ28</t>
        </is>
      </c>
      <c r="G6515">
        <f>_xludf.IMAGE("https://edmondsonsupply.com/cdn/shop/products/jth9e12_7dcdbf9a-5acd-4824-8919-6aeb4a790072.jpg?v=1604060723")</f>
        <v/>
      </c>
      <c r="H6515">
        <f>_xludf.IMAGE("https://m.media-amazon.com/images/I/51MZtGjDOtL._AC_UL320_.jpg")</f>
        <v/>
      </c>
      <c r="K6515" t="inlineStr">
        <is>
          <t>6.49</t>
        </is>
      </c>
      <c r="L6515" t="n">
        <v>5.88</v>
      </c>
      <c r="M6515" s="1" t="inlineStr">
        <is>
          <t>-9.40%</t>
        </is>
      </c>
      <c r="N6515" s="1" t="n"/>
      <c r="O6515" t="n">
        <v>4.6</v>
      </c>
      <c r="P6515" t="n">
        <v>179</v>
      </c>
      <c r="R6515" t="inlineStr">
        <is>
          <t>InStock</t>
        </is>
      </c>
      <c r="S6515" t="inlineStr">
        <is>
          <t>9.84</t>
        </is>
      </c>
      <c r="T6515" t="inlineStr">
        <is>
          <t>5999069462696</t>
        </is>
      </c>
    </row>
    <row r="6516" hidden="1" ht="15.75" customHeight="1">
      <c r="A6516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6516" s="2">
        <f>HYPERLINK("https://edmondsonsupply.com/products/klein-tools-vaco-s10m-5-16-magnetic-nut-driver-3-hollow-shaft", "https://edmondsonsupply.com/products/klein-tools-vaco-s10m-5-16-magnetic-nut-driver-3-hollow-shaft")</f>
        <v/>
      </c>
      <c r="C6516" t="inlineStr">
        <is>
          <t>Klein Tools S10M 5/16-Inch Magnetic Nut Driver 3-Inch Shaft</t>
        </is>
      </c>
      <c r="D6516" t="inlineStr">
        <is>
          <t>Klein Tools S10M 5/16-Inch Magnetic Nut Driver with 3-Inch Solid Shaft and Comfordome Handle</t>
        </is>
      </c>
      <c r="E6516" s="2">
        <f>HYPERLINK("https://www.amazon.com/Magnetic-Comfordome-Klein-Tools-S10M/dp/B000936PCU/ref=sr_1_1?keywords=Klein+Tools+S10M+5%2F16-Inch+Magnetic+Nut+Driver+3-Inch+Shaft&amp;qid=1694735002&amp;sr=8-1", "https://www.amazon.com/Magnetic-Comfordome-Klein-Tools-S10M/dp/B000936PCU/ref=sr_1_1?keywords=Klein+Tools+S10M+5%2F16-Inch+Magnetic+Nut+Driver+3-Inch+Shaft&amp;qid=1694735002&amp;sr=8-1")</f>
        <v/>
      </c>
      <c r="F6516" t="inlineStr">
        <is>
          <t>B000936PCU</t>
        </is>
      </c>
      <c r="G6516">
        <f>_xludf.IMAGE("https://edmondsonsupply.com/cdn/shop/products/s10m_alt2.jpg?v=1587143022")</f>
        <v/>
      </c>
      <c r="H6516">
        <f>_xludf.IMAGE("https://m.media-amazon.com/images/I/51wT5Rnu5GL._AC_UL320_.jpg")</f>
        <v/>
      </c>
      <c r="K6516" t="inlineStr">
        <is>
          <t>9.99</t>
        </is>
      </c>
      <c r="L6516" t="n">
        <v>9.050000000000001</v>
      </c>
      <c r="M6516" s="1" t="inlineStr">
        <is>
          <t>-9.41%</t>
        </is>
      </c>
      <c r="N6516" s="1" t="n"/>
      <c r="O6516" t="n">
        <v>4.6</v>
      </c>
      <c r="P6516" t="n">
        <v>231</v>
      </c>
      <c r="R6516" t="inlineStr">
        <is>
          <t>InStock</t>
        </is>
      </c>
      <c r="S6516" t="inlineStr">
        <is>
          <t>15.08</t>
        </is>
      </c>
      <c r="T6516" t="inlineStr">
        <is>
          <t>2767113125988</t>
        </is>
      </c>
    </row>
    <row r="6517" hidden="1" ht="15.75" customHeight="1">
      <c r="A6517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6517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6517" t="inlineStr">
        <is>
          <t>Klein Tools 630-5/16M 5/16-Inch Magnetic Nut Driver with Hollow Shaft</t>
        </is>
      </c>
      <c r="D6517" t="inlineStr">
        <is>
          <t>Klein Tools S10M 5/16-Inch Magnetic Nut Driver with 3-Inch Solid Shaft and Comfordome Handle</t>
        </is>
      </c>
      <c r="E6517" s="2">
        <f>HYPERLINK("https://www.amazon.com/Magnetic-Comfordome-Klein-Tools-S10M/dp/B000936PCU/ref=sr_1_8?keywords=Klein+Tools+630-5%2F16M+5%2F16-Inch+Magnetic+Nut+Driver+with+Hollow+Shaft&amp;qid=1694735398&amp;sr=8-8", "https://www.amazon.com/Magnetic-Comfordome-Klein-Tools-S10M/dp/B000936PCU/ref=sr_1_8?keywords=Klein+Tools+630-5%2F16M+5%2F16-Inch+Magnetic+Nut+Driver+with+Hollow+Shaft&amp;qid=1694735398&amp;sr=8-8")</f>
        <v/>
      </c>
      <c r="F6517" t="inlineStr">
        <is>
          <t>B000936PCU</t>
        </is>
      </c>
      <c r="G6517">
        <f>_xludf.IMAGE("https://edmondsonsupply.com/cdn/shop/products/630-5-16m.jpg?v=1587148610")</f>
        <v/>
      </c>
      <c r="H6517">
        <f>_xludf.IMAGE("https://m.media-amazon.com/images/I/51wT5Rnu5GL._AC_UL320_.jpg")</f>
        <v/>
      </c>
      <c r="K6517" t="inlineStr">
        <is>
          <t>9.99</t>
        </is>
      </c>
      <c r="L6517" t="n">
        <v>9.050000000000001</v>
      </c>
      <c r="M6517" s="1" t="inlineStr">
        <is>
          <t>-9.41%</t>
        </is>
      </c>
      <c r="N6517" s="1" t="n"/>
      <c r="O6517" t="n">
        <v>4.6</v>
      </c>
      <c r="P6517" t="n">
        <v>231</v>
      </c>
      <c r="R6517" t="inlineStr">
        <is>
          <t>InStock</t>
        </is>
      </c>
      <c r="S6517" t="inlineStr">
        <is>
          <t>15.12</t>
        </is>
      </c>
      <c r="T6517" t="inlineStr">
        <is>
          <t>4391884324964</t>
        </is>
      </c>
    </row>
    <row r="6518" ht="87" customHeight="1">
      <c r="A6518" s="2">
        <f>HYPERLINK("https://edmondsonsupply.com/collections/electricians-tools/products/klein-tools-56116-fiberglass-fish-tape-replacement-eyelets-6-pack", "https://edmondsonsupply.com/collections/electricians-tools/products/klein-tools-56116-fiberglass-fish-tape-replacement-eyelets-6-pack")</f>
        <v/>
      </c>
      <c r="B6518" s="2">
        <f>HYPERLINK("https://edmondsonsupply.com/products/klein-tools-56116-fiberglass-fish-tape-replacement-eyelets-6-pack", "https://edmondsonsupply.com/products/klein-tools-56116-fiberglass-fish-tape-replacement-eyelets-6-pack")</f>
        <v/>
      </c>
      <c r="C6518" t="inlineStr">
        <is>
          <t>Klein Tools 56116 Fiberglass Fish Tape Replacement Eyelets, 6-Pack</t>
        </is>
      </c>
      <c r="D6518" t="inlineStr">
        <is>
          <t>Klein Tools 56116 Fiberglass Fish Tape Replacement Eyelets, 6-Pack</t>
        </is>
      </c>
      <c r="E6518" s="2">
        <f>HYPERLINK("https://www.amazon.com/Fiberglass-Replacement-Klein-Tools-56116/dp/B007CU7SPG/ref=sr_1_1?keywords=Klein+Tools+56116+Fiberglass+Fish+Tape+Replacement+Eyelets%2C+6-Pack&amp;qid=1694735100&amp;sr=8-1", "https://www.amazon.com/Fiberglass-Replacement-Klein-Tools-56116/dp/B007CU7SPG/ref=sr_1_1?keywords=Klein+Tools+56116+Fiberglass+Fish+Tape+Replacement+Eyelets%2C+6-Pack&amp;qid=1694735100&amp;sr=8-1")</f>
        <v/>
      </c>
      <c r="F6518" t="inlineStr">
        <is>
          <t>B007CU7SPG</t>
        </is>
      </c>
      <c r="G6518">
        <f>_xlfn.IMAGE("https://edmondsonsupply.com/cdn/shop/products/56116.jpg?v=1666107722")</f>
        <v/>
      </c>
      <c r="H6518">
        <f>_xlfn.IMAGE("https://m.media-amazon.com/images/I/51RKS8n-qZL._AC_UL320_.jpg")</f>
        <v/>
      </c>
      <c r="K6518" t="inlineStr">
        <is>
          <t>39.99</t>
        </is>
      </c>
      <c r="L6518" t="n">
        <v>36.13</v>
      </c>
      <c r="M6518" s="1" t="inlineStr">
        <is>
          <t>-9.65%</t>
        </is>
      </c>
      <c r="N6518" s="7" t="n"/>
      <c r="O6518" t="n">
        <v>4.5</v>
      </c>
      <c r="P6518" t="n">
        <v>69</v>
      </c>
      <c r="R6518" t="inlineStr">
        <is>
          <t>InStock</t>
        </is>
      </c>
      <c r="S6518" t="inlineStr">
        <is>
          <t>60.58</t>
        </is>
      </c>
      <c r="T6518" t="inlineStr">
        <is>
          <t>7857433706712</t>
        </is>
      </c>
    </row>
    <row r="6519" hidden="1" ht="15.75" customHeight="1">
      <c r="A6519" s="2">
        <f>HYPERLINK("https://edmondsonsupply.com/collections/electricians-tools/products/fluke-st120-gfci-socket-tester", "https://edmondsonsupply.com/collections/electricians-tools/products/fluke-st120-gfci-socket-tester")</f>
        <v/>
      </c>
      <c r="B6519" s="2">
        <f>HYPERLINK("https://edmondsonsupply.com/products/fluke-st120-gfci-socket-tester", "https://edmondsonsupply.com/products/fluke-st120-gfci-socket-tester")</f>
        <v/>
      </c>
      <c r="C6519" t="inlineStr">
        <is>
          <t>Fluke ST120 Socket Tester with GFCI</t>
        </is>
      </c>
      <c r="D6519" t="inlineStr">
        <is>
          <t>FBLFOBELI Hard Travel Carrying Case Compatible with Fluke ST120+ GFCI Socket Tester with Audible Beeper，Shockproof Storage Bag (Case Only)</t>
        </is>
      </c>
      <c r="E6519" s="2">
        <f>HYPERLINK("https://www.amazon.com/FBLFOBELI-Carrying-Compatible-Audible-Beeper%EF%BC%8CShockproof/dp/B0BN4XRLXJ/ref=sr_1_5?keywords=Fluke+ST120+Socket+Tester+with+GFCI&amp;qid=1694735137&amp;sr=8-5", "https://www.amazon.com/FBLFOBELI-Carrying-Compatible-Audible-Beeper%EF%BC%8CShockproof/dp/B0BN4XRLXJ/ref=sr_1_5?keywords=Fluke+ST120+Socket+Tester+with+GFCI&amp;qid=1694735137&amp;sr=8-5")</f>
        <v/>
      </c>
      <c r="F6519" t="inlineStr">
        <is>
          <t>B0BN4XRLXJ</t>
        </is>
      </c>
      <c r="G6519">
        <f>_xludf.IMAGE("https://edmondsonsupply.com/cdn/shop/products/F-st120_01a_w.webp?v=1662582102")</f>
        <v/>
      </c>
      <c r="H6519">
        <f>_xludf.IMAGE("https://m.media-amazon.com/images/I/719YjA+Nx8L._AC_UL320_.jpg")</f>
        <v/>
      </c>
      <c r="K6519" t="inlineStr">
        <is>
          <t>15.49</t>
        </is>
      </c>
      <c r="L6519" t="n">
        <v>13.99</v>
      </c>
      <c r="M6519" s="1" t="inlineStr">
        <is>
          <t>-9.68%</t>
        </is>
      </c>
      <c r="N6519" s="1" t="n"/>
      <c r="O6519" t="n">
        <v>5</v>
      </c>
      <c r="P6519" t="n">
        <v>1</v>
      </c>
      <c r="R6519" t="inlineStr">
        <is>
          <t>InStock</t>
        </is>
      </c>
      <c r="S6519" t="inlineStr">
        <is>
          <t>16.99</t>
        </is>
      </c>
      <c r="T6519" t="inlineStr">
        <is>
          <t>7807640961240</t>
        </is>
      </c>
    </row>
    <row r="6520" hidden="1" ht="15.75" customHeight="1">
      <c r="A6520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6520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6520" t="inlineStr">
        <is>
          <t>Klein Tools 602-4 1/4-Inch Keystone Screwdriver, 4-Inch Round Shank</t>
        </is>
      </c>
      <c r="D6520" t="inlineStr">
        <is>
          <t>Klein Tools 605-4 1/4-Inch Cabinet Tip Screwdriver Heavy Duty 4-Inch Round Shank</t>
        </is>
      </c>
      <c r="E6520" s="2">
        <f>HYPERLINK("https://www.amazon.com/Cabinet-Screwdriver-Klein-Tools-605-4/dp/B000BQWOO8/ref=sr_1_6?keywords=Klein+Tools+602-4+1%2F4-Inch+Keystone+Screwdriver%2C+4-Inch+Round+Shank&amp;qid=1694735235&amp;sr=8-6", "https://www.amazon.com/Cabinet-Screwdriver-Klein-Tools-605-4/dp/B000BQWOO8/ref=sr_1_6?keywords=Klein+Tools+602-4+1%2F4-Inch+Keystone+Screwdriver%2C+4-Inch+Round+Shank&amp;qid=1694735235&amp;sr=8-6")</f>
        <v/>
      </c>
      <c r="F6520" t="inlineStr">
        <is>
          <t>B000BQWOO8</t>
        </is>
      </c>
      <c r="G6520">
        <f>_xludf.IMAGE("https://edmondsonsupply.com/cdn/shop/products/602-6.jpg?v=1633030821")</f>
        <v/>
      </c>
      <c r="H6520">
        <f>_xludf.IMAGE("https://m.media-amazon.com/images/I/41WLDr2SP+L._AC_UL320_.jpg")</f>
        <v/>
      </c>
      <c r="K6520" t="inlineStr">
        <is>
          <t>9.49</t>
        </is>
      </c>
      <c r="L6520" t="n">
        <v>8.57</v>
      </c>
      <c r="M6520" s="1" t="inlineStr">
        <is>
          <t>-9.69%</t>
        </is>
      </c>
      <c r="N6520" s="1" t="n"/>
      <c r="O6520" t="n">
        <v>4.8</v>
      </c>
      <c r="P6520" t="n">
        <v>1225</v>
      </c>
      <c r="R6520" t="inlineStr">
        <is>
          <t>InStock</t>
        </is>
      </c>
      <c r="S6520" t="inlineStr">
        <is>
          <t>14.36</t>
        </is>
      </c>
      <c r="T6520" t="inlineStr">
        <is>
          <t>6080792363181</t>
        </is>
      </c>
    </row>
    <row r="6521" ht="87" customHeight="1">
      <c r="A6521" s="2">
        <f>HYPERLINK("https://edmondsonsupply.com/collections/electricians-tools/products/fluke-87v", "https://edmondsonsupply.com/collections/electricians-tools/products/fluke-87v")</f>
        <v/>
      </c>
      <c r="B6521" s="2">
        <f>HYPERLINK("https://edmondsonsupply.com/products/fluke-87v", "https://edmondsonsupply.com/products/fluke-87v")</f>
        <v/>
      </c>
      <c r="C6521" t="inlineStr">
        <is>
          <t>Fluke 87V Industrial Multimeter</t>
        </is>
      </c>
      <c r="D6521" t="inlineStr">
        <is>
          <t>Fluke 83V Industrial Digital Multimeter</t>
        </is>
      </c>
      <c r="E6521" s="2">
        <f>HYPERLINK("https://www.amazon.com/Fluke-83-5-Industrial-Digital-Multimeter/dp/B0014DEXJ6/ref=sr_1_7?keywords=Fluke+87V+Industrial+Multimeter&amp;qid=1694735314&amp;sr=8-7", "https://www.amazon.com/Fluke-83-5-Industrial-Digital-Multimeter/dp/B0014DEXJ6/ref=sr_1_7?keywords=Fluke+87V+Industrial+Multimeter&amp;qid=1694735314&amp;sr=8-7")</f>
        <v/>
      </c>
      <c r="F6521" t="inlineStr">
        <is>
          <t>B0014DEXJ6</t>
        </is>
      </c>
      <c r="G6521">
        <f>_xlfn.IMAGE("https://edmondsonsupply.com/cdn/shop/products/875.jpg?v=1633030274")</f>
        <v/>
      </c>
      <c r="H6521">
        <f>_xlfn.IMAGE("https://m.media-amazon.com/images/I/61iKsrnRESL._AC_UL320_.jpg")</f>
        <v/>
      </c>
      <c r="K6521" t="inlineStr">
        <is>
          <t>459.89</t>
        </is>
      </c>
      <c r="L6521" t="n">
        <v>414.88</v>
      </c>
      <c r="M6521" s="1" t="inlineStr">
        <is>
          <t>-9.79%</t>
        </is>
      </c>
      <c r="N6521" s="7" t="n"/>
      <c r="O6521" t="n">
        <v>4.7</v>
      </c>
      <c r="P6521" t="n">
        <v>38</v>
      </c>
      <c r="R6521" t="inlineStr">
        <is>
          <t>InStock</t>
        </is>
      </c>
      <c r="S6521" t="inlineStr">
        <is>
          <t>521.99</t>
        </is>
      </c>
      <c r="T6521" t="inlineStr">
        <is>
          <t>5238369452200</t>
        </is>
      </c>
    </row>
    <row r="6522" hidden="1" ht="15.75" customHeight="1">
      <c r="A6522" s="2">
        <f>HYPERLINK("https://edmondsonsupply.com/collections/electricians-tools/products/fluke-st120-gfci-socket-tester", "https://edmondsonsupply.com/collections/electricians-tools/products/fluke-st120-gfci-socket-tester")</f>
        <v/>
      </c>
      <c r="B6522" s="2">
        <f>HYPERLINK("https://edmondsonsupply.com/products/fluke-st120-gfci-socket-tester", "https://edmondsonsupply.com/products/fluke-st120-gfci-socket-tester")</f>
        <v/>
      </c>
      <c r="C6522" t="inlineStr">
        <is>
          <t>Fluke ST120 Socket Tester with GFCI</t>
        </is>
      </c>
      <c r="D6522" t="inlineStr">
        <is>
          <t>Fluke ST120 GFCI Socket Tester Without Beeper</t>
        </is>
      </c>
      <c r="E6522" s="2">
        <f>HYPERLINK("https://www.amazon.com/Fluke-Socket-Tester-Without-Beeper/dp/B0B3VC2W6X/ref=sr_1_2?keywords=Fluke+ST120+Socket+Tester+with+GFCI&amp;qid=1694735137&amp;sr=8-2", "https://www.amazon.com/Fluke-Socket-Tester-Without-Beeper/dp/B0B3VC2W6X/ref=sr_1_2?keywords=Fluke+ST120+Socket+Tester+with+GFCI&amp;qid=1694735137&amp;sr=8-2")</f>
        <v/>
      </c>
      <c r="F6522" t="inlineStr">
        <is>
          <t>B0B3VC2W6X</t>
        </is>
      </c>
      <c r="G6522">
        <f>_xludf.IMAGE("https://edmondsonsupply.com/cdn/shop/products/F-st120_01a_w.webp?v=1662582102")</f>
        <v/>
      </c>
      <c r="H6522">
        <f>_xludf.IMAGE("https://m.media-amazon.com/images/I/81hERZs6wNL._AC_UL320_.jpg")</f>
        <v/>
      </c>
      <c r="K6522" t="inlineStr">
        <is>
          <t>15.49</t>
        </is>
      </c>
      <c r="L6522" t="n">
        <v>13.97</v>
      </c>
      <c r="M6522" s="1" t="inlineStr">
        <is>
          <t>-9.81%</t>
        </is>
      </c>
      <c r="N6522" s="1" t="n"/>
      <c r="O6522" t="n">
        <v>4.8</v>
      </c>
      <c r="P6522" t="n">
        <v>116</v>
      </c>
      <c r="R6522" t="inlineStr">
        <is>
          <t>InStock</t>
        </is>
      </c>
      <c r="S6522" t="inlineStr">
        <is>
          <t>16.99</t>
        </is>
      </c>
      <c r="T6522" t="inlineStr">
        <is>
          <t>7807640961240</t>
        </is>
      </c>
    </row>
    <row r="6523" hidden="1" ht="15.75" customHeight="1">
      <c r="A6523" s="2">
        <f>HYPERLINK("https://edmondsonsupply.com/collections/electricians-tools/products/fluke-st120-gfci-socket-tester", "https://edmondsonsupply.com/collections/electricians-tools/products/fluke-st120-gfci-socket-tester")</f>
        <v/>
      </c>
      <c r="B6523" s="2">
        <f>HYPERLINK("https://edmondsonsupply.com/products/fluke-st120-gfci-socket-tester", "https://edmondsonsupply.com/products/fluke-st120-gfci-socket-tester")</f>
        <v/>
      </c>
      <c r="C6523" t="inlineStr">
        <is>
          <t>Fluke ST120 Socket Tester with GFCI</t>
        </is>
      </c>
      <c r="D6523" t="inlineStr">
        <is>
          <t>Fluke ST120+ GFCI Socket Tester with Audible Beeper</t>
        </is>
      </c>
      <c r="E6523" s="2">
        <f>HYPERLINK("https://www.amazon.com/Fluke-ST120-Socket-Tester-Audible/dp/B0B3VCZ4XK/ref=sr_1_1?keywords=Fluke+ST120+Socket+Tester+with+GFCI&amp;qid=1694735137&amp;sr=8-1", "https://www.amazon.com/Fluke-ST120-Socket-Tester-Audible/dp/B0B3VCZ4XK/ref=sr_1_1?keywords=Fluke+ST120+Socket+Tester+with+GFCI&amp;qid=1694735137&amp;sr=8-1")</f>
        <v/>
      </c>
      <c r="F6523" t="inlineStr">
        <is>
          <t>B0B3VCZ4XK</t>
        </is>
      </c>
      <c r="G6523">
        <f>_xludf.IMAGE("https://edmondsonsupply.com/cdn/shop/products/F-st120_01a_w.webp?v=1662582102")</f>
        <v/>
      </c>
      <c r="H6523">
        <f>_xludf.IMAGE("https://m.media-amazon.com/images/I/816n049-GKL._AC_UL320_.jpg")</f>
        <v/>
      </c>
      <c r="K6523" t="inlineStr">
        <is>
          <t>15.49</t>
        </is>
      </c>
      <c r="L6523" t="n">
        <v>13.97</v>
      </c>
      <c r="M6523" s="1" t="inlineStr">
        <is>
          <t>-9.81%</t>
        </is>
      </c>
      <c r="N6523" s="1" t="n"/>
      <c r="O6523" t="n">
        <v>4.8</v>
      </c>
      <c r="P6523" t="n">
        <v>632</v>
      </c>
      <c r="R6523" t="inlineStr">
        <is>
          <t>InStock</t>
        </is>
      </c>
      <c r="S6523" t="inlineStr">
        <is>
          <t>16.99</t>
        </is>
      </c>
      <c r="T6523" t="inlineStr">
        <is>
          <t>7807640961240</t>
        </is>
      </c>
    </row>
    <row r="6524" hidden="1" ht="15.75" customHeight="1">
      <c r="A6524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6524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6524" t="inlineStr">
        <is>
          <t>Diablo Tools DMAPL4180 1/2 in. x 4 in. x 6 in. Rebar Demon™ SDS-Plus 4-Cutter Full Carbide Head Hammer Bit</t>
        </is>
      </c>
      <c r="D6524" t="inlineStr">
        <is>
          <t>Diablo by Freud DMAPL4050 3/16 in. x 6 in. x 8 in. Rebar Demon SDS-Plus 4-Cutter Full Carbide Head Hammer Bit Multi, One Size</t>
        </is>
      </c>
      <c r="E6524" s="2">
        <f>HYPERLINK("https://www.amazon.com/Diablo-SDS-Plus-4-Cutter-Carbide-Hammer/dp/B089LKWR9L/ref=sr_1_14?keywords=Diablo+Tools+DMAPL4180+1%2F2+in.+x+4+in.+x+6+in.+Rebar+Demon%E2%84%A2+SDS-Plus+4-Cutter+Full+Carbide+Head+Hammer+Bit&amp;qid=1694735298&amp;sr=8-14", "https://www.amazon.com/Diablo-SDS-Plus-4-Cutter-Carbide-Hammer/dp/B089LKWR9L/ref=sr_1_14?keywords=Diablo+Tools+DMAPL4180+1%2F2+in.+x+4+in.+x+6+in.+Rebar+Demon%E2%84%A2+SDS-Plus+4-Cutter+Full+Carbide+Head+Hammer+Bit&amp;qid=1694735298&amp;sr=8-14")</f>
        <v/>
      </c>
      <c r="F6524" t="inlineStr">
        <is>
          <t>B089LKWR9L</t>
        </is>
      </c>
      <c r="G6524">
        <f>_xludf.IMAGE("https://edmondsonsupply.com/cdn/shop/products/DMAPL4180_Main-Image20200702.png?v=1633030362")</f>
        <v/>
      </c>
      <c r="H6524">
        <f>_xludf.IMAGE("https://m.media-amazon.com/images/I/61uukuKzJeL._AC_UL320_.jpg")</f>
        <v/>
      </c>
      <c r="K6524" t="inlineStr">
        <is>
          <t>9.97</t>
        </is>
      </c>
      <c r="L6524" t="n">
        <v>8.99</v>
      </c>
      <c r="M6524" s="1" t="inlineStr">
        <is>
          <t>-9.83%</t>
        </is>
      </c>
      <c r="N6524" s="1" t="n"/>
      <c r="O6524" t="n">
        <v>3.7</v>
      </c>
      <c r="P6524" t="n">
        <v>10</v>
      </c>
      <c r="R6524" t="inlineStr">
        <is>
          <t>InStock</t>
        </is>
      </c>
      <c r="S6524" t="inlineStr">
        <is>
          <t>undefined</t>
        </is>
      </c>
      <c r="T6524" t="inlineStr">
        <is>
          <t>5286803833000</t>
        </is>
      </c>
    </row>
    <row r="6525" hidden="1" ht="15.75" customHeight="1">
      <c r="A6525" s="2">
        <f>HYPERLINK("https://edmondsonsupply.com/collections/electricians-tools/products/diablo-tools-dmapl4160-3-8-in-x-10-in-x-12-in-rebar-demon%E2%84%A2-sds-plus-4-cutter-full-carbide-head-hammer-bit", "https://edmondsonsupply.com/collections/electricians-tools/products/diablo-tools-dmapl4160-3-8-in-x-10-in-x-12-in-rebar-demon%E2%84%A2-sds-plus-4-cutter-full-carbide-head-hammer-bit")</f>
        <v/>
      </c>
      <c r="B6525" s="2">
        <f>HYPERLINK("https://edmondsonsupply.com/products/diablo-tools-dmapl4160-3-8-in-x-10-in-x-12-in-rebar-demon%e2%84%a2-sds-plus-4-cutter-full-carbide-head-hammer-bit", "https://edmondsonsupply.com/products/diablo-tools-dmapl4160-3-8-in-x-10-in-x-12-in-rebar-demon%e2%84%a2-sds-plus-4-cutter-full-carbide-head-hammer-bit")</f>
        <v/>
      </c>
      <c r="C6525" t="inlineStr">
        <is>
          <t>Diablo Tools DMAPL4160 3/8 in. x 10 in. x 12 in. Rebar Demon™ SDS-Plus 4-Cutter Full Carbide Head Hammer Bit</t>
        </is>
      </c>
      <c r="D6525" t="inlineStr">
        <is>
          <t>Diablo by Freud DMAPL4050 3/16 in. x 6 in. x 8 in. Rebar Demon SDS-Plus 4-Cutter Full Carbide Head Hammer Bit Multi, One Size</t>
        </is>
      </c>
      <c r="E6525" s="2">
        <f>HYPERLINK("https://www.amazon.com/Diablo-SDS-Plus-4-Cutter-Carbide-Hammer/dp/B089LKWR9L/ref=sr_1_34?keywords=Diablo+Tools+DMAPL4160+3%2F8+in.+x+10+in.+x+12+in.+Rebar+Demon%E2%84%A2+SDS-Plus+4-Cutter+Full+Carbide+Head+Hammer+Bit&amp;qid=1694735304&amp;sr=8-34", "https://www.amazon.com/Diablo-SDS-Plus-4-Cutter-Carbide-Hammer/dp/B089LKWR9L/ref=sr_1_34?keywords=Diablo+Tools+DMAPL4160+3%2F8+in.+x+10+in.+x+12+in.+Rebar+Demon%E2%84%A2+SDS-Plus+4-Cutter+Full+Carbide+Head+Hammer+Bit&amp;qid=1694735304&amp;sr=8-34")</f>
        <v/>
      </c>
      <c r="F6525" t="inlineStr">
        <is>
          <t>B089LKWR9L</t>
        </is>
      </c>
      <c r="G6525">
        <f>_xludf.IMAGE("https://edmondsonsupply.com/cdn/shop/products/w7y3zlfom8dhrlplcmqa.webp?v=1670439058")</f>
        <v/>
      </c>
      <c r="H6525">
        <f>_xludf.IMAGE("https://m.media-amazon.com/images/I/61uukuKzJeL._AC_UL320_.jpg")</f>
        <v/>
      </c>
      <c r="K6525" t="inlineStr">
        <is>
          <t>9.97</t>
        </is>
      </c>
      <c r="L6525" t="n">
        <v>8.99</v>
      </c>
      <c r="M6525" s="1" t="inlineStr">
        <is>
          <t>-9.83%</t>
        </is>
      </c>
      <c r="N6525" s="1" t="n"/>
      <c r="O6525" t="n">
        <v>3.7</v>
      </c>
      <c r="P6525" t="n">
        <v>10</v>
      </c>
      <c r="R6525" t="inlineStr">
        <is>
          <t>InStock</t>
        </is>
      </c>
      <c r="S6525" t="inlineStr">
        <is>
          <t>15.02</t>
        </is>
      </c>
      <c r="T6525" t="inlineStr">
        <is>
          <t>5286778601640</t>
        </is>
      </c>
    </row>
    <row r="6526" hidden="1" ht="15.75" customHeight="1">
      <c r="A6526" s="2">
        <f>HYPERLINK("https://edmondsonsupply.com/collections/electricians-tools/products/klein-tools-6884ins-insulated-screwdriver-1-square-tip-4-inch-shank", "https://edmondsonsupply.com/collections/electricians-tools/products/klein-tools-6884ins-insulated-screwdriver-1-square-tip-4-inch-shank")</f>
        <v/>
      </c>
      <c r="B6526" s="2">
        <f>HYPERLINK("https://edmondsonsupply.com/products/klein-tools-6884ins-insulated-screwdriver-1-square-tip-4-inch-shank", "https://edmondsonsupply.com/products/klein-tools-6884ins-insulated-screwdriver-1-square-tip-4-inch-shank")</f>
        <v/>
      </c>
      <c r="C6526" t="inlineStr">
        <is>
          <t>Klein Tools 6884INS Insulated Screwdriver, #1 Square Tip, 4-Inch Shank</t>
        </is>
      </c>
      <c r="D6526" t="inlineStr">
        <is>
          <t>Klein Tools 661 Screwdriver, #1 Square Recess Tip with 4-Inch Round Shank</t>
        </is>
      </c>
      <c r="E6526" s="2">
        <f>HYPERLINK("https://www.amazon.com/Klein-Tools-661-Screwdriver-Square/dp/B000FT7MKW/ref=sr_1_3?keywords=Klein+Tools+6884INS+Insulated+Screwdriver%2C+%231+Square+Tip%2C+4-Inch+Shank&amp;qid=1694735104&amp;sr=8-3", "https://www.amazon.com/Klein-Tools-661-Screwdriver-Square/dp/B000FT7MKW/ref=sr_1_3?keywords=Klein+Tools+6884INS+Insulated+Screwdriver%2C+%231+Square+Tip%2C+4-Inch+Shank&amp;qid=1694735104&amp;sr=8-3")</f>
        <v/>
      </c>
      <c r="F6526" t="inlineStr">
        <is>
          <t>B000FT7MKW</t>
        </is>
      </c>
      <c r="G6526">
        <f>_xludf.IMAGE("https://edmondsonsupply.com/cdn/shop/products/6884ins.jpg?v=1664889244")</f>
        <v/>
      </c>
      <c r="H6526">
        <f>_xludf.IMAGE("https://m.media-amazon.com/images/I/61oCMRQGbUL._AC_UL320_.jpg")</f>
        <v/>
      </c>
      <c r="K6526" t="inlineStr">
        <is>
          <t>9.97</t>
        </is>
      </c>
      <c r="L6526" t="n">
        <v>8.99</v>
      </c>
      <c r="M6526" s="1" t="inlineStr">
        <is>
          <t>-9.83%</t>
        </is>
      </c>
      <c r="N6526" s="1" t="n"/>
      <c r="O6526" t="n">
        <v>4.8</v>
      </c>
      <c r="P6526" t="n">
        <v>1357</v>
      </c>
      <c r="R6526" t="inlineStr">
        <is>
          <t>InStock</t>
        </is>
      </c>
      <c r="S6526" t="inlineStr">
        <is>
          <t>14.98</t>
        </is>
      </c>
      <c r="T6526" t="inlineStr">
        <is>
          <t>7839150735576</t>
        </is>
      </c>
    </row>
    <row r="6527" ht="87" customHeight="1">
      <c r="A6527" s="2">
        <f>HYPERLINK("https://edmondsonsupply.com/collections/electricians-tools/products/channellock-gs-1x-2pc-speedgrip%E2%84%A2-tongue-groove-pliers-set", "https://edmondsonsupply.com/collections/electricians-tools/products/channellock-gs-1x-2pc-speedgrip%E2%84%A2-tongue-groove-pliers-set")</f>
        <v/>
      </c>
      <c r="B6527" s="2">
        <f>HYPERLINK("https://edmondsonsupply.com/products/channellock-gs-1x-2pc-speedgrip%e2%84%a2-tongue-groove-pliers-set", "https://edmondsonsupply.com/products/channellock-gs-1x-2pc-speedgrip%e2%84%a2-tongue-groove-pliers-set")</f>
        <v/>
      </c>
      <c r="C6527" t="inlineStr">
        <is>
          <t>Channellock GS-1X 2PC SPEEDGRIP™ Tongue &amp; Groove Pliers Set</t>
        </is>
      </c>
      <c r="D6527" t="inlineStr">
        <is>
          <t>CHANNELLOCK GS-1X 2pc SPEEDGRIP Tongue &amp; Groove Pliers Set | Made in USA | Forged High Carbon Steel</t>
        </is>
      </c>
      <c r="E6527" s="2">
        <f>HYPERLINK("https://www.amazon.com/Channellock-GS-1X-2Piece-Speedgrip-Tongue/dp/B07QTLKZZW/ref=sr_1_1?keywords=Channellock+GS-1X+2PC+SPEEDGRIP%E2%84%A2+Tongue+%26+Groove+Pliers+Set&amp;qid=1694735166&amp;sr=8-1", "https://www.amazon.com/Channellock-GS-1X-2Piece-Speedgrip-Tongue/dp/B07QTLKZZW/ref=sr_1_1?keywords=Channellock+GS-1X+2PC+SPEEDGRIP%E2%84%A2+Tongue+%26+Groove+Pliers+Set&amp;qid=1694735166&amp;sr=8-1")</f>
        <v/>
      </c>
      <c r="F6527" t="inlineStr">
        <is>
          <t>B07QTLKZZW</t>
        </is>
      </c>
      <c r="G6527">
        <f>_xlfn.IMAGE("https://edmondsonsupply.com/cdn/shop/products/GS1X.jpg?v=1647106166")</f>
        <v/>
      </c>
      <c r="H6527">
        <f>_xlfn.IMAGE("https://m.media-amazon.com/images/I/71l9KVNLPlS._AC_UL320_.jpg")</f>
        <v/>
      </c>
      <c r="K6527" t="inlineStr">
        <is>
          <t>49.95</t>
        </is>
      </c>
      <c r="L6527" t="n">
        <v>45.04</v>
      </c>
      <c r="M6527" s="1" t="inlineStr">
        <is>
          <t>-9.83%</t>
        </is>
      </c>
      <c r="N6527" s="7" t="n"/>
      <c r="O6527" t="n">
        <v>4.5</v>
      </c>
      <c r="P6527" t="n">
        <v>196</v>
      </c>
      <c r="R6527" t="inlineStr">
        <is>
          <t>InStock</t>
        </is>
      </c>
      <c r="S6527" t="inlineStr">
        <is>
          <t>77.87</t>
        </is>
      </c>
      <c r="T6527" t="inlineStr">
        <is>
          <t>7633810227416</t>
        </is>
      </c>
    </row>
    <row r="6528" ht="87" customHeight="1">
      <c r="A6528" s="2">
        <f>HYPERLINK("https://edmondsonsupply.com/collections/electricians-tools/products/diablo-tools-dmamx1390-1-3-4-in-x-16-in-x-21-in-rebar-demon%E2%84%A2-sds-max-4-cutter-carbide-tipped-hammer-bit", "https://edmondsonsupply.com/collections/electricians-tools/products/diablo-tools-dmamx1390-1-3-4-in-x-16-in-x-21-in-rebar-demon%E2%84%A2-sds-max-4-cutter-carbide-tipped-hammer-bit")</f>
        <v/>
      </c>
      <c r="B6528" s="2">
        <f>HYPERLINK("https://edmondsonsupply.com/products/diablo-tools-dmamx1390-1-3-4-in-x-16-in-x-21-in-rebar-demon%e2%84%a2-sds-max-4-cutter-carbide-tipped-hammer-bit", "https://edmondsonsupply.com/products/diablo-tools-dmamx1390-1-3-4-in-x-16-in-x-21-in-rebar-demon%e2%84%a2-sds-max-4-cutter-carbide-tipped-hammer-bit")</f>
        <v/>
      </c>
      <c r="C6528" t="inlineStr">
        <is>
          <t>Diablo Tools DMAMX1390 1‑3/4 in. x 16 in. x 21 in. Rebar Demon™ SDS‑Max 4‑Cutter Carbide‑Tipped Hammer Bit</t>
        </is>
      </c>
      <c r="D6528" t="inlineStr">
        <is>
          <t>Diablo DMAMX1390 1-3/4 in. x 16 in. x 21 in. Rebar Demon™ SDS-Max 4-Cutter Carbide-Tipped Hammer Bit</t>
        </is>
      </c>
      <c r="E6528" s="2" t="n"/>
      <c r="F6528" t="inlineStr">
        <is>
          <t>B089KW6C8V</t>
        </is>
      </c>
      <c r="G6528">
        <f>_xlfn.IMAGE("https://edmondsonsupply.com/cdn/shop/products/DMAMX1390_Main-Image20200702.png?v=1633030514")</f>
        <v/>
      </c>
      <c r="H6528">
        <f>_xlfn.IMAGE("https://m.media-amazon.com/images/I/61J-83UaGmL._AC_UL320_.jpg")</f>
        <v/>
      </c>
      <c r="K6528" t="inlineStr">
        <is>
          <t>149.97</t>
        </is>
      </c>
      <c r="L6528" t="n">
        <v>135.21</v>
      </c>
      <c r="M6528" s="1" t="inlineStr">
        <is>
          <t>-9.84%</t>
        </is>
      </c>
      <c r="N6528" s="7" t="n"/>
      <c r="O6528" t="n">
        <v>5</v>
      </c>
      <c r="P6528" t="n">
        <v>9</v>
      </c>
      <c r="R6528" t="inlineStr">
        <is>
          <t>InStock</t>
        </is>
      </c>
      <c r="S6528" t="inlineStr">
        <is>
          <t>186.66</t>
        </is>
      </c>
      <c r="T6528" t="inlineStr">
        <is>
          <t>5395370115240</t>
        </is>
      </c>
    </row>
    <row r="6529" ht="87" customHeight="1">
      <c r="A6529" s="2">
        <f>HYPERLINK("https://edmondsonsupply.com/collections/electricians-tools/products/klein-tools-65129-2-in-1-nut-driver-hex-head-slide-drive%E2%84%A2-6-inch", "https://edmondsonsupply.com/collections/electricians-tools/products/klein-tools-65129-2-in-1-nut-driver-hex-head-slide-drive%E2%84%A2-6-inch")</f>
        <v/>
      </c>
      <c r="B6529" s="2">
        <f>HYPERLINK("https://edmondsonsupply.com/products/klein-tools-65129-2-in-1-nut-driver-hex-head-slide-drive%e2%84%a2-6-inch", "https://edmondsonsupply.com/products/klein-tools-65129-2-in-1-nut-driver-hex-head-slide-drive%e2%84%a2-6-inch")</f>
        <v/>
      </c>
      <c r="C6529" t="inlineStr">
        <is>
          <t>Klein Tools 65129 2-in-1 Nut Driver, Hex Head Slide Drive™, 6-Inch</t>
        </is>
      </c>
      <c r="D6529" t="inlineStr">
        <is>
          <t>Klein Tools 65131 2-in-1 Nut Driver, Hex Head Slide Drive, 1-1/2-Inch</t>
        </is>
      </c>
      <c r="E6529" s="2">
        <f>HYPERLINK("https://www.amazon.com/Driver-2-Inch-Klein-Tools-65131/dp/B071LCCGT1/ref=sr_1_2?keywords=Klein+Tools+65129+2-in-1+Nut+Driver%2C+Hex+Head+Slide+Drive%E2%84%A2%2C+6-Inch&amp;qid=1694735118&amp;sr=8-2", "https://www.amazon.com/Driver-2-Inch-Klein-Tools-65131/dp/B071LCCGT1/ref=sr_1_2?keywords=Klein+Tools+65129+2-in-1+Nut+Driver%2C+Hex+Head+Slide+Drive%E2%84%A2%2C+6-Inch&amp;qid=1694735118&amp;sr=8-2")</f>
        <v/>
      </c>
      <c r="F6529" t="inlineStr">
        <is>
          <t>B071LCCGT1</t>
        </is>
      </c>
      <c r="G6529">
        <f>_xlfn.IMAGE("https://edmondsonsupply.com/cdn/shop/products/65129.jpg?v=1664459800")</f>
        <v/>
      </c>
      <c r="H6529">
        <f>_xlfn.IMAGE("https://m.media-amazon.com/images/I/51SI9ktOe4L._AC_UL320_.jpg")</f>
        <v/>
      </c>
      <c r="K6529" t="inlineStr">
        <is>
          <t>19.97</t>
        </is>
      </c>
      <c r="L6529" t="n">
        <v>17.99</v>
      </c>
      <c r="M6529" s="1" t="inlineStr">
        <is>
          <t>-9.91%</t>
        </is>
      </c>
      <c r="N6529" s="7" t="n"/>
      <c r="O6529" t="n">
        <v>4.8</v>
      </c>
      <c r="P6529" t="n">
        <v>908</v>
      </c>
      <c r="R6529" t="inlineStr">
        <is>
          <t>InStock</t>
        </is>
      </c>
      <c r="S6529" t="inlineStr">
        <is>
          <t>31.06</t>
        </is>
      </c>
      <c r="T6529" t="inlineStr">
        <is>
          <t>7833473155288</t>
        </is>
      </c>
    </row>
    <row r="6530" hidden="1" ht="15.75" customHeight="1">
      <c r="A6530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6530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6530" t="inlineStr">
        <is>
          <t>Diablo Tools DMAPL4070 1/4 in. x 4 in. x 6 in. Rebar Demon™ SDS-Plus 4-Cutter Full Carbide Head Hammer Bit</t>
        </is>
      </c>
      <c r="D6530" t="inlineStr">
        <is>
          <t>Diablo 3/16" x 4"x6" Rebar Demon™ SDS-Plus 4-Cutter Full Carbide Head Hammer Bit</t>
        </is>
      </c>
      <c r="E6530" s="2">
        <f>HYPERLINK("https://www.amazon.com/Diablo-Freud-DMAPL4040-SDS-Plus-4-Cutter/dp/B089L9LMZX/ref=sr_1_4?keywords=Diablo+Tools+DMAPL4070+1%2F4+in.+x+4+in.+x+6+in.+Rebar+Demon%E2%84%A2+SDS-Plus+4-Cutter+Full+Carbide+Head+Hammer+Bit&amp;qid=1694735303&amp;sr=8-4", "https://www.amazon.com/Diablo-Freud-DMAPL4040-SDS-Plus-4-Cutter/dp/B089L9LMZX/ref=sr_1_4?keywords=Diablo+Tools+DMAPL4070+1%2F4+in.+x+4+in.+x+6+in.+Rebar+Demon%E2%84%A2+SDS-Plus+4-Cutter+Full+Carbide+Head+Hammer+Bit&amp;qid=1694735303&amp;sr=8-4")</f>
        <v/>
      </c>
      <c r="F6530" t="inlineStr">
        <is>
          <t>B089L9LMZX</t>
        </is>
      </c>
      <c r="G6530">
        <f>_xludf.IMAGE("https://edmondsonsupply.com/cdn/shop/products/DMAPL4070_Main-Image20200701.png?v=1633030350")</f>
        <v/>
      </c>
      <c r="H6530">
        <f>_xludf.IMAGE("https://m.media-amazon.com/images/I/61WAyx865hL._AC_UL320_.jpg")</f>
        <v/>
      </c>
      <c r="K6530" t="inlineStr">
        <is>
          <t>8.97</t>
        </is>
      </c>
      <c r="L6530" t="n">
        <v>8.08</v>
      </c>
      <c r="M6530" s="1" t="inlineStr">
        <is>
          <t>-9.92%</t>
        </is>
      </c>
      <c r="N6530" s="1" t="n"/>
      <c r="O6530" t="n">
        <v>4.6</v>
      </c>
      <c r="P6530" t="n">
        <v>58</v>
      </c>
      <c r="R6530" t="inlineStr">
        <is>
          <t>InStock</t>
        </is>
      </c>
      <c r="S6530" t="inlineStr">
        <is>
          <t>undefined</t>
        </is>
      </c>
      <c r="T6530" t="inlineStr">
        <is>
          <t>5283100197032</t>
        </is>
      </c>
    </row>
    <row r="6531" ht="87" customHeight="1">
      <c r="A6531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6531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6531" t="inlineStr">
        <is>
          <t>Diablo Tools DMAPL4300 1 in. x 8 in. x 10 in. Rebar Demon™ SDS‑Plus 4‑Cutter Full Carbide Head Hammer Drill Bit</t>
        </is>
      </c>
      <c r="D6531" t="inlineStr">
        <is>
          <t>Diablo by Freud DMAMX1090 5/8 in. x 8 in. x 13 in. Rebar Demon SDS-Max 4-Cutter Full Carbide Head Hammer Bit</t>
        </is>
      </c>
      <c r="E6531" s="2">
        <f>HYPERLINK("https://www.amazon.com/Diablo-SDS-Max-4-Cutter-Carbide-Hammer/dp/B089LGB35P/ref=sr_1_26?keywords=Diablo+Tools+DMAPL4300+1+in.+x+8+in.+x+10+in.+Rebar+Demon%E2%84%A2+SDS%E2%80%91Plus+4%E2%80%91Cutter+Full+Carbide+Head+Hammer+Drill+Bit&amp;qid=1694735259&amp;sr=8-26", "https://www.amazon.com/Diablo-SDS-Max-4-Cutter-Carbide-Hammer/dp/B089LGB35P/ref=sr_1_26?keywords=Diablo+Tools+DMAPL4300+1+in.+x+8+in.+x+10+in.+Rebar+Demon%E2%84%A2+SDS%E2%80%91Plus+4%E2%80%91Cutter+Full+Carbide+Head+Hammer+Drill+Bit&amp;qid=1694735259&amp;sr=8-26")</f>
        <v/>
      </c>
      <c r="F6531" t="inlineStr">
        <is>
          <t>B089LGB35P</t>
        </is>
      </c>
      <c r="G6531">
        <f>_xlfn.IMAGE("https://edmondsonsupply.com/cdn/shop/products/DMAPL4300_Additional-Images_0120200225.png?v=1633030652")</f>
        <v/>
      </c>
      <c r="H6531">
        <f>_xlfn.IMAGE("https://m.media-amazon.com/images/I/61Wr1t8FMOL._AC_UL320_.jpg")</f>
        <v/>
      </c>
      <c r="K6531" t="inlineStr">
        <is>
          <t>38.97</t>
        </is>
      </c>
      <c r="L6531" t="n">
        <v>35.1</v>
      </c>
      <c r="M6531" s="1" t="inlineStr">
        <is>
          <t>-9.93%</t>
        </is>
      </c>
      <c r="N6531" s="7" t="n"/>
      <c r="O6531" t="n">
        <v>4.2</v>
      </c>
      <c r="P6531" t="n">
        <v>5</v>
      </c>
      <c r="R6531" t="inlineStr">
        <is>
          <t>InStock</t>
        </is>
      </c>
      <c r="S6531" t="inlineStr">
        <is>
          <t>52.66</t>
        </is>
      </c>
      <c r="T6531" t="inlineStr">
        <is>
          <t>5740518637736</t>
        </is>
      </c>
    </row>
    <row r="6532" ht="87" customHeight="1">
      <c r="A6532" s="2">
        <f>HYPERLINK("https://edmondsonsupply.com/collections/electricians-tools/products/klein-tools-et60-electronic-ac-dc-voltage-tester-12-to-600v", "https://edmondsonsupply.com/collections/electricians-tools/products/klein-tools-et60-electronic-ac-dc-voltage-tester-12-to-600v")</f>
        <v/>
      </c>
      <c r="B6532" s="2">
        <f>HYPERLINK("https://edmondsonsupply.com/products/klein-tools-et60-electronic-ac-dc-voltage-tester-12-to-600v", "https://edmondsonsupply.com/products/klein-tools-et60-electronic-ac-dc-voltage-tester-12-to-600v")</f>
        <v/>
      </c>
      <c r="C6532" t="inlineStr">
        <is>
          <t>Klein Tools ET60 Electronic AC/DC Voltage Tester, 12 to 600V</t>
        </is>
      </c>
      <c r="D6532" t="inlineStr">
        <is>
          <t>Klein Tools ET60 Voltage Tester, Tests AC and DC Voltage and Low Voltage, No Batteries Needed, Orange/Black</t>
        </is>
      </c>
      <c r="E6532" s="2">
        <f>HYPERLINK("https://www.amazon.com/Electronic-Voltage-Klein-Tools-ET60/dp/B06WWFGHQZ/ref=sr_1_1?keywords=Klein+Tools+ET60+Electronic+AC%2FDC+Voltage+Tester%2C+12+to+600V&amp;qid=1694735220&amp;sr=8-1", "https://www.amazon.com/Electronic-Voltage-Klein-Tools-ET60/dp/B06WWFGHQZ/ref=sr_1_1?keywords=Klein+Tools+ET60+Electronic+AC%2FDC+Voltage+Tester%2C+12+to+600V&amp;qid=1694735220&amp;sr=8-1")</f>
        <v/>
      </c>
      <c r="F6532" t="inlineStr">
        <is>
          <t>B06WWFGHQZ</t>
        </is>
      </c>
      <c r="G6532">
        <f>_xlfn.IMAGE("https://edmondsonsupply.com/cdn/shop/products/et60.jpg?v=1633030979")</f>
        <v/>
      </c>
      <c r="H6532">
        <f>_xlfn.IMAGE("https://m.media-amazon.com/images/I/61bFp93k0pL._AC_UL320_.jpg")</f>
        <v/>
      </c>
      <c r="K6532" t="inlineStr">
        <is>
          <t>29.97</t>
        </is>
      </c>
      <c r="L6532" t="n">
        <v>26.99</v>
      </c>
      <c r="M6532" s="1" t="inlineStr">
        <is>
          <t>-9.94%</t>
        </is>
      </c>
      <c r="N6532" s="7" t="n"/>
      <c r="O6532" t="n">
        <v>4.6</v>
      </c>
      <c r="P6532" t="n">
        <v>1111</v>
      </c>
      <c r="R6532" t="inlineStr">
        <is>
          <t>InStock</t>
        </is>
      </c>
      <c r="S6532" t="inlineStr">
        <is>
          <t>46.76</t>
        </is>
      </c>
      <c r="T6532" t="inlineStr">
        <is>
          <t>6650286178477</t>
        </is>
      </c>
    </row>
    <row r="6533" ht="87" customHeight="1">
      <c r="A6533" s="2">
        <f>HYPERLINK("https://edmondsonsupply.com/collections/electricians-tools/products/klein-tools-56411-rechargeable-waterproof-led-pocket-light-with-lanyard", "https://edmondsonsupply.com/collections/electricians-tools/products/klein-tools-56411-rechargeable-waterproof-led-pocket-light-with-lanyard")</f>
        <v/>
      </c>
      <c r="B6533" s="2">
        <f>HYPERLINK("https://edmondsonsupply.com/products/klein-tools-56411-rechargeable-waterproof-led-pocket-light-with-lanyard", "https://edmondsonsupply.com/products/klein-tools-56411-rechargeable-waterproof-led-pocket-light-with-lanyard")</f>
        <v/>
      </c>
      <c r="C6533" t="inlineStr">
        <is>
          <t>Klein Tools 56411 Rechargeable Waterproof LED Pocket Light with Lanyard</t>
        </is>
      </c>
      <c r="D6533" t="inlineStr">
        <is>
          <t>Blackfire - Klein Tools Outdoors - Rechargeable Waterproof Pocket Flashlight BBM6411, 275 Lumen, Dual-Direction Pocket Clip with Lanyard for Outdoor Use, Camping, Hunting, Work</t>
        </is>
      </c>
      <c r="E6533" s="2">
        <f>HYPERLINK("https://www.amazon.com/Blackfire-Rechargeable-Waterproof-BBM6411-Dual-Direction/dp/B0973SR954/ref=sr_1_2?keywords=Klein+Tools+56411+Rechargeable+Waterproof+LED+Pocket+Light+with+Lanyard&amp;qid=1694735121&amp;sr=8-2", "https://www.amazon.com/Blackfire-Rechargeable-Waterproof-BBM6411-Dual-Direction/dp/B0973SR954/ref=sr_1_2?keywords=Klein+Tools+56411+Rechargeable+Waterproof+LED+Pocket+Light+with+Lanyard&amp;qid=1694735121&amp;sr=8-2")</f>
        <v/>
      </c>
      <c r="F6533" t="inlineStr">
        <is>
          <t>B0973SR954</t>
        </is>
      </c>
      <c r="G6533">
        <f>_xlfn.IMAGE("https://edmondsonsupply.com/cdn/shop/products/56411.jpg?v=1663952448")</f>
        <v/>
      </c>
      <c r="H6533">
        <f>_xlfn.IMAGE("https://m.media-amazon.com/images/I/61lqPHvKTUL._AC_UL320_.jpg")</f>
        <v/>
      </c>
      <c r="K6533" t="inlineStr">
        <is>
          <t>29.97</t>
        </is>
      </c>
      <c r="L6533" t="n">
        <v>26.99</v>
      </c>
      <c r="M6533" s="1" t="inlineStr">
        <is>
          <t>-9.94%</t>
        </is>
      </c>
      <c r="N6533" s="7" t="n"/>
      <c r="O6533" t="n">
        <v>4.3</v>
      </c>
      <c r="P6533" t="n">
        <v>25</v>
      </c>
      <c r="R6533" t="inlineStr">
        <is>
          <t>InStock</t>
        </is>
      </c>
      <c r="S6533" t="inlineStr">
        <is>
          <t>42.0</t>
        </is>
      </c>
      <c r="T6533" t="inlineStr">
        <is>
          <t>7827354779864</t>
        </is>
      </c>
    </row>
    <row r="6534" ht="87" customHeight="1">
      <c r="A6534" s="2">
        <f>HYPERLINK("https://edmondsonsupply.com/collections/electricians-tools/products/klein-tools-56413-rechargeable-2-color-led-flashlight-with-holster", "https://edmondsonsupply.com/collections/electricians-tools/products/klein-tools-56413-rechargeable-2-color-led-flashlight-with-holster")</f>
        <v/>
      </c>
      <c r="B6534" s="2">
        <f>HYPERLINK("https://edmondsonsupply.com/products/klein-tools-56413-rechargeable-2-color-led-flashlight-with-holster", "https://edmondsonsupply.com/products/klein-tools-56413-rechargeable-2-color-led-flashlight-with-holster")</f>
        <v/>
      </c>
      <c r="C6534" t="inlineStr">
        <is>
          <t>Klein Tools 56413 Rechargeable 2-Color LED Flashlight with Holster</t>
        </is>
      </c>
      <c r="D6534" t="inlineStr">
        <is>
          <t>Blackfire - Klein Tools Outdoors - Rechargeable 2-Color LED Weatherproof Flashlight BBM6413, 1000 Lumens, Holster and USB-C Cable Included, RED LED, Spotlight, and Flood Light, for Outdoor Use</t>
        </is>
      </c>
      <c r="E6534" s="2">
        <f>HYPERLINK("https://www.amazon.com/Blackfire-Rechargeable-Weatherproof-Flashlight-BBM6413/dp/B0973NX35N/ref=sr_1_4?keywords=Klein+Tools+56413+Rechargeable+2-Color+LED+Flashlight+with+Holster&amp;qid=1694735115&amp;sr=8-4", "https://www.amazon.com/Blackfire-Rechargeable-Weatherproof-Flashlight-BBM6413/dp/B0973NX35N/ref=sr_1_4?keywords=Klein+Tools+56413+Rechargeable+2-Color+LED+Flashlight+with+Holster&amp;qid=1694735115&amp;sr=8-4")</f>
        <v/>
      </c>
      <c r="F6534" t="inlineStr">
        <is>
          <t>B0973NX35N</t>
        </is>
      </c>
      <c r="G6534">
        <f>_xlfn.IMAGE("https://edmondsonsupply.com/cdn/shop/products/56413.jpg?v=1663954210")</f>
        <v/>
      </c>
      <c r="H6534">
        <f>_xlfn.IMAGE("https://m.media-amazon.com/images/I/71Yi-hSAfiL._AC_UL320_.jpg")</f>
        <v/>
      </c>
      <c r="K6534" t="inlineStr">
        <is>
          <t>49.97</t>
        </is>
      </c>
      <c r="L6534" t="n">
        <v>44.99</v>
      </c>
      <c r="M6534" s="1" t="inlineStr">
        <is>
          <t>-9.97%</t>
        </is>
      </c>
      <c r="N6534" s="7" t="n"/>
      <c r="O6534" t="n">
        <v>4.2</v>
      </c>
      <c r="P6534" t="n">
        <v>40</v>
      </c>
      <c r="R6534" t="inlineStr">
        <is>
          <t>InStock</t>
        </is>
      </c>
      <c r="S6534" t="inlineStr">
        <is>
          <t>72.0</t>
        </is>
      </c>
      <c r="T6534" t="inlineStr">
        <is>
          <t>7827366215896</t>
        </is>
      </c>
    </row>
    <row r="6535" ht="87" customHeight="1">
      <c r="A6535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6535" s="2">
        <f>HYPERLINK("https://edmondsonsupply.com/products/klein-tools-66070-flip-impact-socket-set-7-piece", "https://edmondsonsupply.com/products/klein-tools-66070-flip-impact-socket-set-7-piece")</f>
        <v/>
      </c>
      <c r="C6535" t="inlineStr">
        <is>
          <t>Klein Tools 66070 Flip Impact Socket Set, 7-Piece</t>
        </is>
      </c>
      <c r="D6535" t="inlineStr">
        <is>
          <t>Klein Tools 80083 Impact Driver Kit with 7-in-1 Impact Flip Socket and 14-in-1 Multi-Bit Adjustable Length Screwdriver, 2-Piece</t>
        </is>
      </c>
      <c r="E6535" s="2">
        <f>HYPERLINK("https://www.amazon.com/Klein-Tools-80083-Adjustable-Screwdriver/dp/B0B97ZB7G2/ref=sr_1_11?keywords=Klein+Tools+66070+Flip+Impact+Socket+Set%2C+7-Piece&amp;qid=1694734974&amp;sr=8-11", "https://www.amazon.com/Klein-Tools-80083-Adjustable-Screwdriver/dp/B0B97ZB7G2/ref=sr_1_11?keywords=Klein+Tools+66070+Flip+Impact+Socket+Set%2C+7-Piece&amp;qid=1694734974&amp;sr=8-11")</f>
        <v/>
      </c>
      <c r="F6535" t="inlineStr">
        <is>
          <t>B0B97ZB7G2</t>
        </is>
      </c>
      <c r="G6535">
        <f>_xlfn.IMAGE("https://edmondsonsupply.com/cdn/shop/products/66070_b.jpg?v=1663251434")</f>
        <v/>
      </c>
      <c r="H6535">
        <f>_xlfn.IMAGE("https://m.media-amazon.com/images/I/511vxL5UeDL._AC_UL320_.jpg")</f>
        <v/>
      </c>
      <c r="K6535" t="inlineStr">
        <is>
          <t>49.97</t>
        </is>
      </c>
      <c r="L6535" t="n">
        <v>44.99</v>
      </c>
      <c r="M6535" s="1" t="inlineStr">
        <is>
          <t>-9.97%</t>
        </is>
      </c>
      <c r="N6535" s="7" t="n"/>
      <c r="O6535" t="n">
        <v>4.7</v>
      </c>
      <c r="P6535" t="n">
        <v>197</v>
      </c>
      <c r="R6535" t="inlineStr">
        <is>
          <t>InStock</t>
        </is>
      </c>
      <c r="S6535" t="inlineStr">
        <is>
          <t>69.98</t>
        </is>
      </c>
      <c r="T6535" t="inlineStr">
        <is>
          <t>7817421127896</t>
        </is>
      </c>
    </row>
    <row r="6536" ht="87" customHeight="1">
      <c r="A6536" s="2">
        <f>HYPERLINK("https://edmondsonsupply.com/collections/electricians-tools/products/klein-tools-44005c-hawkbill-lockback-knife-with-clip", "https://edmondsonsupply.com/collections/electricians-tools/products/klein-tools-44005c-hawkbill-lockback-knife-with-clip")</f>
        <v/>
      </c>
      <c r="B6536" s="2">
        <f>HYPERLINK("https://edmondsonsupply.com/products/klein-tools-44005c-hawkbill-lockback-knife-with-clip", "https://edmondsonsupply.com/products/klein-tools-44005c-hawkbill-lockback-knife-with-clip")</f>
        <v/>
      </c>
      <c r="C6536" t="inlineStr">
        <is>
          <t>Klein Tools 44005C Hawkbill Lockback Knife with Clip</t>
        </is>
      </c>
      <c r="D6536" t="inlineStr">
        <is>
          <t>Klein Tools 44005C Hawkbill Lockback Knife with Clip, Black</t>
        </is>
      </c>
      <c r="E6536" s="2">
        <f>HYPERLINK("https://www.amazon.com/Hawkbill-Lockback-Klein-Tools-44005C/dp/B077TJF895/ref=sr_1_1?keywords=Klein+Tools+44005C+Hawkbill+Lockback+Knife+with+Clip&amp;qid=1694735105&amp;sr=8-1", "https://www.amazon.com/Hawkbill-Lockback-Klein-Tools-44005C/dp/B077TJF895/ref=sr_1_1?keywords=Klein+Tools+44005C+Hawkbill+Lockback+Knife+with+Clip&amp;qid=1694735105&amp;sr=8-1")</f>
        <v/>
      </c>
      <c r="F6536" t="inlineStr">
        <is>
          <t>B077TJF895</t>
        </is>
      </c>
      <c r="G6536">
        <f>_xlfn.IMAGE("https://edmondsonsupply.com/cdn/shop/products/44005c.jpg?v=1664810854")</f>
        <v/>
      </c>
      <c r="H6536">
        <f>_xlfn.IMAGE("https://m.media-amazon.com/images/I/41uFQxfj4YL._AC_UL320_.jpg")</f>
        <v/>
      </c>
      <c r="K6536" t="inlineStr">
        <is>
          <t>49.99</t>
        </is>
      </c>
      <c r="L6536" t="n">
        <v>44.99</v>
      </c>
      <c r="M6536" s="1" t="inlineStr">
        <is>
          <t>-10.00%</t>
        </is>
      </c>
      <c r="N6536" s="7" t="n"/>
      <c r="O6536" t="n">
        <v>4.2</v>
      </c>
      <c r="P6536" t="n">
        <v>142</v>
      </c>
      <c r="R6536" t="inlineStr">
        <is>
          <t>InStock</t>
        </is>
      </c>
      <c r="S6536" t="inlineStr">
        <is>
          <t>71.24</t>
        </is>
      </c>
      <c r="T6536" t="inlineStr">
        <is>
          <t>7837679616216</t>
        </is>
      </c>
    </row>
    <row r="6537" hidden="1" ht="15.75" customHeight="1">
      <c r="A6537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6537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6537" t="inlineStr">
        <is>
          <t>Klein Tools 630-5/16M 5/16-Inch Magnetic Nut Driver with Hollow Shaft</t>
        </is>
      </c>
      <c r="D6537" t="inlineStr">
        <is>
          <t>Klein Tools 630-5/16 Nut Driver, 5/16-Inch Tip Nut Driver with 3-Inch Hollow Shaft, Cushion Grip Handle</t>
        </is>
      </c>
      <c r="E6537" s="2">
        <f>HYPERLINK("https://www.amazon.com/16-Inch-Klein-Tools-630-5-16/dp/B001BY0ESW/ref=sr_1_5?keywords=Klein+Tools+630-5%2F16M+5%2F16-Inch+Magnetic+Nut+Driver+with+Hollow+Shaft&amp;qid=1694735398&amp;sr=8-5", "https://www.amazon.com/16-Inch-Klein-Tools-630-5-16/dp/B001BY0ESW/ref=sr_1_5?keywords=Klein+Tools+630-5%2F16M+5%2F16-Inch+Magnetic+Nut+Driver+with+Hollow+Shaft&amp;qid=1694735398&amp;sr=8-5")</f>
        <v/>
      </c>
      <c r="F6537" t="inlineStr">
        <is>
          <t>B001BY0ESW</t>
        </is>
      </c>
      <c r="G6537">
        <f>_xludf.IMAGE("https://edmondsonsupply.com/cdn/shop/products/630-5-16m.jpg?v=1587148610")</f>
        <v/>
      </c>
      <c r="H6537">
        <f>_xludf.IMAGE("https://m.media-amazon.com/images/I/41Cj8-Y8KnL._AC_UL320_.jpg")</f>
        <v/>
      </c>
      <c r="K6537" t="inlineStr">
        <is>
          <t>9.99</t>
        </is>
      </c>
      <c r="L6537" t="n">
        <v>8.99</v>
      </c>
      <c r="M6537" s="1" t="inlineStr">
        <is>
          <t>-10.01%</t>
        </is>
      </c>
      <c r="N6537" s="1" t="n"/>
      <c r="O6537" t="n">
        <v>4.8</v>
      </c>
      <c r="P6537" t="n">
        <v>2069</v>
      </c>
      <c r="R6537" t="inlineStr">
        <is>
          <t>InStock</t>
        </is>
      </c>
      <c r="S6537" t="inlineStr">
        <is>
          <t>15.12</t>
        </is>
      </c>
      <c r="T6537" t="inlineStr">
        <is>
          <t>4391884324964</t>
        </is>
      </c>
    </row>
    <row r="6538" hidden="1" ht="15.75" customHeight="1">
      <c r="A6538" s="2">
        <f>HYPERLINK("https://edmondsonsupply.com/collections/electricians-tools/products/klein-tools-31922-bi-metal-hole-saw-1-3-8-inch", "https://edmondsonsupply.com/collections/electricians-tools/products/klein-tools-31922-bi-metal-hole-saw-1-3-8-inch")</f>
        <v/>
      </c>
      <c r="B6538" s="2">
        <f>HYPERLINK("https://edmondsonsupply.com/products/klein-tools-31922-bi-metal-hole-saw-1-3-8-inch", "https://edmondsonsupply.com/products/klein-tools-31922-bi-metal-hole-saw-1-3-8-inch")</f>
        <v/>
      </c>
      <c r="C6538" t="inlineStr">
        <is>
          <t>Klein Tools 31922 Bi-Metal Hole Saw, 1-3/8-Inch</t>
        </is>
      </c>
      <c r="D6538" t="inlineStr">
        <is>
          <t>Klein Tools 31922 Bi-Metal Hole Saw, 1-3/8-Inch</t>
        </is>
      </c>
      <c r="E6538" s="2">
        <f>HYPERLINK("https://www.amazon.com/Bi-Metal-8-Inch-Klein-Tools-31922/dp/B019874Q0K/ref=sr_1_1?keywords=Klein+Tools+31922+Bi-Metal+Hole+Saw%2C+1-3%2F8-Inch&amp;qid=1694735176&amp;sr=8-1", "https://www.amazon.com/Bi-Metal-8-Inch-Klein-Tools-31922/dp/B019874Q0K/ref=sr_1_1?keywords=Klein+Tools+31922+Bi-Metal+Hole+Saw%2C+1-3%2F8-Inch&amp;qid=1694735176&amp;sr=8-1")</f>
        <v/>
      </c>
      <c r="F6538" t="inlineStr">
        <is>
          <t>B019874Q0K</t>
        </is>
      </c>
      <c r="G6538">
        <f>_xludf.IMAGE("https://edmondsonsupply.com/cdn/shop/products/31922.jpg?v=1663943738")</f>
        <v/>
      </c>
      <c r="H6538">
        <f>_xludf.IMAGE("https://m.media-amazon.com/images/I/41GAmyLoB4L._AC_UL320_.jpg")</f>
        <v/>
      </c>
      <c r="K6538" t="inlineStr">
        <is>
          <t>9.99</t>
        </is>
      </c>
      <c r="L6538" t="n">
        <v>8.99</v>
      </c>
      <c r="M6538" s="1" t="inlineStr">
        <is>
          <t>-10.01%</t>
        </is>
      </c>
      <c r="N6538" s="1" t="n"/>
      <c r="O6538" t="n">
        <v>4.5</v>
      </c>
      <c r="P6538" t="n">
        <v>365</v>
      </c>
      <c r="R6538" t="inlineStr">
        <is>
          <t>InStock</t>
        </is>
      </c>
      <c r="S6538" t="inlineStr">
        <is>
          <t>14.0</t>
        </is>
      </c>
      <c r="T6538" t="inlineStr">
        <is>
          <t>7827257819352</t>
        </is>
      </c>
    </row>
    <row r="6539" hidden="1" ht="15.75" customHeight="1">
      <c r="A6539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6539" s="2">
        <f>HYPERLINK("https://edmondsonsupply.com/products/klein-tools-vaco-s10m-5-16-magnetic-nut-driver-3-hollow-shaft", "https://edmondsonsupply.com/products/klein-tools-vaco-s10m-5-16-magnetic-nut-driver-3-hollow-shaft")</f>
        <v/>
      </c>
      <c r="C6539" t="inlineStr">
        <is>
          <t>Klein Tools S10M 5/16-Inch Magnetic Nut Driver 3-Inch Shaft</t>
        </is>
      </c>
      <c r="D6539" t="inlineStr">
        <is>
          <t>Klein Tools 630-5/16 Nut Driver, 5/16-Inch Tip Nut Driver with 3-Inch Hollow Shaft, Cushion Grip Handle</t>
        </is>
      </c>
      <c r="E6539" s="2">
        <f>HYPERLINK("https://www.amazon.com/16-Inch-Klein-Tools-630-5-16/dp/B001BY0ESW/ref=sr_1_8?keywords=Klein+Tools+S10M+5%2F16-Inch+Magnetic+Nut+Driver+3-Inch+Shaft&amp;qid=1694735002&amp;sr=8-8", "https://www.amazon.com/16-Inch-Klein-Tools-630-5-16/dp/B001BY0ESW/ref=sr_1_8?keywords=Klein+Tools+S10M+5%2F16-Inch+Magnetic+Nut+Driver+3-Inch+Shaft&amp;qid=1694735002&amp;sr=8-8")</f>
        <v/>
      </c>
      <c r="F6539" t="inlineStr">
        <is>
          <t>B001BY0ESW</t>
        </is>
      </c>
      <c r="G6539">
        <f>_xludf.IMAGE("https://edmondsonsupply.com/cdn/shop/products/s10m_alt2.jpg?v=1587143022")</f>
        <v/>
      </c>
      <c r="H6539">
        <f>_xludf.IMAGE("https://m.media-amazon.com/images/I/41Cj8-Y8KnL._AC_UL320_.jpg")</f>
        <v/>
      </c>
      <c r="K6539" t="inlineStr">
        <is>
          <t>9.99</t>
        </is>
      </c>
      <c r="L6539" t="n">
        <v>8.99</v>
      </c>
      <c r="M6539" s="1" t="inlineStr">
        <is>
          <t>-10.01%</t>
        </is>
      </c>
      <c r="N6539" s="1" t="n"/>
      <c r="O6539" t="n">
        <v>4.8</v>
      </c>
      <c r="P6539" t="n">
        <v>2069</v>
      </c>
      <c r="R6539" t="inlineStr">
        <is>
          <t>InStock</t>
        </is>
      </c>
      <c r="S6539" t="inlineStr">
        <is>
          <t>15.08</t>
        </is>
      </c>
      <c r="T6539" t="inlineStr">
        <is>
          <t>2767113125988</t>
        </is>
      </c>
    </row>
    <row r="6540" ht="87" customHeight="1">
      <c r="A6540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540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540" t="inlineStr">
        <is>
          <t>Klein Tools 32801 5-in-1 Multi-Bit Screwdriver / Nut Driver, Heavy Duty</t>
        </is>
      </c>
      <c r="D6540" t="inlineStr">
        <is>
          <t>Klein Tools 32593 Multi-bit Ratcheting Screwdriver, 6-in-1 Stubby Tool with Phillips and Slotted Bits and 2 Nut Driver Sizes</t>
        </is>
      </c>
      <c r="E6540" s="2">
        <f>HYPERLINK("https://www.amazon.com/Ratcheting-Screwdriver-Klein-Tools-32593/dp/B01I2KJ91K/ref=sr_1_28?keywords=Klein+Tools+32801+5-in-1+Multi-Bit+Screwdriver+%2F+Nut+Driver%2C+Heavy+Duty&amp;qid=1694735265&amp;sr=8-28", "https://www.amazon.com/Ratcheting-Screwdriver-Klein-Tools-32593/dp/B01I2KJ91K/ref=sr_1_28?keywords=Klein+Tools+32801+5-in-1+Multi-Bit+Screwdriver+%2F+Nut+Driver%2C+Heavy+Duty&amp;qid=1694735265&amp;sr=8-28")</f>
        <v/>
      </c>
      <c r="F6540" t="inlineStr">
        <is>
          <t>B01I2KJ91K</t>
        </is>
      </c>
      <c r="G6540">
        <f>_xlfn.IMAGE("https://edmondsonsupply.com/cdn/shop/products/32801.jpg?v=1633030677")</f>
        <v/>
      </c>
      <c r="H6540">
        <f>_xlfn.IMAGE("https://m.media-amazon.com/images/I/51WOLpdOfpL._AC_UL320_.jpg")</f>
        <v/>
      </c>
      <c r="K6540" t="inlineStr">
        <is>
          <t>19.97</t>
        </is>
      </c>
      <c r="L6540" t="n">
        <v>17.97</v>
      </c>
      <c r="M6540" s="1" t="inlineStr">
        <is>
          <t>-10.02%</t>
        </is>
      </c>
      <c r="N6540" s="7" t="n"/>
      <c r="O6540" t="n">
        <v>4.8</v>
      </c>
      <c r="P6540" t="n">
        <v>1664</v>
      </c>
      <c r="R6540" t="inlineStr">
        <is>
          <t>InStock</t>
        </is>
      </c>
      <c r="S6540" t="inlineStr">
        <is>
          <t>32.18</t>
        </is>
      </c>
      <c r="T6540" t="inlineStr">
        <is>
          <t>5807274819752</t>
        </is>
      </c>
    </row>
    <row r="6541" hidden="1" ht="15.75" customHeight="1">
      <c r="A6541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6541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6541" t="inlineStr">
        <is>
          <t>Klein Tools JTH6E10BE 5/32-Inch Ball Hex Key, Journeyman T-Handle 6-Inch</t>
        </is>
      </c>
      <c r="D6541" t="inlineStr">
        <is>
          <t>5/32-Inch Hex Key with Journeyman T-Handle, 9-Inch Klein Tools JTH9E10</t>
        </is>
      </c>
      <c r="E6541" s="2">
        <f>HYPERLINK("https://www.amazon.com/Journeyman-T-Handle-Klein-Tools-JTH9E10/dp/B004QV8H90/ref=sr_1_2?keywords=Klein+Tools+JTH6E10BE+5%2F32-Inch+Ball+Hex+Key%2C+Journeyman+T-Handle+6-Inch&amp;qid=1694735255&amp;sr=8-2", "https://www.amazon.com/Journeyman-T-Handle-Klein-Tools-JTH9E10/dp/B004QV8H90/ref=sr_1_2?keywords=Klein+Tools+JTH6E10BE+5%2F32-Inch+Ball+Hex+Key%2C+Journeyman+T-Handle+6-Inch&amp;qid=1694735255&amp;sr=8-2")</f>
        <v/>
      </c>
      <c r="F6541" t="inlineStr">
        <is>
          <t>B004QV8H90</t>
        </is>
      </c>
      <c r="G6541">
        <f>_xludf.IMAGE("https://edmondsonsupply.com/cdn/shop/products/jth6e13be_363de34a-e666-474d-81cd-df9068957d9f.jpg?v=1604059577")</f>
        <v/>
      </c>
      <c r="H6541">
        <f>_xludf.IMAGE("https://m.media-amazon.com/images/I/51Yb8h41vLL._AC_UL320_.jpg")</f>
        <v/>
      </c>
      <c r="K6541" t="inlineStr">
        <is>
          <t>4.99</t>
        </is>
      </c>
      <c r="L6541" t="n">
        <v>4.49</v>
      </c>
      <c r="M6541" s="1" t="inlineStr">
        <is>
          <t>-10.02%</t>
        </is>
      </c>
      <c r="N6541" s="1" t="n"/>
      <c r="O6541" t="n">
        <v>4.8</v>
      </c>
      <c r="P6541" t="n">
        <v>293</v>
      </c>
      <c r="R6541" t="inlineStr">
        <is>
          <t>InStock</t>
        </is>
      </c>
      <c r="S6541" t="inlineStr">
        <is>
          <t>7.52</t>
        </is>
      </c>
      <c r="T6541" t="inlineStr">
        <is>
          <t>5999019819176</t>
        </is>
      </c>
    </row>
    <row r="6542" hidden="1" ht="15.75" customHeight="1">
      <c r="A6542" s="2">
        <f>HYPERLINK("https://edmondsonsupply.com/collections/electricians-tools/products/klein-tools-jth9m5-5-mm-hex-key-journeyman-t-handle-9-inch", "https://edmondsonsupply.com/collections/electricians-tools/products/klein-tools-jth9m5-5-mm-hex-key-journeyman-t-handle-9-inch")</f>
        <v/>
      </c>
      <c r="B6542" s="2">
        <f>HYPERLINK("https://edmondsonsupply.com/products/klein-tools-jth9m5-5-mm-hex-key-journeyman-t-handle-9-inch", "https://edmondsonsupply.com/products/klein-tools-jth9m5-5-mm-hex-key-journeyman-t-handle-9-inch")</f>
        <v/>
      </c>
      <c r="C6542" t="inlineStr">
        <is>
          <t>Klein Tools JTH9M5 5 mm Hex Key, Journeyman T-Handle 9-Inch</t>
        </is>
      </c>
      <c r="D6542" t="inlineStr">
        <is>
          <t>5/32-Inch Hex Key with Journeyman T-Handle, 9-Inch Klein Tools JTH9E10</t>
        </is>
      </c>
      <c r="E6542" s="2">
        <f>HYPERLINK("https://www.amazon.com/Journeyman-T-Handle-Klein-Tools-JTH9E10/dp/B004QV8H90/ref=sr_1_7?keywords=Klein+Tools+JTH9M5+5+mm+Hex+Key%2C+Journeyman+T-Handle+9-Inch&amp;qid=1694735207&amp;sr=8-7", "https://www.amazon.com/Journeyman-T-Handle-Klein-Tools-JTH9E10/dp/B004QV8H90/ref=sr_1_7?keywords=Klein+Tools+JTH9M5+5+mm+Hex+Key%2C+Journeyman+T-Handle+9-Inch&amp;qid=1694735207&amp;sr=8-7")</f>
        <v/>
      </c>
      <c r="F6542" t="inlineStr">
        <is>
          <t>B004QV8H90</t>
        </is>
      </c>
      <c r="G6542">
        <f>_xludf.IMAGE("https://edmondsonsupply.com/cdn/shop/products/jth9m_84ad507b-889a-4b5c-80a2-9633c898cd48.jpg?v=1633031048")</f>
        <v/>
      </c>
      <c r="H6542">
        <f>_xludf.IMAGE("https://m.media-amazon.com/images/I/51Yb8h41vLL._AC_UL320_.jpg")</f>
        <v/>
      </c>
      <c r="K6542" t="inlineStr">
        <is>
          <t>4.99</t>
        </is>
      </c>
      <c r="L6542" t="n">
        <v>4.49</v>
      </c>
      <c r="M6542" s="1" t="inlineStr">
        <is>
          <t>-10.02%</t>
        </is>
      </c>
      <c r="N6542" s="1" t="n"/>
      <c r="O6542" t="n">
        <v>4.8</v>
      </c>
      <c r="P6542" t="n">
        <v>293</v>
      </c>
      <c r="R6542" t="inlineStr">
        <is>
          <t>InStock</t>
        </is>
      </c>
      <c r="S6542" t="inlineStr">
        <is>
          <t>7.58</t>
        </is>
      </c>
      <c r="T6542" t="inlineStr">
        <is>
          <t>6772921532589</t>
        </is>
      </c>
    </row>
    <row r="6543" ht="87" customHeight="1">
      <c r="A6543" s="2">
        <f>HYPERLINK("https://edmondsonsupply.com/collections/electricians-tools/products/klein-tools-56350-fiberglass-fish-tape-with-spiral-steel-leader-50-foot", "https://edmondsonsupply.com/collections/electricians-tools/products/klein-tools-56350-fiberglass-fish-tape-with-spiral-steel-leader-50-foot")</f>
        <v/>
      </c>
      <c r="B6543" s="2">
        <f>HYPERLINK("https://edmondsonsupply.com/products/klein-tools-56350-fiberglass-fish-tape-with-spiral-steel-leader-50-foot", "https://edmondsonsupply.com/products/klein-tools-56350-fiberglass-fish-tape-with-spiral-steel-leader-50-foot")</f>
        <v/>
      </c>
      <c r="C6543" t="inlineStr">
        <is>
          <t>Klein Tools 56350 Fiberglass Fish Tape with Spiral Steel Leader, 50-Foot</t>
        </is>
      </c>
      <c r="D6543" t="inlineStr">
        <is>
          <t>Klein Tools 56350 Non-Conductive Electrical Fish Tape, Fiberglass Wire Puller with Steel Leader, Optimized Housing / Handle, 50-Foot x 3/16-Inch</t>
        </is>
      </c>
      <c r="E6543" s="2">
        <f>HYPERLINK("https://www.amazon.com/Klein-Tools-56350-Fiberglass-0-182-Inch/dp/B081ZTJTB5/ref=sr_1_1?keywords=Klein+Tools+56350+Fiberglass+Fish+Tape+with+Spiral+Steel+Leader%2C+50-Foot&amp;qid=1694735382&amp;sr=8-1", "https://www.amazon.com/Klein-Tools-56350-Fiberglass-0-182-Inch/dp/B081ZTJTB5/ref=sr_1_1?keywords=Klein+Tools+56350+Fiberglass+Fish+Tape+with+Spiral+Steel+Leader%2C+50-Foot&amp;qid=1694735382&amp;sr=8-1")</f>
        <v/>
      </c>
      <c r="F6543" t="inlineStr">
        <is>
          <t>B081ZTJTB5</t>
        </is>
      </c>
      <c r="G6543">
        <f>_xlfn.IMAGE("https://edmondsonsupply.com/cdn/shop/products/56350.jpg?v=1587147765")</f>
        <v/>
      </c>
      <c r="H6543">
        <f>_xlfn.IMAGE("https://m.media-amazon.com/images/I/51tGreVpcBL._AC_UL320_.jpg")</f>
        <v/>
      </c>
      <c r="K6543" t="inlineStr">
        <is>
          <t>149.99</t>
        </is>
      </c>
      <c r="L6543" t="n">
        <v>134.95</v>
      </c>
      <c r="M6543" s="1" t="inlineStr">
        <is>
          <t>-10.03%</t>
        </is>
      </c>
      <c r="N6543" s="7" t="n"/>
      <c r="O6543" t="n">
        <v>4.9</v>
      </c>
      <c r="P6543" t="n">
        <v>14</v>
      </c>
      <c r="R6543" t="inlineStr">
        <is>
          <t>InStock</t>
        </is>
      </c>
      <c r="S6543" t="inlineStr">
        <is>
          <t>211.76</t>
        </is>
      </c>
      <c r="T6543" t="inlineStr">
        <is>
          <t>4412217983076</t>
        </is>
      </c>
    </row>
    <row r="6544" hidden="1" ht="15.75" customHeight="1">
      <c r="A6544" s="2">
        <f>HYPERLINK("https://edmondsonsupply.com/collections/electricians-tools/products/klein-tools-6824ins-insulated-screwdriver-1-4-inch-cabinet-tip-4-inch-round-shank", "https://edmondsonsupply.com/collections/electricians-tools/products/klein-tools-6824ins-insulated-screwdriver-1-4-inch-cabinet-tip-4-inch-round-shank")</f>
        <v/>
      </c>
      <c r="B6544" s="2">
        <f>HYPERLINK("https://edmondsonsupply.com/products/klein-tools-6824ins-insulated-screwdriver-1-4-inch-cabinet-tip-4-inch-round-shank", "https://edmondsonsupply.com/products/klein-tools-6824ins-insulated-screwdriver-1-4-inch-cabinet-tip-4-inch-round-shank")</f>
        <v/>
      </c>
      <c r="C6544" t="inlineStr">
        <is>
          <t>Klein Tools 6824INS Insulated Screwdriver, 1/4-Inch Cabinet Tip, 4-Inch Round Shank</t>
        </is>
      </c>
      <c r="D6544" t="inlineStr">
        <is>
          <t>Klein Tools 612-4 Screwdriver, Flat Head Terminal Block Screwdriver, 1/8-Inch Cabinet Tip, 4-Inch Round Shank, TB-DIN</t>
        </is>
      </c>
      <c r="E6544" s="2">
        <f>HYPERLINK("https://www.amazon.com/Screwdriver-Terminal-Klein-Tools-612-4/dp/B0058I6VNE/ref=sr_1_9?keywords=Klein+Tools+6824INS+Insulated+Screwdriver%2C+1%2F4-Inch+Cabinet+Tip%2C+4-Inch+Round+Shank&amp;qid=1694735115&amp;sr=8-9", "https://www.amazon.com/Screwdriver-Terminal-Klein-Tools-612-4/dp/B0058I6VNE/ref=sr_1_9?keywords=Klein+Tools+6824INS+Insulated+Screwdriver%2C+1%2F4-Inch+Cabinet+Tip%2C+4-Inch+Round+Shank&amp;qid=1694735115&amp;sr=8-9")</f>
        <v/>
      </c>
      <c r="F6544" t="inlineStr">
        <is>
          <t>B0058I6VNE</t>
        </is>
      </c>
      <c r="G6544">
        <f>_xludf.IMAGE("https://edmondsonsupply.com/cdn/shop/products/6824ins.jpg?v=1664813487")</f>
        <v/>
      </c>
      <c r="H6544">
        <f>_xludf.IMAGE("https://m.media-amazon.com/images/I/51APfPlk95L._AC_UL320_.jpg")</f>
        <v/>
      </c>
      <c r="K6544" t="inlineStr">
        <is>
          <t>9.97</t>
        </is>
      </c>
      <c r="L6544" t="n">
        <v>8.970000000000001</v>
      </c>
      <c r="M6544" s="1" t="inlineStr">
        <is>
          <t>-10.03%</t>
        </is>
      </c>
      <c r="N6544" s="1" t="n"/>
      <c r="O6544" t="n">
        <v>4.8</v>
      </c>
      <c r="P6544" t="n">
        <v>1953</v>
      </c>
      <c r="R6544" t="inlineStr">
        <is>
          <t>InStock</t>
        </is>
      </c>
      <c r="S6544" t="inlineStr">
        <is>
          <t>15.72</t>
        </is>
      </c>
      <c r="T6544" t="inlineStr">
        <is>
          <t>7837703471320</t>
        </is>
      </c>
    </row>
    <row r="6545" ht="87" customHeight="1">
      <c r="A6545" s="2">
        <f>HYPERLINK("https://edmondsonsupply.com/collections/electricians-tools/products/diablo-tools-dsf2125-2-1-8-dia-speedemon%E2%84%A2-self-feed-bit", "https://edmondsonsupply.com/collections/electricians-tools/products/diablo-tools-dsf2125-2-1-8-dia-speedemon%E2%84%A2-self-feed-bit")</f>
        <v/>
      </c>
      <c r="B6545" s="2">
        <f>HYPERLINK("https://edmondsonsupply.com/products/diablo-tools-dsf2125-2-1-8-dia-speedemon%e2%84%a2-self-feed-bit", "https://edmondsonsupply.com/products/diablo-tools-dsf2125-2-1-8-dia-speedemon%e2%84%a2-self-feed-bit")</f>
        <v/>
      </c>
      <c r="C6545" t="inlineStr">
        <is>
          <t>Diablo Tools DSF2125 2-1/8" Dia. SPEEDemon™ Self Feed Bit</t>
        </is>
      </c>
      <c r="D6545" t="inlineStr">
        <is>
          <t>Freud-Diablo DB SELF Feed BIT 2-1/8 in, Multicolor, DSF2125</t>
        </is>
      </c>
      <c r="E6545" s="2">
        <f>HYPERLINK("https://www.amazon.com/Diablo-2-1-Self-Feed-DSF2125/dp/B07YKXNLKK/ref=sr_1_1?keywords=Diablo+Tools+DSF2125+2-1%2F8%22+Dia.+SPEEDemon%E2%84%A2+Self+Feed+Bit&amp;qid=1694735200&amp;sr=8-1", "https://www.amazon.com/Diablo-2-1-Self-Feed-DSF2125/dp/B07YKXNLKK/ref=sr_1_1?keywords=Diablo+Tools+DSF2125+2-1%2F8%22+Dia.+SPEEDemon%E2%84%A2+Self+Feed+Bit&amp;qid=1694735200&amp;sr=8-1")</f>
        <v/>
      </c>
      <c r="F6545" t="inlineStr">
        <is>
          <t>B07YKXNLKK</t>
        </is>
      </c>
      <c r="G6545">
        <f>_xlfn.IMAGE("https://edmondsonsupply.com/cdn/shop/products/DSF2125_Main-Image.png?v=1633031104")</f>
        <v/>
      </c>
      <c r="H6545">
        <f>_xlfn.IMAGE("https://m.media-amazon.com/images/I/51iM6LPEMcL._AC_UL320_.jpg")</f>
        <v/>
      </c>
      <c r="K6545" t="inlineStr">
        <is>
          <t>48.97</t>
        </is>
      </c>
      <c r="L6545" t="n">
        <v>44</v>
      </c>
      <c r="M6545" s="1" t="inlineStr">
        <is>
          <t>-10.15%</t>
        </is>
      </c>
      <c r="N6545" s="7" t="n"/>
      <c r="O6545" t="n">
        <v>4.7</v>
      </c>
      <c r="P6545" t="n">
        <v>3</v>
      </c>
      <c r="R6545" t="inlineStr">
        <is>
          <t>InStock</t>
        </is>
      </c>
      <c r="S6545" t="inlineStr">
        <is>
          <t>64.44</t>
        </is>
      </c>
      <c r="T6545" t="inlineStr">
        <is>
          <t>6851749871789</t>
        </is>
      </c>
    </row>
    <row r="6546" hidden="1" ht="15.75" customHeight="1">
      <c r="A6546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6546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6546" t="inlineStr">
        <is>
          <t>Crescent Lufkin L1025C-02 1-3/16" x 25' Command Control Series™ Yellow Clad Tape Measure</t>
        </is>
      </c>
      <c r="D6546" t="inlineStr">
        <is>
          <t>Crescent Lufkin 1-3/16 x 25' Command Control Series Yellow Clad Engineers Tape Measure - L1025CD-02</t>
        </is>
      </c>
      <c r="E6546" s="2">
        <f>HYPERLINK("https://www.amazon.com/Crescent-Lufkin-Command-Control-Engineers/dp/B09PGYRHMW/ref=sr_1_2?keywords=Crescent+Lufkin+L1025C-02+1-3%2F16%22+x+25%27+Command+Control+Series%E2%84%A2+Yellow+Clad+Tape+Measure&amp;qid=1694735004&amp;sr=8-2", "https://www.amazon.com/Crescent-Lufkin-Command-Control-Engineers/dp/B09PGYRHMW/ref=sr_1_2?keywords=Crescent+Lufkin+L1025C-02+1-3%2F16%22+x+25%27+Command+Control+Series%E2%84%A2+Yellow+Clad+Tape+Measure&amp;qid=1694735004&amp;sr=8-2")</f>
        <v/>
      </c>
      <c r="F6546" t="inlineStr">
        <is>
          <t>B09PGYRHMW</t>
        </is>
      </c>
      <c r="G6546">
        <f>_xludf.IMAGE("https://edmondsonsupply.com/cdn/shop/products/LFK_L1025C_4-SIDES_IMG-MAIN1.jpg?v=1680013140")</f>
        <v/>
      </c>
      <c r="H6546">
        <f>_xludf.IMAGE("https://m.media-amazon.com/images/I/61gZNk4qkWL._AC_UL320_.jpg")</f>
        <v/>
      </c>
      <c r="K6546" t="inlineStr">
        <is>
          <t>15.59</t>
        </is>
      </c>
      <c r="L6546" t="n">
        <v>14</v>
      </c>
      <c r="M6546" s="1" t="inlineStr">
        <is>
          <t>-10.20%</t>
        </is>
      </c>
      <c r="N6546" s="1" t="n"/>
      <c r="O6546" t="n">
        <v>4.2</v>
      </c>
      <c r="P6546" t="n">
        <v>35</v>
      </c>
      <c r="R6546" t="inlineStr">
        <is>
          <t>InStock</t>
        </is>
      </c>
      <c r="S6546" t="inlineStr">
        <is>
          <t>25.04</t>
        </is>
      </c>
      <c r="T6546" t="inlineStr">
        <is>
          <t>7968970866904</t>
        </is>
      </c>
    </row>
    <row r="6547" hidden="1" ht="15.75" customHeight="1">
      <c r="A6547" s="2">
        <f>HYPERLINK("https://edmondsonsupply.com/collections/electricians-tools/products/milwaukee-2960-22-m18-fuel%E2%84%A2-3-8-mid-torque-impact-wrench-w-friction-ring-kit", "https://edmondsonsupply.com/collections/electricians-tools/products/milwaukee-2960-22-m18-fuel%E2%84%A2-3-8-mid-torque-impact-wrench-w-friction-ring-kit")</f>
        <v/>
      </c>
      <c r="B6547" s="2">
        <f>HYPERLINK("https://edmondsonsupply.com/products/milwaukee-2960-22-m18-fuel%e2%84%a2-3-8-mid-torque-impact-wrench-w-friction-ring-kit", "https://edmondsonsupply.com/products/milwaukee-2960-22-m18-fuel%e2%84%a2-3-8-mid-torque-impact-wrench-w-friction-ring-kit")</f>
        <v/>
      </c>
      <c r="C6547" t="inlineStr">
        <is>
          <t>Milwaukee 2960-22 M18 FUEL™ 3/8 " Mid-Torque Impact Wrench w/ Friction Ring Kit</t>
        </is>
      </c>
      <c r="D6547" t="inlineStr">
        <is>
          <t>Milwaukee 2758-22CT M18 FUEL with ONE-KEY 3/8" Compact Impact Wrench w/ Friction Ring Kit</t>
        </is>
      </c>
      <c r="E6547" s="2">
        <f>HYPERLINK("https://www.amazon.com/Cordless-Impact-Wrench-ONE-KEY-2-0Ah/dp/B0195M34XS/ref=sr_1_16?keywords=Milwaukee+2960-22+M18+FUEL%E2%84%A2+3%2F8+%22+Mid-Torque+Impact+Wrench+w%2F+Friction+Ring+Kit&amp;qid=1694735132&amp;sr=8-16", "https://www.amazon.com/Cordless-Impact-Wrench-ONE-KEY-2-0Ah/dp/B0195M34XS/ref=sr_1_16?keywords=Milwaukee+2960-22+M18+FUEL%E2%84%A2+3%2F8+%22+Mid-Torque+Impact+Wrench+w%2F+Friction+Ring+Kit&amp;qid=1694735132&amp;sr=8-16")</f>
        <v/>
      </c>
      <c r="F6547" t="inlineStr">
        <is>
          <t>B0195M34XS</t>
        </is>
      </c>
      <c r="G6547">
        <f>_xludf.IMAGE("https://edmondsonsupply.com/cdn/shop/products/2960-22_Kit_1.png?v=1661616340")</f>
        <v/>
      </c>
      <c r="H6547">
        <f>_xludf.IMAGE("https://m.media-amazon.com/images/I/31C00rTNNLL._AC_UL320_.jpg")</f>
        <v/>
      </c>
      <c r="K6547" t="inlineStr">
        <is>
          <t>459.0</t>
        </is>
      </c>
      <c r="L6547" t="n">
        <v>411.98</v>
      </c>
      <c r="M6547" s="1" t="inlineStr">
        <is>
          <t>-10.24%</t>
        </is>
      </c>
      <c r="N6547" s="1" t="n"/>
      <c r="O6547" t="n">
        <v>3.8</v>
      </c>
      <c r="P6547" t="n">
        <v>40</v>
      </c>
      <c r="R6547" t="inlineStr">
        <is>
          <t>InStock</t>
        </is>
      </c>
      <c r="S6547" t="inlineStr">
        <is>
          <t>755.0</t>
        </is>
      </c>
      <c r="T6547" t="inlineStr">
        <is>
          <t>7795189809368</t>
        </is>
      </c>
    </row>
    <row r="6548" hidden="1" ht="15.75" customHeight="1">
      <c r="A6548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6548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6548" t="inlineStr">
        <is>
          <t>Crescent Lufkin L1025C-02 1-3/16" x 25' Command Control Series™ Yellow Clad Tape Measure</t>
        </is>
      </c>
      <c r="D6548" t="inlineStr">
        <is>
          <t>Lufkin Crescent Lufkin 1-3/16 x 25' Command Control Series Yellow Clad Tape Measure - L1025C-02</t>
        </is>
      </c>
      <c r="E6548" s="2">
        <f>HYPERLINK("https://www.amazon.com/Crescent-Lufkin-Command-Control-Measure/dp/B09PGZJR23/ref=sr_1_1?keywords=Crescent+Lufkin+L1025C-02+1-3%2F16%22+x+25%27+Command+Control+Series%E2%84%A2+Yellow+Clad+Tape+Measure&amp;qid=1694735004&amp;sr=8-1", "https://www.amazon.com/Crescent-Lufkin-Command-Control-Measure/dp/B09PGZJR23/ref=sr_1_1?keywords=Crescent+Lufkin+L1025C-02+1-3%2F16%22+x+25%27+Command+Control+Series%E2%84%A2+Yellow+Clad+Tape+Measure&amp;qid=1694735004&amp;sr=8-1")</f>
        <v/>
      </c>
      <c r="F6548" t="inlineStr">
        <is>
          <t>B09PGZJR23</t>
        </is>
      </c>
      <c r="G6548">
        <f>_xludf.IMAGE("https://edmondsonsupply.com/cdn/shop/products/LFK_L1025C_4-SIDES_IMG-MAIN1.jpg?v=1680013140")</f>
        <v/>
      </c>
      <c r="H6548">
        <f>_xludf.IMAGE("https://m.media-amazon.com/images/I/71PfA+jPHAL._AC_UL320_.jpg")</f>
        <v/>
      </c>
      <c r="K6548" t="inlineStr">
        <is>
          <t>15.59</t>
        </is>
      </c>
      <c r="L6548" t="n">
        <v>13.99</v>
      </c>
      <c r="M6548" s="1" t="inlineStr">
        <is>
          <t>-10.26%</t>
        </is>
      </c>
      <c r="N6548" s="1" t="n"/>
      <c r="O6548" t="n">
        <v>3.9</v>
      </c>
      <c r="P6548" t="n">
        <v>19</v>
      </c>
      <c r="R6548" t="inlineStr">
        <is>
          <t>InStock</t>
        </is>
      </c>
      <c r="S6548" t="inlineStr">
        <is>
          <t>25.04</t>
        </is>
      </c>
      <c r="T6548" t="inlineStr">
        <is>
          <t>7968970866904</t>
        </is>
      </c>
    </row>
    <row r="6549" hidden="1" ht="15.75" customHeight="1">
      <c r="A6549" s="2">
        <f>HYPERLINK("https://edmondsonsupply.com/collections/electricians-tools/products/klein-tools-450-410-self-adhesive-cable-mounting-clips-3-slot-10-pack", "https://edmondsonsupply.com/collections/electricians-tools/products/klein-tools-450-410-self-adhesive-cable-mounting-clips-3-slot-10-pack")</f>
        <v/>
      </c>
      <c r="B6549" s="2">
        <f>HYPERLINK("https://edmondsonsupply.com/products/klein-tools-450-410-self-adhesive-cable-mounting-clips-3-slot-10-pack", "https://edmondsonsupply.com/products/klein-tools-450-410-self-adhesive-cable-mounting-clips-3-slot-10-pack")</f>
        <v/>
      </c>
      <c r="C6549" t="inlineStr">
        <is>
          <t>Klein Tools 450-410 Self-Adhesive Cable Mounting Clips, 3-Slot (10-Pack)</t>
        </is>
      </c>
      <c r="D6549" t="inlineStr">
        <is>
          <t>Klein Tools 450-410 Cable Clips, Self-Adhesive 3-Slot Cable, Cord Magement Mounting Clips, Optiol Screw for Permanent Mounting, 10-Pack</t>
        </is>
      </c>
      <c r="E6549" s="2">
        <f>HYPERLINK("https://www.amazon.com/Self-Adhesive-Management-Permanent-Klein-Tools/dp/B095N6FDKY/ref=sr_1_1?keywords=Klein+Tools+450-410+Self-Adhesive+Cable+Mounting+Clips%2C+3-Slot+%2810-Pack%29&amp;qid=1694735121&amp;sr=8-1", "https://www.amazon.com/Self-Adhesive-Management-Permanent-Klein-Tools/dp/B095N6FDKY/ref=sr_1_1?keywords=Klein+Tools+450-410+Self-Adhesive+Cable+Mounting+Clips%2C+3-Slot+%2810-Pack%29&amp;qid=1694735121&amp;sr=8-1")</f>
        <v/>
      </c>
      <c r="F6549" t="inlineStr">
        <is>
          <t>B095N6FDKY</t>
        </is>
      </c>
      <c r="G6549">
        <f>_xludf.IMAGE("https://edmondsonsupply.com/cdn/shop/products/450410.jpg?v=1663950084")</f>
        <v/>
      </c>
      <c r="H6549">
        <f>_xludf.IMAGE("https://m.media-amazon.com/images/I/51N22kCupdL._AC_UY218_.jpg")</f>
        <v/>
      </c>
      <c r="K6549" t="inlineStr">
        <is>
          <t>9.99</t>
        </is>
      </c>
      <c r="L6549" t="n">
        <v>8.960000000000001</v>
      </c>
      <c r="M6549" s="1" t="inlineStr">
        <is>
          <t>-10.31%</t>
        </is>
      </c>
      <c r="N6549" s="1" t="n"/>
      <c r="O6549" t="n">
        <v>3.9</v>
      </c>
      <c r="P6549" t="n">
        <v>22</v>
      </c>
      <c r="R6549" t="inlineStr">
        <is>
          <t>InStock</t>
        </is>
      </c>
      <c r="S6549" t="inlineStr">
        <is>
          <t>13.98</t>
        </is>
      </c>
      <c r="T6549" t="inlineStr">
        <is>
          <t>7827325649112</t>
        </is>
      </c>
    </row>
    <row r="6550" hidden="1" ht="15.75" customHeight="1">
      <c r="A6550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6550" s="2">
        <f>HYPERLINK("https://edmondsonsupply.com/products/klein-tools-635-7-16-7-16-inch-heavy-duty-nut-driver", "https://edmondsonsupply.com/products/klein-tools-635-7-16-7-16-inch-heavy-duty-nut-driver")</f>
        <v/>
      </c>
      <c r="C6550" t="inlineStr">
        <is>
          <t>Klein Tools 635-7/16 7/16-Inch Heavy-Duty Nut Driver</t>
        </is>
      </c>
      <c r="D6550" t="inlineStr">
        <is>
          <t>Klein Tools 640-7/16 7/16-Inch Coated Nut Driver with 3-Inch Hollow Shaft and Cushion Grip Handle</t>
        </is>
      </c>
      <c r="E6550" s="2">
        <f>HYPERLINK("https://www.amazon.com/16-Inch-Klein-Tools-640-7-16/dp/B00093DZYG/ref=sr_1_18?keywords=Klein+Tools+635-7%2F16+7%2F16-Inch+Heavy-Duty+Nut+Driver&amp;qid=1694735398&amp;sr=8-18", "https://www.amazon.com/16-Inch-Klein-Tools-640-7-16/dp/B00093DZYG/ref=sr_1_18?keywords=Klein+Tools+635-7%2F16+7%2F16-Inch+Heavy-Duty+Nut+Driver&amp;qid=1694735398&amp;sr=8-18")</f>
        <v/>
      </c>
      <c r="F6550" t="inlineStr">
        <is>
          <t>B00093DZYG</t>
        </is>
      </c>
      <c r="G6550">
        <f>_xludf.IMAGE("https://edmondsonsupply.com/cdn/shop/products/635-7-16.jpg?v=1587145128")</f>
        <v/>
      </c>
      <c r="H6550">
        <f>_xludf.IMAGE("https://m.media-amazon.com/images/I/61eCMBwqqTL._AC_UL320_.jpg")</f>
        <v/>
      </c>
      <c r="K6550" t="inlineStr">
        <is>
          <t>14.49</t>
        </is>
      </c>
      <c r="L6550" t="n">
        <v>12.99</v>
      </c>
      <c r="M6550" s="1" t="inlineStr">
        <is>
          <t>-10.35%</t>
        </is>
      </c>
      <c r="N6550" s="1" t="n"/>
      <c r="O6550" t="n">
        <v>4.1</v>
      </c>
      <c r="P6550" t="n">
        <v>20</v>
      </c>
      <c r="R6550" t="inlineStr">
        <is>
          <t>InStock</t>
        </is>
      </c>
      <c r="S6550" t="inlineStr">
        <is>
          <t>21.94</t>
        </is>
      </c>
      <c r="T6550" t="inlineStr">
        <is>
          <t>4410745978980</t>
        </is>
      </c>
    </row>
    <row r="6551" hidden="1" ht="15.75" customHeight="1">
      <c r="A6551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6551" s="2">
        <f>HYPERLINK("https://edmondsonsupply.com/products/klein-tools-635-7-16-7-16-inch-heavy-duty-nut-driver", "https://edmondsonsupply.com/products/klein-tools-635-7-16-7-16-inch-heavy-duty-nut-driver")</f>
        <v/>
      </c>
      <c r="C6551" t="inlineStr">
        <is>
          <t>Klein Tools 635-7/16 7/16-Inch Heavy-Duty Nut Driver</t>
        </is>
      </c>
      <c r="D6551" t="inlineStr">
        <is>
          <t>Klein Tools 646-7/16M 7/16-Inch Magnetic Tip Hollow-Shank Nut Driver with 6-Inch Shank</t>
        </is>
      </c>
      <c r="E6551" s="2">
        <f>HYPERLINK("https://www.amazon.com/Hollow-Shank-Klein-Tools-646-7-16M/dp/B000MKIUX2/ref=sr_1_4?keywords=Klein+Tools+635-7%2F16+7%2F16-Inch+Heavy-Duty+Nut+Driver&amp;qid=1694735398&amp;sr=8-4", "https://www.amazon.com/Hollow-Shank-Klein-Tools-646-7-16M/dp/B000MKIUX2/ref=sr_1_4?keywords=Klein+Tools+635-7%2F16+7%2F16-Inch+Heavy-Duty+Nut+Driver&amp;qid=1694735398&amp;sr=8-4")</f>
        <v/>
      </c>
      <c r="F6551" t="inlineStr">
        <is>
          <t>B000MKIUX2</t>
        </is>
      </c>
      <c r="G6551">
        <f>_xludf.IMAGE("https://edmondsonsupply.com/cdn/shop/products/635-7-16.jpg?v=1587145128")</f>
        <v/>
      </c>
      <c r="H6551">
        <f>_xludf.IMAGE("https://m.media-amazon.com/images/I/41MGj+evvKL._AC_UL320_.jpg")</f>
        <v/>
      </c>
      <c r="K6551" t="inlineStr">
        <is>
          <t>14.49</t>
        </is>
      </c>
      <c r="L6551" t="n">
        <v>12.99</v>
      </c>
      <c r="M6551" s="1" t="inlineStr">
        <is>
          <t>-10.35%</t>
        </is>
      </c>
      <c r="N6551" s="1" t="n"/>
      <c r="O6551" t="n">
        <v>4.8</v>
      </c>
      <c r="P6551" t="n">
        <v>2491</v>
      </c>
      <c r="R6551" t="inlineStr">
        <is>
          <t>InStock</t>
        </is>
      </c>
      <c r="S6551" t="inlineStr">
        <is>
          <t>21.94</t>
        </is>
      </c>
      <c r="T6551" t="inlineStr">
        <is>
          <t>4410745978980</t>
        </is>
      </c>
    </row>
    <row r="6552" ht="87" customHeight="1">
      <c r="A6552" s="2">
        <f>HYPERLINK("https://edmondsonsupply.com/collections/electricians-tools/products/fluke-indc8", "https://edmondsonsupply.com/collections/electricians-tools/products/fluke-indc8")</f>
        <v/>
      </c>
      <c r="B6552" s="2">
        <f>HYPERLINK("https://edmondsonsupply.com/products/fluke-indc8", "https://edmondsonsupply.com/products/fluke-indc8")</f>
        <v/>
      </c>
      <c r="C6552" t="inlineStr">
        <is>
          <t>Fluke INDC8 Insulated High Leverage Diagonal Cutter</t>
        </is>
      </c>
      <c r="D6552" t="inlineStr">
        <is>
          <t>Fluke Insulated Heavy Duty High Leverage Diagonal Cutter, 1000V, 5067244</t>
        </is>
      </c>
      <c r="E6552" s="2">
        <f>HYPERLINK("https://www.amazon.com/Insulated-Heavy-Leverage-Diagonal-Cutter/dp/B07SFKCTH8/ref=sr_1_1?keywords=Fluke+INDC8+Insulated+High+Leverage+Diagonal+Cutter&amp;qid=1694735326&amp;sr=8-1", "https://www.amazon.com/Insulated-Heavy-Leverage-Diagonal-Cutter/dp/B07SFKCTH8/ref=sr_1_1?keywords=Fluke+INDC8+Insulated+High+Leverage+Diagonal+Cutter&amp;qid=1694735326&amp;sr=8-1")</f>
        <v/>
      </c>
      <c r="F6552" t="inlineStr">
        <is>
          <t>B07SFKCTH8</t>
        </is>
      </c>
      <c r="G6552">
        <f>_xlfn.IMAGE("https://edmondsonsupply.com/cdn/shop/products/indc8-1.jpg?v=1588886196")</f>
        <v/>
      </c>
      <c r="H6552">
        <f>_xlfn.IMAGE("https://m.media-amazon.com/images/I/41hPCSR+fgL._AC_UL320_.jpg")</f>
        <v/>
      </c>
      <c r="K6552" t="inlineStr">
        <is>
          <t>71.99</t>
        </is>
      </c>
      <c r="L6552" t="n">
        <v>64.5</v>
      </c>
      <c r="M6552" s="1" t="inlineStr">
        <is>
          <t>-10.40%</t>
        </is>
      </c>
      <c r="N6552" s="7" t="n"/>
      <c r="O6552" t="n">
        <v>4.5</v>
      </c>
      <c r="P6552" t="n">
        <v>99</v>
      </c>
      <c r="R6552" t="inlineStr">
        <is>
          <t>OutOfStock</t>
        </is>
      </c>
      <c r="S6552" t="inlineStr">
        <is>
          <t>79.99</t>
        </is>
      </c>
      <c r="T6552" t="inlineStr">
        <is>
          <t>4625639571556</t>
        </is>
      </c>
    </row>
    <row r="6553" ht="87" customHeight="1">
      <c r="A6553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6553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6553" t="inlineStr">
        <is>
          <t>Diablo Tools DOU125BF 1-1/4 in. Universal Fit Bi-Metal Oscillating Blade for Metal</t>
        </is>
      </c>
      <c r="D6553" t="inlineStr">
        <is>
          <t>Diablo by Freud DOU125BF3 1-1/4 in. Universal Fit Bi-Metal Oscillating Blades for Metal (3-Pack)</t>
        </is>
      </c>
      <c r="E6553" s="2">
        <f>HYPERLINK("https://www.amazon.com/Diablo-Freud-DOU125BF3-Universal-Oscillating/dp/B089KTHL1Z/ref=sr_1_2?keywords=Diablo+Tools+DOU125BF+1-1%2F4+in.+Universal+Fit+Bi-Metal+Oscillating+Blade+for+Metal&amp;qid=1694734995&amp;sr=8-2", "https://www.amazon.com/Diablo-Freud-DOU125BF3-Universal-Oscillating/dp/B089KTHL1Z/ref=sr_1_2?keywords=Diablo+Tools+DOU125BF+1-1%2F4+in.+Universal+Fit+Bi-Metal+Oscillating+Blade+for+Metal&amp;qid=1694734995&amp;sr=8-2")</f>
        <v/>
      </c>
      <c r="F6553" t="inlineStr">
        <is>
          <t>B089KTHL1Z</t>
        </is>
      </c>
      <c r="G6553">
        <f>_xlfn.IMAGE("https://edmondsonsupply.com/cdn/shop/files/k1d1qiwmm4npznsdbwtg.webp?v=1685467858")</f>
        <v/>
      </c>
      <c r="H6553">
        <f>_xlfn.IMAGE("https://m.media-amazon.com/images/I/61mZfXlj-XL._AC_UL320_.jpg")</f>
        <v/>
      </c>
      <c r="K6553" t="inlineStr">
        <is>
          <t>18.97</t>
        </is>
      </c>
      <c r="L6553" t="n">
        <v>16.99</v>
      </c>
      <c r="M6553" s="1" t="inlineStr">
        <is>
          <t>-10.44%</t>
        </is>
      </c>
      <c r="N6553" s="7" t="n"/>
      <c r="O6553" t="n">
        <v>4.1</v>
      </c>
      <c r="P6553" t="n">
        <v>13</v>
      </c>
      <c r="R6553" t="inlineStr">
        <is>
          <t>InStock</t>
        </is>
      </c>
      <c r="S6553" t="inlineStr">
        <is>
          <t>22.35</t>
        </is>
      </c>
      <c r="T6553" t="inlineStr">
        <is>
          <t>7997877584088</t>
        </is>
      </c>
    </row>
    <row r="6554" ht="87" customHeight="1">
      <c r="A6554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6554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6554" t="inlineStr">
        <is>
          <t>Diablo Tools DOU125BF 1-1/4 in. Universal Fit Bi-Metal Oscillating Blade for Metal</t>
        </is>
      </c>
      <c r="D6554" t="inlineStr">
        <is>
          <t>Diablo by Freud DOU125CF 1-1/4 in. Universal Fit Carbide Oscillating Blade for Metal</t>
        </is>
      </c>
      <c r="E6554" s="2">
        <f>HYPERLINK("https://www.amazon.com/Diablo-Universal-Carbide-Oscillating-Blade/dp/B089LHKRPN/ref=sr_1_7?keywords=Diablo+Tools+DOU125BF+1-1%2F4+in.+Universal+Fit+Bi-Metal+Oscillating+Blade+for+Metal&amp;qid=1694734995&amp;sr=8-7", "https://www.amazon.com/Diablo-Universal-Carbide-Oscillating-Blade/dp/B089LHKRPN/ref=sr_1_7?keywords=Diablo+Tools+DOU125BF+1-1%2F4+in.+Universal+Fit+Bi-Metal+Oscillating+Blade+for+Metal&amp;qid=1694734995&amp;sr=8-7")</f>
        <v/>
      </c>
      <c r="F6554" t="inlineStr">
        <is>
          <t>B089LHKRPN</t>
        </is>
      </c>
      <c r="G6554">
        <f>_xlfn.IMAGE("https://edmondsonsupply.com/cdn/shop/files/k1d1qiwmm4npznsdbwtg.webp?v=1685467858")</f>
        <v/>
      </c>
      <c r="H6554">
        <f>_xlfn.IMAGE("https://m.media-amazon.com/images/I/71izb0UUOkL._AC_UL320_.jpg")</f>
        <v/>
      </c>
      <c r="K6554" t="inlineStr">
        <is>
          <t>18.97</t>
        </is>
      </c>
      <c r="L6554" t="n">
        <v>16.99</v>
      </c>
      <c r="M6554" s="1" t="inlineStr">
        <is>
          <t>-10.44%</t>
        </is>
      </c>
      <c r="N6554" s="7" t="n"/>
      <c r="O6554" t="n">
        <v>4.3</v>
      </c>
      <c r="P6554" t="n">
        <v>19</v>
      </c>
      <c r="R6554" t="inlineStr">
        <is>
          <t>InStock</t>
        </is>
      </c>
      <c r="S6554" t="inlineStr">
        <is>
          <t>22.35</t>
        </is>
      </c>
      <c r="T6554" t="inlineStr">
        <is>
          <t>7997877584088</t>
        </is>
      </c>
    </row>
    <row r="6555" ht="87" customHeight="1">
      <c r="A6555" s="2">
        <f>HYPERLINK("https://edmondsonsupply.com/collections/electricians-tools/products/klein-tools-29250-60w-portable-solar-panel", "https://edmondsonsupply.com/collections/electricians-tools/products/klein-tools-29250-60w-portable-solar-panel")</f>
        <v/>
      </c>
      <c r="B6555" s="2">
        <f>HYPERLINK("https://edmondsonsupply.com/products/klein-tools-29250-60w-portable-solar-panel", "https://edmondsonsupply.com/products/klein-tools-29250-60w-portable-solar-panel")</f>
        <v/>
      </c>
      <c r="C6555" t="inlineStr">
        <is>
          <t>Klein Tools 29250 60W Portable Solar Panel</t>
        </is>
      </c>
      <c r="D6555" t="inlineStr">
        <is>
          <t>Blackfire - Klein Outdoors - Portable Solar Panel FSP60W, 60W Solar Panel for Pac505/1000 as Mobile Solar Generator, Mobile Foldable Solar Charging for Outdoor Use, Camping, Tailgaiting, Travel</t>
        </is>
      </c>
      <c r="E6555" s="2">
        <f>HYPERLINK("https://www.amazon.com/Blackfire-Portable-FSP60W-Generator-Tailgaiting/dp/B0973QVFC4/ref=sr_1_2?keywords=Klein+Tools+29250+60W+Portable+Solar+Panel&amp;qid=1694735115&amp;sr=8-2", "https://www.amazon.com/Blackfire-Portable-FSP60W-Generator-Tailgaiting/dp/B0973QVFC4/ref=sr_1_2?keywords=Klein+Tools+29250+60W+Portable+Solar+Panel&amp;qid=1694735115&amp;sr=8-2")</f>
        <v/>
      </c>
      <c r="F6555" t="inlineStr">
        <is>
          <t>B0973QVFC4</t>
        </is>
      </c>
      <c r="G6555">
        <f>_xlfn.IMAGE("https://edmondsonsupply.com/cdn/shop/products/29250.jpg?v=1664396962")</f>
        <v/>
      </c>
      <c r="H6555">
        <f>_xlfn.IMAGE("https://m.media-amazon.com/images/I/51y9MhGMKJL._AC_UY218_.jpg")</f>
        <v/>
      </c>
      <c r="K6555" t="inlineStr">
        <is>
          <t>199.99</t>
        </is>
      </c>
      <c r="L6555" t="n">
        <v>179.1</v>
      </c>
      <c r="M6555" s="1" t="inlineStr">
        <is>
          <t>-10.45%</t>
        </is>
      </c>
      <c r="N6555" s="7" t="n"/>
      <c r="O6555" t="n">
        <v>5</v>
      </c>
      <c r="P6555" t="n">
        <v>1</v>
      </c>
      <c r="R6555" t="inlineStr">
        <is>
          <t>InStock</t>
        </is>
      </c>
      <c r="S6555" t="inlineStr">
        <is>
          <t>299.98</t>
        </is>
      </c>
      <c r="T6555" t="inlineStr">
        <is>
          <t>7832357306584</t>
        </is>
      </c>
    </row>
    <row r="6556" ht="87" customHeight="1">
      <c r="A6556" s="2">
        <f>HYPERLINK("https://edmondsonsupply.com/collections/electricians-tools/products/klein-tools-46037-cable-splicers-kit", "https://edmondsonsupply.com/collections/electricians-tools/products/klein-tools-46037-cable-splicers-kit")</f>
        <v/>
      </c>
      <c r="B6556" s="2">
        <f>HYPERLINK("https://edmondsonsupply.com/products/klein-tools-46037-cable-splicers-kit", "https://edmondsonsupply.com/products/klein-tools-46037-cable-splicers-kit")</f>
        <v/>
      </c>
      <c r="C6556" t="inlineStr">
        <is>
          <t>Klein Tools 46037 Cable Splicer's Kit</t>
        </is>
      </c>
      <c r="D6556" t="inlineStr">
        <is>
          <t>Klein Tools 46037 Cable Splicer's Kit,Black</t>
        </is>
      </c>
      <c r="E6556" s="2">
        <f>HYPERLINK("https://www.amazon.com/Cable-Splicers-Klein-Tools-46037/dp/B0006M6Y5W/ref=sr_1_1?keywords=Klein+Tools+46037+Cable+Splicer%27s+Kit&amp;qid=1694735136&amp;sr=8-1", "https://www.amazon.com/Cable-Splicers-Klein-Tools-46037/dp/B0006M6Y5W/ref=sr_1_1?keywords=Klein+Tools+46037+Cable+Splicer%27s+Kit&amp;qid=1694735136&amp;sr=8-1")</f>
        <v/>
      </c>
      <c r="F6556" t="inlineStr">
        <is>
          <t>B0006M6Y5W</t>
        </is>
      </c>
      <c r="G6556">
        <f>_xlfn.IMAGE("https://edmondsonsupply.com/cdn/shop/products/46037.jpg?v=1663351986")</f>
        <v/>
      </c>
      <c r="H6556">
        <f>_xlfn.IMAGE("https://m.media-amazon.com/images/I/513CYnYadKS._AC_UL320_.jpg")</f>
        <v/>
      </c>
      <c r="K6556" t="inlineStr">
        <is>
          <t>39.97</t>
        </is>
      </c>
      <c r="L6556" t="n">
        <v>35.79</v>
      </c>
      <c r="M6556" s="1" t="inlineStr">
        <is>
          <t>-10.46%</t>
        </is>
      </c>
      <c r="N6556" s="7" t="n"/>
      <c r="O6556" t="n">
        <v>4.8</v>
      </c>
      <c r="P6556" t="n">
        <v>529</v>
      </c>
      <c r="R6556" t="inlineStr">
        <is>
          <t>InStock</t>
        </is>
      </c>
      <c r="S6556" t="inlineStr">
        <is>
          <t>66.7</t>
        </is>
      </c>
      <c r="T6556" t="inlineStr">
        <is>
          <t>7819207508184</t>
        </is>
      </c>
    </row>
    <row r="6557" ht="87" customHeight="1">
      <c r="A6557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6557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6557" t="inlineStr">
        <is>
          <t>Diablo Tools DOU125BF 1-1/4 in. Universal Fit Bi-Metal Oscillating Blade for Metal</t>
        </is>
      </c>
      <c r="D6557" t="inlineStr">
        <is>
          <t>Diablo 2-1/2 in. Universal Fit Bi-Metal Oscillating Blade for Nail-Embedded Wood</t>
        </is>
      </c>
      <c r="E6557" s="2">
        <f>HYPERLINK("https://www.amazon.com/Diablo-Freud-DOU250BW-Oscillating-Nail-Embedded/dp/B089KWP5Z2/ref=sr_1_12?keywords=Diablo+Tools+DOU125BF+1-1%2F4+in.+Universal+Fit+Bi-Metal+Oscillating+Blade+for+Metal&amp;qid=1694734995&amp;sr=8-12", "https://www.amazon.com/Diablo-Freud-DOU250BW-Oscillating-Nail-Embedded/dp/B089KWP5Z2/ref=sr_1_12?keywords=Diablo+Tools+DOU125BF+1-1%2F4+in.+Universal+Fit+Bi-Metal+Oscillating+Blade+for+Metal&amp;qid=1694734995&amp;sr=8-12")</f>
        <v/>
      </c>
      <c r="F6557" t="inlineStr">
        <is>
          <t>B089KWP5Z2</t>
        </is>
      </c>
      <c r="G6557">
        <f>_xlfn.IMAGE("https://edmondsonsupply.com/cdn/shop/files/k1d1qiwmm4npznsdbwtg.webp?v=1685467858")</f>
        <v/>
      </c>
      <c r="H6557">
        <f>_xlfn.IMAGE("https://m.media-amazon.com/images/I/71fhfiK3NaL._AC_UL320_.jpg")</f>
        <v/>
      </c>
      <c r="K6557" t="inlineStr">
        <is>
          <t>18.97</t>
        </is>
      </c>
      <c r="L6557" t="n">
        <v>16.98</v>
      </c>
      <c r="M6557" s="1" t="inlineStr">
        <is>
          <t>-10.49%</t>
        </is>
      </c>
      <c r="N6557" s="7" t="n"/>
      <c r="O6557" t="n">
        <v>4.6</v>
      </c>
      <c r="P6557" t="n">
        <v>31</v>
      </c>
      <c r="R6557" t="inlineStr">
        <is>
          <t>InStock</t>
        </is>
      </c>
      <c r="S6557" t="inlineStr">
        <is>
          <t>22.35</t>
        </is>
      </c>
      <c r="T6557" t="inlineStr">
        <is>
          <t>7997877584088</t>
        </is>
      </c>
    </row>
    <row r="6558" ht="87" customHeight="1">
      <c r="A6558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6558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6558" t="inlineStr">
        <is>
          <t>Diablo Tools DMAPL9920-S7 7pc Rebar Demon™ SDS-Plus 4-Cutter Full Carbide Head Hammer Bit Set</t>
        </is>
      </c>
      <c r="D6558" t="inlineStr">
        <is>
          <t>Diablo 5/8"x 16"x18" Rebar Demon™ SDS-Plus 4-Cutter Full Carbide Head Hammer Bit</t>
        </is>
      </c>
      <c r="E6558" s="2">
        <f>HYPERLINK("https://www.amazon.com/Diablo-SDS-Plus-4-Cutter-Carbide-Hammer/dp/B089LDNZSN/ref=sr_1_16?keywords=Diablo+Tools+DMAPL9920-S7+7pc+Rebar+Demon%E2%84%A2+SDS-Plus+4-Cutter+Full+Carbide+Head+Hammer+Bit+Set&amp;qid=1694735019&amp;sr=8-16", "https://www.amazon.com/Diablo-SDS-Plus-4-Cutter-Carbide-Hammer/dp/B089LDNZSN/ref=sr_1_16?keywords=Diablo+Tools+DMAPL9920-S7+7pc+Rebar+Demon%E2%84%A2+SDS-Plus+4-Cutter+Full+Carbide+Head+Hammer+Bit+Set&amp;qid=1694735019&amp;sr=8-16")</f>
        <v/>
      </c>
      <c r="F6558" t="inlineStr">
        <is>
          <t>B089LDNZSN</t>
        </is>
      </c>
      <c r="G6558">
        <f>_xlfn.IMAGE("https://edmondsonsupply.com/cdn/shop/products/vgtm2xrrra4yfevsszgf.webp?v=1679328619")</f>
        <v/>
      </c>
      <c r="H6558">
        <f>_xlfn.IMAGE("https://m.media-amazon.com/images/I/61Vv8Hsfp5L._AC_UL320_.jpg")</f>
        <v/>
      </c>
      <c r="K6558" t="inlineStr">
        <is>
          <t>37.97</t>
        </is>
      </c>
      <c r="L6558" t="n">
        <v>33.98</v>
      </c>
      <c r="M6558" s="1" t="inlineStr">
        <is>
          <t>-10.51%</t>
        </is>
      </c>
      <c r="N6558" s="7" t="n"/>
      <c r="O6558" t="n">
        <v>4.6</v>
      </c>
      <c r="P6558" t="n">
        <v>10</v>
      </c>
      <c r="R6558" t="inlineStr">
        <is>
          <t>InStock</t>
        </is>
      </c>
      <c r="S6558" t="inlineStr">
        <is>
          <t>55.56</t>
        </is>
      </c>
      <c r="T6558" t="inlineStr">
        <is>
          <t>7964936995032</t>
        </is>
      </c>
    </row>
    <row r="6559" hidden="1" ht="15.75" customHeight="1">
      <c r="A6559" s="2">
        <f>HYPERLINK("https://edmondsonsupply.com/collections/electricians-tools/products/klein-tools-jth9e10-5-32-inch-hex-key-journeyman-t-handle-9-inch", "https://edmondsonsupply.com/collections/electricians-tools/products/klein-tools-jth9e10-5-32-inch-hex-key-journeyman-t-handle-9-inch")</f>
        <v/>
      </c>
      <c r="B6559" s="2">
        <f>HYPERLINK("https://edmondsonsupply.com/products/klein-tools-jth9e10-5-32-inch-hex-key-journeyman-t-handle-9-inch", "https://edmondsonsupply.com/products/klein-tools-jth9e10-5-32-inch-hex-key-journeyman-t-handle-9-inch")</f>
        <v/>
      </c>
      <c r="C6559" t="inlineStr">
        <is>
          <t>Klein Tools JTH9E10 5/32-Inch Hex Key, Journeyman T-Handle, 9-Inch</t>
        </is>
      </c>
      <c r="D6559" t="inlineStr">
        <is>
          <t>Klein Tools JTH6E10BE 5/32-Inch Ball Hex Key with Journeyman T-Handle, 6-Inch</t>
        </is>
      </c>
      <c r="E6559" s="2">
        <f>HYPERLINK("https://www.amazon.com/Journeyman-T-Handle-Klein-Tools-JTH6E10BE/dp/B004QW4EPK/ref=sr_1_4?keywords=Klein+Tools+JTH9E10+5%2F32-Inch+Hex+Key%2C+Journeyman+T-Handle%2C+9-Inch&amp;qid=1694735165&amp;sr=8-4", "https://www.amazon.com/Journeyman-T-Handle-Klein-Tools-JTH6E10BE/dp/B004QW4EPK/ref=sr_1_4?keywords=Klein+Tools+JTH9E10+5%2F32-Inch+Hex+Key%2C+Journeyman+T-Handle%2C+9-Inch&amp;qid=1694735165&amp;sr=8-4")</f>
        <v/>
      </c>
      <c r="F6559" t="inlineStr">
        <is>
          <t>B004QW4EPK</t>
        </is>
      </c>
      <c r="G6559">
        <f>_xludf.IMAGE("https://edmondsonsupply.com/cdn/shop/products/jth9e12_37b16542-2f59-465e-8bba-0a543803dfd0.jpg?v=1647892900")</f>
        <v/>
      </c>
      <c r="H6559">
        <f>_xludf.IMAGE("https://m.media-amazon.com/images/I/51f9vBFVXgL._AC_UL320_.jpg")</f>
        <v/>
      </c>
      <c r="K6559" t="inlineStr">
        <is>
          <t>7.6</t>
        </is>
      </c>
      <c r="L6559" t="n">
        <v>6.8</v>
      </c>
      <c r="M6559" s="1" t="inlineStr">
        <is>
          <t>-10.53%</t>
        </is>
      </c>
      <c r="N6559" s="1" t="n"/>
      <c r="O6559" t="n">
        <v>4.8</v>
      </c>
      <c r="P6559" t="n">
        <v>454</v>
      </c>
      <c r="R6559" t="inlineStr">
        <is>
          <t>OutOfStock</t>
        </is>
      </c>
      <c r="S6559" t="inlineStr">
        <is>
          <t>undefined</t>
        </is>
      </c>
      <c r="T6559" t="inlineStr">
        <is>
          <t>7640873205976</t>
        </is>
      </c>
    </row>
    <row r="6560" ht="87" customHeight="1">
      <c r="A6560" s="2">
        <f>HYPERLINK("https://edmondsonsupply.com/collections/electricians-tools/products/milwaukee-49-56-0503-3-16-3-16-diamond-plus%E2%84%A2-hole-saw", "https://edmondsonsupply.com/collections/electricians-tools/products/milwaukee-49-56-0503-3-16-3-16-diamond-plus%E2%84%A2-hole-saw")</f>
        <v/>
      </c>
      <c r="B6560" s="2">
        <f>HYPERLINK("https://edmondsonsupply.com/products/milwaukee-49-56-0503-3-16-3-16-diamond-plus%e2%84%a2-hole-saw", "https://edmondsonsupply.com/products/milwaukee-49-56-0503-3-16-3-16-diamond-plus%e2%84%a2-hole-saw")</f>
        <v/>
      </c>
      <c r="C6560" t="inlineStr">
        <is>
          <t>Milwaukee 49-56-0503 3/16" Diamond Plus™ Hole Saw</t>
        </is>
      </c>
      <c r="D6560" t="inlineStr">
        <is>
          <t>Milwaukee 49-56-0509 3/8"  Diamond One-Piece Hole Saw</t>
        </is>
      </c>
      <c r="E6560" s="2">
        <f>HYPERLINK("https://www.amazon.com/Milwaukee-49-56-0509-Diamond-One-Piece-Hole/dp/B00KZHHFNI/ref=sr_1_4?keywords=Milwaukee+49-56-0503+3%2F16%22+Diamond+Plus%E2%84%A2+Hole+Saw&amp;qid=1694735413&amp;sr=8-4", "https://www.amazon.com/Milwaukee-49-56-0509-Diamond-One-Piece-Hole/dp/B00KZHHFNI/ref=sr_1_4?keywords=Milwaukee+49-56-0503+3%2F16%22+Diamond+Plus%E2%84%A2+Hole+Saw&amp;qid=1694735413&amp;sr=8-4")</f>
        <v/>
      </c>
      <c r="F6560" t="inlineStr">
        <is>
          <t>B00KZHHFNI</t>
        </is>
      </c>
      <c r="G6560">
        <f>_xlfn.IMAGE("https://edmondsonsupply.com/cdn/shop/products/49-56-0503.jpg?v=1587146081")</f>
        <v/>
      </c>
      <c r="H6560">
        <f>_xlfn.IMAGE("https://m.media-amazon.com/images/I/51nRf3CBtoL._AC_UL320_.jpg")</f>
        <v/>
      </c>
      <c r="K6560" t="inlineStr">
        <is>
          <t>18.99</t>
        </is>
      </c>
      <c r="L6560" t="n">
        <v>16.99</v>
      </c>
      <c r="M6560" s="1" t="inlineStr">
        <is>
          <t>-10.53%</t>
        </is>
      </c>
      <c r="N6560" s="7" t="n"/>
      <c r="O6560" t="n">
        <v>4.7</v>
      </c>
      <c r="P6560" t="n">
        <v>28</v>
      </c>
      <c r="R6560" t="inlineStr">
        <is>
          <t>InStock</t>
        </is>
      </c>
      <c r="S6560" t="inlineStr">
        <is>
          <t>25.1</t>
        </is>
      </c>
      <c r="T6560" t="inlineStr">
        <is>
          <t>4385044791396</t>
        </is>
      </c>
    </row>
    <row r="6561" ht="87" customHeight="1">
      <c r="A6561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6561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6561" t="inlineStr">
        <is>
          <t>Diablo Tools DMAPL9920-S7 7pc Rebar Demon™ SDS-Plus 4-Cutter Full Carbide Head Hammer Bit Set</t>
        </is>
      </c>
      <c r="D6561" t="inlineStr">
        <is>
          <t>Diablo by Freud DMAPL4300 1 in. x 8 in. x 10 in. Rebar Demon™ SDS-Plus 4-Cutter Full Carbide Head Hammer Bit</t>
        </is>
      </c>
      <c r="E6561" s="2">
        <f>HYPERLINK("https://www.amazon.com/Diablo-Freud-DMAPL4300-SDS-Plus-4-Cutter/dp/B089LL8JD8/ref=sr_1_6?keywords=Diablo+Tools+DMAPL9920-S7+7pc+Rebar+Demon%E2%84%A2+SDS-Plus+4-Cutter+Full+Carbide+Head+Hammer+Bit+Set&amp;qid=1694735019&amp;sr=8-6", "https://www.amazon.com/Diablo-Freud-DMAPL4300-SDS-Plus-4-Cutter/dp/B089LL8JD8/ref=sr_1_6?keywords=Diablo+Tools+DMAPL9920-S7+7pc+Rebar+Demon%E2%84%A2+SDS-Plus+4-Cutter+Full+Carbide+Head+Hammer+Bit+Set&amp;qid=1694735019&amp;sr=8-6")</f>
        <v/>
      </c>
      <c r="F6561" t="inlineStr">
        <is>
          <t>B089LL8JD8</t>
        </is>
      </c>
      <c r="G6561">
        <f>_xlfn.IMAGE("https://edmondsonsupply.com/cdn/shop/products/vgtm2xrrra4yfevsszgf.webp?v=1679328619")</f>
        <v/>
      </c>
      <c r="H6561">
        <f>_xlfn.IMAGE("https://m.media-amazon.com/images/I/616UiJGsK1L._AC_UL320_.jpg")</f>
        <v/>
      </c>
      <c r="K6561" t="inlineStr">
        <is>
          <t>37.97</t>
        </is>
      </c>
      <c r="L6561" t="n">
        <v>33.95</v>
      </c>
      <c r="M6561" s="1" t="inlineStr">
        <is>
          <t>-10.59%</t>
        </is>
      </c>
      <c r="N6561" s="7" t="n"/>
      <c r="O6561" t="n">
        <v>4.5</v>
      </c>
      <c r="P6561" t="n">
        <v>16</v>
      </c>
      <c r="R6561" t="inlineStr">
        <is>
          <t>InStock</t>
        </is>
      </c>
      <c r="S6561" t="inlineStr">
        <is>
          <t>55.56</t>
        </is>
      </c>
      <c r="T6561" t="inlineStr">
        <is>
          <t>7964936995032</t>
        </is>
      </c>
    </row>
    <row r="6562" ht="87" customHeight="1">
      <c r="A6562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6562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6562" t="inlineStr">
        <is>
          <t>Klein Tools 646M Magnetic Nut Driver Set, 6-Inch Shafts, 2-Piece</t>
        </is>
      </c>
      <c r="D6562" t="inlineStr">
        <is>
          <t>Klein Tools 646M Tool Set, Magnetic Nut Drivers Sizes 1/4 and 5/16-Inch, 6-Inch Shafts, 2-Piece</t>
        </is>
      </c>
      <c r="E6562" s="2">
        <f>HYPERLINK("https://www.amazon.com/Magnetic-16-Inch-Klein-Tools-646M/dp/B000936QV0/ref=sr_1_1?keywords=Klein+Tools+646M+Magnetic+Nut+Driver+Set%2C+6-Inch+Shafts%2C+2-Piece&amp;qid=1694735354&amp;sr=8-1", "https://www.amazon.com/Magnetic-16-Inch-Klein-Tools-646M/dp/B000936QV0/ref=sr_1_1?keywords=Klein+Tools+646M+Magnetic+Nut+Driver+Set%2C+6-Inch+Shafts%2C+2-Piece&amp;qid=1694735354&amp;sr=8-1")</f>
        <v/>
      </c>
      <c r="F6562" t="inlineStr">
        <is>
          <t>B000936QV0</t>
        </is>
      </c>
      <c r="G6562">
        <f>_xlfn.IMAGE("https://edmondsonsupply.com/cdn/shop/products/646m.jpg?v=1587146592")</f>
        <v/>
      </c>
      <c r="H6562">
        <f>_xlfn.IMAGE("https://m.media-amazon.com/images/I/41lkJ6KRq9L._AC_UL320_.jpg")</f>
        <v/>
      </c>
      <c r="K6562" t="inlineStr">
        <is>
          <t>24.99</t>
        </is>
      </c>
      <c r="L6562" t="n">
        <v>22.34</v>
      </c>
      <c r="M6562" s="1" t="inlineStr">
        <is>
          <t>-10.60%</t>
        </is>
      </c>
      <c r="N6562" s="7" t="n"/>
      <c r="O6562" t="n">
        <v>4.8</v>
      </c>
      <c r="P6562" t="n">
        <v>1652</v>
      </c>
      <c r="R6562" t="inlineStr">
        <is>
          <t>InStock</t>
        </is>
      </c>
      <c r="S6562" t="inlineStr">
        <is>
          <t>31.74</t>
        </is>
      </c>
      <c r="T6562" t="inlineStr">
        <is>
          <t>4469705932900</t>
        </is>
      </c>
    </row>
    <row r="6563" ht="87" customHeight="1">
      <c r="A6563" s="2">
        <f>HYPERLINK("https://edmondsonsupply.com/collections/electricians-tools/products/diablo-tools-dmarg1220-s5-5-piece-speedemon%E2%84%A2-red-granite-carbide-tipped-hammer-drill-bit-set", "https://edmondsonsupply.com/collections/electricians-tools/products/diablo-tools-dmarg1220-s5-5-piece-speedemon%E2%84%A2-red-granite-carbide-tipped-hammer-drill-bit-set")</f>
        <v/>
      </c>
      <c r="B6563" s="2">
        <f>HYPERLINK("https://edmondsonsupply.com/products/diablo-tools-dmarg1220-s5-5-piece-speedemon%e2%84%a2-red-granite-carbide-tipped-hammer-drill-bit-set", "https://edmondsonsupply.com/products/diablo-tools-dmarg1220-s5-5-piece-speedemon%e2%84%a2-red-granite-carbide-tipped-hammer-drill-bit-set")</f>
        <v/>
      </c>
      <c r="C6563" t="inlineStr">
        <is>
          <t>Diablo Tools DMARG1220-S5 5 piece SPEEDemon™ Red Granite Carbide Tipped Hammer Drill Bit Set</t>
        </is>
      </c>
      <c r="D6563" t="inlineStr">
        <is>
          <t>Diablo by Freud DMARG1220-S5 5 pc SPEEDemonâ„¢ Red Granite Carbide Tipped Hammer Drill Bit Set (5-Piece)</t>
        </is>
      </c>
      <c r="E6563" s="2">
        <f>HYPERLINK("https://www.amazon.com/Diablo-SPEEDemon-Granite-Carbide-5-Piece/dp/B089LL8JD3/ref=sr_1_1?keywords=Diablo+Tools+DMARG1220-S5+5+piece+SPEEDemon%E2%84%A2+Red+Granite+Carbide+Tipped+Hammer+Drill+Bit+Set&amp;qid=1694735258&amp;sr=8-1", "https://www.amazon.com/Diablo-SPEEDemon-Granite-Carbide-5-Piece/dp/B089LL8JD3/ref=sr_1_1?keywords=Diablo+Tools+DMARG1220-S5+5+piece+SPEEDemon%E2%84%A2+Red+Granite+Carbide+Tipped+Hammer+Drill+Bit+Set&amp;qid=1694735258&amp;sr=8-1")</f>
        <v/>
      </c>
      <c r="F6563" t="inlineStr">
        <is>
          <t>B089LL8JD3</t>
        </is>
      </c>
      <c r="G6563">
        <f>_xlfn.IMAGE("https://edmondsonsupply.com/cdn/shop/products/DMARG1220-S5_Main-Image20200702.png?v=1633030656")</f>
        <v/>
      </c>
      <c r="H6563">
        <f>_xlfn.IMAGE("https://m.media-amazon.com/images/I/61U43N3ajIL._AC_UL320_.jpg")</f>
        <v/>
      </c>
      <c r="K6563" t="inlineStr">
        <is>
          <t>18.97</t>
        </is>
      </c>
      <c r="L6563" t="n">
        <v>16.95</v>
      </c>
      <c r="M6563" s="1" t="inlineStr">
        <is>
          <t>-10.65%</t>
        </is>
      </c>
      <c r="N6563" s="7" t="n"/>
      <c r="O6563" t="n">
        <v>4.6</v>
      </c>
      <c r="P6563" t="n">
        <v>122</v>
      </c>
      <c r="R6563" t="inlineStr">
        <is>
          <t>InStock</t>
        </is>
      </c>
      <c r="S6563" t="inlineStr">
        <is>
          <t>22.18</t>
        </is>
      </c>
      <c r="T6563" t="inlineStr">
        <is>
          <t>5740759515304</t>
        </is>
      </c>
    </row>
    <row r="6564" ht="87" customHeight="1">
      <c r="A6564" s="2">
        <f>HYPERLINK("https://edmondsonsupply.com/collections/electricians-tools/products/klein-tools-19352-conduit-reamer", "https://edmondsonsupply.com/collections/electricians-tools/products/klein-tools-19352-conduit-reamer")</f>
        <v/>
      </c>
      <c r="B6564" s="2">
        <f>HYPERLINK("https://edmondsonsupply.com/products/klein-tools-19352-conduit-reamer", "https://edmondsonsupply.com/products/klein-tools-19352-conduit-reamer")</f>
        <v/>
      </c>
      <c r="C6564" t="inlineStr">
        <is>
          <t>Klein Tools 19352 Conduit Reamer</t>
        </is>
      </c>
      <c r="D6564" t="inlineStr">
        <is>
          <t>Klein Tools 19352 Thin Wall Conduit Reamer for Up to 3/8-Inch Keystone Tip Screwdrivers</t>
        </is>
      </c>
      <c r="E6564" s="2">
        <f>HYPERLINK("https://www.amazon.com/Conduit-Reamer-Klein-Tools-19352/dp/B0002RI56M/ref=sr_1_1?keywords=Klein+Tools+19352+Conduit+Reamer&amp;qid=1694735413&amp;sr=8-1", "https://www.amazon.com/Conduit-Reamer-Klein-Tools-19352/dp/B0002RI56M/ref=sr_1_1?keywords=Klein+Tools+19352+Conduit+Reamer&amp;qid=1694735413&amp;sr=8-1")</f>
        <v/>
      </c>
      <c r="F6564" t="inlineStr">
        <is>
          <t>B0002RI56M</t>
        </is>
      </c>
      <c r="G6564">
        <f>_xlfn.IMAGE("https://edmondsonsupply.com/cdn/shop/products/19352.jpg?v=1587145575")</f>
        <v/>
      </c>
      <c r="H6564">
        <f>_xlfn.IMAGE("https://m.media-amazon.com/images/I/410kTLBZ-AL._AC_UL320_.jpg")</f>
        <v/>
      </c>
      <c r="K6564" t="inlineStr">
        <is>
          <t>18.49</t>
        </is>
      </c>
      <c r="L6564" t="n">
        <v>16.52</v>
      </c>
      <c r="M6564" s="1" t="inlineStr">
        <is>
          <t>-10.65%</t>
        </is>
      </c>
      <c r="N6564" s="7" t="n"/>
      <c r="O6564" t="n">
        <v>4.7</v>
      </c>
      <c r="P6564" t="n">
        <v>393</v>
      </c>
      <c r="R6564" t="inlineStr">
        <is>
          <t>InStock</t>
        </is>
      </c>
      <c r="S6564" t="inlineStr">
        <is>
          <t>27.24</t>
        </is>
      </c>
      <c r="T6564" t="inlineStr">
        <is>
          <t>4385945616484</t>
        </is>
      </c>
    </row>
    <row r="6565" ht="87" customHeight="1">
      <c r="A6565" s="2">
        <f>HYPERLINK("https://edmondsonsupply.com/collections/electricians-tools/products/klein-tools-5416tc-bolt-bag-top-closing-tool-pouch-with-tunnel-connect-5-x-10-x-9-inch", "https://edmondsonsupply.com/collections/electricians-tools/products/klein-tools-5416tc-bolt-bag-top-closing-tool-pouch-with-tunnel-connect-5-x-10-x-9-inch")</f>
        <v/>
      </c>
      <c r="B6565" s="2">
        <f>HYPERLINK("https://edmondsonsupply.com/products/klein-tools-5416tc-bolt-bag-top-closing-tool-pouch-with-tunnel-connect-5-x-10-x-9-inch", "https://edmondsonsupply.com/products/klein-tools-5416tc-bolt-bag-top-closing-tool-pouch-with-tunnel-connect-5-x-10-x-9-inch")</f>
        <v/>
      </c>
      <c r="C6565" t="inlineStr">
        <is>
          <t>Klein Tools 5416TC Bolt Bag, Top Closing Tool Pouch with Tunnel Connect, 5 x 10 x 9-Inch</t>
        </is>
      </c>
      <c r="D6565" t="inlineStr">
        <is>
          <t>Klein Tools 5416TC Tool Bag, Top Closing Bolt Bag with 3-Inch Drawstring, Load Rated with Tunnel Connect, 5 x 10 x 9-Inch</t>
        </is>
      </c>
      <c r="E6565" s="2">
        <f>HYPERLINK("https://www.amazon.com/Closing-Bolt-Klein-Tools-5416TC/dp/B00C0Z1YVW/ref=sr_1_1?keywords=Klein+Tools+5416TC+Bolt+Bag%2C+Top+Closing+Tool+Pouch+with+Tunnel+Connect%2C+5+x+10+x+9-Inch&amp;qid=1694735257&amp;sr=8-1", "https://www.amazon.com/Closing-Bolt-Klein-Tools-5416TC/dp/B00C0Z1YVW/ref=sr_1_1?keywords=Klein+Tools+5416TC+Bolt+Bag%2C+Top+Closing+Tool+Pouch+with+Tunnel+Connect%2C+5+x+10+x+9-Inch&amp;qid=1694735257&amp;sr=8-1")</f>
        <v/>
      </c>
      <c r="F6565" t="inlineStr">
        <is>
          <t>B00C0Z1YVW</t>
        </is>
      </c>
      <c r="G6565">
        <f>_xlfn.IMAGE("https://edmondsonsupply.com/cdn/shop/products/5416tc.jpg?v=1633030625")</f>
        <v/>
      </c>
      <c r="H6565">
        <f>_xlfn.IMAGE("https://m.media-amazon.com/images/I/61aDqYITs+L._AC_UL320_.jpg")</f>
        <v/>
      </c>
      <c r="K6565" t="inlineStr">
        <is>
          <t>29.37</t>
        </is>
      </c>
      <c r="L6565" t="n">
        <v>26.22</v>
      </c>
      <c r="M6565" s="1" t="inlineStr">
        <is>
          <t>-10.73%</t>
        </is>
      </c>
      <c r="N6565" s="7" t="n"/>
      <c r="O6565" t="n">
        <v>4.7</v>
      </c>
      <c r="P6565" t="n">
        <v>324</v>
      </c>
      <c r="R6565" t="inlineStr">
        <is>
          <t>InStock</t>
        </is>
      </c>
      <c r="S6565" t="inlineStr">
        <is>
          <t>46.6</t>
        </is>
      </c>
      <c r="T6565" t="inlineStr">
        <is>
          <t>5661413802152</t>
        </is>
      </c>
    </row>
    <row r="6566" ht="87" customHeight="1">
      <c r="A6566" s="2">
        <f>HYPERLINK("https://edmondsonsupply.com/collections/electricians-tools/products/milwaukee-48-22-0225m-25ft-wide-blade-magnetic-tape-measure", "https://edmondsonsupply.com/collections/electricians-tools/products/milwaukee-48-22-0225m-25ft-wide-blade-magnetic-tape-measure")</f>
        <v/>
      </c>
      <c r="B6566" s="2">
        <f>HYPERLINK("https://edmondsonsupply.com/products/milwaukee-48-22-0225m-25ft-wide-blade-magnetic-tape-measure", "https://edmondsonsupply.com/products/milwaukee-48-22-0225m-25ft-wide-blade-magnetic-tape-measure")</f>
        <v/>
      </c>
      <c r="C6566" t="inlineStr">
        <is>
          <t>Milwaukee 48-22-0225M 25ft Wide Blade Magnetic Tape Measure</t>
        </is>
      </c>
      <c r="D6566" t="inlineStr">
        <is>
          <t>Milwaukee 48-22-0216M 16 ft. x 1.3 in. Wide Blade Magnetic Tape Measure</t>
        </is>
      </c>
      <c r="E6566" s="2">
        <f>HYPERLINK("https://www.amazon.com/Milwaukee-48-22-0216M-Blade-Magnetic-Measure/dp/B08HTR7W3W/ref=sr_1_7?keywords=Milwaukee+48-22-0225M+25ft+Wide+Blade+Magnetic+Tape+Measure&amp;qid=1694735418&amp;sr=8-7", "https://www.amazon.com/Milwaukee-48-22-0216M-Blade-Magnetic-Measure/dp/B08HTR7W3W/ref=sr_1_7?keywords=Milwaukee+48-22-0225M+25ft+Wide+Blade+Magnetic+Tape+Measure&amp;qid=1694735418&amp;sr=8-7")</f>
        <v/>
      </c>
      <c r="F6566" t="inlineStr">
        <is>
          <t>B08HTR7W3W</t>
        </is>
      </c>
      <c r="G6566">
        <f>_xlfn.IMAGE("https://edmondsonsupply.com/cdn/shop/products/48-22-0225M_1.png?v=1587147399")</f>
        <v/>
      </c>
      <c r="H6566">
        <f>_xlfn.IMAGE("https://m.media-amazon.com/images/I/81dmpPAn8zL._AC_UL320_.jpg")</f>
        <v/>
      </c>
      <c r="K6566" t="inlineStr">
        <is>
          <t>27.97</t>
        </is>
      </c>
      <c r="L6566" t="n">
        <v>24.97</v>
      </c>
      <c r="M6566" s="1" t="inlineStr">
        <is>
          <t>-10.73%</t>
        </is>
      </c>
      <c r="N6566" s="7" t="n"/>
      <c r="O6566" t="n">
        <v>4.4</v>
      </c>
      <c r="P6566" t="n">
        <v>106</v>
      </c>
      <c r="R6566" t="inlineStr">
        <is>
          <t>InStock</t>
        </is>
      </c>
      <c r="S6566" t="inlineStr">
        <is>
          <t>41.0</t>
        </is>
      </c>
      <c r="T6566" t="inlineStr">
        <is>
          <t>4377800835172</t>
        </is>
      </c>
    </row>
    <row r="6567" ht="87" customHeight="1">
      <c r="A6567" s="2">
        <f>HYPERLINK("https://edmondsonsupply.com/collections/electricians-tools/products/klein-tools-56383-multi-groove-fiberglass-fish-tape-with-nylon-tip-100-foot", "https://edmondsonsupply.com/collections/electricians-tools/products/klein-tools-56383-multi-groove-fiberglass-fish-tape-with-nylon-tip-100-foot")</f>
        <v/>
      </c>
      <c r="B6567" s="2">
        <f>HYPERLINK("https://edmondsonsupply.com/products/klein-tools-56383-multi-groove-fiberglass-fish-tape-with-nylon-tip-100-foot", "https://edmondsonsupply.com/products/klein-tools-56383-multi-groove-fiberglass-fish-tape-with-nylon-tip-100-foot")</f>
        <v/>
      </c>
      <c r="C6567" t="inlineStr">
        <is>
          <t>Klein Tools 56383 Multi-Groove Fiberglass Fish Tape with Nylon Tip, 100-Foot</t>
        </is>
      </c>
      <c r="D6567" t="inlineStr">
        <is>
          <t>Klein Tools 56383 Non-Conductive 100-Foot Electrical Fish Tape, Multi-Groove Fiberglass Wire Puller with Nylon Tip, Optimized Housing and Handle</t>
        </is>
      </c>
      <c r="E6567" s="2">
        <f>HYPERLINK("https://www.amazon.com/Klein-Tools-56383-Multi-Groove-Fiberglass/dp/B08222VGN8/ref=sr_1_1?keywords=Klein+Tools+56383+Multi-Groove+Fiberglass+Fish+Tape+with+Nylon+Tip%2C+100-Foot&amp;qid=1694735384&amp;sr=8-1", "https://www.amazon.com/Klein-Tools-56383-Multi-Groove-Fiberglass/dp/B08222VGN8/ref=sr_1_1?keywords=Klein+Tools+56383+Multi-Groove+Fiberglass+Fish+Tape+with+Nylon+Tip%2C+100-Foot&amp;qid=1694735384&amp;sr=8-1")</f>
        <v/>
      </c>
      <c r="F6567" t="inlineStr">
        <is>
          <t>B08222VGN8</t>
        </is>
      </c>
      <c r="G6567">
        <f>_xlfn.IMAGE("https://edmondsonsupply.com/cdn/shop/products/56383.jpg?v=1587146648")</f>
        <v/>
      </c>
      <c r="H6567">
        <f>_xlfn.IMAGE("https://m.media-amazon.com/images/I/51Fs1Kjrk8L._AC_UL320_.jpg")</f>
        <v/>
      </c>
      <c r="K6567" t="inlineStr">
        <is>
          <t>119.99</t>
        </is>
      </c>
      <c r="L6567" t="n">
        <v>106.99</v>
      </c>
      <c r="M6567" s="1" t="inlineStr">
        <is>
          <t>-10.83%</t>
        </is>
      </c>
      <c r="N6567" s="7" t="n"/>
      <c r="O6567" t="n">
        <v>4.7</v>
      </c>
      <c r="P6567" t="n">
        <v>135</v>
      </c>
      <c r="R6567" t="inlineStr">
        <is>
          <t>InStock</t>
        </is>
      </c>
      <c r="S6567" t="inlineStr">
        <is>
          <t>175.26</t>
        </is>
      </c>
      <c r="T6567" t="inlineStr">
        <is>
          <t>4412586262628</t>
        </is>
      </c>
    </row>
    <row r="6568" ht="87" customHeight="1">
      <c r="A6568" s="2">
        <f>HYPERLINK("https://edmondsonsupply.com/collections/electricians-tools/products/greenlee-k2bb-1-1-conduit-size-slug-buster%C2%AE-manual-knockout-set", "https://edmondsonsupply.com/collections/electricians-tools/products/greenlee-k2bb-1-1-conduit-size-slug-buster%C2%AE-manual-knockout-set")</f>
        <v/>
      </c>
      <c r="B6568" s="2">
        <f>HYPERLINK("https://edmondsonsupply.com/products/greenlee-k2bb-1-1-conduit-size-slug-buster%c2%ae-manual-knockout-set", "https://edmondsonsupply.com/products/greenlee-k2bb-1-1-conduit-size-slug-buster%c2%ae-manual-knockout-set")</f>
        <v/>
      </c>
      <c r="C6568" t="inlineStr">
        <is>
          <t>Greenlee K2BB-1 1" Conduit Size Slug-Buster® Manual Knockout Set</t>
        </is>
      </c>
      <c r="D6568" t="inlineStr">
        <is>
          <t>Greenlee, K2BB-1 replaces 7211BB-1, 1" Conduit Size Slug-Buster Manual Knockout Set</t>
        </is>
      </c>
      <c r="E6568" s="2">
        <f>HYPERLINK("https://www.amazon.com/Greenlee-K2BB-1-Knockout-Set/dp/B07Y5SSMDN/ref=sr_1_1?keywords=Greenlee+K2BB-1+1%22+Conduit+Size+Slug-Buster%C2%AE+Manual+Knockout+Set&amp;qid=1694735360&amp;sr=8-1", "https://www.amazon.com/Greenlee-K2BB-1-Knockout-Set/dp/B07Y5SSMDN/ref=sr_1_1?keywords=Greenlee+K2BB-1+1%22+Conduit+Size+Slug-Buster%C2%AE+Manual+Knockout+Set&amp;qid=1694735360&amp;sr=8-1")</f>
        <v/>
      </c>
      <c r="F6568" t="inlineStr">
        <is>
          <t>B07Y5SSMDN</t>
        </is>
      </c>
      <c r="G6568">
        <f>_xlfn.IMAGE("https://edmondsonsupply.com/cdn/shop/products/K2BB-1-ASM.jpg?v=1587151444")</f>
        <v/>
      </c>
      <c r="H6568">
        <f>_xlfn.IMAGE("https://m.media-amazon.com/images/I/71NhvheGucL._AC_UL320_.jpg")</f>
        <v/>
      </c>
      <c r="K6568" t="inlineStr">
        <is>
          <t>92.5</t>
        </is>
      </c>
      <c r="L6568" t="n">
        <v>82.34999999999999</v>
      </c>
      <c r="M6568" s="1" t="inlineStr">
        <is>
          <t>-10.97%</t>
        </is>
      </c>
      <c r="N6568" s="7" t="n"/>
      <c r="O6568" t="n">
        <v>5</v>
      </c>
      <c r="P6568" t="n">
        <v>2</v>
      </c>
      <c r="R6568" t="inlineStr">
        <is>
          <t>InStock</t>
        </is>
      </c>
      <c r="S6568" t="inlineStr">
        <is>
          <t>92.5</t>
        </is>
      </c>
      <c r="T6568" t="inlineStr">
        <is>
          <t>4431424553060</t>
        </is>
      </c>
    </row>
    <row r="6569" ht="87" customHeight="1">
      <c r="A6569" s="2">
        <f>HYPERLINK("https://edmondsonsupply.com/collections/electricians-tools/products/klein-tools-2139nerins-insulated-pliers-side-cutters-9-inch", "https://edmondsonsupply.com/collections/electricians-tools/products/klein-tools-2139nerins-insulated-pliers-side-cutters-9-inch")</f>
        <v/>
      </c>
      <c r="B6569" s="2">
        <f>HYPERLINK("https://edmondsonsupply.com/products/klein-tools-2139nerins-insulated-pliers-side-cutters-9-inch", "https://edmondsonsupply.com/products/klein-tools-2139nerins-insulated-pliers-side-cutters-9-inch")</f>
        <v/>
      </c>
      <c r="C6569" t="inlineStr">
        <is>
          <t>Klein Tools 2139NERINS Insulated Pliers, Side Cutters, 9-Inch</t>
        </is>
      </c>
      <c r="D6569" t="inlineStr">
        <is>
          <t>Klein Tools D201-7CST Ironworker Pliers, Spring Loaded Side Cutters, Twists and Cuts Annealed Rebar Tie Wire, Heavy-duty Knurled Jaws, 9-Inch Long</t>
        </is>
      </c>
      <c r="E6569" s="2">
        <f>HYPERLINK("https://www.amazon.com/Ironworker-Cutters-Klein-Tools-D201-7CST/dp/B0000302WO/ref=sr_1_30?keywords=Klein+Tools+2139NERINS+Insulated+Pliers%2C+Side+Cutters%2C+9-Inch&amp;qid=1694735098&amp;sr=8-30", "https://www.amazon.com/Ironworker-Cutters-Klein-Tools-D201-7CST/dp/B0000302WO/ref=sr_1_30?keywords=Klein+Tools+2139NERINS+Insulated+Pliers%2C+Side+Cutters%2C+9-Inch&amp;qid=1694735098&amp;sr=8-30")</f>
        <v/>
      </c>
      <c r="F6569" t="inlineStr">
        <is>
          <t>B0000302WO</t>
        </is>
      </c>
      <c r="G6569">
        <f>_xlfn.IMAGE("https://edmondsonsupply.com/cdn/shop/products/2139nerins.jpg?v=1667237928")</f>
        <v/>
      </c>
      <c r="H6569">
        <f>_xlfn.IMAGE("https://m.media-amazon.com/images/I/41zFQhOjmsL._AC_UL320_.jpg")</f>
        <v/>
      </c>
      <c r="K6569" t="inlineStr">
        <is>
          <t>44.97</t>
        </is>
      </c>
      <c r="L6569" t="n">
        <v>39.99</v>
      </c>
      <c r="M6569" s="1" t="inlineStr">
        <is>
          <t>-11.07%</t>
        </is>
      </c>
      <c r="N6569" s="7" t="n"/>
      <c r="O6569" t="n">
        <v>4.6</v>
      </c>
      <c r="P6569" t="n">
        <v>530</v>
      </c>
      <c r="R6569" t="inlineStr">
        <is>
          <t>InStock</t>
        </is>
      </c>
      <c r="S6569" t="inlineStr">
        <is>
          <t>62.98</t>
        </is>
      </c>
      <c r="T6569" t="inlineStr">
        <is>
          <t>7871534235864</t>
        </is>
      </c>
    </row>
    <row r="6570" hidden="1" ht="15.75" customHeight="1">
      <c r="A6570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6570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6570" t="inlineStr">
        <is>
          <t>Klein Tools 630-3/8 3/8-Inch Nut Driver with 3-Inch Hollow Shaft</t>
        </is>
      </c>
      <c r="D6570" t="inlineStr">
        <is>
          <t>Valley 3/8-Inch Hollow Shank Nut Driver with Soft-Touch Handle, DRINS-38P - Sold by Ucostore Only</t>
        </is>
      </c>
      <c r="E6570" s="2">
        <f>HYPERLINK("https://www.amazon.com/Valley-8-Inch-Hollow-Soft-Touch-DRINS-38P/dp/B075G44HXG/ref=sr_1_22?keywords=Klein+Tools+630-3%2F8+3%2F8-Inch+Nut+Driver+with+3-Inch+Hollow+Shaft&amp;qid=1694735236&amp;sr=8-22", "https://www.amazon.com/Valley-8-Inch-Hollow-Soft-Touch-DRINS-38P/dp/B075G44HXG/ref=sr_1_22?keywords=Klein+Tools+630-3%2F8+3%2F8-Inch+Nut+Driver+with+3-Inch+Hollow+Shaft&amp;qid=1694735236&amp;sr=8-22")</f>
        <v/>
      </c>
      <c r="F6570" t="inlineStr">
        <is>
          <t>B075G44HXG</t>
        </is>
      </c>
      <c r="G6570">
        <f>_xludf.IMAGE("https://edmondsonsupply.com/cdn/shop/products/630-1-2_e23f9fbd-a282-44d7-b743-2cfe0f84edfa.jpg?v=1633030906")</f>
        <v/>
      </c>
      <c r="H6570">
        <f>_xludf.IMAGE("https://m.media-amazon.com/images/I/31o89IhfaCL._AC_UL320_.jpg")</f>
        <v/>
      </c>
      <c r="K6570" t="inlineStr">
        <is>
          <t>8.99</t>
        </is>
      </c>
      <c r="L6570" t="n">
        <v>7.99</v>
      </c>
      <c r="M6570" s="1" t="inlineStr">
        <is>
          <t>-11.12%</t>
        </is>
      </c>
      <c r="N6570" s="1" t="n"/>
      <c r="O6570" t="n">
        <v>3.5</v>
      </c>
      <c r="P6570" t="n">
        <v>8</v>
      </c>
      <c r="R6570" t="inlineStr">
        <is>
          <t>InStock</t>
        </is>
      </c>
      <c r="S6570" t="inlineStr">
        <is>
          <t>11.74</t>
        </is>
      </c>
      <c r="T6570" t="inlineStr">
        <is>
          <t>6244382376109</t>
        </is>
      </c>
    </row>
    <row r="6571" hidden="1" ht="15.75" customHeight="1">
      <c r="A6571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6571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6571" t="inlineStr">
        <is>
          <t>Klein Tools 630-1/4 1/4-Inch Nut Driver 3-Inch Shaft Cushion Grip</t>
        </is>
      </c>
      <c r="D6571" t="inlineStr">
        <is>
          <t>Klein Tools S86 1/4-Inch Nut Driver with 6-Inch Hollow Shaft and Comfordome Handle</t>
        </is>
      </c>
      <c r="E6571" s="2">
        <f>HYPERLINK("https://www.amazon.com/4-Inch-Comfordome-Klein-Tools-S86/dp/B00093GCWS/ref=sr_1_13?keywords=Klein+Tools+630-1%2F4+1%2F4-Inch+Nut+Driver+3-Inch+Shaft+Cushion+Grip&amp;qid=1694735346&amp;sr=8-13", "https://www.amazon.com/4-Inch-Comfordome-Klein-Tools-S86/dp/B00093GCWS/ref=sr_1_13?keywords=Klein+Tools+630-1%2F4+1%2F4-Inch+Nut+Driver+3-Inch+Shaft+Cushion+Grip&amp;qid=1694735346&amp;sr=8-13")</f>
        <v/>
      </c>
      <c r="F6571" t="inlineStr">
        <is>
          <t>B00093GCWS</t>
        </is>
      </c>
      <c r="G6571">
        <f>_xludf.IMAGE("https://edmondsonsupply.com/cdn/shop/products/630-1-2_4777cf99-f2bc-4f84-bc42-7e765e2a9c37.jpg?v=1587150448")</f>
        <v/>
      </c>
      <c r="H6571">
        <f>_xludf.IMAGE("https://m.media-amazon.com/images/I/41UucnuSAmL._AC_UL320_.jpg")</f>
        <v/>
      </c>
      <c r="K6571" t="inlineStr">
        <is>
          <t>8.99</t>
        </is>
      </c>
      <c r="L6571" t="n">
        <v>7.99</v>
      </c>
      <c r="M6571" s="1" t="inlineStr">
        <is>
          <t>-11.12%</t>
        </is>
      </c>
      <c r="N6571" s="1" t="n"/>
      <c r="O6571" t="n">
        <v>4.5</v>
      </c>
      <c r="P6571" t="n">
        <v>151</v>
      </c>
      <c r="R6571" t="inlineStr">
        <is>
          <t>InStock</t>
        </is>
      </c>
      <c r="S6571" t="inlineStr">
        <is>
          <t>11.36</t>
        </is>
      </c>
      <c r="T6571" t="inlineStr">
        <is>
          <t>4490760355940</t>
        </is>
      </c>
    </row>
    <row r="6572" ht="87" customHeight="1">
      <c r="A6572" s="2">
        <f>HYPERLINK("https://edmondsonsupply.com/collections/electricians-tools/products/fluke-tlk287", "https://edmondsonsupply.com/collections/electricians-tools/products/fluke-tlk287")</f>
        <v/>
      </c>
      <c r="B6572" s="2">
        <f>HYPERLINK("https://edmondsonsupply.com/products/fluke-tlk287", "https://edmondsonsupply.com/products/fluke-tlk287")</f>
        <v/>
      </c>
      <c r="C6572" t="inlineStr">
        <is>
          <t>Fluke TLK287 Electronics Master Test Lead Set</t>
        </is>
      </c>
      <c r="D6572" t="inlineStr">
        <is>
          <t>Fluke TLK287 Electronics Master Test Lead Set</t>
        </is>
      </c>
      <c r="E6572" s="2">
        <f>HYPERLINK("https://www.amazon.com/Fluke-TLK287-Electronics-Master-Test/dp/B003AHE96G/ref=sr_1_1?keywords=Fluke+TLK287+Electronics+Master+Test+Lead+Set&amp;qid=1694735323&amp;sr=8-1", "https://www.amazon.com/Fluke-TLK287-Electronics-Master-Test/dp/B003AHE96G/ref=sr_1_1?keywords=Fluke+TLK287+Electronics+Master+Test+Lead+Set&amp;qid=1694735323&amp;sr=8-1")</f>
        <v/>
      </c>
      <c r="F6572" t="inlineStr">
        <is>
          <t>B003AHE96G</t>
        </is>
      </c>
      <c r="G6572">
        <f>_xlfn.IMAGE("https://edmondsonsupply.com/cdn/shop/products/tlk287.jpg?v=1589822207")</f>
        <v/>
      </c>
      <c r="H6572">
        <f>_xlfn.IMAGE("https://m.media-amazon.com/images/I/61JEjFCnhtL._AC_UY218_.jpg")</f>
        <v/>
      </c>
      <c r="K6572" t="inlineStr">
        <is>
          <t>199.49</t>
        </is>
      </c>
      <c r="L6572" t="n">
        <v>177.29</v>
      </c>
      <c r="M6572" s="1" t="inlineStr">
        <is>
          <t>-11.13%</t>
        </is>
      </c>
      <c r="N6572" s="7" t="n"/>
      <c r="O6572" t="n">
        <v>4.6</v>
      </c>
      <c r="P6572" t="n">
        <v>91</v>
      </c>
      <c r="R6572" t="inlineStr">
        <is>
          <t>InStock</t>
        </is>
      </c>
      <c r="S6572" t="inlineStr">
        <is>
          <t>209.99</t>
        </is>
      </c>
      <c r="T6572" t="inlineStr">
        <is>
          <t>5238373318824</t>
        </is>
      </c>
    </row>
    <row r="6573" hidden="1" ht="15.75" customHeight="1">
      <c r="A6573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6573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6573" t="inlineStr">
        <is>
          <t>Klein Tools JTH9E08 1/8-Inch Hex Key with Journeyman T-Handle, 9-Inch</t>
        </is>
      </c>
      <c r="D6573" t="inlineStr">
        <is>
          <t>Klein Tools JTH6M3 3 mm Hex Key with Journeyman T-Handle, 6-Inch</t>
        </is>
      </c>
      <c r="E6573" s="2">
        <f>HYPERLINK("https://www.amazon.com/Journeyman-T-Handle-Klein-Tools-JTH6M3/dp/B005G394RG/ref=sr_1_15?keywords=Klein+Tools+JTH9E08+1%2F8-Inch+Hex+Key+with+Journeyman+T-Handle%2C+9-Inch&amp;qid=1694735421&amp;sr=8-15", "https://www.amazon.com/Journeyman-T-Handle-Klein-Tools-JTH6M3/dp/B005G394RG/ref=sr_1_15?keywords=Klein+Tools+JTH9E08+1%2F8-Inch+Hex+Key+with+Journeyman+T-Handle%2C+9-Inch&amp;qid=1694735421&amp;sr=8-15")</f>
        <v/>
      </c>
      <c r="F6573" t="inlineStr">
        <is>
          <t>B005G394RG</t>
        </is>
      </c>
      <c r="G6573">
        <f>_xludf.IMAGE("https://edmondsonsupply.com/cdn/shop/products/jth6e15_f2733d2c-ab65-41d7-8597-f1dfd8fcaabf.jpg?v=1587142807")</f>
        <v/>
      </c>
      <c r="H6573">
        <f>_xludf.IMAGE("https://m.media-amazon.com/images/I/51+1x0vz9XL._AC_UL320_.jpg")</f>
        <v/>
      </c>
      <c r="K6573" t="inlineStr">
        <is>
          <t>4.49</t>
        </is>
      </c>
      <c r="L6573" t="n">
        <v>3.99</v>
      </c>
      <c r="M6573" s="1" t="inlineStr">
        <is>
          <t>-11.14%</t>
        </is>
      </c>
      <c r="N6573" s="1" t="n"/>
      <c r="O6573" t="n">
        <v>4.7</v>
      </c>
      <c r="P6573" t="n">
        <v>358</v>
      </c>
      <c r="R6573" t="inlineStr">
        <is>
          <t>InStock</t>
        </is>
      </c>
      <c r="S6573" t="inlineStr">
        <is>
          <t>6.82</t>
        </is>
      </c>
      <c r="T6573" t="inlineStr">
        <is>
          <t>4352186810468</t>
        </is>
      </c>
    </row>
    <row r="6574" hidden="1" ht="15.75" customHeight="1">
      <c r="A6574" s="2">
        <f>HYPERLINK("https://edmondsonsupply.com/collections/electricians-tools/products/klein-tools-jth9m3-3-mm-hex-key-with-journeyman-t-handle-9-inch", "https://edmondsonsupply.com/collections/electricians-tools/products/klein-tools-jth9m3-3-mm-hex-key-with-journeyman-t-handle-9-inch")</f>
        <v/>
      </c>
      <c r="B6574" s="2">
        <f>HYPERLINK("https://edmondsonsupply.com/products/klein-tools-jth9m3-3-mm-hex-key-with-journeyman-t-handle-9-inch", "https://edmondsonsupply.com/products/klein-tools-jth9m3-3-mm-hex-key-with-journeyman-t-handle-9-inch")</f>
        <v/>
      </c>
      <c r="C6574" t="inlineStr">
        <is>
          <t>Klein Tools JTH9M3 3 mm Hex Key with Journeyman T-Handle, 9-Inch</t>
        </is>
      </c>
      <c r="D6574" t="inlineStr">
        <is>
          <t>Klein Tools JTH6M3 3 mm Hex Key with Journeyman T-Handle, 6-Inch</t>
        </is>
      </c>
      <c r="E6574" s="2">
        <f>HYPERLINK("https://www.amazon.com/Journeyman-T-Handle-Klein-Tools-JTH6M3/dp/B005G394RG/ref=sr_1_4?keywords=Klein+Tools+JTH9M3+3+mm+Hex+Key+with+Journeyman+T-Handle%2C+9-Inch&amp;qid=1694735249&amp;sr=8-4", "https://www.amazon.com/Journeyman-T-Handle-Klein-Tools-JTH6M3/dp/B005G394RG/ref=sr_1_4?keywords=Klein+Tools+JTH9M3+3+mm+Hex+Key+with+Journeyman+T-Handle%2C+9-Inch&amp;qid=1694735249&amp;sr=8-4")</f>
        <v/>
      </c>
      <c r="F6574" t="inlineStr">
        <is>
          <t>B005G394RG</t>
        </is>
      </c>
      <c r="G6574">
        <f>_xludf.IMAGE("https://edmondsonsupply.com/cdn/shop/products/jth9m.jpg?v=1633030702")</f>
        <v/>
      </c>
      <c r="H6574">
        <f>_xludf.IMAGE("https://m.media-amazon.com/images/I/51+1x0vz9XL._AC_UL320_.jpg")</f>
        <v/>
      </c>
      <c r="K6574" t="inlineStr">
        <is>
          <t>4.49</t>
        </is>
      </c>
      <c r="L6574" t="n">
        <v>3.99</v>
      </c>
      <c r="M6574" s="1" t="inlineStr">
        <is>
          <t>-11.14%</t>
        </is>
      </c>
      <c r="N6574" s="1" t="n"/>
      <c r="O6574" t="n">
        <v>4.7</v>
      </c>
      <c r="P6574" t="n">
        <v>358</v>
      </c>
      <c r="R6574" t="inlineStr">
        <is>
          <t>InStock</t>
        </is>
      </c>
      <c r="S6574" t="inlineStr">
        <is>
          <t>6.82</t>
        </is>
      </c>
      <c r="T6574" t="inlineStr">
        <is>
          <t>5848344035496</t>
        </is>
      </c>
    </row>
    <row r="6575" hidden="1" ht="15.75" customHeight="1">
      <c r="A6575" s="2">
        <f>HYPERLINK("https://edmondsonsupply.com/collections/electricians-tools/products/klein-tools-jth9m5-4-mm-hex-key-journeyman-t-handle-9-inch", "https://edmondsonsupply.com/collections/electricians-tools/products/klein-tools-jth9m5-4-mm-hex-key-journeyman-t-handle-9-inch")</f>
        <v/>
      </c>
      <c r="B6575" s="2">
        <f>HYPERLINK("https://edmondsonsupply.com/products/klein-tools-jth9m5-4-mm-hex-key-journeyman-t-handle-9-inch", "https://edmondsonsupply.com/products/klein-tools-jth9m5-4-mm-hex-key-journeyman-t-handle-9-inch")</f>
        <v/>
      </c>
      <c r="C6575" t="inlineStr">
        <is>
          <t>Klein Tools JTH9M4 4 mm Hex Key, Journeyman T-Handle, 9-Inch</t>
        </is>
      </c>
      <c r="D6575" t="inlineStr">
        <is>
          <t>Klein Tools JTH6M4 4 mm Hex Key, Journeyman T-Handle, 6-Inch</t>
        </is>
      </c>
      <c r="E6575" s="2">
        <f>HYPERLINK("https://www.amazon.com/Journeyman-T-Handle-Klein-Tools-JTH6M4/dp/B005G394YO/ref=sr_1_3?keywords=Klein+Tools+JTH9M4+4+mm+Hex+Key%2C+Journeyman+T-Handle%2C+9-Inch&amp;qid=1694735170&amp;sr=8-3", "https://www.amazon.com/Journeyman-T-Handle-Klein-Tools-JTH6M4/dp/B005G394YO/ref=sr_1_3?keywords=Klein+Tools+JTH9M4+4+mm+Hex+Key%2C+Journeyman+T-Handle%2C+9-Inch&amp;qid=1694735170&amp;sr=8-3")</f>
        <v/>
      </c>
      <c r="F6575" t="inlineStr">
        <is>
          <t>B005G394YO</t>
        </is>
      </c>
      <c r="G6575">
        <f>_xludf.IMAGE("https://edmondsonsupply.com/cdn/shop/products/jth9m_fa8a641d-d03f-4191-ab24-b9045963e4f7.jpg?v=1640191121")</f>
        <v/>
      </c>
      <c r="H6575">
        <f>_xludf.IMAGE("https://m.media-amazon.com/images/I/51+1x0vz9XL._AC_UL320_.jpg")</f>
        <v/>
      </c>
      <c r="K6575" t="inlineStr">
        <is>
          <t>4.49</t>
        </is>
      </c>
      <c r="L6575" t="n">
        <v>3.99</v>
      </c>
      <c r="M6575" s="1" t="inlineStr">
        <is>
          <t>-11.14%</t>
        </is>
      </c>
      <c r="N6575" s="1" t="n"/>
      <c r="O6575" t="n">
        <v>4.7</v>
      </c>
      <c r="P6575" t="n">
        <v>1530</v>
      </c>
      <c r="R6575" t="inlineStr">
        <is>
          <t>InStock</t>
        </is>
      </c>
      <c r="S6575" t="inlineStr">
        <is>
          <t>6.8</t>
        </is>
      </c>
      <c r="T6575" t="inlineStr">
        <is>
          <t>7555980656856</t>
        </is>
      </c>
    </row>
    <row r="6576" hidden="1" ht="15.75" customHeight="1">
      <c r="A6576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6576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6576" t="inlineStr">
        <is>
          <t>Diablo Tools DMARG1160 1/2 in. x 10 in. x 12 in. SPEEDemon™ Red Granite Carbide Tipped Hammer Drill Bit</t>
        </is>
      </c>
      <c r="D6576" t="inlineStr">
        <is>
          <t>Diablo DMARG1130 3/8 in. x 10 in. x 12 in. SPEEDemon™ Red Granite Carbide Tipped Hammer Drill Bit</t>
        </is>
      </c>
      <c r="E6576" s="2">
        <f>HYPERLINK("https://www.amazon.com/Diablo-DMARG1130-SPEEDemon-Granite-Carbide/dp/B089LKXD73/ref=sr_1_6?keywords=Diablo+Tools+DMARG1160+1%2F2+in.+x+10+in.+x+12+in.+SPEEDemon%E2%84%A2+Red+Granite+Carbide+Tipped+Hammer+Drill+Bit&amp;qid=1694735262&amp;sr=8-6", "https://www.amazon.com/Diablo-DMARG1130-SPEEDemon-Granite-Carbide/dp/B089LKXD73/ref=sr_1_6?keywords=Diablo+Tools+DMARG1160+1%2F2+in.+x+10+in.+x+12+in.+SPEEDemon%E2%84%A2+Red+Granite+Carbide+Tipped+Hammer+Drill+Bit&amp;qid=1694735262&amp;sr=8-6")</f>
        <v/>
      </c>
      <c r="F6576" t="inlineStr">
        <is>
          <t>B089LKXD73</t>
        </is>
      </c>
      <c r="G6576">
        <f>_xludf.IMAGE("https://edmondsonsupply.com/cdn/shop/products/DMARG1160_Main-Image20200513.png?v=1633030651")</f>
        <v/>
      </c>
      <c r="H6576">
        <f>_xludf.IMAGE("https://m.media-amazon.com/images/I/61atP0vUShL._AC_UL320_.jpg")</f>
        <v/>
      </c>
      <c r="K6576" t="inlineStr">
        <is>
          <t>15.97</t>
        </is>
      </c>
      <c r="L6576" t="n">
        <v>14.19</v>
      </c>
      <c r="M6576" s="1" t="inlineStr">
        <is>
          <t>-11.15%</t>
        </is>
      </c>
      <c r="N6576" s="1" t="n"/>
      <c r="O6576" t="n">
        <v>4.8</v>
      </c>
      <c r="P6576" t="n">
        <v>11</v>
      </c>
      <c r="R6576" t="inlineStr">
        <is>
          <t>InStock</t>
        </is>
      </c>
      <c r="S6576" t="inlineStr">
        <is>
          <t>undefined</t>
        </is>
      </c>
      <c r="T6576" t="inlineStr">
        <is>
          <t>5740401164456</t>
        </is>
      </c>
    </row>
    <row r="6577" ht="87" customHeight="1">
      <c r="A6577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6577" s="2">
        <f>HYPERLINK("https://edmondsonsupply.com/products/klein-tools-vdv500-123-probe-pro-tracing-probe", "https://edmondsonsupply.com/products/klein-tools-vdv500-123-probe-pro-tracing-probe")</f>
        <v/>
      </c>
      <c r="C6577" t="inlineStr">
        <is>
          <t>Klein Tools VDV500-123 Probe-PRO Tracing Probe</t>
        </is>
      </c>
      <c r="D6577" t="inlineStr">
        <is>
          <t>Klein Tools VDV500-705 Tone Generator and Probe Kit, Wire Tracer and Tester with Probe Includes Alligator Clips and RJ11 / RJ12 / RJ45 Plug</t>
        </is>
      </c>
      <c r="E6577" s="2">
        <f>HYPERLINK("https://www.amazon.com/Klein-Tools-VDV500-705-Generator-Alligator/dp/B084LKVBM5/ref=sr_1_16?keywords=Klein+Tools+VDV500-123+Probe-PRO+Tracing+Probe&amp;qid=1694734977&amp;sr=8-16", "https://www.amazon.com/Klein-Tools-VDV500-705-Generator-Alligator/dp/B084LKVBM5/ref=sr_1_16?keywords=Klein+Tools+VDV500-123+Probe-PRO+Tracing+Probe&amp;qid=1694734977&amp;sr=8-16")</f>
        <v/>
      </c>
      <c r="F6577" t="inlineStr">
        <is>
          <t>B084LKVBM5</t>
        </is>
      </c>
      <c r="G6577">
        <f>_xlfn.IMAGE("https://edmondsonsupply.com/cdn/shop/products/vdv500123.jpg?v=1587142783")</f>
        <v/>
      </c>
      <c r="H6577">
        <f>_xlfn.IMAGE("https://m.media-amazon.com/images/I/618N66F611L._AC_UY218_.jpg")</f>
        <v/>
      </c>
      <c r="K6577" t="inlineStr">
        <is>
          <t>44.99</t>
        </is>
      </c>
      <c r="L6577" t="n">
        <v>39.97</v>
      </c>
      <c r="M6577" s="1" t="inlineStr">
        <is>
          <t>-11.16%</t>
        </is>
      </c>
      <c r="N6577" s="7" t="n"/>
      <c r="O6577" t="n">
        <v>4.4</v>
      </c>
      <c r="P6577" t="n">
        <v>238</v>
      </c>
      <c r="R6577" t="inlineStr">
        <is>
          <t>InStock</t>
        </is>
      </c>
      <c r="S6577" t="inlineStr">
        <is>
          <t>63.0</t>
        </is>
      </c>
      <c r="T6577" t="inlineStr">
        <is>
          <t>4274361466980</t>
        </is>
      </c>
    </row>
    <row r="6578" hidden="1" ht="15.75" customHeight="1">
      <c r="A6578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6578" s="2">
        <f>HYPERLINK("https://edmondsonsupply.com/products/klein-tools-31940-bi-metal-hole-saw-2-1-2-inch", "https://edmondsonsupply.com/products/klein-tools-31940-bi-metal-hole-saw-2-1-2-inch")</f>
        <v/>
      </c>
      <c r="C6578" t="inlineStr">
        <is>
          <t>Klein Tools 31940 Bi-Metal Hole Saw, 2-1/2-Inch</t>
        </is>
      </c>
      <c r="D6578" t="inlineStr">
        <is>
          <t>Klein Tools 31940 Bi-Metal Hole Saw for Steel Cutting, Heavy-Duty 2 1/2-Inch Hole Saw</t>
        </is>
      </c>
      <c r="E6578" s="2">
        <f>HYPERLINK("https://www.amazon.com/Bi-Metal-2-Inch-Klein-Tools-31940/dp/B0171X0J7W/ref=sr_1_1?keywords=Klein+Tools+31940+Bi-Metal+Hole+Saw%2C+2-1%2F2-Inch&amp;qid=1694735159&amp;sr=8-1", "https://www.amazon.com/Bi-Metal-2-Inch-Klein-Tools-31940/dp/B0171X0J7W/ref=sr_1_1?keywords=Klein+Tools+31940+Bi-Metal+Hole+Saw%2C+2-1%2F2-Inch&amp;qid=1694735159&amp;sr=8-1")</f>
        <v/>
      </c>
      <c r="F6578" t="inlineStr">
        <is>
          <t>B0171X0J7W</t>
        </is>
      </c>
      <c r="G6578">
        <f>_xludf.IMAGE("https://edmondsonsupply.com/cdn/shop/products/31940.jpg?v=1649380086")</f>
        <v/>
      </c>
      <c r="H6578">
        <f>_xludf.IMAGE("https://m.media-amazon.com/images/I/41Jwj0FSz4L._AC_UL320_.jpg")</f>
        <v/>
      </c>
      <c r="K6578" t="inlineStr">
        <is>
          <t>13.99</t>
        </is>
      </c>
      <c r="L6578" t="n">
        <v>12.42</v>
      </c>
      <c r="M6578" s="1" t="inlineStr">
        <is>
          <t>-11.22%</t>
        </is>
      </c>
      <c r="N6578" s="1" t="n"/>
      <c r="O6578" t="n">
        <v>4.6</v>
      </c>
      <c r="P6578" t="n">
        <v>406</v>
      </c>
      <c r="R6578" t="inlineStr">
        <is>
          <t>InStock</t>
        </is>
      </c>
      <c r="S6578" t="inlineStr">
        <is>
          <t>18.22</t>
        </is>
      </c>
      <c r="T6578" t="inlineStr">
        <is>
          <t>7657257074904</t>
        </is>
      </c>
    </row>
    <row r="6579" hidden="1" ht="15.75" customHeight="1">
      <c r="A6579" s="2">
        <f>HYPERLINK("https://edmondsonsupply.com/collections/electricians-tools/products/klein-tools-jth6t20-t20-torx-hex-key-with-journeyman-t-handle-6-inch", "https://edmondsonsupply.com/collections/electricians-tools/products/klein-tools-jth6t20-t20-torx-hex-key-with-journeyman-t-handle-6-inch")</f>
        <v/>
      </c>
      <c r="B6579" s="2">
        <f>HYPERLINK("https://edmondsonsupply.com/products/klein-tools-jth6t20-t20-torx-hex-key-with-journeyman-t-handle-6-inch", "https://edmondsonsupply.com/products/klein-tools-jth6t20-t20-torx-hex-key-with-journeyman-t-handle-6-inch")</f>
        <v/>
      </c>
      <c r="C6579" t="inlineStr">
        <is>
          <t>Klein Tools JTH6T20 T20 Torx Hex Key with Journeyman T-Handle, 6-Inch</t>
        </is>
      </c>
      <c r="D6579" t="inlineStr">
        <is>
          <t>Klein Tools JTH6T20 T20 TORX Hex Key, Journeyman T-Handle, 6-Inch</t>
        </is>
      </c>
      <c r="E6579" s="2">
        <f>HYPERLINK("https://www.amazon.com/Journeyman-T-Handle-Klein-Tools-JTH6T20/dp/B005G3B4A6/ref=sr_1_1?keywords=Klein+Tools+JTH6T20+T20+Torx+Hex+Key+with+Journeyman+T-Handle%2C+6-Inch&amp;qid=1694735236&amp;sr=8-1", "https://www.amazon.com/Journeyman-T-Handle-Klein-Tools-JTH6T20/dp/B005G3B4A6/ref=sr_1_1?keywords=Klein+Tools+JTH6T20+T20+Torx+Hex+Key+with+Journeyman+T-Handle%2C+6-Inch&amp;qid=1694735236&amp;sr=8-1")</f>
        <v/>
      </c>
      <c r="F6579" t="inlineStr">
        <is>
          <t>B005G3B4A6</t>
        </is>
      </c>
      <c r="G6579">
        <f>_xludf.IMAGE("https://edmondsonsupply.com/cdn/shop/products/jth6t40_239e6af9-df98-4759-b03a-1003afe41d97.jpg?v=1606265228")</f>
        <v/>
      </c>
      <c r="H6579">
        <f>_xludf.IMAGE("https://m.media-amazon.com/images/I/51Xj0Vsb-EL._AC_UL320_.jpg")</f>
        <v/>
      </c>
      <c r="K6579" t="inlineStr">
        <is>
          <t>9.08</t>
        </is>
      </c>
      <c r="L6579" t="n">
        <v>8.06</v>
      </c>
      <c r="M6579" s="1" t="inlineStr">
        <is>
          <t>-11.23%</t>
        </is>
      </c>
      <c r="N6579" s="1" t="n"/>
      <c r="O6579" t="n">
        <v>4.8</v>
      </c>
      <c r="P6579" t="n">
        <v>1540</v>
      </c>
      <c r="R6579" t="inlineStr">
        <is>
          <t>InStock</t>
        </is>
      </c>
      <c r="S6579" t="inlineStr">
        <is>
          <t>undefined</t>
        </is>
      </c>
      <c r="T6579" t="inlineStr">
        <is>
          <t>6094316339373</t>
        </is>
      </c>
    </row>
    <row r="6580" hidden="1" ht="15.75" customHeight="1">
      <c r="A6580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6580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6580" t="inlineStr">
        <is>
          <t>Klein Tools JTH6E15 3/8-Inch Hex Key with Journeyman T-Handle, 6-Inch</t>
        </is>
      </c>
      <c r="D6580" t="inlineStr">
        <is>
          <t>Klein Tools JTH6M25 2.5 mm Hex Key, Journeyman T-Handle, 6-Inch (Pack of 2)</t>
        </is>
      </c>
      <c r="E6580" s="2">
        <f>HYPERLINK("https://www.amazon.com/Klein-Tools-JTH6M25-Journeyman-T-Handle/dp/B0CGLZ16RL/ref=sr_1_4?keywords=Klein+Tools+JTH6E15+3%2F8-Inch+Hex+Key+with+Journeyman+T-Handle%2C+6-Inch&amp;qid=1694735343&amp;sr=8-4", "https://www.amazon.com/Klein-Tools-JTH6M25-Journeyman-T-Handle/dp/B0CGLZ16RL/ref=sr_1_4?keywords=Klein+Tools+JTH6E15+3%2F8-Inch+Hex+Key+with+Journeyman+T-Handle%2C+6-Inch&amp;qid=1694735343&amp;sr=8-4")</f>
        <v/>
      </c>
      <c r="F6580" t="inlineStr">
        <is>
          <t>B0CGLZ16RL</t>
        </is>
      </c>
      <c r="G6580">
        <f>_xludf.IMAGE("https://edmondsonsupply.com/cdn/shop/products/jth6e15_c4dd65ba-86a8-4743-882c-88cf44faafdc.jpg?v=1587142819")</f>
        <v/>
      </c>
      <c r="H6580">
        <f>_xludf.IMAGE("https://m.media-amazon.com/images/I/41QPzTKY+AL._AC_UL320_.jpg")</f>
        <v/>
      </c>
      <c r="K6580" t="inlineStr">
        <is>
          <t>8.99</t>
        </is>
      </c>
      <c r="L6580" t="n">
        <v>7.98</v>
      </c>
      <c r="M6580" s="1" t="inlineStr">
        <is>
          <t>-11.23%</t>
        </is>
      </c>
      <c r="N6580" s="1" t="n"/>
      <c r="O6580" t="n">
        <v>4.7</v>
      </c>
      <c r="P6580" t="n">
        <v>1530</v>
      </c>
      <c r="R6580" t="inlineStr">
        <is>
          <t>InStock</t>
        </is>
      </c>
      <c r="S6580" t="inlineStr">
        <is>
          <t>13.56</t>
        </is>
      </c>
      <c r="T6580" t="inlineStr">
        <is>
          <t>4512705970276</t>
        </is>
      </c>
    </row>
    <row r="6581" hidden="1" ht="15.75" customHeight="1">
      <c r="A6581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6581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6581" t="inlineStr">
        <is>
          <t>Diablo Tools DMAPL4180 1/2 in. x 4 in. x 6 in. Rebar Demon™ SDS-Plus 4-Cutter Full Carbide Head Hammer Bit</t>
        </is>
      </c>
      <c r="D6581" t="inlineStr">
        <is>
          <t>Diablo by Freud Diablo DMAPL4070 1/4 in. x 4 in. x 6 in. Rebar Demon SDS-Plus 4-Cutter Full Carbide Head Hammer Bit</t>
        </is>
      </c>
      <c r="E6581" s="2">
        <f>HYPERLINK("https://www.amazon.com/Diablo-Freud-DMAPL4070-SDS-Plus-4-Cutter/dp/B089KVLDML/ref=sr_1_3?keywords=Diablo+Tools+DMAPL4180+1%2F2+in.+x+4+in.+x+6+in.+Rebar+Demon%E2%84%A2+SDS-Plus+4-Cutter+Full+Carbide+Head+Hammer+Bit&amp;qid=1694735298&amp;sr=8-3", "https://www.amazon.com/Diablo-Freud-DMAPL4070-SDS-Plus-4-Cutter/dp/B089KVLDML/ref=sr_1_3?keywords=Diablo+Tools+DMAPL4180+1%2F2+in.+x+4+in.+x+6+in.+Rebar+Demon%E2%84%A2+SDS-Plus+4-Cutter+Full+Carbide+Head+Hammer+Bit&amp;qid=1694735298&amp;sr=8-3")</f>
        <v/>
      </c>
      <c r="F6581" t="inlineStr">
        <is>
          <t>B089KVLDML</t>
        </is>
      </c>
      <c r="G6581">
        <f>_xludf.IMAGE("https://edmondsonsupply.com/cdn/shop/products/DMAPL4180_Main-Image20200702.png?v=1633030362")</f>
        <v/>
      </c>
      <c r="H6581">
        <f>_xludf.IMAGE("https://m.media-amazon.com/images/I/61fLLQz5xPL._AC_UL320_.jpg")</f>
        <v/>
      </c>
      <c r="K6581" t="inlineStr">
        <is>
          <t>9.97</t>
        </is>
      </c>
      <c r="L6581" t="n">
        <v>8.84</v>
      </c>
      <c r="M6581" s="1" t="inlineStr">
        <is>
          <t>-11.33%</t>
        </is>
      </c>
      <c r="N6581" s="1" t="n"/>
      <c r="O6581" t="n">
        <v>4.4</v>
      </c>
      <c r="P6581" t="n">
        <v>28</v>
      </c>
      <c r="R6581" t="inlineStr">
        <is>
          <t>InStock</t>
        </is>
      </c>
      <c r="S6581" t="inlineStr">
        <is>
          <t>undefined</t>
        </is>
      </c>
      <c r="T6581" t="inlineStr">
        <is>
          <t>5286803833000</t>
        </is>
      </c>
    </row>
    <row r="6582" ht="87" customHeight="1">
      <c r="A6582" s="2">
        <f>HYPERLINK("https://edmondsonsupply.com/collections/electricians-tools/products/klein-tools-d335-51-2c-5-long-needle-nose-pliers-extra-slim", "https://edmondsonsupply.com/collections/electricians-tools/products/klein-tools-d335-51-2c-5-long-needle-nose-pliers-extra-slim")</f>
        <v/>
      </c>
      <c r="B6582" s="2">
        <f>HYPERLINK("https://edmondsonsupply.com/products/klein-tools-d335-51-2c-5-long-needle-nose-pliers-extra-slim", "https://edmondsonsupply.com/products/klein-tools-d335-51-2c-5-long-needle-nose-pliers-extra-slim")</f>
        <v/>
      </c>
      <c r="C6582" t="inlineStr">
        <is>
          <t>Klein Tools D335-51/2C Pliers, Long Needle Nose Pliers, Extra Slim, 5-Inch</t>
        </is>
      </c>
      <c r="D6582" t="inlineStr">
        <is>
          <t>Klein Tools D318-51/2C Linemans Pliers, Needle Nose Side Cutters, Spring Loaded, 5-Inch with Knurled Jaw</t>
        </is>
      </c>
      <c r="E6582" s="2">
        <f>HYPERLINK("https://www.amazon.com/Linemans-Klein-Tools-D318-51-2C/dp/B000G67F5G/ref=sr_1_4?keywords=Klein+Tools+D335-51%2F2C+Pliers%2C+Long+Needle+Nose+Pliers%2C+Extra+Slim%2C+5-Inch&amp;qid=1694735354&amp;sr=8-4", "https://www.amazon.com/Linemans-Klein-Tools-D318-51-2C/dp/B000G67F5G/ref=sr_1_4?keywords=Klein+Tools+D335-51%2F2C+Pliers%2C+Long+Needle+Nose+Pliers%2C+Extra+Slim%2C+5-Inch&amp;qid=1694735354&amp;sr=8-4")</f>
        <v/>
      </c>
      <c r="F6582" t="inlineStr">
        <is>
          <t>B000G67F5G</t>
        </is>
      </c>
      <c r="G6582">
        <f>_xlfn.IMAGE("https://edmondsonsupply.com/cdn/shop/products/d335512c.jpg?v=1587142949")</f>
        <v/>
      </c>
      <c r="H6582">
        <f>_xlfn.IMAGE("https://m.media-amazon.com/images/I/41e01uS7cGL._AC_UL320_.jpg")</f>
        <v/>
      </c>
      <c r="K6582" t="inlineStr">
        <is>
          <t>34.99</t>
        </is>
      </c>
      <c r="L6582" t="n">
        <v>30.99</v>
      </c>
      <c r="M6582" s="1" t="inlineStr">
        <is>
          <t>-11.43%</t>
        </is>
      </c>
      <c r="N6582" s="7" t="n"/>
      <c r="O6582" t="n">
        <v>4.2</v>
      </c>
      <c r="P6582" t="n">
        <v>44</v>
      </c>
      <c r="R6582" t="inlineStr">
        <is>
          <t>InStock</t>
        </is>
      </c>
      <c r="S6582" t="inlineStr">
        <is>
          <t>53.0</t>
        </is>
      </c>
      <c r="T6582" t="inlineStr">
        <is>
          <t>4432348774500</t>
        </is>
      </c>
    </row>
    <row r="6583" ht="87" customHeight="1">
      <c r="A6583" s="2">
        <f>HYPERLINK("https://edmondsonsupply.com/collections/electricians-tools/products/klein-tools-vdv770-126-carrying-case-for-scout%C2%AE-pro-3-tester-and-locator-remotes", "https://edmondsonsupply.com/collections/electricians-tools/products/klein-tools-vdv770-126-carrying-case-for-scout%C2%AE-pro-3-tester-and-locator-remotes")</f>
        <v/>
      </c>
      <c r="B6583" s="2">
        <f>HYPERLINK("https://edmondsonsupply.com/products/klein-tools-vdv770-126-carrying-case-for-scout%c2%ae-pro-3-tester-and-locator-remotes", "https://edmondsonsupply.com/products/klein-tools-vdv770-126-carrying-case-for-scout%c2%ae-pro-3-tester-and-locator-remotes")</f>
        <v/>
      </c>
      <c r="C6583" t="inlineStr">
        <is>
          <t>Klein Tools VDV770-126 Carrying Case for Scout® Pro 3 Tester and Locator Remotes</t>
        </is>
      </c>
      <c r="D6583" t="inlineStr">
        <is>
          <t>Klein Tools VDV770-126 Replacement Carrying Case for Scout Pro 3 Series Testers and Locator Remotes, Black</t>
        </is>
      </c>
      <c r="E6583" s="2">
        <f>HYPERLINK("https://www.amazon.com/Klein-Tools-VDV770-126-Replacement-Carrying/dp/B08C4B1VLY/ref=sr_1_1?keywords=Klein+Tools+VDV770-126+Carrying+Case+for+Scout%C2%AE+Pro+3+Tester+and+Locator+Remotes&amp;qid=1694735172&amp;sr=8-1", "https://www.amazon.com/Klein-Tools-VDV770-126-Replacement-Carrying/dp/B08C4B1VLY/ref=sr_1_1?keywords=Klein+Tools+VDV770-126+Carrying+Case+for+Scout%C2%AE+Pro+3+Tester+and+Locator+Remotes&amp;qid=1694735172&amp;sr=8-1")</f>
        <v/>
      </c>
      <c r="F6583" t="inlineStr">
        <is>
          <t>B08C4B1VLY</t>
        </is>
      </c>
      <c r="G6583">
        <f>_xlfn.IMAGE("https://edmondsonsupply.com/cdn/shop/products/vdv770126.jpg?v=1646011163")</f>
        <v/>
      </c>
      <c r="H6583">
        <f>_xlfn.IMAGE("https://m.media-amazon.com/images/I/61dgehlrxfL._AC_UL320_.jpg")</f>
        <v/>
      </c>
      <c r="K6583" t="inlineStr">
        <is>
          <t>32.49</t>
        </is>
      </c>
      <c r="L6583" t="n">
        <v>28.76</v>
      </c>
      <c r="M6583" s="1" t="inlineStr">
        <is>
          <t>-11.48%</t>
        </is>
      </c>
      <c r="N6583" s="7" t="n"/>
      <c r="O6583" t="n">
        <v>4.8</v>
      </c>
      <c r="P6583" t="n">
        <v>149</v>
      </c>
      <c r="R6583" t="inlineStr">
        <is>
          <t>InStock</t>
        </is>
      </c>
      <c r="S6583" t="inlineStr">
        <is>
          <t>48.14</t>
        </is>
      </c>
      <c r="T6583" t="inlineStr">
        <is>
          <t>7620077256920</t>
        </is>
      </c>
    </row>
    <row r="6584" ht="87" customHeight="1">
      <c r="A6584" s="2">
        <f>HYPERLINK("https://edmondsonsupply.com/collections/electricians-tools/products/klein-tools-55655-tradesman-pro%E2%84%A2-tool-station-backpack-with-worklight", "https://edmondsonsupply.com/collections/electricians-tools/products/klein-tools-55655-tradesman-pro%E2%84%A2-tool-station-backpack-with-worklight")</f>
        <v/>
      </c>
      <c r="B6584" s="2">
        <f>HYPERLINK("https://edmondsonsupply.com/products/klein-tools-55655-tradesman-pro%e2%84%a2-tool-station-backpack-with-worklight", "https://edmondsonsupply.com/products/klein-tools-55655-tradesman-pro%e2%84%a2-tool-station-backpack-with-worklight")</f>
        <v/>
      </c>
      <c r="C6584" t="inlineStr">
        <is>
          <t>Klein Tools 55655 Tradesman Pro™ Tool Station Tool Bag Backpack with Work Light</t>
        </is>
      </c>
      <c r="D6584" t="inlineStr">
        <is>
          <t>Klein Tools 55655 Tool Bag Backpack, Tradesman Pro Tool Station with 21 Pockets and Large Interior, Includes Flashlight with Work Light</t>
        </is>
      </c>
      <c r="E6584" s="2">
        <f>HYPERLINK("https://www.amazon.com/Klein-55655-Backpack-Tradesman-Flashlight/dp/B081BRFNSG/ref=sr_1_1?keywords=Klein+Tools+55655+Tradesman+Pro%E2%84%A2+Tool+Station+Tool+Bag+Backpack+with+Work+Light&amp;qid=1694735379&amp;sr=8-1", "https://www.amazon.com/Klein-55655-Backpack-Tradesman-Flashlight/dp/B081BRFNSG/ref=sr_1_1?keywords=Klein+Tools+55655+Tradesman+Pro%E2%84%A2+Tool+Station+Tool+Bag+Backpack+with+Work+Light&amp;qid=1694735379&amp;sr=8-1")</f>
        <v/>
      </c>
      <c r="F6584" t="inlineStr">
        <is>
          <t>B081BRFNSG</t>
        </is>
      </c>
      <c r="G6584">
        <f>_xlfn.IMAGE("https://edmondsonsupply.com/cdn/shop/products/55655.jpg?v=1587150689")</f>
        <v/>
      </c>
      <c r="H6584">
        <f>_xlfn.IMAGE("https://m.media-amazon.com/images/I/71mMNJTARZL._AC_UL320_.jpg")</f>
        <v/>
      </c>
      <c r="K6584" t="inlineStr">
        <is>
          <t>129.99</t>
        </is>
      </c>
      <c r="L6584" t="n">
        <v>114.99</v>
      </c>
      <c r="M6584" s="1" t="inlineStr">
        <is>
          <t>-11.54%</t>
        </is>
      </c>
      <c r="N6584" s="7" t="n"/>
      <c r="O6584" t="n">
        <v>4.8</v>
      </c>
      <c r="P6584" t="n">
        <v>1672</v>
      </c>
      <c r="R6584" t="inlineStr">
        <is>
          <t>InStock</t>
        </is>
      </c>
      <c r="S6584" t="inlineStr">
        <is>
          <t>182.58</t>
        </is>
      </c>
      <c r="T6584" t="inlineStr">
        <is>
          <t>4412027502692</t>
        </is>
      </c>
    </row>
    <row r="6585" ht="87" customHeight="1">
      <c r="A6585" s="2">
        <f>HYPERLINK("https://edmondsonsupply.com/collections/electricians-tools/products/milwaukee-48-22-0225-25ft-wide-blade-tape-measure", "https://edmondsonsupply.com/collections/electricians-tools/products/milwaukee-48-22-0225-25ft-wide-blade-tape-measure")</f>
        <v/>
      </c>
      <c r="B6585" s="2">
        <f>HYPERLINK("https://edmondsonsupply.com/products/milwaukee-48-22-0225-25ft-wide-blade-tape-measure", "https://edmondsonsupply.com/products/milwaukee-48-22-0225-25ft-wide-blade-tape-measure")</f>
        <v/>
      </c>
      <c r="C6585" t="inlineStr">
        <is>
          <t>Milwaukee 48-22-0225 25ft Wide Blade Tape Measure</t>
        </is>
      </c>
      <c r="D6585" t="inlineStr">
        <is>
          <t>Milwaukee 48-22-0325 Compact Wide Blade Magnetic Tape Measures</t>
        </is>
      </c>
      <c r="E6585" s="2">
        <f>HYPERLINK("https://www.amazon.com/Milwaukee-48-22-0325-Compact-Magnetic-Measures/dp/B082L6Q7WV/ref=sr_1_3?keywords=Milwaukee+48-22-0225+25ft+Wide+Blade+Tape+Measure&amp;qid=1694735418&amp;sr=8-3", "https://www.amazon.com/Milwaukee-48-22-0325-Compact-Magnetic-Measures/dp/B082L6Q7WV/ref=sr_1_3?keywords=Milwaukee+48-22-0225+25ft+Wide+Blade+Tape+Measure&amp;qid=1694735418&amp;sr=8-3")</f>
        <v/>
      </c>
      <c r="F6585" t="inlineStr">
        <is>
          <t>B082L6Q7WV</t>
        </is>
      </c>
      <c r="G6585">
        <f>_xlfn.IMAGE("https://edmondsonsupply.com/cdn/shop/products/48-22-0225_1.png?v=1587142485")</f>
        <v/>
      </c>
      <c r="H6585">
        <f>_xlfn.IMAGE("https://m.media-amazon.com/images/I/41gSokc+0RL._AC_UL320_.jpg")</f>
        <v/>
      </c>
      <c r="K6585" t="inlineStr">
        <is>
          <t>25.97</t>
        </is>
      </c>
      <c r="L6585" t="n">
        <v>22.97</v>
      </c>
      <c r="M6585" s="1" t="inlineStr">
        <is>
          <t>-11.55%</t>
        </is>
      </c>
      <c r="N6585" s="7" t="n"/>
      <c r="O6585" t="n">
        <v>4.5</v>
      </c>
      <c r="P6585" t="n">
        <v>205</v>
      </c>
      <c r="R6585" t="inlineStr">
        <is>
          <t>InStock</t>
        </is>
      </c>
      <c r="S6585" t="inlineStr">
        <is>
          <t>37.6</t>
        </is>
      </c>
      <c r="T6585" t="inlineStr">
        <is>
          <t>4377710198884</t>
        </is>
      </c>
    </row>
    <row r="6586" hidden="1" ht="15.75" customHeight="1">
      <c r="A6586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586" s="2">
        <f>HYPERLINK("https://edmondsonsupply.com/products/diablo-tools-dag1110-7-8-in-x-7-1-2-in-auger-bit", "https://edmondsonsupply.com/products/diablo-tools-dag1110-7-8-in-x-7-1-2-in-auger-bit")</f>
        <v/>
      </c>
      <c r="C6586" t="inlineStr">
        <is>
          <t>Diablo Tools DAG1110 7/8 in. x 7-1/2 in. Auger Bit</t>
        </is>
      </c>
      <c r="D6586" t="inlineStr">
        <is>
          <t>SOMADA 7/8-Inch x 12-Inch Auger Drill Bit for Wood, Hex Shank 3/8-Inch, Ship Auger Long Drill Bit for Soft and Hard Wood, Plastic, Drywall and Composite Materials</t>
        </is>
      </c>
      <c r="E6586" s="2">
        <f>HYPERLINK("https://www.amazon.com/SOMADA-12-Inch-Plastic-Composite-Materials/dp/B093YFR143/ref=sr_1_17?keywords=Diablo+Tools+DAG1110+7%2F8+in.+x+7-1%2F2+in.+Auger+Bit&amp;qid=1694735001&amp;sr=8-17", "https://www.amazon.com/SOMADA-12-Inch-Plastic-Composite-Materials/dp/B093YFR143/ref=sr_1_17?keywords=Diablo+Tools+DAG1110+7%2F8+in.+x+7-1%2F2+in.+Auger+Bit&amp;qid=1694735001&amp;sr=8-17")</f>
        <v/>
      </c>
      <c r="F6586" t="inlineStr">
        <is>
          <t>B093YFR143</t>
        </is>
      </c>
      <c r="G6586">
        <f>_xludf.IMAGE("https://edmondsonsupply.com/cdn/shop/products/yel7mbaiyy08ii0assd5.webp?v=1680187136")</f>
        <v/>
      </c>
      <c r="H6586">
        <f>_xludf.IMAGE("https://m.media-amazon.com/images/I/61WY+kKbNCL._AC_UL320_.jpg")</f>
        <v/>
      </c>
      <c r="K6586" t="inlineStr">
        <is>
          <t>16.97</t>
        </is>
      </c>
      <c r="L6586" t="n">
        <v>14.99</v>
      </c>
      <c r="M6586" s="1" t="inlineStr">
        <is>
          <t>-11.67%</t>
        </is>
      </c>
      <c r="N6586" s="1" t="n"/>
      <c r="O6586" t="n">
        <v>4.4</v>
      </c>
      <c r="P6586" t="n">
        <v>328</v>
      </c>
      <c r="R6586" t="inlineStr">
        <is>
          <t>InStock</t>
        </is>
      </c>
      <c r="S6586" t="inlineStr">
        <is>
          <t>23.76</t>
        </is>
      </c>
      <c r="T6586" t="inlineStr">
        <is>
          <t>7970459549912</t>
        </is>
      </c>
    </row>
    <row r="6587" hidden="1" ht="15.75" customHeight="1">
      <c r="A6587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587" s="2">
        <f>HYPERLINK("https://edmondsonsupply.com/products/diablo-tools-dag1110-7-8-in-x-7-1-2-in-auger-bit", "https://edmondsonsupply.com/products/diablo-tools-dag1110-7-8-in-x-7-1-2-in-auger-bit")</f>
        <v/>
      </c>
      <c r="C6587" t="inlineStr">
        <is>
          <t>Diablo Tools DAG1110 7/8 in. x 7-1/2 in. Auger Bit</t>
        </is>
      </c>
      <c r="D6587" t="inlineStr">
        <is>
          <t>Diablo 5/8 in. x 7-1/2 in. Auger Bit</t>
        </is>
      </c>
      <c r="E6587" s="2">
        <f>HYPERLINK("https://www.amazon.com/Diablo-7-1-Auger-Bit/dp/B089LCPNWX/ref=sr_1_10?keywords=Diablo+Tools+DAG1110+7%2F8+in.+x+7-1%2F2+in.+Auger+Bit&amp;qid=1694735001&amp;sr=8-10", "https://www.amazon.com/Diablo-7-1-Auger-Bit/dp/B089LCPNWX/ref=sr_1_10?keywords=Diablo+Tools+DAG1110+7%2F8+in.+x+7-1%2F2+in.+Auger+Bit&amp;qid=1694735001&amp;sr=8-10")</f>
        <v/>
      </c>
      <c r="F6587" t="inlineStr">
        <is>
          <t>B089LCPNWX</t>
        </is>
      </c>
      <c r="G6587">
        <f>_xludf.IMAGE("https://edmondsonsupply.com/cdn/shop/products/yel7mbaiyy08ii0assd5.webp?v=1680187136")</f>
        <v/>
      </c>
      <c r="H6587">
        <f>_xludf.IMAGE("https://m.media-amazon.com/images/I/61zUoLZQ5OL._AC_UL320_.jpg")</f>
        <v/>
      </c>
      <c r="K6587" t="inlineStr">
        <is>
          <t>16.97</t>
        </is>
      </c>
      <c r="L6587" t="n">
        <v>14.99</v>
      </c>
      <c r="M6587" s="1" t="inlineStr">
        <is>
          <t>-11.67%</t>
        </is>
      </c>
      <c r="N6587" s="1" t="n"/>
      <c r="O6587" t="n">
        <v>4.7</v>
      </c>
      <c r="P6587" t="n">
        <v>9</v>
      </c>
      <c r="R6587" t="inlineStr">
        <is>
          <t>InStock</t>
        </is>
      </c>
      <c r="S6587" t="inlineStr">
        <is>
          <t>23.76</t>
        </is>
      </c>
      <c r="T6587" t="inlineStr">
        <is>
          <t>7970459549912</t>
        </is>
      </c>
    </row>
    <row r="6588" hidden="1" ht="15.75" customHeight="1">
      <c r="A6588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588" s="2">
        <f>HYPERLINK("https://edmondsonsupply.com/products/diablo-tools-dag1110-7-8-in-x-7-1-2-in-auger-bit", "https://edmondsonsupply.com/products/diablo-tools-dag1110-7-8-in-x-7-1-2-in-auger-bit")</f>
        <v/>
      </c>
      <c r="C6588" t="inlineStr">
        <is>
          <t>Diablo Tools DAG1110 7/8 in. x 7-1/2 in. Auger Bit</t>
        </is>
      </c>
      <c r="D6588" t="inlineStr">
        <is>
          <t>Diablo 1/2 in. x 7-1/2 in. Auger Bit</t>
        </is>
      </c>
      <c r="E6588" s="2">
        <f>HYPERLINK("https://www.amazon.com/Diablo-7-1-Auger-Bit/dp/B089KX8NFB/ref=sr_1_30?keywords=Diablo+Tools+DAG1110+7%2F8+in.+x+7-1%2F2+in.+Auger+Bit&amp;qid=1694735001&amp;sr=8-30", "https://www.amazon.com/Diablo-7-1-Auger-Bit/dp/B089KX8NFB/ref=sr_1_30?keywords=Diablo+Tools+DAG1110+7%2F8+in.+x+7-1%2F2+in.+Auger+Bit&amp;qid=1694735001&amp;sr=8-30")</f>
        <v/>
      </c>
      <c r="F6588" t="inlineStr">
        <is>
          <t>B089KX8NFB</t>
        </is>
      </c>
      <c r="G6588">
        <f>_xludf.IMAGE("https://edmondsonsupply.com/cdn/shop/products/yel7mbaiyy08ii0assd5.webp?v=1680187136")</f>
        <v/>
      </c>
      <c r="H6588">
        <f>_xludf.IMAGE("https://m.media-amazon.com/images/I/61OpxGeM87L._AC_UL320_.jpg")</f>
        <v/>
      </c>
      <c r="K6588" t="inlineStr">
        <is>
          <t>16.97</t>
        </is>
      </c>
      <c r="L6588" t="n">
        <v>14.99</v>
      </c>
      <c r="M6588" s="1" t="inlineStr">
        <is>
          <t>-11.67%</t>
        </is>
      </c>
      <c r="N6588" s="1" t="n"/>
      <c r="O6588" t="n">
        <v>4.8</v>
      </c>
      <c r="P6588" t="n">
        <v>8</v>
      </c>
      <c r="R6588" t="inlineStr">
        <is>
          <t>InStock</t>
        </is>
      </c>
      <c r="S6588" t="inlineStr">
        <is>
          <t>23.76</t>
        </is>
      </c>
      <c r="T6588" t="inlineStr">
        <is>
          <t>7970459549912</t>
        </is>
      </c>
    </row>
    <row r="6589" ht="87" customHeight="1">
      <c r="A6589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6589" s="2">
        <f>HYPERLINK("https://edmondsonsupply.com/products/klein-tools-631m-magnetic-nut-driver-set-3-inch-shaft-7-piece", "https://edmondsonsupply.com/products/klein-tools-631m-magnetic-nut-driver-set-3-inch-shaft-7-piece")</f>
        <v/>
      </c>
      <c r="C6589" t="inlineStr">
        <is>
          <t>Klein Tools 631M Magnetic Nut Driver Set 3-Inch Shaft, 7 Piece</t>
        </is>
      </c>
      <c r="D6589" t="inlineStr">
        <is>
          <t>Klein Tools 89904 Tool Set, Nut Drivers Sizes 3/16, 1/4, 5/16, 11/32, 3/8, 7/16, 1/2-Inch, 6-Inch Shafts, 7-Piece</t>
        </is>
      </c>
      <c r="E6589" s="2">
        <f>HYPERLINK("https://www.amazon.com/Klein-Tools-Nut-Driver-89904/dp/B000MB1JMU/ref=sr_1_26?keywords=Klein+Tools+631M+Magnetic+Nut+Driver+Set+3-Inch+Shaft%2C+7+Piece&amp;qid=1694735377&amp;sr=8-26", "https://www.amazon.com/Klein-Tools-Nut-Driver-89904/dp/B000MB1JMU/ref=sr_1_26?keywords=Klein+Tools+631M+Magnetic+Nut+Driver+Set+3-Inch+Shaft%2C+7+Piece&amp;qid=1694735377&amp;sr=8-26")</f>
        <v/>
      </c>
      <c r="F6589" t="inlineStr">
        <is>
          <t>B000MB1JMU</t>
        </is>
      </c>
      <c r="G6589">
        <f>_xlfn.IMAGE("https://edmondsonsupply.com/cdn/shop/products/631m.jpg?v=1587147726")</f>
        <v/>
      </c>
      <c r="H6589">
        <f>_xlfn.IMAGE("https://m.media-amazon.com/images/I/61cXQ4v0vvL._AC_UL320_.jpg")</f>
        <v/>
      </c>
      <c r="K6589" t="inlineStr">
        <is>
          <t>74.99</t>
        </is>
      </c>
      <c r="L6589" t="n">
        <v>66.23</v>
      </c>
      <c r="M6589" s="1" t="inlineStr">
        <is>
          <t>-11.68%</t>
        </is>
      </c>
      <c r="N6589" s="7" t="n"/>
      <c r="O6589" t="n">
        <v>4.5</v>
      </c>
      <c r="P6589" t="n">
        <v>33</v>
      </c>
      <c r="R6589" t="inlineStr">
        <is>
          <t>InStock</t>
        </is>
      </c>
      <c r="S6589" t="inlineStr">
        <is>
          <t>112.12</t>
        </is>
      </c>
      <c r="T6589" t="inlineStr">
        <is>
          <t>4414357078116</t>
        </is>
      </c>
    </row>
    <row r="6590" hidden="1" ht="15.75" customHeight="1">
      <c r="A6590" s="2">
        <f>HYPERLINK("https://edmondsonsupply.com/collections/electricians-tools/products/klein-tools-d335-51-2c-5-long-needle-nose-pliers-extra-slim", "https://edmondsonsupply.com/collections/electricians-tools/products/klein-tools-d335-51-2c-5-long-needle-nose-pliers-extra-slim")</f>
        <v/>
      </c>
      <c r="B6590" s="2">
        <f>HYPERLINK("https://edmondsonsupply.com/products/klein-tools-d335-51-2c-5-long-needle-nose-pliers-extra-slim", "https://edmondsonsupply.com/products/klein-tools-d335-51-2c-5-long-needle-nose-pliers-extra-slim")</f>
        <v/>
      </c>
      <c r="C6590" t="inlineStr">
        <is>
          <t>Klein Tools D335-51/2C Pliers, Long Needle Nose Pliers, Extra Slim, 5-Inch</t>
        </is>
      </c>
      <c r="D6590" t="inlineStr">
        <is>
          <t>Klein Tools D327-51/2C Pliers, Needle Nose Pliers, Slim, 1/16-Inch Point Diameter, 5-Inch</t>
        </is>
      </c>
      <c r="E6590" s="2">
        <f>HYPERLINK("https://www.amazon.com/Long-Nose-Klein-Tools-D327-51-2C/dp/B00093D4YW/ref=sr_1_2?keywords=Klein+Tools+D335-51%2F2C+Pliers%2C+Long+Needle+Nose+Pliers%2C+Extra+Slim%2C+5-Inch&amp;qid=1694735354&amp;sr=8-2", "https://www.amazon.com/Long-Nose-Klein-Tools-D327-51-2C/dp/B00093D4YW/ref=sr_1_2?keywords=Klein+Tools+D335-51%2F2C+Pliers%2C+Long+Needle+Nose+Pliers%2C+Extra+Slim%2C+5-Inch&amp;qid=1694735354&amp;sr=8-2")</f>
        <v/>
      </c>
      <c r="F6590" t="inlineStr">
        <is>
          <t>B00093D4YW</t>
        </is>
      </c>
      <c r="G6590">
        <f>_xludf.IMAGE("https://edmondsonsupply.com/cdn/shop/products/d335512c.jpg?v=1587142949")</f>
        <v/>
      </c>
      <c r="H6590">
        <f>_xludf.IMAGE("https://m.media-amazon.com/images/I/41hPrLJUK9L._AC_UL320_.jpg")</f>
        <v/>
      </c>
      <c r="K6590" t="inlineStr">
        <is>
          <t>34.99</t>
        </is>
      </c>
      <c r="L6590" t="n">
        <v>30.89</v>
      </c>
      <c r="M6590" s="1" t="inlineStr">
        <is>
          <t>-11.72%</t>
        </is>
      </c>
      <c r="N6590" s="1" t="n"/>
      <c r="O6590" t="n">
        <v>3.8</v>
      </c>
      <c r="P6590" t="n">
        <v>28</v>
      </c>
      <c r="R6590" t="inlineStr">
        <is>
          <t>InStock</t>
        </is>
      </c>
      <c r="S6590" t="inlineStr">
        <is>
          <t>53.0</t>
        </is>
      </c>
      <c r="T6590" t="inlineStr">
        <is>
          <t>4432348774500</t>
        </is>
      </c>
    </row>
    <row r="6591" hidden="1" ht="15.75" customHeight="1">
      <c r="A6591" s="2">
        <f>HYPERLINK("https://edmondsonsupply.com/collections/electricians-tools/products/klein-tools-vdv110-061-coax-cable-2-level-radial-stripper", "https://edmondsonsupply.com/collections/electricians-tools/products/klein-tools-vdv110-061-coax-cable-2-level-radial-stripper")</f>
        <v/>
      </c>
      <c r="B6591" s="2">
        <f>HYPERLINK("https://edmondsonsupply.com/products/klein-tools-vdv110-061-coax-cable-2-level-radial-stripper", "https://edmondsonsupply.com/products/klein-tools-vdv110-061-coax-cable-2-level-radial-stripper")</f>
        <v/>
      </c>
      <c r="C6591" t="inlineStr">
        <is>
          <t>Klein Tools VDV110-061 Coax Cable 2-Level Radial Stripper</t>
        </is>
      </c>
      <c r="D6591" t="inlineStr">
        <is>
          <t>Klein Tools VDV110-061 Radial Cable Stripper, Coaxial Cable Stripper,Yellow/Black</t>
        </is>
      </c>
      <c r="E6591" s="2">
        <f>HYPERLINK("https://www.amazon.com/Stripper-Punchdown-Klein-Tools-VDV110-061/dp/B004SUVEIA/ref=sr_1_1?keywords=Klein+Tools+VDV110-061+Coax+Cable+2-Level+Radial+Stripper&amp;qid=1694735359&amp;sr=8-1", "https://www.amazon.com/Stripper-Punchdown-Klein-Tools-VDV110-061/dp/B004SUVEIA/ref=sr_1_1?keywords=Klein+Tools+VDV110-061+Coax+Cable+2-Level+Radial+Stripper&amp;qid=1694735359&amp;sr=8-1")</f>
        <v/>
      </c>
      <c r="F6591" t="inlineStr">
        <is>
          <t>B004SUVEIA</t>
        </is>
      </c>
      <c r="G6591">
        <f>_xludf.IMAGE("https://edmondsonsupply.com/cdn/shop/products/vdv110-061.jpg?v=1587149207")</f>
        <v/>
      </c>
      <c r="H6591">
        <f>_xludf.IMAGE("https://m.media-amazon.com/images/I/41m4nbPym7L._AC_UL320_.jpg")</f>
        <v/>
      </c>
      <c r="K6591" t="inlineStr">
        <is>
          <t>12.97</t>
        </is>
      </c>
      <c r="L6591" t="n">
        <v>11.45</v>
      </c>
      <c r="M6591" s="1" t="inlineStr">
        <is>
          <t>-11.72%</t>
        </is>
      </c>
      <c r="N6591" s="1" t="n"/>
      <c r="O6591" t="n">
        <v>4.7</v>
      </c>
      <c r="P6591" t="n">
        <v>2990</v>
      </c>
      <c r="R6591" t="inlineStr">
        <is>
          <t>InStock</t>
        </is>
      </c>
      <c r="S6591" t="inlineStr">
        <is>
          <t>19.98</t>
        </is>
      </c>
      <c r="T6591" t="inlineStr">
        <is>
          <t>4447638388836</t>
        </is>
      </c>
    </row>
    <row r="6592" ht="87" customHeight="1">
      <c r="A6592" s="2">
        <f>HYPERLINK("https://edmondsonsupply.com/collections/electricians-tools/products/klein-tools-44002-lightweight-lockback-knife-2-3-8-inch-drop-point-blade-black-handle", "https://edmondsonsupply.com/collections/electricians-tools/products/klein-tools-44002-lightweight-lockback-knife-2-3-8-inch-drop-point-blade-black-handle")</f>
        <v/>
      </c>
      <c r="B6592" s="2">
        <f>HYPERLINK("https://edmondsonsupply.com/products/klein-tools-44002-lightweight-lockback-knife-2-3-8-inch-drop-point-blade-black-handle", "https://edmondsonsupply.com/products/klein-tools-44002-lightweight-lockback-knife-2-3-8-inch-drop-point-blade-black-handle")</f>
        <v/>
      </c>
      <c r="C6592" t="inlineStr">
        <is>
          <t>Klein Tools 44002 Lightweight Lockback Knife, 2-3/8-Inch Drop Point Blade, Black Handle</t>
        </is>
      </c>
      <c r="D6592" t="inlineStr">
        <is>
          <t>Klein Tools 44004 Lightweight Lockback Knife with Nylon Resin Handle, 2-3/8-Inch Sheepsfoot Blade, Black</t>
        </is>
      </c>
      <c r="E6592" s="2">
        <f>HYPERLINK("https://www.amazon.com/Lightweight-Sheepsfoot-Klein-Tools-44004/dp/B00093GDFO/ref=sr_1_4?keywords=Klein+Tools+44002+Lightweight+Lockback+Knife%2C+2-3%2F8-Inch+Drop+Point+Blade%2C+Black+Handle&amp;qid=1694735176&amp;sr=8-4", "https://www.amazon.com/Lightweight-Sheepsfoot-Klein-Tools-44004/dp/B00093GDFO/ref=sr_1_4?keywords=Klein+Tools+44002+Lightweight+Lockback+Knife%2C+2-3%2F8-Inch+Drop+Point+Blade%2C+Black+Handle&amp;qid=1694735176&amp;sr=8-4")</f>
        <v/>
      </c>
      <c r="F6592" t="inlineStr">
        <is>
          <t>B00093GDFO</t>
        </is>
      </c>
      <c r="G6592">
        <f>_xlfn.IMAGE("https://edmondsonsupply.com/cdn/shop/products/44002.jpg?v=1633900433")</f>
        <v/>
      </c>
      <c r="H6592">
        <f>_xlfn.IMAGE("https://m.media-amazon.com/images/I/41ejFxItVEL._AC_UL320_.jpg")</f>
        <v/>
      </c>
      <c r="K6592" t="inlineStr">
        <is>
          <t>33.99</t>
        </is>
      </c>
      <c r="L6592" t="n">
        <v>29.99</v>
      </c>
      <c r="M6592" s="1" t="inlineStr">
        <is>
          <t>-11.77%</t>
        </is>
      </c>
      <c r="N6592" s="7" t="n"/>
      <c r="O6592" t="n">
        <v>4.7</v>
      </c>
      <c r="P6592" t="n">
        <v>46</v>
      </c>
      <c r="R6592" t="inlineStr">
        <is>
          <t>InStock</t>
        </is>
      </c>
      <c r="S6592" t="inlineStr">
        <is>
          <t>51.52</t>
        </is>
      </c>
      <c r="T6592" t="inlineStr">
        <is>
          <t>7007756976301</t>
        </is>
      </c>
    </row>
    <row r="6593" hidden="1" ht="15.75" customHeight="1">
      <c r="A6593" s="2">
        <f>HYPERLINK("https://edmondsonsupply.com/collections/electricians-tools/products/klein-tools-44136-self-retracting-utility-knife", "https://edmondsonsupply.com/collections/electricians-tools/products/klein-tools-44136-self-retracting-utility-knife")</f>
        <v/>
      </c>
      <c r="B6593" s="2">
        <f>HYPERLINK("https://edmondsonsupply.com/products/klein-tools-44136-self-retracting-utility-knife", "https://edmondsonsupply.com/products/klein-tools-44136-self-retracting-utility-knife")</f>
        <v/>
      </c>
      <c r="C6593" t="inlineStr">
        <is>
          <t>Klein Tools 44136 Self-Retracting Utility Knife</t>
        </is>
      </c>
      <c r="D6593" t="inlineStr">
        <is>
          <t>Klein Tools 44136 Utility Knife, Heavy Duty Self-Retracting Box Cutter and Crafting Knife with No-Slip Grip, Wire Stripping and Lanyard Hole</t>
        </is>
      </c>
      <c r="E6593" s="2">
        <f>HYPERLINK("https://www.amazon.com/Utility-Self-Retracting-Klein-Tools-44136/dp/B018CKNVWS/ref=sr_1_2?keywords=Klein+Tools+44136+Self-Retracting+Utility+Knife&amp;qid=1694735391&amp;sr=8-2", "https://www.amazon.com/Utility-Self-Retracting-Klein-Tools-44136/dp/B018CKNVWS/ref=sr_1_2?keywords=Klein+Tools+44136+Self-Retracting+Utility+Knife&amp;qid=1694735391&amp;sr=8-2")</f>
        <v/>
      </c>
      <c r="F6593" t="inlineStr">
        <is>
          <t>B018CKNVWS</t>
        </is>
      </c>
      <c r="G6593">
        <f>_xludf.IMAGE("https://edmondsonsupply.com/cdn/shop/products/44136.jpg?v=1587145364")</f>
        <v/>
      </c>
      <c r="H6593">
        <f>_xludf.IMAGE("https://m.media-amazon.com/images/I/41RBdUp1wLL._AC_UL320_.jpg")</f>
        <v/>
      </c>
      <c r="K6593" t="inlineStr">
        <is>
          <t>16.99</t>
        </is>
      </c>
      <c r="L6593" t="n">
        <v>14.98</v>
      </c>
      <c r="M6593" s="1" t="inlineStr">
        <is>
          <t>-11.83%</t>
        </is>
      </c>
      <c r="N6593" s="1" t="n"/>
      <c r="O6593" t="n">
        <v>3.7</v>
      </c>
      <c r="P6593" t="n">
        <v>121</v>
      </c>
      <c r="R6593" t="inlineStr">
        <is>
          <t>InStock</t>
        </is>
      </c>
      <c r="S6593" t="inlineStr">
        <is>
          <t>22.38</t>
        </is>
      </c>
      <c r="T6593" t="inlineStr">
        <is>
          <t>4405414101092</t>
        </is>
      </c>
    </row>
    <row r="6594" ht="87" customHeight="1">
      <c r="A6594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6594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6594" t="inlineStr">
        <is>
          <t>Diablo Tools DMAMX1230 1 in. x 24 in. x 29 in. Rebar Demon™ SDS-Max 4-Cutter Full Carbide Head Hammer Bit</t>
        </is>
      </c>
      <c r="D6594" t="inlineStr">
        <is>
          <t>Diablo DMAMX1230 1 in. x 24 in. x 29 in. Rebar Demon™ SDS-Max 4-Cutter Full Carbide Head Hammer Bit</t>
        </is>
      </c>
      <c r="E6594" s="2">
        <f>HYPERLINK("https://www.amazon.com/Diablo-DMAMX1230-SDS-Max-4-Cutter-Carbide/dp/B089KWMBLT/ref=sr_1_1?keywords=Diablo+Tools+DMAMX1230+1+in.+x+24+in.+x+29+in.+Rebar+Demon%E2%84%A2+SDS-Max+4-Cutter+Full+Carbide+Head+Hammer+Bit&amp;qid=1694735297&amp;sr=8-1", "https://www.amazon.com/Diablo-DMAMX1230-SDS-Max-4-Cutter-Carbide/dp/B089KWMBLT/ref=sr_1_1?keywords=Diablo+Tools+DMAMX1230+1+in.+x+24+in.+x+29+in.+Rebar+Demon%E2%84%A2+SDS-Max+4-Cutter+Full+Carbide+Head+Hammer+Bit&amp;qid=1694735297&amp;sr=8-1")</f>
        <v/>
      </c>
      <c r="F6594" t="inlineStr">
        <is>
          <t>B089KWMBLT</t>
        </is>
      </c>
      <c r="G6594">
        <f>_xlfn.IMAGE("https://edmondsonsupply.com/cdn/shop/products/DMAMX1230_1.jpg?v=1633030364")</f>
        <v/>
      </c>
      <c r="H6594">
        <f>_xlfn.IMAGE("https://m.media-amazon.com/images/I/61B-wgZVzML._AC_UL320_.jpg")</f>
        <v/>
      </c>
      <c r="K6594" t="inlineStr">
        <is>
          <t>124.97</t>
        </is>
      </c>
      <c r="L6594" t="n">
        <v>109.99</v>
      </c>
      <c r="M6594" s="1" t="inlineStr">
        <is>
          <t>-11.99%</t>
        </is>
      </c>
      <c r="N6594" s="7" t="n"/>
      <c r="O6594" t="n">
        <v>4.6</v>
      </c>
      <c r="P6594" t="n">
        <v>3</v>
      </c>
      <c r="R6594" t="inlineStr">
        <is>
          <t>InStock</t>
        </is>
      </c>
      <c r="S6594" t="inlineStr">
        <is>
          <t>152.89</t>
        </is>
      </c>
      <c r="T6594" t="inlineStr">
        <is>
          <t>5289176072360</t>
        </is>
      </c>
    </row>
    <row r="6595" hidden="1" ht="15.75" customHeight="1">
      <c r="A6595" s="2">
        <f>HYPERLINK("https://edmondsonsupply.com/collections/electricians-tools/products/diablo-tools-dmapl4070-p25-1-4-in-x-4-in-x-6-in-rebar-demon%E2%84%A2-sds-plus-4-cutter-full-carbide-head-hammer-bit", "https://edmondsonsupply.com/collections/electricians-tools/products/diablo-tools-dmapl4070-p25-1-4-in-x-4-in-x-6-in-rebar-demon%E2%84%A2-sds-plus-4-cutter-full-carbide-head-hammer-bit")</f>
        <v/>
      </c>
      <c r="B6595" s="2">
        <f>HYPERLINK("https://edmondsonsupply.com/products/diablo-tools-dmapl4070-p25-1-4-in-x-4-in-x-6-in-rebar-demon%e2%84%a2-sds-plus-4-cutter-full-carbide-head-hammer-bit", "https://edmondsonsupply.com/products/diablo-tools-dmapl4070-p25-1-4-in-x-4-in-x-6-in-rebar-demon%e2%84%a2-sds-plus-4-cutter-full-carbide-head-hammer-bit")</f>
        <v/>
      </c>
      <c r="C6595" t="inlineStr">
        <is>
          <t>Diablo Tools DMAPL4070 1/4 in. x 4 in. x 6 in. Rebar Demon™ SDS-Plus 4-Cutter Full Carbide Head Hammer Bit</t>
        </is>
      </c>
      <c r="D6595" t="inlineStr">
        <is>
          <t>Diablo 5/16" x 4"x6" Rebar Demon SDS-Plus 4-Cutter Full Carbide Head Hammer Bit (Pack of 2)</t>
        </is>
      </c>
      <c r="E6595" s="2">
        <f>HYPERLINK("https://www.amazon.com/Diablo-SDS-Plus-4-Cutter-Carbide-Hammer/dp/B0CF2S79ZR/ref=sr_1_32?keywords=Diablo+Tools+DMAPL4070+1%2F4+in.+x+4+in.+x+6+in.+Rebar+Demon%E2%84%A2+SDS-Plus+4-Cutter+Full+Carbide+Head+Hammer+Bit&amp;qid=1694735303&amp;sr=8-32", "https://www.amazon.com/Diablo-SDS-Plus-4-Cutter-Carbide-Hammer/dp/B0CF2S79ZR/ref=sr_1_32?keywords=Diablo+Tools+DMAPL4070+1%2F4+in.+x+4+in.+x+6+in.+Rebar+Demon%E2%84%A2+SDS-Plus+4-Cutter+Full+Carbide+Head+Hammer+Bit&amp;qid=1694735303&amp;sr=8-32")</f>
        <v/>
      </c>
      <c r="F6595" t="inlineStr">
        <is>
          <t>B0CF2S79ZR</t>
        </is>
      </c>
      <c r="G6595">
        <f>_xludf.IMAGE("https://edmondsonsupply.com/cdn/shop/products/DMAPL4070_Main-Image20200701.png?v=1633030350")</f>
        <v/>
      </c>
      <c r="H6595">
        <f>_xludf.IMAGE("https://m.media-amazon.com/images/I/31KWvdkYeqL._AC_UL320_.jpg")</f>
        <v/>
      </c>
      <c r="K6595" t="inlineStr">
        <is>
          <t>8.97</t>
        </is>
      </c>
      <c r="L6595" t="n">
        <v>7.89</v>
      </c>
      <c r="M6595" s="1" t="inlineStr">
        <is>
          <t>-12.04%</t>
        </is>
      </c>
      <c r="N6595" s="1" t="n"/>
      <c r="O6595" t="n">
        <v>4.7</v>
      </c>
      <c r="P6595" t="n">
        <v>19</v>
      </c>
      <c r="R6595" t="inlineStr">
        <is>
          <t>InStock</t>
        </is>
      </c>
      <c r="S6595" t="inlineStr">
        <is>
          <t>undefined</t>
        </is>
      </c>
      <c r="T6595" t="inlineStr">
        <is>
          <t>5283100197032</t>
        </is>
      </c>
    </row>
    <row r="6596" ht="87" customHeight="1">
      <c r="A6596" s="2">
        <f>HYPERLINK("https://edmondsonsupply.com/collections/electricians-tools/products/crescent-lufkin-1-3-16-x-16-shockforce-nite-eye%E2%84%A2-g1-dual-sided-tape-measure", "https://edmondsonsupply.com/collections/electricians-tools/products/crescent-lufkin-1-3-16-x-16-shockforce-nite-eye%E2%84%A2-g1-dual-sided-tape-measure")</f>
        <v/>
      </c>
      <c r="B6596" s="2">
        <f>HYPERLINK("https://edmondsonsupply.com/products/crescent-lufkin-1-3-16-x-16-shockforce-nite-eye%e2%84%a2-g1-dual-sided-tape-measure", "https://edmondsonsupply.com/products/crescent-lufkin-1-3-16-x-16-shockforce-nite-eye%e2%84%a2-g1-dual-sided-tape-measure")</f>
        <v/>
      </c>
      <c r="C6596" t="inlineStr">
        <is>
          <t>Crescent Lufkin L1116B-02 1-3/16" x 16' Shockforce Nite Eye™ G1 Dual Sided Tape Measure</t>
        </is>
      </c>
      <c r="D6596" t="inlineStr">
        <is>
          <t>Crescent Lufkin 1-3/16" x 25' Shockforce Nite Eye G1 Dual Sided Tape Measure</t>
        </is>
      </c>
      <c r="E6596" s="2">
        <f>HYPERLINK("https://www.amazon.com/Crescent-Lufkin-Shockforce-Sided-Measure/dp/B09PGZ6FK2/ref=sr_1_2?keywords=Crescent+Lufkin+L1116B-02+1-3%2F16%22+x+16%27+Shockforce+Nite+Eye%E2%84%A2+G1+Dual+Sided+Tape+Measure&amp;qid=1694735006&amp;sr=8-2", "https://www.amazon.com/Crescent-Lufkin-Shockforce-Sided-Measure/dp/B09PGZ6FK2/ref=sr_1_2?keywords=Crescent+Lufkin+L1116B-02+1-3%2F16%22+x+16%27+Shockforce+Nite+Eye%E2%84%A2+G1+Dual+Sided+Tape+Measure&amp;qid=1694735006&amp;sr=8-2")</f>
        <v/>
      </c>
      <c r="F6596" t="inlineStr">
        <is>
          <t>B09PGZ6FK2</t>
        </is>
      </c>
      <c r="G6596">
        <f>_xlfn.IMAGE("https://edmondsonsupply.com/cdn/shop/products/LFK_L11168_IMG_FRONT.jpg?v=1679577698")</f>
        <v/>
      </c>
      <c r="H6596">
        <f>_xlfn.IMAGE("https://m.media-amazon.com/images/I/91b93u8vVJL._AC_UL320_.jpg")</f>
        <v/>
      </c>
      <c r="K6596" t="inlineStr">
        <is>
          <t>24.99</t>
        </is>
      </c>
      <c r="L6596" t="n">
        <v>21.98</v>
      </c>
      <c r="M6596" s="1" t="inlineStr">
        <is>
          <t>-12.04%</t>
        </is>
      </c>
      <c r="N6596" s="7" t="n"/>
      <c r="O6596" t="n">
        <v>4.2</v>
      </c>
      <c r="P6596" t="n">
        <v>326</v>
      </c>
      <c r="R6596" t="inlineStr">
        <is>
          <t>InStock</t>
        </is>
      </c>
      <c r="S6596" t="inlineStr">
        <is>
          <t>46.15</t>
        </is>
      </c>
      <c r="T6596" t="inlineStr">
        <is>
          <t>7965929898200</t>
        </is>
      </c>
    </row>
    <row r="6597" ht="87" customHeight="1">
      <c r="A6597" s="2">
        <f>HYPERLINK("https://edmondsonsupply.com/collections/electricians-tools/products/diablo-tools-dmamx1020", "https://edmondsonsupply.com/collections/electricians-tools/products/diablo-tools-dmamx1020")</f>
        <v/>
      </c>
      <c r="B6597" s="2">
        <f>HYPERLINK("https://edmondsonsupply.com/products/diablo-tools-dmamx1020", "https://edmondsonsupply.com/products/diablo-tools-dmamx1020")</f>
        <v/>
      </c>
      <c r="C6597" t="inlineStr">
        <is>
          <t>Diablo Tools DMAMX1020 1/2 in. x 8 in. x 13 in. Rebar Demon SDS‑Max 4‑Cutter Full Carbide Head Hammer Bit</t>
        </is>
      </c>
      <c r="D6597" t="inlineStr">
        <is>
          <t>Diablo by Freud DMAMX1090 5/8 in. x 8 in. x 13 in. Rebar Demon SDS-Max 4-Cutter Full Carbide Head Hammer Bit</t>
        </is>
      </c>
      <c r="E6597" s="2">
        <f>HYPERLINK("https://www.amazon.com/Diablo-SDS-Max-4-Cutter-Carbide-Hammer/dp/B089LGB35P/ref=sr_1_2?keywords=Diablo+Tools+DMAMX1020+1%2F2+in.+x+8+in.+x+13+in.+Rebar+Demon+SDS%E2%80%91Max+4%E2%80%91Cutter+Full+Carbide+Head+Hammer+Bit&amp;qid=1694735268&amp;sr=8-2", "https://www.amazon.com/Diablo-SDS-Max-4-Cutter-Carbide-Hammer/dp/B089LGB35P/ref=sr_1_2?keywords=Diablo+Tools+DMAMX1020+1%2F2+in.+x+8+in.+x+13+in.+Rebar+Demon+SDS%E2%80%91Max+4%E2%80%91Cutter+Full+Carbide+Head+Hammer+Bit&amp;qid=1694735268&amp;sr=8-2")</f>
        <v/>
      </c>
      <c r="F6597" t="inlineStr">
        <is>
          <t>B089LGB35P</t>
        </is>
      </c>
      <c r="G6597">
        <f>_xlfn.IMAGE("https://edmondsonsupply.com/cdn/shop/products/DMAMX1020_Main-Image20200701.png?v=1609798895")</f>
        <v/>
      </c>
      <c r="H6597">
        <f>_xlfn.IMAGE("https://m.media-amazon.com/images/I/61Wr1t8FMOL._AC_UL320_.jpg")</f>
        <v/>
      </c>
      <c r="K6597" t="inlineStr">
        <is>
          <t>39.97</t>
        </is>
      </c>
      <c r="L6597" t="n">
        <v>35.1</v>
      </c>
      <c r="M6597" s="1" t="inlineStr">
        <is>
          <t>-12.18%</t>
        </is>
      </c>
      <c r="N6597" s="7" t="n"/>
      <c r="O6597" t="n">
        <v>4.2</v>
      </c>
      <c r="P6597" t="n">
        <v>5</v>
      </c>
      <c r="R6597" t="inlineStr">
        <is>
          <t>InStock</t>
        </is>
      </c>
      <c r="S6597" t="inlineStr">
        <is>
          <t>42.31</t>
        </is>
      </c>
      <c r="T6597" t="inlineStr">
        <is>
          <t>5463822598312</t>
        </is>
      </c>
    </row>
    <row r="6598" ht="87" customHeight="1">
      <c r="A6598" s="2">
        <f>HYPERLINK("https://edmondsonsupply.com/collections/electricians-tools/products/klein-tools-56056-multi-groove-fiberglass-fish-tape-200-foot", "https://edmondsonsupply.com/collections/electricians-tools/products/klein-tools-56056-multi-groove-fiberglass-fish-tape-200-foot")</f>
        <v/>
      </c>
      <c r="B6598" s="2">
        <f>HYPERLINK("https://edmondsonsupply.com/products/klein-tools-56056-multi-groove-fiberglass-fish-tape-200-foot", "https://edmondsonsupply.com/products/klein-tools-56056-multi-groove-fiberglass-fish-tape-200-foot")</f>
        <v/>
      </c>
      <c r="C6598" t="inlineStr">
        <is>
          <t>Klein Tools 56056 Multi-Groove Fiberglass Fish Tape 200-Foot</t>
        </is>
      </c>
      <c r="D6598" t="inlineStr">
        <is>
          <t>Klein Tools 56059 Non-Conductive Fiberglass Fish Tape, 200-Foot Wall Snake is 3/16-Inch Wide Multi-Groove Fish Tape and Pulls to 500-Pound</t>
        </is>
      </c>
      <c r="E6598" s="2">
        <f>HYPERLINK("https://www.amazon.com/Klein-Tools-Non-Conductive-Fiberglass-500-Pound/dp/B00N84FXP2/ref=sr_1_2?keywords=Klein+Tools+56056+Multi-Groove+Fiberglass+Fish+Tape+200-Foot&amp;qid=1694735387&amp;sr=8-2", "https://www.amazon.com/Klein-Tools-Non-Conductive-Fiberglass-500-Pound/dp/B00N84FXP2/ref=sr_1_2?keywords=Klein+Tools+56056+Multi-Groove+Fiberglass+Fish+Tape+200-Foot&amp;qid=1694735387&amp;sr=8-2")</f>
        <v/>
      </c>
      <c r="F6598" t="inlineStr">
        <is>
          <t>B00N84FXP2</t>
        </is>
      </c>
      <c r="G6598">
        <f>_xlfn.IMAGE("https://edmondsonsupply.com/cdn/shop/products/56056.jpg?v=1587149776")</f>
        <v/>
      </c>
      <c r="H6598">
        <f>_xlfn.IMAGE("https://m.media-amazon.com/images/I/51Uut6yasyS._AC_UL320_.jpg")</f>
        <v/>
      </c>
      <c r="K6598" t="inlineStr">
        <is>
          <t>204.99</t>
        </is>
      </c>
      <c r="L6598" t="n">
        <v>179.99</v>
      </c>
      <c r="M6598" s="1" t="inlineStr">
        <is>
          <t>-12.20%</t>
        </is>
      </c>
      <c r="N6598" s="7" t="n"/>
      <c r="O6598" t="n">
        <v>4.6</v>
      </c>
      <c r="P6598" t="n">
        <v>159</v>
      </c>
      <c r="R6598" t="inlineStr">
        <is>
          <t>InStock</t>
        </is>
      </c>
      <c r="S6598" t="inlineStr">
        <is>
          <t>310.6</t>
        </is>
      </c>
      <c r="T6598" t="inlineStr">
        <is>
          <t>4411121533028</t>
        </is>
      </c>
    </row>
    <row r="6599" ht="87" customHeight="1">
      <c r="A6599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6599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6599" t="inlineStr">
        <is>
          <t>Diablo Tools DMAMX1110 5/8 in. x 24 in. x 29 in. Rebar Demon™ SDS-Max 4-Cutter Full Carbide Head Hammer Bit</t>
        </is>
      </c>
      <c r="D6599" t="inlineStr">
        <is>
          <t>Diablo DMAMX1110 5/8 in. x 24 in. x 29 in. Rebar Demon™ SDS-Max 4-Cutter Full Carbide Head Hammer Bit</t>
        </is>
      </c>
      <c r="E6599" s="2">
        <f>HYPERLINK("https://www.amazon.com/Diablo-SDS-Max-4-Cutter-Carbide-Hammer/dp/B089LJ9GHW/ref=sr_1_1?keywords=Diablo+Tools+DMAMX1110+5%2F8+in.+x+24+in.+x+29+in.+Rebar+Demon%E2%84%A2+SDS-Max+4-Cutter+Full+Carbide+Head+Hammer+Bit&amp;qid=1694735304&amp;sr=8-1", "https://www.amazon.com/Diablo-SDS-Max-4-Cutter-Carbide-Hammer/dp/B089LJ9GHW/ref=sr_1_1?keywords=Diablo+Tools+DMAMX1110+5%2F8+in.+x+24+in.+x+29+in.+Rebar+Demon%E2%84%A2+SDS-Max+4-Cutter+Full+Carbide+Head+Hammer+Bit&amp;qid=1694735304&amp;sr=8-1")</f>
        <v/>
      </c>
      <c r="F6599" t="inlineStr">
        <is>
          <t>B089LJ9GHW</t>
        </is>
      </c>
      <c r="G6599">
        <f>_xlfn.IMAGE("https://edmondsonsupply.com/cdn/shop/products/DMAMX1110_1.jpg?v=1633030364")</f>
        <v/>
      </c>
      <c r="H6599">
        <f>_xlfn.IMAGE("https://m.media-amazon.com/images/I/61vWAd-z8eL._AC_UL320_.jpg")</f>
        <v/>
      </c>
      <c r="K6599" t="inlineStr">
        <is>
          <t>89.97</t>
        </is>
      </c>
      <c r="L6599" t="n">
        <v>78.98999999999999</v>
      </c>
      <c r="M6599" s="1" t="inlineStr">
        <is>
          <t>-12.20%</t>
        </is>
      </c>
      <c r="N6599" s="7" t="n"/>
      <c r="O6599" t="n">
        <v>4.7</v>
      </c>
      <c r="P6599" t="n">
        <v>4</v>
      </c>
      <c r="R6599" t="inlineStr">
        <is>
          <t>InStock</t>
        </is>
      </c>
      <c r="S6599" t="inlineStr">
        <is>
          <t>115.5</t>
        </is>
      </c>
      <c r="T6599" t="inlineStr">
        <is>
          <t>5289159655592</t>
        </is>
      </c>
    </row>
    <row r="6600" hidden="1" ht="15.75" customHeight="1">
      <c r="A6600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6600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6600" t="inlineStr">
        <is>
          <t>Diablo Tools DMAPL4230 5/8 in. x 10 in. x 12 in. Rebar Demon™ SDS‑Plus 4‑Cutter Full Carbide Head Hammer Bit</t>
        </is>
      </c>
      <c r="D6600" t="inlineStr">
        <is>
          <t>Diablo DMAPL4055 3/16 in. x 10 in. x 12 in. Rebar Demon™ SDS-Plus 4-Cutter Full Carbide Head Hammer Bit</t>
        </is>
      </c>
      <c r="E6600" s="2" t="n"/>
      <c r="F6600" t="inlineStr">
        <is>
          <t>B089LJCD42</t>
        </is>
      </c>
      <c r="G6600">
        <f>_xludf.IMAGE("https://edmondsonsupply.com/cdn/shop/products/DMAPL4230_Main-Image20200701.png?v=1633030428")</f>
        <v/>
      </c>
      <c r="H6600">
        <f>_xludf.IMAGE("https://m.media-amazon.com/images/I/61cDOAhkb4L._AC_UL320_.jpg")</f>
        <v/>
      </c>
      <c r="K6600" t="inlineStr">
        <is>
          <t>17.97</t>
        </is>
      </c>
      <c r="L6600" t="n">
        <v>15.76</v>
      </c>
      <c r="M6600" s="1" t="inlineStr">
        <is>
          <t>-12.30%</t>
        </is>
      </c>
      <c r="N6600" s="1" t="n"/>
      <c r="O6600" t="n">
        <v>2</v>
      </c>
      <c r="P6600" t="n">
        <v>1</v>
      </c>
      <c r="R6600" t="inlineStr">
        <is>
          <t>InStock</t>
        </is>
      </c>
      <c r="S6600" t="inlineStr">
        <is>
          <t>27.18</t>
        </is>
      </c>
      <c r="T6600" t="inlineStr">
        <is>
          <t>5326959476904</t>
        </is>
      </c>
    </row>
    <row r="6601" hidden="1" ht="15.75" customHeight="1">
      <c r="A6601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6601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6601" t="inlineStr">
        <is>
          <t>Klein Tools 6866INS Insulated Screwdriver, 5/16-Inch Cabinet Tip, 6-Inch Shank</t>
        </is>
      </c>
      <c r="D6601" t="inlineStr">
        <is>
          <t>Klein Tools 670-6 Screwdriver, 3/16-Inch Cabinet Tip, Rapi-Driv with 6-Inch Shank</t>
        </is>
      </c>
      <c r="E6601" s="2">
        <f>HYPERLINK("https://www.amazon.com/Klein-Tools-670-6-Screwdriver-Rapi-Driv/dp/B000BO9T3Y/ref=sr_1_10?keywords=Klein+Tools+6866INS+Insulated+Screwdriver%2C+5%2F16-Inch+Cabinet+Tip%2C+6-Inch+Shank&amp;qid=1694735117&amp;sr=8-10", "https://www.amazon.com/Klein-Tools-670-6-Screwdriver-Rapi-Driv/dp/B000BO9T3Y/ref=sr_1_10?keywords=Klein+Tools+6866INS+Insulated+Screwdriver%2C+5%2F16-Inch+Cabinet+Tip%2C+6-Inch+Shank&amp;qid=1694735117&amp;sr=8-10")</f>
        <v/>
      </c>
      <c r="F6601" t="inlineStr">
        <is>
          <t>B000BO9T3Y</t>
        </is>
      </c>
      <c r="G6601">
        <f>_xludf.IMAGE("https://edmondsonsupply.com/cdn/shop/products/6866ins.jpg?v=1664818689")</f>
        <v/>
      </c>
      <c r="H6601">
        <f>_xludf.IMAGE("https://m.media-amazon.com/images/I/31+1RSUdZ+S._AC_UL320_.jpg")</f>
        <v/>
      </c>
      <c r="K6601" t="inlineStr">
        <is>
          <t>11.97</t>
        </is>
      </c>
      <c r="L6601" t="n">
        <v>10.49</v>
      </c>
      <c r="M6601" s="1" t="inlineStr">
        <is>
          <t>-12.36%</t>
        </is>
      </c>
      <c r="N6601" s="1" t="n"/>
      <c r="O6601" t="n">
        <v>4.8</v>
      </c>
      <c r="P6601" t="n">
        <v>1603</v>
      </c>
      <c r="R6601" t="inlineStr">
        <is>
          <t>InStock</t>
        </is>
      </c>
      <c r="S6601" t="inlineStr">
        <is>
          <t>17.98</t>
        </is>
      </c>
      <c r="T6601" t="inlineStr">
        <is>
          <t>7837748068568</t>
        </is>
      </c>
    </row>
    <row r="6602" hidden="1" ht="15.75" customHeight="1">
      <c r="A6602" s="2">
        <f>HYPERLINK("https://edmondsonsupply.com/collections/electricians-tools/products/klein-tools-6816ins-insulated-screwdriver-3-16-inch-cabinet-tip-6-inch-round-shank", "https://edmondsonsupply.com/collections/electricians-tools/products/klein-tools-6816ins-insulated-screwdriver-3-16-inch-cabinet-tip-6-inch-round-shank")</f>
        <v/>
      </c>
      <c r="B6602" s="2">
        <f>HYPERLINK("https://edmondsonsupply.com/products/klein-tools-6816ins-insulated-screwdriver-3-16-inch-cabinet-tip-6-inch-round-shank", "https://edmondsonsupply.com/products/klein-tools-6816ins-insulated-screwdriver-3-16-inch-cabinet-tip-6-inch-round-shank")</f>
        <v/>
      </c>
      <c r="C6602" t="inlineStr">
        <is>
          <t>Klein Tools 6816INS Insulated Screwdriver, 3/16-Inch Cabinet Tip, 6-Inch Round Shank</t>
        </is>
      </c>
      <c r="D6602" t="inlineStr">
        <is>
          <t>Klein Tools 670-6 Screwdriver, 3/16-Inch Cabinet Tip, Rapi-Driv with 6-Inch Shank</t>
        </is>
      </c>
      <c r="E6602" s="2">
        <f>HYPERLINK("https://www.amazon.com/Klein-Tools-670-6-Screwdriver-Rapi-Driv/dp/B000BO9T3Y/ref=sr_1_7?keywords=Klein+Tools+6816INS+Insulated+Screwdriver%2C+3%2F16-Inch+Cabinet+Tip%2C+6-Inch+Round+Shank&amp;qid=1694735104&amp;sr=8-7", "https://www.amazon.com/Klein-Tools-670-6-Screwdriver-Rapi-Driv/dp/B000BO9T3Y/ref=sr_1_7?keywords=Klein+Tools+6816INS+Insulated+Screwdriver%2C+3%2F16-Inch+Cabinet+Tip%2C+6-Inch+Round+Shank&amp;qid=1694735104&amp;sr=8-7")</f>
        <v/>
      </c>
      <c r="F6602" t="inlineStr">
        <is>
          <t>B000BO9T3Y</t>
        </is>
      </c>
      <c r="G6602">
        <f>_xludf.IMAGE("https://edmondsonsupply.com/cdn/shop/products/6816ins.jpg?v=1664812840")</f>
        <v/>
      </c>
      <c r="H6602">
        <f>_xludf.IMAGE("https://m.media-amazon.com/images/I/31+1RSUdZ+S._AC_UL320_.jpg")</f>
        <v/>
      </c>
      <c r="K6602" t="inlineStr">
        <is>
          <t>11.97</t>
        </is>
      </c>
      <c r="L6602" t="n">
        <v>10.49</v>
      </c>
      <c r="M6602" s="1" t="inlineStr">
        <is>
          <t>-12.36%</t>
        </is>
      </c>
      <c r="N6602" s="1" t="n"/>
      <c r="O6602" t="n">
        <v>4.8</v>
      </c>
      <c r="P6602" t="n">
        <v>1603</v>
      </c>
      <c r="R6602" t="inlineStr">
        <is>
          <t>InStock</t>
        </is>
      </c>
      <c r="S6602" t="inlineStr">
        <is>
          <t>17.98</t>
        </is>
      </c>
      <c r="T6602" t="inlineStr">
        <is>
          <t>7837697966296</t>
        </is>
      </c>
    </row>
    <row r="6603" hidden="1" ht="15.75" customHeight="1">
      <c r="A6603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6603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6603" t="inlineStr">
        <is>
          <t>Klein Tools JTH6E14BE 5/16-Inch Ball End Hex Key with T-Handle, 6-Inch</t>
        </is>
      </c>
      <c r="D6603" t="inlineStr">
        <is>
          <t>Klein Tools JTH9E14 5/16-Inch Hex Key, Journeyman T-Handle, 9-Inch</t>
        </is>
      </c>
      <c r="E6603" s="2">
        <f>HYPERLINK("https://www.amazon.com/Journeyman-T-Handle-Klein-Tools-JTH9E14/dp/B004QVAH4I/ref=sr_1_6?keywords=Klein+Tools+JTH6E14BE+5%2F16-Inch+Ball+End+Hex+Key+with+T-Handle%2C+6-Inch&amp;qid=1694735186&amp;sr=8-6", "https://www.amazon.com/Journeyman-T-Handle-Klein-Tools-JTH9E14/dp/B004QVAH4I/ref=sr_1_6?keywords=Klein+Tools+JTH6E14BE+5%2F16-Inch+Ball+End+Hex+Key+with+T-Handle%2C+6-Inch&amp;qid=1694735186&amp;sr=8-6")</f>
        <v/>
      </c>
      <c r="F6603" t="inlineStr">
        <is>
          <t>B004QVAH4I</t>
        </is>
      </c>
      <c r="G6603">
        <f>_xludf.IMAGE("https://edmondsonsupply.com/cdn/shop/products/jth6e13be_0da4cca6-ce15-419c-bc75-cd610bd9637f.jpg?v=1629825198")</f>
        <v/>
      </c>
      <c r="H6603">
        <f>_xludf.IMAGE("https://m.media-amazon.com/images/I/51Yb8h41vLL._AC_UL320_.jpg")</f>
        <v/>
      </c>
      <c r="K6603" t="inlineStr">
        <is>
          <t>8.49</t>
        </is>
      </c>
      <c r="L6603" t="n">
        <v>7.44</v>
      </c>
      <c r="M6603" s="1" t="inlineStr">
        <is>
          <t>-12.37%</t>
        </is>
      </c>
      <c r="N6603" s="1" t="n"/>
      <c r="O6603" t="n">
        <v>4.8</v>
      </c>
      <c r="P6603" t="n">
        <v>114</v>
      </c>
      <c r="R6603" t="inlineStr">
        <is>
          <t>InStock</t>
        </is>
      </c>
      <c r="S6603" t="inlineStr">
        <is>
          <t>12.88</t>
        </is>
      </c>
      <c r="T6603" t="inlineStr">
        <is>
          <t>6899546161325</t>
        </is>
      </c>
    </row>
    <row r="6604" hidden="1" ht="15.75" customHeight="1">
      <c r="A6604" s="2">
        <f>HYPERLINK("https://edmondsonsupply.com/collections/electricians-tools/products/diablo-tools-dmapl4320-1-1-8-in-x-16-in-x-18-in-rebar-demon%E2%84%A2-sds-plus-4-cutter-full-carbide-head-hammer-bit", "https://edmondsonsupply.com/collections/electricians-tools/products/diablo-tools-dmapl4320-1-1-8-in-x-16-in-x-18-in-rebar-demon%E2%84%A2-sds-plus-4-cutter-full-carbide-head-hammer-bit")</f>
        <v/>
      </c>
      <c r="B6604" s="2">
        <f>HYPERLINK("https://edmondsonsupply.com/products/diablo-tools-dmapl4320-1-1-8-in-x-16-in-x-18-in-rebar-demon%e2%84%a2-sds-plus-4-cutter-full-carbide-head-hammer-bit", "https://edmondsonsupply.com/products/diablo-tools-dmapl4320-1-1-8-in-x-16-in-x-18-in-rebar-demon%e2%84%a2-sds-plus-4-cutter-full-carbide-head-hammer-bit")</f>
        <v/>
      </c>
      <c r="C6604" t="inlineStr">
        <is>
          <t>Diablo Tools DMAPL4320 1‑1/8 in. x 16 in. x 18 in. Rebar Demon™ SDS‑Plus 4‑Cutter Full Carbide Head Hammer Bit</t>
        </is>
      </c>
      <c r="D6604" t="inlineStr">
        <is>
          <t>Diablo DMAMX1180 7/8 in. x 16 in. x 21 in. Rebar Demon™ SDS-Max 4-Cutter Full Carbide Head Hammer Bit</t>
        </is>
      </c>
      <c r="E6604" s="2" t="n"/>
      <c r="F6604" t="inlineStr">
        <is>
          <t>B089KWFF8B</t>
        </is>
      </c>
      <c r="G6604">
        <f>_xludf.IMAGE("https://edmondsonsupply.com/cdn/shop/products/DMAPL4320_Additional-Images_01.png?v=1633030521")</f>
        <v/>
      </c>
      <c r="H6604">
        <f>_xludf.IMAGE("https://m.media-amazon.com/images/I/611fTcYRNFL._AC_UL320_.jpg")</f>
        <v/>
      </c>
      <c r="K6604" t="inlineStr">
        <is>
          <t>59.97</t>
        </is>
      </c>
      <c r="L6604" t="n">
        <v>52.51</v>
      </c>
      <c r="M6604" s="1" t="inlineStr">
        <is>
          <t>-12.44%</t>
        </is>
      </c>
      <c r="N6604" s="1" t="n"/>
      <c r="O6604" t="n">
        <v>3.5</v>
      </c>
      <c r="P6604" t="n">
        <v>3</v>
      </c>
      <c r="R6604" t="inlineStr">
        <is>
          <t>InStock</t>
        </is>
      </c>
      <c r="S6604" t="inlineStr">
        <is>
          <t>81.14</t>
        </is>
      </c>
      <c r="T6604" t="inlineStr">
        <is>
          <t>5401093406888</t>
        </is>
      </c>
    </row>
    <row r="6605" ht="87" customHeight="1">
      <c r="A6605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605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605" t="inlineStr">
        <is>
          <t>Klein Tools 2288RINS Diagonal Cutting Pliers, Insulated, High Leverage, 8-Inch</t>
        </is>
      </c>
      <c r="D6605" t="inlineStr">
        <is>
          <t>Klein Tools J203-8 8-Inch Needle Nose Pliers, Heavy Duty Cutting, Extended Handles, High Leverage, Induction Hardened with Hot-Riveted Joint</t>
        </is>
      </c>
      <c r="E6605" s="2">
        <f>HYPERLINK("https://www.amazon.com/Klein-Tools-J203-8-Needle-Journeyman/dp/B0009X8GP4/ref=sr_1_26?keywords=Klein+Tools+2288RINS+Diagonal+Cutting+Pliers%2C+Insulated%2C+High+Leverage%2C+8-Inch&amp;qid=1694735093&amp;sr=8-26", "https://www.amazon.com/Klein-Tools-J203-8-Needle-Journeyman/dp/B0009X8GP4/ref=sr_1_26?keywords=Klein+Tools+2288RINS+Diagonal+Cutting+Pliers%2C+Insulated%2C+High+Leverage%2C+8-Inch&amp;qid=1694735093&amp;sr=8-26")</f>
        <v/>
      </c>
      <c r="F6605" t="inlineStr">
        <is>
          <t>B0009X8GP4</t>
        </is>
      </c>
      <c r="G6605">
        <f>_xlfn.IMAGE("https://edmondsonsupply.com/cdn/shop/products/2288rins.jpg?v=1667238570")</f>
        <v/>
      </c>
      <c r="H6605">
        <f>_xlfn.IMAGE("https://m.media-amazon.com/images/I/410yItANVhS._AC_UL320_.jpg")</f>
        <v/>
      </c>
      <c r="K6605" t="inlineStr">
        <is>
          <t>39.97</t>
        </is>
      </c>
      <c r="L6605" t="n">
        <v>34.97</v>
      </c>
      <c r="M6605" s="1" t="inlineStr">
        <is>
          <t>-12.51%</t>
        </is>
      </c>
      <c r="N6605" s="7" t="n"/>
      <c r="O6605" t="n">
        <v>4.8</v>
      </c>
      <c r="P6605" t="n">
        <v>1333</v>
      </c>
      <c r="R6605" t="inlineStr">
        <is>
          <t>InStock</t>
        </is>
      </c>
      <c r="S6605" t="inlineStr">
        <is>
          <t>55.98</t>
        </is>
      </c>
      <c r="T6605" t="inlineStr">
        <is>
          <t>7871537807576</t>
        </is>
      </c>
    </row>
    <row r="6606" ht="87" customHeight="1">
      <c r="A6606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606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606" t="inlineStr">
        <is>
          <t>Klein Tools 2288RINS Diagonal Cutting Pliers, Insulated, High Leverage, 8-Inch</t>
        </is>
      </c>
      <c r="D6606" t="inlineStr">
        <is>
          <t>Klein Tools D2000-48 Pliers, Linemans Diagonal Cutting Pliers with High Leverage Design, 8-Inch</t>
        </is>
      </c>
      <c r="E6606" s="2">
        <f>HYPERLINK("https://www.amazon.com/Diagonal-Linemans-Klein-Tools-D2000-48/dp/B0000302WZ/ref=sr_1_2?keywords=Klein+Tools+2288RINS+Diagonal+Cutting+Pliers%2C+Insulated%2C+High+Leverage%2C+8-Inch&amp;qid=1694735093&amp;sr=8-2", "https://www.amazon.com/Diagonal-Linemans-Klein-Tools-D2000-48/dp/B0000302WZ/ref=sr_1_2?keywords=Klein+Tools+2288RINS+Diagonal+Cutting+Pliers%2C+Insulated%2C+High+Leverage%2C+8-Inch&amp;qid=1694735093&amp;sr=8-2")</f>
        <v/>
      </c>
      <c r="F6606" t="inlineStr">
        <is>
          <t>B0000302WZ</t>
        </is>
      </c>
      <c r="G6606">
        <f>_xlfn.IMAGE("https://edmondsonsupply.com/cdn/shop/products/2288rins.jpg?v=1667238570")</f>
        <v/>
      </c>
      <c r="H6606">
        <f>_xlfn.IMAGE("https://m.media-amazon.com/images/I/41Y+q+BsIsL._AC_UL320_.jpg")</f>
        <v/>
      </c>
      <c r="K6606" t="inlineStr">
        <is>
          <t>39.97</t>
        </is>
      </c>
      <c r="L6606" t="n">
        <v>34.97</v>
      </c>
      <c r="M6606" s="1" t="inlineStr">
        <is>
          <t>-12.51%</t>
        </is>
      </c>
      <c r="N6606" s="7" t="n"/>
      <c r="O6606" t="n">
        <v>4.7</v>
      </c>
      <c r="P6606" t="n">
        <v>528</v>
      </c>
      <c r="R6606" t="inlineStr">
        <is>
          <t>InStock</t>
        </is>
      </c>
      <c r="S6606" t="inlineStr">
        <is>
          <t>55.98</t>
        </is>
      </c>
      <c r="T6606" t="inlineStr">
        <is>
          <t>7871537807576</t>
        </is>
      </c>
    </row>
    <row r="6607" hidden="1" ht="15.75" customHeight="1">
      <c r="A6607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6607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6607" t="inlineStr">
        <is>
          <t>Klein Tools 635-1/4 1/4-Inch Nut Driver, Magnetic Tip, 4-Inch Shaft</t>
        </is>
      </c>
      <c r="D6607" t="inlineStr">
        <is>
          <t>Klein Tools 646-1/4M Nut Driver, 1/4-Inch Magnetic Tip Nut Driver with 6-Inch Hollow Shaft, Cushion Grip Handle</t>
        </is>
      </c>
      <c r="E6607" s="2">
        <f>HYPERLINK("https://www.amazon.com/Magnetic-Klein-Tools-646-1-4M/dp/B00093GEC6/ref=sr_1_3?keywords=Klein+Tools+635-1%2F4+1%2F4-Inch+Nut+Driver%2C+Magnetic+Tip%2C+4-Inch+Shaft&amp;qid=1694735101&amp;sr=8-3", "https://www.amazon.com/Magnetic-Klein-Tools-646-1-4M/dp/B00093GEC6/ref=sr_1_3?keywords=Klein+Tools+635-1%2F4+1%2F4-Inch+Nut+Driver%2C+Magnetic+Tip%2C+4-Inch+Shaft&amp;qid=1694735101&amp;sr=8-3")</f>
        <v/>
      </c>
      <c r="F6607" t="inlineStr">
        <is>
          <t>B00093GEC6</t>
        </is>
      </c>
      <c r="G6607">
        <f>_xludf.IMAGE("https://edmondsonsupply.com/cdn/shop/products/635-1-4.jpg?v=1666811523")</f>
        <v/>
      </c>
      <c r="H6607">
        <f>_xludf.IMAGE("https://m.media-amazon.com/images/I/418bbEGck1L._AC_UL320_.jpg")</f>
        <v/>
      </c>
      <c r="K6607" t="inlineStr">
        <is>
          <t>11.99</t>
        </is>
      </c>
      <c r="L6607" t="n">
        <v>10.49</v>
      </c>
      <c r="M6607" s="1" t="inlineStr">
        <is>
          <t>-12.51%</t>
        </is>
      </c>
      <c r="N6607" s="1" t="n"/>
      <c r="O6607" t="n">
        <v>4.8</v>
      </c>
      <c r="P6607" t="n">
        <v>2491</v>
      </c>
      <c r="R6607" t="inlineStr">
        <is>
          <t>InStock</t>
        </is>
      </c>
      <c r="S6607" t="inlineStr">
        <is>
          <t>18.18</t>
        </is>
      </c>
      <c r="T6607" t="inlineStr">
        <is>
          <t>7866294010072</t>
        </is>
      </c>
    </row>
    <row r="6608" hidden="1" ht="15.75" customHeight="1">
      <c r="A6608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6608" s="2">
        <f>HYPERLINK("https://edmondsonsupply.com/products/klein-tools-s10-5-16-inch-nut-driver-3-inch-hollow-shaft", "https://edmondsonsupply.com/products/klein-tools-s10-5-16-inch-nut-driver-3-inch-hollow-shaft")</f>
        <v/>
      </c>
      <c r="C6608" t="inlineStr">
        <is>
          <t>Klein Tools S10 5/16-Inch Nut Driver 3-Inch Hollow Shaft</t>
        </is>
      </c>
      <c r="D6608" t="inlineStr">
        <is>
          <t>Klein Tools 630-5MM 5 mm Nut Driver with 3-Inch Hollow Shaft and Cushion Grip Handle</t>
        </is>
      </c>
      <c r="E6608" s="2">
        <f>HYPERLINK("https://www.amazon.com/Driver-Cushion-Klein-Tools-630-5MM/dp/B0009OODG4/ref=sr_1_9?keywords=Klein+Tools+S10+5%2F16-Inch+Nut+Driver+3-Inch+Hollow+Shaft&amp;qid=1694735234&amp;sr=8-9", "https://www.amazon.com/Driver-Cushion-Klein-Tools-630-5MM/dp/B0009OODG4/ref=sr_1_9?keywords=Klein+Tools+S10+5%2F16-Inch+Nut+Driver+3-Inch+Hollow+Shaft&amp;qid=1694735234&amp;sr=8-9")</f>
        <v/>
      </c>
      <c r="F6608" t="inlineStr">
        <is>
          <t>B0009OODG4</t>
        </is>
      </c>
      <c r="G6608">
        <f>_xludf.IMAGE("https://edmondsonsupply.com/cdn/shop/products/s10_38acacb8-6c8e-49ef-8ed3-7160ab53875a.jpg?v=1633030893")</f>
        <v/>
      </c>
      <c r="H6608">
        <f>_xludf.IMAGE("https://m.media-amazon.com/images/I/51oyTa9LLJL._AC_UL320_.jpg")</f>
        <v/>
      </c>
      <c r="K6608" t="inlineStr">
        <is>
          <t>7.99</t>
        </is>
      </c>
      <c r="L6608" t="n">
        <v>6.99</v>
      </c>
      <c r="M6608" s="1" t="inlineStr">
        <is>
          <t>-12.52%</t>
        </is>
      </c>
      <c r="N6608" s="1" t="n"/>
      <c r="O6608" t="n">
        <v>4.8</v>
      </c>
      <c r="P6608" t="n">
        <v>1115</v>
      </c>
      <c r="R6608" t="inlineStr">
        <is>
          <t>InStock</t>
        </is>
      </c>
      <c r="S6608" t="inlineStr">
        <is>
          <t>12.06</t>
        </is>
      </c>
      <c r="T6608" t="inlineStr">
        <is>
          <t>6223447031981</t>
        </is>
      </c>
    </row>
    <row r="6609" ht="87" customHeight="1">
      <c r="A6609" s="2">
        <f>HYPERLINK("https://edmondsonsupply.com/collections/electricians-tools/products/klein-tools-d2000-9ne-linemans-pliers-9-inch", "https://edmondsonsupply.com/collections/electricians-tools/products/klein-tools-d2000-9ne-linemans-pliers-9-inch")</f>
        <v/>
      </c>
      <c r="B6609" s="2">
        <f>HYPERLINK("https://edmondsonsupply.com/products/klein-tools-d2000-9ne-linemans-pliers-9-inch", "https://edmondsonsupply.com/products/klein-tools-d2000-9ne-linemans-pliers-9-inch")</f>
        <v/>
      </c>
      <c r="C6609" t="inlineStr">
        <is>
          <t>Klein Tools D2000-9NE Lineman's Pliers, 9-Inch</t>
        </is>
      </c>
      <c r="D6609" t="inlineStr">
        <is>
          <t>Klein Tools D213-9NE Pliers, 9-Inch Side Cutters, High Leverage Linesman Pliers Cut Copper, Aluminum and other Soft Metals</t>
        </is>
      </c>
      <c r="E6609" s="2">
        <f>HYPERLINK("https://www.amazon.com/Leverage-46-Percent-Gripping-Klein-Tools/dp/B0000302W6/ref=sr_1_5?keywords=Klein+Tools+D2000-9NE+Linemans+Pliers%2C+9-Inch&amp;qid=1694735236&amp;sr=8-5", "https://www.amazon.com/Leverage-46-Percent-Gripping-Klein-Tools/dp/B0000302W6/ref=sr_1_5?keywords=Klein+Tools+D2000-9NE+Linemans+Pliers%2C+9-Inch&amp;qid=1694735236&amp;sr=8-5")</f>
        <v/>
      </c>
      <c r="F6609" t="inlineStr">
        <is>
          <t>B0000302W6</t>
        </is>
      </c>
      <c r="G6609">
        <f>_xlfn.IMAGE("https://edmondsonsupply.com/cdn/shop/products/d20009ne.jpg?v=1633030816")</f>
        <v/>
      </c>
      <c r="H6609">
        <f>_xlfn.IMAGE("https://m.media-amazon.com/images/I/51D7tdNTj7L._AC_UL320_.jpg")</f>
        <v/>
      </c>
      <c r="K6609" t="inlineStr">
        <is>
          <t>39.99</t>
        </is>
      </c>
      <c r="L6609" t="n">
        <v>34.97</v>
      </c>
      <c r="M6609" s="1" t="inlineStr">
        <is>
          <t>-12.55%</t>
        </is>
      </c>
      <c r="N6609" s="7" t="n"/>
      <c r="O6609" t="n">
        <v>4.8</v>
      </c>
      <c r="P6609" t="n">
        <v>4116</v>
      </c>
      <c r="R6609" t="inlineStr">
        <is>
          <t>InStock</t>
        </is>
      </c>
      <c r="S6609" t="inlineStr">
        <is>
          <t>62.04</t>
        </is>
      </c>
      <c r="T6609" t="inlineStr">
        <is>
          <t>6070895411373</t>
        </is>
      </c>
    </row>
    <row r="6610" ht="87" customHeight="1">
      <c r="A6610" s="2">
        <f>HYPERLINK("https://edmondsonsupply.com/collections/electricians-tools/products/klein-tools-d213-9nett-pliers-high-leverage-side-cutters-tether-ring", "https://edmondsonsupply.com/collections/electricians-tools/products/klein-tools-d213-9nett-pliers-high-leverage-side-cutters-tether-ring")</f>
        <v/>
      </c>
      <c r="B6610" s="2">
        <f>HYPERLINK("https://edmondsonsupply.com/products/klein-tools-d213-9nett-pliers-high-leverage-side-cutters-tether-ring", "https://edmondsonsupply.com/products/klein-tools-d213-9nett-pliers-high-leverage-side-cutters-tether-ring")</f>
        <v/>
      </c>
      <c r="C6610" t="inlineStr">
        <is>
          <t>Klein Tools D213-9NETT Pliers, High-Leverage Side Cutters, Tether Ring</t>
        </is>
      </c>
      <c r="D6610" t="inlineStr">
        <is>
          <t>Klein Tools D213-9NE Pliers, 9-Inch Side Cutters, High Leverage Linesman Pliers Cut Copper, Aluminum and other Soft Metals</t>
        </is>
      </c>
      <c r="E6610" s="2">
        <f>HYPERLINK("https://www.amazon.com/Leverage-46-Percent-Gripping-Klein-Tools/dp/B0000302W6/ref=sr_1_2?keywords=Klein+Tools+D213-9NETT+Pliers%2C+High-Leverage+Side+Cutters%2C+Tether+Ring&amp;qid=1694735164&amp;sr=8-2", "https://www.amazon.com/Leverage-46-Percent-Gripping-Klein-Tools/dp/B0000302W6/ref=sr_1_2?keywords=Klein+Tools+D213-9NETT+Pliers%2C+High-Leverage+Side+Cutters%2C+Tether+Ring&amp;qid=1694735164&amp;sr=8-2")</f>
        <v/>
      </c>
      <c r="F6610" t="inlineStr">
        <is>
          <t>B0000302W6</t>
        </is>
      </c>
      <c r="G6610">
        <f>_xlfn.IMAGE("https://edmondsonsupply.com/cdn/shop/products/d2139nett.jpg?v=1647394939")</f>
        <v/>
      </c>
      <c r="H6610">
        <f>_xlfn.IMAGE("https://m.media-amazon.com/images/I/51D7tdNTj7L._AC_UL320_.jpg")</f>
        <v/>
      </c>
      <c r="K6610" t="inlineStr">
        <is>
          <t>39.99</t>
        </is>
      </c>
      <c r="L6610" t="n">
        <v>34.97</v>
      </c>
      <c r="M6610" s="1" t="inlineStr">
        <is>
          <t>-12.55%</t>
        </is>
      </c>
      <c r="N6610" s="7" t="n"/>
      <c r="O6610" t="n">
        <v>4.8</v>
      </c>
      <c r="P6610" t="n">
        <v>4116</v>
      </c>
      <c r="R6610" t="inlineStr">
        <is>
          <t>InStock</t>
        </is>
      </c>
      <c r="S6610" t="inlineStr">
        <is>
          <t>60.6</t>
        </is>
      </c>
      <c r="T6610" t="inlineStr">
        <is>
          <t>7637549416664</t>
        </is>
      </c>
    </row>
    <row r="6611" hidden="1" ht="15.75" customHeight="1">
      <c r="A6611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6611" s="2">
        <f>HYPERLINK("https://edmondsonsupply.com/products/greenlee-dtap10-32-drill-tap-10-32", "https://edmondsonsupply.com/products/greenlee-dtap10-32-drill-tap-10-32")</f>
        <v/>
      </c>
      <c r="C6611" t="inlineStr">
        <is>
          <t>Greenlee DTAP10-32 Drill/Tap, 10-32</t>
        </is>
      </c>
      <c r="D6611" t="inlineStr">
        <is>
          <t>Drill America - T/A54358 10-32 High Speed Steel Bottoming Tap, T/A Series</t>
        </is>
      </c>
      <c r="E6611" s="2">
        <f>HYPERLINK("https://www.amazon.com/Drill-America-A54358-High-Speed-Threading/dp/B00DL7P4GO/ref=sr_1_42?keywords=Greenlee+DTAP10-32+Drill%2FTap%2C+10-32&amp;qid=1694735404&amp;sr=8-42", "https://www.amazon.com/Drill-America-A54358-High-Speed-Threading/dp/B00DL7P4GO/ref=sr_1_42?keywords=Greenlee+DTAP10-32+Drill%2FTap%2C+10-32&amp;qid=1694735404&amp;sr=8-42")</f>
        <v/>
      </c>
      <c r="F6611" t="inlineStr">
        <is>
          <t>B00DL7P4GO</t>
        </is>
      </c>
      <c r="G6611">
        <f>_xludf.IMAGE("https://edmondsonsupply.com/cdn/shop/products/DTAP10-32.jpg?v=1633030188")</f>
        <v/>
      </c>
      <c r="H6611">
        <f>_xludf.IMAGE("https://m.media-amazon.com/images/I/61L6znG-pDL._AC_UL320_.jpg")</f>
        <v/>
      </c>
      <c r="K6611" t="inlineStr">
        <is>
          <t>8.99</t>
        </is>
      </c>
      <c r="L6611" t="n">
        <v>7.86</v>
      </c>
      <c r="M6611" s="1" t="inlineStr">
        <is>
          <t>-12.57%</t>
        </is>
      </c>
      <c r="N6611" s="1" t="n"/>
      <c r="O6611" t="n">
        <v>4.4</v>
      </c>
      <c r="P6611" t="n">
        <v>7</v>
      </c>
      <c r="R6611" t="inlineStr">
        <is>
          <t>InStock</t>
        </is>
      </c>
      <c r="S6611" t="inlineStr">
        <is>
          <t>9.7</t>
        </is>
      </c>
      <c r="T6611" t="inlineStr">
        <is>
          <t>4395883298916</t>
        </is>
      </c>
    </row>
    <row r="6612" ht="87" customHeight="1">
      <c r="A6612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6612" s="2">
        <f>HYPERLINK("https://edmondsonsupply.com/products/klein-tools-rt310-afci-gfci-outlet-tester", "https://edmondsonsupply.com/products/klein-tools-rt310-afci-gfci-outlet-tester")</f>
        <v/>
      </c>
      <c r="C6612" t="inlineStr">
        <is>
          <t>Klein Tools RT310 AFCI / GFCI Outlet Tester</t>
        </is>
      </c>
      <c r="D6612" t="inlineStr">
        <is>
          <t>Klein Tools RT250 GFCI Receptacle Tester &amp; RT210 Outlet Tester, Receptacle Tester for GFCI/Standard North American AC Electrical Outlets, Detects Common Wiring Problems</t>
        </is>
      </c>
      <c r="E6612" s="2">
        <f>HYPERLINK("https://www.amazon.com/Klein-Tools-Receptacle-Standard-Electrical/dp/B0B7NKSRX4/ref=sr_1_28?keywords=Klein+Tools+RT310+AFCI+%2F+GFCI+Outlet+Tester&amp;qid=1694734989&amp;sr=8-28", "https://www.amazon.com/Klein-Tools-Receptacle-Standard-Electrical/dp/B0B7NKSRX4/ref=sr_1_28?keywords=Klein+Tools+RT310+AFCI+%2F+GFCI+Outlet+Tester&amp;qid=1694734989&amp;sr=8-28")</f>
        <v/>
      </c>
      <c r="F6612" t="inlineStr">
        <is>
          <t>B0B7NKSRX4</t>
        </is>
      </c>
      <c r="G6612">
        <f>_xlfn.IMAGE("https://edmondsonsupply.com/cdn/shop/products/rt310.jpg?v=1587148552")</f>
        <v/>
      </c>
      <c r="H6612">
        <f>_xlfn.IMAGE("https://m.media-amazon.com/images/I/51lEi5BWv7L._AC_UL320_.jpg")</f>
        <v/>
      </c>
      <c r="K6612" t="inlineStr">
        <is>
          <t>39.97</t>
        </is>
      </c>
      <c r="L6612" t="n">
        <v>34.94</v>
      </c>
      <c r="M6612" s="1" t="inlineStr">
        <is>
          <t>-12.58%</t>
        </is>
      </c>
      <c r="N6612" s="7" t="n"/>
      <c r="O6612" t="n">
        <v>5</v>
      </c>
      <c r="P6612" t="n">
        <v>7</v>
      </c>
      <c r="R6612" t="inlineStr">
        <is>
          <t>InStock</t>
        </is>
      </c>
      <c r="S6612" t="inlineStr">
        <is>
          <t>57.9</t>
        </is>
      </c>
      <c r="T6612" t="inlineStr">
        <is>
          <t>3372527779940</t>
        </is>
      </c>
    </row>
    <row r="6613" hidden="1" ht="15.75" customHeight="1">
      <c r="A6613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6613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6613" t="inlineStr">
        <is>
          <t>Klein Tools 646-7/16M 7/16-Inch Magnetic Tip Nut Driver 6-Inch Shaft</t>
        </is>
      </c>
      <c r="D6613" t="inlineStr">
        <is>
          <t>Klein Tools 610-5/16M 5/16-Inch Magnetic Tip Nut Driver with 1-1/2-Inch Hollow Shaft and Cushion Grip Handle</t>
        </is>
      </c>
      <c r="E6613" s="2">
        <f>HYPERLINK("https://www.amazon.com/Magnetic-Klein-Tools-610-5-16M/dp/B00093DZP0/ref=sr_1_11?keywords=Klein+Tools+646-7%2F16M+7%2F16-Inch+Magnetic+Tip+Nut+Driver+6-Inch+Shaft&amp;qid=1694735353&amp;sr=8-11", "https://www.amazon.com/Magnetic-Klein-Tools-610-5-16M/dp/B00093DZP0/ref=sr_1_11?keywords=Klein+Tools+646-7%2F16M+7%2F16-Inch+Magnetic+Tip+Nut+Driver+6-Inch+Shaft&amp;qid=1694735353&amp;sr=8-11")</f>
        <v/>
      </c>
      <c r="F6613" t="inlineStr">
        <is>
          <t>B00093DZP0</t>
        </is>
      </c>
      <c r="G6613">
        <f>_xludf.IMAGE("https://edmondsonsupply.com/cdn/shop/products/646-5-16m_906faaaa-dd9e-40e4-bce3-8174c2b127b5.jpg?v=1587146594")</f>
        <v/>
      </c>
      <c r="H6613">
        <f>_xludf.IMAGE("https://m.media-amazon.com/images/I/41rQZ0-NNZL._AC_UL320_.jpg")</f>
        <v/>
      </c>
      <c r="K6613" t="inlineStr">
        <is>
          <t>12.99</t>
        </is>
      </c>
      <c r="L6613" t="n">
        <v>11.34</v>
      </c>
      <c r="M6613" s="1" t="inlineStr">
        <is>
          <t>-12.70%</t>
        </is>
      </c>
      <c r="N6613" s="1" t="n"/>
      <c r="O6613" t="n">
        <v>4.7</v>
      </c>
      <c r="P6613" t="n">
        <v>258</v>
      </c>
      <c r="R6613" t="inlineStr">
        <is>
          <t>InStock</t>
        </is>
      </c>
      <c r="S6613" t="inlineStr">
        <is>
          <t>19.74</t>
        </is>
      </c>
      <c r="T6613" t="inlineStr">
        <is>
          <t>4461840171108</t>
        </is>
      </c>
    </row>
    <row r="6614" hidden="1" ht="15.75" customHeight="1">
      <c r="A6614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6614" s="2">
        <f>HYPERLINK("https://edmondsonsupply.com/products/klein-tools-vaco-s10m-5-16-magnetic-nut-driver-3-hollow-shaft", "https://edmondsonsupply.com/products/klein-tools-vaco-s10m-5-16-magnetic-nut-driver-3-hollow-shaft")</f>
        <v/>
      </c>
      <c r="C6614" t="inlineStr">
        <is>
          <t>Klein Tools S10M 5/16-Inch Magnetic Nut Driver 3-Inch Shaft</t>
        </is>
      </c>
      <c r="D6614" t="inlineStr">
        <is>
          <t>Capri Tools Kontour 5/16-Inch Nut Driver, 3-Inch Hollow Shaft</t>
        </is>
      </c>
      <c r="E6614" s="2">
        <f>HYPERLINK("https://www.amazon.com/Capri-Tools-Kontour-16-Inch-Driver/dp/B079G8GDJK/ref=sr_1_20?keywords=Klein+Tools+S10M+5%2F16-Inch+Magnetic+Nut+Driver+3-Inch+Shaft&amp;qid=1694735002&amp;sr=8-20", "https://www.amazon.com/Capri-Tools-Kontour-16-Inch-Driver/dp/B079G8GDJK/ref=sr_1_20?keywords=Klein+Tools+S10M+5%2F16-Inch+Magnetic+Nut+Driver+3-Inch+Shaft&amp;qid=1694735002&amp;sr=8-20")</f>
        <v/>
      </c>
      <c r="F6614" t="inlineStr">
        <is>
          <t>B079G8GDJK</t>
        </is>
      </c>
      <c r="G6614">
        <f>_xludf.IMAGE("https://edmondsonsupply.com/cdn/shop/products/s10m_alt2.jpg?v=1587143022")</f>
        <v/>
      </c>
      <c r="H6614">
        <f>_xludf.IMAGE("https://m.media-amazon.com/images/I/61BC4AqecIL._AC_UL320_.jpg")</f>
        <v/>
      </c>
      <c r="K6614" t="inlineStr">
        <is>
          <t>9.99</t>
        </is>
      </c>
      <c r="L6614" t="n">
        <v>8.720000000000001</v>
      </c>
      <c r="M6614" s="1" t="inlineStr">
        <is>
          <t>-12.71%</t>
        </is>
      </c>
      <c r="N6614" s="1" t="n"/>
      <c r="O6614" t="n">
        <v>4.5</v>
      </c>
      <c r="P6614" t="n">
        <v>62</v>
      </c>
      <c r="R6614" t="inlineStr">
        <is>
          <t>InStock</t>
        </is>
      </c>
      <c r="S6614" t="inlineStr">
        <is>
          <t>15.08</t>
        </is>
      </c>
      <c r="T6614" t="inlineStr">
        <is>
          <t>2767113125988</t>
        </is>
      </c>
    </row>
    <row r="6615" ht="87" customHeight="1">
      <c r="A6615" s="2">
        <f>HYPERLINK("https://edmondsonsupply.com/collections/electricians-tools/products/klein-tools-5539cpak-assorted-canvas-zipper-bags-3-pack", "https://edmondsonsupply.com/collections/electricians-tools/products/klein-tools-5539cpak-assorted-canvas-zipper-bags-3-pack")</f>
        <v/>
      </c>
      <c r="B6615" s="2">
        <f>HYPERLINK("https://edmondsonsupply.com/products/klein-tools-5539cpak-assorted-canvas-zipper-bags-3-pack", "https://edmondsonsupply.com/products/klein-tools-5539cpak-assorted-canvas-zipper-bags-3-pack")</f>
        <v/>
      </c>
      <c r="C6615" t="inlineStr">
        <is>
          <t>Klein Tools 5539CPAK Zipper Bags, Assorted Canvas Tool Pouches, 3-Pack</t>
        </is>
      </c>
      <c r="D6615" t="inlineStr">
        <is>
          <t>Klein Tools 5539CPAK Zipper Bags, Canvas Tool Pouches are 10-Inch Consumables Bags for Storing Parts, Assorted Color 3-Pack</t>
        </is>
      </c>
      <c r="E6615" s="2">
        <f>HYPERLINK("https://www.amazon.com/Assorted-Canvas-Klein-Tools-5539CPAK/dp/B002G6QOA6/ref=sr_1_1?keywords=Klein+Tools+5539CPAK+Zipper+Bags%2C+Assorted+Canvas+Tool+Pouches%2C+3-Pack&amp;qid=1694735341&amp;sr=8-1", "https://www.amazon.com/Assorted-Canvas-Klein-Tools-5539CPAK/dp/B002G6QOA6/ref=sr_1_1?keywords=Klein+Tools+5539CPAK+Zipper+Bags%2C+Assorted+Canvas+Tool+Pouches%2C+3-Pack&amp;qid=1694735341&amp;sr=8-1")</f>
        <v/>
      </c>
      <c r="F6615" t="inlineStr">
        <is>
          <t>B002G6QOA6</t>
        </is>
      </c>
      <c r="G6615">
        <f>_xlfn.IMAGE("https://edmondsonsupply.com/cdn/shop/products/5539cpak.jpg?v=1587143720")</f>
        <v/>
      </c>
      <c r="H6615">
        <f>_xlfn.IMAGE("https://m.media-amazon.com/images/I/61TQd1KWUKL._AC_UL320_.jpg")</f>
        <v/>
      </c>
      <c r="K6615" t="inlineStr">
        <is>
          <t>38.99</t>
        </is>
      </c>
      <c r="L6615" t="n">
        <v>34</v>
      </c>
      <c r="M6615" s="1" t="inlineStr">
        <is>
          <t>-12.80%</t>
        </is>
      </c>
      <c r="N6615" s="7" t="n"/>
      <c r="O6615" t="n">
        <v>4.7</v>
      </c>
      <c r="P6615" t="n">
        <v>829</v>
      </c>
      <c r="R6615" t="inlineStr">
        <is>
          <t>InStock</t>
        </is>
      </c>
      <c r="S6615" t="inlineStr">
        <is>
          <t>59.06</t>
        </is>
      </c>
      <c r="T6615" t="inlineStr">
        <is>
          <t>4504095260772</t>
        </is>
      </c>
    </row>
    <row r="6616" hidden="1" ht="15.75" customHeight="1">
      <c r="A6616" s="2">
        <f>HYPERLINK("https://edmondsonsupply.com/collections/electricians-tools/products/klein-tools-jth6t27-t27-torx%C2%AE-hex-key-with-journeyman-t-handle-6-inch", "https://edmondsonsupply.com/collections/electricians-tools/products/klein-tools-jth6t27-t27-torx%C2%AE-hex-key-with-journeyman-t-handle-6-inch")</f>
        <v/>
      </c>
      <c r="B6616" s="2">
        <f>HYPERLINK("https://edmondsonsupply.com/products/klein-tools-jth6t27-t27-torx%c2%ae-hex-key-with-journeyman-t-handle-6-inch", "https://edmondsonsupply.com/products/klein-tools-jth6t27-t27-torx%c2%ae-hex-key-with-journeyman-t-handle-6-inch")</f>
        <v/>
      </c>
      <c r="C6616" t="inlineStr">
        <is>
          <t>Klein Tools JTH6T27 T27 Torx® Hex Key with Journeyman T-Handle, 6-Inch</t>
        </is>
      </c>
      <c r="D6616" t="inlineStr">
        <is>
          <t>Klein Tools JTH6E13BE 1/4-Inch Ball End Hex Key with Journeyman T-Handle, 6-Inch</t>
        </is>
      </c>
      <c r="E6616" s="2">
        <f>HYPERLINK("https://www.amazon.com/Journeyman-T-Handle-Klein-Tools-JTH6E13BE/dp/B004QW52YW/ref=sr_1_4?keywords=Klein+Tools+JTH6T27+T27+Torx%C2%AE+Hex+Key+with+Journeyman+T-Handle%2C+6-Inch&amp;qid=1694735413&amp;sr=8-4", "https://www.amazon.com/Journeyman-T-Handle-Klein-Tools-JTH6E13BE/dp/B004QW52YW/ref=sr_1_4?keywords=Klein+Tools+JTH6T27+T27+Torx%C2%AE+Hex+Key+with+Journeyman+T-Handle%2C+6-Inch&amp;qid=1694735413&amp;sr=8-4")</f>
        <v/>
      </c>
      <c r="F6616" t="inlineStr">
        <is>
          <t>B004QW52YW</t>
        </is>
      </c>
      <c r="G6616">
        <f>_xludf.IMAGE("https://edmondsonsupply.com/cdn/shop/products/jth6t40_cb060be3-75cf-4184-9024-dee33ab54739.jpg?v=1587142808")</f>
        <v/>
      </c>
      <c r="H6616">
        <f>_xludf.IMAGE("https://m.media-amazon.com/images/I/51f9vBFVXgL._AC_UL320_.jpg")</f>
        <v/>
      </c>
      <c r="K6616" t="inlineStr">
        <is>
          <t>12.1</t>
        </is>
      </c>
      <c r="L6616" t="n">
        <v>10.55</v>
      </c>
      <c r="M6616" s="1" t="inlineStr">
        <is>
          <t>-12.81%</t>
        </is>
      </c>
      <c r="N6616" s="1" t="n"/>
      <c r="O6616" t="n">
        <v>4.7</v>
      </c>
      <c r="P6616" t="n">
        <v>32</v>
      </c>
      <c r="R6616" t="inlineStr">
        <is>
          <t>InStock</t>
        </is>
      </c>
      <c r="S6616" t="inlineStr">
        <is>
          <t>undefined</t>
        </is>
      </c>
      <c r="T6616" t="inlineStr">
        <is>
          <t>4392295039076</t>
        </is>
      </c>
    </row>
    <row r="6617" ht="87" customHeight="1">
      <c r="A6617" s="2">
        <f>HYPERLINK("https://edmondsonsupply.com/collections/electricians-tools/products/klein-tools-d2000-49-diagonal-cutting-pliers-angled-head-9-inch", "https://edmondsonsupply.com/collections/electricians-tools/products/klein-tools-d2000-49-diagonal-cutting-pliers-angled-head-9-inch")</f>
        <v/>
      </c>
      <c r="B6617" s="2">
        <f>HYPERLINK("https://edmondsonsupply.com/products/klein-tools-d2000-49-diagonal-cutting-pliers-angled-head-9-inch", "https://edmondsonsupply.com/products/klein-tools-d2000-49-diagonal-cutting-pliers-angled-head-9-inch")</f>
        <v/>
      </c>
      <c r="C6617" t="inlineStr">
        <is>
          <t>Klein Tools D2000-49 Diagonal Cutting Pliers, Angled Head, 9-Inch</t>
        </is>
      </c>
      <c r="D6617" t="inlineStr">
        <is>
          <t>Klein Tools D248-8-GLW Pliers, Hi-Viz Diagonal Cutting Pliers with Angled Head, Short Jaws, and Glow in the Dark Handles, 8-Inch</t>
        </is>
      </c>
      <c r="E6617" s="2">
        <f>HYPERLINK("https://www.amazon.com/Diagonal-Cutting-Klein-Tools-D248-8-GLW/dp/B00LMM39TY/ref=sr_1_10?keywords=Klein+Tools+D2000-49+Diagonal+Cutting+Pliers%2C+Angled+Head%2C+9-Inch&amp;qid=1694735245&amp;sr=8-10", "https://www.amazon.com/Diagonal-Cutting-Klein-Tools-D248-8-GLW/dp/B00LMM39TY/ref=sr_1_10?keywords=Klein+Tools+D2000-49+Diagonal+Cutting+Pliers%2C+Angled+Head%2C+9-Inch&amp;qid=1694735245&amp;sr=8-10")</f>
        <v/>
      </c>
      <c r="F6617" t="inlineStr">
        <is>
          <t>B00LMM39TY</t>
        </is>
      </c>
      <c r="G6617">
        <f>_xlfn.IMAGE("https://edmondsonsupply.com/cdn/shop/products/d2000-49.jpg?v=1633030811")</f>
        <v/>
      </c>
      <c r="H6617">
        <f>_xlfn.IMAGE("https://m.media-amazon.com/images/I/41HSLnsbFiL._AC_UL320_.jpg")</f>
        <v/>
      </c>
      <c r="K6617" t="inlineStr">
        <is>
          <t>38.99</t>
        </is>
      </c>
      <c r="L6617" t="n">
        <v>33.99</v>
      </c>
      <c r="M6617" s="1" t="inlineStr">
        <is>
          <t>-12.82%</t>
        </is>
      </c>
      <c r="N6617" s="7" t="n"/>
      <c r="O6617" t="n">
        <v>4.9</v>
      </c>
      <c r="P6617" t="n">
        <v>631</v>
      </c>
      <c r="R6617" t="inlineStr">
        <is>
          <t>InStock</t>
        </is>
      </c>
      <c r="S6617" t="inlineStr">
        <is>
          <t>59.06</t>
        </is>
      </c>
      <c r="T6617" t="inlineStr">
        <is>
          <t>6025094987944</t>
        </is>
      </c>
    </row>
    <row r="6618" ht="87" customHeight="1">
      <c r="A6618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6618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6618" t="inlineStr">
        <is>
          <t>Diablo Tools DMAPL4300 1 in. x 8 in. x 10 in. Rebar Demon™ SDS‑Plus 4‑Cutter Full Carbide Head Hammer Drill Bit</t>
        </is>
      </c>
      <c r="D6618" t="inlineStr">
        <is>
          <t>Diablo by Freud DMAPL4300 1 in. x 8 in. x 10 in. Rebar Demon™ SDS-Plus 4-Cutter Full Carbide Head Hammer Bit</t>
        </is>
      </c>
      <c r="E6618" s="2">
        <f>HYPERLINK("https://www.amazon.com/Diablo-Freud-DMAPL4300-SDS-Plus-4-Cutter/dp/B089LL8JD8/ref=sr_1_1?keywords=Diablo+Tools+DMAPL4300+1+in.+x+8+in.+x+10+in.+Rebar+Demon%E2%84%A2+SDS%E2%80%91Plus+4%E2%80%91Cutter+Full+Carbide+Head+Hammer+Drill+Bit&amp;qid=1694735259&amp;sr=8-1", "https://www.amazon.com/Diablo-Freud-DMAPL4300-SDS-Plus-4-Cutter/dp/B089LL8JD8/ref=sr_1_1?keywords=Diablo+Tools+DMAPL4300+1+in.+x+8+in.+x+10+in.+Rebar+Demon%E2%84%A2+SDS%E2%80%91Plus+4%E2%80%91Cutter+Full+Carbide+Head+Hammer+Drill+Bit&amp;qid=1694735259&amp;sr=8-1")</f>
        <v/>
      </c>
      <c r="F6618" t="inlineStr">
        <is>
          <t>B089LL8JD8</t>
        </is>
      </c>
      <c r="G6618">
        <f>_xlfn.IMAGE("https://edmondsonsupply.com/cdn/shop/products/DMAPL4300_Additional-Images_0120200225.png?v=1633030652")</f>
        <v/>
      </c>
      <c r="H6618">
        <f>_xlfn.IMAGE("https://m.media-amazon.com/images/I/616UiJGsK1L._AC_UL320_.jpg")</f>
        <v/>
      </c>
      <c r="K6618" t="inlineStr">
        <is>
          <t>38.97</t>
        </is>
      </c>
      <c r="L6618" t="n">
        <v>33.95</v>
      </c>
      <c r="M6618" s="1" t="inlineStr">
        <is>
          <t>-12.88%</t>
        </is>
      </c>
      <c r="N6618" s="7" t="n"/>
      <c r="O6618" t="n">
        <v>4.5</v>
      </c>
      <c r="P6618" t="n">
        <v>16</v>
      </c>
      <c r="R6618" t="inlineStr">
        <is>
          <t>InStock</t>
        </is>
      </c>
      <c r="S6618" t="inlineStr">
        <is>
          <t>52.66</t>
        </is>
      </c>
      <c r="T6618" t="inlineStr">
        <is>
          <t>5740518637736</t>
        </is>
      </c>
    </row>
    <row r="6619" hidden="1" ht="15.75" customHeight="1">
      <c r="A6619" s="2">
        <f>HYPERLINK("https://edmondsonsupply.com/collections/electricians-tools/products/fluke-st120-gfci-socket-tester", "https://edmondsonsupply.com/collections/electricians-tools/products/fluke-st120-gfci-socket-tester")</f>
        <v/>
      </c>
      <c r="B6619" s="2">
        <f>HYPERLINK("https://edmondsonsupply.com/products/fluke-st120-gfci-socket-tester", "https://edmondsonsupply.com/products/fluke-st120-gfci-socket-tester")</f>
        <v/>
      </c>
      <c r="C6619" t="inlineStr">
        <is>
          <t>Fluke ST120 Socket Tester with GFCI</t>
        </is>
      </c>
      <c r="D6619" t="inlineStr">
        <is>
          <t>Aenllosi Hard Carrying Case Replacement for Fluke ST120 / ST120+ GFCI Socket Tester</t>
        </is>
      </c>
      <c r="E6619" s="2">
        <f>HYPERLINK("https://www.amazon.com/Aenllosi-Carrying-Replacement-Socket-Tester/dp/B0BD7JLMCB/ref=sr_1_4?keywords=Fluke+ST120+Socket+Tester+with+GFCI&amp;qid=1694735137&amp;sr=8-4", "https://www.amazon.com/Aenllosi-Carrying-Replacement-Socket-Tester/dp/B0BD7JLMCB/ref=sr_1_4?keywords=Fluke+ST120+Socket+Tester+with+GFCI&amp;qid=1694735137&amp;sr=8-4")</f>
        <v/>
      </c>
      <c r="F6619" t="inlineStr">
        <is>
          <t>B0BD7JLMCB</t>
        </is>
      </c>
      <c r="G6619">
        <f>_xludf.IMAGE("https://edmondsonsupply.com/cdn/shop/products/F-st120_01a_w.webp?v=1662582102")</f>
        <v/>
      </c>
      <c r="H6619">
        <f>_xludf.IMAGE("https://m.media-amazon.com/images/I/81I3g-w5eLL._AC_UL320_.jpg")</f>
        <v/>
      </c>
      <c r="K6619" t="inlineStr">
        <is>
          <t>15.49</t>
        </is>
      </c>
      <c r="L6619" t="n">
        <v>13.49</v>
      </c>
      <c r="M6619" s="1" t="inlineStr">
        <is>
          <t>-12.91%</t>
        </is>
      </c>
      <c r="N6619" s="1" t="n"/>
      <c r="O6619" t="n">
        <v>4.8</v>
      </c>
      <c r="P6619" t="n">
        <v>62</v>
      </c>
      <c r="R6619" t="inlineStr">
        <is>
          <t>InStock</t>
        </is>
      </c>
      <c r="S6619" t="inlineStr">
        <is>
          <t>16.99</t>
        </is>
      </c>
      <c r="T6619" t="inlineStr">
        <is>
          <t>7807640961240</t>
        </is>
      </c>
    </row>
    <row r="6620" ht="87" customHeight="1">
      <c r="A6620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6620" s="2">
        <f>HYPERLINK("https://edmondsonsupply.com/products/klein-tools-31870-carbide-hole-cutter-2-1-2-inch", "https://edmondsonsupply.com/products/klein-tools-31870-carbide-hole-cutter-2-1-2-inch")</f>
        <v/>
      </c>
      <c r="C6620" t="inlineStr">
        <is>
          <t>Klein Tools 31870 Carbide Hole Cutter, 2-1/2-Inch</t>
        </is>
      </c>
      <c r="D6620" t="inlineStr">
        <is>
          <t>Greenlee 625-2-1/2 Carbide-Tipped Hole Cutter, 2-1/2-Inch</t>
        </is>
      </c>
      <c r="E6620" s="2">
        <f>HYPERLINK("https://www.amazon.com/Greenlee-625-2-1-Carbide-Tipped-Cutter-2-Inch/dp/B00204CCLO/ref=sr_1_19?keywords=Klein+Tools+31870+Carbide+Hole+Cutter%2C+2-1%2F2-Inch&amp;qid=1694735218&amp;sr=8-19", "https://www.amazon.com/Greenlee-625-2-1-Carbide-Tipped-Cutter-2-Inch/dp/B00204CCLO/ref=sr_1_19?keywords=Klein+Tools+31870+Carbide+Hole+Cutter%2C+2-1%2F2-Inch&amp;qid=1694735218&amp;sr=8-19")</f>
        <v/>
      </c>
      <c r="F6620" t="inlineStr">
        <is>
          <t>B00204CCLO</t>
        </is>
      </c>
      <c r="G6620">
        <f>_xlfn.IMAGE("https://edmondsonsupply.com/cdn/shop/products/31870_alt1.jpg?v=1633030999")</f>
        <v/>
      </c>
      <c r="H6620">
        <f>_xlfn.IMAGE("https://m.media-amazon.com/images/I/91Gh0g8+Y-L._AC_UL320_.jpg")</f>
        <v/>
      </c>
      <c r="K6620" t="inlineStr">
        <is>
          <t>79.99</t>
        </is>
      </c>
      <c r="L6620" t="n">
        <v>69.62</v>
      </c>
      <c r="M6620" s="1" t="inlineStr">
        <is>
          <t>-12.96%</t>
        </is>
      </c>
      <c r="N6620" s="7" t="n"/>
      <c r="O6620" t="n">
        <v>4.5</v>
      </c>
      <c r="P6620" t="n">
        <v>122</v>
      </c>
      <c r="R6620" t="inlineStr">
        <is>
          <t>InStock</t>
        </is>
      </c>
      <c r="S6620" t="inlineStr">
        <is>
          <t>121.2</t>
        </is>
      </c>
      <c r="T6620" t="inlineStr">
        <is>
          <t>6680619974829</t>
        </is>
      </c>
    </row>
    <row r="6621" ht="87" customHeight="1">
      <c r="A6621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6621" s="2">
        <f>HYPERLINK("https://edmondsonsupply.com/products/klein-tools-j203-8-pliers-needle-nose-side-cutters-8-inch", "https://edmondsonsupply.com/products/klein-tools-j203-8-pliers-needle-nose-side-cutters-8-inch")</f>
        <v/>
      </c>
      <c r="C6621" t="inlineStr">
        <is>
          <t>Klein Tools J203-8 Pliers, Needle Nose Side-Cutters, 8-Inch</t>
        </is>
      </c>
      <c r="D6621" t="inlineStr">
        <is>
          <t>Klein Tools D213-8NE Pliers, 8-Inch Side Cutters, High Leverage Lineman's Pliers Cut Copper, Aluminum and other Soft Metals</t>
        </is>
      </c>
      <c r="E6621" s="2">
        <f>HYPERLINK("https://www.amazon.com/Klein-Tools-D213-8NE-Linemans-Pliers/dp/B000UQ5QW6/ref=sr_1_16?keywords=Klein+Tools+J203-8+Pliers%2C+Needle+Nose+Side-Cutters%2C+8-Inch&amp;qid=1694735171&amp;sr=8-16", "https://www.amazon.com/Klein-Tools-D213-8NE-Linemans-Pliers/dp/B000UQ5QW6/ref=sr_1_16?keywords=Klein+Tools+J203-8+Pliers%2C+Needle+Nose+Side-Cutters%2C+8-Inch&amp;qid=1694735171&amp;sr=8-16")</f>
        <v/>
      </c>
      <c r="F6621" t="inlineStr">
        <is>
          <t>B000UQ5QW6</t>
        </is>
      </c>
      <c r="G6621">
        <f>_xlfn.IMAGE("https://edmondsonsupply.com/cdn/shop/products/j2038.jpg?v=1644709677")</f>
        <v/>
      </c>
      <c r="H6621">
        <f>_xlfn.IMAGE("https://m.media-amazon.com/images/I/51QNEEU4fsL._AC_UL320_.jpg")</f>
        <v/>
      </c>
      <c r="K6621" t="inlineStr">
        <is>
          <t>38.49</t>
        </is>
      </c>
      <c r="L6621" t="n">
        <v>33.49</v>
      </c>
      <c r="M6621" s="1" t="inlineStr">
        <is>
          <t>-12.99%</t>
        </is>
      </c>
      <c r="N6621" s="7" t="n"/>
      <c r="O6621" t="n">
        <v>4.6</v>
      </c>
      <c r="P6621" t="n">
        <v>416</v>
      </c>
      <c r="R6621" t="inlineStr">
        <is>
          <t>InStock</t>
        </is>
      </c>
      <c r="S6621" t="inlineStr">
        <is>
          <t>58.32</t>
        </is>
      </c>
      <c r="T6621" t="inlineStr">
        <is>
          <t>7606180249816</t>
        </is>
      </c>
    </row>
    <row r="6622" ht="87" customHeight="1">
      <c r="A6622" s="2">
        <f>HYPERLINK("https://edmondsonsupply.com/collections/electricians-tools/products/klein-tools-63215-high-leverage-compact-cable-cutter", "https://edmondsonsupply.com/collections/electricians-tools/products/klein-tools-63215-high-leverage-compact-cable-cutter")</f>
        <v/>
      </c>
      <c r="B6622" s="2">
        <f>HYPERLINK("https://edmondsonsupply.com/products/klein-tools-63215-high-leverage-compact-cable-cutter", "https://edmondsonsupply.com/products/klein-tools-63215-high-leverage-compact-cable-cutter")</f>
        <v/>
      </c>
      <c r="C6622" t="inlineStr">
        <is>
          <t>Klein Tools 63215 High-Leverage Compact Cable Cutter</t>
        </is>
      </c>
      <c r="D6622" t="inlineStr">
        <is>
          <t>Klein Tools 63215 Cable Cutter, High-Leverage 6.5-Inch Compact, Forged From US Made Steel, Ideal for Cutting Aluminum and Copper Cable</t>
        </is>
      </c>
      <c r="E6622" s="2">
        <f>HYPERLINK("https://www.amazon.com/Klein-Tools-63215-High-Leverage-Aluminum/dp/B088NR2Q2Y/ref=sr_1_1?keywords=Klein+Tools+63215+High-Leverage+Compact+Cable+Cutter&amp;qid=1694735238&amp;sr=8-1", "https://www.amazon.com/Klein-Tools-63215-High-Leverage-Aluminum/dp/B088NR2Q2Y/ref=sr_1_1?keywords=Klein+Tools+63215+High-Leverage+Compact+Cable+Cutter&amp;qid=1694735238&amp;sr=8-1")</f>
        <v/>
      </c>
      <c r="F6622" t="inlineStr">
        <is>
          <t>B088NR2Q2Y</t>
        </is>
      </c>
      <c r="G6622">
        <f>_xlfn.IMAGE("https://edmondsonsupply.com/cdn/shop/products/63215.jpg?v=1633030808")</f>
        <v/>
      </c>
      <c r="H6622">
        <f>_xlfn.IMAGE("https://m.media-amazon.com/images/I/61NOJnun2xL._AC_UL320_.jpg")</f>
        <v/>
      </c>
      <c r="K6622" t="inlineStr">
        <is>
          <t>22.99</t>
        </is>
      </c>
      <c r="L6622" t="n">
        <v>19.97</v>
      </c>
      <c r="M6622" s="1" t="inlineStr">
        <is>
          <t>-13.14%</t>
        </is>
      </c>
      <c r="N6622" s="7" t="n"/>
      <c r="O6622" t="n">
        <v>4.7</v>
      </c>
      <c r="P6622" t="n">
        <v>424</v>
      </c>
      <c r="R6622" t="inlineStr">
        <is>
          <t>InStock</t>
        </is>
      </c>
      <c r="S6622" t="inlineStr">
        <is>
          <t>32.22</t>
        </is>
      </c>
      <c r="T6622" t="inlineStr">
        <is>
          <t>6016861569192</t>
        </is>
      </c>
    </row>
    <row r="6623" ht="87" customHeight="1">
      <c r="A6623" s="2">
        <f>HYPERLINK("https://edmondsonsupply.com/collections/electricians-tools/products/crescent-wiss-ws3n-3-straight-handle-hand-seamer", "https://edmondsonsupply.com/collections/electricians-tools/products/crescent-wiss-ws3n-3-straight-handle-hand-seamer")</f>
        <v/>
      </c>
      <c r="B6623" s="2">
        <f>HYPERLINK("https://edmondsonsupply.com/products/crescent-wiss-ws3n-3-straight-handle-hand-seamer", "https://edmondsonsupply.com/products/crescent-wiss-ws3n-3-straight-handle-hand-seamer")</f>
        <v/>
      </c>
      <c r="C6623" t="inlineStr">
        <is>
          <t>Crescent Wiss WS3N 3" Straight Handle Hand Seamer</t>
        </is>
      </c>
      <c r="D6623" t="inlineStr">
        <is>
          <t>Crescent Wiss 3" Straight Handle Hand Seamer - WS3N</t>
        </is>
      </c>
      <c r="E6623" s="2">
        <f>HYPERLINK("https://www.amazon.com/Wiss-WS3N-Straight-Handle-Seamer/dp/B0711SV5KP/ref=sr_1_1?keywords=Crescent+Wiss+WS3N+3%22+Straight+Handle+Hand+Seamer&amp;qid=1694735006&amp;sr=8-1", "https://www.amazon.com/Wiss-WS3N-Straight-Handle-Seamer/dp/B0711SV5KP/ref=sr_1_1?keywords=Crescent+Wiss+WS3N+3%22+Straight+Handle+Hand+Seamer&amp;qid=1694735006&amp;sr=8-1")</f>
        <v/>
      </c>
      <c r="F6623" t="inlineStr">
        <is>
          <t>B0711SV5KP</t>
        </is>
      </c>
      <c r="G6623">
        <f>_xlfn.IMAGE("https://edmondsonsupply.com/cdn/shop/products/WIS_WS3N_IMG-MAIN.jpg?v=1679678303")</f>
        <v/>
      </c>
      <c r="H6623">
        <f>_xlfn.IMAGE("https://m.media-amazon.com/images/I/61If78TftlL._AC_UL320_.jpg")</f>
        <v/>
      </c>
      <c r="K6623" t="inlineStr">
        <is>
          <t>40.32</t>
        </is>
      </c>
      <c r="L6623" t="n">
        <v>34.99</v>
      </c>
      <c r="M6623" s="1" t="inlineStr">
        <is>
          <t>-13.22%</t>
        </is>
      </c>
      <c r="N6623" s="7" t="n"/>
      <c r="O6623" t="n">
        <v>4.4</v>
      </c>
      <c r="P6623" t="n">
        <v>173</v>
      </c>
      <c r="R6623" t="inlineStr">
        <is>
          <t>InStock</t>
        </is>
      </c>
      <c r="S6623" t="inlineStr">
        <is>
          <t>87.96</t>
        </is>
      </c>
      <c r="T6623" t="inlineStr">
        <is>
          <t>7966381736152</t>
        </is>
      </c>
    </row>
    <row r="6624" hidden="1" ht="15.75" customHeight="1">
      <c r="A6624" s="2">
        <f>HYPERLINK("https://edmondsonsupply.com/collections/electricians-tools/products/klein-tools-44138-coping-replacement-blades-for-44218-3-pack", "https://edmondsonsupply.com/collections/electricians-tools/products/klein-tools-44138-coping-replacement-blades-for-44218-3-pack")</f>
        <v/>
      </c>
      <c r="B6624" s="2">
        <f>HYPERLINK("https://edmondsonsupply.com/products/klein-tools-44138-coping-replacement-blades-for-44218-3-pack", "https://edmondsonsupply.com/products/klein-tools-44138-coping-replacement-blades-for-44218-3-pack")</f>
        <v/>
      </c>
      <c r="C6624" t="inlineStr">
        <is>
          <t>Klein Tools 44138 Coping Replacement Blades for 44218 3-Pack</t>
        </is>
      </c>
      <c r="D6624" t="inlineStr">
        <is>
          <t>Klein Tools 44138 Replacement Coping Blades for Klein Tools Folding Utility Knife No. 44218, 3-Pack</t>
        </is>
      </c>
      <c r="E6624" s="2">
        <f>HYPERLINK("https://www.amazon.com/Replacement-Klein-Tools-Folding-44138/dp/B07D7RTNZH/ref=sr_1_1?keywords=Klein+Tools+44138+Coping+Replacement+Blades+for+44218+3-Pack&amp;qid=1694735178&amp;sr=8-1", "https://www.amazon.com/Replacement-Klein-Tools-Folding-44138/dp/B07D7RTNZH/ref=sr_1_1?keywords=Klein+Tools+44138+Coping+Replacement+Blades+for+44218+3-Pack&amp;qid=1694735178&amp;sr=8-1")</f>
        <v/>
      </c>
      <c r="F6624" t="inlineStr">
        <is>
          <t>B07D7RTNZH</t>
        </is>
      </c>
      <c r="G6624">
        <f>_xludf.IMAGE("https://edmondsonsupply.com/cdn/shop/products/44138.jpg?v=1635633218")</f>
        <v/>
      </c>
      <c r="H6624">
        <f>_xludf.IMAGE("https://m.media-amazon.com/images/I/510kReenLDL._AC_UL320_.jpg")</f>
        <v/>
      </c>
      <c r="K6624" t="inlineStr">
        <is>
          <t>12.99</t>
        </is>
      </c>
      <c r="L6624" t="n">
        <v>11.27</v>
      </c>
      <c r="M6624" s="1" t="inlineStr">
        <is>
          <t>-13.24%</t>
        </is>
      </c>
      <c r="N6624" s="1" t="n"/>
      <c r="O6624" t="n">
        <v>4.8</v>
      </c>
      <c r="P6624" t="n">
        <v>3343</v>
      </c>
      <c r="R6624" t="inlineStr">
        <is>
          <t>InStock</t>
        </is>
      </c>
      <c r="S6624" t="inlineStr">
        <is>
          <t>18.18</t>
        </is>
      </c>
      <c r="T6624" t="inlineStr">
        <is>
          <t>7355821785304</t>
        </is>
      </c>
    </row>
    <row r="6625" ht="87" customHeight="1">
      <c r="A6625" s="2">
        <f>HYPERLINK("https://edmondsonsupply.com/collections/electricians-tools/products/milwaukee-48-11-1850-m18%E2%84%A2-redlithium%E2%84%A2-xc5-0-extended-capacity-battery-pack", "https://edmondsonsupply.com/collections/electricians-tools/products/milwaukee-48-11-1850-m18%E2%84%A2-redlithium%E2%84%A2-xc5-0-extended-capacity-battery-pack")</f>
        <v/>
      </c>
      <c r="B6625" s="2">
        <f>HYPERLINK("https://edmondsonsupply.com/products/milwaukee-48-11-1850-m18%e2%84%a2-redlithium%e2%84%a2-xc5-0-extended-capacity-battery-pack", "https://edmondsonsupply.com/products/milwaukee-48-11-1850-m18%e2%84%a2-redlithium%e2%84%a2-xc5-0-extended-capacity-battery-pack")</f>
        <v/>
      </c>
      <c r="C6625" t="inlineStr">
        <is>
          <t>Milwaukee 48-11-1850 M18™ REDLITHIUM™ XC5.0 Extended Capacity Battery Pack</t>
        </is>
      </c>
      <c r="D6625" t="inlineStr">
        <is>
          <t>Milwaukee 48-11-1850R M18 18V 5Ah XC Extended Capacity Resistant Battery 2 Pack, (48-11-1850Rx2)</t>
        </is>
      </c>
      <c r="E6625" s="2">
        <f>HYPERLINK("https://www.amazon.com/Milwaukee-48-11-1850R-Extended-Resistant-48-11-1850Rx2/dp/B0B8TDYXBP/ref=sr_1_4?keywords=Milwaukee+48-11-1850+M18%E2%84%A2+REDLITHIUM%E2%84%A2+XC5.0+Extended+Capacity+Battery+Pack&amp;qid=1694735153&amp;sr=8-4", "https://www.amazon.com/Milwaukee-48-11-1850R-Extended-Resistant-48-11-1850Rx2/dp/B0B8TDYXBP/ref=sr_1_4?keywords=Milwaukee+48-11-1850+M18%E2%84%A2+REDLITHIUM%E2%84%A2+XC5.0+Extended+Capacity+Battery+Pack&amp;qid=1694735153&amp;sr=8-4")</f>
        <v/>
      </c>
      <c r="F6625" t="inlineStr">
        <is>
          <t>B0B8TDYXBP</t>
        </is>
      </c>
      <c r="G6625">
        <f>_xlfn.IMAGE("https://edmondsonsupply.com/cdn/shop/products/48-11-1850_1.webp?v=1655482517")</f>
        <v/>
      </c>
      <c r="H6625">
        <f>_xlfn.IMAGE("https://m.media-amazon.com/images/I/71KKu6oh+8L._AC_UL320_.jpg")</f>
        <v/>
      </c>
      <c r="K6625" t="inlineStr">
        <is>
          <t>159.0</t>
        </is>
      </c>
      <c r="L6625" t="n">
        <v>137.8</v>
      </c>
      <c r="M6625" s="1" t="inlineStr">
        <is>
          <t>-13.33%</t>
        </is>
      </c>
      <c r="N6625" s="7" t="n"/>
      <c r="O6625" t="n">
        <v>4.7</v>
      </c>
      <c r="P6625" t="n">
        <v>151</v>
      </c>
      <c r="R6625" t="inlineStr">
        <is>
          <t>OutOfStock</t>
        </is>
      </c>
      <c r="S6625" t="inlineStr">
        <is>
          <t>273.0</t>
        </is>
      </c>
      <c r="T6625" t="inlineStr">
        <is>
          <t>7721428713688</t>
        </is>
      </c>
    </row>
    <row r="6626" ht="87" customHeight="1">
      <c r="A6626" s="2">
        <f>HYPERLINK("https://edmondsonsupply.com/collections/electricians-tools/products/klein-tools-12098-eins-combination-pliers-insulated", "https://edmondsonsupply.com/collections/electricians-tools/products/klein-tools-12098-eins-combination-pliers-insulated")</f>
        <v/>
      </c>
      <c r="B6626" s="2">
        <f>HYPERLINK("https://edmondsonsupply.com/products/klein-tools-12098-eins-combination-pliers-insulated", "https://edmondsonsupply.com/products/klein-tools-12098-eins-combination-pliers-insulated")</f>
        <v/>
      </c>
      <c r="C6626" t="inlineStr">
        <is>
          <t>Klein Tools 12098-EINS Combination Pliers, Insulated</t>
        </is>
      </c>
      <c r="D6626" t="inlineStr">
        <is>
          <t>Klein Tools 12098-INS Insulated Universal Combination Pliers, Side Cutters with Crimper, 8-Inch</t>
        </is>
      </c>
      <c r="E6626" s="2">
        <f>HYPERLINK("https://www.amazon.com/Insulated-Combination-Klein-Tools-12098-INS/dp/B0002RI4V8/ref=sr_1_1?keywords=Klein+Tools+12098-EINS+Combination+Pliers%2C+Insulated&amp;qid=1694735216&amp;sr=8-1", "https://www.amazon.com/Insulated-Combination-Klein-Tools-12098-INS/dp/B0002RI4V8/ref=sr_1_1?keywords=Klein+Tools+12098-EINS+Combination+Pliers%2C+Insulated&amp;qid=1694735216&amp;sr=8-1")</f>
        <v/>
      </c>
      <c r="F6626" t="inlineStr">
        <is>
          <t>B0002RI4V8</t>
        </is>
      </c>
      <c r="G6626">
        <f>_xlfn.IMAGE("https://edmondsonsupply.com/cdn/shop/products/12098eins.jpg?v=1633031039")</f>
        <v/>
      </c>
      <c r="H6626">
        <f>_xlfn.IMAGE("https://m.media-amazon.com/images/I/51I3JjFrgcL._AC_UL320_.jpg")</f>
        <v/>
      </c>
      <c r="K6626" t="inlineStr">
        <is>
          <t>74.99</t>
        </is>
      </c>
      <c r="L6626" t="n">
        <v>64.98999999999999</v>
      </c>
      <c r="M6626" s="1" t="inlineStr">
        <is>
          <t>-13.34%</t>
        </is>
      </c>
      <c r="N6626" s="7" t="n"/>
      <c r="O6626" t="n">
        <v>5</v>
      </c>
      <c r="P6626" t="n">
        <v>10</v>
      </c>
      <c r="R6626" t="inlineStr">
        <is>
          <t>InStock</t>
        </is>
      </c>
      <c r="S6626" t="inlineStr">
        <is>
          <t>113.62</t>
        </is>
      </c>
      <c r="T6626" t="inlineStr">
        <is>
          <t>6745363546285</t>
        </is>
      </c>
    </row>
    <row r="6627" ht="87" customHeight="1">
      <c r="A6627" s="2">
        <f>HYPERLINK("https://edmondsonsupply.com/collections/electricians-tools/products/klein-tools-d507-8-adjustable-wrench-extra-capacity-8-inch", "https://edmondsonsupply.com/collections/electricians-tools/products/klein-tools-d507-8-adjustable-wrench-extra-capacity-8-inch")</f>
        <v/>
      </c>
      <c r="B6627" s="2">
        <f>HYPERLINK("https://edmondsonsupply.com/products/klein-tools-d507-8-adjustable-wrench-extra-capacity-8-inch", "https://edmondsonsupply.com/products/klein-tools-d507-8-adjustable-wrench-extra-capacity-8-inch")</f>
        <v/>
      </c>
      <c r="C6627" t="inlineStr">
        <is>
          <t>Klein Tools D507-8 Adjustable Wrench, Extra Capacity 8-Inch</t>
        </is>
      </c>
      <c r="D6627" t="inlineStr">
        <is>
          <t>Klein Tools 507-6 Adjustable Wrench, Extra Capacity Jaw Forged Drive Wrench with High Polish Chrome Finish, 6-Inch</t>
        </is>
      </c>
      <c r="E6627" s="2">
        <f>HYPERLINK("https://www.amazon.com/Extra-Capacity-Adjustable-Klein-Tools-507-6/dp/B00093DZ46/ref=sr_1_8?keywords=Klein+Tools+D507-8+Adjustable+Wrench%2C+Extra+Capacity+8-Inch&amp;qid=1694734984&amp;sr=8-8", "https://www.amazon.com/Extra-Capacity-Adjustable-Klein-Tools-507-6/dp/B00093DZ46/ref=sr_1_8?keywords=Klein+Tools+D507-8+Adjustable+Wrench%2C+Extra+Capacity+8-Inch&amp;qid=1694734984&amp;sr=8-8")</f>
        <v/>
      </c>
      <c r="F6627" t="inlineStr">
        <is>
          <t>B00093DZ46</t>
        </is>
      </c>
      <c r="G6627">
        <f>_xlfn.IMAGE("https://edmondsonsupply.com/cdn/shop/products/d5078_b.jpg?v=1666010497")</f>
        <v/>
      </c>
      <c r="H6627">
        <f>_xlfn.IMAGE("https://m.media-amazon.com/images/I/51xYjpasBkL._AC_UL320_.jpg")</f>
        <v/>
      </c>
      <c r="K6627" t="inlineStr">
        <is>
          <t>29.99</t>
        </is>
      </c>
      <c r="L6627" t="n">
        <v>25.99</v>
      </c>
      <c r="M6627" s="1" t="inlineStr">
        <is>
          <t>-13.34%</t>
        </is>
      </c>
      <c r="N6627" s="7" t="n"/>
      <c r="O6627" t="n">
        <v>4.5</v>
      </c>
      <c r="P6627" t="n">
        <v>19</v>
      </c>
      <c r="R6627" t="inlineStr">
        <is>
          <t>InStock</t>
        </is>
      </c>
      <c r="S6627" t="inlineStr">
        <is>
          <t>45.44</t>
        </is>
      </c>
      <c r="T6627" t="inlineStr">
        <is>
          <t>4353085014116</t>
        </is>
      </c>
    </row>
    <row r="6628" ht="87" customHeight="1">
      <c r="A6628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6628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6628" t="inlineStr">
        <is>
          <t>Klein Tools 1550-2 2 Blade Pocket Knife, Steel, 2-1/2-Inch Blade</t>
        </is>
      </c>
      <c r="D6628" t="inlineStr">
        <is>
          <t>Klein Tools 1550-2 Electricians Knife, 2 Blade Pocket Knife, Steel, 2-1/2-Inch Blade,Brown</t>
        </is>
      </c>
      <c r="E6628" s="2">
        <f>HYPERLINK("https://www.amazon.com/Pocket-2-Inch-Klein-Tools-1550-2/dp/B00176H2DE/ref=sr_1_1?keywords=Klein+Tools+1550-2+2+Blade+Pocket+Knife%2C+Steel%2C+2-1%2F2-Inch+Blade&amp;qid=1694735141&amp;sr=8-1", "https://www.amazon.com/Pocket-2-Inch-Klein-Tools-1550-2/dp/B00176H2DE/ref=sr_1_1?keywords=Klein+Tools+1550-2+2+Blade+Pocket+Knife%2C+Steel%2C+2-1%2F2-Inch+Blade&amp;qid=1694735141&amp;sr=8-1")</f>
        <v/>
      </c>
      <c r="F6628" t="inlineStr">
        <is>
          <t>B00176H2DE</t>
        </is>
      </c>
      <c r="G6628">
        <f>_xlfn.IMAGE("https://edmondsonsupply.com/cdn/shop/products/15502_b.jpg?v=1658020543")</f>
        <v/>
      </c>
      <c r="H6628">
        <f>_xlfn.IMAGE("https://m.media-amazon.com/images/I/41-3gskqqhL._AC_UL320_.jpg")</f>
        <v/>
      </c>
      <c r="K6628" t="inlineStr">
        <is>
          <t>29.99</t>
        </is>
      </c>
      <c r="L6628" t="n">
        <v>25.99</v>
      </c>
      <c r="M6628" s="1" t="inlineStr">
        <is>
          <t>-13.34%</t>
        </is>
      </c>
      <c r="N6628" s="7" t="n"/>
      <c r="O6628" t="n">
        <v>4.5</v>
      </c>
      <c r="P6628" t="n">
        <v>237</v>
      </c>
      <c r="R6628" t="inlineStr">
        <is>
          <t>InStock</t>
        </is>
      </c>
      <c r="S6628" t="inlineStr">
        <is>
          <t>45.52</t>
        </is>
      </c>
      <c r="T6628" t="inlineStr">
        <is>
          <t>2766536409188</t>
        </is>
      </c>
    </row>
    <row r="6629" hidden="1" ht="15.75" customHeight="1">
      <c r="A6629" s="2">
        <f>HYPERLINK("https://edmondsonsupply.com/collections/electricians-tools/products/klein-tools-s10-5-16-inch-nut-driver-3-inch-hollow-shaft", "https://edmondsonsupply.com/collections/electricians-tools/products/klein-tools-s10-5-16-inch-nut-driver-3-inch-hollow-shaft")</f>
        <v/>
      </c>
      <c r="B6629" s="2">
        <f>HYPERLINK("https://edmondsonsupply.com/products/klein-tools-s10-5-16-inch-nut-driver-3-inch-hollow-shaft", "https://edmondsonsupply.com/products/klein-tools-s10-5-16-inch-nut-driver-3-inch-hollow-shaft")</f>
        <v/>
      </c>
      <c r="C6629" t="inlineStr">
        <is>
          <t>Klein Tools S10 5/16-Inch Nut Driver 3-Inch Hollow Shaft</t>
        </is>
      </c>
      <c r="D6629" t="inlineStr">
        <is>
          <t>Klein Tools 70205 5 mm Metric Nut Driver with 3-Inch Hollow Shaft and Comfordome Handle</t>
        </is>
      </c>
      <c r="E6629" s="2">
        <f>HYPERLINK("https://www.amazon.com/Klein-Tools-Metric-Driver-Comfordome/dp/B00093GEIU/ref=sr_1_18?keywords=Klein+Tools+S10+5%2F16-Inch+Nut+Driver+3-Inch+Hollow+Shaft&amp;qid=1694735234&amp;sr=8-18", "https://www.amazon.com/Klein-Tools-Metric-Driver-Comfordome/dp/B00093GEIU/ref=sr_1_18?keywords=Klein+Tools+S10+5%2F16-Inch+Nut+Driver+3-Inch+Hollow+Shaft&amp;qid=1694735234&amp;sr=8-18")</f>
        <v/>
      </c>
      <c r="F6629" t="inlineStr">
        <is>
          <t>B00093GEIU</t>
        </is>
      </c>
      <c r="G6629">
        <f>_xludf.IMAGE("https://edmondsonsupply.com/cdn/shop/products/s10_38acacb8-6c8e-49ef-8ed3-7160ab53875a.jpg?v=1633030893")</f>
        <v/>
      </c>
      <c r="H6629">
        <f>_xludf.IMAGE("https://m.media-amazon.com/images/I/61WdBIZ9d9L._AC_UL320_.jpg")</f>
        <v/>
      </c>
      <c r="K6629" t="inlineStr">
        <is>
          <t>7.99</t>
        </is>
      </c>
      <c r="L6629" t="n">
        <v>6.92</v>
      </c>
      <c r="M6629" s="1" t="inlineStr">
        <is>
          <t>-13.39%</t>
        </is>
      </c>
      <c r="N6629" s="1" t="n"/>
      <c r="O6629" t="n">
        <v>5</v>
      </c>
      <c r="P6629" t="n">
        <v>2</v>
      </c>
      <c r="R6629" t="inlineStr">
        <is>
          <t>InStock</t>
        </is>
      </c>
      <c r="S6629" t="inlineStr">
        <is>
          <t>12.06</t>
        </is>
      </c>
      <c r="T6629" t="inlineStr">
        <is>
          <t>6223447031981</t>
        </is>
      </c>
    </row>
    <row r="6630" hidden="1" ht="15.75" customHeight="1">
      <c r="A6630" s="2">
        <f>HYPERLINK("https://edmondsonsupply.com/collections/electricians-tools/products/klein-tools-66073-flip-impact-socket-15-16-and-7-8-inch", "https://edmondsonsupply.com/collections/electricians-tools/products/klein-tools-66073-flip-impact-socket-15-16-and-7-8-inch")</f>
        <v/>
      </c>
      <c r="B6630" s="2">
        <f>HYPERLINK("https://edmondsonsupply.com/products/klein-tools-66073-flip-impact-socket-15-16-and-7-8-inch", "https://edmondsonsupply.com/products/klein-tools-66073-flip-impact-socket-15-16-and-7-8-inch")</f>
        <v/>
      </c>
      <c r="C6630" t="inlineStr">
        <is>
          <t>Klein Tools 66073 Flip Impact Socket, 15/16 and 7/8-Inch</t>
        </is>
      </c>
      <c r="D6630" t="inlineStr">
        <is>
          <t>Klein Tools 66076 Impact Driver Flip Socket, 9/16- and 1/2-Inch Sizes, Use with Klein Tools Compact Impact Wrenches BAT20CW, BAT20CW1</t>
        </is>
      </c>
      <c r="E6630" s="2">
        <f>HYPERLINK("https://www.amazon.com/Klein-Tools-66076-Wrenches-BAT20CW1/dp/B0B33L1X4F/ref=sr_1_5?keywords=Klein+Tools+66073+Flip+Impact+Socket%2C+15%2F16+and+7%2F8-Inch&amp;qid=1694735125&amp;sr=8-5", "https://www.amazon.com/Klein-Tools-66076-Wrenches-BAT20CW1/dp/B0B33L1X4F/ref=sr_1_5?keywords=Klein+Tools+66073+Flip+Impact+Socket%2C+15%2F16+and+7%2F8-Inch&amp;qid=1694735125&amp;sr=8-5")</f>
        <v/>
      </c>
      <c r="F6630" t="inlineStr">
        <is>
          <t>B0B33L1X4F</t>
        </is>
      </c>
      <c r="G6630">
        <f>_xludf.IMAGE("https://edmondsonsupply.com/cdn/shop/products/66073.jpg?v=1663250093")</f>
        <v/>
      </c>
      <c r="H6630">
        <f>_xludf.IMAGE("https://m.media-amazon.com/images/I/51DlQH9Po+L._AC_UL320_.jpg")</f>
        <v/>
      </c>
      <c r="K6630" t="inlineStr">
        <is>
          <t>15.0</t>
        </is>
      </c>
      <c r="L6630" t="n">
        <v>12.99</v>
      </c>
      <c r="M6630" s="1" t="inlineStr">
        <is>
          <t>-13.40%</t>
        </is>
      </c>
      <c r="N6630" s="1" t="n"/>
      <c r="O6630" t="n">
        <v>4.8</v>
      </c>
      <c r="P6630" t="n">
        <v>15</v>
      </c>
      <c r="R6630" t="inlineStr">
        <is>
          <t>InStock</t>
        </is>
      </c>
      <c r="S6630" t="inlineStr">
        <is>
          <t>21.0</t>
        </is>
      </c>
      <c r="T6630" t="inlineStr">
        <is>
          <t>7817375547608</t>
        </is>
      </c>
    </row>
    <row r="6631" hidden="1" ht="15.75" customHeight="1">
      <c r="A6631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6631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6631" t="inlineStr">
        <is>
          <t>Diablo Tools DMAPL4220 5/8 in. x 6 in. x 8 in. Rebar Demon™ SDS-Plus 4-Cutter Full Carbide Head Hammer Bit</t>
        </is>
      </c>
      <c r="D6631" t="inlineStr">
        <is>
          <t>Diablo by Freud DMAPL4010 5/32 in. x 2 in. x 4 in. Rebar Demon SDS-Plus 4-Cutter Full Carbide Head Hammer Bit</t>
        </is>
      </c>
      <c r="E6631" s="2">
        <f>HYPERLINK("https://www.amazon.com/Diablo-SDS-Plus-4-Cutter-Carbide-Hammer/dp/B089KWVTD3/ref=sr_1_36?keywords=Diablo+Tools+DMAPL4220+5%2F8+in.+x+6+in.+x+8+in.+Rebar+Demon%E2%84%A2+SDS-Plus+4-Cutter+Full+Carbide+Head+Hammer+Bit&amp;qid=1694735306&amp;sr=8-36", "https://www.amazon.com/Diablo-SDS-Plus-4-Cutter-Carbide-Hammer/dp/B089KWVTD3/ref=sr_1_36?keywords=Diablo+Tools+DMAPL4220+5%2F8+in.+x+6+in.+x+8+in.+Rebar+Demon%E2%84%A2+SDS-Plus+4-Cutter+Full+Carbide+Head+Hammer+Bit&amp;qid=1694735306&amp;sr=8-36")</f>
        <v/>
      </c>
      <c r="F6631" t="inlineStr">
        <is>
          <t>B089KWVTD3</t>
        </is>
      </c>
      <c r="G6631">
        <f>_xludf.IMAGE("https://edmondsonsupply.com/cdn/shop/products/DMAPL4220.jpg?v=1633030355")</f>
        <v/>
      </c>
      <c r="H6631">
        <f>_xludf.IMAGE("https://m.media-amazon.com/images/I/61IkB-DVS1L._AC_UL320_.jpg")</f>
        <v/>
      </c>
      <c r="K6631" t="inlineStr">
        <is>
          <t>10.97</t>
        </is>
      </c>
      <c r="L6631" t="n">
        <v>9.5</v>
      </c>
      <c r="M6631" s="1" t="inlineStr">
        <is>
          <t>-13.40%</t>
        </is>
      </c>
      <c r="N6631" s="1" t="n"/>
      <c r="O6631" t="n">
        <v>4.7</v>
      </c>
      <c r="P6631" t="n">
        <v>4</v>
      </c>
      <c r="R6631" t="inlineStr">
        <is>
          <t>InStock</t>
        </is>
      </c>
      <c r="S6631" t="inlineStr">
        <is>
          <t>17.16</t>
        </is>
      </c>
      <c r="T6631" t="inlineStr">
        <is>
          <t>5286142148776</t>
        </is>
      </c>
    </row>
    <row r="6632" ht="87" customHeight="1">
      <c r="A6632" s="2">
        <f>HYPERLINK("https://edmondsonsupply.com/collections/electricians-tools/products/klein-tools-vdv512-101-coax-explorer%C2%AE-2-tester-with-remote-kit", "https://edmondsonsupply.com/collections/electricians-tools/products/klein-tools-vdv512-101-coax-explorer%C2%AE-2-tester-with-remote-kit")</f>
        <v/>
      </c>
      <c r="B6632" s="2">
        <f>HYPERLINK("https://edmondsonsupply.com/products/klein-tools-vdv512-101-coax-explorer%c2%ae-2-tester-with-remote-kit", "https://edmondsonsupply.com/products/klein-tools-vdv512-101-coax-explorer%c2%ae-2-tester-with-remote-kit")</f>
        <v/>
      </c>
      <c r="C6632" t="inlineStr">
        <is>
          <t>Klein Tools VDV512-101 Cable Tester, Coax Explorer® 2 Tester with Remote Kit</t>
        </is>
      </c>
      <c r="D6632" t="inlineStr">
        <is>
          <t>Klein Tools VDV512-101 Explorer 2 Coax Tester Kit, Includes Cable Tester / Wire Tracer / Coax Mapper with Remotes to Test up to 4 Locations, cranberry</t>
        </is>
      </c>
      <c r="E6632" s="2">
        <f>HYPERLINK("https://www.amazon.com/Locations-Explorer-Klein-Tools-VDV512-101/dp/B076DP1534/ref=sr_1_1?keywords=Klein+Tools+VDV512-101+Cable+Tester%2C+Coax+Explorer%C2%AE+2+Tester+with+Remote+Kit&amp;qid=1694735353&amp;sr=8-1", "https://www.amazon.com/Locations-Explorer-Klein-Tools-VDV512-101/dp/B076DP1534/ref=sr_1_1?keywords=Klein+Tools+VDV512-101+Cable+Tester%2C+Coax+Explorer%C2%AE+2+Tester+with+Remote+Kit&amp;qid=1694735353&amp;sr=8-1")</f>
        <v/>
      </c>
      <c r="F6632" t="inlineStr">
        <is>
          <t>B076DP1534</t>
        </is>
      </c>
      <c r="G6632">
        <f>_xlfn.IMAGE("https://edmondsonsupply.com/cdn/shop/products/vdv512101.jpg?v=1587146306")</f>
        <v/>
      </c>
      <c r="H6632">
        <f>_xlfn.IMAGE("https://m.media-amazon.com/images/I/41Bp1qgzMgL._AC_UY218_.jpg")</f>
        <v/>
      </c>
      <c r="K6632" t="inlineStr">
        <is>
          <t>37.97</t>
        </is>
      </c>
      <c r="L6632" t="n">
        <v>32.87</v>
      </c>
      <c r="M6632" s="1" t="inlineStr">
        <is>
          <t>-13.43%</t>
        </is>
      </c>
      <c r="N6632" s="7" t="n"/>
      <c r="O6632" t="n">
        <v>4.7</v>
      </c>
      <c r="P6632" t="n">
        <v>4606</v>
      </c>
      <c r="R6632" t="inlineStr">
        <is>
          <t>InStock</t>
        </is>
      </c>
      <c r="S6632" t="inlineStr">
        <is>
          <t>48.42</t>
        </is>
      </c>
      <c r="T6632" t="inlineStr">
        <is>
          <t>4513201848420</t>
        </is>
      </c>
    </row>
    <row r="6633" ht="87" customHeight="1">
      <c r="A6633" s="2">
        <f>HYPERLINK("https://edmondsonsupply.com/collections/electricians-tools/products/crescent-wiss-ws46n-6-straight-handle-hand-seamer", "https://edmondsonsupply.com/collections/electricians-tools/products/crescent-wiss-ws46n-6-straight-handle-hand-seamer")</f>
        <v/>
      </c>
      <c r="B6633" s="2">
        <f>HYPERLINK("https://edmondsonsupply.com/products/crescent-wiss-ws46n-6-straight-handle-hand-seamer", "https://edmondsonsupply.com/products/crescent-wiss-ws46n-6-straight-handle-hand-seamer")</f>
        <v/>
      </c>
      <c r="C6633" t="inlineStr">
        <is>
          <t>Crescent Wiss WS6N 6" Straight Handle Hand Seamer</t>
        </is>
      </c>
      <c r="D6633" t="inlineStr">
        <is>
          <t>Wiss 6" Straight Handle Hand Seamer - WS6N</t>
        </is>
      </c>
      <c r="E6633" s="2">
        <f>HYPERLINK("https://www.amazon.com/Wiss-WS6N-6-Straight-Handle/dp/B06XC1LGGL/ref=sr_1_1?keywords=Crescent+Wiss+WS6N+6%22+Straight+Handle+Hand+Seamer&amp;qid=1694735007&amp;sr=8-1", "https://www.amazon.com/Wiss-WS6N-6-Straight-Handle/dp/B06XC1LGGL/ref=sr_1_1?keywords=Crescent+Wiss+WS6N+6%22+Straight+Handle+Hand+Seamer&amp;qid=1694735007&amp;sr=8-1")</f>
        <v/>
      </c>
      <c r="F6633" t="inlineStr">
        <is>
          <t>B06XC1LGGL</t>
        </is>
      </c>
      <c r="G6633">
        <f>_xlfn.IMAGE("https://edmondsonsupply.com/cdn/shop/products/WIS_WS3N_IMG-MAIN_1.jpg?v=1679679422")</f>
        <v/>
      </c>
      <c r="H6633">
        <f>_xlfn.IMAGE("https://m.media-amazon.com/images/I/51GLUjHEnvS._AC_UL320_.jpg")</f>
        <v/>
      </c>
      <c r="K6633" t="inlineStr">
        <is>
          <t>62.4</t>
        </is>
      </c>
      <c r="L6633" t="n">
        <v>53.99</v>
      </c>
      <c r="M6633" s="1" t="inlineStr">
        <is>
          <t>-13.48%</t>
        </is>
      </c>
      <c r="N6633" s="7" t="n"/>
      <c r="O6633" t="n">
        <v>4.4</v>
      </c>
      <c r="P6633" t="n">
        <v>74</v>
      </c>
      <c r="R6633" t="inlineStr">
        <is>
          <t>InStock</t>
        </is>
      </c>
      <c r="S6633" t="inlineStr">
        <is>
          <t>112.06</t>
        </is>
      </c>
      <c r="T6633" t="inlineStr">
        <is>
          <t>7966439309528</t>
        </is>
      </c>
    </row>
    <row r="6634" hidden="1" ht="15.75" customHeight="1">
      <c r="A6634" s="2">
        <f>HYPERLINK("https://edmondsonsupply.com/collections/electricians-tools/products/klein-tools-50611ml-magnetic-wire-puller-replacement-leader", "https://edmondsonsupply.com/collections/electricians-tools/products/klein-tools-50611ml-magnetic-wire-puller-replacement-leader")</f>
        <v/>
      </c>
      <c r="B6634" s="2">
        <f>HYPERLINK("https://edmondsonsupply.com/products/klein-tools-50611ml-magnetic-wire-puller-replacement-leader", "https://edmondsonsupply.com/products/klein-tools-50611ml-magnetic-wire-puller-replacement-leader")</f>
        <v/>
      </c>
      <c r="C6634" t="inlineStr">
        <is>
          <t>Klein Tools 50611ML Magnetic Wire Puller Replacement Leader</t>
        </is>
      </c>
      <c r="D6634" t="inlineStr">
        <is>
          <t>Klein Tools 50611ML Wire Puller Replacement Leader, Stainless-Steel Leader with Eyelet for Easy Wire and Cable Pulling, Rare Earth Magnet,Orange</t>
        </is>
      </c>
      <c r="E6634" s="2">
        <f>HYPERLINK("https://www.amazon.com/Klein-Tools-50611ML-Replacement-Stainless-Steel/dp/B09C6RH3Z9/ref=sr_1_1?keywords=Klein+Tools+50611ML+Magnetic+Wire+Puller+Replacement+Leader&amp;qid=1694735111&amp;sr=8-1", "https://www.amazon.com/Klein-Tools-50611ML-Replacement-Stainless-Steel/dp/B09C6RH3Z9/ref=sr_1_1?keywords=Klein+Tools+50611ML+Magnetic+Wire+Puller+Replacement+Leader&amp;qid=1694735111&amp;sr=8-1")</f>
        <v/>
      </c>
      <c r="F6634" t="inlineStr">
        <is>
          <t>B09C6RH3Z9</t>
        </is>
      </c>
      <c r="G6634">
        <f>_xludf.IMAGE("https://edmondsonsupply.com/cdn/shop/products/50611ml.jpg?v=1664399271")</f>
        <v/>
      </c>
      <c r="H6634">
        <f>_xludf.IMAGE("https://m.media-amazon.com/images/I/31ni9F4mVRL._AC_UL320_.jpg")</f>
        <v/>
      </c>
      <c r="K6634" t="inlineStr">
        <is>
          <t>24.99</t>
        </is>
      </c>
      <c r="L6634" t="n">
        <v>21.61</v>
      </c>
      <c r="M6634" s="1" t="inlineStr">
        <is>
          <t>-13.53%</t>
        </is>
      </c>
      <c r="N6634" s="1" t="n"/>
      <c r="O6634" t="n">
        <v>4</v>
      </c>
      <c r="P6634" t="n">
        <v>8</v>
      </c>
      <c r="R6634" t="inlineStr">
        <is>
          <t>InStock</t>
        </is>
      </c>
      <c r="S6634" t="inlineStr">
        <is>
          <t>36.06</t>
        </is>
      </c>
      <c r="T6634" t="inlineStr">
        <is>
          <t>7832399937752</t>
        </is>
      </c>
    </row>
    <row r="6635" ht="87" customHeight="1">
      <c r="A6635" s="2">
        <f>HYPERLINK("https://edmondsonsupply.com/collections/electricians-tools/products/greenlee-7235bb-slug-buster%C2%AE-1-2-1-1-4-manual-knockout-set", "https://edmondsonsupply.com/collections/electricians-tools/products/greenlee-7235bb-slug-buster%C2%AE-1-2-1-1-4-manual-knockout-set")</f>
        <v/>
      </c>
      <c r="B6635" s="2">
        <f>HYPERLINK("https://edmondsonsupply.com/products/greenlee-7235bb-slug-buster%c2%ae-1-2-1-1-4-manual-knockout-set", "https://edmondsonsupply.com/products/greenlee-7235bb-slug-buster%c2%ae-1-2-1-1-4-manual-knockout-set")</f>
        <v/>
      </c>
      <c r="C6635" t="inlineStr">
        <is>
          <t>Greenlee 7235BB Slug-Buster® 1/2" - 1-1/4" Manual Knockout Set</t>
        </is>
      </c>
      <c r="D6635" t="inlineStr">
        <is>
          <t>Greenlee 7235BB Slug-Buster 1/2" - 1-1/4" Manual Knockout Set for Use With KRW-1 High-Leverage Ratchet Wrench, Hole Punching Knockout Kit</t>
        </is>
      </c>
      <c r="E6635" s="2">
        <f>HYPERLINK("https://www.amazon.com/Greenlee-7235BB-Slug-Buster-Knockout-Conduit/dp/B000LDEZNO/ref=sr_1_1?keywords=Greenlee+7235BB+Slug-Buster%C2%AE+1%2F2%22+-+1-1%2F4%22+Manual+Knockout+Set&amp;qid=1694735371&amp;sr=8-1", "https://www.amazon.com/Greenlee-7235BB-Slug-Buster-Knockout-Conduit/dp/B000LDEZNO/ref=sr_1_1?keywords=Greenlee+7235BB+Slug-Buster%C2%AE+1%2F2%22+-+1-1%2F4%22+Manual+Knockout+Set&amp;qid=1694735371&amp;sr=8-1")</f>
        <v/>
      </c>
      <c r="F6635" t="inlineStr">
        <is>
          <t>B000LDEZNO</t>
        </is>
      </c>
      <c r="G6635">
        <f>_xlfn.IMAGE("https://edmondsonsupply.com/cdn/shop/products/7235BB-CAT1.jpg?v=1587148010")</f>
        <v/>
      </c>
      <c r="H6635">
        <f>_xlfn.IMAGE("https://m.media-amazon.com/images/I/81zBRdBM0qL._AC_UL320_.jpg")</f>
        <v/>
      </c>
      <c r="K6635" t="inlineStr">
        <is>
          <t>213.99</t>
        </is>
      </c>
      <c r="L6635" t="n">
        <v>184.99</v>
      </c>
      <c r="M6635" s="1" t="inlineStr">
        <is>
          <t>-13.55%</t>
        </is>
      </c>
      <c r="N6635" s="7" t="n"/>
      <c r="O6635" t="n">
        <v>4.6</v>
      </c>
      <c r="P6635" t="n">
        <v>167</v>
      </c>
      <c r="R6635" t="inlineStr">
        <is>
          <t>InStock</t>
        </is>
      </c>
      <c r="S6635" t="inlineStr">
        <is>
          <t>249.0</t>
        </is>
      </c>
      <c r="T6635" t="inlineStr">
        <is>
          <t>4430499610724</t>
        </is>
      </c>
    </row>
    <row r="6636" hidden="1" ht="15.75" customHeight="1">
      <c r="A6636" s="2">
        <f>HYPERLINK("https://edmondsonsupply.com/collections/electricians-tools/products/klein-tools-450-002-staples-5-16-inch-x-5-16-inch-insulated", "https://edmondsonsupply.com/collections/electricians-tools/products/klein-tools-450-002-staples-5-16-inch-x-5-16-inch-insulated")</f>
        <v/>
      </c>
      <c r="B6636" s="2">
        <f>HYPERLINK("https://edmondsonsupply.com/products/klein-tools-450-002-staples-5-16-inch-x-5-16-inch-insulated", "https://edmondsonsupply.com/products/klein-tools-450-002-staples-5-16-inch-x-5-16-inch-insulated")</f>
        <v/>
      </c>
      <c r="C6636" t="inlineStr">
        <is>
          <t>Klein Tools 450-002 Staples, 5/16-Inch x 5/16-Inch Insulated</t>
        </is>
      </c>
      <c r="D6636" t="inlineStr">
        <is>
          <t>Klein Tools 450-002 Heavy Duty Staples, 5/16 x 5/16-Inch Insulated Staples for Coax, CAT3, CAT5e Cables, for Klein Tools Stapler No. 450-100</t>
        </is>
      </c>
      <c r="E6636" s="2">
        <f>HYPERLINK("https://www.amazon.com/Klein-Tools-450-002-Staples-Insulated/dp/B085TCGCK7/ref=sr_1_1?keywords=Klein+Tools+450-002+Staples%2C+5%2F16-Inch+x+5%2F16-Inch+Insulated&amp;qid=1694734983&amp;sr=8-1", "https://www.amazon.com/Klein-Tools-450-002-Staples-Insulated/dp/B085TCGCK7/ref=sr_1_1?keywords=Klein+Tools+450-002+Staples%2C+5%2F16-Inch+x+5%2F16-Inch+Insulated&amp;qid=1694734983&amp;sr=8-1")</f>
        <v/>
      </c>
      <c r="F6636" t="inlineStr">
        <is>
          <t>B085TCGCK7</t>
        </is>
      </c>
      <c r="G6636">
        <f>_xludf.IMAGE("https://edmondsonsupply.com/cdn/shop/products/450002.jpg?v=1633030471")</f>
        <v/>
      </c>
      <c r="H6636">
        <f>_xludf.IMAGE("https://m.media-amazon.com/images/I/613jG6JSbkL._AC_UL320_.jpg")</f>
        <v/>
      </c>
      <c r="K6636" t="inlineStr">
        <is>
          <t>9.99</t>
        </is>
      </c>
      <c r="L6636" t="n">
        <v>8.630000000000001</v>
      </c>
      <c r="M6636" s="1" t="inlineStr">
        <is>
          <t>-13.61%</t>
        </is>
      </c>
      <c r="N6636" s="1" t="n"/>
      <c r="O6636" t="n">
        <v>4.1</v>
      </c>
      <c r="P6636" t="n">
        <v>651</v>
      </c>
      <c r="R6636" t="inlineStr">
        <is>
          <t>InStock</t>
        </is>
      </c>
      <c r="S6636" t="inlineStr">
        <is>
          <t>14.38</t>
        </is>
      </c>
      <c r="T6636" t="inlineStr">
        <is>
          <t>5365322612904</t>
        </is>
      </c>
    </row>
    <row r="6637" hidden="1" ht="15.75" customHeight="1">
      <c r="A6637" s="2">
        <f>HYPERLINK("https://edmondsonsupply.com/collections/electricians-tools/products/klein-tools-450-003-staples-11-32-inch-x-19-32-inch-insulated", "https://edmondsonsupply.com/collections/electricians-tools/products/klein-tools-450-003-staples-11-32-inch-x-19-32-inch-insulated")</f>
        <v/>
      </c>
      <c r="B6637" s="2">
        <f>HYPERLINK("https://edmondsonsupply.com/products/klein-tools-450-003-staples-11-32-inch-x-19-32-inch-insulated", "https://edmondsonsupply.com/products/klein-tools-450-003-staples-11-32-inch-x-19-32-inch-insulated")</f>
        <v/>
      </c>
      <c r="C6637" t="inlineStr">
        <is>
          <t>Klein Tools 450-003 Staples, 11/32-Inch x 19/32-Inch Insulated</t>
        </is>
      </c>
      <c r="D6637" t="inlineStr">
        <is>
          <t>Klein Tools 450-003 Heavy Duty Staples,19/32 x 11/32-Inch Insulated Staples for Romex and Other Cables, for Klein Tools Stapler No. 450-100</t>
        </is>
      </c>
      <c r="E6637" s="2">
        <f>HYPERLINK("https://www.amazon.com/Klein-Tools-Staples-Insulated-Stapler/dp/B085T26XB8/ref=sr_1_1?keywords=Klein+Tools+450-003+Staples%2C+11%2F32-Inch+x+19%2F32-Inch+Insulated&amp;qid=1694734985&amp;sr=8-1", "https://www.amazon.com/Klein-Tools-Staples-Insulated-Stapler/dp/B085T26XB8/ref=sr_1_1?keywords=Klein+Tools+450-003+Staples%2C+11%2F32-Inch+x+19%2F32-Inch+Insulated&amp;qid=1694734985&amp;sr=8-1")</f>
        <v/>
      </c>
      <c r="F6637" t="inlineStr">
        <is>
          <t>B085T26XB8</t>
        </is>
      </c>
      <c r="G6637">
        <f>_xludf.IMAGE("https://edmondsonsupply.com/cdn/shop/products/450003.jpg?v=1633030473")</f>
        <v/>
      </c>
      <c r="H6637">
        <f>_xludf.IMAGE("https://m.media-amazon.com/images/I/61G6HQn1wZL._AC_UL320_.jpg")</f>
        <v/>
      </c>
      <c r="K6637" t="inlineStr">
        <is>
          <t>9.99</t>
        </is>
      </c>
      <c r="L6637" t="n">
        <v>8.630000000000001</v>
      </c>
      <c r="M6637" s="1" t="inlineStr">
        <is>
          <t>-13.61%</t>
        </is>
      </c>
      <c r="N6637" s="1" t="n"/>
      <c r="O6637" t="n">
        <v>4.1</v>
      </c>
      <c r="P6637" t="n">
        <v>651</v>
      </c>
      <c r="R6637" t="inlineStr">
        <is>
          <t>InStock</t>
        </is>
      </c>
      <c r="S6637" t="inlineStr">
        <is>
          <t>14.38</t>
        </is>
      </c>
      <c r="T6637" t="inlineStr">
        <is>
          <t>5365386182824</t>
        </is>
      </c>
    </row>
    <row r="6638" hidden="1" ht="15.75" customHeight="1">
      <c r="A6638" s="2">
        <f>HYPERLINK("https://edmondsonsupply.com/collections/electricians-tools/products/klein-tools-450-001-staples-1-4-inch-x-5-16-inch-insulated", "https://edmondsonsupply.com/collections/electricians-tools/products/klein-tools-450-001-staples-1-4-inch-x-5-16-inch-insulated")</f>
        <v/>
      </c>
      <c r="B6638" s="2">
        <f>HYPERLINK("https://edmondsonsupply.com/products/klein-tools-450-001-staples-1-4-inch-x-5-16-inch-insulated", "https://edmondsonsupply.com/products/klein-tools-450-001-staples-1-4-inch-x-5-16-inch-insulated")</f>
        <v/>
      </c>
      <c r="C6638" t="inlineStr">
        <is>
          <t>Klein Tools 450-001 Staples, 1/4-Inch x 5/16-Inch Insulated</t>
        </is>
      </c>
      <c r="D6638" t="inlineStr">
        <is>
          <t>Klein Tools 450-001 Heavy Duty Staples, 1/4 x 5/16-Inch Insulated Staples for CAT3 and CAT5e Data Cables, for Klein Tools Stapler No. 450-100</t>
        </is>
      </c>
      <c r="E6638" s="2">
        <f>HYPERLINK("https://www.amazon.com/Klein-Tools-450-001-Staples-Insulated/dp/B085T5GM89/ref=sr_1_1?keywords=Klein+Tools+450-001+Staples%2C+1%2F4-Inch+x+5%2F16-Inch+Insulated&amp;qid=1694734982&amp;sr=8-1", "https://www.amazon.com/Klein-Tools-450-001-Staples-Insulated/dp/B085T5GM89/ref=sr_1_1?keywords=Klein+Tools+450-001+Staples%2C+1%2F4-Inch+x+5%2F16-Inch+Insulated&amp;qid=1694734982&amp;sr=8-1")</f>
        <v/>
      </c>
      <c r="F6638" t="inlineStr">
        <is>
          <t>B085T5GM89</t>
        </is>
      </c>
      <c r="G6638">
        <f>_xludf.IMAGE("https://edmondsonsupply.com/cdn/shop/products/450001.jpg?v=1633030470")</f>
        <v/>
      </c>
      <c r="H6638">
        <f>_xludf.IMAGE("https://m.media-amazon.com/images/I/51KmfDEayiL._AC_UL320_.jpg")</f>
        <v/>
      </c>
      <c r="K6638" t="inlineStr">
        <is>
          <t>9.99</t>
        </is>
      </c>
      <c r="L6638" t="n">
        <v>8.630000000000001</v>
      </c>
      <c r="M6638" s="1" t="inlineStr">
        <is>
          <t>-13.61%</t>
        </is>
      </c>
      <c r="N6638" s="1" t="n"/>
      <c r="O6638" t="n">
        <v>4.1</v>
      </c>
      <c r="P6638" t="n">
        <v>651</v>
      </c>
      <c r="R6638" t="inlineStr">
        <is>
          <t>InStock</t>
        </is>
      </c>
      <c r="S6638" t="inlineStr">
        <is>
          <t>14.38</t>
        </is>
      </c>
      <c r="T6638" t="inlineStr">
        <is>
          <t>5365258715304</t>
        </is>
      </c>
    </row>
    <row r="6639" ht="87" customHeight="1">
      <c r="A6639" s="2">
        <f>HYPERLINK("https://edmondsonsupply.com/collections/electricians-tools/products/klein-tools-50031-ratcheting-pvc-cutter", "https://edmondsonsupply.com/collections/electricians-tools/products/klein-tools-50031-ratcheting-pvc-cutter")</f>
        <v/>
      </c>
      <c r="B6639" s="2">
        <f>HYPERLINK("https://edmondsonsupply.com/products/klein-tools-50031-ratcheting-pvc-cutter", "https://edmondsonsupply.com/products/klein-tools-50031-ratcheting-pvc-cutter")</f>
        <v/>
      </c>
      <c r="C6639" t="inlineStr">
        <is>
          <t>Klein Tools 50031 Ratcheting PVC Cutter</t>
        </is>
      </c>
      <c r="D6639" t="inlineStr">
        <is>
          <t>Klein Tools 50031 Ratcheting PVC Cutter</t>
        </is>
      </c>
      <c r="E6639" s="2">
        <f>HYPERLINK("https://www.amazon.com/Ratcheting-Cutter-Klein-Tools-50031/dp/B00ITF4U0Y/ref=sr_1_1?keywords=Klein+Tools+50031+Ratcheting+PVC+Cutter&amp;qid=1694735177&amp;sr=8-1", "https://www.amazon.com/Ratcheting-Cutter-Klein-Tools-50031/dp/B00ITF4U0Y/ref=sr_1_1?keywords=Klein+Tools+50031+Ratcheting+PVC+Cutter&amp;qid=1694735177&amp;sr=8-1")</f>
        <v/>
      </c>
      <c r="F6639" t="inlineStr">
        <is>
          <t>B00ITF4U0Y</t>
        </is>
      </c>
      <c r="G6639">
        <f>_xlfn.IMAGE("https://edmondsonsupply.com/cdn/shop/products/50031.jpg?v=1587145344")</f>
        <v/>
      </c>
      <c r="H6639">
        <f>_xlfn.IMAGE("https://m.media-amazon.com/images/I/51Ztl0mReHL._AC_UL320_.jpg")</f>
        <v/>
      </c>
      <c r="K6639" t="inlineStr">
        <is>
          <t>94.99</t>
        </is>
      </c>
      <c r="L6639" t="n">
        <v>82.02</v>
      </c>
      <c r="M6639" s="1" t="inlineStr">
        <is>
          <t>-13.65%</t>
        </is>
      </c>
      <c r="N6639" s="7" t="n"/>
      <c r="O6639" t="n">
        <v>4.8</v>
      </c>
      <c r="P6639" t="n">
        <v>55</v>
      </c>
      <c r="R6639" t="inlineStr">
        <is>
          <t>InStock</t>
        </is>
      </c>
      <c r="S6639" t="inlineStr">
        <is>
          <t>143.9</t>
        </is>
      </c>
      <c r="T6639" t="inlineStr">
        <is>
          <t>4385929920612</t>
        </is>
      </c>
    </row>
    <row r="6640" ht="87" customHeight="1">
      <c r="A6640" s="2">
        <f>HYPERLINK("https://edmondsonsupply.com/collections/electricians-tools/products/klein-tools-60407rl-hard-hat-vented-full-brim-with-rechargeable-headlamp-white", "https://edmondsonsupply.com/collections/electricians-tools/products/klein-tools-60407rl-hard-hat-vented-full-brim-with-rechargeable-headlamp-white")</f>
        <v/>
      </c>
      <c r="B6640" s="2">
        <f>HYPERLINK("https://edmondsonsupply.com/products/klein-tools-60407rl-hard-hat-vented-full-brim-with-rechargeable-headlamp-white", "https://edmondsonsupply.com/products/klein-tools-60407rl-hard-hat-vented-full-brim-with-rechargeable-headlamp-white")</f>
        <v/>
      </c>
      <c r="C6640" t="inlineStr">
        <is>
          <t>Klein Tools 60407RL Hard Hat, Vented, Full Brim with Rechargeable Headlamp, White</t>
        </is>
      </c>
      <c r="D6640" t="inlineStr">
        <is>
          <t>Klein Tools 60407RL Hard Hat, Rechargeable Headlamp, Vented, Full Brim Style, Padded Self-Wicking Odor-Resistant Sweatband, White, Large</t>
        </is>
      </c>
      <c r="E6640" s="2">
        <f>HYPERLINK("https://www.amazon.com/Klein-Tools-60407RL-Rechargeable-Odor-Resistant/dp/B08DDTV9M3/ref=sr_1_1?keywords=Klein+Tools+60407RL+Hard+Hat%2C+Vented%2C+Full+Brim+with+Rechargeable+Headlamp%2C+White&amp;qid=1694735114&amp;sr=8-1", "https://www.amazon.com/Klein-Tools-60407RL-Rechargeable-Odor-Resistant/dp/B08DDTV9M3/ref=sr_1_1?keywords=Klein+Tools+60407RL+Hard+Hat%2C+Vented%2C+Full+Brim+with+Rechargeable+Headlamp%2C+White&amp;qid=1694735114&amp;sr=8-1")</f>
        <v/>
      </c>
      <c r="F6640" t="inlineStr">
        <is>
          <t>B08DDTV9M3</t>
        </is>
      </c>
      <c r="G6640">
        <f>_xlfn.IMAGE("https://edmondsonsupply.com/cdn/shop/products/60407rl_d.jpg?v=1665589857")</f>
        <v/>
      </c>
      <c r="H6640">
        <f>_xlfn.IMAGE("https://m.media-amazon.com/images/I/61w2MM+yDgL._AC_UL320_.jpg")</f>
        <v/>
      </c>
      <c r="K6640" t="inlineStr">
        <is>
          <t>69.99</t>
        </is>
      </c>
      <c r="L6640" t="n">
        <v>60.37</v>
      </c>
      <c r="M6640" s="1" t="inlineStr">
        <is>
          <t>-13.74%</t>
        </is>
      </c>
      <c r="N6640" s="7" t="n"/>
      <c r="O6640" t="n">
        <v>4.7</v>
      </c>
      <c r="P6640" t="n">
        <v>1575</v>
      </c>
      <c r="R6640" t="inlineStr">
        <is>
          <t>InStock</t>
        </is>
      </c>
      <c r="S6640" t="inlineStr">
        <is>
          <t>105.0</t>
        </is>
      </c>
      <c r="T6640" t="inlineStr">
        <is>
          <t>7849949855960</t>
        </is>
      </c>
    </row>
    <row r="6641" ht="87" customHeight="1">
      <c r="A6641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6641" s="2">
        <f>HYPERLINK("https://edmondsonsupply.com/products/diablo-tools-dmapl2500-7-8-in-x-8-in-x-10-in-sds-plus-2-cutter", "https://edmondsonsupply.com/products/diablo-tools-dmapl2500-7-8-in-x-8-in-x-10-in-sds-plus-2-cutter")</f>
        <v/>
      </c>
      <c r="C6641" t="inlineStr">
        <is>
          <t>Diablo Tools DMAPL2500 7/8 in. x 8 in. x 10 in. SDS-Plus 2-Cutter</t>
        </is>
      </c>
      <c r="D6641" t="inlineStr">
        <is>
          <t>Diablo 5/8 in. x 16 in. x 18 in. SDS-Plus 2-Cutter</t>
        </is>
      </c>
      <c r="E6641" s="2">
        <f>HYPERLINK("https://www.amazon.com/Diablo-16-18-SDS-Plus-2-Cutter/dp/B089KV7MNH/ref=sr_1_37?keywords=Diablo+Tools+DMAPL2500+7%2F8+in.+x+8+in.+x+10+in.+SDS-Plus+2-Cutter&amp;qid=1694735171&amp;sr=8-37", "https://www.amazon.com/Diablo-16-18-SDS-Plus-2-Cutter/dp/B089KV7MNH/ref=sr_1_37?keywords=Diablo+Tools+DMAPL2500+7%2F8+in.+x+8+in.+x+10+in.+SDS-Plus+2-Cutter&amp;qid=1694735171&amp;sr=8-37")</f>
        <v/>
      </c>
      <c r="F6641" t="inlineStr">
        <is>
          <t>B089KV7MNH</t>
        </is>
      </c>
      <c r="G6641">
        <f>_xlfn.IMAGE("https://edmondsonsupply.com/cdn/shop/products/2500.webp?v=1647636219")</f>
        <v/>
      </c>
      <c r="H6641">
        <f>_xlfn.IMAGE("https://m.media-amazon.com/images/I/61QBGOEcYkL._AC_UL320_.jpg")</f>
        <v/>
      </c>
      <c r="K6641" t="inlineStr">
        <is>
          <t>28.97</t>
        </is>
      </c>
      <c r="L6641" t="n">
        <v>24.98</v>
      </c>
      <c r="M6641" s="1" t="inlineStr">
        <is>
          <t>-13.77%</t>
        </is>
      </c>
      <c r="N6641" s="7" t="n"/>
      <c r="O6641" t="n">
        <v>5</v>
      </c>
      <c r="P6641" t="n">
        <v>1</v>
      </c>
      <c r="R6641" t="inlineStr">
        <is>
          <t>InStock</t>
        </is>
      </c>
      <c r="S6641" t="inlineStr">
        <is>
          <t>33.98</t>
        </is>
      </c>
      <c r="T6641" t="inlineStr">
        <is>
          <t>7639201317080</t>
        </is>
      </c>
    </row>
    <row r="6642" ht="87" customHeight="1">
      <c r="A6642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6642" s="2">
        <f>HYPERLINK("https://edmondsonsupply.com/products/veto-pro-pac-tech-pac-backpack-tool-bag-1", "https://edmondsonsupply.com/products/veto-pro-pac-tech-pac-backpack-tool-bag-1")</f>
        <v/>
      </c>
      <c r="C6642" t="inlineStr">
        <is>
          <t>Veto Pro Pac TECH PAC LT Laptop Backpack Tool Bag</t>
        </is>
      </c>
      <c r="D6642" t="inlineStr">
        <is>
          <t>Veto Pro Pac Tech XL Tool Bag, 1-Pack,Black, Grey</t>
        </is>
      </c>
      <c r="E6642" s="2">
        <f>HYPERLINK("https://www.amazon.com/Veto-Tech-XL-Tool-1-Pack/dp/B00DYRFEJI/ref=sr_1_4?keywords=Veto+Pro+Pac+TECH+PAC+LT+Laptop+Backpack+Tool+Bag&amp;qid=1694735205&amp;sr=8-4", "https://www.amazon.com/Veto-Tech-XL-Tool-1-Pack/dp/B00DYRFEJI/ref=sr_1_4?keywords=Veto+Pro+Pac+TECH+PAC+LT+Laptop+Backpack+Tool+Bag&amp;qid=1694735205&amp;sr=8-4")</f>
        <v/>
      </c>
      <c r="F6642" t="inlineStr">
        <is>
          <t>B00DYRFEJI</t>
        </is>
      </c>
      <c r="G6642">
        <f>_xlfn.IMAGE("https://edmondsonsupply.com/cdn/shop/products/LT_1.jpg?v=1587146035")</f>
        <v/>
      </c>
      <c r="H6642">
        <f>_xlfn.IMAGE("https://m.media-amazon.com/images/I/71suRnmtVZL._AC_UL320_.jpg")</f>
        <v/>
      </c>
      <c r="K6642" t="inlineStr">
        <is>
          <t>289.99</t>
        </is>
      </c>
      <c r="L6642" t="n">
        <v>249.95</v>
      </c>
      <c r="M6642" s="1" t="inlineStr">
        <is>
          <t>-13.81%</t>
        </is>
      </c>
      <c r="N6642" s="7" t="n"/>
      <c r="O6642" t="n">
        <v>4.8</v>
      </c>
      <c r="P6642" t="n">
        <v>762</v>
      </c>
      <c r="R6642" t="inlineStr">
        <is>
          <t>InStock</t>
        </is>
      </c>
      <c r="S6642" t="inlineStr">
        <is>
          <t>undefined</t>
        </is>
      </c>
      <c r="T6642" t="inlineStr">
        <is>
          <t>3558529695844</t>
        </is>
      </c>
    </row>
    <row r="6643" ht="87" customHeight="1">
      <c r="A6643" s="2">
        <f>HYPERLINK("https://edmondsonsupply.com/collections/electricians-tools/products/diablo-tools-dmamx1010", "https://edmondsonsupply.com/collections/electricians-tools/products/diablo-tools-dmamx1010")</f>
        <v/>
      </c>
      <c r="B6643" s="2">
        <f>HYPERLINK("https://edmondsonsupply.com/products/diablo-tools-dmamx1010", "https://edmondsonsupply.com/products/diablo-tools-dmamx1010")</f>
        <v/>
      </c>
      <c r="C6643" t="inlineStr">
        <is>
          <t>Diablo Tools DMAMX1010 3/8 in. x 8 in. x 13 in. Rebar Demon SDS‑Max 4‑Cutter Full Carbide Head Hammer Bit</t>
        </is>
      </c>
      <c r="D6643" t="inlineStr">
        <is>
          <t>Diablo by Freud DMAPL4270 27/32 in. x 8 in. x 10 in. Rebar Demon SDS-Plus 4-Cutter Full Carbide Head Hammer Bit</t>
        </is>
      </c>
      <c r="E6643" s="2">
        <f>HYPERLINK("https://www.amazon.com/Diablo-Freud-DMAPL4270-SDS-Plus-4-Cutter/dp/B089KXBGLM/ref=sr_1_42?keywords=Diablo+Tools+DMAMX1010+3%2F8+in.+x+8+in.+x+13+in.+Rebar+Demon+SDS%E2%80%91Max+4%E2%80%91Cutter+Full+Carbide+Head+Hammer+Bit&amp;qid=1694735277&amp;sr=8-42", "https://www.amazon.com/Diablo-Freud-DMAPL4270-SDS-Plus-4-Cutter/dp/B089KXBGLM/ref=sr_1_42?keywords=Diablo+Tools+DMAMX1010+3%2F8+in.+x+8+in.+x+13+in.+Rebar+Demon+SDS%E2%80%91Max+4%E2%80%91Cutter+Full+Carbide+Head+Hammer+Bit&amp;qid=1694735277&amp;sr=8-42")</f>
        <v/>
      </c>
      <c r="F6643" t="inlineStr">
        <is>
          <t>B089KXBGLM</t>
        </is>
      </c>
      <c r="G6643">
        <f>_xlfn.IMAGE("https://edmondsonsupply.com/cdn/shop/products/DMAMX1010_Main-Image20200701.png?v=1609797900")</f>
        <v/>
      </c>
      <c r="H6643">
        <f>_xlfn.IMAGE("https://m.media-amazon.com/images/I/611A6sphG9L._AC_UL320_.jpg")</f>
        <v/>
      </c>
      <c r="K6643" t="inlineStr">
        <is>
          <t>34.97</t>
        </is>
      </c>
      <c r="L6643" t="n">
        <v>30.13</v>
      </c>
      <c r="M6643" s="1" t="inlineStr">
        <is>
          <t>-13.84%</t>
        </is>
      </c>
      <c r="N6643" s="7" t="n"/>
      <c r="O6643" t="n">
        <v>5</v>
      </c>
      <c r="P6643" t="n">
        <v>2</v>
      </c>
      <c r="R6643" t="inlineStr">
        <is>
          <t>InStock</t>
        </is>
      </c>
      <c r="S6643" t="inlineStr">
        <is>
          <t>43.11</t>
        </is>
      </c>
      <c r="T6643" t="inlineStr">
        <is>
          <t>5463785701544</t>
        </is>
      </c>
    </row>
    <row r="6644" ht="87" customHeight="1">
      <c r="A6644" s="2">
        <f>HYPERLINK("https://edmondsonsupply.com/collections/electricians-tools/products/klein-tools-55920-tradesman-pro%E2%84%A2-modular-tool-belt-xl", "https://edmondsonsupply.com/collections/electricians-tools/products/klein-tools-55920-tradesman-pro%E2%84%A2-modular-tool-belt-xl")</f>
        <v/>
      </c>
      <c r="B6644" s="2">
        <f>HYPERLINK("https://edmondsonsupply.com/products/klein-tools-55920-tradesman-pro%e2%84%a2-modular-tool-belt-xl", "https://edmondsonsupply.com/products/klein-tools-55920-tradesman-pro%e2%84%a2-modular-tool-belt-xl")</f>
        <v/>
      </c>
      <c r="C6644" t="inlineStr">
        <is>
          <t>Klein Tools 55920 Tradesman Pro™ Modular Tool Belt - XL</t>
        </is>
      </c>
      <c r="D6644" t="inlineStr">
        <is>
          <t>Klein Tools Tradesman Pro™ Maintenance Tool Pouch &amp; 5225 Tool Belt, Adjustable Electrician Belt is 2-Inch Wide, Adjusts for 48-Inch Waist</t>
        </is>
      </c>
      <c r="E6644" s="2">
        <f>HYPERLINK("https://www.amazon.com/Klein-Tools-Maintenance-Adjustable-Electrician/dp/B0BGJ61V5H/ref=sr_1_5?keywords=Klein+Tools+55920+Tradesman+Pro%E2%84%A2+Modular+Tool+Belt+-+XL&amp;qid=1694735348&amp;sr=8-5", "https://www.amazon.com/Klein-Tools-Maintenance-Adjustable-Electrician/dp/B0BGJ61V5H/ref=sr_1_5?keywords=Klein+Tools+55920+Tradesman+Pro%E2%84%A2+Modular+Tool+Belt+-+XL&amp;qid=1694735348&amp;sr=8-5")</f>
        <v/>
      </c>
      <c r="F6644" t="inlineStr">
        <is>
          <t>B0BGJ61V5H</t>
        </is>
      </c>
      <c r="G6644">
        <f>_xlfn.IMAGE("https://edmondsonsupply.com/cdn/shop/products/55919_1bacdbc3-31ed-40af-9272-b84f49462631.jpg?v=1587150191")</f>
        <v/>
      </c>
      <c r="H6644">
        <f>_xlfn.IMAGE("https://m.media-amazon.com/images/I/514kIoy1IWL._AC_UL320_.jpg")</f>
        <v/>
      </c>
      <c r="K6644" t="inlineStr">
        <is>
          <t>35.99</t>
        </is>
      </c>
      <c r="L6644" t="n">
        <v>30.99</v>
      </c>
      <c r="M6644" s="1" t="inlineStr">
        <is>
          <t>-13.89%</t>
        </is>
      </c>
      <c r="N6644" s="7" t="n"/>
      <c r="O6644" t="n">
        <v>4.6</v>
      </c>
      <c r="P6644" t="n">
        <v>3</v>
      </c>
      <c r="R6644" t="inlineStr">
        <is>
          <t>InStock</t>
        </is>
      </c>
      <c r="S6644" t="inlineStr">
        <is>
          <t>50.58</t>
        </is>
      </c>
      <c r="T6644" t="inlineStr">
        <is>
          <t>4498967068772</t>
        </is>
      </c>
    </row>
    <row r="6645" ht="87" customHeight="1">
      <c r="A6645" s="2">
        <f>HYPERLINK("https://edmondsonsupply.com/collections/electricians-tools/products/klein-tools-55918-tradesman-pro%E2%84%A2-modular-tool-belt-m", "https://edmondsonsupply.com/collections/electricians-tools/products/klein-tools-55918-tradesman-pro%E2%84%A2-modular-tool-belt-m")</f>
        <v/>
      </c>
      <c r="B6645" s="2">
        <f>HYPERLINK("https://edmondsonsupply.com/products/klein-tools-55918-tradesman-pro%e2%84%a2-modular-tool-belt-m", "https://edmondsonsupply.com/products/klein-tools-55918-tradesman-pro%e2%84%a2-modular-tool-belt-m")</f>
        <v/>
      </c>
      <c r="C6645" t="inlineStr">
        <is>
          <t>Klein Tools 55918 Tradesman Pro™ Modular Tool Belt - M</t>
        </is>
      </c>
      <c r="D6645" t="inlineStr">
        <is>
          <t>Klein Tools Tradesman Pro™ Maintenance Tool Pouch &amp; 5225 Tool Belt, Adjustable Electrician Belt is 2-Inch Wide, Adjusts for 48-Inch Waist</t>
        </is>
      </c>
      <c r="E6645" s="2">
        <f>HYPERLINK("https://www.amazon.com/Klein-Tools-Maintenance-Adjustable-Electrician/dp/B0BGJ61V5H/ref=sr_1_3?keywords=Klein+Tools+55918+Tradesman+Pro%E2%84%A2+Modular+Tool+Belt+-+M&amp;qid=1694735347&amp;sr=8-3", "https://www.amazon.com/Klein-Tools-Maintenance-Adjustable-Electrician/dp/B0BGJ61V5H/ref=sr_1_3?keywords=Klein+Tools+55918+Tradesman+Pro%E2%84%A2+Modular+Tool+Belt+-+M&amp;qid=1694735347&amp;sr=8-3")</f>
        <v/>
      </c>
      <c r="F6645" t="inlineStr">
        <is>
          <t>B0BGJ61V5H</t>
        </is>
      </c>
      <c r="G6645">
        <f>_xlfn.IMAGE("https://edmondsonsupply.com/cdn/shop/products/55919.jpg?v=1587146701")</f>
        <v/>
      </c>
      <c r="H6645">
        <f>_xlfn.IMAGE("https://m.media-amazon.com/images/I/514kIoy1IWL._AC_UL320_.jpg")</f>
        <v/>
      </c>
      <c r="K6645" t="inlineStr">
        <is>
          <t>35.99</t>
        </is>
      </c>
      <c r="L6645" t="n">
        <v>30.99</v>
      </c>
      <c r="M6645" s="1" t="inlineStr">
        <is>
          <t>-13.89%</t>
        </is>
      </c>
      <c r="N6645" s="7" t="n"/>
      <c r="O6645" t="n">
        <v>4.6</v>
      </c>
      <c r="P6645" t="n">
        <v>3</v>
      </c>
      <c r="R6645" t="inlineStr">
        <is>
          <t>InStock</t>
        </is>
      </c>
      <c r="S6645" t="inlineStr">
        <is>
          <t>50.58</t>
        </is>
      </c>
      <c r="T6645" t="inlineStr">
        <is>
          <t>4498958254180</t>
        </is>
      </c>
    </row>
    <row r="6646" ht="87" customHeight="1">
      <c r="A6646" s="2">
        <f>HYPERLINK("https://edmondsonsupply.com/collections/electricians-tools/products/copy-of-diablo-tools-d1280x-12-in-x-80-tooth-fine-finish-saw-blade", "https://edmondsonsupply.com/collections/electricians-tools/products/copy-of-diablo-tools-d1280x-12-in-x-80-tooth-fine-finish-saw-blade")</f>
        <v/>
      </c>
      <c r="B6646" s="2">
        <f>HYPERLINK("https://edmondsonsupply.com/products/copy-of-diablo-tools-d1280x-12-in-x-80-tooth-fine-finish-saw-blade", "https://edmondsonsupply.com/products/copy-of-diablo-tools-d1280x-12-in-x-80-tooth-fine-finish-saw-blade")</f>
        <v/>
      </c>
      <c r="C6646" t="inlineStr">
        <is>
          <t>Diablo Tools D1080X 10 in. x 80 Tooth Ultra Finish Saw Blade</t>
        </is>
      </c>
      <c r="D6646" t="inlineStr">
        <is>
          <t>Freud D1080X Diablo 10" 80-Tooth ATB Saw Blade w/5/8" Arbor&amp;PermaShield Coating</t>
        </is>
      </c>
      <c r="E6646" s="2">
        <f>HYPERLINK("https://www.amazon.com/D1080X-Diablo-10-Inch-80-tooth-PermaShield/dp/B00008WQ32/ref=sr_1_1?keywords=Diablo+Tools+D1080X+10+in.+x+80+Tooth+Ultra+Finish+Saw+Blade&amp;qid=1694735315&amp;sr=8-1", "https://www.amazon.com/D1080X-Diablo-10-Inch-80-tooth-PermaShield/dp/B00008WQ32/ref=sr_1_1?keywords=Diablo+Tools+D1080X+10+in.+x+80+Tooth+Ultra+Finish+Saw+Blade&amp;qid=1694735315&amp;sr=8-1")</f>
        <v/>
      </c>
      <c r="F6646" t="inlineStr">
        <is>
          <t>B00008WQ32</t>
        </is>
      </c>
      <c r="G6646">
        <f>_xlfn.IMAGE("https://edmondsonsupply.com/cdn/shop/products/D1080X_Main-Image20191112.png?v=1633030269")</f>
        <v/>
      </c>
      <c r="H6646">
        <f>_xlfn.IMAGE("https://m.media-amazon.com/images/I/61uorunRE3L._AC_UL320_.jpg")</f>
        <v/>
      </c>
      <c r="K6646" t="inlineStr">
        <is>
          <t>49.97</t>
        </is>
      </c>
      <c r="L6646" t="n">
        <v>42.99</v>
      </c>
      <c r="M6646" s="1" t="inlineStr">
        <is>
          <t>-13.97%</t>
        </is>
      </c>
      <c r="N6646" s="7" t="n"/>
      <c r="O6646" t="n">
        <v>4.8</v>
      </c>
      <c r="P6646" t="n">
        <v>1321</v>
      </c>
      <c r="R6646" t="inlineStr">
        <is>
          <t>InStock</t>
        </is>
      </c>
      <c r="S6646" t="inlineStr">
        <is>
          <t>80.45</t>
        </is>
      </c>
      <c r="T6646" t="inlineStr">
        <is>
          <t>4681043050596</t>
        </is>
      </c>
    </row>
    <row r="6647" ht="87" customHeight="1">
      <c r="A6647" s="2">
        <f>HYPERLINK("https://edmondsonsupply.com/collections/electricians-tools/products/copy-of-diablo-tools-ddd045dia101f-4-1-2-in-diamond-metal-cut-off-blade-1", "https://edmondsonsupply.com/collections/electricians-tools/products/copy-of-diablo-tools-ddd045dia101f-4-1-2-in-diamond-metal-cut-off-blade-1")</f>
        <v/>
      </c>
      <c r="B6647" s="2">
        <f>HYPERLINK("https://edmondsonsupply.com/products/copy-of-diablo-tools-ddd045dia101f-4-1-2-in-diamond-metal-cut-off-blade-1", "https://edmondsonsupply.com/products/copy-of-diablo-tools-ddd045dia101f-4-1-2-in-diamond-metal-cut-off-blade-1")</f>
        <v/>
      </c>
      <c r="C6647" t="inlineStr">
        <is>
          <t>Diablo Tools D0748CFX 7-1/4 in. x 48 Tooth Cermet Metal and Stainless Steel Cutting Saw Blade</t>
        </is>
      </c>
      <c r="D6647" t="inlineStr">
        <is>
          <t>Diablo D0748CF STEEL DEMON 7 1/4 inch 48 Teeth Metal and Stainless Steel cutting Saw Blade CERMET II Carbide Up to 5X Longer Life</t>
        </is>
      </c>
      <c r="E6647" s="2">
        <f>HYPERLINK("https://www.amazon.com/Diablo-D0748CF-Stainless-cutting-Carbide/dp/B07KWQJB6Y/ref=sr_1_1?keywords=Diablo+Tools+D0748CFX+7-1%2F4+in.+x+48+Tooth+Cermet+Metal+and+Stainless+Steel+Cutting+Saw+Blade&amp;qid=1694735332&amp;sr=8-1", "https://www.amazon.com/Diablo-D0748CF-Stainless-cutting-Carbide/dp/B07KWQJB6Y/ref=sr_1_1?keywords=Diablo+Tools+D0748CFX+7-1%2F4+in.+x+48+Tooth+Cermet+Metal+and+Stainless+Steel+Cutting+Saw+Blade&amp;qid=1694735332&amp;sr=8-1")</f>
        <v/>
      </c>
      <c r="F6647" t="inlineStr">
        <is>
          <t>B07KWQJB6Y</t>
        </is>
      </c>
      <c r="G6647">
        <f>_xlfn.IMAGE("https://edmondsonsupply.com/cdn/shop/products/D0748CFA_Main-Image.png?v=1633030259")</f>
        <v/>
      </c>
      <c r="H6647">
        <f>_xlfn.IMAGE("https://m.media-amazon.com/images/I/61kfWX8jykL._AC_UL320_.jpg")</f>
        <v/>
      </c>
      <c r="K6647" t="inlineStr">
        <is>
          <t>34.97</t>
        </is>
      </c>
      <c r="L6647" t="n">
        <v>30.05</v>
      </c>
      <c r="M6647" s="1" t="inlineStr">
        <is>
          <t>-14.07%</t>
        </is>
      </c>
      <c r="N6647" s="7" t="n"/>
      <c r="O6647" t="n">
        <v>4.6</v>
      </c>
      <c r="P6647" t="n">
        <v>758</v>
      </c>
      <c r="R6647" t="inlineStr">
        <is>
          <t>InStock</t>
        </is>
      </c>
      <c r="S6647" t="inlineStr">
        <is>
          <t>50.75</t>
        </is>
      </c>
      <c r="T6647" t="inlineStr">
        <is>
          <t>4641789739108</t>
        </is>
      </c>
    </row>
    <row r="6648" ht="87" customHeight="1">
      <c r="A6648" s="2">
        <f>HYPERLINK("https://edmondsonsupply.com/collections/electricians-tools/products/reed-mfg-cw18-18-chrome-adjustable-wrench", "https://edmondsonsupply.com/collections/electricians-tools/products/reed-mfg-cw18-18-chrome-adjustable-wrench")</f>
        <v/>
      </c>
      <c r="B6648" s="2">
        <f>HYPERLINK("https://edmondsonsupply.com/products/reed-mfg-cw18-18-chrome-adjustable-wrench", "https://edmondsonsupply.com/products/reed-mfg-cw18-18-chrome-adjustable-wrench")</f>
        <v/>
      </c>
      <c r="C6648" t="inlineStr">
        <is>
          <t>Reed Mfg CW18 18" Chrome Adjustable Wrench</t>
        </is>
      </c>
      <c r="D6648" t="inlineStr">
        <is>
          <t>Reed Tool CW18 Chrome Finish Adjustable Wrench, 18-Inch</t>
        </is>
      </c>
      <c r="E6648" s="2">
        <f>HYPERLINK("https://www.amazon.com/Reed-Tool-CW18-Adjustable-18-Inch/dp/B001H4K7BU/ref=sr_1_1?keywords=Reed+Mfg+CW18+18%22+Chrome+Adjustable+Wrench&amp;qid=1694735217&amp;sr=8-1", "https://www.amazon.com/Reed-Tool-CW18-Adjustable-18-Inch/dp/B001H4K7BU/ref=sr_1_1?keywords=Reed+Mfg+CW18+18%22+Chrome+Adjustable+Wrench&amp;qid=1694735217&amp;sr=8-1")</f>
        <v/>
      </c>
      <c r="F6648" t="inlineStr">
        <is>
          <t>B001H4K7BU</t>
        </is>
      </c>
      <c r="G6648">
        <f>_xlfn.IMAGE("https://edmondsonsupply.com/cdn/shop/products/02211-CW18-RGB.jpg?v=1633031009")</f>
        <v/>
      </c>
      <c r="H6648">
        <f>_xlfn.IMAGE("https://m.media-amazon.com/images/I/31QNPkG+h6L._AC_UL320_.jpg")</f>
        <v/>
      </c>
      <c r="K6648" t="inlineStr">
        <is>
          <t>82.64</t>
        </is>
      </c>
      <c r="L6648" t="n">
        <v>70.98999999999999</v>
      </c>
      <c r="M6648" s="1" t="inlineStr">
        <is>
          <t>-14.10%</t>
        </is>
      </c>
      <c r="N6648" s="7" t="n"/>
      <c r="O6648" t="n">
        <v>5</v>
      </c>
      <c r="P6648" t="n">
        <v>1</v>
      </c>
      <c r="R6648" t="inlineStr">
        <is>
          <t>InStock</t>
        </is>
      </c>
      <c r="S6648" t="inlineStr">
        <is>
          <t>93.07</t>
        </is>
      </c>
      <c r="T6648" t="inlineStr">
        <is>
          <t>6696378040493</t>
        </is>
      </c>
    </row>
    <row r="6649" ht="87" customHeight="1">
      <c r="A6649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6649" s="2">
        <f>HYPERLINK("https://edmondsonsupply.com/products/klein-tools-51608-1-2-inch-iron-conduit-bender-head", "https://edmondsonsupply.com/products/klein-tools-51608-1-2-inch-iron-conduit-bender-head")</f>
        <v/>
      </c>
      <c r="C6649" t="inlineStr">
        <is>
          <t>Klein Tools 51608 1/2-inch Iron Conduit Bender Head</t>
        </is>
      </c>
      <c r="D6649" t="inlineStr">
        <is>
          <t>Klein Tools 51427 Steel Conduit Bender Handle for 1/2-Inch and 3/4-Inch EMT Benders, 38-Inch, For Use With Klein Tools Conduit Bender Heads</t>
        </is>
      </c>
      <c r="E6649" s="2">
        <f>HYPERLINK("https://www.amazon.com/Klein-Tools-51427-Conduit-Benders/dp/B002PDZKY6/ref=sr_1_10?keywords=Klein+Tools+51608+1%2F2-inch+Iron+Conduit+Bender+Head&amp;qid=1694735173&amp;sr=8-10", "https://www.amazon.com/Klein-Tools-51427-Conduit-Benders/dp/B002PDZKY6/ref=sr_1_10?keywords=Klein+Tools+51608+1%2F2-inch+Iron+Conduit+Bender+Head&amp;qid=1694735173&amp;sr=8-10")</f>
        <v/>
      </c>
      <c r="F6649" t="inlineStr">
        <is>
          <t>B002PDZKY6</t>
        </is>
      </c>
      <c r="G6649">
        <f>_xlfn.IMAGE("https://edmondsonsupply.com/cdn/shop/products/51608.jpg?v=1643679335")</f>
        <v/>
      </c>
      <c r="H6649">
        <f>_xlfn.IMAGE("https://m.media-amazon.com/images/I/31GJGeFqCRL._AC_UL320_.jpg")</f>
        <v/>
      </c>
      <c r="K6649" t="inlineStr">
        <is>
          <t>39.99</t>
        </is>
      </c>
      <c r="L6649" t="n">
        <v>34.34</v>
      </c>
      <c r="M6649" s="1" t="inlineStr">
        <is>
          <t>-14.13%</t>
        </is>
      </c>
      <c r="N6649" s="7" t="n"/>
      <c r="O6649" t="n">
        <v>4.5</v>
      </c>
      <c r="P6649" t="n">
        <v>52</v>
      </c>
      <c r="R6649" t="inlineStr">
        <is>
          <t>InStock</t>
        </is>
      </c>
      <c r="S6649" t="inlineStr">
        <is>
          <t>60.66</t>
        </is>
      </c>
      <c r="T6649" t="inlineStr">
        <is>
          <t>7597417693400</t>
        </is>
      </c>
    </row>
    <row r="6650" ht="87" customHeight="1">
      <c r="A6650" s="2">
        <f>HYPERLINK("https://edmondsonsupply.com/collections/electricians-tools/products/crescent-wiss-wc5ln-10-5-blade-hand-crimper", "https://edmondsonsupply.com/collections/electricians-tools/products/crescent-wiss-wc5ln-10-5-blade-hand-crimper")</f>
        <v/>
      </c>
      <c r="B6650" s="2">
        <f>HYPERLINK("https://edmondsonsupply.com/products/crescent-wiss-wc5ln-10-5-blade-hand-crimper", "https://edmondsonsupply.com/products/crescent-wiss-wc5ln-10-5-blade-hand-crimper")</f>
        <v/>
      </c>
      <c r="C6650" t="inlineStr">
        <is>
          <t>Crescent Wiss WC5LN 10" 5-Blade Hand Crimper</t>
        </is>
      </c>
      <c r="D6650" t="inlineStr">
        <is>
          <t>Crescent Wiss 10" 5-Blade Hand Crimper - WC5LN</t>
        </is>
      </c>
      <c r="E6650" s="2">
        <f>HYPERLINK("https://www.amazon.com/Wiss-WC5LN-5-Blade-1-5-Depth/dp/B06XCF2KP7/ref=sr_1_1?keywords=Crescent+Wiss+WC5LN+10%22+5-Blade+Hand+Crimper&amp;qid=1694735006&amp;sr=8-1", "https://www.amazon.com/Wiss-WC5LN-5-Blade-1-5-Depth/dp/B06XCF2KP7/ref=sr_1_1?keywords=Crescent+Wiss+WC5LN+10%22+5-Blade+Hand+Crimper&amp;qid=1694735006&amp;sr=8-1")</f>
        <v/>
      </c>
      <c r="F6650" t="inlineStr">
        <is>
          <t>B06XCF2KP7</t>
        </is>
      </c>
      <c r="G6650">
        <f>_xlfn.IMAGE("https://edmondsonsupply.com/cdn/shop/products/WIS_WC5SN_IMG-MAIN.jpg?v=1679676845")</f>
        <v/>
      </c>
      <c r="H6650">
        <f>_xlfn.IMAGE("https://m.media-amazon.com/images/I/51yE81qV1rS._AC_UL320_.jpg")</f>
        <v/>
      </c>
      <c r="K6650" t="inlineStr">
        <is>
          <t>31.32</t>
        </is>
      </c>
      <c r="L6650" t="n">
        <v>26.89</v>
      </c>
      <c r="M6650" s="1" t="inlineStr">
        <is>
          <t>-14.14%</t>
        </is>
      </c>
      <c r="N6650" s="7" t="n"/>
      <c r="O6650" t="n">
        <v>4.5</v>
      </c>
      <c r="P6650" t="n">
        <v>244</v>
      </c>
      <c r="R6650" t="inlineStr">
        <is>
          <t>InStock</t>
        </is>
      </c>
      <c r="S6650" t="inlineStr">
        <is>
          <t>56.27</t>
        </is>
      </c>
      <c r="T6650" t="inlineStr">
        <is>
          <t>7966330192088</t>
        </is>
      </c>
    </row>
    <row r="6651" hidden="1" ht="15.75" customHeight="1">
      <c r="A6651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6651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6651" t="inlineStr">
        <is>
          <t>Klein Tools 600-6 5/16-Inch Keystone Screwdriver 6-Inch SQ Shank</t>
        </is>
      </c>
      <c r="D6651" t="inlineStr">
        <is>
          <t>Klein Tools 602-6 5/16-Inch Keystone Tip Screwdriver, 6-Inch Heavy Duty Round Shank with Cushion Grip Handle</t>
        </is>
      </c>
      <c r="E6651" s="2">
        <f>HYPERLINK("https://www.amazon.com/Keystone-Screwdriver-Klein-Tools-602-6/dp/B0000302WW/ref=sr_1_2?keywords=Klein+Tools+600-6+5%2F16-Inch+Keystone+Screwdriver+6-Inch+SQ+Shank&amp;qid=1694735292&amp;sr=8-2", "https://www.amazon.com/Keystone-Screwdriver-Klein-Tools-602-6/dp/B0000302WW/ref=sr_1_2?keywords=Klein+Tools+600-6+5%2F16-Inch+Keystone+Screwdriver+6-Inch+SQ+Shank&amp;qid=1694735292&amp;sr=8-2")</f>
        <v/>
      </c>
      <c r="F6651" t="inlineStr">
        <is>
          <t>B0000302WW</t>
        </is>
      </c>
      <c r="G6651">
        <f>_xludf.IMAGE("https://edmondsonsupply.com/cdn/shop/products/600-6.jpg?v=1633030381")</f>
        <v/>
      </c>
      <c r="H6651">
        <f>_xludf.IMAGE("https://m.media-amazon.com/images/I/51yw04G5ZvL._AC_UL320_.jpg")</f>
        <v/>
      </c>
      <c r="K6651" t="inlineStr">
        <is>
          <t>13.97</t>
        </is>
      </c>
      <c r="L6651" t="n">
        <v>11.99</v>
      </c>
      <c r="M6651" s="1" t="inlineStr">
        <is>
          <t>-14.17%</t>
        </is>
      </c>
      <c r="N6651" s="1" t="n"/>
      <c r="O6651" t="n">
        <v>4.8</v>
      </c>
      <c r="P6651" t="n">
        <v>879</v>
      </c>
      <c r="R6651" t="inlineStr">
        <is>
          <t>InStock</t>
        </is>
      </c>
      <c r="S6651" t="inlineStr">
        <is>
          <t>18.5</t>
        </is>
      </c>
      <c r="T6651" t="inlineStr">
        <is>
          <t>5296722542760</t>
        </is>
      </c>
    </row>
    <row r="6652" hidden="1" ht="15.75" customHeight="1">
      <c r="A6652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6652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6652" t="inlineStr">
        <is>
          <t>Klein Tools 600-6 5/16-Inch Keystone Screwdriver 6-Inch SQ Shank</t>
        </is>
      </c>
      <c r="D6652" t="inlineStr">
        <is>
          <t>Klein Tools K46 5/16-Inch Slotted Screw-Holding Flat Head Screwdriver with 6-Inch Round Shank and Comfordome Handle</t>
        </is>
      </c>
      <c r="E6652" s="2">
        <f>HYPERLINK("https://www.amazon.com/Klein-Tools-K46-Screw-Holding-Screwdriver/dp/B000936P4S/ref=sr_1_21?keywords=Klein+Tools+600-6+5%2F16-Inch+Keystone+Screwdriver+6-Inch+SQ+Shank&amp;qid=1694735292&amp;sr=8-21", "https://www.amazon.com/Klein-Tools-K46-Screw-Holding-Screwdriver/dp/B000936P4S/ref=sr_1_21?keywords=Klein+Tools+600-6+5%2F16-Inch+Keystone+Screwdriver+6-Inch+SQ+Shank&amp;qid=1694735292&amp;sr=8-21")</f>
        <v/>
      </c>
      <c r="F6652" t="inlineStr">
        <is>
          <t>B000936P4S</t>
        </is>
      </c>
      <c r="G6652">
        <f>_xludf.IMAGE("https://edmondsonsupply.com/cdn/shop/products/600-6.jpg?v=1633030381")</f>
        <v/>
      </c>
      <c r="H6652">
        <f>_xludf.IMAGE("https://m.media-amazon.com/images/I/61Q6wSN1OyL._AC_UL320_.jpg")</f>
        <v/>
      </c>
      <c r="K6652" t="inlineStr">
        <is>
          <t>13.97</t>
        </is>
      </c>
      <c r="L6652" t="n">
        <v>11.99</v>
      </c>
      <c r="M6652" s="1" t="inlineStr">
        <is>
          <t>-14.17%</t>
        </is>
      </c>
      <c r="N6652" s="1" t="n"/>
      <c r="O6652" t="n">
        <v>4.6</v>
      </c>
      <c r="P6652" t="n">
        <v>168</v>
      </c>
      <c r="R6652" t="inlineStr">
        <is>
          <t>InStock</t>
        </is>
      </c>
      <c r="S6652" t="inlineStr">
        <is>
          <t>18.5</t>
        </is>
      </c>
      <c r="T6652" t="inlineStr">
        <is>
          <t>5296722542760</t>
        </is>
      </c>
    </row>
    <row r="6653" ht="87" customHeight="1">
      <c r="A6653" s="2">
        <f>HYPERLINK("https://edmondsonsupply.com/collections/electricians-tools/products/klein-tools-j2000-9necr-linemans-pliers-crimping-9-inch", "https://edmondsonsupply.com/collections/electricians-tools/products/klein-tools-j2000-9necr-linemans-pliers-crimping-9-inch")</f>
        <v/>
      </c>
      <c r="B6653" s="2">
        <f>HYPERLINK("https://edmondsonsupply.com/products/klein-tools-j2000-9necr-linemans-pliers-crimping-9-inch", "https://edmondsonsupply.com/products/klein-tools-j2000-9necr-linemans-pliers-crimping-9-inch")</f>
        <v/>
      </c>
      <c r="C6653" t="inlineStr">
        <is>
          <t>Klein Tools J2000-9NECR Lineman's Pliers, Crimping, 9-Inch</t>
        </is>
      </c>
      <c r="D6653" t="inlineStr">
        <is>
          <t>Klein Tools J2000-9NECR Lineman's Pliers, Crimping, 9-Inch, For Non-Insulated Connectors-Lugs-Terminals, Cuts ACSR, Screws and Nails, High-Leverage, Induction Hardened Knives, Heavy Duty</t>
        </is>
      </c>
      <c r="E6653" s="2">
        <f>HYPERLINK("https://www.amazon.com/Leverage-Crimping-Klein-Tools-J2000-9NECR/dp/B001D1KZ0A/ref=sr_1_1?keywords=Klein+Tools+J2000-9NECR+Lineman%27s+Pliers%2C+Crimping%2C+9-Inch&amp;qid=1694735175&amp;sr=8-1", "https://www.amazon.com/Leverage-Crimping-Klein-Tools-J2000-9NECR/dp/B001D1KZ0A/ref=sr_1_1?keywords=Klein+Tools+J2000-9NECR+Lineman%27s+Pliers%2C+Crimping%2C+9-Inch&amp;qid=1694735175&amp;sr=8-1")</f>
        <v/>
      </c>
      <c r="F6653" t="inlineStr">
        <is>
          <t>B001D1KZ0A</t>
        </is>
      </c>
      <c r="G6653">
        <f>_xlfn.IMAGE("https://edmondsonsupply.com/cdn/shop/products/j20009necr.jpg?v=1642121245")</f>
        <v/>
      </c>
      <c r="H6653">
        <f>_xlfn.IMAGE("https://m.media-amazon.com/images/I/512SCXAAqRL._AC_UL320_.jpg")</f>
        <v/>
      </c>
      <c r="K6653" t="inlineStr">
        <is>
          <t>59.99</t>
        </is>
      </c>
      <c r="L6653" t="n">
        <v>51.47</v>
      </c>
      <c r="M6653" s="1" t="inlineStr">
        <is>
          <t>-14.20%</t>
        </is>
      </c>
      <c r="N6653" s="7" t="n"/>
      <c r="O6653" t="n">
        <v>4.8</v>
      </c>
      <c r="P6653" t="n">
        <v>1613</v>
      </c>
      <c r="R6653" t="inlineStr">
        <is>
          <t>InStock</t>
        </is>
      </c>
      <c r="S6653" t="inlineStr">
        <is>
          <t>89.38</t>
        </is>
      </c>
      <c r="T6653" t="inlineStr">
        <is>
          <t>7574858236120</t>
        </is>
      </c>
    </row>
    <row r="6654" ht="87" customHeight="1">
      <c r="A6654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654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654" t="inlineStr">
        <is>
          <t>Klein Tools 2288RINS Diagonal Cutting Pliers, Insulated, High Leverage, 8-Inch</t>
        </is>
      </c>
      <c r="D6654" t="inlineStr">
        <is>
          <t>Klein Tools D248-9STT Pliers, Ironworker's Diagonal Cutting Pliers with High-Leverage Design ad Split Ring for Tethering, 9-Inch</t>
        </is>
      </c>
      <c r="E6654" s="2">
        <f>HYPERLINK("https://www.amazon.com/Diagonal-Cutting-Klein-Tools-D248-9STT/dp/B01K76UYUW/ref=sr_1_12?keywords=Klein+Tools+2288RINS+Diagonal+Cutting+Pliers%2C+Insulated%2C+High+Leverage%2C+8-Inch&amp;qid=1694735093&amp;sr=8-12", "https://www.amazon.com/Diagonal-Cutting-Klein-Tools-D248-9STT/dp/B01K76UYUW/ref=sr_1_12?keywords=Klein+Tools+2288RINS+Diagonal+Cutting+Pliers%2C+Insulated%2C+High+Leverage%2C+8-Inch&amp;qid=1694735093&amp;sr=8-12")</f>
        <v/>
      </c>
      <c r="F6654" t="inlineStr">
        <is>
          <t>B01K76UYUW</t>
        </is>
      </c>
      <c r="G6654">
        <f>_xlfn.IMAGE("https://edmondsonsupply.com/cdn/shop/products/2288rins.jpg?v=1667238570")</f>
        <v/>
      </c>
      <c r="H6654">
        <f>_xlfn.IMAGE("https://m.media-amazon.com/images/I/31gRx3nZM-L._AC_UL320_.jpg")</f>
        <v/>
      </c>
      <c r="K6654" t="inlineStr">
        <is>
          <t>39.97</t>
        </is>
      </c>
      <c r="L6654" t="n">
        <v>34.29</v>
      </c>
      <c r="M6654" s="1" t="inlineStr">
        <is>
          <t>-14.21%</t>
        </is>
      </c>
      <c r="N6654" s="7" t="n"/>
      <c r="O6654" t="n">
        <v>4.7</v>
      </c>
      <c r="P6654" t="n">
        <v>157</v>
      </c>
      <c r="R6654" t="inlineStr">
        <is>
          <t>InStock</t>
        </is>
      </c>
      <c r="S6654" t="inlineStr">
        <is>
          <t>55.98</t>
        </is>
      </c>
      <c r="T6654" t="inlineStr">
        <is>
          <t>7871537807576</t>
        </is>
      </c>
    </row>
    <row r="6655" hidden="1" ht="15.75" customHeight="1">
      <c r="A6655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6655" s="2">
        <f>HYPERLINK("https://edmondsonsupply.com/products/klein-tools-635-7-16-7-16-inch-heavy-duty-nut-driver", "https://edmondsonsupply.com/products/klein-tools-635-7-16-7-16-inch-heavy-duty-nut-driver")</f>
        <v/>
      </c>
      <c r="C6655" t="inlineStr">
        <is>
          <t>Klein Tools 635-7/16 7/16-Inch Heavy-Duty Nut Driver</t>
        </is>
      </c>
      <c r="D6655" t="inlineStr">
        <is>
          <t>Klein Tools 630-7/16M 7/16-Inch Magnetic Tip Nut Driver 3-Inch Hollow Shaft</t>
        </is>
      </c>
      <c r="E6655" s="2">
        <f>HYPERLINK("https://www.amazon.com/Klein-Tools-630-7-16M-Magnetic/dp/B00093GE80/ref=sr_1_10?keywords=Klein+Tools+635-7%2F16+7%2F16-Inch+Heavy-Duty+Nut+Driver&amp;qid=1694735398&amp;sr=8-10", "https://www.amazon.com/Klein-Tools-630-7-16M-Magnetic/dp/B00093GE80/ref=sr_1_10?keywords=Klein+Tools+635-7%2F16+7%2F16-Inch+Heavy-Duty+Nut+Driver&amp;qid=1694735398&amp;sr=8-10")</f>
        <v/>
      </c>
      <c r="F6655" t="inlineStr">
        <is>
          <t>B00093GE80</t>
        </is>
      </c>
      <c r="G6655">
        <f>_xludf.IMAGE("https://edmondsonsupply.com/cdn/shop/products/635-7-16.jpg?v=1587145128")</f>
        <v/>
      </c>
      <c r="H6655">
        <f>_xludf.IMAGE("https://m.media-amazon.com/images/I/51lmlO98BaL._AC_UL320_.jpg")</f>
        <v/>
      </c>
      <c r="K6655" t="inlineStr">
        <is>
          <t>14.49</t>
        </is>
      </c>
      <c r="L6655" t="n">
        <v>12.43</v>
      </c>
      <c r="M6655" s="1" t="inlineStr">
        <is>
          <t>-14.22%</t>
        </is>
      </c>
      <c r="N6655" s="1" t="n"/>
      <c r="O6655" t="n">
        <v>4.7</v>
      </c>
      <c r="P6655" t="n">
        <v>1571</v>
      </c>
      <c r="R6655" t="inlineStr">
        <is>
          <t>InStock</t>
        </is>
      </c>
      <c r="S6655" t="inlineStr">
        <is>
          <t>21.94</t>
        </is>
      </c>
      <c r="T6655" t="inlineStr">
        <is>
          <t>4410745978980</t>
        </is>
      </c>
    </row>
    <row r="6656" ht="87" customHeight="1">
      <c r="A6656" s="2">
        <f>HYPERLINK("https://edmondsonsupply.com/collections/electricians-tools/products/copy-of-diablo-tools-ddd045dia101f-4-1-2-in-diamond-metal-cut-off-blade-1", "https://edmondsonsupply.com/collections/electricians-tools/products/copy-of-diablo-tools-ddd045dia101f-4-1-2-in-diamond-metal-cut-off-blade-1")</f>
        <v/>
      </c>
      <c r="B6656" s="2">
        <f>HYPERLINK("https://edmondsonsupply.com/products/copy-of-diablo-tools-ddd045dia101f-4-1-2-in-diamond-metal-cut-off-blade-1", "https://edmondsonsupply.com/products/copy-of-diablo-tools-ddd045dia101f-4-1-2-in-diamond-metal-cut-off-blade-1")</f>
        <v/>
      </c>
      <c r="C6656" t="inlineStr">
        <is>
          <t>Diablo Tools D0748CFX 7-1/4 in. x 48 Tooth Cermet Metal and Stainless Steel Cutting Saw Blade</t>
        </is>
      </c>
      <c r="D6656" t="inlineStr">
        <is>
          <t>FOXBC 7-1/4 inch Circular Saw Blade Metal and Stainless Steel Cutting 48 Teeth, Replacement for Diablo D0748CF Ceramic Carbide Saw Blade</t>
        </is>
      </c>
      <c r="E6656" s="2">
        <f>HYPERLINK("https://www.amazon.com/FOXBC-Circular-Stainless-Cutting-Replacement/dp/B0CBLJF1DK/ref=sr_1_2?keywords=Diablo+Tools+D0748CFX+7-1%2F4+in.+x+48+Tooth+Cermet+Metal+and+Stainless+Steel+Cutting+Saw+Blade&amp;qid=1694735332&amp;sr=8-2", "https://www.amazon.com/FOXBC-Circular-Stainless-Cutting-Replacement/dp/B0CBLJF1DK/ref=sr_1_2?keywords=Diablo+Tools+D0748CFX+7-1%2F4+in.+x+48+Tooth+Cermet+Metal+and+Stainless+Steel+Cutting+Saw+Blade&amp;qid=1694735332&amp;sr=8-2")</f>
        <v/>
      </c>
      <c r="F6656" t="inlineStr">
        <is>
          <t>B0CBLJF1DK</t>
        </is>
      </c>
      <c r="G6656">
        <f>_xlfn.IMAGE("https://edmondsonsupply.com/cdn/shop/products/D0748CFA_Main-Image.png?v=1633030259")</f>
        <v/>
      </c>
      <c r="H6656">
        <f>_xlfn.IMAGE("https://m.media-amazon.com/images/I/71tivXxxK+L._AC_UL320_.jpg")</f>
        <v/>
      </c>
      <c r="K6656" t="inlineStr">
        <is>
          <t>34.97</t>
        </is>
      </c>
      <c r="L6656" t="n">
        <v>29.99</v>
      </c>
      <c r="M6656" s="1" t="inlineStr">
        <is>
          <t>-14.24%</t>
        </is>
      </c>
      <c r="N6656" s="7" t="n"/>
      <c r="O6656" t="n">
        <v>5</v>
      </c>
      <c r="P6656" t="n">
        <v>12</v>
      </c>
      <c r="R6656" t="inlineStr">
        <is>
          <t>InStock</t>
        </is>
      </c>
      <c r="S6656" t="inlineStr">
        <is>
          <t>50.75</t>
        </is>
      </c>
      <c r="T6656" t="inlineStr">
        <is>
          <t>4641789739108</t>
        </is>
      </c>
    </row>
    <row r="6657" ht="87" customHeight="1">
      <c r="A6657" s="2">
        <f>HYPERLINK("https://edmondsonsupply.com/collections/electricians-tools/products/fluke-325-true-rms-clamp-meter", "https://edmondsonsupply.com/collections/electricians-tools/products/fluke-325-true-rms-clamp-meter")</f>
        <v/>
      </c>
      <c r="B6657" s="2">
        <f>HYPERLINK("https://edmondsonsupply.com/products/fluke-325-true-rms-clamp-meter", "https://edmondsonsupply.com/products/fluke-325-true-rms-clamp-meter")</f>
        <v/>
      </c>
      <c r="C6657" t="inlineStr">
        <is>
          <t>Fluke 325 True RMS Clamp Meter</t>
        </is>
      </c>
      <c r="D6657" t="inlineStr">
        <is>
          <t>Fluke 902 FC HVAC True-RMS Clamp Meter</t>
        </is>
      </c>
      <c r="E6657" s="2">
        <f>HYPERLINK("https://www.amazon.com/Fluke-FC-True-RMS-Clamp-Meter/dp/B01BENTS7M/ref=sr_1_9?keywords=Fluke+325+True+RMS+Clamp+Meter&amp;qid=1694735185&amp;sr=8-9", "https://www.amazon.com/Fluke-FC-True-RMS-Clamp-Meter/dp/B01BENTS7M/ref=sr_1_9?keywords=Fluke+325+True+RMS+Clamp+Meter&amp;qid=1694735185&amp;sr=8-9")</f>
        <v/>
      </c>
      <c r="F6657" t="inlineStr">
        <is>
          <t>B01BENTS7M</t>
        </is>
      </c>
      <c r="G6657">
        <f>_xlfn.IMAGE("https://edmondsonsupply.com/cdn/shop/products/Fluke_325_clamp_meter_1280x873px_E_NR-14655.jpg?v=1688679209")</f>
        <v/>
      </c>
      <c r="H6657">
        <f>_xlfn.IMAGE("https://m.media-amazon.com/images/I/71uOt4rDo0L._AC_UY218_.jpg")</f>
        <v/>
      </c>
      <c r="K6657" t="inlineStr">
        <is>
          <t>373.49</t>
        </is>
      </c>
      <c r="L6657" t="n">
        <v>320.15</v>
      </c>
      <c r="M6657" s="1" t="inlineStr">
        <is>
          <t>-14.28%</t>
        </is>
      </c>
      <c r="N6657" s="7" t="n"/>
      <c r="O6657" t="n">
        <v>4.7</v>
      </c>
      <c r="P6657" t="n">
        <v>370</v>
      </c>
      <c r="R6657" t="inlineStr">
        <is>
          <t>InStock</t>
        </is>
      </c>
      <c r="S6657" t="inlineStr">
        <is>
          <t>414.99</t>
        </is>
      </c>
      <c r="T6657" t="inlineStr">
        <is>
          <t>6917985468589</t>
        </is>
      </c>
    </row>
    <row r="6658" ht="87" customHeight="1">
      <c r="A6658" s="2">
        <f>HYPERLINK("https://edmondsonsupply.com/collections/electricians-tools/products/klein-tools-69190-magnetic-hanger", "https://edmondsonsupply.com/collections/electricians-tools/products/klein-tools-69190-magnetic-hanger")</f>
        <v/>
      </c>
      <c r="B6658" s="2">
        <f>HYPERLINK("https://edmondsonsupply.com/products/klein-tools-69190-magnetic-hanger", "https://edmondsonsupply.com/products/klein-tools-69190-magnetic-hanger")</f>
        <v/>
      </c>
      <c r="C6658" t="inlineStr">
        <is>
          <t>Klein Tools 69190 Magnetic Hanger</t>
        </is>
      </c>
      <c r="D6658" t="inlineStr">
        <is>
          <t>Hard Caser Bundle with Magnetic Hanger Strap Replacement for Klein Tools MM400/MM300/MM200/ET140/MM720 Digital Multimeter by KingSung</t>
        </is>
      </c>
      <c r="E6658" s="2">
        <f>HYPERLINK("https://www.amazon.com/Magnetic-Replacement-Digital-Multimeter-KingSung/dp/B0BXCB7PJT/ref=sr_1_4?keywords=Klein+Tools+69190+Magnetic+Hanger&amp;qid=1694735208&amp;sr=8-4", "https://www.amazon.com/Magnetic-Replacement-Digital-Multimeter-KingSung/dp/B0BXCB7PJT/ref=sr_1_4?keywords=Klein+Tools+69190+Magnetic+Hanger&amp;qid=1694735208&amp;sr=8-4")</f>
        <v/>
      </c>
      <c r="F6658" t="inlineStr">
        <is>
          <t>B0BXCB7PJT</t>
        </is>
      </c>
      <c r="G6658">
        <f>_xlfn.IMAGE("https://edmondsonsupply.com/cdn/shop/products/69190.jpg?v=1633031095")</f>
        <v/>
      </c>
      <c r="H6658">
        <f>_xlfn.IMAGE("https://m.media-amazon.com/images/I/71dbm03PU4L._AC_UL320_.jpg")</f>
        <v/>
      </c>
      <c r="K6658" t="inlineStr">
        <is>
          <t>20.99</t>
        </is>
      </c>
      <c r="L6658" t="n">
        <v>17.99</v>
      </c>
      <c r="M6658" s="1" t="inlineStr">
        <is>
          <t>-14.29%</t>
        </is>
      </c>
      <c r="N6658" s="7" t="n"/>
      <c r="O6658" t="n">
        <v>4.8</v>
      </c>
      <c r="P6658" t="n">
        <v>30</v>
      </c>
      <c r="R6658" t="inlineStr">
        <is>
          <t>InStock</t>
        </is>
      </c>
      <c r="S6658" t="inlineStr">
        <is>
          <t>31.34</t>
        </is>
      </c>
      <c r="T6658" t="inlineStr">
        <is>
          <t>6840979521709</t>
        </is>
      </c>
    </row>
    <row r="6659" hidden="1" ht="15.75" customHeight="1">
      <c r="A6659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6659" s="2">
        <f>HYPERLINK("https://edmondsonsupply.com/products/amprobe-st-102b-receptacle-tester-with-gfci", "https://edmondsonsupply.com/products/amprobe-st-102b-receptacle-tester-with-gfci")</f>
        <v/>
      </c>
      <c r="C6659" t="inlineStr">
        <is>
          <t>Amprobe ST-102B Receptacle Tester with GFCI</t>
        </is>
      </c>
      <c r="D6659" t="inlineStr">
        <is>
          <t>Aicevoos Outlet Tester Electrical GFCI Trip Tester Receptacle Detector with LCD Display, 3 Prong AC Voltage Socket Checker Detector Wiring Problems in Plain English</t>
        </is>
      </c>
      <c r="E6659" s="2">
        <f>HYPERLINK("https://www.amazon.com/Aicevoos-D2S-Receptacle-Standard-Electrical/dp/B09WV34N3F/ref=sr_1_19?keywords=Amprobe+ST-102B+Receptacle+Tester+with+GFCI&amp;qid=1694735128&amp;sr=8-19", "https://www.amazon.com/Aicevoos-D2S-Receptacle-Standard-Electrical/dp/B09WV34N3F/ref=sr_1_19?keywords=Amprobe+ST-102B+Receptacle+Tester+with+GFCI&amp;qid=1694735128&amp;sr=8-19")</f>
        <v/>
      </c>
      <c r="F6659" t="inlineStr">
        <is>
          <t>B09WV34N3F</t>
        </is>
      </c>
      <c r="G6659">
        <f>_xludf.IMAGE("https://edmondsonsupply.com/cdn/shop/products/PD_ST102B1.jpg?v=1662641155")</f>
        <v/>
      </c>
      <c r="H6659">
        <f>_xludf.IMAGE("https://m.media-amazon.com/images/I/71X3yz19LpL._AC_UL320_.jpg")</f>
        <v/>
      </c>
      <c r="K6659" t="inlineStr">
        <is>
          <t>17.49</t>
        </is>
      </c>
      <c r="L6659" t="n">
        <v>14.99</v>
      </c>
      <c r="M6659" s="1" t="inlineStr">
        <is>
          <t>-14.29%</t>
        </is>
      </c>
      <c r="N6659" s="1" t="n"/>
      <c r="O6659" t="n">
        <v>4.5</v>
      </c>
      <c r="P6659" t="n">
        <v>186</v>
      </c>
      <c r="R6659" t="inlineStr">
        <is>
          <t>InStock</t>
        </is>
      </c>
      <c r="S6659" t="inlineStr">
        <is>
          <t>19.99</t>
        </is>
      </c>
      <c r="T6659" t="inlineStr">
        <is>
          <t>7808944570584</t>
        </is>
      </c>
    </row>
    <row r="6660" ht="87" customHeight="1">
      <c r="A6660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6660" s="2">
        <f>HYPERLINK("https://edmondsonsupply.com/products/klein-tools-d2000-48-diagonal-cutting-pliers-angled-head-8-inch", "https://edmondsonsupply.com/products/klein-tools-d2000-48-diagonal-cutting-pliers-angled-head-8-inch")</f>
        <v/>
      </c>
      <c r="C6660" t="inlineStr">
        <is>
          <t>Klein Tools D2000-48 Diagonal Cutting Pliers, Angled Head, 8-Inch</t>
        </is>
      </c>
      <c r="D6660" t="inlineStr">
        <is>
          <t>Klein Tools D248-9ST Pliers, Ironworker's Diagonal Cutting Pliers with High Leverage Design Works as Rebar Cutter and Rebar Bender, 9-Inch</t>
        </is>
      </c>
      <c r="E6660" s="2">
        <f>HYPERLINK("https://www.amazon.com/Diagonal-Ironworker-Klein-Tools-D248-9ST/dp/B0009ZAT1G/ref=sr_1_10?keywords=Klein+Tools+D2000-48+Diagonal+Cutting+Pliers%2C+Angled+Head%2C+8-Inch&amp;qid=1694735135&amp;sr=8-10", "https://www.amazon.com/Diagonal-Ironworker-Klein-Tools-D248-9ST/dp/B0009ZAT1G/ref=sr_1_10?keywords=Klein+Tools+D2000-48+Diagonal+Cutting+Pliers%2C+Angled+Head%2C+8-Inch&amp;qid=1694735135&amp;sr=8-10")</f>
        <v/>
      </c>
      <c r="F6660" t="inlineStr">
        <is>
          <t>B0009ZAT1G</t>
        </is>
      </c>
      <c r="G6660">
        <f>_xlfn.IMAGE("https://edmondsonsupply.com/cdn/shop/products/d200048.jpg?v=1660920588")</f>
        <v/>
      </c>
      <c r="H6660">
        <f>_xlfn.IMAGE("https://m.media-amazon.com/images/I/41QcUzpmIlL._AC_UL320_.jpg")</f>
        <v/>
      </c>
      <c r="K6660" t="inlineStr">
        <is>
          <t>34.97</t>
        </is>
      </c>
      <c r="L6660" t="n">
        <v>29.97</v>
      </c>
      <c r="M6660" s="1" t="inlineStr">
        <is>
          <t>-14.30%</t>
        </is>
      </c>
      <c r="N6660" s="7" t="n"/>
      <c r="O6660" t="n">
        <v>4.8</v>
      </c>
      <c r="P6660" t="n">
        <v>5521</v>
      </c>
      <c r="R6660" t="inlineStr">
        <is>
          <t>InStock</t>
        </is>
      </c>
      <c r="S6660" t="inlineStr">
        <is>
          <t>49.78</t>
        </is>
      </c>
      <c r="T6660" t="inlineStr">
        <is>
          <t>7786125164760</t>
        </is>
      </c>
    </row>
    <row r="6661" ht="87" customHeight="1">
      <c r="A6661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661" s="2">
        <f>HYPERLINK("https://edmondsonsupply.com/products/klein-tools-32500mag-11-in-1-magnetic-screwdriver-nut-driver", "https://edmondsonsupply.com/products/klein-tools-32500mag-11-in-1-magnetic-screwdriver-nut-driver")</f>
        <v/>
      </c>
      <c r="C6661" t="inlineStr">
        <is>
          <t>Klein Tools 32500MAG 11-in-1 Magnetic Screwdriver / Nut Driver</t>
        </is>
      </c>
      <c r="D6661" t="inlineStr">
        <is>
          <t>Klein Tools 32593 Multi-bit Ratcheting Screwdriver, 6-in-1 Stubby Tool with Phillips and Slotted Bits and 2 Nut Driver Sizes</t>
        </is>
      </c>
      <c r="E6661" s="2">
        <f>HYPERLINK("https://www.amazon.com/Ratcheting-Screwdriver-Klein-Tools-32593/dp/B01I2KJ91K/ref=sr_1_46?keywords=Klein+Tools+32500MAG+11-in-1+Magnetic+Screwdriver+%2F+Nut+Driver&amp;qid=1694735235&amp;sr=8-46", "https://www.amazon.com/Ratcheting-Screwdriver-Klein-Tools-32593/dp/B01I2KJ91K/ref=sr_1_46?keywords=Klein+Tools+32500MAG+11-in-1+Magnetic+Screwdriver+%2F+Nut+Driver&amp;qid=1694735235&amp;sr=8-46")</f>
        <v/>
      </c>
      <c r="F6661" t="inlineStr">
        <is>
          <t>B01I2KJ91K</t>
        </is>
      </c>
      <c r="G6661">
        <f>_xlfn.IMAGE("https://edmondsonsupply.com/cdn/shop/products/32500mag.jpg?v=1633030832")</f>
        <v/>
      </c>
      <c r="H6661">
        <f>_xlfn.IMAGE("https://m.media-amazon.com/images/I/51WOLpdOfpL._AC_UL320_.jpg")</f>
        <v/>
      </c>
      <c r="K6661" t="inlineStr">
        <is>
          <t>20.97</t>
        </is>
      </c>
      <c r="L6661" t="n">
        <v>17.97</v>
      </c>
      <c r="M6661" s="1" t="inlineStr">
        <is>
          <t>-14.31%</t>
        </is>
      </c>
      <c r="N6661" s="7" t="n"/>
      <c r="O6661" t="n">
        <v>4.8</v>
      </c>
      <c r="P6661" t="n">
        <v>1664</v>
      </c>
      <c r="R6661" t="inlineStr">
        <is>
          <t>InStock</t>
        </is>
      </c>
      <c r="S6661" t="inlineStr">
        <is>
          <t>29.38</t>
        </is>
      </c>
      <c r="T6661" t="inlineStr">
        <is>
          <t>6082199814317</t>
        </is>
      </c>
    </row>
    <row r="6662" hidden="1" ht="15.75" customHeight="1">
      <c r="A6662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6662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6662" t="inlineStr">
        <is>
          <t>Klein Tools 600-6 5/16-Inch Keystone Screwdriver 6-Inch SQ Shank</t>
        </is>
      </c>
      <c r="D6662" t="inlineStr">
        <is>
          <t>Klein Tools 6866INS Insulated Screwdriver, 1000V 5/16-Inch Cabinet Tip, Screwdriver with 6-Inch Shank, Tip-Ident, Cushion-Grip Handle</t>
        </is>
      </c>
      <c r="E6662" s="2">
        <f>HYPERLINK("https://www.amazon.com/Klein-Tools-6866INS-Screwdriver-Cushion-Grip/dp/B0BF73PSWC/ref=sr_1_5?keywords=Klein+Tools+600-6+5%2F16-Inch+Keystone+Screwdriver+6-Inch+SQ+Shank&amp;qid=1694735292&amp;sr=8-5", "https://www.amazon.com/Klein-Tools-6866INS-Screwdriver-Cushion-Grip/dp/B0BF73PSWC/ref=sr_1_5?keywords=Klein+Tools+600-6+5%2F16-Inch+Keystone+Screwdriver+6-Inch+SQ+Shank&amp;qid=1694735292&amp;sr=8-5")</f>
        <v/>
      </c>
      <c r="F6662" t="inlineStr">
        <is>
          <t>B0BF73PSWC</t>
        </is>
      </c>
      <c r="G6662">
        <f>_xludf.IMAGE("https://edmondsonsupply.com/cdn/shop/products/600-6.jpg?v=1633030381")</f>
        <v/>
      </c>
      <c r="H6662">
        <f>_xludf.IMAGE("https://m.media-amazon.com/images/I/41Sx5h6xG-L._AC_UL320_.jpg")</f>
        <v/>
      </c>
      <c r="K6662" t="inlineStr">
        <is>
          <t>13.97</t>
        </is>
      </c>
      <c r="L6662" t="n">
        <v>11.97</v>
      </c>
      <c r="M6662" s="1" t="inlineStr">
        <is>
          <t>-14.32%</t>
        </is>
      </c>
      <c r="N6662" s="1" t="n"/>
      <c r="O6662" t="n">
        <v>4.9</v>
      </c>
      <c r="P6662" t="n">
        <v>202</v>
      </c>
      <c r="R6662" t="inlineStr">
        <is>
          <t>InStock</t>
        </is>
      </c>
      <c r="S6662" t="inlineStr">
        <is>
          <t>18.5</t>
        </is>
      </c>
      <c r="T6662" t="inlineStr">
        <is>
          <t>5296722542760</t>
        </is>
      </c>
    </row>
    <row r="6663" hidden="1" ht="15.75" customHeight="1">
      <c r="A6663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6663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6663" t="inlineStr">
        <is>
          <t>Klein Tools 6924INS Slim-Tip Insulated Screwdriver, 1/4-Inch Cabinet, 4-Inch Round Shank</t>
        </is>
      </c>
      <c r="D6663" t="inlineStr">
        <is>
          <t>Klein Tools 6826INS Insulated Screwdriver, 1000V 1/4-Inch Cabinet Tip Screwdriver with 6-Inch Shank, Tip-Ident, Cushion-Grip Handle</t>
        </is>
      </c>
      <c r="E6663" s="2">
        <f>HYPERLINK("https://www.amazon.com/Klein-Tools-6826INS-Screwdriver-Cushion-Grip/dp/B0BF79W49J/ref=sr_1_29?keywords=Klein+Tools+6924INS+Slim-Tip+Insulated+Screwdriver%2C+1%2F4-Inch+Cabinet%2C+4-Inch+Round+Shank&amp;qid=1694735273&amp;sr=8-29", "https://www.amazon.com/Klein-Tools-6826INS-Screwdriver-Cushion-Grip/dp/B0BF79W49J/ref=sr_1_29?keywords=Klein+Tools+6924INS+Slim-Tip+Insulated+Screwdriver%2C+1%2F4-Inch+Cabinet%2C+4-Inch+Round+Shank&amp;qid=1694735273&amp;sr=8-29")</f>
        <v/>
      </c>
      <c r="F6663" t="inlineStr">
        <is>
          <t>B0BF79W49J</t>
        </is>
      </c>
      <c r="G6663">
        <f>_xludf.IMAGE("https://edmondsonsupply.com/cdn/shop/products/6924ins.jpg?v=1633030554")</f>
        <v/>
      </c>
      <c r="H6663">
        <f>_xludf.IMAGE("https://m.media-amazon.com/images/I/41dJ6lRyHyL._AC_UL320_.jpg")</f>
        <v/>
      </c>
      <c r="K6663" t="inlineStr">
        <is>
          <t>13.97</t>
        </is>
      </c>
      <c r="L6663" t="n">
        <v>11.97</v>
      </c>
      <c r="M6663" s="1" t="inlineStr">
        <is>
          <t>-14.32%</t>
        </is>
      </c>
      <c r="N6663" s="1" t="n"/>
      <c r="O6663" t="n">
        <v>4.9</v>
      </c>
      <c r="P6663" t="n">
        <v>9</v>
      </c>
      <c r="R6663" t="inlineStr">
        <is>
          <t>InStock</t>
        </is>
      </c>
      <c r="S6663" t="inlineStr">
        <is>
          <t>19.54</t>
        </is>
      </c>
      <c r="T6663" t="inlineStr">
        <is>
          <t>5439557566632</t>
        </is>
      </c>
    </row>
    <row r="6664" ht="87" customHeight="1">
      <c r="A6664" s="2">
        <f>HYPERLINK("https://edmondsonsupply.com/collections/electricians-tools/products/klein-tools-d248-9stt-ironworkers-diagonal-cutting-pliers-tether-ring-8-inch", "https://edmondsonsupply.com/collections/electricians-tools/products/klein-tools-d248-9stt-ironworkers-diagonal-cutting-pliers-tether-ring-8-inch")</f>
        <v/>
      </c>
      <c r="B6664" s="2">
        <f>HYPERLINK("https://edmondsonsupply.com/products/klein-tools-d248-9stt-ironworkers-diagonal-cutting-pliers-tether-ring-8-inch", "https://edmondsonsupply.com/products/klein-tools-d248-9stt-ironworkers-diagonal-cutting-pliers-tether-ring-8-inch")</f>
        <v/>
      </c>
      <c r="C6664" t="inlineStr">
        <is>
          <t>Klein Tools D248-9STT Ironworker's Diagonal-Cutting Pliers, Tether Ring, 8-Inch</t>
        </is>
      </c>
      <c r="D6664" t="inlineStr">
        <is>
          <t>Klein Tools D248-9ST Pliers, Ironworker's Diagonal Cutting Pliers with High Leverage Design Works as Rebar Cutter and Rebar Bender, 9-Inch</t>
        </is>
      </c>
      <c r="E6664" s="2">
        <f>HYPERLINK("https://www.amazon.com/Diagonal-Ironworker-Klein-Tools-D248-9ST/dp/B0009ZAT1G/ref=sr_1_2?keywords=Klein+Tools+D248-9STT+Ironworker%27s+Diagonal-Cutting+Pliers%2C+Tether+Ring%2C+8-Inch&amp;qid=1694735375&amp;sr=8-2", "https://www.amazon.com/Diagonal-Ironworker-Klein-Tools-D248-9ST/dp/B0009ZAT1G/ref=sr_1_2?keywords=Klein+Tools+D248-9STT+Ironworker%27s+Diagonal-Cutting+Pliers%2C+Tether+Ring%2C+8-Inch&amp;qid=1694735375&amp;sr=8-2")</f>
        <v/>
      </c>
      <c r="F6664" t="inlineStr">
        <is>
          <t>B0009ZAT1G</t>
        </is>
      </c>
      <c r="G6664">
        <f>_xlfn.IMAGE("https://edmondsonsupply.com/cdn/shop/products/d2489stt.jpg?v=1587149713")</f>
        <v/>
      </c>
      <c r="H6664">
        <f>_xlfn.IMAGE("https://m.media-amazon.com/images/I/41QcUzpmIlL._AC_UL320_.jpg")</f>
        <v/>
      </c>
      <c r="K6664" t="inlineStr">
        <is>
          <t>34.99</t>
        </is>
      </c>
      <c r="L6664" t="n">
        <v>29.97</v>
      </c>
      <c r="M6664" s="1" t="inlineStr">
        <is>
          <t>-14.35%</t>
        </is>
      </c>
      <c r="N6664" s="7" t="n"/>
      <c r="O6664" t="n">
        <v>4.8</v>
      </c>
      <c r="P6664" t="n">
        <v>5521</v>
      </c>
      <c r="R6664" t="inlineStr">
        <is>
          <t>InStock</t>
        </is>
      </c>
      <c r="S6664" t="inlineStr">
        <is>
          <t>53.0</t>
        </is>
      </c>
      <c r="T6664" t="inlineStr">
        <is>
          <t>4414371725412</t>
        </is>
      </c>
    </row>
    <row r="6665" hidden="1" ht="15.75" customHeight="1">
      <c r="A6665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6665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6665" t="inlineStr">
        <is>
          <t>Klein Tools JTH6E06BE 3/32-Inch Ball End Hex Key with T-Handle, 6-Inch</t>
        </is>
      </c>
      <c r="D6665" t="inlineStr">
        <is>
          <t>Klein Tools JTH9E06 3/32-Inch Hex Key, Journeyman T-Handle, 9-Inch</t>
        </is>
      </c>
      <c r="E6665" s="2">
        <f>HYPERLINK("https://www.amazon.com/Journeyman-T-Handle-Klein-Tools-JTH9E06/dp/B004QV4A50/ref=sr_1_5?keywords=Klein+Tools+JTH6E06BE+3%2F32-Inch+Ball+End+Hex+Key+with+T-Handle%2C+6-Inch&amp;qid=1694735201&amp;sr=8-5", "https://www.amazon.com/Journeyman-T-Handle-Klein-Tools-JTH9E06/dp/B004QV4A50/ref=sr_1_5?keywords=Klein+Tools+JTH6E06BE+3%2F32-Inch+Ball+End+Hex+Key+with+T-Handle%2C+6-Inch&amp;qid=1694735201&amp;sr=8-5")</f>
        <v/>
      </c>
      <c r="F6665" t="inlineStr">
        <is>
          <t>B004QV4A50</t>
        </is>
      </c>
      <c r="G6665">
        <f>_xludf.IMAGE("https://edmondsonsupply.com/cdn/shop/products/jth6e13be_f61308c8-99eb-44df-aac2-25c9159d6b6d.jpg?v=1633031148")</f>
        <v/>
      </c>
      <c r="H6665">
        <f>_xludf.IMAGE("https://m.media-amazon.com/images/I/51Yb8h41vLL._AC_UL320_.jpg")</f>
        <v/>
      </c>
      <c r="K6665" t="inlineStr">
        <is>
          <t>4.99</t>
        </is>
      </c>
      <c r="L6665" t="n">
        <v>4.27</v>
      </c>
      <c r="M6665" s="1" t="inlineStr">
        <is>
          <t>-14.43%</t>
        </is>
      </c>
      <c r="N6665" s="1" t="n"/>
      <c r="O6665" t="n">
        <v>4.7</v>
      </c>
      <c r="P6665" t="n">
        <v>390</v>
      </c>
      <c r="R6665" t="inlineStr">
        <is>
          <t>InStock</t>
        </is>
      </c>
      <c r="S6665" t="inlineStr">
        <is>
          <t>7.54</t>
        </is>
      </c>
      <c r="T6665" t="inlineStr">
        <is>
          <t>6895312601261</t>
        </is>
      </c>
    </row>
    <row r="6666" hidden="1" ht="15.75" customHeight="1">
      <c r="A6666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6666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6666" t="inlineStr">
        <is>
          <t>Klein Tools JTH6M3BE 3 mm Ball Hex Key Journeyman T-Handle 6-Inch</t>
        </is>
      </c>
      <c r="D6666" t="inlineStr">
        <is>
          <t>Klein Tools JTH9E06 3/32-Inch Hex Key, Journeyman T-Handle, 9-Inch</t>
        </is>
      </c>
      <c r="E6666" s="2">
        <f>HYPERLINK("https://www.amazon.com/Journeyman-T-Handle-Klein-Tools-JTH9E06/dp/B004QV4A50/ref=sr_1_7?keywords=Klein+Tools+JTH6M3BE+3+mm+Ball+Hex+Key+Journeyman+T-Handle+6-Inch&amp;qid=1694735145&amp;sr=8-7", "https://www.amazon.com/Journeyman-T-Handle-Klein-Tools-JTH9E06/dp/B004QV4A50/ref=sr_1_7?keywords=Klein+Tools+JTH6M3BE+3+mm+Ball+Hex+Key+Journeyman+T-Handle+6-Inch&amp;qid=1694735145&amp;sr=8-7")</f>
        <v/>
      </c>
      <c r="F6666" t="inlineStr">
        <is>
          <t>B004QV4A50</t>
        </is>
      </c>
      <c r="G6666">
        <f>_xludf.IMAGE("https://edmondsonsupply.com/cdn/shop/products/jth6m8be_1b0aeba1-6d03-4a46-99d8-f6853368c71f.jpg?v=1655941616")</f>
        <v/>
      </c>
      <c r="H6666">
        <f>_xludf.IMAGE("https://m.media-amazon.com/images/I/51Yb8h41vLL._AC_UL320_.jpg")</f>
        <v/>
      </c>
      <c r="K6666" t="inlineStr">
        <is>
          <t>4.99</t>
        </is>
      </c>
      <c r="L6666" t="n">
        <v>4.27</v>
      </c>
      <c r="M6666" s="1" t="inlineStr">
        <is>
          <t>-14.43%</t>
        </is>
      </c>
      <c r="N6666" s="1" t="n"/>
      <c r="O6666" t="n">
        <v>4.7</v>
      </c>
      <c r="P6666" t="n">
        <v>390</v>
      </c>
      <c r="R6666" t="inlineStr">
        <is>
          <t>InStock</t>
        </is>
      </c>
      <c r="S6666" t="inlineStr">
        <is>
          <t>7.56</t>
        </is>
      </c>
      <c r="T6666" t="inlineStr">
        <is>
          <t>7727600304344</t>
        </is>
      </c>
    </row>
    <row r="6667" hidden="1" ht="15.75" customHeight="1">
      <c r="A6667" s="2">
        <f>HYPERLINK("https://edmondsonsupply.com/collections/electricians-tools/products/klein-tools-jth6m2be-2-mm-hex-key-journeyman%E2%84%A2-t-handle-6-inch", "https://edmondsonsupply.com/collections/electricians-tools/products/klein-tools-jth6m2be-2-mm-hex-key-journeyman%E2%84%A2-t-handle-6-inch")</f>
        <v/>
      </c>
      <c r="B6667" s="2">
        <f>HYPERLINK("https://edmondsonsupply.com/products/klein-tools-jth6m2be-2-mm-hex-key-journeyman%e2%84%a2-t-handle-6-inch", "https://edmondsonsupply.com/products/klein-tools-jth6m2be-2-mm-hex-key-journeyman%e2%84%a2-t-handle-6-inch")</f>
        <v/>
      </c>
      <c r="C6667" t="inlineStr">
        <is>
          <t>Klein Tools JTH6M2BE 2 mm Hex Key, Journeyman™ T-Handle, 6-Inch</t>
        </is>
      </c>
      <c r="D6667" t="inlineStr">
        <is>
          <t>Klein Tools JTH9E06 3/32-Inch Hex Key, Journeyman T-Handle, 9-Inch</t>
        </is>
      </c>
      <c r="E6667" s="2">
        <f>HYPERLINK("https://www.amazon.com/Journeyman-T-Handle-Klein-Tools-JTH9E06/dp/B004QV4A50/ref=sr_1_9?keywords=Klein+Tools+JTH6M2BE+2+mm+Hex+Key%2C+Journeyman%E2%84%A2+T-Handle%2C+6-Inch&amp;qid=1694735007&amp;sr=8-9", "https://www.amazon.com/Journeyman-T-Handle-Klein-Tools-JTH9E06/dp/B004QV4A50/ref=sr_1_9?keywords=Klein+Tools+JTH6M2BE+2+mm+Hex+Key%2C+Journeyman%E2%84%A2+T-Handle%2C+6-Inch&amp;qid=1694735007&amp;sr=8-9")</f>
        <v/>
      </c>
      <c r="F6667" t="inlineStr">
        <is>
          <t>B004QV4A50</t>
        </is>
      </c>
      <c r="G6667">
        <f>_xludf.IMAGE("https://edmondsonsupply.com/cdn/shop/products/jth6m8be_dc02c4f5-6424-4dc9-9167-b95380a96ebb.jpg?v=1679428749")</f>
        <v/>
      </c>
      <c r="H6667">
        <f>_xludf.IMAGE("https://m.media-amazon.com/images/I/51Yb8h41vLL._AC_UL320_.jpg")</f>
        <v/>
      </c>
      <c r="K6667" t="inlineStr">
        <is>
          <t>4.99</t>
        </is>
      </c>
      <c r="L6667" t="n">
        <v>4.27</v>
      </c>
      <c r="M6667" s="1" t="inlineStr">
        <is>
          <t>-14.43%</t>
        </is>
      </c>
      <c r="N6667" s="1" t="n"/>
      <c r="O6667" t="n">
        <v>4.7</v>
      </c>
      <c r="P6667" t="n">
        <v>390</v>
      </c>
      <c r="R6667" t="inlineStr">
        <is>
          <t>InStock</t>
        </is>
      </c>
      <c r="S6667" t="inlineStr">
        <is>
          <t>7.56</t>
        </is>
      </c>
      <c r="T6667" t="inlineStr">
        <is>
          <t>7965318480088</t>
        </is>
      </c>
    </row>
    <row r="6668" ht="87" customHeight="1">
      <c r="A6668" s="2">
        <f>HYPERLINK("https://edmondsonsupply.com/collections/electricians-tools/products/diablo-tools-dmapl2440-5-8-in-x-37-in-x-39-in-sds-plus-2-cutter", "https://edmondsonsupply.com/collections/electricians-tools/products/diablo-tools-dmapl2440-5-8-in-x-37-in-x-39-in-sds-plus-2-cutter")</f>
        <v/>
      </c>
      <c r="B6668" s="2">
        <f>HYPERLINK("https://edmondsonsupply.com/products/diablo-tools-dmapl2440-5-8-in-x-37-in-x-39-in-sds-plus-2-cutter", "https://edmondsonsupply.com/products/diablo-tools-dmapl2440-5-8-in-x-37-in-x-39-in-sds-plus-2-cutter")</f>
        <v/>
      </c>
      <c r="C6668" t="inlineStr">
        <is>
          <t>Diablo Tools DMAPL2440 5/8 in. x 37 in. x 39 in. SDS‑Plus 2‑Cutter</t>
        </is>
      </c>
      <c r="D6668" t="inlineStr">
        <is>
          <t>Sabre Tools 5/8 Inch x 39 Inch SDS Plus Rotary Hammer Drill Bit, Carbide Tipped for Brick, Stone, and Concrete (5/8" x 37" x 39")</t>
        </is>
      </c>
      <c r="E6668" s="2">
        <f>HYPERLINK("https://www.amazon.com/Sabre-Tools-Rotary-Carbide-Concrete/dp/B08CWXS6XC/ref=sr_1_7?keywords=Diablo+Tools+DMAPL2440+5%2F8+in.+x+37+in.+x+39+in.+SDS%E2%80%91Plus+2%E2%80%91Cutter&amp;qid=1694735286&amp;sr=8-7", "https://www.amazon.com/Sabre-Tools-Rotary-Carbide-Concrete/dp/B08CWXS6XC/ref=sr_1_7?keywords=Diablo+Tools+DMAPL2440+5%2F8+in.+x+37+in.+x+39+in.+SDS%E2%80%91Plus+2%E2%80%91Cutter&amp;qid=1694735286&amp;sr=8-7")</f>
        <v/>
      </c>
      <c r="F6668" t="inlineStr">
        <is>
          <t>B08CWXS6XC</t>
        </is>
      </c>
      <c r="G6668">
        <f>_xlfn.IMAGE("https://edmondsonsupply.com/cdn/shop/products/DMAPL2440_Main-Image20200701.png?v=1633030462")</f>
        <v/>
      </c>
      <c r="H6668">
        <f>_xlfn.IMAGE("https://m.media-amazon.com/images/I/71vrH2+CqwL._AC_UL320_.jpg")</f>
        <v/>
      </c>
      <c r="K6668" t="inlineStr">
        <is>
          <t>37.97</t>
        </is>
      </c>
      <c r="L6668" t="n">
        <v>32.49</v>
      </c>
      <c r="M6668" s="1" t="inlineStr">
        <is>
          <t>-14.43%</t>
        </is>
      </c>
      <c r="N6668" s="7" t="n"/>
      <c r="O6668" t="n">
        <v>4.7</v>
      </c>
      <c r="P6668" t="n">
        <v>285</v>
      </c>
      <c r="R6668" t="inlineStr">
        <is>
          <t>InStock</t>
        </is>
      </c>
      <c r="S6668" t="inlineStr">
        <is>
          <t>47.78</t>
        </is>
      </c>
      <c r="T6668" t="inlineStr">
        <is>
          <t>5361935286440</t>
        </is>
      </c>
    </row>
    <row r="6669" hidden="1" ht="15.75" customHeight="1">
      <c r="A6669" s="2">
        <f>HYPERLINK("https://edmondsonsupply.com/collections/electricians-tools/products/klein-tools-6944ins", "https://edmondsonsupply.com/collections/electricians-tools/products/klein-tools-6944ins")</f>
        <v/>
      </c>
      <c r="B6669" s="2">
        <f>HYPERLINK("https://edmondsonsupply.com/products/klein-tools-6944ins", "https://edmondsonsupply.com/products/klein-tools-6944ins")</f>
        <v/>
      </c>
      <c r="C6669" t="inlineStr">
        <is>
          <t>Klein Tools 6944INS Slim-Tip 1000V Insulated Screwdriver, #2 Square, 4-Inch Round Shank</t>
        </is>
      </c>
      <c r="D6669" t="inlineStr">
        <is>
          <t>Klein Tools 6846INS Insulated Screwdriver, 1000V #2 Square Tip Screwdriver with 6-Inch Shank, Tip-Ident, Cushion-Grip Handle</t>
        </is>
      </c>
      <c r="E6669" s="2">
        <f>HYPERLINK("https://www.amazon.com/Klein-Tools-6846INS-Screwdriver-Cushion-Grip/dp/B0BF7X96QK/ref=sr_1_3?keywords=Klein+Tools+6944INS+Slim-Tip+1000V+Insulated+Screwdriver%2C+%232+Square%2C+4-Inch+Round+Shank&amp;qid=1694735113&amp;sr=8-3", "https://www.amazon.com/Klein-Tools-6846INS-Screwdriver-Cushion-Grip/dp/B0BF7X96QK/ref=sr_1_3?keywords=Klein+Tools+6944INS+Slim-Tip+1000V+Insulated+Screwdriver%2C+%232+Square%2C+4-Inch+Round+Shank&amp;qid=1694735113&amp;sr=8-3")</f>
        <v/>
      </c>
      <c r="F6669" t="inlineStr">
        <is>
          <t>B0BF7X96QK</t>
        </is>
      </c>
      <c r="G6669">
        <f>_xludf.IMAGE("https://edmondsonsupply.com/cdn/shop/products/6944ins.jpg?v=1664804875")</f>
        <v/>
      </c>
      <c r="H6669">
        <f>_xludf.IMAGE("https://m.media-amazon.com/images/I/31EOUkZ6n3L._AC_UL320_.jpg")</f>
        <v/>
      </c>
      <c r="K6669" t="inlineStr">
        <is>
          <t>13.99</t>
        </is>
      </c>
      <c r="L6669" t="n">
        <v>11.97</v>
      </c>
      <c r="M6669" s="1" t="inlineStr">
        <is>
          <t>-14.44%</t>
        </is>
      </c>
      <c r="N6669" s="1" t="n"/>
      <c r="O6669" t="n">
        <v>4.7</v>
      </c>
      <c r="P6669" t="n">
        <v>201</v>
      </c>
      <c r="R6669" t="inlineStr">
        <is>
          <t>InStock</t>
        </is>
      </c>
      <c r="S6669" t="inlineStr">
        <is>
          <t>19.54</t>
        </is>
      </c>
      <c r="T6669" t="inlineStr">
        <is>
          <t>7837602054360</t>
        </is>
      </c>
    </row>
    <row r="6670" ht="87" customHeight="1">
      <c r="A6670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6670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6670" t="inlineStr">
        <is>
          <t>Klein Tools 66004 2-in-1 Impact Socket, 6-Point, 3/4 and 9/16-Inch</t>
        </is>
      </c>
      <c r="D6670" t="inlineStr">
        <is>
          <t>Impact Rated 2-in-1 Black Oxidized Spring-Loaded Socket, 12 Point, Deep Socket - Multi Function 3/4" and 9/16" Lineman Socket</t>
        </is>
      </c>
      <c r="E6670" s="2">
        <f>HYPERLINK("https://www.amazon.com/Impact-Rated-Oxidized-Spring-Loaded-Socket/dp/B07Y3YB87Z/ref=sr_1_13?keywords=Klein+Tools+66004+2-in-1+Impact+Socket%2C+6-Point%2C+3%2F4+and+9%2F16-Inch&amp;qid=1694735397&amp;sr=8-13", "https://www.amazon.com/Impact-Rated-Oxidized-Spring-Loaded-Socket/dp/B07Y3YB87Z/ref=sr_1_13?keywords=Klein+Tools+66004+2-in-1+Impact+Socket%2C+6-Point%2C+3%2F4+and+9%2F16-Inch&amp;qid=1694735397&amp;sr=8-13")</f>
        <v/>
      </c>
      <c r="F6670" t="inlineStr">
        <is>
          <t>B07Y3YB87Z</t>
        </is>
      </c>
      <c r="G6670">
        <f>_xlfn.IMAGE("https://edmondsonsupply.com/cdn/shop/products/66004.jpg?v=1664131249")</f>
        <v/>
      </c>
      <c r="H6670">
        <f>_xlfn.IMAGE("https://m.media-amazon.com/images/I/51icv2N-igL._AC_UL320_.jpg")</f>
        <v/>
      </c>
      <c r="K6670" t="inlineStr">
        <is>
          <t>39.99</t>
        </is>
      </c>
      <c r="L6670" t="n">
        <v>34.2</v>
      </c>
      <c r="M6670" s="1" t="inlineStr">
        <is>
          <t>-14.48%</t>
        </is>
      </c>
      <c r="N6670" s="7" t="n"/>
      <c r="O6670" t="n">
        <v>4.7</v>
      </c>
      <c r="P6670" t="n">
        <v>336</v>
      </c>
      <c r="R6670" t="inlineStr">
        <is>
          <t>InStock</t>
        </is>
      </c>
      <c r="S6670" t="inlineStr">
        <is>
          <t>68.0</t>
        </is>
      </c>
      <c r="T6670" t="inlineStr">
        <is>
          <t>4406308110436</t>
        </is>
      </c>
    </row>
    <row r="6671" ht="87" customHeight="1">
      <c r="A6671" s="2">
        <f>HYPERLINK("https://edmondsonsupply.com/collections/electricians-tools/products/klein-tools-66001-2-in-1-impact-socket-12-point-3-4-and-9-16", "https://edmondsonsupply.com/collections/electricians-tools/products/klein-tools-66001-2-in-1-impact-socket-12-point-3-4-and-9-16")</f>
        <v/>
      </c>
      <c r="B6671" s="2">
        <f>HYPERLINK("https://edmondsonsupply.com/products/klein-tools-66001-2-in-1-impact-socket-12-point-3-4-and-9-16", "https://edmondsonsupply.com/products/klein-tools-66001-2-in-1-impact-socket-12-point-3-4-and-9-16")</f>
        <v/>
      </c>
      <c r="C6671" t="inlineStr">
        <is>
          <t>Klein Tools 66001 2-in-1 Impact Socket, 12-Point, 3/4 and 9/16-Inch</t>
        </is>
      </c>
      <c r="D6671" t="inlineStr">
        <is>
          <t>Impact Rated 2-in-1 Black Oxidized Spring-Loaded Socket, 12 Point, Deep Socket - Multi Function 3/4" and 9/16" Lineman Socket</t>
        </is>
      </c>
      <c r="E6671" s="2">
        <f>HYPERLINK("https://www.amazon.com/Impact-Rated-Oxidized-Spring-Loaded-Socket/dp/B07Y3YB87Z/ref=sr_1_5?keywords=Klein+Tools+66001+2-in-1+Impact+Socket%2C+12-Point%2C+3%2F4+and+9%2F16-Inch&amp;qid=1694735393&amp;sr=8-5", "https://www.amazon.com/Impact-Rated-Oxidized-Spring-Loaded-Socket/dp/B07Y3YB87Z/ref=sr_1_5?keywords=Klein+Tools+66001+2-in-1+Impact+Socket%2C+12-Point%2C+3%2F4+and+9%2F16-Inch&amp;qid=1694735393&amp;sr=8-5")</f>
        <v/>
      </c>
      <c r="F6671" t="inlineStr">
        <is>
          <t>B07Y3YB87Z</t>
        </is>
      </c>
      <c r="G6671">
        <f>_xlfn.IMAGE("https://edmondsonsupply.com/cdn/shop/products/66001.jpg?v=1587145114")</f>
        <v/>
      </c>
      <c r="H6671">
        <f>_xlfn.IMAGE("https://m.media-amazon.com/images/I/51icv2N-igL._AC_UL320_.jpg")</f>
        <v/>
      </c>
      <c r="K6671" t="inlineStr">
        <is>
          <t>39.99</t>
        </is>
      </c>
      <c r="L6671" t="n">
        <v>34.2</v>
      </c>
      <c r="M6671" s="1" t="inlineStr">
        <is>
          <t>-14.48%</t>
        </is>
      </c>
      <c r="N6671" s="7" t="n"/>
      <c r="O6671" t="n">
        <v>4.7</v>
      </c>
      <c r="P6671" t="n">
        <v>336</v>
      </c>
      <c r="R6671" t="inlineStr">
        <is>
          <t>InStock</t>
        </is>
      </c>
      <c r="S6671" t="inlineStr">
        <is>
          <t>68.0</t>
        </is>
      </c>
      <c r="T6671" t="inlineStr">
        <is>
          <t>1901029556324</t>
        </is>
      </c>
    </row>
    <row r="6672" ht="87" customHeight="1">
      <c r="A6672" s="2">
        <f>HYPERLINK("https://edmondsonsupply.com/collections/electricians-tools/products/milwaukee-2732-21hd", "https://edmondsonsupply.com/collections/electricians-tools/products/milwaukee-2732-21hd")</f>
        <v/>
      </c>
      <c r="B6672" s="2">
        <f>HYPERLINK("https://edmondsonsupply.com/products/milwaukee-2732-21hd", "https://edmondsonsupply.com/products/milwaukee-2732-21hd")</f>
        <v/>
      </c>
      <c r="C6672" t="inlineStr">
        <is>
          <t>Milwaukee 2732-21HD M18 FUEL 7-1/4" Circular Saw Kit</t>
        </is>
      </c>
      <c r="D6672" t="inlineStr">
        <is>
          <t>Milwaukee Electric Tools 2732-21HD Circular Saw Kit</t>
        </is>
      </c>
      <c r="E6672" s="2">
        <f>HYPERLINK("https://www.amazon.com/Milwaukee-Electric-Tools-2732-21HD-Circular/dp/B07FDJQ52M/ref=sr_1_8?keywords=Milwaukee+2732-21HD+M18+FUEL+7-1%2F4%22+Circular+Saw+Kit&amp;qid=1694735304&amp;sr=8-8", "https://www.amazon.com/Milwaukee-Electric-Tools-2732-21HD-Circular/dp/B07FDJQ52M/ref=sr_1_8?keywords=Milwaukee+2732-21HD+M18+FUEL+7-1%2F4%22+Circular+Saw+Kit&amp;qid=1694735304&amp;sr=8-8")</f>
        <v/>
      </c>
      <c r="F6672" t="inlineStr">
        <is>
          <t>B07FDJQ52M</t>
        </is>
      </c>
      <c r="G6672">
        <f>_xlfn.IMAGE("https://edmondsonsupply.com/cdn/shop/products/2732-21HD_Kit.png?v=1591470998")</f>
        <v/>
      </c>
      <c r="H6672">
        <f>_xlfn.IMAGE("https://m.media-amazon.com/images/I/51Qu4iDlx2L._AC_UL320_.jpg")</f>
        <v/>
      </c>
      <c r="K6672" t="inlineStr">
        <is>
          <t>449.0</t>
        </is>
      </c>
      <c r="L6672" t="n">
        <v>383.99</v>
      </c>
      <c r="M6672" s="1" t="inlineStr">
        <is>
          <t>-14.48%</t>
        </is>
      </c>
      <c r="N6672" s="7" t="n"/>
      <c r="O6672" t="n">
        <v>4.4</v>
      </c>
      <c r="P6672" t="n">
        <v>78</v>
      </c>
      <c r="R6672" t="inlineStr">
        <is>
          <t>InStock</t>
        </is>
      </c>
      <c r="S6672" t="inlineStr">
        <is>
          <t>790.0</t>
        </is>
      </c>
      <c r="T6672" t="inlineStr">
        <is>
          <t>5279006064808</t>
        </is>
      </c>
    </row>
    <row r="6673" ht="87" customHeight="1">
      <c r="A6673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6673" s="2">
        <f>HYPERLINK("https://edmondsonsupply.com/products/milwaukee-49-56-0505-1-4-diamond-max%e2%84%a2-hole-saw", "https://edmondsonsupply.com/products/milwaukee-49-56-0505-1-4-diamond-max%e2%84%a2-hole-saw")</f>
        <v/>
      </c>
      <c r="C6673" t="inlineStr">
        <is>
          <t>Milwaukee 49-56-0505 1/4" Diamond MAX™ Hole Saw</t>
        </is>
      </c>
      <c r="D6673" t="inlineStr">
        <is>
          <t>MILWAUKEE'S 49-56-0511 1/2"  Diamond One-Piece Hole Saw, Red</t>
        </is>
      </c>
      <c r="E6673" s="2">
        <f>HYPERLINK("https://www.amazon.com/Milwaukee-49-56-0511-Diamond-One-Piece-Hole/dp/B00L2PBUS8/ref=sr_1_9?keywords=Milwaukee+49-56-0505+1%2F4%22+Diamond+MAX%E2%84%A2+Hole+Saw&amp;qid=1694735000&amp;sr=8-9", "https://www.amazon.com/Milwaukee-49-56-0511-Diamond-One-Piece-Hole/dp/B00L2PBUS8/ref=sr_1_9?keywords=Milwaukee+49-56-0505+1%2F4%22+Diamond+MAX%E2%84%A2+Hole+Saw&amp;qid=1694735000&amp;sr=8-9")</f>
        <v/>
      </c>
      <c r="F6673" t="inlineStr">
        <is>
          <t>B00L2PBUS8</t>
        </is>
      </c>
      <c r="G6673">
        <f>_xlfn.IMAGE("https://edmondsonsupply.com/cdn/shop/products/49-56-0507_1.png?v=1680111300")</f>
        <v/>
      </c>
      <c r="H6673">
        <f>_xlfn.IMAGE("https://m.media-amazon.com/images/I/61m0il20UYL._AC_UL320_.jpg")</f>
        <v/>
      </c>
      <c r="K6673" t="inlineStr">
        <is>
          <t>19.99</t>
        </is>
      </c>
      <c r="L6673" t="n">
        <v>17.09</v>
      </c>
      <c r="M6673" s="1" t="inlineStr">
        <is>
          <t>-14.51%</t>
        </is>
      </c>
      <c r="N6673" s="7" t="n"/>
      <c r="O6673" t="n">
        <v>4.7</v>
      </c>
      <c r="P6673" t="n">
        <v>36</v>
      </c>
      <c r="R6673" t="inlineStr">
        <is>
          <t>InStock</t>
        </is>
      </c>
      <c r="S6673" t="inlineStr">
        <is>
          <t>26.6</t>
        </is>
      </c>
      <c r="T6673" t="inlineStr">
        <is>
          <t>7969746485464</t>
        </is>
      </c>
    </row>
    <row r="6674" hidden="1" ht="15.75" customHeight="1">
      <c r="A6674" s="2">
        <f>HYPERLINK("https://edmondsonsupply.com/collections/electricians-tools/products/diablo-tools-d0536x-5-3-8-in-x-36-tooth-finish-trim-saw-blade", "https://edmondsonsupply.com/collections/electricians-tools/products/diablo-tools-d0536x-5-3-8-in-x-36-tooth-finish-trim-saw-blade")</f>
        <v/>
      </c>
      <c r="B6674" s="2">
        <f>HYPERLINK("https://edmondsonsupply.com/products/diablo-tools-d0536x-5-3-8-in-x-36-tooth-finish-trim-saw-blade", "https://edmondsonsupply.com/products/diablo-tools-d0536x-5-3-8-in-x-36-tooth-finish-trim-saw-blade")</f>
        <v/>
      </c>
      <c r="C6674" t="inlineStr">
        <is>
          <t>Diablo Tools D0536X 5-3/8 in. x 36 Tooth Finish Trim Saw Blade</t>
        </is>
      </c>
      <c r="D6674" t="inlineStr">
        <is>
          <t>Oshlun SBW-055036 5-1/2-Inch 36 Tooth ATB Finishing and Trimming Saw Blade with 5/8-Inch Arbor (1/2-Inch and 10mm Bushings)</t>
        </is>
      </c>
      <c r="E6674" s="2">
        <f>HYPERLINK("https://www.amazon.com/Oshlun-SBW-055036-Finishing-Trimming-Bushings/dp/B00I527PGM/ref=sr_1_16?keywords=Diablo+Tools+D0536X+5-3%2F8+in.+x+36+Tooth+Finish+Trim+Saw+Blade&amp;qid=1694735017&amp;sr=8-16", "https://www.amazon.com/Oshlun-SBW-055036-Finishing-Trimming-Bushings/dp/B00I527PGM/ref=sr_1_16?keywords=Diablo+Tools+D0536X+5-3%2F8+in.+x+36+Tooth+Finish+Trim+Saw+Blade&amp;qid=1694735017&amp;sr=8-16")</f>
        <v/>
      </c>
      <c r="F6674" t="inlineStr">
        <is>
          <t>B00I527PGM</t>
        </is>
      </c>
      <c r="G6674">
        <f>_xludf.IMAGE("https://edmondsonsupply.com/cdn/shop/products/tlu1mfykudka2gxayxql.webp?v=1679326425")</f>
        <v/>
      </c>
      <c r="H6674">
        <f>_xludf.IMAGE("https://m.media-amazon.com/images/I/914jJmfU8CL._AC_UL320_.jpg")</f>
        <v/>
      </c>
      <c r="K6674" t="inlineStr">
        <is>
          <t>16.97</t>
        </is>
      </c>
      <c r="L6674" t="n">
        <v>14.5</v>
      </c>
      <c r="M6674" s="1" t="inlineStr">
        <is>
          <t>-14.56%</t>
        </is>
      </c>
      <c r="N6674" s="1" t="n"/>
      <c r="O6674" t="n">
        <v>4.5</v>
      </c>
      <c r="P6674" t="n">
        <v>2177</v>
      </c>
      <c r="R6674" t="inlineStr">
        <is>
          <t>InStock</t>
        </is>
      </c>
      <c r="S6674" t="inlineStr">
        <is>
          <t>26.04</t>
        </is>
      </c>
      <c r="T6674" t="inlineStr">
        <is>
          <t>7964916482264</t>
        </is>
      </c>
    </row>
    <row r="6675" ht="87" customHeight="1">
      <c r="A6675" s="2">
        <f>HYPERLINK("https://edmondsonsupply.com/collections/electricians-tools/products/channellock-317", "https://edmondsonsupply.com/collections/electricians-tools/products/channellock-317")</f>
        <v/>
      </c>
      <c r="B6675" s="2">
        <f>HYPERLINK("https://edmondsonsupply.com/products/channellock-317", "https://edmondsonsupply.com/products/channellock-317")</f>
        <v/>
      </c>
      <c r="C6675" t="inlineStr">
        <is>
          <t>Channellock 317 8-Inch Long Nose Pliers with Side Cutter</t>
        </is>
      </c>
      <c r="D6675" t="inlineStr">
        <is>
          <t>Channellock 326 6-Inch Long Nose Plier with Side Cutter, Blue</t>
        </is>
      </c>
      <c r="E6675" s="2">
        <f>HYPERLINK("https://www.amazon.com/Channellock-326-6-Inch-Plier-Cutter/dp/B00004SBD2/ref=sr_1_2?keywords=Channellock+317+8-Inch+Long+Nose+Pliers+with+Side+Cutter&amp;qid=1694735322&amp;sr=8-2", "https://www.amazon.com/Channellock-326-6-Inch-Plier-Cutter/dp/B00004SBD2/ref=sr_1_2?keywords=Channellock+317+8-Inch+Long+Nose+Pliers+with+Side+Cutter&amp;qid=1694735322&amp;sr=8-2")</f>
        <v/>
      </c>
      <c r="F6675" t="inlineStr">
        <is>
          <t>B00004SBD2</t>
        </is>
      </c>
      <c r="G6675">
        <f>_xlfn.IMAGE("https://edmondsonsupply.com/cdn/shop/products/317-683x1024.jpg?v=1633030326")</f>
        <v/>
      </c>
      <c r="H6675">
        <f>_xlfn.IMAGE("https://m.media-amazon.com/images/I/61-sAD8xR4L._AC_UL320_.jpg")</f>
        <v/>
      </c>
      <c r="K6675" t="inlineStr">
        <is>
          <t>24.95</t>
        </is>
      </c>
      <c r="L6675" t="n">
        <v>21.31</v>
      </c>
      <c r="M6675" s="1" t="inlineStr">
        <is>
          <t>-14.59%</t>
        </is>
      </c>
      <c r="N6675" s="7" t="n"/>
      <c r="O6675" t="n">
        <v>4.7</v>
      </c>
      <c r="P6675" t="n">
        <v>1174</v>
      </c>
      <c r="R6675" t="inlineStr">
        <is>
          <t>InStock</t>
        </is>
      </c>
      <c r="S6675" t="inlineStr">
        <is>
          <t>35.15</t>
        </is>
      </c>
      <c r="T6675" t="inlineStr">
        <is>
          <t>5247343526056</t>
        </is>
      </c>
    </row>
    <row r="6676" ht="87" customHeight="1">
      <c r="A6676" s="2">
        <f>HYPERLINK("https://edmondsonsupply.com/collections/electricians-tools/products/klein-tools-ncvt5kit-electrical-tester-kit-with-dual-range-ncvt-and-gfci-receptacle-tester", "https://edmondsonsupply.com/collections/electricians-tools/products/klein-tools-ncvt5kit-electrical-tester-kit-with-dual-range-ncvt-and-gfci-receptacle-tester")</f>
        <v/>
      </c>
      <c r="B6676" s="2">
        <f>HYPERLINK("https://edmondsonsupply.com/products/klein-tools-ncvt5kit-electrical-tester-kit-with-dual-range-ncvt-and-gfci-receptacle-tester", "https://edmondsonsupply.com/products/klein-tools-ncvt5kit-electrical-tester-kit-with-dual-range-ncvt-and-gfci-receptacle-tester")</f>
        <v/>
      </c>
      <c r="C6676" t="inlineStr">
        <is>
          <t>Klein Tools NCVT5KIT Dual Range NCVT and GFCI Receptacle Tester Electrical Test Kit</t>
        </is>
      </c>
      <c r="D6676" t="inlineStr">
        <is>
          <t>Klein Tools NCVT3P Dual Range Non Contact Voltage Tester &amp; RT250 GFCI Receptacle Tester with LCD Display, for Standard 3-Wire 120V Electrical Outlets</t>
        </is>
      </c>
      <c r="E6676" s="2">
        <f>HYPERLINK("https://www.amazon.com/Klein-Tools-Receptacle-Standard-Electrical/dp/B0BC861K3W/ref=sr_1_3?keywords=Klein+Tools+NCVT5KIT+Dual+Range+NCVT+and+GFCI+Receptacle+Tester+Electrical+Test+Kit&amp;qid=1694735334&amp;sr=8-3", "https://www.amazon.com/Klein-Tools-Receptacle-Standard-Electrical/dp/B0BC861K3W/ref=sr_1_3?keywords=Klein+Tools+NCVT5KIT+Dual+Range+NCVT+and+GFCI+Receptacle+Tester+Electrical+Test+Kit&amp;qid=1694735334&amp;sr=8-3")</f>
        <v/>
      </c>
      <c r="F6676" t="inlineStr">
        <is>
          <t>B0BC861K3W</t>
        </is>
      </c>
      <c r="G6676">
        <f>_xlfn.IMAGE("https://edmondsonsupply.com/cdn/shop/products/ncvt5kit.jpg?v=1633030226")</f>
        <v/>
      </c>
      <c r="H6676">
        <f>_xlfn.IMAGE("https://m.media-amazon.com/images/I/5145pmsV9+L._AC_UL320_.jpg")</f>
        <v/>
      </c>
      <c r="K6676" t="inlineStr">
        <is>
          <t>34.99</t>
        </is>
      </c>
      <c r="L6676" t="n">
        <v>29.88</v>
      </c>
      <c r="M6676" s="1" t="inlineStr">
        <is>
          <t>-14.60%</t>
        </is>
      </c>
      <c r="N6676" s="7" t="n"/>
      <c r="O6676" t="n">
        <v>4.4</v>
      </c>
      <c r="P6676" t="n">
        <v>12</v>
      </c>
      <c r="R6676" t="inlineStr">
        <is>
          <t>InStock</t>
        </is>
      </c>
      <c r="S6676" t="inlineStr">
        <is>
          <t>49.72</t>
        </is>
      </c>
      <c r="T6676" t="inlineStr">
        <is>
          <t>4563634946148</t>
        </is>
      </c>
    </row>
    <row r="6677" hidden="1" ht="15.75" customHeight="1">
      <c r="A6677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677" s="2">
        <f>HYPERLINK("https://edmondsonsupply.com/products/diablo-tools-dag1110-7-8-in-x-7-1-2-in-auger-bit", "https://edmondsonsupply.com/products/diablo-tools-dag1110-7-8-in-x-7-1-2-in-auger-bit")</f>
        <v/>
      </c>
      <c r="C6677" t="inlineStr">
        <is>
          <t>Diablo Tools DAG1110 7/8 in. x 7-1/2 in. Auger Bit</t>
        </is>
      </c>
      <c r="D6677" t="inlineStr">
        <is>
          <t>Diablo 9/16 in. x 7-1/2 in. Auger Bit</t>
        </is>
      </c>
      <c r="E6677" s="2">
        <f>HYPERLINK("https://www.amazon.com/Diablo-16-7-1-Auger-Bit/dp/B089KVTCZD/ref=sr_1_16?keywords=Diablo+Tools+DAG1110+7%2F8+in.+x+7-1%2F2+in.+Auger+Bit&amp;qid=1694735001&amp;sr=8-16", "https://www.amazon.com/Diablo-16-7-1-Auger-Bit/dp/B089KVTCZD/ref=sr_1_16?keywords=Diablo+Tools+DAG1110+7%2F8+in.+x+7-1%2F2+in.+Auger+Bit&amp;qid=1694735001&amp;sr=8-16")</f>
        <v/>
      </c>
      <c r="F6677" t="inlineStr">
        <is>
          <t>B089KVTCZD</t>
        </is>
      </c>
      <c r="G6677">
        <f>_xludf.IMAGE("https://edmondsonsupply.com/cdn/shop/products/yel7mbaiyy08ii0assd5.webp?v=1680187136")</f>
        <v/>
      </c>
      <c r="H6677">
        <f>_xludf.IMAGE("https://m.media-amazon.com/images/I/61hihNXtHAL._AC_UL320_.jpg")</f>
        <v/>
      </c>
      <c r="K6677" t="inlineStr">
        <is>
          <t>16.97</t>
        </is>
      </c>
      <c r="L6677" t="n">
        <v>14.49</v>
      </c>
      <c r="M6677" s="1" t="inlineStr">
        <is>
          <t>-14.61%</t>
        </is>
      </c>
      <c r="N6677" s="1" t="n"/>
      <c r="O6677" t="n">
        <v>4.4</v>
      </c>
      <c r="P6677" t="n">
        <v>11</v>
      </c>
      <c r="R6677" t="inlineStr">
        <is>
          <t>InStock</t>
        </is>
      </c>
      <c r="S6677" t="inlineStr">
        <is>
          <t>23.76</t>
        </is>
      </c>
      <c r="T6677" t="inlineStr">
        <is>
          <t>7970459549912</t>
        </is>
      </c>
    </row>
    <row r="6678" ht="87" customHeight="1">
      <c r="A6678" s="2">
        <f>HYPERLINK("https://edmondsonsupply.com/collections/electricians-tools/products/klein-tools-cl320-hvac-digital-clamp-meter-ac-auto-ranging-400-amp", "https://edmondsonsupply.com/collections/electricians-tools/products/klein-tools-cl320-hvac-digital-clamp-meter-ac-auto-ranging-400-amp")</f>
        <v/>
      </c>
      <c r="B6678" s="2">
        <f>HYPERLINK("https://edmondsonsupply.com/products/klein-tools-cl320-hvac-digital-clamp-meter-ac-auto-ranging-400-amp", "https://edmondsonsupply.com/products/klein-tools-cl320-hvac-digital-clamp-meter-ac-auto-ranging-400-amp")</f>
        <v/>
      </c>
      <c r="C6678" t="inlineStr">
        <is>
          <t>Klein Tools CL320 HVAC Digital Clamp Meter, AC Auto-Ranging 400 Amp</t>
        </is>
      </c>
      <c r="D6678" t="inlineStr">
        <is>
          <t>Klein Tools CL220 Digital Clamp Meter, Auto-Ranging 400 Amp AC, AC/DC Voltage, TRMS, Resistance, Continuity, NCVT Detection, and Temp, Orange and Black</t>
        </is>
      </c>
      <c r="E6678" s="2">
        <f>HYPERLINK("https://www.amazon.com/Klein-Tools-CL220-Auto-Ranging-Temperature/dp/B08CFWMYYY/ref=sr_1_3?keywords=Klein+Tools+CL320+HVAC+Digital+Clamp+Meter%2C+AC+Auto-Ranging+400+Amp&amp;qid=1694735263&amp;sr=8-3", "https://www.amazon.com/Klein-Tools-CL220-Auto-Ranging-Temperature/dp/B08CFWMYYY/ref=sr_1_3?keywords=Klein+Tools+CL320+HVAC+Digital+Clamp+Meter%2C+AC+Auto-Ranging+400+Amp&amp;qid=1694735263&amp;sr=8-3")</f>
        <v/>
      </c>
      <c r="F6678" t="inlineStr">
        <is>
          <t>B08CFWMYYY</t>
        </is>
      </c>
      <c r="G6678">
        <f>_xlfn.IMAGE("https://edmondsonsupply.com/cdn/shop/products/cl320_b.jpg?v=1633030568")</f>
        <v/>
      </c>
      <c r="H6678">
        <f>_xlfn.IMAGE("https://m.media-amazon.com/images/I/61PTwVjeWtL._AC_UY218_.jpg")</f>
        <v/>
      </c>
      <c r="K6678" t="inlineStr">
        <is>
          <t>81.99</t>
        </is>
      </c>
      <c r="L6678" t="n">
        <v>69.97</v>
      </c>
      <c r="M6678" s="1" t="inlineStr">
        <is>
          <t>-14.66%</t>
        </is>
      </c>
      <c r="N6678" s="7" t="n"/>
      <c r="O6678" t="n">
        <v>4.7</v>
      </c>
      <c r="P6678" t="n">
        <v>810</v>
      </c>
      <c r="R6678" t="inlineStr">
        <is>
          <t>InStock</t>
        </is>
      </c>
      <c r="S6678" t="inlineStr">
        <is>
          <t>112.68</t>
        </is>
      </c>
      <c r="T6678" t="inlineStr">
        <is>
          <t>5480859009192</t>
        </is>
      </c>
    </row>
    <row r="6679" ht="87" customHeight="1">
      <c r="A6679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6679" s="2">
        <f>HYPERLINK("https://edmondsonsupply.com/products/diablo-tools-d0660x-6-1-2-in-x-60-tooth-ultra-finish-saw-blade", "https://edmondsonsupply.com/products/diablo-tools-d0660x-6-1-2-in-x-60-tooth-ultra-finish-saw-blade")</f>
        <v/>
      </c>
      <c r="C6679" t="inlineStr">
        <is>
          <t>Diablo Tools D0660X 6-1/2 in. x 60 Tooth Ultra Finish Saw Blade</t>
        </is>
      </c>
      <c r="D6679" t="inlineStr">
        <is>
          <t>Diablo Ultra Finish Circular Saw Blade - 7 1/4in. 60 Tooth, Fine Finish, Model Number D0760X</t>
        </is>
      </c>
      <c r="E6679" s="2">
        <f>HYPERLINK("https://www.amazon.com/Diablo-Ultra-Finish-Circular-Blade/dp/B071X5DBWR/ref=sr_1_8?keywords=Diablo+Tools+D0660X+6-1%2F2+in.+x+60+Tooth+Ultra+Finish+Saw+Blade&amp;qid=1694735022&amp;sr=8-8", "https://www.amazon.com/Diablo-Ultra-Finish-Circular-Blade/dp/B071X5DBWR/ref=sr_1_8?keywords=Diablo+Tools+D0660X+6-1%2F2+in.+x+60+Tooth+Ultra+Finish+Saw+Blade&amp;qid=1694735022&amp;sr=8-8")</f>
        <v/>
      </c>
      <c r="F6679" t="inlineStr">
        <is>
          <t>B071X5DBWR</t>
        </is>
      </c>
      <c r="G6679">
        <f>_xlfn.IMAGE("https://edmondsonsupply.com/cdn/shop/products/ma8p1gcmhxpwwhymtiim.webp?v=1678983644")</f>
        <v/>
      </c>
      <c r="H6679">
        <f>_xlfn.IMAGE("https://m.media-amazon.com/images/I/61JlPZnNLWL._AC_UL320_.jpg")</f>
        <v/>
      </c>
      <c r="K6679" t="inlineStr">
        <is>
          <t>22.97</t>
        </is>
      </c>
      <c r="L6679" t="n">
        <v>19.6</v>
      </c>
      <c r="M6679" s="1" t="inlineStr">
        <is>
          <t>-14.67%</t>
        </is>
      </c>
      <c r="N6679" s="7" t="n"/>
      <c r="O6679" t="n">
        <v>4.8</v>
      </c>
      <c r="P6679" t="n">
        <v>142</v>
      </c>
      <c r="R6679" t="inlineStr">
        <is>
          <t>InStock</t>
        </is>
      </c>
      <c r="S6679" t="inlineStr">
        <is>
          <t>33.88</t>
        </is>
      </c>
      <c r="T6679" t="inlineStr">
        <is>
          <t>7962739507416</t>
        </is>
      </c>
    </row>
    <row r="6680" ht="87" customHeight="1">
      <c r="A6680" s="2">
        <f>HYPERLINK("https://edmondsonsupply.com/collections/electricians-tools/products/klein-tools-mm420", "https://edmondsonsupply.com/collections/electricians-tools/products/klein-tools-mm420")</f>
        <v/>
      </c>
      <c r="B6680" s="2">
        <f>HYPERLINK("https://edmondsonsupply.com/products/klein-tools-mm420", "https://edmondsonsupply.com/products/klein-tools-mm420")</f>
        <v/>
      </c>
      <c r="C6680" t="inlineStr">
        <is>
          <t>Klein Tools MM420 Digital Multimeter, TRMS Auto-Ranging, 600V, Temp</t>
        </is>
      </c>
      <c r="D6680" t="inlineStr">
        <is>
          <t>Klein Tools MM420 Digital Multimeter, Auto-Ranging TRMS Multimeter, 600V AC/DC Voltage, 10A AC/DC Current, 50 MOhms Resistance, Orange/Black</t>
        </is>
      </c>
      <c r="E6680" s="2">
        <f>HYPERLINK("https://www.amazon.com/Multimeter-Auto-Ranging-Klein-Tools-MM420/dp/B0B57PFFYX/ref=sr_1_1?keywords=Klein+Tools+MM420+Digital+Multimeter%2C+TRMS+Auto-Ranging%2C+600V%2C+Temp&amp;qid=1694735126&amp;sr=8-1", "https://www.amazon.com/Multimeter-Auto-Ranging-Klein-Tools-MM420/dp/B0B57PFFYX/ref=sr_1_1?keywords=Klein+Tools+MM420+Digital+Multimeter%2C+TRMS+Auto-Ranging%2C+600V%2C+Temp&amp;qid=1694735126&amp;sr=8-1")</f>
        <v/>
      </c>
      <c r="F6680" t="inlineStr">
        <is>
          <t>B0B57PFFYX</t>
        </is>
      </c>
      <c r="G6680">
        <f>_xlfn.IMAGE("https://edmondsonsupply.com/cdn/shop/products/mm420.jpg?v=1663610900")</f>
        <v/>
      </c>
      <c r="H6680">
        <f>_xlfn.IMAGE("https://m.media-amazon.com/images/I/51+Q3wZJ2ZL._AC_UL320_.jpg")</f>
        <v/>
      </c>
      <c r="K6680" t="inlineStr">
        <is>
          <t>54.97</t>
        </is>
      </c>
      <c r="L6680" t="n">
        <v>46.9</v>
      </c>
      <c r="M6680" s="1" t="inlineStr">
        <is>
          <t>-14.68%</t>
        </is>
      </c>
      <c r="N6680" s="7" t="n"/>
      <c r="O6680" t="n">
        <v>4.7</v>
      </c>
      <c r="P6680" t="n">
        <v>3806</v>
      </c>
      <c r="R6680" t="inlineStr">
        <is>
          <t>InStock</t>
        </is>
      </c>
      <c r="S6680" t="inlineStr">
        <is>
          <t>79.58</t>
        </is>
      </c>
      <c r="T6680" t="inlineStr">
        <is>
          <t>7822918615256</t>
        </is>
      </c>
    </row>
    <row r="6681" ht="87" customHeight="1">
      <c r="A6681" s="2">
        <f>HYPERLINK("https://edmondsonsupply.com/collections/electricians-tools/products/milwaukee-2767-20-m18-fuel%E2%84%A2-1-2-high-torque-impact-wrench-with-friction-ring-tool-only", "https://edmondsonsupply.com/collections/electricians-tools/products/milwaukee-2767-20-m18-fuel%E2%84%A2-1-2-high-torque-impact-wrench-with-friction-ring-tool-only")</f>
        <v/>
      </c>
      <c r="B6681" s="2">
        <f>HYPERLINK("https://edmondsonsupply.com/products/milwaukee-2767-20-m18-fuel%e2%84%a2-1-2-high-torque-impact-wrench-with-friction-ring-tool-only", "https://edmondsonsupply.com/products/milwaukee-2767-20-m18-fuel%e2%84%a2-1-2-high-torque-impact-wrench-with-friction-ring-tool-only")</f>
        <v/>
      </c>
      <c r="C6681" t="inlineStr">
        <is>
          <t>Milwaukee 2767-20 M18 FUEL™ 1/2" High Torque Impact Wrench with Friction Ring (Tool Only)</t>
        </is>
      </c>
      <c r="D6681" t="inlineStr">
        <is>
          <t>Milwaukee 2767-20 M18 Fuel High Torque 1/2-Inch Impact Wrench with Friction Ring</t>
        </is>
      </c>
      <c r="E6681" s="2">
        <f>HYPERLINK("https://www.amazon.com/Milwaukee-2767-20-Torque-2-Inch-Friction/dp/B095JXCRP6/ref=sr_1_2?keywords=Milwaukee+2767-20+M18+FUEL%E2%84%A2+1%2F2%22+High+Torque+Impact+Wrench+with+Friction+Ring+%28Tool+Only%29&amp;qid=1694735156&amp;sr=8-2", "https://www.amazon.com/Milwaukee-2767-20-Torque-2-Inch-Friction/dp/B095JXCRP6/ref=sr_1_2?keywords=Milwaukee+2767-20+M18+FUEL%E2%84%A2+1%2F2%22+High+Torque+Impact+Wrench+with+Friction+Ring+%28Tool+Only%29&amp;qid=1694735156&amp;sr=8-2")</f>
        <v/>
      </c>
      <c r="F6681" t="inlineStr">
        <is>
          <t>B095JXCRP6</t>
        </is>
      </c>
      <c r="G6681">
        <f>_xlfn.IMAGE("https://edmondsonsupply.com/cdn/shop/products/2767-20_1.webp?v=1668441181")</f>
        <v/>
      </c>
      <c r="H6681">
        <f>_xlfn.IMAGE("https://m.media-amazon.com/images/I/61YswrZUT5S._AC_UL320_.jpg")</f>
        <v/>
      </c>
      <c r="K6681" t="inlineStr">
        <is>
          <t>279.0</t>
        </is>
      </c>
      <c r="L6681" t="n">
        <v>237.98</v>
      </c>
      <c r="M6681" s="1" t="inlineStr">
        <is>
          <t>-14.70%</t>
        </is>
      </c>
      <c r="N6681" s="7" t="n"/>
      <c r="O6681" t="n">
        <v>4.7</v>
      </c>
      <c r="P6681" t="n">
        <v>504</v>
      </c>
      <c r="R6681" t="inlineStr">
        <is>
          <t>InStock</t>
        </is>
      </c>
      <c r="S6681" t="inlineStr">
        <is>
          <t>464.0</t>
        </is>
      </c>
      <c r="T6681" t="inlineStr">
        <is>
          <t>7884381552856</t>
        </is>
      </c>
    </row>
    <row r="6682" ht="87" customHeight="1">
      <c r="A6682" s="2">
        <f>HYPERLINK("https://edmondsonsupply.com/collections/electricians-tools/products/milwaukee-2767-20-m18-fuel%E2%84%A2-1-2-high-torque-impact-wrench-with-friction-ring-tool-only", "https://edmondsonsupply.com/collections/electricians-tools/products/milwaukee-2767-20-m18-fuel%E2%84%A2-1-2-high-torque-impact-wrench-with-friction-ring-tool-only")</f>
        <v/>
      </c>
      <c r="B6682" s="2">
        <f>HYPERLINK("https://edmondsonsupply.com/products/milwaukee-2767-20-m18-fuel%e2%84%a2-1-2-high-torque-impact-wrench-with-friction-ring-tool-only", "https://edmondsonsupply.com/products/milwaukee-2767-20-m18-fuel%e2%84%a2-1-2-high-torque-impact-wrench-with-friction-ring-tool-only")</f>
        <v/>
      </c>
      <c r="C6682" t="inlineStr">
        <is>
          <t>Milwaukee 2767-20 M18 FUEL™ 1/2" High Torque Impact Wrench with Friction Ring (Tool Only)</t>
        </is>
      </c>
      <c r="D6682" t="inlineStr">
        <is>
          <t>Milwaukee 2767-20 M18 Fuel High Torque 1/2-Inch Impact Wrench with Friction Ring</t>
        </is>
      </c>
      <c r="E6682" s="2">
        <f>HYPERLINK("https://www.amazon.com/Milwaukee-2767-20-Torque-2-Inch-Friction/dp/B094RDL3QR/ref=sr_1_3?keywords=Milwaukee+2767-20+M18+FUEL%E2%84%A2+1%2F2%22+High+Torque+Impact+Wrench+with+Friction+Ring+%28Tool+Only%29&amp;qid=1694735156&amp;sr=8-3", "https://www.amazon.com/Milwaukee-2767-20-Torque-2-Inch-Friction/dp/B094RDL3QR/ref=sr_1_3?keywords=Milwaukee+2767-20+M18+FUEL%E2%84%A2+1%2F2%22+High+Torque+Impact+Wrench+with+Friction+Ring+%28Tool+Only%29&amp;qid=1694735156&amp;sr=8-3")</f>
        <v/>
      </c>
      <c r="F6682" t="inlineStr">
        <is>
          <t>B094RDL3QR</t>
        </is>
      </c>
      <c r="G6682">
        <f>_xlfn.IMAGE("https://edmondsonsupply.com/cdn/shop/products/2767-20_1.webp?v=1668441181")</f>
        <v/>
      </c>
      <c r="H6682">
        <f>_xlfn.IMAGE("https://m.media-amazon.com/images/I/61aGjxU8yIL._AC_UL320_.jpg")</f>
        <v/>
      </c>
      <c r="K6682" t="inlineStr">
        <is>
          <t>279.0</t>
        </is>
      </c>
      <c r="L6682" t="n">
        <v>237.69</v>
      </c>
      <c r="M6682" s="1" t="inlineStr">
        <is>
          <t>-14.81%</t>
        </is>
      </c>
      <c r="N6682" s="7" t="n"/>
      <c r="O6682" t="n">
        <v>4.7</v>
      </c>
      <c r="P6682" t="n">
        <v>65</v>
      </c>
      <c r="R6682" t="inlineStr">
        <is>
          <t>InStock</t>
        </is>
      </c>
      <c r="S6682" t="inlineStr">
        <is>
          <t>464.0</t>
        </is>
      </c>
      <c r="T6682" t="inlineStr">
        <is>
          <t>7884381552856</t>
        </is>
      </c>
    </row>
    <row r="6683" hidden="1" ht="15.75" customHeight="1">
      <c r="A6683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6683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6683" t="inlineStr">
        <is>
          <t>Diablo Tools DMARG1090 1/4 in. x 10 in. x 12 in. SPEEDemon™ Red Granite Carbide Tipped Hammer Drill Bit</t>
        </is>
      </c>
      <c r="D6683" t="inlineStr">
        <is>
          <t>Diablo by Freud DMARG1150 1/2 in. x 4 in. x 6 in. SPEEDemon Red Granite Carbide Tipped Hammer Drill Bit</t>
        </is>
      </c>
      <c r="E6683" s="2">
        <f>HYPERLINK("https://www.amazon.com/Diablo-Freud-DMARG1150-SPEEDemon-Granite/dp/B089LKXD71/ref=sr_1_6?keywords=Diablo+Tools+DMARG1090+1%2F4+in.+x+10+in.+x+12+in.+SPEEDemon%E2%84%A2+Red+Granite+Carbide+Tipped+Hammer+Drill+Bit&amp;qid=1694735286&amp;sr=8-6", "https://www.amazon.com/Diablo-Freud-DMARG1150-SPEEDemon-Granite/dp/B089LKXD71/ref=sr_1_6?keywords=Diablo+Tools+DMARG1090+1%2F4+in.+x+10+in.+x+12+in.+SPEEDemon%E2%84%A2+Red+Granite+Carbide+Tipped+Hammer+Drill+Bit&amp;qid=1694735286&amp;sr=8-6")</f>
        <v/>
      </c>
      <c r="F6683" t="inlineStr">
        <is>
          <t>B089LKXD71</t>
        </is>
      </c>
      <c r="G6683">
        <f>_xludf.IMAGE("https://edmondsonsupply.com/cdn/shop/products/DMARG1090_Main-Image.png?v=1633030421")</f>
        <v/>
      </c>
      <c r="H6683">
        <f>_xludf.IMAGE("https://m.media-amazon.com/images/I/61Irr3Gr9YL._AC_UL320_.jpg")</f>
        <v/>
      </c>
      <c r="K6683" t="inlineStr">
        <is>
          <t>11.97</t>
        </is>
      </c>
      <c r="L6683" t="n">
        <v>10.19</v>
      </c>
      <c r="M6683" s="1" t="inlineStr">
        <is>
          <t>-14.87%</t>
        </is>
      </c>
      <c r="N6683" s="1" t="n"/>
      <c r="O6683" t="n">
        <v>4.3</v>
      </c>
      <c r="P6683" t="n">
        <v>19</v>
      </c>
      <c r="R6683" t="inlineStr">
        <is>
          <t>InStock</t>
        </is>
      </c>
      <c r="S6683" t="inlineStr">
        <is>
          <t>12.5</t>
        </is>
      </c>
      <c r="T6683" t="inlineStr">
        <is>
          <t>5318039339176</t>
        </is>
      </c>
    </row>
    <row r="6684" ht="87" customHeight="1">
      <c r="A6684" s="2">
        <f>HYPERLINK("https://edmondsonsupply.com/collections/electricians-tools/products/channellock-3017", "https://edmondsonsupply.com/collections/electricians-tools/products/channellock-3017")</f>
        <v/>
      </c>
      <c r="B6684" s="2">
        <f>HYPERLINK("https://edmondsonsupply.com/products/channellock-3017", "https://edmondsonsupply.com/products/channellock-3017")</f>
        <v/>
      </c>
      <c r="C6684" t="inlineStr">
        <is>
          <t>Channellock 3017 8-Inch Long Nose Pliers</t>
        </is>
      </c>
      <c r="D6684" t="inlineStr">
        <is>
          <t>IRWIN Tools VISE-GRIP Pliers, Bent Long Nose, 8-Inch (2078228)</t>
        </is>
      </c>
      <c r="E6684" s="2">
        <f>HYPERLINK("https://www.amazon.com/Tools-VISE-GRIP-Pliers-8-Inch-2078228/dp/B000A0OW2W/ref=sr_1_12?keywords=Channellock+3017+8-Inch+Long+Nose+Pliers&amp;qid=1694735304&amp;sr=8-12", "https://www.amazon.com/Tools-VISE-GRIP-Pliers-8-Inch-2078228/dp/B000A0OW2W/ref=sr_1_12?keywords=Channellock+3017+8-Inch+Long+Nose+Pliers&amp;qid=1694735304&amp;sr=8-12")</f>
        <v/>
      </c>
      <c r="F6684" t="inlineStr">
        <is>
          <t>B000A0OW2W</t>
        </is>
      </c>
      <c r="G6684">
        <f>_xlfn.IMAGE("https://edmondsonsupply.com/cdn/shop/products/3017-683x1024.jpg?v=1633030322")</f>
        <v/>
      </c>
      <c r="H6684">
        <f>_xlfn.IMAGE("https://m.media-amazon.com/images/I/61DGAIQw9YL._AC_UL320_.jpg")</f>
        <v/>
      </c>
      <c r="K6684" t="inlineStr">
        <is>
          <t>19.95</t>
        </is>
      </c>
      <c r="L6684" t="n">
        <v>16.98</v>
      </c>
      <c r="M6684" s="1" t="inlineStr">
        <is>
          <t>-14.89%</t>
        </is>
      </c>
      <c r="N6684" s="7" t="n"/>
      <c r="O6684" t="n">
        <v>4.8</v>
      </c>
      <c r="P6684" t="n">
        <v>288</v>
      </c>
      <c r="R6684" t="inlineStr">
        <is>
          <t>InStock</t>
        </is>
      </c>
      <c r="S6684" t="inlineStr">
        <is>
          <t>29.97</t>
        </is>
      </c>
      <c r="T6684" t="inlineStr">
        <is>
          <t>5245817159848</t>
        </is>
      </c>
    </row>
    <row r="6685" ht="87" customHeight="1">
      <c r="A6685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6685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6685" t="inlineStr">
        <is>
          <t>Diablo Tools DOU250BW 2-1/2 in. Universal Fit Bi-Metal Oscillating Blade for Nail-Embedded Wood</t>
        </is>
      </c>
      <c r="D6685" t="inlineStr">
        <is>
          <t>Diablo by Freud DOU125BF3 1-1/4 in. Universal Fit Bi-Metal Oscillating Blades for Metal (3-Pack)</t>
        </is>
      </c>
      <c r="E6685" s="2">
        <f>HYPERLINK("https://www.amazon.com/Diablo-Freud-DOU125BF3-Universal-Oscillating/dp/B089KTHL1Z/ref=sr_1_20?keywords=Diablo+Tools+DOU250BW+2-1%2F2+in.+Universal+Fit+Bi-Metal+Oscillating+Blade+for+Nail-Embedded+Wood&amp;qid=1694734995&amp;sr=8-20", "https://www.amazon.com/Diablo-Freud-DOU125BF3-Universal-Oscillating/dp/B089KTHL1Z/ref=sr_1_20?keywords=Diablo+Tools+DOU250BW+2-1%2F2+in.+Universal+Fit+Bi-Metal+Oscillating+Blade+for+Nail-Embedded+Wood&amp;qid=1694734995&amp;sr=8-20")</f>
        <v/>
      </c>
      <c r="F6685" t="inlineStr">
        <is>
          <t>B089KTHL1Z</t>
        </is>
      </c>
      <c r="G6685">
        <f>_xlfn.IMAGE("https://edmondsonsupply.com/cdn/shop/files/xcched1uye7bv2s0ryod.webp?v=1685717397")</f>
        <v/>
      </c>
      <c r="H6685">
        <f>_xlfn.IMAGE("https://m.media-amazon.com/images/I/61mZfXlj-XL._AC_UL320_.jpg")</f>
        <v/>
      </c>
      <c r="K6685" t="inlineStr">
        <is>
          <t>19.97</t>
        </is>
      </c>
      <c r="L6685" t="n">
        <v>16.99</v>
      </c>
      <c r="M6685" s="1" t="inlineStr">
        <is>
          <t>-14.92%</t>
        </is>
      </c>
      <c r="N6685" s="7" t="n"/>
      <c r="O6685" t="n">
        <v>4.1</v>
      </c>
      <c r="P6685" t="n">
        <v>13</v>
      </c>
      <c r="R6685" t="inlineStr">
        <is>
          <t>InStock</t>
        </is>
      </c>
      <c r="S6685" t="inlineStr">
        <is>
          <t>24.85</t>
        </is>
      </c>
      <c r="T6685" t="inlineStr">
        <is>
          <t>7999559598296</t>
        </is>
      </c>
    </row>
    <row r="6686" ht="87" customHeight="1">
      <c r="A6686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686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686" t="inlineStr">
        <is>
          <t>Klein Tools 32801 5-in-1 Multi-Bit Screwdriver / Nut Driver, Heavy Duty</t>
        </is>
      </c>
      <c r="D6686" t="inlineStr">
        <is>
          <t>Klein Tools 32560 Multi-Bit Screwdriver / Nut Driver, Extended Reach 6-in-1 Tool with Phillips, Slotted and Square Bits and Nut Drivers</t>
        </is>
      </c>
      <c r="E6686" s="2">
        <f>HYPERLINK("https://www.amazon.com/Extended-Screwdriver-Klein-Tools-32560/dp/B005FQDHF4/ref=sr_1_8?keywords=Klein+Tools+32801+5-in-1+Multi-Bit+Screwdriver+%2F+Nut+Driver%2C+Heavy+Duty&amp;qid=1694735265&amp;sr=8-8", "https://www.amazon.com/Extended-Screwdriver-Klein-Tools-32560/dp/B005FQDHF4/ref=sr_1_8?keywords=Klein+Tools+32801+5-in-1+Multi-Bit+Screwdriver+%2F+Nut+Driver%2C+Heavy+Duty&amp;qid=1694735265&amp;sr=8-8")</f>
        <v/>
      </c>
      <c r="F6686" t="inlineStr">
        <is>
          <t>B005FQDHF4</t>
        </is>
      </c>
      <c r="G6686">
        <f>_xlfn.IMAGE("https://edmondsonsupply.com/cdn/shop/products/32801.jpg?v=1633030677")</f>
        <v/>
      </c>
      <c r="H6686">
        <f>_xlfn.IMAGE("https://m.media-amazon.com/images/I/516UhfUKmUL._AC_UL320_.jpg")</f>
        <v/>
      </c>
      <c r="K6686" t="inlineStr">
        <is>
          <t>19.97</t>
        </is>
      </c>
      <c r="L6686" t="n">
        <v>16.99</v>
      </c>
      <c r="M6686" s="1" t="inlineStr">
        <is>
          <t>-14.92%</t>
        </is>
      </c>
      <c r="N6686" s="7" t="n"/>
      <c r="O6686" t="n">
        <v>4.8</v>
      </c>
      <c r="P6686" t="n">
        <v>679</v>
      </c>
      <c r="R6686" t="inlineStr">
        <is>
          <t>InStock</t>
        </is>
      </c>
      <c r="S6686" t="inlineStr">
        <is>
          <t>32.18</t>
        </is>
      </c>
      <c r="T6686" t="inlineStr">
        <is>
          <t>5807274819752</t>
        </is>
      </c>
    </row>
    <row r="6687" ht="87" customHeight="1">
      <c r="A6687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6687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6687" t="inlineStr">
        <is>
          <t>Diablo Tools DOU250BW 2-1/2 in. Universal Fit Bi-Metal Oscillating Blade for Nail-Embedded Wood</t>
        </is>
      </c>
      <c r="D6687" t="inlineStr">
        <is>
          <t>Diablo by Freud DOU125CF 1-1/4 in. Universal Fit Carbide Oscillating Blade for Metal</t>
        </is>
      </c>
      <c r="E6687" s="2">
        <f>HYPERLINK("https://www.amazon.com/Diablo-Universal-Carbide-Oscillating-Blade/dp/B089LHKRPN/ref=sr_1_18?keywords=Diablo+Tools+DOU250BW+2-1%2F2+in.+Universal+Fit+Bi-Metal+Oscillating+Blade+for+Nail-Embedded+Wood&amp;qid=1694734995&amp;sr=8-18", "https://www.amazon.com/Diablo-Universal-Carbide-Oscillating-Blade/dp/B089LHKRPN/ref=sr_1_18?keywords=Diablo+Tools+DOU250BW+2-1%2F2+in.+Universal+Fit+Bi-Metal+Oscillating+Blade+for+Nail-Embedded+Wood&amp;qid=1694734995&amp;sr=8-18")</f>
        <v/>
      </c>
      <c r="F6687" t="inlineStr">
        <is>
          <t>B089LHKRPN</t>
        </is>
      </c>
      <c r="G6687">
        <f>_xlfn.IMAGE("https://edmondsonsupply.com/cdn/shop/files/xcched1uye7bv2s0ryod.webp?v=1685717397")</f>
        <v/>
      </c>
      <c r="H6687">
        <f>_xlfn.IMAGE("https://m.media-amazon.com/images/I/71izb0UUOkL._AC_UL320_.jpg")</f>
        <v/>
      </c>
      <c r="K6687" t="inlineStr">
        <is>
          <t>19.97</t>
        </is>
      </c>
      <c r="L6687" t="n">
        <v>16.99</v>
      </c>
      <c r="M6687" s="1" t="inlineStr">
        <is>
          <t>-14.92%</t>
        </is>
      </c>
      <c r="N6687" s="7" t="n"/>
      <c r="O6687" t="n">
        <v>4.3</v>
      </c>
      <c r="P6687" t="n">
        <v>19</v>
      </c>
      <c r="R6687" t="inlineStr">
        <is>
          <t>InStock</t>
        </is>
      </c>
      <c r="S6687" t="inlineStr">
        <is>
          <t>24.85</t>
        </is>
      </c>
      <c r="T6687" t="inlineStr">
        <is>
          <t>7999559598296</t>
        </is>
      </c>
    </row>
    <row r="6688" ht="87" customHeight="1">
      <c r="A6688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6688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6688" t="inlineStr">
        <is>
          <t>Klein Tools NCVT-2P Dual Range Non-Contact Voltage Tester 12 - 1000V AC</t>
        </is>
      </c>
      <c r="D6688" t="inlineStr">
        <is>
          <t>Klein Tools NCVT2P Dual Range, Non-Contact Voltage Tester, 12-1000V AC, Visual and Audible Indicators, Auto Power Off, Green</t>
        </is>
      </c>
      <c r="E6688" s="2">
        <f>HYPERLINK("https://www.amazon.com/Klein-Tools-NCVT2P-12-1000V-Flashing/dp/B07L5N8ZWS/ref=sr_1_1?keywords=Klein+Tools+NCVT-2P+Dual+Range+Non-Contact+Voltage+Tester+12+-+1000V+AC&amp;qid=1694735236&amp;sr=8-1", "https://www.amazon.com/Klein-Tools-NCVT2P-12-1000V-Flashing/dp/B07L5N8ZWS/ref=sr_1_1?keywords=Klein+Tools+NCVT-2P+Dual+Range+Non-Contact+Voltage+Tester+12+-+1000V+AC&amp;qid=1694735236&amp;sr=8-1")</f>
        <v/>
      </c>
      <c r="F6688" t="inlineStr">
        <is>
          <t>B07L5N8ZWS</t>
        </is>
      </c>
      <c r="G6688">
        <f>_xlfn.IMAGE("https://edmondsonsupply.com/cdn/shop/products/ncvt2p.jpg?v=1633030824")</f>
        <v/>
      </c>
      <c r="H6688">
        <f>_xlfn.IMAGE("https://m.media-amazon.com/images/I/51GASnKpZ1L._AC_UL320_.jpg")</f>
        <v/>
      </c>
      <c r="K6688" t="inlineStr">
        <is>
          <t>27.97</t>
        </is>
      </c>
      <c r="L6688" t="n">
        <v>23.79</v>
      </c>
      <c r="M6688" s="1" t="inlineStr">
        <is>
          <t>-14.94%</t>
        </is>
      </c>
      <c r="N6688" s="7" t="n"/>
      <c r="O6688" t="n">
        <v>4.7</v>
      </c>
      <c r="P6688" t="n">
        <v>638</v>
      </c>
      <c r="R6688" t="inlineStr">
        <is>
          <t>InStock</t>
        </is>
      </c>
      <c r="S6688" t="inlineStr">
        <is>
          <t>35.76</t>
        </is>
      </c>
      <c r="T6688" t="inlineStr">
        <is>
          <t>6080875626669</t>
        </is>
      </c>
    </row>
    <row r="6689" ht="87" customHeight="1">
      <c r="A6689" s="2">
        <f>HYPERLINK("https://edmondsonsupply.com/collections/electricians-tools/products/diablo-tools-dmamx1020", "https://edmondsonsupply.com/collections/electricians-tools/products/diablo-tools-dmamx1020")</f>
        <v/>
      </c>
      <c r="B6689" s="2">
        <f>HYPERLINK("https://edmondsonsupply.com/products/diablo-tools-dmamx1020", "https://edmondsonsupply.com/products/diablo-tools-dmamx1020")</f>
        <v/>
      </c>
      <c r="C6689" t="inlineStr">
        <is>
          <t>Diablo Tools DMAMX1020 1/2 in. x 8 in. x 13 in. Rebar Demon SDS‑Max 4‑Cutter Full Carbide Head Hammer Bit</t>
        </is>
      </c>
      <c r="D6689" t="inlineStr">
        <is>
          <t>Diablo by Freud DMAPL4300 1 in. x 8 in. x 10 in. Rebar Demon™ SDS-Plus 4-Cutter Full Carbide Head Hammer Bit</t>
        </is>
      </c>
      <c r="E6689" s="2">
        <f>HYPERLINK("https://www.amazon.com/Diablo-Freud-DMAPL4300-SDS-Plus-4-Cutter/dp/B089LL8JD8/ref=sr_1_10?keywords=Diablo+Tools+DMAMX1020+1%2F2+in.+x+8+in.+x+13+in.+Rebar+Demon+SDS%E2%80%91Max+4%E2%80%91Cutter+Full+Carbide+Head+Hammer+Bit&amp;qid=1694735268&amp;sr=8-10", "https://www.amazon.com/Diablo-Freud-DMAPL4300-SDS-Plus-4-Cutter/dp/B089LL8JD8/ref=sr_1_10?keywords=Diablo+Tools+DMAMX1020+1%2F2+in.+x+8+in.+x+13+in.+Rebar+Demon+SDS%E2%80%91Max+4%E2%80%91Cutter+Full+Carbide+Head+Hammer+Bit&amp;qid=1694735268&amp;sr=8-10")</f>
        <v/>
      </c>
      <c r="F6689" t="inlineStr">
        <is>
          <t>B089LL8JD8</t>
        </is>
      </c>
      <c r="G6689">
        <f>_xlfn.IMAGE("https://edmondsonsupply.com/cdn/shop/products/DMAMX1020_Main-Image20200701.png?v=1609798895")</f>
        <v/>
      </c>
      <c r="H6689">
        <f>_xlfn.IMAGE("https://m.media-amazon.com/images/I/616UiJGsK1L._AC_UL320_.jpg")</f>
        <v/>
      </c>
      <c r="K6689" t="inlineStr">
        <is>
          <t>39.97</t>
        </is>
      </c>
      <c r="L6689" t="n">
        <v>33.99</v>
      </c>
      <c r="M6689" s="1" t="inlineStr">
        <is>
          <t>-14.96%</t>
        </is>
      </c>
      <c r="N6689" s="7" t="n"/>
      <c r="O6689" t="n">
        <v>4.5</v>
      </c>
      <c r="P6689" t="n">
        <v>16</v>
      </c>
      <c r="R6689" t="inlineStr">
        <is>
          <t>InStock</t>
        </is>
      </c>
      <c r="S6689" t="inlineStr">
        <is>
          <t>42.31</t>
        </is>
      </c>
      <c r="T6689" t="inlineStr">
        <is>
          <t>5463822598312</t>
        </is>
      </c>
    </row>
    <row r="6690" ht="87" customHeight="1">
      <c r="A6690" s="2">
        <f>HYPERLINK("https://edmondsonsupply.com/collections/electricians-tools/products/milwaukee-49-56-0509-diamond-max%E2%84%A2-hole-saws", "https://edmondsonsupply.com/collections/electricians-tools/products/milwaukee-49-56-0509-diamond-max%E2%84%A2-hole-saws")</f>
        <v/>
      </c>
      <c r="B6690" s="2">
        <f>HYPERLINK("https://edmondsonsupply.com/products/milwaukee-49-56-0509-diamond-max%e2%84%a2-hole-saws", "https://edmondsonsupply.com/products/milwaukee-49-56-0509-diamond-max%e2%84%a2-hole-saws")</f>
        <v/>
      </c>
      <c r="C6690" t="inlineStr">
        <is>
          <t>Milwaukee 49-56-0509 3/8" Diamond MAX™ Hole Saw</t>
        </is>
      </c>
      <c r="D6690" t="inlineStr">
        <is>
          <t>Milwaukee 49-56-0509 3/8"  Diamond One-Piece Hole Saw</t>
        </is>
      </c>
      <c r="E6690" s="2">
        <f>HYPERLINK("https://www.amazon.com/Milwaukee-49-56-0509-Diamond-One-Piece-Hole/dp/B00KZHHFNI/ref=sr_1_1?keywords=Milwaukee+49-56-0509+3%2F8%22+Diamond+MAX%E2%84%A2+Hole+Saw&amp;qid=1694735061&amp;sr=8-1", "https://www.amazon.com/Milwaukee-49-56-0509-Diamond-One-Piece-Hole/dp/B00KZHHFNI/ref=sr_1_1?keywords=Milwaukee+49-56-0509+3%2F8%22+Diamond+MAX%E2%84%A2+Hole+Saw&amp;qid=1694735061&amp;sr=8-1")</f>
        <v/>
      </c>
      <c r="F6690" t="inlineStr">
        <is>
          <t>B00KZHHFNI</t>
        </is>
      </c>
      <c r="G6690">
        <f>_xlfn.IMAGE("https://edmondsonsupply.com/cdn/shop/products/images.jpg?v=1678461630")</f>
        <v/>
      </c>
      <c r="H6690">
        <f>_xlfn.IMAGE("https://m.media-amazon.com/images/I/51nRf3CBtoL._AC_UL320_.jpg")</f>
        <v/>
      </c>
      <c r="K6690" t="inlineStr">
        <is>
          <t>19.98</t>
        </is>
      </c>
      <c r="L6690" t="n">
        <v>16.99</v>
      </c>
      <c r="M6690" s="1" t="inlineStr">
        <is>
          <t>-14.96%</t>
        </is>
      </c>
      <c r="N6690" s="7" t="n"/>
      <c r="O6690" t="n">
        <v>4.7</v>
      </c>
      <c r="P6690" t="n">
        <v>28</v>
      </c>
      <c r="R6690" t="inlineStr">
        <is>
          <t>InStock</t>
        </is>
      </c>
      <c r="S6690" t="inlineStr">
        <is>
          <t>30.9</t>
        </is>
      </c>
      <c r="T6690" t="inlineStr">
        <is>
          <t>7910281019608</t>
        </is>
      </c>
    </row>
    <row r="6691" ht="87" customHeight="1">
      <c r="A6691" s="2">
        <f>HYPERLINK("https://edmondsonsupply.com/collections/electricians-tools/products/crescent-wiss-m2p-9-3-4-compound-action-straight-and-right-cut-aviation-snips", "https://edmondsonsupply.com/collections/electricians-tools/products/crescent-wiss-m2p-9-3-4-compound-action-straight-and-right-cut-aviation-snips")</f>
        <v/>
      </c>
      <c r="B6691" s="2">
        <f>HYPERLINK("https://edmondsonsupply.com/products/crescent-wiss-m2p-9-3-4-compound-action-straight-and-right-cut-aviation-snips", "https://edmondsonsupply.com/products/crescent-wiss-m2p-9-3-4-compound-action-straight-and-right-cut-aviation-snips")</f>
        <v/>
      </c>
      <c r="C6691" t="inlineStr">
        <is>
          <t>Crescent Wiss M2P 9-3/4" Compound Action Straight and Right Cut Aviation Snips</t>
        </is>
      </c>
      <c r="D6691" t="inlineStr">
        <is>
          <t>Crescent Wiss 9-1/4" Metalmaster Offset Straight and Right Cut Aviation Snips - M7R, Green</t>
        </is>
      </c>
      <c r="E6691" s="2">
        <f>HYPERLINK("https://www.amazon.com/M7R-Metalmaster-Offset-Snips-Straight/dp/B00002N5LS/ref=sr_1_5?keywords=Crescent+Wiss+M2P+9-3%2F4%22+Compound+Action+Straight+and+Right+Cut+Aviation+Snips&amp;qid=1694735015&amp;sr=8-5", "https://www.amazon.com/M7R-Metalmaster-Offset-Snips-Straight/dp/B00002N5LS/ref=sr_1_5?keywords=Crescent+Wiss+M2P+9-3%2F4%22+Compound+Action+Straight+and+Right+Cut+Aviation+Snips&amp;qid=1694735015&amp;sr=8-5")</f>
        <v/>
      </c>
      <c r="F6691" t="inlineStr">
        <is>
          <t>B00002N5LS</t>
        </is>
      </c>
      <c r="G6691">
        <f>_xlfn.IMAGE("https://edmondsonsupply.com/cdn/shop/products/WIS_M2P_IMG_ANG_01.jpg?v=1679674099")</f>
        <v/>
      </c>
      <c r="H6691">
        <f>_xlfn.IMAGE("https://m.media-amazon.com/images/I/518irscT5TL._AC_UL320_.jpg")</f>
        <v/>
      </c>
      <c r="K6691" t="inlineStr">
        <is>
          <t>19.99</t>
        </is>
      </c>
      <c r="L6691" t="n">
        <v>16.99</v>
      </c>
      <c r="M6691" s="1" t="inlineStr">
        <is>
          <t>-15.01%</t>
        </is>
      </c>
      <c r="N6691" s="7" t="n"/>
      <c r="O6691" t="n">
        <v>4.4</v>
      </c>
      <c r="P6691" t="n">
        <v>1394</v>
      </c>
      <c r="R6691" t="inlineStr">
        <is>
          <t>InStock</t>
        </is>
      </c>
      <c r="S6691" t="inlineStr">
        <is>
          <t>36.51</t>
        </is>
      </c>
      <c r="T6691" t="inlineStr">
        <is>
          <t>7966255579352</t>
        </is>
      </c>
    </row>
    <row r="6692" ht="87" customHeight="1">
      <c r="A6692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692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692" t="inlineStr">
        <is>
          <t>Klein Tools 32801 5-in-1 Multi-Bit Screwdriver / Nut Driver, Heavy Duty</t>
        </is>
      </c>
      <c r="D6692" t="inlineStr">
        <is>
          <t>Klein Tools 32308 Multi-bit Stubby Screwdriver, Impact Rated 8-in-1 Adjustable Magnetic Tool with Phillips, Slotted, Square and Nut Driver</t>
        </is>
      </c>
      <c r="E6692" s="2">
        <f>HYPERLINK("https://www.amazon.com/Klein-Tools-Evaporative-Performance-Protection/dp/B08KFNDBRW/ref=sr_1_14?keywords=Klein+Tools+32801+5-in-1+Multi-Bit+Screwdriver+%2F+Nut+Driver%2C+Heavy+Duty&amp;qid=1694735265&amp;sr=8-14", "https://www.amazon.com/Klein-Tools-Evaporative-Performance-Protection/dp/B08KFNDBRW/ref=sr_1_14?keywords=Klein+Tools+32801+5-in-1+Multi-Bit+Screwdriver+%2F+Nut+Driver%2C+Heavy+Duty&amp;qid=1694735265&amp;sr=8-14")</f>
        <v/>
      </c>
      <c r="F6692" t="inlineStr">
        <is>
          <t>B08KFNDBRW</t>
        </is>
      </c>
      <c r="G6692">
        <f>_xlfn.IMAGE("https://edmondsonsupply.com/cdn/shop/products/32801.jpg?v=1633030677")</f>
        <v/>
      </c>
      <c r="H6692">
        <f>_xlfn.IMAGE("https://m.media-amazon.com/images/I/61qTHFhrhZL._AC_UL320_.jpg")</f>
        <v/>
      </c>
      <c r="K6692" t="inlineStr">
        <is>
          <t>19.97</t>
        </is>
      </c>
      <c r="L6692" t="n">
        <v>16.97</v>
      </c>
      <c r="M6692" s="1" t="inlineStr">
        <is>
          <t>-15.02%</t>
        </is>
      </c>
      <c r="N6692" s="7" t="n"/>
      <c r="O6692" t="n">
        <v>4.7</v>
      </c>
      <c r="P6692" t="n">
        <v>5219</v>
      </c>
      <c r="R6692" t="inlineStr">
        <is>
          <t>InStock</t>
        </is>
      </c>
      <c r="S6692" t="inlineStr">
        <is>
          <t>32.18</t>
        </is>
      </c>
      <c r="T6692" t="inlineStr">
        <is>
          <t>5807274819752</t>
        </is>
      </c>
    </row>
    <row r="6693" ht="87" customHeight="1">
      <c r="A6693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6693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6693" t="inlineStr">
        <is>
          <t>Diablo Tools DOU250BW 2-1/2 in. Universal Fit Bi-Metal Oscillating Blade for Nail-Embedded Wood</t>
        </is>
      </c>
      <c r="D6693" t="inlineStr">
        <is>
          <t>Diablo 2-1/2 in. Universal Fit Bi-Metal Oscillating Blade for Nail-Embedded Wood</t>
        </is>
      </c>
      <c r="E6693" s="2">
        <f>HYPERLINK("https://www.amazon.com/Diablo-Freud-DOU250BW-Oscillating-Nail-Embedded/dp/B089KWP5Z2/ref=sr_1_1?keywords=Diablo+Tools+DOU250BW+2-1%2F2+in.+Universal+Fit+Bi-Metal+Oscillating+Blade+for+Nail-Embedded+Wood&amp;qid=1694734995&amp;sr=8-1", "https://www.amazon.com/Diablo-Freud-DOU250BW-Oscillating-Nail-Embedded/dp/B089KWP5Z2/ref=sr_1_1?keywords=Diablo+Tools+DOU250BW+2-1%2F2+in.+Universal+Fit+Bi-Metal+Oscillating+Blade+for+Nail-Embedded+Wood&amp;qid=1694734995&amp;sr=8-1")</f>
        <v/>
      </c>
      <c r="F6693" t="inlineStr">
        <is>
          <t>B089KWP5Z2</t>
        </is>
      </c>
      <c r="G6693">
        <f>_xlfn.IMAGE("https://edmondsonsupply.com/cdn/shop/files/xcched1uye7bv2s0ryod.webp?v=1685717397")</f>
        <v/>
      </c>
      <c r="H6693">
        <f>_xlfn.IMAGE("https://m.media-amazon.com/images/I/71fhfiK3NaL._AC_UL320_.jpg")</f>
        <v/>
      </c>
      <c r="K6693" t="inlineStr">
        <is>
          <t>19.97</t>
        </is>
      </c>
      <c r="L6693" t="n">
        <v>16.96</v>
      </c>
      <c r="M6693" s="1" t="inlineStr">
        <is>
          <t>-15.07%</t>
        </is>
      </c>
      <c r="N6693" s="7" t="n"/>
      <c r="O6693" t="n">
        <v>4.6</v>
      </c>
      <c r="P6693" t="n">
        <v>31</v>
      </c>
      <c r="R6693" t="inlineStr">
        <is>
          <t>InStock</t>
        </is>
      </c>
      <c r="S6693" t="inlineStr">
        <is>
          <t>24.85</t>
        </is>
      </c>
      <c r="T6693" t="inlineStr">
        <is>
          <t>7999559598296</t>
        </is>
      </c>
    </row>
    <row r="6694" ht="87" customHeight="1">
      <c r="A6694" s="2">
        <f>HYPERLINK("https://edmondsonsupply.com/collections/electricians-tools/products/klein-tools-cl220-digital-clamp-meter-ac-auto-ranging-400-amp-with-temp", "https://edmondsonsupply.com/collections/electricians-tools/products/klein-tools-cl220-digital-clamp-meter-ac-auto-ranging-400-amp-with-temp")</f>
        <v/>
      </c>
      <c r="B6694" s="2">
        <f>HYPERLINK("https://edmondsonsupply.com/products/klein-tools-cl220-digital-clamp-meter-ac-auto-ranging-400-amp-with-temp", "https://edmondsonsupply.com/products/klein-tools-cl220-digital-clamp-meter-ac-auto-ranging-400-amp-with-temp")</f>
        <v/>
      </c>
      <c r="C6694" t="inlineStr">
        <is>
          <t>Klein Tools CL220 Digital Clamp Meter, AC Auto-Ranging 400 Amp with Temp</t>
        </is>
      </c>
      <c r="D6694" t="inlineStr">
        <is>
          <t>Klein Tools CL120 Digital Clamp Meter, Auto-Ranging 400 Amp AC, AC/DC Voltage, Resistance, Continuity, Non-Contact Voltage Tester Detection</t>
        </is>
      </c>
      <c r="E6694" s="2">
        <f>HYPERLINK("https://www.amazon.com/Klein-Tools-CL120-Auto-Ranging-Measurements/dp/B08CP6GL49/ref=sr_1_8?keywords=Klein+Tools+CL220+Digital+Clamp+Meter%2C+AC+Auto-Ranging+400+Amp+with+Temp&amp;qid=1694735238&amp;sr=8-8", "https://www.amazon.com/Klein-Tools-CL120-Auto-Ranging-Measurements/dp/B08CP6GL49/ref=sr_1_8?keywords=Klein+Tools+CL220+Digital+Clamp+Meter%2C+AC+Auto-Ranging+400+Amp+with+Temp&amp;qid=1694735238&amp;sr=8-8")</f>
        <v/>
      </c>
      <c r="F6694" t="inlineStr">
        <is>
          <t>B08CP6GL49</t>
        </is>
      </c>
      <c r="G6694">
        <f>_xlfn.IMAGE("https://edmondsonsupply.com/cdn/shop/products/cl220.jpg?v=1633030821")</f>
        <v/>
      </c>
      <c r="H6694">
        <f>_xlfn.IMAGE("https://m.media-amazon.com/images/I/61kcTqY2rFL._AC_UY218_.jpg")</f>
        <v/>
      </c>
      <c r="K6694" t="inlineStr">
        <is>
          <t>69.97</t>
        </is>
      </c>
      <c r="L6694" t="n">
        <v>59.37</v>
      </c>
      <c r="M6694" s="1" t="inlineStr">
        <is>
          <t>-15.15%</t>
        </is>
      </c>
      <c r="N6694" s="7" t="n"/>
      <c r="O6694" t="n">
        <v>4.7</v>
      </c>
      <c r="P6694" t="n">
        <v>495</v>
      </c>
      <c r="R6694" t="inlineStr">
        <is>
          <t>InStock</t>
        </is>
      </c>
      <c r="S6694" t="inlineStr">
        <is>
          <t>93.22</t>
        </is>
      </c>
      <c r="T6694" t="inlineStr">
        <is>
          <t>6080846463149</t>
        </is>
      </c>
    </row>
    <row r="6695" ht="87" customHeight="1">
      <c r="A6695" s="2">
        <f>HYPERLINK("https://edmondsonsupply.com/collections/electricians-tools/products/klein-tools-25964-step-drill-bit-spiral-double-fluted-1-8-inch-to-1-2-inch-vaco", "https://edmondsonsupply.com/collections/electricians-tools/products/klein-tools-25964-step-drill-bit-spiral-double-fluted-1-8-inch-to-1-2-inch-vaco")</f>
        <v/>
      </c>
      <c r="B6695" s="2">
        <f>HYPERLINK("https://edmondsonsupply.com/products/klein-tools-25964-step-drill-bit-spiral-double-fluted-1-8-inch-to-1-2-inch-vaco", "https://edmondsonsupply.com/products/klein-tools-25964-step-drill-bit-spiral-double-fluted-1-8-inch-to-1-2-inch-vaco")</f>
        <v/>
      </c>
      <c r="C6695" t="inlineStr">
        <is>
          <t>Klein Tools 25964 Step Drill Bit, Spiral Double-Fluted, 1/8-Inch to 1/2-Inch, VACO</t>
        </is>
      </c>
      <c r="D6695" t="inlineStr">
        <is>
          <t>Jerax tools 1/4 to 1-3/8 Inch Step Drill Bit Spiral Grooved Double Fluted, M2 High Speed Steel Drill bits for Hole Drilling in Stainless Steel, Copper, Aluminum, Wood, Plastic</t>
        </is>
      </c>
      <c r="E6695" s="2">
        <f>HYPERLINK("https://www.amazon.com/Jerax-tools-Drilling-Stainless-Aluminum/dp/B094VCMB17/ref=sr_1_5?keywords=Klein+Tools+25964+Step+Drill+Bit%2C+Spiral+Double-Fluted%2C+1%2F8-Inch+to+1%2F2-Inch%2C+VACO&amp;qid=1694735063&amp;sr=8-5", "https://www.amazon.com/Jerax-tools-Drilling-Stainless-Aluminum/dp/B094VCMB17/ref=sr_1_5?keywords=Klein+Tools+25964+Step+Drill+Bit%2C+Spiral+Double-Fluted%2C+1%2F8-Inch+to+1%2F2-Inch%2C+VACO&amp;qid=1694735063&amp;sr=8-5")</f>
        <v/>
      </c>
      <c r="F6695" t="inlineStr">
        <is>
          <t>B094VCMB17</t>
        </is>
      </c>
      <c r="G6695">
        <f>_xlfn.IMAGE("https://edmondsonsupply.com/cdn/shop/products/25964_b.jpg?v=1670940646")</f>
        <v/>
      </c>
      <c r="H6695">
        <f>_xlfn.IMAGE("https://m.media-amazon.com/images/I/51fvUl5tapL._AC_UY218_.jpg")</f>
        <v/>
      </c>
      <c r="K6695" t="inlineStr">
        <is>
          <t>19.99</t>
        </is>
      </c>
      <c r="L6695" t="n">
        <v>16.95</v>
      </c>
      <c r="M6695" s="1" t="inlineStr">
        <is>
          <t>-15.21%</t>
        </is>
      </c>
      <c r="N6695" s="7" t="n"/>
      <c r="O6695" t="n">
        <v>4.5</v>
      </c>
      <c r="P6695" t="n">
        <v>708</v>
      </c>
      <c r="R6695" t="inlineStr">
        <is>
          <t>InStock</t>
        </is>
      </c>
      <c r="S6695" t="inlineStr">
        <is>
          <t>29.96</t>
        </is>
      </c>
      <c r="T6695" t="inlineStr">
        <is>
          <t>7903946670296</t>
        </is>
      </c>
    </row>
    <row r="6696" ht="87" customHeight="1">
      <c r="A6696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696" s="2">
        <f>HYPERLINK("https://edmondsonsupply.com/products/klein-tools-32307-27-in-1-multi-bit-tamperproof-screwdriver", "https://edmondsonsupply.com/products/klein-tools-32307-27-in-1-multi-bit-tamperproof-screwdriver")</f>
        <v/>
      </c>
      <c r="C6696" t="inlineStr">
        <is>
          <t>Klein Tools 32307 27-in-1 Multi-Bit Tamperproof Screwdriver</t>
        </is>
      </c>
      <c r="D6696" t="inlineStr">
        <is>
          <t>Klein Tools 80027 Screwdriver Set, 11-in-1 Multi-bit Screwdriver, 6-in-1 Stubby Screwdriver, Phillips, Slotted, Square, Torx Bits, 2-Piece</t>
        </is>
      </c>
      <c r="E6696" s="2" t="n"/>
      <c r="F6696" t="inlineStr">
        <is>
          <t>B0912BW9HP</t>
        </is>
      </c>
      <c r="G6696">
        <f>_xlfn.IMAGE("https://edmondsonsupply.com/cdn/shop/products/32307.jpg?v=1647347524")</f>
        <v/>
      </c>
      <c r="H6696">
        <f>_xlfn.IMAGE("https://m.media-amazon.com/images/I/51-QRUty7rL._AC_UL320_.jpg")</f>
        <v/>
      </c>
      <c r="K6696" t="inlineStr">
        <is>
          <t>25.97</t>
        </is>
      </c>
      <c r="L6696" t="n">
        <v>21.99</v>
      </c>
      <c r="M6696" s="1" t="inlineStr">
        <is>
          <t>-15.33%</t>
        </is>
      </c>
      <c r="N6696" s="7" t="n"/>
      <c r="O6696" t="n">
        <v>4.8</v>
      </c>
      <c r="P6696" t="n">
        <v>13254</v>
      </c>
      <c r="R6696" t="inlineStr">
        <is>
          <t>InStock</t>
        </is>
      </c>
      <c r="S6696" t="inlineStr">
        <is>
          <t>36.38</t>
        </is>
      </c>
      <c r="T6696" t="inlineStr">
        <is>
          <t>7637266366680</t>
        </is>
      </c>
    </row>
    <row r="6697" ht="87" customHeight="1">
      <c r="A6697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697" s="2">
        <f>HYPERLINK("https://edmondsonsupply.com/products/klein-tools-32307-27-in-1-multi-bit-tamperproof-screwdriver", "https://edmondsonsupply.com/products/klein-tools-32307-27-in-1-multi-bit-tamperproof-screwdriver")</f>
        <v/>
      </c>
      <c r="C6697" t="inlineStr">
        <is>
          <t>Klein Tools 32307 27-in-1 Multi-Bit Tamperproof Screwdriver</t>
        </is>
      </c>
      <c r="D6697" t="inlineStr">
        <is>
          <t>Klein Tools 80027 Screwdriver Set, 11-in-1 Multi-bit Screwdriver, 6-in-1 Stubby Screwdriver, Phillips, Slotted, Square, Torx Bits, 2-Piece</t>
        </is>
      </c>
      <c r="E6697" s="2">
        <f>HYPERLINK("https://www.amazon.com/Screwdriver-Multi-bit-Klein-Tools-80027/dp/B0912BW9HP/ref=sr_1_16?keywords=Klein+Tools+32307+27-in-1+Multi-Bit+Tamperproof+Screwdriver&amp;qid=1694735165&amp;sr=8-16", "https://www.amazon.com/Screwdriver-Multi-bit-Klein-Tools-80027/dp/B0912BW9HP/ref=sr_1_16?keywords=Klein+Tools+32307+27-in-1+Multi-Bit+Tamperproof+Screwdriver&amp;qid=1694735165&amp;sr=8-16")</f>
        <v/>
      </c>
      <c r="F6697" t="inlineStr">
        <is>
          <t>B0912BW9HP</t>
        </is>
      </c>
      <c r="G6697">
        <f>_xlfn.IMAGE("https://edmondsonsupply.com/cdn/shop/products/32307.jpg?v=1647347524")</f>
        <v/>
      </c>
      <c r="H6697">
        <f>_xlfn.IMAGE("https://m.media-amazon.com/images/I/51-QRUty7rL._AC_UL320_.jpg")</f>
        <v/>
      </c>
      <c r="K6697" t="inlineStr">
        <is>
          <t>25.97</t>
        </is>
      </c>
      <c r="L6697" t="n">
        <v>21.99</v>
      </c>
      <c r="M6697" s="1" t="inlineStr">
        <is>
          <t>-15.33%</t>
        </is>
      </c>
      <c r="N6697" s="7" t="n"/>
      <c r="O6697" t="n">
        <v>4.8</v>
      </c>
      <c r="P6697" t="n">
        <v>13254</v>
      </c>
      <c r="R6697" t="inlineStr">
        <is>
          <t>InStock</t>
        </is>
      </c>
      <c r="S6697" t="inlineStr">
        <is>
          <t>36.38</t>
        </is>
      </c>
      <c r="T6697" t="inlineStr">
        <is>
          <t>7637266366680</t>
        </is>
      </c>
    </row>
    <row r="6698" hidden="1" ht="15.75" customHeight="1">
      <c r="A6698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6698" s="2">
        <f>HYPERLINK("https://edmondsonsupply.com/products/diablo-tools-dmapl2530-1-in-x-16-in-x-18-in-sds-plus-2-cutter", "https://edmondsonsupply.com/products/diablo-tools-dmapl2530-1-in-x-16-in-x-18-in-sds-plus-2-cutter")</f>
        <v/>
      </c>
      <c r="C6698" t="inlineStr">
        <is>
          <t>Diablo Tools DMAPL2530 1 in. x 16 in. x 18 in. SDS-Plus 2-Cutter</t>
        </is>
      </c>
      <c r="D6698" t="inlineStr">
        <is>
          <t>Diablo 7/8 in. x 16 in. x 18 in. SDS-Plus 2-Cutter</t>
        </is>
      </c>
      <c r="E6698" s="2">
        <f>HYPERLINK("https://www.amazon.com/Diablo-16-18-SDS-Plus-2-Cutter/dp/B089KW5TV6/ref=sr_1_11?keywords=Diablo+Tools+DMAPL2530+1+in.+x+16+in.+x+18+in.+SDS-Plus+2-Cutter&amp;qid=1694735204&amp;sr=8-11", "https://www.amazon.com/Diablo-16-18-SDS-Plus-2-Cutter/dp/B089KW5TV6/ref=sr_1_11?keywords=Diablo+Tools+DMAPL2530+1+in.+x+16+in.+x+18+in.+SDS-Plus+2-Cutter&amp;qid=1694735204&amp;sr=8-11")</f>
        <v/>
      </c>
      <c r="F6698" t="inlineStr">
        <is>
          <t>B089KW5TV6</t>
        </is>
      </c>
      <c r="G6698">
        <f>_xludf.IMAGE("https://edmondsonsupply.com/cdn/shop/products/DMAPL2530_Main-Image20200703.png?v=1627068300")</f>
        <v/>
      </c>
      <c r="H6698">
        <f>_xludf.IMAGE("https://m.media-amazon.com/images/I/61LIeXBPR+L._AC_UL320_.jpg")</f>
        <v/>
      </c>
      <c r="K6698" t="inlineStr">
        <is>
          <t>38.97</t>
        </is>
      </c>
      <c r="L6698" t="n">
        <v>32.99</v>
      </c>
      <c r="M6698" s="1" t="inlineStr">
        <is>
          <t>-15.35%</t>
        </is>
      </c>
      <c r="N6698" s="1" t="n"/>
      <c r="O6698" t="n">
        <v>3.4</v>
      </c>
      <c r="P6698" t="n">
        <v>7</v>
      </c>
      <c r="R6698" t="inlineStr">
        <is>
          <t>InStock</t>
        </is>
      </c>
      <c r="S6698" t="inlineStr">
        <is>
          <t>50.56</t>
        </is>
      </c>
      <c r="T6698" t="inlineStr">
        <is>
          <t>6839623778477</t>
        </is>
      </c>
    </row>
    <row r="6699" ht="87" customHeight="1">
      <c r="A6699" s="2">
        <f>HYPERLINK("https://edmondsonsupply.com/collections/electricians-tools/products/milwaukee-2880-22-m18-fuel%E2%84%A2-4-1-2-5-grinder-paddle-switch-no-lock-kit", "https://edmondsonsupply.com/collections/electricians-tools/products/milwaukee-2880-22-m18-fuel%E2%84%A2-4-1-2-5-grinder-paddle-switch-no-lock-kit")</f>
        <v/>
      </c>
      <c r="B6699" s="2">
        <f>HYPERLINK("https://edmondsonsupply.com/products/milwaukee-2880-22-m18-fuel%e2%84%a2-4-1-2-5-grinder-paddle-switch-no-lock-kit", "https://edmondsonsupply.com/products/milwaukee-2880-22-m18-fuel%e2%84%a2-4-1-2-5-grinder-paddle-switch-no-lock-kit")</f>
        <v/>
      </c>
      <c r="C6699" t="inlineStr">
        <is>
          <t>Milwaukee 2880-22 M18 FUEL™ 4-1/2" / 5" Grinder Paddle Switch, No-Lock (Kit)</t>
        </is>
      </c>
      <c r="D6699" t="inlineStr">
        <is>
          <t>MilwaukeeTool Milwaukee M18 FUEL 4-1/2 / 5inch Grinder Paddle Switch, No-Lock Kit 2880-22</t>
        </is>
      </c>
      <c r="E6699" s="2">
        <f>HYPERLINK("https://www.amazon.com/MilwaukeeTool-Milwaukee-Grinder-No-Lock-2880-22/dp/B09FBJL179/ref=sr_1_1?keywords=Milwaukee+2880-22+M18+FUEL%E2%84%A2+4-1%2F2%22+%2F+5%22+Grinder+Paddle+Switch%2C+No-Lock+%28Kit%29&amp;qid=1694735090&amp;sr=8-1", "https://www.amazon.com/MilwaukeeTool-Milwaukee-Grinder-No-Lock-2880-22/dp/B09FBJL179/ref=sr_1_1?keywords=Milwaukee+2880-22+M18+FUEL%E2%84%A2+4-1%2F2%22+%2F+5%22+Grinder+Paddle+Switch%2C+No-Lock+%28Kit%29&amp;qid=1694735090&amp;sr=8-1")</f>
        <v/>
      </c>
      <c r="F6699" t="inlineStr">
        <is>
          <t>B09FBJL179</t>
        </is>
      </c>
      <c r="G6699">
        <f>_xlfn.IMAGE("https://edmondsonsupply.com/cdn/shop/products/2880-22_1.png?v=1668015986")</f>
        <v/>
      </c>
      <c r="H6699">
        <f>_xlfn.IMAGE("https://m.media-amazon.com/images/I/61Vmp8uxgHL._AC_UL320_.jpg")</f>
        <v/>
      </c>
      <c r="K6699" t="inlineStr">
        <is>
          <t>449.0</t>
        </is>
      </c>
      <c r="L6699" t="n">
        <v>379.95</v>
      </c>
      <c r="M6699" s="1" t="inlineStr">
        <is>
          <t>-15.38%</t>
        </is>
      </c>
      <c r="N6699" s="7" t="n"/>
      <c r="O6699" t="n">
        <v>4.8</v>
      </c>
      <c r="P6699" t="n">
        <v>8</v>
      </c>
      <c r="R6699" t="inlineStr">
        <is>
          <t>OutOfStock</t>
        </is>
      </c>
      <c r="S6699" t="inlineStr">
        <is>
          <t>792.0</t>
        </is>
      </c>
      <c r="T6699" t="inlineStr">
        <is>
          <t>7879707033816</t>
        </is>
      </c>
    </row>
    <row r="6700" hidden="1" ht="15.75" customHeight="1">
      <c r="A6700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6700" s="2">
        <f>HYPERLINK("https://edmondsonsupply.com/products/klein-tools-635-3-8-3-8-inch-heavy-duty-nut-driver", "https://edmondsonsupply.com/products/klein-tools-635-3-8-3-8-inch-heavy-duty-nut-driver")</f>
        <v/>
      </c>
      <c r="C6700" t="inlineStr">
        <is>
          <t>Klein Tools 635-3/8 3/8-Inch Heavy-Duty Nut Driver</t>
        </is>
      </c>
      <c r="D6700" t="inlineStr">
        <is>
          <t>Klein Tools 32794 Pro Impact Driver Bit, 3/8-Inch Hex Nut Driver, 3 Pack</t>
        </is>
      </c>
      <c r="E6700" s="2">
        <f>HYPERLINK("https://www.amazon.com/Klein-Tools-32794-Impact-Driver/dp/B07RGVM3RS/ref=sr_1_6?keywords=Klein+Tools+635-3%2F8+3%2F8-Inch+Heavy-Duty+Nut+Driver&amp;qid=1694735241&amp;sr=8-6", "https://www.amazon.com/Klein-Tools-32794-Impact-Driver/dp/B07RGVM3RS/ref=sr_1_6?keywords=Klein+Tools+635-3%2F8+3%2F8-Inch+Heavy-Duty+Nut+Driver&amp;qid=1694735241&amp;sr=8-6")</f>
        <v/>
      </c>
      <c r="F6700" t="inlineStr">
        <is>
          <t>B07RGVM3RS</t>
        </is>
      </c>
      <c r="G6700">
        <f>_xludf.IMAGE("https://edmondsonsupply.com/cdn/shop/products/635-3-8.jpg?v=1633030895")</f>
        <v/>
      </c>
      <c r="H6700">
        <f>_xludf.IMAGE("https://m.media-amazon.com/images/I/51EHKugf8KL._AC_UL320_.jpg")</f>
        <v/>
      </c>
      <c r="K6700" t="inlineStr">
        <is>
          <t>12.99</t>
        </is>
      </c>
      <c r="L6700" t="n">
        <v>10.99</v>
      </c>
      <c r="M6700" s="1" t="inlineStr">
        <is>
          <t>-15.40%</t>
        </is>
      </c>
      <c r="N6700" s="1" t="n"/>
      <c r="O6700" t="n">
        <v>4.8</v>
      </c>
      <c r="P6700" t="n">
        <v>132</v>
      </c>
      <c r="R6700" t="inlineStr">
        <is>
          <t>InStock</t>
        </is>
      </c>
      <c r="S6700" t="inlineStr">
        <is>
          <t>19.68</t>
        </is>
      </c>
      <c r="T6700" t="inlineStr">
        <is>
          <t>6228534952109</t>
        </is>
      </c>
    </row>
    <row r="6701" ht="87" customHeight="1">
      <c r="A6701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701" s="2">
        <f>HYPERLINK("https://edmondsonsupply.com/products/klein-tools-32307-27-in-1-multi-bit-tamperproof-screwdriver", "https://edmondsonsupply.com/products/klein-tools-32307-27-in-1-multi-bit-tamperproof-screwdriver")</f>
        <v/>
      </c>
      <c r="C6701" t="inlineStr">
        <is>
          <t>Klein Tools 32307 27-in-1 Multi-Bit Tamperproof Screwdriver</t>
        </is>
      </c>
      <c r="D6701" t="inlineStr">
        <is>
          <t>Klein Tools 32305 Multi-bit Ratcheting Screwdriver, 15-in-1 Tool with Phillips, Slotted, Square, Torx and Combo Bits and 1/4-Inch Nut Driver</t>
        </is>
      </c>
      <c r="E6701" s="2">
        <f>HYPERLINK("https://www.amazon.com/Klein-Tools-32305-Ratcheting-Screwdriver/dp/B08KFMHQCP/ref=sr_1_3?keywords=Klein+Tools+32307+27-in-1+Multi-Bit+Tamperproof+Screwdriver&amp;qid=1694735165&amp;sr=8-3", "https://www.amazon.com/Klein-Tools-32305-Ratcheting-Screwdriver/dp/B08KFMHQCP/ref=sr_1_3?keywords=Klein+Tools+32307+27-in-1+Multi-Bit+Tamperproof+Screwdriver&amp;qid=1694735165&amp;sr=8-3")</f>
        <v/>
      </c>
      <c r="F6701" t="inlineStr">
        <is>
          <t>B08KFMHQCP</t>
        </is>
      </c>
      <c r="G6701">
        <f>_xlfn.IMAGE("https://edmondsonsupply.com/cdn/shop/products/32307.jpg?v=1647347524")</f>
        <v/>
      </c>
      <c r="H6701">
        <f>_xlfn.IMAGE("https://m.media-amazon.com/images/I/51jA6YSPgmL._AC_UL320_.jpg")</f>
        <v/>
      </c>
      <c r="K6701" t="inlineStr">
        <is>
          <t>25.97</t>
        </is>
      </c>
      <c r="L6701" t="n">
        <v>21.97</v>
      </c>
      <c r="M6701" s="1" t="inlineStr">
        <is>
          <t>-15.40%</t>
        </is>
      </c>
      <c r="N6701" s="7" t="n"/>
      <c r="O6701" t="n">
        <v>4.7</v>
      </c>
      <c r="P6701" t="n">
        <v>6042</v>
      </c>
      <c r="R6701" t="inlineStr">
        <is>
          <t>InStock</t>
        </is>
      </c>
      <c r="S6701" t="inlineStr">
        <is>
          <t>36.38</t>
        </is>
      </c>
      <c r="T6701" t="inlineStr">
        <is>
          <t>7637266366680</t>
        </is>
      </c>
    </row>
    <row r="6702" ht="87" customHeight="1">
      <c r="A6702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702" s="2">
        <f>HYPERLINK("https://edmondsonsupply.com/products/klein-tools-32307-27-in-1-multi-bit-tamperproof-screwdriver", "https://edmondsonsupply.com/products/klein-tools-32307-27-in-1-multi-bit-tamperproof-screwdriver")</f>
        <v/>
      </c>
      <c r="C6702" t="inlineStr">
        <is>
          <t>Klein Tools 32307 27-in-1 Multi-Bit Tamperproof Screwdriver</t>
        </is>
      </c>
      <c r="D6702" t="inlineStr">
        <is>
          <t>Klein Tools 32500HD Multi-Bit Screwdriver / Nut Driver, Impact Rated 11-in-1 Tool with Phillips, Slotted, Square and Torx Tips</t>
        </is>
      </c>
      <c r="E6702" s="2">
        <f>HYPERLINK("https://www.amazon.com/Klein-Tools-32500HD-Multi-Bit-Screwdriver/dp/B0C9V6NYZ4/ref=sr_1_8?keywords=Klein+Tools+32307+27-in-1+Multi-Bit+Tamperproof+Screwdriver&amp;qid=1694735165&amp;sr=8-8", "https://www.amazon.com/Klein-Tools-32500HD-Multi-Bit-Screwdriver/dp/B0C9V6NYZ4/ref=sr_1_8?keywords=Klein+Tools+32307+27-in-1+Multi-Bit+Tamperproof+Screwdriver&amp;qid=1694735165&amp;sr=8-8")</f>
        <v/>
      </c>
      <c r="F6702" t="inlineStr">
        <is>
          <t>B0C9V6NYZ4</t>
        </is>
      </c>
      <c r="G6702">
        <f>_xlfn.IMAGE("https://edmondsonsupply.com/cdn/shop/products/32307.jpg?v=1647347524")</f>
        <v/>
      </c>
      <c r="H6702">
        <f>_xlfn.IMAGE("https://m.media-amazon.com/images/I/41OcyKmA3fL._AC_UL320_.jpg")</f>
        <v/>
      </c>
      <c r="K6702" t="inlineStr">
        <is>
          <t>25.97</t>
        </is>
      </c>
      <c r="L6702" t="n">
        <v>21.97</v>
      </c>
      <c r="M6702" s="1" t="inlineStr">
        <is>
          <t>-15.40%</t>
        </is>
      </c>
      <c r="N6702" s="7" t="n"/>
      <c r="O6702" t="n">
        <v>4.6</v>
      </c>
      <c r="P6702" t="n">
        <v>41</v>
      </c>
      <c r="R6702" t="inlineStr">
        <is>
          <t>InStock</t>
        </is>
      </c>
      <c r="S6702" t="inlineStr">
        <is>
          <t>36.38</t>
        </is>
      </c>
      <c r="T6702" t="inlineStr">
        <is>
          <t>7637266366680</t>
        </is>
      </c>
    </row>
    <row r="6703" hidden="1" ht="15.75" customHeight="1">
      <c r="A6703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6703" s="2">
        <f>HYPERLINK("https://edmondsonsupply.com/products/milwaukee-48-22-1521-compact-folding-knife", "https://edmondsonsupply.com/products/milwaukee-48-22-1521-compact-folding-knife")</f>
        <v/>
      </c>
      <c r="C6703" t="inlineStr">
        <is>
          <t>Milwaukee 48-22-1521 Compact Folding Knife</t>
        </is>
      </c>
      <c r="D6703" t="inlineStr">
        <is>
          <t>Milwaukee 48-22-1501 Fastback Folding Utility Knife with Wire Stripper, Gut Hook, and Quick Blade Change</t>
        </is>
      </c>
      <c r="E6703" s="2">
        <f>HYPERLINK("https://www.amazon.com/Milwaukee-48-22-1501-Fastback-Folding-Stripper/dp/B083G6J5T3/ref=sr_1_8?keywords=Milwaukee+48-22-1521+Compact+Folding+Knife&amp;qid=1694735039&amp;sr=8-8", "https://www.amazon.com/Milwaukee-48-22-1501-Fastback-Folding-Stripper/dp/B083G6J5T3/ref=sr_1_8?keywords=Milwaukee+48-22-1521+Compact+Folding+Knife&amp;qid=1694735039&amp;sr=8-8")</f>
        <v/>
      </c>
      <c r="F6703" t="inlineStr">
        <is>
          <t>B083G6J5T3</t>
        </is>
      </c>
      <c r="G6703">
        <f>_xludf.IMAGE("https://edmondsonsupply.com/cdn/shop/products/48-22-1521_1.webp?v=1675359641")</f>
        <v/>
      </c>
      <c r="H6703">
        <f>_xludf.IMAGE("https://m.media-amazon.com/images/I/41WVxcFxEZL._AC_UL320_.jpg")</f>
        <v/>
      </c>
      <c r="K6703" t="inlineStr">
        <is>
          <t>12.97</t>
        </is>
      </c>
      <c r="L6703" t="n">
        <v>10.97</v>
      </c>
      <c r="M6703" s="1" t="inlineStr">
        <is>
          <t>-15.42%</t>
        </is>
      </c>
      <c r="N6703" s="1" t="n"/>
      <c r="O6703" t="n">
        <v>4.8</v>
      </c>
      <c r="P6703" t="n">
        <v>483</v>
      </c>
      <c r="R6703" t="inlineStr">
        <is>
          <t>InStock</t>
        </is>
      </c>
      <c r="S6703" t="inlineStr">
        <is>
          <t>15.5</t>
        </is>
      </c>
      <c r="T6703" t="inlineStr">
        <is>
          <t>7937891827928</t>
        </is>
      </c>
    </row>
    <row r="6704" hidden="1" ht="15.75" customHeight="1">
      <c r="A6704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6704" s="2">
        <f>HYPERLINK("https://edmondsonsupply.com/products/diablo-tools-dmapl2320-1-2-in-x-10-in-x-12-in-sds-plus-2-cutter", "https://edmondsonsupply.com/products/diablo-tools-dmapl2320-1-2-in-x-10-in-x-12-in-sds-plus-2-cutter")</f>
        <v/>
      </c>
      <c r="C6704" t="inlineStr">
        <is>
          <t>Diablo Tools DMAPL2320 1/2 in. x 10 in. x 12 in. SDS-Plus 2-Cutter</t>
        </is>
      </c>
      <c r="D6704" t="inlineStr">
        <is>
          <t>Diablo DMAPL2240 3/8 in. x 10 in. x 12 in. SDS-Plus 2-Cutter</t>
        </is>
      </c>
      <c r="E6704" s="2">
        <f>HYPERLINK("https://www.amazon.com/Diablo-10-12-SDS-Plus-2-Cutter/dp/B089KVWDFV/ref=sr_1_2?keywords=Diablo+Tools+DMAPL2320+1%2F2+in.+x+10+in.+x+12+in.+SDS-Plus+2-Cutter&amp;qid=1694735300&amp;sr=8-2", "https://www.amazon.com/Diablo-10-12-SDS-Plus-2-Cutter/dp/B089KVWDFV/ref=sr_1_2?keywords=Diablo+Tools+DMAPL2320+1%2F2+in.+x+10+in.+x+12+in.+SDS-Plus+2-Cutter&amp;qid=1694735300&amp;sr=8-2")</f>
        <v/>
      </c>
      <c r="F6704" t="inlineStr">
        <is>
          <t>B089KVWDFV</t>
        </is>
      </c>
      <c r="G6704">
        <f>_xludf.IMAGE("https://edmondsonsupply.com/cdn/shop/products/DMAPL2320.jpg?v=1633030356")</f>
        <v/>
      </c>
      <c r="H6704">
        <f>_xludf.IMAGE("https://m.media-amazon.com/images/I/61jSXDDK72L._AC_UL320_.jpg")</f>
        <v/>
      </c>
      <c r="K6704" t="inlineStr">
        <is>
          <t>12.97</t>
        </is>
      </c>
      <c r="L6704" t="n">
        <v>10.97</v>
      </c>
      <c r="M6704" s="1" t="inlineStr">
        <is>
          <t>-15.42%</t>
        </is>
      </c>
      <c r="N6704" s="1" t="n"/>
      <c r="O6704" t="n">
        <v>5</v>
      </c>
      <c r="P6704" t="n">
        <v>1</v>
      </c>
      <c r="R6704" t="inlineStr">
        <is>
          <t>InStock</t>
        </is>
      </c>
      <c r="S6704" t="inlineStr">
        <is>
          <t>14.25</t>
        </is>
      </c>
      <c r="T6704" t="inlineStr">
        <is>
          <t>5286282264744</t>
        </is>
      </c>
    </row>
    <row r="6705" ht="87" customHeight="1">
      <c r="A6705" s="2">
        <f>HYPERLINK("https://edmondsonsupply.com/collections/electricians-tools/products/amprobe-thwd-3-relative-humidity-temperature-meter", "https://edmondsonsupply.com/collections/electricians-tools/products/amprobe-thwd-3-relative-humidity-temperature-meter")</f>
        <v/>
      </c>
      <c r="B6705" s="2">
        <f>HYPERLINK("https://edmondsonsupply.com/products/amprobe-thwd-3-relative-humidity-temperature-meter", "https://edmondsonsupply.com/products/amprobe-thwd-3-relative-humidity-temperature-meter")</f>
        <v/>
      </c>
      <c r="C6705" t="inlineStr">
        <is>
          <t>Amprobe THWD-3 Relative Humidity Temperature Meter</t>
        </is>
      </c>
      <c r="D6705" t="inlineStr">
        <is>
          <t>Amprobe TH-3 Relative Humidity Temperature Meter</t>
        </is>
      </c>
      <c r="E6705" s="2">
        <f>HYPERLINK("https://www.amazon.com/Amprobe-TH-3-Relative-Humidity-Temperature/dp/B0029XMTJ6/ref=sr_1_2?keywords=Amprobe+THWD-3+Relative+Humidity+Temperature+Meter&amp;qid=1694735184&amp;sr=8-2", "https://www.amazon.com/Amprobe-TH-3-Relative-Humidity-Temperature/dp/B0029XMTJ6/ref=sr_1_2?keywords=Amprobe+THWD-3+Relative+Humidity+Temperature+Meter&amp;qid=1694735184&amp;sr=8-2")</f>
        <v/>
      </c>
      <c r="F6705" t="inlineStr">
        <is>
          <t>B0029XMTJ6</t>
        </is>
      </c>
      <c r="G6705">
        <f>_xlfn.IMAGE("https://edmondsonsupply.com/cdn/shop/products/THWD-3.png?v=1633526329")</f>
        <v/>
      </c>
      <c r="H6705">
        <f>_xlfn.IMAGE("https://m.media-amazon.com/images/I/51Bf-3J0HbL._AC_UL320_.jpg")</f>
        <v/>
      </c>
      <c r="K6705" t="inlineStr">
        <is>
          <t>176.36</t>
        </is>
      </c>
      <c r="L6705" t="n">
        <v>149</v>
      </c>
      <c r="M6705" s="1" t="inlineStr">
        <is>
          <t>-15.51%</t>
        </is>
      </c>
      <c r="N6705" s="7" t="n"/>
      <c r="O6705" t="n">
        <v>4.2</v>
      </c>
      <c r="P6705" t="n">
        <v>28</v>
      </c>
      <c r="R6705" t="inlineStr">
        <is>
          <t>InStock</t>
        </is>
      </c>
      <c r="S6705" t="inlineStr">
        <is>
          <t>195.99</t>
        </is>
      </c>
      <c r="T6705" t="inlineStr">
        <is>
          <t>6996577550509</t>
        </is>
      </c>
    </row>
    <row r="6706" ht="87" customHeight="1">
      <c r="A6706" s="2">
        <f>HYPERLINK("https://edmondsonsupply.com/collections/electricians-tools/products/diablo-tools-dou3cs-3-pc-universal-fit-carbide-oscillating-blade-set", "https://edmondsonsupply.com/collections/electricians-tools/products/diablo-tools-dou3cs-3-pc-universal-fit-carbide-oscillating-blade-set")</f>
        <v/>
      </c>
      <c r="B6706" s="2">
        <f>HYPERLINK("https://edmondsonsupply.com/products/diablo-tools-dou3cs-3-pc-universal-fit-carbide-oscillating-blade-set", "https://edmondsonsupply.com/products/diablo-tools-dou3cs-3-pc-universal-fit-carbide-oscillating-blade-set")</f>
        <v/>
      </c>
      <c r="C6706" t="inlineStr">
        <is>
          <t>Diablo Tools DOU3CS 3 pc Universal Fit Carbide Oscillating Blade Set</t>
        </is>
      </c>
      <c r="D6706" t="inlineStr">
        <is>
          <t>Diablo by Freud DOU3CS 3 pc Universal Fit Carbide Oscillating Blade Set (3-Piece)</t>
        </is>
      </c>
      <c r="E6706" s="2">
        <f>HYPERLINK("https://www.amazon.com/Diablo-Freud-DOU3CS-Universal-Oscillating/dp/B089LLB6C4/ref=sr_1_1?keywords=Diablo+Tools+DOU3CS+3+pc+Universal+Fit+Carbide+Oscillating+Blade+Set&amp;qid=1694734997&amp;sr=8-1", "https://www.amazon.com/Diablo-Freud-DOU3CS-Universal-Oscillating/dp/B089LLB6C4/ref=sr_1_1?keywords=Diablo+Tools+DOU3CS+3+pc+Universal+Fit+Carbide+Oscillating+Blade+Set&amp;qid=1694734997&amp;sr=8-1")</f>
        <v/>
      </c>
      <c r="F6706" t="inlineStr">
        <is>
          <t>B089LLB6C4</t>
        </is>
      </c>
      <c r="G6706">
        <f>_xlfn.IMAGE("https://edmondsonsupply.com/cdn/shop/files/xyfhzl826p3zscosyxtm.webp?v=1685721758")</f>
        <v/>
      </c>
      <c r="H6706">
        <f>_xlfn.IMAGE("https://m.media-amazon.com/images/I/711kdXnfvhL._AC_UL320_.jpg")</f>
        <v/>
      </c>
      <c r="K6706" t="inlineStr">
        <is>
          <t>44.97</t>
        </is>
      </c>
      <c r="L6706" t="n">
        <v>37.99</v>
      </c>
      <c r="M6706" s="1" t="inlineStr">
        <is>
          <t>-15.52%</t>
        </is>
      </c>
      <c r="N6706" s="7" t="n"/>
      <c r="O6706" t="n">
        <v>4.6</v>
      </c>
      <c r="P6706" t="n">
        <v>91</v>
      </c>
      <c r="R6706" t="inlineStr">
        <is>
          <t>InStock</t>
        </is>
      </c>
      <c r="S6706" t="inlineStr">
        <is>
          <t>76.19</t>
        </is>
      </c>
      <c r="T6706" t="inlineStr">
        <is>
          <t>7999595217112</t>
        </is>
      </c>
    </row>
    <row r="6707" ht="87" customHeight="1">
      <c r="A6707" s="2">
        <f>HYPERLINK("https://edmondsonsupply.com/collections/electricians-tools/products/milwaukee-2730-20-m18-fuel%E2%84%A2-6-1-2-circular-saw-tool-only", "https://edmondsonsupply.com/collections/electricians-tools/products/milwaukee-2730-20-m18-fuel%E2%84%A2-6-1-2-circular-saw-tool-only")</f>
        <v/>
      </c>
      <c r="B6707" s="2">
        <f>HYPERLINK("https://edmondsonsupply.com/products/milwaukee-2730-20-m18-fuel%e2%84%a2-6-1-2-circular-saw-tool-only", "https://edmondsonsupply.com/products/milwaukee-2730-20-m18-fuel%e2%84%a2-6-1-2-circular-saw-tool-only")</f>
        <v/>
      </c>
      <c r="C6707" t="inlineStr">
        <is>
          <t>Milwaukee 2730-20 M18 FUEL™ 6-1/2" Circular Saw (Tool Only)</t>
        </is>
      </c>
      <c r="D6707" t="inlineStr">
        <is>
          <t>Milwaukee 2730-20 M18 Fuel 6 1/2" Circular Saw , Brushless (Tool Only)</t>
        </is>
      </c>
      <c r="E6707" s="2">
        <f>HYPERLINK("https://www.amazon.com/Milwaukee-2730-20-Fuel-Circular-Brushless/dp/B00G0GLZF2/ref=sr_1_1?keywords=Milwaukee+2730-20+M18+FUEL%E2%84%A2+6-1%2F2%22+Circular+Saw+%28Tool+Only%29&amp;qid=1694735086&amp;sr=8-1", "https://www.amazon.com/Milwaukee-2730-20-Fuel-Circular-Brushless/dp/B00G0GLZF2/ref=sr_1_1?keywords=Milwaukee+2730-20+M18+FUEL%E2%84%A2+6-1%2F2%22+Circular+Saw+%28Tool+Only%29&amp;qid=1694735086&amp;sr=8-1")</f>
        <v/>
      </c>
      <c r="F6707" t="inlineStr">
        <is>
          <t>B00G0GLZF2</t>
        </is>
      </c>
      <c r="G6707">
        <f>_xlfn.IMAGE("https://edmondsonsupply.com/cdn/shop/products/2730-20A.webp?v=1668015043")</f>
        <v/>
      </c>
      <c r="H6707">
        <f>_xlfn.IMAGE("https://m.media-amazon.com/images/I/81w3cRan7-L._AC_UL320_.jpg")</f>
        <v/>
      </c>
      <c r="K6707" t="inlineStr">
        <is>
          <t>219.0</t>
        </is>
      </c>
      <c r="L6707" t="n">
        <v>185</v>
      </c>
      <c r="M6707" s="1" t="inlineStr">
        <is>
          <t>-15.53%</t>
        </is>
      </c>
      <c r="N6707" s="7" t="n"/>
      <c r="O6707" t="n">
        <v>4.6</v>
      </c>
      <c r="P6707" t="n">
        <v>920</v>
      </c>
      <c r="R6707" t="inlineStr">
        <is>
          <t>InStock</t>
        </is>
      </c>
      <c r="S6707" t="inlineStr">
        <is>
          <t>364.0</t>
        </is>
      </c>
      <c r="T6707" t="inlineStr">
        <is>
          <t>7879697891544</t>
        </is>
      </c>
    </row>
    <row r="6708" ht="87" customHeight="1">
      <c r="A6708" s="2">
        <f>HYPERLINK("https://edmondsonsupply.com/collections/electricians-tools/products/diablo-tools-dmamx1400-2-in-x-16-in-x-21-in-rebar-demon%E2%84%A2-sds-max-4-cutter-carbide-tipped-hammer-bit", "https://edmondsonsupply.com/collections/electricians-tools/products/diablo-tools-dmamx1400-2-in-x-16-in-x-21-in-rebar-demon%E2%84%A2-sds-max-4-cutter-carbide-tipped-hammer-bit")</f>
        <v/>
      </c>
      <c r="B6708" s="2">
        <f>HYPERLINK("https://edmondsonsupply.com/products/diablo-tools-dmamx1400-2-in-x-16-in-x-21-in-rebar-demon%e2%84%a2-sds-max-4-cutter-carbide-tipped-hammer-bit", "https://edmondsonsupply.com/products/diablo-tools-dmamx1400-2-in-x-16-in-x-21-in-rebar-demon%e2%84%a2-sds-max-4-cutter-carbide-tipped-hammer-bit")</f>
        <v/>
      </c>
      <c r="C6708" t="inlineStr">
        <is>
          <t>Diablo Tools DMAMX1400 2 in. x 16 in. x 21 in. Rebar Demon™ SDS‑Max 4‑Cutter Carbide‑Tipped Hammer Bit</t>
        </is>
      </c>
      <c r="D6708" t="inlineStr">
        <is>
          <t>Diablo by Freud DMAMX1400 2 in. x 16 in. x 21 in. Rebar Demon SDS-Max 4-Cutter Carbide-Tipped Hammer Bit</t>
        </is>
      </c>
      <c r="E6708" s="2" t="n"/>
      <c r="F6708" t="inlineStr">
        <is>
          <t>B089LHKFQ2</t>
        </is>
      </c>
      <c r="G6708">
        <f>_xlfn.IMAGE("https://edmondsonsupply.com/cdn/shop/products/DMAMX1400_Main-Image20200702.png?v=1633030514")</f>
        <v/>
      </c>
      <c r="H6708">
        <f>_xlfn.IMAGE("https://m.media-amazon.com/images/I/61p4Q032qYL._AC_UL320_.jpg")</f>
        <v/>
      </c>
      <c r="K6708" t="inlineStr">
        <is>
          <t>179.97</t>
        </is>
      </c>
      <c r="L6708" t="n">
        <v>151.99</v>
      </c>
      <c r="M6708" s="1" t="inlineStr">
        <is>
          <t>-15.55%</t>
        </is>
      </c>
      <c r="N6708" s="7" t="n"/>
      <c r="O6708" t="n">
        <v>4.4</v>
      </c>
      <c r="P6708" t="n">
        <v>4</v>
      </c>
      <c r="R6708" t="inlineStr">
        <is>
          <t>InStock</t>
        </is>
      </c>
      <c r="S6708" t="inlineStr">
        <is>
          <t>222.22</t>
        </is>
      </c>
      <c r="T6708" t="inlineStr">
        <is>
          <t>5395537461416</t>
        </is>
      </c>
    </row>
    <row r="6709" hidden="1" ht="15.75" customHeight="1">
      <c r="A6709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6709" s="2">
        <f>HYPERLINK("https://edmondsonsupply.com/products/klein-tools-635-3-8-3-8-inch-heavy-duty-nut-driver", "https://edmondsonsupply.com/products/klein-tools-635-3-8-3-8-inch-heavy-duty-nut-driver")</f>
        <v/>
      </c>
      <c r="C6709" t="inlineStr">
        <is>
          <t>Klein Tools 635-3/8 3/8-Inch Heavy-Duty Nut Driver</t>
        </is>
      </c>
      <c r="D6709" t="inlineStr">
        <is>
          <t>Klein Tools 630-3/8M 3/8-Inch Magnetic Tip Nut Driver with 3-Inch Hollow Shank</t>
        </is>
      </c>
      <c r="E6709" s="2">
        <f>HYPERLINK("https://www.amazon.com/Magnetic-Klein-Tools-630-3-8M/dp/B000MKH4OS/ref=sr_1_2?keywords=Klein+Tools+635-3%2F8+3%2F8-Inch+Heavy-Duty+Nut+Driver&amp;qid=1694735241&amp;sr=8-2", "https://www.amazon.com/Magnetic-Klein-Tools-630-3-8M/dp/B000MKH4OS/ref=sr_1_2?keywords=Klein+Tools+635-3%2F8+3%2F8-Inch+Heavy-Duty+Nut+Driver&amp;qid=1694735241&amp;sr=8-2")</f>
        <v/>
      </c>
      <c r="F6709" t="inlineStr">
        <is>
          <t>B000MKH4OS</t>
        </is>
      </c>
      <c r="G6709">
        <f>_xludf.IMAGE("https://edmondsonsupply.com/cdn/shop/products/635-3-8.jpg?v=1633030895")</f>
        <v/>
      </c>
      <c r="H6709">
        <f>_xludf.IMAGE("https://m.media-amazon.com/images/I/51TxY7IaTtL._AC_UL320_.jpg")</f>
        <v/>
      </c>
      <c r="K6709" t="inlineStr">
        <is>
          <t>12.99</t>
        </is>
      </c>
      <c r="L6709" t="n">
        <v>10.97</v>
      </c>
      <c r="M6709" s="1" t="inlineStr">
        <is>
          <t>-15.55%</t>
        </is>
      </c>
      <c r="N6709" s="1" t="n"/>
      <c r="O6709" t="n">
        <v>4.7</v>
      </c>
      <c r="P6709" t="n">
        <v>1571</v>
      </c>
      <c r="R6709" t="inlineStr">
        <is>
          <t>InStock</t>
        </is>
      </c>
      <c r="S6709" t="inlineStr">
        <is>
          <t>19.68</t>
        </is>
      </c>
      <c r="T6709" t="inlineStr">
        <is>
          <t>6228534952109</t>
        </is>
      </c>
    </row>
    <row r="6710" ht="87" customHeight="1">
      <c r="A6710" s="2">
        <f>HYPERLINK("https://edmondsonsupply.com/collections/electricians-tools/products/fluke-325-true-rms-clamp-meter", "https://edmondsonsupply.com/collections/electricians-tools/products/fluke-325-true-rms-clamp-meter")</f>
        <v/>
      </c>
      <c r="B6710" s="2">
        <f>HYPERLINK("https://edmondsonsupply.com/products/fluke-325-true-rms-clamp-meter", "https://edmondsonsupply.com/products/fluke-325-true-rms-clamp-meter")</f>
        <v/>
      </c>
      <c r="C6710" t="inlineStr">
        <is>
          <t>Fluke 325 True RMS Clamp Meter</t>
        </is>
      </c>
      <c r="D6710" t="inlineStr">
        <is>
          <t>Fluke 325 Clamp Multimeter AC-DC TRMS</t>
        </is>
      </c>
      <c r="E6710" s="2">
        <f>HYPERLINK("https://www.amazon.com/Fluke-Clamp-Multimeter-AC-DC-TRMS/dp/B0091EXB2A/ref=sr_1_3?keywords=Fluke+325+True+RMS+Clamp+Meter&amp;qid=1694735185&amp;sr=8-3", "https://www.amazon.com/Fluke-Clamp-Multimeter-AC-DC-TRMS/dp/B0091EXB2A/ref=sr_1_3?keywords=Fluke+325+True+RMS+Clamp+Meter&amp;qid=1694735185&amp;sr=8-3")</f>
        <v/>
      </c>
      <c r="F6710" t="inlineStr">
        <is>
          <t>B0091EXB2A</t>
        </is>
      </c>
      <c r="G6710">
        <f>_xlfn.IMAGE("https://edmondsonsupply.com/cdn/shop/products/Fluke_325_clamp_meter_1280x873px_E_NR-14655.jpg?v=1688679209")</f>
        <v/>
      </c>
      <c r="H6710">
        <f>_xlfn.IMAGE("https://m.media-amazon.com/images/I/51VwXbOhWjL._AC_UY218_.jpg")</f>
        <v/>
      </c>
      <c r="K6710" t="inlineStr">
        <is>
          <t>373.49</t>
        </is>
      </c>
      <c r="L6710" t="n">
        <v>315.26</v>
      </c>
      <c r="M6710" s="1" t="inlineStr">
        <is>
          <t>-15.59%</t>
        </is>
      </c>
      <c r="N6710" s="7" t="n"/>
      <c r="O6710" t="n">
        <v>4.7</v>
      </c>
      <c r="P6710" t="n">
        <v>930</v>
      </c>
      <c r="R6710" t="inlineStr">
        <is>
          <t>InStock</t>
        </is>
      </c>
      <c r="S6710" t="inlineStr">
        <is>
          <t>414.99</t>
        </is>
      </c>
      <c r="T6710" t="inlineStr">
        <is>
          <t>6917985468589</t>
        </is>
      </c>
    </row>
    <row r="6711" hidden="1" ht="15.75" customHeight="1">
      <c r="A6711" s="2">
        <f>HYPERLINK("https://edmondsonsupply.com/collections/electricians-tools/products/klein-tools-vdv110-061-coax-cable-2-level-radial-stripper", "https://edmondsonsupply.com/collections/electricians-tools/products/klein-tools-vdv110-061-coax-cable-2-level-radial-stripper")</f>
        <v/>
      </c>
      <c r="B6711" s="2">
        <f>HYPERLINK("https://edmondsonsupply.com/products/klein-tools-vdv110-061-coax-cable-2-level-radial-stripper", "https://edmondsonsupply.com/products/klein-tools-vdv110-061-coax-cable-2-level-radial-stripper")</f>
        <v/>
      </c>
      <c r="C6711" t="inlineStr">
        <is>
          <t>Klein Tools VDV110-061 Coax Cable 2-Level Radial Stripper</t>
        </is>
      </c>
      <c r="D6711" t="inlineStr">
        <is>
          <t>Klein Tools VDV110-020 Radial Stripper Cartridge Mini-Coaxial</t>
        </is>
      </c>
      <c r="E6711" s="2">
        <f>HYPERLINK("https://www.amazon.com/Cartridge-Mini-Coaxial-Klein-Tools-VDV110-020/dp/B00788IM1G/ref=sr_1_7?keywords=Klein+Tools+VDV110-061+Coax+Cable+2-Level+Radial+Stripper&amp;qid=1694735359&amp;sr=8-7", "https://www.amazon.com/Cartridge-Mini-Coaxial-Klein-Tools-VDV110-020/dp/B00788IM1G/ref=sr_1_7?keywords=Klein+Tools+VDV110-061+Coax+Cable+2-Level+Radial+Stripper&amp;qid=1694735359&amp;sr=8-7")</f>
        <v/>
      </c>
      <c r="F6711" t="inlineStr">
        <is>
          <t>B00788IM1G</t>
        </is>
      </c>
      <c r="G6711">
        <f>_xludf.IMAGE("https://edmondsonsupply.com/cdn/shop/products/vdv110-061.jpg?v=1587149207")</f>
        <v/>
      </c>
      <c r="H6711">
        <f>_xludf.IMAGE("https://m.media-amazon.com/images/I/61rvMLOm8UL._AC_UL320_.jpg")</f>
        <v/>
      </c>
      <c r="K6711" t="inlineStr">
        <is>
          <t>12.97</t>
        </is>
      </c>
      <c r="L6711" t="n">
        <v>10.94</v>
      </c>
      <c r="M6711" s="1" t="inlineStr">
        <is>
          <t>-15.65%</t>
        </is>
      </c>
      <c r="N6711" s="1" t="n"/>
      <c r="O6711" t="n">
        <v>4.1</v>
      </c>
      <c r="P6711" t="n">
        <v>7</v>
      </c>
      <c r="R6711" t="inlineStr">
        <is>
          <t>InStock</t>
        </is>
      </c>
      <c r="S6711" t="inlineStr">
        <is>
          <t>19.98</t>
        </is>
      </c>
      <c r="T6711" t="inlineStr">
        <is>
          <t>4447638388836</t>
        </is>
      </c>
    </row>
    <row r="6712" hidden="1" ht="15.75" customHeight="1">
      <c r="A6712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6712" s="2">
        <f>HYPERLINK("https://edmondsonsupply.com/products/diablo-tools-dmapl2320-1-2-in-x-10-in-x-12-in-sds-plus-2-cutter", "https://edmondsonsupply.com/products/diablo-tools-dmapl2320-1-2-in-x-10-in-x-12-in-sds-plus-2-cutter")</f>
        <v/>
      </c>
      <c r="C6712" t="inlineStr">
        <is>
          <t>Diablo Tools DMAPL2320 1/2 in. x 10 in. x 12 in. SDS-Plus 2-Cutter</t>
        </is>
      </c>
      <c r="D6712" t="inlineStr">
        <is>
          <t>Diablo 1/4 in. x 16 in. x 18 in. SDS-Plus 2-Cutter</t>
        </is>
      </c>
      <c r="E6712" s="2">
        <f>HYPERLINK("https://www.amazon.com/Diablo-DMAPL2170-16-SDS-Plus-2-Cutter/dp/B089LGDL7F/ref=sr_1_19?keywords=Diablo+Tools+DMAPL2320+1%2F2+in.+x+10+in.+x+12+in.+SDS-Plus+2-Cutter&amp;qid=1694735300&amp;sr=8-19", "https://www.amazon.com/Diablo-DMAPL2170-16-SDS-Plus-2-Cutter/dp/B089LGDL7F/ref=sr_1_19?keywords=Diablo+Tools+DMAPL2320+1%2F2+in.+x+10+in.+x+12+in.+SDS-Plus+2-Cutter&amp;qid=1694735300&amp;sr=8-19")</f>
        <v/>
      </c>
      <c r="F6712" t="inlineStr">
        <is>
          <t>B089LGDL7F</t>
        </is>
      </c>
      <c r="G6712">
        <f>_xludf.IMAGE("https://edmondsonsupply.com/cdn/shop/products/DMAPL2320.jpg?v=1633030356")</f>
        <v/>
      </c>
      <c r="H6712">
        <f>_xludf.IMAGE("https://m.media-amazon.com/images/I/61cUBcEwKHL._AC_UL320_.jpg")</f>
        <v/>
      </c>
      <c r="K6712" t="inlineStr">
        <is>
          <t>12.97</t>
        </is>
      </c>
      <c r="L6712" t="n">
        <v>10.94</v>
      </c>
      <c r="M6712" s="1" t="inlineStr">
        <is>
          <t>-15.65%</t>
        </is>
      </c>
      <c r="N6712" s="1" t="n"/>
      <c r="O6712" t="n">
        <v>4.7</v>
      </c>
      <c r="P6712" t="n">
        <v>15</v>
      </c>
      <c r="R6712" t="inlineStr">
        <is>
          <t>InStock</t>
        </is>
      </c>
      <c r="S6712" t="inlineStr">
        <is>
          <t>14.25</t>
        </is>
      </c>
      <c r="T6712" t="inlineStr">
        <is>
          <t>5286282264744</t>
        </is>
      </c>
    </row>
    <row r="6713" hidden="1" ht="15.75" customHeight="1">
      <c r="A6713" s="2">
        <f>HYPERLINK("https://edmondsonsupply.com/collections/electricians-tools/products/greenlee-dtap8-32-drill-tap-8-32", "https://edmondsonsupply.com/collections/electricians-tools/products/greenlee-dtap8-32-drill-tap-8-32")</f>
        <v/>
      </c>
      <c r="B6713" s="2">
        <f>HYPERLINK("https://edmondsonsupply.com/products/greenlee-dtap8-32-drill-tap-8-32", "https://edmondsonsupply.com/products/greenlee-dtap8-32-drill-tap-8-32")</f>
        <v/>
      </c>
      <c r="C6713" t="inlineStr">
        <is>
          <t>Greenlee DTAP8-32 Drill/Tap, 8-32</t>
        </is>
      </c>
      <c r="D6713" t="inlineStr">
        <is>
          <t>Klein Tools 32238 Drill Tap, 8-32</t>
        </is>
      </c>
      <c r="E6713" s="2">
        <f>HYPERLINK("https://www.amazon.com/Klein-Tools-32238-8-32-Drill/dp/B019874Q82/ref=sr_1_7?keywords=Greenlee+DTAP8-32+Drill%2FTap%2C+8-32&amp;qid=1694735400&amp;sr=8-7", "https://www.amazon.com/Klein-Tools-32238-8-32-Drill/dp/B019874Q82/ref=sr_1_7?keywords=Greenlee+DTAP8-32+Drill%2FTap%2C+8-32&amp;qid=1694735400&amp;sr=8-7")</f>
        <v/>
      </c>
      <c r="F6713" t="inlineStr">
        <is>
          <t>B019874Q82</t>
        </is>
      </c>
      <c r="G6713">
        <f>_xludf.IMAGE("https://edmondsonsupply.com/cdn/shop/products/DTAP8-32.jpg?v=1633030185")</f>
        <v/>
      </c>
      <c r="H6713">
        <f>_xludf.IMAGE("https://m.media-amazon.com/images/I/618Zy84ZV3L._AC_UL320_.jpg")</f>
        <v/>
      </c>
      <c r="K6713" t="inlineStr">
        <is>
          <t>8.29</t>
        </is>
      </c>
      <c r="L6713" t="n">
        <v>6.99</v>
      </c>
      <c r="M6713" s="1" t="inlineStr">
        <is>
          <t>-15.68%</t>
        </is>
      </c>
      <c r="N6713" s="1" t="n"/>
      <c r="O6713" t="n">
        <v>4.6</v>
      </c>
      <c r="P6713" t="n">
        <v>826</v>
      </c>
      <c r="R6713" t="inlineStr">
        <is>
          <t>InStock</t>
        </is>
      </c>
      <c r="S6713" t="inlineStr">
        <is>
          <t>9.7</t>
        </is>
      </c>
      <c r="T6713" t="inlineStr">
        <is>
          <t>4395862392932</t>
        </is>
      </c>
    </row>
    <row r="6714" ht="87" customHeight="1">
      <c r="A6714" s="2">
        <f>HYPERLINK("https://edmondsonsupply.com/collections/electricians-tools/products/milwaukee-48-25-2562-2-9-16-self-feed-wood-bit", "https://edmondsonsupply.com/collections/electricians-tools/products/milwaukee-48-25-2562-2-9-16-self-feed-wood-bit")</f>
        <v/>
      </c>
      <c r="B6714" s="2">
        <f>HYPERLINK("https://edmondsonsupply.com/products/milwaukee-48-25-2562-2-9-16-self-feed-wood-bit", "https://edmondsonsupply.com/products/milwaukee-48-25-2562-2-9-16-self-feed-wood-bit")</f>
        <v/>
      </c>
      <c r="C6714" t="inlineStr">
        <is>
          <t>Milwaukee 48-25-2562 2-9/16" Selfeed Wood Bit</t>
        </is>
      </c>
      <c r="D6714" t="inlineStr">
        <is>
          <t>Builders World Wholesale Distribution 48-25-2562 Milwaukee Bit Selfeed, 2-9/16"</t>
        </is>
      </c>
      <c r="E6714" s="2">
        <f>HYPERLINK("https://www.amazon.com/Builders-Wholesale-Distribution-48-25-2562-Milwaukee/dp/B000F6T08M/ref=sr_1_1?keywords=Milwaukee+48-25-2562+2-9%2F16%22+Selfeed+Wood+Bit&amp;qid=1694735416&amp;sr=8-1", "https://www.amazon.com/Builders-Wholesale-Distribution-48-25-2562-Milwaukee/dp/B000F6T08M/ref=sr_1_1?keywords=Milwaukee+48-25-2562+2-9%2F16%22+Selfeed+Wood+Bit&amp;qid=1694735416&amp;sr=8-1")</f>
        <v/>
      </c>
      <c r="F6714" t="inlineStr">
        <is>
          <t>B000F6T08M</t>
        </is>
      </c>
      <c r="G6714">
        <f>_xlfn.IMAGE("https://edmondsonsupply.com/cdn/shop/products/milwaukee-auger-bits-48-25-2562-64_1000.jpg?v=1587149013")</f>
        <v/>
      </c>
      <c r="H6714">
        <f>_xlfn.IMAGE("https://m.media-amazon.com/images/I/41-djJaFVpL._AC_UL320_.jpg")</f>
        <v/>
      </c>
      <c r="K6714" t="inlineStr">
        <is>
          <t>33.8</t>
        </is>
      </c>
      <c r="L6714" t="n">
        <v>28.49</v>
      </c>
      <c r="M6714" s="1" t="inlineStr">
        <is>
          <t>-15.71%</t>
        </is>
      </c>
      <c r="N6714" s="7" t="n"/>
      <c r="O6714" t="n">
        <v>4.4</v>
      </c>
      <c r="P6714" t="n">
        <v>78</v>
      </c>
      <c r="R6714" t="inlineStr">
        <is>
          <t>InStock</t>
        </is>
      </c>
      <c r="S6714" t="inlineStr">
        <is>
          <t>57.7</t>
        </is>
      </c>
      <c r="T6714" t="inlineStr">
        <is>
          <t>4364942344292</t>
        </is>
      </c>
    </row>
    <row r="6715" ht="87" customHeight="1">
      <c r="A6715" s="2">
        <f>HYPERLINK("https://edmondsonsupply.com/collections/electricians-tools/products/milwaukee-49-56-0503-3-16-3-16-diamond-plus%E2%84%A2-hole-saw", "https://edmondsonsupply.com/collections/electricians-tools/products/milwaukee-49-56-0503-3-16-3-16-diamond-plus%E2%84%A2-hole-saw")</f>
        <v/>
      </c>
      <c r="B6715" s="2">
        <f>HYPERLINK("https://edmondsonsupply.com/products/milwaukee-49-56-0503-3-16-3-16-diamond-plus%e2%84%a2-hole-saw", "https://edmondsonsupply.com/products/milwaukee-49-56-0503-3-16-3-16-diamond-plus%e2%84%a2-hole-saw")</f>
        <v/>
      </c>
      <c r="C6715" t="inlineStr">
        <is>
          <t>Milwaukee 49-56-0503 3/16" Diamond Plus™ Hole Saw</t>
        </is>
      </c>
      <c r="D6715" t="inlineStr">
        <is>
          <t>Milwaukee 49-56-0507 5/16" Diamond One-Piece Hole Saw</t>
        </is>
      </c>
      <c r="E6715" s="2">
        <f>HYPERLINK("https://www.amazon.com/Milwaukee-49-56-0507-Diamond-One-Piece-Hole/dp/B00KY6U4GA/ref=sr_1_9?keywords=Milwaukee+49-56-0503+3%2F16%22+Diamond+Plus%E2%84%A2+Hole+Saw&amp;qid=1694735413&amp;sr=8-9", "https://www.amazon.com/Milwaukee-49-56-0507-Diamond-One-Piece-Hole/dp/B00KY6U4GA/ref=sr_1_9?keywords=Milwaukee+49-56-0503+3%2F16%22+Diamond+Plus%E2%84%A2+Hole+Saw&amp;qid=1694735413&amp;sr=8-9")</f>
        <v/>
      </c>
      <c r="F6715" t="inlineStr">
        <is>
          <t>B00KY6U4GA</t>
        </is>
      </c>
      <c r="G6715">
        <f>_xlfn.IMAGE("https://edmondsonsupply.com/cdn/shop/products/49-56-0503.jpg?v=1587146081")</f>
        <v/>
      </c>
      <c r="H6715">
        <f>_xlfn.IMAGE("https://m.media-amazon.com/images/I/41YBm1vm6mL._AC_UL320_.jpg")</f>
        <v/>
      </c>
      <c r="K6715" t="inlineStr">
        <is>
          <t>18.99</t>
        </is>
      </c>
      <c r="L6715" t="n">
        <v>15.99</v>
      </c>
      <c r="M6715" s="1" t="inlineStr">
        <is>
          <t>-15.80%</t>
        </is>
      </c>
      <c r="N6715" s="7" t="n"/>
      <c r="O6715" t="n">
        <v>4.2</v>
      </c>
      <c r="P6715" t="n">
        <v>25</v>
      </c>
      <c r="R6715" t="inlineStr">
        <is>
          <t>InStock</t>
        </is>
      </c>
      <c r="S6715" t="inlineStr">
        <is>
          <t>25.1</t>
        </is>
      </c>
      <c r="T6715" t="inlineStr">
        <is>
          <t>4385044791396</t>
        </is>
      </c>
    </row>
    <row r="6716" ht="87" customHeight="1">
      <c r="A6716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6716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6716" t="inlineStr">
        <is>
          <t>Diablo Tools DMAMX1360 1-1/2 in. x 16 in. x 21 in. Rebar Demon™ SDS-Max 4-Cutter Carbide-Tipped Hammer Drill Bit</t>
        </is>
      </c>
      <c r="D6716" t="inlineStr">
        <is>
          <t>Diablo DMAMX1110 5/8 in. x 24 in. x 29 in. Rebar Demon™ SDS-Max 4-Cutter Full Carbide Head Hammer Bit</t>
        </is>
      </c>
      <c r="E6716" s="2">
        <f>HYPERLINK("https://www.amazon.com/Diablo-SDS-Max-4-Cutter-Carbide-Hammer/dp/B089LJ9GHW/ref=sr_1_20?keywords=Diablo+Tools+DMAMX1360+1-1%2F2+in.+x+16+in.+x+21+in.+Rebar+Demon%E2%84%A2+SDS-Max+4-Cutter+Carbide-Tipped+Hammer+Drill+Bit&amp;qid=1694735042&amp;sr=8-20", "https://www.amazon.com/Diablo-SDS-Max-4-Cutter-Carbide-Hammer/dp/B089LJ9GHW/ref=sr_1_20?keywords=Diablo+Tools+DMAMX1360+1-1%2F2+in.+x+16+in.+x+21+in.+Rebar+Demon%E2%84%A2+SDS-Max+4-Cutter+Carbide-Tipped+Hammer+Drill+Bit&amp;qid=1694735042&amp;sr=8-20")</f>
        <v/>
      </c>
      <c r="F6716" t="inlineStr">
        <is>
          <t>B089LJ9GHW</t>
        </is>
      </c>
      <c r="G6716">
        <f>_xlfn.IMAGE("https://edmondsonsupply.com/cdn/shop/products/z2umcsdaj3y4uvsfnxoh.webp?v=1677257156")</f>
        <v/>
      </c>
      <c r="H6716">
        <f>_xlfn.IMAGE("https://m.media-amazon.com/images/I/61vWAd-z8eL._AC_UL320_.jpg")</f>
        <v/>
      </c>
      <c r="K6716" t="inlineStr">
        <is>
          <t>93.87</t>
        </is>
      </c>
      <c r="L6716" t="n">
        <v>78.98999999999999</v>
      </c>
      <c r="M6716" s="1" t="inlineStr">
        <is>
          <t>-15.85%</t>
        </is>
      </c>
      <c r="N6716" s="7" t="n"/>
      <c r="O6716" t="n">
        <v>4.7</v>
      </c>
      <c r="P6716" t="n">
        <v>4</v>
      </c>
      <c r="R6716" t="inlineStr">
        <is>
          <t>InStock</t>
        </is>
      </c>
      <c r="S6716" t="inlineStr">
        <is>
          <t>149.01</t>
        </is>
      </c>
      <c r="T6716" t="inlineStr">
        <is>
          <t>7950786855128</t>
        </is>
      </c>
    </row>
    <row r="6717" ht="87" customHeight="1">
      <c r="A6717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6717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6717" t="inlineStr">
        <is>
          <t>Klein Tools CL320KIT HVAC Digital Clamp Meter Electrical Test Kit</t>
        </is>
      </c>
      <c r="D6717" t="inlineStr">
        <is>
          <t>Klein Tools 80124 Electrical Tester Kit with Mulitmeter, Clamp Meter, Thermocouple, Test Leads and Pouch, 5-Piece</t>
        </is>
      </c>
      <c r="E6717" s="2">
        <f>HYPERLINK("https://www.amazon.com/Klein-Tools-80124-Electrical-Thermocouple/dp/B0BDMTGCD3/ref=sr_1_14?keywords=Klein+Tools+CL320KIT+HVAC+Digital+Clamp+Meter+Electrical+Test+Kit&amp;qid=1694735135&amp;sr=8-14", "https://www.amazon.com/Klein-Tools-80124-Electrical-Thermocouple/dp/B0BDMTGCD3/ref=sr_1_14?keywords=Klein+Tools+CL320KIT+HVAC+Digital+Clamp+Meter+Electrical+Test+Kit&amp;qid=1694735135&amp;sr=8-14")</f>
        <v/>
      </c>
      <c r="F6717" t="inlineStr">
        <is>
          <t>B0BDMTGCD3</t>
        </is>
      </c>
      <c r="G6717">
        <f>_xlfn.IMAGE("https://edmondsonsupply.com/cdn/shop/products/cl320kit_photo.jpg?v=1660753251")</f>
        <v/>
      </c>
      <c r="H6717">
        <f>_xlfn.IMAGE("https://m.media-amazon.com/images/I/61kj1vi1GeL._AC_UY218_.jpg")</f>
        <v/>
      </c>
      <c r="K6717" t="inlineStr">
        <is>
          <t>118.99</t>
        </is>
      </c>
      <c r="L6717" t="n">
        <v>99.98999999999999</v>
      </c>
      <c r="M6717" s="1" t="inlineStr">
        <is>
          <t>-15.97%</t>
        </is>
      </c>
      <c r="N6717" s="7" t="n"/>
      <c r="O6717" t="n">
        <v>4.7</v>
      </c>
      <c r="P6717" t="n">
        <v>15</v>
      </c>
      <c r="R6717" t="inlineStr">
        <is>
          <t>InStock</t>
        </is>
      </c>
      <c r="S6717" t="inlineStr">
        <is>
          <t>170.54</t>
        </is>
      </c>
      <c r="T6717" t="inlineStr">
        <is>
          <t>7783540949208</t>
        </is>
      </c>
    </row>
    <row r="6718" ht="87" customHeight="1">
      <c r="A6718" s="2">
        <f>HYPERLINK("https://edmondsonsupply.com/collections/electricians-tools/products/milwaukee-2767-20-m18-fuel%E2%84%A2-1-2-high-torque-impact-wrench-with-friction-ring-tool-only", "https://edmondsonsupply.com/collections/electricians-tools/products/milwaukee-2767-20-m18-fuel%E2%84%A2-1-2-high-torque-impact-wrench-with-friction-ring-tool-only")</f>
        <v/>
      </c>
      <c r="B6718" s="2">
        <f>HYPERLINK("https://edmondsonsupply.com/products/milwaukee-2767-20-m18-fuel%e2%84%a2-1-2-high-torque-impact-wrench-with-friction-ring-tool-only", "https://edmondsonsupply.com/products/milwaukee-2767-20-m18-fuel%e2%84%a2-1-2-high-torque-impact-wrench-with-friction-ring-tool-only")</f>
        <v/>
      </c>
      <c r="C6718" t="inlineStr">
        <is>
          <t>Milwaukee 2767-20 M18 FUEL™ 1/2" High Torque Impact Wrench with Friction Ring (Tool Only)</t>
        </is>
      </c>
      <c r="D6718" t="inlineStr">
        <is>
          <t>Milwaukee 2767-20 M18 FUEL High Torque 1/2" Impact Wrench with Friction Ring</t>
        </is>
      </c>
      <c r="E6718" s="2">
        <f>HYPERLINK("https://www.amazon.com/Milwaukee-2767-20-Torque-Impact-Friction/dp/B08P4NX77N/ref=sr_1_1?keywords=Milwaukee+2767-20+M18+FUEL%E2%84%A2+1%2F2%22+High+Torque+Impact+Wrench+with+Friction+Ring+%28Tool+Only%29&amp;qid=1694735156&amp;sr=8-1", "https://www.amazon.com/Milwaukee-2767-20-Torque-Impact-Friction/dp/B08P4NX77N/ref=sr_1_1?keywords=Milwaukee+2767-20+M18+FUEL%E2%84%A2+1%2F2%22+High+Torque+Impact+Wrench+with+Friction+Ring+%28Tool+Only%29&amp;qid=1694735156&amp;sr=8-1")</f>
        <v/>
      </c>
      <c r="F6718" t="inlineStr">
        <is>
          <t>B08P4NX77N</t>
        </is>
      </c>
      <c r="G6718">
        <f>_xlfn.IMAGE("https://edmondsonsupply.com/cdn/shop/products/2767-20_1.webp?v=1668441181")</f>
        <v/>
      </c>
      <c r="H6718">
        <f>_xlfn.IMAGE("https://m.media-amazon.com/images/I/51tLOArc4KL._AC_UL320_.jpg")</f>
        <v/>
      </c>
      <c r="K6718" t="inlineStr">
        <is>
          <t>279.0</t>
        </is>
      </c>
      <c r="L6718" t="n">
        <v>234</v>
      </c>
      <c r="M6718" s="1" t="inlineStr">
        <is>
          <t>-16.13%</t>
        </is>
      </c>
      <c r="N6718" s="7" t="n"/>
      <c r="O6718" t="n">
        <v>4.6</v>
      </c>
      <c r="P6718" t="n">
        <v>1667</v>
      </c>
      <c r="R6718" t="inlineStr">
        <is>
          <t>InStock</t>
        </is>
      </c>
      <c r="S6718" t="inlineStr">
        <is>
          <t>464.0</t>
        </is>
      </c>
      <c r="T6718" t="inlineStr">
        <is>
          <t>7884381552856</t>
        </is>
      </c>
    </row>
    <row r="6719" hidden="1" ht="15.75" customHeight="1">
      <c r="A6719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6719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6719" t="inlineStr">
        <is>
          <t>Diablo Tools DMARG1090 1/4 in. x 10 in. x 12 in. SPEEDemon™ Red Granite Carbide Tipped Hammer Drill Bit</t>
        </is>
      </c>
      <c r="D6719" t="inlineStr">
        <is>
          <t>Diablo DMARG1110 5/16 in. x 8 in. x 10 in. SPEEDemon™ Red Granite Carbide Tipped Hammer Drill Bit</t>
        </is>
      </c>
      <c r="E6719" s="2">
        <f>HYPERLINK("https://www.amazon.com/Diablo-DMARG1110-SPEEDemon-Granite-Carbide/dp/B089LN9JJL/ref=sr_1_5?keywords=Diablo+Tools+DMARG1090+1%2F4+in.+x+10+in.+x+12+in.+SPEEDemon%E2%84%A2+Red+Granite+Carbide+Tipped+Hammer+Drill+Bit&amp;qid=1694735286&amp;sr=8-5", "https://www.amazon.com/Diablo-DMARG1110-SPEEDemon-Granite-Carbide/dp/B089LN9JJL/ref=sr_1_5?keywords=Diablo+Tools+DMARG1090+1%2F4+in.+x+10+in.+x+12+in.+SPEEDemon%E2%84%A2+Red+Granite+Carbide+Tipped+Hammer+Drill+Bit&amp;qid=1694735286&amp;sr=8-5")</f>
        <v/>
      </c>
      <c r="F6719" t="inlineStr">
        <is>
          <t>B089LN9JJL</t>
        </is>
      </c>
      <c r="G6719">
        <f>_xludf.IMAGE("https://edmondsonsupply.com/cdn/shop/products/DMARG1090_Main-Image.png?v=1633030421")</f>
        <v/>
      </c>
      <c r="H6719">
        <f>_xludf.IMAGE("https://m.media-amazon.com/images/I/61Qf0cC1SJL._AC_UL320_.jpg")</f>
        <v/>
      </c>
      <c r="K6719" t="inlineStr">
        <is>
          <t>11.97</t>
        </is>
      </c>
      <c r="L6719" t="n">
        <v>10.03</v>
      </c>
      <c r="M6719" s="1" t="inlineStr">
        <is>
          <t>-16.21%</t>
        </is>
      </c>
      <c r="N6719" s="1" t="n"/>
      <c r="O6719" t="n">
        <v>4.2</v>
      </c>
      <c r="P6719" t="n">
        <v>5</v>
      </c>
      <c r="R6719" t="inlineStr">
        <is>
          <t>InStock</t>
        </is>
      </c>
      <c r="S6719" t="inlineStr">
        <is>
          <t>12.5</t>
        </is>
      </c>
      <c r="T6719" t="inlineStr">
        <is>
          <t>5318039339176</t>
        </is>
      </c>
    </row>
    <row r="6720" ht="87" customHeight="1">
      <c r="A6720" s="2">
        <f>HYPERLINK("https://edmondsonsupply.com/collections/electricians-tools/products/fieldpiece-adk7-deluxe-silicone-test-lead-kit", "https://edmondsonsupply.com/collections/electricians-tools/products/fieldpiece-adk7-deluxe-silicone-test-lead-kit")</f>
        <v/>
      </c>
      <c r="B6720" s="2">
        <f>HYPERLINK("https://edmondsonsupply.com/products/fieldpiece-adk7-deluxe-silicone-test-lead-kit", "https://edmondsonsupply.com/products/fieldpiece-adk7-deluxe-silicone-test-lead-kit")</f>
        <v/>
      </c>
      <c r="C6720" t="inlineStr">
        <is>
          <t>Fieldpiece ADK7 Deluxe Silicone Test Lead Kit</t>
        </is>
      </c>
      <c r="D6720" t="inlineStr">
        <is>
          <t>Fieldpiece ADLS2 Deluxe Silicone Test Leads</t>
        </is>
      </c>
      <c r="E6720" s="2">
        <f>HYPERLINK("https://www.amazon.com/Fieldpiece-ADLS2-Deluxe-Silicone-Leads/dp/B001415IWE/ref=sr_1_4?keywords=Fieldpiece+ADK7+Deluxe+Silicone+Test+Lead+Kit&amp;qid=1694735206&amp;sr=8-4", "https://www.amazon.com/Fieldpiece-ADLS2-Deluxe-Silicone-Leads/dp/B001415IWE/ref=sr_1_4?keywords=Fieldpiece+ADK7+Deluxe+Silicone+Test+Lead+Kit&amp;qid=1694735206&amp;sr=8-4")</f>
        <v/>
      </c>
      <c r="F6720" t="inlineStr">
        <is>
          <t>B001415IWE</t>
        </is>
      </c>
      <c r="G6720">
        <f>_xlfn.IMAGE("https://edmondsonsupply.com/cdn/shop/products/adk7.png?v=1633031044")</f>
        <v/>
      </c>
      <c r="H6720">
        <f>_xlfn.IMAGE("https://m.media-amazon.com/images/I/71I6eVTSheL._AC_UY218_.jpg")</f>
        <v/>
      </c>
      <c r="K6720" t="inlineStr">
        <is>
          <t>39.1</t>
        </is>
      </c>
      <c r="L6720" t="n">
        <v>32.75</v>
      </c>
      <c r="M6720" s="1" t="inlineStr">
        <is>
          <t>-16.24%</t>
        </is>
      </c>
      <c r="N6720" s="7" t="n"/>
      <c r="O6720" t="n">
        <v>4.8</v>
      </c>
      <c r="P6720" t="n">
        <v>176</v>
      </c>
      <c r="R6720" t="inlineStr">
        <is>
          <t>InStock</t>
        </is>
      </c>
      <c r="S6720" t="inlineStr">
        <is>
          <t>46.0</t>
        </is>
      </c>
      <c r="T6720" t="inlineStr">
        <is>
          <t>6759850377389</t>
        </is>
      </c>
    </row>
    <row r="6721" ht="87" customHeight="1">
      <c r="A6721" s="2">
        <f>HYPERLINK("https://edmondsonsupply.com/collections/electricians-tools/products/klein-tools-d213-9nett-pliers-high-leverage-side-cutters-tether-ring", "https://edmondsonsupply.com/collections/electricians-tools/products/klein-tools-d213-9nett-pliers-high-leverage-side-cutters-tether-ring")</f>
        <v/>
      </c>
      <c r="B6721" s="2">
        <f>HYPERLINK("https://edmondsonsupply.com/products/klein-tools-d213-9nett-pliers-high-leverage-side-cutters-tether-ring", "https://edmondsonsupply.com/products/klein-tools-d213-9nett-pliers-high-leverage-side-cutters-tether-ring")</f>
        <v/>
      </c>
      <c r="C6721" t="inlineStr">
        <is>
          <t>Klein Tools D213-9NETT Pliers, High-Leverage Side Cutters, Tether Ring</t>
        </is>
      </c>
      <c r="D6721" t="inlineStr">
        <is>
          <t>Klein Tools D213-8NE Pliers, 8-Inch Side Cutters, High Leverage Lineman's Pliers Cut Copper, Aluminum and other Soft Metals</t>
        </is>
      </c>
      <c r="E6721" s="2">
        <f>HYPERLINK("https://www.amazon.com/Klein-Tools-D213-8NE-Linemans-Pliers/dp/B000UQ5QW6/ref=sr_1_3?keywords=Klein+Tools+D213-9NETT+Pliers%2C+High-Leverage+Side+Cutters%2C+Tether+Ring&amp;qid=1694735164&amp;sr=8-3", "https://www.amazon.com/Klein-Tools-D213-8NE-Linemans-Pliers/dp/B000UQ5QW6/ref=sr_1_3?keywords=Klein+Tools+D213-9NETT+Pliers%2C+High-Leverage+Side+Cutters%2C+Tether+Ring&amp;qid=1694735164&amp;sr=8-3")</f>
        <v/>
      </c>
      <c r="F6721" t="inlineStr">
        <is>
          <t>B000UQ5QW6</t>
        </is>
      </c>
      <c r="G6721">
        <f>_xlfn.IMAGE("https://edmondsonsupply.com/cdn/shop/products/d2139nett.jpg?v=1647394939")</f>
        <v/>
      </c>
      <c r="H6721">
        <f>_xlfn.IMAGE("https://m.media-amazon.com/images/I/51QNEEU4fsL._AC_UL320_.jpg")</f>
        <v/>
      </c>
      <c r="K6721" t="inlineStr">
        <is>
          <t>39.99</t>
        </is>
      </c>
      <c r="L6721" t="n">
        <v>33.49</v>
      </c>
      <c r="M6721" s="1" t="inlineStr">
        <is>
          <t>-16.25%</t>
        </is>
      </c>
      <c r="N6721" s="7" t="n"/>
      <c r="O6721" t="n">
        <v>4.6</v>
      </c>
      <c r="P6721" t="n">
        <v>416</v>
      </c>
      <c r="R6721" t="inlineStr">
        <is>
          <t>InStock</t>
        </is>
      </c>
      <c r="S6721" t="inlineStr">
        <is>
          <t>60.6</t>
        </is>
      </c>
      <c r="T6721" t="inlineStr">
        <is>
          <t>7637549416664</t>
        </is>
      </c>
    </row>
    <row r="6722" ht="87" customHeight="1">
      <c r="A6722" s="2">
        <f>HYPERLINK("https://edmondsonsupply.com/collections/electricians-tools/products/diablo-tools-dmamx1090-5-8", "https://edmondsonsupply.com/collections/electricians-tools/products/diablo-tools-dmamx1090-5-8")</f>
        <v/>
      </c>
      <c r="B6722" s="2">
        <f>HYPERLINK("https://edmondsonsupply.com/products/diablo-tools-dmamx1090-5-8", "https://edmondsonsupply.com/products/diablo-tools-dmamx1090-5-8")</f>
        <v/>
      </c>
      <c r="C6722" t="inlineStr">
        <is>
          <t>Diablo Tools DMAMX1090 5/8 in. x 8 in. x 13 in. Rebar Demon SDS‑Max 4‑Cutter Full Carbide Head Hammer Bit</t>
        </is>
      </c>
      <c r="D6722" t="inlineStr">
        <is>
          <t>Diablo by Freud DMAMX1090 5/8 in. x 8 in. x 13 in. Rebar Demon SDS-Max 4-Cutter Full Carbide Head Hammer Bit</t>
        </is>
      </c>
      <c r="E6722" s="2">
        <f>HYPERLINK("https://www.amazon.com/Diablo-SDS-Max-4-Cutter-Carbide-Hammer/dp/B089LGB35P/ref=sr_1_1?keywords=Diablo+Tools+DMAMX1090+5%2F8+in.+x+8+in.+x+13+in.+Rebar+Demon+SDS%E2%80%91Max+4%E2%80%91Cutter+Full+Carbide+Head+Hammer+Bit&amp;qid=1694735267&amp;sr=8-1", "https://www.amazon.com/Diablo-SDS-Max-4-Cutter-Carbide-Hammer/dp/B089LGB35P/ref=sr_1_1?keywords=Diablo+Tools+DMAMX1090+5%2F8+in.+x+8+in.+x+13+in.+Rebar+Demon+SDS%E2%80%91Max+4%E2%80%91Cutter+Full+Carbide+Head+Hammer+Bit&amp;qid=1694735267&amp;sr=8-1")</f>
        <v/>
      </c>
      <c r="F6722" t="inlineStr">
        <is>
          <t>B089LGB35P</t>
        </is>
      </c>
      <c r="G6722">
        <f>_xlfn.IMAGE("https://edmondsonsupply.com/cdn/shop/products/DMAMX1090_Main-Image20200701.png?v=1609799247")</f>
        <v/>
      </c>
      <c r="H6722">
        <f>_xlfn.IMAGE("https://m.media-amazon.com/images/I/61Wr1t8FMOL._AC_UL320_.jpg")</f>
        <v/>
      </c>
      <c r="K6722" t="inlineStr">
        <is>
          <t>41.97</t>
        </is>
      </c>
      <c r="L6722" t="n">
        <v>35.1</v>
      </c>
      <c r="M6722" s="1" t="inlineStr">
        <is>
          <t>-16.37%</t>
        </is>
      </c>
      <c r="N6722" s="7" t="n"/>
      <c r="O6722" t="n">
        <v>4.2</v>
      </c>
      <c r="P6722" t="n">
        <v>5</v>
      </c>
      <c r="R6722" t="inlineStr">
        <is>
          <t>InStock</t>
        </is>
      </c>
      <c r="S6722" t="inlineStr">
        <is>
          <t>48.13</t>
        </is>
      </c>
      <c r="T6722" t="inlineStr">
        <is>
          <t>5463856447656</t>
        </is>
      </c>
    </row>
    <row r="6723" ht="87" customHeight="1">
      <c r="A6723" s="2">
        <f>HYPERLINK("https://edmondsonsupply.com/collections/electricians-tools/products/milwaukee-2732-21hd", "https://edmondsonsupply.com/collections/electricians-tools/products/milwaukee-2732-21hd")</f>
        <v/>
      </c>
      <c r="B6723" s="2">
        <f>HYPERLINK("https://edmondsonsupply.com/products/milwaukee-2732-21hd", "https://edmondsonsupply.com/products/milwaukee-2732-21hd")</f>
        <v/>
      </c>
      <c r="C6723" t="inlineStr">
        <is>
          <t>Milwaukee 2732-21HD M18 FUEL 7-1/4" Circular Saw Kit</t>
        </is>
      </c>
      <c r="D6723" t="inlineStr">
        <is>
          <t>Milwaukee 2731-20 M18 Fuel 7-1/4" Circular Saw Bare</t>
        </is>
      </c>
      <c r="E6723" s="2">
        <f>HYPERLINK("https://www.amazon.com/Milwaukee-2731-20-Fuel-Circular-Bare/dp/B00PGQ6D2W/ref=sr_1_7?keywords=Milwaukee+2732-21HD+M18+FUEL+7-1%2F4%22+Circular+Saw+Kit&amp;qid=1694735304&amp;sr=8-7", "https://www.amazon.com/Milwaukee-2731-20-Fuel-Circular-Bare/dp/B00PGQ6D2W/ref=sr_1_7?keywords=Milwaukee+2732-21HD+M18+FUEL+7-1%2F4%22+Circular+Saw+Kit&amp;qid=1694735304&amp;sr=8-7")</f>
        <v/>
      </c>
      <c r="F6723" t="inlineStr">
        <is>
          <t>B00PGQ6D2W</t>
        </is>
      </c>
      <c r="G6723">
        <f>_xlfn.IMAGE("https://edmondsonsupply.com/cdn/shop/products/2732-21HD_Kit.png?v=1591470998")</f>
        <v/>
      </c>
      <c r="H6723">
        <f>_xlfn.IMAGE("https://m.media-amazon.com/images/I/81g8z-i58ML._AC_UL320_.jpg")</f>
        <v/>
      </c>
      <c r="K6723" t="inlineStr">
        <is>
          <t>449.0</t>
        </is>
      </c>
      <c r="L6723" t="n">
        <v>374.95</v>
      </c>
      <c r="M6723" s="1" t="inlineStr">
        <is>
          <t>-16.49%</t>
        </is>
      </c>
      <c r="N6723" s="7" t="n"/>
      <c r="O6723" t="n">
        <v>4.4</v>
      </c>
      <c r="P6723" t="n">
        <v>279</v>
      </c>
      <c r="R6723" t="inlineStr">
        <is>
          <t>InStock</t>
        </is>
      </c>
      <c r="S6723" t="inlineStr">
        <is>
          <t>790.0</t>
        </is>
      </c>
      <c r="T6723" t="inlineStr">
        <is>
          <t>5279006064808</t>
        </is>
      </c>
    </row>
    <row r="6724" hidden="1" ht="15.75" customHeight="1">
      <c r="A6724" s="2">
        <f>HYPERLINK("https://edmondsonsupply.com/collections/electricians-tools/products/fluke-t6-1000", "https://edmondsonsupply.com/collections/electricians-tools/products/fluke-t6-1000")</f>
        <v/>
      </c>
      <c r="B6724" s="2">
        <f>HYPERLINK("https://edmondsonsupply.com/products/fluke-t6-1000", "https://edmondsonsupply.com/products/fluke-t6-1000")</f>
        <v/>
      </c>
      <c r="C6724" t="inlineStr">
        <is>
          <t>Fluke T6-1000 Electrical Tester with FieldSense Technology, 1000V</t>
        </is>
      </c>
      <c r="D6724" t="inlineStr">
        <is>
          <t>Fluke T6-1000 Electrical Tester with FieldSense Technology, Measure Voltage Without Test Leads with Non-Contact Voltage Tester</t>
        </is>
      </c>
      <c r="E6724" s="2">
        <f>HYPERLINK("https://www.amazon.com/Fluke-Electrical-FieldSense-Technology-Non-Contact/dp/B07JGGGDW1/ref=sr_1_1?keywords=Fluke+T6-1000+Electrical+Tester+with+FieldSense+Technology%2C+1000V&amp;qid=1694735306&amp;sr=8-1", "https://www.amazon.com/Fluke-Electrical-FieldSense-Technology-Non-Contact/dp/B07JGGGDW1/ref=sr_1_1?keywords=Fluke+T6-1000+Electrical+Tester+with+FieldSense+Technology%2C+1000V&amp;qid=1694735306&amp;sr=8-1")</f>
        <v/>
      </c>
      <c r="F6724" t="inlineStr">
        <is>
          <t>B07JGGGDW1</t>
        </is>
      </c>
      <c r="G6724">
        <f>_xludf.IMAGE("https://edmondsonsupply.com/cdn/shop/products/t61000.jpg?v=1633030278")</f>
        <v/>
      </c>
      <c r="H6724">
        <f>_xludf.IMAGE("https://m.media-amazon.com/images/I/51eddPXQWKL._AC_UL320_.jpg")</f>
        <v/>
      </c>
      <c r="K6724" t="inlineStr">
        <is>
          <t>314.99</t>
        </is>
      </c>
      <c r="L6724" t="n">
        <v>262.98</v>
      </c>
      <c r="M6724" s="1" t="inlineStr">
        <is>
          <t>-16.51%</t>
        </is>
      </c>
      <c r="N6724" s="1" t="n"/>
      <c r="O6724" t="n">
        <v>3.9</v>
      </c>
      <c r="P6724" t="n">
        <v>5</v>
      </c>
      <c r="R6724" t="inlineStr">
        <is>
          <t>InStock</t>
        </is>
      </c>
      <c r="S6724" t="inlineStr">
        <is>
          <t>349.99</t>
        </is>
      </c>
      <c r="T6724" t="inlineStr">
        <is>
          <t>5238389932200</t>
        </is>
      </c>
    </row>
    <row r="6725" ht="87" customHeight="1">
      <c r="A6725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6725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6725" t="inlineStr">
        <is>
          <t>Diablo Tools DOU125BF3 1-1/4 in. Universal Fit Bi-Metal Oscillating Blade for Metal (3 pack)</t>
        </is>
      </c>
      <c r="D6725" t="inlineStr">
        <is>
          <t>Diablo by Freud DOU125JBW3 1-1/4 in. Universal Fit Bi-Metal Oscillating Blades for Clean Wood (3-Pack)</t>
        </is>
      </c>
      <c r="E6725" s="2">
        <f>HYPERLINK("https://www.amazon.com/Diablo-Freud-DOU125JBW3-Universal-Oscillating/dp/B089KX3SWM/ref=sr_1_5?keywords=Diablo+Tools+DOU125BF3+1-1%2F4+in.+Universal+Fit+Bi-Metal+Oscillating+Blade+for+Metal+%283+pack%29&amp;qid=1694734993&amp;sr=8-5", "https://www.amazon.com/Diablo-Freud-DOU125JBW3-Universal-Oscillating/dp/B089KX3SWM/ref=sr_1_5?keywords=Diablo+Tools+DOU125BF3+1-1%2F4+in.+Universal+Fit+Bi-Metal+Oscillating+Blade+for+Metal+%283+pack%29&amp;qid=1694734993&amp;sr=8-5")</f>
        <v/>
      </c>
      <c r="F6725" t="inlineStr">
        <is>
          <t>B089KX3SWM</t>
        </is>
      </c>
      <c r="G6725">
        <f>_xlfn.IMAGE("https://edmondsonsupply.com/cdn/shop/files/k1d1qiwmm4npznsdbwtg_4dc7bdf3-43a4-4863-8a1d-f71b60bc7c6d.webp?v=1685468179")</f>
        <v/>
      </c>
      <c r="H6725">
        <f>_xlfn.IMAGE("https://m.media-amazon.com/images/I/61wFHtmEH5L._AC_UL320_.jpg")</f>
        <v/>
      </c>
      <c r="K6725" t="inlineStr">
        <is>
          <t>34.97</t>
        </is>
      </c>
      <c r="L6725" t="n">
        <v>29.19</v>
      </c>
      <c r="M6725" s="1" t="inlineStr">
        <is>
          <t>-16.53%</t>
        </is>
      </c>
      <c r="N6725" s="7" t="n"/>
      <c r="O6725" t="n">
        <v>4.5</v>
      </c>
      <c r="P6725" t="n">
        <v>48</v>
      </c>
      <c r="R6725" t="inlineStr">
        <is>
          <t>InStock</t>
        </is>
      </c>
      <c r="S6725" t="inlineStr">
        <is>
          <t>43.53</t>
        </is>
      </c>
      <c r="T6725" t="inlineStr">
        <is>
          <t>7997880729816</t>
        </is>
      </c>
    </row>
    <row r="6726" ht="87" customHeight="1">
      <c r="A6726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6726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6726" t="inlineStr">
        <is>
          <t>Diablo Tools DOU125JBW3 1-1/4 in. Universal Fit Bi-Metal Oscillating Blades for Clean Wood</t>
        </is>
      </c>
      <c r="D6726" t="inlineStr">
        <is>
          <t>Diablo by Freud DOU125JBW3 1-1/4 in. Universal Fit Bi-Metal Oscillating Blades for Clean Wood (3-Pack)</t>
        </is>
      </c>
      <c r="E6726" s="2">
        <f>HYPERLINK("https://www.amazon.com/Diablo-Freud-DOU125JBW3-Universal-Oscillating/dp/B089KX3SWM/ref=sr_1_1?keywords=Diablo+Tools+DOU125JBW3+1-1%2F4+in.+Universal+Fit+Bi-Metal+Oscillating+Blades+for+Clean+Wood&amp;qid=1694735211&amp;sr=8-1", "https://www.amazon.com/Diablo-Freud-DOU125JBW3-Universal-Oscillating/dp/B089KX3SWM/ref=sr_1_1?keywords=Diablo+Tools+DOU125JBW3+1-1%2F4+in.+Universal+Fit+Bi-Metal+Oscillating+Blades+for+Clean+Wood&amp;qid=1694735211&amp;sr=8-1")</f>
        <v/>
      </c>
      <c r="F6726" t="inlineStr">
        <is>
          <t>B089KX3SWM</t>
        </is>
      </c>
      <c r="G6726">
        <f>_xlfn.IMAGE("https://edmondsonsupply.com/cdn/shop/products/DOU125JBW3_Main-Image.png?v=1633031095")</f>
        <v/>
      </c>
      <c r="H6726">
        <f>_xlfn.IMAGE("https://m.media-amazon.com/images/I/61wFHtmEH5L._AC_UL320_.jpg")</f>
        <v/>
      </c>
      <c r="K6726" t="inlineStr">
        <is>
          <t>34.97</t>
        </is>
      </c>
      <c r="L6726" t="n">
        <v>29.19</v>
      </c>
      <c r="M6726" s="1" t="inlineStr">
        <is>
          <t>-16.53%</t>
        </is>
      </c>
      <c r="N6726" s="7" t="n"/>
      <c r="O6726" t="n">
        <v>4.5</v>
      </c>
      <c r="P6726" t="n">
        <v>48</v>
      </c>
      <c r="R6726" t="inlineStr">
        <is>
          <t>InStock</t>
        </is>
      </c>
      <c r="S6726" t="inlineStr">
        <is>
          <t>43.53</t>
        </is>
      </c>
      <c r="T6726" t="inlineStr">
        <is>
          <t>6839865278637</t>
        </is>
      </c>
    </row>
    <row r="6727" hidden="1" ht="15.75" customHeight="1">
      <c r="A6727" s="2">
        <f>HYPERLINK("https://edmondsonsupply.com/collections/electricians-tools/products/klein-tools-6846ins-insulated-screwdriver-2-square-tip-6-inch-round-shank", "https://edmondsonsupply.com/collections/electricians-tools/products/klein-tools-6846ins-insulated-screwdriver-2-square-tip-6-inch-round-shank")</f>
        <v/>
      </c>
      <c r="B6727" s="2">
        <f>HYPERLINK("https://edmondsonsupply.com/products/klein-tools-6846ins-insulated-screwdriver-2-square-tip-6-inch-round-shank", "https://edmondsonsupply.com/products/klein-tools-6846ins-insulated-screwdriver-2-square-tip-6-inch-round-shank")</f>
        <v/>
      </c>
      <c r="C6727" t="inlineStr">
        <is>
          <t>Klein Tools 6846INS Insulated Screwdriver, #2 Square Tip, 6-Inch Round Shank</t>
        </is>
      </c>
      <c r="D6727" t="inlineStr">
        <is>
          <t>Klein Tools 6844INS Insulated Screwdriver, 1000V #2 Square Tip Screwdriver with 4-Inch Shank, Tip-Ident, Cushion-Grip Handle</t>
        </is>
      </c>
      <c r="E6727" s="2">
        <f>HYPERLINK("https://www.amazon.com/Klein-Tools-6844INS-Screwdriver-Cushion-Grip/dp/B0BF7L6BZ6/ref=sr_1_3?keywords=Klein+Tools+6846INS+Insulated+Screwdriver%2C+%232+Square+Tip%2C+6-Inch+Round+Shank&amp;qid=1694735106&amp;sr=8-3", "https://www.amazon.com/Klein-Tools-6844INS-Screwdriver-Cushion-Grip/dp/B0BF7L6BZ6/ref=sr_1_3?keywords=Klein+Tools+6846INS+Insulated+Screwdriver%2C+%232+Square+Tip%2C+6-Inch+Round+Shank&amp;qid=1694735106&amp;sr=8-3")</f>
        <v/>
      </c>
      <c r="F6727" t="inlineStr">
        <is>
          <t>B0BF7L6BZ6</t>
        </is>
      </c>
      <c r="G6727">
        <f>_xludf.IMAGE("https://edmondsonsupply.com/cdn/shop/products/6846ins.jpg?v=1664817571")</f>
        <v/>
      </c>
      <c r="H6727">
        <f>_xludf.IMAGE("https://m.media-amazon.com/images/I/41RKewAXjvL._AC_UL320_.jpg")</f>
        <v/>
      </c>
      <c r="K6727" t="inlineStr">
        <is>
          <t>11.97</t>
        </is>
      </c>
      <c r="L6727" t="n">
        <v>9.99</v>
      </c>
      <c r="M6727" s="1" t="inlineStr">
        <is>
          <t>-16.54%</t>
        </is>
      </c>
      <c r="N6727" s="1" t="n"/>
      <c r="O6727" t="n">
        <v>4.9</v>
      </c>
      <c r="P6727" t="n">
        <v>202</v>
      </c>
      <c r="R6727" t="inlineStr">
        <is>
          <t>InStock</t>
        </is>
      </c>
      <c r="S6727" t="inlineStr">
        <is>
          <t>17.98</t>
        </is>
      </c>
      <c r="T6727" t="inlineStr">
        <is>
          <t>7837739319512</t>
        </is>
      </c>
    </row>
    <row r="6728" hidden="1" ht="15.75" customHeight="1">
      <c r="A6728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6728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6728" t="inlineStr">
        <is>
          <t>Klein Tools 6826INS Insulated Screwdriver, 1/4-Inch Cabinet Tip, 6-Inch Shank</t>
        </is>
      </c>
      <c r="D6728" t="inlineStr">
        <is>
          <t>Klein Tools 6834INS Insulated Screwdriver, 1000V #2 Phillips Tip Screwdriver with 4-Inch Shank, Tip-Ident, Cushion-Grip Handle</t>
        </is>
      </c>
      <c r="E6728" s="2">
        <f>HYPERLINK("https://www.amazon.com/Klein-Tools-6834INS-Screwdriver-Cushion-Grip/dp/B0BF7LCHQ9/ref=sr_1_16?keywords=Klein+Tools+6826INS+Insulated+Screwdriver%2C+1%2F4-Inch+Cabinet+Tip%2C+6-Inch+Shank&amp;qid=1694735104&amp;sr=8-16", "https://www.amazon.com/Klein-Tools-6834INS-Screwdriver-Cushion-Grip/dp/B0BF7LCHQ9/ref=sr_1_16?keywords=Klein+Tools+6826INS+Insulated+Screwdriver%2C+1%2F4-Inch+Cabinet+Tip%2C+6-Inch+Shank&amp;qid=1694735104&amp;sr=8-16")</f>
        <v/>
      </c>
      <c r="F6728" t="inlineStr">
        <is>
          <t>B0BF7LCHQ9</t>
        </is>
      </c>
      <c r="G6728">
        <f>_xludf.IMAGE("https://edmondsonsupply.com/cdn/shop/products/6826ins.jpg?v=1664814069")</f>
        <v/>
      </c>
      <c r="H6728">
        <f>_xludf.IMAGE("https://m.media-amazon.com/images/I/41syzbetq2L._AC_UL320_.jpg")</f>
        <v/>
      </c>
      <c r="K6728" t="inlineStr">
        <is>
          <t>11.97</t>
        </is>
      </c>
      <c r="L6728" t="n">
        <v>9.99</v>
      </c>
      <c r="M6728" s="1" t="inlineStr">
        <is>
          <t>-16.54%</t>
        </is>
      </c>
      <c r="N6728" s="1" t="n"/>
      <c r="O6728" t="n">
        <v>5</v>
      </c>
      <c r="P6728" t="n">
        <v>5</v>
      </c>
      <c r="R6728" t="inlineStr">
        <is>
          <t>InStock</t>
        </is>
      </c>
      <c r="S6728" t="inlineStr">
        <is>
          <t>17.98</t>
        </is>
      </c>
      <c r="T6728" t="inlineStr">
        <is>
          <t>7837707698392</t>
        </is>
      </c>
    </row>
    <row r="6729" hidden="1" ht="15.75" customHeight="1">
      <c r="A6729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6729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6729" t="inlineStr">
        <is>
          <t>Klein Tools 6886INS Insulated Screwdriver, #1 Square Tip, 6-Inch Shank</t>
        </is>
      </c>
      <c r="D6729" t="inlineStr">
        <is>
          <t>Klein Tools 6844INS Insulated Screwdriver, 1000V #2 Square Tip Screwdriver with 4-Inch Shank, Tip-Ident, Cushion-Grip Handle</t>
        </is>
      </c>
      <c r="E6729" s="2">
        <f>HYPERLINK("https://www.amazon.com/Klein-Tools-6844INS-Screwdriver-Cushion-Grip/dp/B0BF7L6BZ6/ref=sr_1_7?keywords=Klein+Tools+6886INS+Insulated+Screwdriver%2C+%231+Square+Tip%2C+6-Inch+Shank&amp;qid=1694735108&amp;sr=8-7", "https://www.amazon.com/Klein-Tools-6844INS-Screwdriver-Cushion-Grip/dp/B0BF7L6BZ6/ref=sr_1_7?keywords=Klein+Tools+6886INS+Insulated+Screwdriver%2C+%231+Square+Tip%2C+6-Inch+Shank&amp;qid=1694735108&amp;sr=8-7")</f>
        <v/>
      </c>
      <c r="F6729" t="inlineStr">
        <is>
          <t>B0BF7L6BZ6</t>
        </is>
      </c>
      <c r="G6729">
        <f>_xludf.IMAGE("https://edmondsonsupply.com/cdn/shop/products/6886ins.jpg?v=1664889697")</f>
        <v/>
      </c>
      <c r="H6729">
        <f>_xludf.IMAGE("https://m.media-amazon.com/images/I/41RKewAXjvL._AC_UL320_.jpg")</f>
        <v/>
      </c>
      <c r="K6729" t="inlineStr">
        <is>
          <t>11.97</t>
        </is>
      </c>
      <c r="L6729" t="n">
        <v>9.99</v>
      </c>
      <c r="M6729" s="1" t="inlineStr">
        <is>
          <t>-16.54%</t>
        </is>
      </c>
      <c r="N6729" s="1" t="n"/>
      <c r="O6729" t="n">
        <v>4.9</v>
      </c>
      <c r="P6729" t="n">
        <v>202</v>
      </c>
      <c r="R6729" t="inlineStr">
        <is>
          <t>InStock</t>
        </is>
      </c>
      <c r="S6729" t="inlineStr">
        <is>
          <t>17.98</t>
        </is>
      </c>
      <c r="T6729" t="inlineStr">
        <is>
          <t>7839176491224</t>
        </is>
      </c>
    </row>
    <row r="6730" hidden="1" ht="15.75" customHeight="1">
      <c r="A6730" s="2">
        <f>HYPERLINK("https://edmondsonsupply.com/collections/electricians-tools/products/klein-tools-6826ins-insulated-screwdriver-1-4-inch-cabinet-tip-6-inch-shank", "https://edmondsonsupply.com/collections/electricians-tools/products/klein-tools-6826ins-insulated-screwdriver-1-4-inch-cabinet-tip-6-inch-shank")</f>
        <v/>
      </c>
      <c r="B6730" s="2">
        <f>HYPERLINK("https://edmondsonsupply.com/products/klein-tools-6826ins-insulated-screwdriver-1-4-inch-cabinet-tip-6-inch-shank", "https://edmondsonsupply.com/products/klein-tools-6826ins-insulated-screwdriver-1-4-inch-cabinet-tip-6-inch-shank")</f>
        <v/>
      </c>
      <c r="C6730" t="inlineStr">
        <is>
          <t>Klein Tools 6826INS Insulated Screwdriver, 1/4-Inch Cabinet Tip, 6-Inch Shank</t>
        </is>
      </c>
      <c r="D6730" t="inlineStr">
        <is>
          <t>Klein Tools 6824INS Insulated Screwdriver, 1000V 1/4-Inch Cabinet Tip Screwdriver with 4-Inch Shank, Tip-Ident, Cushion-Grip Handle</t>
        </is>
      </c>
      <c r="E6730" s="2">
        <f>HYPERLINK("https://www.amazon.com/Klein-Tools-6824INS-Screwdriver-Cushion-Grip/dp/B0BF78XBPX/ref=sr_1_3?keywords=Klein+Tools+6826INS+Insulated+Screwdriver%2C+1%2F4-Inch+Cabinet+Tip%2C+6-Inch+Shank&amp;qid=1694735104&amp;sr=8-3", "https://www.amazon.com/Klein-Tools-6824INS-Screwdriver-Cushion-Grip/dp/B0BF78XBPX/ref=sr_1_3?keywords=Klein+Tools+6826INS+Insulated+Screwdriver%2C+1%2F4-Inch+Cabinet+Tip%2C+6-Inch+Shank&amp;qid=1694735104&amp;sr=8-3")</f>
        <v/>
      </c>
      <c r="F6730" t="inlineStr">
        <is>
          <t>B0BF78XBPX</t>
        </is>
      </c>
      <c r="G6730">
        <f>_xludf.IMAGE("https://edmondsonsupply.com/cdn/shop/products/6826ins.jpg?v=1664814069")</f>
        <v/>
      </c>
      <c r="H6730">
        <f>_xludf.IMAGE("https://m.media-amazon.com/images/I/410Gu3snLdL._AC_UL320_.jpg")</f>
        <v/>
      </c>
      <c r="K6730" t="inlineStr">
        <is>
          <t>11.97</t>
        </is>
      </c>
      <c r="L6730" t="n">
        <v>9.99</v>
      </c>
      <c r="M6730" s="1" t="inlineStr">
        <is>
          <t>-16.54%</t>
        </is>
      </c>
      <c r="N6730" s="1" t="n"/>
      <c r="O6730" t="n">
        <v>4.9</v>
      </c>
      <c r="P6730" t="n">
        <v>202</v>
      </c>
      <c r="R6730" t="inlineStr">
        <is>
          <t>InStock</t>
        </is>
      </c>
      <c r="S6730" t="inlineStr">
        <is>
          <t>17.98</t>
        </is>
      </c>
      <c r="T6730" t="inlineStr">
        <is>
          <t>7837707698392</t>
        </is>
      </c>
    </row>
    <row r="6731" ht="87" customHeight="1">
      <c r="A6731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6731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6731" t="inlineStr">
        <is>
          <t>Klein Tools 66050E 2-in-1 Metric Impact Socket Set, 12-Point, 5-Piece</t>
        </is>
      </c>
      <c r="D6731" t="inlineStr">
        <is>
          <t>Klein Tools 66040 2-in-1 Impact Socket Set, 5-Piece Tool Set with 12-Point Deep Sockets with 1/2-Inch Drive, Includes Tool Case</t>
        </is>
      </c>
      <c r="E6731" s="2">
        <f>HYPERLINK("https://www.amazon.com/Klein-Tools-5-Piece-6-Point-Sockets/dp/B08363H71P/ref=sr_1_2?keywords=Klein+Tools+66050E+2-in-1+Metric+Impact+Socket+Set%2C+12-Point%2C+5-Piece&amp;qid=1694735136&amp;sr=8-2", "https://www.amazon.com/Klein-Tools-5-Piece-6-Point-Sockets/dp/B08363H71P/ref=sr_1_2?keywords=Klein+Tools+66050E+2-in-1+Metric+Impact+Socket+Set%2C+12-Point%2C+5-Piece&amp;qid=1694735136&amp;sr=8-2")</f>
        <v/>
      </c>
      <c r="F6731" t="inlineStr">
        <is>
          <t>B08363H71P</t>
        </is>
      </c>
      <c r="G6731">
        <f>_xlfn.IMAGE("https://edmondsonsupply.com/cdn/shop/products/66050e.jpg?v=1659120052")</f>
        <v/>
      </c>
      <c r="H6731">
        <f>_xlfn.IMAGE("https://m.media-amazon.com/images/I/618QcMhYqSL._AC_UL320_.jpg")</f>
        <v/>
      </c>
      <c r="K6731" t="inlineStr">
        <is>
          <t>149.54</t>
        </is>
      </c>
      <c r="L6731" t="n">
        <v>124.79</v>
      </c>
      <c r="M6731" s="1" t="inlineStr">
        <is>
          <t>-16.55%</t>
        </is>
      </c>
      <c r="N6731" s="7" t="n"/>
      <c r="O6731" t="n">
        <v>4.8</v>
      </c>
      <c r="P6731" t="n">
        <v>1150</v>
      </c>
      <c r="R6731" t="inlineStr">
        <is>
          <t>InStock</t>
        </is>
      </c>
      <c r="S6731" t="inlineStr">
        <is>
          <t>249.24</t>
        </is>
      </c>
      <c r="T6731" t="inlineStr">
        <is>
          <t>7766623420632</t>
        </is>
      </c>
    </row>
    <row r="6732" ht="87" customHeight="1">
      <c r="A6732" s="2">
        <f>HYPERLINK("https://edmondsonsupply.com/collections/electricians-tools/products/milwaukee-2553-22", "https://edmondsonsupply.com/collections/electricians-tools/products/milwaukee-2553-22")</f>
        <v/>
      </c>
      <c r="B6732" s="2">
        <f>HYPERLINK("https://edmondsonsupply.com/products/milwaukee-2553-22", "https://edmondsonsupply.com/products/milwaukee-2553-22")</f>
        <v/>
      </c>
      <c r="C6732" t="inlineStr">
        <is>
          <t>Milwaukee 2553-22 M12 FUEL™ 1/4" Hex Impact Driver Kit</t>
        </is>
      </c>
      <c r="D6732" t="inlineStr">
        <is>
          <t>Milwaukee 3453-22 12V Fuel 1/4" Cordless Hex Impact Driver Kit with (2) 2.0Ah Lithium Ion Batteries, Charger &amp; Tool Bag</t>
        </is>
      </c>
      <c r="E6732" s="2">
        <f>HYPERLINK("https://www.amazon.com/Milwaukee-3453-22-Cordless-Lithium-Batteries/dp/B0BLT6PSKS/ref=sr_1_5?keywords=Milwaukee+2553-22+M12+FUEL%E2%84%A2+1%2F4%22+Hex+Impact+Driver+Kit&amp;qid=1694735083&amp;sr=8-5", "https://www.amazon.com/Milwaukee-3453-22-Cordless-Lithium-Batteries/dp/B0BLT6PSKS/ref=sr_1_5?keywords=Milwaukee+2553-22+M12+FUEL%E2%84%A2+1%2F4%22+Hex+Impact+Driver+Kit&amp;qid=1694735083&amp;sr=8-5")</f>
        <v/>
      </c>
      <c r="F6732" t="inlineStr">
        <is>
          <t>B0BLT6PSKS</t>
        </is>
      </c>
      <c r="G6732">
        <f>_xlfn.IMAGE("https://edmondsonsupply.com/cdn/shop/products/2553-22_Kit.webp?v=1668445129")</f>
        <v/>
      </c>
      <c r="H6732">
        <f>_xlfn.IMAGE("https://m.media-amazon.com/images/I/71EfdWfKpQL._AC_UL320_.jpg")</f>
        <v/>
      </c>
      <c r="K6732" t="inlineStr">
        <is>
          <t>169.0</t>
        </is>
      </c>
      <c r="L6732" t="n">
        <v>140.99</v>
      </c>
      <c r="M6732" s="1" t="inlineStr">
        <is>
          <t>-16.57%</t>
        </is>
      </c>
      <c r="N6732" s="7" t="n"/>
      <c r="O6732" t="n">
        <v>4.7</v>
      </c>
      <c r="P6732" t="n">
        <v>51</v>
      </c>
      <c r="R6732" t="inlineStr">
        <is>
          <t>InStock</t>
        </is>
      </c>
      <c r="S6732" t="inlineStr">
        <is>
          <t>299.0</t>
        </is>
      </c>
      <c r="T6732" t="inlineStr">
        <is>
          <t>7884423528664</t>
        </is>
      </c>
    </row>
    <row r="6733" ht="87" customHeight="1">
      <c r="A6733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6733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6733" t="inlineStr">
        <is>
          <t>Klein Tools JTH9E17 1/2-Inch Hex Key with Journeyman T-Handle, 9-Inch</t>
        </is>
      </c>
      <c r="D6733" t="inlineStr">
        <is>
          <t>Klein Tools JTH4E17 1/2-Inch Hex Key with Journeyman T-Handle, 4-Inch</t>
        </is>
      </c>
      <c r="E6733" s="2">
        <f>HYPERLINK("https://www.amazon.com/Journeyman-T-Handle-Klein-Tools-JTH4E17/dp/B004LRBOA8/ref=sr_1_3?keywords=Klein+Tools+JTH9E17+1%2F2-Inch+Hex+Key+with+Journeyman+T-Handle%2C+9-Inch&amp;qid=1694735337&amp;sr=8-3", "https://www.amazon.com/Journeyman-T-Handle-Klein-Tools-JTH4E17/dp/B004LRBOA8/ref=sr_1_3?keywords=Klein+Tools+JTH9E17+1%2F2-Inch+Hex+Key+with+Journeyman+T-Handle%2C+9-Inch&amp;qid=1694735337&amp;sr=8-3")</f>
        <v/>
      </c>
      <c r="F6733" t="inlineStr">
        <is>
          <t>B004LRBOA8</t>
        </is>
      </c>
      <c r="G6733">
        <f>_xlfn.IMAGE("https://edmondsonsupply.com/cdn/shop/products/jth9e12_c458fab1-bd79-4a70-ae62-7e6646bd3d84.jpg?v=1587146369")</f>
        <v/>
      </c>
      <c r="H6733">
        <f>_xlfn.IMAGE("https://m.media-amazon.com/images/I/41kJkcAGkqL._AC_UL320_.jpg")</f>
        <v/>
      </c>
      <c r="K6733" t="inlineStr">
        <is>
          <t>23.99</t>
        </is>
      </c>
      <c r="L6733" t="n">
        <v>20.01</v>
      </c>
      <c r="M6733" s="1" t="inlineStr">
        <is>
          <t>-16.59%</t>
        </is>
      </c>
      <c r="N6733" s="7" t="n"/>
      <c r="O6733" t="n">
        <v>4.7</v>
      </c>
      <c r="P6733" t="n">
        <v>44</v>
      </c>
      <c r="R6733" t="inlineStr">
        <is>
          <t>InStock</t>
        </is>
      </c>
      <c r="S6733" t="inlineStr">
        <is>
          <t>36.36</t>
        </is>
      </c>
      <c r="T6733" t="inlineStr">
        <is>
          <t>4505575981156</t>
        </is>
      </c>
    </row>
    <row r="6734" ht="87" customHeight="1">
      <c r="A6734" s="2">
        <f>HYPERLINK("https://edmondsonsupply.com/collections/electricians-tools/products/klein-tools-631-nut-driver-set-3-inch-shafts-cushion-grip-7-piece", "https://edmondsonsupply.com/collections/electricians-tools/products/klein-tools-631-nut-driver-set-3-inch-shafts-cushion-grip-7-piece")</f>
        <v/>
      </c>
      <c r="B6734" s="2">
        <f>HYPERLINK("https://edmondsonsupply.com/products/klein-tools-631-nut-driver-set-3-inch-shafts-cushion-grip-7-piece", "https://edmondsonsupply.com/products/klein-tools-631-nut-driver-set-3-inch-shafts-cushion-grip-7-piece")</f>
        <v/>
      </c>
      <c r="C6734" t="inlineStr">
        <is>
          <t>Klein Tools 631 Nut Driver Set, 3-Inch Shafts, Cushion Grip, 7-Piece</t>
        </is>
      </c>
      <c r="D6734" t="inlineStr">
        <is>
          <t>Klein Tools 65160 Tool Set, Metric Nut Driver Set Sizes 5, 5.5, 6, 7, 8, 9, and 10 mm, 3-Inch Chrome-Plate Hollow Shafts, 7-Piece</t>
        </is>
      </c>
      <c r="E6734" s="2">
        <f>HYPERLINK("https://www.amazon.com/Driver-Metric-3-Inch-7-Piece-Klein/dp/B0009ORXQQ/ref=sr_1_4?keywords=Klein+Tools+631+Nut+Driver+Set%2C+3-Inch+Shafts%2C+Cushion+Grip%2C+7-Piece&amp;qid=1694735184&amp;sr=8-4", "https://www.amazon.com/Driver-Metric-3-Inch-7-Piece-Klein/dp/B0009ORXQQ/ref=sr_1_4?keywords=Klein+Tools+631+Nut+Driver+Set%2C+3-Inch+Shafts%2C+Cushion+Grip%2C+7-Piece&amp;qid=1694735184&amp;sr=8-4")</f>
        <v/>
      </c>
      <c r="F6734" t="inlineStr">
        <is>
          <t>B0009ORXQQ</t>
        </is>
      </c>
      <c r="G6734">
        <f>_xlfn.IMAGE("https://edmondsonsupply.com/cdn/shop/products/631.jpg?v=1632441079")</f>
        <v/>
      </c>
      <c r="H6734">
        <f>_xlfn.IMAGE("https://m.media-amazon.com/images/I/61CnDJJyViL._AC_UL320_.jpg")</f>
        <v/>
      </c>
      <c r="K6734" t="inlineStr">
        <is>
          <t>59.99</t>
        </is>
      </c>
      <c r="L6734" t="n">
        <v>49.99</v>
      </c>
      <c r="M6734" s="1" t="inlineStr">
        <is>
          <t>-16.67%</t>
        </is>
      </c>
      <c r="N6734" s="7" t="n"/>
      <c r="O6734" t="n">
        <v>4.8</v>
      </c>
      <c r="P6734" t="n">
        <v>588</v>
      </c>
      <c r="R6734" t="inlineStr">
        <is>
          <t>InStock</t>
        </is>
      </c>
      <c r="S6734" t="inlineStr">
        <is>
          <t>82.2</t>
        </is>
      </c>
      <c r="T6734" t="inlineStr">
        <is>
          <t>6961446420653</t>
        </is>
      </c>
    </row>
    <row r="6735" hidden="1" ht="15.75" customHeight="1">
      <c r="A6735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6735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6735" t="inlineStr">
        <is>
          <t>Klein Tools 661-4-INS Insulated Screwdriver, #1 Square Tip, 4-Inch Shank</t>
        </is>
      </c>
      <c r="D6735" t="inlineStr">
        <is>
          <t>Klein Tools 6986INS Insulated Screwdriver, 1000V Slim Profile Tip, #1 Square with 6-Inch Shank, Cushion-Grip Handle</t>
        </is>
      </c>
      <c r="E6735" s="2">
        <f>HYPERLINK("https://www.amazon.com/Klein-Tools-6986INS-Screwdriver-Cushion-Grip/dp/B09GPYQ7DM/ref=sr_1_7?keywords=Klein+Tools+661-4-INS+Insulated+Screwdriver%2C+%231+Square+Tip%2C+4-Inch+Shank&amp;qid=1694735265&amp;sr=8-7", "https://www.amazon.com/Klein-Tools-6986INS-Screwdriver-Cushion-Grip/dp/B09GPYQ7DM/ref=sr_1_7?keywords=Klein+Tools+661-4-INS+Insulated+Screwdriver%2C+%231+Square+Tip%2C+4-Inch+Shank&amp;qid=1694735265&amp;sr=8-7")</f>
        <v/>
      </c>
      <c r="F6735" t="inlineStr">
        <is>
          <t>B09GPYQ7DM</t>
        </is>
      </c>
      <c r="G6735">
        <f>_xludf.IMAGE("https://edmondsonsupply.com/cdn/shop/products/661-4-ins.jpg?v=1633030622")</f>
        <v/>
      </c>
      <c r="H6735">
        <f>_xludf.IMAGE("https://m.media-amazon.com/images/I/41d5Ic37xZL._AC_UL320_.jpg")</f>
        <v/>
      </c>
      <c r="K6735" t="inlineStr">
        <is>
          <t>17.99</t>
        </is>
      </c>
      <c r="L6735" t="n">
        <v>14.99</v>
      </c>
      <c r="M6735" s="1" t="inlineStr">
        <is>
          <t>-16.68%</t>
        </is>
      </c>
      <c r="N6735" s="1" t="n"/>
      <c r="O6735" t="n">
        <v>4.8</v>
      </c>
      <c r="P6735" t="n">
        <v>29</v>
      </c>
      <c r="R6735" t="inlineStr">
        <is>
          <t>InStock</t>
        </is>
      </c>
      <c r="S6735" t="inlineStr">
        <is>
          <t>27.24</t>
        </is>
      </c>
      <c r="T6735" t="inlineStr">
        <is>
          <t>5651594215592</t>
        </is>
      </c>
    </row>
    <row r="6736" hidden="1" ht="15.75" customHeight="1">
      <c r="A6736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6736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6736" t="inlineStr">
        <is>
          <t>Klein Tools 661-4-INS Insulated Screwdriver, #1 Square Tip, 4-Inch Shank</t>
        </is>
      </c>
      <c r="D6736" t="inlineStr">
        <is>
          <t>Klein Tools 6926INS Insulated Screwdriver, 1000V Slim Profile Tip, 1/4-Inch Cabinet Screwdriver with 6-Inch Shank, Cushion-Grip Handle</t>
        </is>
      </c>
      <c r="E6736" s="2">
        <f>HYPERLINK("https://www.amazon.com/Klein-Tools-6926INS-Screwdriver-Cushion-Grip/dp/B09GL1X5SZ/ref=sr_1_15?keywords=Klein+Tools+661-4-INS+Insulated+Screwdriver%2C+%231+Square+Tip%2C+4-Inch+Shank&amp;qid=1694735265&amp;sr=8-15", "https://www.amazon.com/Klein-Tools-6926INS-Screwdriver-Cushion-Grip/dp/B09GL1X5SZ/ref=sr_1_15?keywords=Klein+Tools+661-4-INS+Insulated+Screwdriver%2C+%231+Square+Tip%2C+4-Inch+Shank&amp;qid=1694735265&amp;sr=8-15")</f>
        <v/>
      </c>
      <c r="F6736" t="inlineStr">
        <is>
          <t>B09GL1X5SZ</t>
        </is>
      </c>
      <c r="G6736">
        <f>_xludf.IMAGE("https://edmondsonsupply.com/cdn/shop/products/661-4-ins.jpg?v=1633030622")</f>
        <v/>
      </c>
      <c r="H6736">
        <f>_xludf.IMAGE("https://m.media-amazon.com/images/I/41JbepP5oGL._AC_UL320_.jpg")</f>
        <v/>
      </c>
      <c r="K6736" t="inlineStr">
        <is>
          <t>17.99</t>
        </is>
      </c>
      <c r="L6736" t="n">
        <v>14.99</v>
      </c>
      <c r="M6736" s="1" t="inlineStr">
        <is>
          <t>-16.68%</t>
        </is>
      </c>
      <c r="N6736" s="1" t="n"/>
      <c r="O6736" t="n">
        <v>4.8</v>
      </c>
      <c r="P6736" t="n">
        <v>85</v>
      </c>
      <c r="R6736" t="inlineStr">
        <is>
          <t>InStock</t>
        </is>
      </c>
      <c r="S6736" t="inlineStr">
        <is>
          <t>27.24</t>
        </is>
      </c>
      <c r="T6736" t="inlineStr">
        <is>
          <t>5651594215592</t>
        </is>
      </c>
    </row>
    <row r="6737" hidden="1" ht="15.75" customHeight="1">
      <c r="A6737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6737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6737" t="inlineStr">
        <is>
          <t>Klein Tools 612-4-INS Insulated 1/8-Inch Slotted Screwdriver, 4-Inch</t>
        </is>
      </c>
      <c r="D6737" t="inlineStr">
        <is>
          <t>Klein Tools 6926INS Insulated Screwdriver, 1000V Slim Profile Tip, 1/4-Inch Cabinet Screwdriver with 6-Inch Shank, Cushion-Grip Handle</t>
        </is>
      </c>
      <c r="E6737" s="2">
        <f>HYPERLINK("https://www.amazon.com/Klein-Tools-6926INS-Screwdriver-Cushion-Grip/dp/B09GL1X5SZ/ref=sr_1_19?keywords=Klein+Tools+612-4-INS+Insulated+1%2F8-Inch+Slotted+Screwdriver%2C+4-Inch&amp;qid=1694735335&amp;sr=8-19", "https://www.amazon.com/Klein-Tools-6926INS-Screwdriver-Cushion-Grip/dp/B09GL1X5SZ/ref=sr_1_19?keywords=Klein+Tools+612-4-INS+Insulated+1%2F8-Inch+Slotted+Screwdriver%2C+4-Inch&amp;qid=1694735335&amp;sr=8-19")</f>
        <v/>
      </c>
      <c r="F6737" t="inlineStr">
        <is>
          <t>B09GL1X5SZ</t>
        </is>
      </c>
      <c r="G6737">
        <f>_xludf.IMAGE("https://edmondsonsupply.com/cdn/shop/products/612-4-ins.jpg?v=1587148611")</f>
        <v/>
      </c>
      <c r="H6737">
        <f>_xludf.IMAGE("https://m.media-amazon.com/images/I/41JbepP5oGL._AC_UL320_.jpg")</f>
        <v/>
      </c>
      <c r="K6737" t="inlineStr">
        <is>
          <t>17.99</t>
        </is>
      </c>
      <c r="L6737" t="n">
        <v>14.99</v>
      </c>
      <c r="M6737" s="1" t="inlineStr">
        <is>
          <t>-16.68%</t>
        </is>
      </c>
      <c r="N6737" s="1" t="n"/>
      <c r="O6737" t="n">
        <v>4.8</v>
      </c>
      <c r="P6737" t="n">
        <v>85</v>
      </c>
      <c r="R6737" t="inlineStr">
        <is>
          <t>InStock</t>
        </is>
      </c>
      <c r="S6737" t="inlineStr">
        <is>
          <t>27.26</t>
        </is>
      </c>
      <c r="T6737" t="inlineStr">
        <is>
          <t>4167520911460</t>
        </is>
      </c>
    </row>
    <row r="6738" hidden="1" ht="15.75" customHeight="1">
      <c r="A6738" s="2">
        <f>HYPERLINK("https://edmondsonsupply.com/collections/electricians-tools/products/klein-tools-6916ins-slim-tip-insulated-screwdriver-3-16-inch-cabinet-6-inch-round-shank", "https://edmondsonsupply.com/collections/electricians-tools/products/klein-tools-6916ins-slim-tip-insulated-screwdriver-3-16-inch-cabinet-6-inch-round-shank")</f>
        <v/>
      </c>
      <c r="B6738" s="2">
        <f>HYPERLINK("https://edmondsonsupply.com/products/klein-tools-6916ins-slim-tip-insulated-screwdriver-3-16-inch-cabinet-6-inch-round-shank", "https://edmondsonsupply.com/products/klein-tools-6916ins-slim-tip-insulated-screwdriver-3-16-inch-cabinet-6-inch-round-shank")</f>
        <v/>
      </c>
      <c r="C6738" t="inlineStr">
        <is>
          <t>Klein Tools 6916INS Slim-Tip Insulated Screwdriver, 3/16-Inch Cabinet, 6-Inch Round Shank</t>
        </is>
      </c>
      <c r="D6738" t="inlineStr">
        <is>
          <t>Klein Tools 621-6 Coated 3/16-Inch Cabinet Tip Flat Head Screwdriver, 6-Inch Round Shank, Cushion Grip Handle</t>
        </is>
      </c>
      <c r="E6738" s="2">
        <f>HYPERLINK("https://www.amazon.com/16-Inch-Screwdriver-Klein-Tools-621-6/dp/B00093GE44/ref=sr_1_2?keywords=Klein+Tools+6916INS+Slim-Tip+Insulated+Screwdriver%2C+3%2F16-Inch+Cabinet%2C+6-Inch+Round+Shank&amp;qid=1694735268&amp;sr=8-2", "https://www.amazon.com/16-Inch-Screwdriver-Klein-Tools-621-6/dp/B00093GE44/ref=sr_1_2?keywords=Klein+Tools+6916INS+Slim-Tip+Insulated+Screwdriver%2C+3%2F16-Inch+Cabinet%2C+6-Inch+Round+Shank&amp;qid=1694735268&amp;sr=8-2")</f>
        <v/>
      </c>
      <c r="F6738" t="inlineStr">
        <is>
          <t>B00093GE44</t>
        </is>
      </c>
      <c r="G6738">
        <f>_xludf.IMAGE("https://edmondsonsupply.com/cdn/shop/products/6916ins.jpg?v=1633030552")</f>
        <v/>
      </c>
      <c r="H6738">
        <f>_xludf.IMAGE("https://m.media-amazon.com/images/I/51PRkgD+r3L._AC_UL320_.jpg")</f>
        <v/>
      </c>
      <c r="K6738" t="inlineStr">
        <is>
          <t>14.99</t>
        </is>
      </c>
      <c r="L6738" t="n">
        <v>12.49</v>
      </c>
      <c r="M6738" s="1" t="inlineStr">
        <is>
          <t>-16.68%</t>
        </is>
      </c>
      <c r="N6738" s="1" t="n"/>
      <c r="O6738" t="n">
        <v>4.4</v>
      </c>
      <c r="P6738" t="n">
        <v>25</v>
      </c>
      <c r="R6738" t="inlineStr">
        <is>
          <t>InStock</t>
        </is>
      </c>
      <c r="S6738" t="inlineStr">
        <is>
          <t>21.02</t>
        </is>
      </c>
      <c r="T6738" t="inlineStr">
        <is>
          <t>5439528468648</t>
        </is>
      </c>
    </row>
    <row r="6739" ht="87" customHeight="1">
      <c r="A6739" s="2">
        <f>HYPERLINK("https://edmondsonsupply.com/collections/electricians-tools/products/klein-tools-d203-8-pliers-long-nose-side-cutters-8-inch", "https://edmondsonsupply.com/collections/electricians-tools/products/klein-tools-d203-8-pliers-long-nose-side-cutters-8-inch")</f>
        <v/>
      </c>
      <c r="B6739" s="2">
        <f>HYPERLINK("https://edmondsonsupply.com/products/klein-tools-d203-8-pliers-long-nose-side-cutters-8-inch", "https://edmondsonsupply.com/products/klein-tools-d203-8-pliers-long-nose-side-cutters-8-inch")</f>
        <v/>
      </c>
      <c r="C6739" t="inlineStr">
        <is>
          <t>Klein Tools D203-8 Pliers, Needle Nose Side-Cutters, 8-Inch</t>
        </is>
      </c>
      <c r="D6739" t="inlineStr">
        <is>
          <t>Klein Tools D203-7 Needle Nose Pliers, Long Nose Side Cutters, Heavy Duty Alligator Pliers, 7-Inch</t>
        </is>
      </c>
      <c r="E6739" s="2">
        <f>HYPERLINK("https://www.amazon.com/Klein-Tools-D203-7-Side-Cutters-7-Inch/dp/B000G67F24/ref=sr_1_8?keywords=Klein+Tools+D203-8+Pliers%2C+Needle+Nose+Side-Cutters%2C+8-Inch&amp;qid=1694735240&amp;sr=8-8", "https://www.amazon.com/Klein-Tools-D203-7-Side-Cutters-7-Inch/dp/B000G67F24/ref=sr_1_8?keywords=Klein+Tools+D203-8+Pliers%2C+Needle+Nose+Side-Cutters%2C+8-Inch&amp;qid=1694735240&amp;sr=8-8")</f>
        <v/>
      </c>
      <c r="F6739" t="inlineStr">
        <is>
          <t>B000G67F24</t>
        </is>
      </c>
      <c r="G6739">
        <f>_xlfn.IMAGE("https://edmondsonsupply.com/cdn/shop/products/d2038.jpg?v=1633030802")</f>
        <v/>
      </c>
      <c r="H6739">
        <f>_xlfn.IMAGE("https://m.media-amazon.com/images/I/51DWCz6ft0L._AC_UL320_.jpg")</f>
        <v/>
      </c>
      <c r="K6739" t="inlineStr">
        <is>
          <t>29.97</t>
        </is>
      </c>
      <c r="L6739" t="n">
        <v>24.97</v>
      </c>
      <c r="M6739" s="1" t="inlineStr">
        <is>
          <t>-16.68%</t>
        </is>
      </c>
      <c r="N6739" s="7" t="n"/>
      <c r="O6739" t="n">
        <v>4.8</v>
      </c>
      <c r="P6739" t="n">
        <v>582</v>
      </c>
      <c r="R6739" t="inlineStr">
        <is>
          <t>InStock</t>
        </is>
      </c>
      <c r="S6739" t="inlineStr">
        <is>
          <t>44.84</t>
        </is>
      </c>
      <c r="T6739" t="inlineStr">
        <is>
          <t>6005724577960</t>
        </is>
      </c>
    </row>
    <row r="6740" ht="87" customHeight="1">
      <c r="A6740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6740" s="2">
        <f>HYPERLINK("https://edmondsonsupply.com/products/klein-tools-32510-magnetic-screwdriver-with-32-tamperproof-bits", "https://edmondsonsupply.com/products/klein-tools-32510-magnetic-screwdriver-with-32-tamperproof-bits")</f>
        <v/>
      </c>
      <c r="C6740" t="inlineStr">
        <is>
          <t>Klein Tools 32510 Magnetic Screwdriver with 32 Tamperproof Bits</t>
        </is>
      </c>
      <c r="D6740" t="inlineStr">
        <is>
          <t>Klein Tools 32307 Multi-bit Tamperproof Screwdriver, 27-in-1 Tool with Torx, Hex, Torq and Spanner Bits with 1/4-Inch Nut Driver</t>
        </is>
      </c>
      <c r="E6740" s="2">
        <f>HYPERLINK("https://www.amazon.com/Klein-Tools-32307-Tamperproof-Screwdriver/dp/B08KFL4QD4/ref=sr_1_4?keywords=Klein+Tools+32510+Magnetic+Screwdriver+with+32+Tamperproof+Bits&amp;qid=1694735159&amp;sr=8-4", "https://www.amazon.com/Klein-Tools-32307-Tamperproof-Screwdriver/dp/B08KFL4QD4/ref=sr_1_4?keywords=Klein+Tools+32510+Magnetic+Screwdriver+with+32+Tamperproof+Bits&amp;qid=1694735159&amp;sr=8-4")</f>
        <v/>
      </c>
      <c r="F6740" t="inlineStr">
        <is>
          <t>B08KFL4QD4</t>
        </is>
      </c>
      <c r="G6740">
        <f>_xlfn.IMAGE("https://edmondsonsupply.com/cdn/shop/products/32510_alt2.jpg?v=1653267434")</f>
        <v/>
      </c>
      <c r="H6740">
        <f>_xlfn.IMAGE("https://m.media-amazon.com/images/I/51VWsu+sN9L._AC_UL320_.jpg")</f>
        <v/>
      </c>
      <c r="K6740" t="inlineStr">
        <is>
          <t>29.97</t>
        </is>
      </c>
      <c r="L6740" t="n">
        <v>24.97</v>
      </c>
      <c r="M6740" s="1" t="inlineStr">
        <is>
          <t>-16.68%</t>
        </is>
      </c>
      <c r="N6740" s="7" t="n"/>
      <c r="O6740" t="n">
        <v>4.7</v>
      </c>
      <c r="P6740" t="n">
        <v>1624</v>
      </c>
      <c r="R6740" t="inlineStr">
        <is>
          <t>InStock</t>
        </is>
      </c>
      <c r="S6740" t="inlineStr">
        <is>
          <t>43.88</t>
        </is>
      </c>
      <c r="T6740" t="inlineStr">
        <is>
          <t>7696117367000</t>
        </is>
      </c>
    </row>
    <row r="6741" ht="87" customHeight="1">
      <c r="A6741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6741" s="2">
        <f>HYPERLINK("https://edmondsonsupply.com/products/klein-tools-9225-tape-measure-25-foot-magnetic-double-hook", "https://edmondsonsupply.com/products/klein-tools-9225-tape-measure-25-foot-magnetic-double-hook")</f>
        <v/>
      </c>
      <c r="C6741" t="inlineStr">
        <is>
          <t>Klein Tools 9225 Tape Measure, 25-Foot Magnetic Double-Hook</t>
        </is>
      </c>
      <c r="D6741" t="inlineStr">
        <is>
          <t>Klein Tools 9225 Tape Measure, Heavy-Duty Measuring Tape with 25-Foot Double-Hook Double-Sided Nylon Reinforced Blade, with Metal Belt Clip</t>
        </is>
      </c>
      <c r="E6741" s="2">
        <f>HYPERLINK("https://www.amazon.com/Klein-Tools-Measure-Magnetic-Double-Hook/dp/B07WF9TKNN/ref=sr_1_1?keywords=Klein+Tools+9225+Tape+Measure%2C+25-Foot+Magnetic+Double-Hook&amp;qid=1694735384&amp;sr=8-1", "https://www.amazon.com/Klein-Tools-Measure-Magnetic-Double-Hook/dp/B07WF9TKNN/ref=sr_1_1?keywords=Klein+Tools+9225+Tape+Measure%2C+25-Foot+Magnetic+Double-Hook&amp;qid=1694735384&amp;sr=8-1")</f>
        <v/>
      </c>
      <c r="F6741" t="inlineStr">
        <is>
          <t>B07WF9TKNN</t>
        </is>
      </c>
      <c r="G6741">
        <f>_xlfn.IMAGE("https://edmondsonsupply.com/cdn/shop/products/9225_photo.jpg?v=1587146541")</f>
        <v/>
      </c>
      <c r="H6741">
        <f>_xlfn.IMAGE("https://m.media-amazon.com/images/I/51-QFLUv4EL._AC_UL320_.jpg")</f>
        <v/>
      </c>
      <c r="K6741" t="inlineStr">
        <is>
          <t>29.97</t>
        </is>
      </c>
      <c r="L6741" t="n">
        <v>24.97</v>
      </c>
      <c r="M6741" s="1" t="inlineStr">
        <is>
          <t>-16.68%</t>
        </is>
      </c>
      <c r="N6741" s="7" t="n"/>
      <c r="O6741" t="n">
        <v>4.6</v>
      </c>
      <c r="P6741" t="n">
        <v>1943</v>
      </c>
      <c r="R6741" t="inlineStr">
        <is>
          <t>InStock</t>
        </is>
      </c>
      <c r="S6741" t="inlineStr">
        <is>
          <t>37.02</t>
        </is>
      </c>
      <c r="T6741" t="inlineStr">
        <is>
          <t>4411542175844</t>
        </is>
      </c>
    </row>
    <row r="6742" hidden="1" ht="15.75" customHeight="1">
      <c r="A6742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6742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6742" t="inlineStr">
        <is>
          <t>Klein Tools 630-3/8 3/8-Inch Nut Driver with 3-Inch Hollow Shaft</t>
        </is>
      </c>
      <c r="D6742" t="inlineStr">
        <is>
          <t>Klein Tools S126 3/8-Inch Nut Driver with 6-Inch Hollow Shaft and Comfordome Handle</t>
        </is>
      </c>
      <c r="E6742" s="2">
        <f>HYPERLINK("https://www.amazon.com/8-Inch-Comfordome-Klein-Tools-S126/dp/B000936PDY/ref=sr_1_5?keywords=Klein+Tools+630-3%2F8+3%2F8-Inch+Nut+Driver+with+3-Inch+Hollow+Shaft&amp;qid=1694735236&amp;sr=8-5", "https://www.amazon.com/8-Inch-Comfordome-Klein-Tools-S126/dp/B000936PDY/ref=sr_1_5?keywords=Klein+Tools+630-3%2F8+3%2F8-Inch+Nut+Driver+with+3-Inch+Hollow+Shaft&amp;qid=1694735236&amp;sr=8-5")</f>
        <v/>
      </c>
      <c r="F6742" t="inlineStr">
        <is>
          <t>B000936PDY</t>
        </is>
      </c>
      <c r="G6742">
        <f>_xludf.IMAGE("https://edmondsonsupply.com/cdn/shop/products/630-1-2_e23f9fbd-a282-44d7-b743-2cfe0f84edfa.jpg?v=1633030906")</f>
        <v/>
      </c>
      <c r="H6742">
        <f>_xludf.IMAGE("https://m.media-amazon.com/images/I/414jM2ApGiL._AC_UL320_.jpg")</f>
        <v/>
      </c>
      <c r="K6742" t="inlineStr">
        <is>
          <t>8.99</t>
        </is>
      </c>
      <c r="L6742" t="n">
        <v>7.49</v>
      </c>
      <c r="M6742" s="1" t="inlineStr">
        <is>
          <t>-16.69%</t>
        </is>
      </c>
      <c r="N6742" s="1" t="n"/>
      <c r="O6742" t="n">
        <v>4.5</v>
      </c>
      <c r="P6742" t="n">
        <v>151</v>
      </c>
      <c r="R6742" t="inlineStr">
        <is>
          <t>InStock</t>
        </is>
      </c>
      <c r="S6742" t="inlineStr">
        <is>
          <t>11.74</t>
        </is>
      </c>
      <c r="T6742" t="inlineStr">
        <is>
          <t>6244382376109</t>
        </is>
      </c>
    </row>
    <row r="6743" hidden="1" ht="15.75" customHeight="1">
      <c r="A6743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6743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6743" t="inlineStr">
        <is>
          <t>Klein Tools 630-3/8 3/8-Inch Nut Driver with 3-Inch Hollow Shaft</t>
        </is>
      </c>
      <c r="D6743" t="inlineStr">
        <is>
          <t>Klein Tools S12 3/8-Inch Nut Driver with 3-Inch Hollow Shaft and Plastic Grip Handle</t>
        </is>
      </c>
      <c r="E6743" s="2">
        <f>HYPERLINK("https://www.amazon.com/8-Inch-Plastic-Klein-Tools-S12/dp/B00093D5J6/ref=sr_1_2?keywords=Klein+Tools+630-3%2F8+3%2F8-Inch+Nut+Driver+with+3-Inch+Hollow+Shaft&amp;qid=1694735236&amp;sr=8-2", "https://www.amazon.com/8-Inch-Plastic-Klein-Tools-S12/dp/B00093D5J6/ref=sr_1_2?keywords=Klein+Tools+630-3%2F8+3%2F8-Inch+Nut+Driver+with+3-Inch+Hollow+Shaft&amp;qid=1694735236&amp;sr=8-2")</f>
        <v/>
      </c>
      <c r="F6743" t="inlineStr">
        <is>
          <t>B00093D5J6</t>
        </is>
      </c>
      <c r="G6743">
        <f>_xludf.IMAGE("https://edmondsonsupply.com/cdn/shop/products/630-1-2_e23f9fbd-a282-44d7-b743-2cfe0f84edfa.jpg?v=1633030906")</f>
        <v/>
      </c>
      <c r="H6743">
        <f>_xludf.IMAGE("https://m.media-amazon.com/images/I/51rLJLucC-L._AC_UL320_.jpg")</f>
        <v/>
      </c>
      <c r="K6743" t="inlineStr">
        <is>
          <t>8.99</t>
        </is>
      </c>
      <c r="L6743" t="n">
        <v>7.49</v>
      </c>
      <c r="M6743" s="1" t="inlineStr">
        <is>
          <t>-16.69%</t>
        </is>
      </c>
      <c r="N6743" s="1" t="n"/>
      <c r="O6743" t="n">
        <v>4.5</v>
      </c>
      <c r="P6743" t="n">
        <v>224</v>
      </c>
      <c r="R6743" t="inlineStr">
        <is>
          <t>InStock</t>
        </is>
      </c>
      <c r="S6743" t="inlineStr">
        <is>
          <t>11.74</t>
        </is>
      </c>
      <c r="T6743" t="inlineStr">
        <is>
          <t>6244382376109</t>
        </is>
      </c>
    </row>
    <row r="6744" hidden="1" ht="15.75" customHeight="1">
      <c r="A6744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6744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6744" t="inlineStr">
        <is>
          <t>Klein Tools JTH9E11 3/16-Inch Hex Key with Journeyman T-Handle, 9-Inch</t>
        </is>
      </c>
      <c r="D6744" t="inlineStr">
        <is>
          <t>Klein Tools JTH6M3BE 3 mm Ball End Hex Key with Journeyman T-Handle, 6-Inch</t>
        </is>
      </c>
      <c r="E6744" s="2">
        <f>HYPERLINK("https://www.amazon.com/Journeyman-T-Handle-Klein-Tools-JTH6M3BE/dp/B005G394V2/ref=sr_1_13?keywords=Klein+Tools+JTH9E11+3%2F16-Inch+Hex+Key+with+Journeyman+T-Handle%2C+9-Inch&amp;qid=1694735351&amp;sr=8-13", "https://www.amazon.com/Journeyman-T-Handle-Klein-Tools-JTH6M3BE/dp/B005G394V2/ref=sr_1_13?keywords=Klein+Tools+JTH9E11+3%2F16-Inch+Hex+Key+with+Journeyman+T-Handle%2C+9-Inch&amp;qid=1694735351&amp;sr=8-13")</f>
        <v/>
      </c>
      <c r="F6744" t="inlineStr">
        <is>
          <t>B005G394V2</t>
        </is>
      </c>
      <c r="G6744">
        <f>_xludf.IMAGE("https://edmondsonsupply.com/cdn/shop/products/jth9e12_5173eed3-120e-418c-a1cc-489b6dba3958.jpg?v=1587147554")</f>
        <v/>
      </c>
      <c r="H6744">
        <f>_xludf.IMAGE("https://m.media-amazon.com/images/I/51huXA+ij8L._AC_UL320_.jpg")</f>
        <v/>
      </c>
      <c r="K6744" t="inlineStr">
        <is>
          <t>5.99</t>
        </is>
      </c>
      <c r="L6744" t="n">
        <v>4.99</v>
      </c>
      <c r="M6744" s="1" t="inlineStr">
        <is>
          <t>-16.69%</t>
        </is>
      </c>
      <c r="N6744" s="1" t="n"/>
      <c r="O6744" t="n">
        <v>4.6</v>
      </c>
      <c r="P6744" t="n">
        <v>184</v>
      </c>
      <c r="R6744" t="inlineStr">
        <is>
          <t>InStock</t>
        </is>
      </c>
      <c r="S6744" t="inlineStr">
        <is>
          <t>9.06</t>
        </is>
      </c>
      <c r="T6744" t="inlineStr">
        <is>
          <t>4455227523172</t>
        </is>
      </c>
    </row>
    <row r="6745" hidden="1" ht="15.75" customHeight="1">
      <c r="A6745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6745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6745" t="inlineStr">
        <is>
          <t>Klein Tools JTH9E11 3/16-Inch Hex Key with Journeyman T-Handle, 9-Inch</t>
        </is>
      </c>
      <c r="D6745" t="inlineStr">
        <is>
          <t>Klein Tools JTH6E11 3/16-Inch Hex Key with Journeyman T-Handle, 6-Inch</t>
        </is>
      </c>
      <c r="E6745" s="2">
        <f>HYPERLINK("https://www.amazon.com/Journeyman-T-Handle-Klein-Tools-JTH6E11/dp/B004N5WF56/ref=sr_1_3?keywords=Klein+Tools+JTH9E11+3%2F16-Inch+Hex+Key+with+Journeyman+T-Handle%2C+9-Inch&amp;qid=1694735351&amp;sr=8-3", "https://www.amazon.com/Journeyman-T-Handle-Klein-Tools-JTH6E11/dp/B004N5WF56/ref=sr_1_3?keywords=Klein+Tools+JTH9E11+3%2F16-Inch+Hex+Key+with+Journeyman+T-Handle%2C+9-Inch&amp;qid=1694735351&amp;sr=8-3")</f>
        <v/>
      </c>
      <c r="F6745" t="inlineStr">
        <is>
          <t>B004N5WF56</t>
        </is>
      </c>
      <c r="G6745">
        <f>_xludf.IMAGE("https://edmondsonsupply.com/cdn/shop/products/jth9e12_5173eed3-120e-418c-a1cc-489b6dba3958.jpg?v=1587147554")</f>
        <v/>
      </c>
      <c r="H6745">
        <f>_xludf.IMAGE("https://m.media-amazon.com/images/I/51Yb8h41vLL._AC_UL320_.jpg")</f>
        <v/>
      </c>
      <c r="K6745" t="inlineStr">
        <is>
          <t>5.99</t>
        </is>
      </c>
      <c r="L6745" t="n">
        <v>4.99</v>
      </c>
      <c r="M6745" s="1" t="inlineStr">
        <is>
          <t>-16.69%</t>
        </is>
      </c>
      <c r="N6745" s="1" t="n"/>
      <c r="O6745" t="n">
        <v>4.8</v>
      </c>
      <c r="P6745" t="n">
        <v>2477</v>
      </c>
      <c r="R6745" t="inlineStr">
        <is>
          <t>InStock</t>
        </is>
      </c>
      <c r="S6745" t="inlineStr">
        <is>
          <t>9.06</t>
        </is>
      </c>
      <c r="T6745" t="inlineStr">
        <is>
          <t>4455227523172</t>
        </is>
      </c>
    </row>
    <row r="6746" ht="87" customHeight="1">
      <c r="A6746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6746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6746" t="inlineStr">
        <is>
          <t>Klein Tools 605-7-INS Insulated 1/4-Inch Cabinet Tip Screwdriver, 7-Inch</t>
        </is>
      </c>
      <c r="D6746" t="inlineStr">
        <is>
          <t>Klein Tools 32293 Insulated Screwdriver, 2-in-1 Screwdriver Set with Flip Blade, #2 Phillips and1/4-Inch Slotted Tips, Double-Ended Blades</t>
        </is>
      </c>
      <c r="E6746" s="2">
        <f>HYPERLINK("https://www.amazon.com/Klein-Tools-32293-Screwdriver-Double-Ended/dp/B07WWZZQD2/ref=sr_1_22?keywords=Klein+Tools+605-7-INS+Insulated+1%2F4-Inch+Cabinet+Tip+Screwdriver%2C+7-Inch&amp;qid=1694735376&amp;sr=8-22", "https://www.amazon.com/Klein-Tools-32293-Screwdriver-Double-Ended/dp/B07WWZZQD2/ref=sr_1_22?keywords=Klein+Tools+605-7-INS+Insulated+1%2F4-Inch+Cabinet+Tip+Screwdriver%2C+7-Inch&amp;qid=1694735376&amp;sr=8-22")</f>
        <v/>
      </c>
      <c r="F6746" t="inlineStr">
        <is>
          <t>B07WWZZQD2</t>
        </is>
      </c>
      <c r="G6746">
        <f>_xlfn.IMAGE("https://edmondsonsupply.com/cdn/shop/products/605-7-ins.jpg?v=1587148614")</f>
        <v/>
      </c>
      <c r="H6746">
        <f>_xlfn.IMAGE("https://m.media-amazon.com/images/I/41yk4NC2BmL._AC_UL320_.jpg")</f>
        <v/>
      </c>
      <c r="K6746" t="inlineStr">
        <is>
          <t>23.99</t>
        </is>
      </c>
      <c r="L6746" t="n">
        <v>19.98</v>
      </c>
      <c r="M6746" s="1" t="inlineStr">
        <is>
          <t>-16.72%</t>
        </is>
      </c>
      <c r="N6746" s="7" t="n"/>
      <c r="O6746" t="n">
        <v>4.8</v>
      </c>
      <c r="P6746" t="n">
        <v>2774</v>
      </c>
      <c r="R6746" t="inlineStr">
        <is>
          <t>InStock</t>
        </is>
      </c>
      <c r="S6746" t="inlineStr">
        <is>
          <t>32.58</t>
        </is>
      </c>
      <c r="T6746" t="inlineStr">
        <is>
          <t>4414349181028</t>
        </is>
      </c>
    </row>
    <row r="6747" ht="87" customHeight="1">
      <c r="A6747" s="2">
        <f>HYPERLINK("https://edmondsonsupply.com/collections/electricians-tools/products/wiha-tools-66991-13-piece-magicring-ball-end-hex-l-key-set-inch", "https://edmondsonsupply.com/collections/electricians-tools/products/wiha-tools-66991-13-piece-magicring-ball-end-hex-l-key-set-inch")</f>
        <v/>
      </c>
      <c r="B6747" s="2">
        <f>HYPERLINK("https://edmondsonsupply.com/products/wiha-tools-66991-13-piece-magicring-ball-end-hex-l-key-set-inch", "https://edmondsonsupply.com/products/wiha-tools-66991-13-piece-magicring-ball-end-hex-l-key-set-inch")</f>
        <v/>
      </c>
      <c r="C6747" t="inlineStr">
        <is>
          <t>Wiha Tools 66991 13 Piece MagicRing Ball End Hex L-Key Set - Inch</t>
        </is>
      </c>
      <c r="D6747" t="inlineStr">
        <is>
          <t>Wiha 66988 13 Piece ErgoStar Ball End Hex L-Key Set Inch</t>
        </is>
      </c>
      <c r="E6747" s="2">
        <f>HYPERLINK("https://www.amazon.com/Wiha-66988-ErgoStar-L-Key-13-Piece/dp/B00CJC51MO/ref=sr_1_2?keywords=Wiha+Tools+66991+13+Piece+MagicRing+Ball+End+Hex+L-Key+Set+-+Inch&amp;qid=1694734990&amp;sr=8-2", "https://www.amazon.com/Wiha-66988-ErgoStar-L-Key-13-Piece/dp/B00CJC51MO/ref=sr_1_2?keywords=Wiha+Tools+66991+13+Piece+MagicRing+Ball+End+Hex+L-Key+Set+-+Inch&amp;qid=1694734990&amp;sr=8-2")</f>
        <v/>
      </c>
      <c r="F6747" t="inlineStr">
        <is>
          <t>B00CJC51MO</t>
        </is>
      </c>
      <c r="G6747">
        <f>_xlfn.IMAGE("https://edmondsonsupply.com/cdn/shop/files/203e9943d7bc6da0913f39b14430d97570f6257a_1000x_25f5521b-5db2-4e3a-9496-a87eed5e7da1.webp?v=1690841742")</f>
        <v/>
      </c>
      <c r="H6747">
        <f>_xlfn.IMAGE("https://m.media-amazon.com/images/I/61pC3xkuvsL._AC_UL320_.jpg")</f>
        <v/>
      </c>
      <c r="K6747" t="inlineStr">
        <is>
          <t>48.61</t>
        </is>
      </c>
      <c r="L6747" t="n">
        <v>40.47</v>
      </c>
      <c r="M6747" s="1" t="inlineStr">
        <is>
          <t>-16.75%</t>
        </is>
      </c>
      <c r="N6747" s="7" t="n"/>
      <c r="O6747" t="n">
        <v>4.7</v>
      </c>
      <c r="P6747" t="n">
        <v>152</v>
      </c>
      <c r="R6747" t="inlineStr">
        <is>
          <t>InStock</t>
        </is>
      </c>
      <c r="S6747" t="inlineStr">
        <is>
          <t>64.81</t>
        </is>
      </c>
      <c r="T6747" t="inlineStr">
        <is>
          <t>8023273668824</t>
        </is>
      </c>
    </row>
    <row r="6748" hidden="1" ht="15.75" customHeight="1">
      <c r="A6748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6748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6748" t="inlineStr">
        <is>
          <t>Klein Tools 612-4-INS Insulated 1/8-Inch Slotted Screwdriver, 4-Inch</t>
        </is>
      </c>
      <c r="D6748" t="inlineStr">
        <is>
          <t>Klein Tools 32581INS Precision Screwdriver, 2-in-1 Insulated Screwdriver with No. 0 Phillips and 1/8-Inch Slotted Bits</t>
        </is>
      </c>
      <c r="E6748" s="2">
        <f>HYPERLINK("https://www.amazon.com/Klein-Tools-32581INS-Precision-Screwdriver/dp/B0C1QDNC55/ref=sr_1_6?keywords=Klein+Tools+612-4-INS+Insulated+1%2F8-Inch+Slotted+Screwdriver%2C+4-Inch&amp;qid=1694735335&amp;sr=8-6", "https://www.amazon.com/Klein-Tools-32581INS-Precision-Screwdriver/dp/B0C1QDNC55/ref=sr_1_6?keywords=Klein+Tools+612-4-INS+Insulated+1%2F8-Inch+Slotted+Screwdriver%2C+4-Inch&amp;qid=1694735335&amp;sr=8-6")</f>
        <v/>
      </c>
      <c r="F6748" t="inlineStr">
        <is>
          <t>B0C1QDNC55</t>
        </is>
      </c>
      <c r="G6748">
        <f>_xludf.IMAGE("https://edmondsonsupply.com/cdn/shop/products/612-4-ins.jpg?v=1587148611")</f>
        <v/>
      </c>
      <c r="H6748">
        <f>_xludf.IMAGE("https://m.media-amazon.com/images/I/41yD1dTTQ8L._AC_UL320_.jpg")</f>
        <v/>
      </c>
      <c r="K6748" t="inlineStr">
        <is>
          <t>17.99</t>
        </is>
      </c>
      <c r="L6748" t="n">
        <v>14.97</v>
      </c>
      <c r="M6748" s="1" t="inlineStr">
        <is>
          <t>-16.79%</t>
        </is>
      </c>
      <c r="N6748" s="1" t="n"/>
      <c r="O6748" t="n">
        <v>4.8</v>
      </c>
      <c r="P6748" t="n">
        <v>77</v>
      </c>
      <c r="R6748" t="inlineStr">
        <is>
          <t>InStock</t>
        </is>
      </c>
      <c r="S6748" t="inlineStr">
        <is>
          <t>27.26</t>
        </is>
      </c>
      <c r="T6748" t="inlineStr">
        <is>
          <t>4167520911460</t>
        </is>
      </c>
    </row>
    <row r="6749" ht="87" customHeight="1">
      <c r="A6749" s="2">
        <f>HYPERLINK("https://edmondsonsupply.com/collections/electricians-tools/products/milwaukee-2732-20", "https://edmondsonsupply.com/collections/electricians-tools/products/milwaukee-2732-20")</f>
        <v/>
      </c>
      <c r="B6749" s="2">
        <f>HYPERLINK("https://edmondsonsupply.com/products/milwaukee-2732-20", "https://edmondsonsupply.com/products/milwaukee-2732-20")</f>
        <v/>
      </c>
      <c r="C6749" t="inlineStr">
        <is>
          <t>Milwaukee 2732-20 M18 FUEL 7-1/4" Circular Saw-tool only</t>
        </is>
      </c>
      <c r="D6749" t="inlineStr">
        <is>
          <t>Milwaukee 2732-20 M18 Fuel 18 Volt Lithium-Ion 15 Amp 7-1/4 Inch Cordless Circular Saw (Tool Only) (Non-Retail Packaging)</t>
        </is>
      </c>
      <c r="E6749" s="2">
        <f>HYPERLINK("https://www.amazon.com/Milwaukee-Lithium-Ion-Cordless-Non-Retail-Packaging/dp/B07VK7ZD4X/ref=sr_1_1?keywords=Milwaukee+2732-20+M18+FUEL+7-1%2F4%22+Circular+Saw-tool+only&amp;qid=1694735300&amp;sr=8-1", "https://www.amazon.com/Milwaukee-Lithium-Ion-Cordless-Non-Retail-Packaging/dp/B07VK7ZD4X/ref=sr_1_1?keywords=Milwaukee+2732-20+M18+FUEL+7-1%2F4%22+Circular+Saw-tool+only&amp;qid=1694735300&amp;sr=8-1")</f>
        <v/>
      </c>
      <c r="F6749" t="inlineStr">
        <is>
          <t>B07VK7ZD4X</t>
        </is>
      </c>
      <c r="G6749">
        <f>_xlfn.IMAGE("https://edmondsonsupply.com/cdn/shop/products/2732-20_1.png?v=1591305391")</f>
        <v/>
      </c>
      <c r="H6749">
        <f>_xlfn.IMAGE("https://m.media-amazon.com/images/I/61WNFmKXfJL._AC_UL320_.jpg")</f>
        <v/>
      </c>
      <c r="K6749" t="inlineStr">
        <is>
          <t>249.0</t>
        </is>
      </c>
      <c r="L6749" t="n">
        <v>206.97</v>
      </c>
      <c r="M6749" s="1" t="inlineStr">
        <is>
          <t>-16.88%</t>
        </is>
      </c>
      <c r="N6749" s="7" t="n"/>
      <c r="O6749" t="n">
        <v>4.7</v>
      </c>
      <c r="P6749" t="n">
        <v>285</v>
      </c>
      <c r="R6749" t="inlineStr">
        <is>
          <t>InStock</t>
        </is>
      </c>
      <c r="S6749" t="inlineStr">
        <is>
          <t>413.0</t>
        </is>
      </c>
      <c r="T6749" t="inlineStr">
        <is>
          <t>5273466601640</t>
        </is>
      </c>
    </row>
    <row r="6750" ht="87" customHeight="1">
      <c r="A6750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6750" s="2">
        <f>HYPERLINK("https://edmondsonsupply.com/products/klein-tools-11057-klein-kurve%c2%ae-wire-stripper-and-cutter", "https://edmondsonsupply.com/products/klein-tools-11057-klein-kurve%c2%ae-wire-stripper-and-cutter")</f>
        <v/>
      </c>
      <c r="C6750" t="inlineStr">
        <is>
          <t>Klein Tools 11057 Klein-Kurve® Wire Stripper and Cutter</t>
        </is>
      </c>
      <c r="D6750" t="inlineStr">
        <is>
          <t>Klein Tools 74007 Adjustable Wire Stripper, Spring Loaded Stripper and Cutter for Solid and Stranded Wire with Finely Honed Nose</t>
        </is>
      </c>
      <c r="E6750" s="2">
        <f>HYPERLINK("https://www.amazon.com/Klein-Tools-74007-Adjustable-Stripper/dp/B000GTP0LE/ref=sr_1_45?keywords=Klein+Tools+11057+Klein-Kurve%C2%AE+Wire+Stripper+and+Cutter&amp;qid=1694735357&amp;sr=8-45", "https://www.amazon.com/Klein-Tools-74007-Adjustable-Stripper/dp/B000GTP0LE/ref=sr_1_45?keywords=Klein+Tools+11057+Klein-Kurve%C2%AE+Wire+Stripper+and+Cutter&amp;qid=1694735357&amp;sr=8-45")</f>
        <v/>
      </c>
      <c r="F6750" t="inlineStr">
        <is>
          <t>B000GTP0LE</t>
        </is>
      </c>
      <c r="G6750">
        <f>_xlfn.IMAGE("https://edmondsonsupply.com/cdn/shop/products/11057.jpg?v=1587146927")</f>
        <v/>
      </c>
      <c r="H6750">
        <f>_xlfn.IMAGE("https://m.media-amazon.com/images/I/41bl7Sv7h-L._AC_UL320_.jpg")</f>
        <v/>
      </c>
      <c r="K6750" t="inlineStr">
        <is>
          <t>20.97</t>
        </is>
      </c>
      <c r="L6750" t="n">
        <v>17.38</v>
      </c>
      <c r="M6750" s="1" t="inlineStr">
        <is>
          <t>-17.12%</t>
        </is>
      </c>
      <c r="N6750" s="7" t="n"/>
      <c r="O6750" t="n">
        <v>4.3</v>
      </c>
      <c r="P6750" t="n">
        <v>102</v>
      </c>
      <c r="R6750" t="inlineStr">
        <is>
          <t>InStock</t>
        </is>
      </c>
      <c r="S6750" t="inlineStr">
        <is>
          <t>32.72</t>
        </is>
      </c>
      <c r="T6750" t="inlineStr">
        <is>
          <t>4455254720612</t>
        </is>
      </c>
    </row>
    <row r="6751" ht="87" customHeight="1">
      <c r="A6751" s="2">
        <f>HYPERLINK("https://edmondsonsupply.com/collections/electricians-tools/products/diablo-tools-dmarg1210-1-in-x-10-in-x-12-in-speedemon%E2%84%A2-red-granite-carbide-tipped-hammer-drill-bit", "https://edmondsonsupply.com/collections/electricians-tools/products/diablo-tools-dmarg1210-1-in-x-10-in-x-12-in-speedemon%E2%84%A2-red-granite-carbide-tipped-hammer-drill-bit")</f>
        <v/>
      </c>
      <c r="B6751" s="2">
        <f>HYPERLINK("https://edmondsonsupply.com/products/diablo-tools-dmarg1210-1-in-x-10-in-x-12-in-speedemon%e2%84%a2-red-granite-carbide-tipped-hammer-drill-bit", "https://edmondsonsupply.com/products/diablo-tools-dmarg1210-1-in-x-10-in-x-12-in-speedemon%e2%84%a2-red-granite-carbide-tipped-hammer-drill-bit")</f>
        <v/>
      </c>
      <c r="C6751" t="inlineStr">
        <is>
          <t>Diablo Tools DMARG1210 1 in. x 10 in. x 12 in. SPEEDemon™ Red Granite Carbide Tipped Hammer Drill Bit</t>
        </is>
      </c>
      <c r="D6751" t="inlineStr">
        <is>
          <t>Diablo 1 in. x 10" x 12" SPEEDemon™ Red Granite Carbide Tipped Hammer Drill Bit</t>
        </is>
      </c>
      <c r="E6751" s="2">
        <f>HYPERLINK("https://www.amazon.com/Diablo-Freud-DMARG1210-SPEEDemon-Granite/dp/B089KW1B5V/ref=sr_1_1?keywords=Diablo+Tools+DMARG1210+1+in.+x+10+in.+x+12+in.+SPEEDemon%E2%84%A2+Red+Granite+Carbide+Tipped+Hammer+Drill+Bit&amp;qid=1694735273&amp;sr=8-1", "https://www.amazon.com/Diablo-Freud-DMARG1210-SPEEDemon-Granite/dp/B089KW1B5V/ref=sr_1_1?keywords=Diablo+Tools+DMARG1210+1+in.+x+10+in.+x+12+in.+SPEEDemon%E2%84%A2+Red+Granite+Carbide+Tipped+Hammer+Drill+Bit&amp;qid=1694735273&amp;sr=8-1")</f>
        <v/>
      </c>
      <c r="F6751" t="inlineStr">
        <is>
          <t>B089KW1B5V</t>
        </is>
      </c>
      <c r="G6751">
        <f>_xlfn.IMAGE("https://edmondsonsupply.com/cdn/shop/products/DMARG1210_Main-Image20200702.png?v=1633030511")</f>
        <v/>
      </c>
      <c r="H6751">
        <f>_xlfn.IMAGE("https://m.media-amazon.com/images/I/61+EqrM-43L._AC_UL320_.jpg")</f>
        <v/>
      </c>
      <c r="K6751" t="inlineStr">
        <is>
          <t>31.97</t>
        </is>
      </c>
      <c r="L6751" t="n">
        <v>26.49</v>
      </c>
      <c r="M6751" s="1" t="inlineStr">
        <is>
          <t>-17.14%</t>
        </is>
      </c>
      <c r="N6751" s="7" t="n"/>
      <c r="O6751" t="n">
        <v>4.7</v>
      </c>
      <c r="P6751" t="n">
        <v>31</v>
      </c>
      <c r="R6751" t="inlineStr">
        <is>
          <t>InStock</t>
        </is>
      </c>
      <c r="S6751" t="inlineStr">
        <is>
          <t>undefined</t>
        </is>
      </c>
      <c r="T6751" t="inlineStr">
        <is>
          <t>5386558177448</t>
        </is>
      </c>
    </row>
    <row r="6752" ht="87" customHeight="1">
      <c r="A6752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6752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6752" t="inlineStr">
        <is>
          <t>Klein Tools NCVT3PKIT Dual Range NCVT and AC/DC Voltage Tester Electrical Test Kit</t>
        </is>
      </c>
      <c r="D6752" t="inlineStr">
        <is>
          <t>Klein Tools NCVT2PKIT Non-Contact Voltage Tester with Outlet Tester, 12-48V AC or 48 - 1000V AC Dual Range for Broad Application</t>
        </is>
      </c>
      <c r="E6752" s="2">
        <f>HYPERLINK("https://www.amazon.com/Klein-Tools-NCVT2PKIT-Non-Contact-Application/dp/B08FPHS6HL/ref=sr_1_8?keywords=Klein+Tools+NCVT3PKIT+Dual+Range+NCVT+and+AC%2FDC+Voltage+Tester+Electrical+Test+Kit&amp;qid=1694735090&amp;sr=8-8", "https://www.amazon.com/Klein-Tools-NCVT2PKIT-Non-Contact-Application/dp/B08FPHS6HL/ref=sr_1_8?keywords=Klein+Tools+NCVT3PKIT+Dual+Range+NCVT+and+AC%2FDC+Voltage+Tester+Electrical+Test+Kit&amp;qid=1694735090&amp;sr=8-8")</f>
        <v/>
      </c>
      <c r="F6752" t="inlineStr">
        <is>
          <t>B08FPHS6HL</t>
        </is>
      </c>
      <c r="G6752">
        <f>_xlfn.IMAGE("https://edmondsonsupply.com/cdn/shop/products/ncvt3pkit.jpg?v=1667228452")</f>
        <v/>
      </c>
      <c r="H6752">
        <f>_xlfn.IMAGE("https://m.media-amazon.com/images/I/511RscwJPxL._AC_UL320_.jpg")</f>
        <v/>
      </c>
      <c r="K6752" t="inlineStr">
        <is>
          <t>34.99</t>
        </is>
      </c>
      <c r="L6752" t="n">
        <v>28.99</v>
      </c>
      <c r="M6752" s="1" t="inlineStr">
        <is>
          <t>-17.15%</t>
        </is>
      </c>
      <c r="N6752" s="7" t="n"/>
      <c r="O6752" t="n">
        <v>4.8</v>
      </c>
      <c r="P6752" t="n">
        <v>3246</v>
      </c>
      <c r="R6752" t="inlineStr">
        <is>
          <t>InStock</t>
        </is>
      </c>
      <c r="S6752" t="inlineStr">
        <is>
          <t>48.52</t>
        </is>
      </c>
      <c r="T6752" t="inlineStr">
        <is>
          <t>7871488032984</t>
        </is>
      </c>
    </row>
    <row r="6753" hidden="1" ht="15.75" customHeight="1">
      <c r="A6753" s="2">
        <f>HYPERLINK("https://edmondsonsupply.com/collections/electricians-tools/products/klein-tools-jth9e09-9-64-inch-hex-key-journeyman%E2%84%A2-t-handle-9-inch", "https://edmondsonsupply.com/collections/electricians-tools/products/klein-tools-jth9e09-9-64-inch-hex-key-journeyman%E2%84%A2-t-handle-9-inch")</f>
        <v/>
      </c>
      <c r="B6753" s="2">
        <f>HYPERLINK("https://edmondsonsupply.com/products/klein-tools-jth9e09-9-64-inch-hex-key-journeyman%e2%84%a2-t-handle-9-inch", "https://edmondsonsupply.com/products/klein-tools-jth9e09-9-64-inch-hex-key-journeyman%e2%84%a2-t-handle-9-inch")</f>
        <v/>
      </c>
      <c r="C6753" t="inlineStr">
        <is>
          <t>Klein Tools JTH9E09 9/64-Inch Hex Key, Journeyman™ T-Handle, 9-Inch</t>
        </is>
      </c>
      <c r="D6753" t="inlineStr">
        <is>
          <t>Klein Tools JTH4E09 9/64-Inch Hex Key with Journeyman T-Handle, 4-Inch</t>
        </is>
      </c>
      <c r="E6753" s="2">
        <f>HYPERLINK("https://www.amazon.com/Journeyman-T-Handle-Klein-Tools-JTH4E09/dp/B004ITO3H0/ref=sr_1_4?keywords=Klein+Tools+JTH9E09+9%2F64-Inch+Hex+Key%2C+Journeyman%E2%84%A2+T-Handle%2C+9-Inch&amp;qid=1694734995&amp;sr=8-4", "https://www.amazon.com/Journeyman-T-Handle-Klein-Tools-JTH4E09/dp/B004ITO3H0/ref=sr_1_4?keywords=Klein+Tools+JTH9E09+9%2F64-Inch+Hex+Key%2C+Journeyman%E2%84%A2+T-Handle%2C+9-Inch&amp;qid=1694734995&amp;sr=8-4")</f>
        <v/>
      </c>
      <c r="F6753" t="inlineStr">
        <is>
          <t>B004ITO3H0</t>
        </is>
      </c>
      <c r="G6753">
        <f>_xludf.IMAGE("https://edmondsonsupply.com/cdn/shop/files/jth6e15_a82bd56b-ad18-4460-9ae1-33c48a111839.jpg?v=1684942468")</f>
        <v/>
      </c>
      <c r="H6753">
        <f>_xludf.IMAGE("https://m.media-amazon.com/images/I/413bgBCbQLL._AC_UL320_.jpg")</f>
        <v/>
      </c>
      <c r="K6753" t="inlineStr">
        <is>
          <t>4.49</t>
        </is>
      </c>
      <c r="L6753" t="n">
        <v>3.72</v>
      </c>
      <c r="M6753" s="1" t="inlineStr">
        <is>
          <t>-17.15%</t>
        </is>
      </c>
      <c r="N6753" s="1" t="n"/>
      <c r="O6753" t="n">
        <v>4.8</v>
      </c>
      <c r="P6753" t="n">
        <v>2477</v>
      </c>
      <c r="R6753" t="inlineStr">
        <is>
          <t>InStock</t>
        </is>
      </c>
      <c r="S6753" t="inlineStr">
        <is>
          <t>6.8</t>
        </is>
      </c>
      <c r="T6753" t="inlineStr">
        <is>
          <t>7995440595160</t>
        </is>
      </c>
    </row>
    <row r="6754" hidden="1" ht="15.75" customHeight="1">
      <c r="A6754" s="2">
        <f>HYPERLINK("https://edmondsonsupply.com/collections/electricians-tools/products/klein-tools-jth9e08-1-8-inch-hex-key-with-journeyman-t-handle-9-inch", "https://edmondsonsupply.com/collections/electricians-tools/products/klein-tools-jth9e08-1-8-inch-hex-key-with-journeyman-t-handle-9-inch")</f>
        <v/>
      </c>
      <c r="B6754" s="2">
        <f>HYPERLINK("https://edmondsonsupply.com/products/klein-tools-jth9e08-1-8-inch-hex-key-with-journeyman-t-handle-9-inch", "https://edmondsonsupply.com/products/klein-tools-jth9e08-1-8-inch-hex-key-with-journeyman-t-handle-9-inch")</f>
        <v/>
      </c>
      <c r="C6754" t="inlineStr">
        <is>
          <t>Klein Tools JTH9E08 1/8-Inch Hex Key with Journeyman T-Handle, 9-Inch</t>
        </is>
      </c>
      <c r="D6754" t="inlineStr">
        <is>
          <t>Klein Tools JTH6E08 1/8-Inch Hex Key with Journeyman T-Handle, 6-Inch</t>
        </is>
      </c>
      <c r="E6754" s="2">
        <f>HYPERLINK("https://www.amazon.com/Klein-Tools-JTH6E08-Journeyman-T-Handle/dp/B004N5XP1O/ref=sr_1_3?keywords=Klein+Tools+JTH9E08+1%2F8-Inch+Hex+Key+with+Journeyman+T-Handle%2C+9-Inch&amp;qid=1694735421&amp;sr=8-3", "https://www.amazon.com/Klein-Tools-JTH6E08-Journeyman-T-Handle/dp/B004N5XP1O/ref=sr_1_3?keywords=Klein+Tools+JTH9E08+1%2F8-Inch+Hex+Key+with+Journeyman+T-Handle%2C+9-Inch&amp;qid=1694735421&amp;sr=8-3")</f>
        <v/>
      </c>
      <c r="F6754" t="inlineStr">
        <is>
          <t>B004N5XP1O</t>
        </is>
      </c>
      <c r="G6754">
        <f>_xludf.IMAGE("https://edmondsonsupply.com/cdn/shop/products/jth6e15_f2733d2c-ab65-41d7-8597-f1dfd8fcaabf.jpg?v=1587142807")</f>
        <v/>
      </c>
      <c r="H6754">
        <f>_xludf.IMAGE("https://m.media-amazon.com/images/I/51Yb8h41vLL._AC_UL320_.jpg")</f>
        <v/>
      </c>
      <c r="K6754" t="inlineStr">
        <is>
          <t>4.49</t>
        </is>
      </c>
      <c r="L6754" t="n">
        <v>3.72</v>
      </c>
      <c r="M6754" s="1" t="inlineStr">
        <is>
          <t>-17.15%</t>
        </is>
      </c>
      <c r="N6754" s="1" t="n"/>
      <c r="O6754" t="n">
        <v>4.8</v>
      </c>
      <c r="P6754" t="n">
        <v>2477</v>
      </c>
      <c r="R6754" t="inlineStr">
        <is>
          <t>InStock</t>
        </is>
      </c>
      <c r="S6754" t="inlineStr">
        <is>
          <t>6.82</t>
        </is>
      </c>
      <c r="T6754" t="inlineStr">
        <is>
          <t>4352186810468</t>
        </is>
      </c>
    </row>
    <row r="6755" ht="87" customHeight="1">
      <c r="A6755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6755" s="2">
        <f>HYPERLINK("https://edmondsonsupply.com/products/klein-tools-647m-magnetic-nut-driver-set-6-inch-shafts-7-piece", "https://edmondsonsupply.com/products/klein-tools-647m-magnetic-nut-driver-set-6-inch-shafts-7-piece")</f>
        <v/>
      </c>
      <c r="C6755" t="inlineStr">
        <is>
          <t>Klein Tools 647M Magnetic Nut Driver Set, 6-Inch Shafts, 7-Piece</t>
        </is>
      </c>
      <c r="D6755" t="inlineStr">
        <is>
          <t>Klein Tools 89904 Tool Set, Nut Drivers Sizes 3/16, 1/4, 5/16, 11/32, 3/8, 7/16, 1/2-Inch, 6-Inch Shafts, 7-Piece</t>
        </is>
      </c>
      <c r="E6755" s="2">
        <f>HYPERLINK("https://www.amazon.com/Klein-Tools-Nut-Driver-89904/dp/B000MB1JMU/ref=sr_1_15?keywords=Klein+Tools+647M+Magnetic+Nut+Driver+Set%2C+6-Inch+Shafts%2C+7-Piece&amp;qid=1694735271&amp;sr=8-15", "https://www.amazon.com/Klein-Tools-Nut-Driver-89904/dp/B000MB1JMU/ref=sr_1_15?keywords=Klein+Tools+647M+Magnetic+Nut+Driver+Set%2C+6-Inch+Shafts%2C+7-Piece&amp;qid=1694735271&amp;sr=8-15")</f>
        <v/>
      </c>
      <c r="F6755" t="inlineStr">
        <is>
          <t>B000MB1JMU</t>
        </is>
      </c>
      <c r="G6755">
        <f>_xlfn.IMAGE("https://edmondsonsupply.com/cdn/shop/products/647m.jpg?v=1633030530")</f>
        <v/>
      </c>
      <c r="H6755">
        <f>_xlfn.IMAGE("https://m.media-amazon.com/images/I/61cXQ4v0vvL._AC_UL320_.jpg")</f>
        <v/>
      </c>
      <c r="K6755" t="inlineStr">
        <is>
          <t>79.99</t>
        </is>
      </c>
      <c r="L6755" t="n">
        <v>66.23</v>
      </c>
      <c r="M6755" s="1" t="inlineStr">
        <is>
          <t>-17.20%</t>
        </is>
      </c>
      <c r="N6755" s="7" t="n"/>
      <c r="O6755" t="n">
        <v>4.5</v>
      </c>
      <c r="P6755" t="n">
        <v>33</v>
      </c>
      <c r="R6755" t="inlineStr">
        <is>
          <t>InStock</t>
        </is>
      </c>
      <c r="S6755" t="inlineStr">
        <is>
          <t>117.72</t>
        </is>
      </c>
      <c r="T6755" t="inlineStr">
        <is>
          <t>5408872136872</t>
        </is>
      </c>
    </row>
    <row r="6756" hidden="1" ht="15.75" customHeight="1">
      <c r="A6756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6756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6756" t="inlineStr">
        <is>
          <t>Klein Tools JTH6E15 3/8-Inch Hex Key with Journeyman T-Handle, 6-Inch</t>
        </is>
      </c>
      <c r="D6756" t="inlineStr">
        <is>
          <t>Klein Tools JTH9E14 5/16-Inch Hex Key, Journeyman T-Handle, 9-Inch</t>
        </is>
      </c>
      <c r="E6756" s="2">
        <f>HYPERLINK("https://www.amazon.com/Journeyman-T-Handle-Klein-Tools-JTH9E14/dp/B004QVAH4I/ref=sr_1_10?keywords=Klein+Tools+JTH6E15+3%2F8-Inch+Hex+Key+with+Journeyman+T-Handle%2C+6-Inch&amp;qid=1694735343&amp;sr=8-10", "https://www.amazon.com/Journeyman-T-Handle-Klein-Tools-JTH9E14/dp/B004QVAH4I/ref=sr_1_10?keywords=Klein+Tools+JTH6E15+3%2F8-Inch+Hex+Key+with+Journeyman+T-Handle%2C+6-Inch&amp;qid=1694735343&amp;sr=8-10")</f>
        <v/>
      </c>
      <c r="F6756" t="inlineStr">
        <is>
          <t>B004QVAH4I</t>
        </is>
      </c>
      <c r="G6756">
        <f>_xludf.IMAGE("https://edmondsonsupply.com/cdn/shop/products/jth6e15_c4dd65ba-86a8-4743-882c-88cf44faafdc.jpg?v=1587142819")</f>
        <v/>
      </c>
      <c r="H6756">
        <f>_xludf.IMAGE("https://m.media-amazon.com/images/I/51Yb8h41vLL._AC_UL320_.jpg")</f>
        <v/>
      </c>
      <c r="K6756" t="inlineStr">
        <is>
          <t>8.99</t>
        </is>
      </c>
      <c r="L6756" t="n">
        <v>7.44</v>
      </c>
      <c r="M6756" s="1" t="inlineStr">
        <is>
          <t>-17.24%</t>
        </is>
      </c>
      <c r="N6756" s="1" t="n"/>
      <c r="O6756" t="n">
        <v>4.8</v>
      </c>
      <c r="P6756" t="n">
        <v>114</v>
      </c>
      <c r="R6756" t="inlineStr">
        <is>
          <t>InStock</t>
        </is>
      </c>
      <c r="S6756" t="inlineStr">
        <is>
          <t>13.56</t>
        </is>
      </c>
      <c r="T6756" t="inlineStr">
        <is>
          <t>4512705970276</t>
        </is>
      </c>
    </row>
    <row r="6757" hidden="1" ht="15.75" customHeight="1">
      <c r="A6757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6757" s="2">
        <f>HYPERLINK("https://edmondsonsupply.com/products/klein-tools-jth6m10-10-mm-hex-key-journeyman-t-handle-6-inch", "https://edmondsonsupply.com/products/klein-tools-jth6m10-10-mm-hex-key-journeyman-t-handle-6-inch")</f>
        <v/>
      </c>
      <c r="C6757" t="inlineStr">
        <is>
          <t>Klein Tools JTH6M10 10 mm Hex Key Journeyman T-Handle 6-Inch</t>
        </is>
      </c>
      <c r="D6757" t="inlineStr">
        <is>
          <t>Klein Tools JTH9E14 5/16-Inch Hex Key, Journeyman T-Handle, 9-Inch</t>
        </is>
      </c>
      <c r="E6757" s="2">
        <f>HYPERLINK("https://www.amazon.com/Journeyman-T-Handle-Klein-Tools-JTH9E14/dp/B004QVAH4I/ref=sr_1_10?keywords=Klein+Tools+JTH6M10+10+mm+Hex+Key+Journeyman+T-Handle+6-Inch&amp;qid=1694735203&amp;sr=8-10", "https://www.amazon.com/Journeyman-T-Handle-Klein-Tools-JTH9E14/dp/B004QVAH4I/ref=sr_1_10?keywords=Klein+Tools+JTH6M10+10+mm+Hex+Key+Journeyman+T-Handle+6-Inch&amp;qid=1694735203&amp;sr=8-10")</f>
        <v/>
      </c>
      <c r="F6757" t="inlineStr">
        <is>
          <t>B004QVAH4I</t>
        </is>
      </c>
      <c r="G6757">
        <f>_xludf.IMAGE("https://edmondsonsupply.com/cdn/shop/products/jth6m8_64c2c8d3-e13e-4b81-9b34-745be7fd837a.jpg?v=1627827117")</f>
        <v/>
      </c>
      <c r="H6757">
        <f>_xludf.IMAGE("https://m.media-amazon.com/images/I/51Yb8h41vLL._AC_UL320_.jpg")</f>
        <v/>
      </c>
      <c r="K6757" t="inlineStr">
        <is>
          <t>8.99</t>
        </is>
      </c>
      <c r="L6757" t="n">
        <v>7.44</v>
      </c>
      <c r="M6757" s="1" t="inlineStr">
        <is>
          <t>-17.24%</t>
        </is>
      </c>
      <c r="N6757" s="1" t="n"/>
      <c r="O6757" t="n">
        <v>4.8</v>
      </c>
      <c r="P6757" t="n">
        <v>114</v>
      </c>
      <c r="R6757" t="inlineStr">
        <is>
          <t>InStock</t>
        </is>
      </c>
      <c r="S6757" t="inlineStr">
        <is>
          <t>13.56</t>
        </is>
      </c>
      <c r="T6757" t="inlineStr">
        <is>
          <t>6852298014893</t>
        </is>
      </c>
    </row>
    <row r="6758" ht="87" customHeight="1">
      <c r="A6758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6758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6758" t="inlineStr">
        <is>
          <t>Klein Tools NCVT3PKIT Dual Range NCVT and AC/DC Voltage Tester Electrical Test Kit</t>
        </is>
      </c>
      <c r="D6758" t="inlineStr">
        <is>
          <t>Klein Tools NCVT-2 Voltage Tester, Non-Contact Dual Range Voltage Tester Pen for Standard and Low Voltage, with 3 m Drop Protection</t>
        </is>
      </c>
      <c r="E6758" s="2">
        <f>HYPERLINK("https://www.amazon.com/Klein-Tools-NCVT-2-Standard-Protection/dp/B004FXJOQO/ref=sr_1_4?keywords=Klein+Tools+NCVT3PKIT+Dual+Range+NCVT+and+AC%2FDC+Voltage+Tester+Electrical+Test+Kit&amp;qid=1694735090&amp;sr=8-4", "https://www.amazon.com/Klein-Tools-NCVT-2-Standard-Protection/dp/B004FXJOQO/ref=sr_1_4?keywords=Klein+Tools+NCVT3PKIT+Dual+Range+NCVT+and+AC%2FDC+Voltage+Tester+Electrical+Test+Kit&amp;qid=1694735090&amp;sr=8-4")</f>
        <v/>
      </c>
      <c r="F6758" t="inlineStr">
        <is>
          <t>B004FXJOQO</t>
        </is>
      </c>
      <c r="G6758">
        <f>_xlfn.IMAGE("https://edmondsonsupply.com/cdn/shop/products/ncvt3pkit.jpg?v=1667228452")</f>
        <v/>
      </c>
      <c r="H6758">
        <f>_xlfn.IMAGE("https://m.media-amazon.com/images/I/514tywDAdHL._AC_UL320_.jpg")</f>
        <v/>
      </c>
      <c r="K6758" t="inlineStr">
        <is>
          <t>34.99</t>
        </is>
      </c>
      <c r="L6758" t="n">
        <v>28.95</v>
      </c>
      <c r="M6758" s="1" t="inlineStr">
        <is>
          <t>-17.26%</t>
        </is>
      </c>
      <c r="N6758" s="7" t="n"/>
      <c r="O6758" t="n">
        <v>4.6</v>
      </c>
      <c r="P6758" t="n">
        <v>5762</v>
      </c>
      <c r="R6758" t="inlineStr">
        <is>
          <t>InStock</t>
        </is>
      </c>
      <c r="S6758" t="inlineStr">
        <is>
          <t>48.52</t>
        </is>
      </c>
      <c r="T6758" t="inlineStr">
        <is>
          <t>7871488032984</t>
        </is>
      </c>
    </row>
    <row r="6759" ht="87" customHeight="1">
      <c r="A6759" s="2">
        <f>HYPERLINK("https://edmondsonsupply.com/collections/electricians-tools/products/diablo-tools-dou16dgx-universal-fit-diamond-grit-oscillating-blade-for-grout", "https://edmondsonsupply.com/collections/electricians-tools/products/diablo-tools-dou16dgx-universal-fit-diamond-grit-oscillating-blade-for-grout")</f>
        <v/>
      </c>
      <c r="B6759" s="2">
        <f>HYPERLINK("https://edmondsonsupply.com/products/diablo-tools-dou16dgx-universal-fit-diamond-grit-oscillating-blade-for-grout", "https://edmondsonsupply.com/products/diablo-tools-dou16dgx-universal-fit-diamond-grit-oscillating-blade-for-grout")</f>
        <v/>
      </c>
      <c r="C6759" t="inlineStr">
        <is>
          <t>Diablo Tools DOU16DGX Universal Fit Diamond Grit Oscillating Blade for Grout</t>
        </is>
      </c>
      <c r="D6759" t="inlineStr">
        <is>
          <t>Arrow OSC4MT-1 Diamond Grit Oscillating Tool Boot Saw Blade for Brick Mortar and Tile Grout, Universal, Fits Most Multitools, 2-1/4 Inch</t>
        </is>
      </c>
      <c r="E6759" s="2">
        <f>HYPERLINK("https://www.amazon.com/Arrow-OSC4MT-1-Diamond-Oscillating-Mortar/dp/B0B5Y6CC4T/ref=sr_1_27?keywords=Diablo+Tools+DOU16DGX+Universal+Fit+Diamond+Grit+Oscillating+Blade+for+Grout&amp;qid=1694735198&amp;sr=8-27", "https://www.amazon.com/Arrow-OSC4MT-1-Diamond-Oscillating-Mortar/dp/B0B5Y6CC4T/ref=sr_1_27?keywords=Diablo+Tools+DOU16DGX+Universal+Fit+Diamond+Grit+Oscillating+Blade+for+Grout&amp;qid=1694735198&amp;sr=8-27")</f>
        <v/>
      </c>
      <c r="F6759" t="inlineStr">
        <is>
          <t>B0B5Y6CC4T</t>
        </is>
      </c>
      <c r="G6759">
        <f>_xlfn.IMAGE("https://edmondsonsupply.com/cdn/shop/products/DOU16DGX_Main-Image.png?v=1633031101")</f>
        <v/>
      </c>
      <c r="H6759">
        <f>_xlfn.IMAGE("https://m.media-amazon.com/images/I/51bAr6f2cOL._AC_UL320_.jpg")</f>
        <v/>
      </c>
      <c r="K6759" t="inlineStr">
        <is>
          <t>39.97</t>
        </is>
      </c>
      <c r="L6759" t="n">
        <v>33.06</v>
      </c>
      <c r="M6759" s="1" t="inlineStr">
        <is>
          <t>-17.29%</t>
        </is>
      </c>
      <c r="N6759" s="7" t="n"/>
      <c r="O6759" t="n">
        <v>5</v>
      </c>
      <c r="P6759" t="n">
        <v>3</v>
      </c>
      <c r="R6759" t="inlineStr">
        <is>
          <t>InStock</t>
        </is>
      </c>
      <c r="S6759" t="inlineStr">
        <is>
          <t>45.98</t>
        </is>
      </c>
      <c r="T6759" t="inlineStr">
        <is>
          <t>6846098768045</t>
        </is>
      </c>
    </row>
    <row r="6760" ht="87" customHeight="1">
      <c r="A6760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6760" s="2">
        <f>HYPERLINK("https://edmondsonsupply.com/products/klein-tools-32900-7-in-1-impact-flip-socket-with-handle", "https://edmondsonsupply.com/products/klein-tools-32900-7-in-1-impact-flip-socket-with-handle")</f>
        <v/>
      </c>
      <c r="C6760" t="inlineStr">
        <is>
          <t>Klein Tools 32900 7-in-1 Impact Flip Socket with Handle</t>
        </is>
      </c>
      <c r="D6760" t="inlineStr">
        <is>
          <t>Klein Tools 32304 Screwdriver, 14-in-1 Adjustable Screwdriver with Flip Socket, HVAC Nut Drivers and Bits, Impact Rated</t>
        </is>
      </c>
      <c r="E6760" s="2">
        <f>HYPERLINK("https://www.amazon.com/Screwdriver-Adjustable-Klein-Tools-32304/dp/B09Q4H5STD/ref=sr_1_22?keywords=Klein+Tools+32900+7-in-1+Impact+Flip+Socket+with+Handle&amp;qid=1694735103&amp;sr=8-22", "https://www.amazon.com/Screwdriver-Adjustable-Klein-Tools-32304/dp/B09Q4H5STD/ref=sr_1_22?keywords=Klein+Tools+32900+7-in-1+Impact+Flip+Socket+with+Handle&amp;qid=1694735103&amp;sr=8-22")</f>
        <v/>
      </c>
      <c r="F6760" t="inlineStr">
        <is>
          <t>B09Q4H5STD</t>
        </is>
      </c>
      <c r="G6760">
        <f>_xlfn.IMAGE("https://edmondsonsupply.com/cdn/shop/products/32900_b.jpg?v=1666024787")</f>
        <v/>
      </c>
      <c r="H6760">
        <f>_xlfn.IMAGE("https://m.media-amazon.com/images/I/51OyfXQXJkL._AC_UL320_.jpg")</f>
        <v/>
      </c>
      <c r="K6760" t="inlineStr">
        <is>
          <t>29.97</t>
        </is>
      </c>
      <c r="L6760" t="n">
        <v>24.77</v>
      </c>
      <c r="M6760" s="1" t="inlineStr">
        <is>
          <t>-17.35%</t>
        </is>
      </c>
      <c r="N6760" s="7" t="n"/>
      <c r="O6760" t="n">
        <v>4.6</v>
      </c>
      <c r="P6760" t="n">
        <v>2618</v>
      </c>
      <c r="R6760" t="inlineStr">
        <is>
          <t>InStock</t>
        </is>
      </c>
      <c r="S6760" t="inlineStr">
        <is>
          <t>45.0</t>
        </is>
      </c>
      <c r="T6760" t="inlineStr">
        <is>
          <t>7856651239640</t>
        </is>
      </c>
    </row>
    <row r="6761" ht="87" customHeight="1">
      <c r="A6761" s="2">
        <f>HYPERLINK("https://edmondsonsupply.com/collections/electricians-tools/products/klein-tools-65131-2-in-1-nut-driver-hex-head-slide-drive%E2%84%A2-1-1-2-inch", "https://edmondsonsupply.com/collections/electricians-tools/products/klein-tools-65131-2-in-1-nut-driver-hex-head-slide-drive%E2%84%A2-1-1-2-inch")</f>
        <v/>
      </c>
      <c r="B6761" s="2">
        <f>HYPERLINK("https://edmondsonsupply.com/products/klein-tools-65131-2-in-1-nut-driver-hex-head-slide-drive%e2%84%a2-1-1-2-inch", "https://edmondsonsupply.com/products/klein-tools-65131-2-in-1-nut-driver-hex-head-slide-drive%e2%84%a2-1-1-2-inch")</f>
        <v/>
      </c>
      <c r="C6761" t="inlineStr">
        <is>
          <t>Klein Tools 65131 2-in-1 Nut Driver, Hex Head Slide Drive™, 1-1/2-Inch</t>
        </is>
      </c>
      <c r="D6761" t="inlineStr">
        <is>
          <t>Klein Tools 65064 Hex Head 2-in-1 Nut Driver, 1/4-Inch and 5/16-Inch</t>
        </is>
      </c>
      <c r="E6761" s="2">
        <f>HYPERLINK("https://www.amazon.com/Driver-16-Inch-Klein-Tools-65064/dp/B01N2S3D09/ref=sr_1_3?keywords=Klein+Tools+65131+2-in-1+Nut+Driver%2C+Hex+Head+Slide+Drive%E2%84%A2%2C+1-1%2F2-Inch&amp;qid=1694735135&amp;sr=8-3", "https://www.amazon.com/Driver-16-Inch-Klein-Tools-65064/dp/B01N2S3D09/ref=sr_1_3?keywords=Klein+Tools+65131+2-in-1+Nut+Driver%2C+Hex+Head+Slide+Drive%E2%84%A2%2C+1-1%2F2-Inch&amp;qid=1694735135&amp;sr=8-3")</f>
        <v/>
      </c>
      <c r="F6761" t="inlineStr">
        <is>
          <t>B01N2S3D09</t>
        </is>
      </c>
      <c r="G6761">
        <f>_xlfn.IMAGE("https://edmondsonsupply.com/cdn/shop/products/65131.jpg?v=1660742745")</f>
        <v/>
      </c>
      <c r="H6761">
        <f>_xlfn.IMAGE("https://m.media-amazon.com/images/I/51WqGb8KzpL._AC_UL320_.jpg")</f>
        <v/>
      </c>
      <c r="K6761" t="inlineStr">
        <is>
          <t>18.49</t>
        </is>
      </c>
      <c r="L6761" t="n">
        <v>15.27</v>
      </c>
      <c r="M6761" s="1" t="inlineStr">
        <is>
          <t>-17.41%</t>
        </is>
      </c>
      <c r="N6761" s="7" t="n"/>
      <c r="O6761" t="n">
        <v>4.8</v>
      </c>
      <c r="P6761" t="n">
        <v>1404</v>
      </c>
      <c r="R6761" t="inlineStr">
        <is>
          <t>InStock</t>
        </is>
      </c>
      <c r="S6761" t="inlineStr">
        <is>
          <t>23.68</t>
        </is>
      </c>
      <c r="T6761" t="inlineStr">
        <is>
          <t>7783466500312</t>
        </is>
      </c>
    </row>
    <row r="6762" ht="87" customHeight="1">
      <c r="A6762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762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762" t="inlineStr">
        <is>
          <t>Klein Tools 2288RINS Diagonal Cutting Pliers, Insulated, High Leverage, 8-Inch</t>
        </is>
      </c>
      <c r="D6762" t="inlineStr">
        <is>
          <t>Klein Tools D228-8TT Pliers, Diagonal Cutting Pliers with High-Leverage Design and Tether Ring, 8-Inch</t>
        </is>
      </c>
      <c r="E6762" s="2">
        <f>HYPERLINK("https://www.amazon.com/Leverage-Diagonal-Klein-Tools-D228-8TT/dp/B01K76W5UE/ref=sr_1_13?keywords=Klein+Tools+2288RINS+Diagonal+Cutting+Pliers%2C+Insulated%2C+High+Leverage%2C+8-Inch&amp;qid=1694735093&amp;sr=8-13", "https://www.amazon.com/Leverage-Diagonal-Klein-Tools-D228-8TT/dp/B01K76W5UE/ref=sr_1_13?keywords=Klein+Tools+2288RINS+Diagonal+Cutting+Pliers%2C+Insulated%2C+High+Leverage%2C+8-Inch&amp;qid=1694735093&amp;sr=8-13")</f>
        <v/>
      </c>
      <c r="F6762" t="inlineStr">
        <is>
          <t>B01K76W5UE</t>
        </is>
      </c>
      <c r="G6762">
        <f>_xlfn.IMAGE("https://edmondsonsupply.com/cdn/shop/products/2288rins.jpg?v=1667238570")</f>
        <v/>
      </c>
      <c r="H6762">
        <f>_xlfn.IMAGE("https://m.media-amazon.com/images/I/41Jkh6uEiRL._AC_UL320_.jpg")</f>
        <v/>
      </c>
      <c r="K6762" t="inlineStr">
        <is>
          <t>39.97</t>
        </is>
      </c>
      <c r="L6762" t="n">
        <v>32.99</v>
      </c>
      <c r="M6762" s="1" t="inlineStr">
        <is>
          <t>-17.46%</t>
        </is>
      </c>
      <c r="N6762" s="7" t="n"/>
      <c r="O6762" t="n">
        <v>5</v>
      </c>
      <c r="P6762" t="n">
        <v>16</v>
      </c>
      <c r="R6762" t="inlineStr">
        <is>
          <t>InStock</t>
        </is>
      </c>
      <c r="S6762" t="inlineStr">
        <is>
          <t>55.98</t>
        </is>
      </c>
      <c r="T6762" t="inlineStr">
        <is>
          <t>7871537807576</t>
        </is>
      </c>
    </row>
    <row r="6763" ht="87" customHeight="1">
      <c r="A6763" s="2">
        <f>HYPERLINK("https://edmondsonsupply.com/collections/electricians-tools/products/klein-tools-pjsfm1-rechargeable-personal-jobsite-fan", "https://edmondsonsupply.com/collections/electricians-tools/products/klein-tools-pjsfm1-rechargeable-personal-jobsite-fan")</f>
        <v/>
      </c>
      <c r="B6763" s="2">
        <f>HYPERLINK("https://edmondsonsupply.com/products/klein-tools-pjsfm1-rechargeable-personal-jobsite-fan", "https://edmondsonsupply.com/products/klein-tools-pjsfm1-rechargeable-personal-jobsite-fan")</f>
        <v/>
      </c>
      <c r="C6763" t="inlineStr">
        <is>
          <t>Klein Tools PJSFM1 Rechargeable Personal Jobsite Fan</t>
        </is>
      </c>
      <c r="D6763" t="inlineStr">
        <is>
          <t>Blackfire - Klein Tools Outdoors - Personal Rechargeable Portable Fan, BBM9112, Tent Fan, Camping Fan, Outdoor Fan, Personal Fan for travel, Fan for camping with hook</t>
        </is>
      </c>
      <c r="E6763" s="2">
        <f>HYPERLINK("https://www.amazon.com/Blackfire-Rechargeable-BBM9112-Attachment-Adjustable/dp/B0973PGWHW/ref=sr_1_7?keywords=Klein+Tools+PJSFM1+Rechargeable+Personal+Jobsite+Fan&amp;qid=1694735330&amp;sr=8-7", "https://www.amazon.com/Blackfire-Rechargeable-BBM9112-Attachment-Adjustable/dp/B0973PGWHW/ref=sr_1_7?keywords=Klein+Tools+PJSFM1+Rechargeable+Personal+Jobsite+Fan&amp;qid=1694735330&amp;sr=8-7")</f>
        <v/>
      </c>
      <c r="F6763" t="inlineStr">
        <is>
          <t>B0973PGWHW</t>
        </is>
      </c>
      <c r="G6763">
        <f>_xlfn.IMAGE("https://edmondsonsupply.com/cdn/shop/products/pjsfm1.jpg?v=1633030249")</f>
        <v/>
      </c>
      <c r="H6763">
        <f>_xlfn.IMAGE("https://m.media-amazon.com/images/I/61ledXifutL._AC_UL320_.jpg")</f>
        <v/>
      </c>
      <c r="K6763" t="inlineStr">
        <is>
          <t>59.97</t>
        </is>
      </c>
      <c r="L6763" t="n">
        <v>49.49</v>
      </c>
      <c r="M6763" s="1" t="inlineStr">
        <is>
          <t>-17.48%</t>
        </is>
      </c>
      <c r="N6763" s="7" t="n"/>
      <c r="O6763" t="n">
        <v>4.1</v>
      </c>
      <c r="P6763" t="n">
        <v>5</v>
      </c>
      <c r="R6763" t="inlineStr">
        <is>
          <t>InStock</t>
        </is>
      </c>
      <c r="S6763" t="inlineStr">
        <is>
          <t>86.16</t>
        </is>
      </c>
      <c r="T6763" t="inlineStr">
        <is>
          <t>4625197531236</t>
        </is>
      </c>
    </row>
    <row r="6764" hidden="1" ht="15.75" customHeight="1">
      <c r="A6764" s="2">
        <f>HYPERLINK("https://edmondsonsupply.com/collections/electricians-tools/products/diablo-tools-dhs0312dg-5-16-in-diamond-grit-hole-saws", "https://edmondsonsupply.com/collections/electricians-tools/products/diablo-tools-dhs0312dg-5-16-in-diamond-grit-hole-saws")</f>
        <v/>
      </c>
      <c r="B6764" s="2">
        <f>HYPERLINK("https://edmondsonsupply.com/products/diablo-tools-dhs0312dg-5-16-in-diamond-grit-hole-saws", "https://edmondsonsupply.com/products/diablo-tools-dhs0312dg-5-16-in-diamond-grit-hole-saws")</f>
        <v/>
      </c>
      <c r="C6764" t="inlineStr">
        <is>
          <t>Diablo Tools DHS0312DG 5/16 in. Diamond Grit Hole Saws</t>
        </is>
      </c>
      <c r="D6764" t="inlineStr">
        <is>
          <t>JINGLING 8mm 5/16" inch Diamond Hole Saws Drill Bit Tools for Stone Pack of 2Pcs</t>
        </is>
      </c>
      <c r="E6764" s="2">
        <f>HYPERLINK("https://www.amazon.com/JINGLING-Diamond-Diameter-Marble-Granite/dp/B00S4FIPLO/ref=sr_1_23?keywords=Diablo+Tools+DHS0312DG+5%2F16+in.+Diamond+Grit+Hole+Saws&amp;qid=1694735077&amp;sr=8-23", "https://www.amazon.com/JINGLING-Diamond-Diameter-Marble-Granite/dp/B00S4FIPLO/ref=sr_1_23?keywords=Diablo+Tools+DHS0312DG+5%2F16+in.+Diamond+Grit+Hole+Saws&amp;qid=1694735077&amp;sr=8-23")</f>
        <v/>
      </c>
      <c r="F6764" t="inlineStr">
        <is>
          <t>B00S4FIPLO</t>
        </is>
      </c>
      <c r="G6764">
        <f>_xludf.IMAGE("https://edmondsonsupply.com/cdn/shop/products/rxizptsq5go5ndbgimh0.webp?v=1670004603")</f>
        <v/>
      </c>
      <c r="H6764">
        <f>_xludf.IMAGE("https://m.media-amazon.com/images/I/61txBVMossL._AC_UL320_.jpg")</f>
        <v/>
      </c>
      <c r="K6764" t="inlineStr">
        <is>
          <t>12.73</t>
        </is>
      </c>
      <c r="L6764" t="n">
        <v>10.5</v>
      </c>
      <c r="M6764" s="1" t="inlineStr">
        <is>
          <t>-17.52%</t>
        </is>
      </c>
      <c r="N6764" s="1" t="n"/>
      <c r="O6764" t="n">
        <v>3.9</v>
      </c>
      <c r="P6764" t="n">
        <v>95</v>
      </c>
      <c r="R6764" t="inlineStr">
        <is>
          <t>InStock</t>
        </is>
      </c>
      <c r="S6764" t="inlineStr">
        <is>
          <t>20.21</t>
        </is>
      </c>
      <c r="T6764" t="inlineStr">
        <is>
          <t>7897589973208</t>
        </is>
      </c>
    </row>
    <row r="6765" hidden="1" ht="15.75" customHeight="1">
      <c r="A6765" s="2">
        <f>HYPERLINK("https://edmondsonsupply.com/collections/electricians-tools/products/greenlee-7235bb-slug-buster%C2%AE-1-2-1-1-4-manual-knockout-set", "https://edmondsonsupply.com/collections/electricians-tools/products/greenlee-7235bb-slug-buster%C2%AE-1-2-1-1-4-manual-knockout-set")</f>
        <v/>
      </c>
      <c r="B6765" s="2">
        <f>HYPERLINK("https://edmondsonsupply.com/products/greenlee-7235bb-slug-buster%c2%ae-1-2-1-1-4-manual-knockout-set", "https://edmondsonsupply.com/products/greenlee-7235bb-slug-buster%c2%ae-1-2-1-1-4-manual-knockout-set")</f>
        <v/>
      </c>
      <c r="C6765" t="inlineStr">
        <is>
          <t>Greenlee 7235BB Slug-Buster® 1/2" - 1-1/4" Manual Knockout Set</t>
        </is>
      </c>
      <c r="D6765" t="inlineStr">
        <is>
          <t>Greenlee Slug-Buster 1-1/2" - 2" Manual Knockout Set</t>
        </is>
      </c>
      <c r="E6765" s="2">
        <f>HYPERLINK("https://www.amazon.com/Greenlee-7237BB-Slug-Buster-Knockout-Conduit/dp/B000LDE3DQ/ref=sr_1_9?keywords=Greenlee+7235BB+Slug-Buster%C2%AE+1%2F2%22+-+1-1%2F4%22+Manual+Knockout+Set&amp;qid=1694735371&amp;sr=8-9", "https://www.amazon.com/Greenlee-7237BB-Slug-Buster-Knockout-Conduit/dp/B000LDE3DQ/ref=sr_1_9?keywords=Greenlee+7235BB+Slug-Buster%C2%AE+1%2F2%22+-+1-1%2F4%22+Manual+Knockout+Set&amp;qid=1694735371&amp;sr=8-9")</f>
        <v/>
      </c>
      <c r="F6765" t="inlineStr">
        <is>
          <t>B000LDE3DQ</t>
        </is>
      </c>
      <c r="G6765">
        <f>_xludf.IMAGE("https://edmondsonsupply.com/cdn/shop/products/7235BB-CAT1.jpg?v=1587148010")</f>
        <v/>
      </c>
      <c r="H6765">
        <f>_xludf.IMAGE("https://m.media-amazon.com/images/I/81N6Er-Y8yL._AC_UL320_.jpg")</f>
        <v/>
      </c>
      <c r="K6765" t="inlineStr">
        <is>
          <t>213.99</t>
        </is>
      </c>
      <c r="L6765" t="n">
        <v>176.26</v>
      </c>
      <c r="M6765" s="1" t="inlineStr">
        <is>
          <t>-17.63%</t>
        </is>
      </c>
      <c r="N6765" s="1" t="n"/>
      <c r="O6765" t="n">
        <v>4</v>
      </c>
      <c r="P6765" t="n">
        <v>20</v>
      </c>
      <c r="R6765" t="inlineStr">
        <is>
          <t>InStock</t>
        </is>
      </c>
      <c r="S6765" t="inlineStr">
        <is>
          <t>249.0</t>
        </is>
      </c>
      <c r="T6765" t="inlineStr">
        <is>
          <t>4430499610724</t>
        </is>
      </c>
    </row>
    <row r="6766" hidden="1" ht="15.75" customHeight="1">
      <c r="A6766" s="2">
        <f>HYPERLINK("https://edmondsonsupply.com/collections/electricians-tools/products/klein-tools-614-2-1-16-inch-slotted-electronics-screwdriver-2-inch", "https://edmondsonsupply.com/collections/electricians-tools/products/klein-tools-614-2-1-16-inch-slotted-electronics-screwdriver-2-inch")</f>
        <v/>
      </c>
      <c r="B6766" s="2">
        <f>HYPERLINK("https://edmondsonsupply.com/products/klein-tools-614-2-1-16-inch-slotted-electronics-screwdriver-2-inch", "https://edmondsonsupply.com/products/klein-tools-614-2-1-16-inch-slotted-electronics-screwdriver-2-inch")</f>
        <v/>
      </c>
      <c r="C6766" t="inlineStr">
        <is>
          <t>Klein Tools 614-2 1/16-Inch Slotted Electronics Screwdriver, 2-Inch</t>
        </is>
      </c>
      <c r="D6766" t="inlineStr">
        <is>
          <t>Klein Tools 606-2 Mini Flathead Screwdriver, 1/16-Inch Keystone Tip with 2-Inch Round Shank and Cushion Grip Handle</t>
        </is>
      </c>
      <c r="E6766" s="2">
        <f>HYPERLINK("https://www.amazon.com/Flathead-Screwdriver-Klein-Tools-606-2/dp/B001D1J4CU/ref=sr_1_14?keywords=Klein+Tools+614-2+1%2F16-Inch+Slotted+Electronics+Screwdriver%2C+2-Inch&amp;qid=1694735176&amp;sr=8-14", "https://www.amazon.com/Flathead-Screwdriver-Klein-Tools-606-2/dp/B001D1J4CU/ref=sr_1_14?keywords=Klein+Tools+614-2+1%2F16-Inch+Slotted+Electronics+Screwdriver%2C+2-Inch&amp;qid=1694735176&amp;sr=8-14")</f>
        <v/>
      </c>
      <c r="F6766" t="inlineStr">
        <is>
          <t>B001D1J4CU</t>
        </is>
      </c>
      <c r="G6766">
        <f>_xludf.IMAGE("https://edmondsonsupply.com/cdn/shop/products/614-2.jpg?v=1637284311")</f>
        <v/>
      </c>
      <c r="H6766">
        <f>_xludf.IMAGE("https://m.media-amazon.com/images/I/51oqW0kO-UL._AC_UL320_.jpg")</f>
        <v/>
      </c>
      <c r="K6766" t="inlineStr">
        <is>
          <t>8.49</t>
        </is>
      </c>
      <c r="L6766" t="n">
        <v>6.99</v>
      </c>
      <c r="M6766" s="1" t="inlineStr">
        <is>
          <t>-17.67%</t>
        </is>
      </c>
      <c r="N6766" s="1" t="n"/>
      <c r="O6766" t="n">
        <v>4.7</v>
      </c>
      <c r="P6766" t="n">
        <v>1356</v>
      </c>
      <c r="R6766" t="inlineStr">
        <is>
          <t>InStock</t>
        </is>
      </c>
      <c r="S6766" t="inlineStr">
        <is>
          <t>12.86</t>
        </is>
      </c>
      <c r="T6766" t="inlineStr">
        <is>
          <t>7512018616536</t>
        </is>
      </c>
    </row>
    <row r="6767" ht="87" customHeight="1">
      <c r="A6767" s="2">
        <f>HYPERLINK("https://edmondsonsupply.com/collections/electricians-tools/products/wiha-tools-66991-13-piece-magicring-ball-end-hex-l-key-set-inch", "https://edmondsonsupply.com/collections/electricians-tools/products/wiha-tools-66991-13-piece-magicring-ball-end-hex-l-key-set-inch")</f>
        <v/>
      </c>
      <c r="B6767" s="2">
        <f>HYPERLINK("https://edmondsonsupply.com/products/wiha-tools-66991-13-piece-magicring-ball-end-hex-l-key-set-inch", "https://edmondsonsupply.com/products/wiha-tools-66991-13-piece-magicring-ball-end-hex-l-key-set-inch")</f>
        <v/>
      </c>
      <c r="C6767" t="inlineStr">
        <is>
          <t>Wiha Tools 66991 13 Piece MagicRing Ball End Hex L-Key Set - Inch</t>
        </is>
      </c>
      <c r="D6767" t="inlineStr">
        <is>
          <t>Wiha 66991 MagicRing Ball End Hex Key Set, Long Inch, In Holder, 13 Piece</t>
        </is>
      </c>
      <c r="E6767" s="2">
        <f>HYPERLINK("https://www.amazon.com/Wiha-66991-MagicRing-Holder-Piece/dp/B000WTAK2C/ref=sr_1_1?keywords=Wiha+Tools+66991+13+Piece+MagicRing+Ball+End+Hex+L-Key+Set+-+Inch&amp;qid=1694734990&amp;sr=8-1", "https://www.amazon.com/Wiha-66991-MagicRing-Holder-Piece/dp/B000WTAK2C/ref=sr_1_1?keywords=Wiha+Tools+66991+13+Piece+MagicRing+Ball+End+Hex+L-Key+Set+-+Inch&amp;qid=1694734990&amp;sr=8-1")</f>
        <v/>
      </c>
      <c r="F6767" t="inlineStr">
        <is>
          <t>B000WTAK2C</t>
        </is>
      </c>
      <c r="G6767">
        <f>_xlfn.IMAGE("https://edmondsonsupply.com/cdn/shop/files/203e9943d7bc6da0913f39b14430d97570f6257a_1000x_25f5521b-5db2-4e3a-9496-a87eed5e7da1.webp?v=1690841742")</f>
        <v/>
      </c>
      <c r="H6767">
        <f>_xlfn.IMAGE("https://m.media-amazon.com/images/I/61jqxmDwZLL._AC_UL320_.jpg")</f>
        <v/>
      </c>
      <c r="K6767" t="inlineStr">
        <is>
          <t>48.61</t>
        </is>
      </c>
      <c r="L6767" t="n">
        <v>39.99</v>
      </c>
      <c r="M6767" s="1" t="inlineStr">
        <is>
          <t>-17.73%</t>
        </is>
      </c>
      <c r="N6767" s="7" t="n"/>
      <c r="O6767" t="n">
        <v>4.8</v>
      </c>
      <c r="P6767" t="n">
        <v>17</v>
      </c>
      <c r="R6767" t="inlineStr">
        <is>
          <t>InStock</t>
        </is>
      </c>
      <c r="S6767" t="inlineStr">
        <is>
          <t>64.81</t>
        </is>
      </c>
      <c r="T6767" t="inlineStr">
        <is>
          <t>8023273668824</t>
        </is>
      </c>
    </row>
    <row r="6768" ht="87" customHeight="1">
      <c r="A6768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6768" s="2">
        <f>HYPERLINK("https://edmondsonsupply.com/products/diablo-tools-d0660x-6-1-2-in-x-60-tooth-ultra-finish-saw-blade", "https://edmondsonsupply.com/products/diablo-tools-d0660x-6-1-2-in-x-60-tooth-ultra-finish-saw-blade")</f>
        <v/>
      </c>
      <c r="C6768" t="inlineStr">
        <is>
          <t>Diablo Tools D0660X 6-1/2 in. x 60 Tooth Ultra Finish Saw Blade</t>
        </is>
      </c>
      <c r="D6768" t="inlineStr">
        <is>
          <t>Freud D0760X Diablo Ultra Finish Saw Blade ATB 7-1/4-Inch by 60t 5/8-Inch Arbor</t>
        </is>
      </c>
      <c r="E6768" s="2">
        <f>HYPERLINK("https://www.amazon.com/Freud-D0760X-Diablo-Finish-4-Inch/dp/B001CZEU0S/ref=sr_1_9?keywords=Diablo+Tools+D0660X+6-1%2F2+in.+x+60+Tooth+Ultra+Finish+Saw+Blade&amp;qid=1694735022&amp;sr=8-9", "https://www.amazon.com/Freud-D0760X-Diablo-Finish-4-Inch/dp/B001CZEU0S/ref=sr_1_9?keywords=Diablo+Tools+D0660X+6-1%2F2+in.+x+60+Tooth+Ultra+Finish+Saw+Blade&amp;qid=1694735022&amp;sr=8-9")</f>
        <v/>
      </c>
      <c r="F6768" t="inlineStr">
        <is>
          <t>B001CZEU0S</t>
        </is>
      </c>
      <c r="G6768">
        <f>_xlfn.IMAGE("https://edmondsonsupply.com/cdn/shop/products/ma8p1gcmhxpwwhymtiim.webp?v=1678983644")</f>
        <v/>
      </c>
      <c r="H6768">
        <f>_xlfn.IMAGE("https://m.media-amazon.com/images/I/61aig0rMpZS._AC_UL320_.jpg")</f>
        <v/>
      </c>
      <c r="K6768" t="inlineStr">
        <is>
          <t>22.97</t>
        </is>
      </c>
      <c r="L6768" t="n">
        <v>18.88</v>
      </c>
      <c r="M6768" s="1" t="inlineStr">
        <is>
          <t>-17.81%</t>
        </is>
      </c>
      <c r="N6768" s="7" t="n"/>
      <c r="O6768" t="n">
        <v>4.8</v>
      </c>
      <c r="P6768" t="n">
        <v>1391</v>
      </c>
      <c r="R6768" t="inlineStr">
        <is>
          <t>InStock</t>
        </is>
      </c>
      <c r="S6768" t="inlineStr">
        <is>
          <t>33.88</t>
        </is>
      </c>
      <c r="T6768" t="inlineStr">
        <is>
          <t>7962739507416</t>
        </is>
      </c>
    </row>
    <row r="6769" ht="87" customHeight="1">
      <c r="A6769" s="2">
        <f>HYPERLINK("https://edmondsonsupply.com/collections/electricians-tools/products/greenlee-dtapkit-drill-tap-kit", "https://edmondsonsupply.com/collections/electricians-tools/products/greenlee-dtapkit-drill-tap-kit")</f>
        <v/>
      </c>
      <c r="B6769" s="2">
        <f>HYPERLINK("https://edmondsonsupply.com/products/greenlee-dtapkit-drill-tap-kit", "https://edmondsonsupply.com/products/greenlee-dtapkit-drill-tap-kit")</f>
        <v/>
      </c>
      <c r="C6769" t="inlineStr">
        <is>
          <t>Greenlee DTAPKIT Drill/Tap Kit</t>
        </is>
      </c>
      <c r="D6769" t="inlineStr">
        <is>
          <t>Greenlee DTAPKIT Drill/Tap Kit for Metal, One-Step Drilling, Tapping, and Deburring/Countersinking Set with Quick Change Adaptor</t>
        </is>
      </c>
      <c r="E6769" s="2">
        <f>HYPERLINK("https://www.amazon.com/Greenlee-DTAPKIT-One-Step-Deburring-Countersinking/dp/B0041FIR1E/ref=sr_1_1?keywords=Greenlee+DTAPKIT+Drill%2FTap+Kit&amp;qid=1694735397&amp;sr=8-1", "https://www.amazon.com/Greenlee-DTAPKIT-One-Step-Deburring-Countersinking/dp/B0041FIR1E/ref=sr_1_1?keywords=Greenlee+DTAPKIT+Drill%2FTap+Kit&amp;qid=1694735397&amp;sr=8-1")</f>
        <v/>
      </c>
      <c r="F6769" t="inlineStr">
        <is>
          <t>B0041FIR1E</t>
        </is>
      </c>
      <c r="G6769">
        <f>_xlfn.IMAGE("https://edmondsonsupply.com/cdn/shop/products/DTAPKIT_ip_72dpi.jpg?v=1587145646")</f>
        <v/>
      </c>
      <c r="H6769">
        <f>_xlfn.IMAGE("https://m.media-amazon.com/images/I/61MSexeV1XL._AC_UL320_.jpg")</f>
        <v/>
      </c>
      <c r="K6769" t="inlineStr">
        <is>
          <t>46.99</t>
        </is>
      </c>
      <c r="L6769" t="n">
        <v>38.6</v>
      </c>
      <c r="M6769" s="1" t="inlineStr">
        <is>
          <t>-17.85%</t>
        </is>
      </c>
      <c r="N6769" s="7" t="n"/>
      <c r="O6769" t="n">
        <v>4.8</v>
      </c>
      <c r="P6769" t="n">
        <v>1308</v>
      </c>
      <c r="R6769" t="inlineStr">
        <is>
          <t>InStock</t>
        </is>
      </c>
      <c r="S6769" t="inlineStr">
        <is>
          <t>50.0</t>
        </is>
      </c>
      <c r="T6769" t="inlineStr">
        <is>
          <t>4395595268196</t>
        </is>
      </c>
    </row>
    <row r="6770" ht="87" customHeight="1">
      <c r="A6770" s="2">
        <f>HYPERLINK("https://edmondsonsupply.com/collections/electricians-tools/products/milwaukee-48-22-0225m-25ft-wide-blade-magnetic-tape-measure", "https://edmondsonsupply.com/collections/electricians-tools/products/milwaukee-48-22-0225m-25ft-wide-blade-magnetic-tape-measure")</f>
        <v/>
      </c>
      <c r="B6770" s="2">
        <f>HYPERLINK("https://edmondsonsupply.com/products/milwaukee-48-22-0225m-25ft-wide-blade-magnetic-tape-measure", "https://edmondsonsupply.com/products/milwaukee-48-22-0225m-25ft-wide-blade-magnetic-tape-measure")</f>
        <v/>
      </c>
      <c r="C6770" t="inlineStr">
        <is>
          <t>Milwaukee 48-22-0225M 25ft Wide Blade Magnetic Tape Measure</t>
        </is>
      </c>
      <c r="D6770" t="inlineStr">
        <is>
          <t>Milwaukee 48-22-0325 Compact Wide Blade Magnetic Tape Measures</t>
        </is>
      </c>
      <c r="E6770" s="2">
        <f>HYPERLINK("https://www.amazon.com/Milwaukee-48-22-0325-Compact-Magnetic-Measures/dp/B082L6Q7WV/ref=sr_1_4?keywords=Milwaukee+48-22-0225M+25ft+Wide+Blade+Magnetic+Tape+Measure&amp;qid=1694735418&amp;sr=8-4", "https://www.amazon.com/Milwaukee-48-22-0325-Compact-Magnetic-Measures/dp/B082L6Q7WV/ref=sr_1_4?keywords=Milwaukee+48-22-0225M+25ft+Wide+Blade+Magnetic+Tape+Measure&amp;qid=1694735418&amp;sr=8-4")</f>
        <v/>
      </c>
      <c r="F6770" t="inlineStr">
        <is>
          <t>B082L6Q7WV</t>
        </is>
      </c>
      <c r="G6770">
        <f>_xlfn.IMAGE("https://edmondsonsupply.com/cdn/shop/products/48-22-0225M_1.png?v=1587147399")</f>
        <v/>
      </c>
      <c r="H6770">
        <f>_xlfn.IMAGE("https://m.media-amazon.com/images/I/41gSokc+0RL._AC_UL320_.jpg")</f>
        <v/>
      </c>
      <c r="K6770" t="inlineStr">
        <is>
          <t>27.97</t>
        </is>
      </c>
      <c r="L6770" t="n">
        <v>22.97</v>
      </c>
      <c r="M6770" s="1" t="inlineStr">
        <is>
          <t>-17.88%</t>
        </is>
      </c>
      <c r="N6770" s="7" t="n"/>
      <c r="O6770" t="n">
        <v>4.5</v>
      </c>
      <c r="P6770" t="n">
        <v>205</v>
      </c>
      <c r="R6770" t="inlineStr">
        <is>
          <t>InStock</t>
        </is>
      </c>
      <c r="S6770" t="inlineStr">
        <is>
          <t>41.0</t>
        </is>
      </c>
      <c r="T6770" t="inlineStr">
        <is>
          <t>4377800835172</t>
        </is>
      </c>
    </row>
    <row r="6771" ht="87" customHeight="1">
      <c r="A6771" s="2">
        <f>HYPERLINK("https://edmondsonsupply.com/collections/electricians-tools/products/greenlee-gt13-non-contact-voltage-detector", "https://edmondsonsupply.com/collections/electricians-tools/products/greenlee-gt13-non-contact-voltage-detector")</f>
        <v/>
      </c>
      <c r="B6771" s="2">
        <f>HYPERLINK("https://edmondsonsupply.com/products/greenlee-gt13-non-contact-voltage-detector", "https://edmondsonsupply.com/products/greenlee-gt13-non-contact-voltage-detector")</f>
        <v/>
      </c>
      <c r="C6771" t="inlineStr">
        <is>
          <t>Greenlee GT13 Non-Contact Voltage Detector</t>
        </is>
      </c>
      <c r="D6771" t="inlineStr">
        <is>
          <t>Greenlee Textron GT-12A Non-Contact Voltage Detector10</t>
        </is>
      </c>
      <c r="E6771" s="2">
        <f>HYPERLINK("https://www.amazon.com/Greenlee-Textron-Non-Contact-Voltage-Detector/dp/B01N16I8FG/ref=sr_1_12?keywords=Greenlee+GT13+Non-Contact+Voltage+Detector&amp;qid=1694735374&amp;sr=8-12", "https://www.amazon.com/Greenlee-Textron-Non-Contact-Voltage-Detector/dp/B01N16I8FG/ref=sr_1_12?keywords=Greenlee+GT13+Non-Contact+Voltage+Detector&amp;qid=1694735374&amp;sr=8-12")</f>
        <v/>
      </c>
      <c r="F6771" t="inlineStr">
        <is>
          <t>B01N16I8FG</t>
        </is>
      </c>
      <c r="G6771">
        <f>_xlfn.IMAGE("https://edmondsonsupply.com/cdn/shop/products/GT13_CAT2.jpg?v=1587145645")</f>
        <v/>
      </c>
      <c r="H6771">
        <f>_xlfn.IMAGE("https://m.media-amazon.com/images/I/41GjxKH-5wL._AC_UL320_.jpg")</f>
        <v/>
      </c>
      <c r="K6771" t="inlineStr">
        <is>
          <t>23.89</t>
        </is>
      </c>
      <c r="L6771" t="n">
        <v>19.61</v>
      </c>
      <c r="M6771" s="1" t="inlineStr">
        <is>
          <t>-17.92%</t>
        </is>
      </c>
      <c r="N6771" s="7" t="n"/>
      <c r="O6771" t="n">
        <v>5</v>
      </c>
      <c r="P6771" t="n">
        <v>1</v>
      </c>
      <c r="R6771" t="inlineStr">
        <is>
          <t>InStock</t>
        </is>
      </c>
      <c r="S6771" t="inlineStr">
        <is>
          <t>25.7</t>
        </is>
      </c>
      <c r="T6771" t="inlineStr">
        <is>
          <t>4417287880804</t>
        </is>
      </c>
    </row>
    <row r="6772" hidden="1" ht="15.75" customHeight="1">
      <c r="A6772" s="2">
        <f>HYPERLINK("https://edmondsonsupply.com/collections/electricians-tools/products/klein-tools-66075-flip-impact-socket-11-16-and-5-8-inch", "https://edmondsonsupply.com/collections/electricians-tools/products/klein-tools-66075-flip-impact-socket-11-16-and-5-8-inch")</f>
        <v/>
      </c>
      <c r="B6772" s="2">
        <f>HYPERLINK("https://edmondsonsupply.com/products/klein-tools-66075-flip-impact-socket-11-16-and-5-8-inch", "https://edmondsonsupply.com/products/klein-tools-66075-flip-impact-socket-11-16-and-5-8-inch")</f>
        <v/>
      </c>
      <c r="C6772" t="inlineStr">
        <is>
          <t>Klein Tools 66075 Flip Impact Socket, 11/16 and 5/8-Inch</t>
        </is>
      </c>
      <c r="D6772" t="inlineStr">
        <is>
          <t>Klein Tools 66077 Impact Driver Flip Socket, 7/16- and 3/8-Inch Sizes, Use with Klein Tools Compact Impact Wrenches BAT20CW, BAT20CW1</t>
        </is>
      </c>
      <c r="E6772" s="2">
        <f>HYPERLINK("https://www.amazon.com/Klein-Tools-66077-Wrenches-BAT20CW1/dp/B0B34JMDCL/ref=sr_1_3?keywords=Klein+Tools+66075+Flip+Impact+Socket%2C+11%2F16+and+5%2F8-Inch&amp;qid=1694735124&amp;sr=8-3", "https://www.amazon.com/Klein-Tools-66077-Wrenches-BAT20CW1/dp/B0B34JMDCL/ref=sr_1_3?keywords=Klein+Tools+66075+Flip+Impact+Socket%2C+11%2F16+and+5%2F8-Inch&amp;qid=1694735124&amp;sr=8-3")</f>
        <v/>
      </c>
      <c r="F6772" t="inlineStr">
        <is>
          <t>B0B34JMDCL</t>
        </is>
      </c>
      <c r="G6772">
        <f>_xludf.IMAGE("https://edmondsonsupply.com/cdn/shop/products/66075.jpg?v=1663248197")</f>
        <v/>
      </c>
      <c r="H6772">
        <f>_xludf.IMAGE("https://m.media-amazon.com/images/I/41vtzEP3nEL._AC_UL320_.jpg")</f>
        <v/>
      </c>
      <c r="K6772" t="inlineStr">
        <is>
          <t>12.71</t>
        </is>
      </c>
      <c r="L6772" t="n">
        <v>10.43</v>
      </c>
      <c r="M6772" s="1" t="inlineStr">
        <is>
          <t>-17.94%</t>
        </is>
      </c>
      <c r="N6772" s="1" t="n"/>
      <c r="O6772" t="n">
        <v>4.8</v>
      </c>
      <c r="P6772" t="n">
        <v>5</v>
      </c>
      <c r="R6772" t="inlineStr">
        <is>
          <t>InStock</t>
        </is>
      </c>
      <c r="S6772" t="inlineStr">
        <is>
          <t>17.8</t>
        </is>
      </c>
      <c r="T6772" t="inlineStr">
        <is>
          <t>7817283862744</t>
        </is>
      </c>
    </row>
    <row r="6773" hidden="1" ht="15.75" customHeight="1">
      <c r="A6773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6773" s="2">
        <f>HYPERLINK("https://edmondsonsupply.com/products/klein-tools-66074-flip-impact-socket-3-4-and-13-16-inch", "https://edmondsonsupply.com/products/klein-tools-66074-flip-impact-socket-3-4-and-13-16-inch")</f>
        <v/>
      </c>
      <c r="C6773" t="inlineStr">
        <is>
          <t>Klein Tools 66074 Flip Impact Socket, 3/4 and 13/16-Inch</t>
        </is>
      </c>
      <c r="D6773" t="inlineStr">
        <is>
          <t>Klein Tools 66077 Impact Driver Flip Socket, 7/16- and 3/8-Inch Sizes, Use with Klein Tools Compact Impact Wrenches BAT20CW, BAT20CW1</t>
        </is>
      </c>
      <c r="E6773" s="2">
        <f>HYPERLINK("https://www.amazon.com/Klein-Tools-66077-Wrenches-BAT20CW1/dp/B0B34JMDCL/ref=sr_1_6?keywords=Klein+Tools+66074+Flip+Impact+Socket%2C+3%2F4+and+13%2F16-Inch&amp;qid=1694735130&amp;sr=8-6", "https://www.amazon.com/Klein-Tools-66077-Wrenches-BAT20CW1/dp/B0B34JMDCL/ref=sr_1_6?keywords=Klein+Tools+66074+Flip+Impact+Socket%2C+3%2F4+and+13%2F16-Inch&amp;qid=1694735130&amp;sr=8-6")</f>
        <v/>
      </c>
      <c r="F6773" t="inlineStr">
        <is>
          <t>B0B34JMDCL</t>
        </is>
      </c>
      <c r="G6773">
        <f>_xludf.IMAGE("https://edmondsonsupply.com/cdn/shop/products/66074.jpg?v=1663249251")</f>
        <v/>
      </c>
      <c r="H6773">
        <f>_xludf.IMAGE("https://m.media-amazon.com/images/I/41vtzEP3nEL._AC_UL320_.jpg")</f>
        <v/>
      </c>
      <c r="K6773" t="inlineStr">
        <is>
          <t>12.71</t>
        </is>
      </c>
      <c r="L6773" t="n">
        <v>10.43</v>
      </c>
      <c r="M6773" s="1" t="inlineStr">
        <is>
          <t>-17.94%</t>
        </is>
      </c>
      <c r="N6773" s="1" t="n"/>
      <c r="O6773" t="n">
        <v>4.8</v>
      </c>
      <c r="P6773" t="n">
        <v>5</v>
      </c>
      <c r="R6773" t="inlineStr">
        <is>
          <t>InStock</t>
        </is>
      </c>
      <c r="S6773" t="inlineStr">
        <is>
          <t>17.8</t>
        </is>
      </c>
      <c r="T6773" t="inlineStr">
        <is>
          <t>7817341534424</t>
        </is>
      </c>
    </row>
    <row r="6774" ht="87" customHeight="1">
      <c r="A6774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6774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6774" t="inlineStr">
        <is>
          <t>Klein Tools CL390 AC/DC Digital Clamp Meter, Auto-Ranging 400 Amp</t>
        </is>
      </c>
      <c r="D6774" t="inlineStr">
        <is>
          <t>Klein Tools CL320 Digital Clamp Meter, HVAC AC Auto-ranging 400A, AC/DC Voltage, TRMS, DC Microamps, Resistance, Frequency, NCVT, Temp, More</t>
        </is>
      </c>
      <c r="E6774" s="2">
        <f>HYPERLINK("https://www.amazon.com/Klein-Tools-CL320-Digital-Electrical/dp/B08DDTV5KG/ref=sr_1_7?keywords=Klein+Tools+CL390+AC%2FDC+Digital+Clamp+Meter%2C+Auto-Ranging+400+Amp&amp;qid=1694735129&amp;sr=8-7", "https://www.amazon.com/Klein-Tools-CL320-Digital-Electrical/dp/B08DDTV5KG/ref=sr_1_7?keywords=Klein+Tools+CL390+AC%2FDC+Digital+Clamp+Meter%2C+Auto-Ranging+400+Amp&amp;qid=1694735129&amp;sr=8-7")</f>
        <v/>
      </c>
      <c r="F6774" t="inlineStr">
        <is>
          <t>B08DDTV5KG</t>
        </is>
      </c>
      <c r="G6774">
        <f>_xlfn.IMAGE("https://edmondsonsupply.com/cdn/shop/products/cl390.jpg?v=1662670722")</f>
        <v/>
      </c>
      <c r="H6774">
        <f>_xlfn.IMAGE("https://m.media-amazon.com/images/I/61qVZZBNj2L._AC_UY218_.jpg")</f>
        <v/>
      </c>
      <c r="K6774" t="inlineStr">
        <is>
          <t>99.97</t>
        </is>
      </c>
      <c r="L6774" t="n">
        <v>81.98999999999999</v>
      </c>
      <c r="M6774" s="1" t="inlineStr">
        <is>
          <t>-17.99%</t>
        </is>
      </c>
      <c r="N6774" s="7" t="n"/>
      <c r="O6774" t="n">
        <v>4.8</v>
      </c>
      <c r="P6774" t="n">
        <v>986</v>
      </c>
      <c r="R6774" t="inlineStr">
        <is>
          <t>InStock</t>
        </is>
      </c>
      <c r="S6774" t="inlineStr">
        <is>
          <t>133.3</t>
        </is>
      </c>
      <c r="T6774" t="inlineStr">
        <is>
          <t>7809430585560</t>
        </is>
      </c>
    </row>
    <row r="6775" hidden="1" ht="15.75" customHeight="1">
      <c r="A6775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6775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6775" t="inlineStr">
        <is>
          <t>Diablo Tools DMAPL4220 5/8 in. x 6 in. x 8 in. Rebar Demon™ SDS-Plus 4-Cutter Full Carbide Head Hammer Bit</t>
        </is>
      </c>
      <c r="D6775" t="inlineStr">
        <is>
          <t>Diablo by Freud DMAPL4050 3/16 in. x 6 in. x 8 in. Rebar Demon SDS-Plus 4-Cutter Full Carbide Head Hammer Bit Multi, One Size</t>
        </is>
      </c>
      <c r="E6775" s="2">
        <f>HYPERLINK("https://www.amazon.com/Diablo-SDS-Plus-4-Cutter-Carbide-Hammer/dp/B089LKWR9L/ref=sr_1_9?keywords=Diablo+Tools+DMAPL4220+5%2F8+in.+x+6+in.+x+8+in.+Rebar+Demon%E2%84%A2+SDS-Plus+4-Cutter+Full+Carbide+Head+Hammer+Bit&amp;qid=1694735306&amp;sr=8-9", "https://www.amazon.com/Diablo-SDS-Plus-4-Cutter-Carbide-Hammer/dp/B089LKWR9L/ref=sr_1_9?keywords=Diablo+Tools+DMAPL4220+5%2F8+in.+x+6+in.+x+8+in.+Rebar+Demon%E2%84%A2+SDS-Plus+4-Cutter+Full+Carbide+Head+Hammer+Bit&amp;qid=1694735306&amp;sr=8-9")</f>
        <v/>
      </c>
      <c r="F6775" t="inlineStr">
        <is>
          <t>B089LKWR9L</t>
        </is>
      </c>
      <c r="G6775">
        <f>_xludf.IMAGE("https://edmondsonsupply.com/cdn/shop/products/DMAPL4220.jpg?v=1633030355")</f>
        <v/>
      </c>
      <c r="H6775">
        <f>_xludf.IMAGE("https://m.media-amazon.com/images/I/61uukuKzJeL._AC_UL320_.jpg")</f>
        <v/>
      </c>
      <c r="K6775" t="inlineStr">
        <is>
          <t>10.97</t>
        </is>
      </c>
      <c r="L6775" t="n">
        <v>8.99</v>
      </c>
      <c r="M6775" s="1" t="inlineStr">
        <is>
          <t>-18.05%</t>
        </is>
      </c>
      <c r="N6775" s="1" t="n"/>
      <c r="O6775" t="n">
        <v>3.7</v>
      </c>
      <c r="P6775" t="n">
        <v>10</v>
      </c>
      <c r="R6775" t="inlineStr">
        <is>
          <t>InStock</t>
        </is>
      </c>
      <c r="S6775" t="inlineStr">
        <is>
          <t>17.16</t>
        </is>
      </c>
      <c r="T6775" t="inlineStr">
        <is>
          <t>5286142148776</t>
        </is>
      </c>
    </row>
    <row r="6776" hidden="1" ht="15.75" customHeight="1">
      <c r="A6776" s="2">
        <f>HYPERLINK("https://edmondsonsupply.com/collections/electricians-tools/products/diablo-tools-dag", "https://edmondsonsupply.com/collections/electricians-tools/products/diablo-tools-dag")</f>
        <v/>
      </c>
      <c r="B6776" s="2">
        <f>HYPERLINK("https://edmondsonsupply.com/products/diablo-tools-dag", "https://edmondsonsupply.com/products/diablo-tools-dag")</f>
        <v/>
      </c>
      <c r="C6776" t="inlineStr">
        <is>
          <t>Diablo Tools DAG3010 3/8 in. x 17-1/2 in. Auger Bit</t>
        </is>
      </c>
      <c r="D6776" t="inlineStr">
        <is>
          <t>Diablo by Freud DAG2050 5/8 in. x 13 in. Auger Bit Multi, One Size</t>
        </is>
      </c>
      <c r="E6776" s="2">
        <f>HYPERLINK("https://www.amazon.com/Diablo-DAG2050-13-Auger-Bit/dp/B089LK2GD1/ref=sr_1_15?keywords=Diablo+Tools+DAG3010+3%2F8+in.+x+17-1%2F2+in.+Auger+Bit&amp;qid=1694735073&amp;sr=8-15", "https://www.amazon.com/Diablo-DAG2050-13-Auger-Bit/dp/B089LK2GD1/ref=sr_1_15?keywords=Diablo+Tools+DAG3010+3%2F8+in.+x+17-1%2F2+in.+Auger+Bit&amp;qid=1694735073&amp;sr=8-15")</f>
        <v/>
      </c>
      <c r="F6776" t="inlineStr">
        <is>
          <t>B089LK2GD1</t>
        </is>
      </c>
      <c r="G6776">
        <f>_xludf.IMAGE("https://edmondsonsupply.com/cdn/shop/products/xfctdbahz5wx3g461fm8.webp?v=1669991052")</f>
        <v/>
      </c>
      <c r="H6776">
        <f>_xludf.IMAGE("https://m.media-amazon.com/images/I/61RpXX8ygZL._AC_UL320_.jpg")</f>
        <v/>
      </c>
      <c r="K6776" t="inlineStr">
        <is>
          <t>17.47</t>
        </is>
      </c>
      <c r="L6776" t="n">
        <v>14.31</v>
      </c>
      <c r="M6776" s="1" t="inlineStr">
        <is>
          <t>-18.09%</t>
        </is>
      </c>
      <c r="N6776" s="1" t="n"/>
      <c r="O6776" t="n">
        <v>5</v>
      </c>
      <c r="P6776" t="n">
        <v>4</v>
      </c>
      <c r="R6776" t="inlineStr">
        <is>
          <t>InStock</t>
        </is>
      </c>
      <c r="S6776" t="inlineStr">
        <is>
          <t>25.04</t>
        </is>
      </c>
      <c r="T6776" t="inlineStr">
        <is>
          <t>7897480921304</t>
        </is>
      </c>
    </row>
    <row r="6777" ht="87" customHeight="1">
      <c r="A6777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6777" s="2">
        <f>HYPERLINK("https://edmondsonsupply.com/products/klein-tools-rt250-gfci-receptacle-tester-with-lcd", "https://edmondsonsupply.com/products/klein-tools-rt250-gfci-receptacle-tester-with-lcd")</f>
        <v/>
      </c>
      <c r="C6777" t="inlineStr">
        <is>
          <t>Klein Tools RT250 GFCI Receptacle Tester with LCD</t>
        </is>
      </c>
      <c r="D6777" t="inlineStr">
        <is>
          <t>Case Compatible with Klein Tools ET310 AC Circuit Breaker Finder &amp; 80041 Outlet Repair Tool Kit &amp; RT250 GFCI Receptacle Tester. Electrical Tools Storage Organizer Holder Bag for Accessories (Box Only)</t>
        </is>
      </c>
      <c r="E6777" s="2">
        <f>HYPERLINK("https://www.amazon.com/Compatible-Integrated-Electrical-Organizer-Accessories/dp/B09JBWLH2B/ref=sr_1_32?keywords=Klein+Tools+RT250+GFCI+Receptacle+Tester+with+LCD&amp;qid=1694735148&amp;sr=8-32", "https://www.amazon.com/Compatible-Integrated-Electrical-Organizer-Accessories/dp/B09JBWLH2B/ref=sr_1_32?keywords=Klein+Tools+RT250+GFCI+Receptacle+Tester+with+LCD&amp;qid=1694735148&amp;sr=8-32")</f>
        <v/>
      </c>
      <c r="F6777" t="inlineStr">
        <is>
          <t>B09JBWLH2B</t>
        </is>
      </c>
      <c r="G6777">
        <f>_xlfn.IMAGE("https://edmondsonsupply.com/cdn/shop/products/rt250_photo_c.jpg?v=1661363824")</f>
        <v/>
      </c>
      <c r="H6777">
        <f>_xlfn.IMAGE("https://m.media-amazon.com/images/I/81yJafHL1vL._AC_UL320_.jpg")</f>
        <v/>
      </c>
      <c r="K6777" t="inlineStr">
        <is>
          <t>21.97</t>
        </is>
      </c>
      <c r="L6777" t="n">
        <v>17.99</v>
      </c>
      <c r="M6777" s="1" t="inlineStr">
        <is>
          <t>-18.12%</t>
        </is>
      </c>
      <c r="N6777" s="7" t="n"/>
      <c r="O6777" t="n">
        <v>4.5</v>
      </c>
      <c r="P6777" t="n">
        <v>1705</v>
      </c>
      <c r="R6777" t="inlineStr">
        <is>
          <t>InStock</t>
        </is>
      </c>
      <c r="S6777" t="inlineStr">
        <is>
          <t>30.78</t>
        </is>
      </c>
      <c r="T6777" t="inlineStr">
        <is>
          <t>7793138729176</t>
        </is>
      </c>
    </row>
    <row r="6778" ht="87" customHeight="1">
      <c r="A6778" s="2">
        <f>HYPERLINK("https://edmondsonsupply.com/collections/electricians-tools/products/diablo-tools-dmarg1180", "https://edmondsonsupply.com/collections/electricians-tools/products/diablo-tools-dmarg1180")</f>
        <v/>
      </c>
      <c r="B6778" s="2">
        <f>HYPERLINK("https://edmondsonsupply.com/products/diablo-tools-dmarg1180", "https://edmondsonsupply.com/products/diablo-tools-dmarg1180")</f>
        <v/>
      </c>
      <c r="C6778" t="inlineStr">
        <is>
          <t>Diablo Tools DMARG1180 5/8 in. x 10 in. x 12 in. SPEEDemon™ Red Granite Carbide Tipped Hammer Drill Bit</t>
        </is>
      </c>
      <c r="D6778" t="inlineStr">
        <is>
          <t>Diablo 5/8" x 10"x12" SPEEDemon™ Red Granite Carbide Tipped Hammer Drill Bit</t>
        </is>
      </c>
      <c r="E6778" s="2">
        <f>HYPERLINK("https://www.amazon.com/Diablo-SPEEDemon-Granite-Carbide-Tipped/dp/B089LG6VXL/ref=sr_1_1?keywords=Diablo+Tools+DMARG1180+5%2F8+in.+x+10+in.+x+12+in.+SPEEDemon%E2%84%A2+Red+Granite+Carbide+Tipped+Hammer+Drill+Bit&amp;qid=1694735299&amp;sr=8-1", "https://www.amazon.com/Diablo-SPEEDemon-Granite-Carbide-Tipped/dp/B089LG6VXL/ref=sr_1_1?keywords=Diablo+Tools+DMARG1180+5%2F8+in.+x+10+in.+x+12+in.+SPEEDemon%E2%84%A2+Red+Granite+Carbide+Tipped+Hammer+Drill+Bit&amp;qid=1694735299&amp;sr=8-1")</f>
        <v/>
      </c>
      <c r="F6778" t="inlineStr">
        <is>
          <t>B089LG6VXL</t>
        </is>
      </c>
      <c r="G6778">
        <f>_xlfn.IMAGE("https://edmondsonsupply.com/cdn/shop/products/DMARG1180_Main-Image.png?v=1633030424")</f>
        <v/>
      </c>
      <c r="H6778">
        <f>_xlfn.IMAGE("https://m.media-amazon.com/images/I/61oQS6tt6EL._AC_UL320_.jpg")</f>
        <v/>
      </c>
      <c r="K6778" t="inlineStr">
        <is>
          <t>18.97</t>
        </is>
      </c>
      <c r="L6778" t="n">
        <v>15.53</v>
      </c>
      <c r="M6778" s="1" t="inlineStr">
        <is>
          <t>-18.13%</t>
        </is>
      </c>
      <c r="N6778" s="7" t="n"/>
      <c r="O6778" t="n">
        <v>4.7</v>
      </c>
      <c r="P6778" t="n">
        <v>5</v>
      </c>
      <c r="R6778" t="inlineStr">
        <is>
          <t>InStock</t>
        </is>
      </c>
      <c r="S6778" t="inlineStr">
        <is>
          <t>undefined</t>
        </is>
      </c>
      <c r="T6778" t="inlineStr">
        <is>
          <t>5323605278888</t>
        </is>
      </c>
    </row>
    <row r="6779" ht="87" customHeight="1">
      <c r="A6779" s="2">
        <f>HYPERLINK("https://edmondsonsupply.com/collections/electricians-tools/products/klein-tools-j2000-9netp-linemans-pliers-fish-tape-pulling-9-inch", "https://edmondsonsupply.com/collections/electricians-tools/products/klein-tools-j2000-9netp-linemans-pliers-fish-tape-pulling-9-inch")</f>
        <v/>
      </c>
      <c r="B6779" s="2">
        <f>HYPERLINK("https://edmondsonsupply.com/products/klein-tools-j2000-9netp-linemans-pliers-fish-tape-pulling-9-inch", "https://edmondsonsupply.com/products/klein-tools-j2000-9netp-linemans-pliers-fish-tape-pulling-9-inch")</f>
        <v/>
      </c>
      <c r="C6779" t="inlineStr">
        <is>
          <t>Klein Tools J2000-9NETP Lineman's Pliers, Fish Tape Pulling, 9-Inch</t>
        </is>
      </c>
      <c r="D6779" t="inlineStr">
        <is>
          <t>Klein Tools J213-9NETP Journeyman High Leverage Fish Tape Pulling Side Cutting Pliers, 9-1/2-Inch</t>
        </is>
      </c>
      <c r="E6779" s="2">
        <f>HYPERLINK("https://www.amazon.com/Klein-Tools-J213-9NETP-Journeyman-Leverage/dp/B000TK970K/ref=sr_1_3?keywords=Klein+Tools+J2000-9NETP+Lineman%27s+Pliers%2C+Fish+Tape+Pulling%2C+9-Inch&amp;qid=1694735190&amp;sr=8-3", "https://www.amazon.com/Klein-Tools-J213-9NETP-Journeyman-Leverage/dp/B000TK970K/ref=sr_1_3?keywords=Klein+Tools+J2000-9NETP+Lineman%27s+Pliers%2C+Fish+Tape+Pulling%2C+9-Inch&amp;qid=1694735190&amp;sr=8-3")</f>
        <v/>
      </c>
      <c r="F6779" t="inlineStr">
        <is>
          <t>B000TK970K</t>
        </is>
      </c>
      <c r="G6779">
        <f>_xlfn.IMAGE("https://edmondsonsupply.com/cdn/shop/products/j20009netp.jpg?v=1633031134")</f>
        <v/>
      </c>
      <c r="H6779">
        <f>_xlfn.IMAGE("https://m.media-amazon.com/images/I/51Ux2OmUuAL._AC_UL320_.jpg")</f>
        <v/>
      </c>
      <c r="K6779" t="inlineStr">
        <is>
          <t>54.99</t>
        </is>
      </c>
      <c r="L6779" t="n">
        <v>44.99</v>
      </c>
      <c r="M6779" s="1" t="inlineStr">
        <is>
          <t>-18.19%</t>
        </is>
      </c>
      <c r="N6779" s="7" t="n"/>
      <c r="O6779" t="n">
        <v>4.8</v>
      </c>
      <c r="P6779" t="n">
        <v>419</v>
      </c>
      <c r="R6779" t="inlineStr">
        <is>
          <t>InStock</t>
        </is>
      </c>
      <c r="S6779" t="inlineStr">
        <is>
          <t>81.8</t>
        </is>
      </c>
      <c r="T6779" t="inlineStr">
        <is>
          <t>6883628384429</t>
        </is>
      </c>
    </row>
    <row r="6780" ht="87" customHeight="1">
      <c r="A6780" s="2">
        <f>HYPERLINK("https://edmondsonsupply.com/collections/electricians-tools/products/klein-tools-j2000-9netp-linemans-pliers-fish-tape-pulling-9-inch", "https://edmondsonsupply.com/collections/electricians-tools/products/klein-tools-j2000-9netp-linemans-pliers-fish-tape-pulling-9-inch")</f>
        <v/>
      </c>
      <c r="B6780" s="2">
        <f>HYPERLINK("https://edmondsonsupply.com/products/klein-tools-j2000-9netp-linemans-pliers-fish-tape-pulling-9-inch", "https://edmondsonsupply.com/products/klein-tools-j2000-9netp-linemans-pliers-fish-tape-pulling-9-inch")</f>
        <v/>
      </c>
      <c r="C6780" t="inlineStr">
        <is>
          <t>Klein Tools J2000-9NETP Lineman's Pliers, Fish Tape Pulling, 9-Inch</t>
        </is>
      </c>
      <c r="D6780" t="inlineStr">
        <is>
          <t>Klein Tools D2000-9NETP Lineman's Fish Tape Pulling Pliers, High Leverage Design with Handle Termpering for comfort when Cutting, 9-Inch</t>
        </is>
      </c>
      <c r="E6780" s="2">
        <f>HYPERLINK("https://www.amazon.com/Klein-Tools-D2000-9NETP-Linemans-Pulling/dp/B0002RI9G8/ref=sr_1_2?keywords=Klein+Tools+J2000-9NETP+Lineman%27s+Pliers%2C+Fish+Tape+Pulling%2C+9-Inch&amp;qid=1694735190&amp;sr=8-2", "https://www.amazon.com/Klein-Tools-D2000-9NETP-Linemans-Pulling/dp/B0002RI9G8/ref=sr_1_2?keywords=Klein+Tools+J2000-9NETP+Lineman%27s+Pliers%2C+Fish+Tape+Pulling%2C+9-Inch&amp;qid=1694735190&amp;sr=8-2")</f>
        <v/>
      </c>
      <c r="F6780" t="inlineStr">
        <is>
          <t>B0002RI9G8</t>
        </is>
      </c>
      <c r="G6780">
        <f>_xlfn.IMAGE("https://edmondsonsupply.com/cdn/shop/products/j20009netp.jpg?v=1633031134")</f>
        <v/>
      </c>
      <c r="H6780">
        <f>_xlfn.IMAGE("https://m.media-amazon.com/images/I/41kGFR8FwvL._AC_UL320_.jpg")</f>
        <v/>
      </c>
      <c r="K6780" t="inlineStr">
        <is>
          <t>54.99</t>
        </is>
      </c>
      <c r="L6780" t="n">
        <v>44.99</v>
      </c>
      <c r="M6780" s="1" t="inlineStr">
        <is>
          <t>-18.19%</t>
        </is>
      </c>
      <c r="N6780" s="7" t="n"/>
      <c r="O6780" t="n">
        <v>4.8</v>
      </c>
      <c r="P6780" t="n">
        <v>1733</v>
      </c>
      <c r="R6780" t="inlineStr">
        <is>
          <t>InStock</t>
        </is>
      </c>
      <c r="S6780" t="inlineStr">
        <is>
          <t>81.8</t>
        </is>
      </c>
      <c r="T6780" t="inlineStr">
        <is>
          <t>6883628384429</t>
        </is>
      </c>
    </row>
    <row r="6781" ht="87" customHeight="1">
      <c r="A6781" s="2">
        <f>HYPERLINK("https://edmondsonsupply.com/collections/electricians-tools/products/klein-tools-j20017ne-heavy-duty-linemans-pliers-7-inch", "https://edmondsonsupply.com/collections/electricians-tools/products/klein-tools-j20017ne-heavy-duty-linemans-pliers-7-inch")</f>
        <v/>
      </c>
      <c r="B6781" s="2">
        <f>HYPERLINK("https://edmondsonsupply.com/products/klein-tools-j20017ne-heavy-duty-linemans-pliers-7-inch", "https://edmondsonsupply.com/products/klein-tools-j20017ne-heavy-duty-linemans-pliers-7-inch")</f>
        <v/>
      </c>
      <c r="C6781" t="inlineStr">
        <is>
          <t>Klein Tools J20017NE Heavy-Duty Lineman's Pliers, 7-Inch</t>
        </is>
      </c>
      <c r="D6781" t="inlineStr">
        <is>
          <t>Klein Tools D2000-7 Pliers, Heavy Duty Side Cutters, High Leverage fFor Cutting ACSR, Screws, Nails and Most Wire, 7-Inch</t>
        </is>
      </c>
      <c r="E6781" s="2">
        <f>HYPERLINK("https://www.amazon.com/Cutters-Leverage-Klein-Tools-D2000-7/dp/B00093DXUW/ref=sr_1_2?keywords=Klein+Tools+J20017NE+Heavy-Duty+Lineman%27s+Pliers%2C+7-Inch&amp;qid=1694735135&amp;sr=8-2", "https://www.amazon.com/Cutters-Leverage-Klein-Tools-D2000-7/dp/B00093DXUW/ref=sr_1_2?keywords=Klein+Tools+J20017NE+Heavy-Duty+Lineman%27s+Pliers%2C+7-Inch&amp;qid=1694735135&amp;sr=8-2")</f>
        <v/>
      </c>
      <c r="F6781" t="inlineStr">
        <is>
          <t>B00093DXUW</t>
        </is>
      </c>
      <c r="G6781">
        <f>_xlfn.IMAGE("https://edmondsonsupply.com/cdn/shop/products/j20017ne.jpg?v=1662669673")</f>
        <v/>
      </c>
      <c r="H6781">
        <f>_xlfn.IMAGE("https://m.media-amazon.com/images/I/51qEoG92lmL._AC_UL320_.jpg")</f>
        <v/>
      </c>
      <c r="K6781" t="inlineStr">
        <is>
          <t>54.99</t>
        </is>
      </c>
      <c r="L6781" t="n">
        <v>44.99</v>
      </c>
      <c r="M6781" s="1" t="inlineStr">
        <is>
          <t>-18.19%</t>
        </is>
      </c>
      <c r="N6781" s="7" t="n"/>
      <c r="O6781" t="n">
        <v>4.4</v>
      </c>
      <c r="P6781" t="n">
        <v>48</v>
      </c>
      <c r="R6781" t="inlineStr">
        <is>
          <t>InStock</t>
        </is>
      </c>
      <c r="S6781" t="inlineStr">
        <is>
          <t>81.8</t>
        </is>
      </c>
      <c r="T6781" t="inlineStr">
        <is>
          <t>7809426784472</t>
        </is>
      </c>
    </row>
    <row r="6782" ht="87" customHeight="1">
      <c r="A6782" s="2">
        <f>HYPERLINK("https://edmondsonsupply.com/collections/electricians-tools/products/klein-tools-d86930-reversible-jaw-adjustable-pipe-wrench-10-inch", "https://edmondsonsupply.com/collections/electricians-tools/products/klein-tools-d86930-reversible-jaw-adjustable-pipe-wrench-10-inch")</f>
        <v/>
      </c>
      <c r="B6782" s="2">
        <f>HYPERLINK("https://edmondsonsupply.com/products/klein-tools-d86930-reversible-jaw-adjustable-pipe-wrench-10-inch", "https://edmondsonsupply.com/products/klein-tools-d86930-reversible-jaw-adjustable-pipe-wrench-10-inch")</f>
        <v/>
      </c>
      <c r="C6782" t="inlineStr">
        <is>
          <t>Klein Tools D86930 Reversible Jaw/Adjustable Pipe Wrench, 10-Inch</t>
        </is>
      </c>
      <c r="D6782" t="inlineStr">
        <is>
          <t>Klein Tools D507-10 Adjustable Drive Wrench, Forged with Extra Capacity Jaw and High Polish Chrome Finish, 10-inch</t>
        </is>
      </c>
      <c r="E6782" s="2">
        <f>HYPERLINK("https://www.amazon.com/Adjustable-Capacity-Klein-Tools-D507-10/dp/B000ALGRG0/ref=sr_1_4?keywords=Klein+Tools+D86930+Reversible+Jaw%2FAdjustable+Pipe+Wrench%2C+10-Inch&amp;qid=1694735357&amp;sr=8-4", "https://www.amazon.com/Adjustable-Capacity-Klein-Tools-D507-10/dp/B000ALGRG0/ref=sr_1_4?keywords=Klein+Tools+D86930+Reversible+Jaw%2FAdjustable+Pipe+Wrench%2C+10-Inch&amp;qid=1694735357&amp;sr=8-4")</f>
        <v/>
      </c>
      <c r="F6782" t="inlineStr">
        <is>
          <t>B000ALGRG0</t>
        </is>
      </c>
      <c r="G6782">
        <f>_xlfn.IMAGE("https://edmondsonsupply.com/cdn/shop/products/d86930.jpg?v=1587142930")</f>
        <v/>
      </c>
      <c r="H6782">
        <f>_xlfn.IMAGE("https://m.media-amazon.com/images/I/51G2nXuUvrL._AC_UL320_.jpg")</f>
        <v/>
      </c>
      <c r="K6782" t="inlineStr">
        <is>
          <t>43.99</t>
        </is>
      </c>
      <c r="L6782" t="n">
        <v>35.99</v>
      </c>
      <c r="M6782" s="1" t="inlineStr">
        <is>
          <t>-18.19%</t>
        </is>
      </c>
      <c r="N6782" s="7" t="n"/>
      <c r="O6782" t="n">
        <v>4.8</v>
      </c>
      <c r="P6782" t="n">
        <v>497</v>
      </c>
      <c r="R6782" t="inlineStr">
        <is>
          <t>InStock</t>
        </is>
      </c>
      <c r="S6782" t="inlineStr">
        <is>
          <t>63.4</t>
        </is>
      </c>
      <c r="T6782" t="inlineStr">
        <is>
          <t>4431821996132</t>
        </is>
      </c>
    </row>
    <row r="6783" ht="87" customHeight="1">
      <c r="A6783" s="2">
        <f>HYPERLINK("https://edmondsonsupply.com/collections/electricians-tools/products/klein-tools-d86930-reversible-jaw-adjustable-pipe-wrench-10-inch", "https://edmondsonsupply.com/collections/electricians-tools/products/klein-tools-d86930-reversible-jaw-adjustable-pipe-wrench-10-inch")</f>
        <v/>
      </c>
      <c r="B6783" s="2">
        <f>HYPERLINK("https://edmondsonsupply.com/products/klein-tools-d86930-reversible-jaw-adjustable-pipe-wrench-10-inch", "https://edmondsonsupply.com/products/klein-tools-d86930-reversible-jaw-adjustable-pipe-wrench-10-inch")</f>
        <v/>
      </c>
      <c r="C6783" t="inlineStr">
        <is>
          <t>Klein Tools D86930 Reversible Jaw/Adjustable Pipe Wrench, 10-Inch</t>
        </is>
      </c>
      <c r="D6783" t="inlineStr">
        <is>
          <t>Klein Tools 507-10 Adjustable Wrench, Extra Capacity Jaw Forged Drive Wrench with High Polish Chrome Finish, 10-Inch</t>
        </is>
      </c>
      <c r="E6783" s="2">
        <f>HYPERLINK("https://www.amazon.com/Klein-Tools-507-10-Adjustable-Extra-Capacity/dp/B001BQ0DZE/ref=sr_1_5?keywords=Klein+Tools+D86930+Reversible+Jaw%2FAdjustable+Pipe+Wrench%2C+10-Inch&amp;qid=1694735357&amp;sr=8-5", "https://www.amazon.com/Klein-Tools-507-10-Adjustable-Extra-Capacity/dp/B001BQ0DZE/ref=sr_1_5?keywords=Klein+Tools+D86930+Reversible+Jaw%2FAdjustable+Pipe+Wrench%2C+10-Inch&amp;qid=1694735357&amp;sr=8-5")</f>
        <v/>
      </c>
      <c r="F6783" t="inlineStr">
        <is>
          <t>B001BQ0DZE</t>
        </is>
      </c>
      <c r="G6783">
        <f>_xlfn.IMAGE("https://edmondsonsupply.com/cdn/shop/products/d86930.jpg?v=1587142930")</f>
        <v/>
      </c>
      <c r="H6783">
        <f>_xlfn.IMAGE("https://m.media-amazon.com/images/I/41QFoeMz0WL._AC_UL320_.jpg")</f>
        <v/>
      </c>
      <c r="K6783" t="inlineStr">
        <is>
          <t>43.99</t>
        </is>
      </c>
      <c r="L6783" t="n">
        <v>35.99</v>
      </c>
      <c r="M6783" s="1" t="inlineStr">
        <is>
          <t>-18.19%</t>
        </is>
      </c>
      <c r="N6783" s="7" t="n"/>
      <c r="O6783" t="n">
        <v>4.7</v>
      </c>
      <c r="P6783" t="n">
        <v>20</v>
      </c>
      <c r="R6783" t="inlineStr">
        <is>
          <t>InStock</t>
        </is>
      </c>
      <c r="S6783" t="inlineStr">
        <is>
          <t>63.4</t>
        </is>
      </c>
      <c r="T6783" t="inlineStr">
        <is>
          <t>4431821996132</t>
        </is>
      </c>
    </row>
    <row r="6784" hidden="1" ht="15.75" customHeight="1">
      <c r="A6784" s="2">
        <f>HYPERLINK("https://edmondsonsupply.com/collections/electricians-tools/products/klein-tools-31932-bi-metal-hole-saw-2-inch", "https://edmondsonsupply.com/collections/electricians-tools/products/klein-tools-31932-bi-metal-hole-saw-2-inch")</f>
        <v/>
      </c>
      <c r="B6784" s="2">
        <f>HYPERLINK("https://edmondsonsupply.com/products/klein-tools-31932-bi-metal-hole-saw-2-inch", "https://edmondsonsupply.com/products/klein-tools-31932-bi-metal-hole-saw-2-inch")</f>
        <v/>
      </c>
      <c r="C6784" t="inlineStr">
        <is>
          <t>Klein Tools 31932 Bi-Metal Hole Saw, 2-Inch</t>
        </is>
      </c>
      <c r="D6784" t="inlineStr">
        <is>
          <t>Klein Tools 31922 Bi-Metal Hole Saw, 1-3/8-Inch</t>
        </is>
      </c>
      <c r="E6784" s="2">
        <f>HYPERLINK("https://www.amazon.com/Bi-Metal-8-Inch-Klein-Tools-31922/dp/B019874Q0K/ref=sr_1_3?keywords=Klein+Tools+31932+Bi-Metal+Hole+Saw%2C+2-Inch&amp;qid=1694735227&amp;sr=8-3", "https://www.amazon.com/Bi-Metal-8-Inch-Klein-Tools-31922/dp/B019874Q0K/ref=sr_1_3?keywords=Klein+Tools+31932+Bi-Metal+Hole+Saw%2C+2-Inch&amp;qid=1694735227&amp;sr=8-3")</f>
        <v/>
      </c>
      <c r="F6784" t="inlineStr">
        <is>
          <t>B019874Q0K</t>
        </is>
      </c>
      <c r="G6784">
        <f>_xludf.IMAGE("https://edmondsonsupply.com/cdn/shop/products/31932.jpg?v=1633030939")</f>
        <v/>
      </c>
      <c r="H6784">
        <f>_xludf.IMAGE("https://m.media-amazon.com/images/I/41GAmyLoB4L._AC_UL320_.jpg")</f>
        <v/>
      </c>
      <c r="K6784" t="inlineStr">
        <is>
          <t>10.99</t>
        </is>
      </c>
      <c r="L6784" t="n">
        <v>8.99</v>
      </c>
      <c r="M6784" s="1" t="inlineStr">
        <is>
          <t>-18.20%</t>
        </is>
      </c>
      <c r="N6784" s="1" t="n"/>
      <c r="O6784" t="n">
        <v>4.5</v>
      </c>
      <c r="P6784" t="n">
        <v>365</v>
      </c>
      <c r="R6784" t="inlineStr">
        <is>
          <t>InStock</t>
        </is>
      </c>
      <c r="S6784" t="inlineStr">
        <is>
          <t>15.42</t>
        </is>
      </c>
      <c r="T6784" t="inlineStr">
        <is>
          <t>6572814434477</t>
        </is>
      </c>
    </row>
    <row r="6785" ht="87" customHeight="1">
      <c r="A6785" s="2">
        <f>HYPERLINK("https://edmondsonsupply.com/collections/electricians-tools/products/milwaukee-2840-20-m18-fuel%E2%84%A2-2-gallon-compact-quiet-compressor", "https://edmondsonsupply.com/collections/electricians-tools/products/milwaukee-2840-20-m18-fuel%E2%84%A2-2-gallon-compact-quiet-compressor")</f>
        <v/>
      </c>
      <c r="B6785" s="2">
        <f>HYPERLINK("https://edmondsonsupply.com/products/milwaukee-2840-20-m18-fuel%e2%84%a2-2-gallon-compact-quiet-compressor", "https://edmondsonsupply.com/products/milwaukee-2840-20-m18-fuel%e2%84%a2-2-gallon-compact-quiet-compressor")</f>
        <v/>
      </c>
      <c r="C6785" t="inlineStr">
        <is>
          <t>Milwaukee 2840-20 M18 FUEL™ 2 Gallon Compact Quiet Compressor</t>
        </is>
      </c>
      <c r="D6785" t="inlineStr">
        <is>
          <t>Milwaukee M18 FUEL 2 Gallon Compact Quiet Compressor</t>
        </is>
      </c>
      <c r="E6785" s="2">
        <f>HYPERLINK("https://www.amazon.com/Milwaukee-Gallon-Compact-Quiet-Compressor/dp/B09KP54SJB/ref=sr_1_1?keywords=Milwaukee+2840-20+M18+FUEL%E2%84%A2+2+Gallon+Compact+Quiet+Compressor&amp;qid=1694735031&amp;sr=8-1", "https://www.amazon.com/Milwaukee-Gallon-Compact-Quiet-Compressor/dp/B09KP54SJB/ref=sr_1_1?keywords=Milwaukee+2840-20+M18+FUEL%E2%84%A2+2+Gallon+Compact+Quiet+Compressor&amp;qid=1694735031&amp;sr=8-1")</f>
        <v/>
      </c>
      <c r="F6785" t="inlineStr">
        <is>
          <t>B09KP54SJB</t>
        </is>
      </c>
      <c r="G6785">
        <f>_xlfn.IMAGE("https://edmondsonsupply.com/cdn/shop/products/2840-20_4.webp?v=1678905365")</f>
        <v/>
      </c>
      <c r="H6785">
        <f>_xlfn.IMAGE("https://m.media-amazon.com/images/I/31nnGMwGAyL._AC_UL320_.jpg")</f>
        <v/>
      </c>
      <c r="K6785" t="inlineStr">
        <is>
          <t>379.0</t>
        </is>
      </c>
      <c r="L6785" t="n">
        <v>310</v>
      </c>
      <c r="M6785" s="1" t="inlineStr">
        <is>
          <t>-18.21%</t>
        </is>
      </c>
      <c r="N6785" s="7" t="n"/>
      <c r="O6785" t="n">
        <v>4.7</v>
      </c>
      <c r="P6785" t="n">
        <v>96</v>
      </c>
      <c r="R6785" t="inlineStr">
        <is>
          <t>InStock</t>
        </is>
      </c>
      <c r="S6785" t="inlineStr">
        <is>
          <t>667.0</t>
        </is>
      </c>
      <c r="T6785" t="inlineStr">
        <is>
          <t>7962091258072</t>
        </is>
      </c>
    </row>
    <row r="6786" ht="87" customHeight="1">
      <c r="A6786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6786" s="2">
        <f>HYPERLINK("https://edmondsonsupply.com/products/klein-tools-32305-15-in-1-multi-bit-ratcheting-screwdriver", "https://edmondsonsupply.com/products/klein-tools-32305-15-in-1-multi-bit-ratcheting-screwdriver")</f>
        <v/>
      </c>
      <c r="C6786" t="inlineStr">
        <is>
          <t>Klein Tools 32305 15-in-1 Multi-Bit Ratcheting Screwdriver</t>
        </is>
      </c>
      <c r="D6786" t="inlineStr">
        <is>
          <t>Klein Tools 32593 Multi-bit Ratcheting Screwdriver, 6-in-1 Stubby Tool with Phillips and Slotted Bits and 2 Nut Driver Sizes</t>
        </is>
      </c>
      <c r="E6786" s="2">
        <f>HYPERLINK("https://www.amazon.com/Ratcheting-Screwdriver-Klein-Tools-32593/dp/B01I2KJ91K/ref=sr_1_34?keywords=Klein+Tools+32305+15-in-1+Multi-Bit+Ratcheting+Screwdriver&amp;qid=1694735163&amp;sr=8-34", "https://www.amazon.com/Ratcheting-Screwdriver-Klein-Tools-32593/dp/B01I2KJ91K/ref=sr_1_34?keywords=Klein+Tools+32305+15-in-1+Multi-Bit+Ratcheting+Screwdriver&amp;qid=1694735163&amp;sr=8-34")</f>
        <v/>
      </c>
      <c r="F6786" t="inlineStr">
        <is>
          <t>B01I2KJ91K</t>
        </is>
      </c>
      <c r="G6786">
        <f>_xlfn.IMAGE("https://edmondsonsupply.com/cdn/shop/products/32305.jpg?v=1646965475")</f>
        <v/>
      </c>
      <c r="H6786">
        <f>_xlfn.IMAGE("https://m.media-amazon.com/images/I/51WOLpdOfpL._AC_UL320_.jpg")</f>
        <v/>
      </c>
      <c r="K6786" t="inlineStr">
        <is>
          <t>21.97</t>
        </is>
      </c>
      <c r="L6786" t="n">
        <v>17.97</v>
      </c>
      <c r="M6786" s="1" t="inlineStr">
        <is>
          <t>-18.21%</t>
        </is>
      </c>
      <c r="N6786" s="7" t="n"/>
      <c r="O6786" t="n">
        <v>4.8</v>
      </c>
      <c r="P6786" t="n">
        <v>1664</v>
      </c>
      <c r="R6786" t="inlineStr">
        <is>
          <t>InStock</t>
        </is>
      </c>
      <c r="S6786" t="inlineStr">
        <is>
          <t>30.78</t>
        </is>
      </c>
      <c r="T6786" t="inlineStr">
        <is>
          <t>7632426598616</t>
        </is>
      </c>
    </row>
    <row r="6787" hidden="1" ht="15.75" customHeight="1">
      <c r="A6787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6787" s="2">
        <f>HYPERLINK("https://edmondsonsupply.com/products/diablo-tools-dmapl2320-1-2-in-x-10-in-x-12-in-sds-plus-2-cutter", "https://edmondsonsupply.com/products/diablo-tools-dmapl2320-1-2-in-x-10-in-x-12-in-sds-plus-2-cutter")</f>
        <v/>
      </c>
      <c r="C6787" t="inlineStr">
        <is>
          <t>Diablo Tools DMAPL2320 1/2 in. x 10 in. x 12 in. SDS-Plus 2-Cutter</t>
        </is>
      </c>
      <c r="D6787" t="inlineStr">
        <is>
          <t>Diablo 1/2 in. x 10 in. x 12 in. SDS-Plus 2-Cutter</t>
        </is>
      </c>
      <c r="E6787" s="2">
        <f>HYPERLINK("https://www.amazon.com/Diablo-10-12-SDS-Plus-2-Cutter/dp/B089LLL1VX/ref=sr_1_4?keywords=Diablo+Tools+DMAPL2320+1%2F2+in.+x+10+in.+x+12+in.+SDS-Plus+2-Cutter&amp;qid=1694735300&amp;sr=8-4", "https://www.amazon.com/Diablo-10-12-SDS-Plus-2-Cutter/dp/B089LLL1VX/ref=sr_1_4?keywords=Diablo+Tools+DMAPL2320+1%2F2+in.+x+10+in.+x+12+in.+SDS-Plus+2-Cutter&amp;qid=1694735300&amp;sr=8-4")</f>
        <v/>
      </c>
      <c r="F6787" t="inlineStr">
        <is>
          <t>B089LLL1VX</t>
        </is>
      </c>
      <c r="G6787">
        <f>_xludf.IMAGE("https://edmondsonsupply.com/cdn/shop/products/DMAPL2320.jpg?v=1633030356")</f>
        <v/>
      </c>
      <c r="H6787">
        <f>_xludf.IMAGE("https://m.media-amazon.com/images/I/61+hWGquLCL._AC_UL320_.jpg")</f>
        <v/>
      </c>
      <c r="K6787" t="inlineStr">
        <is>
          <t>12.97</t>
        </is>
      </c>
      <c r="L6787" t="n">
        <v>10.6</v>
      </c>
      <c r="M6787" s="1" t="inlineStr">
        <is>
          <t>-18.27%</t>
        </is>
      </c>
      <c r="N6787" s="1" t="n"/>
      <c r="O6787" t="n">
        <v>4.7</v>
      </c>
      <c r="P6787" t="n">
        <v>4</v>
      </c>
      <c r="R6787" t="inlineStr">
        <is>
          <t>InStock</t>
        </is>
      </c>
      <c r="S6787" t="inlineStr">
        <is>
          <t>14.25</t>
        </is>
      </c>
      <c r="T6787" t="inlineStr">
        <is>
          <t>5286282264744</t>
        </is>
      </c>
    </row>
    <row r="6788" hidden="1" ht="15.75" customHeight="1">
      <c r="A6788" s="2">
        <f>HYPERLINK("https://edmondsonsupply.com/collections/electricians-tools/products/klein-tools-98002bt-beverage-tool-bottle-opener", "https://edmondsonsupply.com/collections/electricians-tools/products/klein-tools-98002bt-beverage-tool-bottle-opener")</f>
        <v/>
      </c>
      <c r="B6788" s="2">
        <f>HYPERLINK("https://edmondsonsupply.com/products/klein-tools-98002bt-beverage-tool-bottle-opener", "https://edmondsonsupply.com/products/klein-tools-98002bt-beverage-tool-bottle-opener")</f>
        <v/>
      </c>
      <c r="C6788" t="inlineStr">
        <is>
          <t>Klein Tools 98002BT Beverage Tool - Bottle Opener</t>
        </is>
      </c>
      <c r="D6788" t="inlineStr">
        <is>
          <t>Klein Tools 98002BT Klein Bottle Opener</t>
        </is>
      </c>
      <c r="E6788" s="2">
        <f>HYPERLINK("https://www.amazon.com/Klein-Bottle-Opener-Tools-98002BT/dp/B00093GENU/ref=sr_1_2?keywords=Klein+Tools+98002BT+Beverage+Tool+-+Bottle+Opener&amp;qid=1694735352&amp;sr=8-2", "https://www.amazon.com/Klein-Bottle-Opener-Tools-98002BT/dp/B00093GENU/ref=sr_1_2?keywords=Klein+Tools+98002BT+Beverage+Tool+-+Bottle+Opener&amp;qid=1694735352&amp;sr=8-2")</f>
        <v/>
      </c>
      <c r="F6788" t="inlineStr">
        <is>
          <t>B00093GENU</t>
        </is>
      </c>
      <c r="G6788">
        <f>_xludf.IMAGE("https://edmondsonsupply.com/cdn/shop/products/98002.jpg?v=1587146514")</f>
        <v/>
      </c>
      <c r="H6788">
        <f>_xludf.IMAGE("https://m.media-amazon.com/images/I/51Q4p3B6WrL._AC_UL320_.jpg")</f>
        <v/>
      </c>
      <c r="K6788" t="inlineStr">
        <is>
          <t>8.99</t>
        </is>
      </c>
      <c r="L6788" t="n">
        <v>7.34</v>
      </c>
      <c r="M6788" s="1" t="inlineStr">
        <is>
          <t>-18.35%</t>
        </is>
      </c>
      <c r="N6788" s="1" t="n"/>
      <c r="O6788" t="n">
        <v>4.9</v>
      </c>
      <c r="P6788" t="n">
        <v>2131</v>
      </c>
      <c r="R6788" t="inlineStr">
        <is>
          <t>InStock</t>
        </is>
      </c>
      <c r="S6788" t="inlineStr">
        <is>
          <t>13.62</t>
        </is>
      </c>
      <c r="T6788" t="inlineStr">
        <is>
          <t>4495588786276</t>
        </is>
      </c>
    </row>
    <row r="6789" ht="87" customHeight="1">
      <c r="A6789" s="2">
        <f>HYPERLINK("https://edmondsonsupply.com/collections/electricians-tools/products/klein-tools-58890-17-pocket-tool-tote-with-shoulder-strap", "https://edmondsonsupply.com/collections/electricians-tools/products/klein-tools-58890-17-pocket-tool-tote-with-shoulder-strap")</f>
        <v/>
      </c>
      <c r="B6789" s="2">
        <f>HYPERLINK("https://edmondsonsupply.com/products/klein-tools-58890-17-pocket-tool-tote-with-shoulder-strap", "https://edmondsonsupply.com/products/klein-tools-58890-17-pocket-tool-tote-with-shoulder-strap")</f>
        <v/>
      </c>
      <c r="C6789" t="inlineStr">
        <is>
          <t>Klein Tools 58890 17 Pocket Tool Tote with Shoulder Strap</t>
        </is>
      </c>
      <c r="D6789" t="inlineStr">
        <is>
          <t>Klein Tools 5102-18SP Deluxe Canvas Tool Bag Made of Natural Canvas with 13 Interior Pockets and Detachable Shoulder Strap, 18-Inch</t>
        </is>
      </c>
      <c r="E6789" s="2">
        <f>HYPERLINK("https://www.amazon.com/Deluxe-18-Inch-Klein-Tools-5102-18SP/dp/B007V8ZIRE/ref=sr_1_7?keywords=Klein+Tools+58890+17+Pocket+Tool+Tote+with+Shoulder+Strap&amp;qid=1694735362&amp;sr=8-7", "https://www.amazon.com/Deluxe-18-Inch-Klein-Tools-5102-18SP/dp/B007V8ZIRE/ref=sr_1_7?keywords=Klein+Tools+58890+17+Pocket+Tool+Tote+with+Shoulder+Strap&amp;qid=1694735362&amp;sr=8-7")</f>
        <v/>
      </c>
      <c r="F6789" t="inlineStr">
        <is>
          <t>B007V8ZIRE</t>
        </is>
      </c>
      <c r="G6789">
        <f>_xlfn.IMAGE("https://edmondsonsupply.com/cdn/shop/products/58890.jpg?v=1587148627")</f>
        <v/>
      </c>
      <c r="H6789">
        <f>_xlfn.IMAGE("https://m.media-amazon.com/images/I/51fcZXNI5NL._AC_UL320_.jpg")</f>
        <v/>
      </c>
      <c r="K6789" t="inlineStr">
        <is>
          <t>97.99</t>
        </is>
      </c>
      <c r="L6789" t="n">
        <v>80</v>
      </c>
      <c r="M6789" s="1" t="inlineStr">
        <is>
          <t>-18.36%</t>
        </is>
      </c>
      <c r="N6789" s="7" t="n"/>
      <c r="O6789" t="n">
        <v>4.7</v>
      </c>
      <c r="P6789" t="n">
        <v>640</v>
      </c>
      <c r="R6789" t="inlineStr">
        <is>
          <t>InStock</t>
        </is>
      </c>
      <c r="S6789" t="inlineStr">
        <is>
          <t>148.48</t>
        </is>
      </c>
      <c r="T6789" t="inlineStr">
        <is>
          <t>4432350740580</t>
        </is>
      </c>
    </row>
    <row r="6790" hidden="1" ht="15.75" customHeight="1">
      <c r="A6790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6790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6790" t="inlineStr">
        <is>
          <t>Klein Tools 600-6 5/16-Inch Keystone Screwdriver 6-Inch SQ Shank</t>
        </is>
      </c>
      <c r="D6790" t="inlineStr">
        <is>
          <t>Klein Tools BD306 5/16-Inch Flat Head Screwdriver with Keystone Tip, 6-Inch Square Shank and Comfordome Handle</t>
        </is>
      </c>
      <c r="E6790" s="2">
        <f>HYPERLINK("https://www.amazon.com/Klein-BD306-Screwdriver-Keystone-Comfordome/dp/B0002RI9AE/ref=sr_1_26?keywords=Klein+Tools+600-6+5%2F16-Inch+Keystone+Screwdriver+6-Inch+SQ+Shank&amp;qid=1694735292&amp;sr=8-26", "https://www.amazon.com/Klein-BD306-Screwdriver-Keystone-Comfordome/dp/B0002RI9AE/ref=sr_1_26?keywords=Klein+Tools+600-6+5%2F16-Inch+Keystone+Screwdriver+6-Inch+SQ+Shank&amp;qid=1694735292&amp;sr=8-26")</f>
        <v/>
      </c>
      <c r="F6790" t="inlineStr">
        <is>
          <t>B0002RI9AE</t>
        </is>
      </c>
      <c r="G6790">
        <f>_xludf.IMAGE("https://edmondsonsupply.com/cdn/shop/products/600-6.jpg?v=1633030381")</f>
        <v/>
      </c>
      <c r="H6790">
        <f>_xludf.IMAGE("https://m.media-amazon.com/images/I/41p77tZs77L._AC_UL320_.jpg")</f>
        <v/>
      </c>
      <c r="K6790" t="inlineStr">
        <is>
          <t>13.97</t>
        </is>
      </c>
      <c r="L6790" t="n">
        <v>11.4</v>
      </c>
      <c r="M6790" s="1" t="inlineStr">
        <is>
          <t>-18.40%</t>
        </is>
      </c>
      <c r="N6790" s="1" t="n"/>
      <c r="O6790" t="n">
        <v>4.6</v>
      </c>
      <c r="P6790" t="n">
        <v>19</v>
      </c>
      <c r="R6790" t="inlineStr">
        <is>
          <t>InStock</t>
        </is>
      </c>
      <c r="S6790" t="inlineStr">
        <is>
          <t>18.5</t>
        </is>
      </c>
      <c r="T6790" t="inlineStr">
        <is>
          <t>5296722542760</t>
        </is>
      </c>
    </row>
    <row r="6791" hidden="1" ht="15.75" customHeight="1">
      <c r="A6791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6791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6791" t="inlineStr">
        <is>
          <t>Klein Tools JTH6E11BE 3/16-Inch Ball Hex Key, Journeyman T-Handle 6-Inch</t>
        </is>
      </c>
      <c r="D6791" t="inlineStr">
        <is>
          <t>Klein Tools JTH9E14 5/16-Inch Hex Key, Journeyman T-Handle, 9-Inch</t>
        </is>
      </c>
      <c r="E6791" s="2">
        <f>HYPERLINK("https://www.amazon.com/Journeyman-T-Handle-Klein-Tools-JTH9E14/dp/B004QVAH4I/ref=sr_1_11?keywords=Klein+Tools+JTH6E11BE+3%2F16-Inch+Ball+Hex+Key%2C+Journeyman+T-Handle+6-Inch&amp;qid=1694735233&amp;sr=8-11", "https://www.amazon.com/Journeyman-T-Handle-Klein-Tools-JTH9E14/dp/B004QVAH4I/ref=sr_1_11?keywords=Klein+Tools+JTH6E11BE+3%2F16-Inch+Ball+Hex+Key%2C+Journeyman+T-Handle+6-Inch&amp;qid=1694735233&amp;sr=8-11")</f>
        <v/>
      </c>
      <c r="F6791" t="inlineStr">
        <is>
          <t>B004QVAH4I</t>
        </is>
      </c>
      <c r="G6791">
        <f>_xludf.IMAGE("https://edmondsonsupply.com/cdn/shop/products/jth6e13be_9dba8a6a-8a07-4d76-a54f-fe57b92b3fea.jpg?v=1610659188")</f>
        <v/>
      </c>
      <c r="H6791">
        <f>_xludf.IMAGE("https://m.media-amazon.com/images/I/51Yb8h41vLL._AC_UL320_.jpg")</f>
        <v/>
      </c>
      <c r="K6791" t="inlineStr">
        <is>
          <t>9.12</t>
        </is>
      </c>
      <c r="L6791" t="n">
        <v>7.44</v>
      </c>
      <c r="M6791" s="1" t="inlineStr">
        <is>
          <t>-18.42%</t>
        </is>
      </c>
      <c r="N6791" s="1" t="n"/>
      <c r="O6791" t="n">
        <v>4.8</v>
      </c>
      <c r="P6791" t="n">
        <v>114</v>
      </c>
      <c r="R6791" t="inlineStr">
        <is>
          <t>InStock</t>
        </is>
      </c>
      <c r="S6791" t="inlineStr">
        <is>
          <t>undefined</t>
        </is>
      </c>
      <c r="T6791" t="inlineStr">
        <is>
          <t>6203917336749</t>
        </is>
      </c>
    </row>
    <row r="6792" ht="87" customHeight="1">
      <c r="A6792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6792" s="2">
        <f>HYPERLINK("https://edmondsonsupply.com/products/klein-tools-ir5-dual-laser-infrared-thermometer", "https://edmondsonsupply.com/products/klein-tools-ir5-dual-laser-infrared-thermometer")</f>
        <v/>
      </c>
      <c r="C6792" t="inlineStr">
        <is>
          <t>Klein Tools IR5 Dual Laser Infrared Thermometer</t>
        </is>
      </c>
      <c r="D6792" t="inlineStr">
        <is>
          <t>Klein Tools IR1 Infrared Thermometer, Digital Laser Gun is Non-Contact Thermometer with a Temperature Range -4 to 752-Degree Fahrenheit &amp; NCVT1P Voltage Tester, Non-Contact Voltage Detector Pen</t>
        </is>
      </c>
      <c r="E6792" s="2">
        <f>HYPERLINK("https://www.amazon.com/Klein-Tools-Thermometer-Non-Contact-Temperature/dp/B0B68MLBWN/ref=sr_1_13?keywords=Klein+Tools+IR5+Dual+Laser+Infrared+Thermometer&amp;qid=1694735248&amp;sr=8-13", "https://www.amazon.com/Klein-Tools-Thermometer-Non-Contact-Temperature/dp/B0B68MLBWN/ref=sr_1_13?keywords=Klein+Tools+IR5+Dual+Laser+Infrared+Thermometer&amp;qid=1694735248&amp;sr=8-13")</f>
        <v/>
      </c>
      <c r="F6792" t="inlineStr">
        <is>
          <t>B0B68MLBWN</t>
        </is>
      </c>
      <c r="G6792">
        <f>_xlfn.IMAGE("https://edmondsonsupply.com/cdn/shop/products/ir5.jpg?v=1587148495")</f>
        <v/>
      </c>
      <c r="H6792">
        <f>_xlfn.IMAGE("https://m.media-amazon.com/images/I/4105qZwKkyL._AC_UY218_.jpg")</f>
        <v/>
      </c>
      <c r="K6792" t="inlineStr">
        <is>
          <t>64.97</t>
        </is>
      </c>
      <c r="L6792" t="n">
        <v>52.96</v>
      </c>
      <c r="M6792" s="1" t="inlineStr">
        <is>
          <t>-18.49%</t>
        </is>
      </c>
      <c r="N6792" s="7" t="n"/>
      <c r="O6792" t="n">
        <v>4.7</v>
      </c>
      <c r="P6792" t="n">
        <v>16</v>
      </c>
      <c r="R6792" t="inlineStr">
        <is>
          <t>InStock</t>
        </is>
      </c>
      <c r="S6792" t="inlineStr">
        <is>
          <t>80.92</t>
        </is>
      </c>
      <c r="T6792" t="inlineStr">
        <is>
          <t>4385570160740</t>
        </is>
      </c>
    </row>
    <row r="6793" ht="87" customHeight="1">
      <c r="A6793" s="2">
        <f>HYPERLINK("https://edmondsonsupply.com/collections/electricians-tools/products/diablo-tools-d0604dh-6-1-2-in-x-4-tooth-fiber-cement", "https://edmondsonsupply.com/collections/electricians-tools/products/diablo-tools-d0604dh-6-1-2-in-x-4-tooth-fiber-cement")</f>
        <v/>
      </c>
      <c r="B6793" s="2">
        <f>HYPERLINK("https://edmondsonsupply.com/products/diablo-tools-d0604dh-6-1-2-in-x-4-tooth-fiber-cement", "https://edmondsonsupply.com/products/diablo-tools-d0604dh-6-1-2-in-x-4-tooth-fiber-cement")</f>
        <v/>
      </c>
      <c r="C6793" t="inlineStr">
        <is>
          <t>Diablo Tools D0604DH 6-1/2 in. x 4 Tooth Fiber Cement</t>
        </is>
      </c>
      <c r="D6793" t="inlineStr">
        <is>
          <t>Norske Tools NCSBP281 6-1/2 inch 4 Tooth Polycrystalline Diamond (PCD) Hardie Fiber Cement Saw Blade</t>
        </is>
      </c>
      <c r="E6793" s="2">
        <f>HYPERLINK("https://www.amazon.com/Norske-Tools-NCSBP281-Polycrystalline-Diamond/dp/B07DYML1Q5/ref=sr_1_6?keywords=Diablo+Tools+D0604DH+6-1%2F2+in.+x+4+Tooth+Fiber+Cement&amp;qid=1694735029&amp;sr=8-6", "https://www.amazon.com/Norske-Tools-NCSBP281-Polycrystalline-Diamond/dp/B07DYML1Q5/ref=sr_1_6?keywords=Diablo+Tools+D0604DH+6-1%2F2+in.+x+4+Tooth+Fiber+Cement&amp;qid=1694735029&amp;sr=8-6")</f>
        <v/>
      </c>
      <c r="F6793" t="inlineStr">
        <is>
          <t>B07DYML1Q5</t>
        </is>
      </c>
      <c r="G6793">
        <f>_xlfn.IMAGE("https://edmondsonsupply.com/cdn/shop/products/b97gznmuns4ffl0mabzf.webp?v=1679319668")</f>
        <v/>
      </c>
      <c r="H6793">
        <f>_xlfn.IMAGE("https://m.media-amazon.com/images/I/71Q7oNmMkdL._AC_UL320_.jpg")</f>
        <v/>
      </c>
      <c r="K6793" t="inlineStr">
        <is>
          <t>49.97</t>
        </is>
      </c>
      <c r="L6793" t="n">
        <v>40.73</v>
      </c>
      <c r="M6793" s="1" t="inlineStr">
        <is>
          <t>-18.49%</t>
        </is>
      </c>
      <c r="N6793" s="7" t="n"/>
      <c r="O6793" t="n">
        <v>4.5</v>
      </c>
      <c r="P6793" t="n">
        <v>337</v>
      </c>
      <c r="R6793" t="inlineStr">
        <is>
          <t>InStock</t>
        </is>
      </c>
      <c r="S6793" t="inlineStr">
        <is>
          <t>76.15</t>
        </is>
      </c>
      <c r="T6793" t="inlineStr">
        <is>
          <t>7964861595864</t>
        </is>
      </c>
    </row>
    <row r="6794" ht="87" customHeight="1">
      <c r="A6794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6794" s="2">
        <f>HYPERLINK("https://edmondsonsupply.com/products/fluke-179-true-rms-digital-multimeter", "https://edmondsonsupply.com/products/fluke-179-true-rms-digital-multimeter")</f>
        <v/>
      </c>
      <c r="C6794" t="inlineStr">
        <is>
          <t>Fluke 179 True-RMS Digital Multimeter</t>
        </is>
      </c>
      <c r="D6794" t="inlineStr">
        <is>
          <t>Fluke 175 ESFP True RMS Digital Multimeter</t>
        </is>
      </c>
      <c r="E6794" s="2">
        <f>HYPERLINK("https://www.amazon.com/Fluke-175-ESFP-Digital-Multimeter/dp/B00012Z0UM/ref=sr_1_14?keywords=Fluke+179+True-RMS+Digital+Multimeter&amp;qid=1694735225&amp;sr=8-14", "https://www.amazon.com/Fluke-175-ESFP-Digital-Multimeter/dp/B00012Z0UM/ref=sr_1_14?keywords=Fluke+179+True-RMS+Digital+Multimeter&amp;qid=1694735225&amp;sr=8-14")</f>
        <v/>
      </c>
      <c r="F6794" t="inlineStr">
        <is>
          <t>B00012Z0UM</t>
        </is>
      </c>
      <c r="G6794">
        <f>_xlfn.IMAGE("https://edmondsonsupply.com/cdn/shop/products/e0021116_431x600_31fa1fdc-90ee-45e4-8560-4be681a24cfe.jpg?v=1633030926")</f>
        <v/>
      </c>
      <c r="H6794">
        <f>_xlfn.IMAGE("https://m.media-amazon.com/images/I/61ROjNCOkSL._AC_UL320_.jpg")</f>
        <v/>
      </c>
      <c r="K6794" t="inlineStr">
        <is>
          <t>394.19</t>
        </is>
      </c>
      <c r="L6794" t="n">
        <v>321.27</v>
      </c>
      <c r="M6794" s="1" t="inlineStr">
        <is>
          <t>-18.50%</t>
        </is>
      </c>
      <c r="N6794" s="7" t="n"/>
      <c r="O6794" t="n">
        <v>4.4</v>
      </c>
      <c r="P6794" t="n">
        <v>60</v>
      </c>
      <c r="R6794" t="inlineStr">
        <is>
          <t>OutOfStock</t>
        </is>
      </c>
      <c r="S6794" t="inlineStr">
        <is>
          <t>437.99</t>
        </is>
      </c>
      <c r="T6794" t="inlineStr">
        <is>
          <t>6544506060973</t>
        </is>
      </c>
    </row>
    <row r="6795" hidden="1" ht="15.75" customHeight="1">
      <c r="A6795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6795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6795" t="inlineStr">
        <is>
          <t>Klein Tools JTH6E11BE 3/16-Inch Ball Hex Key, Journeyman T-Handle 6-Inch</t>
        </is>
      </c>
      <c r="D6795" t="inlineStr">
        <is>
          <t>Klein Tools JTH6M5BE 5 mm Ball-End Hex Key, Journeyman T-Handle, 6-Inch</t>
        </is>
      </c>
      <c r="E6795" s="2">
        <f>HYPERLINK("https://www.amazon.com/Journeyman-T-Handle-Klein-Tools-JTH6M5BE/dp/B005G3959S/ref=sr_1_6?keywords=Klein+Tools+JTH6E11BE+3%2F16-Inch+Ball+Hex+Key%2C+Journeyman+T-Handle+6-Inch&amp;qid=1694735233&amp;sr=8-6", "https://www.amazon.com/Journeyman-T-Handle-Klein-Tools-JTH6M5BE/dp/B005G3959S/ref=sr_1_6?keywords=Klein+Tools+JTH6E11BE+3%2F16-Inch+Ball+Hex+Key%2C+Journeyman+T-Handle+6-Inch&amp;qid=1694735233&amp;sr=8-6")</f>
        <v/>
      </c>
      <c r="F6795" t="inlineStr">
        <is>
          <t>B005G3959S</t>
        </is>
      </c>
      <c r="G6795">
        <f>_xludf.IMAGE("https://edmondsonsupply.com/cdn/shop/products/jth6e13be_9dba8a6a-8a07-4d76-a54f-fe57b92b3fea.jpg?v=1610659188")</f>
        <v/>
      </c>
      <c r="H6795">
        <f>_xludf.IMAGE("https://m.media-amazon.com/images/I/51huXA+ij8L._AC_UL320_.jpg")</f>
        <v/>
      </c>
      <c r="K6795" t="inlineStr">
        <is>
          <t>9.12</t>
        </is>
      </c>
      <c r="L6795" t="n">
        <v>7.43</v>
      </c>
      <c r="M6795" s="1" t="inlineStr">
        <is>
          <t>-18.53%</t>
        </is>
      </c>
      <c r="N6795" s="1" t="n"/>
      <c r="O6795" t="n">
        <v>4.8</v>
      </c>
      <c r="P6795" t="n">
        <v>985</v>
      </c>
      <c r="R6795" t="inlineStr">
        <is>
          <t>InStock</t>
        </is>
      </c>
      <c r="S6795" t="inlineStr">
        <is>
          <t>undefined</t>
        </is>
      </c>
      <c r="T6795" t="inlineStr">
        <is>
          <t>6203917336749</t>
        </is>
      </c>
    </row>
    <row r="6796" hidden="1" ht="15.75" customHeight="1">
      <c r="A6796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6796" s="2">
        <f>HYPERLINK("https://edmondsonsupply.com/products/klein-tools-31940-bi-metal-hole-saw-2-1-2-inch", "https://edmondsonsupply.com/products/klein-tools-31940-bi-metal-hole-saw-2-1-2-inch")</f>
        <v/>
      </c>
      <c r="C6796" t="inlineStr">
        <is>
          <t>Klein Tools 31940 Bi-Metal Hole Saw, 2-1/2-Inch</t>
        </is>
      </c>
      <c r="D6796" t="inlineStr">
        <is>
          <t>Dribotway 60mm 2-3/8 inch Hole Saw,Bi-Metal Hole Saw with Heavy Duty Arbor,1 Drill Bits,1.25IN Cutting Deep, Hole Drilling Cutter for Wood,Metal,Plastic,Plywood,PVC,Fiberboard &amp; Thin Metal</t>
        </is>
      </c>
      <c r="E6796" s="2">
        <f>HYPERLINK("https://www.amazon.com/Dribotway-Bi-Metal-Cutting-Drilling-Fiberboard/dp/B093LN4CC9/ref=sr_1_47?keywords=Klein+Tools+31940+Bi-Metal+Hole+Saw%2C+2-1%2F2-Inch&amp;qid=1694735159&amp;sr=8-47", "https://www.amazon.com/Dribotway-Bi-Metal-Cutting-Drilling-Fiberboard/dp/B093LN4CC9/ref=sr_1_47?keywords=Klein+Tools+31940+Bi-Metal+Hole+Saw%2C+2-1%2F2-Inch&amp;qid=1694735159&amp;sr=8-47")</f>
        <v/>
      </c>
      <c r="F6796" t="inlineStr">
        <is>
          <t>B093LN4CC9</t>
        </is>
      </c>
      <c r="G6796">
        <f>_xludf.IMAGE("https://edmondsonsupply.com/cdn/shop/products/31940.jpg?v=1649380086")</f>
        <v/>
      </c>
      <c r="H6796">
        <f>_xludf.IMAGE("https://m.media-amazon.com/images/I/61iJOrO0VdS._AC_UL320_.jpg")</f>
        <v/>
      </c>
      <c r="K6796" t="inlineStr">
        <is>
          <t>13.99</t>
        </is>
      </c>
      <c r="L6796" t="n">
        <v>11.39</v>
      </c>
      <c r="M6796" s="1" t="inlineStr">
        <is>
          <t>-18.58%</t>
        </is>
      </c>
      <c r="N6796" s="1" t="n"/>
      <c r="O6796" t="n">
        <v>4.4</v>
      </c>
      <c r="P6796" t="n">
        <v>344</v>
      </c>
      <c r="R6796" t="inlineStr">
        <is>
          <t>InStock</t>
        </is>
      </c>
      <c r="S6796" t="inlineStr">
        <is>
          <t>18.22</t>
        </is>
      </c>
      <c r="T6796" t="inlineStr">
        <is>
          <t>7657257074904</t>
        </is>
      </c>
    </row>
    <row r="6797" ht="87" customHeight="1">
      <c r="A6797" s="2">
        <f>HYPERLINK("https://edmondsonsupply.com/collections/electricians-tools/products/klein-tools-d502-10-pump-pliers-10-inch", "https://edmondsonsupply.com/collections/electricians-tools/products/klein-tools-d502-10-pump-pliers-10-inch")</f>
        <v/>
      </c>
      <c r="B6797" s="2">
        <f>HYPERLINK("https://edmondsonsupply.com/products/klein-tools-d502-10-pump-pliers-10-inch", "https://edmondsonsupply.com/products/klein-tools-d502-10-pump-pliers-10-inch")</f>
        <v/>
      </c>
      <c r="C6797" t="inlineStr">
        <is>
          <t>Klein Tools D502-10 Pump Pliers, 10-Inch</t>
        </is>
      </c>
      <c r="D6797" t="inlineStr">
        <is>
          <t>Klein Tools D502-6 Pump Pliers, Dipped 6-Inch Tongue and Groove, Yellow</t>
        </is>
      </c>
      <c r="E6797" s="2">
        <f>HYPERLINK("https://www.amazon.com/Pliers-6-Inch-Klein-Tools-D502-6/dp/B0002RI9UY/ref=sr_1_fkmr0_2?keywords=Klein+Tools+D502-10+Pump+Pliers%2C+10-Inch&amp;qid=1694735235&amp;sr=8-2-fkmr0", "https://www.amazon.com/Pliers-6-Inch-Klein-Tools-D502-6/dp/B0002RI9UY/ref=sr_1_fkmr0_2?keywords=Klein+Tools+D502-10+Pump+Pliers%2C+10-Inch&amp;qid=1694735235&amp;sr=8-2-fkmr0")</f>
        <v/>
      </c>
      <c r="F6797" t="inlineStr">
        <is>
          <t>B0002RI9UY</t>
        </is>
      </c>
      <c r="G6797">
        <f>_xlfn.IMAGE("https://edmondsonsupply.com/cdn/shop/products/d50210_alt1.jpg?v=1633030884")</f>
        <v/>
      </c>
      <c r="H6797">
        <f>_xlfn.IMAGE("https://m.media-amazon.com/images/I/41XntVeFqRL._AC_UL320_.jpg")</f>
        <v/>
      </c>
      <c r="K6797" t="inlineStr">
        <is>
          <t>24.99</t>
        </is>
      </c>
      <c r="L6797" t="n">
        <v>20.34</v>
      </c>
      <c r="M6797" s="1" t="inlineStr">
        <is>
          <t>-18.61%</t>
        </is>
      </c>
      <c r="N6797" s="7" t="n"/>
      <c r="O6797" t="n">
        <v>4.7</v>
      </c>
      <c r="P6797" t="n">
        <v>170</v>
      </c>
      <c r="R6797" t="inlineStr">
        <is>
          <t>InStock</t>
        </is>
      </c>
      <c r="S6797" t="inlineStr">
        <is>
          <t>37.84</t>
        </is>
      </c>
      <c r="T6797" t="inlineStr">
        <is>
          <t>6203936669869</t>
        </is>
      </c>
    </row>
    <row r="6798" ht="87" customHeight="1">
      <c r="A6798" s="2">
        <f>HYPERLINK("https://edmondsonsupply.com/collections/electricians-tools/products/fluke-393-solar-clamp-meter-cat-iii-1500-v", "https://edmondsonsupply.com/collections/electricians-tools/products/fluke-393-solar-clamp-meter-cat-iii-1500-v")</f>
        <v/>
      </c>
      <c r="B6798" s="2">
        <f>HYPERLINK("https://edmondsonsupply.com/products/fluke-393-solar-clamp-meter-cat-iii-1500-v", "https://edmondsonsupply.com/products/fluke-393-solar-clamp-meter-cat-iii-1500-v")</f>
        <v/>
      </c>
      <c r="C6798" t="inlineStr">
        <is>
          <t>Fluke 393 FC Solar Clamp Meter CAT III 1500 V</t>
        </is>
      </c>
      <c r="D6798" t="inlineStr">
        <is>
          <t>Fluke 393 FC Solar Clamp Meter, CAT III 1500 V, IP54-Rated, DC Power Measurements, Audio Polarity Indicator, Visual Continuity, Fluke Connect Software Enabled,Thin Jaw For Easy Access, Includes iFlex</t>
        </is>
      </c>
      <c r="E6798" s="2">
        <f>HYPERLINK("https://www.amazon.com/Fluke-FC-IP54-Rated-Measurements-Continuity/dp/B09BHJNMZK/ref=sr_1_1?keywords=Fluke+393+FC+Solar+Clamp+Meter+CAT+III+1500+V&amp;qid=1694735129&amp;sr=8-1", "https://www.amazon.com/Fluke-FC-IP54-Rated-Measurements-Continuity/dp/B09BHJNMZK/ref=sr_1_1?keywords=Fluke+393+FC+Solar+Clamp+Meter+CAT+III+1500+V&amp;qid=1694735129&amp;sr=8-1")</f>
        <v/>
      </c>
      <c r="F6798" t="inlineStr">
        <is>
          <t>B09BHJNMZK</t>
        </is>
      </c>
      <c r="G6798">
        <f>_xlfn.IMAGE("https://edmondsonsupply.com/cdn/shop/products/F-393fc_01a_w.webp?v=1662652371")</f>
        <v/>
      </c>
      <c r="H6798">
        <f>_xlfn.IMAGE("https://m.media-amazon.com/images/I/51m9zf0BY+L._AC_UY218_.jpg")</f>
        <v/>
      </c>
      <c r="K6798" t="inlineStr">
        <is>
          <t>676.79</t>
        </is>
      </c>
      <c r="L6798" t="n">
        <v>550.2</v>
      </c>
      <c r="M6798" s="1" t="inlineStr">
        <is>
          <t>-18.70%</t>
        </is>
      </c>
      <c r="N6798" s="7" t="n"/>
      <c r="O6798" t="n">
        <v>4.8</v>
      </c>
      <c r="P6798" t="n">
        <v>26</v>
      </c>
      <c r="R6798" t="inlineStr">
        <is>
          <t>InStock</t>
        </is>
      </c>
      <c r="S6798" t="inlineStr">
        <is>
          <t>751.99</t>
        </is>
      </c>
      <c r="T6798" t="inlineStr">
        <is>
          <t>7809266090200</t>
        </is>
      </c>
    </row>
    <row r="6799" ht="87" customHeight="1">
      <c r="A6799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6799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6799" t="inlineStr">
        <is>
          <t>Klein Tools JTH9E17 1/2-Inch Hex Key with Journeyman T-Handle, 9-Inch</t>
        </is>
      </c>
      <c r="D6799" t="inlineStr">
        <is>
          <t>Klein Tools JTH6E17 1/2-Inch Hex Key, Journeyman T-Handle, 6-Inch</t>
        </is>
      </c>
      <c r="E6799" s="2">
        <f>HYPERLINK("https://www.amazon.com/Journeyman-T-Handle-Klein-Tools-JTH6E17/dp/B004N604GC/ref=sr_1_8?keywords=Klein+Tools+JTH9E17+1%2F2-Inch+Hex+Key+with+Journeyman+T-Handle%2C+9-Inch&amp;qid=1694735337&amp;sr=8-8", "https://www.amazon.com/Journeyman-T-Handle-Klein-Tools-JTH6E17/dp/B004N604GC/ref=sr_1_8?keywords=Klein+Tools+JTH9E17+1%2F2-Inch+Hex+Key+with+Journeyman+T-Handle%2C+9-Inch&amp;qid=1694735337&amp;sr=8-8")</f>
        <v/>
      </c>
      <c r="F6799" t="inlineStr">
        <is>
          <t>B004N604GC</t>
        </is>
      </c>
      <c r="G6799">
        <f>_xlfn.IMAGE("https://edmondsonsupply.com/cdn/shop/products/jth9e12_c458fab1-bd79-4a70-ae62-7e6646bd3d84.jpg?v=1587146369")</f>
        <v/>
      </c>
      <c r="H6799">
        <f>_xlfn.IMAGE("https://m.media-amazon.com/images/I/41bgisgIOrL._AC_UL320_.jpg")</f>
        <v/>
      </c>
      <c r="K6799" t="inlineStr">
        <is>
          <t>23.99</t>
        </is>
      </c>
      <c r="L6799" t="n">
        <v>19.5</v>
      </c>
      <c r="M6799" s="1" t="inlineStr">
        <is>
          <t>-18.72%</t>
        </is>
      </c>
      <c r="N6799" s="7" t="n"/>
      <c r="O6799" t="n">
        <v>4.8</v>
      </c>
      <c r="P6799" t="n">
        <v>772</v>
      </c>
      <c r="R6799" t="inlineStr">
        <is>
          <t>InStock</t>
        </is>
      </c>
      <c r="S6799" t="inlineStr">
        <is>
          <t>36.36</t>
        </is>
      </c>
      <c r="T6799" t="inlineStr">
        <is>
          <t>4505575981156</t>
        </is>
      </c>
    </row>
    <row r="6800" ht="87" customHeight="1">
      <c r="A6800" s="2">
        <f>HYPERLINK("https://edmondsonsupply.com/collections/electricians-tools/products/diablo-tools-dmapl2220-p25-3-8-in-x-4-in-x-6-in-sds-plus-2-cutter", "https://edmondsonsupply.com/collections/electricians-tools/products/diablo-tools-dmapl2220-p25-3-8-in-x-4-in-x-6-in-sds-plus-2-cutter")</f>
        <v/>
      </c>
      <c r="B6800" s="2">
        <f>HYPERLINK("https://edmondsonsupply.com/products/diablo-tools-dmapl2220-p25-3-8-in-x-4-in-x-6-in-sds-plus-2-cutter", "https://edmondsonsupply.com/products/diablo-tools-dmapl2220-p25-3-8-in-x-4-in-x-6-in-sds-plus-2-cutter")</f>
        <v/>
      </c>
      <c r="C6800" t="inlineStr">
        <is>
          <t>Diablo Tools DMAPL2220-P25 3/8 in. x 4 in. x 6 in. SDS-Plus 2-Cutter (25 pack)</t>
        </is>
      </c>
      <c r="D6800" t="inlineStr">
        <is>
          <t>Diablo by Freud DMAPL4040-P25 3/16 in. x 4 in. x 6 in. Rebar Demon™ SDS-Plus 4-Cutter Full Carbide Head Hammer Bit (25-Pack)</t>
        </is>
      </c>
      <c r="E6800" s="2">
        <f>HYPERLINK("https://www.amazon.com/Diablo-Freud-DMAPL4040-P25-SDS-Plus-4-Cutter/dp/B089LKW42D/ref=sr_1_12?keywords=Diablo+Tools+DMAPL2220-P25+3%2F8+in.+x+4+in.+x+6+in.+SDS-Plus+2-Cutter+%2825+pack%29&amp;qid=1694735313&amp;sr=8-12", "https://www.amazon.com/Diablo-Freud-DMAPL4040-P25-SDS-Plus-4-Cutter/dp/B089LKW42D/ref=sr_1_12?keywords=Diablo+Tools+DMAPL2220-P25+3%2F8+in.+x+4+in.+x+6+in.+SDS-Plus+2-Cutter+%2825+pack%29&amp;qid=1694735313&amp;sr=8-12")</f>
        <v/>
      </c>
      <c r="F6800" t="inlineStr">
        <is>
          <t>B089LKW42D</t>
        </is>
      </c>
      <c r="G6800">
        <f>_xlfn.IMAGE("https://edmondsonsupply.com/cdn/shop/products/DMAPL2220.jpg?v=1633030349")</f>
        <v/>
      </c>
      <c r="H6800">
        <f>_xlfn.IMAGE("https://m.media-amazon.com/images/I/61WAyx865hL._AC_UL320_.jpg")</f>
        <v/>
      </c>
      <c r="K6800" t="inlineStr">
        <is>
          <t>97.97</t>
        </is>
      </c>
      <c r="L6800" t="n">
        <v>79.63</v>
      </c>
      <c r="M6800" s="1" t="inlineStr">
        <is>
          <t>-18.72%</t>
        </is>
      </c>
      <c r="N6800" s="7" t="n"/>
      <c r="O6800" t="n">
        <v>5</v>
      </c>
      <c r="P6800" t="n">
        <v>2</v>
      </c>
      <c r="R6800" t="inlineStr">
        <is>
          <t>InStock</t>
        </is>
      </c>
      <c r="S6800" t="inlineStr">
        <is>
          <t>140.84</t>
        </is>
      </c>
      <c r="T6800" t="inlineStr">
        <is>
          <t>5283050061992</t>
        </is>
      </c>
    </row>
    <row r="6801" ht="87" customHeight="1">
      <c r="A6801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6801" s="2">
        <f>HYPERLINK("https://edmondsonsupply.com/products/klein-tools-d2000-48-diagonal-cutting-pliers-angled-head-8-inch", "https://edmondsonsupply.com/products/klein-tools-d2000-48-diagonal-cutting-pliers-angled-head-8-inch")</f>
        <v/>
      </c>
      <c r="C6801" t="inlineStr">
        <is>
          <t>Klein Tools D2000-48 Diagonal Cutting Pliers, Angled Head, 8-Inch</t>
        </is>
      </c>
      <c r="D6801" t="inlineStr">
        <is>
          <t>Klein Tools D248-8 Pliers, Diagonal Cutting Multi-Purpose Pliers with Angled Head, High-Leverage Design, and Short Jaw, 8-Inch</t>
        </is>
      </c>
      <c r="E6801" s="2">
        <f>HYPERLINK("https://www.amazon.com/Klein-Tools-D248-8-Leverage-Diagonal/dp/B0000302W8/ref=sr_1_6?keywords=Klein+Tools+D2000-48+Diagonal+Cutting+Pliers%2C+Angled+Head%2C+8-Inch&amp;qid=1694735135&amp;sr=8-6", "https://www.amazon.com/Klein-Tools-D248-8-Leverage-Diagonal/dp/B0000302W8/ref=sr_1_6?keywords=Klein+Tools+D2000-48+Diagonal+Cutting+Pliers%2C+Angled+Head%2C+8-Inch&amp;qid=1694735135&amp;sr=8-6")</f>
        <v/>
      </c>
      <c r="F6801" t="inlineStr">
        <is>
          <t>B0000302W8</t>
        </is>
      </c>
      <c r="G6801">
        <f>_xlfn.IMAGE("https://edmondsonsupply.com/cdn/shop/products/d200048.jpg?v=1660920588")</f>
        <v/>
      </c>
      <c r="H6801">
        <f>_xlfn.IMAGE("https://m.media-amazon.com/images/I/41KAmcIzVBL._AC_UL320_.jpg")</f>
        <v/>
      </c>
      <c r="K6801" t="inlineStr">
        <is>
          <t>34.97</t>
        </is>
      </c>
      <c r="L6801" t="n">
        <v>28.42</v>
      </c>
      <c r="M6801" s="1" t="inlineStr">
        <is>
          <t>-18.73%</t>
        </is>
      </c>
      <c r="N6801" s="7" t="n"/>
      <c r="O6801" t="n">
        <v>4.8</v>
      </c>
      <c r="P6801" t="n">
        <v>2413</v>
      </c>
      <c r="R6801" t="inlineStr">
        <is>
          <t>InStock</t>
        </is>
      </c>
      <c r="S6801" t="inlineStr">
        <is>
          <t>49.78</t>
        </is>
      </c>
      <c r="T6801" t="inlineStr">
        <is>
          <t>7786125164760</t>
        </is>
      </c>
    </row>
    <row r="6802" hidden="1" ht="15.75" customHeight="1">
      <c r="A6802" s="2">
        <f>HYPERLINK("https://edmondsonsupply.com/collections/electricians-tools/products/diablo-tools-dag3040-9-16-in-x-17-1-2-in-auger-bit", "https://edmondsonsupply.com/collections/electricians-tools/products/diablo-tools-dag3040-9-16-in-x-17-1-2-in-auger-bit")</f>
        <v/>
      </c>
      <c r="B6802" s="2">
        <f>HYPERLINK("https://edmondsonsupply.com/products/diablo-tools-dag3040-9-16-in-x-17-1-2-in-auger-bit", "https://edmondsonsupply.com/products/diablo-tools-dag3040-9-16-in-x-17-1-2-in-auger-bit")</f>
        <v/>
      </c>
      <c r="C6802" t="inlineStr">
        <is>
          <t>Diablo Tools DAG3040 9/16 in. x 17-1/2 in. Auger Bit</t>
        </is>
      </c>
      <c r="D6802" t="inlineStr">
        <is>
          <t>Diablo 9/16 in. x 7-1/2 in. Auger Bit</t>
        </is>
      </c>
      <c r="E6802" s="2">
        <f>HYPERLINK("https://www.amazon.com/Diablo-16-7-1-Auger-Bit/dp/B089KVTCZD/ref=sr_1_9?keywords=Diablo+Tools+DAG3040+9%2F16+in.+x+17-1%2F2+in.+Auger+Bit&amp;qid=1694735069&amp;sr=8-9", "https://www.amazon.com/Diablo-16-7-1-Auger-Bit/dp/B089KVTCZD/ref=sr_1_9?keywords=Diablo+Tools+DAG3040+9%2F16+in.+x+17-1%2F2+in.+Auger+Bit&amp;qid=1694735069&amp;sr=8-9")</f>
        <v/>
      </c>
      <c r="F6802" t="inlineStr">
        <is>
          <t>B089KVTCZD</t>
        </is>
      </c>
      <c r="G6802">
        <f>_xludf.IMAGE("https://edmondsonsupply.com/cdn/shop/products/fmfcptadhtney3owwa7y.webp?v=1669993222")</f>
        <v/>
      </c>
      <c r="H6802">
        <f>_xludf.IMAGE("https://m.media-amazon.com/images/I/61hihNXtHAL._AC_UL320_.jpg")</f>
        <v/>
      </c>
      <c r="K6802" t="inlineStr">
        <is>
          <t>17.83</t>
        </is>
      </c>
      <c r="L6802" t="n">
        <v>14.49</v>
      </c>
      <c r="M6802" s="1" t="inlineStr">
        <is>
          <t>-18.73%</t>
        </is>
      </c>
      <c r="N6802" s="1" t="n"/>
      <c r="O6802" t="n">
        <v>4.4</v>
      </c>
      <c r="P6802" t="n">
        <v>11</v>
      </c>
      <c r="R6802" t="inlineStr">
        <is>
          <t>InStock</t>
        </is>
      </c>
      <c r="S6802" t="inlineStr">
        <is>
          <t>28.28</t>
        </is>
      </c>
      <c r="T6802" t="inlineStr">
        <is>
          <t>7897495142616</t>
        </is>
      </c>
    </row>
    <row r="6803" hidden="1" ht="15.75" customHeight="1">
      <c r="A6803" s="2">
        <f>HYPERLINK("https://edmondsonsupply.com/collections/electricians-tools/products/diablo-tools-dmapl4180-1-2-in-x-4-in-x-6-in-rebar-demon%E2%84%A2-sds-plus-4-cutter-full-carbide-head-hammer-bit", "https://edmondsonsupply.com/collections/electricians-tools/products/diablo-tools-dmapl4180-1-2-in-x-4-in-x-6-in-rebar-demon%E2%84%A2-sds-plus-4-cutter-full-carbide-head-hammer-bit")</f>
        <v/>
      </c>
      <c r="B6803" s="2">
        <f>HYPERLINK("https://edmondsonsupply.com/products/diablo-tools-dmapl4180-1-2-in-x-4-in-x-6-in-rebar-demon%e2%84%a2-sds-plus-4-cutter-full-carbide-head-hammer-bit", "https://edmondsonsupply.com/products/diablo-tools-dmapl4180-1-2-in-x-4-in-x-6-in-rebar-demon%e2%84%a2-sds-plus-4-cutter-full-carbide-head-hammer-bit")</f>
        <v/>
      </c>
      <c r="C6803" t="inlineStr">
        <is>
          <t>Diablo Tools DMAPL4180 1/2 in. x 4 in. x 6 in. Rebar Demon™ SDS-Plus 4-Cutter Full Carbide Head Hammer Bit</t>
        </is>
      </c>
      <c r="D6803" t="inlineStr">
        <is>
          <t>Diablo 3/16" x 4"x6" Rebar Demon™ SDS-Plus 4-Cutter Full Carbide Head Hammer Bit</t>
        </is>
      </c>
      <c r="E6803" s="2">
        <f>HYPERLINK("https://www.amazon.com/Diablo-Freud-DMAPL4040-SDS-Plus-4-Cutter/dp/B089L9LMZX/ref=sr_1_23?keywords=Diablo+Tools+DMAPL4180+1%2F2+in.+x+4+in.+x+6+in.+Rebar+Demon%E2%84%A2+SDS-Plus+4-Cutter+Full+Carbide+Head+Hammer+Bit&amp;qid=1694735298&amp;sr=8-23", "https://www.amazon.com/Diablo-Freud-DMAPL4040-SDS-Plus-4-Cutter/dp/B089L9LMZX/ref=sr_1_23?keywords=Diablo+Tools+DMAPL4180+1%2F2+in.+x+4+in.+x+6+in.+Rebar+Demon%E2%84%A2+SDS-Plus+4-Cutter+Full+Carbide+Head+Hammer+Bit&amp;qid=1694735298&amp;sr=8-23")</f>
        <v/>
      </c>
      <c r="F6803" t="inlineStr">
        <is>
          <t>B089L9LMZX</t>
        </is>
      </c>
      <c r="G6803">
        <f>_xludf.IMAGE("https://edmondsonsupply.com/cdn/shop/products/DMAPL4180_Main-Image20200702.png?v=1633030362")</f>
        <v/>
      </c>
      <c r="H6803">
        <f>_xludf.IMAGE("https://m.media-amazon.com/images/I/61WAyx865hL._AC_UL320_.jpg")</f>
        <v/>
      </c>
      <c r="K6803" t="inlineStr">
        <is>
          <t>9.97</t>
        </is>
      </c>
      <c r="L6803" t="n">
        <v>8.08</v>
      </c>
      <c r="M6803" s="1" t="inlineStr">
        <is>
          <t>-18.96%</t>
        </is>
      </c>
      <c r="N6803" s="1" t="n"/>
      <c r="O6803" t="n">
        <v>4.6</v>
      </c>
      <c r="P6803" t="n">
        <v>58</v>
      </c>
      <c r="R6803" t="inlineStr">
        <is>
          <t>InStock</t>
        </is>
      </c>
      <c r="S6803" t="inlineStr">
        <is>
          <t>undefined</t>
        </is>
      </c>
      <c r="T6803" t="inlineStr">
        <is>
          <t>5286803833000</t>
        </is>
      </c>
    </row>
    <row r="6804" ht="87" customHeight="1">
      <c r="A6804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804" s="2">
        <f>HYPERLINK("https://edmondsonsupply.com/products/klein-tools-32500mag-11-in-1-magnetic-screwdriver-nut-driver", "https://edmondsonsupply.com/products/klein-tools-32500mag-11-in-1-magnetic-screwdriver-nut-driver")</f>
        <v/>
      </c>
      <c r="C6804" t="inlineStr">
        <is>
          <t>Klein Tools 32500MAG 11-in-1 Magnetic Screwdriver / Nut Driver</t>
        </is>
      </c>
      <c r="D6804" t="inlineStr">
        <is>
          <t>Klein Tools 32560 Multi-Bit Screwdriver / Nut Driver, Extended Reach 6-in-1 Tool with Phillips, Slotted and Square Bits and Nut Drivers</t>
        </is>
      </c>
      <c r="E6804" s="2">
        <f>HYPERLINK("https://www.amazon.com/Extended-Screwdriver-Klein-Tools-32560/dp/B005FQDHF4/ref=sr_1_13?keywords=Klein+Tools+32500MAG+11-in-1+Magnetic+Screwdriver+%2F+Nut+Driver&amp;qid=1694735235&amp;sr=8-13", "https://www.amazon.com/Extended-Screwdriver-Klein-Tools-32560/dp/B005FQDHF4/ref=sr_1_13?keywords=Klein+Tools+32500MAG+11-in-1+Magnetic+Screwdriver+%2F+Nut+Driver&amp;qid=1694735235&amp;sr=8-13")</f>
        <v/>
      </c>
      <c r="F6804" t="inlineStr">
        <is>
          <t>B005FQDHF4</t>
        </is>
      </c>
      <c r="G6804">
        <f>_xlfn.IMAGE("https://edmondsonsupply.com/cdn/shop/products/32500mag.jpg?v=1633030832")</f>
        <v/>
      </c>
      <c r="H6804">
        <f>_xlfn.IMAGE("https://m.media-amazon.com/images/I/516UhfUKmUL._AC_UL320_.jpg")</f>
        <v/>
      </c>
      <c r="K6804" t="inlineStr">
        <is>
          <t>20.97</t>
        </is>
      </c>
      <c r="L6804" t="n">
        <v>16.99</v>
      </c>
      <c r="M6804" s="1" t="inlineStr">
        <is>
          <t>-18.98%</t>
        </is>
      </c>
      <c r="N6804" s="7" t="n"/>
      <c r="O6804" t="n">
        <v>4.8</v>
      </c>
      <c r="P6804" t="n">
        <v>679</v>
      </c>
      <c r="R6804" t="inlineStr">
        <is>
          <t>InStock</t>
        </is>
      </c>
      <c r="S6804" t="inlineStr">
        <is>
          <t>29.38</t>
        </is>
      </c>
      <c r="T6804" t="inlineStr">
        <is>
          <t>6082199814317</t>
        </is>
      </c>
    </row>
    <row r="6805" hidden="1" ht="15.75" customHeight="1">
      <c r="A6805" s="2">
        <f>HYPERLINK("https://edmondsonsupply.com/collections/electricians-tools/products/greenlee-0153-47c-11-in-1-multi-tool", "https://edmondsonsupply.com/collections/electricians-tools/products/greenlee-0153-47c-11-in-1-multi-tool")</f>
        <v/>
      </c>
      <c r="B6805" s="2">
        <f>HYPERLINK("https://edmondsonsupply.com/products/greenlee-0153-47c-11-in-1-multi-tool", "https://edmondsonsupply.com/products/greenlee-0153-47c-11-in-1-multi-tool")</f>
        <v/>
      </c>
      <c r="C6805" t="inlineStr">
        <is>
          <t>Greenlee 0153-47C 11-IN-1 Multi-Tool</t>
        </is>
      </c>
      <c r="D6805" t="inlineStr">
        <is>
          <t>Greenlee 0153-42C 6-in-1 Multi-Tool Screwdriver with Flat-Tip, Phillips, and Hex Bits</t>
        </is>
      </c>
      <c r="E6805" s="2">
        <f>HYPERLINK("https://www.amazon.com/Greenlee-0153-42C-Multi-Tool-Screwdriver/dp/B001HWC25Q/ref=sr_1_2?keywords=Greenlee+0153-47C+11-IN-1+Multi-Tool&amp;qid=1694735406&amp;sr=8-2", "https://www.amazon.com/Greenlee-0153-42C-Multi-Tool-Screwdriver/dp/B001HWC25Q/ref=sr_1_2?keywords=Greenlee+0153-47C+11-IN-1+Multi-Tool&amp;qid=1694735406&amp;sr=8-2")</f>
        <v/>
      </c>
      <c r="F6805" t="inlineStr">
        <is>
          <t>B001HWC25Q</t>
        </is>
      </c>
      <c r="G6805">
        <f>_xludf.IMAGE("https://edmondsonsupply.com/cdn/shop/products/0153-47c-cat2.jpg?v=1587146986")</f>
        <v/>
      </c>
      <c r="H6805">
        <f>_xludf.IMAGE("https://m.media-amazon.com/images/I/71ha8bZB+-L._AC_UL320_.jpg")</f>
        <v/>
      </c>
      <c r="K6805" t="inlineStr">
        <is>
          <t>17.99</t>
        </is>
      </c>
      <c r="L6805" t="n">
        <v>14.57</v>
      </c>
      <c r="M6805" s="1" t="inlineStr">
        <is>
          <t>-19.01%</t>
        </is>
      </c>
      <c r="N6805" s="1" t="n"/>
      <c r="O6805" t="n">
        <v>4.8</v>
      </c>
      <c r="P6805" t="n">
        <v>1779</v>
      </c>
      <c r="R6805" t="inlineStr">
        <is>
          <t>InStock</t>
        </is>
      </c>
      <c r="S6805" t="inlineStr">
        <is>
          <t>18.85</t>
        </is>
      </c>
      <c r="T6805" t="inlineStr">
        <is>
          <t>4395531042916</t>
        </is>
      </c>
    </row>
    <row r="6806" ht="87" customHeight="1">
      <c r="A6806" s="2">
        <f>HYPERLINK("https://edmondsonsupply.com/collections/electricians-tools/products/diablo-tools-dmamx1090-5-8", "https://edmondsonsupply.com/collections/electricians-tools/products/diablo-tools-dmamx1090-5-8")</f>
        <v/>
      </c>
      <c r="B6806" s="2">
        <f>HYPERLINK("https://edmondsonsupply.com/products/diablo-tools-dmamx1090-5-8", "https://edmondsonsupply.com/products/diablo-tools-dmamx1090-5-8")</f>
        <v/>
      </c>
      <c r="C6806" t="inlineStr">
        <is>
          <t>Diablo Tools DMAMX1090 5/8 in. x 8 in. x 13 in. Rebar Demon SDS‑Max 4‑Cutter Full Carbide Head Hammer Bit</t>
        </is>
      </c>
      <c r="D6806" t="inlineStr">
        <is>
          <t>Diablo by Freud DMAPL4300 1 in. x 8 in. x 10 in. Rebar Demon™ SDS-Plus 4-Cutter Full Carbide Head Hammer Bit</t>
        </is>
      </c>
      <c r="E6806" s="2">
        <f>HYPERLINK("https://www.amazon.com/Diablo-Freud-DMAPL4300-SDS-Plus-4-Cutter/dp/B089LL8JD8/ref=sr_1_15?keywords=Diablo+Tools+DMAMX1090+5%2F8+in.+x+8+in.+x+13+in.+Rebar+Demon+SDS%E2%80%91Max+4%E2%80%91Cutter+Full+Carbide+Head+Hammer+Bit&amp;qid=1694735267&amp;sr=8-15", "https://www.amazon.com/Diablo-Freud-DMAPL4300-SDS-Plus-4-Cutter/dp/B089LL8JD8/ref=sr_1_15?keywords=Diablo+Tools+DMAMX1090+5%2F8+in.+x+8+in.+x+13+in.+Rebar+Demon+SDS%E2%80%91Max+4%E2%80%91Cutter+Full+Carbide+Head+Hammer+Bit&amp;qid=1694735267&amp;sr=8-15")</f>
        <v/>
      </c>
      <c r="F6806" t="inlineStr">
        <is>
          <t>B089LL8JD8</t>
        </is>
      </c>
      <c r="G6806">
        <f>_xlfn.IMAGE("https://edmondsonsupply.com/cdn/shop/products/DMAMX1090_Main-Image20200701.png?v=1609799247")</f>
        <v/>
      </c>
      <c r="H6806">
        <f>_xlfn.IMAGE("https://m.media-amazon.com/images/I/616UiJGsK1L._AC_UL320_.jpg")</f>
        <v/>
      </c>
      <c r="K6806" t="inlineStr">
        <is>
          <t>41.97</t>
        </is>
      </c>
      <c r="L6806" t="n">
        <v>33.99</v>
      </c>
      <c r="M6806" s="1" t="inlineStr">
        <is>
          <t>-19.01%</t>
        </is>
      </c>
      <c r="N6806" s="7" t="n"/>
      <c r="O6806" t="n">
        <v>4.5</v>
      </c>
      <c r="P6806" t="n">
        <v>16</v>
      </c>
      <c r="R6806" t="inlineStr">
        <is>
          <t>InStock</t>
        </is>
      </c>
      <c r="S6806" t="inlineStr">
        <is>
          <t>48.13</t>
        </is>
      </c>
      <c r="T6806" t="inlineStr">
        <is>
          <t>5463856447656</t>
        </is>
      </c>
    </row>
    <row r="6807" hidden="1" ht="15.75" customHeight="1">
      <c r="A6807" s="2">
        <f>HYPERLINK("https://edmondsonsupply.com/collections/electricians-tools/products/klein-tools-630-3-8-3-8-inch-nut-driver-with-3-inch-hollow-shaft", "https://edmondsonsupply.com/collections/electricians-tools/products/klein-tools-630-3-8-3-8-inch-nut-driver-with-3-inch-hollow-shaft")</f>
        <v/>
      </c>
      <c r="B6807" s="2">
        <f>HYPERLINK("https://edmondsonsupply.com/products/klein-tools-630-3-8-3-8-inch-nut-driver-with-3-inch-hollow-shaft", "https://edmondsonsupply.com/products/klein-tools-630-3-8-3-8-inch-nut-driver-with-3-inch-hollow-shaft")</f>
        <v/>
      </c>
      <c r="C6807" t="inlineStr">
        <is>
          <t>Klein Tools 630-3/8 3/8-Inch Nut Driver with 3-Inch Hollow Shaft</t>
        </is>
      </c>
      <c r="D6807" t="inlineStr">
        <is>
          <t>Klein Tools S8M 1/4-Inch Magnetic Nut Driver with 3-Inch Solid Shaft and Comfordome Handle</t>
        </is>
      </c>
      <c r="E6807" s="2">
        <f>HYPERLINK("https://www.amazon.com/Magnetic-Comfordome-Klein-Tools-S8M/dp/B00093GCW8/ref=sr_1_21?keywords=Klein+Tools+630-3%2F8+3%2F8-Inch+Nut+Driver+with+3-Inch+Hollow+Shaft&amp;qid=1694735236&amp;sr=8-21", "https://www.amazon.com/Magnetic-Comfordome-Klein-Tools-S8M/dp/B00093GCW8/ref=sr_1_21?keywords=Klein+Tools+630-3%2F8+3%2F8-Inch+Nut+Driver+with+3-Inch+Hollow+Shaft&amp;qid=1694735236&amp;sr=8-21")</f>
        <v/>
      </c>
      <c r="F6807" t="inlineStr">
        <is>
          <t>B00093GCW8</t>
        </is>
      </c>
      <c r="G6807">
        <f>_xludf.IMAGE("https://edmondsonsupply.com/cdn/shop/products/630-1-2_e23f9fbd-a282-44d7-b743-2cfe0f84edfa.jpg?v=1633030906")</f>
        <v/>
      </c>
      <c r="H6807">
        <f>_xludf.IMAGE("https://m.media-amazon.com/images/I/31hOuSIKl7L._AC_UL320_.jpg")</f>
        <v/>
      </c>
      <c r="K6807" t="inlineStr">
        <is>
          <t>8.99</t>
        </is>
      </c>
      <c r="L6807" t="n">
        <v>7.28</v>
      </c>
      <c r="M6807" s="1" t="inlineStr">
        <is>
          <t>-19.02%</t>
        </is>
      </c>
      <c r="N6807" s="1" t="n"/>
      <c r="O6807" t="n">
        <v>3.8</v>
      </c>
      <c r="P6807" t="n">
        <v>8</v>
      </c>
      <c r="R6807" t="inlineStr">
        <is>
          <t>InStock</t>
        </is>
      </c>
      <c r="S6807" t="inlineStr">
        <is>
          <t>11.74</t>
        </is>
      </c>
      <c r="T6807" t="inlineStr">
        <is>
          <t>6244382376109</t>
        </is>
      </c>
    </row>
    <row r="6808" hidden="1" ht="15.75" customHeight="1">
      <c r="A6808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6808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6808" t="inlineStr">
        <is>
          <t>Klein Tools 630-1/4 1/4-Inch Nut Driver 3-Inch Shaft Cushion Grip</t>
        </is>
      </c>
      <c r="D6808" t="inlineStr">
        <is>
          <t>Klein Tools S8 1/4-Inch Hollow Shaft Nut Driver, 3-Inch Shaft</t>
        </is>
      </c>
      <c r="E6808" s="2">
        <f>HYPERLINK("https://www.amazon.com/Klein-S8-4-Inch-Hollow-Shank-Driver/dp/B0000302VS/ref=sr_1_11?keywords=Klein+Tools+630-1%2F4+1%2F4-Inch+Nut+Driver+3-Inch+Shaft+Cushion+Grip&amp;qid=1694735346&amp;sr=8-11", "https://www.amazon.com/Klein-S8-4-Inch-Hollow-Shank-Driver/dp/B0000302VS/ref=sr_1_11?keywords=Klein+Tools+630-1%2F4+1%2F4-Inch+Nut+Driver+3-Inch+Shaft+Cushion+Grip&amp;qid=1694735346&amp;sr=8-11")</f>
        <v/>
      </c>
      <c r="F6808" t="inlineStr">
        <is>
          <t>B0000302VS</t>
        </is>
      </c>
      <c r="G6808">
        <f>_xludf.IMAGE("https://edmondsonsupply.com/cdn/shop/products/630-1-2_4777cf99-f2bc-4f84-bc42-7e765e2a9c37.jpg?v=1587150448")</f>
        <v/>
      </c>
      <c r="H6808">
        <f>_xludf.IMAGE("https://m.media-amazon.com/images/I/41LI6wTa36L._AC_UL320_.jpg")</f>
        <v/>
      </c>
      <c r="K6808" t="inlineStr">
        <is>
          <t>8.99</t>
        </is>
      </c>
      <c r="L6808" t="n">
        <v>7.28</v>
      </c>
      <c r="M6808" s="1" t="inlineStr">
        <is>
          <t>-19.02%</t>
        </is>
      </c>
      <c r="N6808" s="1" t="n"/>
      <c r="O6808" t="n">
        <v>4.5</v>
      </c>
      <c r="P6808" t="n">
        <v>224</v>
      </c>
      <c r="R6808" t="inlineStr">
        <is>
          <t>InStock</t>
        </is>
      </c>
      <c r="S6808" t="inlineStr">
        <is>
          <t>11.36</t>
        </is>
      </c>
      <c r="T6808" t="inlineStr">
        <is>
          <t>4490760355940</t>
        </is>
      </c>
    </row>
    <row r="6809" hidden="1" ht="15.75" customHeight="1">
      <c r="A6809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6809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6809" t="inlineStr">
        <is>
          <t>Klein Tools 630-1/4 1/4-Inch Nut Driver 3-Inch Shaft Cushion Grip</t>
        </is>
      </c>
      <c r="D6809" t="inlineStr">
        <is>
          <t>Klein Tools S8M 1/4-Inch Magnetic Nut Driver with 3-Inch Solid Shaft and Comfordome Handle</t>
        </is>
      </c>
      <c r="E6809" s="2">
        <f>HYPERLINK("https://www.amazon.com/Magnetic-Comfordome-Klein-Tools-S8M/dp/B00093GCW8/ref=sr_1_3?keywords=Klein+Tools+630-1%2F4+1%2F4-Inch+Nut+Driver+3-Inch+Shaft+Cushion+Grip&amp;qid=1694735346&amp;sr=8-3", "https://www.amazon.com/Magnetic-Comfordome-Klein-Tools-S8M/dp/B00093GCW8/ref=sr_1_3?keywords=Klein+Tools+630-1%2F4+1%2F4-Inch+Nut+Driver+3-Inch+Shaft+Cushion+Grip&amp;qid=1694735346&amp;sr=8-3")</f>
        <v/>
      </c>
      <c r="F6809" t="inlineStr">
        <is>
          <t>B00093GCW8</t>
        </is>
      </c>
      <c r="G6809">
        <f>_xludf.IMAGE("https://edmondsonsupply.com/cdn/shop/products/630-1-2_4777cf99-f2bc-4f84-bc42-7e765e2a9c37.jpg?v=1587150448")</f>
        <v/>
      </c>
      <c r="H6809">
        <f>_xludf.IMAGE("https://m.media-amazon.com/images/I/31hOuSIKl7L._AC_UL320_.jpg")</f>
        <v/>
      </c>
      <c r="K6809" t="inlineStr">
        <is>
          <t>8.99</t>
        </is>
      </c>
      <c r="L6809" t="n">
        <v>7.28</v>
      </c>
      <c r="M6809" s="1" t="inlineStr">
        <is>
          <t>-19.02%</t>
        </is>
      </c>
      <c r="N6809" s="1" t="n"/>
      <c r="O6809" t="n">
        <v>3.8</v>
      </c>
      <c r="P6809" t="n">
        <v>8</v>
      </c>
      <c r="R6809" t="inlineStr">
        <is>
          <t>InStock</t>
        </is>
      </c>
      <c r="S6809" t="inlineStr">
        <is>
          <t>11.36</t>
        </is>
      </c>
      <c r="T6809" t="inlineStr">
        <is>
          <t>4490760355940</t>
        </is>
      </c>
    </row>
    <row r="6810" ht="87" customHeight="1">
      <c r="A6810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810" s="2">
        <f>HYPERLINK("https://edmondsonsupply.com/products/klein-tools-32500mag-11-in-1-magnetic-screwdriver-nut-driver", "https://edmondsonsupply.com/products/klein-tools-32500mag-11-in-1-magnetic-screwdriver-nut-driver")</f>
        <v/>
      </c>
      <c r="C6810" t="inlineStr">
        <is>
          <t>Klein Tools 32500MAG 11-in-1 Magnetic Screwdriver / Nut Driver</t>
        </is>
      </c>
      <c r="D6810" t="inlineStr">
        <is>
          <t>Klein Tools 32308 Multi-bit Stubby Screwdriver, Impact Rated 8-in-1 Adjustable Magnetic Tool with Phillips, Slotted, Square and Nut Driver</t>
        </is>
      </c>
      <c r="E6810" s="2">
        <f>HYPERLINK("https://www.amazon.com/Klein-Tools-Evaporative-Performance-Protection/dp/B08KFNDBRW/ref=sr_1_16?keywords=Klein+Tools+32500MAG+11-in-1+Magnetic+Screwdriver+%2F+Nut+Driver&amp;qid=1694735235&amp;sr=8-16", "https://www.amazon.com/Klein-Tools-Evaporative-Performance-Protection/dp/B08KFNDBRW/ref=sr_1_16?keywords=Klein+Tools+32500MAG+11-in-1+Magnetic+Screwdriver+%2F+Nut+Driver&amp;qid=1694735235&amp;sr=8-16")</f>
        <v/>
      </c>
      <c r="F6810" t="inlineStr">
        <is>
          <t>B08KFNDBRW</t>
        </is>
      </c>
      <c r="G6810">
        <f>_xlfn.IMAGE("https://edmondsonsupply.com/cdn/shop/products/32500mag.jpg?v=1633030832")</f>
        <v/>
      </c>
      <c r="H6810">
        <f>_xlfn.IMAGE("https://m.media-amazon.com/images/I/61qTHFhrhZL._AC_UL320_.jpg")</f>
        <v/>
      </c>
      <c r="K6810" t="inlineStr">
        <is>
          <t>20.97</t>
        </is>
      </c>
      <c r="L6810" t="n">
        <v>16.97</v>
      </c>
      <c r="M6810" s="1" t="inlineStr">
        <is>
          <t>-19.07%</t>
        </is>
      </c>
      <c r="N6810" s="7" t="n"/>
      <c r="O6810" t="n">
        <v>4.7</v>
      </c>
      <c r="P6810" t="n">
        <v>5219</v>
      </c>
      <c r="R6810" t="inlineStr">
        <is>
          <t>InStock</t>
        </is>
      </c>
      <c r="S6810" t="inlineStr">
        <is>
          <t>29.38</t>
        </is>
      </c>
      <c r="T6810" t="inlineStr">
        <is>
          <t>6082199814317</t>
        </is>
      </c>
    </row>
    <row r="6811" ht="87" customHeight="1">
      <c r="A6811" s="2">
        <f>HYPERLINK("https://edmondsonsupply.com/collections/electricians-tools/products/diablo-tools-dmapl4320-1-1-8-in-x-16-in-x-18-in-rebar-demon%E2%84%A2-sds-plus-4-cutter-full-carbide-head-hammer-bit", "https://edmondsonsupply.com/collections/electricians-tools/products/diablo-tools-dmapl4320-1-1-8-in-x-16-in-x-18-in-rebar-demon%E2%84%A2-sds-plus-4-cutter-full-carbide-head-hammer-bit")</f>
        <v/>
      </c>
      <c r="B6811" s="2">
        <f>HYPERLINK("https://edmondsonsupply.com/products/diablo-tools-dmapl4320-1-1-8-in-x-16-in-x-18-in-rebar-demon%e2%84%a2-sds-plus-4-cutter-full-carbide-head-hammer-bit", "https://edmondsonsupply.com/products/diablo-tools-dmapl4320-1-1-8-in-x-16-in-x-18-in-rebar-demon%e2%84%a2-sds-plus-4-cutter-full-carbide-head-hammer-bit")</f>
        <v/>
      </c>
      <c r="C6811" t="inlineStr">
        <is>
          <t>Diablo Tools DMAPL4320 1‑1/8 in. x 16 in. x 18 in. Rebar Demon™ SDS‑Plus 4‑Cutter Full Carbide Head Hammer Bit</t>
        </is>
      </c>
      <c r="D6811" t="inlineStr">
        <is>
          <t>Diablo DMAPL4310 1 in. x 16 in. x 18 in. Rebar Demon™ SDS-Plus 4-Cutter Full Carbide Head Hammer Bit</t>
        </is>
      </c>
      <c r="E6811" s="2" t="n"/>
      <c r="F6811" t="inlineStr">
        <is>
          <t>B089KX2VKR</t>
        </is>
      </c>
      <c r="G6811">
        <f>_xlfn.IMAGE("https://edmondsonsupply.com/cdn/shop/products/DMAPL4320_Additional-Images_01.png?v=1633030521")</f>
        <v/>
      </c>
      <c r="H6811">
        <f>_xlfn.IMAGE("https://m.media-amazon.com/images/I/61iwxfqG2VL._AC_UL320_.jpg")</f>
        <v/>
      </c>
      <c r="K6811" t="inlineStr">
        <is>
          <t>59.97</t>
        </is>
      </c>
      <c r="L6811" t="n">
        <v>48.49</v>
      </c>
      <c r="M6811" s="1" t="inlineStr">
        <is>
          <t>-19.14%</t>
        </is>
      </c>
      <c r="N6811" s="7" t="n"/>
      <c r="O6811" t="n">
        <v>4.5</v>
      </c>
      <c r="P6811" t="n">
        <v>32</v>
      </c>
      <c r="R6811" t="inlineStr">
        <is>
          <t>InStock</t>
        </is>
      </c>
      <c r="S6811" t="inlineStr">
        <is>
          <t>81.14</t>
        </is>
      </c>
      <c r="T6811" t="inlineStr">
        <is>
          <t>5401093406888</t>
        </is>
      </c>
    </row>
    <row r="6812" ht="87" customHeight="1">
      <c r="A6812" s="2">
        <f>HYPERLINK("https://edmondsonsupply.com/collections/electricians-tools/products/klein-tools-203-6-eins-long-nose-side-cutter-pliers-6-inch-slim-insulated", "https://edmondsonsupply.com/collections/electricians-tools/products/klein-tools-203-6-eins-long-nose-side-cutter-pliers-6-inch-slim-insulated")</f>
        <v/>
      </c>
      <c r="B6812" s="2">
        <f>HYPERLINK("https://edmondsonsupply.com/products/klein-tools-203-6-eins-long-nose-side-cutter-pliers-6-inch-slim-insulated", "https://edmondsonsupply.com/products/klein-tools-203-6-eins-long-nose-side-cutter-pliers-6-inch-slim-insulated")</f>
        <v/>
      </c>
      <c r="C6812" t="inlineStr">
        <is>
          <t>Klein Tools 2036EINS Long Nose Side Cutter Pliers 6-Inch Slim Insulated</t>
        </is>
      </c>
      <c r="D6812" t="inlineStr">
        <is>
          <t>Klein Tools J203-7 Long Nose Side-Cutter Pliers, Induction-Hardened Cutting Knives with Hot-Riveted Joints and Slim Heads, 7-Inch</t>
        </is>
      </c>
      <c r="E6812" s="2">
        <f>HYPERLINK("https://www.amazon.com/Klein-Tools-J203-7-Pliers-Side-Cutters/dp/B000G6CACO/ref=sr_1_6?keywords=Klein+Tools+2036EINS+Long+Nose+Side+Cutter+Pliers+6-Inch+Slim+Insulated&amp;qid=1694735202&amp;sr=8-6", "https://www.amazon.com/Klein-Tools-J203-7-Pliers-Side-Cutters/dp/B000G6CACO/ref=sr_1_6?keywords=Klein+Tools+2036EINS+Long+Nose+Side+Cutter+Pliers+6-Inch+Slim+Insulated&amp;qid=1694735202&amp;sr=8-6")</f>
        <v/>
      </c>
      <c r="F6812" t="inlineStr">
        <is>
          <t>B000G6CACO</t>
        </is>
      </c>
      <c r="G6812">
        <f>_xlfn.IMAGE("https://edmondsonsupply.com/cdn/shop/products/2036eins.jpg?v=1633031077")</f>
        <v/>
      </c>
      <c r="H6812">
        <f>_xlfn.IMAGE("https://m.media-amazon.com/images/I/511-SOSXaTL._AC_UL320_.jpg")</f>
        <v/>
      </c>
      <c r="K6812" t="inlineStr">
        <is>
          <t>46.99</t>
        </is>
      </c>
      <c r="L6812" t="n">
        <v>37.99</v>
      </c>
      <c r="M6812" s="1" t="inlineStr">
        <is>
          <t>-19.15%</t>
        </is>
      </c>
      <c r="N6812" s="7" t="n"/>
      <c r="O6812" t="n">
        <v>4.8</v>
      </c>
      <c r="P6812" t="n">
        <v>139</v>
      </c>
      <c r="R6812" t="inlineStr">
        <is>
          <t>InStock</t>
        </is>
      </c>
      <c r="S6812" t="inlineStr">
        <is>
          <t>71.2</t>
        </is>
      </c>
      <c r="T6812" t="inlineStr">
        <is>
          <t>6829261029549</t>
        </is>
      </c>
    </row>
    <row r="6813" ht="87" customHeight="1">
      <c r="A6813" s="2">
        <f>HYPERLINK("https://edmondsonsupply.com/collections/electricians-tools/products/klein-tools-50032-blade-for-ratcheting-pvc-cutter", "https://edmondsonsupply.com/collections/electricians-tools/products/klein-tools-50032-blade-for-ratcheting-pvc-cutter")</f>
        <v/>
      </c>
      <c r="B6813" s="2">
        <f>HYPERLINK("https://edmondsonsupply.com/products/klein-tools-50032-blade-for-ratcheting-pvc-cutter", "https://edmondsonsupply.com/products/klein-tools-50032-blade-for-ratcheting-pvc-cutter")</f>
        <v/>
      </c>
      <c r="C6813" t="inlineStr">
        <is>
          <t>Klein Tools 50032 Blade for Ratcheting PVC Cutter</t>
        </is>
      </c>
      <c r="D6813" t="inlineStr">
        <is>
          <t>Klein Tools 50032 Blade for Ratcheting PVC Cutter</t>
        </is>
      </c>
      <c r="E6813" s="2">
        <f>HYPERLINK("https://www.amazon.com/Blade-Ratcheting-Cutter-Klein-Tools/dp/B017LLP0TQ/ref=sr_1_1?keywords=Klein+Tools+50032+Blade+for+Ratcheting+PVC+Cutter&amp;qid=1694735372&amp;sr=8-1", "https://www.amazon.com/Blade-Ratcheting-Cutter-Klein-Tools/dp/B017LLP0TQ/ref=sr_1_1?keywords=Klein+Tools+50032+Blade+for+Ratcheting+PVC+Cutter&amp;qid=1694735372&amp;sr=8-1")</f>
        <v/>
      </c>
      <c r="F6813" t="inlineStr">
        <is>
          <t>B017LLP0TQ</t>
        </is>
      </c>
      <c r="G6813">
        <f>_xlfn.IMAGE("https://edmondsonsupply.com/cdn/shop/products/50032.jpg?v=1587151108")</f>
        <v/>
      </c>
      <c r="H6813">
        <f>_xlfn.IMAGE("https://m.media-amazon.com/images/I/51ZttBqQATL._AC_UL320_.jpg")</f>
        <v/>
      </c>
      <c r="K6813" t="inlineStr">
        <is>
          <t>39.99</t>
        </is>
      </c>
      <c r="L6813" t="n">
        <v>32.3</v>
      </c>
      <c r="M6813" s="1" t="inlineStr">
        <is>
          <t>-19.23%</t>
        </is>
      </c>
      <c r="N6813" s="7" t="n"/>
      <c r="O6813" t="n">
        <v>4.5</v>
      </c>
      <c r="P6813" t="n">
        <v>10</v>
      </c>
      <c r="R6813" t="inlineStr">
        <is>
          <t>InStock</t>
        </is>
      </c>
      <c r="S6813" t="inlineStr">
        <is>
          <t>60.6</t>
        </is>
      </c>
      <c r="T6813" t="inlineStr">
        <is>
          <t>4431385493604</t>
        </is>
      </c>
    </row>
    <row r="6814" ht="87" customHeight="1">
      <c r="A6814" s="2">
        <f>HYPERLINK("https://edmondsonsupply.com/collections/electricians-tools/products/klein-tools-63225-high-leverage-cable-cutter", "https://edmondsonsupply.com/collections/electricians-tools/products/klein-tools-63225-high-leverage-cable-cutter")</f>
        <v/>
      </c>
      <c r="B6814" s="2">
        <f>HYPERLINK("https://edmondsonsupply.com/products/klein-tools-63225-high-leverage-cable-cutter", "https://edmondsonsupply.com/products/klein-tools-63225-high-leverage-cable-cutter")</f>
        <v/>
      </c>
      <c r="C6814" t="inlineStr">
        <is>
          <t>Klein Tools 63225 High-Leverage Cable Cutter</t>
        </is>
      </c>
      <c r="D6814" t="inlineStr">
        <is>
          <t>Southwire - 58993540 Tools &amp; Equipment CCP9 High-Leverage Cable Cutters</t>
        </is>
      </c>
      <c r="E6814" s="2">
        <f>HYPERLINK("https://www.amazon.com/Southwire-Equipment-CCP9-High-Leverage-Cutters/dp/B019QXMFDQ/ref=sr_1_17?keywords=Klein+Tools+63225+High-Leverage+Cable+Cutter&amp;qid=1694735182&amp;sr=8-17", "https://www.amazon.com/Southwire-Equipment-CCP9-High-Leverage-Cutters/dp/B019QXMFDQ/ref=sr_1_17?keywords=Klein+Tools+63225+High-Leverage+Cable+Cutter&amp;qid=1694735182&amp;sr=8-17")</f>
        <v/>
      </c>
      <c r="F6814" t="inlineStr">
        <is>
          <t>B019QXMFDQ</t>
        </is>
      </c>
      <c r="G6814">
        <f>_xlfn.IMAGE("https://edmondsonsupply.com/cdn/shop/products/63225_b.jpg?v=1633031163")</f>
        <v/>
      </c>
      <c r="H6814">
        <f>_xlfn.IMAGE("https://m.media-amazon.com/images/I/71v8E0Ms9VL._AC_UL320_.jpg")</f>
        <v/>
      </c>
      <c r="K6814" t="inlineStr">
        <is>
          <t>35.97</t>
        </is>
      </c>
      <c r="L6814" t="n">
        <v>29.05</v>
      </c>
      <c r="M6814" s="1" t="inlineStr">
        <is>
          <t>-19.24%</t>
        </is>
      </c>
      <c r="N6814" s="7" t="n"/>
      <c r="O6814" t="n">
        <v>4.4</v>
      </c>
      <c r="P6814" t="n">
        <v>105</v>
      </c>
      <c r="R6814" t="inlineStr">
        <is>
          <t>InStock</t>
        </is>
      </c>
      <c r="S6814" t="inlineStr">
        <is>
          <t>47.32</t>
        </is>
      </c>
      <c r="T6814" t="inlineStr">
        <is>
          <t>6900133429421</t>
        </is>
      </c>
    </row>
    <row r="6815" ht="87" customHeight="1">
      <c r="A6815" s="2">
        <f>HYPERLINK("https://edmondsonsupply.com/collections/electricians-tools/products/greenlee-0153-02c", "https://edmondsonsupply.com/collections/electricians-tools/products/greenlee-0153-02c")</f>
        <v/>
      </c>
      <c r="B6815" s="2">
        <f>HYPERLINK("https://edmondsonsupply.com/products/greenlee-0153-02c", "https://edmondsonsupply.com/products/greenlee-0153-02c")</f>
        <v/>
      </c>
      <c r="C6815" t="inlineStr">
        <is>
          <t>Greenlee 0153-02C Screwdriver Set, 7-Piece</t>
        </is>
      </c>
      <c r="D6815" t="inlineStr">
        <is>
          <t>Greenlee 0153-02C 7-Piece Screwdriver Set with Cabinet, Keystone, and Phillips</t>
        </is>
      </c>
      <c r="E6815" s="2">
        <f>HYPERLINK("https://www.amazon.com/Greenlee-0153-02C-Screwdriver-Set-7-Piece/dp/B002NQVCPQ/ref=sr_1_1?keywords=Greenlee+0153-02C+Screwdriver+Set%2C+7-Piece&amp;qid=1694735381&amp;sr=8-1", "https://www.amazon.com/Greenlee-0153-02C-Screwdriver-Set-7-Piece/dp/B002NQVCPQ/ref=sr_1_1?keywords=Greenlee+0153-02C+Screwdriver+Set%2C+7-Piece&amp;qid=1694735381&amp;sr=8-1")</f>
        <v/>
      </c>
      <c r="F6815" t="inlineStr">
        <is>
          <t>B002NQVCPQ</t>
        </is>
      </c>
      <c r="G6815">
        <f>_xlfn.IMAGE("https://edmondsonsupply.com/cdn/shop/products/0153-02C.jpg?v=1587146985")</f>
        <v/>
      </c>
      <c r="H6815">
        <f>_xlfn.IMAGE("https://m.media-amazon.com/images/I/81ktGL+zc6L._AC_UL320_.jpg")</f>
        <v/>
      </c>
      <c r="K6815" t="inlineStr">
        <is>
          <t>52.99</t>
        </is>
      </c>
      <c r="L6815" t="n">
        <v>42.79</v>
      </c>
      <c r="M6815" s="1" t="inlineStr">
        <is>
          <t>-19.25%</t>
        </is>
      </c>
      <c r="N6815" s="7" t="n"/>
      <c r="O6815" t="n">
        <v>4.8</v>
      </c>
      <c r="P6815" t="n">
        <v>1779</v>
      </c>
      <c r="R6815" t="inlineStr">
        <is>
          <t>InStock</t>
        </is>
      </c>
      <c r="S6815" t="inlineStr">
        <is>
          <t>61.1</t>
        </is>
      </c>
      <c r="T6815" t="inlineStr">
        <is>
          <t>4418396455012</t>
        </is>
      </c>
    </row>
    <row r="6816" ht="87" customHeight="1">
      <c r="A6816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816" s="2">
        <f>HYPERLINK("https://edmondsonsupply.com/products/klein-tools-32307-27-in-1-multi-bit-tamperproof-screwdriver", "https://edmondsonsupply.com/products/klein-tools-32307-27-in-1-multi-bit-tamperproof-screwdriver")</f>
        <v/>
      </c>
      <c r="C6816" t="inlineStr">
        <is>
          <t>Klein Tools 32307 27-in-1 Multi-Bit Tamperproof Screwdriver</t>
        </is>
      </c>
      <c r="D6816" t="inlineStr">
        <is>
          <t>Klein Tools 32500MAG Magnetic Multi-Bit Screwdriver / Nut Driver, 11-in-1 Multi Tool with 8 Bits, 3 Nut Driver Sizes, Cushion Grip Handle</t>
        </is>
      </c>
      <c r="E6816" s="2">
        <f>HYPERLINK("https://www.amazon.com/Klein-Tools-32500MAG-Multi-Bit-Screwdriver/dp/B089LTTZWT/ref=sr_1_19?keywords=Klein+Tools+32307+27-in-1+Multi-Bit+Tamperproof+Screwdriver&amp;qid=1694735165&amp;sr=8-19", "https://www.amazon.com/Klein-Tools-32500MAG-Multi-Bit-Screwdriver/dp/B089LTTZWT/ref=sr_1_19?keywords=Klein+Tools+32307+27-in-1+Multi-Bit+Tamperproof+Screwdriver&amp;qid=1694735165&amp;sr=8-19")</f>
        <v/>
      </c>
      <c r="F6816" t="inlineStr">
        <is>
          <t>B089LTTZWT</t>
        </is>
      </c>
      <c r="G6816">
        <f>_xlfn.IMAGE("https://edmondsonsupply.com/cdn/shop/products/32307.jpg?v=1647347524")</f>
        <v/>
      </c>
      <c r="H6816">
        <f>_xlfn.IMAGE("https://m.media-amazon.com/images/I/61WjOoy7J0L._AC_UL320_.jpg")</f>
        <v/>
      </c>
      <c r="K6816" t="inlineStr">
        <is>
          <t>25.97</t>
        </is>
      </c>
      <c r="L6816" t="n">
        <v>20.97</v>
      </c>
      <c r="M6816" s="1" t="inlineStr">
        <is>
          <t>-19.25%</t>
        </is>
      </c>
      <c r="N6816" s="7" t="n"/>
      <c r="O6816" t="n">
        <v>4.8</v>
      </c>
      <c r="P6816" t="n">
        <v>3916</v>
      </c>
      <c r="R6816" t="inlineStr">
        <is>
          <t>InStock</t>
        </is>
      </c>
      <c r="S6816" t="inlineStr">
        <is>
          <t>36.38</t>
        </is>
      </c>
      <c r="T6816" t="inlineStr">
        <is>
          <t>7637266366680</t>
        </is>
      </c>
    </row>
    <row r="6817" ht="87" customHeight="1">
      <c r="A6817" s="2">
        <f>HYPERLINK("https://edmondsonsupply.com/collections/electricians-tools/products/tajima-gs-16-5mbw-gs-lock%E2%84%A2-standard-metric-scale-16-ft-5-m-x-1-in-25mm-steel-blade-tape-measure", "https://edmondsonsupply.com/collections/electricians-tools/products/tajima-gs-16-5mbw-gs-lock%E2%84%A2-standard-metric-scale-16-ft-5-m-x-1-in-25mm-steel-blade-tape-measure")</f>
        <v/>
      </c>
      <c r="B6817" s="2">
        <f>HYPERLINK("https://edmondsonsupply.com/products/tajima-gs-16-5mbw-gs-lock%e2%84%a2-standard-metric-scale-16-ft-5-m-x-1-in-25mm-steel-blade-tape-measure", "https://edmondsonsupply.com/products/tajima-gs-16-5mbw-gs-lock%e2%84%a2-standard-metric-scale-16-ft-5-m-x-1-in-25mm-steel-blade-tape-measure")</f>
        <v/>
      </c>
      <c r="C6817" t="inlineStr">
        <is>
          <t>Tajima GS-16/5MBW GS Lock™ Standard &amp; Metric Scale, 16 ft/ 5 m x 1 in./25mm Steel Blade Tape Measure</t>
        </is>
      </c>
      <c r="D6817" t="inlineStr">
        <is>
          <t>TAJIMA Tape Measure - 16 ft / 5m x 1 inch G-Series Measuring Tape with Dual Metric/Standard Scale &amp; Acrylic Coated Blade - G-16/5MBW</t>
        </is>
      </c>
      <c r="E6817" s="2">
        <f>HYPERLINK("https://www.amazon.com/TAJIMA-Tape-Measure-G-Measuring/dp/B002DML0OI/ref=sr_1_2?keywords=Tajima+GS-16%2F5MBW+GS+Lock%E2%84%A2+Standard+%26+Metric+Scale%2C+16+ft%2F+5+m+x+1+in.%2F25mm+Steel+Blade+Tape+Measure&amp;qid=1694735144&amp;sr=8-2", "https://www.amazon.com/TAJIMA-Tape-Measure-G-Measuring/dp/B002DML0OI/ref=sr_1_2?keywords=Tajima+GS-16%2F5MBW+GS+Lock%E2%84%A2+Standard+%26+Metric+Scale%2C+16+ft%2F+5+m+x+1+in.%2F25mm+Steel+Blade+Tape+Measure&amp;qid=1694735144&amp;sr=8-2")</f>
        <v/>
      </c>
      <c r="F6817" t="inlineStr">
        <is>
          <t>B002DML0OI</t>
        </is>
      </c>
      <c r="G6817">
        <f>_xlfn.IMAGE("https://edmondsonsupply.com/cdn/shop/products/GS16-5MBW.jpg?v=1655829307")</f>
        <v/>
      </c>
      <c r="H6817">
        <f>_xlfn.IMAGE("https://m.media-amazon.com/images/I/81xYPoudDdL._AC_UL320_.jpg")</f>
        <v/>
      </c>
      <c r="K6817" t="inlineStr">
        <is>
          <t>27.92</t>
        </is>
      </c>
      <c r="L6817" t="n">
        <v>22.5</v>
      </c>
      <c r="M6817" s="1" t="inlineStr">
        <is>
          <t>-19.41%</t>
        </is>
      </c>
      <c r="N6817" s="7" t="n"/>
      <c r="O6817" t="n">
        <v>4.6</v>
      </c>
      <c r="P6817" t="n">
        <v>85</v>
      </c>
      <c r="R6817" t="inlineStr">
        <is>
          <t>InStock</t>
        </is>
      </c>
      <c r="S6817" t="inlineStr">
        <is>
          <t>29.39</t>
        </is>
      </c>
      <c r="T6817" t="inlineStr">
        <is>
          <t>7726331560152</t>
        </is>
      </c>
    </row>
    <row r="6818" hidden="1" ht="15.75" customHeight="1">
      <c r="A6818" s="2">
        <f>HYPERLINK("https://edmondsonsupply.com/collections/electricians-tools/products/diablo-tools-dmapl4220-5-8-in-x-6-in-x-8-in-rebar-demon%E2%84%A2-sds-plus-4-cutter-full-carbide-head-hammer-bit", "https://edmondsonsupply.com/collections/electricians-tools/products/diablo-tools-dmapl4220-5-8-in-x-6-in-x-8-in-rebar-demon%E2%84%A2-sds-plus-4-cutter-full-carbide-head-hammer-bit")</f>
        <v/>
      </c>
      <c r="B6818" s="2">
        <f>HYPERLINK("https://edmondsonsupply.com/products/diablo-tools-dmapl4220-5-8-in-x-6-in-x-8-in-rebar-demon%e2%84%a2-sds-plus-4-cutter-full-carbide-head-hammer-bit", "https://edmondsonsupply.com/products/diablo-tools-dmapl4220-5-8-in-x-6-in-x-8-in-rebar-demon%e2%84%a2-sds-plus-4-cutter-full-carbide-head-hammer-bit")</f>
        <v/>
      </c>
      <c r="C6818" t="inlineStr">
        <is>
          <t>Diablo Tools DMAPL4220 5/8 in. x 6 in. x 8 in. Rebar Demon™ SDS-Plus 4-Cutter Full Carbide Head Hammer Bit</t>
        </is>
      </c>
      <c r="D6818" t="inlineStr">
        <is>
          <t>Diablo by Freud Diablo DMAPL4070 1/4 in. x 4 in. x 6 in. Rebar Demon SDS-Plus 4-Cutter Full Carbide Head Hammer Bit</t>
        </is>
      </c>
      <c r="E6818" s="2">
        <f>HYPERLINK("https://www.amazon.com/Diablo-Freud-DMAPL4070-SDS-Plus-4-Cutter/dp/B089KVLDML/ref=sr_1_4?keywords=Diablo+Tools+DMAPL4220+5%2F8+in.+x+6+in.+x+8+in.+Rebar+Demon%E2%84%A2+SDS-Plus+4-Cutter+Full+Carbide+Head+Hammer+Bit&amp;qid=1694735306&amp;sr=8-4", "https://www.amazon.com/Diablo-Freud-DMAPL4070-SDS-Plus-4-Cutter/dp/B089KVLDML/ref=sr_1_4?keywords=Diablo+Tools+DMAPL4220+5%2F8+in.+x+6+in.+x+8+in.+Rebar+Demon%E2%84%A2+SDS-Plus+4-Cutter+Full+Carbide+Head+Hammer+Bit&amp;qid=1694735306&amp;sr=8-4")</f>
        <v/>
      </c>
      <c r="F6818" t="inlineStr">
        <is>
          <t>B089KVLDML</t>
        </is>
      </c>
      <c r="G6818">
        <f>_xludf.IMAGE("https://edmondsonsupply.com/cdn/shop/products/DMAPL4220.jpg?v=1633030355")</f>
        <v/>
      </c>
      <c r="H6818">
        <f>_xludf.IMAGE("https://m.media-amazon.com/images/I/61fLLQz5xPL._AC_UL320_.jpg")</f>
        <v/>
      </c>
      <c r="K6818" t="inlineStr">
        <is>
          <t>10.97</t>
        </is>
      </c>
      <c r="L6818" t="n">
        <v>8.84</v>
      </c>
      <c r="M6818" s="1" t="inlineStr">
        <is>
          <t>-19.42%</t>
        </is>
      </c>
      <c r="N6818" s="1" t="n"/>
      <c r="O6818" t="n">
        <v>4.4</v>
      </c>
      <c r="P6818" t="n">
        <v>28</v>
      </c>
      <c r="R6818" t="inlineStr">
        <is>
          <t>InStock</t>
        </is>
      </c>
      <c r="S6818" t="inlineStr">
        <is>
          <t>17.16</t>
        </is>
      </c>
      <c r="T6818" t="inlineStr">
        <is>
          <t>5286142148776</t>
        </is>
      </c>
    </row>
    <row r="6819" ht="87" customHeight="1">
      <c r="A6819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6819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6819" t="inlineStr">
        <is>
          <t>Diablo Tools DMAMX1230 1 in. x 24 in. x 29 in. Rebar Demon™ SDS-Max 4-Cutter Full Carbide Head Hammer Bit</t>
        </is>
      </c>
      <c r="D6819" t="inlineStr">
        <is>
          <t>Diablo by Freud DMAMX1150 3/4 in. x 31 in. x 36 in. Rebar Demon SDS-Max 4-Cutter Full Carbide Head Hammer Bit</t>
        </is>
      </c>
      <c r="E6819" s="2">
        <f>HYPERLINK("https://www.amazon.com/Diablo-SDS-Max-4-Cutter-Carbide-Hammer/dp/B089KWVY6S/ref=sr_1_16?keywords=Diablo+Tools+DMAMX1230+1+in.+x+24+in.+x+29+in.+Rebar+Demon%E2%84%A2+SDS-Max+4-Cutter+Full+Carbide+Head+Hammer+Bit&amp;qid=1694735297&amp;sr=8-16", "https://www.amazon.com/Diablo-SDS-Max-4-Cutter-Carbide-Hammer/dp/B089KWVY6S/ref=sr_1_16?keywords=Diablo+Tools+DMAMX1230+1+in.+x+24+in.+x+29+in.+Rebar+Demon%E2%84%A2+SDS-Max+4-Cutter+Full+Carbide+Head+Hammer+Bit&amp;qid=1694735297&amp;sr=8-16")</f>
        <v/>
      </c>
      <c r="F6819" t="inlineStr">
        <is>
          <t>B089KWVY6S</t>
        </is>
      </c>
      <c r="G6819">
        <f>_xlfn.IMAGE("https://edmondsonsupply.com/cdn/shop/products/DMAMX1230_1.jpg?v=1633030364")</f>
        <v/>
      </c>
      <c r="H6819">
        <f>_xlfn.IMAGE("https://m.media-amazon.com/images/I/61yjTOwPY1L._AC_UL320_.jpg")</f>
        <v/>
      </c>
      <c r="K6819" t="inlineStr">
        <is>
          <t>124.97</t>
        </is>
      </c>
      <c r="L6819" t="n">
        <v>100.64</v>
      </c>
      <c r="M6819" s="1" t="inlineStr">
        <is>
          <t>-19.47%</t>
        </is>
      </c>
      <c r="N6819" s="7" t="n"/>
      <c r="O6819" t="n">
        <v>5</v>
      </c>
      <c r="P6819" t="n">
        <v>3</v>
      </c>
      <c r="R6819" t="inlineStr">
        <is>
          <t>InStock</t>
        </is>
      </c>
      <c r="S6819" t="inlineStr">
        <is>
          <t>152.89</t>
        </is>
      </c>
      <c r="T6819" t="inlineStr">
        <is>
          <t>5289176072360</t>
        </is>
      </c>
    </row>
    <row r="6820" ht="87" customHeight="1">
      <c r="A6820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6820" s="2">
        <f>HYPERLINK("https://edmondsonsupply.com/products/klein-tools-j203-8-pliers-needle-nose-side-cutters-8-inch", "https://edmondsonsupply.com/products/klein-tools-j203-8-pliers-needle-nose-side-cutters-8-inch")</f>
        <v/>
      </c>
      <c r="C6820" t="inlineStr">
        <is>
          <t>Klein Tools J203-8 Pliers, Needle Nose Side-Cutters, 8-Inch</t>
        </is>
      </c>
      <c r="D6820" t="inlineStr">
        <is>
          <t>Klein Tools D318-51/2C Linemans Pliers, Needle Nose Side Cutters, Spring Loaded, 5-Inch with Knurled Jaw</t>
        </is>
      </c>
      <c r="E6820" s="2">
        <f>HYPERLINK("https://www.amazon.com/Linemans-Klein-Tools-D318-51-2C/dp/B000G67F5G/ref=sr_1_10?keywords=Klein+Tools+J203-8+Pliers%2C+Needle+Nose+Side-Cutters%2C+8-Inch&amp;qid=1694735171&amp;sr=8-10", "https://www.amazon.com/Linemans-Klein-Tools-D318-51-2C/dp/B000G67F5G/ref=sr_1_10?keywords=Klein+Tools+J203-8+Pliers%2C+Needle+Nose+Side-Cutters%2C+8-Inch&amp;qid=1694735171&amp;sr=8-10")</f>
        <v/>
      </c>
      <c r="F6820" t="inlineStr">
        <is>
          <t>B000G67F5G</t>
        </is>
      </c>
      <c r="G6820">
        <f>_xlfn.IMAGE("https://edmondsonsupply.com/cdn/shop/products/j2038.jpg?v=1644709677")</f>
        <v/>
      </c>
      <c r="H6820">
        <f>_xlfn.IMAGE("https://m.media-amazon.com/images/I/41e01uS7cGL._AC_UL320_.jpg")</f>
        <v/>
      </c>
      <c r="K6820" t="inlineStr">
        <is>
          <t>38.49</t>
        </is>
      </c>
      <c r="L6820" t="n">
        <v>30.99</v>
      </c>
      <c r="M6820" s="1" t="inlineStr">
        <is>
          <t>-19.49%</t>
        </is>
      </c>
      <c r="N6820" s="7" t="n"/>
      <c r="O6820" t="n">
        <v>4.2</v>
      </c>
      <c r="P6820" t="n">
        <v>44</v>
      </c>
      <c r="R6820" t="inlineStr">
        <is>
          <t>InStock</t>
        </is>
      </c>
      <c r="S6820" t="inlineStr">
        <is>
          <t>58.32</t>
        </is>
      </c>
      <c r="T6820" t="inlineStr">
        <is>
          <t>7606180249816</t>
        </is>
      </c>
    </row>
    <row r="6821" hidden="1" ht="15.75" customHeight="1">
      <c r="A6821" s="2">
        <f>HYPERLINK("https://edmondsonsupply.com/collections/electricians-tools/products/klein-tools-635-9-16-9-16-heavy-duty-nut-driver-magnetic", "https://edmondsonsupply.com/collections/electricians-tools/products/klein-tools-635-9-16-9-16-heavy-duty-nut-driver-magnetic")</f>
        <v/>
      </c>
      <c r="B6821" s="2">
        <f>HYPERLINK("https://edmondsonsupply.com/products/klein-tools-635-9-16-9-16-heavy-duty-nut-driver-magnetic", "https://edmondsonsupply.com/products/klein-tools-635-9-16-9-16-heavy-duty-nut-driver-magnetic")</f>
        <v/>
      </c>
      <c r="C6821" t="inlineStr">
        <is>
          <t>Klein Tools 635-9/16 9/16-Inch Heavy-Duty Nut Driver</t>
        </is>
      </c>
      <c r="D6821" t="inlineStr">
        <is>
          <t>Klein Tools 646-9/16 9/16-Inch Nut Driver 6-Inch Hollow Shaft</t>
        </is>
      </c>
      <c r="E6821" s="2">
        <f>HYPERLINK("https://www.amazon.com/Klein-Tools-646-9-16-16-Inch/dp/B000936QWY/ref=sr_1_8?keywords=Klein+Tools+635-9%2F16+9%2F16-Inch+Heavy-Duty+Nut+Driver&amp;qid=1694735388&amp;sr=8-8", "https://www.amazon.com/Klein-Tools-646-9-16-16-Inch/dp/B000936QWY/ref=sr_1_8?keywords=Klein+Tools+635-9%2F16+9%2F16-Inch+Heavy-Duty+Nut+Driver&amp;qid=1694735388&amp;sr=8-8")</f>
        <v/>
      </c>
      <c r="F6821" t="inlineStr">
        <is>
          <t>B000936QWY</t>
        </is>
      </c>
      <c r="G6821">
        <f>_xludf.IMAGE("https://edmondsonsupply.com/cdn/shop/products/635-9-16.jpg?v=1587145126")</f>
        <v/>
      </c>
      <c r="H6821">
        <f>_xludf.IMAGE("https://m.media-amazon.com/images/I/41esdWE3JCL._AC_UL320_.jpg")</f>
        <v/>
      </c>
      <c r="K6821" t="inlineStr">
        <is>
          <t>15.99</t>
        </is>
      </c>
      <c r="L6821" t="n">
        <v>12.87</v>
      </c>
      <c r="M6821" s="1" t="inlineStr">
        <is>
          <t>-19.51%</t>
        </is>
      </c>
      <c r="N6821" s="1" t="n"/>
      <c r="O6821" t="n">
        <v>4.8</v>
      </c>
      <c r="P6821" t="n">
        <v>2491</v>
      </c>
      <c r="R6821" t="inlineStr">
        <is>
          <t>InStock</t>
        </is>
      </c>
      <c r="S6821" t="inlineStr">
        <is>
          <t>24.22</t>
        </is>
      </c>
      <c r="T6821" t="inlineStr">
        <is>
          <t>2766897741924</t>
        </is>
      </c>
    </row>
    <row r="6822" ht="87" customHeight="1">
      <c r="A6822" s="2">
        <f>HYPERLINK("https://edmondsonsupply.com/collections/electricians-tools/products/milwaukee-2880-20-m18-fuel%E2%84%A2-4-1-2-5-grinder-paddle-switch-no-lock", "https://edmondsonsupply.com/collections/electricians-tools/products/milwaukee-2880-20-m18-fuel%E2%84%A2-4-1-2-5-grinder-paddle-switch-no-lock")</f>
        <v/>
      </c>
      <c r="B6822" s="2">
        <f>HYPERLINK("https://edmondsonsupply.com/products/milwaukee-2880-20-m18-fuel%e2%84%a2-4-1-2-5-grinder-paddle-switch-no-lock", "https://edmondsonsupply.com/products/milwaukee-2880-20-m18-fuel%e2%84%a2-4-1-2-5-grinder-paddle-switch-no-lock")</f>
        <v/>
      </c>
      <c r="C6822" t="inlineStr">
        <is>
          <t>Milwaukee 2880-20 M18 FUEL™ 4-1/2" / 5" Grinder Paddle Switch, No-Lock</t>
        </is>
      </c>
      <c r="D6822" t="inlineStr">
        <is>
          <t>Milwaukee 2780-20 M18 4-1/2"/5" Paddle Switch No-Lock Grinder</t>
        </is>
      </c>
      <c r="E6822" s="2">
        <f>HYPERLINK("https://www.amazon.com/Milwaukee-2780-20-Paddle-No-Lock-Grinder/dp/B00I3PIMH2/ref=sr_1_12?keywords=Milwaukee+2880-20+M18+FUEL%E2%84%A2+4-1%2F2%22+%2F+5%22+Grinder+Paddle+Switch%2C+No-Lock&amp;qid=1694735131&amp;sr=8-12", "https://www.amazon.com/Milwaukee-2780-20-Paddle-No-Lock-Grinder/dp/B00I3PIMH2/ref=sr_1_12?keywords=Milwaukee+2880-20+M18+FUEL%E2%84%A2+4-1%2F2%22+%2F+5%22+Grinder+Paddle+Switch%2C+No-Lock&amp;qid=1694735131&amp;sr=8-12")</f>
        <v/>
      </c>
      <c r="F6822" t="inlineStr">
        <is>
          <t>B00I3PIMH2</t>
        </is>
      </c>
      <c r="G6822">
        <f>_xlfn.IMAGE("https://edmondsonsupply.com/cdn/shop/products/2880-20_1.webp?v=1661698933")</f>
        <v/>
      </c>
      <c r="H6822">
        <f>_xlfn.IMAGE("https://m.media-amazon.com/images/I/61o9ntsCOwL._AC_UL320_.jpg")</f>
        <v/>
      </c>
      <c r="K6822" t="inlineStr">
        <is>
          <t>199.0</t>
        </is>
      </c>
      <c r="L6822" t="n">
        <v>160</v>
      </c>
      <c r="M6822" s="1" t="inlineStr">
        <is>
          <t>-19.60%</t>
        </is>
      </c>
      <c r="N6822" s="7" t="n"/>
      <c r="O6822" t="n">
        <v>5</v>
      </c>
      <c r="P6822" t="n">
        <v>7</v>
      </c>
      <c r="R6822" t="inlineStr">
        <is>
          <t>InStock</t>
        </is>
      </c>
      <c r="S6822" t="inlineStr">
        <is>
          <t>330.0</t>
        </is>
      </c>
      <c r="T6822" t="inlineStr">
        <is>
          <t>7795852411096</t>
        </is>
      </c>
    </row>
    <row r="6823" ht="87" customHeight="1">
      <c r="A6823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6823" s="2">
        <f>HYPERLINK("https://edmondsonsupply.com/products/diablo-tools-d0760x-7-1-4-in-x-60-tooth-ultra-finish-saw-blade", "https://edmondsonsupply.com/products/diablo-tools-d0760x-7-1-4-in-x-60-tooth-ultra-finish-saw-blade")</f>
        <v/>
      </c>
      <c r="C6823" t="inlineStr">
        <is>
          <t>Diablo Tools D0760X 7-1/4 in. x 60 Tooth Ultra Finish Saw Blade</t>
        </is>
      </c>
      <c r="D6823" t="inlineStr">
        <is>
          <t>FOXBC 7-1/4" Circular Saw Blade 60-Tooth Replacement for Freud Diablo D0760A D0760X, DeWalt DWA171460 Ultra Fine Finish Circular Saw Blade</t>
        </is>
      </c>
      <c r="E6823" s="2">
        <f>HYPERLINK("https://www.amazon.com/FOXBC-Circular-60-Tooth-Replacement-DWA171460/dp/B0C6L4CRY2/ref=sr_1_3?keywords=Diablo+Tools+D0760X+7-1%2F4+in.+x+60+Tooth+Ultra+Finish+Saw+Blade&amp;qid=1694735024&amp;sr=8-3", "https://www.amazon.com/FOXBC-Circular-60-Tooth-Replacement-DWA171460/dp/B0C6L4CRY2/ref=sr_1_3?keywords=Diablo+Tools+D0760X+7-1%2F4+in.+x+60+Tooth+Ultra+Finish+Saw+Blade&amp;qid=1694735024&amp;sr=8-3")</f>
        <v/>
      </c>
      <c r="F6823" t="inlineStr">
        <is>
          <t>B0C6L4CRY2</t>
        </is>
      </c>
      <c r="G6823">
        <f>_xlfn.IMAGE("https://edmondsonsupply.com/cdn/shop/products/vlfiqrihhfwf5bxirasx.webp?v=1678977162")</f>
        <v/>
      </c>
      <c r="H6823">
        <f>_xlfn.IMAGE("https://m.media-amazon.com/images/I/7198akWEx0L._AC_UL320_.jpg")</f>
        <v/>
      </c>
      <c r="K6823" t="inlineStr">
        <is>
          <t>19.97</t>
        </is>
      </c>
      <c r="L6823" t="n">
        <v>15.99</v>
      </c>
      <c r="M6823" s="1" t="inlineStr">
        <is>
          <t>-19.93%</t>
        </is>
      </c>
      <c r="N6823" s="7" t="n"/>
      <c r="O6823" t="n">
        <v>4.8</v>
      </c>
      <c r="P6823" t="n">
        <v>30</v>
      </c>
      <c r="R6823" t="inlineStr">
        <is>
          <t>InStock</t>
        </is>
      </c>
      <c r="S6823" t="inlineStr">
        <is>
          <t>30.2</t>
        </is>
      </c>
      <c r="T6823" t="inlineStr">
        <is>
          <t>7962630521048</t>
        </is>
      </c>
    </row>
    <row r="6824" ht="87" customHeight="1">
      <c r="A6824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6824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6824" t="inlineStr">
        <is>
          <t>Diablo Tools DMAMX1230 1 in. x 24 in. x 29 in. Rebar Demon™ SDS-Max 4-Cutter Full Carbide Head Hammer Bit</t>
        </is>
      </c>
      <c r="D6824" t="inlineStr">
        <is>
          <t>Diablo by Freud DMAMX1240 1 in. x 31 in. x 36 in. Rebar Demon SDS-Max 4-Cutter Full Carbide Head Hammer Bit</t>
        </is>
      </c>
      <c r="E6824" s="2">
        <f>HYPERLINK("https://www.amazon.com/Diablo-SDS-Max-4-Cutter-Carbide-Hammer/dp/B089KWF9R4/ref=sr_1_6?keywords=Diablo+Tools+DMAMX1230+1+in.+x+24+in.+x+29+in.+Rebar+Demon%E2%84%A2+SDS-Max+4-Cutter+Full+Carbide+Head+Hammer+Bit&amp;qid=1694735297&amp;sr=8-6", "https://www.amazon.com/Diablo-SDS-Max-4-Cutter-Carbide-Hammer/dp/B089KWF9R4/ref=sr_1_6?keywords=Diablo+Tools+DMAMX1230+1+in.+x+24+in.+x+29+in.+Rebar+Demon%E2%84%A2+SDS-Max+4-Cutter+Full+Carbide+Head+Hammer+Bit&amp;qid=1694735297&amp;sr=8-6")</f>
        <v/>
      </c>
      <c r="F6824" t="inlineStr">
        <is>
          <t>B089KWF9R4</t>
        </is>
      </c>
      <c r="G6824">
        <f>_xlfn.IMAGE("https://edmondsonsupply.com/cdn/shop/products/DMAMX1230_1.jpg?v=1633030364")</f>
        <v/>
      </c>
      <c r="H6824">
        <f>_xlfn.IMAGE("https://m.media-amazon.com/images/I/61UhVlNC+9L._AC_UL320_.jpg")</f>
        <v/>
      </c>
      <c r="K6824" t="inlineStr">
        <is>
          <t>124.97</t>
        </is>
      </c>
      <c r="L6824" t="n">
        <v>100</v>
      </c>
      <c r="M6824" s="1" t="inlineStr">
        <is>
          <t>-19.98%</t>
        </is>
      </c>
      <c r="N6824" s="7" t="n"/>
      <c r="O6824" t="n">
        <v>5</v>
      </c>
      <c r="P6824" t="n">
        <v>3</v>
      </c>
      <c r="R6824" t="inlineStr">
        <is>
          <t>InStock</t>
        </is>
      </c>
      <c r="S6824" t="inlineStr">
        <is>
          <t>152.89</t>
        </is>
      </c>
      <c r="T6824" t="inlineStr">
        <is>
          <t>5289176072360</t>
        </is>
      </c>
    </row>
    <row r="6825" ht="87" customHeight="1">
      <c r="A6825" s="2">
        <f>HYPERLINK("https://edmondsonsupply.com/collections/electricians-tools/products/klein-tools-66030-2-in-1-coated-impact-socket-12-point-3-4-and-9-16-inch", "https://edmondsonsupply.com/collections/electricians-tools/products/klein-tools-66030-2-in-1-coated-impact-socket-12-point-3-4-and-9-16-inch")</f>
        <v/>
      </c>
      <c r="B6825" s="2">
        <f>HYPERLINK("https://edmondsonsupply.com/products/klein-tools-66030-2-in-1-coated-impact-socket-12-point-3-4-and-9-16-inch", "https://edmondsonsupply.com/products/klein-tools-66030-2-in-1-coated-impact-socket-12-point-3-4-and-9-16-inch")</f>
        <v/>
      </c>
      <c r="C6825" t="inlineStr">
        <is>
          <t>Klein Tools 66030 2-in-1 Coated Impact Socket, 12-Point, 3/4 and 9/16-Inch</t>
        </is>
      </c>
      <c r="D6825" t="inlineStr">
        <is>
          <t>Klein Tools 66001 2-in-1 Impact Socket, Socket Wrench Sizes 3/4-Inch and 9/16-Inch Hex, 12-Point Deep Socket with 1/2-Inch Drive</t>
        </is>
      </c>
      <c r="E6825" s="2">
        <f>HYPERLINK("https://www.amazon.com/Klein-Tools-66001-12-Point-16-Inch/dp/B078NHVXWK/ref=sr_1_2?keywords=Klein+Tools+66030+2-in-1+Coated+Impact+Socket%2C+12-Point%2C+3%2F4+and+9%2F16-Inch&amp;qid=1694735096&amp;sr=8-2", "https://www.amazon.com/Klein-Tools-66001-12-Point-16-Inch/dp/B078NHVXWK/ref=sr_1_2?keywords=Klein+Tools+66030+2-in-1+Coated+Impact+Socket%2C+12-Point%2C+3%2F4+and+9%2F16-Inch&amp;qid=1694735096&amp;sr=8-2")</f>
        <v/>
      </c>
      <c r="F6825" t="inlineStr">
        <is>
          <t>B078NHVXWK</t>
        </is>
      </c>
      <c r="G6825">
        <f>_xlfn.IMAGE("https://edmondsonsupply.com/cdn/shop/products/66030.jpg?v=1666027133")</f>
        <v/>
      </c>
      <c r="H6825">
        <f>_xlfn.IMAGE("https://m.media-amazon.com/images/I/31AlECG12iL._AC_UL320_.jpg")</f>
        <v/>
      </c>
      <c r="K6825" t="inlineStr">
        <is>
          <t>49.98</t>
        </is>
      </c>
      <c r="L6825" t="n">
        <v>39.99</v>
      </c>
      <c r="M6825" s="1" t="inlineStr">
        <is>
          <t>-19.99%</t>
        </is>
      </c>
      <c r="N6825" s="7" t="n"/>
      <c r="O6825" t="n">
        <v>4.8</v>
      </c>
      <c r="P6825" t="n">
        <v>753</v>
      </c>
      <c r="R6825" t="inlineStr">
        <is>
          <t>InStock</t>
        </is>
      </c>
      <c r="S6825" t="inlineStr">
        <is>
          <t>83.3</t>
        </is>
      </c>
      <c r="T6825" t="inlineStr">
        <is>
          <t>7856657858776</t>
        </is>
      </c>
    </row>
    <row r="6826" ht="87" customHeight="1">
      <c r="A6826" s="2">
        <f>HYPERLINK("https://edmondsonsupply.com/collections/electricians-tools/products/klein-tools-d2000-48-diagonal-cutting-pliers-angled-head-8-inch", "https://edmondsonsupply.com/collections/electricians-tools/products/klein-tools-d2000-48-diagonal-cutting-pliers-angled-head-8-inch")</f>
        <v/>
      </c>
      <c r="B6826" s="2">
        <f>HYPERLINK("https://edmondsonsupply.com/products/klein-tools-d2000-48-diagonal-cutting-pliers-angled-head-8-inch", "https://edmondsonsupply.com/products/klein-tools-d2000-48-diagonal-cutting-pliers-angled-head-8-inch")</f>
        <v/>
      </c>
      <c r="C6826" t="inlineStr">
        <is>
          <t>Klein Tools D2000-48 Diagonal Cutting Pliers, Angled Head, 8-Inch</t>
        </is>
      </c>
      <c r="D6826" t="inlineStr">
        <is>
          <t>Klein Tools D2000-28 Pliers, Diagonal Cutting Pliers with Angled Head are Heavy-Duty to Cut ACSR, Screws, Nails, Most Hardened Wire, 8-Inch</t>
        </is>
      </c>
      <c r="E6826" s="2">
        <f>HYPERLINK("https://www.amazon.com/High-Leverage-Diagonal-Cutting-Klein-Tools-D2000-28/dp/B0000302WR/ref=sr_1_2?keywords=Klein+Tools+D2000-48+Diagonal+Cutting+Pliers%2C+Angled+Head%2C+8-Inch&amp;qid=1694735135&amp;sr=8-2", "https://www.amazon.com/High-Leverage-Diagonal-Cutting-Klein-Tools-D2000-28/dp/B0000302WR/ref=sr_1_2?keywords=Klein+Tools+D2000-48+Diagonal+Cutting+Pliers%2C+Angled+Head%2C+8-Inch&amp;qid=1694735135&amp;sr=8-2")</f>
        <v/>
      </c>
      <c r="F6826" t="inlineStr">
        <is>
          <t>B0000302WR</t>
        </is>
      </c>
      <c r="G6826">
        <f>_xlfn.IMAGE("https://edmondsonsupply.com/cdn/shop/products/d200048.jpg?v=1660920588")</f>
        <v/>
      </c>
      <c r="H6826">
        <f>_xlfn.IMAGE("https://m.media-amazon.com/images/I/41VuWJ3z3QL._AC_UL320_.jpg")</f>
        <v/>
      </c>
      <c r="K6826" t="inlineStr">
        <is>
          <t>34.97</t>
        </is>
      </c>
      <c r="L6826" t="n">
        <v>27.98</v>
      </c>
      <c r="M6826" s="1" t="inlineStr">
        <is>
          <t>-19.99%</t>
        </is>
      </c>
      <c r="N6826" s="7" t="n"/>
      <c r="O6826" t="n">
        <v>4.8</v>
      </c>
      <c r="P6826" t="n">
        <v>1451</v>
      </c>
      <c r="R6826" t="inlineStr">
        <is>
          <t>InStock</t>
        </is>
      </c>
      <c r="S6826" t="inlineStr">
        <is>
          <t>49.78</t>
        </is>
      </c>
      <c r="T6826" t="inlineStr">
        <is>
          <t>7786125164760</t>
        </is>
      </c>
    </row>
    <row r="6827" ht="87" customHeight="1">
      <c r="A6827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6827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6827" t="inlineStr">
        <is>
          <t>Diablo Tools DMAMX1230 1 in. x 24 in. x 29 in. Rebar Demon™ SDS-Max 4-Cutter Full Carbide Head Hammer Bit</t>
        </is>
      </c>
      <c r="D6827" t="inlineStr">
        <is>
          <t>Diablo by Freud DMAPL4180-P25 1/2 in. x 4 in. x 6 in. Rebar Demon SDS-Plus 4-Cutter Full Carbide Head Hammer Bit (25-Pack) Multi, One Size</t>
        </is>
      </c>
      <c r="E6827" s="2">
        <f>HYPERLINK("https://www.amazon.com/Diablo-Rebar-4-Cutter-Carbide-Hammer/dp/B089LGWV7F/ref=sr_1_42?keywords=Diablo+Tools+DMAMX1230+1+in.+x+24+in.+x+29+in.+Rebar+Demon%E2%84%A2+SDS-Max+4-Cutter+Full+Carbide+Head+Hammer+Bit&amp;qid=1694735297&amp;sr=8-42", "https://www.amazon.com/Diablo-Rebar-4-Cutter-Carbide-Hammer/dp/B089LGWV7F/ref=sr_1_42?keywords=Diablo+Tools+DMAMX1230+1+in.+x+24+in.+x+29+in.+Rebar+Demon%E2%84%A2+SDS-Max+4-Cutter+Full+Carbide+Head+Hammer+Bit&amp;qid=1694735297&amp;sr=8-42")</f>
        <v/>
      </c>
      <c r="F6827" t="inlineStr">
        <is>
          <t>B089LGWV7F</t>
        </is>
      </c>
      <c r="G6827">
        <f>_xlfn.IMAGE("https://edmondsonsupply.com/cdn/shop/products/DMAMX1230_1.jpg?v=1633030364")</f>
        <v/>
      </c>
      <c r="H6827">
        <f>_xlfn.IMAGE("https://m.media-amazon.com/images/I/61q9iw+mKpL._AC_UL320_.jpg")</f>
        <v/>
      </c>
      <c r="K6827" t="inlineStr">
        <is>
          <t>124.97</t>
        </is>
      </c>
      <c r="L6827" t="n">
        <v>99.98999999999999</v>
      </c>
      <c r="M6827" s="1" t="inlineStr">
        <is>
          <t>-19.99%</t>
        </is>
      </c>
      <c r="N6827" s="7" t="n"/>
      <c r="O6827" t="n">
        <v>5</v>
      </c>
      <c r="P6827" t="n">
        <v>2</v>
      </c>
      <c r="R6827" t="inlineStr">
        <is>
          <t>InStock</t>
        </is>
      </c>
      <c r="S6827" t="inlineStr">
        <is>
          <t>152.89</t>
        </is>
      </c>
      <c r="T6827" t="inlineStr">
        <is>
          <t>5289176072360</t>
        </is>
      </c>
    </row>
    <row r="6828" ht="87" customHeight="1">
      <c r="A6828" s="2">
        <f>HYPERLINK("https://edmondsonsupply.com/collections/electricians-tools/products/milwaukee-48-22-7318-cheater-aluminum-adaptable-pipe-wrench", "https://edmondsonsupply.com/collections/electricians-tools/products/milwaukee-48-22-7318-cheater-aluminum-adaptable-pipe-wrench")</f>
        <v/>
      </c>
      <c r="B6828" s="2">
        <f>HYPERLINK("https://edmondsonsupply.com/products/milwaukee-48-22-7318-cheater-aluminum-adaptable-pipe-wrench", "https://edmondsonsupply.com/products/milwaukee-48-22-7318-cheater-aluminum-adaptable-pipe-wrench")</f>
        <v/>
      </c>
      <c r="C6828" t="inlineStr">
        <is>
          <t>Milwaukee 48-22-7318 CHEATER Aluminum Adaptable Pipe Wrench</t>
        </is>
      </c>
      <c r="D6828" t="inlineStr">
        <is>
          <t>Milwaukee 48-22-7314 CHEATER Adaptable Pipe Wrench</t>
        </is>
      </c>
      <c r="E6828" s="2">
        <f>HYPERLINK("https://www.amazon.com/Milwaukee-48-22-7314-MILWAUKEE/dp/B01CRHGIYA/ref=sr_1_3?keywords=Milwaukee+48-22-7318+CHEATER+Aluminum+Adaptable+Pipe+Wrench&amp;qid=1694735088&amp;sr=8-3", "https://www.amazon.com/Milwaukee-48-22-7314-MILWAUKEE/dp/B01CRHGIYA/ref=sr_1_3?keywords=Milwaukee+48-22-7318+CHEATER+Aluminum+Adaptable+Pipe+Wrench&amp;qid=1694735088&amp;sr=8-3")</f>
        <v/>
      </c>
      <c r="F6828" t="inlineStr">
        <is>
          <t>B01CRHGIYA</t>
        </is>
      </c>
      <c r="G6828">
        <f>_xlfn.IMAGE("https://edmondsonsupply.com/cdn/shop/products/48-22-7318_1.png?v=1668536591")</f>
        <v/>
      </c>
      <c r="H6828">
        <f>_xlfn.IMAGE("https://m.media-amazon.com/images/I/71ziG8yXW9L._AC_UL320_.jpg")</f>
        <v/>
      </c>
      <c r="K6828" t="inlineStr">
        <is>
          <t>124.97</t>
        </is>
      </c>
      <c r="L6828" t="n">
        <v>99.98999999999999</v>
      </c>
      <c r="M6828" s="1" t="inlineStr">
        <is>
          <t>-19.99%</t>
        </is>
      </c>
      <c r="N6828" s="7" t="n"/>
      <c r="O6828" t="n">
        <v>4.7</v>
      </c>
      <c r="P6828" t="n">
        <v>297</v>
      </c>
      <c r="R6828" t="inlineStr">
        <is>
          <t>InStock</t>
        </is>
      </c>
      <c r="S6828" t="inlineStr">
        <is>
          <t>181.2</t>
        </is>
      </c>
      <c r="T6828" t="inlineStr">
        <is>
          <t>7885336772824</t>
        </is>
      </c>
    </row>
    <row r="6829" ht="87" customHeight="1">
      <c r="A6829" s="2">
        <f>HYPERLINK("https://edmondsonsupply.com/collections/electricians-tools/products/klein-tools-51604-iron-conduit-bender-full-assembly-3-4-inch-emt-with-angle-setter%E2%84%A2", "https://edmondsonsupply.com/collections/electricians-tools/products/klein-tools-51604-iron-conduit-bender-full-assembly-3-4-inch-emt-with-angle-setter%E2%84%A2")</f>
        <v/>
      </c>
      <c r="B6829" s="2">
        <f>HYPERLINK("https://edmondsonsupply.com/products/klein-tools-51604-iron-conduit-bender-full-assembly-3-4-inch-emt-with-angle-setter%e2%84%a2", "https://edmondsonsupply.com/products/klein-tools-51604-iron-conduit-bender-full-assembly-3-4-inch-emt-with-angle-setter%e2%84%a2")</f>
        <v/>
      </c>
      <c r="C6829" t="inlineStr">
        <is>
          <t>Klein Tools 51604 Iron Conduit Bender Full Assembly, 3/4-Inch EMT with Angle Setter™</t>
        </is>
      </c>
      <c r="D6829" t="inlineStr">
        <is>
          <t>Klein Tools 51603 Iron Conduit Bender Full Assembly, 1/2-Inch EMT, Wide Foot Pedal, Benchmark Symbols and Angle Setter</t>
        </is>
      </c>
      <c r="E6829" s="2">
        <f>HYPERLINK("https://www.amazon.com/Klein-Tools-51603-Conduit-Features/dp/B08W6GJTHW/ref=sr_1_4?keywords=Klein+Tools+51604+Iron+Conduit+Bender+Full+Assembly%2C+3%2F4-Inch+EMT+with+Angle+Setter%E2%84%A2&amp;qid=1694735137&amp;sr=8-4", "https://www.amazon.com/Klein-Tools-51603-Conduit-Features/dp/B08W6GJTHW/ref=sr_1_4?keywords=Klein+Tools+51604+Iron+Conduit+Bender+Full+Assembly%2C+3%2F4-Inch+EMT+with+Angle+Setter%E2%84%A2&amp;qid=1694735137&amp;sr=8-4")</f>
        <v/>
      </c>
      <c r="F6829" t="inlineStr">
        <is>
          <t>B08W6GJTHW</t>
        </is>
      </c>
      <c r="G6829">
        <f>_xlfn.IMAGE("https://edmondsonsupply.com/cdn/shop/products/51603.jpg?v=1660829273")</f>
        <v/>
      </c>
      <c r="H6829">
        <f>_xlfn.IMAGE("https://m.media-amazon.com/images/I/31lf3y-9bSL._AC_UL320_.jpg")</f>
        <v/>
      </c>
      <c r="K6829" t="inlineStr">
        <is>
          <t>74.99</t>
        </is>
      </c>
      <c r="L6829" t="n">
        <v>59.99</v>
      </c>
      <c r="M6829" s="1" t="inlineStr">
        <is>
          <t>-20.00%</t>
        </is>
      </c>
      <c r="N6829" s="7" t="n"/>
      <c r="O6829" t="n">
        <v>4.9</v>
      </c>
      <c r="P6829" t="n">
        <v>31</v>
      </c>
      <c r="R6829" t="inlineStr">
        <is>
          <t>OutOfStock</t>
        </is>
      </c>
      <c r="S6829" t="inlineStr">
        <is>
          <t>108.0</t>
        </is>
      </c>
      <c r="T6829" t="inlineStr">
        <is>
          <t>7784729673944</t>
        </is>
      </c>
    </row>
    <row r="6830" ht="87" customHeight="1">
      <c r="A6830" s="2">
        <f>HYPERLINK("https://edmondsonsupply.com/collections/electricians-tools/products/klein-tools-66031-3-in-1-slotted-impact-socket-12-point-3-4-and-9-16-inch", "https://edmondsonsupply.com/collections/electricians-tools/products/klein-tools-66031-3-in-1-slotted-impact-socket-12-point-3-4-and-9-16-inch")</f>
        <v/>
      </c>
      <c r="B6830" s="2">
        <f>HYPERLINK("https://edmondsonsupply.com/products/klein-tools-66031-3-in-1-slotted-impact-socket-12-point-3-4-and-9-16-inch", "https://edmondsonsupply.com/products/klein-tools-66031-3-in-1-slotted-impact-socket-12-point-3-4-and-9-16-inch")</f>
        <v/>
      </c>
      <c r="C6830" t="inlineStr">
        <is>
          <t>Klein Tools 66031 3-in-1 Slotted Impact Socket, 12-Point, 3/4 and 9/16-Inch</t>
        </is>
      </c>
      <c r="D6830" t="inlineStr">
        <is>
          <t>Klein Tools 66001 2-in-1 Impact Socket, Socket Wrench Sizes 3/4-Inch and 9/16-Inch Hex, 12-Point Deep Socket with 1/2-Inch Drive</t>
        </is>
      </c>
      <c r="E6830" s="2">
        <f>HYPERLINK("https://www.amazon.com/Klein-Tools-66001-12-Point-16-Inch/dp/B078NHVXWK/ref=sr_1_4?keywords=Klein+Tools+66031+3-in-1+Slotted+Impact+Socket%2C+12-Point%2C+3%2F4+and+9%2F16-Inch&amp;qid=1694735137&amp;sr=8-4", "https://www.amazon.com/Klein-Tools-66001-12-Point-16-Inch/dp/B078NHVXWK/ref=sr_1_4?keywords=Klein+Tools+66031+3-in-1+Slotted+Impact+Socket%2C+12-Point%2C+3%2F4+and+9%2F16-Inch&amp;qid=1694735137&amp;sr=8-4")</f>
        <v/>
      </c>
      <c r="F6830" t="inlineStr">
        <is>
          <t>B078NHVXWK</t>
        </is>
      </c>
      <c r="G6830">
        <f>_xlfn.IMAGE("https://edmondsonsupply.com/cdn/shop/products/66031.jpg?v=1659389111")</f>
        <v/>
      </c>
      <c r="H6830">
        <f>_xlfn.IMAGE("https://m.media-amazon.com/images/I/31AlECG12iL._AC_UL320_.jpg")</f>
        <v/>
      </c>
      <c r="K6830" t="inlineStr">
        <is>
          <t>49.99</t>
        </is>
      </c>
      <c r="L6830" t="n">
        <v>39.99</v>
      </c>
      <c r="M6830" s="1" t="inlineStr">
        <is>
          <t>-20.00%</t>
        </is>
      </c>
      <c r="N6830" s="7" t="n"/>
      <c r="O6830" t="n">
        <v>4.8</v>
      </c>
      <c r="P6830" t="n">
        <v>753</v>
      </c>
      <c r="R6830" t="inlineStr">
        <is>
          <t>InStock</t>
        </is>
      </c>
      <c r="S6830" t="inlineStr">
        <is>
          <t>85.0</t>
        </is>
      </c>
      <c r="T6830" t="inlineStr">
        <is>
          <t>7769476563160</t>
        </is>
      </c>
    </row>
    <row r="6831" ht="87" customHeight="1">
      <c r="A6831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6831" s="2">
        <f>HYPERLINK("https://edmondsonsupply.com/products/klein-tools-ir5-dual-laser-infrared-thermometer", "https://edmondsonsupply.com/products/klein-tools-ir5-dual-laser-infrared-thermometer")</f>
        <v/>
      </c>
      <c r="C6831" t="inlineStr">
        <is>
          <t>Klein Tools IR5 Dual Laser Infrared Thermometer</t>
        </is>
      </c>
      <c r="D6831" t="inlineStr">
        <is>
          <t>Klein Tools IR07 Dual Infrared (IR) and Probe Pocket Size LCD Digital Thermometer</t>
        </is>
      </c>
      <c r="E6831" s="2">
        <f>HYPERLINK("https://www.amazon.com/Klein-Tools-IR07-Infrared-Thermometer/dp/B07P9WM69C/ref=sr_1_6?keywords=Klein+Tools+IR5+Dual+Laser+Infrared+Thermometer&amp;qid=1694735248&amp;sr=8-6", "https://www.amazon.com/Klein-Tools-IR07-Infrared-Thermometer/dp/B07P9WM69C/ref=sr_1_6?keywords=Klein+Tools+IR5+Dual+Laser+Infrared+Thermometer&amp;qid=1694735248&amp;sr=8-6")</f>
        <v/>
      </c>
      <c r="F6831" t="inlineStr">
        <is>
          <t>B07P9WM69C</t>
        </is>
      </c>
      <c r="G6831">
        <f>_xlfn.IMAGE("https://edmondsonsupply.com/cdn/shop/products/ir5.jpg?v=1587148495")</f>
        <v/>
      </c>
      <c r="H6831">
        <f>_xlfn.IMAGE("https://m.media-amazon.com/images/I/51JBUtWpWuS._AC_UY218_.jpg")</f>
        <v/>
      </c>
      <c r="K6831" t="inlineStr">
        <is>
          <t>64.97</t>
        </is>
      </c>
      <c r="L6831" t="n">
        <v>51.97</v>
      </c>
      <c r="M6831" s="1" t="inlineStr">
        <is>
          <t>-20.01%</t>
        </is>
      </c>
      <c r="N6831" s="7" t="n"/>
      <c r="O6831" t="n">
        <v>4.7</v>
      </c>
      <c r="P6831" t="n">
        <v>777</v>
      </c>
      <c r="R6831" t="inlineStr">
        <is>
          <t>InStock</t>
        </is>
      </c>
      <c r="S6831" t="inlineStr">
        <is>
          <t>80.92</t>
        </is>
      </c>
      <c r="T6831" t="inlineStr">
        <is>
          <t>4385570160740</t>
        </is>
      </c>
    </row>
    <row r="6832" ht="87" customHeight="1">
      <c r="A6832" s="2">
        <f>HYPERLINK("https://edmondsonsupply.com/collections/electricians-tools/products/milwaukee-49-56-0505-1-4-diamond-max%E2%84%A2-hole-saw", "https://edmondsonsupply.com/collections/electricians-tools/products/milwaukee-49-56-0505-1-4-diamond-max%E2%84%A2-hole-saw")</f>
        <v/>
      </c>
      <c r="B6832" s="2">
        <f>HYPERLINK("https://edmondsonsupply.com/products/milwaukee-49-56-0505-1-4-diamond-max%e2%84%a2-hole-saw", "https://edmondsonsupply.com/products/milwaukee-49-56-0505-1-4-diamond-max%e2%84%a2-hole-saw")</f>
        <v/>
      </c>
      <c r="C6832" t="inlineStr">
        <is>
          <t>Milwaukee 49-56-0505 1/4" Diamond MAX™ Hole Saw</t>
        </is>
      </c>
      <c r="D6832" t="inlineStr">
        <is>
          <t>Milwaukee 49-56-0507 5/16" Diamond One-Piece Hole Saw</t>
        </is>
      </c>
      <c r="E6832" s="2">
        <f>HYPERLINK("https://www.amazon.com/Milwaukee-49-56-0507-Diamond-One-Piece-Hole/dp/B00KY6U4GA/ref=sr_1_10?keywords=Milwaukee+49-56-0505+1%2F4%22+Diamond+MAX%E2%84%A2+Hole+Saw&amp;qid=1694735000&amp;sr=8-10", "https://www.amazon.com/Milwaukee-49-56-0507-Diamond-One-Piece-Hole/dp/B00KY6U4GA/ref=sr_1_10?keywords=Milwaukee+49-56-0505+1%2F4%22+Diamond+MAX%E2%84%A2+Hole+Saw&amp;qid=1694735000&amp;sr=8-10")</f>
        <v/>
      </c>
      <c r="F6832" t="inlineStr">
        <is>
          <t>B00KY6U4GA</t>
        </is>
      </c>
      <c r="G6832">
        <f>_xlfn.IMAGE("https://edmondsonsupply.com/cdn/shop/products/49-56-0507_1.png?v=1680111300")</f>
        <v/>
      </c>
      <c r="H6832">
        <f>_xlfn.IMAGE("https://m.media-amazon.com/images/I/41YBm1vm6mL._AC_UL320_.jpg")</f>
        <v/>
      </c>
      <c r="K6832" t="inlineStr">
        <is>
          <t>19.99</t>
        </is>
      </c>
      <c r="L6832" t="n">
        <v>15.99</v>
      </c>
      <c r="M6832" s="1" t="inlineStr">
        <is>
          <t>-20.01%</t>
        </is>
      </c>
      <c r="N6832" s="7" t="n"/>
      <c r="O6832" t="n">
        <v>4.2</v>
      </c>
      <c r="P6832" t="n">
        <v>25</v>
      </c>
      <c r="R6832" t="inlineStr">
        <is>
          <t>InStock</t>
        </is>
      </c>
      <c r="S6832" t="inlineStr">
        <is>
          <t>26.6</t>
        </is>
      </c>
      <c r="T6832" t="inlineStr">
        <is>
          <t>7969746485464</t>
        </is>
      </c>
    </row>
    <row r="6833" hidden="1" ht="15.75" customHeight="1">
      <c r="A6833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6833" s="2">
        <f>HYPERLINK("https://edmondsonsupply.com/products/amprobe-st-102b-receptacle-tester-with-gfci", "https://edmondsonsupply.com/products/amprobe-st-102b-receptacle-tester-with-gfci")</f>
        <v/>
      </c>
      <c r="C6833" t="inlineStr">
        <is>
          <t>Amprobe ST-102B Receptacle Tester with GFCI</t>
        </is>
      </c>
      <c r="D6833" t="inlineStr">
        <is>
          <t>Taiss GFCI Outlet Tester New Advanced Receptacle Tester with Voltage Display 48-250V Power Socket Automatic Electric Circuit Polarity Voltage Detector Wall Plug Breaker Finder CAT II 300V TA106B</t>
        </is>
      </c>
      <c r="E6833" s="2">
        <f>HYPERLINK("https://www.amazon.com/Advanced-Automatic-Electric-Polarity-Detector/dp/B07L4QVFQQ/ref=sr_1_22?keywords=Amprobe+ST-102B+Receptacle+Tester+with+GFCI&amp;qid=1694735128&amp;sr=8-22", "https://www.amazon.com/Advanced-Automatic-Electric-Polarity-Detector/dp/B07L4QVFQQ/ref=sr_1_22?keywords=Amprobe+ST-102B+Receptacle+Tester+with+GFCI&amp;qid=1694735128&amp;sr=8-22")</f>
        <v/>
      </c>
      <c r="F6833" t="inlineStr">
        <is>
          <t>B07L4QVFQQ</t>
        </is>
      </c>
      <c r="G6833">
        <f>_xludf.IMAGE("https://edmondsonsupply.com/cdn/shop/products/PD_ST102B1.jpg?v=1662641155")</f>
        <v/>
      </c>
      <c r="H6833">
        <f>_xludf.IMAGE("https://m.media-amazon.com/images/I/71RrusM1ovL._AC_UL320_.jpg")</f>
        <v/>
      </c>
      <c r="K6833" t="inlineStr">
        <is>
          <t>17.49</t>
        </is>
      </c>
      <c r="L6833" t="n">
        <v>13.99</v>
      </c>
      <c r="M6833" s="1" t="inlineStr">
        <is>
          <t>-20.01%</t>
        </is>
      </c>
      <c r="N6833" s="1" t="n"/>
      <c r="O6833" t="n">
        <v>4.6</v>
      </c>
      <c r="P6833" t="n">
        <v>864</v>
      </c>
      <c r="R6833" t="inlineStr">
        <is>
          <t>InStock</t>
        </is>
      </c>
      <c r="S6833" t="inlineStr">
        <is>
          <t>19.99</t>
        </is>
      </c>
      <c r="T6833" t="inlineStr">
        <is>
          <t>7808944570584</t>
        </is>
      </c>
    </row>
    <row r="6834" hidden="1" ht="15.75" customHeight="1">
      <c r="A6834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6834" s="2">
        <f>HYPERLINK("https://edmondsonsupply.com/products/amprobe-st-102b-receptacle-tester-with-gfci", "https://edmondsonsupply.com/products/amprobe-st-102b-receptacle-tester-with-gfci")</f>
        <v/>
      </c>
      <c r="C6834" t="inlineStr">
        <is>
          <t>Amprobe ST-102B Receptacle Tester with GFCI</t>
        </is>
      </c>
      <c r="D6834" t="inlineStr">
        <is>
          <t>Ruoshui Outlet Tester 48-250V, GFCI Tester CAT II 300V, Receptacle Tester with Voltage Display, Standard US Electrical Socket Tester with 7 Visual Indications for Home &amp; Professional Use…</t>
        </is>
      </c>
      <c r="E6834" s="2">
        <f>HYPERLINK("https://www.amazon.com/Ruoshui-Receptacle-Electrical-Indications-Professional/dp/B0892FM6RD/ref=sr_1_42?keywords=Amprobe+ST-102B+Receptacle+Tester+with+GFCI&amp;qid=1694735128&amp;sr=8-42", "https://www.amazon.com/Ruoshui-Receptacle-Electrical-Indications-Professional/dp/B0892FM6RD/ref=sr_1_42?keywords=Amprobe+ST-102B+Receptacle+Tester+with+GFCI&amp;qid=1694735128&amp;sr=8-42")</f>
        <v/>
      </c>
      <c r="F6834" t="inlineStr">
        <is>
          <t>B0892FM6RD</t>
        </is>
      </c>
      <c r="G6834">
        <f>_xludf.IMAGE("https://edmondsonsupply.com/cdn/shop/products/PD_ST102B1.jpg?v=1662641155")</f>
        <v/>
      </c>
      <c r="H6834">
        <f>_xludf.IMAGE("https://m.media-amazon.com/images/I/71X10xeVNDL._AC_UL320_.jpg")</f>
        <v/>
      </c>
      <c r="K6834" t="inlineStr">
        <is>
          <t>17.49</t>
        </is>
      </c>
      <c r="L6834" t="n">
        <v>13.99</v>
      </c>
      <c r="M6834" s="1" t="inlineStr">
        <is>
          <t>-20.01%</t>
        </is>
      </c>
      <c r="N6834" s="1" t="n"/>
      <c r="O6834" t="n">
        <v>4.5</v>
      </c>
      <c r="P6834" t="n">
        <v>171</v>
      </c>
      <c r="R6834" t="inlineStr">
        <is>
          <t>InStock</t>
        </is>
      </c>
      <c r="S6834" t="inlineStr">
        <is>
          <t>19.99</t>
        </is>
      </c>
      <c r="T6834" t="inlineStr">
        <is>
          <t>7808944570584</t>
        </is>
      </c>
    </row>
    <row r="6835" ht="87" customHeight="1">
      <c r="A6835" s="2">
        <f>HYPERLINK("https://edmondsonsupply.com/collections/electricians-tools/products/klein-tools-56413-rechargeable-2-color-led-flashlight-with-holster", "https://edmondsonsupply.com/collections/electricians-tools/products/klein-tools-56413-rechargeable-2-color-led-flashlight-with-holster")</f>
        <v/>
      </c>
      <c r="B6835" s="2">
        <f>HYPERLINK("https://edmondsonsupply.com/products/klein-tools-56413-rechargeable-2-color-led-flashlight-with-holster", "https://edmondsonsupply.com/products/klein-tools-56413-rechargeable-2-color-led-flashlight-with-holster")</f>
        <v/>
      </c>
      <c r="C6835" t="inlineStr">
        <is>
          <t>Klein Tools 56413 Rechargeable 2-Color LED Flashlight with Holster</t>
        </is>
      </c>
      <c r="D6835" t="inlineStr">
        <is>
          <t>Klein Tools 56412 Rechargeable LED Flashlight with Worklight, 500 Lumens, USB Charging Cable, Pocket Clip, Battery Life Indicator, Magnetic</t>
        </is>
      </c>
      <c r="E6835" s="2">
        <f>HYPERLINK("https://www.amazon.com/Rechargeable-Flashlight-Worklight-Klein-Tools/dp/B0947YMH51/ref=sr_1_7?keywords=Klein+Tools+56413+Rechargeable+2-Color+LED+Flashlight+with+Holster&amp;qid=1694735115&amp;sr=8-7", "https://www.amazon.com/Rechargeable-Flashlight-Worklight-Klein-Tools/dp/B0947YMH51/ref=sr_1_7?keywords=Klein+Tools+56413+Rechargeable+2-Color+LED+Flashlight+with+Holster&amp;qid=1694735115&amp;sr=8-7")</f>
        <v/>
      </c>
      <c r="F6835" t="inlineStr">
        <is>
          <t>B0947YMH51</t>
        </is>
      </c>
      <c r="G6835">
        <f>_xlfn.IMAGE("https://edmondsonsupply.com/cdn/shop/products/56413.jpg?v=1663954210")</f>
        <v/>
      </c>
      <c r="H6835">
        <f>_xlfn.IMAGE("https://m.media-amazon.com/images/I/51Of8ojN4aS._AC_UL320_.jpg")</f>
        <v/>
      </c>
      <c r="K6835" t="inlineStr">
        <is>
          <t>49.97</t>
        </is>
      </c>
      <c r="L6835" t="n">
        <v>39.97</v>
      </c>
      <c r="M6835" s="1" t="inlineStr">
        <is>
          <t>-20.01%</t>
        </is>
      </c>
      <c r="N6835" s="7" t="n"/>
      <c r="O6835" t="n">
        <v>4.6</v>
      </c>
      <c r="P6835" t="n">
        <v>418</v>
      </c>
      <c r="R6835" t="inlineStr">
        <is>
          <t>InStock</t>
        </is>
      </c>
      <c r="S6835" t="inlineStr">
        <is>
          <t>72.0</t>
        </is>
      </c>
      <c r="T6835" t="inlineStr">
        <is>
          <t>7827366215896</t>
        </is>
      </c>
    </row>
    <row r="6836" ht="87" customHeight="1">
      <c r="A6836" s="2">
        <f>HYPERLINK("https://edmondsonsupply.com/collections/electricians-tools/products/klein-tools-vdv026-211-coax-cable-installation-kit-with-zipper-pouch", "https://edmondsonsupply.com/collections/electricians-tools/products/klein-tools-vdv026-211-coax-cable-installation-kit-with-zipper-pouch")</f>
        <v/>
      </c>
      <c r="B6836" s="2">
        <f>HYPERLINK("https://edmondsonsupply.com/products/klein-tools-vdv026-211-coax-cable-installation-kit-with-zipper-pouch", "https://edmondsonsupply.com/products/klein-tools-vdv026-211-coax-cable-installation-kit-with-zipper-pouch")</f>
        <v/>
      </c>
      <c r="C6836" t="inlineStr">
        <is>
          <t>Klein Tools VDV026-211 Coax Cable Installation Kit with Zipper Pouch</t>
        </is>
      </c>
      <c r="D6836" t="inlineStr">
        <is>
          <t>Klein Tools VDV011-852 Coax Cable Installation Kit With Hip Pouch, Includes Cable Cutter-Radial Stripper-Compression Crimper</t>
        </is>
      </c>
      <c r="E6836" s="2">
        <f>HYPERLINK("https://www.amazon.com/Klein-Tools-VDV011-852-Installation-Stripper/dp/B07KG1S4XH/ref=sr_1_5?keywords=Klein+Tools+VDV026-211+Coax+Cable+Installation+Kit+with+Zipper+Pouch&amp;qid=1694735392&amp;sr=8-5", "https://www.amazon.com/Klein-Tools-VDV011-852-Installation-Stripper/dp/B07KG1S4XH/ref=sr_1_5?keywords=Klein+Tools+VDV026-211+Coax+Cable+Installation+Kit+with+Zipper+Pouch&amp;qid=1694735392&amp;sr=8-5")</f>
        <v/>
      </c>
      <c r="F6836" t="inlineStr">
        <is>
          <t>B07KG1S4XH</t>
        </is>
      </c>
      <c r="G6836">
        <f>_xlfn.IMAGE("https://edmondsonsupply.com/cdn/shop/products/vdv026211.jpg?v=1587143022")</f>
        <v/>
      </c>
      <c r="H6836">
        <f>_xlfn.IMAGE("https://m.media-amazon.com/images/I/51D-8kHunVL._AC_UL320_.jpg")</f>
        <v/>
      </c>
      <c r="K6836" t="inlineStr">
        <is>
          <t>49.97</t>
        </is>
      </c>
      <c r="L6836" t="n">
        <v>39.97</v>
      </c>
      <c r="M6836" s="1" t="inlineStr">
        <is>
          <t>-20.01%</t>
        </is>
      </c>
      <c r="N6836" s="7" t="n"/>
      <c r="O6836" t="n">
        <v>4.6</v>
      </c>
      <c r="P6836" t="n">
        <v>64</v>
      </c>
      <c r="R6836" t="inlineStr">
        <is>
          <t>InStock</t>
        </is>
      </c>
      <c r="S6836" t="inlineStr">
        <is>
          <t>63.0</t>
        </is>
      </c>
      <c r="T6836" t="inlineStr">
        <is>
          <t>4397205946468</t>
        </is>
      </c>
    </row>
    <row r="6837" hidden="1" ht="15.75" customHeight="1">
      <c r="A6837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6837" s="2">
        <f>HYPERLINK("https://edmondsonsupply.com/products/klein-tools-vaco-s10m-5-16-magnetic-nut-driver-3-hollow-shaft", "https://edmondsonsupply.com/products/klein-tools-vaco-s10m-5-16-magnetic-nut-driver-3-hollow-shaft")</f>
        <v/>
      </c>
      <c r="C6837" t="inlineStr">
        <is>
          <t>Klein Tools S10M 5/16-Inch Magnetic Nut Driver 3-Inch Shaft</t>
        </is>
      </c>
      <c r="D6837" t="inlineStr">
        <is>
          <t>Klein Tools S106 5/16-Inch Nut Driver, 6-Inch Shaft</t>
        </is>
      </c>
      <c r="E6837" s="2">
        <f>HYPERLINK("https://www.amazon.com/Klein-Tools-S106-16-Inch-Driver/dp/B000936PDO/ref=sr_1_14?keywords=Klein+Tools+S10M+5%2F16-Inch+Magnetic+Nut+Driver+3-Inch+Shaft&amp;qid=1694735002&amp;sr=8-14", "https://www.amazon.com/Klein-Tools-S106-16-Inch-Driver/dp/B000936PDO/ref=sr_1_14?keywords=Klein+Tools+S10M+5%2F16-Inch+Magnetic+Nut+Driver+3-Inch+Shaft&amp;qid=1694735002&amp;sr=8-14")</f>
        <v/>
      </c>
      <c r="F6837" t="inlineStr">
        <is>
          <t>B000936PDO</t>
        </is>
      </c>
      <c r="G6837">
        <f>_xludf.IMAGE("https://edmondsonsupply.com/cdn/shop/products/s10m_alt2.jpg?v=1587143022")</f>
        <v/>
      </c>
      <c r="H6837">
        <f>_xludf.IMAGE("https://m.media-amazon.com/images/I/41MR57vMQTL._AC_UL320_.jpg")</f>
        <v/>
      </c>
      <c r="K6837" t="inlineStr">
        <is>
          <t>9.99</t>
        </is>
      </c>
      <c r="L6837" t="n">
        <v>7.99</v>
      </c>
      <c r="M6837" s="1" t="inlineStr">
        <is>
          <t>-20.02%</t>
        </is>
      </c>
      <c r="N6837" s="1" t="n"/>
      <c r="O6837" t="n">
        <v>4.5</v>
      </c>
      <c r="P6837" t="n">
        <v>151</v>
      </c>
      <c r="R6837" t="inlineStr">
        <is>
          <t>InStock</t>
        </is>
      </c>
      <c r="S6837" t="inlineStr">
        <is>
          <t>15.08</t>
        </is>
      </c>
      <c r="T6837" t="inlineStr">
        <is>
          <t>2767113125988</t>
        </is>
      </c>
    </row>
    <row r="6838" ht="87" customHeight="1">
      <c r="A6838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838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838" t="inlineStr">
        <is>
          <t>Klein Tools 32801 5-in-1 Multi-Bit Screwdriver / Nut Driver, Heavy Duty</t>
        </is>
      </c>
      <c r="D6838" t="inlineStr">
        <is>
          <t>Klein Tools 32559 Multi-bit Screwdriver / Nut Driver, Extended Reach 6-in-1 Tool with Nut Driver, Phillips and Slotted Bits</t>
        </is>
      </c>
      <c r="E6838" s="2">
        <f>HYPERLINK("https://www.amazon.com/Multibit-Screwdriver-Klein-Tools-32559/dp/B005FQDHDG/ref=sr_1_5?keywords=Klein+Tools+32801+5-in-1+Multi-Bit+Screwdriver+%2F+Nut+Driver%2C+Heavy+Duty&amp;qid=1694735265&amp;sr=8-5", "https://www.amazon.com/Multibit-Screwdriver-Klein-Tools-32559/dp/B005FQDHDG/ref=sr_1_5?keywords=Klein+Tools+32801+5-in-1+Multi-Bit+Screwdriver+%2F+Nut+Driver%2C+Heavy+Duty&amp;qid=1694735265&amp;sr=8-5")</f>
        <v/>
      </c>
      <c r="F6838" t="inlineStr">
        <is>
          <t>B005FQDHDG</t>
        </is>
      </c>
      <c r="G6838">
        <f>_xlfn.IMAGE("https://edmondsonsupply.com/cdn/shop/products/32801.jpg?v=1633030677")</f>
        <v/>
      </c>
      <c r="H6838">
        <f>_xlfn.IMAGE("https://m.media-amazon.com/images/I/514peoSo7EL._AC_UL320_.jpg")</f>
        <v/>
      </c>
      <c r="K6838" t="inlineStr">
        <is>
          <t>19.97</t>
        </is>
      </c>
      <c r="L6838" t="n">
        <v>15.97</v>
      </c>
      <c r="M6838" s="1" t="inlineStr">
        <is>
          <t>-20.03%</t>
        </is>
      </c>
      <c r="N6838" s="7" t="n"/>
      <c r="O6838" t="n">
        <v>4.8</v>
      </c>
      <c r="P6838" t="n">
        <v>2200</v>
      </c>
      <c r="R6838" t="inlineStr">
        <is>
          <t>InStock</t>
        </is>
      </c>
      <c r="S6838" t="inlineStr">
        <is>
          <t>32.18</t>
        </is>
      </c>
      <c r="T6838" t="inlineStr">
        <is>
          <t>5807274819752</t>
        </is>
      </c>
    </row>
    <row r="6839" ht="87" customHeight="1">
      <c r="A6839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839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839" t="inlineStr">
        <is>
          <t>Klein Tools 32801 5-in-1 Multi-Bit Screwdriver / Nut Driver, Heavy Duty</t>
        </is>
      </c>
      <c r="D6839" t="inlineStr">
        <is>
          <t>Klein Tools 32527 Multi-Bit Screwdriver / Nut Driver, 11-in-1 with Phillips, Slotted, Square, and Schrader Bits and Nut Drivers</t>
        </is>
      </c>
      <c r="E6839" s="2">
        <f>HYPERLINK("https://www.amazon.com/Screwdriver-Phillips-Klein-Tools-32527/dp/B004RIDKHQ/ref=sr_1_9?keywords=Klein+Tools+32801+5-in-1+Multi-Bit+Screwdriver+%2F+Nut+Driver%2C+Heavy+Duty&amp;qid=1694735265&amp;sr=8-9", "https://www.amazon.com/Screwdriver-Phillips-Klein-Tools-32527/dp/B004RIDKHQ/ref=sr_1_9?keywords=Klein+Tools+32801+5-in-1+Multi-Bit+Screwdriver+%2F+Nut+Driver%2C+Heavy+Duty&amp;qid=1694735265&amp;sr=8-9")</f>
        <v/>
      </c>
      <c r="F6839" t="inlineStr">
        <is>
          <t>B004RIDKHQ</t>
        </is>
      </c>
      <c r="G6839">
        <f>_xlfn.IMAGE("https://edmondsonsupply.com/cdn/shop/products/32801.jpg?v=1633030677")</f>
        <v/>
      </c>
      <c r="H6839">
        <f>_xlfn.IMAGE("https://m.media-amazon.com/images/I/41cLxI0Af5L._AC_UL320_.jpg")</f>
        <v/>
      </c>
      <c r="K6839" t="inlineStr">
        <is>
          <t>19.97</t>
        </is>
      </c>
      <c r="L6839" t="n">
        <v>15.97</v>
      </c>
      <c r="M6839" s="1" t="inlineStr">
        <is>
          <t>-20.03%</t>
        </is>
      </c>
      <c r="N6839" s="7" t="n"/>
      <c r="O6839" t="n">
        <v>4.8</v>
      </c>
      <c r="P6839" t="n">
        <v>4201</v>
      </c>
      <c r="R6839" t="inlineStr">
        <is>
          <t>InStock</t>
        </is>
      </c>
      <c r="S6839" t="inlineStr">
        <is>
          <t>32.18</t>
        </is>
      </c>
      <c r="T6839" t="inlineStr">
        <is>
          <t>5807274819752</t>
        </is>
      </c>
    </row>
    <row r="6840" ht="87" customHeight="1">
      <c r="A6840" s="2">
        <f>HYPERLINK("https://edmondsonsupply.com/collections/electricians-tools/products/klein-tools-d2000-28-diagonal-cutting-pliers-heavy-duty-high-leverage-8-inch", "https://edmondsonsupply.com/collections/electricians-tools/products/klein-tools-d2000-28-diagonal-cutting-pliers-heavy-duty-high-leverage-8-inch")</f>
        <v/>
      </c>
      <c r="B6840" s="2">
        <f>HYPERLINK("https://edmondsonsupply.com/products/klein-tools-d2000-28-diagonal-cutting-pliers-heavy-duty-high-leverage-8-inch", "https://edmondsonsupply.com/products/klein-tools-d2000-28-diagonal-cutting-pliers-heavy-duty-high-leverage-8-inch")</f>
        <v/>
      </c>
      <c r="C6840" t="inlineStr">
        <is>
          <t>Klein Tools D2000-28 Diagonal Cutting Pliers, Heavy-Duty, High-Leverage, 8-Inch</t>
        </is>
      </c>
      <c r="D6840" t="inlineStr">
        <is>
          <t>Klein Tools D2000-28 Pliers, Diagonal Cutting Pliers with Angled Head are Heavy-Duty to Cut ACSR, Screws, Nails, Most Hardened Wire, 8-Inch</t>
        </is>
      </c>
      <c r="E6840" s="2">
        <f>HYPERLINK("https://www.amazon.com/High-Leverage-Diagonal-Cutting-Klein-Tools-D2000-28/dp/B0000302WR/ref=sr_1_2?keywords=Klein+Tools+D2000-28+Diagonal+Cutting+Pliers%2C+Heavy-Duty%2C+High-Leverage%2C+8-Inch&amp;qid=1694735230&amp;sr=8-2", "https://www.amazon.com/High-Leverage-Diagonal-Cutting-Klein-Tools-D2000-28/dp/B0000302WR/ref=sr_1_2?keywords=Klein+Tools+D2000-28+Diagonal+Cutting+Pliers%2C+Heavy-Duty%2C+High-Leverage%2C+8-Inch&amp;qid=1694735230&amp;sr=8-2")</f>
        <v/>
      </c>
      <c r="F6840" t="inlineStr">
        <is>
          <t>B0000302WR</t>
        </is>
      </c>
      <c r="G6840">
        <f>_xlfn.IMAGE("https://edmondsonsupply.com/cdn/shop/products/d200028.jpg?v=1633030882")</f>
        <v/>
      </c>
      <c r="H6840">
        <f>_xlfn.IMAGE("https://m.media-amazon.com/images/I/41VuWJ3z3QL._AC_UL320_.jpg")</f>
        <v/>
      </c>
      <c r="K6840" t="inlineStr">
        <is>
          <t>34.99</t>
        </is>
      </c>
      <c r="L6840" t="n">
        <v>27.98</v>
      </c>
      <c r="M6840" s="1" t="inlineStr">
        <is>
          <t>-20.03%</t>
        </is>
      </c>
      <c r="N6840" s="7" t="n"/>
      <c r="O6840" t="n">
        <v>4.8</v>
      </c>
      <c r="P6840" t="n">
        <v>1451</v>
      </c>
      <c r="R6840" t="inlineStr">
        <is>
          <t>InStock</t>
        </is>
      </c>
      <c r="S6840" t="inlineStr">
        <is>
          <t>53.0</t>
        </is>
      </c>
      <c r="T6840" t="inlineStr">
        <is>
          <t>6183860568237</t>
        </is>
      </c>
    </row>
    <row r="6841" hidden="1" ht="15.75" customHeight="1">
      <c r="A6841" s="2">
        <f>HYPERLINK("https://edmondsonsupply.com/collections/electricians-tools/products/klein-tools-31907-replacement-pilot-bit-1-4-x-3-1-2-inch", "https://edmondsonsupply.com/collections/electricians-tools/products/klein-tools-31907-replacement-pilot-bit-1-4-x-3-1-2-inch")</f>
        <v/>
      </c>
      <c r="B6841" s="2">
        <f>HYPERLINK("https://edmondsonsupply.com/products/klein-tools-31907-replacement-pilot-bit-1-4-x-3-1-2-inch", "https://edmondsonsupply.com/products/klein-tools-31907-replacement-pilot-bit-1-4-x-3-1-2-inch")</f>
        <v/>
      </c>
      <c r="C6841" t="inlineStr">
        <is>
          <t>Klein Tools 31907 Replacement Pilot Bit, 1/4 x 3-1/2-Inch</t>
        </is>
      </c>
      <c r="D6841" t="inlineStr">
        <is>
          <t>Klein Tools 31907 Replacement Pilot Bit, 1/4 x 3-1/2-Inch</t>
        </is>
      </c>
      <c r="E6841" s="2">
        <f>HYPERLINK("https://www.amazon.com/Replacement-2-Inch-Klein-Tools-31907/dp/B019874KR4/ref=sr_1_1?keywords=Klein+Tools+31907+Replacement+Pilot+Bit%2C+1%2F4+x+3-1%2F2-Inch&amp;qid=1694735214&amp;sr=8-1", "https://www.amazon.com/Replacement-2-Inch-Klein-Tools-31907/dp/B019874KR4/ref=sr_1_1?keywords=Klein+Tools+31907+Replacement+Pilot+Bit%2C+1%2F4+x+3-1%2F2-Inch&amp;qid=1694735214&amp;sr=8-1")</f>
        <v/>
      </c>
      <c r="F6841" t="inlineStr">
        <is>
          <t>B019874KR4</t>
        </is>
      </c>
      <c r="G6841">
        <f>_xludf.IMAGE("https://edmondsonsupply.com/cdn/shop/products/31907.jpg?v=1633031111")</f>
        <v/>
      </c>
      <c r="H6841">
        <f>_xludf.IMAGE("https://m.media-amazon.com/images/I/412mZa2387L._AC_UL320_.jpg")</f>
        <v/>
      </c>
      <c r="K6841" t="inlineStr">
        <is>
          <t>4.99</t>
        </is>
      </c>
      <c r="L6841" t="n">
        <v>3.99</v>
      </c>
      <c r="M6841" s="1" t="inlineStr">
        <is>
          <t>-20.04%</t>
        </is>
      </c>
      <c r="N6841" s="1" t="n"/>
      <c r="O6841" t="n">
        <v>4.5</v>
      </c>
      <c r="P6841" t="n">
        <v>102</v>
      </c>
      <c r="R6841" t="inlineStr">
        <is>
          <t>InStock</t>
        </is>
      </c>
      <c r="S6841" t="inlineStr">
        <is>
          <t>5.6</t>
        </is>
      </c>
      <c r="T6841" t="inlineStr">
        <is>
          <t>6851948445869</t>
        </is>
      </c>
    </row>
    <row r="6842" hidden="1" ht="15.75" customHeight="1">
      <c r="A6842" s="2">
        <f>HYPERLINK("https://edmondsonsupply.com/collections/electricians-tools/products/klein-tools-jth6m3be-3-mm-ball-hex-key-journeyman-t-handle-6-inch", "https://edmondsonsupply.com/collections/electricians-tools/products/klein-tools-jth6m3be-3-mm-ball-hex-key-journeyman-t-handle-6-inch")</f>
        <v/>
      </c>
      <c r="B6842" s="2">
        <f>HYPERLINK("https://edmondsonsupply.com/products/klein-tools-jth6m3be-3-mm-ball-hex-key-journeyman-t-handle-6-inch", "https://edmondsonsupply.com/products/klein-tools-jth6m3be-3-mm-ball-hex-key-journeyman-t-handle-6-inch")</f>
        <v/>
      </c>
      <c r="C6842" t="inlineStr">
        <is>
          <t>Klein Tools JTH6M3BE 3 mm Ball Hex Key Journeyman T-Handle 6-Inch</t>
        </is>
      </c>
      <c r="D6842" t="inlineStr">
        <is>
          <t>Klein Tools JTH6M3 3 mm Hex Key with Journeyman T-Handle, 6-Inch</t>
        </is>
      </c>
      <c r="E6842" s="2">
        <f>HYPERLINK("https://www.amazon.com/Journeyman-T-Handle-Klein-Tools-JTH6M3/dp/B005G394RG/ref=sr_1_2?keywords=Klein+Tools+JTH6M3BE+3+mm+Ball+Hex+Key+Journeyman+T-Handle+6-Inch&amp;qid=1694735145&amp;sr=8-2", "https://www.amazon.com/Journeyman-T-Handle-Klein-Tools-JTH6M3/dp/B005G394RG/ref=sr_1_2?keywords=Klein+Tools+JTH6M3BE+3+mm+Ball+Hex+Key+Journeyman+T-Handle+6-Inch&amp;qid=1694735145&amp;sr=8-2")</f>
        <v/>
      </c>
      <c r="F6842" t="inlineStr">
        <is>
          <t>B005G394RG</t>
        </is>
      </c>
      <c r="G6842">
        <f>_xludf.IMAGE("https://edmondsonsupply.com/cdn/shop/products/jth6m8be_1b0aeba1-6d03-4a46-99d8-f6853368c71f.jpg?v=1655941616")</f>
        <v/>
      </c>
      <c r="H6842">
        <f>_xludf.IMAGE("https://m.media-amazon.com/images/I/51+1x0vz9XL._AC_UL320_.jpg")</f>
        <v/>
      </c>
      <c r="K6842" t="inlineStr">
        <is>
          <t>4.99</t>
        </is>
      </c>
      <c r="L6842" t="n">
        <v>3.99</v>
      </c>
      <c r="M6842" s="1" t="inlineStr">
        <is>
          <t>-20.04%</t>
        </is>
      </c>
      <c r="N6842" s="1" t="n"/>
      <c r="O6842" t="n">
        <v>4.7</v>
      </c>
      <c r="P6842" t="n">
        <v>358</v>
      </c>
      <c r="R6842" t="inlineStr">
        <is>
          <t>InStock</t>
        </is>
      </c>
      <c r="S6842" t="inlineStr">
        <is>
          <t>7.56</t>
        </is>
      </c>
      <c r="T6842" t="inlineStr">
        <is>
          <t>7727600304344</t>
        </is>
      </c>
    </row>
    <row r="6843" hidden="1" ht="15.75" customHeight="1">
      <c r="A6843" s="2">
        <f>HYPERLINK("https://edmondsonsupply.com/collections/electricians-tools/products/klein-tools-jth6e06be-3-32-inch-ball-end-hex-key-with-t-handle-6-inch", "https://edmondsonsupply.com/collections/electricians-tools/products/klein-tools-jth6e06be-3-32-inch-ball-end-hex-key-with-t-handle-6-inch")</f>
        <v/>
      </c>
      <c r="B6843" s="2">
        <f>HYPERLINK("https://edmondsonsupply.com/products/klein-tools-jth6e06be-3-32-inch-ball-end-hex-key-with-t-handle-6-inch", "https://edmondsonsupply.com/products/klein-tools-jth6e06be-3-32-inch-ball-end-hex-key-with-t-handle-6-inch")</f>
        <v/>
      </c>
      <c r="C6843" t="inlineStr">
        <is>
          <t>Klein Tools JTH6E06BE 3/32-Inch Ball End Hex Key with T-Handle, 6-Inch</t>
        </is>
      </c>
      <c r="D6843" t="inlineStr">
        <is>
          <t>Klein Tools JTH6M3 3 mm Hex Key with Journeyman T-Handle, 6-Inch</t>
        </is>
      </c>
      <c r="E6843" s="2">
        <f>HYPERLINK("https://www.amazon.com/Journeyman-T-Handle-Klein-Tools-JTH6M3/dp/B005G394RG/ref=sr_1_11?keywords=Klein+Tools+JTH6E06BE+3%2F32-Inch+Ball+End+Hex+Key+with+T-Handle%2C+6-Inch&amp;qid=1694735201&amp;sr=8-11", "https://www.amazon.com/Journeyman-T-Handle-Klein-Tools-JTH6M3/dp/B005G394RG/ref=sr_1_11?keywords=Klein+Tools+JTH6E06BE+3%2F32-Inch+Ball+End+Hex+Key+with+T-Handle%2C+6-Inch&amp;qid=1694735201&amp;sr=8-11")</f>
        <v/>
      </c>
      <c r="F6843" t="inlineStr">
        <is>
          <t>B005G394RG</t>
        </is>
      </c>
      <c r="G6843">
        <f>_xludf.IMAGE("https://edmondsonsupply.com/cdn/shop/products/jth6e13be_f61308c8-99eb-44df-aac2-25c9159d6b6d.jpg?v=1633031148")</f>
        <v/>
      </c>
      <c r="H6843">
        <f>_xludf.IMAGE("https://m.media-amazon.com/images/I/51+1x0vz9XL._AC_UL320_.jpg")</f>
        <v/>
      </c>
      <c r="K6843" t="inlineStr">
        <is>
          <t>4.99</t>
        </is>
      </c>
      <c r="L6843" t="n">
        <v>3.99</v>
      </c>
      <c r="M6843" s="1" t="inlineStr">
        <is>
          <t>-20.04%</t>
        </is>
      </c>
      <c r="N6843" s="1" t="n"/>
      <c r="O6843" t="n">
        <v>4.7</v>
      </c>
      <c r="P6843" t="n">
        <v>358</v>
      </c>
      <c r="R6843" t="inlineStr">
        <is>
          <t>InStock</t>
        </is>
      </c>
      <c r="S6843" t="inlineStr">
        <is>
          <t>7.54</t>
        </is>
      </c>
      <c r="T6843" t="inlineStr">
        <is>
          <t>6895312601261</t>
        </is>
      </c>
    </row>
    <row r="6844" hidden="1" ht="15.75" customHeight="1">
      <c r="A6844" s="2">
        <f>HYPERLINK("https://edmondsonsupply.com/collections/electricians-tools/products/klein-tools-jth6m25be-2-5-mm-ball-hex-key-journeyman-t-handle-6-inch", "https://edmondsonsupply.com/collections/electricians-tools/products/klein-tools-jth6m25be-2-5-mm-ball-hex-key-journeyman-t-handle-6-inch")</f>
        <v/>
      </c>
      <c r="B6844" s="2">
        <f>HYPERLINK("https://edmondsonsupply.com/products/klein-tools-jth6m25be-2-5-mm-ball-hex-key-journeyman-t-handle-6-inch", "https://edmondsonsupply.com/products/klein-tools-jth6m25be-2-5-mm-ball-hex-key-journeyman-t-handle-6-inch")</f>
        <v/>
      </c>
      <c r="C6844" t="inlineStr">
        <is>
          <t>Klein Tools JTH6M25BE 2.5 mm Ball Hex Key Journeyman T-Handle 6-Inch</t>
        </is>
      </c>
      <c r="D6844" t="inlineStr">
        <is>
          <t>Klein Tools JTH6M3 3 mm Hex Key with Journeyman T-Handle, 6-Inch</t>
        </is>
      </c>
      <c r="E6844" s="2">
        <f>HYPERLINK("https://www.amazon.com/Journeyman-T-Handle-Klein-Tools-JTH6M3/dp/B005G394RG/ref=sr_1_8?keywords=Klein+Tools+JTH6M25BE+2.5+mm+Ball+Hex+Key+Journeyman+T-Handle+6-Inch&amp;qid=1694735267&amp;sr=8-8", "https://www.amazon.com/Journeyman-T-Handle-Klein-Tools-JTH6M3/dp/B005G394RG/ref=sr_1_8?keywords=Klein+Tools+JTH6M25BE+2.5+mm+Ball+Hex+Key+Journeyman+T-Handle+6-Inch&amp;qid=1694735267&amp;sr=8-8")</f>
        <v/>
      </c>
      <c r="F6844" t="inlineStr">
        <is>
          <t>B005G394RG</t>
        </is>
      </c>
      <c r="G6844">
        <f>_xludf.IMAGE("https://edmondsonsupply.com/cdn/shop/products/jth6m8be_af5f0d75-5d0d-4973-9134-931620c84f2d.jpg?v=1633030574")</f>
        <v/>
      </c>
      <c r="H6844">
        <f>_xludf.IMAGE("https://m.media-amazon.com/images/I/51+1x0vz9XL._AC_UL320_.jpg")</f>
        <v/>
      </c>
      <c r="K6844" t="inlineStr">
        <is>
          <t>4.99</t>
        </is>
      </c>
      <c r="L6844" t="n">
        <v>3.99</v>
      </c>
      <c r="M6844" s="1" t="inlineStr">
        <is>
          <t>-20.04%</t>
        </is>
      </c>
      <c r="N6844" s="1" t="n"/>
      <c r="O6844" t="n">
        <v>4.7</v>
      </c>
      <c r="P6844" t="n">
        <v>358</v>
      </c>
      <c r="R6844" t="inlineStr">
        <is>
          <t>InStock</t>
        </is>
      </c>
      <c r="S6844" t="inlineStr">
        <is>
          <t>7.56</t>
        </is>
      </c>
      <c r="T6844" t="inlineStr">
        <is>
          <t>5525435973800</t>
        </is>
      </c>
    </row>
    <row r="6845" hidden="1" ht="15.75" customHeight="1">
      <c r="A6845" s="2">
        <f>HYPERLINK("https://edmondsonsupply.com/collections/electricians-tools/products/klein-tools-jth6e10be-5-32-inch-ball-hex-key-journeyman-t-handle-6-inch", "https://edmondsonsupply.com/collections/electricians-tools/products/klein-tools-jth6e10be-5-32-inch-ball-hex-key-journeyman-t-handle-6-inch")</f>
        <v/>
      </c>
      <c r="B6845" s="2">
        <f>HYPERLINK("https://edmondsonsupply.com/products/klein-tools-jth6e10be-5-32-inch-ball-hex-key-journeyman-t-handle-6-inch", "https://edmondsonsupply.com/products/klein-tools-jth6e10be-5-32-inch-ball-hex-key-journeyman-t-handle-6-inch")</f>
        <v/>
      </c>
      <c r="C6845" t="inlineStr">
        <is>
          <t>Klein Tools JTH6E10BE 5/32-Inch Ball Hex Key, Journeyman T-Handle 6-Inch</t>
        </is>
      </c>
      <c r="D6845" t="inlineStr">
        <is>
          <t>Klein Tools JTH6M4 4 mm Hex Key, Journeyman T-Handle, 6-Inch</t>
        </is>
      </c>
      <c r="E6845" s="2">
        <f>HYPERLINK("https://www.amazon.com/Journeyman-T-Handle-Klein-Tools-JTH6M4/dp/B005G394YO/ref=sr_1_7?keywords=Klein+Tools+JTH6E10BE+5%2F32-Inch+Ball+Hex+Key%2C+Journeyman+T-Handle+6-Inch&amp;qid=1694735255&amp;sr=8-7", "https://www.amazon.com/Journeyman-T-Handle-Klein-Tools-JTH6M4/dp/B005G394YO/ref=sr_1_7?keywords=Klein+Tools+JTH6E10BE+5%2F32-Inch+Ball+Hex+Key%2C+Journeyman+T-Handle+6-Inch&amp;qid=1694735255&amp;sr=8-7")</f>
        <v/>
      </c>
      <c r="F6845" t="inlineStr">
        <is>
          <t>B005G394YO</t>
        </is>
      </c>
      <c r="G6845">
        <f>_xludf.IMAGE("https://edmondsonsupply.com/cdn/shop/products/jth6e13be_363de34a-e666-474d-81cd-df9068957d9f.jpg?v=1604059577")</f>
        <v/>
      </c>
      <c r="H6845">
        <f>_xludf.IMAGE("https://m.media-amazon.com/images/I/51+1x0vz9XL._AC_UL320_.jpg")</f>
        <v/>
      </c>
      <c r="K6845" t="inlineStr">
        <is>
          <t>4.99</t>
        </is>
      </c>
      <c r="L6845" t="n">
        <v>3.99</v>
      </c>
      <c r="M6845" s="1" t="inlineStr">
        <is>
          <t>-20.04%</t>
        </is>
      </c>
      <c r="N6845" s="1" t="n"/>
      <c r="O6845" t="n">
        <v>4.7</v>
      </c>
      <c r="P6845" t="n">
        <v>1530</v>
      </c>
      <c r="R6845" t="inlineStr">
        <is>
          <t>InStock</t>
        </is>
      </c>
      <c r="S6845" t="inlineStr">
        <is>
          <t>7.52</t>
        </is>
      </c>
      <c r="T6845" t="inlineStr">
        <is>
          <t>5999019819176</t>
        </is>
      </c>
    </row>
    <row r="6846" ht="87" customHeight="1">
      <c r="A6846" s="2">
        <f>HYPERLINK("https://edmondsonsupply.com/collections/electricians-tools/products/klein-tools-56331-steel-fish-tape-1-8-inch-x-50-foot", "https://edmondsonsupply.com/collections/electricians-tools/products/klein-tools-56331-steel-fish-tape-1-8-inch-x-50-foot")</f>
        <v/>
      </c>
      <c r="B6846" s="2">
        <f>HYPERLINK("https://edmondsonsupply.com/products/klein-tools-56331-steel-fish-tape-1-8-inch-x-50-foot", "https://edmondsonsupply.com/products/klein-tools-56331-steel-fish-tape-1-8-inch-x-50-foot")</f>
        <v/>
      </c>
      <c r="C6846" t="inlineStr">
        <is>
          <t>Klein Tools 56331 Steel Fish Tape, 1/8-Inch x 50-Foot</t>
        </is>
      </c>
      <c r="D6846" t="inlineStr">
        <is>
          <t>Klein Tools 50350 13-Inch Flexible Fish Tape Leader for 1/8-Inch Wide Steel Fish Tapes</t>
        </is>
      </c>
      <c r="E6846" s="2">
        <f>HYPERLINK("https://www.amazon.com/13-Inch-Flexible-Klein-Tools-50350/dp/B000WMS9KY/ref=sr_1_19?keywords=Klein+Tools+56331+Steel+Fish+Tape%2C+1%2F8-Inch+x+50-Foot&amp;qid=1694735384&amp;sr=8-19", "https://www.amazon.com/13-Inch-Flexible-Klein-Tools-50350/dp/B000WMS9KY/ref=sr_1_19?keywords=Klein+Tools+56331+Steel+Fish+Tape%2C+1%2F8-Inch+x+50-Foot&amp;qid=1694735384&amp;sr=8-19")</f>
        <v/>
      </c>
      <c r="F6846" t="inlineStr">
        <is>
          <t>B000WMS9KY</t>
        </is>
      </c>
      <c r="G6846">
        <f>_xlfn.IMAGE("https://edmondsonsupply.com/cdn/shop/products/56331.jpg?v=1587143350")</f>
        <v/>
      </c>
      <c r="H6846">
        <f>_xlfn.IMAGE("https://m.media-amazon.com/images/I/311RIlnDdfL._AC_UL320_.jpg")</f>
        <v/>
      </c>
      <c r="K6846" t="inlineStr">
        <is>
          <t>24.99</t>
        </is>
      </c>
      <c r="L6846" t="n">
        <v>19.97</v>
      </c>
      <c r="M6846" s="1" t="inlineStr">
        <is>
          <t>-20.09%</t>
        </is>
      </c>
      <c r="N6846" s="7" t="n"/>
      <c r="O6846" t="n">
        <v>4.5</v>
      </c>
      <c r="P6846" t="n">
        <v>113</v>
      </c>
      <c r="R6846" t="inlineStr">
        <is>
          <t>InStock</t>
        </is>
      </c>
      <c r="S6846" t="inlineStr">
        <is>
          <t>30.9</t>
        </is>
      </c>
      <c r="T6846" t="inlineStr">
        <is>
          <t>4412204056676</t>
        </is>
      </c>
    </row>
    <row r="6847" hidden="1" ht="15.75" customHeight="1">
      <c r="A6847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6847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6847" t="inlineStr">
        <is>
          <t>Klein Tools 630-7/16M 7/16-Inch Magnetic Tip Nut Driver 3-Inch Shaft</t>
        </is>
      </c>
      <c r="D6847" t="inlineStr">
        <is>
          <t>Klein Tools 630-7/16 7/16-Inch Nut Driver with 3-Inch Hollow Shaft and Cushion-Grip Handle</t>
        </is>
      </c>
      <c r="E6847" s="2">
        <f>HYPERLINK("https://www.amazon.com/Cushion-Grip-Klein-Tools-630-7-16/dp/B000BPG4CW/ref=sr_1_4?keywords=Klein+Tools+630-7%2F16M+7%2F16-Inch+Magnetic+Tip+Nut+Driver+3-Inch+Shaft&amp;qid=1694735273&amp;sr=8-4", "https://www.amazon.com/Cushion-Grip-Klein-Tools-630-7-16/dp/B000BPG4CW/ref=sr_1_4?keywords=Klein+Tools+630-7%2F16M+7%2F16-Inch+Magnetic+Tip+Nut+Driver+3-Inch+Shaft&amp;qid=1694735273&amp;sr=8-4")</f>
        <v/>
      </c>
      <c r="F6847" t="inlineStr">
        <is>
          <t>B000BPG4CW</t>
        </is>
      </c>
      <c r="G6847">
        <f>_xludf.IMAGE("https://edmondsonsupply.com/cdn/shop/products/630-7-16m.jpg?v=1633030529")</f>
        <v/>
      </c>
      <c r="H6847">
        <f>_xludf.IMAGE("https://m.media-amazon.com/images/I/41Cj8-Y8KnL._AC_UL320_.jpg")</f>
        <v/>
      </c>
      <c r="K6847" t="inlineStr">
        <is>
          <t>12.24</t>
        </is>
      </c>
      <c r="L6847" t="n">
        <v>9.779999999999999</v>
      </c>
      <c r="M6847" s="1" t="inlineStr">
        <is>
          <t>-20.10%</t>
        </is>
      </c>
      <c r="N6847" s="1" t="n"/>
      <c r="O6847" t="n">
        <v>4.8</v>
      </c>
      <c r="P6847" t="n">
        <v>2069</v>
      </c>
      <c r="R6847" t="inlineStr">
        <is>
          <t>InStock</t>
        </is>
      </c>
      <c r="S6847" t="inlineStr">
        <is>
          <t>18.54</t>
        </is>
      </c>
      <c r="T6847" t="inlineStr">
        <is>
          <t>5408853819560</t>
        </is>
      </c>
    </row>
    <row r="6848" hidden="1" ht="15.75" customHeight="1">
      <c r="A6848" s="2">
        <f>HYPERLINK("https://edmondsonsupply.com/collections/electricians-tools/products/pipe-vise-apw14-14-aluminum-pipe-wrench", "https://edmondsonsupply.com/collections/electricians-tools/products/pipe-vise-apw14-14-aluminum-pipe-wrench")</f>
        <v/>
      </c>
      <c r="B6848" s="2">
        <f>HYPERLINK("https://edmondsonsupply.com/products/pipe-vise-apw14-14-aluminum-pipe-wrench", "https://edmondsonsupply.com/products/pipe-vise-apw14-14-aluminum-pipe-wrench")</f>
        <v/>
      </c>
      <c r="C6848" t="inlineStr">
        <is>
          <t>Pipe Vise APW14 14" HD Aluminum Pipe Wrench</t>
        </is>
      </c>
      <c r="D6848" t="inlineStr">
        <is>
          <t>Crescent - Pipe Wrench, Aluminum, 14"", Long Handle (CAPW14L)", multi</t>
        </is>
      </c>
      <c r="E6848" s="2">
        <f>HYPERLINK("https://www.amazon.com/Tool-Wrench-Pipe-Aluminum-Handle/dp/B084XXKG61/ref=sr_1_23?keywords=Pipe+Vise+APW14+14%22+HD+Aluminum+Pipe+Wrench&amp;qid=1694734997&amp;sr=8-23", "https://www.amazon.com/Tool-Wrench-Pipe-Aluminum-Handle/dp/B084XXKG61/ref=sr_1_23?keywords=Pipe+Vise+APW14+14%22+HD+Aluminum+Pipe+Wrench&amp;qid=1694734997&amp;sr=8-23")</f>
        <v/>
      </c>
      <c r="F6848" t="inlineStr">
        <is>
          <t>B084XXKG61</t>
        </is>
      </c>
      <c r="G6848">
        <f>_xludf.IMAGE("https://edmondsonsupply.com/cdn/shop/products/APW14.png?v=1681257860")</f>
        <v/>
      </c>
      <c r="H6848">
        <f>_xludf.IMAGE("https://m.media-amazon.com/images/I/41yJmGVnEXL._AC_UL320_.jpg")</f>
        <v/>
      </c>
      <c r="K6848" t="inlineStr">
        <is>
          <t>70.0</t>
        </is>
      </c>
      <c r="L6848" t="n">
        <v>55.93</v>
      </c>
      <c r="M6848" s="1" t="inlineStr">
        <is>
          <t>-20.10%</t>
        </is>
      </c>
      <c r="N6848" s="1" t="n"/>
      <c r="O6848" t="n">
        <v>3</v>
      </c>
      <c r="P6848" t="n">
        <v>1</v>
      </c>
      <c r="R6848" t="inlineStr">
        <is>
          <t>InStock</t>
        </is>
      </c>
      <c r="S6848" t="inlineStr">
        <is>
          <t>undefined</t>
        </is>
      </c>
      <c r="T6848" t="inlineStr">
        <is>
          <t>7977278406872</t>
        </is>
      </c>
    </row>
    <row r="6849" ht="87" customHeight="1">
      <c r="A6849" s="2">
        <f>HYPERLINK("https://edmondsonsupply.com/collections/electricians-tools/products/klein-tools-12098-eins-combination-pliers-insulated", "https://edmondsonsupply.com/collections/electricians-tools/products/klein-tools-12098-eins-combination-pliers-insulated")</f>
        <v/>
      </c>
      <c r="B6849" s="2">
        <f>HYPERLINK("https://edmondsonsupply.com/products/klein-tools-12098-eins-combination-pliers-insulated", "https://edmondsonsupply.com/products/klein-tools-12098-eins-combination-pliers-insulated")</f>
        <v/>
      </c>
      <c r="C6849" t="inlineStr">
        <is>
          <t>Klein Tools 12098-EINS Combination Pliers, Insulated</t>
        </is>
      </c>
      <c r="D6849" t="inlineStr">
        <is>
          <t>Klein Tools 200048EINS Pliers, Insulated Diagonal Cutting Pliers with Angled Head and 1000V Rated Insulated Grips, 8-Inch</t>
        </is>
      </c>
      <c r="E6849" s="2">
        <f>HYPERLINK("https://www.amazon.com/Klein-Tools-200048EINS-Diagonal-Cutting/dp/B00JGG5Q26/ref=sr_1_10?keywords=Klein+Tools+12098-EINS+Combination+Pliers%2C+Insulated&amp;qid=1694735216&amp;sr=8-10", "https://www.amazon.com/Klein-Tools-200048EINS-Diagonal-Cutting/dp/B00JGG5Q26/ref=sr_1_10?keywords=Klein+Tools+12098-EINS+Combination+Pliers%2C+Insulated&amp;qid=1694735216&amp;sr=8-10")</f>
        <v/>
      </c>
      <c r="F6849" t="inlineStr">
        <is>
          <t>B00JGG5Q26</t>
        </is>
      </c>
      <c r="G6849">
        <f>_xlfn.IMAGE("https://edmondsonsupply.com/cdn/shop/products/12098eins.jpg?v=1633031039")</f>
        <v/>
      </c>
      <c r="H6849">
        <f>_xlfn.IMAGE("https://m.media-amazon.com/images/I/61xRtnUJzIL._AC_UL320_.jpg")</f>
        <v/>
      </c>
      <c r="K6849" t="inlineStr">
        <is>
          <t>74.99</t>
        </is>
      </c>
      <c r="L6849" t="n">
        <v>59.9</v>
      </c>
      <c r="M6849" s="1" t="inlineStr">
        <is>
          <t>-20.12%</t>
        </is>
      </c>
      <c r="N6849" s="7" t="n"/>
      <c r="O6849" t="n">
        <v>4.8</v>
      </c>
      <c r="P6849" t="n">
        <v>111</v>
      </c>
      <c r="R6849" t="inlineStr">
        <is>
          <t>InStock</t>
        </is>
      </c>
      <c r="S6849" t="inlineStr">
        <is>
          <t>113.62</t>
        </is>
      </c>
      <c r="T6849" t="inlineStr">
        <is>
          <t>6745363546285</t>
        </is>
      </c>
    </row>
    <row r="6850" hidden="1" ht="15.75" customHeight="1">
      <c r="A6850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6850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6850" t="inlineStr">
        <is>
          <t>Klein Tools 6986INS Slim-Tip 1000V Insulated Screwdriver, #1 Square, 6-Inch Round Shank</t>
        </is>
      </c>
      <c r="D6850" t="inlineStr">
        <is>
          <t>Klein Tools 6856INS Insulated Screwdriver, 1000V #1 Phillips Tip Screwdriver with 6-Inch Shank, Tip-Ident, Cushion-Grip Handle</t>
        </is>
      </c>
      <c r="E6850" s="2">
        <f>HYPERLINK("https://www.amazon.com/Klein-Tools-6856INS-Screwdriver-Cushion-Grip/dp/B0BF849GDN/ref=sr_1_11?keywords=Klein+Tools+6986INS+Slim-Tip+1000V+Insulated+Screwdriver%2C+%231+Square%2C+6-Inch+Round+Shank&amp;qid=1694735117&amp;sr=8-11", "https://www.amazon.com/Klein-Tools-6856INS-Screwdriver-Cushion-Grip/dp/B0BF849GDN/ref=sr_1_11?keywords=Klein+Tools+6986INS+Slim-Tip+1000V+Insulated+Screwdriver%2C+%231+Square%2C+6-Inch+Round+Shank&amp;qid=1694735117&amp;sr=8-11")</f>
        <v/>
      </c>
      <c r="F6850" t="inlineStr">
        <is>
          <t>B0BF849GDN</t>
        </is>
      </c>
      <c r="G6850">
        <f>_xludf.IMAGE("https://edmondsonsupply.com/cdn/shop/products/6986ins.jpg?v=1664806830")</f>
        <v/>
      </c>
      <c r="H6850">
        <f>_xludf.IMAGE("https://m.media-amazon.com/images/I/31r26wI6cBL._AC_UL320_.jpg")</f>
        <v/>
      </c>
      <c r="K6850" t="inlineStr">
        <is>
          <t>14.99</t>
        </is>
      </c>
      <c r="L6850" t="n">
        <v>11.97</v>
      </c>
      <c r="M6850" s="1" t="inlineStr">
        <is>
          <t>-20.15%</t>
        </is>
      </c>
      <c r="N6850" s="1" t="n"/>
      <c r="O6850" t="n">
        <v>4.7</v>
      </c>
      <c r="P6850" t="n">
        <v>201</v>
      </c>
      <c r="R6850" t="inlineStr">
        <is>
          <t>InStock</t>
        </is>
      </c>
      <c r="S6850" t="inlineStr">
        <is>
          <t>20.98</t>
        </is>
      </c>
      <c r="T6850" t="inlineStr">
        <is>
          <t>7837634461912</t>
        </is>
      </c>
    </row>
    <row r="6851" hidden="1" ht="15.75" customHeight="1">
      <c r="A6851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851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851" t="inlineStr">
        <is>
          <t>Klein Tools 6926INS Slim-Tip 1000V Insulated Screwdriver, 1/4-Inch Cabinet, 6-Inch</t>
        </is>
      </c>
      <c r="D6851" t="inlineStr">
        <is>
          <t>Klein Tools 6826INS Insulated Screwdriver, 1000V 1/4-Inch Cabinet Tip Screwdriver with 6-Inch Shank, Tip-Ident, Cushion-Grip Handle</t>
        </is>
      </c>
      <c r="E6851" s="2">
        <f>HYPERLINK("https://www.amazon.com/Klein-Tools-6826INS-Screwdriver-Cushion-Grip/dp/B0BF79W49J/ref=sr_1_29?keywords=Klein+Tools+6926INS+Slim-Tip+1000V+Insulated+Screwdriver%2C+1%2F4-Inch+Cabinet%2C+6-Inch&amp;qid=1694735143&amp;sr=8-29", "https://www.amazon.com/Klein-Tools-6826INS-Screwdriver-Cushion-Grip/dp/B0BF79W49J/ref=sr_1_29?keywords=Klein+Tools+6926INS+Slim-Tip+1000V+Insulated+Screwdriver%2C+1%2F4-Inch+Cabinet%2C+6-Inch&amp;qid=1694735143&amp;sr=8-29")</f>
        <v/>
      </c>
      <c r="F6851" t="inlineStr">
        <is>
          <t>B0BF79W49J</t>
        </is>
      </c>
      <c r="G6851">
        <f>_xludf.IMAGE("https://edmondsonsupply.com/cdn/shop/products/6926ins.jpg?v=1664803626")</f>
        <v/>
      </c>
      <c r="H6851">
        <f>_xludf.IMAGE("https://m.media-amazon.com/images/I/41dJ6lRyHyL._AC_UL320_.jpg")</f>
        <v/>
      </c>
      <c r="K6851" t="inlineStr">
        <is>
          <t>14.99</t>
        </is>
      </c>
      <c r="L6851" t="n">
        <v>11.97</v>
      </c>
      <c r="M6851" s="1" t="inlineStr">
        <is>
          <t>-20.15%</t>
        </is>
      </c>
      <c r="N6851" s="1" t="n"/>
      <c r="O6851" t="n">
        <v>4.9</v>
      </c>
      <c r="P6851" t="n">
        <v>9</v>
      </c>
      <c r="R6851" t="inlineStr">
        <is>
          <t>InStock</t>
        </is>
      </c>
      <c r="S6851" t="inlineStr">
        <is>
          <t>20.98</t>
        </is>
      </c>
      <c r="T6851" t="inlineStr">
        <is>
          <t>7837578625240</t>
        </is>
      </c>
    </row>
    <row r="6852" hidden="1" ht="15.75" customHeight="1">
      <c r="A6852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852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852" t="inlineStr">
        <is>
          <t>Klein Tools 6946INS Slim-Tip 1000V Insulated Screwdriver, #2 Square, 6-Inch Round Shank</t>
        </is>
      </c>
      <c r="D6852" t="inlineStr">
        <is>
          <t>Klein Tools 6836INS Insulated Screwdriver, 1000V #2 Phillips Tip Screwdriver with 6-Inch Shank, Tip-Ident, Cushion-Grip Handle</t>
        </is>
      </c>
      <c r="E6852" s="2">
        <f>HYPERLINK("https://www.amazon.com/Klein-Tools-6836INS-Screwdriver-Cushion-Grip/dp/B0BF7XXB3T/ref=sr_1_30?keywords=Klein+Tools+6946INS+Slim-Tip+1000V+Insulated+Screwdriver%2C+%232+Square%2C+6-Inch+Round+Shank&amp;qid=1694735275&amp;sr=8-30", "https://www.amazon.com/Klein-Tools-6836INS-Screwdriver-Cushion-Grip/dp/B0BF7XXB3T/ref=sr_1_30?keywords=Klein+Tools+6946INS+Slim-Tip+1000V+Insulated+Screwdriver%2C+%232+Square%2C+6-Inch+Round+Shank&amp;qid=1694735275&amp;sr=8-30")</f>
        <v/>
      </c>
      <c r="F6852" t="inlineStr">
        <is>
          <t>B0BF7XXB3T</t>
        </is>
      </c>
      <c r="G6852">
        <f>_xludf.IMAGE("https://edmondsonsupply.com/cdn/shop/products/6946ins.jpg?v=1633030561")</f>
        <v/>
      </c>
      <c r="H6852">
        <f>_xludf.IMAGE("https://m.media-amazon.com/images/I/31CObeUN9FL._AC_UL320_.jpg")</f>
        <v/>
      </c>
      <c r="K6852" t="inlineStr">
        <is>
          <t>14.99</t>
        </is>
      </c>
      <c r="L6852" t="n">
        <v>11.97</v>
      </c>
      <c r="M6852" s="1" t="inlineStr">
        <is>
          <t>-20.15%</t>
        </is>
      </c>
      <c r="N6852" s="1" t="n"/>
      <c r="O6852" t="n">
        <v>4.8</v>
      </c>
      <c r="P6852" t="n">
        <v>414</v>
      </c>
      <c r="R6852" t="inlineStr">
        <is>
          <t>InStock</t>
        </is>
      </c>
      <c r="S6852" t="inlineStr">
        <is>
          <t>21.02</t>
        </is>
      </c>
      <c r="T6852" t="inlineStr">
        <is>
          <t>5439611502760</t>
        </is>
      </c>
    </row>
    <row r="6853" hidden="1" ht="15.75" customHeight="1">
      <c r="A6853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6853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6853" t="inlineStr">
        <is>
          <t>Klein Tools 6946INS Slim-Tip 1000V Insulated Screwdriver, #2 Square, 6-Inch Round Shank</t>
        </is>
      </c>
      <c r="D6853" t="inlineStr">
        <is>
          <t>Klein Tools 6846INS Insulated Screwdriver, 1000V #2 Square Tip Screwdriver with 6-Inch Shank, Tip-Ident, Cushion-Grip Handle</t>
        </is>
      </c>
      <c r="E6853" s="2">
        <f>HYPERLINK("https://www.amazon.com/Klein-Tools-6846INS-Screwdriver-Cushion-Grip/dp/B0BF7X96QK/ref=sr_1_2?keywords=Klein+Tools+6946INS+Slim-Tip+1000V+Insulated+Screwdriver%2C+%232+Square%2C+6-Inch+Round+Shank&amp;qid=1694735275&amp;sr=8-2", "https://www.amazon.com/Klein-Tools-6846INS-Screwdriver-Cushion-Grip/dp/B0BF7X96QK/ref=sr_1_2?keywords=Klein+Tools+6946INS+Slim-Tip+1000V+Insulated+Screwdriver%2C+%232+Square%2C+6-Inch+Round+Shank&amp;qid=1694735275&amp;sr=8-2")</f>
        <v/>
      </c>
      <c r="F6853" t="inlineStr">
        <is>
          <t>B0BF7X96QK</t>
        </is>
      </c>
      <c r="G6853">
        <f>_xludf.IMAGE("https://edmondsonsupply.com/cdn/shop/products/6946ins.jpg?v=1633030561")</f>
        <v/>
      </c>
      <c r="H6853">
        <f>_xludf.IMAGE("https://m.media-amazon.com/images/I/31EOUkZ6n3L._AC_UL320_.jpg")</f>
        <v/>
      </c>
      <c r="K6853" t="inlineStr">
        <is>
          <t>14.99</t>
        </is>
      </c>
      <c r="L6853" t="n">
        <v>11.97</v>
      </c>
      <c r="M6853" s="1" t="inlineStr">
        <is>
          <t>-20.15%</t>
        </is>
      </c>
      <c r="N6853" s="1" t="n"/>
      <c r="O6853" t="n">
        <v>4.7</v>
      </c>
      <c r="P6853" t="n">
        <v>201</v>
      </c>
      <c r="R6853" t="inlineStr">
        <is>
          <t>InStock</t>
        </is>
      </c>
      <c r="S6853" t="inlineStr">
        <is>
          <t>21.02</t>
        </is>
      </c>
      <c r="T6853" t="inlineStr">
        <is>
          <t>5439611502760</t>
        </is>
      </c>
    </row>
    <row r="6854" hidden="1" ht="15.75" customHeight="1">
      <c r="A6854" s="2">
        <f>HYPERLINK("https://edmondsonsupply.com/collections/electricians-tools/products/klein-tools-6916ins-slim-tip-insulated-screwdriver-3-16-inch-cabinet-6-inch-round-shank", "https://edmondsonsupply.com/collections/electricians-tools/products/klein-tools-6916ins-slim-tip-insulated-screwdriver-3-16-inch-cabinet-6-inch-round-shank")</f>
        <v/>
      </c>
      <c r="B6854" s="2">
        <f>HYPERLINK("https://edmondsonsupply.com/products/klein-tools-6916ins-slim-tip-insulated-screwdriver-3-16-inch-cabinet-6-inch-round-shank", "https://edmondsonsupply.com/products/klein-tools-6916ins-slim-tip-insulated-screwdriver-3-16-inch-cabinet-6-inch-round-shank")</f>
        <v/>
      </c>
      <c r="C6854" t="inlineStr">
        <is>
          <t>Klein Tools 6916INS Slim-Tip Insulated Screwdriver, 3/16-Inch Cabinet, 6-Inch Round Shank</t>
        </is>
      </c>
      <c r="D6854" t="inlineStr">
        <is>
          <t>Klein Tools 6816INS Insulated Screwdriver, 1000V 3/16-Inch Cabinet Tip Screwdriver with 6-Inch Shank, Tip-Ident, Cushion-Grip Handle</t>
        </is>
      </c>
      <c r="E6854" s="2">
        <f>HYPERLINK("https://www.amazon.com/Klein-Tools-6816INS-Screwdriver-Cushion-Grip/dp/B0BF7JHR5X/ref=sr_1_30?keywords=Klein+Tools+6916INS+Slim-Tip+Insulated+Screwdriver%2C+3%2F16-Inch+Cabinet%2C+6-Inch+Round+Shank&amp;qid=1694735268&amp;sr=8-30", "https://www.amazon.com/Klein-Tools-6816INS-Screwdriver-Cushion-Grip/dp/B0BF7JHR5X/ref=sr_1_30?keywords=Klein+Tools+6916INS+Slim-Tip+Insulated+Screwdriver%2C+3%2F16-Inch+Cabinet%2C+6-Inch+Round+Shank&amp;qid=1694735268&amp;sr=8-30")</f>
        <v/>
      </c>
      <c r="F6854" t="inlineStr">
        <is>
          <t>B0BF7JHR5X</t>
        </is>
      </c>
      <c r="G6854">
        <f>_xludf.IMAGE("https://edmondsonsupply.com/cdn/shop/products/6916ins.jpg?v=1633030552")</f>
        <v/>
      </c>
      <c r="H6854">
        <f>_xludf.IMAGE("https://m.media-amazon.com/images/I/31ngLMMA6xL._AC_UL320_.jpg")</f>
        <v/>
      </c>
      <c r="K6854" t="inlineStr">
        <is>
          <t>14.99</t>
        </is>
      </c>
      <c r="L6854" t="n">
        <v>11.97</v>
      </c>
      <c r="M6854" s="1" t="inlineStr">
        <is>
          <t>-20.15%</t>
        </is>
      </c>
      <c r="N6854" s="1" t="n"/>
      <c r="O6854" t="n">
        <v>4</v>
      </c>
      <c r="P6854" t="n">
        <v>6</v>
      </c>
      <c r="R6854" t="inlineStr">
        <is>
          <t>InStock</t>
        </is>
      </c>
      <c r="S6854" t="inlineStr">
        <is>
          <t>21.02</t>
        </is>
      </c>
      <c r="T6854" t="inlineStr">
        <is>
          <t>5439528468648</t>
        </is>
      </c>
    </row>
    <row r="6855" hidden="1" ht="15.75" customHeight="1">
      <c r="A6855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6855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6855" t="inlineStr">
        <is>
          <t>Klein Tools 6926INS Slim-Tip 1000V Insulated Screwdriver, 1/4-Inch Cabinet, 6-Inch</t>
        </is>
      </c>
      <c r="D6855" t="inlineStr">
        <is>
          <t>Klein Tools 6816INS Insulated Screwdriver, 1000V 3/16-Inch Cabinet Tip Screwdriver with 6-Inch Shank, Tip-Ident, Cushion-Grip Handle</t>
        </is>
      </c>
      <c r="E6855" s="2">
        <f>HYPERLINK("https://www.amazon.com/Klein-Tools-6816INS-Screwdriver-Cushion-Grip/dp/B0BF7JHR5X/ref=sr_1_30?keywords=Klein+Tools+6926INS+Slim-Tip+1000V+Insulated+Screwdriver%2C+1%2F4-Inch+Cabinet%2C+6-Inch&amp;qid=1694735143&amp;sr=8-30", "https://www.amazon.com/Klein-Tools-6816INS-Screwdriver-Cushion-Grip/dp/B0BF7JHR5X/ref=sr_1_30?keywords=Klein+Tools+6926INS+Slim-Tip+1000V+Insulated+Screwdriver%2C+1%2F4-Inch+Cabinet%2C+6-Inch&amp;qid=1694735143&amp;sr=8-30")</f>
        <v/>
      </c>
      <c r="F6855" t="inlineStr">
        <is>
          <t>B0BF7JHR5X</t>
        </is>
      </c>
      <c r="G6855">
        <f>_xludf.IMAGE("https://edmondsonsupply.com/cdn/shop/products/6926ins.jpg?v=1664803626")</f>
        <v/>
      </c>
      <c r="H6855">
        <f>_xludf.IMAGE("https://m.media-amazon.com/images/I/31ngLMMA6xL._AC_UL320_.jpg")</f>
        <v/>
      </c>
      <c r="K6855" t="inlineStr">
        <is>
          <t>14.99</t>
        </is>
      </c>
      <c r="L6855" t="n">
        <v>11.97</v>
      </c>
      <c r="M6855" s="1" t="inlineStr">
        <is>
          <t>-20.15%</t>
        </is>
      </c>
      <c r="N6855" s="1" t="n"/>
      <c r="O6855" t="n">
        <v>4</v>
      </c>
      <c r="P6855" t="n">
        <v>6</v>
      </c>
      <c r="R6855" t="inlineStr">
        <is>
          <t>InStock</t>
        </is>
      </c>
      <c r="S6855" t="inlineStr">
        <is>
          <t>20.98</t>
        </is>
      </c>
      <c r="T6855" t="inlineStr">
        <is>
          <t>7837578625240</t>
        </is>
      </c>
    </row>
    <row r="6856" ht="87" customHeight="1">
      <c r="A6856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6856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6856" t="inlineStr">
        <is>
          <t>Klein Tools 11055RINS Insulated Klein-Kurve® Wire Stripper and Cutter</t>
        </is>
      </c>
      <c r="D6856" t="inlineStr">
        <is>
          <t>Klein Tools 1010 Multi Tool Long Nose Wire Cutter, Wire Crimper, Stripper and Bolt Cutter Multi-Purpose Electrician Tool, 8-Inch Long</t>
        </is>
      </c>
      <c r="E6856" s="2">
        <f>HYPERLINK("https://www.amazon.com/Klein-Tools-1010-Crimper-Stripper/dp/B0000302WX/ref=sr_1_29?keywords=Klein+Tools+11055RINS+Insulated+Klein-Kurve%C2%AE+Wire+Stripper+and+Cutter&amp;qid=1694735096&amp;sr=8-29", "https://www.amazon.com/Klein-Tools-1010-Crimper-Stripper/dp/B0000302WX/ref=sr_1_29?keywords=Klein+Tools+11055RINS+Insulated+Klein-Kurve%C2%AE+Wire+Stripper+and+Cutter&amp;qid=1694735096&amp;sr=8-29")</f>
        <v/>
      </c>
      <c r="F6856" t="inlineStr">
        <is>
          <t>B0000302WX</t>
        </is>
      </c>
      <c r="G6856">
        <f>_xlfn.IMAGE("https://edmondsonsupply.com/cdn/shop/products/11055rins.jpg?v=1667236979")</f>
        <v/>
      </c>
      <c r="H6856">
        <f>_xlfn.IMAGE("https://m.media-amazon.com/images/I/51hS7c2qzvL._AC_UL320_.jpg")</f>
        <v/>
      </c>
      <c r="K6856" t="inlineStr">
        <is>
          <t>29.97</t>
        </is>
      </c>
      <c r="L6856" t="n">
        <v>23.93</v>
      </c>
      <c r="M6856" s="1" t="inlineStr">
        <is>
          <t>-20.15%</t>
        </is>
      </c>
      <c r="N6856" s="7" t="n"/>
      <c r="O6856" t="n">
        <v>4.8</v>
      </c>
      <c r="P6856" t="n">
        <v>1503</v>
      </c>
      <c r="R6856" t="inlineStr">
        <is>
          <t>InStock</t>
        </is>
      </c>
      <c r="S6856" t="inlineStr">
        <is>
          <t>41.98</t>
        </is>
      </c>
      <c r="T6856" t="inlineStr">
        <is>
          <t>7871527813336</t>
        </is>
      </c>
    </row>
    <row r="6857" hidden="1" ht="15.75" customHeight="1">
      <c r="A6857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6857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6857" t="inlineStr">
        <is>
          <t>Klein Tools 602-6 5/16-Inch Keystone Tip Screwdriver, Cushion Grip, 6-Inch</t>
        </is>
      </c>
      <c r="D6857" t="inlineStr">
        <is>
          <t>Klein Tools BD156 5/16-Inch Flat Head Screwdriver, Keystone Tip with 6-Inch Round Shank and Comfordome Handle</t>
        </is>
      </c>
      <c r="E6857" s="2">
        <f>HYPERLINK("https://www.amazon.com/Screwdriver-Comfordome-Klein-Tools-BD156/dp/B000G1QOMQ/ref=sr_1_7?keywords=Klein+Tools+602-6+5%2F16-Inch+Keystone+Tip+Screwdriver%2C+Cushion+Grip%2C+6-Inch&amp;qid=1694735231&amp;sr=8-7", "https://www.amazon.com/Screwdriver-Comfordome-Klein-Tools-BD156/dp/B000G1QOMQ/ref=sr_1_7?keywords=Klein+Tools+602-6+5%2F16-Inch+Keystone+Tip+Screwdriver%2C+Cushion+Grip%2C+6-Inch&amp;qid=1694735231&amp;sr=8-7")</f>
        <v/>
      </c>
      <c r="F6857" t="inlineStr">
        <is>
          <t>B000G1QOMQ</t>
        </is>
      </c>
      <c r="G6857">
        <f>_xludf.IMAGE("https://edmondsonsupply.com/cdn/shop/products/602-6_162e3283-acea-47de-aecf-2a25f009fdcb.jpg?v=1633030880")</f>
        <v/>
      </c>
      <c r="H6857">
        <f>_xludf.IMAGE("https://m.media-amazon.com/images/I/31Jat2OaC-L._AC_UL320_.jpg")</f>
        <v/>
      </c>
      <c r="K6857" t="inlineStr">
        <is>
          <t>11.99</t>
        </is>
      </c>
      <c r="L6857" t="n">
        <v>9.57</v>
      </c>
      <c r="M6857" s="1" t="inlineStr">
        <is>
          <t>-20.18%</t>
        </is>
      </c>
      <c r="N6857" s="1" t="n"/>
      <c r="O6857" t="n">
        <v>4.8</v>
      </c>
      <c r="P6857" t="n">
        <v>22</v>
      </c>
      <c r="R6857" t="inlineStr">
        <is>
          <t>InStock</t>
        </is>
      </c>
      <c r="S6857" t="inlineStr">
        <is>
          <t>18.18</t>
        </is>
      </c>
      <c r="T6857" t="inlineStr">
        <is>
          <t>6169213501613</t>
        </is>
      </c>
    </row>
    <row r="6858" hidden="1" ht="15.75" customHeight="1">
      <c r="A6858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6858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6858" t="inlineStr">
        <is>
          <t>Diablo Tools DOU250JBW 2-1/2 in. Universal Fit Bi-Metal Oscillating Blade for Clean Wood</t>
        </is>
      </c>
      <c r="D6858" t="inlineStr">
        <is>
          <t>Diablo by Freud DOU125JBW 1-1/4 in. Universal Fit Bi-Metal Oscillating Blade for Clean Wood</t>
        </is>
      </c>
      <c r="E6858" s="2">
        <f>HYPERLINK("https://www.amazon.com/Diablo-Freud-DOU125JBW-Universal-Oscillating/dp/B089KV62LL/ref=sr_1_1?keywords=Diablo+Tools+DOU250JBW+2-1%2F2+in.+Universal+Fit+Bi-Metal+Oscillating+Blade+for+Clean+Wood&amp;qid=1694734994&amp;sr=8-1", "https://www.amazon.com/Diablo-Freud-DOU125JBW-Universal-Oscillating/dp/B089KV62LL/ref=sr_1_1?keywords=Diablo+Tools+DOU250JBW+2-1%2F2+in.+Universal+Fit+Bi-Metal+Oscillating+Blade+for+Clean+Wood&amp;qid=1694734994&amp;sr=8-1")</f>
        <v/>
      </c>
      <c r="F6858" t="inlineStr">
        <is>
          <t>B089KV62LL</t>
        </is>
      </c>
      <c r="G6858">
        <f>_xludf.IMAGE("https://edmondsonsupply.com/cdn/shop/files/pycnap4eb1urn2hxvudq.webp?v=1685718789")</f>
        <v/>
      </c>
      <c r="H6858">
        <f>_xludf.IMAGE("https://m.media-amazon.com/images/I/61wFHtmEH5L._AC_UL320_.jpg")</f>
        <v/>
      </c>
      <c r="K6858" t="inlineStr">
        <is>
          <t>15.65</t>
        </is>
      </c>
      <c r="L6858" t="n">
        <v>12.49</v>
      </c>
      <c r="M6858" s="1" t="inlineStr">
        <is>
          <t>-20.19%</t>
        </is>
      </c>
      <c r="N6858" s="1" t="n"/>
      <c r="O6858" t="n">
        <v>4.8</v>
      </c>
      <c r="P6858" t="n">
        <v>12</v>
      </c>
      <c r="R6858" t="inlineStr">
        <is>
          <t>InStock</t>
        </is>
      </c>
      <c r="S6858" t="inlineStr">
        <is>
          <t>24.85</t>
        </is>
      </c>
      <c r="T6858" t="inlineStr">
        <is>
          <t>7999572279512</t>
        </is>
      </c>
    </row>
    <row r="6859" ht="87" customHeight="1">
      <c r="A6859" s="2">
        <f>HYPERLINK("https://edmondsonsupply.com/collections/electricians-tools/products/diablo-tools-dmaplcc1070-2-11-16-in-sds-plus-thin-wall-carbide-tipped-core-bit", "https://edmondsonsupply.com/collections/electricians-tools/products/diablo-tools-dmaplcc1070-2-11-16-in-sds-plus-thin-wall-carbide-tipped-core-bit")</f>
        <v/>
      </c>
      <c r="B6859" s="2">
        <f>HYPERLINK("https://edmondsonsupply.com/products/diablo-tools-dmaplcc1070-2-11-16-in-sds-plus-thin-wall-carbide-tipped-core-bit", "https://edmondsonsupply.com/products/diablo-tools-dmaplcc1070-2-11-16-in-sds-plus-thin-wall-carbide-tipped-core-bit")</f>
        <v/>
      </c>
      <c r="C6859" t="inlineStr">
        <is>
          <t>Diablo Tools DMAPLCC1070 2‑11/16 in. SDS‑Plus Thin Wall Carbide Tipped Core Bit</t>
        </is>
      </c>
      <c r="D6859" t="inlineStr">
        <is>
          <t>Diablo DMAPLCC1070 2-11/16 in. SDS-Plus Thin Wall Carbide Tipped Core Bit</t>
        </is>
      </c>
      <c r="E6859" s="2">
        <f>HYPERLINK("https://www.amazon.com/Diablo-DMAPLCC1070-SDS-Plus-Carbide-Tipped/dp/B089M7ZYR7/ref=sr_1_1?keywords=Diablo+Tools+DMAPLCC1070+2%E2%80%9111%2F16+in.+SDS%E2%80%91Plus+Thin+Wall+Carbide+Tipped+Core+Bit&amp;qid=1694735294&amp;sr=8-1", "https://www.amazon.com/Diablo-DMAPLCC1070-SDS-Plus-Carbide-Tipped/dp/B089M7ZYR7/ref=sr_1_1?keywords=Diablo+Tools+DMAPLCC1070+2%E2%80%9111%2F16+in.+SDS%E2%80%91Plus+Thin+Wall+Carbide+Tipped+Core+Bit&amp;qid=1694735294&amp;sr=8-1")</f>
        <v/>
      </c>
      <c r="F6859" t="inlineStr">
        <is>
          <t>B089M7ZYR7</t>
        </is>
      </c>
      <c r="G6859">
        <f>_xlfn.IMAGE("https://edmondsonsupply.com/cdn/shop/products/DMAPLCC1070_Main-Image20200331.png?v=1633030477")</f>
        <v/>
      </c>
      <c r="H6859">
        <f>_xlfn.IMAGE("https://m.media-amazon.com/images/I/912bV+0A1rL._AC_UL320_.jpg")</f>
        <v/>
      </c>
      <c r="K6859" t="inlineStr">
        <is>
          <t>68.97</t>
        </is>
      </c>
      <c r="L6859" t="n">
        <v>55</v>
      </c>
      <c r="M6859" s="1" t="inlineStr">
        <is>
          <t>-20.26%</t>
        </is>
      </c>
      <c r="N6859" s="7" t="n"/>
      <c r="O6859" t="n">
        <v>5</v>
      </c>
      <c r="P6859" t="n">
        <v>2</v>
      </c>
      <c r="R6859" t="inlineStr">
        <is>
          <t>InStock</t>
        </is>
      </c>
      <c r="S6859" t="inlineStr">
        <is>
          <t>85.56</t>
        </is>
      </c>
      <c r="T6859" t="inlineStr">
        <is>
          <t>5369278333096</t>
        </is>
      </c>
    </row>
    <row r="6860" ht="87" customHeight="1">
      <c r="A6860" s="2">
        <f>HYPERLINK("https://edmondsonsupply.com/collections/electricians-tools/products/fluke-tl223-suregrip%E2%84%A2-electrical-test-lead-set", "https://edmondsonsupply.com/collections/electricians-tools/products/fluke-tl223-suregrip%E2%84%A2-electrical-test-lead-set")</f>
        <v/>
      </c>
      <c r="B6860" s="2">
        <f>HYPERLINK("https://edmondsonsupply.com/products/fluke-tl223-suregrip%e2%84%a2-electrical-test-lead-set", "https://edmondsonsupply.com/products/fluke-tl223-suregrip%e2%84%a2-electrical-test-lead-set")</f>
        <v/>
      </c>
      <c r="C6860" t="inlineStr">
        <is>
          <t>Fluke TL223 SureGrip™ Electrical Test Lead Set</t>
        </is>
      </c>
      <c r="D6860" t="inlineStr">
        <is>
          <t>Fluke TL223-1 SureGrip Electrical Test Lead Set with SureGrip Insulated Test Probes</t>
        </is>
      </c>
      <c r="E6860" s="2">
        <f>HYPERLINK("https://www.amazon.com/Fluke-TL223-1-SureGrip-Electrical-Insulated/dp/B007VC2WXS/ref=sr_1_2?keywords=Fluke+TL223+SureGrip%E2%84%A2+Electrical+Test+Lead+Set&amp;qid=1694735188&amp;sr=8-2", "https://www.amazon.com/Fluke-TL223-1-SureGrip-Electrical-Insulated/dp/B007VC2WXS/ref=sr_1_2?keywords=Fluke+TL223+SureGrip%E2%84%A2+Electrical+Test+Lead+Set&amp;qid=1694735188&amp;sr=8-2")</f>
        <v/>
      </c>
      <c r="F6860" t="inlineStr">
        <is>
          <t>B007VC2WXS</t>
        </is>
      </c>
      <c r="G6860">
        <f>_xlfn.IMAGE("https://edmondsonsupply.com/cdn/shop/products/223.png?v=1633540843")</f>
        <v/>
      </c>
      <c r="H6860">
        <f>_xlfn.IMAGE("https://m.media-amazon.com/images/I/41QgRZcgJ+L._AC_UY218_.jpg")</f>
        <v/>
      </c>
      <c r="K6860" t="inlineStr">
        <is>
          <t>103.79</t>
        </is>
      </c>
      <c r="L6860" t="n">
        <v>82.70999999999999</v>
      </c>
      <c r="M6860" s="1" t="inlineStr">
        <is>
          <t>-20.31%</t>
        </is>
      </c>
      <c r="N6860" s="7" t="n"/>
      <c r="O6860" t="n">
        <v>4.7</v>
      </c>
      <c r="P6860" t="n">
        <v>223</v>
      </c>
      <c r="R6860" t="inlineStr">
        <is>
          <t>InStock</t>
        </is>
      </c>
      <c r="S6860" t="inlineStr">
        <is>
          <t>undefined</t>
        </is>
      </c>
      <c r="T6860" t="inlineStr">
        <is>
          <t>6997274198189</t>
        </is>
      </c>
    </row>
    <row r="6861" ht="87" customHeight="1">
      <c r="A6861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6861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6861" t="inlineStr">
        <is>
          <t>Diablo Tools DMAPL4080-P25 1/4 in. x 6 in. x 8 in. Rebar Demon™ SDS-Plus 4-Cutter Full Carbide Head Hammer Bit (25 Pack)</t>
        </is>
      </c>
      <c r="D6861" t="inlineStr">
        <is>
          <t>Diablo by Freud DMAPL4040-P25 3/16 in. x 4 in. x 6 in. Rebar Demon™ SDS-Plus 4-Cutter Full Carbide Head Hammer Bit (25-Pack)</t>
        </is>
      </c>
      <c r="E6861" s="2" t="n"/>
      <c r="F6861" t="inlineStr">
        <is>
          <t>B089LKW42D</t>
        </is>
      </c>
      <c r="G6861">
        <f>_xlfn.IMAGE("https://edmondsonsupply.com/cdn/shop/products/DMAPL4080-P25_Main-Image20200701.png?v=1633030623")</f>
        <v/>
      </c>
      <c r="H6861">
        <f>_xlfn.IMAGE("https://m.media-amazon.com/images/I/61WAyx865hL._AC_UL320_.jpg")</f>
        <v/>
      </c>
      <c r="K6861" t="inlineStr">
        <is>
          <t>99.97</t>
        </is>
      </c>
      <c r="L6861" t="n">
        <v>79.63</v>
      </c>
      <c r="M6861" s="1" t="inlineStr">
        <is>
          <t>-20.35%</t>
        </is>
      </c>
      <c r="N6861" s="7" t="n"/>
      <c r="O6861" t="n">
        <v>5</v>
      </c>
      <c r="P6861" t="n">
        <v>2</v>
      </c>
      <c r="R6861" t="inlineStr">
        <is>
          <t>InStock</t>
        </is>
      </c>
      <c r="S6861" t="inlineStr">
        <is>
          <t>144.22</t>
        </is>
      </c>
      <c r="T6861" t="inlineStr">
        <is>
          <t>5660158918824</t>
        </is>
      </c>
    </row>
    <row r="6862" ht="87" customHeight="1">
      <c r="A6862" s="2">
        <f>HYPERLINK("https://edmondsonsupply.com/collections/electricians-tools/products/klein-tools-69406-tradesman-pro%E2%84%A2-carrying-case-small", "https://edmondsonsupply.com/collections/electricians-tools/products/klein-tools-69406-tradesman-pro%E2%84%A2-carrying-case-small")</f>
        <v/>
      </c>
      <c r="B6862" s="2">
        <f>HYPERLINK("https://edmondsonsupply.com/products/klein-tools-69406-tradesman-pro%e2%84%a2-carrying-case-small", "https://edmondsonsupply.com/products/klein-tools-69406-tradesman-pro%e2%84%a2-carrying-case-small")</f>
        <v/>
      </c>
      <c r="C6862" t="inlineStr">
        <is>
          <t>Klein Tools 69406 Tradesman Pro™ Carrying Case Small</t>
        </is>
      </c>
      <c r="D6862" t="inlineStr">
        <is>
          <t>Klein Tools 69406 Tradesman Pro Carrying Case Small</t>
        </is>
      </c>
      <c r="E6862" s="2">
        <f>HYPERLINK("https://www.amazon.com/Tradesman-Carrying-Klein-Tools-69406/dp/B00FZEO5V6/ref=sr_1_1?keywords=Klein+Tools+69406+Tradesman+Pro%E2%84%A2+Carrying+Case+Small&amp;qid=1694735001&amp;sr=8-1", "https://www.amazon.com/Tradesman-Carrying-Klein-Tools-69406/dp/B00FZEO5V6/ref=sr_1_1?keywords=Klein+Tools+69406+Tradesman+Pro%E2%84%A2+Carrying+Case+Small&amp;qid=1694735001&amp;sr=8-1")</f>
        <v/>
      </c>
      <c r="F6862" t="inlineStr">
        <is>
          <t>B00FZEO5V6</t>
        </is>
      </c>
      <c r="G6862">
        <f>_xlfn.IMAGE("https://edmondsonsupply.com/cdn/shop/files/69406.jpg?v=1685457393")</f>
        <v/>
      </c>
      <c r="H6862">
        <f>_xlfn.IMAGE("https://m.media-amazon.com/images/I/61BS-7VeV1L._AC_UL320_.jpg")</f>
        <v/>
      </c>
      <c r="K6862" t="inlineStr">
        <is>
          <t>27.99</t>
        </is>
      </c>
      <c r="L6862" t="n">
        <v>22.29</v>
      </c>
      <c r="M6862" s="1" t="inlineStr">
        <is>
          <t>-20.36%</t>
        </is>
      </c>
      <c r="N6862" s="7" t="n"/>
      <c r="O6862" t="n">
        <v>4.7</v>
      </c>
      <c r="P6862" t="n">
        <v>191</v>
      </c>
      <c r="R6862" t="inlineStr">
        <is>
          <t>InStock</t>
        </is>
      </c>
      <c r="S6862" t="inlineStr">
        <is>
          <t>42.42</t>
        </is>
      </c>
      <c r="T6862" t="inlineStr">
        <is>
          <t>7997729964248</t>
        </is>
      </c>
    </row>
    <row r="6863" hidden="1" ht="15.75" customHeight="1">
      <c r="A6863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6863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6863" t="inlineStr">
        <is>
          <t>Klein Tools 630-5/16M 5/16-Inch Magnetic Nut Driver with Hollow Shaft</t>
        </is>
      </c>
      <c r="D6863" t="inlineStr">
        <is>
          <t>Jonard Tools ND-630516, Nut Driver, 5/16" Hex Tip, 3" Hollow Shaft with Wide Ergonomic Comfort Grip,Yellow</t>
        </is>
      </c>
      <c r="E6863" s="2">
        <f>HYPERLINK("https://www.amazon.com/Jonard-ND-630516-Cushion-Gripped-Ergonomic/dp/B006C47E70/ref=sr_1_33?keywords=Klein+Tools+630-5%2F16M+5%2F16-Inch+Magnetic+Nut+Driver+with+Hollow+Shaft&amp;qid=1694735398&amp;sr=8-33", "https://www.amazon.com/Jonard-ND-630516-Cushion-Gripped-Ergonomic/dp/B006C47E70/ref=sr_1_33?keywords=Klein+Tools+630-5%2F16M+5%2F16-Inch+Magnetic+Nut+Driver+with+Hollow+Shaft&amp;qid=1694735398&amp;sr=8-33")</f>
        <v/>
      </c>
      <c r="F6863" t="inlineStr">
        <is>
          <t>B006C47E70</t>
        </is>
      </c>
      <c r="G6863">
        <f>_xludf.IMAGE("https://edmondsonsupply.com/cdn/shop/products/630-5-16m.jpg?v=1587148610")</f>
        <v/>
      </c>
      <c r="H6863">
        <f>_xludf.IMAGE("https://m.media-amazon.com/images/I/61zmdU0ahTL._AC_UL320_.jpg")</f>
        <v/>
      </c>
      <c r="K6863" t="inlineStr">
        <is>
          <t>9.99</t>
        </is>
      </c>
      <c r="L6863" t="n">
        <v>7.95</v>
      </c>
      <c r="M6863" s="1" t="inlineStr">
        <is>
          <t>-20.42%</t>
        </is>
      </c>
      <c r="N6863" s="1" t="n"/>
      <c r="O6863" t="n">
        <v>4.5</v>
      </c>
      <c r="P6863" t="n">
        <v>127</v>
      </c>
      <c r="R6863" t="inlineStr">
        <is>
          <t>InStock</t>
        </is>
      </c>
      <c r="S6863" t="inlineStr">
        <is>
          <t>15.12</t>
        </is>
      </c>
      <c r="T6863" t="inlineStr">
        <is>
          <t>4391884324964</t>
        </is>
      </c>
    </row>
    <row r="6864" ht="87" customHeight="1">
      <c r="A6864" s="2">
        <f>HYPERLINK("https://edmondsonsupply.com/collections/electricians-tools/products/copy-of-diablo-tools-dsd0500s06-1-4-in-1-2-in-impact-step-drill-bit-6-steps-1", "https://edmondsonsupply.com/collections/electricians-tools/products/copy-of-diablo-tools-dsd0500s06-1-4-in-1-2-in-impact-step-drill-bit-6-steps-1")</f>
        <v/>
      </c>
      <c r="B6864" s="2">
        <f>HYPERLINK("https://edmondsonsupply.com/products/copy-of-diablo-tools-dsd0500s06-1-4-in-1-2-in-impact-step-drill-bit-6-steps-1", "https://edmondsonsupply.com/products/copy-of-diablo-tools-dsd0500s06-1-4-in-1-2-in-impact-step-drill-bit-6-steps-1")</f>
        <v/>
      </c>
      <c r="C6864" t="inlineStr">
        <is>
          <t>Diablo Tools DSD1125S17 7/8 in. - 1-1/8 in. Impact Step Drill Bit (17 Steps)</t>
        </is>
      </c>
      <c r="D6864" t="inlineStr">
        <is>
          <t>Bosch IMSDC4 1/4 In. to 7/8 In. High-Speed Steel Turbo Impact Step Drill Bit</t>
        </is>
      </c>
      <c r="E6864" s="2">
        <f>HYPERLINK("https://www.amazon.com/Bosch-IMSDC4-High-Speed-Steel-Impact/dp/B08NXW6PZH/ref=sr_1_4?keywords=Diablo+Tools+DSD1125S17+7%2F8+in.+-+1-1%2F8+in.+Impact+Step+Drill+Bit+%2817+Steps%29&amp;qid=1694735315&amp;sr=8-4", "https://www.amazon.com/Bosch-IMSDC4-High-Speed-Steel-Impact/dp/B08NXW6PZH/ref=sr_1_4?keywords=Diablo+Tools+DSD1125S17+7%2F8+in.+-+1-1%2F8+in.+Impact+Step+Drill+Bit+%2817+Steps%29&amp;qid=1694735315&amp;sr=8-4")</f>
        <v/>
      </c>
      <c r="F6864" t="inlineStr">
        <is>
          <t>B08NXW6PZH</t>
        </is>
      </c>
      <c r="G6864">
        <f>_xlfn.IMAGE("https://edmondsonsupply.com/cdn/shop/products/DSD1125S17_Main-Image.png?v=1633030270")</f>
        <v/>
      </c>
      <c r="H6864">
        <f>_xlfn.IMAGE("https://m.media-amazon.com/images/I/71VK+YohqeL._AC_UL320_.jpg")</f>
        <v/>
      </c>
      <c r="K6864" t="inlineStr">
        <is>
          <t>64.97</t>
        </is>
      </c>
      <c r="L6864" t="n">
        <v>51.62</v>
      </c>
      <c r="M6864" s="1" t="inlineStr">
        <is>
          <t>-20.55%</t>
        </is>
      </c>
      <c r="N6864" s="7" t="n"/>
      <c r="O6864" t="n">
        <v>5</v>
      </c>
      <c r="P6864" t="n">
        <v>5</v>
      </c>
      <c r="R6864" t="inlineStr">
        <is>
          <t>InStock</t>
        </is>
      </c>
      <c r="S6864" t="inlineStr">
        <is>
          <t>82.51</t>
        </is>
      </c>
      <c r="T6864" t="inlineStr">
        <is>
          <t>4683700371556</t>
        </is>
      </c>
    </row>
    <row r="6865" ht="87" customHeight="1">
      <c r="A6865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6865" s="2">
        <f>HYPERLINK("https://edmondsonsupply.com/products/diablo-tools-dmapl2500-7-8-in-x-8-in-x-10-in-sds-plus-2-cutter", "https://edmondsonsupply.com/products/diablo-tools-dmapl2500-7-8-in-x-8-in-x-10-in-sds-plus-2-cutter")</f>
        <v/>
      </c>
      <c r="C6865" t="inlineStr">
        <is>
          <t>Diablo Tools DMAPL2500 7/8 in. x 8 in. x 10 in. SDS-Plus 2-Cutter</t>
        </is>
      </c>
      <c r="D6865" t="inlineStr">
        <is>
          <t>Diablo by Freud DMAPL4200 1/2 in. x 16 in. x 18 in. Rebar Demon SDS-Plus 4-Cutter Full Carbide Head Hammer Bit</t>
        </is>
      </c>
      <c r="E6865" s="2">
        <f>HYPERLINK("https://www.amazon.com/Diablo-Freud-DMAPL4200-SDS-Plus-4-Cutter/dp/B089KW2QV1/ref=sr_1_20?keywords=Diablo+Tools+DMAPL2500+7%2F8+in.+x+8+in.+x+10+in.+SDS-Plus+2-Cutter&amp;qid=1694735171&amp;sr=8-20", "https://www.amazon.com/Diablo-Freud-DMAPL4200-SDS-Plus-4-Cutter/dp/B089KW2QV1/ref=sr_1_20?keywords=Diablo+Tools+DMAPL2500+7%2F8+in.+x+8+in.+x+10+in.+SDS-Plus+2-Cutter&amp;qid=1694735171&amp;sr=8-20")</f>
        <v/>
      </c>
      <c r="F6865" t="inlineStr">
        <is>
          <t>B089KW2QV1</t>
        </is>
      </c>
      <c r="G6865">
        <f>_xlfn.IMAGE("https://edmondsonsupply.com/cdn/shop/products/2500.webp?v=1647636219")</f>
        <v/>
      </c>
      <c r="H6865">
        <f>_xlfn.IMAGE("https://m.media-amazon.com/images/I/61rW+ROVmNL._AC_UL320_.jpg")</f>
        <v/>
      </c>
      <c r="K6865" t="inlineStr">
        <is>
          <t>28.97</t>
        </is>
      </c>
      <c r="L6865" t="n">
        <v>23</v>
      </c>
      <c r="M6865" s="1" t="inlineStr">
        <is>
          <t>-20.61%</t>
        </is>
      </c>
      <c r="N6865" s="7" t="n"/>
      <c r="O6865" t="n">
        <v>4.7</v>
      </c>
      <c r="P6865" t="n">
        <v>18</v>
      </c>
      <c r="R6865" t="inlineStr">
        <is>
          <t>InStock</t>
        </is>
      </c>
      <c r="S6865" t="inlineStr">
        <is>
          <t>33.98</t>
        </is>
      </c>
      <c r="T6865" t="inlineStr">
        <is>
          <t>7639201317080</t>
        </is>
      </c>
    </row>
    <row r="6866" ht="87" customHeight="1">
      <c r="A6866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6866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6866" t="inlineStr">
        <is>
          <t>Klein Tools NCVT-3P Dual Range Non-Contact Voltage Tester with Flashlight, 12 - 1000V AC</t>
        </is>
      </c>
      <c r="D6866" t="inlineStr">
        <is>
          <t>Klein Tools NCVT2P Dual Range, Non-Contact Voltage Tester, 12-1000V AC, Visual and Audible Indicators, Auto Power Off, Green</t>
        </is>
      </c>
      <c r="E6866" s="2">
        <f>HYPERLINK("https://www.amazon.com/Klein-Tools-NCVT2P-12-1000V-Flashing/dp/B07L5N8ZWS/ref=sr_1_2?keywords=Klein+Tools+NCVT-3P+Dual+Range+Non-Contact+Voltage+Tester+with+Flashlight%2C+12+-+1000V+AC&amp;qid=1694735337&amp;sr=8-2", "https://www.amazon.com/Klein-Tools-NCVT2P-12-1000V-Flashing/dp/B07L5N8ZWS/ref=sr_1_2?keywords=Klein+Tools+NCVT-3P+Dual+Range+Non-Contact+Voltage+Tester+with+Flashlight%2C+12+-+1000V+AC&amp;qid=1694735337&amp;sr=8-2")</f>
        <v/>
      </c>
      <c r="F6866" t="inlineStr">
        <is>
          <t>B07L5N8ZWS</t>
        </is>
      </c>
      <c r="G6866">
        <f>_xlfn.IMAGE("https://edmondsonsupply.com/cdn/shop/products/ncvt3p.jpg?v=1633030219")</f>
        <v/>
      </c>
      <c r="H6866">
        <f>_xlfn.IMAGE("https://m.media-amazon.com/images/I/51GASnKpZ1L._AC_UL320_.jpg")</f>
        <v/>
      </c>
      <c r="K6866" t="inlineStr">
        <is>
          <t>29.97</t>
        </is>
      </c>
      <c r="L6866" t="n">
        <v>23.79</v>
      </c>
      <c r="M6866" s="1" t="inlineStr">
        <is>
          <t>-20.62%</t>
        </is>
      </c>
      <c r="N6866" s="7" t="n"/>
      <c r="O6866" t="n">
        <v>4.7</v>
      </c>
      <c r="P6866" t="n">
        <v>638</v>
      </c>
      <c r="R6866" t="inlineStr">
        <is>
          <t>InStock</t>
        </is>
      </c>
      <c r="S6866" t="inlineStr">
        <is>
          <t>40.36</t>
        </is>
      </c>
      <c r="T6866" t="inlineStr">
        <is>
          <t>4505582174308</t>
        </is>
      </c>
    </row>
    <row r="6867" hidden="1" ht="15.75" customHeight="1">
      <c r="A6867" s="2">
        <f>HYPERLINK("https://edmondsonsupply.com/collections/electricians-tools/products/diablo-tools-dmapl4090-1-4-in-x-10-in-x-12-in-rebar-demon%E2%84%A2-sds-plus-4-cutter-full-carbide-head-hammer-bit", "https://edmondsonsupply.com/collections/electricians-tools/products/diablo-tools-dmapl4090-1-4-in-x-10-in-x-12-in-rebar-demon%E2%84%A2-sds-plus-4-cutter-full-carbide-head-hammer-bit")</f>
        <v/>
      </c>
      <c r="B6867" s="2">
        <f>HYPERLINK("https://edmondsonsupply.com/products/diablo-tools-dmapl4090-1-4-in-x-10-in-x-12-in-rebar-demon%e2%84%a2-sds-plus-4-cutter-full-carbide-head-hammer-bit", "https://edmondsonsupply.com/products/diablo-tools-dmapl4090-1-4-in-x-10-in-x-12-in-rebar-demon%e2%84%a2-sds-plus-4-cutter-full-carbide-head-hammer-bit")</f>
        <v/>
      </c>
      <c r="C6867" t="inlineStr">
        <is>
          <t>Diablo Tools DMAPL4090 1/4 in. x 10 in. x 12 in. Rebar Demon™ SDS‑Plus 4‑Cutter Full Carbide Head Hammer Bit</t>
        </is>
      </c>
      <c r="D6867" t="inlineStr">
        <is>
          <t>Diablo by Freud DMAPL4010 5/32 in. x 2 in. x 4 in. Rebar Demon SDS-Plus 4-Cutter Full Carbide Head Hammer Bit</t>
        </is>
      </c>
      <c r="E6867" s="2">
        <f>HYPERLINK("https://www.amazon.com/Diablo-SDS-Plus-4-Cutter-Carbide-Hammer/dp/B089KWVTD3/ref=sr_1_22?keywords=Diablo+Tools+DMAPL4090+1%2F4+in.+x+10+in.+x+12+in.+Rebar+Demon%E2%84%A2+SDS%E2%80%91Plus+4%E2%80%91Cutter+Full+Carbide+Head+Hammer+Bit&amp;qid=1694735288&amp;sr=8-22", "https://www.amazon.com/Diablo-SDS-Plus-4-Cutter-Carbide-Hammer/dp/B089KWVTD3/ref=sr_1_22?keywords=Diablo+Tools+DMAPL4090+1%2F4+in.+x+10+in.+x+12+in.+Rebar+Demon%E2%84%A2+SDS%E2%80%91Plus+4%E2%80%91Cutter+Full+Carbide+Head+Hammer+Bit&amp;qid=1694735288&amp;sr=8-22")</f>
        <v/>
      </c>
      <c r="F6867" t="inlineStr">
        <is>
          <t>B089KWVTD3</t>
        </is>
      </c>
      <c r="G6867">
        <f>_xludf.IMAGE("https://edmondsonsupply.com/cdn/shop/products/nf6i5llohxcmlh9huvf0.webp?v=1670438124")</f>
        <v/>
      </c>
      <c r="H6867">
        <f>_xludf.IMAGE("https://m.media-amazon.com/images/I/61IkB-DVS1L._AC_UL320_.jpg")</f>
        <v/>
      </c>
      <c r="K6867" t="inlineStr">
        <is>
          <t>11.97</t>
        </is>
      </c>
      <c r="L6867" t="n">
        <v>9.5</v>
      </c>
      <c r="M6867" s="1" t="inlineStr">
        <is>
          <t>-20.63%</t>
        </is>
      </c>
      <c r="N6867" s="1" t="n"/>
      <c r="O6867" t="n">
        <v>4.7</v>
      </c>
      <c r="P6867" t="n">
        <v>4</v>
      </c>
      <c r="R6867" t="inlineStr">
        <is>
          <t>InStock</t>
        </is>
      </c>
      <c r="S6867" t="inlineStr">
        <is>
          <t>16.41</t>
        </is>
      </c>
      <c r="T6867" t="inlineStr">
        <is>
          <t>5317905973416</t>
        </is>
      </c>
    </row>
    <row r="6868" ht="87" customHeight="1">
      <c r="A6868" s="2">
        <f>HYPERLINK("https://edmondsonsupply.com/collections/electricians-tools/products/diablo-tools-dou3bs-3-pc-universal-fit-bi-metal-oscillating-blade-set", "https://edmondsonsupply.com/collections/electricians-tools/products/diablo-tools-dou3bs-3-pc-universal-fit-bi-metal-oscillating-blade-set")</f>
        <v/>
      </c>
      <c r="B6868" s="2">
        <f>HYPERLINK("https://edmondsonsupply.com/products/diablo-tools-dou3bs-3-pc-universal-fit-bi-metal-oscillating-blade-set", "https://edmondsonsupply.com/products/diablo-tools-dou3bs-3-pc-universal-fit-bi-metal-oscillating-blade-set")</f>
        <v/>
      </c>
      <c r="C6868" t="inlineStr">
        <is>
          <t>Diablo Tools DOU3BS 3 pc Universal Fit Bi-Metal Oscillating Blade Set</t>
        </is>
      </c>
      <c r="D6868" t="inlineStr">
        <is>
          <t>Diablo by Freud DOU3BS 3 pc Universal Fit Bi-Metal Oscillating Blade Set (3-Piece)</t>
        </is>
      </c>
      <c r="E6868" s="2">
        <f>HYPERLINK("https://www.amazon.com/Diablo-Freud-DOU3BS-Universal-Oscillating/dp/B089LKV4R1/ref=sr_1_1?keywords=Diablo+Tools+DOU3BS+3+pc+Universal+Fit+Bi-Metal+Oscillating+Blade+Set&amp;qid=1694734992&amp;sr=8-1", "https://www.amazon.com/Diablo-Freud-DOU3BS-Universal-Oscillating/dp/B089LKV4R1/ref=sr_1_1?keywords=Diablo+Tools+DOU3BS+3+pc+Universal+Fit+Bi-Metal+Oscillating+Blade+Set&amp;qid=1694734992&amp;sr=8-1")</f>
        <v/>
      </c>
      <c r="F6868" t="inlineStr">
        <is>
          <t>B089LKV4R1</t>
        </is>
      </c>
      <c r="G6868">
        <f>_xlfn.IMAGE("https://edmondsonsupply.com/cdn/shop/files/mhkfr9y3q3vrvammfqa0.webp?v=1685721273")</f>
        <v/>
      </c>
      <c r="H6868">
        <f>_xlfn.IMAGE("https://m.media-amazon.com/images/I/71Kp5BKb9OL._AC_UL320_.jpg")</f>
        <v/>
      </c>
      <c r="K6868" t="inlineStr">
        <is>
          <t>37.97</t>
        </is>
      </c>
      <c r="L6868" t="n">
        <v>30.11</v>
      </c>
      <c r="M6868" s="1" t="inlineStr">
        <is>
          <t>-20.70%</t>
        </is>
      </c>
      <c r="N6868" s="7" t="n"/>
      <c r="O6868" t="n">
        <v>4.5</v>
      </c>
      <c r="P6868" t="n">
        <v>28</v>
      </c>
      <c r="R6868" t="inlineStr">
        <is>
          <t>InStock</t>
        </is>
      </c>
      <c r="S6868" t="inlineStr">
        <is>
          <t>64.36</t>
        </is>
      </c>
      <c r="T6868" t="inlineStr">
        <is>
          <t>7999591088344</t>
        </is>
      </c>
    </row>
    <row r="6869" hidden="1" ht="15.75" customHeight="1">
      <c r="A6869" s="2">
        <f>HYPERLINK("https://edmondsonsupply.com/collections/electricians-tools/products/klein-tools-jth6t27-t27-torx%C2%AE-hex-key-with-journeyman-t-handle-6-inch", "https://edmondsonsupply.com/collections/electricians-tools/products/klein-tools-jth6t27-t27-torx%C2%AE-hex-key-with-journeyman-t-handle-6-inch")</f>
        <v/>
      </c>
      <c r="B6869" s="2">
        <f>HYPERLINK("https://edmondsonsupply.com/products/klein-tools-jth6t27-t27-torx%c2%ae-hex-key-with-journeyman-t-handle-6-inch", "https://edmondsonsupply.com/products/klein-tools-jth6t27-t27-torx%c2%ae-hex-key-with-journeyman-t-handle-6-inch")</f>
        <v/>
      </c>
      <c r="C6869" t="inlineStr">
        <is>
          <t>Klein Tools JTH6T27 T27 Torx® Hex Key with Journeyman T-Handle, 6-Inch</t>
        </is>
      </c>
      <c r="D6869" t="inlineStr">
        <is>
          <t>Klein Tools JTH6T27 T27 TORX Hex Key, Journeyman T-Handle, 6-Inch</t>
        </is>
      </c>
      <c r="E6869" s="2">
        <f>HYPERLINK("https://www.amazon.com/Journeyman-T-Handle-Klein-Tools-JTH6T27/dp/B005G3B4MO/ref=sr_1_1?keywords=Klein+Tools+JTH6T27+T27+Torx%C2%AE+Hex+Key+with+Journeyman+T-Handle%2C+6-Inch&amp;qid=1694735413&amp;sr=8-1", "https://www.amazon.com/Journeyman-T-Handle-Klein-Tools-JTH6T27/dp/B005G3B4MO/ref=sr_1_1?keywords=Klein+Tools+JTH6T27+T27+Torx%C2%AE+Hex+Key+with+Journeyman+T-Handle%2C+6-Inch&amp;qid=1694735413&amp;sr=8-1")</f>
        <v/>
      </c>
      <c r="F6869" t="inlineStr">
        <is>
          <t>B005G3B4MO</t>
        </is>
      </c>
      <c r="G6869">
        <f>_xludf.IMAGE("https://edmondsonsupply.com/cdn/shop/products/jth6t40_cb060be3-75cf-4184-9024-dee33ab54739.jpg?v=1587142808")</f>
        <v/>
      </c>
      <c r="H6869">
        <f>_xludf.IMAGE("https://m.media-amazon.com/images/I/51Xj0Vsb-EL._AC_UL320_.jpg")</f>
        <v/>
      </c>
      <c r="K6869" t="inlineStr">
        <is>
          <t>12.1</t>
        </is>
      </c>
      <c r="L6869" t="n">
        <v>9.59</v>
      </c>
      <c r="M6869" s="1" t="inlineStr">
        <is>
          <t>-20.74%</t>
        </is>
      </c>
      <c r="N6869" s="1" t="n"/>
      <c r="O6869" t="n">
        <v>4.8</v>
      </c>
      <c r="P6869" t="n">
        <v>1540</v>
      </c>
      <c r="R6869" t="inlineStr">
        <is>
          <t>InStock</t>
        </is>
      </c>
      <c r="S6869" t="inlineStr">
        <is>
          <t>undefined</t>
        </is>
      </c>
      <c r="T6869" t="inlineStr">
        <is>
          <t>4392295039076</t>
        </is>
      </c>
    </row>
    <row r="6870" ht="87" customHeight="1">
      <c r="A6870" s="2">
        <f>HYPERLINK("https://edmondsonsupply.com/collections/electricians-tools/products/crescent-wiss-wc5ln-10-5-blade-hand-crimper", "https://edmondsonsupply.com/collections/electricians-tools/products/crescent-wiss-wc5ln-10-5-blade-hand-crimper")</f>
        <v/>
      </c>
      <c r="B6870" s="2">
        <f>HYPERLINK("https://edmondsonsupply.com/products/crescent-wiss-wc5ln-10-5-blade-hand-crimper", "https://edmondsonsupply.com/products/crescent-wiss-wc5ln-10-5-blade-hand-crimper")</f>
        <v/>
      </c>
      <c r="C6870" t="inlineStr">
        <is>
          <t>Crescent Wiss WC5LN 10" 5-Blade Hand Crimper</t>
        </is>
      </c>
      <c r="D6870" t="inlineStr">
        <is>
          <t>Crescent Wiss 9-3/4" 5-Blade Hand Crimper - WC5SN</t>
        </is>
      </c>
      <c r="E6870" s="2">
        <f>HYPERLINK("https://www.amazon.com/Wiss-WC5SN-5-Blade-1-1-Depth/dp/B071VTSD3W/ref=sr_1_2?keywords=Crescent+Wiss+WC5LN+10%22+5-Blade+Hand+Crimper&amp;qid=1694735006&amp;sr=8-2", "https://www.amazon.com/Wiss-WC5SN-5-Blade-1-1-Depth/dp/B071VTSD3W/ref=sr_1_2?keywords=Crescent+Wiss+WC5LN+10%22+5-Blade+Hand+Crimper&amp;qid=1694735006&amp;sr=8-2")</f>
        <v/>
      </c>
      <c r="F6870" t="inlineStr">
        <is>
          <t>B071VTSD3W</t>
        </is>
      </c>
      <c r="G6870">
        <f>_xlfn.IMAGE("https://edmondsonsupply.com/cdn/shop/products/WIS_WC5SN_IMG-MAIN.jpg?v=1679676845")</f>
        <v/>
      </c>
      <c r="H6870">
        <f>_xlfn.IMAGE("https://m.media-amazon.com/images/I/51yE81qV1rS._AC_UL320_.jpg")</f>
        <v/>
      </c>
      <c r="K6870" t="inlineStr">
        <is>
          <t>31.32</t>
        </is>
      </c>
      <c r="L6870" t="n">
        <v>24.82</v>
      </c>
      <c r="M6870" s="1" t="inlineStr">
        <is>
          <t>-20.75%</t>
        </is>
      </c>
      <c r="N6870" s="7" t="n"/>
      <c r="O6870" t="n">
        <v>4.3</v>
      </c>
      <c r="P6870" t="n">
        <v>1110</v>
      </c>
      <c r="R6870" t="inlineStr">
        <is>
          <t>InStock</t>
        </is>
      </c>
      <c r="S6870" t="inlineStr">
        <is>
          <t>56.27</t>
        </is>
      </c>
      <c r="T6870" t="inlineStr">
        <is>
          <t>7966330192088</t>
        </is>
      </c>
    </row>
    <row r="6871" ht="87" customHeight="1">
      <c r="A6871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6871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6871" t="inlineStr">
        <is>
          <t>Diablo Tools DMAMX1230 1 in. x 24 in. x 29 in. Rebar Demon™ SDS-Max 4-Cutter Full Carbide Head Hammer Bit</t>
        </is>
      </c>
      <c r="D6871" t="inlineStr">
        <is>
          <t>Diablo DMAMX1360 1-1/2 in. x 16 in. x 21 in. Rebar Demon™ SDS-Max 4-Cutter Carbide-Tipped Hammer Bit</t>
        </is>
      </c>
      <c r="E6871" s="2">
        <f>HYPERLINK("https://www.amazon.com/Diablo-SDS-Max-4-Cutter-Carbide-Tipped-Hammer/dp/B089KXF4R5/ref=sr_1_45?keywords=Diablo+Tools+DMAMX1230+1+in.+x+24+in.+x+29+in.+Rebar+Demon%E2%84%A2+SDS-Max+4-Cutter+Full+Carbide+Head+Hammer+Bit&amp;qid=1694735297&amp;sr=8-45", "https://www.amazon.com/Diablo-SDS-Max-4-Cutter-Carbide-Tipped-Hammer/dp/B089KXF4R5/ref=sr_1_45?keywords=Diablo+Tools+DMAMX1230+1+in.+x+24+in.+x+29+in.+Rebar+Demon%E2%84%A2+SDS-Max+4-Cutter+Full+Carbide+Head+Hammer+Bit&amp;qid=1694735297&amp;sr=8-45")</f>
        <v/>
      </c>
      <c r="F6871" t="inlineStr">
        <is>
          <t>B089KXF4R5</t>
        </is>
      </c>
      <c r="G6871">
        <f>_xlfn.IMAGE("https://edmondsonsupply.com/cdn/shop/products/DMAMX1230_1.jpg?v=1633030364")</f>
        <v/>
      </c>
      <c r="H6871">
        <f>_xlfn.IMAGE("https://m.media-amazon.com/images/I/61MTkJ-cWaL._AC_UL320_.jpg")</f>
        <v/>
      </c>
      <c r="K6871" t="inlineStr">
        <is>
          <t>124.97</t>
        </is>
      </c>
      <c r="L6871" t="n">
        <v>98.98999999999999</v>
      </c>
      <c r="M6871" s="1" t="inlineStr">
        <is>
          <t>-20.79%</t>
        </is>
      </c>
      <c r="N6871" s="7" t="n"/>
      <c r="O6871" t="n">
        <v>5</v>
      </c>
      <c r="P6871" t="n">
        <v>5</v>
      </c>
      <c r="R6871" t="inlineStr">
        <is>
          <t>InStock</t>
        </is>
      </c>
      <c r="S6871" t="inlineStr">
        <is>
          <t>152.89</t>
        </is>
      </c>
      <c r="T6871" t="inlineStr">
        <is>
          <t>5289176072360</t>
        </is>
      </c>
    </row>
    <row r="6872" hidden="1" ht="15.75" customHeight="1">
      <c r="A6872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6872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6872" t="inlineStr">
        <is>
          <t>Klein Tools 635-1/4 1/4-Inch Nut Driver, Magnetic Tip, 4-Inch Shaft</t>
        </is>
      </c>
      <c r="D6872" t="inlineStr">
        <is>
          <t>Klein Tools 610-1/4M 1/4-Inch Magnetic Nut Driver with 1-1/2-Inch Hollow Shaft and Cushion Grip Handle</t>
        </is>
      </c>
      <c r="E6872" s="2">
        <f>HYPERLINK("https://www.amazon.com/Magnetic-Cushion-Klein-610-1-4M/dp/B00093GE3A/ref=sr_1_4?keywords=Klein+Tools+635-1%2F4+1%2F4-Inch+Nut+Driver%2C+Magnetic+Tip%2C+4-Inch+Shaft&amp;qid=1694735101&amp;sr=8-4", "https://www.amazon.com/Magnetic-Cushion-Klein-610-1-4M/dp/B00093GE3A/ref=sr_1_4?keywords=Klein+Tools+635-1%2F4+1%2F4-Inch+Nut+Driver%2C+Magnetic+Tip%2C+4-Inch+Shaft&amp;qid=1694735101&amp;sr=8-4")</f>
        <v/>
      </c>
      <c r="F6872" t="inlineStr">
        <is>
          <t>B00093GE3A</t>
        </is>
      </c>
      <c r="G6872">
        <f>_xludf.IMAGE("https://edmondsonsupply.com/cdn/shop/products/635-1-4.jpg?v=1666811523")</f>
        <v/>
      </c>
      <c r="H6872">
        <f>_xludf.IMAGE("https://m.media-amazon.com/images/I/41piyjqJVeL._AC_UL320_.jpg")</f>
        <v/>
      </c>
      <c r="K6872" t="inlineStr">
        <is>
          <t>11.99</t>
        </is>
      </c>
      <c r="L6872" t="n">
        <v>9.49</v>
      </c>
      <c r="M6872" s="1" t="inlineStr">
        <is>
          <t>-20.85%</t>
        </is>
      </c>
      <c r="N6872" s="1" t="n"/>
      <c r="O6872" t="n">
        <v>4.7</v>
      </c>
      <c r="P6872" t="n">
        <v>258</v>
      </c>
      <c r="R6872" t="inlineStr">
        <is>
          <t>InStock</t>
        </is>
      </c>
      <c r="S6872" t="inlineStr">
        <is>
          <t>18.18</t>
        </is>
      </c>
      <c r="T6872" t="inlineStr">
        <is>
          <t>7866294010072</t>
        </is>
      </c>
    </row>
    <row r="6873" ht="87" customHeight="1">
      <c r="A6873" s="2">
        <f>HYPERLINK("https://edmondsonsupply.com/collections/electricians-tools/products/milwaukee-48-22-3690-10-pc-torque-lock%E2%84%A2-locking-pliers-kit", "https://edmondsonsupply.com/collections/electricians-tools/products/milwaukee-48-22-3690-10-pc-torque-lock%E2%84%A2-locking-pliers-kit")</f>
        <v/>
      </c>
      <c r="B6873" s="2">
        <f>HYPERLINK("https://edmondsonsupply.com/products/milwaukee-48-22-3690-10-pc-torque-lock%e2%84%a2-locking-pliers-kit", "https://edmondsonsupply.com/products/milwaukee-48-22-3690-10-pc-torque-lock%e2%84%a2-locking-pliers-kit")</f>
        <v/>
      </c>
      <c r="C6873" t="inlineStr">
        <is>
          <t>Milwaukee 48-22-3690 10 Pc. TORQUE LOCK™ LOCKING PLIERS KIT</t>
        </is>
      </c>
      <c r="D6873" t="inlineStr">
        <is>
          <t>Milwaukee (MLW48223690) 10 Pc. Locking Plier Auto Kit</t>
        </is>
      </c>
      <c r="E6873" s="2">
        <f>HYPERLINK("https://www.amazon.com/Milwaukee-MLW48223690-Locking-Plier-Auto/dp/B075GXS7WP/ref=sr_1_5?keywords=Milwaukee+48-22-3690+10+Pc.+TORQUE+LOCK%E2%84%A2+LOCKING+PLIERS+KIT&amp;qid=1694735040&amp;sr=8-5", "https://www.amazon.com/Milwaukee-MLW48223690-Locking-Plier-Auto/dp/B075GXS7WP/ref=sr_1_5?keywords=Milwaukee+48-22-3690+10+Pc.+TORQUE+LOCK%E2%84%A2+LOCKING+PLIERS+KIT&amp;qid=1694735040&amp;sr=8-5")</f>
        <v/>
      </c>
      <c r="F6873" t="inlineStr">
        <is>
          <t>B075GXS7WP</t>
        </is>
      </c>
      <c r="G6873">
        <f>_xlfn.IMAGE("https://edmondsonsupply.com/cdn/shop/products/48-22-3690_2.png?v=1675698915")</f>
        <v/>
      </c>
      <c r="H6873">
        <f>_xlfn.IMAGE("https://m.media-amazon.com/images/I/417Wihc6yxL._AC_UL320_.jpg")</f>
        <v/>
      </c>
      <c r="K6873" t="inlineStr">
        <is>
          <t>159.97</t>
        </is>
      </c>
      <c r="L6873" t="n">
        <v>126.58</v>
      </c>
      <c r="M6873" s="1" t="inlineStr">
        <is>
          <t>-20.87%</t>
        </is>
      </c>
      <c r="N6873" s="7" t="n"/>
      <c r="O6873" t="n">
        <v>4.8</v>
      </c>
      <c r="P6873" t="n">
        <v>128</v>
      </c>
      <c r="R6873" t="inlineStr">
        <is>
          <t>InStock</t>
        </is>
      </c>
      <c r="S6873" t="inlineStr">
        <is>
          <t>228.3</t>
        </is>
      </c>
      <c r="T6873" t="inlineStr">
        <is>
          <t>7940121755864</t>
        </is>
      </c>
    </row>
    <row r="6874" ht="87" customHeight="1">
      <c r="A6874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6874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6874" t="inlineStr">
        <is>
          <t>Diablo Tools DMAPL4080-P25 1/4 in. x 6 in. x 8 in. Rebar Demon™ SDS-Plus 4-Cutter Full Carbide Head Hammer Bit (25 Pack)</t>
        </is>
      </c>
      <c r="D6874" t="inlineStr">
        <is>
          <t>Diablo DMAMX1110 5/8 in. x 24 in. x 29 in. Rebar Demon™ SDS-Max 4-Cutter Full Carbide Head Hammer Bit</t>
        </is>
      </c>
      <c r="E6874" s="2">
        <f>HYPERLINK("https://www.amazon.com/Diablo-SDS-Max-4-Cutter-Carbide-Hammer/dp/B089LJ9GHW/ref=sr_1_45?keywords=Diablo+Tools+DMAPL4080-P25+1%2F4+in.+x+6+in.+x+8+in.+Rebar+Demon%E2%84%A2+SDS-Plus+4-Cutter+Full+Carbide+Head+Hammer+Bit+%2825+Pack%29&amp;qid=1694735261&amp;sr=8-45", "https://www.amazon.com/Diablo-SDS-Max-4-Cutter-Carbide-Hammer/dp/B089LJ9GHW/ref=sr_1_45?keywords=Diablo+Tools+DMAPL4080-P25+1%2F4+in.+x+6+in.+x+8+in.+Rebar+Demon%E2%84%A2+SDS-Plus+4-Cutter+Full+Carbide+Head+Hammer+Bit+%2825+Pack%29&amp;qid=1694735261&amp;sr=8-45")</f>
        <v/>
      </c>
      <c r="F6874" t="inlineStr">
        <is>
          <t>B089LJ9GHW</t>
        </is>
      </c>
      <c r="G6874">
        <f>_xlfn.IMAGE("https://edmondsonsupply.com/cdn/shop/products/DMAPL4080-P25_Main-Image20200701.png?v=1633030623")</f>
        <v/>
      </c>
      <c r="H6874">
        <f>_xlfn.IMAGE("https://m.media-amazon.com/images/I/61vWAd-z8eL._AC_UL320_.jpg")</f>
        <v/>
      </c>
      <c r="K6874" t="inlineStr">
        <is>
          <t>99.97</t>
        </is>
      </c>
      <c r="L6874" t="n">
        <v>78.98999999999999</v>
      </c>
      <c r="M6874" s="1" t="inlineStr">
        <is>
          <t>-20.99%</t>
        </is>
      </c>
      <c r="N6874" s="7" t="n"/>
      <c r="O6874" t="n">
        <v>4.7</v>
      </c>
      <c r="P6874" t="n">
        <v>4</v>
      </c>
      <c r="R6874" t="inlineStr">
        <is>
          <t>InStock</t>
        </is>
      </c>
      <c r="S6874" t="inlineStr">
        <is>
          <t>144.22</t>
        </is>
      </c>
      <c r="T6874" t="inlineStr">
        <is>
          <t>5660158918824</t>
        </is>
      </c>
    </row>
    <row r="6875" ht="87" customHeight="1">
      <c r="A6875" s="2">
        <f>HYPERLINK("https://edmondsonsupply.com/collections/electricians-tools/products/diablo-tools-dos125bw3-1-1-4-in-starlock-bi-metal-oscillating-blades-for-nail-embedded-wood", "https://edmondsonsupply.com/collections/electricians-tools/products/diablo-tools-dos125bw3-1-1-4-in-starlock-bi-metal-oscillating-blades-for-nail-embedded-wood")</f>
        <v/>
      </c>
      <c r="B6875" s="2">
        <f>HYPERLINK("https://edmondsonsupply.com/products/diablo-tools-dos125bw3-1-1-4-in-starlock-bi-metal-oscillating-blades-for-nail-embedded-wood", "https://edmondsonsupply.com/products/diablo-tools-dos125bw3-1-1-4-in-starlock-bi-metal-oscillating-blades-for-nail-embedded-wood")</f>
        <v/>
      </c>
      <c r="C6875" t="inlineStr">
        <is>
          <t>Diablo Tools DOS125BW3 1-1/4 in. Starlock Bi-Metal Oscillating Blades for Nail-Embedded Wood</t>
        </is>
      </c>
      <c r="D6875" t="inlineStr">
        <is>
          <t>Diablo by Freud DOS125BW3 1-1/4 in. Starlock Bi-Metal Oscillating Blades for Nail-Embedded Wood (3-Pack)</t>
        </is>
      </c>
      <c r="E6875" s="2">
        <f>HYPERLINK("https://www.amazon.com/Diablo-Starlock-Bi-Metal-Oscillating-Nail-Embedded/dp/B089KX5FJS/ref=sr_1_1?keywords=Diablo+Tools+DOS125BW3+1-1%2F4+in.+Starlock+Bi-Metal+Oscillating+Blades+for+Nail-Embedded+Wood&amp;qid=1694735197&amp;sr=8-1", "https://www.amazon.com/Diablo-Starlock-Bi-Metal-Oscillating-Nail-Embedded/dp/B089KX5FJS/ref=sr_1_1?keywords=Diablo+Tools+DOS125BW3+1-1%2F4+in.+Starlock+Bi-Metal+Oscillating+Blades+for+Nail-Embedded+Wood&amp;qid=1694735197&amp;sr=8-1")</f>
        <v/>
      </c>
      <c r="F6875" t="inlineStr">
        <is>
          <t>B089KX5FJS</t>
        </is>
      </c>
      <c r="G6875">
        <f>_xlfn.IMAGE("https://edmondsonsupply.com/cdn/shop/products/DOS125BW3_Main-Image.png?v=1633031100")</f>
        <v/>
      </c>
      <c r="H6875">
        <f>_xlfn.IMAGE("https://m.media-amazon.com/images/I/717H6O1AhYL._AC_UL320_.jpg")</f>
        <v/>
      </c>
      <c r="K6875" t="inlineStr">
        <is>
          <t>34.97</t>
        </is>
      </c>
      <c r="L6875" t="n">
        <v>27.63</v>
      </c>
      <c r="M6875" s="1" t="inlineStr">
        <is>
          <t>-20.99%</t>
        </is>
      </c>
      <c r="N6875" s="7" t="n"/>
      <c r="O6875" t="n">
        <v>4.7</v>
      </c>
      <c r="P6875" t="n">
        <v>65</v>
      </c>
      <c r="R6875" t="inlineStr">
        <is>
          <t>InStock</t>
        </is>
      </c>
      <c r="S6875" t="inlineStr">
        <is>
          <t>40.25</t>
        </is>
      </c>
      <c r="T6875" t="inlineStr">
        <is>
          <t>6846091853997</t>
        </is>
      </c>
    </row>
    <row r="6876" hidden="1" ht="15.75" customHeight="1">
      <c r="A6876" s="2">
        <f>HYPERLINK("https://edmondsonsupply.com/collections/electricians-tools/products/malco-tools-bhe12-12-inch-impact-grade-quick-change-extension-bit", "https://edmondsonsupply.com/collections/electricians-tools/products/malco-tools-bhe12-12-inch-impact-grade-quick-change-extension-bit")</f>
        <v/>
      </c>
      <c r="B6876" s="2">
        <f>HYPERLINK("https://edmondsonsupply.com/products/malco-tools-bhe12-12-inch-impact-grade-quick-change-extension-bit", "https://edmondsonsupply.com/products/malco-tools-bhe12-12-inch-impact-grade-quick-change-extension-bit")</f>
        <v/>
      </c>
      <c r="C6876" t="inlineStr">
        <is>
          <t>Malco Tools BHE12 12-Inch Impact Grade Quick-Change Extension Bit</t>
        </is>
      </c>
      <c r="D6876" t="inlineStr">
        <is>
          <t>Malco BHE12 Impact Grade Quick-Change Extension Bits, 12" Length (1per Pack)</t>
        </is>
      </c>
      <c r="E6876" s="2">
        <f>HYPERLINK("https://www.amazon.com/Malco-BHE12-Bit-Holder-Extension/dp/B07BGKJPVK/ref=sr_1_1?keywords=Malco+Tools+BHE12+12-Inch+Impact+Grade+Quick-Change+Extension+Bit&amp;qid=1694735355&amp;sr=8-1", "https://www.amazon.com/Malco-BHE12-Bit-Holder-Extension/dp/B07BGKJPVK/ref=sr_1_1?keywords=Malco+Tools+BHE12+12-Inch+Impact+Grade+Quick-Change+Extension+Bit&amp;qid=1694735355&amp;sr=8-1")</f>
        <v/>
      </c>
      <c r="F6876" t="inlineStr">
        <is>
          <t>B07BGKJPVK</t>
        </is>
      </c>
      <c r="G6876">
        <f>_xludf.IMAGE("https://edmondsonsupply.com/cdn/shop/products/BHE12-catalog.jpg?v=1587147484")</f>
        <v/>
      </c>
      <c r="H6876">
        <f>_xludf.IMAGE("https://m.media-amazon.com/images/I/41MG9m6jI+L._AC_UL320_.jpg")</f>
        <v/>
      </c>
      <c r="K6876" t="inlineStr">
        <is>
          <t>18.99</t>
        </is>
      </c>
      <c r="L6876" t="n">
        <v>15</v>
      </c>
      <c r="M6876" s="1" t="inlineStr">
        <is>
          <t>-21.01%</t>
        </is>
      </c>
      <c r="N6876" s="1" t="n"/>
      <c r="O6876" t="n">
        <v>4.4</v>
      </c>
      <c r="P6876" t="n">
        <v>58</v>
      </c>
      <c r="R6876" t="inlineStr">
        <is>
          <t>InStock</t>
        </is>
      </c>
      <c r="S6876" t="inlineStr">
        <is>
          <t>19.23</t>
        </is>
      </c>
      <c r="T6876" t="inlineStr">
        <is>
          <t>4455425966180</t>
        </is>
      </c>
    </row>
    <row r="6877" hidden="1" ht="15.75" customHeight="1">
      <c r="A6877" s="2">
        <f>HYPERLINK("https://edmondsonsupply.com/collections/electricians-tools/products/fluke-325-true-rms-clamp-meter", "https://edmondsonsupply.com/collections/electricians-tools/products/fluke-325-true-rms-clamp-meter")</f>
        <v/>
      </c>
      <c r="B6877" s="2">
        <f>HYPERLINK("https://edmondsonsupply.com/products/fluke-325-true-rms-clamp-meter", "https://edmondsonsupply.com/products/fluke-325-true-rms-clamp-meter")</f>
        <v/>
      </c>
      <c r="C6877" t="inlineStr">
        <is>
          <t>Fluke 325 True RMS Clamp Meter</t>
        </is>
      </c>
      <c r="D6877" t="inlineStr">
        <is>
          <t>Fluke 375 True-RMS AC/DC Clamp Meter</t>
        </is>
      </c>
      <c r="E6877" s="2">
        <f>HYPERLINK("https://www.amazon.com/Fluke-375-True-RMS-Clamp-Meter/dp/B004E1X5OE/ref=sr_1_18?keywords=Fluke+325+True+RMS+Clamp+Meter&amp;qid=1694735185&amp;sr=8-18", "https://www.amazon.com/Fluke-375-True-RMS-Clamp-Meter/dp/B004E1X5OE/ref=sr_1_18?keywords=Fluke+325+True+RMS+Clamp+Meter&amp;qid=1694735185&amp;sr=8-18")</f>
        <v/>
      </c>
      <c r="F6877" t="inlineStr">
        <is>
          <t>B004E1X5OE</t>
        </is>
      </c>
      <c r="G6877">
        <f>_xludf.IMAGE("https://edmondsonsupply.com/cdn/shop/products/Fluke_325_clamp_meter_1280x873px_E_NR-14655.jpg?v=1688679209")</f>
        <v/>
      </c>
      <c r="H6877">
        <f>_xludf.IMAGE("https://m.media-amazon.com/images/I/519GBt6jjIL._AC_UY218_.jpg")</f>
        <v/>
      </c>
      <c r="K6877" t="inlineStr">
        <is>
          <t>373.49</t>
        </is>
      </c>
      <c r="L6877" t="n">
        <v>295</v>
      </c>
      <c r="M6877" s="1" t="inlineStr">
        <is>
          <t>-21.02%</t>
        </is>
      </c>
      <c r="N6877" s="1" t="n"/>
      <c r="O6877" t="n">
        <v>4</v>
      </c>
      <c r="P6877" t="n">
        <v>64</v>
      </c>
      <c r="R6877" t="inlineStr">
        <is>
          <t>InStock</t>
        </is>
      </c>
      <c r="S6877" t="inlineStr">
        <is>
          <t>414.99</t>
        </is>
      </c>
      <c r="T6877" t="inlineStr">
        <is>
          <t>6917985468589</t>
        </is>
      </c>
    </row>
    <row r="6878" hidden="1" ht="15.75" customHeight="1">
      <c r="A6878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6878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6878" t="inlineStr">
        <is>
          <t>Klein Tools 635-1/4 1/4-Inch Nut Driver, Magnetic Tip, 4-Inch Shaft</t>
        </is>
      </c>
      <c r="D6878" t="inlineStr">
        <is>
          <t>Klein Tools 630-1/4M Nut Driver, 1/4-Inch Magnetic Tip Nut Driver with 3-Inch Hollow Shaft, Cushion Grip Handle</t>
        </is>
      </c>
      <c r="E6878" s="2">
        <f>HYPERLINK("https://www.amazon.com/Magnetic-Klein-Tools-630-1-4M/dp/B00093GE6M/ref=sr_1_5?keywords=Klein+Tools+635-1%2F4+1%2F4-Inch+Nut+Driver%2C+Magnetic+Tip%2C+4-Inch+Shaft&amp;qid=1694735101&amp;sr=8-5", "https://www.amazon.com/Magnetic-Klein-Tools-630-1-4M/dp/B00093GE6M/ref=sr_1_5?keywords=Klein+Tools+635-1%2F4+1%2F4-Inch+Nut+Driver%2C+Magnetic+Tip%2C+4-Inch+Shaft&amp;qid=1694735101&amp;sr=8-5")</f>
        <v/>
      </c>
      <c r="F6878" t="inlineStr">
        <is>
          <t>B00093GE6M</t>
        </is>
      </c>
      <c r="G6878">
        <f>_xludf.IMAGE("https://edmondsonsupply.com/cdn/shop/products/635-1-4.jpg?v=1666811523")</f>
        <v/>
      </c>
      <c r="H6878">
        <f>_xludf.IMAGE("https://m.media-amazon.com/images/I/51TXA1qvEdL._AC_UL320_.jpg")</f>
        <v/>
      </c>
      <c r="K6878" t="inlineStr">
        <is>
          <t>11.99</t>
        </is>
      </c>
      <c r="L6878" t="n">
        <v>9.449999999999999</v>
      </c>
      <c r="M6878" s="1" t="inlineStr">
        <is>
          <t>-21.18%</t>
        </is>
      </c>
      <c r="N6878" s="1" t="n"/>
      <c r="O6878" t="n">
        <v>4.7</v>
      </c>
      <c r="P6878" t="n">
        <v>1571</v>
      </c>
      <c r="R6878" t="inlineStr">
        <is>
          <t>InStock</t>
        </is>
      </c>
      <c r="S6878" t="inlineStr">
        <is>
          <t>18.18</t>
        </is>
      </c>
      <c r="T6878" t="inlineStr">
        <is>
          <t>7866294010072</t>
        </is>
      </c>
    </row>
    <row r="6879" hidden="1" ht="15.75" customHeight="1">
      <c r="A6879" s="2">
        <f>HYPERLINK("https://edmondsonsupply.com/collections/electricians-tools/products/klein-tools-ncvt1pkit-non-contact-voltage-and-gfci-receptacle-test-kit", "https://edmondsonsupply.com/collections/electricians-tools/products/klein-tools-ncvt1pkit-non-contact-voltage-and-gfci-receptacle-test-kit")</f>
        <v/>
      </c>
      <c r="B6879" s="2">
        <f>HYPERLINK("https://edmondsonsupply.com/products/klein-tools-ncvt1pkit-non-contact-voltage-and-gfci-receptacle-test-kit", "https://edmondsonsupply.com/products/klein-tools-ncvt1pkit-non-contact-voltage-and-gfci-receptacle-test-kit")</f>
        <v/>
      </c>
      <c r="C6879" t="inlineStr">
        <is>
          <t>Klein Tools NCVT1PKIT Non-Contact Voltage and GFCI Receptacle Test Kit</t>
        </is>
      </c>
      <c r="D6879" t="inlineStr">
        <is>
          <t>CaseSack case for Outlet Repair Tool Kit, 3-Piece Klein Tools 80041- GFCI Receptacle Tester, Voltage Tester and Wire Stripper, Also for KAIWEETS Dual Check 2-in-1 Voltage Tester &amp; Outlet/ GFCI Tester</t>
        </is>
      </c>
      <c r="E6879" s="2">
        <f>HYPERLINK("https://www.amazon.com/CaseSack-3-Piece-Receptacle-Stripper-KAIWEETS/dp/B09HZBTZ65/ref=sr_1_16?keywords=Klein+Tools+NCVT1PKIT+Non-Contact+Voltage+and+GFCI+Receptacle+Test+Kit&amp;qid=1694735031&amp;sr=8-16", "https://www.amazon.com/CaseSack-3-Piece-Receptacle-Stripper-KAIWEETS/dp/B09HZBTZ65/ref=sr_1_16?keywords=Klein+Tools+NCVT1PKIT+Non-Contact+Voltage+and+GFCI+Receptacle+Test+Kit&amp;qid=1694735031&amp;sr=8-16")</f>
        <v/>
      </c>
      <c r="F6879" t="inlineStr">
        <is>
          <t>B09HZBTZ65</t>
        </is>
      </c>
      <c r="G6879">
        <f>_xludf.IMAGE("https://edmondsonsupply.com/cdn/shop/products/ncvt1pkit.jpg?v=1677682920")</f>
        <v/>
      </c>
      <c r="H6879">
        <f>_xludf.IMAGE("https://m.media-amazon.com/images/I/916t3UXtohL._AC_UL320_.jpg")</f>
        <v/>
      </c>
      <c r="K6879" t="inlineStr">
        <is>
          <t>24.97</t>
        </is>
      </c>
      <c r="L6879" t="n">
        <v>19.68</v>
      </c>
      <c r="M6879" s="1" t="inlineStr">
        <is>
          <t>-21.19%</t>
        </is>
      </c>
      <c r="N6879" s="1" t="n"/>
      <c r="O6879" t="n">
        <v>2.6</v>
      </c>
      <c r="P6879" t="n">
        <v>6</v>
      </c>
      <c r="R6879" t="inlineStr">
        <is>
          <t>InStock</t>
        </is>
      </c>
      <c r="S6879" t="inlineStr">
        <is>
          <t>35.38</t>
        </is>
      </c>
      <c r="T6879" t="inlineStr">
        <is>
          <t>7953960698072</t>
        </is>
      </c>
    </row>
    <row r="6880" ht="87" customHeight="1">
      <c r="A6880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6880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6880" t="inlineStr">
        <is>
          <t>Diablo Tools DMAMX1050 9/16 in. x 8 in. x 13 in. Rebar Demon™ SDS-Max 4-Cutter Full Carbide Head Hammer Drill Bit</t>
        </is>
      </c>
      <c r="D6880" t="inlineStr">
        <is>
          <t>Diablo by Freud DMAPL4200 1/2 in. x 16 in. x 18 in. Rebar Demon SDS-Plus 4-Cutter Full Carbide Head Hammer Bit</t>
        </is>
      </c>
      <c r="E6880" s="2">
        <f>HYPERLINK("https://www.amazon.com/Diablo-Freud-DMAPL4200-SDS-Plus-4-Cutter/dp/B089KW2QV1/ref=sr_1_30?keywords=Diablo+Tools+DMAMX1050+9%2F16+in.+x+8+in.+x+13+in.+Rebar+Demon%E2%84%A2+SDS-Max+4-Cutter+Full+Carbide+Head+Hammer+Drill+Bit&amp;qid=1694735208&amp;sr=8-30", "https://www.amazon.com/Diablo-Freud-DMAPL4200-SDS-Plus-4-Cutter/dp/B089KW2QV1/ref=sr_1_30?keywords=Diablo+Tools+DMAMX1050+9%2F16+in.+x+8+in.+x+13+in.+Rebar+Demon%E2%84%A2+SDS-Max+4-Cutter+Full+Carbide+Head+Hammer+Drill+Bit&amp;qid=1694735208&amp;sr=8-30")</f>
        <v/>
      </c>
      <c r="F6880" t="inlineStr">
        <is>
          <t>B089KW2QV1</t>
        </is>
      </c>
      <c r="G6880">
        <f>_xlfn.IMAGE("https://edmondsonsupply.com/cdn/shop/products/DMAMX1050_Main-Image20200701.png?v=1633031097")</f>
        <v/>
      </c>
      <c r="H6880">
        <f>_xlfn.IMAGE("https://m.media-amazon.com/images/I/61rW+ROVmNL._AC_UL320_.jpg")</f>
        <v/>
      </c>
      <c r="K6880" t="inlineStr">
        <is>
          <t>29.19</t>
        </is>
      </c>
      <c r="L6880" t="n">
        <v>23</v>
      </c>
      <c r="M6880" s="1" t="inlineStr">
        <is>
          <t>-21.21%</t>
        </is>
      </c>
      <c r="N6880" s="7" t="n"/>
      <c r="O6880" t="n">
        <v>4.7</v>
      </c>
      <c r="P6880" t="n">
        <v>18</v>
      </c>
      <c r="R6880" t="inlineStr">
        <is>
          <t>InStock</t>
        </is>
      </c>
      <c r="S6880" t="inlineStr">
        <is>
          <t>46.05</t>
        </is>
      </c>
      <c r="T6880" t="inlineStr">
        <is>
          <t>6842367738029</t>
        </is>
      </c>
    </row>
    <row r="6881" ht="87" customHeight="1">
      <c r="A6881" s="2">
        <f>HYPERLINK("https://edmondsonsupply.com/collections/electricians-tools/products/milwaukee-2744-21", "https://edmondsonsupply.com/collections/electricians-tools/products/milwaukee-2744-21")</f>
        <v/>
      </c>
      <c r="B6881" s="2">
        <f>HYPERLINK("https://edmondsonsupply.com/products/milwaukee-2744-21", "https://edmondsonsupply.com/products/milwaukee-2744-21")</f>
        <v/>
      </c>
      <c r="C6881" t="inlineStr">
        <is>
          <t>Milwaukee 2744-21 M18 FUEL™ 21 Degree Framing Nailer Kit</t>
        </is>
      </c>
      <c r="D6881" t="inlineStr">
        <is>
          <t>LMParts mMilwaukee 2744-20 M18 fuell 21-Degree Framing Nailer (Tool Only) New 274420, 274420 (One Pack)</t>
        </is>
      </c>
      <c r="E6881" s="2">
        <f>HYPERLINK("https://www.amazon.com/LMParts-mMilwaukee-2744-20-21-Degree-Framing/dp/B09MC9RWK3/ref=sr_1_4?keywords=Milwaukee+2744-21+M18+FUEL%E2%84%A2+21+Degree+Framing+Nailer+Kit&amp;qid=1694735107&amp;sr=8-4", "https://www.amazon.com/LMParts-mMilwaukee-2744-20-21-Degree-Framing/dp/B09MC9RWK3/ref=sr_1_4?keywords=Milwaukee+2744-21+M18+FUEL%E2%84%A2+21+Degree+Framing+Nailer+Kit&amp;qid=1694735107&amp;sr=8-4")</f>
        <v/>
      </c>
      <c r="F6881" t="inlineStr">
        <is>
          <t>B09MC9RWK3</t>
        </is>
      </c>
      <c r="G6881">
        <f>_xlfn.IMAGE("https://edmondsonsupply.com/cdn/shop/products/2744-21_1.webp?v=1664901456")</f>
        <v/>
      </c>
      <c r="H6881">
        <f>_xlfn.IMAGE("https://m.media-amazon.com/images/I/41B9q5GCKVL._AC_UL320_.jpg")</f>
        <v/>
      </c>
      <c r="K6881" t="inlineStr">
        <is>
          <t>479.0</t>
        </is>
      </c>
      <c r="L6881" t="n">
        <v>377.17</v>
      </c>
      <c r="M6881" s="1" t="inlineStr">
        <is>
          <t>-21.26%</t>
        </is>
      </c>
      <c r="N6881" s="7" t="n"/>
      <c r="O6881" t="n">
        <v>4.7</v>
      </c>
      <c r="P6881" t="n">
        <v>25</v>
      </c>
      <c r="R6881" t="inlineStr">
        <is>
          <t>OutOfStock</t>
        </is>
      </c>
      <c r="S6881" t="inlineStr">
        <is>
          <t>843.0</t>
        </is>
      </c>
      <c r="T6881" t="inlineStr">
        <is>
          <t>7839544672472</t>
        </is>
      </c>
    </row>
    <row r="6882" hidden="1" ht="15.75" customHeight="1">
      <c r="A6882" s="2">
        <f>HYPERLINK("https://edmondsonsupply.com/collections/electricians-tools/products/klein-tools-608-6-1-8-inch-cabinet-tip-mini-screwdriver-6-inch", "https://edmondsonsupply.com/collections/electricians-tools/products/klein-tools-608-6-1-8-inch-cabinet-tip-mini-screwdriver-6-inch")</f>
        <v/>
      </c>
      <c r="B6882" s="2">
        <f>HYPERLINK("https://edmondsonsupply.com/products/klein-tools-608-6-1-8-inch-cabinet-tip-mini-screwdriver-6-inch", "https://edmondsonsupply.com/products/klein-tools-608-6-1-8-inch-cabinet-tip-mini-screwdriver-6-inch")</f>
        <v/>
      </c>
      <c r="C6882" t="inlineStr">
        <is>
          <t>Klein Tools 608-6 1/8-Inch Cabinet Tip Mini Screwdriver, 6-Inch</t>
        </is>
      </c>
      <c r="D6882" t="inlineStr">
        <is>
          <t>Klein Tools A216-4 1/8-Inch Cabinet-Tip Flat Head Screwdriver with 4-Inch Round Shank and Comfordome Handle</t>
        </is>
      </c>
      <c r="E6882" s="2">
        <f>HYPERLINK("https://www.amazon.com/Cabinet-Tip-Screwdriver-Klein-Tools-A216-4/dp/B00093GC28/ref=sr_1_11?keywords=Klein+Tools+608-6+1%2F8-Inch+Cabinet+Tip+Mini+Screwdriver%2C+6-Inch&amp;qid=1694735278&amp;sr=8-11", "https://www.amazon.com/Cabinet-Tip-Screwdriver-Klein-Tools-A216-4/dp/B00093GC28/ref=sr_1_11?keywords=Klein+Tools+608-6+1%2F8-Inch+Cabinet+Tip+Mini+Screwdriver%2C+6-Inch&amp;qid=1694735278&amp;sr=8-11")</f>
        <v/>
      </c>
      <c r="F6882" t="inlineStr">
        <is>
          <t>B00093GC28</t>
        </is>
      </c>
      <c r="G6882">
        <f>_xludf.IMAGE("https://edmondsonsupply.com/cdn/shop/products/608-6.jpg?v=1633030486")</f>
        <v/>
      </c>
      <c r="H6882">
        <f>_xludf.IMAGE("https://m.media-amazon.com/images/I/414kKbGezfL._AC_UL320_.jpg")</f>
        <v/>
      </c>
      <c r="K6882" t="inlineStr">
        <is>
          <t>7.99</t>
        </is>
      </c>
      <c r="L6882" t="n">
        <v>6.29</v>
      </c>
      <c r="M6882" s="1" t="inlineStr">
        <is>
          <t>-21.28%</t>
        </is>
      </c>
      <c r="N6882" s="1" t="n"/>
      <c r="O6882" t="n">
        <v>4.7</v>
      </c>
      <c r="P6882" t="n">
        <v>172</v>
      </c>
      <c r="R6882" t="inlineStr">
        <is>
          <t>InStock</t>
        </is>
      </c>
      <c r="S6882" t="inlineStr">
        <is>
          <t>12.1</t>
        </is>
      </c>
      <c r="T6882" t="inlineStr">
        <is>
          <t>5371087683752</t>
        </is>
      </c>
    </row>
    <row r="6883" ht="87" customHeight="1">
      <c r="A6883" s="2">
        <f>HYPERLINK("https://edmondsonsupply.com/collections/electricians-tools/products/diablo-tools-dmans1070-s4-4-pc-tile-stone-carbide-tipped-drill-bit-set", "https://edmondsonsupply.com/collections/electricians-tools/products/diablo-tools-dmans1070-s4-4-pc-tile-stone-carbide-tipped-drill-bit-set")</f>
        <v/>
      </c>
      <c r="B6883" s="2">
        <f>HYPERLINK("https://edmondsonsupply.com/products/diablo-tools-dmans1070-s4-4-pc-tile-stone-carbide-tipped-drill-bit-set", "https://edmondsonsupply.com/products/diablo-tools-dmans1070-s4-4-pc-tile-stone-carbide-tipped-drill-bit-set")</f>
        <v/>
      </c>
      <c r="C6883" t="inlineStr">
        <is>
          <t>Diablo Tools DMANS1070-S4 4 pc Tile &amp; Stone Carbide Tipped Drill Bit Set</t>
        </is>
      </c>
      <c r="D6883" t="inlineStr">
        <is>
          <t>Diablo 4 pc Tile &amp; Stone Carbide Tipped Drill Bit Set (4-Piece)</t>
        </is>
      </c>
      <c r="E6883" s="2">
        <f>HYPERLINK("https://www.amazon.com/Diablo-DMANS1070-S4-Carbide-Tipped-4-Piece/dp/B089LCNL5P/ref=sr_1_1?keywords=Diablo+Tools+DMANS1070-S4+4+pc+Tile&amp;qid=1694735292&amp;sr=8-1", "https://www.amazon.com/Diablo-DMANS1070-S4-Carbide-Tipped-4-Piece/dp/B089LCNL5P/ref=sr_1_1?keywords=Diablo+Tools+DMANS1070-S4+4+pc+Tile&amp;qid=1694735292&amp;sr=8-1")</f>
        <v/>
      </c>
      <c r="F6883" t="inlineStr">
        <is>
          <t>B089LCNL5P</t>
        </is>
      </c>
      <c r="G6883">
        <f>_xlfn.IMAGE("https://edmondsonsupply.com/cdn/shop/products/DMANS1070-S4_Main-Image20200513.png?v=1633030414")</f>
        <v/>
      </c>
      <c r="H6883">
        <f>_xlfn.IMAGE("https://m.media-amazon.com/images/I/61iijfDoeDL._AC_UL320_.jpg")</f>
        <v/>
      </c>
      <c r="K6883" t="inlineStr">
        <is>
          <t>19.97</t>
        </is>
      </c>
      <c r="L6883" t="n">
        <v>15.7</v>
      </c>
      <c r="M6883" s="1" t="inlineStr">
        <is>
          <t>-21.38%</t>
        </is>
      </c>
      <c r="N6883" s="7" t="n"/>
      <c r="O6883" t="n">
        <v>4.2</v>
      </c>
      <c r="P6883" t="n">
        <v>9</v>
      </c>
      <c r="R6883" t="inlineStr">
        <is>
          <t>InStock</t>
        </is>
      </c>
      <c r="S6883" t="inlineStr">
        <is>
          <t>21.05</t>
        </is>
      </c>
      <c r="T6883" t="inlineStr">
        <is>
          <t>5312338198696</t>
        </is>
      </c>
    </row>
    <row r="6884" hidden="1" ht="15.75" customHeight="1">
      <c r="A6884" s="2">
        <f>HYPERLINK("https://edmondsonsupply.com/collections/electricians-tools/products/diablo-tools-dmarg1170-5-8-in-x-4-in-x-6-in-speedemon%E2%84%A2-red-granite-carbide-tipped-hammer-drill-bit", "https://edmondsonsupply.com/collections/electricians-tools/products/diablo-tools-dmarg1170-5-8-in-x-4-in-x-6-in-speedemon%E2%84%A2-red-granite-carbide-tipped-hammer-drill-bit")</f>
        <v/>
      </c>
      <c r="B6884" s="2">
        <f>HYPERLINK("https://edmondsonsupply.com/products/diablo-tools-dmarg1170-5-8-in-x-4-in-x-6-in-speedemon%e2%84%a2-red-granite-carbide-tipped-hammer-drill-bit", "https://edmondsonsupply.com/products/diablo-tools-dmarg1170-5-8-in-x-4-in-x-6-in-speedemon%e2%84%a2-red-granite-carbide-tipped-hammer-drill-bit")</f>
        <v/>
      </c>
      <c r="C6884" t="inlineStr">
        <is>
          <t>Diablo Tools DMARG1170 5/8 in. x 4 in. x 6 in. SPEEDemon™ Red Granite Carbide Tipped Hammer Drill Bit</t>
        </is>
      </c>
      <c r="D6884" t="inlineStr">
        <is>
          <t>Diablo by Freud DMARG1150 1/2 in. x 4 in. x 6 in. SPEEDemon Red Granite Carbide Tipped Hammer Drill Bit</t>
        </is>
      </c>
      <c r="E6884" s="2">
        <f>HYPERLINK("https://www.amazon.com/Diablo-Freud-DMARG1150-SPEEDemon-Granite/dp/B089LKXD71/ref=sr_1_1?keywords=Diablo+Tools+DMARG1170+5%2F8+in.+x+4+in.+x+6+in.+SPEEDemon%E2%84%A2+Red+Granite+Carbide+Tipped+Hammer+Drill+Bit&amp;qid=1694735259&amp;sr=8-1", "https://www.amazon.com/Diablo-Freud-DMARG1150-SPEEDemon-Granite/dp/B089LKXD71/ref=sr_1_1?keywords=Diablo+Tools+DMARG1170+5%2F8+in.+x+4+in.+x+6+in.+SPEEDemon%E2%84%A2+Red+Granite+Carbide+Tipped+Hammer+Drill+Bit&amp;qid=1694735259&amp;sr=8-1")</f>
        <v/>
      </c>
      <c r="F6884" t="inlineStr">
        <is>
          <t>B089LKXD71</t>
        </is>
      </c>
      <c r="G6884">
        <f>_xludf.IMAGE("https://edmondsonsupply.com/cdn/shop/products/DMARG1170_Main-Image20200702.png?v=1633030651")</f>
        <v/>
      </c>
      <c r="H6884">
        <f>_xludf.IMAGE("https://m.media-amazon.com/images/I/61Irr3Gr9YL._AC_UL320_.jpg")</f>
        <v/>
      </c>
      <c r="K6884" t="inlineStr">
        <is>
          <t>12.97</t>
        </is>
      </c>
      <c r="L6884" t="n">
        <v>10.19</v>
      </c>
      <c r="M6884" s="1" t="inlineStr">
        <is>
          <t>-21.43%</t>
        </is>
      </c>
      <c r="N6884" s="1" t="n"/>
      <c r="O6884" t="n">
        <v>4.3</v>
      </c>
      <c r="P6884" t="n">
        <v>19</v>
      </c>
      <c r="R6884" t="inlineStr">
        <is>
          <t>InStock</t>
        </is>
      </c>
      <c r="S6884" t="inlineStr">
        <is>
          <t>undefined</t>
        </is>
      </c>
      <c r="T6884" t="inlineStr">
        <is>
          <t>5740431704232</t>
        </is>
      </c>
    </row>
    <row r="6885" hidden="1" ht="15.75" customHeight="1">
      <c r="A6885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6885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6885" t="inlineStr">
        <is>
          <t>Diablo Tools DOU125BF 1-1/4 in. Universal Fit Bi-Metal Oscillating Blade for Metal</t>
        </is>
      </c>
      <c r="D6885" t="inlineStr">
        <is>
          <t>Diablo by Freud DOU125CGP 1-1/4 in. Universal Fit Carbide Oscillating Blade for General Purpose Cuts</t>
        </is>
      </c>
      <c r="E6885" s="2">
        <f>HYPERLINK("https://www.amazon.com/Diablo-Freud-DOU125CGP-Universal-Oscillating/dp/B089LGJV4X/ref=sr_1_14?keywords=Diablo+Tools+DOU125BF+1-1%2F4+in.+Universal+Fit+Bi-Metal+Oscillating+Blade+for+Metal&amp;qid=1694734995&amp;sr=8-14", "https://www.amazon.com/Diablo-Freud-DOU125CGP-Universal-Oscillating/dp/B089LGJV4X/ref=sr_1_14?keywords=Diablo+Tools+DOU125BF+1-1%2F4+in.+Universal+Fit+Bi-Metal+Oscillating+Blade+for+Metal&amp;qid=1694734995&amp;sr=8-14")</f>
        <v/>
      </c>
      <c r="F6885" t="inlineStr">
        <is>
          <t>B089LGJV4X</t>
        </is>
      </c>
      <c r="G6885">
        <f>_xludf.IMAGE("https://edmondsonsupply.com/cdn/shop/files/k1d1qiwmm4npznsdbwtg.webp?v=1685467858")</f>
        <v/>
      </c>
      <c r="H6885">
        <f>_xludf.IMAGE("https://m.media-amazon.com/images/I/71lNEMXVnHL._AC_UL320_.jpg")</f>
        <v/>
      </c>
      <c r="K6885" t="inlineStr">
        <is>
          <t>18.97</t>
        </is>
      </c>
      <c r="L6885" t="n">
        <v>14.9</v>
      </c>
      <c r="M6885" s="1" t="inlineStr">
        <is>
          <t>-21.45%</t>
        </is>
      </c>
      <c r="N6885" s="1" t="n"/>
      <c r="O6885" t="n">
        <v>4.6</v>
      </c>
      <c r="P6885" t="n">
        <v>38</v>
      </c>
      <c r="R6885" t="inlineStr">
        <is>
          <t>InStock</t>
        </is>
      </c>
      <c r="S6885" t="inlineStr">
        <is>
          <t>22.35</t>
        </is>
      </c>
      <c r="T6885" t="inlineStr">
        <is>
          <t>7997877584088</t>
        </is>
      </c>
    </row>
    <row r="6886" hidden="1" ht="15.75" customHeight="1">
      <c r="A6886" s="2">
        <f>HYPERLINK("https://edmondsonsupply.com/collections/electricians-tools/products/diablo-tools-dmapl2170-1-4-in-x-16-in-x-18-in-sds-plus-2-cutter", "https://edmondsonsupply.com/collections/electricians-tools/products/diablo-tools-dmapl2170-1-4-in-x-16-in-x-18-in-sds-plus-2-cutter")</f>
        <v/>
      </c>
      <c r="B6886" s="2">
        <f>HYPERLINK("https://edmondsonsupply.com/products/diablo-tools-dmapl2170-1-4-in-x-16-in-x-18-in-sds-plus-2-cutter", "https://edmondsonsupply.com/products/diablo-tools-dmapl2170-1-4-in-x-16-in-x-18-in-sds-plus-2-cutter")</f>
        <v/>
      </c>
      <c r="C6886" t="inlineStr">
        <is>
          <t>Diablo Tools DMAPL2170 1/4 in. x 16 in. x 18 in. SDS‑Plus 2‑Cutter</t>
        </is>
      </c>
      <c r="D6886" t="inlineStr">
        <is>
          <t>Diablo 1/4 in. x 16 in. x 18 in. SDS-Plus 2-Cutter</t>
        </is>
      </c>
      <c r="E6886" s="2">
        <f>HYPERLINK("https://www.amazon.com/Diablo-DMAPL2170-16-SDS-Plus-2-Cutter/dp/B089LGDL7F/ref=sr_1_1?keywords=Diablo+Tools+DMAPL2170+1%2F4+in.+x+16+in.+x+18+in.+SDS%E2%80%91Plus+2%E2%80%91Cutter&amp;qid=1694735277&amp;sr=8-1", "https://www.amazon.com/Diablo-DMAPL2170-16-SDS-Plus-2-Cutter/dp/B089LGDL7F/ref=sr_1_1?keywords=Diablo+Tools+DMAPL2170+1%2F4+in.+x+16+in.+x+18+in.+SDS%E2%80%91Plus+2%E2%80%91Cutter&amp;qid=1694735277&amp;sr=8-1")</f>
        <v/>
      </c>
      <c r="F6886" t="inlineStr">
        <is>
          <t>B089LGDL7F</t>
        </is>
      </c>
      <c r="G6886">
        <f>_xludf.IMAGE("https://edmondsonsupply.com/cdn/shop/products/DMAPL2170_Additional-Images_0120200331.png?v=1633030520")</f>
        <v/>
      </c>
      <c r="H6886">
        <f>_xludf.IMAGE("https://m.media-amazon.com/images/I/61cUBcEwKHL._AC_UL320_.jpg")</f>
        <v/>
      </c>
      <c r="K6886" t="inlineStr">
        <is>
          <t>13.97</t>
        </is>
      </c>
      <c r="L6886" t="n">
        <v>10.94</v>
      </c>
      <c r="M6886" s="1" t="inlineStr">
        <is>
          <t>-21.69%</t>
        </is>
      </c>
      <c r="N6886" s="1" t="n"/>
      <c r="O6886" t="n">
        <v>4.7</v>
      </c>
      <c r="P6886" t="n">
        <v>15</v>
      </c>
      <c r="R6886" t="inlineStr">
        <is>
          <t>InStock</t>
        </is>
      </c>
      <c r="S6886" t="inlineStr">
        <is>
          <t>17.16</t>
        </is>
      </c>
      <c r="T6886" t="inlineStr">
        <is>
          <t>5399692214440</t>
        </is>
      </c>
    </row>
    <row r="6887" ht="87" customHeight="1">
      <c r="A6887" s="2">
        <f>HYPERLINK("https://edmondsonsupply.com/collections/electricians-tools/products/klein-tools-d504-12-classic-klaw%E2%84%A2-pump-pliers-12-inch", "https://edmondsonsupply.com/collections/electricians-tools/products/klein-tools-d504-12-classic-klaw%E2%84%A2-pump-pliers-12-inch")</f>
        <v/>
      </c>
      <c r="B6887" s="2">
        <f>HYPERLINK("https://edmondsonsupply.com/products/klein-tools-d504-12-classic-klaw%e2%84%a2-pump-pliers-12-inch", "https://edmondsonsupply.com/products/klein-tools-d504-12-classic-klaw%e2%84%a2-pump-pliers-12-inch")</f>
        <v/>
      </c>
      <c r="C6887" t="inlineStr">
        <is>
          <t>Klein Tools D504-12 Classic Klaw™ Pump Pliers, 12-Inch</t>
        </is>
      </c>
      <c r="D6887" t="inlineStr">
        <is>
          <t>Klein Tools D502-12 Pump Pliers, Dipped 12-Inch Tongue and Groove, Yellow</t>
        </is>
      </c>
      <c r="E6887" s="2">
        <f>HYPERLINK("https://www.amazon.com/Pliers-12-Inch-Klein-Tools-D502-12/dp/B000ODU0N0/ref=sr_1_3?keywords=Klein+Tools+D504-12+Classic+Klaw%E2%84%A2+Pump+Pliers%2C+12-Inch&amp;qid=1694735350&amp;sr=8-3", "https://www.amazon.com/Pliers-12-Inch-Klein-Tools-D502-12/dp/B000ODU0N0/ref=sr_1_3?keywords=Klein+Tools+D504-12+Classic+Klaw%E2%84%A2+Pump+Pliers%2C+12-Inch&amp;qid=1694735350&amp;sr=8-3")</f>
        <v/>
      </c>
      <c r="F6887" t="inlineStr">
        <is>
          <t>B000ODU0N0</t>
        </is>
      </c>
      <c r="G6887">
        <f>_xlfn.IMAGE("https://edmondsonsupply.com/cdn/shop/products/d504-10_c0bbfa46-c767-4add-8961-a5c02a363d25.jpg?v=1587149190")</f>
        <v/>
      </c>
      <c r="H6887">
        <f>_xlfn.IMAGE("https://m.media-amazon.com/images/I/41h2qUlpjEL._AC_UL320_.jpg")</f>
        <v/>
      </c>
      <c r="K6887" t="inlineStr">
        <is>
          <t>44.99</t>
        </is>
      </c>
      <c r="L6887" t="n">
        <v>35.23</v>
      </c>
      <c r="M6887" s="1" t="inlineStr">
        <is>
          <t>-21.69%</t>
        </is>
      </c>
      <c r="N6887" s="7" t="n"/>
      <c r="O6887" t="n">
        <v>4.8</v>
      </c>
      <c r="P6887" t="n">
        <v>59</v>
      </c>
      <c r="R6887" t="inlineStr">
        <is>
          <t>InStock</t>
        </is>
      </c>
      <c r="S6887" t="inlineStr">
        <is>
          <t>63.14</t>
        </is>
      </c>
      <c r="T6887" t="inlineStr">
        <is>
          <t>4495463415908</t>
        </is>
      </c>
    </row>
    <row r="6888" ht="87" customHeight="1">
      <c r="A6888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6888" s="2">
        <f>HYPERLINK("https://edmondsonsupply.com/products/diablo-tools-dag3090-7-8-in-x-17-1-2-in-auger-bit", "https://edmondsonsupply.com/products/diablo-tools-dag3090-7-8-in-x-17-1-2-in-auger-bit")</f>
        <v/>
      </c>
      <c r="C6888" t="inlineStr">
        <is>
          <t>Diablo Tools DAG3090 7/8 in. x 17-1/2 in. Auger Bit</t>
        </is>
      </c>
      <c r="D6888" t="inlineStr">
        <is>
          <t>Diablo by Freud DAG1110 7/8 in. x 7-1/2 in. Auger Bit</t>
        </is>
      </c>
      <c r="E6888" s="2">
        <f>HYPERLINK("https://www.amazon.com/Diablo-Freud-DAG1110-7-1-Auger/dp/B089KWR9F4/ref=sr_1_3?keywords=Diablo+Tools+DAG3090+7%2F8+in.+x+17-1%2F2+in.+Auger+Bit&amp;qid=1694735031&amp;sr=8-3", "https://www.amazon.com/Diablo-Freud-DAG1110-7-1-Auger/dp/B089KWR9F4/ref=sr_1_3?keywords=Diablo+Tools+DAG3090+7%2F8+in.+x+17-1%2F2+in.+Auger+Bit&amp;qid=1694735031&amp;sr=8-3")</f>
        <v/>
      </c>
      <c r="F6888" t="inlineStr">
        <is>
          <t>B089KWR9F4</t>
        </is>
      </c>
      <c r="G6888">
        <f>_xlfn.IMAGE("https://edmondsonsupply.com/cdn/shop/products/aorgtpkivjubhtbiiau0.webp?v=1677256849")</f>
        <v/>
      </c>
      <c r="H6888">
        <f>_xlfn.IMAGE("https://m.media-amazon.com/images/I/61FgY3Jv5eL._AC_UL320_.jpg")</f>
        <v/>
      </c>
      <c r="K6888" t="inlineStr">
        <is>
          <t>22.99</t>
        </is>
      </c>
      <c r="L6888" t="n">
        <v>18</v>
      </c>
      <c r="M6888" s="1" t="inlineStr">
        <is>
          <t>-21.71%</t>
        </is>
      </c>
      <c r="N6888" s="7" t="n"/>
      <c r="O6888" t="n">
        <v>4.8</v>
      </c>
      <c r="P6888" t="n">
        <v>48</v>
      </c>
      <c r="R6888" t="inlineStr">
        <is>
          <t>InStock</t>
        </is>
      </c>
      <c r="S6888" t="inlineStr">
        <is>
          <t>36.28</t>
        </is>
      </c>
      <c r="T6888" t="inlineStr">
        <is>
          <t>7950782136536</t>
        </is>
      </c>
    </row>
    <row r="6889" hidden="1" ht="15.75" customHeight="1">
      <c r="A6889" s="2">
        <f>HYPERLINK("https://edmondsonsupply.com/collections/electricians-tools/products/klein-tools-671-6-rapi-driv%C2%AE-screwdriver-1-4-inch-cabinet-6-inch", "https://edmondsonsupply.com/collections/electricians-tools/products/klein-tools-671-6-rapi-driv%C2%AE-screwdriver-1-4-inch-cabinet-6-inch")</f>
        <v/>
      </c>
      <c r="B6889" s="2">
        <f>HYPERLINK("https://edmondsonsupply.com/products/klein-tools-671-6-rapi-driv%c2%ae-screwdriver-1-4-inch-cabinet-6-inch", "https://edmondsonsupply.com/products/klein-tools-671-6-rapi-driv%c2%ae-screwdriver-1-4-inch-cabinet-6-inch")</f>
        <v/>
      </c>
      <c r="C6889" t="inlineStr">
        <is>
          <t>Klein Tools 671-6 Rapi-Driv® Screwdriver, 1/4-Inch Cabinet Tip, 6-Inch Shank</t>
        </is>
      </c>
      <c r="D6889" t="inlineStr">
        <is>
          <t>Klein Tools 612-4 Screwdriver, Flat Head Terminal Block Screwdriver, 1/8-Inch Cabinet Tip, 4-Inch Round Shank, TB-DIN</t>
        </is>
      </c>
      <c r="E6889" s="2">
        <f>HYPERLINK("https://www.amazon.com/Screwdriver-Terminal-Klein-Tools-612-4/dp/B0058I6VNE/ref=sr_1_9?keywords=Klein+Tools+671-6+Rapi-Driv%C2%AE+Screwdriver%2C+1%2F4-Inch+Cabinet+Tip%2C+6-Inch+Shank&amp;qid=1694735392&amp;sr=8-9", "https://www.amazon.com/Screwdriver-Terminal-Klein-Tools-612-4/dp/B0058I6VNE/ref=sr_1_9?keywords=Klein+Tools+671-6+Rapi-Driv%C2%AE+Screwdriver%2C+1%2F4-Inch+Cabinet+Tip%2C+6-Inch+Shank&amp;qid=1694735392&amp;sr=8-9")</f>
        <v/>
      </c>
      <c r="F6889" t="inlineStr">
        <is>
          <t>B0058I6VNE</t>
        </is>
      </c>
      <c r="G6889">
        <f>_xludf.IMAGE("https://edmondsonsupply.com/cdn/shop/products/670-6_66b04263-0a93-451f-ab2e-bb9a98ab1ffe.jpg?v=1633030192")</f>
        <v/>
      </c>
      <c r="H6889">
        <f>_xludf.IMAGE("https://m.media-amazon.com/images/I/51APfPlk95L._AC_UL320_.jpg")</f>
        <v/>
      </c>
      <c r="K6889" t="inlineStr">
        <is>
          <t>11.49</t>
        </is>
      </c>
      <c r="L6889" t="n">
        <v>8.970000000000001</v>
      </c>
      <c r="M6889" s="1" t="inlineStr">
        <is>
          <t>-21.93%</t>
        </is>
      </c>
      <c r="N6889" s="1" t="n"/>
      <c r="O6889" t="n">
        <v>4.8</v>
      </c>
      <c r="P6889" t="n">
        <v>1953</v>
      </c>
      <c r="R6889" t="inlineStr">
        <is>
          <t>InStock</t>
        </is>
      </c>
      <c r="S6889" t="inlineStr">
        <is>
          <t>17.42</t>
        </is>
      </c>
      <c r="T6889" t="inlineStr">
        <is>
          <t>4398971617380</t>
        </is>
      </c>
    </row>
    <row r="6890" ht="87" customHeight="1">
      <c r="A6890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6890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6890" t="inlineStr">
        <is>
          <t>Diablo Tools DMAMX1130 3/4 in. x 8 in. x 13 in. Rebar Demon™ SDS‑Max 4‑Cutter Full Carbide Head Hammer Bit</t>
        </is>
      </c>
      <c r="D6890" t="inlineStr">
        <is>
          <t>Diablo by Freud DMAMX1090 5/8 in. x 8 in. x 13 in. Rebar Demon SDS-Max 4-Cutter Full Carbide Head Hammer Bit</t>
        </is>
      </c>
      <c r="E6890" s="2">
        <f>HYPERLINK("https://www.amazon.com/Diablo-SDS-Max-4-Cutter-Carbide-Hammer/dp/B089LGB35P/ref=sr_1_5?keywords=Diablo+Tools+DMAMX1130+3%2F4+in.+x+8+in.+x+13+in.+Rebar+Demon%E2%84%A2+SDS%E2%80%91Max+4%E2%80%91Cutter+Full+Carbide+Head+Hammer+Bit&amp;qid=1694735267&amp;sr=8-5", "https://www.amazon.com/Diablo-SDS-Max-4-Cutter-Carbide-Hammer/dp/B089LGB35P/ref=sr_1_5?keywords=Diablo+Tools+DMAMX1130+3%2F4+in.+x+8+in.+x+13+in.+Rebar+Demon%E2%84%A2+SDS%E2%80%91Max+4%E2%80%91Cutter+Full+Carbide+Head+Hammer+Bit&amp;qid=1694735267&amp;sr=8-5")</f>
        <v/>
      </c>
      <c r="F6890" t="inlineStr">
        <is>
          <t>B089LGB35P</t>
        </is>
      </c>
      <c r="G6890">
        <f>_xlfn.IMAGE("https://edmondsonsupply.com/cdn/shop/products/DMAMX1130_Main-Image20200701.png?v=1633030568")</f>
        <v/>
      </c>
      <c r="H6890">
        <f>_xlfn.IMAGE("https://m.media-amazon.com/images/I/61Wr1t8FMOL._AC_UL320_.jpg")</f>
        <v/>
      </c>
      <c r="K6890" t="inlineStr">
        <is>
          <t>44.97</t>
        </is>
      </c>
      <c r="L6890" t="n">
        <v>35.1</v>
      </c>
      <c r="M6890" s="1" t="inlineStr">
        <is>
          <t>-21.95%</t>
        </is>
      </c>
      <c r="N6890" s="7" t="n"/>
      <c r="O6890" t="n">
        <v>4.2</v>
      </c>
      <c r="P6890" t="n">
        <v>5</v>
      </c>
      <c r="R6890" t="inlineStr">
        <is>
          <t>InStock</t>
        </is>
      </c>
      <c r="S6890" t="inlineStr">
        <is>
          <t>46.26</t>
        </is>
      </c>
      <c r="T6890" t="inlineStr">
        <is>
          <t>5463880925352</t>
        </is>
      </c>
    </row>
    <row r="6891" ht="87" customHeight="1">
      <c r="A6891" s="2">
        <f>HYPERLINK("https://edmondsonsupply.com/collections/electricians-tools/products/klein-tools-d2000-9necr-linemans-pliers-with-crimping-9-inch", "https://edmondsonsupply.com/collections/electricians-tools/products/klein-tools-d2000-9necr-linemans-pliers-with-crimping-9-inch")</f>
        <v/>
      </c>
      <c r="B6891" s="2">
        <f>HYPERLINK("https://edmondsonsupply.com/products/klein-tools-d2000-9necr-linemans-pliers-with-crimping-9-inch", "https://edmondsonsupply.com/products/klein-tools-d2000-9necr-linemans-pliers-with-crimping-9-inch")</f>
        <v/>
      </c>
      <c r="C6891" t="inlineStr">
        <is>
          <t>Klein Tools D2000-9NECR Lineman's Pliers with Crimping, 9-Inch</t>
        </is>
      </c>
      <c r="D6891" t="inlineStr">
        <is>
          <t>Klein Tools D2000-49 Pliers, Diagonal Cutting Pliers with Heavy-Duty Cutting Knives, Short Jaws and Dual Material Grips, 9-Inch</t>
        </is>
      </c>
      <c r="E6891" s="2">
        <f>HYPERLINK("https://www.amazon.com/Klein-Tools-D2000-49-Pliers-Diagonal-Cutters/dp/B01KKCNNWY/ref=sr_1_11?keywords=Klein+Tools+D2000-9NECR+Lineman%27s+Pliers+with+Crimping%2C+9-Inch&amp;qid=1694735295&amp;sr=8-11", "https://www.amazon.com/Klein-Tools-D2000-49-Pliers-Diagonal-Cutters/dp/B01KKCNNWY/ref=sr_1_11?keywords=Klein+Tools+D2000-9NECR+Lineman%27s+Pliers+with+Crimping%2C+9-Inch&amp;qid=1694735295&amp;sr=8-11")</f>
        <v/>
      </c>
      <c r="F6891" t="inlineStr">
        <is>
          <t>B01KKCNNWY</t>
        </is>
      </c>
      <c r="G6891">
        <f>_xlfn.IMAGE("https://edmondsonsupply.com/cdn/shop/products/d20009necr.jpg?v=1633030459")</f>
        <v/>
      </c>
      <c r="H6891">
        <f>_xlfn.IMAGE("https://m.media-amazon.com/images/I/41YARuDNT4L._AC_UL320_.jpg")</f>
        <v/>
      </c>
      <c r="K6891" t="inlineStr">
        <is>
          <t>49.99</t>
        </is>
      </c>
      <c r="L6891" t="n">
        <v>38.99</v>
      </c>
      <c r="M6891" s="1" t="inlineStr">
        <is>
          <t>-22.00%</t>
        </is>
      </c>
      <c r="N6891" s="7" t="n"/>
      <c r="O6891" t="n">
        <v>4.7</v>
      </c>
      <c r="P6891" t="n">
        <v>415</v>
      </c>
      <c r="R6891" t="inlineStr">
        <is>
          <t>InStock</t>
        </is>
      </c>
      <c r="S6891" t="inlineStr">
        <is>
          <t>75.74</t>
        </is>
      </c>
      <c r="T6891" t="inlineStr">
        <is>
          <t>5349066965160</t>
        </is>
      </c>
    </row>
    <row r="6892" hidden="1" ht="15.75" customHeight="1">
      <c r="A6892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6892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6892" t="inlineStr">
        <is>
          <t>Klein Tools 600-6 5/16-Inch Keystone Screwdriver 6-Inch SQ Shank</t>
        </is>
      </c>
      <c r="D6892" t="inlineStr">
        <is>
          <t>Ideal Industries 35-156 Heavy-Duty Slotted Keystone Tip Screwdriver, 5/16 Inch Square x 6 Inch Long Shank</t>
        </is>
      </c>
      <c r="E6892" s="2">
        <f>HYPERLINK("https://www.amazon.com/Ideal-Industries-Heavy-Duty-Keystone-Screwdriver/dp/B000ZZFGYK/ref=sr_1_3?keywords=Klein+Tools+600-6+5%2F16-Inch+Keystone+Screwdriver+6-Inch+SQ+Shank&amp;qid=1694735292&amp;sr=8-3", "https://www.amazon.com/Ideal-Industries-Heavy-Duty-Keystone-Screwdriver/dp/B000ZZFGYK/ref=sr_1_3?keywords=Klein+Tools+600-6+5%2F16-Inch+Keystone+Screwdriver+6-Inch+SQ+Shank&amp;qid=1694735292&amp;sr=8-3")</f>
        <v/>
      </c>
      <c r="F6892" t="inlineStr">
        <is>
          <t>B000ZZFGYK</t>
        </is>
      </c>
      <c r="G6892">
        <f>_xludf.IMAGE("https://edmondsonsupply.com/cdn/shop/products/600-6.jpg?v=1633030381")</f>
        <v/>
      </c>
      <c r="H6892">
        <f>_xludf.IMAGE("https://m.media-amazon.com/images/I/5164ZHZASXL._AC_UL320_.jpg")</f>
        <v/>
      </c>
      <c r="K6892" t="inlineStr">
        <is>
          <t>13.97</t>
        </is>
      </c>
      <c r="L6892" t="n">
        <v>10.88</v>
      </c>
      <c r="M6892" s="1" t="inlineStr">
        <is>
          <t>-22.12%</t>
        </is>
      </c>
      <c r="N6892" s="1" t="n"/>
      <c r="O6892" t="n">
        <v>4.3</v>
      </c>
      <c r="P6892" t="n">
        <v>16</v>
      </c>
      <c r="R6892" t="inlineStr">
        <is>
          <t>InStock</t>
        </is>
      </c>
      <c r="S6892" t="inlineStr">
        <is>
          <t>18.5</t>
        </is>
      </c>
      <c r="T6892" t="inlineStr">
        <is>
          <t>5296722542760</t>
        </is>
      </c>
    </row>
    <row r="6893" hidden="1" ht="15.75" customHeight="1">
      <c r="A6893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6893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6893" t="inlineStr">
        <is>
          <t>Klein Tools 661-4-INS Insulated Screwdriver, #1 Square Tip, 4-Inch Shank</t>
        </is>
      </c>
      <c r="D6893" t="inlineStr">
        <is>
          <t>Klein Tools 6944INS Insulated Screwdriver, 1000V Slim Profile Tip, #2 Square with 4-Inch Shank, Cushion-Grip Handle</t>
        </is>
      </c>
      <c r="E6893" s="2">
        <f>HYPERLINK("https://www.amazon.com/Klein-Tools-6944INS-Screwdriver-Cushion-Grip/dp/B09GPYTZV3/ref=sr_1_5?keywords=Klein+Tools+661-4-INS+Insulated+Screwdriver%2C+%231+Square+Tip%2C+4-Inch+Shank&amp;qid=1694735265&amp;sr=8-5", "https://www.amazon.com/Klein-Tools-6944INS-Screwdriver-Cushion-Grip/dp/B09GPYTZV3/ref=sr_1_5?keywords=Klein+Tools+661-4-INS+Insulated+Screwdriver%2C+%231+Square+Tip%2C+4-Inch+Shank&amp;qid=1694735265&amp;sr=8-5")</f>
        <v/>
      </c>
      <c r="F6893" t="inlineStr">
        <is>
          <t>B09GPYTZV3</t>
        </is>
      </c>
      <c r="G6893">
        <f>_xludf.IMAGE("https://edmondsonsupply.com/cdn/shop/products/661-4-ins.jpg?v=1633030622")</f>
        <v/>
      </c>
      <c r="H6893">
        <f>_xludf.IMAGE("https://m.media-amazon.com/images/I/41PzygwLx+L._AC_UL320_.jpg")</f>
        <v/>
      </c>
      <c r="K6893" t="inlineStr">
        <is>
          <t>17.99</t>
        </is>
      </c>
      <c r="L6893" t="n">
        <v>13.99</v>
      </c>
      <c r="M6893" s="1" t="inlineStr">
        <is>
          <t>-22.23%</t>
        </is>
      </c>
      <c r="N6893" s="1" t="n"/>
      <c r="O6893" t="n">
        <v>4.7</v>
      </c>
      <c r="P6893" t="n">
        <v>93</v>
      </c>
      <c r="R6893" t="inlineStr">
        <is>
          <t>InStock</t>
        </is>
      </c>
      <c r="S6893" t="inlineStr">
        <is>
          <t>27.24</t>
        </is>
      </c>
      <c r="T6893" t="inlineStr">
        <is>
          <t>5651594215592</t>
        </is>
      </c>
    </row>
    <row r="6894" hidden="1" ht="15.75" customHeight="1">
      <c r="A6894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6894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6894" t="inlineStr">
        <is>
          <t>Klein Tools 612-4-INS Insulated 1/8-Inch Slotted Screwdriver, 4-Inch</t>
        </is>
      </c>
      <c r="D6894" t="inlineStr">
        <is>
          <t>Klein Tools 6944INS Insulated Screwdriver, 1000V Slim Profile Tip, #2 Square with 4-Inch Shank, Cushion-Grip Handle</t>
        </is>
      </c>
      <c r="E6894" s="2">
        <f>HYPERLINK("https://www.amazon.com/Klein-Tools-6944INS-Screwdriver-Cushion-Grip/dp/B09GPYTZV3/ref=sr_1_24?keywords=Klein+Tools+612-4-INS+Insulated+1%2F8-Inch+Slotted+Screwdriver%2C+4-Inch&amp;qid=1694735335&amp;sr=8-24", "https://www.amazon.com/Klein-Tools-6944INS-Screwdriver-Cushion-Grip/dp/B09GPYTZV3/ref=sr_1_24?keywords=Klein+Tools+612-4-INS+Insulated+1%2F8-Inch+Slotted+Screwdriver%2C+4-Inch&amp;qid=1694735335&amp;sr=8-24")</f>
        <v/>
      </c>
      <c r="F6894" t="inlineStr">
        <is>
          <t>B09GPYTZV3</t>
        </is>
      </c>
      <c r="G6894">
        <f>_xludf.IMAGE("https://edmondsonsupply.com/cdn/shop/products/612-4-ins.jpg?v=1587148611")</f>
        <v/>
      </c>
      <c r="H6894">
        <f>_xludf.IMAGE("https://m.media-amazon.com/images/I/41PzygwLx+L._AC_UL320_.jpg")</f>
        <v/>
      </c>
      <c r="K6894" t="inlineStr">
        <is>
          <t>17.99</t>
        </is>
      </c>
      <c r="L6894" t="n">
        <v>13.99</v>
      </c>
      <c r="M6894" s="1" t="inlineStr">
        <is>
          <t>-22.23%</t>
        </is>
      </c>
      <c r="N6894" s="1" t="n"/>
      <c r="O6894" t="n">
        <v>4.7</v>
      </c>
      <c r="P6894" t="n">
        <v>93</v>
      </c>
      <c r="R6894" t="inlineStr">
        <is>
          <t>InStock</t>
        </is>
      </c>
      <c r="S6894" t="inlineStr">
        <is>
          <t>27.26</t>
        </is>
      </c>
      <c r="T6894" t="inlineStr">
        <is>
          <t>4167520911460</t>
        </is>
      </c>
    </row>
    <row r="6895" hidden="1" ht="15.75" customHeight="1">
      <c r="A6895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6895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6895" t="inlineStr">
        <is>
          <t>Klein Tools 661-4-INS Insulated Screwdriver, #1 Square Tip, 4-Inch Shank</t>
        </is>
      </c>
      <c r="D6895" t="inlineStr">
        <is>
          <t>Klein Tools 6984INS Insulated Screwdriver, 1000V Slim Profile Tip, #1 Square with 4-Inch Shank, Cushion-Grip Handle</t>
        </is>
      </c>
      <c r="E6895" s="2">
        <f>HYPERLINK("https://www.amazon.com/Klein-Tools-6984INS-Screwdriver-Cushion-Grip/dp/B09GPZ5P2M/ref=sr_1_4?keywords=Klein+Tools+661-4-INS+Insulated+Screwdriver%2C+%231+Square+Tip%2C+4-Inch+Shank&amp;qid=1694735265&amp;sr=8-4", "https://www.amazon.com/Klein-Tools-6984INS-Screwdriver-Cushion-Grip/dp/B09GPZ5P2M/ref=sr_1_4?keywords=Klein+Tools+661-4-INS+Insulated+Screwdriver%2C+%231+Square+Tip%2C+4-Inch+Shank&amp;qid=1694735265&amp;sr=8-4")</f>
        <v/>
      </c>
      <c r="F6895" t="inlineStr">
        <is>
          <t>B09GPZ5P2M</t>
        </is>
      </c>
      <c r="G6895">
        <f>_xludf.IMAGE("https://edmondsonsupply.com/cdn/shop/products/661-4-ins.jpg?v=1633030622")</f>
        <v/>
      </c>
      <c r="H6895">
        <f>_xludf.IMAGE("https://m.media-amazon.com/images/I/41uj4ogsy3L._AC_UL320_.jpg")</f>
        <v/>
      </c>
      <c r="K6895" t="inlineStr">
        <is>
          <t>17.99</t>
        </is>
      </c>
      <c r="L6895" t="n">
        <v>13.99</v>
      </c>
      <c r="M6895" s="1" t="inlineStr">
        <is>
          <t>-22.23%</t>
        </is>
      </c>
      <c r="N6895" s="1" t="n"/>
      <c r="O6895" t="n">
        <v>4.8</v>
      </c>
      <c r="P6895" t="n">
        <v>107</v>
      </c>
      <c r="R6895" t="inlineStr">
        <is>
          <t>InStock</t>
        </is>
      </c>
      <c r="S6895" t="inlineStr">
        <is>
          <t>27.24</t>
        </is>
      </c>
      <c r="T6895" t="inlineStr">
        <is>
          <t>5651594215592</t>
        </is>
      </c>
    </row>
    <row r="6896" hidden="1" ht="15.75" customHeight="1">
      <c r="A6896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6896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6896" t="inlineStr">
        <is>
          <t>Klein Tools 612-4-INS Insulated 1/8-Inch Slotted Screwdriver, 4-Inch</t>
        </is>
      </c>
      <c r="D6896" t="inlineStr">
        <is>
          <t>Klein Tools 6984INS Insulated Screwdriver, 1000V Slim Profile Tip, #1 Square with 4-Inch Shank, Cushion-Grip Handle</t>
        </is>
      </c>
      <c r="E6896" s="2">
        <f>HYPERLINK("https://www.amazon.com/Klein-Tools-6984INS-Screwdriver-Cushion-Grip/dp/B09GPZ5P2M/ref=sr_1_16?keywords=Klein+Tools+612-4-INS+Insulated+1%2F8-Inch+Slotted+Screwdriver%2C+4-Inch&amp;qid=1694735335&amp;sr=8-16", "https://www.amazon.com/Klein-Tools-6984INS-Screwdriver-Cushion-Grip/dp/B09GPZ5P2M/ref=sr_1_16?keywords=Klein+Tools+612-4-INS+Insulated+1%2F8-Inch+Slotted+Screwdriver%2C+4-Inch&amp;qid=1694735335&amp;sr=8-16")</f>
        <v/>
      </c>
      <c r="F6896" t="inlineStr">
        <is>
          <t>B09GPZ5P2M</t>
        </is>
      </c>
      <c r="G6896">
        <f>_xludf.IMAGE("https://edmondsonsupply.com/cdn/shop/products/612-4-ins.jpg?v=1587148611")</f>
        <v/>
      </c>
      <c r="H6896">
        <f>_xludf.IMAGE("https://m.media-amazon.com/images/I/41uj4ogsy3L._AC_UL320_.jpg")</f>
        <v/>
      </c>
      <c r="K6896" t="inlineStr">
        <is>
          <t>17.99</t>
        </is>
      </c>
      <c r="L6896" t="n">
        <v>13.99</v>
      </c>
      <c r="M6896" s="1" t="inlineStr">
        <is>
          <t>-22.23%</t>
        </is>
      </c>
      <c r="N6896" s="1" t="n"/>
      <c r="O6896" t="n">
        <v>4.8</v>
      </c>
      <c r="P6896" t="n">
        <v>107</v>
      </c>
      <c r="R6896" t="inlineStr">
        <is>
          <t>InStock</t>
        </is>
      </c>
      <c r="S6896" t="inlineStr">
        <is>
          <t>27.26</t>
        </is>
      </c>
      <c r="T6896" t="inlineStr">
        <is>
          <t>4167520911460</t>
        </is>
      </c>
    </row>
    <row r="6897" ht="87" customHeight="1">
      <c r="A6897" s="2">
        <f>HYPERLINK("https://edmondsonsupply.com/collections/electricians-tools/products/klein-tools-2139nerins-insulated-pliers-side-cutters-9-inch", "https://edmondsonsupply.com/collections/electricians-tools/products/klein-tools-2139nerins-insulated-pliers-side-cutters-9-inch")</f>
        <v/>
      </c>
      <c r="B6897" s="2">
        <f>HYPERLINK("https://edmondsonsupply.com/products/klein-tools-2139nerins-insulated-pliers-side-cutters-9-inch", "https://edmondsonsupply.com/products/klein-tools-2139nerins-insulated-pliers-side-cutters-9-inch")</f>
        <v/>
      </c>
      <c r="C6897" t="inlineStr">
        <is>
          <t>Klein Tools 2139NERINS Insulated Pliers, Side Cutters, 9-Inch</t>
        </is>
      </c>
      <c r="D6897" t="inlineStr">
        <is>
          <t>Klein Tools D213-9NE Pliers, 9-Inch Side Cutters, High Leverage Linesman Pliers Cut Copper, Aluminum and other Soft Metals</t>
        </is>
      </c>
      <c r="E6897" s="2">
        <f>HYPERLINK("https://www.amazon.com/Leverage-46-Percent-Gripping-Klein-Tools/dp/B0000302W6/ref=sr_1_4?keywords=Klein+Tools+2139NERINS+Insulated+Pliers%2C+Side+Cutters%2C+9-Inch&amp;qid=1694735098&amp;sr=8-4", "https://www.amazon.com/Leverage-46-Percent-Gripping-Klein-Tools/dp/B0000302W6/ref=sr_1_4?keywords=Klein+Tools+2139NERINS+Insulated+Pliers%2C+Side+Cutters%2C+9-Inch&amp;qid=1694735098&amp;sr=8-4")</f>
        <v/>
      </c>
      <c r="F6897" t="inlineStr">
        <is>
          <t>B0000302W6</t>
        </is>
      </c>
      <c r="G6897">
        <f>_xlfn.IMAGE("https://edmondsonsupply.com/cdn/shop/products/2139nerins.jpg?v=1667237928")</f>
        <v/>
      </c>
      <c r="H6897">
        <f>_xlfn.IMAGE("https://m.media-amazon.com/images/I/51D7tdNTj7L._AC_UL320_.jpg")</f>
        <v/>
      </c>
      <c r="K6897" t="inlineStr">
        <is>
          <t>44.97</t>
        </is>
      </c>
      <c r="L6897" t="n">
        <v>34.97</v>
      </c>
      <c r="M6897" s="1" t="inlineStr">
        <is>
          <t>-22.24%</t>
        </is>
      </c>
      <c r="N6897" s="7" t="n"/>
      <c r="O6897" t="n">
        <v>4.8</v>
      </c>
      <c r="P6897" t="n">
        <v>4116</v>
      </c>
      <c r="R6897" t="inlineStr">
        <is>
          <t>InStock</t>
        </is>
      </c>
      <c r="S6897" t="inlineStr">
        <is>
          <t>62.98</t>
        </is>
      </c>
      <c r="T6897" t="inlineStr">
        <is>
          <t>7871534235864</t>
        </is>
      </c>
    </row>
    <row r="6898" hidden="1" ht="15.75" customHeight="1">
      <c r="A6898" s="2">
        <f>HYPERLINK("https://edmondsonsupply.com/collections/electricians-tools/products/greenlee-dtap6-32-drill-tap-6-32", "https://edmondsonsupply.com/collections/electricians-tools/products/greenlee-dtap6-32-drill-tap-6-32")</f>
        <v/>
      </c>
      <c r="B6898" s="2">
        <f>HYPERLINK("https://edmondsonsupply.com/products/greenlee-dtap6-32-drill-tap-6-32", "https://edmondsonsupply.com/products/greenlee-dtap6-32-drill-tap-6-32")</f>
        <v/>
      </c>
      <c r="C6898" t="inlineStr">
        <is>
          <t>Greenlee DTAP6-32 Drill/Tap, 6-32</t>
        </is>
      </c>
      <c r="D6898" t="inlineStr">
        <is>
          <t>Klein Tools 32237 Drill Tap, 6-32</t>
        </is>
      </c>
      <c r="E6898" s="2">
        <f>HYPERLINK("https://www.amazon.com/Klein-Tools-32237-6-32-Drill/dp/B019874LOG/ref=sr_1_19?keywords=Greenlee+DTAP6-32+Drill%2FTap%2C+6-32&amp;qid=1694735395&amp;sr=8-19", "https://www.amazon.com/Klein-Tools-32237-6-32-Drill/dp/B019874LOG/ref=sr_1_19?keywords=Greenlee+DTAP6-32+Drill%2FTap%2C+6-32&amp;qid=1694735395&amp;sr=8-19")</f>
        <v/>
      </c>
      <c r="F6898" t="inlineStr">
        <is>
          <t>B019874LOG</t>
        </is>
      </c>
      <c r="G6898">
        <f>_xludf.IMAGE("https://edmondsonsupply.com/cdn/shop/products/6-32.jpg?v=1587149860")</f>
        <v/>
      </c>
      <c r="H6898">
        <f>_xludf.IMAGE("https://m.media-amazon.com/images/I/41RAyiVuoeL._AC_UL320_.jpg")</f>
        <v/>
      </c>
      <c r="K6898" t="inlineStr">
        <is>
          <t>8.99</t>
        </is>
      </c>
      <c r="L6898" t="n">
        <v>6.99</v>
      </c>
      <c r="M6898" s="1" t="inlineStr">
        <is>
          <t>-22.25%</t>
        </is>
      </c>
      <c r="N6898" s="1" t="n"/>
      <c r="O6898" t="n">
        <v>4.6</v>
      </c>
      <c r="P6898" t="n">
        <v>826</v>
      </c>
      <c r="R6898" t="inlineStr">
        <is>
          <t>OutOfStock</t>
        </is>
      </c>
      <c r="S6898" t="inlineStr">
        <is>
          <t>9.7</t>
        </is>
      </c>
      <c r="T6898" t="inlineStr">
        <is>
          <t>4395858395236</t>
        </is>
      </c>
    </row>
    <row r="6899" hidden="1" ht="15.75" customHeight="1">
      <c r="A6899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6899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6899" t="inlineStr">
        <is>
          <t>Klein Tools 661-4-INS Insulated Screwdriver, #1 Square Tip, 4-Inch Shank</t>
        </is>
      </c>
      <c r="D6899" t="inlineStr">
        <is>
          <t>Klein Tools 6924INS 1000V Slim Tip Insulated Screwdriver, 4-Inch Round Shank, 1/4-Inch Cabinet Tip, Cushion Grip Handle</t>
        </is>
      </c>
      <c r="E6899" s="2">
        <f>HYPERLINK("https://www.amazon.com/Klein-Tools-6924INS-Insulated-Screwdriver/dp/B088NRM4CC/ref=sr_1_8?keywords=Klein+Tools+661-4-INS+Insulated+Screwdriver%2C+%231+Square+Tip%2C+4-Inch+Shank&amp;qid=1694735265&amp;sr=8-8", "https://www.amazon.com/Klein-Tools-6924INS-Insulated-Screwdriver/dp/B088NRM4CC/ref=sr_1_8?keywords=Klein+Tools+661-4-INS+Insulated+Screwdriver%2C+%231+Square+Tip%2C+4-Inch+Shank&amp;qid=1694735265&amp;sr=8-8")</f>
        <v/>
      </c>
      <c r="F6899" t="inlineStr">
        <is>
          <t>B088NRM4CC</t>
        </is>
      </c>
      <c r="G6899">
        <f>_xludf.IMAGE("https://edmondsonsupply.com/cdn/shop/products/661-4-ins.jpg?v=1633030622")</f>
        <v/>
      </c>
      <c r="H6899">
        <f>_xludf.IMAGE("https://m.media-amazon.com/images/I/419wtU12P3L._AC_UL320_.jpg")</f>
        <v/>
      </c>
      <c r="K6899" t="inlineStr">
        <is>
          <t>17.99</t>
        </is>
      </c>
      <c r="L6899" t="n">
        <v>13.97</v>
      </c>
      <c r="M6899" s="1" t="inlineStr">
        <is>
          <t>-22.35%</t>
        </is>
      </c>
      <c r="N6899" s="1" t="n"/>
      <c r="O6899" t="n">
        <v>4.8</v>
      </c>
      <c r="P6899" t="n">
        <v>1358</v>
      </c>
      <c r="R6899" t="inlineStr">
        <is>
          <t>InStock</t>
        </is>
      </c>
      <c r="S6899" t="inlineStr">
        <is>
          <t>27.24</t>
        </is>
      </c>
      <c r="T6899" t="inlineStr">
        <is>
          <t>5651594215592</t>
        </is>
      </c>
    </row>
    <row r="6900" hidden="1" ht="15.75" customHeight="1">
      <c r="A6900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6900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6900" t="inlineStr">
        <is>
          <t>Klein Tools 612-4-INS Insulated 1/8-Inch Slotted Screwdriver, 4-Inch</t>
        </is>
      </c>
      <c r="D6900" t="inlineStr">
        <is>
          <t>Klein Tools 6924INS 1000V Slim Tip Insulated Screwdriver, 4-Inch Round Shank, 1/4-Inch Cabinet Tip, Cushion Grip Handle</t>
        </is>
      </c>
      <c r="E6900" s="2">
        <f>HYPERLINK("https://www.amazon.com/Klein-Tools-6924INS-Insulated-Screwdriver/dp/B088NRM4CC/ref=sr_1_5?keywords=Klein+Tools+612-4-INS+Insulated+1%2F8-Inch+Slotted+Screwdriver%2C+4-Inch&amp;qid=1694735335&amp;sr=8-5", "https://www.amazon.com/Klein-Tools-6924INS-Insulated-Screwdriver/dp/B088NRM4CC/ref=sr_1_5?keywords=Klein+Tools+612-4-INS+Insulated+1%2F8-Inch+Slotted+Screwdriver%2C+4-Inch&amp;qid=1694735335&amp;sr=8-5")</f>
        <v/>
      </c>
      <c r="F6900" t="inlineStr">
        <is>
          <t>B088NRM4CC</t>
        </is>
      </c>
      <c r="G6900">
        <f>_xludf.IMAGE("https://edmondsonsupply.com/cdn/shop/products/612-4-ins.jpg?v=1587148611")</f>
        <v/>
      </c>
      <c r="H6900">
        <f>_xludf.IMAGE("https://m.media-amazon.com/images/I/419wtU12P3L._AC_UL320_.jpg")</f>
        <v/>
      </c>
      <c r="K6900" t="inlineStr">
        <is>
          <t>17.99</t>
        </is>
      </c>
      <c r="L6900" t="n">
        <v>13.97</v>
      </c>
      <c r="M6900" s="1" t="inlineStr">
        <is>
          <t>-22.35%</t>
        </is>
      </c>
      <c r="N6900" s="1" t="n"/>
      <c r="O6900" t="n">
        <v>4.8</v>
      </c>
      <c r="P6900" t="n">
        <v>1358</v>
      </c>
      <c r="R6900" t="inlineStr">
        <is>
          <t>InStock</t>
        </is>
      </c>
      <c r="S6900" t="inlineStr">
        <is>
          <t>27.26</t>
        </is>
      </c>
      <c r="T6900" t="inlineStr">
        <is>
          <t>4167520911460</t>
        </is>
      </c>
    </row>
    <row r="6901" hidden="1" ht="15.75" customHeight="1">
      <c r="A6901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6901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6901" t="inlineStr">
        <is>
          <t>Diablo Tools DOU250JBW 2-1/2 in. Universal Fit Bi-Metal Oscillating Blade for Clean Wood</t>
        </is>
      </c>
      <c r="D6901" t="inlineStr">
        <is>
          <t>Diablo DOU125BW 1-1/4 in. Universal Fit Bi-Metal Oscillating Blade for Nail-Embedded Wood</t>
        </is>
      </c>
      <c r="E6901" s="2">
        <f>HYPERLINK("https://www.amazon.com/Diablo-Universal-Bi-Metal-Oscillating-Nail-Embedded/dp/B089LDN2LT/ref=sr_1_5?keywords=Diablo+Tools+DOU250JBW+2-1%2F2+in.+Universal+Fit+Bi-Metal+Oscillating+Blade+for+Clean+Wood&amp;qid=1694734994&amp;sr=8-5", "https://www.amazon.com/Diablo-Universal-Bi-Metal-Oscillating-Nail-Embedded/dp/B089LDN2LT/ref=sr_1_5?keywords=Diablo+Tools+DOU250JBW+2-1%2F2+in.+Universal+Fit+Bi-Metal+Oscillating+Blade+for+Clean+Wood&amp;qid=1694734994&amp;sr=8-5")</f>
        <v/>
      </c>
      <c r="F6901" t="inlineStr">
        <is>
          <t>B089LDN2LT</t>
        </is>
      </c>
      <c r="G6901">
        <f>_xludf.IMAGE("https://edmondsonsupply.com/cdn/shop/files/pycnap4eb1urn2hxvudq.webp?v=1685718789")</f>
        <v/>
      </c>
      <c r="H6901">
        <f>_xludf.IMAGE("https://m.media-amazon.com/images/I/613ig7mNjfL._AC_UL320_.jpg")</f>
        <v/>
      </c>
      <c r="K6901" t="inlineStr">
        <is>
          <t>15.65</t>
        </is>
      </c>
      <c r="L6901" t="n">
        <v>12.14</v>
      </c>
      <c r="M6901" s="1" t="inlineStr">
        <is>
          <t>-22.43%</t>
        </is>
      </c>
      <c r="N6901" s="1" t="n"/>
      <c r="O6901" t="n">
        <v>4.8</v>
      </c>
      <c r="P6901" t="n">
        <v>12</v>
      </c>
      <c r="R6901" t="inlineStr">
        <is>
          <t>InStock</t>
        </is>
      </c>
      <c r="S6901" t="inlineStr">
        <is>
          <t>24.85</t>
        </is>
      </c>
      <c r="T6901" t="inlineStr">
        <is>
          <t>7999572279512</t>
        </is>
      </c>
    </row>
    <row r="6902" ht="87" customHeight="1">
      <c r="A6902" s="2">
        <f>HYPERLINK("https://edmondsonsupply.com/collections/electricians-tools/products/klein-tools-d502-12-pump-pliers-12-inch", "https://edmondsonsupply.com/collections/electricians-tools/products/klein-tools-d502-12-pump-pliers-12-inch")</f>
        <v/>
      </c>
      <c r="B6902" s="2">
        <f>HYPERLINK("https://edmondsonsupply.com/products/klein-tools-d502-12-pump-pliers-12-inch", "https://edmondsonsupply.com/products/klein-tools-d502-12-pump-pliers-12-inch")</f>
        <v/>
      </c>
      <c r="C6902" t="inlineStr">
        <is>
          <t>Klein Tools D502-12 Pump Pliers, 12-Inch</t>
        </is>
      </c>
      <c r="D6902" t="inlineStr">
        <is>
          <t>Klein Tools D502-10 Pump Pliers, 10-Inch Tongue and Groove, Quick-Adjust Rivet, 1-3/4 Inch Max Parallel Jaw Range, Tension Loaded Joint</t>
        </is>
      </c>
      <c r="E6902" s="2">
        <f>HYPERLINK("https://www.amazon.com/Pliers-10-Inch-Klein-Tools-D502-10/dp/B0000302WC/ref=sr_1_3?keywords=Klein+Tools+D502-12+Pump+Pliers%2C+12-Inch&amp;qid=1694735273&amp;sr=8-3", "https://www.amazon.com/Pliers-10-Inch-Klein-Tools-D502-10/dp/B0000302WC/ref=sr_1_3?keywords=Klein+Tools+D502-12+Pump+Pliers%2C+12-Inch&amp;qid=1694735273&amp;sr=8-3")</f>
        <v/>
      </c>
      <c r="F6902" t="inlineStr">
        <is>
          <t>B0000302WC</t>
        </is>
      </c>
      <c r="G6902">
        <f>_xlfn.IMAGE("https://edmondsonsupply.com/cdn/shop/products/d502-6.jpg?v=1633030574")</f>
        <v/>
      </c>
      <c r="H6902">
        <f>_xlfn.IMAGE("https://m.media-amazon.com/images/I/418n0XM7PlL._AC_UL320_.jpg")</f>
        <v/>
      </c>
      <c r="K6902" t="inlineStr">
        <is>
          <t>30.99</t>
        </is>
      </c>
      <c r="L6902" t="n">
        <v>23.99</v>
      </c>
      <c r="M6902" s="1" t="inlineStr">
        <is>
          <t>-22.59%</t>
        </is>
      </c>
      <c r="N6902" s="7" t="n"/>
      <c r="O6902" t="n">
        <v>4.7</v>
      </c>
      <c r="P6902" t="n">
        <v>226</v>
      </c>
      <c r="R6902" t="inlineStr">
        <is>
          <t>InStock</t>
        </is>
      </c>
      <c r="S6902" t="inlineStr">
        <is>
          <t>46.96</t>
        </is>
      </c>
      <c r="T6902" t="inlineStr">
        <is>
          <t>5525244706984</t>
        </is>
      </c>
    </row>
    <row r="6903" ht="87" customHeight="1">
      <c r="A6903" s="2">
        <f>HYPERLINK("https://edmondsonsupply.com/collections/electricians-tools/products/dewalt-dg5142-led-pro-contractor-business-portfolio", "https://edmondsonsupply.com/collections/electricians-tools/products/dewalt-dg5142-led-pro-contractor-business-portfolio")</f>
        <v/>
      </c>
      <c r="B6903" s="2">
        <f>HYPERLINK("https://edmondsonsupply.com/products/dewalt-dg5142-led-pro-contractor-business-portfolio", "https://edmondsonsupply.com/products/dewalt-dg5142-led-pro-contractor-business-portfolio")</f>
        <v/>
      </c>
      <c r="C6903" t="inlineStr">
        <is>
          <t>DeWalt DG5142 LED Pro Contractor Business Portfolio</t>
        </is>
      </c>
      <c r="D6903" t="inlineStr">
        <is>
          <t>DEWALT DG5142 Pro Contractor's Business Portfolio with Flex-Light, Built-In Calculator, Full Zipper Enclosure</t>
        </is>
      </c>
      <c r="E6903" s="2">
        <f>HYPERLINK("https://www.amazon.com/DEWALT-DG5142-Contractors-Flex-Light-Calculator/dp/B009QYZP5G/ref=sr_1_1?keywords=DeWalt+DG5142+LED+Pro+Contractor+Business+Portfolio&amp;qid=1694735201&amp;sr=8-1", "https://www.amazon.com/DEWALT-DG5142-Contractors-Flex-Light-Calculator/dp/B009QYZP5G/ref=sr_1_1?keywords=DeWalt+DG5142+LED+Pro+Contractor+Business+Portfolio&amp;qid=1694735201&amp;sr=8-1")</f>
        <v/>
      </c>
      <c r="F6903" t="inlineStr">
        <is>
          <t>B009QYZP5G</t>
        </is>
      </c>
      <c r="G6903">
        <f>_xlfn.IMAGE("https://edmondsonsupply.com/cdn/shop/products/Screenshot2021-07-17133543.png?v=1633031080")</f>
        <v/>
      </c>
      <c r="H6903">
        <f>_xlfn.IMAGE("https://m.media-amazon.com/images/I/91e4whFlBTL._AC_UL320_.jpg")</f>
        <v/>
      </c>
      <c r="K6903" t="inlineStr">
        <is>
          <t>39.95</t>
        </is>
      </c>
      <c r="L6903" t="n">
        <v>30.9</v>
      </c>
      <c r="M6903" s="1" t="inlineStr">
        <is>
          <t>-22.65%</t>
        </is>
      </c>
      <c r="N6903" s="7" t="n"/>
      <c r="O6903" t="n">
        <v>4.6</v>
      </c>
      <c r="P6903" t="n">
        <v>840</v>
      </c>
      <c r="R6903" t="inlineStr">
        <is>
          <t>InStock</t>
        </is>
      </c>
      <c r="S6903" t="inlineStr">
        <is>
          <t>59.95</t>
        </is>
      </c>
      <c r="T6903" t="inlineStr">
        <is>
          <t>6830187741357</t>
        </is>
      </c>
    </row>
    <row r="6904" hidden="1" ht="15.75" customHeight="1">
      <c r="A6904" s="2">
        <f>HYPERLINK("https://edmondsonsupply.com/collections/electricians-tools/products/diablo-tools-dmarg1170-5-8-in-x-4-in-x-6-in-speedemon%E2%84%A2-red-granite-carbide-tipped-hammer-drill-bit", "https://edmondsonsupply.com/collections/electricians-tools/products/diablo-tools-dmarg1170-5-8-in-x-4-in-x-6-in-speedemon%E2%84%A2-red-granite-carbide-tipped-hammer-drill-bit")</f>
        <v/>
      </c>
      <c r="B6904" s="2">
        <f>HYPERLINK("https://edmondsonsupply.com/products/diablo-tools-dmarg1170-5-8-in-x-4-in-x-6-in-speedemon%e2%84%a2-red-granite-carbide-tipped-hammer-drill-bit", "https://edmondsonsupply.com/products/diablo-tools-dmarg1170-5-8-in-x-4-in-x-6-in-speedemon%e2%84%a2-red-granite-carbide-tipped-hammer-drill-bit")</f>
        <v/>
      </c>
      <c r="C6904" t="inlineStr">
        <is>
          <t>Diablo Tools DMARG1170 5/8 in. x 4 in. x 6 in. SPEEDemon™ Red Granite Carbide Tipped Hammer Drill Bit</t>
        </is>
      </c>
      <c r="D6904" t="inlineStr">
        <is>
          <t>Diablo DMARG1110 5/16 in. x 8 in. x 10 in. SPEEDemon™ Red Granite Carbide Tipped Hammer Drill Bit</t>
        </is>
      </c>
      <c r="E6904" s="2">
        <f>HYPERLINK("https://www.amazon.com/Diablo-DMARG1110-SPEEDemon-Granite-Carbide/dp/B089LN9JJL/ref=sr_1_13?keywords=Diablo+Tools+DMARG1170+5%2F8+in.+x+4+in.+x+6+in.+SPEEDemon%E2%84%A2+Red+Granite+Carbide+Tipped+Hammer+Drill+Bit&amp;qid=1694735259&amp;sr=8-13", "https://www.amazon.com/Diablo-DMARG1110-SPEEDemon-Granite-Carbide/dp/B089LN9JJL/ref=sr_1_13?keywords=Diablo+Tools+DMARG1170+5%2F8+in.+x+4+in.+x+6+in.+SPEEDemon%E2%84%A2+Red+Granite+Carbide+Tipped+Hammer+Drill+Bit&amp;qid=1694735259&amp;sr=8-13")</f>
        <v/>
      </c>
      <c r="F6904" t="inlineStr">
        <is>
          <t>B089LN9JJL</t>
        </is>
      </c>
      <c r="G6904">
        <f>_xludf.IMAGE("https://edmondsonsupply.com/cdn/shop/products/DMARG1170_Main-Image20200702.png?v=1633030651")</f>
        <v/>
      </c>
      <c r="H6904">
        <f>_xludf.IMAGE("https://m.media-amazon.com/images/I/61Qf0cC1SJL._AC_UL320_.jpg")</f>
        <v/>
      </c>
      <c r="K6904" t="inlineStr">
        <is>
          <t>12.97</t>
        </is>
      </c>
      <c r="L6904" t="n">
        <v>10.03</v>
      </c>
      <c r="M6904" s="1" t="inlineStr">
        <is>
          <t>-22.67%</t>
        </is>
      </c>
      <c r="N6904" s="1" t="n"/>
      <c r="O6904" t="n">
        <v>4.2</v>
      </c>
      <c r="P6904" t="n">
        <v>5</v>
      </c>
      <c r="R6904" t="inlineStr">
        <is>
          <t>InStock</t>
        </is>
      </c>
      <c r="S6904" t="inlineStr">
        <is>
          <t>undefined</t>
        </is>
      </c>
      <c r="T6904" t="inlineStr">
        <is>
          <t>5740431704232</t>
        </is>
      </c>
    </row>
    <row r="6905" ht="87" customHeight="1">
      <c r="A6905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6905" s="2">
        <f>HYPERLINK("https://edmondsonsupply.com/products/klein-tools-631m-magnetic-nut-driver-set-3-inch-shaft-7-piece", "https://edmondsonsupply.com/products/klein-tools-631m-magnetic-nut-driver-set-3-inch-shaft-7-piece")</f>
        <v/>
      </c>
      <c r="C6905" t="inlineStr">
        <is>
          <t>Klein Tools 631M Magnetic Nut Driver Set 3-Inch Shaft, 7 Piece</t>
        </is>
      </c>
      <c r="D6905" t="inlineStr">
        <is>
          <t>Klein Tools 647 Tool Set, Nut Drivers Sizes 3/16, 1/4, 5/16, 11/32, 3/8, 7/16, 1/2-Inch, Chrome-Plated 6-Inch Shafts, Cushion Grip, 7-Piece</t>
        </is>
      </c>
      <c r="E6905" s="2">
        <f>HYPERLINK("https://www.amazon.com/Driver-6-Inch-Klein-Tools-647/dp/B0014KRVXO/ref=sr_1_7?keywords=Klein+Tools+631M+Magnetic+Nut+Driver+Set+3-Inch+Shaft%2C+7+Piece&amp;qid=1694735377&amp;sr=8-7", "https://www.amazon.com/Driver-6-Inch-Klein-Tools-647/dp/B0014KRVXO/ref=sr_1_7?keywords=Klein+Tools+631M+Magnetic+Nut+Driver+Set+3-Inch+Shaft%2C+7+Piece&amp;qid=1694735377&amp;sr=8-7")</f>
        <v/>
      </c>
      <c r="F6905" t="inlineStr">
        <is>
          <t>B0014KRVXO</t>
        </is>
      </c>
      <c r="G6905">
        <f>_xlfn.IMAGE("https://edmondsonsupply.com/cdn/shop/products/631m.jpg?v=1587147726")</f>
        <v/>
      </c>
      <c r="H6905">
        <f>_xlfn.IMAGE("https://m.media-amazon.com/images/I/51usUk-EpGL._AC_UL320_.jpg")</f>
        <v/>
      </c>
      <c r="K6905" t="inlineStr">
        <is>
          <t>74.99</t>
        </is>
      </c>
      <c r="L6905" t="n">
        <v>57.99</v>
      </c>
      <c r="M6905" s="1" t="inlineStr">
        <is>
          <t>-22.67%</t>
        </is>
      </c>
      <c r="N6905" s="7" t="n"/>
      <c r="O6905" t="n">
        <v>4.8</v>
      </c>
      <c r="P6905" t="n">
        <v>734</v>
      </c>
      <c r="R6905" t="inlineStr">
        <is>
          <t>InStock</t>
        </is>
      </c>
      <c r="S6905" t="inlineStr">
        <is>
          <t>112.12</t>
        </is>
      </c>
      <c r="T6905" t="inlineStr">
        <is>
          <t>4414357078116</t>
        </is>
      </c>
    </row>
    <row r="6906" ht="87" customHeight="1">
      <c r="A6906" s="2">
        <f>HYPERLINK("https://edmondsonsupply.com/collections/electricians-tools/products/milwaukee-2863-22r-m18-fuel%E2%84%A2-w-one-key%E2%84%A2-high-torque-impact-wrench-1-2-friction-ring-kit", "https://edmondsonsupply.com/collections/electricians-tools/products/milwaukee-2863-22r-m18-fuel%E2%84%A2-w-one-key%E2%84%A2-high-torque-impact-wrench-1-2-friction-ring-kit")</f>
        <v/>
      </c>
      <c r="B6906" s="2">
        <f>HYPERLINK("https://edmondsonsupply.com/products/milwaukee-2863-22r-m18-fuel%e2%84%a2-w-one-key%e2%84%a2-high-torque-impact-wrench-1-2-friction-ring-kit", "https://edmondsonsupply.com/products/milwaukee-2863-22r-m18-fuel%e2%84%a2-w-one-key%e2%84%a2-high-torque-impact-wrench-1-2-friction-ring-kit")</f>
        <v/>
      </c>
      <c r="C6906" t="inlineStr">
        <is>
          <t>Milwaukee 2863-22R M18 FUEL™ w/ ONE-KEY™ High Torque Impact Wrench 1/2" Friction Ring Kit</t>
        </is>
      </c>
      <c r="D6906" t="inlineStr">
        <is>
          <t>Milwaukee 2767-22R Fuel High Torque 1/2" Impact Wrench w/ Friction Ring Kit</t>
        </is>
      </c>
      <c r="E6906" s="2">
        <f>HYPERLINK("https://www.amazon.com/Milwaukee-2767-22R-Torque-Impact-Friction/dp/B0BPVF9TX4/ref=sr_1_2?keywords=Milwaukee+2863-22R+M18+FUEL%E2%84%A2+w%2F+ONE-KEY%E2%84%A2+High+Torque+Impact+Wrench+1%2F2%22+Friction+Ring+Kit&amp;qid=1694735065&amp;sr=8-2", "https://www.amazon.com/Milwaukee-2767-22R-Torque-Impact-Friction/dp/B0BPVF9TX4/ref=sr_1_2?keywords=Milwaukee+2863-22R+M18+FUEL%E2%84%A2+w%2F+ONE-KEY%E2%84%A2+High+Torque+Impact+Wrench+1%2F2%22+Friction+Ring+Kit&amp;qid=1694735065&amp;sr=8-2")</f>
        <v/>
      </c>
      <c r="F6906" t="inlineStr">
        <is>
          <t>B0BPVF9TX4</t>
        </is>
      </c>
      <c r="G6906">
        <f>_xlfn.IMAGE("https://edmondsonsupply.com/cdn/shop/products/2863-22R_Kit_102.png?v=1671644124")</f>
        <v/>
      </c>
      <c r="H6906">
        <f>_xlfn.IMAGE("https://m.media-amazon.com/images/I/71gSKRvxyuL._AC_UL320_.jpg")</f>
        <v/>
      </c>
      <c r="K6906" t="inlineStr">
        <is>
          <t>569.0</t>
        </is>
      </c>
      <c r="L6906" t="n">
        <v>440</v>
      </c>
      <c r="M6906" s="1" t="inlineStr">
        <is>
          <t>-22.67%</t>
        </is>
      </c>
      <c r="N6906" s="7" t="n"/>
      <c r="O6906" t="n">
        <v>4.8</v>
      </c>
      <c r="P6906" t="n">
        <v>9</v>
      </c>
      <c r="R6906" t="inlineStr">
        <is>
          <t>InStock</t>
        </is>
      </c>
      <c r="S6906" t="inlineStr">
        <is>
          <t>1066.0</t>
        </is>
      </c>
      <c r="T6906" t="inlineStr">
        <is>
          <t>7909831213272</t>
        </is>
      </c>
    </row>
    <row r="6907" ht="87" customHeight="1">
      <c r="A6907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6907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6907" t="inlineStr">
        <is>
          <t>Diablo Tools DMAPL4300 1 in. x 8 in. x 10 in. Rebar Demon™ SDS‑Plus 4‑Cutter Full Carbide Head Hammer Drill Bit</t>
        </is>
      </c>
      <c r="D6907" t="inlineStr">
        <is>
          <t>Diablo by Freud DMAPL4270 27/32 in. x 8 in. x 10 in. Rebar Demon SDS-Plus 4-Cutter Full Carbide Head Hammer Bit</t>
        </is>
      </c>
      <c r="E6907" s="2">
        <f>HYPERLINK("https://www.amazon.com/Diablo-Freud-DMAPL4270-SDS-Plus-4-Cutter/dp/B089KXBGLM/ref=sr_1_3?keywords=Diablo+Tools+DMAPL4300+1+in.+x+8+in.+x+10+in.+Rebar+Demon%E2%84%A2+SDS%E2%80%91Plus+4%E2%80%91Cutter+Full+Carbide+Head+Hammer+Drill+Bit&amp;qid=1694735259&amp;sr=8-3", "https://www.amazon.com/Diablo-Freud-DMAPL4270-SDS-Plus-4-Cutter/dp/B089KXBGLM/ref=sr_1_3?keywords=Diablo+Tools+DMAPL4300+1+in.+x+8+in.+x+10+in.+Rebar+Demon%E2%84%A2+SDS%E2%80%91Plus+4%E2%80%91Cutter+Full+Carbide+Head+Hammer+Drill+Bit&amp;qid=1694735259&amp;sr=8-3")</f>
        <v/>
      </c>
      <c r="F6907" t="inlineStr">
        <is>
          <t>B089KXBGLM</t>
        </is>
      </c>
      <c r="G6907">
        <f>_xlfn.IMAGE("https://edmondsonsupply.com/cdn/shop/products/DMAPL4300_Additional-Images_0120200225.png?v=1633030652")</f>
        <v/>
      </c>
      <c r="H6907">
        <f>_xlfn.IMAGE("https://m.media-amazon.com/images/I/611A6sphG9L._AC_UL320_.jpg")</f>
        <v/>
      </c>
      <c r="K6907" t="inlineStr">
        <is>
          <t>38.97</t>
        </is>
      </c>
      <c r="L6907" t="n">
        <v>30.13</v>
      </c>
      <c r="M6907" s="1" t="inlineStr">
        <is>
          <t>-22.68%</t>
        </is>
      </c>
      <c r="N6907" s="7" t="n"/>
      <c r="O6907" t="n">
        <v>5</v>
      </c>
      <c r="P6907" t="n">
        <v>2</v>
      </c>
      <c r="R6907" t="inlineStr">
        <is>
          <t>InStock</t>
        </is>
      </c>
      <c r="S6907" t="inlineStr">
        <is>
          <t>52.66</t>
        </is>
      </c>
      <c r="T6907" t="inlineStr">
        <is>
          <t>5740518637736</t>
        </is>
      </c>
    </row>
    <row r="6908" hidden="1" ht="15.75" customHeight="1">
      <c r="A6908" s="2">
        <f>HYPERLINK("https://edmondsonsupply.com/collections/electricians-tools/products/klein-tools-630-1-4-1-4-inch-nut-driver-3-inch-shaft-cushion-grip", "https://edmondsonsupply.com/collections/electricians-tools/products/klein-tools-630-1-4-1-4-inch-nut-driver-3-inch-shaft-cushion-grip")</f>
        <v/>
      </c>
      <c r="B6908" s="2">
        <f>HYPERLINK("https://edmondsonsupply.com/products/klein-tools-630-1-4-1-4-inch-nut-driver-3-inch-shaft-cushion-grip", "https://edmondsonsupply.com/products/klein-tools-630-1-4-1-4-inch-nut-driver-3-inch-shaft-cushion-grip")</f>
        <v/>
      </c>
      <c r="C6908" t="inlineStr">
        <is>
          <t>Klein Tools 630-1/4 1/4-Inch Nut Driver 3-Inch Shaft Cushion Grip</t>
        </is>
      </c>
      <c r="D6908" t="inlineStr">
        <is>
          <t>Jonard Tools ND-63014, Nut Driver, 1/4" Hex Tip, 3" Hollow Shaft with Wide Ergonomic Comfort Grip</t>
        </is>
      </c>
      <c r="E6908" s="2">
        <f>HYPERLINK("https://www.amazon.com/Jonard-ND-63014-Cushion-Gripped-Ergonomic/dp/B006C47998/ref=sr_1_15?keywords=Klein+Tools+630-1%2F4+1%2F4-Inch+Nut+Driver+3-Inch+Shaft+Cushion+Grip&amp;qid=1694735346&amp;sr=8-15", "https://www.amazon.com/Jonard-ND-63014-Cushion-Gripped-Ergonomic/dp/B006C47998/ref=sr_1_15?keywords=Klein+Tools+630-1%2F4+1%2F4-Inch+Nut+Driver+3-Inch+Shaft+Cushion+Grip&amp;qid=1694735346&amp;sr=8-15")</f>
        <v/>
      </c>
      <c r="F6908" t="inlineStr">
        <is>
          <t>B006C47998</t>
        </is>
      </c>
      <c r="G6908">
        <f>_xludf.IMAGE("https://edmondsonsupply.com/cdn/shop/products/630-1-2_4777cf99-f2bc-4f84-bc42-7e765e2a9c37.jpg?v=1587150448")</f>
        <v/>
      </c>
      <c r="H6908">
        <f>_xludf.IMAGE("https://m.media-amazon.com/images/I/51o-+kwkIJL._AC_UL320_.jpg")</f>
        <v/>
      </c>
      <c r="K6908" t="inlineStr">
        <is>
          <t>8.99</t>
        </is>
      </c>
      <c r="L6908" t="n">
        <v>6.95</v>
      </c>
      <c r="M6908" s="1" t="inlineStr">
        <is>
          <t>-22.69%</t>
        </is>
      </c>
      <c r="N6908" s="1" t="n"/>
      <c r="O6908" t="n">
        <v>4.5</v>
      </c>
      <c r="P6908" t="n">
        <v>127</v>
      </c>
      <c r="R6908" t="inlineStr">
        <is>
          <t>InStock</t>
        </is>
      </c>
      <c r="S6908" t="inlineStr">
        <is>
          <t>11.36</t>
        </is>
      </c>
      <c r="T6908" t="inlineStr">
        <is>
          <t>4490760355940</t>
        </is>
      </c>
    </row>
    <row r="6909" ht="87" customHeight="1">
      <c r="A6909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6909" s="2">
        <f>HYPERLINK("https://edmondsonsupply.com/products/klein-tools-32305-15-in-1-multi-bit-ratcheting-screwdriver", "https://edmondsonsupply.com/products/klein-tools-32305-15-in-1-multi-bit-ratcheting-screwdriver")</f>
        <v/>
      </c>
      <c r="C6909" t="inlineStr">
        <is>
          <t>Klein Tools 32305 15-in-1 Multi-Bit Ratcheting Screwdriver</t>
        </is>
      </c>
      <c r="D6909" t="inlineStr">
        <is>
          <t>Klein Tools 32308 Multi-bit Stubby Screwdriver, Impact Rated 8-in-1 Adjustable Magnetic Tool with Phillips, Slotted, Square and Nut Driver</t>
        </is>
      </c>
      <c r="E6909" s="2">
        <f>HYPERLINK("https://www.amazon.com/Klein-Tools-Evaporative-Performance-Protection/dp/B08KFNDBRW/ref=sr_1_18?keywords=Klein+Tools+32305+15-in-1+Multi-Bit+Ratcheting+Screwdriver&amp;qid=1694735163&amp;sr=8-18", "https://www.amazon.com/Klein-Tools-Evaporative-Performance-Protection/dp/B08KFNDBRW/ref=sr_1_18?keywords=Klein+Tools+32305+15-in-1+Multi-Bit+Ratcheting+Screwdriver&amp;qid=1694735163&amp;sr=8-18")</f>
        <v/>
      </c>
      <c r="F6909" t="inlineStr">
        <is>
          <t>B08KFNDBRW</t>
        </is>
      </c>
      <c r="G6909">
        <f>_xlfn.IMAGE("https://edmondsonsupply.com/cdn/shop/products/32305.jpg?v=1646965475")</f>
        <v/>
      </c>
      <c r="H6909">
        <f>_xlfn.IMAGE("https://m.media-amazon.com/images/I/61qTHFhrhZL._AC_UL320_.jpg")</f>
        <v/>
      </c>
      <c r="K6909" t="inlineStr">
        <is>
          <t>21.97</t>
        </is>
      </c>
      <c r="L6909" t="n">
        <v>16.97</v>
      </c>
      <c r="M6909" s="1" t="inlineStr">
        <is>
          <t>-22.76%</t>
        </is>
      </c>
      <c r="N6909" s="7" t="n"/>
      <c r="O6909" t="n">
        <v>4.7</v>
      </c>
      <c r="P6909" t="n">
        <v>5219</v>
      </c>
      <c r="R6909" t="inlineStr">
        <is>
          <t>InStock</t>
        </is>
      </c>
      <c r="S6909" t="inlineStr">
        <is>
          <t>30.78</t>
        </is>
      </c>
      <c r="T6909" t="inlineStr">
        <is>
          <t>7632426598616</t>
        </is>
      </c>
    </row>
    <row r="6910" ht="87" customHeight="1">
      <c r="A6910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6910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6910" t="inlineStr">
        <is>
          <t>Diablo Tools DOU125JBW3 1-1/4 in. Universal Fit Bi-Metal Oscillating Blades for Clean Wood</t>
        </is>
      </c>
      <c r="D6910" t="inlineStr">
        <is>
          <t>Diablo 1-1/4 in. Starlock Bi-Metal Oscillating Blades for Clean Wood (3-Pack)</t>
        </is>
      </c>
      <c r="E6910" s="2">
        <f>HYPERLINK("https://www.amazon.com/Diablo-DOS125JBW3-Starlock-Bi-Metal-Oscillating/dp/B089KWG9Z3/ref=sr_1_9?keywords=Diablo+Tools+DOU125JBW3+1-1%2F4+in.+Universal+Fit+Bi-Metal+Oscillating+Blades+for+Clean+Wood&amp;qid=1694735211&amp;sr=8-9", "https://www.amazon.com/Diablo-DOS125JBW3-Starlock-Bi-Metal-Oscillating/dp/B089KWG9Z3/ref=sr_1_9?keywords=Diablo+Tools+DOU125JBW3+1-1%2F4+in.+Universal+Fit+Bi-Metal+Oscillating+Blades+for+Clean+Wood&amp;qid=1694735211&amp;sr=8-9")</f>
        <v/>
      </c>
      <c r="F6910" t="inlineStr">
        <is>
          <t>B089KWG9Z3</t>
        </is>
      </c>
      <c r="G6910">
        <f>_xlfn.IMAGE("https://edmondsonsupply.com/cdn/shop/products/DOU125JBW3_Main-Image.png?v=1633031095")</f>
        <v/>
      </c>
      <c r="H6910">
        <f>_xlfn.IMAGE("https://m.media-amazon.com/images/I/61pZ45bX2GL._AC_UL320_.jpg")</f>
        <v/>
      </c>
      <c r="K6910" t="inlineStr">
        <is>
          <t>34.97</t>
        </is>
      </c>
      <c r="L6910" t="n">
        <v>27</v>
      </c>
      <c r="M6910" s="1" t="inlineStr">
        <is>
          <t>-22.79%</t>
        </is>
      </c>
      <c r="N6910" s="7" t="n"/>
      <c r="O6910" t="n">
        <v>4.4</v>
      </c>
      <c r="P6910" t="n">
        <v>45</v>
      </c>
      <c r="R6910" t="inlineStr">
        <is>
          <t>InStock</t>
        </is>
      </c>
      <c r="S6910" t="inlineStr">
        <is>
          <t>43.53</t>
        </is>
      </c>
      <c r="T6910" t="inlineStr">
        <is>
          <t>6839865278637</t>
        </is>
      </c>
    </row>
    <row r="6911" ht="87" customHeight="1">
      <c r="A6911" s="2">
        <f>HYPERLINK("https://edmondsonsupply.com/collections/electricians-tools/products/diablo-tools-dos125bw3-1-1-4-in-starlock-bi-metal-oscillating-blades-for-nail-embedded-wood", "https://edmondsonsupply.com/collections/electricians-tools/products/diablo-tools-dos125bw3-1-1-4-in-starlock-bi-metal-oscillating-blades-for-nail-embedded-wood")</f>
        <v/>
      </c>
      <c r="B6911" s="2">
        <f>HYPERLINK("https://edmondsonsupply.com/products/diablo-tools-dos125bw3-1-1-4-in-starlock-bi-metal-oscillating-blades-for-nail-embedded-wood", "https://edmondsonsupply.com/products/diablo-tools-dos125bw3-1-1-4-in-starlock-bi-metal-oscillating-blades-for-nail-embedded-wood")</f>
        <v/>
      </c>
      <c r="C6911" t="inlineStr">
        <is>
          <t>Diablo Tools DOS125BW3 1-1/4 in. Starlock Bi-Metal Oscillating Blades for Nail-Embedded Wood</t>
        </is>
      </c>
      <c r="D6911" t="inlineStr">
        <is>
          <t>Diablo 1-1/4 in. Starlock Bi-Metal Oscillating Blades for Clean Wood (3-Pack)</t>
        </is>
      </c>
      <c r="E6911" s="2">
        <f>HYPERLINK("https://www.amazon.com/Diablo-DOS125JBW3-Starlock-Bi-Metal-Oscillating/dp/B089KWG9Z3/ref=sr_1_3?keywords=Diablo+Tools+DOS125BW3+1-1%2F4+in.+Starlock+Bi-Metal+Oscillating+Blades+for+Nail-Embedded+Wood&amp;qid=1694735197&amp;sr=8-3", "https://www.amazon.com/Diablo-DOS125JBW3-Starlock-Bi-Metal-Oscillating/dp/B089KWG9Z3/ref=sr_1_3?keywords=Diablo+Tools+DOS125BW3+1-1%2F4+in.+Starlock+Bi-Metal+Oscillating+Blades+for+Nail-Embedded+Wood&amp;qid=1694735197&amp;sr=8-3")</f>
        <v/>
      </c>
      <c r="F6911" t="inlineStr">
        <is>
          <t>B089KWG9Z3</t>
        </is>
      </c>
      <c r="G6911">
        <f>_xlfn.IMAGE("https://edmondsonsupply.com/cdn/shop/products/DOS125BW3_Main-Image.png?v=1633031100")</f>
        <v/>
      </c>
      <c r="H6911">
        <f>_xlfn.IMAGE("https://m.media-amazon.com/images/I/61pZ45bX2GL._AC_UL320_.jpg")</f>
        <v/>
      </c>
      <c r="K6911" t="inlineStr">
        <is>
          <t>34.97</t>
        </is>
      </c>
      <c r="L6911" t="n">
        <v>27</v>
      </c>
      <c r="M6911" s="1" t="inlineStr">
        <is>
          <t>-22.79%</t>
        </is>
      </c>
      <c r="N6911" s="7" t="n"/>
      <c r="O6911" t="n">
        <v>4.4</v>
      </c>
      <c r="P6911" t="n">
        <v>45</v>
      </c>
      <c r="R6911" t="inlineStr">
        <is>
          <t>InStock</t>
        </is>
      </c>
      <c r="S6911" t="inlineStr">
        <is>
          <t>40.25</t>
        </is>
      </c>
      <c r="T6911" t="inlineStr">
        <is>
          <t>6846091853997</t>
        </is>
      </c>
    </row>
    <row r="6912" hidden="1" ht="15.75" customHeight="1">
      <c r="A6912" s="2">
        <f>HYPERLINK("https://edmondsonsupply.com/collections/electricians-tools/products/channellock-528", "https://edmondsonsupply.com/collections/electricians-tools/products/channellock-528")</f>
        <v/>
      </c>
      <c r="B6912" s="2">
        <f>HYPERLINK("https://edmondsonsupply.com/products/channellock-528", "https://edmondsonsupply.com/products/channellock-528")</f>
        <v/>
      </c>
      <c r="C6912" t="inlineStr">
        <is>
          <t>Channellock 528 8-Inch Slip Joint Pliers</t>
        </is>
      </c>
      <c r="D6912" t="inlineStr">
        <is>
          <t>IRWIN VISE-GRIP Slip Joint Pliers, 6-Inch (2078406)</t>
        </is>
      </c>
      <c r="E6912" s="2">
        <f>HYPERLINK("https://www.amazon.com/Tools-VISE-GRIP-Pliers-6-Inch-2078406/dp/B000BDG8NY/ref=sr_1_46?keywords=Channellock+528+8-Inch+Slip+Joint+Pliers&amp;qid=1694735315&amp;sr=8-46", "https://www.amazon.com/Tools-VISE-GRIP-Pliers-6-Inch-2078406/dp/B000BDG8NY/ref=sr_1_46?keywords=Channellock+528+8-Inch+Slip+Joint+Pliers&amp;qid=1694735315&amp;sr=8-46")</f>
        <v/>
      </c>
      <c r="F6912" t="inlineStr">
        <is>
          <t>B000BDG8NY</t>
        </is>
      </c>
      <c r="G6912">
        <f>_xludf.IMAGE("https://edmondsonsupply.com/cdn/shop/products/528-683x1024.jpg?v=1633030323")</f>
        <v/>
      </c>
      <c r="H6912">
        <f>_xludf.IMAGE("https://m.media-amazon.com/images/I/61u-GBGRphL._AC_UL320_.jpg")</f>
        <v/>
      </c>
      <c r="K6912" t="inlineStr">
        <is>
          <t>12.95</t>
        </is>
      </c>
      <c r="L6912" t="n">
        <v>9.99</v>
      </c>
      <c r="M6912" s="1" t="inlineStr">
        <is>
          <t>-22.86%</t>
        </is>
      </c>
      <c r="N6912" s="1" t="n"/>
      <c r="O6912" t="n">
        <v>4.7</v>
      </c>
      <c r="P6912" t="n">
        <v>269</v>
      </c>
      <c r="R6912" t="inlineStr">
        <is>
          <t>InStock</t>
        </is>
      </c>
      <c r="S6912" t="inlineStr">
        <is>
          <t>17.55</t>
        </is>
      </c>
      <c r="T6912" t="inlineStr">
        <is>
          <t>5245868966056</t>
        </is>
      </c>
    </row>
    <row r="6913" ht="87" customHeight="1">
      <c r="A6913" s="2">
        <f>HYPERLINK("https://edmondsonsupply.com/collections/electricians-tools/products/klein-tools-d335-51-2c-5-long-needle-nose-pliers-extra-slim", "https://edmondsonsupply.com/collections/electricians-tools/products/klein-tools-d335-51-2c-5-long-needle-nose-pliers-extra-slim")</f>
        <v/>
      </c>
      <c r="B6913" s="2">
        <f>HYPERLINK("https://edmondsonsupply.com/products/klein-tools-d335-51-2c-5-long-needle-nose-pliers-extra-slim", "https://edmondsonsupply.com/products/klein-tools-d335-51-2c-5-long-needle-nose-pliers-extra-slim")</f>
        <v/>
      </c>
      <c r="C6913" t="inlineStr">
        <is>
          <t>Klein Tools D335-51/2C Pliers, Long Needle Nose Pliers, Extra Slim, 5-Inch</t>
        </is>
      </c>
      <c r="D6913" t="inlineStr">
        <is>
          <t>Klein Tools D307-51/2C Pliers, Needle Nose Pliers, Slim, 1/32-Inch Point Diameter, 5-Inch</t>
        </is>
      </c>
      <c r="E6913" s="2">
        <f>HYPERLINK("https://www.amazon.com/Long-Nose-Klein-Tools-D307-51-2C/dp/B000F0KC62/ref=sr_1_3?keywords=Klein+Tools+D335-51%2F2C+Pliers%2C+Long+Needle+Nose+Pliers%2C+Extra+Slim%2C+5-Inch&amp;qid=1694735354&amp;sr=8-3", "https://www.amazon.com/Long-Nose-Klein-Tools-D307-51-2C/dp/B000F0KC62/ref=sr_1_3?keywords=Klein+Tools+D335-51%2F2C+Pliers%2C+Long+Needle+Nose+Pliers%2C+Extra+Slim%2C+5-Inch&amp;qid=1694735354&amp;sr=8-3")</f>
        <v/>
      </c>
      <c r="F6913" t="inlineStr">
        <is>
          <t>B000F0KC62</t>
        </is>
      </c>
      <c r="G6913">
        <f>_xlfn.IMAGE("https://edmondsonsupply.com/cdn/shop/products/d335512c.jpg?v=1587142949")</f>
        <v/>
      </c>
      <c r="H6913">
        <f>_xlfn.IMAGE("https://m.media-amazon.com/images/I/41YXqSkA0QL._AC_UL320_.jpg")</f>
        <v/>
      </c>
      <c r="K6913" t="inlineStr">
        <is>
          <t>34.99</t>
        </is>
      </c>
      <c r="L6913" t="n">
        <v>26.99</v>
      </c>
      <c r="M6913" s="1" t="inlineStr">
        <is>
          <t>-22.86%</t>
        </is>
      </c>
      <c r="N6913" s="7" t="n"/>
      <c r="O6913" t="n">
        <v>4.6</v>
      </c>
      <c r="P6913" t="n">
        <v>194</v>
      </c>
      <c r="R6913" t="inlineStr">
        <is>
          <t>InStock</t>
        </is>
      </c>
      <c r="S6913" t="inlineStr">
        <is>
          <t>53.0</t>
        </is>
      </c>
      <c r="T6913" t="inlineStr">
        <is>
          <t>4432348774500</t>
        </is>
      </c>
    </row>
    <row r="6914" hidden="1" ht="15.75" customHeight="1">
      <c r="A6914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6914" s="2">
        <f>HYPERLINK("https://edmondsonsupply.com/products/diablo-tools-dag1110-7-8-in-x-7-1-2-in-auger-bit", "https://edmondsonsupply.com/products/diablo-tools-dag1110-7-8-in-x-7-1-2-in-auger-bit")</f>
        <v/>
      </c>
      <c r="C6914" t="inlineStr">
        <is>
          <t>Diablo Tools DAG1110 7/8 in. x 7-1/2 in. Auger Bit</t>
        </is>
      </c>
      <c r="D6914" t="inlineStr">
        <is>
          <t>BOSCH NKST14 7/8 In. x 7-1/2 In. Daredevil Auger Bit</t>
        </is>
      </c>
      <c r="E6914" s="2">
        <f>HYPERLINK("https://www.amazon.com/Bosch-Daredevil-NKST14-8-Inch-2-Inch/dp/B003BIFMNS/ref=sr_1_19?keywords=Diablo+Tools+DAG1110+7%2F8+in.+x+7-1%2F2+in.+Auger+Bit&amp;qid=1694735001&amp;sr=8-19", "https://www.amazon.com/Bosch-Daredevil-NKST14-8-Inch-2-Inch/dp/B003BIFMNS/ref=sr_1_19?keywords=Diablo+Tools+DAG1110+7%2F8+in.+x+7-1%2F2+in.+Auger+Bit&amp;qid=1694735001&amp;sr=8-19")</f>
        <v/>
      </c>
      <c r="F6914" t="inlineStr">
        <is>
          <t>B003BIFMNS</t>
        </is>
      </c>
      <c r="G6914">
        <f>_xludf.IMAGE("https://edmondsonsupply.com/cdn/shop/products/yel7mbaiyy08ii0assd5.webp?v=1680187136")</f>
        <v/>
      </c>
      <c r="H6914">
        <f>_xludf.IMAGE("https://m.media-amazon.com/images/I/61lV27tES2L._AC_UL320_.jpg")</f>
        <v/>
      </c>
      <c r="K6914" t="inlineStr">
        <is>
          <t>16.97</t>
        </is>
      </c>
      <c r="L6914" t="n">
        <v>13.09</v>
      </c>
      <c r="M6914" s="1" t="inlineStr">
        <is>
          <t>-22.86%</t>
        </is>
      </c>
      <c r="N6914" s="1" t="n"/>
      <c r="O6914" t="n">
        <v>4.6</v>
      </c>
      <c r="P6914" t="n">
        <v>342</v>
      </c>
      <c r="R6914" t="inlineStr">
        <is>
          <t>InStock</t>
        </is>
      </c>
      <c r="S6914" t="inlineStr">
        <is>
          <t>23.76</t>
        </is>
      </c>
      <c r="T6914" t="inlineStr">
        <is>
          <t>7970459549912</t>
        </is>
      </c>
    </row>
    <row r="6915" ht="87" customHeight="1">
      <c r="A6915" s="2">
        <f>HYPERLINK("https://edmondsonsupply.com/collections/electricians-tools/products/klein-tools-44001-blk-black-lightweight-lockback-knife-2-1-2-inch", "https://edmondsonsupply.com/collections/electricians-tools/products/klein-tools-44001-blk-black-lightweight-lockback-knife-2-1-2-inch")</f>
        <v/>
      </c>
      <c r="B6915" s="2">
        <f>HYPERLINK("https://edmondsonsupply.com/products/klein-tools-44001-blk-black-lightweight-lockback-knife-2-1-2-inch", "https://edmondsonsupply.com/products/klein-tools-44001-blk-black-lightweight-lockback-knife-2-1-2-inch")</f>
        <v/>
      </c>
      <c r="C6915" t="inlineStr">
        <is>
          <t>Klein Tools 44001-BLK Black Lightweight Lockback Knife, 2-1/2-Inch</t>
        </is>
      </c>
      <c r="D6915" t="inlineStr">
        <is>
          <t>Klein Tools 44000-BLK Black Lightweight Lockback Knife with Black Aluminum Handle, 2-1/4-Inch Drop-Point Blade</t>
        </is>
      </c>
      <c r="E6915" s="2">
        <f>HYPERLINK("https://www.amazon.com/Lightweight-Drop-Point-Klein-Tools-44000-BLK/dp/B0026TDUMS/ref=sr_1_2?keywords=Klein+Tools+44001-BLK+Black+Lightweight+Lockback+Knife%2C+2-1%2F2-Inch&amp;qid=1694735242&amp;sr=8-2", "https://www.amazon.com/Lightweight-Drop-Point-Klein-Tools-44000-BLK/dp/B0026TDUMS/ref=sr_1_2?keywords=Klein+Tools+44001-BLK+Black+Lightweight+Lockback+Knife%2C+2-1%2F2-Inch&amp;qid=1694735242&amp;sr=8-2")</f>
        <v/>
      </c>
      <c r="F6915" t="inlineStr">
        <is>
          <t>B0026TDUMS</t>
        </is>
      </c>
      <c r="G6915">
        <f>_xlfn.IMAGE("https://edmondsonsupply.com/cdn/shop/products/44001-blk.jpg?v=1633030819")</f>
        <v/>
      </c>
      <c r="H6915">
        <f>_xlfn.IMAGE("https://m.media-amazon.com/images/I/41ZZ37Tc5yS._AC_UL320_.jpg")</f>
        <v/>
      </c>
      <c r="K6915" t="inlineStr">
        <is>
          <t>47.99</t>
        </is>
      </c>
      <c r="L6915" t="n">
        <v>36.99</v>
      </c>
      <c r="M6915" s="1" t="inlineStr">
        <is>
          <t>-22.92%</t>
        </is>
      </c>
      <c r="N6915" s="7" t="n"/>
      <c r="O6915" t="n">
        <v>4.3</v>
      </c>
      <c r="P6915" t="n">
        <v>93</v>
      </c>
      <c r="R6915" t="inlineStr">
        <is>
          <t>InStock</t>
        </is>
      </c>
      <c r="S6915" t="inlineStr">
        <is>
          <t>72.98</t>
        </is>
      </c>
      <c r="T6915" t="inlineStr">
        <is>
          <t>6080581107885</t>
        </is>
      </c>
    </row>
    <row r="6916" hidden="1" ht="15.75" customHeight="1">
      <c r="A6916" s="2">
        <f>HYPERLINK("https://edmondsonsupply.com/collections/electricians-tools/products/diablo-tools-dmapl2910-5-32-in-x-3-1-2-in-x-6-in-sds-plus-full-carbide-head-concrete-anchor-hammer-drill-bit", "https://edmondsonsupply.com/collections/electricians-tools/products/diablo-tools-dmapl2910-5-32-in-x-3-1-2-in-x-6-in-sds-plus-full-carbide-head-concrete-anchor-hammer-drill-bit")</f>
        <v/>
      </c>
      <c r="B6916" s="2">
        <f>HYPERLINK("https://edmondsonsupply.com/products/diablo-tools-dmapl2910-5-32-in-x-3-1-2-in-x-6-in-sds-plus-full-carbide-head-concrete-anchor-hammer-drill-bit", "https://edmondsonsupply.com/products/diablo-tools-dmapl2910-5-32-in-x-3-1-2-in-x-6-in-sds-plus-full-carbide-head-concrete-anchor-hammer-drill-bit")</f>
        <v/>
      </c>
      <c r="C6916" t="inlineStr">
        <is>
          <t>Diablo Tools DMAPL2910 5/32 in. x 3‑1/2 in. x 6 in. SDS‑Plus Full Carbide Head Concrete Anchor Hammer Drill Bit</t>
        </is>
      </c>
      <c r="D6916" t="inlineStr">
        <is>
          <t>Diablo by Freud DMAPL2920 3/16 in. x 3-1/2 in. x 6 in. SDS-Plus Full Carbide Head Concrete Anchor Hammer Drill Bit Multi, One Size</t>
        </is>
      </c>
      <c r="E6916" s="2">
        <f>HYPERLINK("https://www.amazon.com/Diablo-Carbide-Concrete-Anchor-Hammer/dp/B089KWDK51/ref=sr_1_1?keywords=Diablo+Tools+DMAPL2910+5%2F32+in.+x+3%E2%80%911%2F2+in.+x+6+in.+SDS%E2%80%91Plus+Full+Carbide+Head+Concrete+Anchor+Hammer+Drill+Bit&amp;qid=1694735281&amp;sr=8-1", "https://www.amazon.com/Diablo-Carbide-Concrete-Anchor-Hammer/dp/B089KWDK51/ref=sr_1_1?keywords=Diablo+Tools+DMAPL2910+5%2F32+in.+x+3%E2%80%911%2F2+in.+x+6+in.+SDS%E2%80%91Plus+Full+Carbide+Head+Concrete+Anchor+Hammer+Drill+Bit&amp;qid=1694735281&amp;sr=8-1")</f>
        <v/>
      </c>
      <c r="F6916" t="inlineStr">
        <is>
          <t>B089KWDK51</t>
        </is>
      </c>
      <c r="G6916">
        <f>_xludf.IMAGE("https://edmondsonsupply.com/cdn/shop/products/DMAPL2910_Main-Image20200331.png?v=1633030466")</f>
        <v/>
      </c>
      <c r="H6916">
        <f>_xludf.IMAGE("https://m.media-amazon.com/images/I/61VCLLn-a7L._AC_UL320_.jpg")</f>
        <v/>
      </c>
      <c r="K6916" t="inlineStr">
        <is>
          <t>12.97</t>
        </is>
      </c>
      <c r="L6916" t="n">
        <v>9.99</v>
      </c>
      <c r="M6916" s="1" t="inlineStr">
        <is>
          <t>-22.98%</t>
        </is>
      </c>
      <c r="N6916" s="1" t="n"/>
      <c r="O6916" t="n">
        <v>3</v>
      </c>
      <c r="P6916" t="n">
        <v>1</v>
      </c>
      <c r="R6916" t="inlineStr">
        <is>
          <t>InStock</t>
        </is>
      </c>
      <c r="S6916" t="inlineStr">
        <is>
          <t>18.67</t>
        </is>
      </c>
      <c r="T6916" t="inlineStr">
        <is>
          <t>5364349960360</t>
        </is>
      </c>
    </row>
    <row r="6917" ht="87" customHeight="1">
      <c r="A6917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917" s="2">
        <f>HYPERLINK("https://edmondsonsupply.com/products/klein-tools-32307-27-in-1-multi-bit-tamperproof-screwdriver", "https://edmondsonsupply.com/products/klein-tools-32307-27-in-1-multi-bit-tamperproof-screwdriver")</f>
        <v/>
      </c>
      <c r="C6917" t="inlineStr">
        <is>
          <t>Klein Tools 32307 27-in-1 Multi-Bit Tamperproof Screwdriver</t>
        </is>
      </c>
      <c r="D6917" t="inlineStr">
        <is>
          <t>Klein Tools 32477 Multi-Bit Screwdriver / Nut Driver 10-in-1 Multi Tool, Industrial Strength Bits, Phillips, Slotted, Square and Torx Bits</t>
        </is>
      </c>
      <c r="E6917" s="2">
        <f>HYPERLINK("https://www.amazon.com/Screwdriver-Industrial-Strength-Klein-Tools/dp/B0002RI5EY/ref=sr_1_52?keywords=Klein+Tools+32307+27-in-1+Multi-Bit+Tamperproof+Screwdriver&amp;qid=1694735165&amp;sr=8-52", "https://www.amazon.com/Screwdriver-Industrial-Strength-Klein-Tools/dp/B0002RI5EY/ref=sr_1_52?keywords=Klein+Tools+32307+27-in-1+Multi-Bit+Tamperproof+Screwdriver&amp;qid=1694735165&amp;sr=8-52")</f>
        <v/>
      </c>
      <c r="F6917" t="inlineStr">
        <is>
          <t>B0002RI5EY</t>
        </is>
      </c>
      <c r="G6917">
        <f>_xlfn.IMAGE("https://edmondsonsupply.com/cdn/shop/products/32307.jpg?v=1647347524")</f>
        <v/>
      </c>
      <c r="H6917">
        <f>_xlfn.IMAGE("https://m.media-amazon.com/images/I/71LrIhqEXuL._AC_UL320_.jpg")</f>
        <v/>
      </c>
      <c r="K6917" t="inlineStr">
        <is>
          <t>25.97</t>
        </is>
      </c>
      <c r="L6917" t="n">
        <v>19.99</v>
      </c>
      <c r="M6917" s="1" t="inlineStr">
        <is>
          <t>-23.03%</t>
        </is>
      </c>
      <c r="N6917" s="7" t="n"/>
      <c r="O6917" t="n">
        <v>4.7</v>
      </c>
      <c r="P6917" t="n">
        <v>555</v>
      </c>
      <c r="R6917" t="inlineStr">
        <is>
          <t>InStock</t>
        </is>
      </c>
      <c r="S6917" t="inlineStr">
        <is>
          <t>36.38</t>
        </is>
      </c>
      <c r="T6917" t="inlineStr">
        <is>
          <t>7637266366680</t>
        </is>
      </c>
    </row>
    <row r="6918" ht="87" customHeight="1">
      <c r="A6918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6918" s="2">
        <f>HYPERLINK("https://edmondsonsupply.com/products/diablo-tools-dmapl2530-1-in-x-16-in-x-18-in-sds-plus-2-cutter", "https://edmondsonsupply.com/products/diablo-tools-dmapl2530-1-in-x-16-in-x-18-in-sds-plus-2-cutter")</f>
        <v/>
      </c>
      <c r="C6918" t="inlineStr">
        <is>
          <t>Diablo Tools DMAPL2530 1 in. x 16 in. x 18 in. SDS-Plus 2-Cutter</t>
        </is>
      </c>
      <c r="D6918" t="inlineStr">
        <is>
          <t>Sabre Tools 1 Inch x 18 Inch SDS Plus Rotary Hammer Drill Bit, Carbide Tipped for Brick, Stone, and Concrete (1" x 16" x 18")</t>
        </is>
      </c>
      <c r="E6918" s="2">
        <f>HYPERLINK("https://www.amazon.com/Sabre-Tools-Rotary-Carbide-Concrete/dp/B0BL1LGYZK/ref=sr_1_4?keywords=Diablo+Tools+DMAPL2530+1+in.+x+16+in.+x+18+in.+SDS-Plus+2-Cutter&amp;qid=1694735204&amp;sr=8-4", "https://www.amazon.com/Sabre-Tools-Rotary-Carbide-Concrete/dp/B0BL1LGYZK/ref=sr_1_4?keywords=Diablo+Tools+DMAPL2530+1+in.+x+16+in.+x+18+in.+SDS-Plus+2-Cutter&amp;qid=1694735204&amp;sr=8-4")</f>
        <v/>
      </c>
      <c r="F6918" t="inlineStr">
        <is>
          <t>B0BL1LGYZK</t>
        </is>
      </c>
      <c r="G6918">
        <f>_xlfn.IMAGE("https://edmondsonsupply.com/cdn/shop/products/DMAPL2530_Main-Image20200703.png?v=1627068300")</f>
        <v/>
      </c>
      <c r="H6918">
        <f>_xlfn.IMAGE("https://m.media-amazon.com/images/I/61D3l9KJTDL._AC_UL320_.jpg")</f>
        <v/>
      </c>
      <c r="K6918" t="inlineStr">
        <is>
          <t>38.97</t>
        </is>
      </c>
      <c r="L6918" t="n">
        <v>29.99</v>
      </c>
      <c r="M6918" s="1" t="inlineStr">
        <is>
          <t>-23.04%</t>
        </is>
      </c>
      <c r="N6918" s="7" t="n"/>
      <c r="O6918" t="n">
        <v>4.6</v>
      </c>
      <c r="P6918" t="n">
        <v>400</v>
      </c>
      <c r="R6918" t="inlineStr">
        <is>
          <t>InStock</t>
        </is>
      </c>
      <c r="S6918" t="inlineStr">
        <is>
          <t>50.56</t>
        </is>
      </c>
      <c r="T6918" t="inlineStr">
        <is>
          <t>6839623778477</t>
        </is>
      </c>
    </row>
    <row r="6919" ht="87" customHeight="1">
      <c r="A6919" s="2">
        <f>HYPERLINK("https://edmondsonsupply.com/collections/electricians-tools/products/crescent-tools-ccp8v-2-in-1-combo-dual-material-linesmans-pliers-and-wire-stripper", "https://edmondsonsupply.com/collections/electricians-tools/products/crescent-tools-ccp8v-2-in-1-combo-dual-material-linesmans-pliers-and-wire-stripper")</f>
        <v/>
      </c>
      <c r="B6919" s="2">
        <f>HYPERLINK("https://edmondsonsupply.com/products/crescent-tools-ccp8v-2-in-1-combo-dual-material-linesmans-pliers-and-wire-stripper", "https://edmondsonsupply.com/products/crescent-tools-ccp8v-2-in-1-combo-dual-material-linesmans-pliers-and-wire-stripper")</f>
        <v/>
      </c>
      <c r="C6919" t="inlineStr">
        <is>
          <t>Crescent Tools CCP8V 2-in-1 Combo Dual Material Linesman's Pliers and Wire Stripper</t>
        </is>
      </c>
      <c r="D6919" t="inlineStr">
        <is>
          <t>Crescent 2 in 1 Combo Dual Material Linesman's Pliers and Wire Stripper - CCP8V , Black</t>
        </is>
      </c>
      <c r="E6919" s="2">
        <f>HYPERLINK("https://www.amazon.com/Crescent-CCP8V-Material-Linesmans-Stripper/dp/B01CDJEDLW/ref=sr_1_1?keywords=Crescent+Tools+CCP8V+2-in-1+Combo+Dual+Material+Linesman%27s+Pliers+and+Wire+Stripper&amp;qid=1694735031&amp;sr=8-1", "https://www.amazon.com/Crescent-CCP8V-Material-Linesmans-Stripper/dp/B01CDJEDLW/ref=sr_1_1?keywords=Crescent+Tools+CCP8V+2-in-1+Combo+Dual+Material+Linesman%27s+Pliers+and+Wire+Stripper&amp;qid=1694735031&amp;sr=8-1")</f>
        <v/>
      </c>
      <c r="F6919" t="inlineStr">
        <is>
          <t>B01CDJEDLW</t>
        </is>
      </c>
      <c r="G6919">
        <f>_xlfn.IMAGE("https://edmondsonsupply.com/cdn/shop/products/CRS_CCP8V_IMG-MAIN.jpg?v=1678655204")</f>
        <v/>
      </c>
      <c r="H6919">
        <f>_xlfn.IMAGE("https://m.media-amazon.com/images/I/71Wl3sH00DL._AC_UL320_.jpg")</f>
        <v/>
      </c>
      <c r="K6919" t="inlineStr">
        <is>
          <t>34.19</t>
        </is>
      </c>
      <c r="L6919" t="n">
        <v>26.3</v>
      </c>
      <c r="M6919" s="1" t="inlineStr">
        <is>
          <t>-23.08%</t>
        </is>
      </c>
      <c r="N6919" s="7" t="n"/>
      <c r="O6919" t="n">
        <v>4.1</v>
      </c>
      <c r="P6919" t="n">
        <v>515</v>
      </c>
      <c r="R6919" t="inlineStr">
        <is>
          <t>InStock</t>
        </is>
      </c>
      <c r="S6919" t="inlineStr">
        <is>
          <t>60.2</t>
        </is>
      </c>
      <c r="T6919" t="inlineStr">
        <is>
          <t>7960786305240</t>
        </is>
      </c>
    </row>
    <row r="6920" hidden="1" ht="15.75" customHeight="1">
      <c r="A6920" s="2">
        <f>HYPERLINK("https://edmondsonsupply.com/collections/electricians-tools/products/milwaukee-2953-22-m18-fuel%E2%84%A2-1-4-hex-impact-driver-kit", "https://edmondsonsupply.com/collections/electricians-tools/products/milwaukee-2953-22-m18-fuel%E2%84%A2-1-4-hex-impact-driver-kit")</f>
        <v/>
      </c>
      <c r="B6920" s="2">
        <f>HYPERLINK("https://edmondsonsupply.com/products/milwaukee-2953-22-m18-fuel%e2%84%a2-1-4-hex-impact-driver-kit", "https://edmondsonsupply.com/products/milwaukee-2953-22-m18-fuel%e2%84%a2-1-4-hex-impact-driver-kit")</f>
        <v/>
      </c>
      <c r="C6920" t="inlineStr">
        <is>
          <t>Milwaukee 2953-22 M18 FUEL™ 1/4" Hex Impact Driver Kit</t>
        </is>
      </c>
      <c r="D6920" t="inlineStr">
        <is>
          <t>Milwaukee 2657-22 M18 2 Speed 1/4 Hex Impact Driver Xc Kit</t>
        </is>
      </c>
      <c r="E6920" s="2">
        <f>HYPERLINK("https://www.amazon.com/Milwaukee-2657-22-Speed-Impact-Driver/dp/B00IJY4WBC/ref=sr_1_41?keywords=Milwaukee+2953-22+M18+FUEL%E2%84%A2+1%2F4%22+Hex+Impact+Driver+Kit&amp;qid=1694735130&amp;sr=8-41", "https://www.amazon.com/Milwaukee-2657-22-Speed-Impact-Driver/dp/B00IJY4WBC/ref=sr_1_41?keywords=Milwaukee+2953-22+M18+FUEL%E2%84%A2+1%2F4%22+Hex+Impact+Driver+Kit&amp;qid=1694735130&amp;sr=8-41")</f>
        <v/>
      </c>
      <c r="F6920" t="inlineStr">
        <is>
          <t>B00IJY4WBC</t>
        </is>
      </c>
      <c r="G6920">
        <f>_xludf.IMAGE("https://edmondsonsupply.com/cdn/shop/products/29532022ImageReel2.webp?v=1663599746")</f>
        <v/>
      </c>
      <c r="H6920">
        <f>_xludf.IMAGE("https://m.media-amazon.com/images/I/51OpMu5Sj+L._AC_UL320_.jpg")</f>
        <v/>
      </c>
      <c r="K6920" t="inlineStr">
        <is>
          <t>299.0</t>
        </is>
      </c>
      <c r="L6920" t="n">
        <v>230</v>
      </c>
      <c r="M6920" s="1" t="inlineStr">
        <is>
          <t>-23.08%</t>
        </is>
      </c>
      <c r="N6920" s="1" t="n"/>
      <c r="O6920" t="n">
        <v>3.6</v>
      </c>
      <c r="P6920" t="n">
        <v>3</v>
      </c>
      <c r="R6920" t="inlineStr">
        <is>
          <t>InStock</t>
        </is>
      </c>
      <c r="S6920" t="inlineStr">
        <is>
          <t>556.0</t>
        </is>
      </c>
      <c r="T6920" t="inlineStr">
        <is>
          <t>7822930870488</t>
        </is>
      </c>
    </row>
    <row r="6921" ht="87" customHeight="1">
      <c r="A6921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921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921" t="inlineStr">
        <is>
          <t>Klein Tools 32801 5-in-1 Multi-Bit Screwdriver / Nut Driver, Heavy Duty</t>
        </is>
      </c>
      <c r="D6921" t="inlineStr">
        <is>
          <t>Klein Tools 32594 Multi-Bit Screwdriver / Nut Driver, 6-in-1 Stubby Tool with Phillips, Slotted and Square Bits and 2 Nut Driver Sizes</t>
        </is>
      </c>
      <c r="E6921" s="2">
        <f>HYPERLINK("https://www.amazon.com/Ratcheting-Screwdriver-Klein-Tools-32594/dp/B01I2KTKR8/ref=sr_1_23?keywords=Klein+Tools+32801+5-in-1+Multi-Bit+Screwdriver+%2F+Nut+Driver%2C+Heavy+Duty&amp;qid=1694735265&amp;sr=8-23", "https://www.amazon.com/Ratcheting-Screwdriver-Klein-Tools-32594/dp/B01I2KTKR8/ref=sr_1_23?keywords=Klein+Tools+32801+5-in-1+Multi-Bit+Screwdriver+%2F+Nut+Driver%2C+Heavy+Duty&amp;qid=1694735265&amp;sr=8-23")</f>
        <v/>
      </c>
      <c r="F6921" t="inlineStr">
        <is>
          <t>B01I2KTKR8</t>
        </is>
      </c>
      <c r="G6921">
        <f>_xlfn.IMAGE("https://edmondsonsupply.com/cdn/shop/products/32801.jpg?v=1633030677")</f>
        <v/>
      </c>
      <c r="H6921">
        <f>_xlfn.IMAGE("https://m.media-amazon.com/images/I/51pkI+hcIbL._AC_UL320_.jpg")</f>
        <v/>
      </c>
      <c r="K6921" t="inlineStr">
        <is>
          <t>19.97</t>
        </is>
      </c>
      <c r="L6921" t="n">
        <v>15.36</v>
      </c>
      <c r="M6921" s="1" t="inlineStr">
        <is>
          <t>-23.08%</t>
        </is>
      </c>
      <c r="N6921" s="7" t="n"/>
      <c r="O6921" t="n">
        <v>4.8</v>
      </c>
      <c r="P6921" t="n">
        <v>550</v>
      </c>
      <c r="R6921" t="inlineStr">
        <is>
          <t>InStock</t>
        </is>
      </c>
      <c r="S6921" t="inlineStr">
        <is>
          <t>32.18</t>
        </is>
      </c>
      <c r="T6921" t="inlineStr">
        <is>
          <t>5807274819752</t>
        </is>
      </c>
    </row>
    <row r="6922" ht="87" customHeight="1">
      <c r="A6922" s="2">
        <f>HYPERLINK("https://edmondsonsupply.com/collections/electricians-tools/products/klein-tools-ncvt1p-non-contact-voltage-tester-pen-50-to-1000v-ac", "https://edmondsonsupply.com/collections/electricians-tools/products/klein-tools-ncvt1p-non-contact-voltage-tester-pen-50-to-1000v-ac")</f>
        <v/>
      </c>
      <c r="B6922" s="2">
        <f>HYPERLINK("https://edmondsonsupply.com/products/klein-tools-ncvt1p-non-contact-voltage-tester-pen-50-to-1000v-ac", "https://edmondsonsupply.com/products/klein-tools-ncvt1p-non-contact-voltage-tester-pen-50-to-1000v-ac")</f>
        <v/>
      </c>
      <c r="C6922" t="inlineStr">
        <is>
          <t>Klein Tools NCVT1P Non-Contact Voltage Tester Pen, 50 to 1000V AC</t>
        </is>
      </c>
      <c r="D6922" t="inlineStr">
        <is>
          <t>Klein Tools NCVT1P Voltage Tester, Non-Contact Voltage Detector Pen, 50V to 1000V AC, Audible and Flashing LED Alarms, Pocket Clip,Green,Red,Green/Red/Yellow</t>
        </is>
      </c>
      <c r="E6922" s="2">
        <f>HYPERLINK("https://www.amazon.com/Non-Contact-Detector-Klein-Tools-NCVT1P/dp/B099SJ6469/ref=sr_1_fkmr0_1?keywords=Klein+Tools+NCVT1P+Non-Contact+Voltage+Tester+Pen%2C+50+to+1000V+AC&amp;qid=1694735101&amp;sr=8-1-fkmr0", "https://www.amazon.com/Non-Contact-Detector-Klein-Tools-NCVT1P/dp/B099SJ6469/ref=sr_1_fkmr0_1?keywords=Klein+Tools+NCVT1P+Non-Contact+Voltage+Tester+Pen%2C+50+to+1000V+AC&amp;qid=1694735101&amp;sr=8-1-fkmr0")</f>
        <v/>
      </c>
      <c r="F6922" t="inlineStr">
        <is>
          <t>B099SJ6469</t>
        </is>
      </c>
      <c r="G6922">
        <f>_xlfn.IMAGE("https://edmondsonsupply.com/cdn/shop/products/ncvt1p.jpg?v=1665668632")</f>
        <v/>
      </c>
      <c r="H6922">
        <f>_xlfn.IMAGE("https://m.media-amazon.com/images/I/412nrsDmOxL._AC_UL320_.jpg")</f>
        <v/>
      </c>
      <c r="K6922" t="inlineStr">
        <is>
          <t>19.97</t>
        </is>
      </c>
      <c r="L6922" t="n">
        <v>15.36</v>
      </c>
      <c r="M6922" s="1" t="inlineStr">
        <is>
          <t>-23.08%</t>
        </is>
      </c>
      <c r="N6922" s="7" t="n"/>
      <c r="O6922" t="n">
        <v>4.6</v>
      </c>
      <c r="P6922" t="n">
        <v>3415</v>
      </c>
      <c r="R6922" t="inlineStr">
        <is>
          <t>InStock</t>
        </is>
      </c>
      <c r="S6922" t="inlineStr">
        <is>
          <t>26.32</t>
        </is>
      </c>
      <c r="T6922" t="inlineStr">
        <is>
          <t>7851645075672</t>
        </is>
      </c>
    </row>
    <row r="6923" hidden="1" ht="15.75" customHeight="1">
      <c r="A6923" s="2">
        <f>HYPERLINK("https://edmondsonsupply.com/collections/electricians-tools/products/crescent-lufkin-1-3-16-x-25-command-control-series%E2%84%A2-yellow-clad-tape-measure", "https://edmondsonsupply.com/collections/electricians-tools/products/crescent-lufkin-1-3-16-x-25-command-control-series%E2%84%A2-yellow-clad-tape-measure")</f>
        <v/>
      </c>
      <c r="B6923" s="2">
        <f>HYPERLINK("https://edmondsonsupply.com/products/crescent-lufkin-1-3-16-x-25-command-control-series%e2%84%a2-yellow-clad-tape-measure", "https://edmondsonsupply.com/products/crescent-lufkin-1-3-16-x-25-command-control-series%e2%84%a2-yellow-clad-tape-measure")</f>
        <v/>
      </c>
      <c r="C6923" t="inlineStr">
        <is>
          <t>Crescent Lufkin L1025C-02 1-3/16" x 25' Command Control Series™ Yellow Clad Tape Measure</t>
        </is>
      </c>
      <c r="D6923" t="inlineStr">
        <is>
          <t>Crescent Lufkin 1-3/16 x 16' Command Control Series Yellow Clad Tape Measure - L1016C-02</t>
        </is>
      </c>
      <c r="E6923" s="2">
        <f>HYPERLINK("https://www.amazon.com/Crescent-Lufkin-Command-Control-Measure/dp/B09PGZ5TMN/ref=sr_1_5?keywords=Crescent+Lufkin+L1025C-02+1-3%2F16%22+x+25%27+Command+Control+Series%E2%84%A2+Yellow+Clad+Tape+Measure&amp;qid=1694735004&amp;sr=8-5", "https://www.amazon.com/Crescent-Lufkin-Command-Control-Measure/dp/B09PGZ5TMN/ref=sr_1_5?keywords=Crescent+Lufkin+L1025C-02+1-3%2F16%22+x+25%27+Command+Control+Series%E2%84%A2+Yellow+Clad+Tape+Measure&amp;qid=1694735004&amp;sr=8-5")</f>
        <v/>
      </c>
      <c r="F6923" t="inlineStr">
        <is>
          <t>B09PGZ5TMN</t>
        </is>
      </c>
      <c r="G6923">
        <f>_xludf.IMAGE("https://edmondsonsupply.com/cdn/shop/products/LFK_L1025C_4-SIDES_IMG-MAIN1.jpg?v=1680013140")</f>
        <v/>
      </c>
      <c r="H6923">
        <f>_xludf.IMAGE("https://m.media-amazon.com/images/I/71NBwAiNcdL._AC_UL320_.jpg")</f>
        <v/>
      </c>
      <c r="K6923" t="inlineStr">
        <is>
          <t>15.59</t>
        </is>
      </c>
      <c r="L6923" t="n">
        <v>11.99</v>
      </c>
      <c r="M6923" s="1" t="inlineStr">
        <is>
          <t>-23.09%</t>
        </is>
      </c>
      <c r="N6923" s="1" t="n"/>
      <c r="O6923" t="n">
        <v>3.8</v>
      </c>
      <c r="P6923" t="n">
        <v>35</v>
      </c>
      <c r="R6923" t="inlineStr">
        <is>
          <t>InStock</t>
        </is>
      </c>
      <c r="S6923" t="inlineStr">
        <is>
          <t>25.04</t>
        </is>
      </c>
      <c r="T6923" t="inlineStr">
        <is>
          <t>7968970866904</t>
        </is>
      </c>
    </row>
    <row r="6924" ht="87" customHeight="1">
      <c r="A6924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924" s="2">
        <f>HYPERLINK("https://edmondsonsupply.com/products/klein-tools-32307-27-in-1-multi-bit-tamperproof-screwdriver", "https://edmondsonsupply.com/products/klein-tools-32307-27-in-1-multi-bit-tamperproof-screwdriver")</f>
        <v/>
      </c>
      <c r="C6924" t="inlineStr">
        <is>
          <t>Klein Tools 32307 27-in-1 Multi-Bit Tamperproof Screwdriver</t>
        </is>
      </c>
      <c r="D6924" t="inlineStr">
        <is>
          <t>Klein Tools 32328 Precision Screwdriver, 27-in-1 Multi-Bit Screwdriver, Bits for Apple Product Repair, Rare-Earth Magnet</t>
        </is>
      </c>
      <c r="E6924" s="2">
        <f>HYPERLINK("https://www.amazon.com/Klein-Tools-32328-Screwdriver-Rare-Earth/dp/B09Z78CPK3/ref=sr_1_5?keywords=Klein+Tools+32307+27-in-1+Multi-Bit+Tamperproof+Screwdriver&amp;qid=1694735165&amp;sr=8-5", "https://www.amazon.com/Klein-Tools-32328-Screwdriver-Rare-Earth/dp/B09Z78CPK3/ref=sr_1_5?keywords=Klein+Tools+32307+27-in-1+Multi-Bit+Tamperproof+Screwdriver&amp;qid=1694735165&amp;sr=8-5")</f>
        <v/>
      </c>
      <c r="F6924" t="inlineStr">
        <is>
          <t>B09Z78CPK3</t>
        </is>
      </c>
      <c r="G6924">
        <f>_xlfn.IMAGE("https://edmondsonsupply.com/cdn/shop/products/32307.jpg?v=1647347524")</f>
        <v/>
      </c>
      <c r="H6924">
        <f>_xlfn.IMAGE("https://m.media-amazon.com/images/I/41AMJw8sOTL._AC_UL320_.jpg")</f>
        <v/>
      </c>
      <c r="K6924" t="inlineStr">
        <is>
          <t>25.97</t>
        </is>
      </c>
      <c r="L6924" t="n">
        <v>19.97</v>
      </c>
      <c r="M6924" s="1" t="inlineStr">
        <is>
          <t>-23.10%</t>
        </is>
      </c>
      <c r="N6924" s="7" t="n"/>
      <c r="O6924" t="n">
        <v>4.8</v>
      </c>
      <c r="P6924" t="n">
        <v>537</v>
      </c>
      <c r="R6924" t="inlineStr">
        <is>
          <t>InStock</t>
        </is>
      </c>
      <c r="S6924" t="inlineStr">
        <is>
          <t>36.38</t>
        </is>
      </c>
      <c r="T6924" t="inlineStr">
        <is>
          <t>7637266366680</t>
        </is>
      </c>
    </row>
    <row r="6925" ht="87" customHeight="1">
      <c r="A6925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925" s="2">
        <f>HYPERLINK("https://edmondsonsupply.com/products/klein-tools-32307-27-in-1-multi-bit-tamperproof-screwdriver", "https://edmondsonsupply.com/products/klein-tools-32307-27-in-1-multi-bit-tamperproof-screwdriver")</f>
        <v/>
      </c>
      <c r="C6925" t="inlineStr">
        <is>
          <t>Klein Tools 32307 27-in-1 Multi-Bit Tamperproof Screwdriver</t>
        </is>
      </c>
      <c r="D6925" t="inlineStr">
        <is>
          <t>Klein Tools 32327 Precision Screwdriver Set, 27-in-1 Multi-Bit Screwdriver with 26 Tamperproof Bits, Onboard Storage, Rare-Earth Magnet</t>
        </is>
      </c>
      <c r="E6925" s="2">
        <f>HYPERLINK("https://www.amazon.com/Klein-Tools-Precision-Screwdriver-Tamperproof/dp/B09SVP9NDQ/ref=sr_1_4?keywords=Klein+Tools+32307+27-in-1+Multi-Bit+Tamperproof+Screwdriver&amp;qid=1694735165&amp;sr=8-4", "https://www.amazon.com/Klein-Tools-Precision-Screwdriver-Tamperproof/dp/B09SVP9NDQ/ref=sr_1_4?keywords=Klein+Tools+32307+27-in-1+Multi-Bit+Tamperproof+Screwdriver&amp;qid=1694735165&amp;sr=8-4")</f>
        <v/>
      </c>
      <c r="F6925" t="inlineStr">
        <is>
          <t>B09SVP9NDQ</t>
        </is>
      </c>
      <c r="G6925">
        <f>_xlfn.IMAGE("https://edmondsonsupply.com/cdn/shop/products/32307.jpg?v=1647347524")</f>
        <v/>
      </c>
      <c r="H6925">
        <f>_xlfn.IMAGE("https://m.media-amazon.com/images/I/41eUHzyQqQL._AC_UL320_.jpg")</f>
        <v/>
      </c>
      <c r="K6925" t="inlineStr">
        <is>
          <t>25.97</t>
        </is>
      </c>
      <c r="L6925" t="n">
        <v>19.97</v>
      </c>
      <c r="M6925" s="1" t="inlineStr">
        <is>
          <t>-23.10%</t>
        </is>
      </c>
      <c r="N6925" s="7" t="n"/>
      <c r="O6925" t="n">
        <v>4.7</v>
      </c>
      <c r="P6925" t="n">
        <v>756</v>
      </c>
      <c r="R6925" t="inlineStr">
        <is>
          <t>InStock</t>
        </is>
      </c>
      <c r="S6925" t="inlineStr">
        <is>
          <t>36.38</t>
        </is>
      </c>
      <c r="T6925" t="inlineStr">
        <is>
          <t>7637266366680</t>
        </is>
      </c>
    </row>
    <row r="6926" ht="87" customHeight="1">
      <c r="A6926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926" s="2">
        <f>HYPERLINK("https://edmondsonsupply.com/products/klein-tools-32307-27-in-1-multi-bit-tamperproof-screwdriver", "https://edmondsonsupply.com/products/klein-tools-32307-27-in-1-multi-bit-tamperproof-screwdriver")</f>
        <v/>
      </c>
      <c r="C6926" t="inlineStr">
        <is>
          <t>Klein Tools 32307 27-in-1 Multi-Bit Tamperproof Screwdriver</t>
        </is>
      </c>
      <c r="D6926" t="inlineStr">
        <is>
          <t>Klein Tools 32303 Multi-Bit Screwdriver / Nut Driver, Impact Rated 14-in-1 Magnetic Screwdriver Set Phillips, Slotted, Square, Combo, Torx</t>
        </is>
      </c>
      <c r="E6926" s="2">
        <f>HYPERLINK("https://www.amazon.com/Klein-Tools-Multi-bit-Screwdriver-Adjustable/dp/B08KFM8833/ref=sr_1_10?keywords=Klein+Tools+32307+27-in-1+Multi-Bit+Tamperproof+Screwdriver&amp;qid=1694735165&amp;sr=8-10", "https://www.amazon.com/Klein-Tools-Multi-bit-Screwdriver-Adjustable/dp/B08KFM8833/ref=sr_1_10?keywords=Klein+Tools+32307+27-in-1+Multi-Bit+Tamperproof+Screwdriver&amp;qid=1694735165&amp;sr=8-10")</f>
        <v/>
      </c>
      <c r="F6926" t="inlineStr">
        <is>
          <t>B08KFM8833</t>
        </is>
      </c>
      <c r="G6926">
        <f>_xlfn.IMAGE("https://edmondsonsupply.com/cdn/shop/products/32307.jpg?v=1647347524")</f>
        <v/>
      </c>
      <c r="H6926">
        <f>_xlfn.IMAGE("https://m.media-amazon.com/images/I/51MWPRqx3sL._AC_UL320_.jpg")</f>
        <v/>
      </c>
      <c r="K6926" t="inlineStr">
        <is>
          <t>25.97</t>
        </is>
      </c>
      <c r="L6926" t="n">
        <v>19.97</v>
      </c>
      <c r="M6926" s="1" t="inlineStr">
        <is>
          <t>-23.10%</t>
        </is>
      </c>
      <c r="N6926" s="7" t="n"/>
      <c r="O6926" t="n">
        <v>4.6</v>
      </c>
      <c r="P6926" t="n">
        <v>2694</v>
      </c>
      <c r="R6926" t="inlineStr">
        <is>
          <t>InStock</t>
        </is>
      </c>
      <c r="S6926" t="inlineStr">
        <is>
          <t>36.38</t>
        </is>
      </c>
      <c r="T6926" t="inlineStr">
        <is>
          <t>7637266366680</t>
        </is>
      </c>
    </row>
    <row r="6927" ht="87" customHeight="1">
      <c r="A6927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6927" s="2">
        <f>HYPERLINK("https://edmondsonsupply.com/products/klein-tools-32307-27-in-1-multi-bit-tamperproof-screwdriver", "https://edmondsonsupply.com/products/klein-tools-32307-27-in-1-multi-bit-tamperproof-screwdriver")</f>
        <v/>
      </c>
      <c r="C6927" t="inlineStr">
        <is>
          <t>Klein Tools 32307 27-in-1 Multi-Bit Tamperproof Screwdriver</t>
        </is>
      </c>
      <c r="D6927" t="inlineStr">
        <is>
          <t>Klein Tools 32303 Multi-Bit Screwdriver / Nut Driver, Impact Rated 14-in-1 Magnetic Screwdriver Set Phillips, Slotted, Square, Combo, Torx</t>
        </is>
      </c>
      <c r="E6927" s="2" t="n"/>
      <c r="F6927" t="inlineStr">
        <is>
          <t>B08KFM8833</t>
        </is>
      </c>
      <c r="G6927">
        <f>_xlfn.IMAGE("https://edmondsonsupply.com/cdn/shop/products/32307.jpg?v=1647347524")</f>
        <v/>
      </c>
      <c r="H6927">
        <f>_xlfn.IMAGE("https://m.media-amazon.com/images/I/51MWPRqx3sL._AC_UL320_.jpg")</f>
        <v/>
      </c>
      <c r="K6927" t="inlineStr">
        <is>
          <t>25.97</t>
        </is>
      </c>
      <c r="L6927" t="n">
        <v>19.97</v>
      </c>
      <c r="M6927" s="1" t="inlineStr">
        <is>
          <t>-23.10%</t>
        </is>
      </c>
      <c r="N6927" s="7" t="n"/>
      <c r="O6927" t="n">
        <v>4.6</v>
      </c>
      <c r="P6927" t="n">
        <v>2694</v>
      </c>
      <c r="R6927" t="inlineStr">
        <is>
          <t>InStock</t>
        </is>
      </c>
      <c r="S6927" t="inlineStr">
        <is>
          <t>36.38</t>
        </is>
      </c>
      <c r="T6927" t="inlineStr">
        <is>
          <t>7637266366680</t>
        </is>
      </c>
    </row>
    <row r="6928" hidden="1" ht="15.75" customHeight="1">
      <c r="A6928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6928" s="2">
        <f>HYPERLINK("https://edmondsonsupply.com/products/milwaukee-48-22-1521-compact-folding-knife", "https://edmondsonsupply.com/products/milwaukee-48-22-1521-compact-folding-knife")</f>
        <v/>
      </c>
      <c r="C6928" t="inlineStr">
        <is>
          <t>Milwaukee 48-22-1521 Compact Folding Knife</t>
        </is>
      </c>
      <c r="D6928" t="inlineStr">
        <is>
          <t>Milwaukee 48-22-1500 Fastback Compact Folding Utility Knife</t>
        </is>
      </c>
      <c r="E6928" s="2">
        <f>HYPERLINK("https://www.amazon.com/Milwaukee-48-22-1500-Fastback-Compact-Folding/dp/B08127SPCX/ref=sr_1_1?keywords=Milwaukee+48-22-1521+Compact+Folding+Knife&amp;qid=1694735039&amp;sr=8-1", "https://www.amazon.com/Milwaukee-48-22-1500-Fastback-Compact-Folding/dp/B08127SPCX/ref=sr_1_1?keywords=Milwaukee+48-22-1521+Compact+Folding+Knife&amp;qid=1694735039&amp;sr=8-1")</f>
        <v/>
      </c>
      <c r="F6928" t="inlineStr">
        <is>
          <t>B08127SPCX</t>
        </is>
      </c>
      <c r="G6928">
        <f>_xludf.IMAGE("https://edmondsonsupply.com/cdn/shop/products/48-22-1521_1.webp?v=1675359641")</f>
        <v/>
      </c>
      <c r="H6928">
        <f>_xludf.IMAGE("https://m.media-amazon.com/images/I/51JoK6Sfw9L._AC_UL320_.jpg")</f>
        <v/>
      </c>
      <c r="K6928" t="inlineStr">
        <is>
          <t>12.97</t>
        </is>
      </c>
      <c r="L6928" t="n">
        <v>9.970000000000001</v>
      </c>
      <c r="M6928" s="1" t="inlineStr">
        <is>
          <t>-23.13%</t>
        </is>
      </c>
      <c r="N6928" s="1" t="n"/>
      <c r="O6928" t="n">
        <v>4.8</v>
      </c>
      <c r="P6928" t="n">
        <v>687</v>
      </c>
      <c r="R6928" t="inlineStr">
        <is>
          <t>InStock</t>
        </is>
      </c>
      <c r="S6928" t="inlineStr">
        <is>
          <t>15.5</t>
        </is>
      </c>
      <c r="T6928" t="inlineStr">
        <is>
          <t>7937891827928</t>
        </is>
      </c>
    </row>
    <row r="6929" hidden="1" ht="15.75" customHeight="1">
      <c r="A6929" s="2">
        <f>HYPERLINK("https://edmondsonsupply.com/collections/electricians-tools/products/greenlee-0153-02c", "https://edmondsonsupply.com/collections/electricians-tools/products/greenlee-0153-02c")</f>
        <v/>
      </c>
      <c r="B6929" s="2">
        <f>HYPERLINK("https://edmondsonsupply.com/products/greenlee-0153-02c", "https://edmondsonsupply.com/products/greenlee-0153-02c")</f>
        <v/>
      </c>
      <c r="C6929" t="inlineStr">
        <is>
          <t>Greenlee 0153-02C Screwdriver Set, 7-Piece</t>
        </is>
      </c>
      <c r="D6929" t="inlineStr">
        <is>
          <t>Greenlee 0153-03C Mini-Precision Screwdriver Set, 4 Piece &amp; Greenlee 0158-14 Canvas Zipper Bag</t>
        </is>
      </c>
      <c r="E6929" s="2">
        <f>HYPERLINK("https://www.amazon.com/Greenlee-0153-03C-Mini-Precision-Screwdriver-0158-14/dp/B07BG2JXWB/ref=sr_1_3?keywords=Greenlee+0153-02C+Screwdriver+Set%2C+7-Piece&amp;qid=1694735381&amp;sr=8-3", "https://www.amazon.com/Greenlee-0153-03C-Mini-Precision-Screwdriver-0158-14/dp/B07BG2JXWB/ref=sr_1_3?keywords=Greenlee+0153-02C+Screwdriver+Set%2C+7-Piece&amp;qid=1694735381&amp;sr=8-3")</f>
        <v/>
      </c>
      <c r="F6929" t="inlineStr">
        <is>
          <t>B07BG2JXWB</t>
        </is>
      </c>
      <c r="G6929">
        <f>_xludf.IMAGE("https://edmondsonsupply.com/cdn/shop/products/0153-02C.jpg?v=1587146985")</f>
        <v/>
      </c>
      <c r="H6929">
        <f>_xludf.IMAGE("https://m.media-amazon.com/images/I/61HqjTW9tGL._AC_UL320_.jpg")</f>
        <v/>
      </c>
      <c r="K6929" t="inlineStr">
        <is>
          <t>52.99</t>
        </is>
      </c>
      <c r="L6929" t="n">
        <v>40.72</v>
      </c>
      <c r="M6929" s="1" t="inlineStr">
        <is>
          <t>-23.16%</t>
        </is>
      </c>
      <c r="N6929" s="1" t="n"/>
      <c r="O6929" t="n">
        <v>3</v>
      </c>
      <c r="P6929" t="n">
        <v>5</v>
      </c>
      <c r="R6929" t="inlineStr">
        <is>
          <t>InStock</t>
        </is>
      </c>
      <c r="S6929" t="inlineStr">
        <is>
          <t>61.1</t>
        </is>
      </c>
      <c r="T6929" t="inlineStr">
        <is>
          <t>4418396455012</t>
        </is>
      </c>
    </row>
    <row r="6930" ht="87" customHeight="1">
      <c r="A6930" s="2">
        <f>HYPERLINK("https://edmondsonsupply.com/collections/electricians-tools/products/diablo-tools-dmamx1220", "https://edmondsonsupply.com/collections/electricians-tools/products/diablo-tools-dmamx1220")</f>
        <v/>
      </c>
      <c r="B6930" s="2">
        <f>HYPERLINK("https://edmondsonsupply.com/products/diablo-tools-dmamx1220", "https://edmondsonsupply.com/products/diablo-tools-dmamx1220")</f>
        <v/>
      </c>
      <c r="C6930" t="inlineStr">
        <is>
          <t>Diablo Tools DMAMX1220 1 in. x 16 in. x 21 in. Rebar Demon™ SDS-Max 4-Cutter Full Carbide Head Hammer Drill Bit</t>
        </is>
      </c>
      <c r="D6930" t="inlineStr">
        <is>
          <t>Diablo by Freud DMAMX1090 5/8 in. x 8 in. x 13 in. Rebar Demon SDS-Max 4-Cutter Full Carbide Head Hammer Bit</t>
        </is>
      </c>
      <c r="E6930" s="2">
        <f>HYPERLINK("https://www.amazon.com/Diablo-SDS-Max-4-Cutter-Carbide-Hammer/dp/B089LGB35P/ref=sr_1_27?keywords=Diablo+Tools+DMAMX1220+1+in.+x+16+in.+x+21+in.+Rebar+Demon%E2%84%A2+SDS-Max+4-Cutter+Full+Carbide+Head+Hammer+Drill+Bit&amp;qid=1694735075&amp;sr=8-27", "https://www.amazon.com/Diablo-SDS-Max-4-Cutter-Carbide-Hammer/dp/B089LGB35P/ref=sr_1_27?keywords=Diablo+Tools+DMAMX1220+1+in.+x+16+in.+x+21+in.+Rebar+Demon%E2%84%A2+SDS-Max+4-Cutter+Full+Carbide+Head+Hammer+Drill+Bit&amp;qid=1694735075&amp;sr=8-27")</f>
        <v/>
      </c>
      <c r="F6930" t="inlineStr">
        <is>
          <t>B089LGB35P</t>
        </is>
      </c>
      <c r="G6930">
        <f>_xlfn.IMAGE("https://edmondsonsupply.com/cdn/shop/products/immoyh7jjmbau4fzhuq6.webp?v=1670431066")</f>
        <v/>
      </c>
      <c r="H6930">
        <f>_xlfn.IMAGE("https://m.media-amazon.com/images/I/61Wr1t8FMOL._AC_UL320_.jpg")</f>
        <v/>
      </c>
      <c r="K6930" t="inlineStr">
        <is>
          <t>45.69</t>
        </is>
      </c>
      <c r="L6930" t="n">
        <v>35.1</v>
      </c>
      <c r="M6930" s="1" t="inlineStr">
        <is>
          <t>-23.18%</t>
        </is>
      </c>
      <c r="N6930" s="7" t="n"/>
      <c r="O6930" t="n">
        <v>4.2</v>
      </c>
      <c r="P6930" t="n">
        <v>5</v>
      </c>
      <c r="R6930" t="inlineStr">
        <is>
          <t>InStock</t>
        </is>
      </c>
      <c r="S6930" t="inlineStr">
        <is>
          <t>70.58</t>
        </is>
      </c>
      <c r="T6930" t="inlineStr">
        <is>
          <t>7900195356888</t>
        </is>
      </c>
    </row>
    <row r="6931" ht="87" customHeight="1">
      <c r="A6931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6931" s="2">
        <f>HYPERLINK("https://edmondsonsupply.com/products/klein-tools-9225-tape-measure-25-foot-magnetic-double-hook", "https://edmondsonsupply.com/products/klein-tools-9225-tape-measure-25-foot-magnetic-double-hook")</f>
        <v/>
      </c>
      <c r="C6931" t="inlineStr">
        <is>
          <t>Klein Tools 9225 Tape Measure, 25-Foot Magnetic Double-Hook</t>
        </is>
      </c>
      <c r="D6931" t="inlineStr">
        <is>
          <t>Klein Tools 9216 Tape Measure, Heavy-Duty Measuring Tape with 16-Foot Double-Hook Double-Sided Nylon Reinforced Blade, with Metal Belt Clip</t>
        </is>
      </c>
      <c r="E6931" s="2">
        <f>HYPERLINK("https://www.amazon.com/Klein-Tools-Measure-Magnetic-Double-Hook/dp/B07WHF9LWP/ref=sr_1_10?keywords=Klein+Tools+9225+Tape+Measure%2C+25-Foot+Magnetic+Double-Hook&amp;qid=1694735384&amp;sr=8-10", "https://www.amazon.com/Klein-Tools-Measure-Magnetic-Double-Hook/dp/B07WHF9LWP/ref=sr_1_10?keywords=Klein+Tools+9225+Tape+Measure%2C+25-Foot+Magnetic+Double-Hook&amp;qid=1694735384&amp;sr=8-10")</f>
        <v/>
      </c>
      <c r="F6931" t="inlineStr">
        <is>
          <t>B07WHF9LWP</t>
        </is>
      </c>
      <c r="G6931">
        <f>_xlfn.IMAGE("https://edmondsonsupply.com/cdn/shop/products/9225_photo.jpg?v=1587146541")</f>
        <v/>
      </c>
      <c r="H6931">
        <f>_xlfn.IMAGE("https://m.media-amazon.com/images/I/511ZtYuRbfL._AC_UL320_.jpg")</f>
        <v/>
      </c>
      <c r="K6931" t="inlineStr">
        <is>
          <t>29.97</t>
        </is>
      </c>
      <c r="L6931" t="n">
        <v>22.97</v>
      </c>
      <c r="M6931" s="1" t="inlineStr">
        <is>
          <t>-23.36%</t>
        </is>
      </c>
      <c r="N6931" s="7" t="n"/>
      <c r="O6931" t="n">
        <v>4.6</v>
      </c>
      <c r="P6931" t="n">
        <v>1083</v>
      </c>
      <c r="R6931" t="inlineStr">
        <is>
          <t>InStock</t>
        </is>
      </c>
      <c r="S6931" t="inlineStr">
        <is>
          <t>37.02</t>
        </is>
      </c>
      <c r="T6931" t="inlineStr">
        <is>
          <t>4411542175844</t>
        </is>
      </c>
    </row>
    <row r="6932" ht="87" customHeight="1">
      <c r="A6932" s="2">
        <f>HYPERLINK("https://edmondsonsupply.com/collections/electricians-tools/products/milwaukee-2836-20-m18-fuel%E2%84%A2-oscillating-multi-tool", "https://edmondsonsupply.com/collections/electricians-tools/products/milwaukee-2836-20-m18-fuel%E2%84%A2-oscillating-multi-tool")</f>
        <v/>
      </c>
      <c r="B6932" s="2">
        <f>HYPERLINK("https://edmondsonsupply.com/products/milwaukee-2836-20-m18-fuel%e2%84%a2-oscillating-multi-tool", "https://edmondsonsupply.com/products/milwaukee-2836-20-m18-fuel%e2%84%a2-oscillating-multi-tool")</f>
        <v/>
      </c>
      <c r="C6932" t="inlineStr">
        <is>
          <t>Milwaukee 2836-20 M18 FUEL™ Oscillating Multi-Tool</t>
        </is>
      </c>
      <c r="D6932" t="inlineStr">
        <is>
          <t>Milwaukee 2836-20 M18 FUEL Brushless Lithium-Ion Cordless Oscillating Multi-Tool (Tool Only)</t>
        </is>
      </c>
      <c r="E6932" s="2">
        <f>HYPERLINK("https://www.amazon.com/Milwaukee-2836-20-Lithium-Ion-Oscillating-Multi-Tool/dp/B09RXZXR4R/ref=sr_1_1?keywords=Milwaukee+2836-20+M18+FUEL%E2%84%A2+Oscillating+Multi-Tool&amp;qid=1694735052&amp;sr=8-1", "https://www.amazon.com/Milwaukee-2836-20-Lithium-Ion-Oscillating-Multi-Tool/dp/B09RXZXR4R/ref=sr_1_1?keywords=Milwaukee+2836-20+M18+FUEL%E2%84%A2+Oscillating+Multi-Tool&amp;qid=1694735052&amp;sr=8-1")</f>
        <v/>
      </c>
      <c r="F6932" t="inlineStr">
        <is>
          <t>B09RXZXR4R</t>
        </is>
      </c>
      <c r="G6932">
        <f>_xlfn.IMAGE("https://edmondsonsupply.com/cdn/shop/products/2836-20_1.webp?v=1674150495")</f>
        <v/>
      </c>
      <c r="H6932">
        <f>_xlfn.IMAGE("https://m.media-amazon.com/images/I/71YLpR-uiiL._AC_UL320_.jpg")</f>
        <v/>
      </c>
      <c r="K6932" t="inlineStr">
        <is>
          <t>229.0</t>
        </is>
      </c>
      <c r="L6932" t="n">
        <v>175.49</v>
      </c>
      <c r="M6932" s="1" t="inlineStr">
        <is>
          <t>-23.37%</t>
        </is>
      </c>
      <c r="N6932" s="7" t="n"/>
      <c r="O6932" t="n">
        <v>4.7</v>
      </c>
      <c r="P6932" t="n">
        <v>224</v>
      </c>
      <c r="R6932" t="inlineStr">
        <is>
          <t>InStock</t>
        </is>
      </c>
      <c r="S6932" t="inlineStr">
        <is>
          <t>380.0</t>
        </is>
      </c>
      <c r="T6932" t="inlineStr">
        <is>
          <t>7926960619736</t>
        </is>
      </c>
    </row>
    <row r="6933" hidden="1" ht="15.75" customHeight="1">
      <c r="A6933" s="2">
        <f>HYPERLINK("https://edmondsonsupply.com/collections/electricians-tools/products/klein-tools-66077-flip-impact-socket-7-16-and-3-8-inch", "https://edmondsonsupply.com/collections/electricians-tools/products/klein-tools-66077-flip-impact-socket-7-16-and-3-8-inch")</f>
        <v/>
      </c>
      <c r="B6933" s="2">
        <f>HYPERLINK("https://edmondsonsupply.com/products/klein-tools-66077-flip-impact-socket-7-16-and-3-8-inch", "https://edmondsonsupply.com/products/klein-tools-66077-flip-impact-socket-7-16-and-3-8-inch")</f>
        <v/>
      </c>
      <c r="C6933" t="inlineStr">
        <is>
          <t>Klein Tools 66077 Flip Impact Socket, 7/16 and 3/8-Inch</t>
        </is>
      </c>
      <c r="D6933" t="inlineStr">
        <is>
          <t>Klein Tools 32766 Impact Driver, 3-in-1 Impact Flip Socket and Bit Holder, 1 /4-Inch and 5/16-Inch Hex Drivers, 3-Inch Length</t>
        </is>
      </c>
      <c r="E6933" s="2">
        <f>HYPERLINK("https://www.amazon.com/Klein-Tools-32766-16-Inch-Drivers/dp/B09R2L4GFJ/ref=sr_1_10?keywords=Klein+Tools+66077+Flip+Impact+Socket%2C+7%2F16+and+3%2F8-Inch&amp;qid=1694735129&amp;sr=8-10", "https://www.amazon.com/Klein-Tools-32766-16-Inch-Drivers/dp/B09R2L4GFJ/ref=sr_1_10?keywords=Klein+Tools+66077+Flip+Impact+Socket%2C+7%2F16+and+3%2F8-Inch&amp;qid=1694735129&amp;sr=8-10")</f>
        <v/>
      </c>
      <c r="F6933" t="inlineStr">
        <is>
          <t>B09R2L4GFJ</t>
        </is>
      </c>
      <c r="G6933">
        <f>_xludf.IMAGE("https://edmondsonsupply.com/cdn/shop/products/66077.jpg?v=1663082226")</f>
        <v/>
      </c>
      <c r="H6933">
        <f>_xludf.IMAGE("https://m.media-amazon.com/images/I/41MLWTR6goL._AC_UL320_.jpg")</f>
        <v/>
      </c>
      <c r="K6933" t="inlineStr">
        <is>
          <t>10.43</t>
        </is>
      </c>
      <c r="L6933" t="n">
        <v>7.99</v>
      </c>
      <c r="M6933" s="1" t="inlineStr">
        <is>
          <t>-23.39%</t>
        </is>
      </c>
      <c r="N6933" s="1" t="n"/>
      <c r="O6933" t="n">
        <v>4.5</v>
      </c>
      <c r="P6933" t="n">
        <v>1240</v>
      </c>
      <c r="R6933" t="inlineStr">
        <is>
          <t>InStock</t>
        </is>
      </c>
      <c r="S6933" t="inlineStr">
        <is>
          <t>14.6</t>
        </is>
      </c>
      <c r="T6933" t="inlineStr">
        <is>
          <t>7814113165528</t>
        </is>
      </c>
    </row>
    <row r="6934" ht="87" customHeight="1">
      <c r="A6934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6934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6934" t="inlineStr">
        <is>
          <t>Diablo Tools DOU250JBW3 2-1/2 in. Universal Fit Bi-Metal Oscillating Blade for Clean Wood (3 pk)</t>
        </is>
      </c>
      <c r="D6934" t="inlineStr">
        <is>
          <t>Diablo DOU125BW3 1-1/4 in. Universal Fit Bi-Metal Oscillating Blades for Nail-Embedded Wood (3-Pack)</t>
        </is>
      </c>
      <c r="E6934" s="2">
        <f>HYPERLINK("https://www.amazon.com/Diablo-Universal-Bi-Metal-Blades-Nail-Embedded/dp/B089KW2WVD/ref=sr_1_4?keywords=Diablo+Tools+DOU250JBW3+2-1%2F2+in.+Universal+Fit+Bi-Metal+Oscillating+Blade+for+Clean+Wood+%283+pk%29&amp;qid=1694734992&amp;sr=8-4", "https://www.amazon.com/Diablo-Universal-Bi-Metal-Blades-Nail-Embedded/dp/B089KW2WVD/ref=sr_1_4?keywords=Diablo+Tools+DOU250JBW3+2-1%2F2+in.+Universal+Fit+Bi-Metal+Oscillating+Blade+for+Clean+Wood+%283+pk%29&amp;qid=1694734992&amp;sr=8-4")</f>
        <v/>
      </c>
      <c r="F6934" t="inlineStr">
        <is>
          <t>B089KW2WVD</t>
        </is>
      </c>
      <c r="G6934">
        <f>_xlfn.IMAGE("https://edmondsonsupply.com/cdn/shop/files/pycnap4eb1urn2hxvudq_1.webp?v=1685719587")</f>
        <v/>
      </c>
      <c r="H6934">
        <f>_xlfn.IMAGE("https://m.media-amazon.com/images/I/613ig7mNjfL._AC_UL320_.jpg")</f>
        <v/>
      </c>
      <c r="K6934" t="inlineStr">
        <is>
          <t>31.32</t>
        </is>
      </c>
      <c r="L6934" t="n">
        <v>23.99</v>
      </c>
      <c r="M6934" s="1" t="inlineStr">
        <is>
          <t>-23.40%</t>
        </is>
      </c>
      <c r="N6934" s="7" t="n"/>
      <c r="O6934" t="n">
        <v>4.6</v>
      </c>
      <c r="P6934" t="n">
        <v>147</v>
      </c>
      <c r="R6934" t="inlineStr">
        <is>
          <t>InStock</t>
        </is>
      </c>
      <c r="S6934" t="inlineStr">
        <is>
          <t>49.72</t>
        </is>
      </c>
      <c r="T6934" t="inlineStr">
        <is>
          <t>7999575654616</t>
        </is>
      </c>
    </row>
    <row r="6935" ht="87" customHeight="1">
      <c r="A6935" s="2">
        <f>HYPERLINK("https://edmondsonsupply.com/collections/electricians-tools/products/copy-of-diablo-tools-d1280x-12-in-x-80-tooth-fine-finish-saw-blade", "https://edmondsonsupply.com/collections/electricians-tools/products/copy-of-diablo-tools-d1280x-12-in-x-80-tooth-fine-finish-saw-blade")</f>
        <v/>
      </c>
      <c r="B6935" s="2">
        <f>HYPERLINK("https://edmondsonsupply.com/products/copy-of-diablo-tools-d1280x-12-in-x-80-tooth-fine-finish-saw-blade", "https://edmondsonsupply.com/products/copy-of-diablo-tools-d1280x-12-in-x-80-tooth-fine-finish-saw-blade")</f>
        <v/>
      </c>
      <c r="C6935" t="inlineStr">
        <is>
          <t>Diablo Tools D1080X 10 in. x 80 Tooth Ultra Finish Saw Blade</t>
        </is>
      </c>
      <c r="D6935" t="inlineStr">
        <is>
          <t>WEN BL1080C Apex 10-Inch 80-Tooth Carbide-Tipped Ultra-Fine-Finish Industrial-Grade Woodworking Saw Blade with Cool-Cut Coating, Black</t>
        </is>
      </c>
      <c r="E6935" s="2">
        <f>HYPERLINK("https://www.amazon.com/WEN-BL1080C-Carbide-Tipped-Ultra-Fine-Finish-Industrial-Grade/dp/B08SQB412C/ref=sr_1_17?keywords=Diablo+Tools+D1080X+10+in.+x+80+Tooth+Ultra+Finish+Saw+Blade&amp;qid=1694735315&amp;sr=8-17", "https://www.amazon.com/WEN-BL1080C-Carbide-Tipped-Ultra-Fine-Finish-Industrial-Grade/dp/B08SQB412C/ref=sr_1_17?keywords=Diablo+Tools+D1080X+10+in.+x+80+Tooth+Ultra+Finish+Saw+Blade&amp;qid=1694735315&amp;sr=8-17")</f>
        <v/>
      </c>
      <c r="F6935" t="inlineStr">
        <is>
          <t>B08SQB412C</t>
        </is>
      </c>
      <c r="G6935">
        <f>_xlfn.IMAGE("https://edmondsonsupply.com/cdn/shop/products/D1080X_Main-Image20191112.png?v=1633030269")</f>
        <v/>
      </c>
      <c r="H6935">
        <f>_xlfn.IMAGE("https://m.media-amazon.com/images/I/81ULsqA81KL._AC_UL320_.jpg")</f>
        <v/>
      </c>
      <c r="K6935" t="inlineStr">
        <is>
          <t>49.97</t>
        </is>
      </c>
      <c r="L6935" t="n">
        <v>38.27</v>
      </c>
      <c r="M6935" s="1" t="inlineStr">
        <is>
          <t>-23.41%</t>
        </is>
      </c>
      <c r="N6935" s="7" t="n"/>
      <c r="O6935" t="n">
        <v>4.2</v>
      </c>
      <c r="P6935" t="n">
        <v>31</v>
      </c>
      <c r="R6935" t="inlineStr">
        <is>
          <t>InStock</t>
        </is>
      </c>
      <c r="S6935" t="inlineStr">
        <is>
          <t>80.45</t>
        </is>
      </c>
      <c r="T6935" t="inlineStr">
        <is>
          <t>4681043050596</t>
        </is>
      </c>
    </row>
    <row r="6936" hidden="1" ht="15.75" customHeight="1">
      <c r="A6936" s="2">
        <f>HYPERLINK("https://edmondsonsupply.com/collections/electricians-tools/products/diablo-tools-d0536x-5-3-8-in-x-36-tooth-finish-trim-saw-blade", "https://edmondsonsupply.com/collections/electricians-tools/products/diablo-tools-d0536x-5-3-8-in-x-36-tooth-finish-trim-saw-blade")</f>
        <v/>
      </c>
      <c r="B6936" s="2">
        <f>HYPERLINK("https://edmondsonsupply.com/products/diablo-tools-d0536x-5-3-8-in-x-36-tooth-finish-trim-saw-blade", "https://edmondsonsupply.com/products/diablo-tools-d0536x-5-3-8-in-x-36-tooth-finish-trim-saw-blade")</f>
        <v/>
      </c>
      <c r="C6936" t="inlineStr">
        <is>
          <t>Diablo Tools D0536X 5-3/8 in. x 36 Tooth Finish Trim Saw Blade</t>
        </is>
      </c>
      <c r="D6936" t="inlineStr">
        <is>
          <t>5-1/2 Inch 36 Tooth ATB Finishing and Trimming Saw Blade, Cordless Trim Saw Blade with 5/8-Inch Arbor (1/2-Inch and 10-mm Reducer Bushings Include) - 2 Pack</t>
        </is>
      </c>
      <c r="E6936" s="2">
        <f>HYPERLINK("https://www.amazon.com/Finishing-Trimming-Cordless-Reducer-Bushings/dp/B09SNWFG5W/ref=sr_1_13?keywords=Diablo+Tools+D0536X+5-3%2F8+in.+x+36+Tooth+Finish+Trim+Saw+Blade&amp;qid=1694735017&amp;sr=8-13", "https://www.amazon.com/Finishing-Trimming-Cordless-Reducer-Bushings/dp/B09SNWFG5W/ref=sr_1_13?keywords=Diablo+Tools+D0536X+5-3%2F8+in.+x+36+Tooth+Finish+Trim+Saw+Blade&amp;qid=1694735017&amp;sr=8-13")</f>
        <v/>
      </c>
      <c r="F6936" t="inlineStr">
        <is>
          <t>B09SNWFG5W</t>
        </is>
      </c>
      <c r="G6936">
        <f>_xludf.IMAGE("https://edmondsonsupply.com/cdn/shop/products/tlu1mfykudka2gxayxql.webp?v=1679326425")</f>
        <v/>
      </c>
      <c r="H6936">
        <f>_xludf.IMAGE("https://m.media-amazon.com/images/I/61VOV9F5EdL._AC_UL320_.jpg")</f>
        <v/>
      </c>
      <c r="K6936" t="inlineStr">
        <is>
          <t>16.97</t>
        </is>
      </c>
      <c r="L6936" t="n">
        <v>12.99</v>
      </c>
      <c r="M6936" s="1" t="inlineStr">
        <is>
          <t>-23.45%</t>
        </is>
      </c>
      <c r="N6936" s="1" t="n"/>
      <c r="O6936" t="n">
        <v>4.5</v>
      </c>
      <c r="P6936" t="n">
        <v>1916</v>
      </c>
      <c r="R6936" t="inlineStr">
        <is>
          <t>InStock</t>
        </is>
      </c>
      <c r="S6936" t="inlineStr">
        <is>
          <t>26.04</t>
        </is>
      </c>
      <c r="T6936" t="inlineStr">
        <is>
          <t>7964916482264</t>
        </is>
      </c>
    </row>
    <row r="6937" hidden="1" ht="15.75" customHeight="1">
      <c r="A6937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6937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6937" t="inlineStr">
        <is>
          <t>Diablo Tools DMAPL4100 1/4 in. x 16 in. x 18 in. Rebar Demon™ SDS‑Plus 4‑Cutter Full Carbide Head Hammer Bit</t>
        </is>
      </c>
      <c r="D6937" t="inlineStr">
        <is>
          <t>Diablo DMAPL4120 5/16 in. x 10 in. x 12 in. Rebar Demon™ SDS-Plus 4-Cutter Full Carbide Head Hammer Bit</t>
        </is>
      </c>
      <c r="E6937" s="2">
        <f>HYPERLINK("https://www.amazon.com/Diablo-SDS-Plus-4-Cutter-Carbide-Hammer/dp/B089KTHL12/ref=sr_1_11?keywords=Diablo+Tools+DMAPL4100+1%2F4+in.+x+16+in.+x+18+in.+Rebar+Demon%E2%84%A2+SDS%E2%80%91Plus+4%E2%80%91Cutter+Full+Carbide+Head+Hammer+Bit&amp;qid=1694735272&amp;sr=8-11", "https://www.amazon.com/Diablo-SDS-Plus-4-Cutter-Carbide-Hammer/dp/B089KTHL12/ref=sr_1_11?keywords=Diablo+Tools+DMAPL4100+1%2F4+in.+x+16+in.+x+18+in.+Rebar+Demon%E2%84%A2+SDS%E2%80%91Plus+4%E2%80%91Cutter+Full+Carbide+Head+Hammer+Bit&amp;qid=1694735272&amp;sr=8-11")</f>
        <v/>
      </c>
      <c r="F6937" t="inlineStr">
        <is>
          <t>B089KTHL12</t>
        </is>
      </c>
      <c r="G6937">
        <f>_xludf.IMAGE("https://edmondsonsupply.com/cdn/shop/products/DMAPL4100_Main-Image20200701.png?v=1633030520")</f>
        <v/>
      </c>
      <c r="H6937">
        <f>_xludf.IMAGE("https://m.media-amazon.com/images/I/61P8b1v1TBL._AC_UL320_.jpg")</f>
        <v/>
      </c>
      <c r="K6937" t="inlineStr">
        <is>
          <t>16.97</t>
        </is>
      </c>
      <c r="L6937" t="n">
        <v>12.99</v>
      </c>
      <c r="M6937" s="1" t="inlineStr">
        <is>
          <t>-23.45%</t>
        </is>
      </c>
      <c r="N6937" s="1" t="n"/>
      <c r="O6937" t="n">
        <v>5</v>
      </c>
      <c r="P6937" t="n">
        <v>6</v>
      </c>
      <c r="R6937" t="inlineStr">
        <is>
          <t>InStock</t>
        </is>
      </c>
      <c r="S6937" t="inlineStr">
        <is>
          <t>undefined</t>
        </is>
      </c>
      <c r="T6937" t="inlineStr">
        <is>
          <t>5399840882856</t>
        </is>
      </c>
    </row>
    <row r="6938" ht="87" customHeight="1">
      <c r="A6938" s="2">
        <f>HYPERLINK("https://edmondsonsupply.com/collections/electricians-tools/products/klein-tools-65129-2-in-1-nut-driver-hex-head-slide-drive%E2%84%A2-6-inch", "https://edmondsonsupply.com/collections/electricians-tools/products/klein-tools-65129-2-in-1-nut-driver-hex-head-slide-drive%E2%84%A2-6-inch")</f>
        <v/>
      </c>
      <c r="B6938" s="2">
        <f>HYPERLINK("https://edmondsonsupply.com/products/klein-tools-65129-2-in-1-nut-driver-hex-head-slide-drive%e2%84%a2-6-inch", "https://edmondsonsupply.com/products/klein-tools-65129-2-in-1-nut-driver-hex-head-slide-drive%e2%84%a2-6-inch")</f>
        <v/>
      </c>
      <c r="C6938" t="inlineStr">
        <is>
          <t>Klein Tools 65129 2-in-1 Nut Driver, Hex Head Slide Drive™, 6-Inch</t>
        </is>
      </c>
      <c r="D6938" t="inlineStr">
        <is>
          <t>Klein Tools 65064 Hex Head 2-in-1 Nut Driver, 1/4-Inch and 5/16-Inch</t>
        </is>
      </c>
      <c r="E6938" s="2">
        <f>HYPERLINK("https://www.amazon.com/Driver-16-Inch-Klein-Tools-65064/dp/B01N2S3D09/ref=sr_1_3?keywords=Klein+Tools+65129+2-in-1+Nut+Driver%2C+Hex+Head+Slide+Drive%E2%84%A2%2C+6-Inch&amp;qid=1694735118&amp;sr=8-3", "https://www.amazon.com/Driver-16-Inch-Klein-Tools-65064/dp/B01N2S3D09/ref=sr_1_3?keywords=Klein+Tools+65129+2-in-1+Nut+Driver%2C+Hex+Head+Slide+Drive%E2%84%A2%2C+6-Inch&amp;qid=1694735118&amp;sr=8-3")</f>
        <v/>
      </c>
      <c r="F6938" t="inlineStr">
        <is>
          <t>B01N2S3D09</t>
        </is>
      </c>
      <c r="G6938">
        <f>_xlfn.IMAGE("https://edmondsonsupply.com/cdn/shop/products/65129.jpg?v=1664459800")</f>
        <v/>
      </c>
      <c r="H6938">
        <f>_xlfn.IMAGE("https://m.media-amazon.com/images/I/51WqGb8KzpL._AC_UL320_.jpg")</f>
        <v/>
      </c>
      <c r="K6938" t="inlineStr">
        <is>
          <t>19.97</t>
        </is>
      </c>
      <c r="L6938" t="n">
        <v>15.27</v>
      </c>
      <c r="M6938" s="1" t="inlineStr">
        <is>
          <t>-23.54%</t>
        </is>
      </c>
      <c r="N6938" s="7" t="n"/>
      <c r="O6938" t="n">
        <v>4.8</v>
      </c>
      <c r="P6938" t="n">
        <v>1404</v>
      </c>
      <c r="R6938" t="inlineStr">
        <is>
          <t>InStock</t>
        </is>
      </c>
      <c r="S6938" t="inlineStr">
        <is>
          <t>31.06</t>
        </is>
      </c>
      <c r="T6938" t="inlineStr">
        <is>
          <t>7833473155288</t>
        </is>
      </c>
    </row>
    <row r="6939" hidden="1" ht="15.75" customHeight="1">
      <c r="A6939" s="2">
        <f>HYPERLINK("https://edmondsonsupply.com/collections/electricians-tools/products/crescent-wiss-ws4n-3-offset-handle-hand-seamer", "https://edmondsonsupply.com/collections/electricians-tools/products/crescent-wiss-ws4n-3-offset-handle-hand-seamer")</f>
        <v/>
      </c>
      <c r="B6939" s="2">
        <f>HYPERLINK("https://edmondsonsupply.com/products/crescent-wiss-ws4n-3-offset-handle-hand-seamer", "https://edmondsonsupply.com/products/crescent-wiss-ws4n-3-offset-handle-hand-seamer")</f>
        <v/>
      </c>
      <c r="C6939" t="inlineStr">
        <is>
          <t>Crescent Wiss WS4N 3" Offset Handle Hand Seamer</t>
        </is>
      </c>
      <c r="D6939" t="inlineStr">
        <is>
          <t>Crescent Wiss 13" Offset Lightweight Aluminum Handle Tinner's Snip - W13LO , Black</t>
        </is>
      </c>
      <c r="E6939" s="2">
        <f>HYPERLINK("https://www.amazon.com/Wiss-W13LO-Lightweight-Aluminum-Handle/dp/B00NOJRSAY/ref=sr_1_16?keywords=Crescent+Wiss+WS4N+3%22+Offset+Handle+Hand+Seamer&amp;qid=1694735003&amp;sr=8-16", "https://www.amazon.com/Wiss-W13LO-Lightweight-Aluminum-Handle/dp/B00NOJRSAY/ref=sr_1_16?keywords=Crescent+Wiss+WS4N+3%22+Offset+Handle+Hand+Seamer&amp;qid=1694735003&amp;sr=8-16")</f>
        <v/>
      </c>
      <c r="F6939" t="inlineStr">
        <is>
          <t>B00NOJRSAY</t>
        </is>
      </c>
      <c r="G6939">
        <f>_xludf.IMAGE("https://edmondsonsupply.com/cdn/shop/products/WIS_WS4N_IMG-MAIN.jpg?v=1679679084")</f>
        <v/>
      </c>
      <c r="H6939">
        <f>_xludf.IMAGE("https://m.media-amazon.com/images/I/81HYYF597KL._AC_UL320_.jpg")</f>
        <v/>
      </c>
      <c r="K6939" t="inlineStr">
        <is>
          <t>52.33</t>
        </is>
      </c>
      <c r="L6939" t="n">
        <v>39.99</v>
      </c>
      <c r="M6939" s="1" t="inlineStr">
        <is>
          <t>-23.58%</t>
        </is>
      </c>
      <c r="N6939" s="1" t="n"/>
      <c r="O6939" t="n">
        <v>3.6</v>
      </c>
      <c r="P6939" t="n">
        <v>17</v>
      </c>
      <c r="R6939" t="inlineStr">
        <is>
          <t>InStock</t>
        </is>
      </c>
      <c r="S6939" t="inlineStr">
        <is>
          <t>93.99</t>
        </is>
      </c>
      <c r="T6939" t="inlineStr">
        <is>
          <t>7966406836440</t>
        </is>
      </c>
    </row>
    <row r="6940" ht="87" customHeight="1">
      <c r="A6940" s="2">
        <f>HYPERLINK("https://edmondsonsupply.com/collections/electricians-tools/products/crescent-wiss-ws4n-3-offset-handle-hand-seamer", "https://edmondsonsupply.com/collections/electricians-tools/products/crescent-wiss-ws4n-3-offset-handle-hand-seamer")</f>
        <v/>
      </c>
      <c r="B6940" s="2">
        <f>HYPERLINK("https://edmondsonsupply.com/products/crescent-wiss-ws4n-3-offset-handle-hand-seamer", "https://edmondsonsupply.com/products/crescent-wiss-ws4n-3-offset-handle-hand-seamer")</f>
        <v/>
      </c>
      <c r="C6940" t="inlineStr">
        <is>
          <t>Crescent Wiss WS4N 3" Offset Handle Hand Seamer</t>
        </is>
      </c>
      <c r="D6940" t="inlineStr">
        <is>
          <t>Wiss 3" Offset Handle Hand Seamer - WS4N</t>
        </is>
      </c>
      <c r="E6940" s="2">
        <f>HYPERLINK("https://www.amazon.com/Wiss-WS4N-3-Offset-Handle/dp/B06XCD6HMC/ref=sr_1_1?keywords=Crescent+Wiss+WS4N+3%22+Offset+Handle+Hand+Seamer&amp;qid=1694735003&amp;sr=8-1", "https://www.amazon.com/Wiss-WS4N-3-Offset-Handle/dp/B06XCD6HMC/ref=sr_1_1?keywords=Crescent+Wiss+WS4N+3%22+Offset+Handle+Hand+Seamer&amp;qid=1694735003&amp;sr=8-1")</f>
        <v/>
      </c>
      <c r="F6940" t="inlineStr">
        <is>
          <t>B06XCD6HMC</t>
        </is>
      </c>
      <c r="G6940">
        <f>_xlfn.IMAGE("https://edmondsonsupply.com/cdn/shop/products/WIS_WS4N_IMG-MAIN.jpg?v=1679679084")</f>
        <v/>
      </c>
      <c r="H6940">
        <f>_xlfn.IMAGE("https://m.media-amazon.com/images/I/71gylJxkzUL._AC_UL320_.jpg")</f>
        <v/>
      </c>
      <c r="K6940" t="inlineStr">
        <is>
          <t>52.33</t>
        </is>
      </c>
      <c r="L6940" t="n">
        <v>39.97</v>
      </c>
      <c r="M6940" s="1" t="inlineStr">
        <is>
          <t>-23.62%</t>
        </is>
      </c>
      <c r="N6940" s="7" t="n"/>
      <c r="O6940" t="n">
        <v>4.5</v>
      </c>
      <c r="P6940" t="n">
        <v>335</v>
      </c>
      <c r="R6940" t="inlineStr">
        <is>
          <t>InStock</t>
        </is>
      </c>
      <c r="S6940" t="inlineStr">
        <is>
          <t>93.99</t>
        </is>
      </c>
      <c r="T6940" t="inlineStr">
        <is>
          <t>7966406836440</t>
        </is>
      </c>
    </row>
    <row r="6941" hidden="1" ht="15.75" customHeight="1">
      <c r="A6941" s="2">
        <f>HYPERLINK("https://edmondsonsupply.com/collections/electricians-tools/products/diablo-tools-dou250jbw-2-1-2-in-universal-fit-bi-metal-oscillating-blade-for-clean-wood", "https://edmondsonsupply.com/collections/electricians-tools/products/diablo-tools-dou250jbw-2-1-2-in-universal-fit-bi-metal-oscillating-blade-for-clean-wood")</f>
        <v/>
      </c>
      <c r="B6941" s="2">
        <f>HYPERLINK("https://edmondsonsupply.com/products/diablo-tools-dou250jbw-2-1-2-in-universal-fit-bi-metal-oscillating-blade-for-clean-wood", "https://edmondsonsupply.com/products/diablo-tools-dou250jbw-2-1-2-in-universal-fit-bi-metal-oscillating-blade-for-clean-wood")</f>
        <v/>
      </c>
      <c r="C6941" t="inlineStr">
        <is>
          <t>Diablo Tools DOU250JBW 2-1/2 in. Universal Fit Bi-Metal Oscillating Blade for Clean Wood</t>
        </is>
      </c>
      <c r="D6941" t="inlineStr">
        <is>
          <t>Diablo - DOU125BF 1-1/4 in. Universal Fit Bi-Metal Oscillating Blade for Metal</t>
        </is>
      </c>
      <c r="E6941" s="2">
        <f>HYPERLINK("https://www.amazon.com/Diablo-Freud-DOU125BF-Universal-Oscillating/dp/B089KV143Y/ref=sr_1_7?keywords=Diablo+Tools+DOU250JBW+2-1%2F2+in.+Universal+Fit+Bi-Metal+Oscillating+Blade+for+Clean+Wood&amp;qid=1694734994&amp;sr=8-7", "https://www.amazon.com/Diablo-Freud-DOU125BF-Universal-Oscillating/dp/B089KV143Y/ref=sr_1_7?keywords=Diablo+Tools+DOU250JBW+2-1%2F2+in.+Universal+Fit+Bi-Metal+Oscillating+Blade+for+Clean+Wood&amp;qid=1694734994&amp;sr=8-7")</f>
        <v/>
      </c>
      <c r="F6941" t="inlineStr">
        <is>
          <t>B089KV143Y</t>
        </is>
      </c>
      <c r="G6941">
        <f>_xludf.IMAGE("https://edmondsonsupply.com/cdn/shop/files/pycnap4eb1urn2hxvudq.webp?v=1685718789")</f>
        <v/>
      </c>
      <c r="H6941">
        <f>_xludf.IMAGE("https://m.media-amazon.com/images/I/61mZfXlj-XL._AC_UL320_.jpg")</f>
        <v/>
      </c>
      <c r="K6941" t="inlineStr">
        <is>
          <t>15.65</t>
        </is>
      </c>
      <c r="L6941" t="n">
        <v>11.95</v>
      </c>
      <c r="M6941" s="1" t="inlineStr">
        <is>
          <t>-23.64%</t>
        </is>
      </c>
      <c r="N6941" s="1" t="n"/>
      <c r="O6941" t="n">
        <v>3.7</v>
      </c>
      <c r="P6941" t="n">
        <v>8</v>
      </c>
      <c r="R6941" t="inlineStr">
        <is>
          <t>InStock</t>
        </is>
      </c>
      <c r="S6941" t="inlineStr">
        <is>
          <t>24.85</t>
        </is>
      </c>
      <c r="T6941" t="inlineStr">
        <is>
          <t>7999572279512</t>
        </is>
      </c>
    </row>
    <row r="6942" ht="87" customHeight="1">
      <c r="A6942" s="2">
        <f>HYPERLINK("https://edmondsonsupply.com/collections/electricians-tools/products/milwaukee-0910-20-m18-fuel%E2%84%A2-6-gallon-wet-dry-vacuum", "https://edmondsonsupply.com/collections/electricians-tools/products/milwaukee-0910-20-m18-fuel%E2%84%A2-6-gallon-wet-dry-vacuum")</f>
        <v/>
      </c>
      <c r="B6942" s="2">
        <f>HYPERLINK("https://edmondsonsupply.com/products/milwaukee-0910-20-m18-fuel%e2%84%a2-6-gallon-wet-dry-vacuum", "https://edmondsonsupply.com/products/milwaukee-0910-20-m18-fuel%e2%84%a2-6-gallon-wet-dry-vacuum")</f>
        <v/>
      </c>
      <c r="C6942" t="inlineStr">
        <is>
          <t>Milwaukee 0910-20 M18 FUEL™ 6 Gallon Wet/Dry Vacuum</t>
        </is>
      </c>
      <c r="D6942" t="inlineStr">
        <is>
          <t>Milwaukee 0970-20 M18 Fuel 18V PACKOUT 2.5 Gallon Wet/Dry Vacuum Bare Tool</t>
        </is>
      </c>
      <c r="E6942" s="2">
        <f>HYPERLINK("https://www.amazon.com/Milwaukee-0970-20-PACKOUT-Gallon-Vacuum/dp/B09RQ6WNZ8/ref=sr_1_4?keywords=Milwaukee+0910-20+M18+FUEL%E2%84%A2+6+Gallon+Wet%2FDry+Vacuum&amp;qid=1694735121&amp;sr=8-4", "https://www.amazon.com/Milwaukee-0970-20-PACKOUT-Gallon-Vacuum/dp/B09RQ6WNZ8/ref=sr_1_4?keywords=Milwaukee+0910-20+M18+FUEL%E2%84%A2+6+Gallon+Wet%2FDry+Vacuum&amp;qid=1694735121&amp;sr=8-4")</f>
        <v/>
      </c>
      <c r="F6942" t="inlineStr">
        <is>
          <t>B09RQ6WNZ8</t>
        </is>
      </c>
      <c r="G6942">
        <f>_xlfn.IMAGE("https://edmondsonsupply.com/cdn/shop/products/0910-20_2.webp?v=1663607323")</f>
        <v/>
      </c>
      <c r="H6942">
        <f>_xlfn.IMAGE("https://m.media-amazon.com/images/I/71yMHJwu0eL._AC_UL320_.jpg")</f>
        <v/>
      </c>
      <c r="K6942" t="inlineStr">
        <is>
          <t>249.0</t>
        </is>
      </c>
      <c r="L6942" t="n">
        <v>189.95</v>
      </c>
      <c r="M6942" s="1" t="inlineStr">
        <is>
          <t>-23.71%</t>
        </is>
      </c>
      <c r="N6942" s="7" t="n"/>
      <c r="O6942" t="n">
        <v>4.5</v>
      </c>
      <c r="P6942" t="n">
        <v>74</v>
      </c>
      <c r="R6942" t="inlineStr">
        <is>
          <t>OutOfStock</t>
        </is>
      </c>
      <c r="S6942" t="inlineStr">
        <is>
          <t>428.0</t>
        </is>
      </c>
      <c r="T6942" t="inlineStr">
        <is>
          <t>7822984904920</t>
        </is>
      </c>
    </row>
    <row r="6943" ht="87" customHeight="1">
      <c r="A6943" s="2">
        <f>HYPERLINK("https://edmondsonsupply.com/collections/electricians-tools/products/milwaukee-2729-20-m18-fuel%E2%84%A2-deep-cut-band-saw-tool-only", "https://edmondsonsupply.com/collections/electricians-tools/products/milwaukee-2729-20-m18-fuel%E2%84%A2-deep-cut-band-saw-tool-only")</f>
        <v/>
      </c>
      <c r="B6943" s="2">
        <f>HYPERLINK("https://edmondsonsupply.com/products/milwaukee-2729-20-m18-fuel%e2%84%a2-deep-cut-band-saw-tool-only", "https://edmondsonsupply.com/products/milwaukee-2729-20-m18-fuel%e2%84%a2-deep-cut-band-saw-tool-only")</f>
        <v/>
      </c>
      <c r="C6943" t="inlineStr">
        <is>
          <t>Milwaukee 2729-20 M18 FUEL™ Deep Cut Band Saw (Tool Only)</t>
        </is>
      </c>
      <c r="D6943" t="inlineStr">
        <is>
          <t>MILWAUKEE'S 2729-20 M18 Fuel Deep Cut Band Saw Tool Only</t>
        </is>
      </c>
      <c r="E6943" s="2">
        <f>HYPERLINK("https://www.amazon.com/Milwaukee-2729-20-Fuel-Deep-Band/dp/B00LBHJ688/ref=sr_1_1?keywords=Milwaukee+2729-20+M18+FUEL%E2%84%A2+Deep+Cut+Band+Saw+%28Tool+Only%29&amp;qid=1694734977&amp;sr=8-1", "https://www.amazon.com/Milwaukee-2729-20-Fuel-Deep-Band/dp/B00LBHJ688/ref=sr_1_1?keywords=Milwaukee+2729-20+M18+FUEL%E2%84%A2+Deep+Cut+Band+Saw+%28Tool+Only%29&amp;qid=1694734977&amp;sr=8-1")</f>
        <v/>
      </c>
      <c r="F6943" t="inlineStr">
        <is>
          <t>B00LBHJ688</t>
        </is>
      </c>
      <c r="G6943">
        <f>_xlfn.IMAGE("https://edmondsonsupply.com/cdn/shop/products/2729-20_1.webp?v=1661700605")</f>
        <v/>
      </c>
      <c r="H6943">
        <f>_xlfn.IMAGE("https://m.media-amazon.com/images/I/81MBdLmrZgL._AC_UL320_.jpg")</f>
        <v/>
      </c>
      <c r="K6943" t="inlineStr">
        <is>
          <t>379.0</t>
        </is>
      </c>
      <c r="L6943" t="n">
        <v>289</v>
      </c>
      <c r="M6943" s="1" t="inlineStr">
        <is>
          <t>-23.75%</t>
        </is>
      </c>
      <c r="N6943" s="7" t="n"/>
      <c r="O6943" t="n">
        <v>4.8</v>
      </c>
      <c r="P6943" t="n">
        <v>452</v>
      </c>
      <c r="R6943" t="inlineStr">
        <is>
          <t>InStock</t>
        </is>
      </c>
      <c r="S6943" t="inlineStr">
        <is>
          <t>579.0</t>
        </is>
      </c>
      <c r="T6943" t="inlineStr">
        <is>
          <t>7795873153240</t>
        </is>
      </c>
    </row>
    <row r="6944" ht="87" customHeight="1">
      <c r="A6944" s="2">
        <f>HYPERLINK("https://edmondsonsupply.com/collections/electricians-tools/products/klein-tools-69190-magnetic-hanger", "https://edmondsonsupply.com/collections/electricians-tools/products/klein-tools-69190-magnetic-hanger")</f>
        <v/>
      </c>
      <c r="B6944" s="2">
        <f>HYPERLINK("https://edmondsonsupply.com/products/klein-tools-69190-magnetic-hanger", "https://edmondsonsupply.com/products/klein-tools-69190-magnetic-hanger")</f>
        <v/>
      </c>
      <c r="C6944" t="inlineStr">
        <is>
          <t>Klein Tools 69190 Magnetic Hanger</t>
        </is>
      </c>
      <c r="D6944" t="inlineStr">
        <is>
          <t>Klein Tools 69445 Magnetic Hanger Without Strap for Klein Tools Clamp Meters and Multimeters with Powerful Rare Earth Magnets</t>
        </is>
      </c>
      <c r="E6944" s="2">
        <f>HYPERLINK("https://www.amazon.com/Klein-Tools-69445-Magnetic-Multimeters/dp/B08CP568HY/ref=sr_1_3?keywords=Klein+Tools+69190+Magnetic+Hanger&amp;qid=1694735208&amp;sr=8-3", "https://www.amazon.com/Klein-Tools-69445-Magnetic-Multimeters/dp/B08CP568HY/ref=sr_1_3?keywords=Klein+Tools+69190+Magnetic+Hanger&amp;qid=1694735208&amp;sr=8-3")</f>
        <v/>
      </c>
      <c r="F6944" t="inlineStr">
        <is>
          <t>B08CP568HY</t>
        </is>
      </c>
      <c r="G6944">
        <f>_xlfn.IMAGE("https://edmondsonsupply.com/cdn/shop/products/69190.jpg?v=1633031095")</f>
        <v/>
      </c>
      <c r="H6944">
        <f>_xlfn.IMAGE("https://m.media-amazon.com/images/I/61xhBmfQ1SL._AC_UL320_.jpg")</f>
        <v/>
      </c>
      <c r="K6944" t="inlineStr">
        <is>
          <t>20.99</t>
        </is>
      </c>
      <c r="L6944" t="n">
        <v>15.99</v>
      </c>
      <c r="M6944" s="1" t="inlineStr">
        <is>
          <t>-23.82%</t>
        </is>
      </c>
      <c r="N6944" s="7" t="n"/>
      <c r="O6944" t="n">
        <v>4.8</v>
      </c>
      <c r="P6944" t="n">
        <v>400</v>
      </c>
      <c r="R6944" t="inlineStr">
        <is>
          <t>InStock</t>
        </is>
      </c>
      <c r="S6944" t="inlineStr">
        <is>
          <t>31.34</t>
        </is>
      </c>
      <c r="T6944" t="inlineStr">
        <is>
          <t>6840979521709</t>
        </is>
      </c>
    </row>
    <row r="6945" ht="87" customHeight="1">
      <c r="A6945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6945" s="2">
        <f>HYPERLINK("https://edmondsonsupply.com/products/klein-tools-11057-klein-kurve%c2%ae-wire-stripper-and-cutter", "https://edmondsonsupply.com/products/klein-tools-11057-klein-kurve%c2%ae-wire-stripper-and-cutter")</f>
        <v/>
      </c>
      <c r="C6945" t="inlineStr">
        <is>
          <t>Klein Tools 11057 Klein-Kurve® Wire Stripper and Cutter</t>
        </is>
      </c>
      <c r="D6945" t="inlineStr">
        <is>
          <t>Klein Tools 11049 Wire Stripper / Cutter, Compact, Lightweight, Hardened Steel, Precision Ground, for Stranded Wires,Red</t>
        </is>
      </c>
      <c r="E6945" s="2">
        <f>HYPERLINK("https://www.amazon.com/Klein-Tools-11049-Stripper-Stranded/dp/B0002RI4U4/ref=sr_1_13?keywords=Klein+Tools+11057+Klein-Kurve%C2%AE+Wire+Stripper+and+Cutter&amp;qid=1694735357&amp;sr=8-13", "https://www.amazon.com/Klein-Tools-11049-Stripper-Stranded/dp/B0002RI4U4/ref=sr_1_13?keywords=Klein+Tools+11057+Klein-Kurve%C2%AE+Wire+Stripper+and+Cutter&amp;qid=1694735357&amp;sr=8-13")</f>
        <v/>
      </c>
      <c r="F6945" t="inlineStr">
        <is>
          <t>B0002RI4U4</t>
        </is>
      </c>
      <c r="G6945">
        <f>_xlfn.IMAGE("https://edmondsonsupply.com/cdn/shop/products/11057.jpg?v=1587146927")</f>
        <v/>
      </c>
      <c r="H6945">
        <f>_xlfn.IMAGE("https://m.media-amazon.com/images/I/616jtKHIDrL._AC_UL320_.jpg")</f>
        <v/>
      </c>
      <c r="K6945" t="inlineStr">
        <is>
          <t>20.97</t>
        </is>
      </c>
      <c r="L6945" t="n">
        <v>15.97</v>
      </c>
      <c r="M6945" s="1" t="inlineStr">
        <is>
          <t>-23.84%</t>
        </is>
      </c>
      <c r="N6945" s="7" t="n"/>
      <c r="O6945" t="n">
        <v>4.7</v>
      </c>
      <c r="P6945" t="n">
        <v>3106</v>
      </c>
      <c r="R6945" t="inlineStr">
        <is>
          <t>InStock</t>
        </is>
      </c>
      <c r="S6945" t="inlineStr">
        <is>
          <t>32.72</t>
        </is>
      </c>
      <c r="T6945" t="inlineStr">
        <is>
          <t>4455254720612</t>
        </is>
      </c>
    </row>
    <row r="6946" ht="87" customHeight="1">
      <c r="A6946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946" s="2">
        <f>HYPERLINK("https://edmondsonsupply.com/products/klein-tools-32500mag-11-in-1-magnetic-screwdriver-nut-driver", "https://edmondsonsupply.com/products/klein-tools-32500mag-11-in-1-magnetic-screwdriver-nut-driver")</f>
        <v/>
      </c>
      <c r="C6946" t="inlineStr">
        <is>
          <t>Klein Tools 32500MAG 11-in-1 Magnetic Screwdriver / Nut Driver</t>
        </is>
      </c>
      <c r="D6946" t="inlineStr">
        <is>
          <t>Klein Tools 32527 Multi-Bit Screwdriver / Nut Driver, 11-in-1 with Phillips, Slotted, Square, and Schrader Bits and Nut Drivers</t>
        </is>
      </c>
      <c r="E6946" s="2">
        <f>HYPERLINK("https://www.amazon.com/Screwdriver-Phillips-Klein-Tools-32527/dp/B004RIDKHQ/ref=sr_1_7?keywords=Klein+Tools+32500MAG+11-in-1+Magnetic+Screwdriver+%2F+Nut+Driver&amp;qid=1694735235&amp;sr=8-7", "https://www.amazon.com/Screwdriver-Phillips-Klein-Tools-32527/dp/B004RIDKHQ/ref=sr_1_7?keywords=Klein+Tools+32500MAG+11-in-1+Magnetic+Screwdriver+%2F+Nut+Driver&amp;qid=1694735235&amp;sr=8-7")</f>
        <v/>
      </c>
      <c r="F6946" t="inlineStr">
        <is>
          <t>B004RIDKHQ</t>
        </is>
      </c>
      <c r="G6946">
        <f>_xlfn.IMAGE("https://edmondsonsupply.com/cdn/shop/products/32500mag.jpg?v=1633030832")</f>
        <v/>
      </c>
      <c r="H6946">
        <f>_xlfn.IMAGE("https://m.media-amazon.com/images/I/41cLxI0Af5L._AC_UL320_.jpg")</f>
        <v/>
      </c>
      <c r="K6946" t="inlineStr">
        <is>
          <t>20.97</t>
        </is>
      </c>
      <c r="L6946" t="n">
        <v>15.97</v>
      </c>
      <c r="M6946" s="1" t="inlineStr">
        <is>
          <t>-23.84%</t>
        </is>
      </c>
      <c r="N6946" s="7" t="n"/>
      <c r="O6946" t="n">
        <v>4.8</v>
      </c>
      <c r="P6946" t="n">
        <v>4201</v>
      </c>
      <c r="R6946" t="inlineStr">
        <is>
          <t>InStock</t>
        </is>
      </c>
      <c r="S6946" t="inlineStr">
        <is>
          <t>29.38</t>
        </is>
      </c>
      <c r="T6946" t="inlineStr">
        <is>
          <t>6082199814317</t>
        </is>
      </c>
    </row>
    <row r="6947" ht="87" customHeight="1">
      <c r="A6947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6947" s="2">
        <f>HYPERLINK("https://edmondsonsupply.com/products/klein-tools-32500mag-11-in-1-magnetic-screwdriver-nut-driver", "https://edmondsonsupply.com/products/klein-tools-32500mag-11-in-1-magnetic-screwdriver-nut-driver")</f>
        <v/>
      </c>
      <c r="C6947" t="inlineStr">
        <is>
          <t>Klein Tools 32500MAG 11-in-1 Magnetic Screwdriver / Nut Driver</t>
        </is>
      </c>
      <c r="D6947" t="inlineStr">
        <is>
          <t>Klein Tools 32559 Multi-bit Screwdriver / Nut Driver, Extended Reach 6-in-1 Tool with Nut Driver, Phillips and Slotted Bits</t>
        </is>
      </c>
      <c r="E6947" s="2">
        <f>HYPERLINK("https://www.amazon.com/Multibit-Screwdriver-Klein-Tools-32559/dp/B005FQDHDG/ref=sr_1_14?keywords=Klein+Tools+32500MAG+11-in-1+Magnetic+Screwdriver+%2F+Nut+Driver&amp;qid=1694735235&amp;sr=8-14", "https://www.amazon.com/Multibit-Screwdriver-Klein-Tools-32559/dp/B005FQDHDG/ref=sr_1_14?keywords=Klein+Tools+32500MAG+11-in-1+Magnetic+Screwdriver+%2F+Nut+Driver&amp;qid=1694735235&amp;sr=8-14")</f>
        <v/>
      </c>
      <c r="F6947" t="inlineStr">
        <is>
          <t>B005FQDHDG</t>
        </is>
      </c>
      <c r="G6947">
        <f>_xlfn.IMAGE("https://edmondsonsupply.com/cdn/shop/products/32500mag.jpg?v=1633030832")</f>
        <v/>
      </c>
      <c r="H6947">
        <f>_xlfn.IMAGE("https://m.media-amazon.com/images/I/514peoSo7EL._AC_UL320_.jpg")</f>
        <v/>
      </c>
      <c r="K6947" t="inlineStr">
        <is>
          <t>20.97</t>
        </is>
      </c>
      <c r="L6947" t="n">
        <v>15.97</v>
      </c>
      <c r="M6947" s="1" t="inlineStr">
        <is>
          <t>-23.84%</t>
        </is>
      </c>
      <c r="N6947" s="7" t="n"/>
      <c r="O6947" t="n">
        <v>4.8</v>
      </c>
      <c r="P6947" t="n">
        <v>2200</v>
      </c>
      <c r="R6947" t="inlineStr">
        <is>
          <t>InStock</t>
        </is>
      </c>
      <c r="S6947" t="inlineStr">
        <is>
          <t>29.38</t>
        </is>
      </c>
      <c r="T6947" t="inlineStr">
        <is>
          <t>6082199814317</t>
        </is>
      </c>
    </row>
    <row r="6948" ht="87" customHeight="1">
      <c r="A6948" s="2">
        <f>HYPERLINK("https://edmondsonsupply.com/collections/electricians-tools/products/fluke-tl175", "https://edmondsonsupply.com/collections/electricians-tools/products/fluke-tl175")</f>
        <v/>
      </c>
      <c r="B6948" s="2">
        <f>HYPERLINK("https://edmondsonsupply.com/products/fluke-tl175", "https://edmondsonsupply.com/products/fluke-tl175")</f>
        <v/>
      </c>
      <c r="C6948" t="inlineStr">
        <is>
          <t>Fluke TL175 TwistGuard™ Test Leads</t>
        </is>
      </c>
      <c r="D6948" t="inlineStr">
        <is>
          <t>Fluke TL175 Twistguard Test Leads, 2 mm Diameter Probe Tips</t>
        </is>
      </c>
      <c r="E6948" s="2">
        <f>HYPERLINK("https://www.amazon.com/Fluke-TL175-Twistguard-Leads-Diameter/dp/B005CTI592/ref=sr_1_1?keywords=Fluke+TL175+TwistGuard%E2%84%A2+Test+Leads&amp;qid=1694735308&amp;sr=8-1", "https://www.amazon.com/Fluke-TL175-Twistguard-Leads-Diameter/dp/B005CTI592/ref=sr_1_1?keywords=Fluke+TL175+TwistGuard%E2%84%A2+Test+Leads&amp;qid=1694735308&amp;sr=8-1")</f>
        <v/>
      </c>
      <c r="F6948" t="inlineStr">
        <is>
          <t>B005CTI592</t>
        </is>
      </c>
      <c r="G6948">
        <f>_xlfn.IMAGE("https://edmondsonsupply.com/cdn/shop/products/F-tl175_38a_ko__80305.1566141806.png?v=1633030276")</f>
        <v/>
      </c>
      <c r="H6948">
        <f>_xlfn.IMAGE("https://m.media-amazon.com/images/I/51t4F+Mzh8L._AC_UY218_.jpg")</f>
        <v/>
      </c>
      <c r="K6948" t="inlineStr">
        <is>
          <t>43.99</t>
        </is>
      </c>
      <c r="L6948" t="n">
        <v>33.47</v>
      </c>
      <c r="M6948" s="1" t="inlineStr">
        <is>
          <t>-23.91%</t>
        </is>
      </c>
      <c r="N6948" s="7" t="n"/>
      <c r="O6948" t="n">
        <v>4.8</v>
      </c>
      <c r="P6948" t="n">
        <v>888</v>
      </c>
      <c r="R6948" t="inlineStr">
        <is>
          <t>InStock</t>
        </is>
      </c>
      <c r="S6948" t="inlineStr">
        <is>
          <t>undefined</t>
        </is>
      </c>
      <c r="T6948" t="inlineStr">
        <is>
          <t>5238381641896</t>
        </is>
      </c>
    </row>
    <row r="6949" hidden="1" ht="15.75" customHeight="1">
      <c r="A6949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6949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6949" t="inlineStr">
        <is>
          <t>Klein Tools JTH6E15 3/8-Inch Hex Key with Journeyman T-Handle, 6-Inch</t>
        </is>
      </c>
      <c r="D6949" t="inlineStr">
        <is>
          <t>Klein Tools JTH9M25 2.5 mm Hex Key with Journeyman T-Handle, 9-Inch</t>
        </is>
      </c>
      <c r="E6949" s="2">
        <f>HYPERLINK("https://www.amazon.com/Journeyman-T-Handle-Klein-Tools-JTH9M25/dp/B005G3HIRY/ref=sr_1_8?keywords=Klein+Tools+JTH6E15+3%2F8-Inch+Hex+Key+with+Journeyman+T-Handle%2C+6-Inch&amp;qid=1694735343&amp;sr=8-8", "https://www.amazon.com/Journeyman-T-Handle-Klein-Tools-JTH9M25/dp/B005G3HIRY/ref=sr_1_8?keywords=Klein+Tools+JTH6E15+3%2F8-Inch+Hex+Key+with+Journeyman+T-Handle%2C+6-Inch&amp;qid=1694735343&amp;sr=8-8")</f>
        <v/>
      </c>
      <c r="F6949" t="inlineStr">
        <is>
          <t>B005G3HIRY</t>
        </is>
      </c>
      <c r="G6949">
        <f>_xludf.IMAGE("https://edmondsonsupply.com/cdn/shop/products/jth6e15_c4dd65ba-86a8-4743-882c-88cf44faafdc.jpg?v=1587142819")</f>
        <v/>
      </c>
      <c r="H6949">
        <f>_xludf.IMAGE("https://m.media-amazon.com/images/I/51+1x0vz9XL._AC_UL320_.jpg")</f>
        <v/>
      </c>
      <c r="K6949" t="inlineStr">
        <is>
          <t>8.99</t>
        </is>
      </c>
      <c r="L6949" t="n">
        <v>6.84</v>
      </c>
      <c r="M6949" s="1" t="inlineStr">
        <is>
          <t>-23.92%</t>
        </is>
      </c>
      <c r="N6949" s="1" t="n"/>
      <c r="O6949" t="n">
        <v>4.2</v>
      </c>
      <c r="P6949" t="n">
        <v>14</v>
      </c>
      <c r="R6949" t="inlineStr">
        <is>
          <t>InStock</t>
        </is>
      </c>
      <c r="S6949" t="inlineStr">
        <is>
          <t>13.56</t>
        </is>
      </c>
      <c r="T6949" t="inlineStr">
        <is>
          <t>4512705970276</t>
        </is>
      </c>
    </row>
    <row r="6950" ht="87" customHeight="1">
      <c r="A6950" s="2">
        <f>HYPERLINK("https://edmondsonsupply.com/collections/electricians-tools/products/fluke-indc8", "https://edmondsonsupply.com/collections/electricians-tools/products/fluke-indc8")</f>
        <v/>
      </c>
      <c r="B6950" s="2">
        <f>HYPERLINK("https://edmondsonsupply.com/products/fluke-indc8", "https://edmondsonsupply.com/products/fluke-indc8")</f>
        <v/>
      </c>
      <c r="C6950" t="inlineStr">
        <is>
          <t>Fluke INDC8 Insulated High Leverage Diagonal Cutter</t>
        </is>
      </c>
      <c r="D6950" t="inlineStr">
        <is>
          <t>Knipex 12301 200mm Fully Insulated High Leverage Diagonal Side Cutter</t>
        </is>
      </c>
      <c r="E6950" s="2">
        <f>HYPERLINK("https://www.amazon.com/Draper-Knipex-Insulated-Leverage-Diagonal/dp/B001FCR9GU/ref=sr_1_10?keywords=Fluke+INDC8+Insulated+High+Leverage+Diagonal+Cutter&amp;qid=1694735326&amp;sr=8-10", "https://www.amazon.com/Draper-Knipex-Insulated-Leverage-Diagonal/dp/B001FCR9GU/ref=sr_1_10?keywords=Fluke+INDC8+Insulated+High+Leverage+Diagonal+Cutter&amp;qid=1694735326&amp;sr=8-10")</f>
        <v/>
      </c>
      <c r="F6950" t="inlineStr">
        <is>
          <t>B001FCR9GU</t>
        </is>
      </c>
      <c r="G6950">
        <f>_xlfn.IMAGE("https://edmondsonsupply.com/cdn/shop/products/indc8-1.jpg?v=1588886196")</f>
        <v/>
      </c>
      <c r="H6950">
        <f>_xlfn.IMAGE("https://m.media-amazon.com/images/I/517WMFsIn6L._AC_UL320_.jpg")</f>
        <v/>
      </c>
      <c r="K6950" t="inlineStr">
        <is>
          <t>71.99</t>
        </is>
      </c>
      <c r="L6950" t="n">
        <v>54.66</v>
      </c>
      <c r="M6950" s="1" t="inlineStr">
        <is>
          <t>-24.07%</t>
        </is>
      </c>
      <c r="N6950" s="7" t="n"/>
      <c r="O6950" t="n">
        <v>5</v>
      </c>
      <c r="P6950" t="n">
        <v>2</v>
      </c>
      <c r="R6950" t="inlineStr">
        <is>
          <t>OutOfStock</t>
        </is>
      </c>
      <c r="S6950" t="inlineStr">
        <is>
          <t>79.99</t>
        </is>
      </c>
      <c r="T6950" t="inlineStr">
        <is>
          <t>4625639571556</t>
        </is>
      </c>
    </row>
    <row r="6951" ht="87" customHeight="1">
      <c r="A6951" s="2">
        <f>HYPERLINK("https://edmondsonsupply.com/collections/electricians-tools/products/milwaukee-2953-22-m18-fuel%E2%84%A2-1-4-hex-impact-driver-kit", "https://edmondsonsupply.com/collections/electricians-tools/products/milwaukee-2953-22-m18-fuel%E2%84%A2-1-4-hex-impact-driver-kit")</f>
        <v/>
      </c>
      <c r="B6951" s="2">
        <f>HYPERLINK("https://edmondsonsupply.com/products/milwaukee-2953-22-m18-fuel%e2%84%a2-1-4-hex-impact-driver-kit", "https://edmondsonsupply.com/products/milwaukee-2953-22-m18-fuel%e2%84%a2-1-4-hex-impact-driver-kit")</f>
        <v/>
      </c>
      <c r="C6951" t="inlineStr">
        <is>
          <t>Milwaukee 2953-22 M18 FUEL™ 1/4" Hex Impact Driver Kit</t>
        </is>
      </c>
      <c r="D6951" t="inlineStr">
        <is>
          <t>Milwaukee 2953-22 18V Cordless Brushless 1/4" Hex Impact Driver Kit with (2) 5.0Ah Lithium Ion Batteries, Charger &amp; Tool Case</t>
        </is>
      </c>
      <c r="E6951" s="2">
        <f>HYPERLINK("https://www.amazon.com/Milwaukee-2953-22-Cordless-Brushless-Batteries/dp/B0BB86J415/ref=sr_1_3?keywords=Milwaukee+2953-22+M18+FUEL%E2%84%A2+1%2F4%22+Hex+Impact+Driver+Kit&amp;qid=1694735130&amp;sr=8-3", "https://www.amazon.com/Milwaukee-2953-22-Cordless-Brushless-Batteries/dp/B0BB86J415/ref=sr_1_3?keywords=Milwaukee+2953-22+M18+FUEL%E2%84%A2+1%2F4%22+Hex+Impact+Driver+Kit&amp;qid=1694735130&amp;sr=8-3")</f>
        <v/>
      </c>
      <c r="F6951" t="inlineStr">
        <is>
          <t>B0BB86J415</t>
        </is>
      </c>
      <c r="G6951">
        <f>_xlfn.IMAGE("https://edmondsonsupply.com/cdn/shop/products/29532022ImageReel2.webp?v=1663599746")</f>
        <v/>
      </c>
      <c r="H6951">
        <f>_xlfn.IMAGE("https://m.media-amazon.com/images/I/61sqc+wUkvL._AC_UL320_.jpg")</f>
        <v/>
      </c>
      <c r="K6951" t="inlineStr">
        <is>
          <t>299.0</t>
        </is>
      </c>
      <c r="L6951" t="n">
        <v>227</v>
      </c>
      <c r="M6951" s="1" t="inlineStr">
        <is>
          <t>-24.08%</t>
        </is>
      </c>
      <c r="N6951" s="7" t="n"/>
      <c r="O6951" t="n">
        <v>4.7</v>
      </c>
      <c r="P6951" t="n">
        <v>96</v>
      </c>
      <c r="R6951" t="inlineStr">
        <is>
          <t>InStock</t>
        </is>
      </c>
      <c r="S6951" t="inlineStr">
        <is>
          <t>556.0</t>
        </is>
      </c>
      <c r="T6951" t="inlineStr">
        <is>
          <t>7822930870488</t>
        </is>
      </c>
    </row>
    <row r="6952" ht="87" customHeight="1">
      <c r="A6952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952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952" t="inlineStr">
        <is>
          <t>Klein Tools 2288RINS Diagonal Cutting Pliers, Insulated, High Leverage, 8-Inch</t>
        </is>
      </c>
      <c r="D6952" t="inlineStr">
        <is>
          <t>Klein Tools D243-8 Pliers, Diagonal Cutting Pliers with Wire Stripping Holes, High-Leverage Design, 8-Inch</t>
        </is>
      </c>
      <c r="E6952" s="2">
        <f>HYPERLINK("https://www.amazon.com/Leverage-Stripping-Klein-Tools-D243-8/dp/B0002RI9OU/ref=sr_1_16?keywords=Klein+Tools+2288RINS+Diagonal+Cutting+Pliers%2C+Insulated%2C+High+Leverage%2C+8-Inch&amp;qid=1694735093&amp;sr=8-16", "https://www.amazon.com/Leverage-Stripping-Klein-Tools-D243-8/dp/B0002RI9OU/ref=sr_1_16?keywords=Klein+Tools+2288RINS+Diagonal+Cutting+Pliers%2C+Insulated%2C+High+Leverage%2C+8-Inch&amp;qid=1694735093&amp;sr=8-16")</f>
        <v/>
      </c>
      <c r="F6952" t="inlineStr">
        <is>
          <t>B0002RI9OU</t>
        </is>
      </c>
      <c r="G6952">
        <f>_xlfn.IMAGE("https://edmondsonsupply.com/cdn/shop/products/2288rins.jpg?v=1667238570")</f>
        <v/>
      </c>
      <c r="H6952">
        <f>_xlfn.IMAGE("https://m.media-amazon.com/images/I/417XVXKHG6L._AC_UL320_.jpg")</f>
        <v/>
      </c>
      <c r="K6952" t="inlineStr">
        <is>
          <t>39.97</t>
        </is>
      </c>
      <c r="L6952" t="n">
        <v>30.27</v>
      </c>
      <c r="M6952" s="1" t="inlineStr">
        <is>
          <t>-24.27%</t>
        </is>
      </c>
      <c r="N6952" s="7" t="n"/>
      <c r="O6952" t="n">
        <v>4.4</v>
      </c>
      <c r="P6952" t="n">
        <v>38</v>
      </c>
      <c r="R6952" t="inlineStr">
        <is>
          <t>InStock</t>
        </is>
      </c>
      <c r="S6952" t="inlineStr">
        <is>
          <t>55.98</t>
        </is>
      </c>
      <c r="T6952" t="inlineStr">
        <is>
          <t>7871537807576</t>
        </is>
      </c>
    </row>
    <row r="6953" ht="87" customHeight="1">
      <c r="A6953" s="2">
        <f>HYPERLINK("https://edmondsonsupply.com/collections/electricians-tools/products/klein-tools-56059-multi-groove-fiberglass-fish-tape-200-foot", "https://edmondsonsupply.com/collections/electricians-tools/products/klein-tools-56059-multi-groove-fiberglass-fish-tape-200-foot")</f>
        <v/>
      </c>
      <c r="B6953" s="2">
        <f>HYPERLINK("https://edmondsonsupply.com/products/klein-tools-56059-multi-groove-fiberglass-fish-tape-200-foot", "https://edmondsonsupply.com/products/klein-tools-56059-multi-groove-fiberglass-fish-tape-200-foot")</f>
        <v/>
      </c>
      <c r="C6953" t="inlineStr">
        <is>
          <t>Klein Tools 56059 Multi-Groove Fiberglass Fish Tape 200-Foot</t>
        </is>
      </c>
      <c r="D6953" t="inlineStr">
        <is>
          <t>Klein Tools 56380 Non-Conductive Electrical Fish Tape, Multi-Groove Fiberglass Wire Puller with Steel Leader, 100-Foot x 3/16-Inch,Orange/Black</t>
        </is>
      </c>
      <c r="E6953" s="2">
        <f>HYPERLINK("https://www.amazon.com/Klein-Tools-56380-Multi-Groove-Fiberglass/dp/B0822229DW/ref=sr_1_8?keywords=Klein+Tools+56059+Multi-Groove+Fiberglass+Fish+Tape+200-Foot&amp;qid=1694735159&amp;sr=8-8", "https://www.amazon.com/Klein-Tools-56380-Multi-Groove-Fiberglass/dp/B0822229DW/ref=sr_1_8?keywords=Klein+Tools+56059+Multi-Groove+Fiberglass+Fish+Tape+200-Foot&amp;qid=1694735159&amp;sr=8-8")</f>
        <v/>
      </c>
      <c r="F6953" t="inlineStr">
        <is>
          <t>B0822229DW</t>
        </is>
      </c>
      <c r="G6953">
        <f>_xlfn.IMAGE("https://edmondsonsupply.com/cdn/shop/products/56059.jpg?v=1648938340")</f>
        <v/>
      </c>
      <c r="H6953">
        <f>_xlfn.IMAGE("https://m.media-amazon.com/images/I/51m05Po5U+L._AC_UL320_.jpg")</f>
        <v/>
      </c>
      <c r="K6953" t="inlineStr">
        <is>
          <t>184.99</t>
        </is>
      </c>
      <c r="L6953" t="n">
        <v>139.99</v>
      </c>
      <c r="M6953" s="1" t="inlineStr">
        <is>
          <t>-24.33%</t>
        </is>
      </c>
      <c r="N6953" s="7" t="n"/>
      <c r="O6953" t="n">
        <v>4.7</v>
      </c>
      <c r="P6953" t="n">
        <v>86</v>
      </c>
      <c r="R6953" t="inlineStr">
        <is>
          <t>InStock</t>
        </is>
      </c>
      <c r="S6953" t="inlineStr">
        <is>
          <t>272.72</t>
        </is>
      </c>
      <c r="T6953" t="inlineStr">
        <is>
          <t>7652141531352</t>
        </is>
      </c>
    </row>
    <row r="6954" ht="87" customHeight="1">
      <c r="A6954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6954" s="2">
        <f>HYPERLINK("https://edmondsonsupply.com/products/diablo-tools-d0704dh-7-1-4-in-x-4-tooth-fiber-cement", "https://edmondsonsupply.com/products/diablo-tools-d0704dh-7-1-4-in-x-4-tooth-fiber-cement")</f>
        <v/>
      </c>
      <c r="C6954" t="inlineStr">
        <is>
          <t>Diablo Tools D0704DH 7-1/4 in. x 4 Tooth Fiber Cement</t>
        </is>
      </c>
      <c r="D6954" t="inlineStr">
        <is>
          <t>Diablo by Freud D0704DH 7-1/4"x4T PCD Tip TCG Hardie Fiber Cement Saw Bld,5/8 Arbor, Multicolor</t>
        </is>
      </c>
      <c r="E6954" s="2">
        <f>HYPERLINK("https://www.amazon.com/D0704DH-Diablo-4-Inch-4-Tooth-Polycrystalline/dp/B00155SPKQ/ref=sr_1_1?keywords=Diablo+Tools+D0704DH+7-1%2F4+in.+x+4+Tooth+Fiber+Cement&amp;qid=1694735024&amp;sr=8-1", "https://www.amazon.com/D0704DH-Diablo-4-Inch-4-Tooth-Polycrystalline/dp/B00155SPKQ/ref=sr_1_1?keywords=Diablo+Tools+D0704DH+7-1%2F4+in.+x+4+Tooth+Fiber+Cement&amp;qid=1694735024&amp;sr=8-1")</f>
        <v/>
      </c>
      <c r="F6954" t="inlineStr">
        <is>
          <t>B00155SPKQ</t>
        </is>
      </c>
      <c r="G6954">
        <f>_xlfn.IMAGE("https://edmondsonsupply.com/cdn/shop/products/baadnmj6vhmqufio7ofn.webp?v=1679325375")</f>
        <v/>
      </c>
      <c r="H6954">
        <f>_xlfn.IMAGE("https://m.media-amazon.com/images/I/61bZQ749tAL._AC_UL320_.jpg")</f>
        <v/>
      </c>
      <c r="K6954" t="inlineStr">
        <is>
          <t>44.97</t>
        </is>
      </c>
      <c r="L6954" t="n">
        <v>34</v>
      </c>
      <c r="M6954" s="1" t="inlineStr">
        <is>
          <t>-24.39%</t>
        </is>
      </c>
      <c r="N6954" s="7" t="n"/>
      <c r="O6954" t="n">
        <v>4.6</v>
      </c>
      <c r="P6954" t="n">
        <v>1570</v>
      </c>
      <c r="R6954" t="inlineStr">
        <is>
          <t>InStock</t>
        </is>
      </c>
      <c r="S6954" t="inlineStr">
        <is>
          <t>67.99</t>
        </is>
      </c>
      <c r="T6954" t="inlineStr">
        <is>
          <t>7964908159192</t>
        </is>
      </c>
    </row>
    <row r="6955" ht="87" customHeight="1">
      <c r="A6955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6955" s="2">
        <f>HYPERLINK("https://edmondsonsupply.com/products/diablo-tools-d0704dh-7-1-4-in-x-4-tooth-fiber-cement", "https://edmondsonsupply.com/products/diablo-tools-d0704dh-7-1-4-in-x-4-tooth-fiber-cement")</f>
        <v/>
      </c>
      <c r="C6955" t="inlineStr">
        <is>
          <t>Diablo Tools D0704DH 7-1/4 in. x 4 Tooth Fiber Cement</t>
        </is>
      </c>
      <c r="D6955" t="inlineStr">
        <is>
          <t>Freud D0704DH Diablo 7-1/4"x4T PCD Tip TCG Hardie Fiber Cement Saw BLD,5/8 Arbor (Single Pack)</t>
        </is>
      </c>
      <c r="E6955" s="2">
        <f>HYPERLINK("https://www.amazon.com/Freud-D0704DH-Diablo-Hardie-Cement/dp/B09BQJL4PT/ref=sr_1_2?keywords=Diablo+Tools+D0704DH+7-1%2F4+in.+x+4+Tooth+Fiber+Cement&amp;qid=1694735024&amp;sr=8-2", "https://www.amazon.com/Freud-D0704DH-Diablo-Hardie-Cement/dp/B09BQJL4PT/ref=sr_1_2?keywords=Diablo+Tools+D0704DH+7-1%2F4+in.+x+4+Tooth+Fiber+Cement&amp;qid=1694735024&amp;sr=8-2")</f>
        <v/>
      </c>
      <c r="F6955" t="inlineStr">
        <is>
          <t>B09BQJL4PT</t>
        </is>
      </c>
      <c r="G6955">
        <f>_xlfn.IMAGE("https://edmondsonsupply.com/cdn/shop/products/baadnmj6vhmqufio7ofn.webp?v=1679325375")</f>
        <v/>
      </c>
      <c r="H6955">
        <f>_xlfn.IMAGE("https://m.media-amazon.com/images/I/615anyFfV9L._AC_UL320_.jpg")</f>
        <v/>
      </c>
      <c r="K6955" t="inlineStr">
        <is>
          <t>44.97</t>
        </is>
      </c>
      <c r="L6955" t="n">
        <v>34</v>
      </c>
      <c r="M6955" s="1" t="inlineStr">
        <is>
          <t>-24.39%</t>
        </is>
      </c>
      <c r="N6955" s="7" t="n"/>
      <c r="O6955" t="n">
        <v>4.6</v>
      </c>
      <c r="P6955" t="n">
        <v>32</v>
      </c>
      <c r="R6955" t="inlineStr">
        <is>
          <t>InStock</t>
        </is>
      </c>
      <c r="S6955" t="inlineStr">
        <is>
          <t>67.99</t>
        </is>
      </c>
      <c r="T6955" t="inlineStr">
        <is>
          <t>7964908159192</t>
        </is>
      </c>
    </row>
    <row r="6956" ht="87" customHeight="1">
      <c r="A6956" s="2">
        <f>HYPERLINK("https://edmondsonsupply.com/collections/electricians-tools/products/tajima-g-25bw-g-series-standard-scale-25-ft-x-1-in-steel-blade-tape-measure", "https://edmondsonsupply.com/collections/electricians-tools/products/tajima-g-25bw-g-series-standard-scale-25-ft-x-1-in-steel-blade-tape-measure")</f>
        <v/>
      </c>
      <c r="B6956" s="2">
        <f>HYPERLINK("https://edmondsonsupply.com/products/tajima-g-25bw-g-series-standard-scale-25-ft-x-1-in-steel-blade-tape-measure", "https://edmondsonsupply.com/products/tajima-g-25bw-g-series-standard-scale-25-ft-x-1-in-steel-blade-tape-measure")</f>
        <v/>
      </c>
      <c r="C6956" t="inlineStr">
        <is>
          <t>Tajima G-25BW G-Series, Standard Scale, 25 ft x 1 in. Steel Blade, Tape Measure</t>
        </is>
      </c>
      <c r="D6956" t="inlineStr">
        <is>
          <t>Tajima SSSF-25BW 25 ft. x 1 in. Standard Steel Sigma Stop Tape Measure with Safety Belt Holder</t>
        </is>
      </c>
      <c r="E6956" s="2">
        <f>HYPERLINK("https://www.amazon.com/Tajima-SSSF-25BW-Standard-Measure-Safety/dp/B08J5ML1ZM/ref=sr_1_4?keywords=Tajima+G-25BW+G-Series%2C+Standard+Scale%2C+25+ft+x+1+in.+Steel+Blade%2C+Tape+Measure&amp;qid=1694735189&amp;sr=8-4", "https://www.amazon.com/Tajima-SSSF-25BW-Standard-Measure-Safety/dp/B08J5ML1ZM/ref=sr_1_4?keywords=Tajima+G-25BW+G-Series%2C+Standard+Scale%2C+25+ft+x+1+in.+Steel+Blade%2C+Tape+Measure&amp;qid=1694735189&amp;sr=8-4")</f>
        <v/>
      </c>
      <c r="F6956" t="inlineStr">
        <is>
          <t>B08J5ML1ZM</t>
        </is>
      </c>
      <c r="G6956">
        <f>_xlfn.IMAGE("https://edmondsonsupply.com/cdn/shop/products/G-25BW.jpg?v=1633031142")</f>
        <v/>
      </c>
      <c r="H6956">
        <f>_xlfn.IMAGE("https://m.media-amazon.com/images/I/51oDpFYnqaL._AC_UL320_.jpg")</f>
        <v/>
      </c>
      <c r="K6956" t="inlineStr">
        <is>
          <t>28.29</t>
        </is>
      </c>
      <c r="L6956" t="n">
        <v>21.37</v>
      </c>
      <c r="M6956" s="1" t="inlineStr">
        <is>
          <t>-24.46%</t>
        </is>
      </c>
      <c r="N6956" s="7" t="n"/>
      <c r="O6956" t="n">
        <v>4.6</v>
      </c>
      <c r="P6956" t="n">
        <v>138</v>
      </c>
      <c r="R6956" t="inlineStr">
        <is>
          <t>InStock</t>
        </is>
      </c>
      <c r="S6956" t="inlineStr">
        <is>
          <t>undefined</t>
        </is>
      </c>
      <c r="T6956" t="inlineStr">
        <is>
          <t>6888357920941</t>
        </is>
      </c>
    </row>
    <row r="6957" ht="87" customHeight="1">
      <c r="A6957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6957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6957" t="inlineStr">
        <is>
          <t>Klein Tools 32288 8-in-1 Insulated Interchangeable Screwdriver Set</t>
        </is>
      </c>
      <c r="D6957" t="inlineStr">
        <is>
          <t>Klein Tools 85076INS Insulated Screwdriver Set features 1000V Screwdrivers, (3) Phillips and (2) Slotted and Square Tips, 6-Piece</t>
        </is>
      </c>
      <c r="E6957" s="2">
        <f>HYPERLINK("https://www.amazon.com/Klein-Tools-85076INS-Screwdriver-Screwdrivers/dp/B0BF76JDCC/ref=sr_1_17?keywords=Klein+Tools+32288+8-in-1+Insulated+Interchangeable+Screwdriver+Set&amp;qid=1694734974&amp;sr=8-17", "https://www.amazon.com/Klein-Tools-85076INS-Screwdriver-Screwdrivers/dp/B0BF76JDCC/ref=sr_1_17?keywords=Klein+Tools+32288+8-in-1+Insulated+Interchangeable+Screwdriver+Set&amp;qid=1694734974&amp;sr=8-17")</f>
        <v/>
      </c>
      <c r="F6957" t="inlineStr">
        <is>
          <t>B0BF76JDCC</t>
        </is>
      </c>
      <c r="G6957">
        <f>_xlfn.IMAGE("https://edmondsonsupply.com/cdn/shop/products/32288.jpg?v=1587146849")</f>
        <v/>
      </c>
      <c r="H6957">
        <f>_xlfn.IMAGE("https://m.media-amazon.com/images/I/51wtKAQ0TLL._AC_UL320_.jpg")</f>
        <v/>
      </c>
      <c r="K6957" t="inlineStr">
        <is>
          <t>49.99</t>
        </is>
      </c>
      <c r="L6957" t="n">
        <v>37.74</v>
      </c>
      <c r="M6957" s="1" t="inlineStr">
        <is>
          <t>-24.50%</t>
        </is>
      </c>
      <c r="N6957" s="7" t="n"/>
      <c r="O6957" t="n">
        <v>4.7</v>
      </c>
      <c r="P6957" t="n">
        <v>201</v>
      </c>
      <c r="R6957" t="inlineStr">
        <is>
          <t>InStock</t>
        </is>
      </c>
      <c r="S6957" t="inlineStr">
        <is>
          <t>69.98</t>
        </is>
      </c>
      <c r="T6957" t="inlineStr">
        <is>
          <t>4094849613924</t>
        </is>
      </c>
    </row>
    <row r="6958" ht="87" customHeight="1">
      <c r="A6958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6958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6958" t="inlineStr">
        <is>
          <t>Diablo Tools DMAMX1130 3/4 in. x 8 in. x 13 in. Rebar Demon™ SDS‑Max 4‑Cutter Full Carbide Head Hammer Bit</t>
        </is>
      </c>
      <c r="D6958" t="inlineStr">
        <is>
          <t>Diablo by Freud DMAPL4300 1 in. x 8 in. x 10 in. Rebar Demon™ SDS-Plus 4-Cutter Full Carbide Head Hammer Bit</t>
        </is>
      </c>
      <c r="E6958" s="2">
        <f>HYPERLINK("https://www.amazon.com/Diablo-Freud-DMAPL4300-SDS-Plus-4-Cutter/dp/B089LL8JD8/ref=sr_1_10?keywords=Diablo+Tools+DMAMX1130+3%2F4+in.+x+8+in.+x+13+in.+Rebar+Demon%E2%84%A2+SDS%E2%80%91Max+4%E2%80%91Cutter+Full+Carbide+Head+Hammer+Bit&amp;qid=1694735267&amp;sr=8-10", "https://www.amazon.com/Diablo-Freud-DMAPL4300-SDS-Plus-4-Cutter/dp/B089LL8JD8/ref=sr_1_10?keywords=Diablo+Tools+DMAMX1130+3%2F4+in.+x+8+in.+x+13+in.+Rebar+Demon%E2%84%A2+SDS%E2%80%91Max+4%E2%80%91Cutter+Full+Carbide+Head+Hammer+Bit&amp;qid=1694735267&amp;sr=8-10")</f>
        <v/>
      </c>
      <c r="F6958" t="inlineStr">
        <is>
          <t>B089LL8JD8</t>
        </is>
      </c>
      <c r="G6958">
        <f>_xlfn.IMAGE("https://edmondsonsupply.com/cdn/shop/products/DMAMX1130_Main-Image20200701.png?v=1633030568")</f>
        <v/>
      </c>
      <c r="H6958">
        <f>_xlfn.IMAGE("https://m.media-amazon.com/images/I/616UiJGsK1L._AC_UL320_.jpg")</f>
        <v/>
      </c>
      <c r="K6958" t="inlineStr">
        <is>
          <t>44.97</t>
        </is>
      </c>
      <c r="L6958" t="n">
        <v>33.95</v>
      </c>
      <c r="M6958" s="1" t="inlineStr">
        <is>
          <t>-24.51%</t>
        </is>
      </c>
      <c r="N6958" s="7" t="n"/>
      <c r="O6958" t="n">
        <v>4.5</v>
      </c>
      <c r="P6958" t="n">
        <v>16</v>
      </c>
      <c r="R6958" t="inlineStr">
        <is>
          <t>InStock</t>
        </is>
      </c>
      <c r="S6958" t="inlineStr">
        <is>
          <t>46.26</t>
        </is>
      </c>
      <c r="T6958" t="inlineStr">
        <is>
          <t>5463880925352</t>
        </is>
      </c>
    </row>
    <row r="6959" ht="87" customHeight="1">
      <c r="A6959" s="2">
        <f>HYPERLINK("https://edmondsonsupply.com/collections/electricians-tools/products/fluke-inpp10", "https://edmondsonsupply.com/collections/electricians-tools/products/fluke-inpp10")</f>
        <v/>
      </c>
      <c r="B6959" s="2">
        <f>HYPERLINK("https://edmondsonsupply.com/products/fluke-inpp10", "https://edmondsonsupply.com/products/fluke-inpp10")</f>
        <v/>
      </c>
      <c r="C6959" t="inlineStr">
        <is>
          <t>Fluke INPP10 Insulated Pump Pliers Fast Adjustable</t>
        </is>
      </c>
      <c r="D6959" t="inlineStr">
        <is>
          <t>Fluke - INPP10 Insulated Pump Plier Fast Adjustable, 1000V</t>
        </is>
      </c>
      <c r="E6959" s="2">
        <f>HYPERLINK("https://www.amazon.com/Fluke-Insulated-Plier-Adjustable-1000V/dp/B07SK42NVF/ref=sr_1_1?keywords=Fluke+INPP10+Insulated+Pump+Pliers+Fast+Adjustable&amp;qid=1694735330&amp;sr=8-1", "https://www.amazon.com/Fluke-Insulated-Plier-Adjustable-1000V/dp/B07SK42NVF/ref=sr_1_1?keywords=Fluke+INPP10+Insulated+Pump+Pliers+Fast+Adjustable&amp;qid=1694735330&amp;sr=8-1")</f>
        <v/>
      </c>
      <c r="F6959" t="inlineStr">
        <is>
          <t>B07SK42NVF</t>
        </is>
      </c>
      <c r="G6959">
        <f>_xlfn.IMAGE("https://edmondsonsupply.com/cdn/shop/products/inpp10-1.jpg?v=1633030252")</f>
        <v/>
      </c>
      <c r="H6959">
        <f>_xlfn.IMAGE("https://m.media-amazon.com/images/I/41Lbwbb3KaL._AC_UL320_.jpg")</f>
        <v/>
      </c>
      <c r="K6959" t="inlineStr">
        <is>
          <t>85.49</t>
        </is>
      </c>
      <c r="L6959" t="n">
        <v>64.5</v>
      </c>
      <c r="M6959" s="1" t="inlineStr">
        <is>
          <t>-24.55%</t>
        </is>
      </c>
      <c r="N6959" s="7" t="n"/>
      <c r="O6959" t="n">
        <v>4.5</v>
      </c>
      <c r="P6959" t="n">
        <v>99</v>
      </c>
      <c r="R6959" t="inlineStr">
        <is>
          <t>OutOfStock</t>
        </is>
      </c>
      <c r="S6959" t="inlineStr">
        <is>
          <t>94.99</t>
        </is>
      </c>
      <c r="T6959" t="inlineStr">
        <is>
          <t>4625642782820</t>
        </is>
      </c>
    </row>
    <row r="6960" ht="87" customHeight="1">
      <c r="A6960" s="2">
        <f>HYPERLINK("https://edmondsonsupply.com/collections/electricians-tools/products/diablo-tools-dmamx1020", "https://edmondsonsupply.com/collections/electricians-tools/products/diablo-tools-dmamx1020")</f>
        <v/>
      </c>
      <c r="B6960" s="2">
        <f>HYPERLINK("https://edmondsonsupply.com/products/diablo-tools-dmamx1020", "https://edmondsonsupply.com/products/diablo-tools-dmamx1020")</f>
        <v/>
      </c>
      <c r="C6960" t="inlineStr">
        <is>
          <t>Diablo Tools DMAMX1020 1/2 in. x 8 in. x 13 in. Rebar Demon SDS‑Max 4‑Cutter Full Carbide Head Hammer Bit</t>
        </is>
      </c>
      <c r="D6960" t="inlineStr">
        <is>
          <t>Diablo by Freud DMAPL4270 27/32 in. x 8 in. x 10 in. Rebar Demon SDS-Plus 4-Cutter Full Carbide Head Hammer Bit</t>
        </is>
      </c>
      <c r="E6960" s="2">
        <f>HYPERLINK("https://www.amazon.com/Diablo-Freud-DMAPL4270-SDS-Plus-4-Cutter/dp/B089KXBGLM/ref=sr_1_47?keywords=Diablo+Tools+DMAMX1020+1%2F2+in.+x+8+in.+x+13+in.+Rebar+Demon+SDS%E2%80%91Max+4%E2%80%91Cutter+Full+Carbide+Head+Hammer+Bit&amp;qid=1694735268&amp;sr=8-47", "https://www.amazon.com/Diablo-Freud-DMAPL4270-SDS-Plus-4-Cutter/dp/B089KXBGLM/ref=sr_1_47?keywords=Diablo+Tools+DMAMX1020+1%2F2+in.+x+8+in.+x+13+in.+Rebar+Demon+SDS%E2%80%91Max+4%E2%80%91Cutter+Full+Carbide+Head+Hammer+Bit&amp;qid=1694735268&amp;sr=8-47")</f>
        <v/>
      </c>
      <c r="F6960" t="inlineStr">
        <is>
          <t>B089KXBGLM</t>
        </is>
      </c>
      <c r="G6960">
        <f>_xlfn.IMAGE("https://edmondsonsupply.com/cdn/shop/products/DMAMX1020_Main-Image20200701.png?v=1609798895")</f>
        <v/>
      </c>
      <c r="H6960">
        <f>_xlfn.IMAGE("https://m.media-amazon.com/images/I/611A6sphG9L._AC_UL320_.jpg")</f>
        <v/>
      </c>
      <c r="K6960" t="inlineStr">
        <is>
          <t>39.97</t>
        </is>
      </c>
      <c r="L6960" t="n">
        <v>30.13</v>
      </c>
      <c r="M6960" s="1" t="inlineStr">
        <is>
          <t>-24.62%</t>
        </is>
      </c>
      <c r="N6960" s="7" t="n"/>
      <c r="O6960" t="n">
        <v>5</v>
      </c>
      <c r="P6960" t="n">
        <v>2</v>
      </c>
      <c r="R6960" t="inlineStr">
        <is>
          <t>InStock</t>
        </is>
      </c>
      <c r="S6960" t="inlineStr">
        <is>
          <t>42.31</t>
        </is>
      </c>
      <c r="T6960" t="inlineStr">
        <is>
          <t>5463822598312</t>
        </is>
      </c>
    </row>
    <row r="6961" ht="87" customHeight="1">
      <c r="A6961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6961" s="2">
        <f>HYPERLINK("https://edmondsonsupply.com/products/klein-tools-j203-8-pliers-needle-nose-side-cutters-8-inch", "https://edmondsonsupply.com/products/klein-tools-j203-8-pliers-needle-nose-side-cutters-8-inch")</f>
        <v/>
      </c>
      <c r="C6961" t="inlineStr">
        <is>
          <t>Klein Tools J203-8 Pliers, Needle Nose Side-Cutters, 8-Inch</t>
        </is>
      </c>
      <c r="D6961" t="inlineStr">
        <is>
          <t>Klein Tools J203-6 Needle Nose Pliers, Long Nose Side Cutters, Heavy Duty Journeyman Alligator Pliers with Curved Handles, 6-3/4-Inch</t>
        </is>
      </c>
      <c r="E6961" s="2">
        <f>HYPERLINK("https://www.amazon.com/Klein-Tools-J203-6-Pliers-Side-Cutters/dp/B000FH289O/ref=sr_1_5?keywords=Klein+Tools+J203-8+Pliers%2C+Needle+Nose+Side-Cutters%2C+8-Inch&amp;qid=1694735171&amp;sr=8-5", "https://www.amazon.com/Klein-Tools-J203-6-Pliers-Side-Cutters/dp/B000FH289O/ref=sr_1_5?keywords=Klein+Tools+J203-8+Pliers%2C+Needle+Nose+Side-Cutters%2C+8-Inch&amp;qid=1694735171&amp;sr=8-5")</f>
        <v/>
      </c>
      <c r="F6961" t="inlineStr">
        <is>
          <t>B000FH289O</t>
        </is>
      </c>
      <c r="G6961">
        <f>_xlfn.IMAGE("https://edmondsonsupply.com/cdn/shop/products/j2038.jpg?v=1644709677")</f>
        <v/>
      </c>
      <c r="H6961">
        <f>_xlfn.IMAGE("https://m.media-amazon.com/images/I/514ud2Pt0TL._AC_UL320_.jpg")</f>
        <v/>
      </c>
      <c r="K6961" t="inlineStr">
        <is>
          <t>38.49</t>
        </is>
      </c>
      <c r="L6961" t="n">
        <v>28.99</v>
      </c>
      <c r="M6961" s="1" t="inlineStr">
        <is>
          <t>-24.68%</t>
        </is>
      </c>
      <c r="N6961" s="7" t="n"/>
      <c r="O6961" t="n">
        <v>4.7</v>
      </c>
      <c r="P6961" t="n">
        <v>106</v>
      </c>
      <c r="R6961" t="inlineStr">
        <is>
          <t>InStock</t>
        </is>
      </c>
      <c r="S6961" t="inlineStr">
        <is>
          <t>58.32</t>
        </is>
      </c>
      <c r="T6961" t="inlineStr">
        <is>
          <t>7606180249816</t>
        </is>
      </c>
    </row>
    <row r="6962" hidden="1" ht="15.75" customHeight="1">
      <c r="A6962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6962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6962" t="inlineStr">
        <is>
          <t>Klein Tools 646-7/16M 7/16-Inch Magnetic Tip Nut Driver 6-Inch Shaft</t>
        </is>
      </c>
      <c r="D6962" t="inlineStr">
        <is>
          <t>Klein Tools 630-7/16 7/16-Inch Nut Driver with 3-Inch Hollow Shaft and Cushion-Grip Handle</t>
        </is>
      </c>
      <c r="E6962" s="2">
        <f>HYPERLINK("https://www.amazon.com/Cushion-Grip-Klein-Tools-630-7-16/dp/B000BPG4CW/ref=sr_1_4?keywords=Klein+Tools+646-7%2F16M+7%2F16-Inch+Magnetic+Tip+Nut+Driver+6-Inch+Shaft&amp;qid=1694735353&amp;sr=8-4", "https://www.amazon.com/Cushion-Grip-Klein-Tools-630-7-16/dp/B000BPG4CW/ref=sr_1_4?keywords=Klein+Tools+646-7%2F16M+7%2F16-Inch+Magnetic+Tip+Nut+Driver+6-Inch+Shaft&amp;qid=1694735353&amp;sr=8-4")</f>
        <v/>
      </c>
      <c r="F6962" t="inlineStr">
        <is>
          <t>B000BPG4CW</t>
        </is>
      </c>
      <c r="G6962">
        <f>_xludf.IMAGE("https://edmondsonsupply.com/cdn/shop/products/646-5-16m_906faaaa-dd9e-40e4-bce3-8174c2b127b5.jpg?v=1587146594")</f>
        <v/>
      </c>
      <c r="H6962">
        <f>_xludf.IMAGE("https://m.media-amazon.com/images/I/41Cj8-Y8KnL._AC_UL320_.jpg")</f>
        <v/>
      </c>
      <c r="K6962" t="inlineStr">
        <is>
          <t>12.99</t>
        </is>
      </c>
      <c r="L6962" t="n">
        <v>9.779999999999999</v>
      </c>
      <c r="M6962" s="1" t="inlineStr">
        <is>
          <t>-24.71%</t>
        </is>
      </c>
      <c r="N6962" s="1" t="n"/>
      <c r="O6962" t="n">
        <v>4.8</v>
      </c>
      <c r="P6962" t="n">
        <v>2069</v>
      </c>
      <c r="R6962" t="inlineStr">
        <is>
          <t>InStock</t>
        </is>
      </c>
      <c r="S6962" t="inlineStr">
        <is>
          <t>19.74</t>
        </is>
      </c>
      <c r="T6962" t="inlineStr">
        <is>
          <t>4461840171108</t>
        </is>
      </c>
    </row>
    <row r="6963" ht="87" customHeight="1">
      <c r="A6963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6963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6963" t="inlineStr">
        <is>
          <t>Diablo Tools DMAPL4140-P25 3/8 in. x 4 in. x 6 in. Rebar Demon™ SDS-Plus 4-Cutter Full Carbide Head Hammer Bit (25-Pack)</t>
        </is>
      </c>
      <c r="D6963" t="inlineStr">
        <is>
          <t>Diablo by Freud DMAPL4040-P25 3/16 in. x 4 in. x 6 in. Rebar Demon™ SDS-Plus 4-Cutter Full Carbide Head Hammer Bit (25-Pack)</t>
        </is>
      </c>
      <c r="E6963" s="2" t="n"/>
      <c r="F6963" t="inlineStr">
        <is>
          <t>B089LKW42D</t>
        </is>
      </c>
      <c r="G6963">
        <f>_xlfn.IMAGE("https://edmondsonsupply.com/cdn/shop/products/DMAPL4140-P25.jpg?v=1633030354")</f>
        <v/>
      </c>
      <c r="H6963">
        <f>_xlfn.IMAGE("https://m.media-amazon.com/images/I/61WAyx865hL._AC_UL320_.jpg")</f>
        <v/>
      </c>
      <c r="K6963" t="inlineStr">
        <is>
          <t>105.97</t>
        </is>
      </c>
      <c r="L6963" t="n">
        <v>79.63</v>
      </c>
      <c r="M6963" s="1" t="inlineStr">
        <is>
          <t>-24.86%</t>
        </is>
      </c>
      <c r="N6963" s="7" t="n"/>
      <c r="O6963" t="n">
        <v>5</v>
      </c>
      <c r="P6963" t="n">
        <v>2</v>
      </c>
      <c r="R6963" t="inlineStr">
        <is>
          <t>InStock</t>
        </is>
      </c>
      <c r="S6963" t="inlineStr">
        <is>
          <t>153.56</t>
        </is>
      </c>
      <c r="T6963" t="inlineStr">
        <is>
          <t>5286131794088</t>
        </is>
      </c>
    </row>
    <row r="6964" ht="87" customHeight="1">
      <c r="A6964" s="2">
        <f>HYPERLINK("https://edmondsonsupply.com/collections/electricians-tools/products/diablo-tools-dmamx1400-2-in-x-16-in-x-21-in-rebar-demon%E2%84%A2-sds-max-4-cutter-carbide-tipped-hammer-bit", "https://edmondsonsupply.com/collections/electricians-tools/products/diablo-tools-dmamx1400-2-in-x-16-in-x-21-in-rebar-demon%E2%84%A2-sds-max-4-cutter-carbide-tipped-hammer-bit")</f>
        <v/>
      </c>
      <c r="B6964" s="2">
        <f>HYPERLINK("https://edmondsonsupply.com/products/diablo-tools-dmamx1400-2-in-x-16-in-x-21-in-rebar-demon%e2%84%a2-sds-max-4-cutter-carbide-tipped-hammer-bit", "https://edmondsonsupply.com/products/diablo-tools-dmamx1400-2-in-x-16-in-x-21-in-rebar-demon%e2%84%a2-sds-max-4-cutter-carbide-tipped-hammer-bit")</f>
        <v/>
      </c>
      <c r="C6964" t="inlineStr">
        <is>
          <t>Diablo Tools DMAMX1400 2 in. x 16 in. x 21 in. Rebar Demon™ SDS‑Max 4‑Cutter Carbide‑Tipped Hammer Bit</t>
        </is>
      </c>
      <c r="D6964" t="inlineStr">
        <is>
          <t>Diablo DMAMX1390 1-3/4 in. x 16 in. x 21 in. Rebar Demon™ SDS-Max 4-Cutter Carbide-Tipped Hammer Bit</t>
        </is>
      </c>
      <c r="E6964" s="2" t="n"/>
      <c r="F6964" t="inlineStr">
        <is>
          <t>B089KW6C8V</t>
        </is>
      </c>
      <c r="G6964">
        <f>_xlfn.IMAGE("https://edmondsonsupply.com/cdn/shop/products/DMAMX1400_Main-Image20200702.png?v=1633030514")</f>
        <v/>
      </c>
      <c r="H6964">
        <f>_xlfn.IMAGE("https://m.media-amazon.com/images/I/61J-83UaGmL._AC_UL320_.jpg")</f>
        <v/>
      </c>
      <c r="K6964" t="inlineStr">
        <is>
          <t>179.97</t>
        </is>
      </c>
      <c r="L6964" t="n">
        <v>135.21</v>
      </c>
      <c r="M6964" s="1" t="inlineStr">
        <is>
          <t>-24.87%</t>
        </is>
      </c>
      <c r="N6964" s="7" t="n"/>
      <c r="O6964" t="n">
        <v>5</v>
      </c>
      <c r="P6964" t="n">
        <v>9</v>
      </c>
      <c r="R6964" t="inlineStr">
        <is>
          <t>InStock</t>
        </is>
      </c>
      <c r="S6964" t="inlineStr">
        <is>
          <t>222.22</t>
        </is>
      </c>
      <c r="T6964" t="inlineStr">
        <is>
          <t>5395537461416</t>
        </is>
      </c>
    </row>
    <row r="6965" hidden="1" ht="15.75" customHeight="1">
      <c r="A6965" s="2">
        <f>HYPERLINK("https://edmondsonsupply.com/collections/electricians-tools/products/klein-tools-6886ins-insulated-screwdriver-1-square-tip-6-inch-shank", "https://edmondsonsupply.com/collections/electricians-tools/products/klein-tools-6886ins-insulated-screwdriver-1-square-tip-6-inch-shank")</f>
        <v/>
      </c>
      <c r="B6965" s="2">
        <f>HYPERLINK("https://edmondsonsupply.com/products/klein-tools-6886ins-insulated-screwdriver-1-square-tip-6-inch-shank", "https://edmondsonsupply.com/products/klein-tools-6886ins-insulated-screwdriver-1-square-tip-6-inch-shank")</f>
        <v/>
      </c>
      <c r="C6965" t="inlineStr">
        <is>
          <t>Klein Tools 6886INS Insulated Screwdriver, #1 Square Tip, 6-Inch Shank</t>
        </is>
      </c>
      <c r="D6965" t="inlineStr">
        <is>
          <t>Klein Tools 661 Screwdriver, #1 Square Recess Tip with 4-Inch Round Shank</t>
        </is>
      </c>
      <c r="E6965" s="2">
        <f>HYPERLINK("https://www.amazon.com/Klein-Tools-661-Screwdriver-Square/dp/B000FT7MKW/ref=sr_1_10?keywords=Klein+Tools+6886INS+Insulated+Screwdriver%2C+%231+Square+Tip%2C+6-Inch+Shank&amp;qid=1694735108&amp;sr=8-10", "https://www.amazon.com/Klein-Tools-661-Screwdriver-Square/dp/B000FT7MKW/ref=sr_1_10?keywords=Klein+Tools+6886INS+Insulated+Screwdriver%2C+%231+Square+Tip%2C+6-Inch+Shank&amp;qid=1694735108&amp;sr=8-10")</f>
        <v/>
      </c>
      <c r="F6965" t="inlineStr">
        <is>
          <t>B000FT7MKW</t>
        </is>
      </c>
      <c r="G6965">
        <f>_xludf.IMAGE("https://edmondsonsupply.com/cdn/shop/products/6886ins.jpg?v=1664889697")</f>
        <v/>
      </c>
      <c r="H6965">
        <f>_xludf.IMAGE("https://m.media-amazon.com/images/I/61oCMRQGbUL._AC_UL320_.jpg")</f>
        <v/>
      </c>
      <c r="K6965" t="inlineStr">
        <is>
          <t>11.97</t>
        </is>
      </c>
      <c r="L6965" t="n">
        <v>8.99</v>
      </c>
      <c r="M6965" s="1" t="inlineStr">
        <is>
          <t>-24.90%</t>
        </is>
      </c>
      <c r="N6965" s="1" t="n"/>
      <c r="O6965" t="n">
        <v>4.8</v>
      </c>
      <c r="P6965" t="n">
        <v>1357</v>
      </c>
      <c r="R6965" t="inlineStr">
        <is>
          <t>InStock</t>
        </is>
      </c>
      <c r="S6965" t="inlineStr">
        <is>
          <t>17.98</t>
        </is>
      </c>
      <c r="T6965" t="inlineStr">
        <is>
          <t>7839176491224</t>
        </is>
      </c>
    </row>
    <row r="6966" hidden="1" ht="15.75" customHeight="1">
      <c r="A6966" s="2">
        <f>HYPERLINK("https://edmondsonsupply.com/collections/electricians-tools/products/diablo-tools-dmarg1090-1-4-in-x-10-in-x-12-in-speedemon%E2%84%A2-red-granite-carbide-tipped-hammer-drill-bit", "https://edmondsonsupply.com/collections/electricians-tools/products/diablo-tools-dmarg1090-1-4-in-x-10-in-x-12-in-speedemon%E2%84%A2-red-granite-carbide-tipped-hammer-drill-bit")</f>
        <v/>
      </c>
      <c r="B6966" s="2">
        <f>HYPERLINK("https://edmondsonsupply.com/products/diablo-tools-dmarg1090-1-4-in-x-10-in-x-12-in-speedemon%e2%84%a2-red-granite-carbide-tipped-hammer-drill-bit", "https://edmondsonsupply.com/products/diablo-tools-dmarg1090-1-4-in-x-10-in-x-12-in-speedemon%e2%84%a2-red-granite-carbide-tipped-hammer-drill-bit")</f>
        <v/>
      </c>
      <c r="C6966" t="inlineStr">
        <is>
          <t>Diablo Tools DMARG1090 1/4 in. x 10 in. x 12 in. SPEEDemon™ Red Granite Carbide Tipped Hammer Drill Bit</t>
        </is>
      </c>
      <c r="D6966" t="inlineStr">
        <is>
          <t>Sabre Tools 1/4 Inch x 12 Inch SDS Plus Rotary Hammer Drill Bit, Carbide Tipped for Brick, Stone, and Concrete Version 2 (1/4" x 10" x 12")</t>
        </is>
      </c>
      <c r="E6966" s="2">
        <f>HYPERLINK("https://www.amazon.com/Sabre-Tools-Carbide-Concrete-Version/dp/B096NNN1LT/ref=sr_1_10?keywords=Diablo+Tools+DMARG1090+1%2F4+in.+x+10+in.+x+12+in.+SPEEDemon%E2%84%A2+Red+Granite+Carbide+Tipped+Hammer+Drill+Bit&amp;qid=1694735286&amp;sr=8-10", "https://www.amazon.com/Sabre-Tools-Carbide-Concrete-Version/dp/B096NNN1LT/ref=sr_1_10?keywords=Diablo+Tools+DMARG1090+1%2F4+in.+x+10+in.+x+12+in.+SPEEDemon%E2%84%A2+Red+Granite+Carbide+Tipped+Hammer+Drill+Bit&amp;qid=1694735286&amp;sr=8-10")</f>
        <v/>
      </c>
      <c r="F6966" t="inlineStr">
        <is>
          <t>B096NNN1LT</t>
        </is>
      </c>
      <c r="G6966">
        <f>_xludf.IMAGE("https://edmondsonsupply.com/cdn/shop/products/DMARG1090_Main-Image.png?v=1633030421")</f>
        <v/>
      </c>
      <c r="H6966">
        <f>_xludf.IMAGE("https://m.media-amazon.com/images/I/51lCoJCq3nL._AC_UL320_.jpg")</f>
        <v/>
      </c>
      <c r="K6966" t="inlineStr">
        <is>
          <t>11.97</t>
        </is>
      </c>
      <c r="L6966" t="n">
        <v>8.99</v>
      </c>
      <c r="M6966" s="1" t="inlineStr">
        <is>
          <t>-24.90%</t>
        </is>
      </c>
      <c r="N6966" s="1" t="n"/>
      <c r="O6966" t="n">
        <v>4.6</v>
      </c>
      <c r="P6966" t="n">
        <v>796</v>
      </c>
      <c r="R6966" t="inlineStr">
        <is>
          <t>InStock</t>
        </is>
      </c>
      <c r="S6966" t="inlineStr">
        <is>
          <t>12.5</t>
        </is>
      </c>
      <c r="T6966" t="inlineStr">
        <is>
          <t>5318039339176</t>
        </is>
      </c>
    </row>
    <row r="6967" hidden="1" ht="15.75" customHeight="1">
      <c r="A6967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6967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6967" t="inlineStr">
        <is>
          <t>Diablo Tools DMARG1160 1/2 in. x 10 in. x 12 in. SPEEDemon™ Red Granite Carbide Tipped Hammer Drill Bit</t>
        </is>
      </c>
      <c r="D6967" t="inlineStr">
        <is>
          <t>Diablo by Freud DMARG1170 5/8 in. x 4 in. x 6 in. SPEEDemon Red Granite Carbide Tipped Hammer Drill Bit</t>
        </is>
      </c>
      <c r="E6967" s="2">
        <f>HYPERLINK("https://www.amazon.com/Diablo-Freud-DMARG1170-SPEEDemon-Granite/dp/B089LHNF2T/ref=sr_1_30?keywords=Diablo+Tools+DMARG1160+1%2F2+in.+x+10+in.+x+12+in.+SPEEDemon%E2%84%A2+Red+Granite+Carbide+Tipped+Hammer+Drill+Bit&amp;qid=1694735262&amp;sr=8-30", "https://www.amazon.com/Diablo-Freud-DMARG1170-SPEEDemon-Granite/dp/B089LHNF2T/ref=sr_1_30?keywords=Diablo+Tools+DMARG1160+1%2F2+in.+x+10+in.+x+12+in.+SPEEDemon%E2%84%A2+Red+Granite+Carbide+Tipped+Hammer+Drill+Bit&amp;qid=1694735262&amp;sr=8-30")</f>
        <v/>
      </c>
      <c r="F6967" t="inlineStr">
        <is>
          <t>B089LHNF2T</t>
        </is>
      </c>
      <c r="G6967">
        <f>_xludf.IMAGE("https://edmondsonsupply.com/cdn/shop/products/DMARG1160_Main-Image20200513.png?v=1633030651")</f>
        <v/>
      </c>
      <c r="H6967">
        <f>_xludf.IMAGE("https://m.media-amazon.com/images/I/61+aCAjnkLL._AC_UL320_.jpg")</f>
        <v/>
      </c>
      <c r="K6967" t="inlineStr">
        <is>
          <t>15.97</t>
        </is>
      </c>
      <c r="L6967" t="n">
        <v>11.99</v>
      </c>
      <c r="M6967" s="1" t="inlineStr">
        <is>
          <t>-24.92%</t>
        </is>
      </c>
      <c r="N6967" s="1" t="n"/>
      <c r="O6967" t="n">
        <v>4.6</v>
      </c>
      <c r="P6967" t="n">
        <v>14</v>
      </c>
      <c r="R6967" t="inlineStr">
        <is>
          <t>InStock</t>
        </is>
      </c>
      <c r="S6967" t="inlineStr">
        <is>
          <t>undefined</t>
        </is>
      </c>
      <c r="T6967" t="inlineStr">
        <is>
          <t>5740401164456</t>
        </is>
      </c>
    </row>
    <row r="6968" hidden="1" ht="15.75" customHeight="1">
      <c r="A6968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6968" s="2">
        <f>HYPERLINK("https://edmondsonsupply.com/products/diablo-tools-d0760x-7-1-4-in-x-60-tooth-ultra-finish-saw-blade", "https://edmondsonsupply.com/products/diablo-tools-d0760x-7-1-4-in-x-60-tooth-ultra-finish-saw-blade")</f>
        <v/>
      </c>
      <c r="C6968" t="inlineStr">
        <is>
          <t>Diablo Tools D0760X 7-1/4 in. x 60 Tooth Ultra Finish Saw Blade</t>
        </is>
      </c>
      <c r="D6968" t="inlineStr">
        <is>
          <t>FOXBC 7-1/4" Circular Saw Blade 40 Tooth, Replacement for Freud D0740A Diablo, SKIL 75740W, DeWalt Finishing Saw Blade</t>
        </is>
      </c>
      <c r="E6968" s="2">
        <f>HYPERLINK("https://www.amazon.com/FOXBC-Circular-Replacement-D0740A-Finishing/dp/B0C6L5RLM8/ref=sr_1_18?keywords=Diablo+Tools+D0760X+7-1%2F4+in.+x+60+Tooth+Ultra+Finish+Saw+Blade&amp;qid=1694735024&amp;sr=8-18", "https://www.amazon.com/FOXBC-Circular-Replacement-D0740A-Finishing/dp/B0C6L5RLM8/ref=sr_1_18?keywords=Diablo+Tools+D0760X+7-1%2F4+in.+x+60+Tooth+Ultra+Finish+Saw+Blade&amp;qid=1694735024&amp;sr=8-18")</f>
        <v/>
      </c>
      <c r="F6968" t="inlineStr">
        <is>
          <t>B0C6L5RLM8</t>
        </is>
      </c>
      <c r="G6968">
        <f>_xludf.IMAGE("https://edmondsonsupply.com/cdn/shop/products/vlfiqrihhfwf5bxirasx.webp?v=1678977162")</f>
        <v/>
      </c>
      <c r="H6968">
        <f>_xludf.IMAGE("https://m.media-amazon.com/images/I/71ar9CaHLGL._AC_UL320_.jpg")</f>
        <v/>
      </c>
      <c r="K6968" t="inlineStr">
        <is>
          <t>19.97</t>
        </is>
      </c>
      <c r="L6968" t="n">
        <v>14.99</v>
      </c>
      <c r="M6968" s="1" t="inlineStr">
        <is>
          <t>-24.94%</t>
        </is>
      </c>
      <c r="N6968" s="1" t="n"/>
      <c r="O6968" t="n">
        <v>4.4</v>
      </c>
      <c r="P6968" t="n">
        <v>25</v>
      </c>
      <c r="R6968" t="inlineStr">
        <is>
          <t>InStock</t>
        </is>
      </c>
      <c r="S6968" t="inlineStr">
        <is>
          <t>30.2</t>
        </is>
      </c>
      <c r="T6968" t="inlineStr">
        <is>
          <t>7962630521048</t>
        </is>
      </c>
    </row>
    <row r="6969" hidden="1" ht="15.75" customHeight="1">
      <c r="A6969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6969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6969" t="inlineStr">
        <is>
          <t>Klein Tools 32801 5-in-1 Multi-Bit Screwdriver / Nut Driver, Heavy Duty</t>
        </is>
      </c>
      <c r="D6969" t="inlineStr">
        <is>
          <t>Klein Tools 32557 Multi-Bit Screwdriver / Nut Driver, Heavy Duty 10-in-1 with Interchangable Shafts and Ph, Sl, Sq, Hex Bits and Nut Drivers</t>
        </is>
      </c>
      <c r="E6969" s="2">
        <f>HYPERLINK("https://www.amazon.com/Klein-Tools-32557-Multi-Bit-Screwdriver/dp/B005FQDH9A/ref=sr_1_3?keywords=Klein+Tools+32801+5-in-1+Multi-Bit+Screwdriver+%2F+Nut+Driver%2C+Heavy+Duty&amp;qid=1694735265&amp;sr=8-3", "https://www.amazon.com/Klein-Tools-32557-Multi-Bit-Screwdriver/dp/B005FQDH9A/ref=sr_1_3?keywords=Klein+Tools+32801+5-in-1+Multi-Bit+Screwdriver+%2F+Nut+Driver%2C+Heavy+Duty&amp;qid=1694735265&amp;sr=8-3")</f>
        <v/>
      </c>
      <c r="F6969" t="inlineStr">
        <is>
          <t>B005FQDH9A</t>
        </is>
      </c>
      <c r="G6969">
        <f>_xludf.IMAGE("https://edmondsonsupply.com/cdn/shop/products/32801.jpg?v=1633030677")</f>
        <v/>
      </c>
      <c r="H6969">
        <f>_xludf.IMAGE("https://m.media-amazon.com/images/I/41vMDiO0rOL._AC_UL320_.jpg")</f>
        <v/>
      </c>
      <c r="K6969" t="inlineStr">
        <is>
          <t>19.97</t>
        </is>
      </c>
      <c r="L6969" t="n">
        <v>14.98</v>
      </c>
      <c r="M6969" s="1" t="inlineStr">
        <is>
          <t>-24.99%</t>
        </is>
      </c>
      <c r="N6969" s="1" t="n"/>
      <c r="O6969" t="n">
        <v>4.8</v>
      </c>
      <c r="P6969" t="n">
        <v>918</v>
      </c>
      <c r="R6969" t="inlineStr">
        <is>
          <t>InStock</t>
        </is>
      </c>
      <c r="S6969" t="inlineStr">
        <is>
          <t>32.18</t>
        </is>
      </c>
      <c r="T6969" t="inlineStr">
        <is>
          <t>5807274819752</t>
        </is>
      </c>
    </row>
    <row r="6970" ht="87" customHeight="1">
      <c r="A6970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6970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6970" t="inlineStr">
        <is>
          <t>Klein Tools 51605 Iron Conduit Bender Full Assembly, 1-Inch EMT with Angle Setter™</t>
        </is>
      </c>
      <c r="D6970" t="inlineStr">
        <is>
          <t>Klein Tools 51604 Iron Conduit Bender Full Assembly, 3/4-Inch EMT and 1/2-Inch Rigid, Wide Foot Pedal, Benchmark Symbols and Angle Setter</t>
        </is>
      </c>
      <c r="E6970" s="2">
        <f>HYPERLINK("https://www.amazon.com/Conduit-Features-Klein-Tools-51604/dp/B08V8YVWH1/ref=sr_1_2?keywords=Klein+Tools+51605+Iron+Conduit+Bender+Full+Assembly%2C+1-Inch+EMT+with+Angle+Setter%E2%84%A2&amp;qid=1694735128&amp;sr=8-2", "https://www.amazon.com/Conduit-Features-Klein-Tools-51604/dp/B08V8YVWH1/ref=sr_1_2?keywords=Klein+Tools+51605+Iron+Conduit+Bender+Full+Assembly%2C+1-Inch+EMT+with+Angle+Setter%E2%84%A2&amp;qid=1694735128&amp;sr=8-2")</f>
        <v/>
      </c>
      <c r="F6970" t="inlineStr">
        <is>
          <t>B08V8YVWH1</t>
        </is>
      </c>
      <c r="G6970">
        <f>_xlfn.IMAGE("https://edmondsonsupply.com/cdn/shop/products/51605.jpg?v=1663938749")</f>
        <v/>
      </c>
      <c r="H6970">
        <f>_xlfn.IMAGE("https://m.media-amazon.com/images/I/41DkDVmyczL._AC_UL320_.jpg")</f>
        <v/>
      </c>
      <c r="K6970" t="inlineStr">
        <is>
          <t>99.97</t>
        </is>
      </c>
      <c r="L6970" t="n">
        <v>74.98999999999999</v>
      </c>
      <c r="M6970" s="1" t="inlineStr">
        <is>
          <t>-24.99%</t>
        </is>
      </c>
      <c r="N6970" s="7" t="n"/>
      <c r="O6970" t="n">
        <v>4.8</v>
      </c>
      <c r="P6970" t="n">
        <v>44</v>
      </c>
      <c r="R6970" t="inlineStr">
        <is>
          <t>InStock</t>
        </is>
      </c>
      <c r="S6970" t="inlineStr">
        <is>
          <t>149.98</t>
        </is>
      </c>
      <c r="T6970" t="inlineStr">
        <is>
          <t>7827205619928</t>
        </is>
      </c>
    </row>
    <row r="6971" ht="87" customHeight="1">
      <c r="A6971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6971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6971" t="inlineStr">
        <is>
          <t>Klein Tools 51605 Iron Conduit Bender Full Assembly, 1-Inch EMT with Angle Setter™</t>
        </is>
      </c>
      <c r="D6971" t="inlineStr">
        <is>
          <t>Klein Tools 51610 Iron Conduit Bender Head, for 1-Inch EMT or 3/4-Inch Rigid IMC, use with Klein Tools Angle Setter (Cat. No. 51613)</t>
        </is>
      </c>
      <c r="E6971" s="2">
        <f>HYPERLINK("https://www.amazon.com/Conduit-Bender-Klein-Tools-51610/dp/B08V8J5CX4/ref=sr_1_5?keywords=Klein+Tools+51605+Iron+Conduit+Bender+Full+Assembly%2C+1-Inch+EMT+with+Angle+Setter%E2%84%A2&amp;qid=1694735128&amp;sr=8-5", "https://www.amazon.com/Conduit-Bender-Klein-Tools-51610/dp/B08V8J5CX4/ref=sr_1_5?keywords=Klein+Tools+51605+Iron+Conduit+Bender+Full+Assembly%2C+1-Inch+EMT+with+Angle+Setter%E2%84%A2&amp;qid=1694735128&amp;sr=8-5")</f>
        <v/>
      </c>
      <c r="F6971" t="inlineStr">
        <is>
          <t>B08V8J5CX4</t>
        </is>
      </c>
      <c r="G6971">
        <f>_xlfn.IMAGE("https://edmondsonsupply.com/cdn/shop/products/51605.jpg?v=1663938749")</f>
        <v/>
      </c>
      <c r="H6971">
        <f>_xlfn.IMAGE("https://m.media-amazon.com/images/I/61jmGqozuVL._AC_UL320_.jpg")</f>
        <v/>
      </c>
      <c r="K6971" t="inlineStr">
        <is>
          <t>99.97</t>
        </is>
      </c>
      <c r="L6971" t="n">
        <v>74.98999999999999</v>
      </c>
      <c r="M6971" s="1" t="inlineStr">
        <is>
          <t>-24.99%</t>
        </is>
      </c>
      <c r="N6971" s="7" t="n"/>
      <c r="O6971" t="n">
        <v>4.8</v>
      </c>
      <c r="P6971" t="n">
        <v>11</v>
      </c>
      <c r="R6971" t="inlineStr">
        <is>
          <t>InStock</t>
        </is>
      </c>
      <c r="S6971" t="inlineStr">
        <is>
          <t>149.98</t>
        </is>
      </c>
      <c r="T6971" t="inlineStr">
        <is>
          <t>7827205619928</t>
        </is>
      </c>
    </row>
    <row r="6972" ht="87" customHeight="1">
      <c r="A6972" s="2">
        <f>HYPERLINK("https://edmondsonsupply.com/collections/electricians-tools/products/milwaukee-49-56-9285-8-pc-big-hawg%E2%84%A2-carbide-teeth-plumbers-hole-saw-kit", "https://edmondsonsupply.com/collections/electricians-tools/products/milwaukee-49-56-9285-8-pc-big-hawg%E2%84%A2-carbide-teeth-plumbers-hole-saw-kit")</f>
        <v/>
      </c>
      <c r="B6972" s="2">
        <f>HYPERLINK("https://edmondsonsupply.com/products/milwaukee-49-56-9285-8-pc-big-hawg%e2%84%a2-carbide-teeth-plumbers-hole-saw-kit", "https://edmondsonsupply.com/products/milwaukee-49-56-9285-8-pc-big-hawg%e2%84%a2-carbide-teeth-plumbers-hole-saw-kit")</f>
        <v/>
      </c>
      <c r="C6972" t="inlineStr">
        <is>
          <t>Milwaukee 49-56-9285 8 PC BIG HAWG™ Carbide Teeth Plumber's Hole Saw Kit</t>
        </is>
      </c>
      <c r="D6972" t="inlineStr">
        <is>
          <t>Milwaukee 49-56-9285 8 Pc Big Hawg Hole Saw W/Carbide Teeth Kit New</t>
        </is>
      </c>
      <c r="E6972" s="2">
        <f>HYPERLINK("https://www.amazon.com/Milwaukee-49-56-9285-Hawg-Carbide-Teeth/dp/B07HNDM4VB/ref=sr_1_1?keywords=Milwaukee+49-56-9285+8+PC+BIG+HAWG%E2%84%A2+Carbide+Teeth+Plumber%27s+Hole+Saw+Kit&amp;qid=1694735352&amp;sr=8-1", "https://www.amazon.com/Milwaukee-49-56-9285-Hawg-Carbide-Teeth/dp/B07HNDM4VB/ref=sr_1_1?keywords=Milwaukee+49-56-9285+8+PC+BIG+HAWG%E2%84%A2+Carbide+Teeth+Plumber%27s+Hole+Saw+Kit&amp;qid=1694735352&amp;sr=8-1")</f>
        <v/>
      </c>
      <c r="F6972" t="inlineStr">
        <is>
          <t>B07HNDM4VB</t>
        </is>
      </c>
      <c r="G6972">
        <f>_xlfn.IMAGE("https://edmondsonsupply.com/cdn/shop/products/49-56-9285_Kit.png?v=1587144461")</f>
        <v/>
      </c>
      <c r="H6972">
        <f>_xlfn.IMAGE("https://m.media-amazon.com/images/I/91MZfSE7dxL._AC_UL320_.jpg")</f>
        <v/>
      </c>
      <c r="K6972" t="inlineStr">
        <is>
          <t>199.97</t>
        </is>
      </c>
      <c r="L6972" t="n">
        <v>150</v>
      </c>
      <c r="M6972" s="1" t="inlineStr">
        <is>
          <t>-24.99%</t>
        </is>
      </c>
      <c r="N6972" s="7" t="n"/>
      <c r="O6972" t="n">
        <v>4.8</v>
      </c>
      <c r="P6972" t="n">
        <v>99</v>
      </c>
      <c r="R6972" t="inlineStr">
        <is>
          <t>InStock</t>
        </is>
      </c>
      <c r="S6972" t="inlineStr">
        <is>
          <t>305.2</t>
        </is>
      </c>
      <c r="T6972" t="inlineStr">
        <is>
          <t>4505537118308</t>
        </is>
      </c>
    </row>
    <row r="6973" ht="87" customHeight="1">
      <c r="A6973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6973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6973" t="inlineStr">
        <is>
          <t>Klein Tools 51603 Iron Conduit Bender Full Assembly, 1/2-Inch EMT with Angle Setter™</t>
        </is>
      </c>
      <c r="D6973" t="inlineStr">
        <is>
          <t>Klein Tools 51609 Iron Conduit Bender Head, for 3/4-Inch EMT or 1/2-Inch Rigid IMC, use with Klein Tools Angle Setter (Cat. No. 51612)</t>
        </is>
      </c>
      <c r="E6973" s="2">
        <f>HYPERLINK("https://www.amazon.com/Conduit-Bender-Klein-Tools-51609/dp/B08VYFHL9J/ref=sr_1_11?keywords=Klein+Tools+51603+Iron+Conduit+Bender+Full+Assembly%2C+1%2F2-Inch+EMT+with+Angle+Setter%E2%84%A2&amp;qid=1694734984&amp;sr=8-11", "https://www.amazon.com/Conduit-Bender-Klein-Tools-51609/dp/B08VYFHL9J/ref=sr_1_11?keywords=Klein+Tools+51603+Iron+Conduit+Bender+Full+Assembly%2C+1%2F2-Inch+EMT+with+Angle+Setter%E2%84%A2&amp;qid=1694734984&amp;sr=8-11")</f>
        <v/>
      </c>
      <c r="F6973" t="inlineStr">
        <is>
          <t>B08VYFHL9J</t>
        </is>
      </c>
      <c r="G6973">
        <f>_xlfn.IMAGE("https://edmondsonsupply.com/cdn/shop/products/51604.jpg?v=1663940749")</f>
        <v/>
      </c>
      <c r="H6973">
        <f>_xlfn.IMAGE("https://m.media-amazon.com/images/I/61KifnC2xML._AC_UL320_.jpg")</f>
        <v/>
      </c>
      <c r="K6973" t="inlineStr">
        <is>
          <t>59.99</t>
        </is>
      </c>
      <c r="L6973" t="n">
        <v>44.99</v>
      </c>
      <c r="M6973" s="1" t="inlineStr">
        <is>
          <t>-25.00%</t>
        </is>
      </c>
      <c r="N6973" s="7" t="n"/>
      <c r="O6973" t="n">
        <v>4.2</v>
      </c>
      <c r="P6973" t="n">
        <v>31</v>
      </c>
      <c r="R6973" t="inlineStr">
        <is>
          <t>InStock</t>
        </is>
      </c>
      <c r="S6973" t="inlineStr">
        <is>
          <t>86.4</t>
        </is>
      </c>
      <c r="T6973" t="inlineStr">
        <is>
          <t>7827227574488</t>
        </is>
      </c>
    </row>
    <row r="6974" ht="87" customHeight="1">
      <c r="A6974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6974" s="2">
        <f>HYPERLINK("https://edmondsonsupply.com/products/klein-tools-51609-3-4-inch-iron-conduit-bender-head", "https://edmondsonsupply.com/products/klein-tools-51609-3-4-inch-iron-conduit-bender-head")</f>
        <v/>
      </c>
      <c r="C6974" t="inlineStr">
        <is>
          <t>Klein Tools 51609 3/4-Inch Iron Conduit Bender Head</t>
        </is>
      </c>
      <c r="D6974" t="inlineStr">
        <is>
          <t>Klein Tools 51607 Aluminum Conduit Bender Full Assembly, 3/4-Inch EMT, 1/2-Inch Rigid, Wide Foot Pedal, Benchmark Symbols and Angle Setter</t>
        </is>
      </c>
      <c r="E6974" s="2">
        <f>HYPERLINK("https://www.amazon.com/Aluminum-Benchmark-Technology-Klein-Tools/dp/B08L41G5G5/ref=sr_1_4?keywords=Klein+Tools+51609+3%2F4-Inch+Iron+Conduit+Bender+Head&amp;qid=1694735132&amp;sr=8-4", "https://www.amazon.com/Aluminum-Benchmark-Technology-Klein-Tools/dp/B08L41G5G5/ref=sr_1_4?keywords=Klein+Tools+51609+3%2F4-Inch+Iron+Conduit+Bender+Head&amp;qid=1694735132&amp;sr=8-4")</f>
        <v/>
      </c>
      <c r="F6974" t="inlineStr">
        <is>
          <t>B08L41G5G5</t>
        </is>
      </c>
      <c r="G6974">
        <f>_xlfn.IMAGE("https://edmondsonsupply.com/cdn/shop/products/51609.jpg?v=1661867147")</f>
        <v/>
      </c>
      <c r="H6974">
        <f>_xlfn.IMAGE("https://m.media-amazon.com/images/I/419ZjlOD69L._AC_UL320_.jpg")</f>
        <v/>
      </c>
      <c r="K6974" t="inlineStr">
        <is>
          <t>59.99</t>
        </is>
      </c>
      <c r="L6974" t="n">
        <v>44.99</v>
      </c>
      <c r="M6974" s="1" t="inlineStr">
        <is>
          <t>-25.00%</t>
        </is>
      </c>
      <c r="N6974" s="7" t="n"/>
      <c r="O6974" t="n">
        <v>4.7</v>
      </c>
      <c r="P6974" t="n">
        <v>342</v>
      </c>
      <c r="R6974" t="inlineStr">
        <is>
          <t>InStock</t>
        </is>
      </c>
      <c r="S6974" t="inlineStr">
        <is>
          <t>90.22</t>
        </is>
      </c>
      <c r="T6974" t="inlineStr">
        <is>
          <t>7797415837912</t>
        </is>
      </c>
    </row>
    <row r="6975" ht="87" customHeight="1">
      <c r="A6975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6975" s="2">
        <f>HYPERLINK("https://edmondsonsupply.com/products/klein-tools-51609-3-4-inch-iron-conduit-bender-head", "https://edmondsonsupply.com/products/klein-tools-51609-3-4-inch-iron-conduit-bender-head")</f>
        <v/>
      </c>
      <c r="C6975" t="inlineStr">
        <is>
          <t>Klein Tools 51609 3/4-Inch Iron Conduit Bender Head</t>
        </is>
      </c>
      <c r="D6975" t="inlineStr">
        <is>
          <t>Klein Tools 51609 Iron Conduit Bender Head, for 3/4-Inch EMT or 1/2-Inch Rigid IMC, use with Klein Tools Angle Setter (Cat. No. 51612)</t>
        </is>
      </c>
      <c r="E6975" s="2">
        <f>HYPERLINK("https://www.amazon.com/Conduit-Bender-Klein-Tools-51609/dp/B08VYFHL9J/ref=sr_1_1?keywords=Klein+Tools+51609+3%2F4-Inch+Iron+Conduit+Bender+Head&amp;qid=1694735132&amp;sr=8-1", "https://www.amazon.com/Conduit-Bender-Klein-Tools-51609/dp/B08VYFHL9J/ref=sr_1_1?keywords=Klein+Tools+51609+3%2F4-Inch+Iron+Conduit+Bender+Head&amp;qid=1694735132&amp;sr=8-1")</f>
        <v/>
      </c>
      <c r="F6975" t="inlineStr">
        <is>
          <t>B08VYFHL9J</t>
        </is>
      </c>
      <c r="G6975">
        <f>_xlfn.IMAGE("https://edmondsonsupply.com/cdn/shop/products/51609.jpg?v=1661867147")</f>
        <v/>
      </c>
      <c r="H6975">
        <f>_xlfn.IMAGE("https://m.media-amazon.com/images/I/61KifnC2xML._AC_UL320_.jpg")</f>
        <v/>
      </c>
      <c r="K6975" t="inlineStr">
        <is>
          <t>59.99</t>
        </is>
      </c>
      <c r="L6975" t="n">
        <v>44.99</v>
      </c>
      <c r="M6975" s="1" t="inlineStr">
        <is>
          <t>-25.00%</t>
        </is>
      </c>
      <c r="N6975" s="7" t="n"/>
      <c r="O6975" t="n">
        <v>4.2</v>
      </c>
      <c r="P6975" t="n">
        <v>31</v>
      </c>
      <c r="R6975" t="inlineStr">
        <is>
          <t>InStock</t>
        </is>
      </c>
      <c r="S6975" t="inlineStr">
        <is>
          <t>90.22</t>
        </is>
      </c>
      <c r="T6975" t="inlineStr">
        <is>
          <t>7797415837912</t>
        </is>
      </c>
    </row>
    <row r="6976" ht="87" customHeight="1">
      <c r="A6976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6976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6976" t="inlineStr">
        <is>
          <t>Klein Tools 51603 Iron Conduit Bender Full Assembly, 1/2-Inch EMT with Angle Setter™</t>
        </is>
      </c>
      <c r="D6976" t="inlineStr">
        <is>
          <t>Klein Tools 51607 Aluminum Conduit Bender Full Assembly, 3/4-Inch EMT, 1/2-Inch Rigid, Wide Foot Pedal, Benchmark Symbols and Angle Setter</t>
        </is>
      </c>
      <c r="E6976" s="2">
        <f>HYPERLINK("https://www.amazon.com/Aluminum-Benchmark-Technology-Klein-Tools/dp/B08L41G5G5/ref=sr_1_5?keywords=Klein+Tools+51603+Iron+Conduit+Bender+Full+Assembly%2C+1%2F2-Inch+EMT+with+Angle+Setter%E2%84%A2&amp;qid=1694734984&amp;sr=8-5", "https://www.amazon.com/Aluminum-Benchmark-Technology-Klein-Tools/dp/B08L41G5G5/ref=sr_1_5?keywords=Klein+Tools+51603+Iron+Conduit+Bender+Full+Assembly%2C+1%2F2-Inch+EMT+with+Angle+Setter%E2%84%A2&amp;qid=1694734984&amp;sr=8-5")</f>
        <v/>
      </c>
      <c r="F6976" t="inlineStr">
        <is>
          <t>B08L41G5G5</t>
        </is>
      </c>
      <c r="G6976">
        <f>_xlfn.IMAGE("https://edmondsonsupply.com/cdn/shop/products/51604.jpg?v=1663940749")</f>
        <v/>
      </c>
      <c r="H6976">
        <f>_xlfn.IMAGE("https://m.media-amazon.com/images/I/419ZjlOD69L._AC_UL320_.jpg")</f>
        <v/>
      </c>
      <c r="K6976" t="inlineStr">
        <is>
          <t>59.99</t>
        </is>
      </c>
      <c r="L6976" t="n">
        <v>44.99</v>
      </c>
      <c r="M6976" s="1" t="inlineStr">
        <is>
          <t>-25.00%</t>
        </is>
      </c>
      <c r="N6976" s="7" t="n"/>
      <c r="O6976" t="n">
        <v>4.7</v>
      </c>
      <c r="P6976" t="n">
        <v>342</v>
      </c>
      <c r="R6976" t="inlineStr">
        <is>
          <t>InStock</t>
        </is>
      </c>
      <c r="S6976" t="inlineStr">
        <is>
          <t>86.4</t>
        </is>
      </c>
      <c r="T6976" t="inlineStr">
        <is>
          <t>7827227574488</t>
        </is>
      </c>
    </row>
    <row r="6977" hidden="1" ht="15.75" customHeight="1">
      <c r="A6977" s="2">
        <f>HYPERLINK("https://edmondsonsupply.com/collections/electricians-tools/products/crescent-wiss-m2p-9-3-4-compound-action-straight-and-right-cut-aviation-snips", "https://edmondsonsupply.com/collections/electricians-tools/products/crescent-wiss-m2p-9-3-4-compound-action-straight-and-right-cut-aviation-snips")</f>
        <v/>
      </c>
      <c r="B6977" s="2">
        <f>HYPERLINK("https://edmondsonsupply.com/products/crescent-wiss-m2p-9-3-4-compound-action-straight-and-right-cut-aviation-snips", "https://edmondsonsupply.com/products/crescent-wiss-m2p-9-3-4-compound-action-straight-and-right-cut-aviation-snips")</f>
        <v/>
      </c>
      <c r="C6977" t="inlineStr">
        <is>
          <t>Crescent Wiss M2P 9-3/4" Compound Action Straight and Right Cut Aviation Snips</t>
        </is>
      </c>
      <c r="D6977" t="inlineStr">
        <is>
          <t>Crescent Wiss 9-3/4" MetalMaster Compound Action Straight and Left Aviation Snips - M1R</t>
        </is>
      </c>
      <c r="E6977" s="2">
        <f>HYPERLINK("https://www.amazon.com/Wiss-M1R-MetalMaster-Capacity-Straight/dp/B00002N5KO/ref=sr_1_4?keywords=Crescent+Wiss+M2P+9-3%2F4%22+Compound+Action+Straight+and+Right+Cut+Aviation+Snips&amp;qid=1694735015&amp;sr=8-4", "https://www.amazon.com/Wiss-M1R-MetalMaster-Capacity-Straight/dp/B00002N5KO/ref=sr_1_4?keywords=Crescent+Wiss+M2P+9-3%2F4%22+Compound+Action+Straight+and+Right+Cut+Aviation+Snips&amp;qid=1694735015&amp;sr=8-4")</f>
        <v/>
      </c>
      <c r="F6977" t="inlineStr">
        <is>
          <t>B00002N5KO</t>
        </is>
      </c>
      <c r="G6977">
        <f>_xludf.IMAGE("https://edmondsonsupply.com/cdn/shop/products/WIS_M2P_IMG_ANG_01.jpg?v=1679674099")</f>
        <v/>
      </c>
      <c r="H6977">
        <f>_xludf.IMAGE("https://m.media-amazon.com/images/I/61SRWhDt0pL._AC_UL320_.jpg")</f>
        <v/>
      </c>
      <c r="K6977" t="inlineStr">
        <is>
          <t>19.99</t>
        </is>
      </c>
      <c r="L6977" t="n">
        <v>14.99</v>
      </c>
      <c r="M6977" s="1" t="inlineStr">
        <is>
          <t>-25.01%</t>
        </is>
      </c>
      <c r="N6977" s="1" t="n"/>
      <c r="O6977" t="n">
        <v>4.6</v>
      </c>
      <c r="P6977" t="n">
        <v>1075</v>
      </c>
      <c r="R6977" t="inlineStr">
        <is>
          <t>InStock</t>
        </is>
      </c>
      <c r="S6977" t="inlineStr">
        <is>
          <t>36.51</t>
        </is>
      </c>
      <c r="T6977" t="inlineStr">
        <is>
          <t>7966255579352</t>
        </is>
      </c>
    </row>
    <row r="6978" hidden="1" ht="15.75" customHeight="1">
      <c r="A6978" s="2">
        <f>HYPERLINK("https://edmondsonsupply.com/collections/electricians-tools/products/crescent-wiss-m1p-9-3-4-compound-action-straight-and-left-aviation-snips", "https://edmondsonsupply.com/collections/electricians-tools/products/crescent-wiss-m1p-9-3-4-compound-action-straight-and-left-aviation-snips")</f>
        <v/>
      </c>
      <c r="B6978" s="2">
        <f>HYPERLINK("https://edmondsonsupply.com/products/crescent-wiss-m1p-9-3-4-compound-action-straight-and-left-aviation-snips", "https://edmondsonsupply.com/products/crescent-wiss-m1p-9-3-4-compound-action-straight-and-left-aviation-snips")</f>
        <v/>
      </c>
      <c r="C6978" t="inlineStr">
        <is>
          <t>Crescent Wiss M1P 9-3/4" Compound Action Straight and Left Aviation Snips</t>
        </is>
      </c>
      <c r="D6978" t="inlineStr">
        <is>
          <t>Crescent Wiss 9-3/4" MetalMaster Compound Action Straight and Left Aviation Snips - M1R</t>
        </is>
      </c>
      <c r="E6978" s="2">
        <f>HYPERLINK("https://www.amazon.com/Wiss-M1R-MetalMaster-Capacity-Straight/dp/B00002N5KO/ref=sr_1_1?keywords=Crescent+Wiss+M1P+9-3%2F4%22+Compound+Action+Straight+and+Left+Aviation+Snips&amp;qid=1694735008&amp;sr=8-1", "https://www.amazon.com/Wiss-M1R-MetalMaster-Capacity-Straight/dp/B00002N5KO/ref=sr_1_1?keywords=Crescent+Wiss+M1P+9-3%2F4%22+Compound+Action+Straight+and+Left+Aviation+Snips&amp;qid=1694735008&amp;sr=8-1")</f>
        <v/>
      </c>
      <c r="F6978" t="inlineStr">
        <is>
          <t>B00002N5KO</t>
        </is>
      </c>
      <c r="G6978">
        <f>_xludf.IMAGE("https://edmondsonsupply.com/cdn/shop/products/WIS_M1P_IMG_ANG_01.jpg?v=1679672536")</f>
        <v/>
      </c>
      <c r="H6978">
        <f>_xludf.IMAGE("https://m.media-amazon.com/images/I/61SRWhDt0pL._AC_UL320_.jpg")</f>
        <v/>
      </c>
      <c r="K6978" t="inlineStr">
        <is>
          <t>19.99</t>
        </is>
      </c>
      <c r="L6978" t="n">
        <v>14.99</v>
      </c>
      <c r="M6978" s="1" t="inlineStr">
        <is>
          <t>-25.01%</t>
        </is>
      </c>
      <c r="N6978" s="1" t="n"/>
      <c r="O6978" t="n">
        <v>4.6</v>
      </c>
      <c r="P6978" t="n">
        <v>1075</v>
      </c>
      <c r="R6978" t="inlineStr">
        <is>
          <t>InStock</t>
        </is>
      </c>
      <c r="S6978" t="inlineStr">
        <is>
          <t>36.51</t>
        </is>
      </c>
      <c r="T6978" t="inlineStr">
        <is>
          <t>7966222221528</t>
        </is>
      </c>
    </row>
    <row r="6979" hidden="1" ht="15.75" customHeight="1">
      <c r="A6979" s="2">
        <f>HYPERLINK("https://edmondsonsupply.com/collections/electricians-tools/products/crescent-wiss-m1p-9-3-4-compound-action-straight-and-left-aviation-snips", "https://edmondsonsupply.com/collections/electricians-tools/products/crescent-wiss-m1p-9-3-4-compound-action-straight-and-left-aviation-snips")</f>
        <v/>
      </c>
      <c r="B6979" s="2">
        <f>HYPERLINK("https://edmondsonsupply.com/products/crescent-wiss-m1p-9-3-4-compound-action-straight-and-left-aviation-snips", "https://edmondsonsupply.com/products/crescent-wiss-m1p-9-3-4-compound-action-straight-and-left-aviation-snips")</f>
        <v/>
      </c>
      <c r="C6979" t="inlineStr">
        <is>
          <t>Crescent Wiss M1P 9-3/4" Compound Action Straight and Left Aviation Snips</t>
        </is>
      </c>
      <c r="D6979" t="inlineStr">
        <is>
          <t>Wiss Crescent Wiss 9-3/4" MetalMaster Compound Action Straight and Right Cut Aviation Snips - M2R, Multi, One Size</t>
        </is>
      </c>
      <c r="E6979" s="2">
        <f>HYPERLINK("https://www.amazon.com/Wiss-M2R-Compound-Action-Straight/dp/B00002N5KP/ref=sr_1_5?keywords=Crescent+Wiss+M1P+9-3%2F4%22+Compound+Action+Straight+and+Left+Aviation+Snips&amp;qid=1694735008&amp;sr=8-5", "https://www.amazon.com/Wiss-M2R-Compound-Action-Straight/dp/B00002N5KP/ref=sr_1_5?keywords=Crescent+Wiss+M1P+9-3%2F4%22+Compound+Action+Straight+and+Left+Aviation+Snips&amp;qid=1694735008&amp;sr=8-5")</f>
        <v/>
      </c>
      <c r="F6979" t="inlineStr">
        <is>
          <t>B00002N5KP</t>
        </is>
      </c>
      <c r="G6979">
        <f>_xludf.IMAGE("https://edmondsonsupply.com/cdn/shop/products/WIS_M1P_IMG_ANG_01.jpg?v=1679672536")</f>
        <v/>
      </c>
      <c r="H6979">
        <f>_xludf.IMAGE("https://m.media-amazon.com/images/I/71ObA+hcEeL._AC_UL320_.jpg")</f>
        <v/>
      </c>
      <c r="K6979" t="inlineStr">
        <is>
          <t>19.99</t>
        </is>
      </c>
      <c r="L6979" t="n">
        <v>14.99</v>
      </c>
      <c r="M6979" s="1" t="inlineStr">
        <is>
          <t>-25.01%</t>
        </is>
      </c>
      <c r="N6979" s="1" t="n"/>
      <c r="O6979" t="n">
        <v>4.6</v>
      </c>
      <c r="P6979" t="n">
        <v>722</v>
      </c>
      <c r="R6979" t="inlineStr">
        <is>
          <t>InStock</t>
        </is>
      </c>
      <c r="S6979" t="inlineStr">
        <is>
          <t>36.51</t>
        </is>
      </c>
      <c r="T6979" t="inlineStr">
        <is>
          <t>7966222221528</t>
        </is>
      </c>
    </row>
    <row r="6980" hidden="1" ht="15.75" customHeight="1">
      <c r="A6980" s="2">
        <f>HYPERLINK("https://edmondsonsupply.com/collections/electricians-tools/products/crescent-wiss-m3p-9-3-4-compound-action-straight-left-and-right-cut-snips", "https://edmondsonsupply.com/collections/electricians-tools/products/crescent-wiss-m3p-9-3-4-compound-action-straight-left-and-right-cut-snips")</f>
        <v/>
      </c>
      <c r="B6980" s="2">
        <f>HYPERLINK("https://edmondsonsupply.com/products/crescent-wiss-m3p-9-3-4-compound-action-straight-left-and-right-cut-snips", "https://edmondsonsupply.com/products/crescent-wiss-m3p-9-3-4-compound-action-straight-left-and-right-cut-snips")</f>
        <v/>
      </c>
      <c r="C6980" t="inlineStr">
        <is>
          <t>Crescent Wiss M3P 9-3/4" Compound Action Straight, Left and Right Cut Snips</t>
        </is>
      </c>
      <c r="D6980" t="inlineStr">
        <is>
          <t>Wiss 9-3/4 Inch MetalMaster Compound Action Snips - Straight, Left and Right Cut - M3R</t>
        </is>
      </c>
      <c r="E6980" s="2">
        <f>HYPERLINK("https://www.amazon.com/Wiss-M3R-MetalMaster-Capacity-Straight/dp/B00002N5KQ/ref=sr_1_3?keywords=Crescent+Wiss+M3P+9-3%2F4%22+Compound+Action+Straight%2C+Left+and+Right+Cut+Snips&amp;qid=1694735014&amp;sr=8-3", "https://www.amazon.com/Wiss-M3R-MetalMaster-Capacity-Straight/dp/B00002N5KQ/ref=sr_1_3?keywords=Crescent+Wiss+M3P+9-3%2F4%22+Compound+Action+Straight%2C+Left+and+Right+Cut+Snips&amp;qid=1694735014&amp;sr=8-3")</f>
        <v/>
      </c>
      <c r="F6980" t="inlineStr">
        <is>
          <t>B00002N5KQ</t>
        </is>
      </c>
      <c r="G6980">
        <f>_xludf.IMAGE("https://edmondsonsupply.com/cdn/shop/products/WIS_M3P_IMG_ANG_01.jpg?v=1679675102")</f>
        <v/>
      </c>
      <c r="H6980">
        <f>_xludf.IMAGE("https://m.media-amazon.com/images/I/61eKN-YXrOL._AC_UL320_.jpg")</f>
        <v/>
      </c>
      <c r="K6980" t="inlineStr">
        <is>
          <t>19.99</t>
        </is>
      </c>
      <c r="L6980" t="n">
        <v>14.99</v>
      </c>
      <c r="M6980" s="1" t="inlineStr">
        <is>
          <t>-25.01%</t>
        </is>
      </c>
      <c r="N6980" s="1" t="n"/>
      <c r="O6980" t="n">
        <v>4.6</v>
      </c>
      <c r="P6980" t="n">
        <v>7463</v>
      </c>
      <c r="R6980" t="inlineStr">
        <is>
          <t>InStock</t>
        </is>
      </c>
      <c r="S6980" t="inlineStr">
        <is>
          <t>36.51</t>
        </is>
      </c>
      <c r="T6980" t="inlineStr">
        <is>
          <t>7966280843480</t>
        </is>
      </c>
    </row>
    <row r="6981" hidden="1" ht="15.75" customHeight="1">
      <c r="A6981" s="2">
        <f>HYPERLINK("https://edmondsonsupply.com/collections/electricians-tools/products/crescent-wiss-m3p-9-3-4-compound-action-straight-left-and-right-cut-snips", "https://edmondsonsupply.com/collections/electricians-tools/products/crescent-wiss-m3p-9-3-4-compound-action-straight-left-and-right-cut-snips")</f>
        <v/>
      </c>
      <c r="B6981" s="2">
        <f>HYPERLINK("https://edmondsonsupply.com/products/crescent-wiss-m3p-9-3-4-compound-action-straight-left-and-right-cut-snips", "https://edmondsonsupply.com/products/crescent-wiss-m3p-9-3-4-compound-action-straight-left-and-right-cut-snips")</f>
        <v/>
      </c>
      <c r="C6981" t="inlineStr">
        <is>
          <t>Crescent Wiss M3P 9-3/4" Compound Action Straight, Left and Right Cut Snips</t>
        </is>
      </c>
      <c r="D6981" t="inlineStr">
        <is>
          <t>Wiss Crescent Wiss 9-3/4" MetalMaster Compound Action Straight and Right Cut Aviation Snips - M2R, Multi, One Size</t>
        </is>
      </c>
      <c r="E6981" s="2">
        <f>HYPERLINK("https://www.amazon.com/Wiss-M2R-Compound-Action-Straight/dp/B00002N5KP/ref=sr_1_4?keywords=Crescent+Wiss+M3P+9-3%2F4%22+Compound+Action+Straight%2C+Left+and+Right+Cut+Snips&amp;qid=1694735014&amp;sr=8-4", "https://www.amazon.com/Wiss-M2R-Compound-Action-Straight/dp/B00002N5KP/ref=sr_1_4?keywords=Crescent+Wiss+M3P+9-3%2F4%22+Compound+Action+Straight%2C+Left+and+Right+Cut+Snips&amp;qid=1694735014&amp;sr=8-4")</f>
        <v/>
      </c>
      <c r="F6981" t="inlineStr">
        <is>
          <t>B00002N5KP</t>
        </is>
      </c>
      <c r="G6981">
        <f>_xludf.IMAGE("https://edmondsonsupply.com/cdn/shop/products/WIS_M3P_IMG_ANG_01.jpg?v=1679675102")</f>
        <v/>
      </c>
      <c r="H6981">
        <f>_xludf.IMAGE("https://m.media-amazon.com/images/I/71ObA+hcEeL._AC_UL320_.jpg")</f>
        <v/>
      </c>
      <c r="K6981" t="inlineStr">
        <is>
          <t>19.99</t>
        </is>
      </c>
      <c r="L6981" t="n">
        <v>14.99</v>
      </c>
      <c r="M6981" s="1" t="inlineStr">
        <is>
          <t>-25.01%</t>
        </is>
      </c>
      <c r="N6981" s="1" t="n"/>
      <c r="O6981" t="n">
        <v>4.6</v>
      </c>
      <c r="P6981" t="n">
        <v>722</v>
      </c>
      <c r="R6981" t="inlineStr">
        <is>
          <t>InStock</t>
        </is>
      </c>
      <c r="S6981" t="inlineStr">
        <is>
          <t>36.51</t>
        </is>
      </c>
      <c r="T6981" t="inlineStr">
        <is>
          <t>7966280843480</t>
        </is>
      </c>
    </row>
    <row r="6982" hidden="1" ht="15.75" customHeight="1">
      <c r="A6982" s="2">
        <f>HYPERLINK("https://edmondsonsupply.com/collections/electricians-tools/products/crescent-wiss-m2p-9-3-4-compound-action-straight-and-right-cut-aviation-snips", "https://edmondsonsupply.com/collections/electricians-tools/products/crescent-wiss-m2p-9-3-4-compound-action-straight-and-right-cut-aviation-snips")</f>
        <v/>
      </c>
      <c r="B6982" s="2">
        <f>HYPERLINK("https://edmondsonsupply.com/products/crescent-wiss-m2p-9-3-4-compound-action-straight-and-right-cut-aviation-snips", "https://edmondsonsupply.com/products/crescent-wiss-m2p-9-3-4-compound-action-straight-and-right-cut-aviation-snips")</f>
        <v/>
      </c>
      <c r="C6982" t="inlineStr">
        <is>
          <t>Crescent Wiss M2P 9-3/4" Compound Action Straight and Right Cut Aviation Snips</t>
        </is>
      </c>
      <c r="D6982" t="inlineStr">
        <is>
          <t>Wiss Crescent Wiss 9-3/4" MetalMaster Compound Action Straight and Right Cut Aviation Snips - M2R, Multi, One Size</t>
        </is>
      </c>
      <c r="E6982" s="2">
        <f>HYPERLINK("https://www.amazon.com/Wiss-M2R-Compound-Action-Straight/dp/B00002N5KP/ref=sr_1_1?keywords=Crescent+Wiss+M2P+9-3%2F4%22+Compound+Action+Straight+and+Right+Cut+Aviation+Snips&amp;qid=1694735015&amp;sr=8-1", "https://www.amazon.com/Wiss-M2R-Compound-Action-Straight/dp/B00002N5KP/ref=sr_1_1?keywords=Crescent+Wiss+M2P+9-3%2F4%22+Compound+Action+Straight+and+Right+Cut+Aviation+Snips&amp;qid=1694735015&amp;sr=8-1")</f>
        <v/>
      </c>
      <c r="F6982" t="inlineStr">
        <is>
          <t>B00002N5KP</t>
        </is>
      </c>
      <c r="G6982">
        <f>_xludf.IMAGE("https://edmondsonsupply.com/cdn/shop/products/WIS_M2P_IMG_ANG_01.jpg?v=1679674099")</f>
        <v/>
      </c>
      <c r="H6982">
        <f>_xludf.IMAGE("https://m.media-amazon.com/images/I/71ObA+hcEeL._AC_UL320_.jpg")</f>
        <v/>
      </c>
      <c r="K6982" t="inlineStr">
        <is>
          <t>19.99</t>
        </is>
      </c>
      <c r="L6982" t="n">
        <v>14.99</v>
      </c>
      <c r="M6982" s="1" t="inlineStr">
        <is>
          <t>-25.01%</t>
        </is>
      </c>
      <c r="N6982" s="1" t="n"/>
      <c r="O6982" t="n">
        <v>4.6</v>
      </c>
      <c r="P6982" t="n">
        <v>722</v>
      </c>
      <c r="R6982" t="inlineStr">
        <is>
          <t>InStock</t>
        </is>
      </c>
      <c r="S6982" t="inlineStr">
        <is>
          <t>36.51</t>
        </is>
      </c>
      <c r="T6982" t="inlineStr">
        <is>
          <t>7966255579352</t>
        </is>
      </c>
    </row>
    <row r="6983" hidden="1" ht="15.75" customHeight="1">
      <c r="A6983" s="2">
        <f>HYPERLINK("https://edmondsonsupply.com/collections/electricians-tools/products/crescent-wiss-m3p-9-3-4-compound-action-straight-left-and-right-cut-snips", "https://edmondsonsupply.com/collections/electricians-tools/products/crescent-wiss-m3p-9-3-4-compound-action-straight-left-and-right-cut-snips")</f>
        <v/>
      </c>
      <c r="B6983" s="2">
        <f>HYPERLINK("https://edmondsonsupply.com/products/crescent-wiss-m3p-9-3-4-compound-action-straight-left-and-right-cut-snips", "https://edmondsonsupply.com/products/crescent-wiss-m3p-9-3-4-compound-action-straight-left-and-right-cut-snips")</f>
        <v/>
      </c>
      <c r="C6983" t="inlineStr">
        <is>
          <t>Crescent Wiss M3P 9-3/4" Compound Action Straight, Left and Right Cut Snips</t>
        </is>
      </c>
      <c r="D6983" t="inlineStr">
        <is>
          <t>Crescent Wiss 9-3/4" MetalMaster Compound Action Straight and Left Aviation Snips - M1R</t>
        </is>
      </c>
      <c r="E6983" s="2">
        <f>HYPERLINK("https://www.amazon.com/Wiss-M1R-MetalMaster-Capacity-Straight/dp/B00002N5KO/ref=sr_1_5?keywords=Crescent+Wiss+M3P+9-3%2F4%22+Compound+Action+Straight%2C+Left+and+Right+Cut+Snips&amp;qid=1694735014&amp;sr=8-5", "https://www.amazon.com/Wiss-M1R-MetalMaster-Capacity-Straight/dp/B00002N5KO/ref=sr_1_5?keywords=Crescent+Wiss+M3P+9-3%2F4%22+Compound+Action+Straight%2C+Left+and+Right+Cut+Snips&amp;qid=1694735014&amp;sr=8-5")</f>
        <v/>
      </c>
      <c r="F6983" t="inlineStr">
        <is>
          <t>B00002N5KO</t>
        </is>
      </c>
      <c r="G6983">
        <f>_xludf.IMAGE("https://edmondsonsupply.com/cdn/shop/products/WIS_M3P_IMG_ANG_01.jpg?v=1679675102")</f>
        <v/>
      </c>
      <c r="H6983">
        <f>_xludf.IMAGE("https://m.media-amazon.com/images/I/61SRWhDt0pL._AC_UL320_.jpg")</f>
        <v/>
      </c>
      <c r="K6983" t="inlineStr">
        <is>
          <t>19.99</t>
        </is>
      </c>
      <c r="L6983" t="n">
        <v>14.99</v>
      </c>
      <c r="M6983" s="1" t="inlineStr">
        <is>
          <t>-25.01%</t>
        </is>
      </c>
      <c r="N6983" s="1" t="n"/>
      <c r="O6983" t="n">
        <v>4.6</v>
      </c>
      <c r="P6983" t="n">
        <v>1075</v>
      </c>
      <c r="R6983" t="inlineStr">
        <is>
          <t>InStock</t>
        </is>
      </c>
      <c r="S6983" t="inlineStr">
        <is>
          <t>36.51</t>
        </is>
      </c>
      <c r="T6983" t="inlineStr">
        <is>
          <t>7966280843480</t>
        </is>
      </c>
    </row>
    <row r="6984" hidden="1" ht="15.75" customHeight="1">
      <c r="A6984" s="2">
        <f>HYPERLINK("https://edmondsonsupply.com/collections/electricians-tools/products/crescent-wiss-m2p-9-3-4-compound-action-straight-and-right-cut-aviation-snips", "https://edmondsonsupply.com/collections/electricians-tools/products/crescent-wiss-m2p-9-3-4-compound-action-straight-and-right-cut-aviation-snips")</f>
        <v/>
      </c>
      <c r="B6984" s="2">
        <f>HYPERLINK("https://edmondsonsupply.com/products/crescent-wiss-m2p-9-3-4-compound-action-straight-and-right-cut-aviation-snips", "https://edmondsonsupply.com/products/crescent-wiss-m2p-9-3-4-compound-action-straight-and-right-cut-aviation-snips")</f>
        <v/>
      </c>
      <c r="C6984" t="inlineStr">
        <is>
          <t>Crescent Wiss M2P 9-3/4" Compound Action Straight and Right Cut Aviation Snips</t>
        </is>
      </c>
      <c r="D6984" t="inlineStr">
        <is>
          <t>Wiss 9-3/4 Inch MetalMaster Compound Action Snips - Straight, Left and Right Cut - M3R</t>
        </is>
      </c>
      <c r="E6984" s="2">
        <f>HYPERLINK("https://www.amazon.com/Wiss-M3R-MetalMaster-Capacity-Straight/dp/B00002N5KQ/ref=sr_1_6?keywords=Crescent+Wiss+M2P+9-3%2F4%22+Compound+Action+Straight+and+Right+Cut+Aviation+Snips&amp;qid=1694735015&amp;sr=8-6", "https://www.amazon.com/Wiss-M3R-MetalMaster-Capacity-Straight/dp/B00002N5KQ/ref=sr_1_6?keywords=Crescent+Wiss+M2P+9-3%2F4%22+Compound+Action+Straight+and+Right+Cut+Aviation+Snips&amp;qid=1694735015&amp;sr=8-6")</f>
        <v/>
      </c>
      <c r="F6984" t="inlineStr">
        <is>
          <t>B00002N5KQ</t>
        </is>
      </c>
      <c r="G6984">
        <f>_xludf.IMAGE("https://edmondsonsupply.com/cdn/shop/products/WIS_M2P_IMG_ANG_01.jpg?v=1679674099")</f>
        <v/>
      </c>
      <c r="H6984">
        <f>_xludf.IMAGE("https://m.media-amazon.com/images/I/61eKN-YXrOL._AC_UL320_.jpg")</f>
        <v/>
      </c>
      <c r="K6984" t="inlineStr">
        <is>
          <t>19.99</t>
        </is>
      </c>
      <c r="L6984" t="n">
        <v>14.99</v>
      </c>
      <c r="M6984" s="1" t="inlineStr">
        <is>
          <t>-25.01%</t>
        </is>
      </c>
      <c r="N6984" s="1" t="n"/>
      <c r="O6984" t="n">
        <v>4.6</v>
      </c>
      <c r="P6984" t="n">
        <v>7463</v>
      </c>
      <c r="R6984" t="inlineStr">
        <is>
          <t>InStock</t>
        </is>
      </c>
      <c r="S6984" t="inlineStr">
        <is>
          <t>36.51</t>
        </is>
      </c>
      <c r="T6984" t="inlineStr">
        <is>
          <t>7966255579352</t>
        </is>
      </c>
    </row>
    <row r="6985" hidden="1" ht="15.75" customHeight="1">
      <c r="A6985" s="2">
        <f>HYPERLINK("https://edmondsonsupply.com/collections/electricians-tools/products/channellock-3017", "https://edmondsonsupply.com/collections/electricians-tools/products/channellock-3017")</f>
        <v/>
      </c>
      <c r="B6985" s="2">
        <f>HYPERLINK("https://edmondsonsupply.com/products/channellock-3017", "https://edmondsonsupply.com/products/channellock-3017")</f>
        <v/>
      </c>
      <c r="C6985" t="inlineStr">
        <is>
          <t>Channellock 3017 8-Inch Long Nose Pliers</t>
        </is>
      </c>
      <c r="D6985" t="inlineStr">
        <is>
          <t>ARES 51016 – 8-Inch Angled Head Long Nose Pliers – Double Injection Handles Provides Superior Grip Control and Strength – Offset Angled Head Offers Increased Access and Leverage</t>
        </is>
      </c>
      <c r="E6985" s="2">
        <f>HYPERLINK("https://www.amazon.com/ARES-51016-8-Inch-Angled-Pliers/dp/B09QW1HRLV/ref=sr_1_11?keywords=Channellock+3017+8-Inch+Long+Nose+Pliers&amp;qid=1694735304&amp;sr=8-11", "https://www.amazon.com/ARES-51016-8-Inch-Angled-Pliers/dp/B09QW1HRLV/ref=sr_1_11?keywords=Channellock+3017+8-Inch+Long+Nose+Pliers&amp;qid=1694735304&amp;sr=8-11")</f>
        <v/>
      </c>
      <c r="F6985" t="inlineStr">
        <is>
          <t>B09QW1HRLV</t>
        </is>
      </c>
      <c r="G6985">
        <f>_xludf.IMAGE("https://edmondsonsupply.com/cdn/shop/products/3017-683x1024.jpg?v=1633030322")</f>
        <v/>
      </c>
      <c r="H6985">
        <f>_xludf.IMAGE("https://m.media-amazon.com/images/I/61TrK+hwHHL._AC_UL320_.jpg")</f>
        <v/>
      </c>
      <c r="K6985" t="inlineStr">
        <is>
          <t>19.95</t>
        </is>
      </c>
      <c r="L6985" t="n">
        <v>14.96</v>
      </c>
      <c r="M6985" s="1" t="inlineStr">
        <is>
          <t>-25.01%</t>
        </is>
      </c>
      <c r="N6985" s="1" t="n"/>
      <c r="O6985" t="n">
        <v>4.5</v>
      </c>
      <c r="P6985" t="n">
        <v>80</v>
      </c>
      <c r="R6985" t="inlineStr">
        <is>
          <t>InStock</t>
        </is>
      </c>
      <c r="S6985" t="inlineStr">
        <is>
          <t>29.97</t>
        </is>
      </c>
      <c r="T6985" t="inlineStr">
        <is>
          <t>5245817159848</t>
        </is>
      </c>
    </row>
    <row r="6986" ht="87" customHeight="1">
      <c r="A6986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986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986" t="inlineStr">
        <is>
          <t>Klein Tools 2288RINS Diagonal Cutting Pliers, Insulated, High Leverage, 8-Inch</t>
        </is>
      </c>
      <c r="D6986" t="inlineStr">
        <is>
          <t>Klein Tools D228-8 Pliers, Diagonal Cutting Pliers with Short Jaw and Beveled Knives, High-Leverage Color-Coded Wire Cutters, 8-Inch</t>
        </is>
      </c>
      <c r="E6986" s="2">
        <f>HYPERLINK("https://www.amazon.com/Diagonal-Leverage-Klein-Tools-D228-8/dp/B0000302VW/ref=sr_1_5?keywords=Klein+Tools+2288RINS+Diagonal+Cutting+Pliers%2C+Insulated%2C+High+Leverage%2C+8-Inch&amp;qid=1694735093&amp;sr=8-5", "https://www.amazon.com/Diagonal-Leverage-Klein-Tools-D228-8/dp/B0000302VW/ref=sr_1_5?keywords=Klein+Tools+2288RINS+Diagonal+Cutting+Pliers%2C+Insulated%2C+High+Leverage%2C+8-Inch&amp;qid=1694735093&amp;sr=8-5")</f>
        <v/>
      </c>
      <c r="F6986" t="inlineStr">
        <is>
          <t>B0000302VW</t>
        </is>
      </c>
      <c r="G6986">
        <f>_xlfn.IMAGE("https://edmondsonsupply.com/cdn/shop/products/2288rins.jpg?v=1667238570")</f>
        <v/>
      </c>
      <c r="H6986">
        <f>_xlfn.IMAGE("https://m.media-amazon.com/images/I/51-72gFSPtL._AC_UL320_.jpg")</f>
        <v/>
      </c>
      <c r="K6986" t="inlineStr">
        <is>
          <t>39.97</t>
        </is>
      </c>
      <c r="L6986" t="n">
        <v>29.97</v>
      </c>
      <c r="M6986" s="1" t="inlineStr">
        <is>
          <t>-25.02%</t>
        </is>
      </c>
      <c r="N6986" s="7" t="n"/>
      <c r="O6986" t="n">
        <v>4.8</v>
      </c>
      <c r="P6986" t="n">
        <v>2872</v>
      </c>
      <c r="R6986" t="inlineStr">
        <is>
          <t>InStock</t>
        </is>
      </c>
      <c r="S6986" t="inlineStr">
        <is>
          <t>55.98</t>
        </is>
      </c>
      <c r="T6986" t="inlineStr">
        <is>
          <t>7871537807576</t>
        </is>
      </c>
    </row>
    <row r="6987" ht="87" customHeight="1">
      <c r="A6987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6987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6987" t="inlineStr">
        <is>
          <t>Klein Tools 2288RINS Diagonal Cutting Pliers, Insulated, High Leverage, 8-Inch</t>
        </is>
      </c>
      <c r="D6987" t="inlineStr">
        <is>
          <t>Klein Tools D248-9ST Pliers, Ironworker's Diagonal Cutting Pliers with High Leverage Design Works as Rebar Cutter and Rebar Bender, 9-Inch</t>
        </is>
      </c>
      <c r="E6987" s="2">
        <f>HYPERLINK("https://www.amazon.com/Diagonal-Ironworker-Klein-Tools-D248-9ST/dp/B0009ZAT1G/ref=sr_1_7?keywords=Klein+Tools+2288RINS+Diagonal+Cutting+Pliers%2C+Insulated%2C+High+Leverage%2C+8-Inch&amp;qid=1694735093&amp;sr=8-7", "https://www.amazon.com/Diagonal-Ironworker-Klein-Tools-D248-9ST/dp/B0009ZAT1G/ref=sr_1_7?keywords=Klein+Tools+2288RINS+Diagonal+Cutting+Pliers%2C+Insulated%2C+High+Leverage%2C+8-Inch&amp;qid=1694735093&amp;sr=8-7")</f>
        <v/>
      </c>
      <c r="F6987" t="inlineStr">
        <is>
          <t>B0009ZAT1G</t>
        </is>
      </c>
      <c r="G6987">
        <f>_xlfn.IMAGE("https://edmondsonsupply.com/cdn/shop/products/2288rins.jpg?v=1667238570")</f>
        <v/>
      </c>
      <c r="H6987">
        <f>_xlfn.IMAGE("https://m.media-amazon.com/images/I/41QcUzpmIlL._AC_UL320_.jpg")</f>
        <v/>
      </c>
      <c r="K6987" t="inlineStr">
        <is>
          <t>39.97</t>
        </is>
      </c>
      <c r="L6987" t="n">
        <v>29.97</v>
      </c>
      <c r="M6987" s="1" t="inlineStr">
        <is>
          <t>-25.02%</t>
        </is>
      </c>
      <c r="N6987" s="7" t="n"/>
      <c r="O6987" t="n">
        <v>4.8</v>
      </c>
      <c r="P6987" t="n">
        <v>5521</v>
      </c>
      <c r="R6987" t="inlineStr">
        <is>
          <t>InStock</t>
        </is>
      </c>
      <c r="S6987" t="inlineStr">
        <is>
          <t>55.98</t>
        </is>
      </c>
      <c r="T6987" t="inlineStr">
        <is>
          <t>7871537807576</t>
        </is>
      </c>
    </row>
    <row r="6988" hidden="1" ht="15.75" customHeight="1">
      <c r="A6988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6988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6988" t="inlineStr">
        <is>
          <t>Klein Tools JTH9E11 3/16-Inch Hex Key with Journeyman T-Handle, 9-Inch</t>
        </is>
      </c>
      <c r="D6988" t="inlineStr">
        <is>
          <t>5/32-Inch Hex Key with Journeyman T-Handle, 9-Inch Klein Tools JTH9E10</t>
        </is>
      </c>
      <c r="E6988" s="2">
        <f>HYPERLINK("https://www.amazon.com/Journeyman-T-Handle-Klein-Tools-JTH9E10/dp/B004QV8H90/ref=sr_1_4?keywords=Klein+Tools+JTH9E11+3%2F16-Inch+Hex+Key+with+Journeyman+T-Handle%2C+9-Inch&amp;qid=1694735351&amp;sr=8-4", "https://www.amazon.com/Journeyman-T-Handle-Klein-Tools-JTH9E10/dp/B004QV8H90/ref=sr_1_4?keywords=Klein+Tools+JTH9E11+3%2F16-Inch+Hex+Key+with+Journeyman+T-Handle%2C+9-Inch&amp;qid=1694735351&amp;sr=8-4")</f>
        <v/>
      </c>
      <c r="F6988" t="inlineStr">
        <is>
          <t>B004QV8H90</t>
        </is>
      </c>
      <c r="G6988">
        <f>_xludf.IMAGE("https://edmondsonsupply.com/cdn/shop/products/jth9e12_5173eed3-120e-418c-a1cc-489b6dba3958.jpg?v=1587147554")</f>
        <v/>
      </c>
      <c r="H6988">
        <f>_xludf.IMAGE("https://m.media-amazon.com/images/I/51Yb8h41vLL._AC_UL320_.jpg")</f>
        <v/>
      </c>
      <c r="K6988" t="inlineStr">
        <is>
          <t>5.99</t>
        </is>
      </c>
      <c r="L6988" t="n">
        <v>4.49</v>
      </c>
      <c r="M6988" s="1" t="inlineStr">
        <is>
          <t>-25.04%</t>
        </is>
      </c>
      <c r="N6988" s="1" t="n"/>
      <c r="O6988" t="n">
        <v>4.8</v>
      </c>
      <c r="P6988" t="n">
        <v>293</v>
      </c>
      <c r="R6988" t="inlineStr">
        <is>
          <t>InStock</t>
        </is>
      </c>
      <c r="S6988" t="inlineStr">
        <is>
          <t>9.06</t>
        </is>
      </c>
      <c r="T6988" t="inlineStr">
        <is>
          <t>4455227523172</t>
        </is>
      </c>
    </row>
    <row r="6989" hidden="1" ht="15.75" customHeight="1">
      <c r="A6989" s="2">
        <f>HYPERLINK("https://edmondsonsupply.com/collections/electricians-tools/products/diablo-tools-dmarg1180", "https://edmondsonsupply.com/collections/electricians-tools/products/diablo-tools-dmarg1180")</f>
        <v/>
      </c>
      <c r="B6989" s="2">
        <f>HYPERLINK("https://edmondsonsupply.com/products/diablo-tools-dmarg1180", "https://edmondsonsupply.com/products/diablo-tools-dmarg1180")</f>
        <v/>
      </c>
      <c r="C6989" t="inlineStr">
        <is>
          <t>Diablo Tools DMARG1180 5/8 in. x 10 in. x 12 in. SPEEDemon™ Red Granite Carbide Tipped Hammer Drill Bit</t>
        </is>
      </c>
      <c r="D6989" t="inlineStr">
        <is>
          <t>Diablo DMARG1130 3/8 in. x 10 in. x 12 in. SPEEDemon™ Red Granite Carbide Tipped Hammer Drill Bit</t>
        </is>
      </c>
      <c r="E6989" s="2">
        <f>HYPERLINK("https://www.amazon.com/Diablo-DMARG1130-SPEEDemon-Granite-Carbide/dp/B089LKXD73/ref=sr_1_3?keywords=Diablo+Tools+DMARG1180+5%2F8+in.+x+10+in.+x+12+in.+SPEEDemon%E2%84%A2+Red+Granite+Carbide+Tipped+Hammer+Drill+Bit&amp;qid=1694735299&amp;sr=8-3", "https://www.amazon.com/Diablo-DMARG1130-SPEEDemon-Granite-Carbide/dp/B089LKXD73/ref=sr_1_3?keywords=Diablo+Tools+DMARG1180+5%2F8+in.+x+10+in.+x+12+in.+SPEEDemon%E2%84%A2+Red+Granite+Carbide+Tipped+Hammer+Drill+Bit&amp;qid=1694735299&amp;sr=8-3")</f>
        <v/>
      </c>
      <c r="F6989" t="inlineStr">
        <is>
          <t>B089LKXD73</t>
        </is>
      </c>
      <c r="G6989">
        <f>_xludf.IMAGE("https://edmondsonsupply.com/cdn/shop/products/DMARG1180_Main-Image.png?v=1633030424")</f>
        <v/>
      </c>
      <c r="H6989">
        <f>_xludf.IMAGE("https://m.media-amazon.com/images/I/61atP0vUShL._AC_UL320_.jpg")</f>
        <v/>
      </c>
      <c r="K6989" t="inlineStr">
        <is>
          <t>18.97</t>
        </is>
      </c>
      <c r="L6989" t="n">
        <v>14.19</v>
      </c>
      <c r="M6989" s="1" t="inlineStr">
        <is>
          <t>-25.20%</t>
        </is>
      </c>
      <c r="N6989" s="1" t="n"/>
      <c r="O6989" t="n">
        <v>4.8</v>
      </c>
      <c r="P6989" t="n">
        <v>11</v>
      </c>
      <c r="R6989" t="inlineStr">
        <is>
          <t>InStock</t>
        </is>
      </c>
      <c r="S6989" t="inlineStr">
        <is>
          <t>undefined</t>
        </is>
      </c>
      <c r="T6989" t="inlineStr">
        <is>
          <t>5323605278888</t>
        </is>
      </c>
    </row>
    <row r="6990" ht="87" customHeight="1">
      <c r="A6990" s="2">
        <f>HYPERLINK("https://edmondsonsupply.com/collections/electricians-tools/products/klein-tools-66060-2-in-1-impact-socket-set-6-point-6-piece", "https://edmondsonsupply.com/collections/electricians-tools/products/klein-tools-66060-2-in-1-impact-socket-set-6-point-6-piece")</f>
        <v/>
      </c>
      <c r="B6990" s="2">
        <f>HYPERLINK("https://edmondsonsupply.com/products/klein-tools-66060-2-in-1-impact-socket-set-6-point-6-piece", "https://edmondsonsupply.com/products/klein-tools-66060-2-in-1-impact-socket-set-6-point-6-piece")</f>
        <v/>
      </c>
      <c r="C6990" t="inlineStr">
        <is>
          <t>Klein Tools 66060 2-in-1 Impact Socket Set, 6-Point, 6-Piece</t>
        </is>
      </c>
      <c r="D6990" t="inlineStr">
        <is>
          <t>Klein Tools 66050E Metric Socket Set, Impact with 1/2-Inch Drive, 12-Point Deep Sockets, 5-Piece Set, Includes Carrying Case</t>
        </is>
      </c>
      <c r="E6990" s="2">
        <f>HYPERLINK("https://www.amazon.com/Klein-Tools-66050E-12-Point-Carrying/dp/B08R138PF6/ref=sr_1_16?keywords=Klein+Tools+66060+2-in-1+Impact+Socket+Set%2C+6-Point%2C+6-Piece&amp;qid=1694735105&amp;sr=8-16", "https://www.amazon.com/Klein-Tools-66050E-12-Point-Carrying/dp/B08R138PF6/ref=sr_1_16?keywords=Klein+Tools+66060+2-in-1+Impact+Socket+Set%2C+6-Point%2C+6-Piece&amp;qid=1694735105&amp;sr=8-16")</f>
        <v/>
      </c>
      <c r="F6990" t="inlineStr">
        <is>
          <t>B08R138PF6</t>
        </is>
      </c>
      <c r="G6990">
        <f>_xlfn.IMAGE("https://edmondsonsupply.com/cdn/shop/products/66060.jpg?v=1665592747")</f>
        <v/>
      </c>
      <c r="H6990">
        <f>_xlfn.IMAGE("https://m.media-amazon.com/images/I/61HXSd9dQWL._AC_UL320_.jpg")</f>
        <v/>
      </c>
      <c r="K6990" t="inlineStr">
        <is>
          <t>199.99</t>
        </is>
      </c>
      <c r="L6990" t="n">
        <v>149.54</v>
      </c>
      <c r="M6990" s="1" t="inlineStr">
        <is>
          <t>-25.23%</t>
        </is>
      </c>
      <c r="N6990" s="7" t="n"/>
      <c r="O6990" t="n">
        <v>4.3</v>
      </c>
      <c r="P6990" t="n">
        <v>6</v>
      </c>
      <c r="R6990" t="inlineStr">
        <is>
          <t>InStock</t>
        </is>
      </c>
      <c r="S6990" t="inlineStr">
        <is>
          <t>344.76</t>
        </is>
      </c>
      <c r="T6990" t="inlineStr">
        <is>
          <t>7850034561240</t>
        </is>
      </c>
    </row>
    <row r="6991" ht="87" customHeight="1">
      <c r="A6991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6991" s="2">
        <f>HYPERLINK("https://edmondsonsupply.com/products/klein-tools-rt310-afci-gfci-outlet-tester", "https://edmondsonsupply.com/products/klein-tools-rt310-afci-gfci-outlet-tester")</f>
        <v/>
      </c>
      <c r="C6991" t="inlineStr">
        <is>
          <t>Klein Tools RT310 AFCI / GFCI Outlet Tester</t>
        </is>
      </c>
      <c r="D6991" t="inlineStr">
        <is>
          <t>Klein Tools NCVT3P Dual Range Non Contact Voltage Tester &amp; RT250 GFCI Receptacle Tester with LCD Display, for Standard 3-Wire 120V Electrical Outlets</t>
        </is>
      </c>
      <c r="E6991" s="2">
        <f>HYPERLINK("https://www.amazon.com/Klein-Tools-Receptacle-Standard-Electrical/dp/B0BC861K3W/ref=sr_1_15?keywords=Klein+Tools+RT310+AFCI+%2F+GFCI+Outlet+Tester&amp;qid=1694734989&amp;sr=8-15", "https://www.amazon.com/Klein-Tools-Receptacle-Standard-Electrical/dp/B0BC861K3W/ref=sr_1_15?keywords=Klein+Tools+RT310+AFCI+%2F+GFCI+Outlet+Tester&amp;qid=1694734989&amp;sr=8-15")</f>
        <v/>
      </c>
      <c r="F6991" t="inlineStr">
        <is>
          <t>B0BC861K3W</t>
        </is>
      </c>
      <c r="G6991">
        <f>_xlfn.IMAGE("https://edmondsonsupply.com/cdn/shop/products/rt310.jpg?v=1587148552")</f>
        <v/>
      </c>
      <c r="H6991">
        <f>_xlfn.IMAGE("https://m.media-amazon.com/images/I/5145pmsV9+L._AC_UL320_.jpg")</f>
        <v/>
      </c>
      <c r="K6991" t="inlineStr">
        <is>
          <t>39.97</t>
        </is>
      </c>
      <c r="L6991" t="n">
        <v>29.88</v>
      </c>
      <c r="M6991" s="1" t="inlineStr">
        <is>
          <t>-25.24%</t>
        </is>
      </c>
      <c r="N6991" s="7" t="n"/>
      <c r="O6991" t="n">
        <v>4.4</v>
      </c>
      <c r="P6991" t="n">
        <v>12</v>
      </c>
      <c r="R6991" t="inlineStr">
        <is>
          <t>InStock</t>
        </is>
      </c>
      <c r="S6991" t="inlineStr">
        <is>
          <t>57.9</t>
        </is>
      </c>
      <c r="T6991" t="inlineStr">
        <is>
          <t>3372527779940</t>
        </is>
      </c>
    </row>
    <row r="6992" ht="87" customHeight="1">
      <c r="A6992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6992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6992" t="inlineStr">
        <is>
          <t>Channellock 440X 12-Inch SPEEDGRIP™ Straight Jaw Tongue &amp; Groove Pliers</t>
        </is>
      </c>
      <c r="D6992" t="inlineStr">
        <is>
          <t>STEELHEAD 3-Piece Straight Jaw Tongue and Groove Pliers Set (12inch, 10inch &amp; 7inch), Groove Joint Pliers, Carbon Steel, High-Visibility Handle, USA-Based Support,SH-00-PL-B3-0-1</t>
        </is>
      </c>
      <c r="E6992" s="2">
        <f>HYPERLINK("https://www.amazon.com/STEELHEAD-Straight-High-Visibility-USA-Based-SH-00-PL-B3-0-1/dp/B07TVL8NLL/ref=sr_1_13?keywords=Channellock+440X+12-Inch+SPEEDGRIP%E2%84%A2+Straight+Jaw+Tongue+%26+Groove+Pliers&amp;qid=1694735165&amp;sr=8-13", "https://www.amazon.com/STEELHEAD-Straight-High-Visibility-USA-Based-SH-00-PL-B3-0-1/dp/B07TVL8NLL/ref=sr_1_13?keywords=Channellock+440X+12-Inch+SPEEDGRIP%E2%84%A2+Straight+Jaw+Tongue+%26+Groove+Pliers&amp;qid=1694735165&amp;sr=8-13")</f>
        <v/>
      </c>
      <c r="F6992" t="inlineStr">
        <is>
          <t>B07TVL8NLL</t>
        </is>
      </c>
      <c r="G6992">
        <f>_xlfn.IMAGE("https://edmondsonsupply.com/cdn/shop/products/440X.jpg?v=1647104734")</f>
        <v/>
      </c>
      <c r="H6992">
        <f>_xlfn.IMAGE("https://m.media-amazon.com/images/I/81Bjb5m+1vL._AC_UL320_.jpg")</f>
        <v/>
      </c>
      <c r="K6992" t="inlineStr">
        <is>
          <t>32.95</t>
        </is>
      </c>
      <c r="L6992" t="n">
        <v>24.63</v>
      </c>
      <c r="M6992" s="1" t="inlineStr">
        <is>
          <t>-25.25%</t>
        </is>
      </c>
      <c r="N6992" s="7" t="n"/>
      <c r="O6992" t="n">
        <v>4.4</v>
      </c>
      <c r="P6992" t="n">
        <v>87</v>
      </c>
      <c r="R6992" t="inlineStr">
        <is>
          <t>InStock</t>
        </is>
      </c>
      <c r="S6992" t="inlineStr">
        <is>
          <t>45.99</t>
        </is>
      </c>
      <c r="T6992" t="inlineStr">
        <is>
          <t>7633805279448</t>
        </is>
      </c>
    </row>
    <row r="6993" ht="87" customHeight="1">
      <c r="A6993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6993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6993" t="inlineStr">
        <is>
          <t>Klein Tools 32288 8-in-1 Insulated Interchangeable Screwdriver Set</t>
        </is>
      </c>
      <c r="D6993" t="inlineStr">
        <is>
          <t>Klein Tools 33734INS 1000V Slim Tip Insulated Screwdriver Set, Phillips, Cabinet, Square Slim-Tip, Cushion Grip Handle, 4-Piece</t>
        </is>
      </c>
      <c r="E6993" s="2">
        <f>HYPERLINK("https://www.amazon.com/Klein-Tools-33734INS-Insulated-Screwdriver/dp/B088NQ1D2B/ref=sr_1_36?keywords=Klein+Tools+32288+8-in-1+Insulated+Interchangeable+Screwdriver+Set&amp;qid=1694734974&amp;sr=8-36", "https://www.amazon.com/Klein-Tools-33734INS-Insulated-Screwdriver/dp/B088NQ1D2B/ref=sr_1_36?keywords=Klein+Tools+32288+8-in-1+Insulated+Interchangeable+Screwdriver+Set&amp;qid=1694734974&amp;sr=8-36")</f>
        <v/>
      </c>
      <c r="F6993" t="inlineStr">
        <is>
          <t>B088NQ1D2B</t>
        </is>
      </c>
      <c r="G6993">
        <f>_xlfn.IMAGE("https://edmondsonsupply.com/cdn/shop/products/32288.jpg?v=1587146849")</f>
        <v/>
      </c>
      <c r="H6993">
        <f>_xlfn.IMAGE("https://m.media-amazon.com/images/I/41+LCtq0IpL._AC_UL320_.jpg")</f>
        <v/>
      </c>
      <c r="K6993" t="inlineStr">
        <is>
          <t>49.99</t>
        </is>
      </c>
      <c r="L6993" t="n">
        <v>37.36</v>
      </c>
      <c r="M6993" s="1" t="inlineStr">
        <is>
          <t>-25.27%</t>
        </is>
      </c>
      <c r="N6993" s="7" t="n"/>
      <c r="O6993" t="n">
        <v>4.8</v>
      </c>
      <c r="P6993" t="n">
        <v>1358</v>
      </c>
      <c r="R6993" t="inlineStr">
        <is>
          <t>InStock</t>
        </is>
      </c>
      <c r="S6993" t="inlineStr">
        <is>
          <t>69.98</t>
        </is>
      </c>
      <c r="T6993" t="inlineStr">
        <is>
          <t>4094849613924</t>
        </is>
      </c>
    </row>
    <row r="6994" ht="87" customHeight="1">
      <c r="A6994" s="2">
        <f>HYPERLINK("https://edmondsonsupply.com/collections/electricians-tools/products/klein-tools-rt250kit-premium-dual-range-ncvt-and-gfci-receptacle-tester-electrical-test-kit", "https://edmondsonsupply.com/collections/electricians-tools/products/klein-tools-rt250kit-premium-dual-range-ncvt-and-gfci-receptacle-tester-electrical-test-kit")</f>
        <v/>
      </c>
      <c r="B6994" s="2">
        <f>HYPERLINK("https://edmondsonsupply.com/products/klein-tools-rt250kit-premium-dual-range-ncvt-and-gfci-receptacle-tester-electrical-test-kit", "https://edmondsonsupply.com/products/klein-tools-rt250kit-premium-dual-range-ncvt-and-gfci-receptacle-tester-electrical-test-kit")</f>
        <v/>
      </c>
      <c r="C6994" t="inlineStr">
        <is>
          <t>Klein Tools RT250KIT Premium Dual-Range NCVT and GFCI Receptacle Tester Electrical Test Kit</t>
        </is>
      </c>
      <c r="D6994" t="inlineStr">
        <is>
          <t>Klein Tools NCVT3P Dual Range Non Contact Voltage Tester &amp; RT250 GFCI Receptacle Tester with LCD Display, for Standard 3-Wire 120V Electrical Outlets</t>
        </is>
      </c>
      <c r="E6994" s="2">
        <f>HYPERLINK("https://www.amazon.com/Klein-Tools-Receptacle-Standard-Electrical/dp/B0BC861K3W/ref=sr_1_2?keywords=Klein+Tools+RT250KIT+Premium+Dual-Range+NCVT+and+GFCI+Receptacle+Tester+Electrical+Test+Kit&amp;qid=1694735135&amp;sr=8-2", "https://www.amazon.com/Klein-Tools-Receptacle-Standard-Electrical/dp/B0BC861K3W/ref=sr_1_2?keywords=Klein+Tools+RT250KIT+Premium+Dual-Range+NCVT+and+GFCI+Receptacle+Tester+Electrical+Test+Kit&amp;qid=1694735135&amp;sr=8-2")</f>
        <v/>
      </c>
      <c r="F6994" t="inlineStr">
        <is>
          <t>B0BC861K3W</t>
        </is>
      </c>
      <c r="G6994">
        <f>_xlfn.IMAGE("https://edmondsonsupply.com/cdn/shop/products/rt250kit.jpg?v=1660755074")</f>
        <v/>
      </c>
      <c r="H6994">
        <f>_xlfn.IMAGE("https://m.media-amazon.com/images/I/5145pmsV9+L._AC_UL320_.jpg")</f>
        <v/>
      </c>
      <c r="K6994" t="inlineStr">
        <is>
          <t>39.99</t>
        </is>
      </c>
      <c r="L6994" t="n">
        <v>29.88</v>
      </c>
      <c r="M6994" s="1" t="inlineStr">
        <is>
          <t>-25.28%</t>
        </is>
      </c>
      <c r="N6994" s="7" t="n"/>
      <c r="O6994" t="n">
        <v>4.4</v>
      </c>
      <c r="P6994" t="n">
        <v>12</v>
      </c>
      <c r="R6994" t="inlineStr">
        <is>
          <t>InStock</t>
        </is>
      </c>
      <c r="S6994" t="inlineStr">
        <is>
          <t>56.78</t>
        </is>
      </c>
      <c r="T6994" t="inlineStr">
        <is>
          <t>7783551336664</t>
        </is>
      </c>
    </row>
    <row r="6995" ht="87" customHeight="1">
      <c r="A6995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6995" s="2">
        <f>HYPERLINK("https://edmondsonsupply.com/products/klein-tools-j203-8-pliers-needle-nose-side-cutters-8-inch", "https://edmondsonsupply.com/products/klein-tools-j203-8-pliers-needle-nose-side-cutters-8-inch")</f>
        <v/>
      </c>
      <c r="C6995" t="inlineStr">
        <is>
          <t>Klein Tools J203-8 Pliers, Needle Nose Side-Cutters, 8-Inch</t>
        </is>
      </c>
      <c r="D6995" t="inlineStr">
        <is>
          <t>Klein Tools D203-8 Needle Nose Pliers, Long Nose Side Cutters, Alligator Pliers with Extended Handles, 8-Inch</t>
        </is>
      </c>
      <c r="E6995" s="2">
        <f>HYPERLINK("https://www.amazon.com/Linemans-Alligator-Klein-Tools-D203-8/dp/B0000302WQ/ref=sr_1_2?keywords=Klein+Tools+J203-8+Pliers%2C+Needle+Nose+Side-Cutters%2C+8-Inch&amp;qid=1694735171&amp;sr=8-2", "https://www.amazon.com/Linemans-Alligator-Klein-Tools-D203-8/dp/B0000302WQ/ref=sr_1_2?keywords=Klein+Tools+J203-8+Pliers%2C+Needle+Nose+Side-Cutters%2C+8-Inch&amp;qid=1694735171&amp;sr=8-2")</f>
        <v/>
      </c>
      <c r="F6995" t="inlineStr">
        <is>
          <t>B0000302WQ</t>
        </is>
      </c>
      <c r="G6995">
        <f>_xlfn.IMAGE("https://edmondsonsupply.com/cdn/shop/products/j2038.jpg?v=1644709677")</f>
        <v/>
      </c>
      <c r="H6995">
        <f>_xlfn.IMAGE("https://m.media-amazon.com/images/I/51Ifjz4aftL._AC_UL320_.jpg")</f>
        <v/>
      </c>
      <c r="K6995" t="inlineStr">
        <is>
          <t>38.49</t>
        </is>
      </c>
      <c r="L6995" t="n">
        <v>28.74</v>
      </c>
      <c r="M6995" s="1" t="inlineStr">
        <is>
          <t>-25.33%</t>
        </is>
      </c>
      <c r="N6995" s="7" t="n"/>
      <c r="O6995" t="n">
        <v>4.8</v>
      </c>
      <c r="P6995" t="n">
        <v>930</v>
      </c>
      <c r="R6995" t="inlineStr">
        <is>
          <t>InStock</t>
        </is>
      </c>
      <c r="S6995" t="inlineStr">
        <is>
          <t>58.32</t>
        </is>
      </c>
      <c r="T6995" t="inlineStr">
        <is>
          <t>7606180249816</t>
        </is>
      </c>
    </row>
    <row r="6996" ht="87" customHeight="1">
      <c r="A6996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6996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6996" t="inlineStr">
        <is>
          <t>Diablo Tools DMAPL4180-P25 1/2 in. x 4 in. x 6 in. Rebar Demon™ SDS-Plus 4-Cutter Full Carbide Head Hammer Bit (25 Pack)</t>
        </is>
      </c>
      <c r="D6996" t="inlineStr">
        <is>
          <t>Diablo by Freud DMAPL4180-P25 1/2 in. x 4 in. x 6 in. Rebar Demon SDS-Plus 4-Cutter Full Carbide Head Hammer Bit (25-Pack) Multi, One Size</t>
        </is>
      </c>
      <c r="E6996" s="2">
        <f>HYPERLINK("https://www.amazon.com/Diablo-Rebar-4-Cutter-Carbide-Hammer/dp/B089LGWV7F/ref=sr_1_1?keywords=Diablo+Tools+DMAPL4180-P25+1%2F2+in.+x+4+in.+x+6+in.+Rebar+Demon%E2%84%A2+SDS-Plus+4-Cutter+Full+Carbide+Head+Hammer+Bit+%2825+Pack%29&amp;qid=1694735263&amp;sr=8-1", "https://www.amazon.com/Diablo-Rebar-4-Cutter-Carbide-Hammer/dp/B089LGWV7F/ref=sr_1_1?keywords=Diablo+Tools+DMAPL4180-P25+1%2F2+in.+x+4+in.+x+6+in.+Rebar+Demon%E2%84%A2+SDS-Plus+4-Cutter+Full+Carbide+Head+Hammer+Bit+%2825+Pack%29&amp;qid=1694735263&amp;sr=8-1")</f>
        <v/>
      </c>
      <c r="F6996" t="inlineStr">
        <is>
          <t>B089LGWV7F</t>
        </is>
      </c>
      <c r="G6996">
        <f>_xlfn.IMAGE("https://edmondsonsupply.com/cdn/shop/products/DMAPL4180-P25_Additional-Images_0120200331.png?v=1633030573")</f>
        <v/>
      </c>
      <c r="H6996">
        <f>_xlfn.IMAGE("https://m.media-amazon.com/images/I/61q9iw+mKpL._AC_UL320_.jpg")</f>
        <v/>
      </c>
      <c r="K6996" t="inlineStr">
        <is>
          <t>133.97</t>
        </is>
      </c>
      <c r="L6996" t="n">
        <v>99.98999999999999</v>
      </c>
      <c r="M6996" s="1" t="inlineStr">
        <is>
          <t>-25.36%</t>
        </is>
      </c>
      <c r="N6996" s="7" t="n"/>
      <c r="O6996" t="n">
        <v>5</v>
      </c>
      <c r="P6996" t="n">
        <v>2</v>
      </c>
      <c r="R6996" t="inlineStr">
        <is>
          <t>InStock</t>
        </is>
      </c>
      <c r="S6996" t="inlineStr">
        <is>
          <t>193.66</t>
        </is>
      </c>
      <c r="T6996" t="inlineStr">
        <is>
          <t>5524246659240</t>
        </is>
      </c>
    </row>
    <row r="6997" hidden="1" ht="15.75" customHeight="1">
      <c r="A6997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6997" s="2">
        <f>HYPERLINK("https://edmondsonsupply.com/products/klein-tools-66076-flip-impact-socket-9-16-and-1-2-inch", "https://edmondsonsupply.com/products/klein-tools-66076-flip-impact-socket-9-16-and-1-2-inch")</f>
        <v/>
      </c>
      <c r="C6997" t="inlineStr">
        <is>
          <t>Klein Tools 66076 Flip Impact Socket, 9/16 and 1/2-Inch</t>
        </is>
      </c>
      <c r="D6997" t="inlineStr">
        <is>
          <t>Klein Tools 32766 Impact Driver, 3-in-1 Impact Flip Socket and Bit Holder, 1 /4-Inch and 5/16-Inch Hex Drivers, 3-Inch Length</t>
        </is>
      </c>
      <c r="E6997" s="2">
        <f>HYPERLINK("https://www.amazon.com/Klein-Tools-32766-16-Inch-Drivers/dp/B09R2L4GFJ/ref=sr_1_10?keywords=Klein+Tools+66076+Flip+Impact+Socket%2C+9%2F16+and+1%2F2-Inch&amp;qid=1694735129&amp;sr=8-10", "https://www.amazon.com/Klein-Tools-32766-16-Inch-Drivers/dp/B09R2L4GFJ/ref=sr_1_10?keywords=Klein+Tools+66076+Flip+Impact+Socket%2C+9%2F16+and+1%2F2-Inch&amp;qid=1694735129&amp;sr=8-10")</f>
        <v/>
      </c>
      <c r="F6997" t="inlineStr">
        <is>
          <t>B09R2L4GFJ</t>
        </is>
      </c>
      <c r="G6997">
        <f>_xludf.IMAGE("https://edmondsonsupply.com/cdn/shop/products/66076.jpg?v=1663083814")</f>
        <v/>
      </c>
      <c r="H6997">
        <f>_xludf.IMAGE("https://m.media-amazon.com/images/I/41MLWTR6goL._AC_UL320_.jpg")</f>
        <v/>
      </c>
      <c r="K6997" t="inlineStr">
        <is>
          <t>10.71</t>
        </is>
      </c>
      <c r="L6997" t="n">
        <v>7.99</v>
      </c>
      <c r="M6997" s="1" t="inlineStr">
        <is>
          <t>-25.40%</t>
        </is>
      </c>
      <c r="N6997" s="1" t="n"/>
      <c r="O6997" t="n">
        <v>4.5</v>
      </c>
      <c r="P6997" t="n">
        <v>1240</v>
      </c>
      <c r="R6997" t="inlineStr">
        <is>
          <t>InStock</t>
        </is>
      </c>
      <c r="S6997" t="inlineStr">
        <is>
          <t>15.0</t>
        </is>
      </c>
      <c r="T6997" t="inlineStr">
        <is>
          <t>7814133874904</t>
        </is>
      </c>
    </row>
    <row r="6998" ht="87" customHeight="1">
      <c r="A6998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6998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6998" t="inlineStr">
        <is>
          <t>Diablo Tools DMAMX1360 1-1/2 in. x 16 in. x 21 in. Rebar Demon™ SDS-Max 4-Cutter Carbide-Tipped Hammer Drill Bit</t>
        </is>
      </c>
      <c r="D6998" t="inlineStr">
        <is>
          <t>Diablo by Freud DMAMX1300 1-1/4 in. x 16 in. x 21 in. Rebar Demon SDS-Max 4-Cutter Carbide-Tipped Hammer Bit</t>
        </is>
      </c>
      <c r="E6998" s="2">
        <f>HYPERLINK("https://www.amazon.com/Diablo-Freud-DMAMX1300-4-Cutter-Carbide-Tipped/dp/B089KX2QSQ/ref=sr_1_5?keywords=Diablo+Tools+DMAMX1360+1-1%2F2+in.+x+16+in.+x+21+in.+Rebar+Demon%E2%84%A2+SDS-Max+4-Cutter+Carbide-Tipped+Hammer+Drill+Bit&amp;qid=1694735042&amp;sr=8-5", "https://www.amazon.com/Diablo-Freud-DMAMX1300-4-Cutter-Carbide-Tipped/dp/B089KX2QSQ/ref=sr_1_5?keywords=Diablo+Tools+DMAMX1360+1-1%2F2+in.+x+16+in.+x+21+in.+Rebar+Demon%E2%84%A2+SDS-Max+4-Cutter+Carbide-Tipped+Hammer+Drill+Bit&amp;qid=1694735042&amp;sr=8-5")</f>
        <v/>
      </c>
      <c r="F6998" t="inlineStr">
        <is>
          <t>B089KX2QSQ</t>
        </is>
      </c>
      <c r="G6998">
        <f>_xlfn.IMAGE("https://edmondsonsupply.com/cdn/shop/products/z2umcsdaj3y4uvsfnxoh.webp?v=1677257156")</f>
        <v/>
      </c>
      <c r="H6998">
        <f>_xlfn.IMAGE("https://m.media-amazon.com/images/I/61pgqdG9SfL._AC_UL320_.jpg")</f>
        <v/>
      </c>
      <c r="K6998" t="inlineStr">
        <is>
          <t>93.87</t>
        </is>
      </c>
      <c r="L6998" t="n">
        <v>69.89</v>
      </c>
      <c r="M6998" s="1" t="inlineStr">
        <is>
          <t>-25.55%</t>
        </is>
      </c>
      <c r="N6998" s="7" t="n"/>
      <c r="O6998" t="n">
        <v>5</v>
      </c>
      <c r="P6998" t="n">
        <v>2</v>
      </c>
      <c r="R6998" t="inlineStr">
        <is>
          <t>InStock</t>
        </is>
      </c>
      <c r="S6998" t="inlineStr">
        <is>
          <t>149.01</t>
        </is>
      </c>
      <c r="T6998" t="inlineStr">
        <is>
          <t>7950786855128</t>
        </is>
      </c>
    </row>
    <row r="6999" ht="87" customHeight="1">
      <c r="A6999" s="2">
        <f>HYPERLINK("https://edmondsonsupply.com/collections/electricians-tools/products/milwaukee-48-59-1806-m18%E2%84%A2-six-pack-sequential-charger", "https://edmondsonsupply.com/collections/electricians-tools/products/milwaukee-48-59-1806-m18%E2%84%A2-six-pack-sequential-charger")</f>
        <v/>
      </c>
      <c r="B6999" s="2">
        <f>HYPERLINK("https://edmondsonsupply.com/products/milwaukee-48-59-1806-m18%e2%84%a2-six-pack-sequential-charger", "https://edmondsonsupply.com/products/milwaukee-48-59-1806-m18%e2%84%a2-six-pack-sequential-charger")</f>
        <v/>
      </c>
      <c r="C6999" t="inlineStr">
        <is>
          <t>Milwaukee 48-59-1806 M18™ Six Pack Sequential Charger</t>
        </is>
      </c>
      <c r="D6999" t="inlineStr">
        <is>
          <t>DSANKE 48-59-180618V 6-Port Lithium-Ion Charger Replacement for Six Pack Sequential Charger Compatible with 18V Battery 48-11-1850 48-11-1840 48-11-1815 48-11-1828</t>
        </is>
      </c>
      <c r="E6999" s="2">
        <f>HYPERLINK("https://www.amazon.com/DSANKE-48-59-1806-M18-Charger-Replacement/dp/B0BQ6LKZTW/ref=sr_1_2?keywords=Milwaukee+48-59-1806+M18%E2%84%A2+Six+Pack+Sequential+Charger&amp;qid=1694735145&amp;sr=8-2", "https://www.amazon.com/DSANKE-48-59-1806-M18-Charger-Replacement/dp/B0BQ6LKZTW/ref=sr_1_2?keywords=Milwaukee+48-59-1806+M18%E2%84%A2+Six+Pack+Sequential+Charger&amp;qid=1694735145&amp;sr=8-2")</f>
        <v/>
      </c>
      <c r="F6999" t="inlineStr">
        <is>
          <t>B0BQ6LKZTW</t>
        </is>
      </c>
      <c r="G6999">
        <f>_xlfn.IMAGE("https://edmondsonsupply.com/cdn/shop/products/48-59-1806_4.webp?v=1656531026")</f>
        <v/>
      </c>
      <c r="H6999">
        <f>_xlfn.IMAGE("https://m.media-amazon.com/images/I/71jgf-XUv2L._AC_UL320_.jpg")</f>
        <v/>
      </c>
      <c r="K6999" t="inlineStr">
        <is>
          <t>129.0</t>
        </is>
      </c>
      <c r="L6999" t="n">
        <v>95.98999999999999</v>
      </c>
      <c r="M6999" s="1" t="inlineStr">
        <is>
          <t>-25.59%</t>
        </is>
      </c>
      <c r="N6999" s="7" t="n"/>
      <c r="O6999" t="n">
        <v>4.6</v>
      </c>
      <c r="P6999" t="n">
        <v>1487</v>
      </c>
      <c r="R6999" t="inlineStr">
        <is>
          <t>InStock</t>
        </is>
      </c>
      <c r="S6999" t="inlineStr">
        <is>
          <t>222.0</t>
        </is>
      </c>
      <c r="T6999" t="inlineStr">
        <is>
          <t>7733088059608</t>
        </is>
      </c>
    </row>
    <row r="7000" ht="87" customHeight="1">
      <c r="A7000" s="2">
        <f>HYPERLINK("https://edmondsonsupply.com/collections/electricians-tools/products/klein-tools-1550-44-pocket-knife-2-5-8-inch-hawkbill-slitting-blade", "https://edmondsonsupply.com/collections/electricians-tools/products/klein-tools-1550-44-pocket-knife-2-5-8-inch-hawkbill-slitting-blade")</f>
        <v/>
      </c>
      <c r="B7000" s="2">
        <f>HYPERLINK("https://edmondsonsupply.com/products/klein-tools-1550-44-pocket-knife-2-5-8-inch-hawkbill-slitting-blade", "https://edmondsonsupply.com/products/klein-tools-1550-44-pocket-knife-2-5-8-inch-hawkbill-slitting-blade")</f>
        <v/>
      </c>
      <c r="C7000" t="inlineStr">
        <is>
          <t>Klein Tools 1550-44 Pocket Knife, 2-5/8-Inch Hawkbill Slitting Blade</t>
        </is>
      </c>
      <c r="D7000" t="inlineStr">
        <is>
          <t>Klein Tools 1550-44 Pocket Knife with Stainless Steel 2-5/8-Inch Hawkbill Slitting Blade, Wood Grain</t>
        </is>
      </c>
      <c r="E7000" s="2">
        <f>HYPERLINK("https://www.amazon.com/Klein-Tools-1550-44-Stainless-Hawkbill/dp/B00093DYPQ/ref=sr_1_1?keywords=Klein+Tools+1550-44+Pocket+Knife%2C+2-5%2F8-Inch+Hawkbill+Slitting+Blade&amp;qid=1694735130&amp;sr=8-1", "https://www.amazon.com/Klein-Tools-1550-44-Stainless-Hawkbill/dp/B00093DYPQ/ref=sr_1_1?keywords=Klein+Tools+1550-44+Pocket+Knife%2C+2-5%2F8-Inch+Hawkbill+Slitting+Blade&amp;qid=1694735130&amp;sr=8-1")</f>
        <v/>
      </c>
      <c r="F7000" t="inlineStr">
        <is>
          <t>B00093DYPQ</t>
        </is>
      </c>
      <c r="G7000">
        <f>_xlfn.IMAGE("https://edmondsonsupply.com/cdn/shop/products/155044_c.jpg?v=1662662355")</f>
        <v/>
      </c>
      <c r="H7000">
        <f>_xlfn.IMAGE("https://m.media-amazon.com/images/I/41N-7HDOB1L._AC_UL320_.jpg")</f>
        <v/>
      </c>
      <c r="K7000" t="inlineStr">
        <is>
          <t>30.93</t>
        </is>
      </c>
      <c r="L7000" t="n">
        <v>22.99</v>
      </c>
      <c r="M7000" s="1" t="inlineStr">
        <is>
          <t>-25.67%</t>
        </is>
      </c>
      <c r="N7000" s="7" t="n"/>
      <c r="O7000" t="n">
        <v>4.5</v>
      </c>
      <c r="P7000" t="n">
        <v>410</v>
      </c>
      <c r="R7000" t="inlineStr">
        <is>
          <t>InStock</t>
        </is>
      </c>
      <c r="S7000" t="inlineStr">
        <is>
          <t>48.6</t>
        </is>
      </c>
      <c r="T7000" t="inlineStr">
        <is>
          <t>7809379172568</t>
        </is>
      </c>
    </row>
    <row r="7001" ht="87" customHeight="1">
      <c r="A7001" s="2">
        <f>HYPERLINK("https://edmondsonsupply.com/collections/electricians-tools/products/diablo-tools-dmamx1220", "https://edmondsonsupply.com/collections/electricians-tools/products/diablo-tools-dmamx1220")</f>
        <v/>
      </c>
      <c r="B7001" s="2">
        <f>HYPERLINK("https://edmondsonsupply.com/products/diablo-tools-dmamx1220", "https://edmondsonsupply.com/products/diablo-tools-dmamx1220")</f>
        <v/>
      </c>
      <c r="C7001" t="inlineStr">
        <is>
          <t>Diablo Tools DMAMX1220 1 in. x 16 in. x 21 in. Rebar Demon™ SDS-Max 4-Cutter Full Carbide Head Hammer Drill Bit</t>
        </is>
      </c>
      <c r="D7001" t="inlineStr">
        <is>
          <t>Diablo by Freud DMAPL4300 1 in. x 8 in. x 10 in. Rebar Demon™ SDS-Plus 4-Cutter Full Carbide Head Hammer Bit</t>
        </is>
      </c>
      <c r="E7001" s="2">
        <f>HYPERLINK("https://www.amazon.com/Diablo-Freud-DMAPL4300-SDS-Plus-4-Cutter/dp/B089LL8JD8/ref=sr_1_8?keywords=Diablo+Tools+DMAMX1220+1+in.+x+16+in.+x+21+in.+Rebar+Demon%E2%84%A2+SDS-Max+4-Cutter+Full+Carbide+Head+Hammer+Drill+Bit&amp;qid=1694735075&amp;sr=8-8", "https://www.amazon.com/Diablo-Freud-DMAPL4300-SDS-Plus-4-Cutter/dp/B089LL8JD8/ref=sr_1_8?keywords=Diablo+Tools+DMAMX1220+1+in.+x+16+in.+x+21+in.+Rebar+Demon%E2%84%A2+SDS-Max+4-Cutter+Full+Carbide+Head+Hammer+Drill+Bit&amp;qid=1694735075&amp;sr=8-8")</f>
        <v/>
      </c>
      <c r="F7001" t="inlineStr">
        <is>
          <t>B089LL8JD8</t>
        </is>
      </c>
      <c r="G7001">
        <f>_xlfn.IMAGE("https://edmondsonsupply.com/cdn/shop/products/immoyh7jjmbau4fzhuq6.webp?v=1670431066")</f>
        <v/>
      </c>
      <c r="H7001">
        <f>_xlfn.IMAGE("https://m.media-amazon.com/images/I/616UiJGsK1L._AC_UL320_.jpg")</f>
        <v/>
      </c>
      <c r="K7001" t="inlineStr">
        <is>
          <t>45.69</t>
        </is>
      </c>
      <c r="L7001" t="n">
        <v>33.95</v>
      </c>
      <c r="M7001" s="1" t="inlineStr">
        <is>
          <t>-25.69%</t>
        </is>
      </c>
      <c r="N7001" s="7" t="n"/>
      <c r="O7001" t="n">
        <v>4.5</v>
      </c>
      <c r="P7001" t="n">
        <v>16</v>
      </c>
      <c r="R7001" t="inlineStr">
        <is>
          <t>InStock</t>
        </is>
      </c>
      <c r="S7001" t="inlineStr">
        <is>
          <t>70.58</t>
        </is>
      </c>
      <c r="T7001" t="inlineStr">
        <is>
          <t>7900195356888</t>
        </is>
      </c>
    </row>
    <row r="7002" ht="87" customHeight="1">
      <c r="A7002" s="2">
        <f>HYPERLINK("https://edmondsonsupply.com/collections/electricians-tools/products/milwaukee-2732-20", "https://edmondsonsupply.com/collections/electricians-tools/products/milwaukee-2732-20")</f>
        <v/>
      </c>
      <c r="B7002" s="2">
        <f>HYPERLINK("https://edmondsonsupply.com/products/milwaukee-2732-20", "https://edmondsonsupply.com/products/milwaukee-2732-20")</f>
        <v/>
      </c>
      <c r="C7002" t="inlineStr">
        <is>
          <t>Milwaukee 2732-20 M18 FUEL 7-1/4" Circular Saw-tool only</t>
        </is>
      </c>
      <c r="D7002" t="inlineStr">
        <is>
          <t>Milwaukee 2730-20 M18 Fuel 6 1/2" Circular Saw , Brushless (Tool Only)</t>
        </is>
      </c>
      <c r="E7002" s="2">
        <f>HYPERLINK("https://www.amazon.com/Milwaukee-2730-20-Fuel-Circular-Brushless/dp/B00G0GLZF2/ref=sr_1_5?keywords=Milwaukee+2732-20+M18+FUEL+7-1%2F4%22+Circular+Saw-tool+only&amp;qid=1694735300&amp;sr=8-5", "https://www.amazon.com/Milwaukee-2730-20-Fuel-Circular-Brushless/dp/B00G0GLZF2/ref=sr_1_5?keywords=Milwaukee+2732-20+M18+FUEL+7-1%2F4%22+Circular+Saw-tool+only&amp;qid=1694735300&amp;sr=8-5")</f>
        <v/>
      </c>
      <c r="F7002" t="inlineStr">
        <is>
          <t>B00G0GLZF2</t>
        </is>
      </c>
      <c r="G7002">
        <f>_xlfn.IMAGE("https://edmondsonsupply.com/cdn/shop/products/2732-20_1.png?v=1591305391")</f>
        <v/>
      </c>
      <c r="H7002">
        <f>_xlfn.IMAGE("https://m.media-amazon.com/images/I/81w3cRan7-L._AC_UL320_.jpg")</f>
        <v/>
      </c>
      <c r="K7002" t="inlineStr">
        <is>
          <t>249.0</t>
        </is>
      </c>
      <c r="L7002" t="n">
        <v>185</v>
      </c>
      <c r="M7002" s="1" t="inlineStr">
        <is>
          <t>-25.70%</t>
        </is>
      </c>
      <c r="N7002" s="7" t="n"/>
      <c r="O7002" t="n">
        <v>4.6</v>
      </c>
      <c r="P7002" t="n">
        <v>920</v>
      </c>
      <c r="R7002" t="inlineStr">
        <is>
          <t>InStock</t>
        </is>
      </c>
      <c r="S7002" t="inlineStr">
        <is>
          <t>413.0</t>
        </is>
      </c>
      <c r="T7002" t="inlineStr">
        <is>
          <t>5273466601640</t>
        </is>
      </c>
    </row>
    <row r="7003" hidden="1" ht="15.75" customHeight="1">
      <c r="A7003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7003" s="2">
        <f>HYPERLINK("https://edmondsonsupply.com/products/amprobe-st-102b-receptacle-tester-with-gfci", "https://edmondsonsupply.com/products/amprobe-st-102b-receptacle-tester-with-gfci")</f>
        <v/>
      </c>
      <c r="C7003" t="inlineStr">
        <is>
          <t>Amprobe ST-102B Receptacle Tester with GFCI</t>
        </is>
      </c>
      <c r="D7003" t="inlineStr">
        <is>
          <t>Xin Tester 90-130V GFCI Outlet Tester, 3 Prong Receptacle Tester, Standard North US Electrical Socket Tester with Voltage Display for Detecting Common Faults of Wiring Problems (US Plug), XT108B</t>
        </is>
      </c>
      <c r="E7003" s="2">
        <f>HYPERLINK("https://www.amazon.com/Xin-Tester-Receptacle-Electrical-Detecting/dp/B0BZHY3N87/ref=sr_1_9?keywords=Amprobe+ST-102B+Receptacle+Tester+with+GFCI&amp;qid=1694735128&amp;sr=8-9", "https://www.amazon.com/Xin-Tester-Receptacle-Electrical-Detecting/dp/B0BZHY3N87/ref=sr_1_9?keywords=Amprobe+ST-102B+Receptacle+Tester+with+GFCI&amp;qid=1694735128&amp;sr=8-9")</f>
        <v/>
      </c>
      <c r="F7003" t="inlineStr">
        <is>
          <t>B0BZHY3N87</t>
        </is>
      </c>
      <c r="G7003">
        <f>_xludf.IMAGE("https://edmondsonsupply.com/cdn/shop/products/PD_ST102B1.jpg?v=1662641155")</f>
        <v/>
      </c>
      <c r="H7003">
        <f>_xludf.IMAGE("https://m.media-amazon.com/images/I/61xIHoxxAEL._AC_UL320_.jpg")</f>
        <v/>
      </c>
      <c r="K7003" t="inlineStr">
        <is>
          <t>17.49</t>
        </is>
      </c>
      <c r="L7003" t="n">
        <v>12.99</v>
      </c>
      <c r="M7003" s="1" t="inlineStr">
        <is>
          <t>-25.73%</t>
        </is>
      </c>
      <c r="N7003" s="1" t="n"/>
      <c r="O7003" t="n">
        <v>4.4</v>
      </c>
      <c r="P7003" t="n">
        <v>26</v>
      </c>
      <c r="R7003" t="inlineStr">
        <is>
          <t>InStock</t>
        </is>
      </c>
      <c r="S7003" t="inlineStr">
        <is>
          <t>19.99</t>
        </is>
      </c>
      <c r="T7003" t="inlineStr">
        <is>
          <t>7808944570584</t>
        </is>
      </c>
    </row>
    <row r="7004" hidden="1" ht="15.75" customHeight="1">
      <c r="A7004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7004" s="2">
        <f>HYPERLINK("https://edmondsonsupply.com/products/amprobe-st-102b-receptacle-tester-with-gfci", "https://edmondsonsupply.com/products/amprobe-st-102b-receptacle-tester-with-gfci")</f>
        <v/>
      </c>
      <c r="C7004" t="inlineStr">
        <is>
          <t>Amprobe ST-102B Receptacle Tester with GFCI</t>
        </is>
      </c>
      <c r="D7004" t="inlineStr">
        <is>
          <t>Landtek Socket Tester Voltage Power line Indicator and Receptacle Tester with Ground Fault Circuit Interrupter (GFCI) Examination Detects Common Wiring Problems No Battery Required Electrical Tool</t>
        </is>
      </c>
      <c r="E7004" s="2">
        <f>HYPERLINK("https://www.amazon.com/Landtek-Receptacle-Interrupter-Examination-Electrical/dp/B0BG4XGHDH/ref=sr_1_46?keywords=Amprobe+ST-102B+Receptacle+Tester+with+GFCI&amp;qid=1694735128&amp;sr=8-46", "https://www.amazon.com/Landtek-Receptacle-Interrupter-Examination-Electrical/dp/B0BG4XGHDH/ref=sr_1_46?keywords=Amprobe+ST-102B+Receptacle+Tester+with+GFCI&amp;qid=1694735128&amp;sr=8-46")</f>
        <v/>
      </c>
      <c r="F7004" t="inlineStr">
        <is>
          <t>B0BG4XGHDH</t>
        </is>
      </c>
      <c r="G7004">
        <f>_xludf.IMAGE("https://edmondsonsupply.com/cdn/shop/products/PD_ST102B1.jpg?v=1662641155")</f>
        <v/>
      </c>
      <c r="H7004">
        <f>_xludf.IMAGE("https://m.media-amazon.com/images/I/61fK4xE+K2L._AC_UL320_.jpg")</f>
        <v/>
      </c>
      <c r="K7004" t="inlineStr">
        <is>
          <t>17.49</t>
        </is>
      </c>
      <c r="L7004" t="n">
        <v>12.99</v>
      </c>
      <c r="M7004" s="1" t="inlineStr">
        <is>
          <t>-25.73%</t>
        </is>
      </c>
      <c r="N7004" s="1" t="n"/>
      <c r="O7004" t="n">
        <v>5</v>
      </c>
      <c r="P7004" t="n">
        <v>3</v>
      </c>
      <c r="R7004" t="inlineStr">
        <is>
          <t>InStock</t>
        </is>
      </c>
      <c r="S7004" t="inlineStr">
        <is>
          <t>19.99</t>
        </is>
      </c>
      <c r="T7004" t="inlineStr">
        <is>
          <t>7808944570584</t>
        </is>
      </c>
    </row>
    <row r="7005" ht="87" customHeight="1">
      <c r="A7005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7005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7005" t="inlineStr">
        <is>
          <t>Channellock 430X 10-Inch SPEEDGRIP™ Straight Jaw Tongue &amp; Groove Pliers</t>
        </is>
      </c>
      <c r="D7005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7005" s="2">
        <f>HYPERLINK("https://www.amazon.com/Channellock-430-Straight-Heat-Treated-Reinforcing/dp/B00002N5JF/ref=sr_1_2?keywords=Channellock+430X+10-Inch+SPEEDGRIP%E2%84%A2+Straight+Jaw+Tongue+%26+Groove+Pliers&amp;qid=1694735165&amp;sr=8-2", "https://www.amazon.com/Channellock-430-Straight-Heat-Treated-Reinforcing/dp/B00002N5JF/ref=sr_1_2?keywords=Channellock+430X+10-Inch+SPEEDGRIP%E2%84%A2+Straight+Jaw+Tongue+%26+Groove+Pliers&amp;qid=1694735165&amp;sr=8-2")</f>
        <v/>
      </c>
      <c r="F7005" t="inlineStr">
        <is>
          <t>B00002N5JF</t>
        </is>
      </c>
      <c r="G7005">
        <f>_xlfn.IMAGE("https://edmondsonsupply.com/cdn/shop/products/430X.jpg?v=1647100497")</f>
        <v/>
      </c>
      <c r="H7005">
        <f>_xlfn.IMAGE("https://m.media-amazon.com/images/I/71JqgqffnnL._AC_UL320_.jpg")</f>
        <v/>
      </c>
      <c r="K7005" t="inlineStr">
        <is>
          <t>26.95</t>
        </is>
      </c>
      <c r="L7005" t="n">
        <v>19.95</v>
      </c>
      <c r="M7005" s="1" t="inlineStr">
        <is>
          <t>-25.97%</t>
        </is>
      </c>
      <c r="N7005" s="7" t="n"/>
      <c r="O7005" t="n">
        <v>4.8</v>
      </c>
      <c r="P7005" t="n">
        <v>2186</v>
      </c>
      <c r="R7005" t="inlineStr">
        <is>
          <t>InStock</t>
        </is>
      </c>
      <c r="S7005" t="inlineStr">
        <is>
          <t>40.47</t>
        </is>
      </c>
      <c r="T7005" t="inlineStr">
        <is>
          <t>7633790238936</t>
        </is>
      </c>
    </row>
    <row r="7006" ht="87" customHeight="1">
      <c r="A7006" s="2">
        <f>HYPERLINK("https://edmondsonsupply.com/collections/electricians-tools/products/klein-tools-d2000-9necr-linemans-pliers-with-crimping-9-inch", "https://edmondsonsupply.com/collections/electricians-tools/products/klein-tools-d2000-9necr-linemans-pliers-with-crimping-9-inch")</f>
        <v/>
      </c>
      <c r="B7006" s="2">
        <f>HYPERLINK("https://edmondsonsupply.com/products/klein-tools-d2000-9necr-linemans-pliers-with-crimping-9-inch", "https://edmondsonsupply.com/products/klein-tools-d2000-9necr-linemans-pliers-with-crimping-9-inch")</f>
        <v/>
      </c>
      <c r="C7006" t="inlineStr">
        <is>
          <t>Klein Tools D2000-9NECR Lineman's Pliers with Crimping, 9-Inch</t>
        </is>
      </c>
      <c r="D7006" t="inlineStr">
        <is>
          <t>Klein Tools D213-9 Lineman's Square Nose Pliers, High Leverage Electrical Pliers with Induction Hardened Knives, 9-Inch</t>
        </is>
      </c>
      <c r="E7006" s="2">
        <f>HYPERLINK("https://www.amazon.com/Klein-Tools-D213-9-Linemans-Square/dp/B000LNK3OY/ref=sr_1_12?keywords=Klein+Tools+D2000-9NECR+Lineman%27s+Pliers+with+Crimping%2C+9-Inch&amp;qid=1694735295&amp;sr=8-12", "https://www.amazon.com/Klein-Tools-D213-9-Linemans-Square/dp/B000LNK3OY/ref=sr_1_12?keywords=Klein+Tools+D2000-9NECR+Lineman%27s+Pliers+with+Crimping%2C+9-Inch&amp;qid=1694735295&amp;sr=8-12")</f>
        <v/>
      </c>
      <c r="F7006" t="inlineStr">
        <is>
          <t>B000LNK3OY</t>
        </is>
      </c>
      <c r="G7006">
        <f>_xlfn.IMAGE("https://edmondsonsupply.com/cdn/shop/products/d20009necr.jpg?v=1633030459")</f>
        <v/>
      </c>
      <c r="H7006">
        <f>_xlfn.IMAGE("https://m.media-amazon.com/images/I/51Z5USetZ4L._AC_UL320_.jpg")</f>
        <v/>
      </c>
      <c r="K7006" t="inlineStr">
        <is>
          <t>49.99</t>
        </is>
      </c>
      <c r="L7006" t="n">
        <v>36.99</v>
      </c>
      <c r="M7006" s="1" t="inlineStr">
        <is>
          <t>-26.01%</t>
        </is>
      </c>
      <c r="N7006" s="7" t="n"/>
      <c r="O7006" t="n">
        <v>4.6</v>
      </c>
      <c r="P7006" t="n">
        <v>175</v>
      </c>
      <c r="R7006" t="inlineStr">
        <is>
          <t>InStock</t>
        </is>
      </c>
      <c r="S7006" t="inlineStr">
        <is>
          <t>75.74</t>
        </is>
      </c>
      <c r="T7006" t="inlineStr">
        <is>
          <t>5349066965160</t>
        </is>
      </c>
    </row>
    <row r="7007" hidden="1" ht="15.75" customHeight="1">
      <c r="A7007" s="2">
        <f>HYPERLINK("https://edmondsonsupply.com/collections/electricians-tools/products/klein-tools-605-4-1-4-inch-cabinet-tip-screwdriver-4-inch-shank", "https://edmondsonsupply.com/collections/electricians-tools/products/klein-tools-605-4-1-4-inch-cabinet-tip-screwdriver-4-inch-shank")</f>
        <v/>
      </c>
      <c r="B7007" s="2">
        <f>HYPERLINK("https://edmondsonsupply.com/products/klein-tools-605-4-1-4-inch-cabinet-tip-screwdriver-4-inch-shank", "https://edmondsonsupply.com/products/klein-tools-605-4-1-4-inch-cabinet-tip-screwdriver-4-inch-shank")</f>
        <v/>
      </c>
      <c r="C7007" t="inlineStr">
        <is>
          <t>Klein Tools 605-4 1/4-Inch Cabinet Tip Screwdriver 4-Inch Shank</t>
        </is>
      </c>
      <c r="D7007" t="inlineStr">
        <is>
          <t>Klein Tools A216-4 1/8-Inch Cabinet-Tip Flat Head Screwdriver with 4-Inch Round Shank and Comfordome Handle</t>
        </is>
      </c>
      <c r="E7007" s="2">
        <f>HYPERLINK("https://www.amazon.com/Cabinet-Tip-Screwdriver-Klein-Tools-A216-4/dp/B00093GC28/ref=sr_1_10?keywords=Klein+Tools+605-4+1%2F4-Inch+Cabinet+Tip+Screwdriver+4-Inch+Shank&amp;qid=1694735099&amp;sr=8-10", "https://www.amazon.com/Cabinet-Tip-Screwdriver-Klein-Tools-A216-4/dp/B00093GC28/ref=sr_1_10?keywords=Klein+Tools+605-4+1%2F4-Inch+Cabinet+Tip+Screwdriver+4-Inch+Shank&amp;qid=1694735099&amp;sr=8-10")</f>
        <v/>
      </c>
      <c r="F7007" t="inlineStr">
        <is>
          <t>B00093GC28</t>
        </is>
      </c>
      <c r="G7007">
        <f>_xludf.IMAGE("https://edmondsonsupply.com/cdn/shop/products/605-6_ac5e56ca-920d-4d55-842f-c7dc8361f892.jpg?v=1665688377")</f>
        <v/>
      </c>
      <c r="H7007">
        <f>_xludf.IMAGE("https://m.media-amazon.com/images/I/414kKbGezfL._AC_UL320_.jpg")</f>
        <v/>
      </c>
      <c r="K7007" t="inlineStr">
        <is>
          <t>8.99</t>
        </is>
      </c>
      <c r="L7007" t="n">
        <v>6.65</v>
      </c>
      <c r="M7007" s="1" t="inlineStr">
        <is>
          <t>-26.03%</t>
        </is>
      </c>
      <c r="N7007" s="1" t="n"/>
      <c r="O7007" t="n">
        <v>4.7</v>
      </c>
      <c r="P7007" t="n">
        <v>172</v>
      </c>
      <c r="R7007" t="inlineStr">
        <is>
          <t>InStock</t>
        </is>
      </c>
      <c r="S7007" t="inlineStr">
        <is>
          <t>13.6</t>
        </is>
      </c>
      <c r="T7007" t="inlineStr">
        <is>
          <t>7852059132120</t>
        </is>
      </c>
    </row>
    <row r="7008" hidden="1" ht="15.75" customHeight="1">
      <c r="A7008" s="2">
        <f>HYPERLINK("https://edmondsonsupply.com/collections/electricians-tools/products/klein-tools-614-4-1-8-inch-cabinet-electronics-screwdriver-4-inch", "https://edmondsonsupply.com/collections/electricians-tools/products/klein-tools-614-4-1-8-inch-cabinet-electronics-screwdriver-4-inch")</f>
        <v/>
      </c>
      <c r="B7008" s="2">
        <f>HYPERLINK("https://edmondsonsupply.com/products/klein-tools-614-4-1-8-inch-cabinet-electronics-screwdriver-4-inch", "https://edmondsonsupply.com/products/klein-tools-614-4-1-8-inch-cabinet-electronics-screwdriver-4-inch")</f>
        <v/>
      </c>
      <c r="C7008" t="inlineStr">
        <is>
          <t>Klein Tools 614-4 1/8-Inch Cabinet Electronics Screwdriver, 4-Inch</t>
        </is>
      </c>
      <c r="D7008" t="inlineStr">
        <is>
          <t>Klein Tools A216-4 1/8-Inch Cabinet-Tip Flat Head Screwdriver with 4-Inch Round Shank and Comfordome Handle</t>
        </is>
      </c>
      <c r="E7008" s="2">
        <f>HYPERLINK("https://www.amazon.com/Cabinet-Tip-Screwdriver-Klein-Tools-A216-4/dp/B00093GC28/ref=sr_1_6?keywords=Klein+Tools+614-4+1%2F8-Inch+Cabinet+Electronics+Screwdriver%2C+4-Inch&amp;qid=1694735408&amp;sr=8-6", "https://www.amazon.com/Cabinet-Tip-Screwdriver-Klein-Tools-A216-4/dp/B00093GC28/ref=sr_1_6?keywords=Klein+Tools+614-4+1%2F8-Inch+Cabinet+Electronics+Screwdriver%2C+4-Inch&amp;qid=1694735408&amp;sr=8-6")</f>
        <v/>
      </c>
      <c r="F7008" t="inlineStr">
        <is>
          <t>B00093GC28</t>
        </is>
      </c>
      <c r="G7008">
        <f>_xludf.IMAGE("https://edmondsonsupply.com/cdn/shop/products/614-4.jpg?v=1587145143")</f>
        <v/>
      </c>
      <c r="H7008">
        <f>_xludf.IMAGE("https://m.media-amazon.com/images/I/414kKbGezfL._AC_UL320_.jpg")</f>
        <v/>
      </c>
      <c r="K7008" t="inlineStr">
        <is>
          <t>8.99</t>
        </is>
      </c>
      <c r="L7008" t="n">
        <v>6.65</v>
      </c>
      <c r="M7008" s="1" t="inlineStr">
        <is>
          <t>-26.03%</t>
        </is>
      </c>
      <c r="N7008" s="1" t="n"/>
      <c r="O7008" t="n">
        <v>4.7</v>
      </c>
      <c r="P7008" t="n">
        <v>172</v>
      </c>
      <c r="R7008" t="inlineStr">
        <is>
          <t>InStock</t>
        </is>
      </c>
      <c r="S7008" t="inlineStr">
        <is>
          <t>13.62</t>
        </is>
      </c>
      <c r="T7008" t="inlineStr">
        <is>
          <t>4397839843428</t>
        </is>
      </c>
    </row>
    <row r="7009" ht="87" customHeight="1">
      <c r="A7009" s="2">
        <f>HYPERLINK("https://edmondsonsupply.com/collections/electricians-tools/products/diablo-tools-dou125cf-1-1-4-universal-fit-carbide-oscillating-blade-for-metal", "https://edmondsonsupply.com/collections/electricians-tools/products/diablo-tools-dou125cf-1-1-4-universal-fit-carbide-oscillating-blade-for-metal")</f>
        <v/>
      </c>
      <c r="B7009" s="2">
        <f>HYPERLINK("https://edmondsonsupply.com/products/diablo-tools-dou125cf-1-1-4-universal-fit-carbide-oscillating-blade-for-metal", "https://edmondsonsupply.com/products/diablo-tools-dou125cf-1-1-4-universal-fit-carbide-oscillating-blade-for-metal")</f>
        <v/>
      </c>
      <c r="C7009" t="inlineStr">
        <is>
          <t>Diablo Tools DOU125CF 1-1/4" Universal Fit Carbide Oscillating Blade for Metal</t>
        </is>
      </c>
      <c r="D7009" t="inlineStr">
        <is>
          <t>Diablo by Freud DOU125CF 1-1/4 in. Universal Fit Carbide Oscillating Blade for Metal</t>
        </is>
      </c>
      <c r="E7009" s="2">
        <f>HYPERLINK("https://www.amazon.com/Diablo-Universal-Carbide-Oscillating-Blade/dp/B089LHKRPN/ref=sr_1_1?keywords=Diablo+Tools+DOU125CF+1-1%2F4%22+Universal+Fit+Carbide+Oscillating+Blade+for+Metal&amp;qid=1694735180&amp;sr=8-1", "https://www.amazon.com/Diablo-Universal-Carbide-Oscillating-Blade/dp/B089LHKRPN/ref=sr_1_1?keywords=Diablo+Tools+DOU125CF+1-1%2F4%22+Universal+Fit+Carbide+Oscillating+Blade+for+Metal&amp;qid=1694735180&amp;sr=8-1")</f>
        <v/>
      </c>
      <c r="F7009" t="inlineStr">
        <is>
          <t>B089LHKRPN</t>
        </is>
      </c>
      <c r="G7009">
        <f>_xlfn.IMAGE("https://edmondsonsupply.com/cdn/shop/products/DOU125CF_Main-Image.png?v=1633637708")</f>
        <v/>
      </c>
      <c r="H7009">
        <f>_xlfn.IMAGE("https://m.media-amazon.com/images/I/71izb0UUOkL._AC_UL320_.jpg")</f>
        <v/>
      </c>
      <c r="K7009" t="inlineStr">
        <is>
          <t>22.97</t>
        </is>
      </c>
      <c r="L7009" t="n">
        <v>16.99</v>
      </c>
      <c r="M7009" s="1" t="inlineStr">
        <is>
          <t>-26.03%</t>
        </is>
      </c>
      <c r="N7009" s="7" t="n"/>
      <c r="O7009" t="n">
        <v>4.3</v>
      </c>
      <c r="P7009" t="n">
        <v>19</v>
      </c>
      <c r="R7009" t="inlineStr">
        <is>
          <t>InStock</t>
        </is>
      </c>
      <c r="S7009" t="inlineStr">
        <is>
          <t>27.86</t>
        </is>
      </c>
      <c r="T7009" t="inlineStr">
        <is>
          <t>7000434999469</t>
        </is>
      </c>
    </row>
    <row r="7010" hidden="1" ht="15.75" customHeight="1">
      <c r="A7010" s="2">
        <f>HYPERLINK("https://edmondsonsupply.com/collections/electricians-tools/products/milwaukee-48-25-2562-2-9-16-self-feed-wood-bit", "https://edmondsonsupply.com/collections/electricians-tools/products/milwaukee-48-25-2562-2-9-16-self-feed-wood-bit")</f>
        <v/>
      </c>
      <c r="B7010" s="2">
        <f>HYPERLINK("https://edmondsonsupply.com/products/milwaukee-48-25-2562-2-9-16-self-feed-wood-bit", "https://edmondsonsupply.com/products/milwaukee-48-25-2562-2-9-16-self-feed-wood-bit")</f>
        <v/>
      </c>
      <c r="C7010" t="inlineStr">
        <is>
          <t>Milwaukee 48-25-2562 2-9/16" Selfeed Wood Bit</t>
        </is>
      </c>
      <c r="D7010" t="inlineStr">
        <is>
          <t>Milwaukee GIDDS2-288392 48-25-1372 Standard Selfeed Drill Bit</t>
        </is>
      </c>
      <c r="E7010" s="2">
        <f>HYPERLINK("https://www.amazon.com/MILWAUKEE-GIDDS2-288392-48-25-1372-Standard-Selfeed/dp/B000F6V0O4/ref=sr_1_3?keywords=Milwaukee+48-25-2562+2-9%2F16%22+Selfeed+Wood+Bit&amp;qid=1694735416&amp;sr=8-3", "https://www.amazon.com/MILWAUKEE-GIDDS2-288392-48-25-1372-Standard-Selfeed/dp/B000F6V0O4/ref=sr_1_3?keywords=Milwaukee+48-25-2562+2-9%2F16%22+Selfeed+Wood+Bit&amp;qid=1694735416&amp;sr=8-3")</f>
        <v/>
      </c>
      <c r="F7010" t="inlineStr">
        <is>
          <t>B000F6V0O4</t>
        </is>
      </c>
      <c r="G7010">
        <f>_xludf.IMAGE("https://edmondsonsupply.com/cdn/shop/products/milwaukee-auger-bits-48-25-2562-64_1000.jpg?v=1587149013")</f>
        <v/>
      </c>
      <c r="H7010">
        <f>_xludf.IMAGE("https://m.media-amazon.com/images/I/41pjsh1VxIL._AC_UL320_.jpg")</f>
        <v/>
      </c>
      <c r="K7010" t="inlineStr">
        <is>
          <t>33.8</t>
        </is>
      </c>
      <c r="L7010" t="n">
        <v>24.99</v>
      </c>
      <c r="M7010" s="1" t="inlineStr">
        <is>
          <t>-26.07%</t>
        </is>
      </c>
      <c r="N7010" s="1" t="n"/>
      <c r="O7010" t="n">
        <v>4</v>
      </c>
      <c r="P7010" t="n">
        <v>5</v>
      </c>
      <c r="R7010" t="inlineStr">
        <is>
          <t>InStock</t>
        </is>
      </c>
      <c r="S7010" t="inlineStr">
        <is>
          <t>57.7</t>
        </is>
      </c>
      <c r="T7010" t="inlineStr">
        <is>
          <t>4364942344292</t>
        </is>
      </c>
    </row>
    <row r="7011" ht="87" customHeight="1">
      <c r="A7011" s="2">
        <f>HYPERLINK("https://edmondsonsupply.com/collections/electricians-tools/products/crescent-wiss-m7p-9-1-4-offset-straight-and-right-cut-aviation-snips", "https://edmondsonsupply.com/collections/electricians-tools/products/crescent-wiss-m7p-9-1-4-offset-straight-and-right-cut-aviation-snips")</f>
        <v/>
      </c>
      <c r="B7011" s="2">
        <f>HYPERLINK("https://edmondsonsupply.com/products/crescent-wiss-m7p-9-1-4-offset-straight-and-right-cut-aviation-snips", "https://edmondsonsupply.com/products/crescent-wiss-m7p-9-1-4-offset-straight-and-right-cut-aviation-snips")</f>
        <v/>
      </c>
      <c r="C7011" t="inlineStr">
        <is>
          <t>Crescent Wiss M7P 9-1/4" Offset Straight and Right Cut Aviation Snips</t>
        </is>
      </c>
      <c r="D7011" t="inlineStr">
        <is>
          <t>Crescent Wiss 9-1/4" Metalmaster Offset Straight and Right Cut Aviation Snips - M7R, Green</t>
        </is>
      </c>
      <c r="E7011" s="2">
        <f>HYPERLINK("https://www.amazon.com/M7R-Metalmaster-Offset-Snips-Straight/dp/B00002N5LS/ref=sr_1_1?keywords=Crescent+Wiss+M7P+9-1%2F4%22+Offset+Straight+and+Right+Cut+Aviation+Snips&amp;qid=1694735008&amp;sr=8-1", "https://www.amazon.com/M7R-Metalmaster-Offset-Snips-Straight/dp/B00002N5LS/ref=sr_1_1?keywords=Crescent+Wiss+M7P+9-1%2F4%22+Offset+Straight+and+Right+Cut+Aviation+Snips&amp;qid=1694735008&amp;sr=8-1")</f>
        <v/>
      </c>
      <c r="F7011" t="inlineStr">
        <is>
          <t>B00002N5LS</t>
        </is>
      </c>
      <c r="G7011">
        <f>_xlfn.IMAGE("https://edmondsonsupply.com/cdn/shop/products/WIS_M7P_IMG_ANG_01.jpg?v=1679669941")</f>
        <v/>
      </c>
      <c r="H7011">
        <f>_xlfn.IMAGE("https://m.media-amazon.com/images/I/518irscT5TL._AC_UL320_.jpg")</f>
        <v/>
      </c>
      <c r="K7011" t="inlineStr">
        <is>
          <t>22.99</t>
        </is>
      </c>
      <c r="L7011" t="n">
        <v>16.99</v>
      </c>
      <c r="M7011" s="1" t="inlineStr">
        <is>
          <t>-26.10%</t>
        </is>
      </c>
      <c r="N7011" s="7" t="n"/>
      <c r="O7011" t="n">
        <v>4.4</v>
      </c>
      <c r="P7011" t="n">
        <v>1394</v>
      </c>
      <c r="R7011" t="inlineStr">
        <is>
          <t>InStock</t>
        </is>
      </c>
      <c r="S7011" t="inlineStr">
        <is>
          <t>41.64</t>
        </is>
      </c>
      <c r="T7011" t="inlineStr">
        <is>
          <t>7966220681432</t>
        </is>
      </c>
    </row>
    <row r="7012" ht="87" customHeight="1">
      <c r="A7012" s="2">
        <f>HYPERLINK("https://edmondsonsupply.com/collections/electricians-tools/products/crescent-wiss-9-1-4-offset-straight-and-left-cut-aviation-snips", "https://edmondsonsupply.com/collections/electricians-tools/products/crescent-wiss-9-1-4-offset-straight-and-left-cut-aviation-snips")</f>
        <v/>
      </c>
      <c r="B7012" s="2">
        <f>HYPERLINK("https://edmondsonsupply.com/products/crescent-wiss-9-1-4-offset-straight-and-left-cut-aviation-snips", "https://edmondsonsupply.com/products/crescent-wiss-9-1-4-offset-straight-and-left-cut-aviation-snips")</f>
        <v/>
      </c>
      <c r="C7012" t="inlineStr">
        <is>
          <t>Crescent Wiss M6P 9-1/4" Offset Straight and Left Cut Aviation Snips</t>
        </is>
      </c>
      <c r="D7012" t="inlineStr">
        <is>
          <t>Crescent Wiss 9-1/4" Metalmaster Offset Straight and Left Cut Aviation Snips - M6R , Red</t>
        </is>
      </c>
      <c r="E7012" s="2">
        <f>HYPERLINK("https://www.amazon.com/Crescent-Wiss-Metalmaster-Straight-Aviation/dp/B00002N5LR/ref=sr_1_1?keywords=Crescent+Wiss+M6P+9-1%2F4%22+Offset+Straight+and+Left+Cut+Aviation+Snips&amp;qid=1694735010&amp;sr=8-1", "https://www.amazon.com/Crescent-Wiss-Metalmaster-Straight-Aviation/dp/B00002N5LR/ref=sr_1_1?keywords=Crescent+Wiss+M6P+9-1%2F4%22+Offset+Straight+and+Left+Cut+Aviation+Snips&amp;qid=1694735010&amp;sr=8-1")</f>
        <v/>
      </c>
      <c r="F7012" t="inlineStr">
        <is>
          <t>B00002N5LR</t>
        </is>
      </c>
      <c r="G7012">
        <f>_xlfn.IMAGE("https://edmondsonsupply.com/cdn/shop/products/WIS_M6P_IMG_MAIN_01.jpg?v=1679497499")</f>
        <v/>
      </c>
      <c r="H7012">
        <f>_xlfn.IMAGE("https://m.media-amazon.com/images/I/61io0Fw3DRL._AC_UL320_.jpg")</f>
        <v/>
      </c>
      <c r="K7012" t="inlineStr">
        <is>
          <t>22.99</t>
        </is>
      </c>
      <c r="L7012" t="n">
        <v>16.99</v>
      </c>
      <c r="M7012" s="1" t="inlineStr">
        <is>
          <t>-26.10%</t>
        </is>
      </c>
      <c r="N7012" s="7" t="n"/>
      <c r="O7012" t="n">
        <v>4.4</v>
      </c>
      <c r="P7012" t="n">
        <v>1394</v>
      </c>
      <c r="R7012" t="inlineStr">
        <is>
          <t>InStock</t>
        </is>
      </c>
      <c r="S7012" t="inlineStr">
        <is>
          <t>41.64</t>
        </is>
      </c>
      <c r="T7012" t="inlineStr">
        <is>
          <t>7965651960024</t>
        </is>
      </c>
    </row>
    <row r="7013" ht="87" customHeight="1">
      <c r="A7013" s="2">
        <f>HYPERLINK("https://edmondsonsupply.com/collections/electricians-tools/products/crescent-wiss-m8p-9-4-5-offset-straight-left-and-right-cut-aviation-snips", "https://edmondsonsupply.com/collections/electricians-tools/products/crescent-wiss-m8p-9-4-5-offset-straight-left-and-right-cut-aviation-snips")</f>
        <v/>
      </c>
      <c r="B7013" s="2">
        <f>HYPERLINK("https://edmondsonsupply.com/products/crescent-wiss-m8p-9-4-5-offset-straight-left-and-right-cut-aviation-snips", "https://edmondsonsupply.com/products/crescent-wiss-m8p-9-4-5-offset-straight-left-and-right-cut-aviation-snips")</f>
        <v/>
      </c>
      <c r="C7013" t="inlineStr">
        <is>
          <t>Crescent Wiss M8P 9-4/5" Offset Straight, Left and Right Cut Aviation Snips</t>
        </is>
      </c>
      <c r="D7013" t="inlineStr">
        <is>
          <t>Crescent Wiss 9-1/4" Metalmaster Offset Straight and Right Cut Aviation Snips - M7R, Green</t>
        </is>
      </c>
      <c r="E7013" s="2">
        <f>HYPERLINK("https://www.amazon.com/M7R-Metalmaster-Offset-Snips-Straight/dp/B00002N5LS/ref=sr_1_2?keywords=Crescent+Wiss+M8P+9-4%2F5%22+Offset+Straight%2C+Left+and+Right+Cut+Aviation+Snips&amp;qid=1694735009&amp;sr=8-2", "https://www.amazon.com/M7R-Metalmaster-Offset-Snips-Straight/dp/B00002N5LS/ref=sr_1_2?keywords=Crescent+Wiss+M8P+9-4%2F5%22+Offset+Straight%2C+Left+and+Right+Cut+Aviation+Snips&amp;qid=1694735009&amp;sr=8-2")</f>
        <v/>
      </c>
      <c r="F7013" t="inlineStr">
        <is>
          <t>B00002N5LS</t>
        </is>
      </c>
      <c r="G7013">
        <f>_xlfn.IMAGE("https://edmondsonsupply.com/cdn/shop/products/WIS_M8P_IMG_ANG_01.jpg?v=1679676030")</f>
        <v/>
      </c>
      <c r="H7013">
        <f>_xlfn.IMAGE("https://m.media-amazon.com/images/I/518irscT5TL._AC_UL320_.jpg")</f>
        <v/>
      </c>
      <c r="K7013" t="inlineStr">
        <is>
          <t>22.99</t>
        </is>
      </c>
      <c r="L7013" t="n">
        <v>16.99</v>
      </c>
      <c r="M7013" s="1" t="inlineStr">
        <is>
          <t>-26.10%</t>
        </is>
      </c>
      <c r="N7013" s="7" t="n"/>
      <c r="O7013" t="n">
        <v>4.4</v>
      </c>
      <c r="P7013" t="n">
        <v>1394</v>
      </c>
      <c r="R7013" t="inlineStr">
        <is>
          <t>InStock</t>
        </is>
      </c>
      <c r="S7013" t="inlineStr">
        <is>
          <t>41.64</t>
        </is>
      </c>
      <c r="T7013" t="inlineStr">
        <is>
          <t>7966309351640</t>
        </is>
      </c>
    </row>
    <row r="7014" hidden="1" ht="15.75" customHeight="1">
      <c r="A7014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7014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7014" t="inlineStr">
        <is>
          <t>Diablo Tools DMARG1160 1/2 in. x 10 in. x 12 in. SPEEDemon™ Red Granite Carbide Tipped Hammer Drill Bit</t>
        </is>
      </c>
      <c r="D7014" t="inlineStr">
        <is>
          <t>Diablo 1/4" x 10" x 12" SPEEDemon Red Granite Carbide Tipped Hammer Drill Bit</t>
        </is>
      </c>
      <c r="E7014" s="2">
        <f>HYPERLINK("https://www.amazon.com/Diablo-DMARG1090-SPEEDemon-Granite-Carbide/dp/B089LN6CXM/ref=sr_1_3?keywords=Diablo+Tools+DMARG1160+1%2F2+in.+x+10+in.+x+12+in.+SPEEDemon%E2%84%A2+Red+Granite+Carbide+Tipped+Hammer+Drill+Bit&amp;qid=1694735262&amp;sr=8-3", "https://www.amazon.com/Diablo-DMARG1090-SPEEDemon-Granite-Carbide/dp/B089LN6CXM/ref=sr_1_3?keywords=Diablo+Tools+DMARG1160+1%2F2+in.+x+10+in.+x+12+in.+SPEEDemon%E2%84%A2+Red+Granite+Carbide+Tipped+Hammer+Drill+Bit&amp;qid=1694735262&amp;sr=8-3")</f>
        <v/>
      </c>
      <c r="F7014" t="inlineStr">
        <is>
          <t>B089LN6CXM</t>
        </is>
      </c>
      <c r="G7014">
        <f>_xludf.IMAGE("https://edmondsonsupply.com/cdn/shop/products/DMARG1160_Main-Image20200513.png?v=1633030651")</f>
        <v/>
      </c>
      <c r="H7014">
        <f>_xludf.IMAGE("https://m.media-amazon.com/images/I/610znz4HM6L._AC_UL320_.jpg")</f>
        <v/>
      </c>
      <c r="K7014" t="inlineStr">
        <is>
          <t>15.97</t>
        </is>
      </c>
      <c r="L7014" t="n">
        <v>11.79</v>
      </c>
      <c r="M7014" s="1" t="inlineStr">
        <is>
          <t>-26.17%</t>
        </is>
      </c>
      <c r="N7014" s="1" t="n"/>
      <c r="O7014" t="n">
        <v>4.5</v>
      </c>
      <c r="P7014" t="n">
        <v>11</v>
      </c>
      <c r="R7014" t="inlineStr">
        <is>
          <t>InStock</t>
        </is>
      </c>
      <c r="S7014" t="inlineStr">
        <is>
          <t>undefined</t>
        </is>
      </c>
      <c r="T7014" t="inlineStr">
        <is>
          <t>5740401164456</t>
        </is>
      </c>
    </row>
    <row r="7015" ht="87" customHeight="1">
      <c r="A7015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7015" s="2">
        <f>HYPERLINK("https://edmondsonsupply.com/products/klein-tools-ir5-dual-laser-infrared-thermometer", "https://edmondsonsupply.com/products/klein-tools-ir5-dual-laser-infrared-thermometer")</f>
        <v/>
      </c>
      <c r="C7015" t="inlineStr">
        <is>
          <t>Klein Tools IR5 Dual Laser Infrared Thermometer</t>
        </is>
      </c>
      <c r="D7015" t="inlineStr">
        <is>
          <t>Klein Tools IR1 Infrared Thermometer, Digital Laser Gun is Non-Contact Thermometer with a Temperature Range -4 to 752-Degree Fahrenheit &amp; ET05 Digital Pocket Thermometer</t>
        </is>
      </c>
      <c r="E7015" s="2">
        <f>HYPERLINK("https://www.amazon.com/Klein-Tools-Thermometer-Non-Contact-Temperature/dp/B0BC88SF8V/ref=sr_1_8?keywords=Klein+Tools+IR5+Dual+Laser+Infrared+Thermometer&amp;qid=1694735248&amp;sr=8-8", "https://www.amazon.com/Klein-Tools-Thermometer-Non-Contact-Temperature/dp/B0BC88SF8V/ref=sr_1_8?keywords=Klein+Tools+IR5+Dual+Laser+Infrared+Thermometer&amp;qid=1694735248&amp;sr=8-8")</f>
        <v/>
      </c>
      <c r="F7015" t="inlineStr">
        <is>
          <t>B0BC88SF8V</t>
        </is>
      </c>
      <c r="G7015">
        <f>_xlfn.IMAGE("https://edmondsonsupply.com/cdn/shop/products/ir5.jpg?v=1587148495")</f>
        <v/>
      </c>
      <c r="H7015">
        <f>_xlfn.IMAGE("https://m.media-amazon.com/images/I/41SkeuD-HkL._AC_UY218_.jpg")</f>
        <v/>
      </c>
      <c r="K7015" t="inlineStr">
        <is>
          <t>64.97</t>
        </is>
      </c>
      <c r="L7015" t="n">
        <v>47.96</v>
      </c>
      <c r="M7015" s="1" t="inlineStr">
        <is>
          <t>-26.18%</t>
        </is>
      </c>
      <c r="N7015" s="7" t="n"/>
      <c r="O7015" t="n">
        <v>5</v>
      </c>
      <c r="P7015" t="n">
        <v>4</v>
      </c>
      <c r="R7015" t="inlineStr">
        <is>
          <t>InStock</t>
        </is>
      </c>
      <c r="S7015" t="inlineStr">
        <is>
          <t>80.92</t>
        </is>
      </c>
      <c r="T7015" t="inlineStr">
        <is>
          <t>4385570160740</t>
        </is>
      </c>
    </row>
    <row r="7016" hidden="1" ht="15.75" customHeight="1">
      <c r="A7016" s="2">
        <f>HYPERLINK("https://edmondsonsupply.com/collections/electricians-tools/products/fluke-80pk-1-bead-probe", "https://edmondsonsupply.com/collections/electricians-tools/products/fluke-80pk-1-bead-probe")</f>
        <v/>
      </c>
      <c r="B7016" s="2">
        <f>HYPERLINK("https://edmondsonsupply.com/products/fluke-80pk-1-bead-probe", "https://edmondsonsupply.com/products/fluke-80pk-1-bead-probe")</f>
        <v/>
      </c>
      <c r="C7016" t="inlineStr">
        <is>
          <t>Fluke 80PK-1 Bead Probe</t>
        </is>
      </c>
      <c r="D7016" t="inlineStr">
        <is>
          <t>Fluke 80PJ-1 Bead Probe</t>
        </is>
      </c>
      <c r="E7016" s="2">
        <f>HYPERLINK("https://www.amazon.com/Fluke-80PJ-1-Bead-Probe/dp/B000VRHCL2/ref=sr_1_6?keywords=Fluke+80PK-1+Bead+Probe&amp;qid=1694735184&amp;sr=8-6", "https://www.amazon.com/Fluke-80PJ-1-Bead-Probe/dp/B000VRHCL2/ref=sr_1_6?keywords=Fluke+80PK-1+Bead+Probe&amp;qid=1694735184&amp;sr=8-6")</f>
        <v/>
      </c>
      <c r="F7016" t="inlineStr">
        <is>
          <t>B000VRHCL2</t>
        </is>
      </c>
      <c r="G7016">
        <f>_xludf.IMAGE("https://edmondsonsupply.com/cdn/shop/products/80pk-1a.png?v=1633466414")</f>
        <v/>
      </c>
      <c r="H7016">
        <f>_xludf.IMAGE("https://m.media-amazon.com/images/I/514RPwm50eL._AC_UY218_.jpg")</f>
        <v/>
      </c>
      <c r="K7016" t="inlineStr">
        <is>
          <t>56.99</t>
        </is>
      </c>
      <c r="L7016" t="n">
        <v>41.99</v>
      </c>
      <c r="M7016" s="1" t="inlineStr">
        <is>
          <t>-26.32%</t>
        </is>
      </c>
      <c r="N7016" s="1" t="n"/>
      <c r="O7016" t="n">
        <v>4</v>
      </c>
      <c r="P7016" t="n">
        <v>1</v>
      </c>
      <c r="R7016" t="inlineStr">
        <is>
          <t>InStock</t>
        </is>
      </c>
      <c r="S7016" t="inlineStr">
        <is>
          <t>59.99</t>
        </is>
      </c>
      <c r="T7016" t="inlineStr">
        <is>
          <t>6995087130797</t>
        </is>
      </c>
    </row>
    <row r="7017" ht="87" customHeight="1">
      <c r="A7017" s="2">
        <f>HYPERLINK("https://edmondsonsupply.com/collections/electricians-tools/products/klein-tools-d509-8-adjustable-wrench-extra-wide-jaw-8-inch", "https://edmondsonsupply.com/collections/electricians-tools/products/klein-tools-d509-8-adjustable-wrench-extra-wide-jaw-8-inch")</f>
        <v/>
      </c>
      <c r="B7017" s="2">
        <f>HYPERLINK("https://edmondsonsupply.com/products/klein-tools-d509-8-adjustable-wrench-extra-wide-jaw-8-inch", "https://edmondsonsupply.com/products/klein-tools-d509-8-adjustable-wrench-extra-wide-jaw-8-inch")</f>
        <v/>
      </c>
      <c r="C7017" t="inlineStr">
        <is>
          <t>Klein Tools D509-8 Adjustable Wrench, Extra-Wide Jaw, 8-Inch</t>
        </is>
      </c>
      <c r="D7017" t="inlineStr">
        <is>
          <t>Klein Tools 507-8 Adjustable Wrench, Extra Capacity Jaw Forged Drive Wrench with High Polish Chrome Finish, 8-Inch</t>
        </is>
      </c>
      <c r="E7017" s="2">
        <f>HYPERLINK("https://www.amazon.com/Adjustable-Extra-Capacity-Klein-Tools-507-8/dp/B0002RI5SA/ref=sr_1_2?keywords=Klein+Tools+D509-8+Adjustable+Wrench%2C+Extra-Wide+Jaw%2C+8-Inch&amp;qid=1694735250&amp;sr=8-2", "https://www.amazon.com/Adjustable-Extra-Capacity-Klein-Tools-507-8/dp/B0002RI5SA/ref=sr_1_2?keywords=Klein+Tools+D509-8+Adjustable+Wrench%2C+Extra-Wide+Jaw%2C+8-Inch&amp;qid=1694735250&amp;sr=8-2")</f>
        <v/>
      </c>
      <c r="F7017" t="inlineStr">
        <is>
          <t>B0002RI5SA</t>
        </is>
      </c>
      <c r="G7017">
        <f>_xlfn.IMAGE("https://edmondsonsupply.com/cdn/shop/products/d5098_b.jpg?v=1666363753")</f>
        <v/>
      </c>
      <c r="H7017">
        <f>_xlfn.IMAGE("https://m.media-amazon.com/images/I/51neMDEiFVL._AC_UL320_.jpg")</f>
        <v/>
      </c>
      <c r="K7017" t="inlineStr">
        <is>
          <t>37.97</t>
        </is>
      </c>
      <c r="L7017" t="n">
        <v>27.95</v>
      </c>
      <c r="M7017" s="1" t="inlineStr">
        <is>
          <t>-26.39%</t>
        </is>
      </c>
      <c r="N7017" s="7" t="n"/>
      <c r="O7017" t="n">
        <v>4.3</v>
      </c>
      <c r="P7017" t="n">
        <v>26</v>
      </c>
      <c r="R7017" t="inlineStr">
        <is>
          <t>InStock</t>
        </is>
      </c>
      <c r="S7017" t="inlineStr">
        <is>
          <t>52.86</t>
        </is>
      </c>
      <c r="T7017" t="inlineStr">
        <is>
          <t>5822683513000</t>
        </is>
      </c>
    </row>
    <row r="7018" ht="87" customHeight="1">
      <c r="A7018" s="2">
        <f>HYPERLINK("https://edmondsonsupply.com/collections/electricians-tools/products/fluke-indc8", "https://edmondsonsupply.com/collections/electricians-tools/products/fluke-indc8")</f>
        <v/>
      </c>
      <c r="B7018" s="2">
        <f>HYPERLINK("https://edmondsonsupply.com/products/fluke-indc8", "https://edmondsonsupply.com/products/fluke-indc8")</f>
        <v/>
      </c>
      <c r="C7018" t="inlineStr">
        <is>
          <t>Fluke INDC8 Insulated High Leverage Diagonal Cutter</t>
        </is>
      </c>
      <c r="D7018" t="inlineStr">
        <is>
          <t>KNIPEX - 74 08 250 US Tools - High Leverage Diagonal Cutters, 1000V Insulated (7408250US)</t>
        </is>
      </c>
      <c r="E7018" s="2">
        <f>HYPERLINK("https://www.amazon.com/KNIPEX-74-08-250-US/dp/B005EXOB26/ref=sr_1_4?keywords=Fluke+INDC8+Insulated+High+Leverage+Diagonal+Cutter&amp;qid=1694735326&amp;sr=8-4", "https://www.amazon.com/KNIPEX-74-08-250-US/dp/B005EXOB26/ref=sr_1_4?keywords=Fluke+INDC8+Insulated+High+Leverage+Diagonal+Cutter&amp;qid=1694735326&amp;sr=8-4")</f>
        <v/>
      </c>
      <c r="F7018" t="inlineStr">
        <is>
          <t>B005EXOB26</t>
        </is>
      </c>
      <c r="G7018">
        <f>_xlfn.IMAGE("https://edmondsonsupply.com/cdn/shop/products/indc8-1.jpg?v=1588886196")</f>
        <v/>
      </c>
      <c r="H7018">
        <f>_xlfn.IMAGE("https://m.media-amazon.com/images/I/516DgK1rFML._AC_UL320_.jpg")</f>
        <v/>
      </c>
      <c r="K7018" t="inlineStr">
        <is>
          <t>71.99</t>
        </is>
      </c>
      <c r="L7018" t="n">
        <v>52.99</v>
      </c>
      <c r="M7018" s="1" t="inlineStr">
        <is>
          <t>-26.39%</t>
        </is>
      </c>
      <c r="N7018" s="7" t="n"/>
      <c r="O7018" t="n">
        <v>4.8</v>
      </c>
      <c r="P7018" t="n">
        <v>53</v>
      </c>
      <c r="R7018" t="inlineStr">
        <is>
          <t>OutOfStock</t>
        </is>
      </c>
      <c r="S7018" t="inlineStr">
        <is>
          <t>79.99</t>
        </is>
      </c>
      <c r="T7018" t="inlineStr">
        <is>
          <t>4625639571556</t>
        </is>
      </c>
    </row>
    <row r="7019" hidden="1" ht="15.75" customHeight="1">
      <c r="A7019" s="2">
        <f>HYPERLINK("https://edmondsonsupply.com/collections/electricians-tools/products/klein-tools-jth9m8-8-mm-hex-key-journeyman%E2%84%A2-t-handle-9-inch", "https://edmondsonsupply.com/collections/electricians-tools/products/klein-tools-jth9m8-8-mm-hex-key-journeyman%E2%84%A2-t-handle-9-inch")</f>
        <v/>
      </c>
      <c r="B7019" s="2">
        <f>HYPERLINK("https://edmondsonsupply.com/products/klein-tools-jth9m8-8-mm-hex-key-journeyman%e2%84%a2-t-handle-9-inch", "https://edmondsonsupply.com/products/klein-tools-jth9m8-8-mm-hex-key-journeyman%e2%84%a2-t-handle-9-inch")</f>
        <v/>
      </c>
      <c r="C7019" t="inlineStr">
        <is>
          <t>Klein Tools JTH9M8 8 mm Hex Key, Journeyman™ T-Handle, 9-Inch</t>
        </is>
      </c>
      <c r="D7019" t="inlineStr">
        <is>
          <t>Klein Tools JTH9M3 3 mm Hex Key, Journeyman T-Handle, 9-Inch</t>
        </is>
      </c>
      <c r="E7019" s="2">
        <f>HYPERLINK("https://www.amazon.com/Journeyman-T-Handle-Klein-Tools-JTH9M3/dp/B005G3HJ28/ref=sr_1_6?keywords=Klein+Tools+JTH9M8+8+mm+Hex+Key%2C+Journeyman%E2%84%A2+T-Handle%2C+9-Inch&amp;qid=1694735127&amp;sr=8-6", "https://www.amazon.com/Journeyman-T-Handle-Klein-Tools-JTH9M3/dp/B005G3HJ28/ref=sr_1_6?keywords=Klein+Tools+JTH9M8+8+mm+Hex+Key%2C+Journeyman%E2%84%A2+T-Handle%2C+9-Inch&amp;qid=1694735127&amp;sr=8-6")</f>
        <v/>
      </c>
      <c r="F7019" t="inlineStr">
        <is>
          <t>B005G3HJ28</t>
        </is>
      </c>
      <c r="G7019">
        <f>_xludf.IMAGE("https://edmondsonsupply.com/cdn/shop/products/jth6m8_03ba3d30-ff38-4b9e-93e7-b0fc6da199d0.jpg?v=1662658324")</f>
        <v/>
      </c>
      <c r="H7019">
        <f>_xludf.IMAGE("https://m.media-amazon.com/images/I/51MZtGjDOtL._AC_UL320_.jpg")</f>
        <v/>
      </c>
      <c r="K7019" t="inlineStr">
        <is>
          <t>7.99</t>
        </is>
      </c>
      <c r="L7019" t="n">
        <v>5.88</v>
      </c>
      <c r="M7019" s="1" t="inlineStr">
        <is>
          <t>-26.41%</t>
        </is>
      </c>
      <c r="N7019" s="1" t="n"/>
      <c r="O7019" t="n">
        <v>4.6</v>
      </c>
      <c r="P7019" t="n">
        <v>179</v>
      </c>
      <c r="R7019" t="inlineStr">
        <is>
          <t>InStock</t>
        </is>
      </c>
      <c r="S7019" t="inlineStr">
        <is>
          <t>12.1</t>
        </is>
      </c>
      <c r="T7019" t="inlineStr">
        <is>
          <t>7809334018264</t>
        </is>
      </c>
    </row>
    <row r="7020" ht="87" customHeight="1">
      <c r="A7020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7020" s="2">
        <f>HYPERLINK("https://edmondsonsupply.com/products/fluke-179-true-rms-digital-multimeter", "https://edmondsonsupply.com/products/fluke-179-true-rms-digital-multimeter")</f>
        <v/>
      </c>
      <c r="C7020" t="inlineStr">
        <is>
          <t>Fluke 179 True-RMS Digital Multimeter</t>
        </is>
      </c>
      <c r="D7020" t="inlineStr">
        <is>
          <t>Fluke - 2538790CAL 115 Compact True-RMS Digital Multimeter with a NIST-Traceable Calibration Certificate with Data</t>
        </is>
      </c>
      <c r="E7020" s="2">
        <f>HYPERLINK("https://www.amazon.com/Fluke-Multimeter-NIST-Traceable-Calibration-Certificate/dp/B01CFXHZ8Y/ref=sr_1_23?keywords=Fluke+179+True-RMS+Digital+Multimeter&amp;qid=1694735225&amp;sr=8-23", "https://www.amazon.com/Fluke-Multimeter-NIST-Traceable-Calibration-Certificate/dp/B01CFXHZ8Y/ref=sr_1_23?keywords=Fluke+179+True-RMS+Digital+Multimeter&amp;qid=1694735225&amp;sr=8-23")</f>
        <v/>
      </c>
      <c r="F7020" t="inlineStr">
        <is>
          <t>B01CFXHZ8Y</t>
        </is>
      </c>
      <c r="G7020">
        <f>_xlfn.IMAGE("https://edmondsonsupply.com/cdn/shop/products/e0021116_431x600_31fa1fdc-90ee-45e4-8560-4be681a24cfe.jpg?v=1633030926")</f>
        <v/>
      </c>
      <c r="H7020">
        <f>_xlfn.IMAGE("https://m.media-amazon.com/images/I/61GYU-kHFxL._AC_UL320_.jpg")</f>
        <v/>
      </c>
      <c r="K7020" t="inlineStr">
        <is>
          <t>394.19</t>
        </is>
      </c>
      <c r="L7020" t="n">
        <v>289.99</v>
      </c>
      <c r="M7020" s="1" t="inlineStr">
        <is>
          <t>-26.43%</t>
        </is>
      </c>
      <c r="N7020" s="7" t="n"/>
      <c r="O7020" t="n">
        <v>4.4</v>
      </c>
      <c r="P7020" t="n">
        <v>25</v>
      </c>
      <c r="R7020" t="inlineStr">
        <is>
          <t>OutOfStock</t>
        </is>
      </c>
      <c r="S7020" t="inlineStr">
        <is>
          <t>437.99</t>
        </is>
      </c>
      <c r="T7020" t="inlineStr">
        <is>
          <t>6544506060973</t>
        </is>
      </c>
    </row>
    <row r="7021" hidden="1" ht="15.75" customHeight="1">
      <c r="A7021" s="2">
        <f>HYPERLINK("https://edmondsonsupply.com/collections/electricians-tools/products/milwaukee-2953-22-m18-fuel%E2%84%A2-1-4-hex-impact-driver-kit", "https://edmondsonsupply.com/collections/electricians-tools/products/milwaukee-2953-22-m18-fuel%E2%84%A2-1-4-hex-impact-driver-kit")</f>
        <v/>
      </c>
      <c r="B7021" s="2">
        <f>HYPERLINK("https://edmondsonsupply.com/products/milwaukee-2953-22-m18-fuel%e2%84%a2-1-4-hex-impact-driver-kit", "https://edmondsonsupply.com/products/milwaukee-2953-22-m18-fuel%e2%84%a2-1-4-hex-impact-driver-kit")</f>
        <v/>
      </c>
      <c r="C7021" t="inlineStr">
        <is>
          <t>Milwaukee 2953-22 M18 FUEL™ 1/4" Hex Impact Driver Kit</t>
        </is>
      </c>
      <c r="D7021" t="inlineStr">
        <is>
          <t>Milwaukee 2760-22CT M18 FUEL SURGE 1/4" Hex Hydraulic Driver Kit</t>
        </is>
      </c>
      <c r="E7021" s="2">
        <f>HYPERLINK("https://www.amazon.com/Milwaukee-2760-22CT-SURGE-Hydraulic-Driver/dp/B07G9HDMFJ/ref=sr_1_12?keywords=Milwaukee+2953-22+M18+FUEL%E2%84%A2+1%2F4%22+Hex+Impact+Driver+Kit&amp;qid=1694735130&amp;sr=8-12", "https://www.amazon.com/Milwaukee-2760-22CT-SURGE-Hydraulic-Driver/dp/B07G9HDMFJ/ref=sr_1_12?keywords=Milwaukee+2953-22+M18+FUEL%E2%84%A2+1%2F4%22+Hex+Impact+Driver+Kit&amp;qid=1694735130&amp;sr=8-12")</f>
        <v/>
      </c>
      <c r="F7021" t="inlineStr">
        <is>
          <t>B07G9HDMFJ</t>
        </is>
      </c>
      <c r="G7021">
        <f>_xludf.IMAGE("https://edmondsonsupply.com/cdn/shop/products/29532022ImageReel2.webp?v=1663599746")</f>
        <v/>
      </c>
      <c r="H7021">
        <f>_xludf.IMAGE("https://m.media-amazon.com/images/I/61cIAc2Oa7L._AC_UL320_.jpg")</f>
        <v/>
      </c>
      <c r="K7021" t="inlineStr">
        <is>
          <t>299.0</t>
        </is>
      </c>
      <c r="L7021" t="n">
        <v>219.88</v>
      </c>
      <c r="M7021" s="1" t="inlineStr">
        <is>
          <t>-26.46%</t>
        </is>
      </c>
      <c r="N7021" s="1" t="n"/>
      <c r="O7021" t="n">
        <v>4</v>
      </c>
      <c r="P7021" t="n">
        <v>1</v>
      </c>
      <c r="R7021" t="inlineStr">
        <is>
          <t>InStock</t>
        </is>
      </c>
      <c r="S7021" t="inlineStr">
        <is>
          <t>556.0</t>
        </is>
      </c>
      <c r="T7021" t="inlineStr">
        <is>
          <t>7822930870488</t>
        </is>
      </c>
    </row>
    <row r="7022" hidden="1" ht="15.75" customHeight="1">
      <c r="A7022" s="2">
        <f>HYPERLINK("https://edmondsonsupply.com/collections/electricians-tools/products/reed-mfg-dhr12-1-1-2npt-r12-drophead-1-1-2-npt", "https://edmondsonsupply.com/collections/electricians-tools/products/reed-mfg-dhr12-1-1-2npt-r12-drophead-1-1-2-npt")</f>
        <v/>
      </c>
      <c r="B7022" s="2">
        <f>HYPERLINK("https://edmondsonsupply.com/products/reed-mfg-dhr12-1-1-2npt-r12-drophead-1-1-2-npt", "https://edmondsonsupply.com/products/reed-mfg-dhr12-1-1-2npt-r12-drophead-1-1-2-npt")</f>
        <v/>
      </c>
      <c r="C7022" t="inlineStr">
        <is>
          <t>Reed Mfg DHR12 1 1/2NPT R12+ Drophead, 1-1/2" NPT</t>
        </is>
      </c>
      <c r="D7022" t="inlineStr">
        <is>
          <t>Reed Tool DHR12 3/4NPT R12+ Drophead, 3/4-Inch NPT</t>
        </is>
      </c>
      <c r="E7022" s="2">
        <f>HYPERLINK("https://www.amazon.com/Reed-Tool-DHR12-4NPT-Drophead/dp/B000ZH6R3M/ref=sr_1_fkmr1_1?keywords=Reed+Mfg+DHR12+1+1%2F2NPT+R12%2B+Drophead%2C+1-1%2F2%22+NPT&amp;qid=1694735211&amp;sr=8-1-fkmr1", "https://www.amazon.com/Reed-Tool-DHR12-4NPT-Drophead/dp/B000ZH6R3M/ref=sr_1_fkmr1_1?keywords=Reed+Mfg+DHR12+1+1%2F2NPT+R12%2B+Drophead%2C+1-1%2F2%22+NPT&amp;qid=1694735211&amp;sr=8-1-fkmr1")</f>
        <v/>
      </c>
      <c r="F7022" t="inlineStr">
        <is>
          <t>B000ZH6R3M</t>
        </is>
      </c>
      <c r="G7022">
        <f>_xludf.IMAGE("https://edmondsonsupply.com/cdn/shop/products/57_1_43919434-23d1-4a38-ae34-862e7aaca453.jpg?v=1633031013")</f>
        <v/>
      </c>
      <c r="H7022">
        <f>_xludf.IMAGE("https://m.media-amazon.com/images/I/51I4FIWUu7L._AC_UY218_.jpg")</f>
        <v/>
      </c>
      <c r="K7022" t="inlineStr">
        <is>
          <t>170.7</t>
        </is>
      </c>
      <c r="L7022" t="n">
        <v>125.3</v>
      </c>
      <c r="M7022" s="1" t="inlineStr">
        <is>
          <t>-26.60%</t>
        </is>
      </c>
      <c r="N7022" s="1" t="n"/>
      <c r="O7022" t="n">
        <v>1</v>
      </c>
      <c r="P7022" t="n">
        <v>1</v>
      </c>
      <c r="R7022" t="inlineStr">
        <is>
          <t>InStock</t>
        </is>
      </c>
      <c r="S7022" t="inlineStr">
        <is>
          <t>197.46</t>
        </is>
      </c>
      <c r="T7022" t="inlineStr">
        <is>
          <t>6698100195501</t>
        </is>
      </c>
    </row>
    <row r="7023" ht="87" customHeight="1">
      <c r="A7023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7023" s="2">
        <f>HYPERLINK("https://edmondsonsupply.com/products/klein-tools-32510-magnetic-screwdriver-with-32-tamperproof-bits", "https://edmondsonsupply.com/products/klein-tools-32510-magnetic-screwdriver-with-32-tamperproof-bits")</f>
        <v/>
      </c>
      <c r="C7023" t="inlineStr">
        <is>
          <t>Klein Tools 32510 Magnetic Screwdriver with 32 Tamperproof Bits</t>
        </is>
      </c>
      <c r="D7023" t="inlineStr">
        <is>
          <t>Klein Tools 32525 Tamperproof Bit Set, 32-Piece, Magnetic, TORX, Hex, Spanner, TORQ, Triwing Screwdriver Bits</t>
        </is>
      </c>
      <c r="E7023" s="2">
        <f>HYPERLINK("https://www.amazon.com/Tamperproof-Screwdriver-Klein-Tools-32525/dp/B0015S4JRG/ref=sr_1_3?keywords=Klein+Tools+32510+Magnetic+Screwdriver+with+32+Tamperproof+Bits&amp;qid=1694735159&amp;sr=8-3", "https://www.amazon.com/Tamperproof-Screwdriver-Klein-Tools-32525/dp/B0015S4JRG/ref=sr_1_3?keywords=Klein+Tools+32510+Magnetic+Screwdriver+with+32+Tamperproof+Bits&amp;qid=1694735159&amp;sr=8-3")</f>
        <v/>
      </c>
      <c r="F7023" t="inlineStr">
        <is>
          <t>B0015S4JRG</t>
        </is>
      </c>
      <c r="G7023">
        <f>_xlfn.IMAGE("https://edmondsonsupply.com/cdn/shop/products/32510_alt2.jpg?v=1653267434")</f>
        <v/>
      </c>
      <c r="H7023">
        <f>_xlfn.IMAGE("https://m.media-amazon.com/images/I/61wuklUkIbL._AC_UL320_.jpg")</f>
        <v/>
      </c>
      <c r="K7023" t="inlineStr">
        <is>
          <t>29.97</t>
        </is>
      </c>
      <c r="L7023" t="n">
        <v>21.99</v>
      </c>
      <c r="M7023" s="1" t="inlineStr">
        <is>
          <t>-26.63%</t>
        </is>
      </c>
      <c r="N7023" s="7" t="n"/>
      <c r="O7023" t="n">
        <v>4.7</v>
      </c>
      <c r="P7023" t="n">
        <v>646</v>
      </c>
      <c r="R7023" t="inlineStr">
        <is>
          <t>InStock</t>
        </is>
      </c>
      <c r="S7023" t="inlineStr">
        <is>
          <t>43.88</t>
        </is>
      </c>
      <c r="T7023" t="inlineStr">
        <is>
          <t>7696117367000</t>
        </is>
      </c>
    </row>
    <row r="7024" ht="87" customHeight="1">
      <c r="A7024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024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024" t="inlineStr">
        <is>
          <t>Klein Tools 11055RINS Insulated Klein-Kurve® Wire Stripper and Cutter</t>
        </is>
      </c>
      <c r="D7024" t="inlineStr">
        <is>
          <t>Klein Tools 11061 Wire Stripper / Wire Cutter for Solid and Stranded AWG Wire, Heavy Duty Kleins are Self Adjusting,Blue/Black</t>
        </is>
      </c>
      <c r="E7024" s="2">
        <f>HYPERLINK("https://www.amazon.com/Self-Adjusting-Stripper-Klein-Tools-11061/dp/B00CXKOEQ6/ref=sr_1_19?keywords=Klein+Tools+11055RINS+Insulated+Klein-Kurve%C2%AE+Wire+Stripper+and+Cutter&amp;qid=1694735096&amp;sr=8-19", "https://www.amazon.com/Self-Adjusting-Stripper-Klein-Tools-11061/dp/B00CXKOEQ6/ref=sr_1_19?keywords=Klein+Tools+11055RINS+Insulated+Klein-Kurve%C2%AE+Wire+Stripper+and+Cutter&amp;qid=1694735096&amp;sr=8-19")</f>
        <v/>
      </c>
      <c r="F7024" t="inlineStr">
        <is>
          <t>B00CXKOEQ6</t>
        </is>
      </c>
      <c r="G7024">
        <f>_xlfn.IMAGE("https://edmondsonsupply.com/cdn/shop/products/11055rins.jpg?v=1667236979")</f>
        <v/>
      </c>
      <c r="H7024">
        <f>_xlfn.IMAGE("https://m.media-amazon.com/images/I/61nMz2jkNIL._AC_UL320_.jpg")</f>
        <v/>
      </c>
      <c r="K7024" t="inlineStr">
        <is>
          <t>29.97</t>
        </is>
      </c>
      <c r="L7024" t="n">
        <v>21.97</v>
      </c>
      <c r="M7024" s="1" t="inlineStr">
        <is>
          <t>-26.69%</t>
        </is>
      </c>
      <c r="N7024" s="7" t="n"/>
      <c r="O7024" t="n">
        <v>4.6</v>
      </c>
      <c r="P7024" t="n">
        <v>7723</v>
      </c>
      <c r="R7024" t="inlineStr">
        <is>
          <t>InStock</t>
        </is>
      </c>
      <c r="S7024" t="inlineStr">
        <is>
          <t>41.98</t>
        </is>
      </c>
      <c r="T7024" t="inlineStr">
        <is>
          <t>7871527813336</t>
        </is>
      </c>
    </row>
    <row r="7025" ht="87" customHeight="1">
      <c r="A7025" s="2">
        <f>HYPERLINK("https://edmondsonsupply.com/collections/electricians-tools/products/diablo-tools-dou275rcgp-2-3-4-in-universal-fit-carbide-oscillating-blade-for-general-purpose-cuts", "https://edmondsonsupply.com/collections/electricians-tools/products/diablo-tools-dou275rcgp-2-3-4-in-universal-fit-carbide-oscillating-blade-for-general-purpose-cuts")</f>
        <v/>
      </c>
      <c r="B7025" s="2">
        <f>HYPERLINK("https://edmondsonsupply.com/products/diablo-tools-dou275rcgp-2-3-4-in-universal-fit-carbide-oscillating-blade-for-general-purpose-cuts", "https://edmondsonsupply.com/products/diablo-tools-dou275rcgp-2-3-4-in-universal-fit-carbide-oscillating-blade-for-general-purpose-cuts")</f>
        <v/>
      </c>
      <c r="C7025" t="inlineStr">
        <is>
          <t>Diablo Tools DOU275RCGP 2-3/4 in. Universal Fit Carbide Oscillating Blade for General Purpose Cuts</t>
        </is>
      </c>
      <c r="D7025" t="inlineStr">
        <is>
          <t>Diablo 2-3/4" Universal Fit Carbide Oscillating Blade for General Purpose Cuts</t>
        </is>
      </c>
      <c r="E7025" s="2">
        <f>HYPERLINK("https://www.amazon.com/Diablo-Universal-Carbide-Oscillating-General/dp/B089LHJYGQ/ref=sr_1_1?keywords=Diablo+Tools+DOU275RCGP+2-3%2F4+in.+Universal+Fit+Carbide+Oscillating+Blade+for+General+Purpose+Cuts&amp;qid=1694734993&amp;sr=8-1", "https://www.amazon.com/Diablo-Universal-Carbide-Oscillating-General/dp/B089LHJYGQ/ref=sr_1_1?keywords=Diablo+Tools+DOU275RCGP+2-3%2F4+in.+Universal+Fit+Carbide+Oscillating+Blade+for+General+Purpose+Cuts&amp;qid=1694734993&amp;sr=8-1")</f>
        <v/>
      </c>
      <c r="F7025" t="inlineStr">
        <is>
          <t>B089LHJYGQ</t>
        </is>
      </c>
      <c r="G7025">
        <f>_xlfn.IMAGE("https://edmondsonsupply.com/cdn/shop/files/kukkli8nylq54bgtz0o5.webp?v=1685720266")</f>
        <v/>
      </c>
      <c r="H7025">
        <f>_xlfn.IMAGE("https://m.media-amazon.com/images/I/71wZoc77rAL._AC_UL320_.jpg")</f>
        <v/>
      </c>
      <c r="K7025" t="inlineStr">
        <is>
          <t>29.97</t>
        </is>
      </c>
      <c r="L7025" t="n">
        <v>21.95</v>
      </c>
      <c r="M7025" s="1" t="inlineStr">
        <is>
          <t>-26.76%</t>
        </is>
      </c>
      <c r="N7025" s="7" t="n"/>
      <c r="O7025" t="n">
        <v>4.5</v>
      </c>
      <c r="P7025" t="n">
        <v>30</v>
      </c>
      <c r="R7025" t="inlineStr">
        <is>
          <t>InStock</t>
        </is>
      </c>
      <c r="S7025" t="inlineStr">
        <is>
          <t>37.28</t>
        </is>
      </c>
      <c r="T7025" t="inlineStr">
        <is>
          <t>7999583125720</t>
        </is>
      </c>
    </row>
    <row r="7026" hidden="1" ht="15.75" customHeight="1">
      <c r="A7026" s="2">
        <f>HYPERLINK("https://edmondsonsupply.com/collections/electricians-tools/products/klein-tools-646-7-16-7-16-inch-nut-driver-6-inch-hollow-shaft", "https://edmondsonsupply.com/collections/electricians-tools/products/klein-tools-646-7-16-7-16-inch-nut-driver-6-inch-hollow-shaft")</f>
        <v/>
      </c>
      <c r="B7026" s="2">
        <f>HYPERLINK("https://edmondsonsupply.com/products/klein-tools-646-7-16-7-16-inch-nut-driver-6-inch-hollow-shaft", "https://edmondsonsupply.com/products/klein-tools-646-7-16-7-16-inch-nut-driver-6-inch-hollow-shaft")</f>
        <v/>
      </c>
      <c r="C7026" t="inlineStr">
        <is>
          <t>Klein Tools 646-7/16 7/16-Inch Nut Driver, 6-Inch Hollow Shaft</t>
        </is>
      </c>
      <c r="D7026" t="inlineStr">
        <is>
          <t>Jonard Tools ND-630716, Nut Driver, 7/16" Hex Tip, 3" Hollow Shaft with Wide Ergonomic Comfort Grip,Brown</t>
        </is>
      </c>
      <c r="E7026" s="2">
        <f>HYPERLINK("https://www.amazon.com/Jonard-ND-630716-Cushion-Gripped-Ergonomic/dp/B006C47FOW/ref=sr_1_14?keywords=Klein+Tools+646-7%2F16+7%2F16-Inch+Nut+Driver%2C+6-Inch+Hollow+Shaft&amp;qid=1694735415&amp;sr=8-14", "https://www.amazon.com/Jonard-ND-630716-Cushion-Gripped-Ergonomic/dp/B006C47FOW/ref=sr_1_14?keywords=Klein+Tools+646-7%2F16+7%2F16-Inch+Nut+Driver%2C+6-Inch+Hollow+Shaft&amp;qid=1694735415&amp;sr=8-14")</f>
        <v/>
      </c>
      <c r="F7026" t="inlineStr">
        <is>
          <t>B006C47FOW</t>
        </is>
      </c>
      <c r="G7026">
        <f>_xludf.IMAGE("https://edmondsonsupply.com/cdn/shop/products/646-1-2_64980020-d246-4b4b-829a-c848cc375d64.jpg?v=1587148603")</f>
        <v/>
      </c>
      <c r="H7026">
        <f>_xludf.IMAGE("https://m.media-amazon.com/images/I/61K311ruKZL._AC_UL320_.jpg")</f>
        <v/>
      </c>
      <c r="K7026" t="inlineStr">
        <is>
          <t>9.49</t>
        </is>
      </c>
      <c r="L7026" t="n">
        <v>6.95</v>
      </c>
      <c r="M7026" s="1" t="inlineStr">
        <is>
          <t>-26.77%</t>
        </is>
      </c>
      <c r="N7026" s="1" t="n"/>
      <c r="O7026" t="n">
        <v>4.5</v>
      </c>
      <c r="P7026" t="n">
        <v>127</v>
      </c>
      <c r="R7026" t="inlineStr">
        <is>
          <t>InStock</t>
        </is>
      </c>
      <c r="S7026" t="inlineStr">
        <is>
          <t>14.42</t>
        </is>
      </c>
      <c r="T7026" t="inlineStr">
        <is>
          <t>4391246889060</t>
        </is>
      </c>
    </row>
    <row r="7027" hidden="1" ht="15.75" customHeight="1">
      <c r="A7027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7027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7027" t="inlineStr">
        <is>
          <t>Diablo Tools DMAPL2380 9/16 in. x 10 in. x 12 in. SDS-Plus 2-Cutter</t>
        </is>
      </c>
      <c r="D7027" t="inlineStr">
        <is>
          <t>Diablo DMAPL2240 3/8 in. x 10 in. x 12 in. SDS-Plus 2-Cutter</t>
        </is>
      </c>
      <c r="E7027" s="2">
        <f>HYPERLINK("https://www.amazon.com/Diablo-10-12-SDS-Plus-2-Cutter/dp/B089KVWDFV/ref=sr_1_2?keywords=Diablo+Tools+DMAPL2380+9%2F16+in.+x+10+in.+x+12+in.+SDS-Plus+2-Cutter&amp;qid=1694735296&amp;sr=8-2", "https://www.amazon.com/Diablo-10-12-SDS-Plus-2-Cutter/dp/B089KVWDFV/ref=sr_1_2?keywords=Diablo+Tools+DMAPL2380+9%2F16+in.+x+10+in.+x+12+in.+SDS-Plus+2-Cutter&amp;qid=1694735296&amp;sr=8-2")</f>
        <v/>
      </c>
      <c r="F7027" t="inlineStr">
        <is>
          <t>B089KVWDFV</t>
        </is>
      </c>
      <c r="G7027">
        <f>_xludf.IMAGE("https://edmondsonsupply.com/cdn/shop/products/pn8n58bx2f87ihetrrnf.webp?v=1670435143")</f>
        <v/>
      </c>
      <c r="H7027">
        <f>_xludf.IMAGE("https://m.media-amazon.com/images/I/61jSXDDK72L._AC_UL320_.jpg")</f>
        <v/>
      </c>
      <c r="K7027" t="inlineStr">
        <is>
          <t>14.99</t>
        </is>
      </c>
      <c r="L7027" t="n">
        <v>10.97</v>
      </c>
      <c r="M7027" s="1" t="inlineStr">
        <is>
          <t>-26.82%</t>
        </is>
      </c>
      <c r="N7027" s="1" t="n"/>
      <c r="O7027" t="n">
        <v>5</v>
      </c>
      <c r="P7027" t="n">
        <v>1</v>
      </c>
      <c r="R7027" t="inlineStr">
        <is>
          <t>InStock</t>
        </is>
      </c>
      <c r="S7027" t="inlineStr">
        <is>
          <t>21.48</t>
        </is>
      </c>
      <c r="T7027" t="inlineStr">
        <is>
          <t>5286298222760</t>
        </is>
      </c>
    </row>
    <row r="7028" ht="87" customHeight="1">
      <c r="A7028" s="2">
        <f>HYPERLINK("https://edmondsonsupply.com/collections/electricians-tools/products/diablo-tools-dmamx1040", "https://edmondsonsupply.com/collections/electricians-tools/products/diablo-tools-dmamx1040")</f>
        <v/>
      </c>
      <c r="B7028" s="2">
        <f>HYPERLINK("https://edmondsonsupply.com/products/diablo-tools-dmamx1040", "https://edmondsonsupply.com/products/diablo-tools-dmamx1040")</f>
        <v/>
      </c>
      <c r="C7028" t="inlineStr">
        <is>
          <t>Diablo Tools DMAMX1040 1/2 in. x 24 in. x 29 in. Rebar Demon SDS-Max 4-Cutter Full Carbide Head Hammer Bit</t>
        </is>
      </c>
      <c r="D7028" t="inlineStr">
        <is>
          <t>Diablo by Freud DMAMX1090 5/8 in. x 8 in. x 13 in. Rebar Demon SDS-Max 4-Cutter Full Carbide Head Hammer Bit</t>
        </is>
      </c>
      <c r="E7028" s="2">
        <f>HYPERLINK("https://www.amazon.com/Diablo-SDS-Max-4-Cutter-Carbide-Hammer/dp/B089LGB35P/ref=sr_1_16?keywords=Diablo+Tools+DMAMX1040+1%2F2+in.+x+24+in.+x+29+in.+Rebar+Demon+SDS-Max+4-Cutter+Full+Carbide+Head+Hammer+Bit&amp;qid=1694735295&amp;sr=8-16", "https://www.amazon.com/Diablo-SDS-Max-4-Cutter-Carbide-Hammer/dp/B089LGB35P/ref=sr_1_16?keywords=Diablo+Tools+DMAMX1040+1%2F2+in.+x+24+in.+x+29+in.+Rebar+Demon+SDS-Max+4-Cutter+Full+Carbide+Head+Hammer+Bit&amp;qid=1694735295&amp;sr=8-16")</f>
        <v/>
      </c>
      <c r="F7028" t="inlineStr">
        <is>
          <t>B089LGB35P</t>
        </is>
      </c>
      <c r="G7028">
        <f>_xlfn.IMAGE("https://edmondsonsupply.com/cdn/shop/products/DMAMX1040_Main-Image20200701.png?v=1633030363")</f>
        <v/>
      </c>
      <c r="H7028">
        <f>_xlfn.IMAGE("https://m.media-amazon.com/images/I/61Wr1t8FMOL._AC_UL320_.jpg")</f>
        <v/>
      </c>
      <c r="K7028" t="inlineStr">
        <is>
          <t>47.97</t>
        </is>
      </c>
      <c r="L7028" t="n">
        <v>35.1</v>
      </c>
      <c r="M7028" s="1" t="inlineStr">
        <is>
          <t>-26.83%</t>
        </is>
      </c>
      <c r="N7028" s="7" t="n"/>
      <c r="O7028" t="n">
        <v>4.2</v>
      </c>
      <c r="P7028" t="n">
        <v>5</v>
      </c>
      <c r="R7028" t="inlineStr">
        <is>
          <t>InStock</t>
        </is>
      </c>
      <c r="S7028" t="inlineStr">
        <is>
          <t>72.46</t>
        </is>
      </c>
      <c r="T7028" t="inlineStr">
        <is>
          <t>5289126527144</t>
        </is>
      </c>
    </row>
    <row r="7029" ht="87" customHeight="1">
      <c r="A7029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7029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7029" t="inlineStr">
        <is>
          <t>Klein Tools 66004 2-in-1 Impact Socket, 6-Point, 3/4 and 9/16-Inch</t>
        </is>
      </c>
      <c r="D7029" t="inlineStr">
        <is>
          <t>Klein Tools 32900 Impact Driver, 7-in-1 Impact Flip Socket Set with Handle, 6 Hex Driver Sizes plus a 1/4-Inch Bit Holder</t>
        </is>
      </c>
      <c r="E7029" s="2">
        <f>HYPERLINK("https://www.amazon.com/Klein-Tools-32900-Impact-Driver/dp/B09PZG4F8X/ref=sr_1_22?keywords=Klein+Tools+66004+2-in-1+Impact+Socket%2C+6-Point%2C+3%2F4+and+9%2F16-Inch&amp;qid=1694735397&amp;sr=8-22", "https://www.amazon.com/Klein-Tools-32900-Impact-Driver/dp/B09PZG4F8X/ref=sr_1_22?keywords=Klein+Tools+66004+2-in-1+Impact+Socket%2C+6-Point%2C+3%2F4+and+9%2F16-Inch&amp;qid=1694735397&amp;sr=8-22")</f>
        <v/>
      </c>
      <c r="F7029" t="inlineStr">
        <is>
          <t>B09PZG4F8X</t>
        </is>
      </c>
      <c r="G7029">
        <f>_xlfn.IMAGE("https://edmondsonsupply.com/cdn/shop/products/66004.jpg?v=1664131249")</f>
        <v/>
      </c>
      <c r="H7029">
        <f>_xlfn.IMAGE("https://m.media-amazon.com/images/I/51qL2uXqcTL._AC_UL320_.jpg")</f>
        <v/>
      </c>
      <c r="K7029" t="inlineStr">
        <is>
          <t>39.99</t>
        </is>
      </c>
      <c r="L7029" t="n">
        <v>29.25</v>
      </c>
      <c r="M7029" s="1" t="inlineStr">
        <is>
          <t>-26.86%</t>
        </is>
      </c>
      <c r="N7029" s="7" t="n"/>
      <c r="O7029" t="n">
        <v>4.7</v>
      </c>
      <c r="P7029" t="n">
        <v>2468</v>
      </c>
      <c r="R7029" t="inlineStr">
        <is>
          <t>InStock</t>
        </is>
      </c>
      <c r="S7029" t="inlineStr">
        <is>
          <t>68.0</t>
        </is>
      </c>
      <c r="T7029" t="inlineStr">
        <is>
          <t>4406308110436</t>
        </is>
      </c>
    </row>
    <row r="7030" ht="87" customHeight="1">
      <c r="A7030" s="2">
        <f>HYPERLINK("https://edmondsonsupply.com/collections/electricians-tools/products/milwaukee-2729-20-m18-fuel%E2%84%A2-deep-cut-band-saw-tool-only", "https://edmondsonsupply.com/collections/electricians-tools/products/milwaukee-2729-20-m18-fuel%E2%84%A2-deep-cut-band-saw-tool-only")</f>
        <v/>
      </c>
      <c r="B7030" s="2">
        <f>HYPERLINK("https://edmondsonsupply.com/products/milwaukee-2729-20-m18-fuel%e2%84%a2-deep-cut-band-saw-tool-only", "https://edmondsonsupply.com/products/milwaukee-2729-20-m18-fuel%e2%84%a2-deep-cut-band-saw-tool-only")</f>
        <v/>
      </c>
      <c r="C7030" t="inlineStr">
        <is>
          <t>Milwaukee 2729-20 M18 FUEL™ Deep Cut Band Saw (Tool Only)</t>
        </is>
      </c>
      <c r="D7030" t="inlineStr">
        <is>
          <t>Milwaukee 2729-20 M18 FUEL Cordless Lithium-Ion Deep Cut Band Saw (Tool Only)</t>
        </is>
      </c>
      <c r="E7030" s="2">
        <f>HYPERLINK("https://www.amazon.com/Milwaukee-2729-20-FUEL-Deep-Model/dp/B013P2ZGK8/ref=sr_1_2?keywords=Milwaukee+2729-20+M18+FUEL%E2%84%A2+Deep+Cut+Band+Saw+%28Tool+Only%29&amp;qid=1694734977&amp;sr=8-2", "https://www.amazon.com/Milwaukee-2729-20-FUEL-Deep-Model/dp/B013P2ZGK8/ref=sr_1_2?keywords=Milwaukee+2729-20+M18+FUEL%E2%84%A2+Deep+Cut+Band+Saw+%28Tool+Only%29&amp;qid=1694734977&amp;sr=8-2")</f>
        <v/>
      </c>
      <c r="F7030" t="inlineStr">
        <is>
          <t>B013P2ZGK8</t>
        </is>
      </c>
      <c r="G7030">
        <f>_xlfn.IMAGE("https://edmondsonsupply.com/cdn/shop/products/2729-20_1.webp?v=1661700605")</f>
        <v/>
      </c>
      <c r="H7030">
        <f>_xlfn.IMAGE("https://m.media-amazon.com/images/I/51VhcKqlfwL._AC_UL320_.jpg")</f>
        <v/>
      </c>
      <c r="K7030" t="inlineStr">
        <is>
          <t>379.0</t>
        </is>
      </c>
      <c r="L7030" t="n">
        <v>276.9</v>
      </c>
      <c r="M7030" s="1" t="inlineStr">
        <is>
          <t>-26.94%</t>
        </is>
      </c>
      <c r="N7030" s="7" t="n"/>
      <c r="O7030" t="n">
        <v>4.8</v>
      </c>
      <c r="P7030" t="n">
        <v>446</v>
      </c>
      <c r="R7030" t="inlineStr">
        <is>
          <t>InStock</t>
        </is>
      </c>
      <c r="S7030" t="inlineStr">
        <is>
          <t>579.0</t>
        </is>
      </c>
      <c r="T7030" t="inlineStr">
        <is>
          <t>7795873153240</t>
        </is>
      </c>
    </row>
    <row r="7031" ht="87" customHeight="1">
      <c r="A7031" s="2">
        <f>HYPERLINK("https://edmondsonsupply.com/collections/electricians-tools/products/klein-tools-d2000-49-diagonal-cutting-pliers-angled-head-9-inch", "https://edmondsonsupply.com/collections/electricians-tools/products/klein-tools-d2000-49-diagonal-cutting-pliers-angled-head-9-inch")</f>
        <v/>
      </c>
      <c r="B7031" s="2">
        <f>HYPERLINK("https://edmondsonsupply.com/products/klein-tools-d2000-49-diagonal-cutting-pliers-angled-head-9-inch", "https://edmondsonsupply.com/products/klein-tools-d2000-49-diagonal-cutting-pliers-angled-head-9-inch")</f>
        <v/>
      </c>
      <c r="C7031" t="inlineStr">
        <is>
          <t>Klein Tools D2000-49 Diagonal Cutting Pliers, Angled Head, 9-Inch</t>
        </is>
      </c>
      <c r="D7031" t="inlineStr">
        <is>
          <t>Klein Tools D248-8 Pliers, Diagonal Cutting Multi-Purpose Pliers with Angled Head, High-Leverage Design, and Short Jaw, 8-Inch</t>
        </is>
      </c>
      <c r="E7031" s="2">
        <f>HYPERLINK("https://www.amazon.com/Klein-Tools-D248-8-Leverage-Diagonal/dp/B0000302W8/ref=sr_1_5?keywords=Klein+Tools+D2000-49+Diagonal+Cutting+Pliers%2C+Angled+Head%2C+9-Inch&amp;qid=1694735245&amp;sr=8-5", "https://www.amazon.com/Klein-Tools-D248-8-Leverage-Diagonal/dp/B0000302W8/ref=sr_1_5?keywords=Klein+Tools+D2000-49+Diagonal+Cutting+Pliers%2C+Angled+Head%2C+9-Inch&amp;qid=1694735245&amp;sr=8-5")</f>
        <v/>
      </c>
      <c r="F7031" t="inlineStr">
        <is>
          <t>B0000302W8</t>
        </is>
      </c>
      <c r="G7031">
        <f>_xlfn.IMAGE("https://edmondsonsupply.com/cdn/shop/products/d2000-49.jpg?v=1633030811")</f>
        <v/>
      </c>
      <c r="H7031">
        <f>_xlfn.IMAGE("https://m.media-amazon.com/images/I/41KAmcIzVBL._AC_UL320_.jpg")</f>
        <v/>
      </c>
      <c r="K7031" t="inlineStr">
        <is>
          <t>38.99</t>
        </is>
      </c>
      <c r="L7031" t="n">
        <v>28.42</v>
      </c>
      <c r="M7031" s="1" t="inlineStr">
        <is>
          <t>-27.11%</t>
        </is>
      </c>
      <c r="N7031" s="7" t="n"/>
      <c r="O7031" t="n">
        <v>4.8</v>
      </c>
      <c r="P7031" t="n">
        <v>2413</v>
      </c>
      <c r="R7031" t="inlineStr">
        <is>
          <t>InStock</t>
        </is>
      </c>
      <c r="S7031" t="inlineStr">
        <is>
          <t>59.06</t>
        </is>
      </c>
      <c r="T7031" t="inlineStr">
        <is>
          <t>6025094987944</t>
        </is>
      </c>
    </row>
    <row r="7032" hidden="1" ht="15.75" customHeight="1">
      <c r="A7032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7032" s="2">
        <f>HYPERLINK("https://edmondsonsupply.com/products/klein-tools-vaco-s10m-5-16-magnetic-nut-driver-3-hollow-shaft", "https://edmondsonsupply.com/products/klein-tools-vaco-s10m-5-16-magnetic-nut-driver-3-hollow-shaft")</f>
        <v/>
      </c>
      <c r="C7032" t="inlineStr">
        <is>
          <t>Klein Tools S10M 5/16-Inch Magnetic Nut Driver 3-Inch Shaft</t>
        </is>
      </c>
      <c r="D7032" t="inlineStr">
        <is>
          <t>Klein Tools S8M 1/4-Inch Magnetic Nut Driver with 3-Inch Solid Shaft and Comfordome Handle</t>
        </is>
      </c>
      <c r="E7032" s="2">
        <f>HYPERLINK("https://www.amazon.com/Magnetic-Comfordome-Klein-Tools-S8M/dp/B00093GCW8/ref=sr_1_3?keywords=Klein+Tools+S10M+5%2F16-Inch+Magnetic+Nut+Driver+3-Inch+Shaft&amp;qid=1694735002&amp;sr=8-3", "https://www.amazon.com/Magnetic-Comfordome-Klein-Tools-S8M/dp/B00093GCW8/ref=sr_1_3?keywords=Klein+Tools+S10M+5%2F16-Inch+Magnetic+Nut+Driver+3-Inch+Shaft&amp;qid=1694735002&amp;sr=8-3")</f>
        <v/>
      </c>
      <c r="F7032" t="inlineStr">
        <is>
          <t>B00093GCW8</t>
        </is>
      </c>
      <c r="G7032">
        <f>_xludf.IMAGE("https://edmondsonsupply.com/cdn/shop/products/s10m_alt2.jpg?v=1587143022")</f>
        <v/>
      </c>
      <c r="H7032">
        <f>_xludf.IMAGE("https://m.media-amazon.com/images/I/31hOuSIKl7L._AC_UL320_.jpg")</f>
        <v/>
      </c>
      <c r="K7032" t="inlineStr">
        <is>
          <t>9.99</t>
        </is>
      </c>
      <c r="L7032" t="n">
        <v>7.28</v>
      </c>
      <c r="M7032" s="1" t="inlineStr">
        <is>
          <t>-27.13%</t>
        </is>
      </c>
      <c r="N7032" s="1" t="n"/>
      <c r="O7032" t="n">
        <v>3.8</v>
      </c>
      <c r="P7032" t="n">
        <v>8</v>
      </c>
      <c r="R7032" t="inlineStr">
        <is>
          <t>InStock</t>
        </is>
      </c>
      <c r="S7032" t="inlineStr">
        <is>
          <t>15.08</t>
        </is>
      </c>
      <c r="T7032" t="inlineStr">
        <is>
          <t>2767113125988</t>
        </is>
      </c>
    </row>
    <row r="7033" ht="87" customHeight="1">
      <c r="A7033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033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033" t="inlineStr">
        <is>
          <t>Klein Tools 605-7-INS Insulated 1/4-Inch Cabinet Tip Screwdriver, 7-Inch</t>
        </is>
      </c>
      <c r="D7033" t="inlineStr">
        <is>
          <t>Klein Tools 607-3-INS Insulated Screwdriver, 3/32-Inch Cabinet Tip with 3-Inch Shank</t>
        </is>
      </c>
      <c r="E7033" s="2">
        <f>HYPERLINK("https://www.amazon.com/Insulated-Screwdriver-Klein-Tools-607-3-INS/dp/B00J9S35OW/ref=sr_1_7?keywords=Klein+Tools+605-7-INS+Insulated+1%2F4-Inch+Cabinet+Tip+Screwdriver%2C+7-Inch&amp;qid=1694735376&amp;sr=8-7", "https://www.amazon.com/Insulated-Screwdriver-Klein-Tools-607-3-INS/dp/B00J9S35OW/ref=sr_1_7?keywords=Klein+Tools+605-7-INS+Insulated+1%2F4-Inch+Cabinet+Tip+Screwdriver%2C+7-Inch&amp;qid=1694735376&amp;sr=8-7")</f>
        <v/>
      </c>
      <c r="F7033" t="inlineStr">
        <is>
          <t>B00J9S35OW</t>
        </is>
      </c>
      <c r="G7033">
        <f>_xlfn.IMAGE("https://edmondsonsupply.com/cdn/shop/products/605-7-ins.jpg?v=1587148614")</f>
        <v/>
      </c>
      <c r="H7033">
        <f>_xlfn.IMAGE("https://m.media-amazon.com/images/I/51qSRHnYpuL._AC_UL320_.jpg")</f>
        <v/>
      </c>
      <c r="K7033" t="inlineStr">
        <is>
          <t>23.99</t>
        </is>
      </c>
      <c r="L7033" t="n">
        <v>17.48</v>
      </c>
      <c r="M7033" s="1" t="inlineStr">
        <is>
          <t>-27.14%</t>
        </is>
      </c>
      <c r="N7033" s="7" t="n"/>
      <c r="O7033" t="n">
        <v>4.2</v>
      </c>
      <c r="P7033" t="n">
        <v>62</v>
      </c>
      <c r="R7033" t="inlineStr">
        <is>
          <t>InStock</t>
        </is>
      </c>
      <c r="S7033" t="inlineStr">
        <is>
          <t>32.58</t>
        </is>
      </c>
      <c r="T7033" t="inlineStr">
        <is>
          <t>4414349181028</t>
        </is>
      </c>
    </row>
    <row r="7034" ht="87" customHeight="1">
      <c r="A7034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7034" s="2">
        <f>HYPERLINK("https://edmondsonsupply.com/products/klein-tools-rt250-gfci-receptacle-tester-with-lcd", "https://edmondsonsupply.com/products/klein-tools-rt250-gfci-receptacle-tester-with-lcd")</f>
        <v/>
      </c>
      <c r="C7034" t="inlineStr">
        <is>
          <t>Klein Tools RT250 GFCI Receptacle Tester with LCD</t>
        </is>
      </c>
      <c r="D7034" t="inlineStr">
        <is>
          <t>SITHON Case Compatible with Klein Tools ET310 AC Circuit Breaker Finder, 80041 Outlet Repair Tool Kit &amp; RT250 GFCI Receptacle Tester, Hard Shell Electrical Tools Storage Organizer Bag (Case Only)</t>
        </is>
      </c>
      <c r="E7034" s="2">
        <f>HYPERLINK("https://www.amazon.com/SITHON-Compatible-Receptacle-Electrical-Organizer/dp/B0BJ6TDB8P/ref=sr_1_42?keywords=Klein+Tools+RT250+GFCI+Receptacle+Tester+with+LCD&amp;qid=1694735148&amp;sr=8-42", "https://www.amazon.com/SITHON-Compatible-Receptacle-Electrical-Organizer/dp/B0BJ6TDB8P/ref=sr_1_42?keywords=Klein+Tools+RT250+GFCI+Receptacle+Tester+with+LCD&amp;qid=1694735148&amp;sr=8-42")</f>
        <v/>
      </c>
      <c r="F7034" t="inlineStr">
        <is>
          <t>B0BJ6TDB8P</t>
        </is>
      </c>
      <c r="G7034">
        <f>_xlfn.IMAGE("https://edmondsonsupply.com/cdn/shop/products/rt250_photo_c.jpg?v=1661363824")</f>
        <v/>
      </c>
      <c r="H7034">
        <f>_xlfn.IMAGE("https://m.media-amazon.com/images/I/81Awn7PmRdL._AC_UL320_.jpg")</f>
        <v/>
      </c>
      <c r="K7034" t="inlineStr">
        <is>
          <t>21.97</t>
        </is>
      </c>
      <c r="L7034" t="n">
        <v>15.99</v>
      </c>
      <c r="M7034" s="1" t="inlineStr">
        <is>
          <t>-27.22%</t>
        </is>
      </c>
      <c r="N7034" s="7" t="n"/>
      <c r="O7034" t="n">
        <v>4.9</v>
      </c>
      <c r="P7034" t="n">
        <v>14</v>
      </c>
      <c r="R7034" t="inlineStr">
        <is>
          <t>InStock</t>
        </is>
      </c>
      <c r="S7034" t="inlineStr">
        <is>
          <t>30.78</t>
        </is>
      </c>
      <c r="T7034" t="inlineStr">
        <is>
          <t>7793138729176</t>
        </is>
      </c>
    </row>
    <row r="7035" ht="87" customHeight="1">
      <c r="A7035" s="2">
        <f>HYPERLINK("https://edmondsonsupply.com/collections/electricians-tools/products/diablo-tools-dou125cf3-1-1-4-universal-fit-carbide-oscillating-blades-for-metal", "https://edmondsonsupply.com/collections/electricians-tools/products/diablo-tools-dou125cf3-1-1-4-universal-fit-carbide-oscillating-blades-for-metal")</f>
        <v/>
      </c>
      <c r="B7035" s="2">
        <f>HYPERLINK("https://edmondsonsupply.com/products/diablo-tools-dou125cf3-1-1-4-universal-fit-carbide-oscillating-blades-for-metal", "https://edmondsonsupply.com/products/diablo-tools-dou125cf3-1-1-4-universal-fit-carbide-oscillating-blades-for-metal")</f>
        <v/>
      </c>
      <c r="C7035" t="inlineStr">
        <is>
          <t>Diablo Tools DOU125CF3 1-1/4" Universal Fit Carbide Oscillating Blades for Metal</t>
        </is>
      </c>
      <c r="D7035" t="inlineStr">
        <is>
          <t>Diablo by Freud DOU125CF3 1-1/4 in. Universal Fit Carbide Oscillating Blades for Metal (3-Pack)</t>
        </is>
      </c>
      <c r="E7035" s="2">
        <f>HYPERLINK("https://www.amazon.com/Diablo-Freud-DOU125CF3-Universal-Oscillating/dp/B089LKXD7L/ref=sr_1_1?keywords=Diablo+Tools+DOU125CF3+1-1%2F4%22+Universal+Fit+Carbide+Oscillating+Blades+for+Metal&amp;qid=1694735199&amp;sr=8-1", "https://www.amazon.com/Diablo-Freud-DOU125CF3-Universal-Oscillating/dp/B089LKXD7L/ref=sr_1_1?keywords=Diablo+Tools+DOU125CF3+1-1%2F4%22+Universal+Fit+Carbide+Oscillating+Blades+for+Metal&amp;qid=1694735199&amp;sr=8-1")</f>
        <v/>
      </c>
      <c r="F7035" t="inlineStr">
        <is>
          <t>B089LKXD7L</t>
        </is>
      </c>
      <c r="G7035">
        <f>_xlfn.IMAGE("https://edmondsonsupply.com/cdn/shop/products/DOU125CF3_Main-Image.png?v=1633031100")</f>
        <v/>
      </c>
      <c r="H7035">
        <f>_xlfn.IMAGE("https://m.media-amazon.com/images/I/71izb0UUOkL._AC_UL320_.jpg")</f>
        <v/>
      </c>
      <c r="K7035" t="inlineStr">
        <is>
          <t>43.97</t>
        </is>
      </c>
      <c r="L7035" t="n">
        <v>32</v>
      </c>
      <c r="M7035" s="1" t="inlineStr">
        <is>
          <t>-27.22%</t>
        </is>
      </c>
      <c r="N7035" s="7" t="n"/>
      <c r="O7035" t="n">
        <v>4.5</v>
      </c>
      <c r="P7035" t="n">
        <v>164</v>
      </c>
      <c r="R7035" t="inlineStr">
        <is>
          <t>InStock</t>
        </is>
      </c>
      <c r="S7035" t="inlineStr">
        <is>
          <t>50.58</t>
        </is>
      </c>
      <c r="T7035" t="inlineStr">
        <is>
          <t>6846087463085</t>
        </is>
      </c>
    </row>
    <row r="7036" ht="87" customHeight="1">
      <c r="A7036" s="2">
        <f>HYPERLINK("https://edmondsonsupply.com/collections/electricians-tools/products/klein-tools-12098-eins-combination-pliers-insulated", "https://edmondsonsupply.com/collections/electricians-tools/products/klein-tools-12098-eins-combination-pliers-insulated")</f>
        <v/>
      </c>
      <c r="B7036" s="2">
        <f>HYPERLINK("https://edmondsonsupply.com/products/klein-tools-12098-eins-combination-pliers-insulated", "https://edmondsonsupply.com/products/klein-tools-12098-eins-combination-pliers-insulated")</f>
        <v/>
      </c>
      <c r="C7036" t="inlineStr">
        <is>
          <t>Klein Tools 12098-EINS Combination Pliers, Insulated</t>
        </is>
      </c>
      <c r="D7036" t="inlineStr">
        <is>
          <t>Klein Tools 200028EINS Pliers, Electrician's Insulated Diagonal Cutting Pliers with Slim Handle 1000V Rated Grips, 8-Inch</t>
        </is>
      </c>
      <c r="E7036" s="2">
        <f>HYPERLINK("https://www.amazon.com/Klein-Tools-200028EINS-Electricians-Insulated/dp/B00JGG5P86/ref=sr_1_4?keywords=Klein+Tools+12098-EINS+Combination+Pliers%2C+Insulated&amp;qid=1694735216&amp;sr=8-4", "https://www.amazon.com/Klein-Tools-200028EINS-Electricians-Insulated/dp/B00JGG5P86/ref=sr_1_4?keywords=Klein+Tools+12098-EINS+Combination+Pliers%2C+Insulated&amp;qid=1694735216&amp;sr=8-4")</f>
        <v/>
      </c>
      <c r="F7036" t="inlineStr">
        <is>
          <t>B00JGG5P86</t>
        </is>
      </c>
      <c r="G7036">
        <f>_xlfn.IMAGE("https://edmondsonsupply.com/cdn/shop/products/12098eins.jpg?v=1633031039")</f>
        <v/>
      </c>
      <c r="H7036">
        <f>_xlfn.IMAGE("https://m.media-amazon.com/images/I/51cA-etI6LL._AC_UL320_.jpg")</f>
        <v/>
      </c>
      <c r="K7036" t="inlineStr">
        <is>
          <t>74.99</t>
        </is>
      </c>
      <c r="L7036" t="n">
        <v>54.55</v>
      </c>
      <c r="M7036" s="1" t="inlineStr">
        <is>
          <t>-27.26%</t>
        </is>
      </c>
      <c r="N7036" s="7" t="n"/>
      <c r="O7036" t="n">
        <v>4.4</v>
      </c>
      <c r="P7036" t="n">
        <v>68</v>
      </c>
      <c r="R7036" t="inlineStr">
        <is>
          <t>InStock</t>
        </is>
      </c>
      <c r="S7036" t="inlineStr">
        <is>
          <t>113.62</t>
        </is>
      </c>
      <c r="T7036" t="inlineStr">
        <is>
          <t>6745363546285</t>
        </is>
      </c>
    </row>
    <row r="7037" ht="87" customHeight="1">
      <c r="A7037" s="2">
        <f>HYPERLINK("https://edmondsonsupply.com/collections/electricians-tools/products/klein-tools-j20017ne-heavy-duty-linemans-pliers-7-inch", "https://edmondsonsupply.com/collections/electricians-tools/products/klein-tools-j20017ne-heavy-duty-linemans-pliers-7-inch")</f>
        <v/>
      </c>
      <c r="B7037" s="2">
        <f>HYPERLINK("https://edmondsonsupply.com/products/klein-tools-j20017ne-heavy-duty-linemans-pliers-7-inch", "https://edmondsonsupply.com/products/klein-tools-j20017ne-heavy-duty-linemans-pliers-7-inch")</f>
        <v/>
      </c>
      <c r="C7037" t="inlineStr">
        <is>
          <t>Klein Tools J20017NE Heavy-Duty Lineman's Pliers, 7-Inch</t>
        </is>
      </c>
      <c r="D7037" t="inlineStr">
        <is>
          <t>Klein Tools D201-7CST Ironworker Pliers, Spring Loaded Side Cutters, Twists and Cuts Annealed Rebar Tie Wire, Heavy-duty Knurled Jaws, 9-Inch Long</t>
        </is>
      </c>
      <c r="E7037" s="2">
        <f>HYPERLINK("https://www.amazon.com/Ironworker-Cutters-Klein-Tools-D201-7CST/dp/B0000302WO/ref=sr_1_10?keywords=Klein+Tools+J20017NE+Heavy-Duty+Lineman%27s+Pliers%2C+7-Inch&amp;qid=1694735135&amp;sr=8-10", "https://www.amazon.com/Ironworker-Cutters-Klein-Tools-D201-7CST/dp/B0000302WO/ref=sr_1_10?keywords=Klein+Tools+J20017NE+Heavy-Duty+Lineman%27s+Pliers%2C+7-Inch&amp;qid=1694735135&amp;sr=8-10")</f>
        <v/>
      </c>
      <c r="F7037" t="inlineStr">
        <is>
          <t>B0000302WO</t>
        </is>
      </c>
      <c r="G7037">
        <f>_xlfn.IMAGE("https://edmondsonsupply.com/cdn/shop/products/j20017ne.jpg?v=1662669673")</f>
        <v/>
      </c>
      <c r="H7037">
        <f>_xlfn.IMAGE("https://m.media-amazon.com/images/I/41zFQhOjmsL._AC_UL320_.jpg")</f>
        <v/>
      </c>
      <c r="K7037" t="inlineStr">
        <is>
          <t>54.99</t>
        </is>
      </c>
      <c r="L7037" t="n">
        <v>39.99</v>
      </c>
      <c r="M7037" s="1" t="inlineStr">
        <is>
          <t>-27.28%</t>
        </is>
      </c>
      <c r="N7037" s="7" t="n"/>
      <c r="O7037" t="n">
        <v>4.6</v>
      </c>
      <c r="P7037" t="n">
        <v>530</v>
      </c>
      <c r="R7037" t="inlineStr">
        <is>
          <t>InStock</t>
        </is>
      </c>
      <c r="S7037" t="inlineStr">
        <is>
          <t>81.8</t>
        </is>
      </c>
      <c r="T7037" t="inlineStr">
        <is>
          <t>7809426784472</t>
        </is>
      </c>
    </row>
    <row r="7038" ht="87" customHeight="1">
      <c r="A7038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7038" s="2">
        <f>HYPERLINK("https://edmondsonsupply.com/products/klein-tools-56333-steel-fish-tape-1-8-inch-x-120-foot", "https://edmondsonsupply.com/products/klein-tools-56333-steel-fish-tape-1-8-inch-x-120-foot")</f>
        <v/>
      </c>
      <c r="C7038" t="inlineStr">
        <is>
          <t>Klein Tools 56333 Steel Fish Tape, 1/8-Inch x 120-Foot</t>
        </is>
      </c>
      <c r="D7038" t="inlineStr">
        <is>
          <t>Klein Tools 56002 Electrical Fish Tape, 65-Foot Long x 1/8-Inch Wide Steel for Heavy Duty Wire Pulls, Laser Etched for Conduit Measuring</t>
        </is>
      </c>
      <c r="E7038" s="2">
        <f>HYPERLINK("https://www.amazon.com/65-Foot-Measuring-Klein-Tools-56002/dp/B007KFRMY0/ref=sr_1_5?keywords=Klein+Tools+56333+Steel+Fish+Tape%2C+1%2F8-Inch+x+120-Foot&amp;qid=1694735382&amp;sr=8-5", "https://www.amazon.com/65-Foot-Measuring-Klein-Tools-56002/dp/B007KFRMY0/ref=sr_1_5?keywords=Klein+Tools+56333+Steel+Fish+Tape%2C+1%2F8-Inch+x+120-Foot&amp;qid=1694735382&amp;sr=8-5")</f>
        <v/>
      </c>
      <c r="F7038" t="inlineStr">
        <is>
          <t>B007KFRMY0</t>
        </is>
      </c>
      <c r="G7038">
        <f>_xlfn.IMAGE("https://edmondsonsupply.com/cdn/shop/products/56333.jpg?v=1587147770")</f>
        <v/>
      </c>
      <c r="H7038">
        <f>_xlfn.IMAGE("https://m.media-amazon.com/images/I/51JsZKupteL._AC_UL320_.jpg")</f>
        <v/>
      </c>
      <c r="K7038" t="inlineStr">
        <is>
          <t>54.97</t>
        </is>
      </c>
      <c r="L7038" t="n">
        <v>39.97</v>
      </c>
      <c r="M7038" s="1" t="inlineStr">
        <is>
          <t>-27.29%</t>
        </is>
      </c>
      <c r="N7038" s="7" t="n"/>
      <c r="O7038" t="n">
        <v>4.4</v>
      </c>
      <c r="P7038" t="n">
        <v>140</v>
      </c>
      <c r="R7038" t="inlineStr">
        <is>
          <t>InStock</t>
        </is>
      </c>
      <c r="S7038" t="inlineStr">
        <is>
          <t>82.48</t>
        </is>
      </c>
      <c r="T7038" t="inlineStr">
        <is>
          <t>4412208578660</t>
        </is>
      </c>
    </row>
    <row r="7039" ht="87" customHeight="1">
      <c r="A7039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039" s="2">
        <f>HYPERLINK("https://edmondsonsupply.com/products/klein-tools-32305-15-in-1-multi-bit-ratcheting-screwdriver", "https://edmondsonsupply.com/products/klein-tools-32305-15-in-1-multi-bit-ratcheting-screwdriver")</f>
        <v/>
      </c>
      <c r="C7039" t="inlineStr">
        <is>
          <t>Klein Tools 32305 15-in-1 Multi-Bit Ratcheting Screwdriver</t>
        </is>
      </c>
      <c r="D7039" t="inlineStr">
        <is>
          <t>Klein Tools 32527 Multi-Bit Screwdriver / Nut Driver, 11-in-1 with Phillips, Slotted, Square, and Schrader Bits and Nut Drivers</t>
        </is>
      </c>
      <c r="E7039" s="2">
        <f>HYPERLINK("https://www.amazon.com/Screwdriver-Phillips-Klein-Tools-32527/dp/B004RIDKHQ/ref=sr_1_29?keywords=Klein+Tools+32305+15-in-1+Multi-Bit+Ratcheting+Screwdriver&amp;qid=1694735163&amp;sr=8-29", "https://www.amazon.com/Screwdriver-Phillips-Klein-Tools-32527/dp/B004RIDKHQ/ref=sr_1_29?keywords=Klein+Tools+32305+15-in-1+Multi-Bit+Ratcheting+Screwdriver&amp;qid=1694735163&amp;sr=8-29")</f>
        <v/>
      </c>
      <c r="F7039" t="inlineStr">
        <is>
          <t>B004RIDKHQ</t>
        </is>
      </c>
      <c r="G7039">
        <f>_xlfn.IMAGE("https://edmondsonsupply.com/cdn/shop/products/32305.jpg?v=1646965475")</f>
        <v/>
      </c>
      <c r="H7039">
        <f>_xlfn.IMAGE("https://m.media-amazon.com/images/I/41cLxI0Af5L._AC_UL320_.jpg")</f>
        <v/>
      </c>
      <c r="K7039" t="inlineStr">
        <is>
          <t>21.97</t>
        </is>
      </c>
      <c r="L7039" t="n">
        <v>15.97</v>
      </c>
      <c r="M7039" s="1" t="inlineStr">
        <is>
          <t>-27.31%</t>
        </is>
      </c>
      <c r="N7039" s="7" t="n"/>
      <c r="O7039" t="n">
        <v>4.8</v>
      </c>
      <c r="P7039" t="n">
        <v>4201</v>
      </c>
      <c r="R7039" t="inlineStr">
        <is>
          <t>InStock</t>
        </is>
      </c>
      <c r="S7039" t="inlineStr">
        <is>
          <t>30.78</t>
        </is>
      </c>
      <c r="T7039" t="inlineStr">
        <is>
          <t>7632426598616</t>
        </is>
      </c>
    </row>
    <row r="7040" ht="87" customHeight="1">
      <c r="A7040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040" s="2">
        <f>HYPERLINK("https://edmondsonsupply.com/products/klein-tools-32305-15-in-1-multi-bit-ratcheting-screwdriver", "https://edmondsonsupply.com/products/klein-tools-32305-15-in-1-multi-bit-ratcheting-screwdriver")</f>
        <v/>
      </c>
      <c r="C7040" t="inlineStr">
        <is>
          <t>Klein Tools 32305 15-in-1 Multi-Bit Ratcheting Screwdriver</t>
        </is>
      </c>
      <c r="D7040" t="inlineStr">
        <is>
          <t>Klein Tools 32559 Multi-bit Screwdriver / Nut Driver, Extended Reach 6-in-1 Tool with Nut Driver, Phillips and Slotted Bits</t>
        </is>
      </c>
      <c r="E7040" s="2">
        <f>HYPERLINK("https://www.amazon.com/Multibit-Screwdriver-Klein-Tools-32559/dp/B005FQDHDG/ref=sr_1_40?keywords=Klein+Tools+32305+15-in-1+Multi-Bit+Ratcheting+Screwdriver&amp;qid=1694735163&amp;sr=8-40", "https://www.amazon.com/Multibit-Screwdriver-Klein-Tools-32559/dp/B005FQDHDG/ref=sr_1_40?keywords=Klein+Tools+32305+15-in-1+Multi-Bit+Ratcheting+Screwdriver&amp;qid=1694735163&amp;sr=8-40")</f>
        <v/>
      </c>
      <c r="F7040" t="inlineStr">
        <is>
          <t>B005FQDHDG</t>
        </is>
      </c>
      <c r="G7040">
        <f>_xlfn.IMAGE("https://edmondsonsupply.com/cdn/shop/products/32305.jpg?v=1646965475")</f>
        <v/>
      </c>
      <c r="H7040">
        <f>_xlfn.IMAGE("https://m.media-amazon.com/images/I/514peoSo7EL._AC_UL320_.jpg")</f>
        <v/>
      </c>
      <c r="K7040" t="inlineStr">
        <is>
          <t>21.97</t>
        </is>
      </c>
      <c r="L7040" t="n">
        <v>15.97</v>
      </c>
      <c r="M7040" s="1" t="inlineStr">
        <is>
          <t>-27.31%</t>
        </is>
      </c>
      <c r="N7040" s="7" t="n"/>
      <c r="O7040" t="n">
        <v>4.8</v>
      </c>
      <c r="P7040" t="n">
        <v>2200</v>
      </c>
      <c r="R7040" t="inlineStr">
        <is>
          <t>InStock</t>
        </is>
      </c>
      <c r="S7040" t="inlineStr">
        <is>
          <t>30.78</t>
        </is>
      </c>
      <c r="T7040" t="inlineStr">
        <is>
          <t>7632426598616</t>
        </is>
      </c>
    </row>
    <row r="7041" ht="87" customHeight="1">
      <c r="A7041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041" s="2">
        <f>HYPERLINK("https://edmondsonsupply.com/products/klein-tools-32305-15-in-1-multi-bit-ratcheting-screwdriver", "https://edmondsonsupply.com/products/klein-tools-32305-15-in-1-multi-bit-ratcheting-screwdriver")</f>
        <v/>
      </c>
      <c r="C7041" t="inlineStr">
        <is>
          <t>Klein Tools 32305 15-in-1 Multi-Bit Ratcheting Screwdriver</t>
        </is>
      </c>
      <c r="D7041" t="inlineStr">
        <is>
          <t>Klein Tools 32613 Multi-Bit Screwdriver, Precision HVAC 3-in-1 Pocket Screwdriver with Phillips, Slotted and Schrader Bits</t>
        </is>
      </c>
      <c r="E7041" s="2">
        <f>HYPERLINK("https://www.amazon.com/Klein-Tools-32613-Screwdriver-Precision/dp/B07PMDR8QG/ref=sr_1_46?keywords=Klein+Tools+32305+15-in-1+Multi-Bit+Ratcheting+Screwdriver&amp;qid=1694735163&amp;sr=8-46", "https://www.amazon.com/Klein-Tools-32613-Screwdriver-Precision/dp/B07PMDR8QG/ref=sr_1_46?keywords=Klein+Tools+32305+15-in-1+Multi-Bit+Ratcheting+Screwdriver&amp;qid=1694735163&amp;sr=8-46")</f>
        <v/>
      </c>
      <c r="F7041" t="inlineStr">
        <is>
          <t>B07PMDR8QG</t>
        </is>
      </c>
      <c r="G7041">
        <f>_xlfn.IMAGE("https://edmondsonsupply.com/cdn/shop/products/32305.jpg?v=1646965475")</f>
        <v/>
      </c>
      <c r="H7041">
        <f>_xlfn.IMAGE("https://m.media-amazon.com/images/I/41ymPfw5umL._AC_UL320_.jpg")</f>
        <v/>
      </c>
      <c r="K7041" t="inlineStr">
        <is>
          <t>21.97</t>
        </is>
      </c>
      <c r="L7041" t="n">
        <v>15.97</v>
      </c>
      <c r="M7041" s="1" t="inlineStr">
        <is>
          <t>-27.31%</t>
        </is>
      </c>
      <c r="N7041" s="7" t="n"/>
      <c r="O7041" t="n">
        <v>4.8</v>
      </c>
      <c r="P7041" t="n">
        <v>2282</v>
      </c>
      <c r="R7041" t="inlineStr">
        <is>
          <t>InStock</t>
        </is>
      </c>
      <c r="S7041" t="inlineStr">
        <is>
          <t>30.78</t>
        </is>
      </c>
      <c r="T7041" t="inlineStr">
        <is>
          <t>7632426598616</t>
        </is>
      </c>
    </row>
    <row r="7042" ht="87" customHeight="1">
      <c r="A7042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7042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7042" t="inlineStr">
        <is>
          <t>Klein Tools 69149P Test Kit with Multimeter, Non-Contact Volt Tester, Receptacle Tester</t>
        </is>
      </c>
      <c r="D7042" t="inlineStr">
        <is>
          <t>Klein Tools NCVT2PKIT Non-Contact Voltage Tester with Outlet Tester, 12-48V AC or 48 - 1000V AC Dual Range for Broad Application</t>
        </is>
      </c>
      <c r="E7042" s="2">
        <f>HYPERLINK("https://www.amazon.com/Klein-Tools-NCVT2PKIT-Non-Contact-Application/dp/B08FPHS6HL/ref=sr_1_18?keywords=Klein+Tools+69149P+Test+Kit+with+Multimeter%2C+Non-Contact+Volt+Tester%2C+Receptacle+Tester&amp;qid=1694735230&amp;sr=8-18", "https://www.amazon.com/Klein-Tools-NCVT2PKIT-Non-Contact-Application/dp/B08FPHS6HL/ref=sr_1_18?keywords=Klein+Tools+69149P+Test+Kit+with+Multimeter%2C+Non-Contact+Volt+Tester%2C+Receptacle+Tester&amp;qid=1694735230&amp;sr=8-18")</f>
        <v/>
      </c>
      <c r="F7042" t="inlineStr">
        <is>
          <t>B08FPHS6HL</t>
        </is>
      </c>
      <c r="G7042">
        <f>_xlfn.IMAGE("https://edmondsonsupply.com/cdn/shop/products/69149p.jpg?v=1664479017")</f>
        <v/>
      </c>
      <c r="H7042">
        <f>_xlfn.IMAGE("https://m.media-amazon.com/images/I/511RscwJPxL._AC_UL320_.jpg")</f>
        <v/>
      </c>
      <c r="K7042" t="inlineStr">
        <is>
          <t>39.97</t>
        </is>
      </c>
      <c r="L7042" t="n">
        <v>28.99</v>
      </c>
      <c r="M7042" s="1" t="inlineStr">
        <is>
          <t>-27.47%</t>
        </is>
      </c>
      <c r="N7042" s="7" t="n"/>
      <c r="O7042" t="n">
        <v>4.8</v>
      </c>
      <c r="P7042" t="n">
        <v>3246</v>
      </c>
      <c r="R7042" t="inlineStr">
        <is>
          <t>InStock</t>
        </is>
      </c>
      <c r="S7042" t="inlineStr">
        <is>
          <t>63.9</t>
        </is>
      </c>
      <c r="T7042" t="inlineStr">
        <is>
          <t>6584860606637</t>
        </is>
      </c>
    </row>
    <row r="7043" ht="87" customHeight="1">
      <c r="A7043" s="2">
        <f>HYPERLINK("https://edmondsonsupply.com/collections/electricians-tools/products/klein-tools-j2000-9netp-linemans-pliers-fish-tape-pulling-9-inch", "https://edmondsonsupply.com/collections/electricians-tools/products/klein-tools-j2000-9netp-linemans-pliers-fish-tape-pulling-9-inch")</f>
        <v/>
      </c>
      <c r="B7043" s="2">
        <f>HYPERLINK("https://edmondsonsupply.com/products/klein-tools-j2000-9netp-linemans-pliers-fish-tape-pulling-9-inch", "https://edmondsonsupply.com/products/klein-tools-j2000-9netp-linemans-pliers-fish-tape-pulling-9-inch")</f>
        <v/>
      </c>
      <c r="C7043" t="inlineStr">
        <is>
          <t>Klein Tools J2000-9NETP Lineman's Pliers, Fish Tape Pulling, 9-Inch</t>
        </is>
      </c>
      <c r="D7043" t="inlineStr">
        <is>
          <t>Klein Tools D213-9NETP Lineman's Fish Tape Pulling Pliers, High Leverage Design with Handle Termpering for comfort when Cutting, 9-Inch</t>
        </is>
      </c>
      <c r="E7043" s="2">
        <f>HYPERLINK("https://www.amazon.com/Klein-Tools-D213-9NETP-Linemans-Pulling/dp/B000BOA2GC/ref=sr_1_1?keywords=Klein+Tools+J2000-9NETP+Lineman%27s+Pliers%2C+Fish+Tape+Pulling%2C+9-Inch&amp;qid=1694735190&amp;sr=8-1", "https://www.amazon.com/Klein-Tools-D213-9NETP-Linemans-Pulling/dp/B000BOA2GC/ref=sr_1_1?keywords=Klein+Tools+J2000-9NETP+Lineman%27s+Pliers%2C+Fish+Tape+Pulling%2C+9-Inch&amp;qid=1694735190&amp;sr=8-1")</f>
        <v/>
      </c>
      <c r="F7043" t="inlineStr">
        <is>
          <t>B000BOA2GC</t>
        </is>
      </c>
      <c r="G7043">
        <f>_xlfn.IMAGE("https://edmondsonsupply.com/cdn/shop/products/j20009netp.jpg?v=1633031134")</f>
        <v/>
      </c>
      <c r="H7043">
        <f>_xlfn.IMAGE("https://m.media-amazon.com/images/I/41zLHfcbp+L._AC_UL320_.jpg")</f>
        <v/>
      </c>
      <c r="K7043" t="inlineStr">
        <is>
          <t>54.99</t>
        </is>
      </c>
      <c r="L7043" t="n">
        <v>39.88</v>
      </c>
      <c r="M7043" s="1" t="inlineStr">
        <is>
          <t>-27.48%</t>
        </is>
      </c>
      <c r="N7043" s="7" t="n"/>
      <c r="O7043" t="n">
        <v>4.8</v>
      </c>
      <c r="P7043" t="n">
        <v>4116</v>
      </c>
      <c r="R7043" t="inlineStr">
        <is>
          <t>InStock</t>
        </is>
      </c>
      <c r="S7043" t="inlineStr">
        <is>
          <t>81.8</t>
        </is>
      </c>
      <c r="T7043" t="inlineStr">
        <is>
          <t>6883628384429</t>
        </is>
      </c>
    </row>
    <row r="7044" ht="87" customHeight="1">
      <c r="A7044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7044" s="2">
        <f>HYPERLINK("https://edmondsonsupply.com/products/klein-tools-647m-magnetic-nut-driver-set-6-inch-shafts-7-piece", "https://edmondsonsupply.com/products/klein-tools-647m-magnetic-nut-driver-set-6-inch-shafts-7-piece")</f>
        <v/>
      </c>
      <c r="C7044" t="inlineStr">
        <is>
          <t>Klein Tools 647M Magnetic Nut Driver Set, 6-Inch Shafts, 7-Piece</t>
        </is>
      </c>
      <c r="D7044" t="inlineStr">
        <is>
          <t>Klein Tools 647 Tool Set, Nut Drivers Sizes 3/16, 1/4, 5/16, 11/32, 3/8, 7/16, 1/2-Inch, Chrome-Plated 6-Inch Shafts, Cushion Grip, 7-Piece</t>
        </is>
      </c>
      <c r="E7044" s="2">
        <f>HYPERLINK("https://www.amazon.com/Driver-6-Inch-Klein-Tools-647/dp/B0014KRVXO/ref=sr_1_2?keywords=Klein+Tools+647M+Magnetic+Nut+Driver+Set%2C+6-Inch+Shafts%2C+7-Piece&amp;qid=1694735271&amp;sr=8-2", "https://www.amazon.com/Driver-6-Inch-Klein-Tools-647/dp/B0014KRVXO/ref=sr_1_2?keywords=Klein+Tools+647M+Magnetic+Nut+Driver+Set%2C+6-Inch+Shafts%2C+7-Piece&amp;qid=1694735271&amp;sr=8-2")</f>
        <v/>
      </c>
      <c r="F7044" t="inlineStr">
        <is>
          <t>B0014KRVXO</t>
        </is>
      </c>
      <c r="G7044">
        <f>_xlfn.IMAGE("https://edmondsonsupply.com/cdn/shop/products/647m.jpg?v=1633030530")</f>
        <v/>
      </c>
      <c r="H7044">
        <f>_xlfn.IMAGE("https://m.media-amazon.com/images/I/51usUk-EpGL._AC_UL320_.jpg")</f>
        <v/>
      </c>
      <c r="K7044" t="inlineStr">
        <is>
          <t>79.99</t>
        </is>
      </c>
      <c r="L7044" t="n">
        <v>57.99</v>
      </c>
      <c r="M7044" s="1" t="inlineStr">
        <is>
          <t>-27.50%</t>
        </is>
      </c>
      <c r="N7044" s="7" t="n"/>
      <c r="O7044" t="n">
        <v>4.8</v>
      </c>
      <c r="P7044" t="n">
        <v>734</v>
      </c>
      <c r="R7044" t="inlineStr">
        <is>
          <t>InStock</t>
        </is>
      </c>
      <c r="S7044" t="inlineStr">
        <is>
          <t>117.72</t>
        </is>
      </c>
      <c r="T7044" t="inlineStr">
        <is>
          <t>5408872136872</t>
        </is>
      </c>
    </row>
    <row r="7045" hidden="1" ht="15.75" customHeight="1">
      <c r="A7045" s="2">
        <f>HYPERLINK("https://edmondsonsupply.com/collections/electricians-tools/products/klein-tools-vaco-s10m-5-16-magnetic-nut-driver-3-hollow-shaft", "https://edmondsonsupply.com/collections/electricians-tools/products/klein-tools-vaco-s10m-5-16-magnetic-nut-driver-3-hollow-shaft")</f>
        <v/>
      </c>
      <c r="B7045" s="2">
        <f>HYPERLINK("https://edmondsonsupply.com/products/klein-tools-vaco-s10m-5-16-magnetic-nut-driver-3-hollow-shaft", "https://edmondsonsupply.com/products/klein-tools-vaco-s10m-5-16-magnetic-nut-driver-3-hollow-shaft")</f>
        <v/>
      </c>
      <c r="C7045" t="inlineStr">
        <is>
          <t>Klein Tools S10M 5/16-Inch Magnetic Nut Driver 3-Inch Shaft</t>
        </is>
      </c>
      <c r="D7045" t="inlineStr">
        <is>
          <t>Klein Tools S10 5/16-Inch Nut Driver with 3-Inch Hollow Shaft and Comfordome Handle</t>
        </is>
      </c>
      <c r="E7045" s="2">
        <f>HYPERLINK("https://www.amazon.com/16-Inch-Comfordome-Klein-Tools-S10/dp/B0000302VV/ref=sr_1_10?keywords=Klein+Tools+S10M+5%2F16-Inch+Magnetic+Nut+Driver+3-Inch+Shaft&amp;qid=1694735002&amp;sr=8-10", "https://www.amazon.com/16-Inch-Comfordome-Klein-Tools-S10/dp/B0000302VV/ref=sr_1_10?keywords=Klein+Tools+S10M+5%2F16-Inch+Magnetic+Nut+Driver+3-Inch+Shaft&amp;qid=1694735002&amp;sr=8-10")</f>
        <v/>
      </c>
      <c r="F7045" t="inlineStr">
        <is>
          <t>B0000302VV</t>
        </is>
      </c>
      <c r="G7045">
        <f>_xludf.IMAGE("https://edmondsonsupply.com/cdn/shop/products/s10m_alt2.jpg?v=1587143022")</f>
        <v/>
      </c>
      <c r="H7045">
        <f>_xludf.IMAGE("https://m.media-amazon.com/images/I/41aAb0fCVtL._AC_UL320_.jpg")</f>
        <v/>
      </c>
      <c r="K7045" t="inlineStr">
        <is>
          <t>9.99</t>
        </is>
      </c>
      <c r="L7045" t="n">
        <v>7.24</v>
      </c>
      <c r="M7045" s="1" t="inlineStr">
        <is>
          <t>-27.53%</t>
        </is>
      </c>
      <c r="N7045" s="1" t="n"/>
      <c r="O7045" t="n">
        <v>4.5</v>
      </c>
      <c r="P7045" t="n">
        <v>224</v>
      </c>
      <c r="R7045" t="inlineStr">
        <is>
          <t>InStock</t>
        </is>
      </c>
      <c r="S7045" t="inlineStr">
        <is>
          <t>15.08</t>
        </is>
      </c>
      <c r="T7045" t="inlineStr">
        <is>
          <t>2767113125988</t>
        </is>
      </c>
    </row>
    <row r="7046" hidden="1" ht="15.75" customHeight="1">
      <c r="A7046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7046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7046" t="inlineStr">
        <is>
          <t>Klein Tools 630-5/16M 5/16-Inch Magnetic Nut Driver with Hollow Shaft</t>
        </is>
      </c>
      <c r="D7046" t="inlineStr">
        <is>
          <t>Klein Tools S10 5/16-Inch Nut Driver with 3-Inch Hollow Shaft and Comfordome Handle</t>
        </is>
      </c>
      <c r="E7046" s="2">
        <f>HYPERLINK("https://www.amazon.com/16-Inch-Comfordome-Klein-Tools-S10/dp/B0000302VV/ref=sr_1_11?keywords=Klein+Tools+630-5%2F16M+5%2F16-Inch+Magnetic+Nut+Driver+with+Hollow+Shaft&amp;qid=1694735398&amp;sr=8-11", "https://www.amazon.com/16-Inch-Comfordome-Klein-Tools-S10/dp/B0000302VV/ref=sr_1_11?keywords=Klein+Tools+630-5%2F16M+5%2F16-Inch+Magnetic+Nut+Driver+with+Hollow+Shaft&amp;qid=1694735398&amp;sr=8-11")</f>
        <v/>
      </c>
      <c r="F7046" t="inlineStr">
        <is>
          <t>B0000302VV</t>
        </is>
      </c>
      <c r="G7046">
        <f>_xludf.IMAGE("https://edmondsonsupply.com/cdn/shop/products/630-5-16m.jpg?v=1587148610")</f>
        <v/>
      </c>
      <c r="H7046">
        <f>_xludf.IMAGE("https://m.media-amazon.com/images/I/41aAb0fCVtL._AC_UL320_.jpg")</f>
        <v/>
      </c>
      <c r="K7046" t="inlineStr">
        <is>
          <t>9.99</t>
        </is>
      </c>
      <c r="L7046" t="n">
        <v>7.24</v>
      </c>
      <c r="M7046" s="1" t="inlineStr">
        <is>
          <t>-27.53%</t>
        </is>
      </c>
      <c r="N7046" s="1" t="n"/>
      <c r="O7046" t="n">
        <v>4.5</v>
      </c>
      <c r="P7046" t="n">
        <v>224</v>
      </c>
      <c r="R7046" t="inlineStr">
        <is>
          <t>InStock</t>
        </is>
      </c>
      <c r="S7046" t="inlineStr">
        <is>
          <t>15.12</t>
        </is>
      </c>
      <c r="T7046" t="inlineStr">
        <is>
          <t>4391884324964</t>
        </is>
      </c>
    </row>
    <row r="7047" hidden="1" ht="15.75" customHeight="1">
      <c r="A7047" s="2">
        <f>HYPERLINK("https://edmondsonsupply.com/collections/electricians-tools/products/klein-tools-jth6e14be-5-16-inch-ball-end-hex-key-with-t-handle-6-inch", "https://edmondsonsupply.com/collections/electricians-tools/products/klein-tools-jth6e14be-5-16-inch-ball-end-hex-key-with-t-handle-6-inch")</f>
        <v/>
      </c>
      <c r="B7047" s="2">
        <f>HYPERLINK("https://edmondsonsupply.com/products/klein-tools-jth6e14be-5-16-inch-ball-end-hex-key-with-t-handle-6-inch", "https://edmondsonsupply.com/products/klein-tools-jth6e14be-5-16-inch-ball-end-hex-key-with-t-handle-6-inch")</f>
        <v/>
      </c>
      <c r="C7047" t="inlineStr">
        <is>
          <t>Klein Tools JTH6E14BE 5/16-Inch Ball End Hex Key with T-Handle, 6-Inch</t>
        </is>
      </c>
      <c r="D7047" t="inlineStr">
        <is>
          <t>Klein Tools JTH6E12BE 7/32-Inch Ball End Hex Key with Journeyman T-Handle,6-Inch</t>
        </is>
      </c>
      <c r="E7047" s="2">
        <f>HYPERLINK("https://www.amazon.com/Journeyman-T-Handle-Klein-Tools-JTH6E12BE/dp/B004QW74L6/ref=sr_1_4?keywords=Klein+Tools+JTH6E14BE+5%2F16-Inch+Ball+End+Hex+Key+with+T-Handle%2C+6-Inch&amp;qid=1694735186&amp;sr=8-4", "https://www.amazon.com/Journeyman-T-Handle-Klein-Tools-JTH6E12BE/dp/B004QW74L6/ref=sr_1_4?keywords=Klein+Tools+JTH6E14BE+5%2F16-Inch+Ball+End+Hex+Key+with+T-Handle%2C+6-Inch&amp;qid=1694735186&amp;sr=8-4")</f>
        <v/>
      </c>
      <c r="F7047" t="inlineStr">
        <is>
          <t>B004QW74L6</t>
        </is>
      </c>
      <c r="G7047">
        <f>_xludf.IMAGE("https://edmondsonsupply.com/cdn/shop/products/jth6e13be_0da4cca6-ce15-419c-bc75-cd610bd9637f.jpg?v=1629825198")</f>
        <v/>
      </c>
      <c r="H7047">
        <f>_xludf.IMAGE("https://m.media-amazon.com/images/I/51f9vBFVXgL._AC_UL320_.jpg")</f>
        <v/>
      </c>
      <c r="K7047" t="inlineStr">
        <is>
          <t>8.49</t>
        </is>
      </c>
      <c r="L7047" t="n">
        <v>6.15</v>
      </c>
      <c r="M7047" s="1" t="inlineStr">
        <is>
          <t>-27.56%</t>
        </is>
      </c>
      <c r="N7047" s="1" t="n"/>
      <c r="O7047" t="n">
        <v>4.5</v>
      </c>
      <c r="P7047" t="n">
        <v>9</v>
      </c>
      <c r="R7047" t="inlineStr">
        <is>
          <t>InStock</t>
        </is>
      </c>
      <c r="S7047" t="inlineStr">
        <is>
          <t>12.88</t>
        </is>
      </c>
      <c r="T7047" t="inlineStr">
        <is>
          <t>6899546161325</t>
        </is>
      </c>
    </row>
    <row r="7048" hidden="1" ht="15.75" customHeight="1">
      <c r="A7048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7048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7048" t="inlineStr">
        <is>
          <t>Diablo Tools DMAPL4230 5/8 in. x 10 in. x 12 in. Rebar Demon™ SDS‑Plus 4‑Cutter Full Carbide Head Hammer Bit</t>
        </is>
      </c>
      <c r="D7048" t="inlineStr">
        <is>
          <t>Diablo by Freud DMAPL4160 3/8 in. x 10 in. x 12 in. Rebar Demon SDS-Plus 4-Cutter Full Carbide Head Hammer Bit</t>
        </is>
      </c>
      <c r="E7048" s="2">
        <f>HYPERLINK("https://www.amazon.com/Diablo-Freud-DMAPL4160-SDS-Plus-4-Cutter/dp/B089KX25B7/ref=sr_1_6?keywords=Diablo+Tools+DMAPL4230+5%2F8+in.+x+10+in.+x+12+in.+Rebar+Demon%E2%84%A2+SDS%E2%80%91Plus+4%E2%80%91Cutter+Full+Carbide+Head+Hammer+Bit&amp;qid=1694735289&amp;sr=8-6", "https://www.amazon.com/Diablo-Freud-DMAPL4160-SDS-Plus-4-Cutter/dp/B089KX25B7/ref=sr_1_6?keywords=Diablo+Tools+DMAPL4230+5%2F8+in.+x+10+in.+x+12+in.+Rebar+Demon%E2%84%A2+SDS%E2%80%91Plus+4%E2%80%91Cutter+Full+Carbide+Head+Hammer+Bit&amp;qid=1694735289&amp;sr=8-6")</f>
        <v/>
      </c>
      <c r="F7048" t="inlineStr">
        <is>
          <t>B089KX25B7</t>
        </is>
      </c>
      <c r="G7048">
        <f>_xludf.IMAGE("https://edmondsonsupply.com/cdn/shop/products/DMAPL4230_Main-Image20200701.png?v=1633030428")</f>
        <v/>
      </c>
      <c r="H7048">
        <f>_xludf.IMAGE("https://m.media-amazon.com/images/I/61MHnm3+2bL._AC_UL320_.jpg")</f>
        <v/>
      </c>
      <c r="K7048" t="inlineStr">
        <is>
          <t>17.97</t>
        </is>
      </c>
      <c r="L7048" t="n">
        <v>13.01</v>
      </c>
      <c r="M7048" s="1" t="inlineStr">
        <is>
          <t>-27.60%</t>
        </is>
      </c>
      <c r="N7048" s="1" t="n"/>
      <c r="O7048" t="n">
        <v>4.5</v>
      </c>
      <c r="P7048" t="n">
        <v>39</v>
      </c>
      <c r="R7048" t="inlineStr">
        <is>
          <t>InStock</t>
        </is>
      </c>
      <c r="S7048" t="inlineStr">
        <is>
          <t>27.18</t>
        </is>
      </c>
      <c r="T7048" t="inlineStr">
        <is>
          <t>5326959476904</t>
        </is>
      </c>
    </row>
    <row r="7049" hidden="1" ht="15.75" customHeight="1">
      <c r="A7049" s="2">
        <f>HYPERLINK("https://edmondsonsupply.com/collections/electricians-tools/products/diablo-tools-dmans1050-3-8-in-tile-stone-carbide-tipped-drill-bit", "https://edmondsonsupply.com/collections/electricians-tools/products/diablo-tools-dmans1050-3-8-in-tile-stone-carbide-tipped-drill-bit")</f>
        <v/>
      </c>
      <c r="B7049" s="2">
        <f>HYPERLINK("https://edmondsonsupply.com/products/diablo-tools-dmans1050-3-8-in-tile-stone-carbide-tipped-drill-bit", "https://edmondsonsupply.com/products/diablo-tools-dmans1050-3-8-in-tile-stone-carbide-tipped-drill-bit")</f>
        <v/>
      </c>
      <c r="C7049" t="inlineStr">
        <is>
          <t>Diablo Tools DMANS1050 3/8 in. Tile &amp; Stone Carbide Tipped Drill Bit</t>
        </is>
      </c>
      <c r="D7049" t="inlineStr">
        <is>
          <t>Diablo 3/8 in. Tile &amp; Stone Carbide Tipped Drill Bit</t>
        </is>
      </c>
      <c r="E7049" s="2">
        <f>HYPERLINK("https://www.amazon.com/Diablo-DMANS1050-Stone-Carbide-Tipped/dp/B089KX54KP/ref=sr_1_1?keywords=Diablo+Tools+DMANS1050+3%2F8+in.+Tile&amp;qid=1694735161&amp;sr=8-1", "https://www.amazon.com/Diablo-DMANS1050-Stone-Carbide-Tipped/dp/B089KX54KP/ref=sr_1_1?keywords=Diablo+Tools+DMANS1050+3%2F8+in.+Tile&amp;qid=1694735161&amp;sr=8-1")</f>
        <v/>
      </c>
      <c r="F7049" t="inlineStr">
        <is>
          <t>B089KX54KP</t>
        </is>
      </c>
      <c r="G7049">
        <f>_xludf.IMAGE("https://edmondsonsupply.com/cdn/shop/products/1050.webp?v=1647637874")</f>
        <v/>
      </c>
      <c r="H7049">
        <f>_xludf.IMAGE("https://m.media-amazon.com/images/I/61+diWSK+wL._AC_UL320_.jpg")</f>
        <v/>
      </c>
      <c r="K7049" t="inlineStr">
        <is>
          <t>14.97</t>
        </is>
      </c>
      <c r="L7049" t="n">
        <v>10.83</v>
      </c>
      <c r="M7049" s="1" t="inlineStr">
        <is>
          <t>-27.66%</t>
        </is>
      </c>
      <c r="N7049" s="1" t="n"/>
      <c r="O7049" t="n">
        <v>5</v>
      </c>
      <c r="P7049" t="n">
        <v>2</v>
      </c>
      <c r="R7049" t="inlineStr">
        <is>
          <t>InStock</t>
        </is>
      </c>
      <c r="S7049" t="inlineStr">
        <is>
          <t>undefined</t>
        </is>
      </c>
      <c r="T7049" t="inlineStr">
        <is>
          <t>7639207149784</t>
        </is>
      </c>
    </row>
    <row r="7050" hidden="1" ht="15.75" customHeight="1">
      <c r="A7050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7050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7050" t="inlineStr">
        <is>
          <t>Diablo Tools DMAPL4230 5/8 in. x 10 in. x 12 in. Rebar Demon™ SDS‑Plus 4‑Cutter Full Carbide Head Hammer Bit</t>
        </is>
      </c>
      <c r="D7050" t="inlineStr">
        <is>
          <t>Diablo DMAPL4120 5/16 in. x 10 in. x 12 in. Rebar Demon™ SDS-Plus 4-Cutter Full Carbide Head Hammer Bit</t>
        </is>
      </c>
      <c r="E7050" s="2">
        <f>HYPERLINK("https://www.amazon.com/Diablo-SDS-Plus-4-Cutter-Carbide-Hammer/dp/B089KTHL12/ref=sr_1_4?keywords=Diablo+Tools+DMAPL4230+5%2F8+in.+x+10+in.+x+12+in.+Rebar+Demon%E2%84%A2+SDS%E2%80%91Plus+4%E2%80%91Cutter+Full+Carbide+Head+Hammer+Bit&amp;qid=1694735289&amp;sr=8-4", "https://www.amazon.com/Diablo-SDS-Plus-4-Cutter-Carbide-Hammer/dp/B089KTHL12/ref=sr_1_4?keywords=Diablo+Tools+DMAPL4230+5%2F8+in.+x+10+in.+x+12+in.+Rebar+Demon%E2%84%A2+SDS%E2%80%91Plus+4%E2%80%91Cutter+Full+Carbide+Head+Hammer+Bit&amp;qid=1694735289&amp;sr=8-4")</f>
        <v/>
      </c>
      <c r="F7050" t="inlineStr">
        <is>
          <t>B089KTHL12</t>
        </is>
      </c>
      <c r="G7050">
        <f>_xludf.IMAGE("https://edmondsonsupply.com/cdn/shop/products/DMAPL4230_Main-Image20200701.png?v=1633030428")</f>
        <v/>
      </c>
      <c r="H7050">
        <f>_xludf.IMAGE("https://m.media-amazon.com/images/I/61P8b1v1TBL._AC_UL320_.jpg")</f>
        <v/>
      </c>
      <c r="K7050" t="inlineStr">
        <is>
          <t>17.97</t>
        </is>
      </c>
      <c r="L7050" t="n">
        <v>12.99</v>
      </c>
      <c r="M7050" s="1" t="inlineStr">
        <is>
          <t>-27.71%</t>
        </is>
      </c>
      <c r="N7050" s="1" t="n"/>
      <c r="O7050" t="n">
        <v>5</v>
      </c>
      <c r="P7050" t="n">
        <v>6</v>
      </c>
      <c r="R7050" t="inlineStr">
        <is>
          <t>InStock</t>
        </is>
      </c>
      <c r="S7050" t="inlineStr">
        <is>
          <t>27.18</t>
        </is>
      </c>
      <c r="T7050" t="inlineStr">
        <is>
          <t>5326959476904</t>
        </is>
      </c>
    </row>
    <row r="7051" ht="87" customHeight="1">
      <c r="A7051" s="2">
        <f>HYPERLINK("https://edmondsonsupply.com/collections/electricians-tools/products/klein-1550-2-pocket-knife-carbon-steel-2-1-2-spearpoint-screwdriver-tip", "https://edmondsonsupply.com/collections/electricians-tools/products/klein-1550-2-pocket-knife-carbon-steel-2-1-2-spearpoint-screwdriver-tip")</f>
        <v/>
      </c>
      <c r="B7051" s="2">
        <f>HYPERLINK("https://edmondsonsupply.com/products/klein-1550-2-pocket-knife-carbon-steel-2-1-2-spearpoint-screwdriver-tip", "https://edmondsonsupply.com/products/klein-1550-2-pocket-knife-carbon-steel-2-1-2-spearpoint-screwdriver-tip")</f>
        <v/>
      </c>
      <c r="C7051" t="inlineStr">
        <is>
          <t>Klein Tools 1550-2 2 Blade Pocket Knife, Steel, 2-1/2-Inch Blade</t>
        </is>
      </c>
      <c r="D7051" t="inlineStr">
        <is>
          <t>Klein Tools 1550-11 Pocket Knife 2-1/4-Inch Steel Coping Blade, Wood Grain</t>
        </is>
      </c>
      <c r="E7051" s="2">
        <f>HYPERLINK("https://www.amazon.com/Klein-Tools-1550-11-Pocket-4-Inch/dp/B0002RI4Y0/ref=sr_1_2?keywords=Klein+Tools+1550-2+2+Blade+Pocket+Knife%2C+Steel%2C+2-1%2F2-Inch+Blade&amp;qid=1694735141&amp;sr=8-2", "https://www.amazon.com/Klein-Tools-1550-11-Pocket-4-Inch/dp/B0002RI4Y0/ref=sr_1_2?keywords=Klein+Tools+1550-2+2+Blade+Pocket+Knife%2C+Steel%2C+2-1%2F2-Inch+Blade&amp;qid=1694735141&amp;sr=8-2")</f>
        <v/>
      </c>
      <c r="F7051" t="inlineStr">
        <is>
          <t>B0002RI4Y0</t>
        </is>
      </c>
      <c r="G7051">
        <f>_xlfn.IMAGE("https://edmondsonsupply.com/cdn/shop/products/15502_b.jpg?v=1658020543")</f>
        <v/>
      </c>
      <c r="H7051">
        <f>_xlfn.IMAGE("https://m.media-amazon.com/images/I/41qd2GwDA4L._AC_UL320_.jpg")</f>
        <v/>
      </c>
      <c r="K7051" t="inlineStr">
        <is>
          <t>29.99</t>
        </is>
      </c>
      <c r="L7051" t="n">
        <v>21.59</v>
      </c>
      <c r="M7051" s="1" t="inlineStr">
        <is>
          <t>-28.01%</t>
        </is>
      </c>
      <c r="N7051" s="7" t="n"/>
      <c r="O7051" t="n">
        <v>4.5</v>
      </c>
      <c r="P7051" t="n">
        <v>410</v>
      </c>
      <c r="R7051" t="inlineStr">
        <is>
          <t>InStock</t>
        </is>
      </c>
      <c r="S7051" t="inlineStr">
        <is>
          <t>45.52</t>
        </is>
      </c>
      <c r="T7051" t="inlineStr">
        <is>
          <t>2766536409188</t>
        </is>
      </c>
    </row>
    <row r="7052" ht="87" customHeight="1">
      <c r="A7052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7052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7052" t="inlineStr">
        <is>
          <t>Klein Tools 646M Magnetic Nut Driver Set, 6-Inch Shafts, 2-Piece</t>
        </is>
      </c>
      <c r="D7052" t="inlineStr">
        <is>
          <t>Klein Tools 610M Tool Set, Magnetic Nut Driver Set with Stubby Nut Driver Sizes 1/4 and 5/16-Inch, Full Hollow Shaft, 2-Piece</t>
        </is>
      </c>
      <c r="E7052" s="2">
        <f>HYPERLINK("https://www.amazon.com/Klein-Tools-610M-16-Inch-Magnetic/dp/B00093DZO6/ref=sr_1_8?keywords=Klein+Tools+646M+Magnetic+Nut+Driver+Set%2C+6-Inch+Shafts%2C+2-Piece&amp;qid=1694735354&amp;sr=8-8", "https://www.amazon.com/Klein-Tools-610M-16-Inch-Magnetic/dp/B00093DZO6/ref=sr_1_8?keywords=Klein+Tools+646M+Magnetic+Nut+Driver+Set%2C+6-Inch+Shafts%2C+2-Piece&amp;qid=1694735354&amp;sr=8-8")</f>
        <v/>
      </c>
      <c r="F7052" t="inlineStr">
        <is>
          <t>B00093DZO6</t>
        </is>
      </c>
      <c r="G7052">
        <f>_xlfn.IMAGE("https://edmondsonsupply.com/cdn/shop/products/646m.jpg?v=1587146592")</f>
        <v/>
      </c>
      <c r="H7052">
        <f>_xlfn.IMAGE("https://m.media-amazon.com/images/I/51lgiheW64L._AC_UL320_.jpg")</f>
        <v/>
      </c>
      <c r="K7052" t="inlineStr">
        <is>
          <t>24.99</t>
        </is>
      </c>
      <c r="L7052" t="n">
        <v>17.99</v>
      </c>
      <c r="M7052" s="1" t="inlineStr">
        <is>
          <t>-28.01%</t>
        </is>
      </c>
      <c r="N7052" s="7" t="n"/>
      <c r="O7052" t="n">
        <v>4.8</v>
      </c>
      <c r="P7052" t="n">
        <v>559</v>
      </c>
      <c r="R7052" t="inlineStr">
        <is>
          <t>InStock</t>
        </is>
      </c>
      <c r="S7052" t="inlineStr">
        <is>
          <t>31.74</t>
        </is>
      </c>
      <c r="T7052" t="inlineStr">
        <is>
          <t>4469705932900</t>
        </is>
      </c>
    </row>
    <row r="7053" ht="87" customHeight="1">
      <c r="A7053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053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053" t="inlineStr">
        <is>
          <t>Milwaukee 48-11-2411 M12 REDLITHIUM™ Compact Battery Two Pack</t>
        </is>
      </c>
      <c r="D7053" t="inlineStr">
        <is>
          <t>Milwaukee 48-11-2411 M12 12V 1.5 Ah Lithium-Ion Battery - 2 Pack</t>
        </is>
      </c>
      <c r="E7053" s="2">
        <f>HYPERLINK("https://www.amazon.com/Milwaukee-48-11-2411-M12-Lithium-Ion-Battery/dp/B0916HCLDW/ref=sr_1_16?keywords=Milwaukee+48-11-2411+M12+REDLITHIUM%E2%84%A2+Compact+Battery+Two+Pack&amp;qid=1694735145&amp;sr=8-16", "https://www.amazon.com/Milwaukee-48-11-2411-M12-Lithium-Ion-Battery/dp/B0916HCLDW/ref=sr_1_16?keywords=Milwaukee+48-11-2411+M12+REDLITHIUM%E2%84%A2+Compact+Battery+Two+Pack&amp;qid=1694735145&amp;sr=8-16")</f>
        <v/>
      </c>
      <c r="F7053" t="inlineStr">
        <is>
          <t>B0916HCLDW</t>
        </is>
      </c>
      <c r="G7053">
        <f>_xlfn.IMAGE("https://edmondsonsupply.com/cdn/shop/products/65014_48-11-2411-lg.jpg?v=1655484824")</f>
        <v/>
      </c>
      <c r="H7053">
        <f>_xlfn.IMAGE("https://m.media-amazon.com/images/I/61ZHex5zArL._AC_UL320_.jpg")</f>
        <v/>
      </c>
      <c r="K7053" t="inlineStr">
        <is>
          <t>89.0</t>
        </is>
      </c>
      <c r="L7053" t="n">
        <v>64</v>
      </c>
      <c r="M7053" s="1" t="inlineStr">
        <is>
          <t>-28.09%</t>
        </is>
      </c>
      <c r="N7053" s="7" t="n"/>
      <c r="O7053" t="n">
        <v>4.5</v>
      </c>
      <c r="P7053" t="n">
        <v>109</v>
      </c>
      <c r="R7053" t="inlineStr">
        <is>
          <t>OutOfStock</t>
        </is>
      </c>
      <c r="S7053" t="inlineStr">
        <is>
          <t>150.0</t>
        </is>
      </c>
      <c r="T7053" t="inlineStr">
        <is>
          <t>7721456795864</t>
        </is>
      </c>
    </row>
    <row r="7054" ht="87" customHeight="1">
      <c r="A7054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7054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7054" t="inlineStr">
        <is>
          <t>Diablo Tools DMAMX1050 9/16 in. x 8 in. x 13 in. Rebar Demon™ SDS-Max 4-Cutter Full Carbide Head Hammer Drill Bit</t>
        </is>
      </c>
      <c r="D7054" t="inlineStr">
        <is>
          <t>Diablo DMAMX1050 9/16 in. x 8 in. x 13 in. Rebar Demon™ SDS-Max 4-Cutter Full Carbide Head Hammer Bit</t>
        </is>
      </c>
      <c r="E7054" s="2">
        <f>HYPERLINK("https://www.amazon.com/Diablo-SDS-Max-4-Cutter-Carbide-Hammer/dp/B089LK4F2D/ref=sr_1_1?keywords=Diablo+Tools+DMAMX1050+9%2F16+in.+x+8+in.+x+13+in.+Rebar+Demon%E2%84%A2+SDS-Max+4-Cutter+Full+Carbide+Head+Hammer+Drill+Bit&amp;qid=1694735208&amp;sr=8-1", "https://www.amazon.com/Diablo-SDS-Max-4-Cutter-Carbide-Hammer/dp/B089LK4F2D/ref=sr_1_1?keywords=Diablo+Tools+DMAMX1050+9%2F16+in.+x+8+in.+x+13+in.+Rebar+Demon%E2%84%A2+SDS-Max+4-Cutter+Full+Carbide+Head+Hammer+Drill+Bit&amp;qid=1694735208&amp;sr=8-1")</f>
        <v/>
      </c>
      <c r="F7054" t="inlineStr">
        <is>
          <t>B089LK4F2D</t>
        </is>
      </c>
      <c r="G7054">
        <f>_xlfn.IMAGE("https://edmondsonsupply.com/cdn/shop/products/DMAMX1050_Main-Image20200701.png?v=1633031097")</f>
        <v/>
      </c>
      <c r="H7054">
        <f>_xlfn.IMAGE("https://m.media-amazon.com/images/I/61jYhd4-UbL._AC_UL320_.jpg")</f>
        <v/>
      </c>
      <c r="K7054" t="inlineStr">
        <is>
          <t>29.19</t>
        </is>
      </c>
      <c r="L7054" t="n">
        <v>20.99</v>
      </c>
      <c r="M7054" s="1" t="inlineStr">
        <is>
          <t>-28.09%</t>
        </is>
      </c>
      <c r="N7054" s="7" t="n"/>
      <c r="O7054" t="n">
        <v>5</v>
      </c>
      <c r="P7054" t="n">
        <v>1</v>
      </c>
      <c r="R7054" t="inlineStr">
        <is>
          <t>InStock</t>
        </is>
      </c>
      <c r="S7054" t="inlineStr">
        <is>
          <t>46.05</t>
        </is>
      </c>
      <c r="T7054" t="inlineStr">
        <is>
          <t>6842367738029</t>
        </is>
      </c>
    </row>
    <row r="7055" ht="87" customHeight="1">
      <c r="A7055" s="2">
        <f>HYPERLINK("https://edmondsonsupply.com/collections/electricians-tools/products/klein-tools-42200-electricians-tool-apron-m-l", "https://edmondsonsupply.com/collections/electricians-tools/products/klein-tools-42200-electricians-tool-apron-m-l")</f>
        <v/>
      </c>
      <c r="B7055" s="2">
        <f>HYPERLINK("https://edmondsonsupply.com/products/klein-tools-42200-electricians-tool-apron-m-l", "https://edmondsonsupply.com/products/klein-tools-42200-electricians-tool-apron-m-l")</f>
        <v/>
      </c>
      <c r="C7055" t="inlineStr">
        <is>
          <t>Klein Tools 42200 Electrician's Tool Apron M/L</t>
        </is>
      </c>
      <c r="D7055" t="inlineStr">
        <is>
          <t>Klein Tools 5207M Electrician's Leather Tool Belt, Medium,Brown</t>
        </is>
      </c>
      <c r="E7055" s="2">
        <f>HYPERLINK("https://www.amazon.com/Klein-Tools-5207M-Electricians-Leather/dp/B002AMVE88/ref=sr_1_10?keywords=Klein+Tools+42200+Electrician%27s+Tool+Apron+M%2FL&amp;qid=1694735356&amp;sr=8-10", "https://www.amazon.com/Klein-Tools-5207M-Electricians-Leather/dp/B002AMVE88/ref=sr_1_10?keywords=Klein+Tools+42200+Electrician%27s+Tool+Apron+M%2FL&amp;qid=1694735356&amp;sr=8-10")</f>
        <v/>
      </c>
      <c r="F7055" t="inlineStr">
        <is>
          <t>B002AMVE88</t>
        </is>
      </c>
      <c r="G7055">
        <f>_xlfn.IMAGE("https://edmondsonsupply.com/cdn/shop/products/42200.jpg?v=1587143574")</f>
        <v/>
      </c>
      <c r="H7055">
        <f>_xlfn.IMAGE("https://m.media-amazon.com/images/I/51hnzjzEQSL._AC_UL320_.jpg")</f>
        <v/>
      </c>
      <c r="K7055" t="inlineStr">
        <is>
          <t>31.99</t>
        </is>
      </c>
      <c r="L7055" t="n">
        <v>23</v>
      </c>
      <c r="M7055" s="1" t="inlineStr">
        <is>
          <t>-28.10%</t>
        </is>
      </c>
      <c r="N7055" s="7" t="n"/>
      <c r="O7055" t="n">
        <v>4.4</v>
      </c>
      <c r="P7055" t="n">
        <v>140</v>
      </c>
      <c r="R7055" t="inlineStr">
        <is>
          <t>InStock</t>
        </is>
      </c>
      <c r="S7055" t="inlineStr">
        <is>
          <t>48.48</t>
        </is>
      </c>
      <c r="T7055" t="inlineStr">
        <is>
          <t>4432204890212</t>
        </is>
      </c>
    </row>
    <row r="7056" ht="87" customHeight="1">
      <c r="A7056" s="2">
        <f>HYPERLINK("https://edmondsonsupply.com/collections/electricians-tools/products/rack-a-tiers-11455-wire-dispenser", "https://edmondsonsupply.com/collections/electricians-tools/products/rack-a-tiers-11455-wire-dispenser")</f>
        <v/>
      </c>
      <c r="B7056" s="2">
        <f>HYPERLINK("https://edmondsonsupply.com/products/rack-a-tiers-11455-wire-dispenser", "https://edmondsonsupply.com/products/rack-a-tiers-11455-wire-dispenser")</f>
        <v/>
      </c>
      <c r="C7056" t="inlineStr">
        <is>
          <t>Rack-A-Tiers 11455 Wire Dispenser</t>
        </is>
      </c>
      <c r="D7056" t="inlineStr">
        <is>
          <t>Rack-A-Tiers Thomas Wheeler Hanging Wire Dispenser (19455)</t>
        </is>
      </c>
      <c r="E7056" s="2">
        <f>HYPERLINK("https://www.amazon.com/Rack-A-Tiers-19455-Wire-Dispenser/dp/B0087TBQFE/ref=sr_1_10?keywords=Rack-A-Tiers+11455+Wire+Dispenser&amp;qid=1694734977&amp;sr=8-10", "https://www.amazon.com/Rack-A-Tiers-19455-Wire-Dispenser/dp/B0087TBQFE/ref=sr_1_10?keywords=Rack-A-Tiers+11455+Wire+Dispenser&amp;qid=1694734977&amp;sr=8-10")</f>
        <v/>
      </c>
      <c r="F7056" t="inlineStr">
        <is>
          <t>B0087TBQFE</t>
        </is>
      </c>
      <c r="G7056">
        <f>_xlfn.IMAGE("https://edmondsonsupply.com/cdn/shop/products/11455.png?v=1587150070")</f>
        <v/>
      </c>
      <c r="H7056">
        <f>_xlfn.IMAGE("https://m.media-amazon.com/images/I/51MOh71KHsL._AC_UL320_.jpg")</f>
        <v/>
      </c>
      <c r="K7056" t="inlineStr">
        <is>
          <t>105.39</t>
        </is>
      </c>
      <c r="L7056" t="n">
        <v>75.69</v>
      </c>
      <c r="M7056" s="1" t="inlineStr">
        <is>
          <t>-28.18%</t>
        </is>
      </c>
      <c r="N7056" s="7" t="n"/>
      <c r="O7056" t="n">
        <v>4.1</v>
      </c>
      <c r="P7056" t="n">
        <v>67</v>
      </c>
      <c r="R7056" t="inlineStr">
        <is>
          <t>InStock</t>
        </is>
      </c>
      <c r="S7056" t="inlineStr">
        <is>
          <t>112.99</t>
        </is>
      </c>
      <c r="T7056" t="inlineStr">
        <is>
          <t>3259201126500</t>
        </is>
      </c>
    </row>
    <row r="7057" ht="87" customHeight="1">
      <c r="A7057" s="2">
        <f>HYPERLINK("https://edmondsonsupply.com/collections/electricians-tools/products/diablo-tools-dmamx1090-5-8", "https://edmondsonsupply.com/collections/electricians-tools/products/diablo-tools-dmamx1090-5-8")</f>
        <v/>
      </c>
      <c r="B7057" s="2">
        <f>HYPERLINK("https://edmondsonsupply.com/products/diablo-tools-dmamx1090-5-8", "https://edmondsonsupply.com/products/diablo-tools-dmamx1090-5-8")</f>
        <v/>
      </c>
      <c r="C7057" t="inlineStr">
        <is>
          <t>Diablo Tools DMAMX1090 5/8 in. x 8 in. x 13 in. Rebar Demon SDS‑Max 4‑Cutter Full Carbide Head Hammer Bit</t>
        </is>
      </c>
      <c r="D7057" t="inlineStr">
        <is>
          <t>Diablo by Freud DMAPL4270 27/32 in. x 8 in. x 10 in. Rebar Demon SDS-Plus 4-Cutter Full Carbide Head Hammer Bit</t>
        </is>
      </c>
      <c r="E7057" s="2">
        <f>HYPERLINK("https://www.amazon.com/Diablo-Freud-DMAPL4270-SDS-Plus-4-Cutter/dp/B089KXBGLM/ref=sr_1_45?keywords=Diablo+Tools+DMAMX1090+5%2F8+in.+x+8+in.+x+13+in.+Rebar+Demon+SDS%E2%80%91Max+4%E2%80%91Cutter+Full+Carbide+Head+Hammer+Bit&amp;qid=1694735267&amp;sr=8-45", "https://www.amazon.com/Diablo-Freud-DMAPL4270-SDS-Plus-4-Cutter/dp/B089KXBGLM/ref=sr_1_45?keywords=Diablo+Tools+DMAMX1090+5%2F8+in.+x+8+in.+x+13+in.+Rebar+Demon+SDS%E2%80%91Max+4%E2%80%91Cutter+Full+Carbide+Head+Hammer+Bit&amp;qid=1694735267&amp;sr=8-45")</f>
        <v/>
      </c>
      <c r="F7057" t="inlineStr">
        <is>
          <t>B089KXBGLM</t>
        </is>
      </c>
      <c r="G7057">
        <f>_xlfn.IMAGE("https://edmondsonsupply.com/cdn/shop/products/DMAMX1090_Main-Image20200701.png?v=1609799247")</f>
        <v/>
      </c>
      <c r="H7057">
        <f>_xlfn.IMAGE("https://m.media-amazon.com/images/I/611A6sphG9L._AC_UL320_.jpg")</f>
        <v/>
      </c>
      <c r="K7057" t="inlineStr">
        <is>
          <t>41.97</t>
        </is>
      </c>
      <c r="L7057" t="n">
        <v>30.13</v>
      </c>
      <c r="M7057" s="1" t="inlineStr">
        <is>
          <t>-28.21%</t>
        </is>
      </c>
      <c r="N7057" s="7" t="n"/>
      <c r="O7057" t="n">
        <v>5</v>
      </c>
      <c r="P7057" t="n">
        <v>2</v>
      </c>
      <c r="R7057" t="inlineStr">
        <is>
          <t>InStock</t>
        </is>
      </c>
      <c r="S7057" t="inlineStr">
        <is>
          <t>48.13</t>
        </is>
      </c>
      <c r="T7057" t="inlineStr">
        <is>
          <t>5463856447656</t>
        </is>
      </c>
    </row>
    <row r="7058" ht="87" customHeight="1">
      <c r="A7058" s="2">
        <f>HYPERLINK("https://edmondsonsupply.com/collections/electricians-tools/products/klein-tools-d2000-49-diagonal-cutting-pliers-angled-head-9-inch", "https://edmondsonsupply.com/collections/electricians-tools/products/klein-tools-d2000-49-diagonal-cutting-pliers-angled-head-9-inch")</f>
        <v/>
      </c>
      <c r="B7058" s="2">
        <f>HYPERLINK("https://edmondsonsupply.com/products/klein-tools-d2000-49-diagonal-cutting-pliers-angled-head-9-inch", "https://edmondsonsupply.com/products/klein-tools-d2000-49-diagonal-cutting-pliers-angled-head-9-inch")</f>
        <v/>
      </c>
      <c r="C7058" t="inlineStr">
        <is>
          <t>Klein Tools D2000-49 Diagonal Cutting Pliers, Angled Head, 9-Inch</t>
        </is>
      </c>
      <c r="D7058" t="inlineStr">
        <is>
          <t>Klein Tools D2000-28 Pliers, Diagonal Cutting Pliers with Angled Head are Heavy-Duty to Cut ACSR, Screws, Nails, Most Hardened Wire, 8-Inch</t>
        </is>
      </c>
      <c r="E7058" s="2">
        <f>HYPERLINK("https://www.amazon.com/High-Leverage-Diagonal-Cutting-Klein-Tools-D2000-28/dp/B0000302WR/ref=sr_1_2?keywords=Klein+Tools+D2000-49+Diagonal+Cutting+Pliers%2C+Angled+Head%2C+9-Inch&amp;qid=1694735245&amp;sr=8-2", "https://www.amazon.com/High-Leverage-Diagonal-Cutting-Klein-Tools-D2000-28/dp/B0000302WR/ref=sr_1_2?keywords=Klein+Tools+D2000-49+Diagonal+Cutting+Pliers%2C+Angled+Head%2C+9-Inch&amp;qid=1694735245&amp;sr=8-2")</f>
        <v/>
      </c>
      <c r="F7058" t="inlineStr">
        <is>
          <t>B0000302WR</t>
        </is>
      </c>
      <c r="G7058">
        <f>_xlfn.IMAGE("https://edmondsonsupply.com/cdn/shop/products/d2000-49.jpg?v=1633030811")</f>
        <v/>
      </c>
      <c r="H7058">
        <f>_xlfn.IMAGE("https://m.media-amazon.com/images/I/41VuWJ3z3QL._AC_UL320_.jpg")</f>
        <v/>
      </c>
      <c r="K7058" t="inlineStr">
        <is>
          <t>38.99</t>
        </is>
      </c>
      <c r="L7058" t="n">
        <v>27.97</v>
      </c>
      <c r="M7058" s="1" t="inlineStr">
        <is>
          <t>-28.26%</t>
        </is>
      </c>
      <c r="N7058" s="7" t="n"/>
      <c r="O7058" t="n">
        <v>4.8</v>
      </c>
      <c r="P7058" t="n">
        <v>1451</v>
      </c>
      <c r="R7058" t="inlineStr">
        <is>
          <t>InStock</t>
        </is>
      </c>
      <c r="S7058" t="inlineStr">
        <is>
          <t>59.06</t>
        </is>
      </c>
      <c r="T7058" t="inlineStr">
        <is>
          <t>6025094987944</t>
        </is>
      </c>
    </row>
    <row r="7059" ht="87" customHeight="1">
      <c r="A7059" s="2">
        <f>HYPERLINK("https://edmondsonsupply.com/collections/electricians-tools/products/milwaukee-2746-21ct-m18-fuel%E2%84%A2-18-gauge-brad-nailer-kit", "https://edmondsonsupply.com/collections/electricians-tools/products/milwaukee-2746-21ct-m18-fuel%E2%84%A2-18-gauge-brad-nailer-kit")</f>
        <v/>
      </c>
      <c r="B7059" s="2">
        <f>HYPERLINK("https://edmondsonsupply.com/products/milwaukee-2746-21ct-m18-fuel%e2%84%a2-18-gauge-brad-nailer-kit", "https://edmondsonsupply.com/products/milwaukee-2746-21ct-m18-fuel%e2%84%a2-18-gauge-brad-nailer-kit")</f>
        <v/>
      </c>
      <c r="C7059" t="inlineStr">
        <is>
          <t>Milwaukee 2746-21CT M18 FUEL™ 18 Gauge Brad Nailer Kit</t>
        </is>
      </c>
      <c r="D7059" t="inlineStr">
        <is>
          <t>Milwaukee 2746-20 M18 FUEL 18 Gauge Brad Nailer (Tool Only)</t>
        </is>
      </c>
      <c r="E7059" s="2">
        <f>HYPERLINK("https://www.amazon.com/Milwaukee-2746-20-FUEL-Gauge-Nailer/dp/B07VYJQ1KP/ref=sr_1_2?keywords=Milwaukee+2746-21CT+M18+FUEL%E2%84%A2+18+Gauge+Brad+Nailer+Kit&amp;qid=1694735067&amp;sr=8-2", "https://www.amazon.com/Milwaukee-2746-20-FUEL-Gauge-Nailer/dp/B07VYJQ1KP/ref=sr_1_2?keywords=Milwaukee+2746-21CT+M18+FUEL%E2%84%A2+18+Gauge+Brad+Nailer+Kit&amp;qid=1694735067&amp;sr=8-2")</f>
        <v/>
      </c>
      <c r="F7059" t="inlineStr">
        <is>
          <t>B07VYJQ1KP</t>
        </is>
      </c>
      <c r="G7059">
        <f>_xlfn.IMAGE("https://edmondsonsupply.com/cdn/shop/products/2746-21CT_KIT.webp?v=1671649531")</f>
        <v/>
      </c>
      <c r="H7059">
        <f>_xlfn.IMAGE("https://m.media-amazon.com/images/I/71UbSbRsStL._AC_UL320_.jpg")</f>
        <v/>
      </c>
      <c r="K7059" t="inlineStr">
        <is>
          <t>399.0</t>
        </is>
      </c>
      <c r="L7059" t="n">
        <v>285.9</v>
      </c>
      <c r="M7059" s="1" t="inlineStr">
        <is>
          <t>-28.35%</t>
        </is>
      </c>
      <c r="N7059" s="7" t="n"/>
      <c r="O7059" t="n">
        <v>4.7</v>
      </c>
      <c r="P7059" t="n">
        <v>673</v>
      </c>
      <c r="R7059" t="inlineStr">
        <is>
          <t>InStock</t>
        </is>
      </c>
      <c r="S7059" t="inlineStr">
        <is>
          <t>702.0</t>
        </is>
      </c>
      <c r="T7059" t="inlineStr">
        <is>
          <t>7909883773144</t>
        </is>
      </c>
    </row>
    <row r="7060" ht="87" customHeight="1">
      <c r="A7060" s="2">
        <f>HYPERLINK("https://edmondsonsupply.com/collections/electricians-tools/products/milwaukee-2830-20-m18-fuel%E2%84%A2-rear-handle-7-1-4-circular-saw-tool-only", "https://edmondsonsupply.com/collections/electricians-tools/products/milwaukee-2830-20-m18-fuel%E2%84%A2-rear-handle-7-1-4-circular-saw-tool-only")</f>
        <v/>
      </c>
      <c r="B7060" s="2">
        <f>HYPERLINK("https://edmondsonsupply.com/products/milwaukee-2830-20-m18-fuel%e2%84%a2-rear-handle-7-1-4-circular-saw-tool-only", "https://edmondsonsupply.com/products/milwaukee-2830-20-m18-fuel%e2%84%a2-rear-handle-7-1-4-circular-saw-tool-only")</f>
        <v/>
      </c>
      <c r="C7060" t="inlineStr">
        <is>
          <t>Milwaukee 2830-20 M18 FUEL™ Rear Handle 7-1/4" Circular Saw - Tool Only</t>
        </is>
      </c>
      <c r="D7060" t="inlineStr">
        <is>
          <t>Milwaukee 2830-20 Circular Saw Rear Handle 7-1/4"</t>
        </is>
      </c>
      <c r="E7060" s="2">
        <f>HYPERLINK("https://www.amazon.com/M18-7-1-Rear-Handle-Circular/dp/B07VWKR5YN/ref=sr_1_1?keywords=Milwaukee+2830-20+M18+FUEL%E2%84%A2+Rear+Handle+7-1%2F4%22+Circular+Saw+-+Tool+Only&amp;qid=1694735044&amp;sr=8-1", "https://www.amazon.com/M18-7-1-Rear-Handle-Circular/dp/B07VWKR5YN/ref=sr_1_1?keywords=Milwaukee+2830-20+M18+FUEL%E2%84%A2+Rear+Handle+7-1%2F4%22+Circular+Saw+-+Tool+Only&amp;qid=1694735044&amp;sr=8-1")</f>
        <v/>
      </c>
      <c r="F7060" t="inlineStr">
        <is>
          <t>B07VWKR5YN</t>
        </is>
      </c>
      <c r="G7060">
        <f>_xlfn.IMAGE("https://edmondsonsupply.com/cdn/shop/products/2830-20_1_Web.webp?v=1675363302")</f>
        <v/>
      </c>
      <c r="H7060">
        <f>_xlfn.IMAGE("https://m.media-amazon.com/images/I/51-ok8l5coL._AC_UL320_.jpg")</f>
        <v/>
      </c>
      <c r="K7060" t="inlineStr">
        <is>
          <t>279.0</t>
        </is>
      </c>
      <c r="L7060" t="n">
        <v>199.9</v>
      </c>
      <c r="M7060" s="1" t="inlineStr">
        <is>
          <t>-28.35%</t>
        </is>
      </c>
      <c r="N7060" s="7" t="n"/>
      <c r="O7060" t="n">
        <v>4.7</v>
      </c>
      <c r="P7060" t="n">
        <v>837</v>
      </c>
      <c r="R7060" t="inlineStr">
        <is>
          <t>OutOfStock</t>
        </is>
      </c>
      <c r="S7060" t="inlineStr">
        <is>
          <t>464.0</t>
        </is>
      </c>
      <c r="T7060" t="inlineStr">
        <is>
          <t>7937959592152</t>
        </is>
      </c>
    </row>
    <row r="7061" hidden="1" ht="15.75" customHeight="1">
      <c r="A7061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7061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7061" t="inlineStr">
        <is>
          <t>Klein Tools 6924INS Slim-Tip Insulated Screwdriver, 1/4-Inch Cabinet, 4-Inch Round Shank</t>
        </is>
      </c>
      <c r="D7061" t="inlineStr">
        <is>
          <t>Klein Tools 6834INS Insulated Screwdriver, 1000V #2 Phillips Tip Screwdriver with 4-Inch Shank, Tip-Ident, Cushion-Grip Handle</t>
        </is>
      </c>
      <c r="E7061" s="2">
        <f>HYPERLINK("https://www.amazon.com/Klein-Tools-6834INS-Screwdriver-Cushion-Grip/dp/B0BF7LCHQ9/ref=sr_1_15?keywords=Klein+Tools+6924INS+Slim-Tip+Insulated+Screwdriver%2C+1%2F4-Inch+Cabinet%2C+4-Inch+Round+Shank&amp;qid=1694735273&amp;sr=8-15", "https://www.amazon.com/Klein-Tools-6834INS-Screwdriver-Cushion-Grip/dp/B0BF7LCHQ9/ref=sr_1_15?keywords=Klein+Tools+6924INS+Slim-Tip+Insulated+Screwdriver%2C+1%2F4-Inch+Cabinet%2C+4-Inch+Round+Shank&amp;qid=1694735273&amp;sr=8-15")</f>
        <v/>
      </c>
      <c r="F7061" t="inlineStr">
        <is>
          <t>B0BF7LCHQ9</t>
        </is>
      </c>
      <c r="G7061">
        <f>_xludf.IMAGE("https://edmondsonsupply.com/cdn/shop/products/6924ins.jpg?v=1633030554")</f>
        <v/>
      </c>
      <c r="H7061">
        <f>_xludf.IMAGE("https://m.media-amazon.com/images/I/41syzbetq2L._AC_UL320_.jpg")</f>
        <v/>
      </c>
      <c r="K7061" t="inlineStr">
        <is>
          <t>13.97</t>
        </is>
      </c>
      <c r="L7061" t="n">
        <v>9.99</v>
      </c>
      <c r="M7061" s="1" t="inlineStr">
        <is>
          <t>-28.49%</t>
        </is>
      </c>
      <c r="N7061" s="1" t="n"/>
      <c r="O7061" t="n">
        <v>5</v>
      </c>
      <c r="P7061" t="n">
        <v>5</v>
      </c>
      <c r="R7061" t="inlineStr">
        <is>
          <t>InStock</t>
        </is>
      </c>
      <c r="S7061" t="inlineStr">
        <is>
          <t>19.54</t>
        </is>
      </c>
      <c r="T7061" t="inlineStr">
        <is>
          <t>5439557566632</t>
        </is>
      </c>
    </row>
    <row r="7062" hidden="1" ht="15.75" customHeight="1">
      <c r="A7062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7062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7062" t="inlineStr">
        <is>
          <t>Klein Tools 6924INS Slim-Tip Insulated Screwdriver, 1/4-Inch Cabinet, 4-Inch Round Shank</t>
        </is>
      </c>
      <c r="D7062" t="inlineStr">
        <is>
          <t>Klein Tools 6824INS Insulated Screwdriver, 1000V 1/4-Inch Cabinet Tip Screwdriver with 4-Inch Shank, Tip-Ident, Cushion-Grip Handle</t>
        </is>
      </c>
      <c r="E7062" s="2">
        <f>HYPERLINK("https://www.amazon.com/Klein-Tools-6824INS-Screwdriver-Cushion-Grip/dp/B0BF78XBPX/ref=sr_1_2?keywords=Klein+Tools+6924INS+Slim-Tip+Insulated+Screwdriver%2C+1%2F4-Inch+Cabinet%2C+4-Inch+Round+Shank&amp;qid=1694735273&amp;sr=8-2", "https://www.amazon.com/Klein-Tools-6824INS-Screwdriver-Cushion-Grip/dp/B0BF78XBPX/ref=sr_1_2?keywords=Klein+Tools+6924INS+Slim-Tip+Insulated+Screwdriver%2C+1%2F4-Inch+Cabinet%2C+4-Inch+Round+Shank&amp;qid=1694735273&amp;sr=8-2")</f>
        <v/>
      </c>
      <c r="F7062" t="inlineStr">
        <is>
          <t>B0BF78XBPX</t>
        </is>
      </c>
      <c r="G7062">
        <f>_xludf.IMAGE("https://edmondsonsupply.com/cdn/shop/products/6924ins.jpg?v=1633030554")</f>
        <v/>
      </c>
      <c r="H7062">
        <f>_xludf.IMAGE("https://m.media-amazon.com/images/I/410Gu3snLdL._AC_UL320_.jpg")</f>
        <v/>
      </c>
      <c r="K7062" t="inlineStr">
        <is>
          <t>13.97</t>
        </is>
      </c>
      <c r="L7062" t="n">
        <v>9.99</v>
      </c>
      <c r="M7062" s="1" t="inlineStr">
        <is>
          <t>-28.49%</t>
        </is>
      </c>
      <c r="N7062" s="1" t="n"/>
      <c r="O7062" t="n">
        <v>4.9</v>
      </c>
      <c r="P7062" t="n">
        <v>202</v>
      </c>
      <c r="R7062" t="inlineStr">
        <is>
          <t>InStock</t>
        </is>
      </c>
      <c r="S7062" t="inlineStr">
        <is>
          <t>19.54</t>
        </is>
      </c>
      <c r="T7062" t="inlineStr">
        <is>
          <t>5439557566632</t>
        </is>
      </c>
    </row>
    <row r="7063" ht="87" customHeight="1">
      <c r="A7063" s="2">
        <f>HYPERLINK("https://edmondsonsupply.com/collections/electricians-tools/products/klein-tools-5416tc-bolt-bag-top-closing-tool-pouch-with-tunnel-connect-5-x-10-x-9-inch", "https://edmondsonsupply.com/collections/electricians-tools/products/klein-tools-5416tc-bolt-bag-top-closing-tool-pouch-with-tunnel-connect-5-x-10-x-9-inch")</f>
        <v/>
      </c>
      <c r="B7063" s="2">
        <f>HYPERLINK("https://edmondsonsupply.com/products/klein-tools-5416tc-bolt-bag-top-closing-tool-pouch-with-tunnel-connect-5-x-10-x-9-inch", "https://edmondsonsupply.com/products/klein-tools-5416tc-bolt-bag-top-closing-tool-pouch-with-tunnel-connect-5-x-10-x-9-inch")</f>
        <v/>
      </c>
      <c r="C7063" t="inlineStr">
        <is>
          <t>Klein Tools 5416TC Bolt Bag, Top Closing Tool Pouch with Tunnel Connect, 5 x 10 x 9-Inch</t>
        </is>
      </c>
      <c r="D7063" t="inlineStr">
        <is>
          <t>Klein Tools 5416OCTO Tool Bag, Bull-Pin and Bolt Pouch, No. 4 Canvas with Tunnel Connection, 5 x 5 x 9-Inch</t>
        </is>
      </c>
      <c r="E7063" s="2">
        <f>HYPERLINK("https://www.amazon.com/Bull-Pin-Connection-Klein-Tools-5416OCTO/dp/B00Y6WMEZW/ref=sr_1_6?keywords=Klein+Tools+5416TC+Bolt+Bag%2C+Top+Closing+Tool+Pouch+with+Tunnel+Connect%2C+5+x+10+x+9-Inch&amp;qid=1694735257&amp;sr=8-6", "https://www.amazon.com/Bull-Pin-Connection-Klein-Tools-5416OCTO/dp/B00Y6WMEZW/ref=sr_1_6?keywords=Klein+Tools+5416TC+Bolt+Bag%2C+Top+Closing+Tool+Pouch+with+Tunnel+Connect%2C+5+x+10+x+9-Inch&amp;qid=1694735257&amp;sr=8-6")</f>
        <v/>
      </c>
      <c r="F7063" t="inlineStr">
        <is>
          <t>B00Y6WMEZW</t>
        </is>
      </c>
      <c r="G7063">
        <f>_xlfn.IMAGE("https://edmondsonsupply.com/cdn/shop/products/5416tc.jpg?v=1633030625")</f>
        <v/>
      </c>
      <c r="H7063">
        <f>_xlfn.IMAGE("https://m.media-amazon.com/images/I/61SKfGzjXGL._AC_UL320_.jpg")</f>
        <v/>
      </c>
      <c r="K7063" t="inlineStr">
        <is>
          <t>29.37</t>
        </is>
      </c>
      <c r="L7063" t="n">
        <v>21</v>
      </c>
      <c r="M7063" s="1" t="inlineStr">
        <is>
          <t>-28.50%</t>
        </is>
      </c>
      <c r="N7063" s="7" t="n"/>
      <c r="O7063" t="n">
        <v>4.8</v>
      </c>
      <c r="P7063" t="n">
        <v>513</v>
      </c>
      <c r="R7063" t="inlineStr">
        <is>
          <t>InStock</t>
        </is>
      </c>
      <c r="S7063" t="inlineStr">
        <is>
          <t>46.6</t>
        </is>
      </c>
      <c r="T7063" t="inlineStr">
        <is>
          <t>5661413802152</t>
        </is>
      </c>
    </row>
    <row r="7064" hidden="1" ht="15.75" customHeight="1">
      <c r="A7064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064" s="2">
        <f>HYPERLINK("https://edmondsonsupply.com/products/klein-tools-32500mag-11-in-1-magnetic-screwdriver-nut-driver", "https://edmondsonsupply.com/products/klein-tools-32500mag-11-in-1-magnetic-screwdriver-nut-driver")</f>
        <v/>
      </c>
      <c r="C7064" t="inlineStr">
        <is>
          <t>Klein Tools 32500MAG 11-in-1 Magnetic Screwdriver / Nut Driver</t>
        </is>
      </c>
      <c r="D7064" t="inlineStr">
        <is>
          <t>Klein Tools 32557 Multi-Bit Screwdriver / Nut Driver, Heavy Duty 10-in-1 with Interchangable Shafts and Ph, Sl, Sq, Hex Bits and Nut Drivers</t>
        </is>
      </c>
      <c r="E7064" s="2">
        <f>HYPERLINK("https://www.amazon.com/Klein-Tools-32557-Multi-Bit-Screwdriver/dp/B005FQDH9A/ref=sr_1_8?keywords=Klein+Tools+32500MAG+11-in-1+Magnetic+Screwdriver+%2F+Nut+Driver&amp;qid=1694735235&amp;sr=8-8", "https://www.amazon.com/Klein-Tools-32557-Multi-Bit-Screwdriver/dp/B005FQDH9A/ref=sr_1_8?keywords=Klein+Tools+32500MAG+11-in-1+Magnetic+Screwdriver+%2F+Nut+Driver&amp;qid=1694735235&amp;sr=8-8")</f>
        <v/>
      </c>
      <c r="F7064" t="inlineStr">
        <is>
          <t>B005FQDH9A</t>
        </is>
      </c>
      <c r="G7064">
        <f>_xludf.IMAGE("https://edmondsonsupply.com/cdn/shop/products/32500mag.jpg?v=1633030832")</f>
        <v/>
      </c>
      <c r="H7064">
        <f>_xludf.IMAGE("https://m.media-amazon.com/images/I/41vMDiO0rOL._AC_UL320_.jpg")</f>
        <v/>
      </c>
      <c r="K7064" t="inlineStr">
        <is>
          <t>20.97</t>
        </is>
      </c>
      <c r="L7064" t="n">
        <v>14.98</v>
      </c>
      <c r="M7064" s="1" t="inlineStr">
        <is>
          <t>-28.56%</t>
        </is>
      </c>
      <c r="N7064" s="1" t="n"/>
      <c r="O7064" t="n">
        <v>4.8</v>
      </c>
      <c r="P7064" t="n">
        <v>918</v>
      </c>
      <c r="R7064" t="inlineStr">
        <is>
          <t>InStock</t>
        </is>
      </c>
      <c r="S7064" t="inlineStr">
        <is>
          <t>29.38</t>
        </is>
      </c>
      <c r="T7064" t="inlineStr">
        <is>
          <t>6082199814317</t>
        </is>
      </c>
    </row>
    <row r="7065" hidden="1" ht="15.75" customHeight="1">
      <c r="A7065" s="2">
        <f>HYPERLINK("https://edmondsonsupply.com/collections/electricians-tools/products/klein-tools-88904-professional-tubing-cutter", "https://edmondsonsupply.com/collections/electricians-tools/products/klein-tools-88904-professional-tubing-cutter")</f>
        <v/>
      </c>
      <c r="B7065" s="2">
        <f>HYPERLINK("https://edmondsonsupply.com/products/klein-tools-88904-professional-tubing-cutter", "https://edmondsonsupply.com/products/klein-tools-88904-professional-tubing-cutter")</f>
        <v/>
      </c>
      <c r="C7065" t="inlineStr">
        <is>
          <t>Klein Tools 88904 Professional Tube Cutter</t>
        </is>
      </c>
      <c r="D7065" t="inlineStr">
        <is>
          <t>Klein Tools 88977 Professional Mini Tube Cutter</t>
        </is>
      </c>
      <c r="E7065" s="2">
        <f>HYPERLINK("https://www.amazon.com/Klein-Tools-88977-Professional-Cutter/dp/B005TU32JC/ref=sr_1_8?keywords=Klein+Tools+88904+Professional+Tube+Cutter&amp;qid=1694735401&amp;sr=8-8", "https://www.amazon.com/Klein-Tools-88977-Professional-Cutter/dp/B005TU32JC/ref=sr_1_8?keywords=Klein+Tools+88904+Professional+Tube+Cutter&amp;qid=1694735401&amp;sr=8-8")</f>
        <v/>
      </c>
      <c r="F7065" t="inlineStr">
        <is>
          <t>B005TU32JC</t>
        </is>
      </c>
      <c r="G7065">
        <f>_xludf.IMAGE("https://edmondsonsupply.com/cdn/shop/products/88904.jpg?v=1587147687")</f>
        <v/>
      </c>
      <c r="H7065">
        <f>_xludf.IMAGE("https://m.media-amazon.com/images/I/61SWwVVJuLL._AC_UL320_.jpg")</f>
        <v/>
      </c>
      <c r="K7065" t="inlineStr">
        <is>
          <t>41.99</t>
        </is>
      </c>
      <c r="L7065" t="n">
        <v>29.99</v>
      </c>
      <c r="M7065" s="1" t="inlineStr">
        <is>
          <t>-28.58%</t>
        </is>
      </c>
      <c r="N7065" s="1" t="n"/>
      <c r="O7065" t="n">
        <v>3.3</v>
      </c>
      <c r="P7065" t="n">
        <v>6</v>
      </c>
      <c r="R7065" t="inlineStr">
        <is>
          <t>InStock</t>
        </is>
      </c>
      <c r="S7065" t="inlineStr">
        <is>
          <t>62.74</t>
        </is>
      </c>
      <c r="T7065" t="inlineStr">
        <is>
          <t>3728177594468</t>
        </is>
      </c>
    </row>
    <row r="7066" hidden="1" ht="15.75" customHeight="1">
      <c r="A7066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066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066" t="inlineStr">
        <is>
          <t>Klein Tools 602-4-INS 1/4-Inch Cabinet Tip Insulated Screwdriver, 4-Inch</t>
        </is>
      </c>
      <c r="D7066" t="inlineStr">
        <is>
          <t>Klein Tools 6926INS Insulated Screwdriver, 1000V Slim Profile Tip, 1/4-Inch Cabinet Screwdriver with 6-Inch Shank, Cushion-Grip Handle</t>
        </is>
      </c>
      <c r="E7066" s="2">
        <f>HYPERLINK("https://www.amazon.com/Klein-Tools-6926INS-Screwdriver-Cushion-Grip/dp/B09GL1X5SZ/ref=sr_1_7?keywords=Klein+Tools+602-4-INS+1%2F4-Inch+Cabinet+Tip+Insulated+Screwdriver%2C+4-Inch&amp;qid=1694735209&amp;sr=8-7", "https://www.amazon.com/Klein-Tools-6926INS-Screwdriver-Cushion-Grip/dp/B09GL1X5SZ/ref=sr_1_7?keywords=Klein+Tools+602-4-INS+1%2F4-Inch+Cabinet+Tip+Insulated+Screwdriver%2C+4-Inch&amp;qid=1694735209&amp;sr=8-7")</f>
        <v/>
      </c>
      <c r="F7066" t="inlineStr">
        <is>
          <t>B09GL1X5SZ</t>
        </is>
      </c>
      <c r="G7066">
        <f>_xludf.IMAGE("https://edmondsonsupply.com/cdn/shop/products/602-4-ins-photo.jpg?v=1633031051")</f>
        <v/>
      </c>
      <c r="H7066">
        <f>_xludf.IMAGE("https://m.media-amazon.com/images/I/41JbepP5oGL._AC_UL320_.jpg")</f>
        <v/>
      </c>
      <c r="K7066" t="inlineStr">
        <is>
          <t>20.99</t>
        </is>
      </c>
      <c r="L7066" t="n">
        <v>14.99</v>
      </c>
      <c r="M7066" s="1" t="inlineStr">
        <is>
          <t>-28.59%</t>
        </is>
      </c>
      <c r="N7066" s="1" t="n"/>
      <c r="O7066" t="n">
        <v>4.8</v>
      </c>
      <c r="P7066" t="n">
        <v>85</v>
      </c>
      <c r="R7066" t="inlineStr">
        <is>
          <t>InStock</t>
        </is>
      </c>
      <c r="S7066" t="inlineStr">
        <is>
          <t>31.8</t>
        </is>
      </c>
      <c r="T7066" t="inlineStr">
        <is>
          <t>6779496890541</t>
        </is>
      </c>
    </row>
    <row r="7067" hidden="1" ht="15.75" customHeight="1">
      <c r="A7067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7067" s="2">
        <f>HYPERLINK("https://edmondsonsupply.com/products/klein-tools-31940-bi-metal-hole-saw-2-1-2-inch", "https://edmondsonsupply.com/products/klein-tools-31940-bi-metal-hole-saw-2-1-2-inch")</f>
        <v/>
      </c>
      <c r="C7067" t="inlineStr">
        <is>
          <t>Klein Tools 31940 Bi-Metal Hole Saw, 2-1/2-Inch</t>
        </is>
      </c>
      <c r="D7067" t="inlineStr">
        <is>
          <t>Luomorgo 64mm/2-1/2 inch Hole Saw, 1 1/4 inch Cutting Depth HSS Bi-Metal Hole Cutter for Wood Cornhole Boards Plastic Drywall &amp; Metal Sheet</t>
        </is>
      </c>
      <c r="E7067" s="2">
        <f>HYPERLINK("https://www.amazon.com/Luomorgo-Cutting-Bi-Metal-Cornhole-Plastic/dp/B096VVPQSB/ref=sr_1_18?keywords=Klein+Tools+31940+Bi-Metal+Hole+Saw%2C+2-1%2F2-Inch&amp;qid=1694735159&amp;sr=8-18", "https://www.amazon.com/Luomorgo-Cutting-Bi-Metal-Cornhole-Plastic/dp/B096VVPQSB/ref=sr_1_18?keywords=Klein+Tools+31940+Bi-Metal+Hole+Saw%2C+2-1%2F2-Inch&amp;qid=1694735159&amp;sr=8-18")</f>
        <v/>
      </c>
      <c r="F7067" t="inlineStr">
        <is>
          <t>B096VVPQSB</t>
        </is>
      </c>
      <c r="G7067">
        <f>_xludf.IMAGE("https://edmondsonsupply.com/cdn/shop/products/31940.jpg?v=1649380086")</f>
        <v/>
      </c>
      <c r="H7067">
        <f>_xludf.IMAGE("https://m.media-amazon.com/images/I/714RjN1fs7S._AC_UL320_.jpg")</f>
        <v/>
      </c>
      <c r="K7067" t="inlineStr">
        <is>
          <t>13.99</t>
        </is>
      </c>
      <c r="L7067" t="n">
        <v>9.99</v>
      </c>
      <c r="M7067" s="1" t="inlineStr">
        <is>
          <t>-28.59%</t>
        </is>
      </c>
      <c r="N7067" s="1" t="n"/>
      <c r="O7067" t="n">
        <v>4.3</v>
      </c>
      <c r="P7067" t="n">
        <v>3583</v>
      </c>
      <c r="R7067" t="inlineStr">
        <is>
          <t>InStock</t>
        </is>
      </c>
      <c r="S7067" t="inlineStr">
        <is>
          <t>18.22</t>
        </is>
      </c>
      <c r="T7067" t="inlineStr">
        <is>
          <t>7657257074904</t>
        </is>
      </c>
    </row>
    <row r="7068" hidden="1" ht="15.75" customHeight="1">
      <c r="A7068" s="2">
        <f>HYPERLINK("https://edmondsonsupply.com/collections/electricians-tools/products/klein-tools-31940-bi-metal-hole-saw-2-1-2-inch", "https://edmondsonsupply.com/collections/electricians-tools/products/klein-tools-31940-bi-metal-hole-saw-2-1-2-inch")</f>
        <v/>
      </c>
      <c r="B7068" s="2">
        <f>HYPERLINK("https://edmondsonsupply.com/products/klein-tools-31940-bi-metal-hole-saw-2-1-2-inch", "https://edmondsonsupply.com/products/klein-tools-31940-bi-metal-hole-saw-2-1-2-inch")</f>
        <v/>
      </c>
      <c r="C7068" t="inlineStr">
        <is>
          <t>Klein Tools 31940 Bi-Metal Hole Saw, 2-1/2-Inch</t>
        </is>
      </c>
      <c r="D7068" t="inlineStr">
        <is>
          <t>64mm 2-1/2 inch Hole Saw,HSS Bi-Metal Hole Cutter with Arbor Mandrel for Cutting Steel,Aluminium,Brass,Copper,Zinc,Tin,Wood</t>
        </is>
      </c>
      <c r="E7068" s="2">
        <f>HYPERLINK("https://www.amazon.com/Bi-Metal-Cutter-Mandrel-Cutting-Aluminium/dp/B0977DCR5Z/ref=sr_1_8?keywords=Klein+Tools+31940+Bi-Metal+Hole+Saw%2C+2-1%2F2-Inch&amp;qid=1694735159&amp;sr=8-8", "https://www.amazon.com/Bi-Metal-Cutter-Mandrel-Cutting-Aluminium/dp/B0977DCR5Z/ref=sr_1_8?keywords=Klein+Tools+31940+Bi-Metal+Hole+Saw%2C+2-1%2F2-Inch&amp;qid=1694735159&amp;sr=8-8")</f>
        <v/>
      </c>
      <c r="F7068" t="inlineStr">
        <is>
          <t>B0977DCR5Z</t>
        </is>
      </c>
      <c r="G7068">
        <f>_xludf.IMAGE("https://edmondsonsupply.com/cdn/shop/products/31940.jpg?v=1649380086")</f>
        <v/>
      </c>
      <c r="H7068">
        <f>_xludf.IMAGE("https://m.media-amazon.com/images/I/41GTKV4WTLL._AC_UL320_.jpg")</f>
        <v/>
      </c>
      <c r="K7068" t="inlineStr">
        <is>
          <t>13.99</t>
        </is>
      </c>
      <c r="L7068" t="n">
        <v>9.99</v>
      </c>
      <c r="M7068" s="1" t="inlineStr">
        <is>
          <t>-28.59%</t>
        </is>
      </c>
      <c r="N7068" s="1" t="n"/>
      <c r="O7068" t="n">
        <v>4.4</v>
      </c>
      <c r="P7068" t="n">
        <v>295</v>
      </c>
      <c r="R7068" t="inlineStr">
        <is>
          <t>InStock</t>
        </is>
      </c>
      <c r="S7068" t="inlineStr">
        <is>
          <t>18.22</t>
        </is>
      </c>
      <c r="T7068" t="inlineStr">
        <is>
          <t>7657257074904</t>
        </is>
      </c>
    </row>
    <row r="7069" hidden="1" ht="15.75" customHeight="1">
      <c r="A7069" s="2">
        <f>HYPERLINK("https://edmondsonsupply.com/collections/electricians-tools/products/klein-tools-6944ins", "https://edmondsonsupply.com/collections/electricians-tools/products/klein-tools-6944ins")</f>
        <v/>
      </c>
      <c r="B7069" s="2">
        <f>HYPERLINK("https://edmondsonsupply.com/products/klein-tools-6944ins", "https://edmondsonsupply.com/products/klein-tools-6944ins")</f>
        <v/>
      </c>
      <c r="C7069" t="inlineStr">
        <is>
          <t>Klein Tools 6944INS Slim-Tip 1000V Insulated Screwdriver, #2 Square, 4-Inch Round Shank</t>
        </is>
      </c>
      <c r="D7069" t="inlineStr">
        <is>
          <t>Klein Tools 6834INS Insulated Screwdriver, 1000V #2 Phillips Tip Screwdriver with 4-Inch Shank, Tip-Ident, Cushion-Grip Handle</t>
        </is>
      </c>
      <c r="E7069" s="2">
        <f>HYPERLINK("https://www.amazon.com/Klein-Tools-6834INS-Screwdriver-Cushion-Grip/dp/B0BF7LCHQ9/ref=sr_1_10?keywords=Klein+Tools+6944INS+Slim-Tip+1000V+Insulated+Screwdriver%2C+%232+Square%2C+4-Inch+Round+Shank&amp;qid=1694735113&amp;sr=8-10", "https://www.amazon.com/Klein-Tools-6834INS-Screwdriver-Cushion-Grip/dp/B0BF7LCHQ9/ref=sr_1_10?keywords=Klein+Tools+6944INS+Slim-Tip+1000V+Insulated+Screwdriver%2C+%232+Square%2C+4-Inch+Round+Shank&amp;qid=1694735113&amp;sr=8-10")</f>
        <v/>
      </c>
      <c r="F7069" t="inlineStr">
        <is>
          <t>B0BF7LCHQ9</t>
        </is>
      </c>
      <c r="G7069">
        <f>_xludf.IMAGE("https://edmondsonsupply.com/cdn/shop/products/6944ins.jpg?v=1664804875")</f>
        <v/>
      </c>
      <c r="H7069">
        <f>_xludf.IMAGE("https://m.media-amazon.com/images/I/41syzbetq2L._AC_UL320_.jpg")</f>
        <v/>
      </c>
      <c r="K7069" t="inlineStr">
        <is>
          <t>13.99</t>
        </is>
      </c>
      <c r="L7069" t="n">
        <v>9.99</v>
      </c>
      <c r="M7069" s="1" t="inlineStr">
        <is>
          <t>-28.59%</t>
        </is>
      </c>
      <c r="N7069" s="1" t="n"/>
      <c r="O7069" t="n">
        <v>5</v>
      </c>
      <c r="P7069" t="n">
        <v>5</v>
      </c>
      <c r="R7069" t="inlineStr">
        <is>
          <t>InStock</t>
        </is>
      </c>
      <c r="S7069" t="inlineStr">
        <is>
          <t>19.54</t>
        </is>
      </c>
      <c r="T7069" t="inlineStr">
        <is>
          <t>7837602054360</t>
        </is>
      </c>
    </row>
    <row r="7070" hidden="1" ht="15.75" customHeight="1">
      <c r="A7070" s="2">
        <f>HYPERLINK("https://edmondsonsupply.com/collections/electricians-tools/products/klein-tools-6944ins", "https://edmondsonsupply.com/collections/electricians-tools/products/klein-tools-6944ins")</f>
        <v/>
      </c>
      <c r="B7070" s="2">
        <f>HYPERLINK("https://edmondsonsupply.com/products/klein-tools-6944ins", "https://edmondsonsupply.com/products/klein-tools-6944ins")</f>
        <v/>
      </c>
      <c r="C7070" t="inlineStr">
        <is>
          <t>Klein Tools 6944INS Slim-Tip 1000V Insulated Screwdriver, #2 Square, 4-Inch Round Shank</t>
        </is>
      </c>
      <c r="D7070" t="inlineStr">
        <is>
          <t>Klein Tools 6844INS Insulated Screwdriver, 1000V #2 Square Tip Screwdriver with 4-Inch Shank, Tip-Ident, Cushion-Grip Handle</t>
        </is>
      </c>
      <c r="E7070" s="2">
        <f>HYPERLINK("https://www.amazon.com/Klein-Tools-6844INS-Screwdriver-Cushion-Grip/dp/B0BF7L6BZ6/ref=sr_1_2?keywords=Klein+Tools+6944INS+Slim-Tip+1000V+Insulated+Screwdriver%2C+%232+Square%2C+4-Inch+Round+Shank&amp;qid=1694735113&amp;sr=8-2", "https://www.amazon.com/Klein-Tools-6844INS-Screwdriver-Cushion-Grip/dp/B0BF7L6BZ6/ref=sr_1_2?keywords=Klein+Tools+6944INS+Slim-Tip+1000V+Insulated+Screwdriver%2C+%232+Square%2C+4-Inch+Round+Shank&amp;qid=1694735113&amp;sr=8-2")</f>
        <v/>
      </c>
      <c r="F7070" t="inlineStr">
        <is>
          <t>B0BF7L6BZ6</t>
        </is>
      </c>
      <c r="G7070">
        <f>_xludf.IMAGE("https://edmondsonsupply.com/cdn/shop/products/6944ins.jpg?v=1664804875")</f>
        <v/>
      </c>
      <c r="H7070">
        <f>_xludf.IMAGE("https://m.media-amazon.com/images/I/41RKewAXjvL._AC_UL320_.jpg")</f>
        <v/>
      </c>
      <c r="K7070" t="inlineStr">
        <is>
          <t>13.99</t>
        </is>
      </c>
      <c r="L7070" t="n">
        <v>9.99</v>
      </c>
      <c r="M7070" s="1" t="inlineStr">
        <is>
          <t>-28.59%</t>
        </is>
      </c>
      <c r="N7070" s="1" t="n"/>
      <c r="O7070" t="n">
        <v>4.9</v>
      </c>
      <c r="P7070" t="n">
        <v>202</v>
      </c>
      <c r="R7070" t="inlineStr">
        <is>
          <t>InStock</t>
        </is>
      </c>
      <c r="S7070" t="inlineStr">
        <is>
          <t>19.54</t>
        </is>
      </c>
      <c r="T7070" t="inlineStr">
        <is>
          <t>7837602054360</t>
        </is>
      </c>
    </row>
    <row r="7071" hidden="1" ht="15.75" customHeight="1">
      <c r="A7071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7071" s="2">
        <f>HYPERLINK("https://edmondsonsupply.com/products/klein-tools-11057-klein-kurve%c2%ae-wire-stripper-and-cutter", "https://edmondsonsupply.com/products/klein-tools-11057-klein-kurve%c2%ae-wire-stripper-and-cutter")</f>
        <v/>
      </c>
      <c r="C7071" t="inlineStr">
        <is>
          <t>Klein Tools 11057 Klein-Kurve® Wire Stripper and Cutter</t>
        </is>
      </c>
      <c r="D7071" t="inlineStr">
        <is>
          <t>Klein Tools 1011 Multi-Purpose Wire Stripper and Cutter for 10-20 AWG Solid Wire and 12-22 AWG Stranded Wire Blue</t>
        </is>
      </c>
      <c r="E7071" s="2">
        <f>HYPERLINK("https://www.amazon.com/Multi-Purpose-Stripper-Klein-Tools-1011/dp/B0000302WM/ref=sr_1_25?keywords=Klein+Tools+11057+Klein-Kurve%C2%AE+Wire+Stripper+and+Cutter&amp;qid=1694735357&amp;sr=8-25", "https://www.amazon.com/Multi-Purpose-Stripper-Klein-Tools-1011/dp/B0000302WM/ref=sr_1_25?keywords=Klein+Tools+11057+Klein-Kurve%C2%AE+Wire+Stripper+and+Cutter&amp;qid=1694735357&amp;sr=8-25")</f>
        <v/>
      </c>
      <c r="F7071" t="inlineStr">
        <is>
          <t>B0000302WM</t>
        </is>
      </c>
      <c r="G7071">
        <f>_xludf.IMAGE("https://edmondsonsupply.com/cdn/shop/products/11057.jpg?v=1587146927")</f>
        <v/>
      </c>
      <c r="H7071">
        <f>_xludf.IMAGE("https://m.media-amazon.com/images/I/71A+JfSsr6L._AC_UL320_.jpg")</f>
        <v/>
      </c>
      <c r="K7071" t="inlineStr">
        <is>
          <t>20.97</t>
        </is>
      </c>
      <c r="L7071" t="n">
        <v>14.97</v>
      </c>
      <c r="M7071" s="1" t="inlineStr">
        <is>
          <t>-28.61%</t>
        </is>
      </c>
      <c r="N7071" s="1" t="n"/>
      <c r="O7071" t="n">
        <v>4.8</v>
      </c>
      <c r="P7071" t="n">
        <v>668</v>
      </c>
      <c r="R7071" t="inlineStr">
        <is>
          <t>InStock</t>
        </is>
      </c>
      <c r="S7071" t="inlineStr">
        <is>
          <t>32.72</t>
        </is>
      </c>
      <c r="T7071" t="inlineStr">
        <is>
          <t>4455254720612</t>
        </is>
      </c>
    </row>
    <row r="7072" hidden="1" ht="15.75" customHeight="1">
      <c r="A7072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072" s="2">
        <f>HYPERLINK("https://edmondsonsupply.com/products/klein-tools-32500mag-11-in-1-magnetic-screwdriver-nut-driver", "https://edmondsonsupply.com/products/klein-tools-32500mag-11-in-1-magnetic-screwdriver-nut-driver")</f>
        <v/>
      </c>
      <c r="C7072" t="inlineStr">
        <is>
          <t>Klein Tools 32500MAG 11-in-1 Magnetic Screwdriver / Nut Driver</t>
        </is>
      </c>
      <c r="D7072" t="inlineStr">
        <is>
          <t>Klein Tools 32500 11-in-1 Screwdriver / Nut Driver Set, 8 Bits (Phillips, Slotted, Torx, Square), 3 Nut Driver Sizes, Cushion Grip Handle</t>
        </is>
      </c>
      <c r="E7072" s="2">
        <f>HYPERLINK("https://www.amazon.com/Screwdriver-Industrial-Strength-Klein-Tools/dp/B0015SBILG/ref=sr_1_6?keywords=Klein+Tools+32500MAG+11-in-1+Magnetic+Screwdriver+%2F+Nut+Driver&amp;qid=1694735235&amp;sr=8-6", "https://www.amazon.com/Screwdriver-Industrial-Strength-Klein-Tools/dp/B0015SBILG/ref=sr_1_6?keywords=Klein+Tools+32500MAG+11-in-1+Magnetic+Screwdriver+%2F+Nut+Driver&amp;qid=1694735235&amp;sr=8-6")</f>
        <v/>
      </c>
      <c r="F7072" t="inlineStr">
        <is>
          <t>B0015SBILG</t>
        </is>
      </c>
      <c r="G7072">
        <f>_xludf.IMAGE("https://edmondsonsupply.com/cdn/shop/products/32500mag.jpg?v=1633030832")</f>
        <v/>
      </c>
      <c r="H7072">
        <f>_xludf.IMAGE("https://m.media-amazon.com/images/I/51x97TPxN5L._AC_UL320_.jpg")</f>
        <v/>
      </c>
      <c r="K7072" t="inlineStr">
        <is>
          <t>20.97</t>
        </is>
      </c>
      <c r="L7072" t="n">
        <v>14.97</v>
      </c>
      <c r="M7072" s="1" t="inlineStr">
        <is>
          <t>-28.61%</t>
        </is>
      </c>
      <c r="N7072" s="1" t="n"/>
      <c r="O7072" t="n">
        <v>4.8</v>
      </c>
      <c r="P7072" t="n">
        <v>24277</v>
      </c>
      <c r="R7072" t="inlineStr">
        <is>
          <t>InStock</t>
        </is>
      </c>
      <c r="S7072" t="inlineStr">
        <is>
          <t>29.38</t>
        </is>
      </c>
      <c r="T7072" t="inlineStr">
        <is>
          <t>6082199814317</t>
        </is>
      </c>
    </row>
    <row r="7073" hidden="1" ht="15.75" customHeight="1">
      <c r="A7073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073" s="2">
        <f>HYPERLINK("https://edmondsonsupply.com/products/klein-tools-32500mag-11-in-1-magnetic-screwdriver-nut-driver", "https://edmondsonsupply.com/products/klein-tools-32500mag-11-in-1-magnetic-screwdriver-nut-driver")</f>
        <v/>
      </c>
      <c r="C7073" t="inlineStr">
        <is>
          <t>Klein Tools 32500MAG 11-in-1 Magnetic Screwdriver / Nut Driver</t>
        </is>
      </c>
      <c r="D7073" t="inlineStr">
        <is>
          <t>Klein Tools 32314 Electronic Screwdriver, 14-in-1 with 8 Precision Tips, Slotted, Phillips, and Tamperproof TORX Bits, 6 Precision Nut Drivers</t>
        </is>
      </c>
      <c r="E7073" s="2">
        <f>HYPERLINK("https://www.amazon.com/Klein-Tools-32314-Screwdriver-Tamperproof/dp/B08J8GGQBL/ref=sr_1_27?keywords=Klein+Tools+32500MAG+11-in-1+Magnetic+Screwdriver+%2F+Nut+Driver&amp;qid=1694735235&amp;sr=8-27", "https://www.amazon.com/Klein-Tools-32314-Screwdriver-Tamperproof/dp/B08J8GGQBL/ref=sr_1_27?keywords=Klein+Tools+32500MAG+11-in-1+Magnetic+Screwdriver+%2F+Nut+Driver&amp;qid=1694735235&amp;sr=8-27")</f>
        <v/>
      </c>
      <c r="F7073" t="inlineStr">
        <is>
          <t>B08J8GGQBL</t>
        </is>
      </c>
      <c r="G7073">
        <f>_xludf.IMAGE("https://edmondsonsupply.com/cdn/shop/products/32500mag.jpg?v=1633030832")</f>
        <v/>
      </c>
      <c r="H7073">
        <f>_xludf.IMAGE("https://m.media-amazon.com/images/I/51r5V2PttIL._AC_UL320_.jpg")</f>
        <v/>
      </c>
      <c r="K7073" t="inlineStr">
        <is>
          <t>20.97</t>
        </is>
      </c>
      <c r="L7073" t="n">
        <v>14.97</v>
      </c>
      <c r="M7073" s="1" t="inlineStr">
        <is>
          <t>-28.61%</t>
        </is>
      </c>
      <c r="N7073" s="1" t="n"/>
      <c r="O7073" t="n">
        <v>4.7</v>
      </c>
      <c r="P7073" t="n">
        <v>2879</v>
      </c>
      <c r="R7073" t="inlineStr">
        <is>
          <t>InStock</t>
        </is>
      </c>
      <c r="S7073" t="inlineStr">
        <is>
          <t>29.38</t>
        </is>
      </c>
      <c r="T7073" t="inlineStr">
        <is>
          <t>6082199814317</t>
        </is>
      </c>
    </row>
    <row r="7074" ht="87" customHeight="1">
      <c r="A7074" s="2">
        <f>HYPERLINK("https://edmondsonsupply.com/collections/electricians-tools/products/klein-tools-ncvt5kit-electrical-tester-kit-with-dual-range-ncvt-and-gfci-receptacle-tester", "https://edmondsonsupply.com/collections/electricians-tools/products/klein-tools-ncvt5kit-electrical-tester-kit-with-dual-range-ncvt-and-gfci-receptacle-tester")</f>
        <v/>
      </c>
      <c r="B7074" s="2">
        <f>HYPERLINK("https://edmondsonsupply.com/products/klein-tools-ncvt5kit-electrical-tester-kit-with-dual-range-ncvt-and-gfci-receptacle-tester", "https://edmondsonsupply.com/products/klein-tools-ncvt5kit-electrical-tester-kit-with-dual-range-ncvt-and-gfci-receptacle-tester")</f>
        <v/>
      </c>
      <c r="C7074" t="inlineStr">
        <is>
          <t>Klein Tools NCVT5KIT Dual Range NCVT and GFCI Receptacle Tester Electrical Test Kit</t>
        </is>
      </c>
      <c r="D7074" t="inlineStr">
        <is>
          <t>Klein Tools NCVT1PKIT Electrical Tester Kit with Non-Contact Volt Tester, 50 to 1000V AC and GFCI Receptacle Tester, 2-Piece</t>
        </is>
      </c>
      <c r="E7074" s="2">
        <f>HYPERLINK("https://www.amazon.com/Klein-Tools-NCVT1PKIT-Electrical-Non-Contact/dp/B0BS5SCNJ1/ref=sr_1_2?keywords=Klein+Tools+NCVT5KIT+Dual+Range+NCVT+and+GFCI+Receptacle+Tester+Electrical+Test+Kit&amp;qid=1694735334&amp;sr=8-2", "https://www.amazon.com/Klein-Tools-NCVT1PKIT-Electrical-Non-Contact/dp/B0BS5SCNJ1/ref=sr_1_2?keywords=Klein+Tools+NCVT5KIT+Dual+Range+NCVT+and+GFCI+Receptacle+Tester+Electrical+Test+Kit&amp;qid=1694735334&amp;sr=8-2")</f>
        <v/>
      </c>
      <c r="F7074" t="inlineStr">
        <is>
          <t>B0BS5SCNJ1</t>
        </is>
      </c>
      <c r="G7074">
        <f>_xlfn.IMAGE("https://edmondsonsupply.com/cdn/shop/products/ncvt5kit.jpg?v=1633030226")</f>
        <v/>
      </c>
      <c r="H7074">
        <f>_xlfn.IMAGE("https://m.media-amazon.com/images/I/51CD2DGal7L._AC_UL320_.jpg")</f>
        <v/>
      </c>
      <c r="K7074" t="inlineStr">
        <is>
          <t>34.99</t>
        </is>
      </c>
      <c r="L7074" t="n">
        <v>24.97</v>
      </c>
      <c r="M7074" s="1" t="inlineStr">
        <is>
          <t>-28.64%</t>
        </is>
      </c>
      <c r="N7074" s="7" t="n"/>
      <c r="O7074" t="n">
        <v>4.4</v>
      </c>
      <c r="P7074" t="n">
        <v>31</v>
      </c>
      <c r="R7074" t="inlineStr">
        <is>
          <t>InStock</t>
        </is>
      </c>
      <c r="S7074" t="inlineStr">
        <is>
          <t>49.72</t>
        </is>
      </c>
      <c r="T7074" t="inlineStr">
        <is>
          <t>4563634946148</t>
        </is>
      </c>
    </row>
    <row r="7075" ht="87" customHeight="1">
      <c r="A7075" s="2">
        <f>HYPERLINK("https://edmondsonsupply.com/collections/electricians-tools/products/klein-tools-2288rins-diagonal-cutting-pliers-insulated-high-leverage-8-inch", "https://edmondsonsupply.com/collections/electricians-tools/products/klein-tools-2288rins-diagonal-cutting-pliers-insulated-high-leverage-8-inch")</f>
        <v/>
      </c>
      <c r="B7075" s="2">
        <f>HYPERLINK("https://edmondsonsupply.com/products/klein-tools-2288rins-diagonal-cutting-pliers-insulated-high-leverage-8-inch", "https://edmondsonsupply.com/products/klein-tools-2288rins-diagonal-cutting-pliers-insulated-high-leverage-8-inch")</f>
        <v/>
      </c>
      <c r="C7075" t="inlineStr">
        <is>
          <t>Klein Tools 2288RINS Diagonal Cutting Pliers, Insulated, High Leverage, 8-Inch</t>
        </is>
      </c>
      <c r="D7075" t="inlineStr">
        <is>
          <t>Klein Tools D248-8 Pliers, Diagonal Cutting Multi-Purpose Pliers with Angled Head, High-Leverage Design, and Short Jaw, 8-Inch</t>
        </is>
      </c>
      <c r="E7075" s="2">
        <f>HYPERLINK("https://www.amazon.com/Klein-Tools-D248-8-Leverage-Diagonal/dp/B0000302W8/ref=sr_1_6?keywords=Klein+Tools+2288RINS+Diagonal+Cutting+Pliers%2C+Insulated%2C+High+Leverage%2C+8-Inch&amp;qid=1694735093&amp;sr=8-6", "https://www.amazon.com/Klein-Tools-D248-8-Leverage-Diagonal/dp/B0000302W8/ref=sr_1_6?keywords=Klein+Tools+2288RINS+Diagonal+Cutting+Pliers%2C+Insulated%2C+High+Leverage%2C+8-Inch&amp;qid=1694735093&amp;sr=8-6")</f>
        <v/>
      </c>
      <c r="F7075" t="inlineStr">
        <is>
          <t>B0000302W8</t>
        </is>
      </c>
      <c r="G7075">
        <f>_xlfn.IMAGE("https://edmondsonsupply.com/cdn/shop/products/2288rins.jpg?v=1667238570")</f>
        <v/>
      </c>
      <c r="H7075">
        <f>_xlfn.IMAGE("https://m.media-amazon.com/images/I/41KAmcIzVBL._AC_UL320_.jpg")</f>
        <v/>
      </c>
      <c r="K7075" t="inlineStr">
        <is>
          <t>39.97</t>
        </is>
      </c>
      <c r="L7075" t="n">
        <v>28.42</v>
      </c>
      <c r="M7075" s="1" t="inlineStr">
        <is>
          <t>-28.90%</t>
        </is>
      </c>
      <c r="N7075" s="7" t="n"/>
      <c r="O7075" t="n">
        <v>4.8</v>
      </c>
      <c r="P7075" t="n">
        <v>2413</v>
      </c>
      <c r="R7075" t="inlineStr">
        <is>
          <t>InStock</t>
        </is>
      </c>
      <c r="S7075" t="inlineStr">
        <is>
          <t>55.98</t>
        </is>
      </c>
      <c r="T7075" t="inlineStr">
        <is>
          <t>7871537807576</t>
        </is>
      </c>
    </row>
    <row r="7076" ht="87" customHeight="1">
      <c r="A7076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076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076" t="inlineStr">
        <is>
          <t>Klein Tools NCVT-2P Dual Range Non-Contact Voltage Tester 12 - 1000V AC</t>
        </is>
      </c>
      <c r="D7076" t="inlineStr">
        <is>
          <t>Klein Tools NCVT3P Dual Range Non Contact Voltage Tester, 12 - 1000V AC Pen, Flashlight, Audible and Flashing LED Alarms, Pocket Clip,green</t>
        </is>
      </c>
      <c r="E7076" s="2">
        <f>HYPERLINK("https://www.amazon.com/Klein-Tools-NCVT3P-Flashlight-Protection/dp/B08DQMX7YF/ref=sr_1_2?keywords=Klein+Tools+NCVT-2P+Dual+Range+Non-Contact+Voltage+Tester+12+-+1000V+AC&amp;qid=1694735236&amp;sr=8-2", "https://www.amazon.com/Klein-Tools-NCVT3P-Flashlight-Protection/dp/B08DQMX7YF/ref=sr_1_2?keywords=Klein+Tools+NCVT-2P+Dual+Range+Non-Contact+Voltage+Tester+12+-+1000V+AC&amp;qid=1694735236&amp;sr=8-2")</f>
        <v/>
      </c>
      <c r="F7076" t="inlineStr">
        <is>
          <t>B08DQMX7YF</t>
        </is>
      </c>
      <c r="G7076">
        <f>_xlfn.IMAGE("https://edmondsonsupply.com/cdn/shop/products/ncvt2p.jpg?v=1633030824")</f>
        <v/>
      </c>
      <c r="H7076">
        <f>_xlfn.IMAGE("https://m.media-amazon.com/images/I/516VUtyWXRL._AC_UL320_.jpg")</f>
        <v/>
      </c>
      <c r="K7076" t="inlineStr">
        <is>
          <t>27.97</t>
        </is>
      </c>
      <c r="L7076" t="n">
        <v>19.86</v>
      </c>
      <c r="M7076" s="1" t="inlineStr">
        <is>
          <t>-29.00%</t>
        </is>
      </c>
      <c r="N7076" s="7" t="n"/>
      <c r="O7076" t="n">
        <v>4.7</v>
      </c>
      <c r="P7076" t="n">
        <v>4222</v>
      </c>
      <c r="R7076" t="inlineStr">
        <is>
          <t>InStock</t>
        </is>
      </c>
      <c r="S7076" t="inlineStr">
        <is>
          <t>35.76</t>
        </is>
      </c>
      <c r="T7076" t="inlineStr">
        <is>
          <t>6080875626669</t>
        </is>
      </c>
    </row>
    <row r="7077" ht="87" customHeight="1">
      <c r="A7077" s="2">
        <f>HYPERLINK("https://edmondsonsupply.com/collections/electricians-tools/products/diablo-tools-dmamx1040", "https://edmondsonsupply.com/collections/electricians-tools/products/diablo-tools-dmamx1040")</f>
        <v/>
      </c>
      <c r="B7077" s="2">
        <f>HYPERLINK("https://edmondsonsupply.com/products/diablo-tools-dmamx1040", "https://edmondsonsupply.com/products/diablo-tools-dmamx1040")</f>
        <v/>
      </c>
      <c r="C7077" t="inlineStr">
        <is>
          <t>Diablo Tools DMAMX1040 1/2 in. x 24 in. x 29 in. Rebar Demon SDS-Max 4-Cutter Full Carbide Head Hammer Bit</t>
        </is>
      </c>
      <c r="D7077" t="inlineStr">
        <is>
          <t>Diablo by Freud DMAPL4300 1 in. x 8 in. x 10 in. Rebar Demon™ SDS-Plus 4-Cutter Full Carbide Head Hammer Bit</t>
        </is>
      </c>
      <c r="E7077" s="2">
        <f>HYPERLINK("https://www.amazon.com/Diablo-Freud-DMAPL4300-SDS-Plus-4-Cutter/dp/B089LL8JD8/ref=sr_1_27?keywords=Diablo+Tools+DMAMX1040+1%2F2+in.+x+24+in.+x+29+in.+Rebar+Demon+SDS-Max+4-Cutter+Full+Carbide+Head+Hammer+Bit&amp;qid=1694735295&amp;sr=8-27", "https://www.amazon.com/Diablo-Freud-DMAPL4300-SDS-Plus-4-Cutter/dp/B089LL8JD8/ref=sr_1_27?keywords=Diablo+Tools+DMAMX1040+1%2F2+in.+x+24+in.+x+29+in.+Rebar+Demon+SDS-Max+4-Cutter+Full+Carbide+Head+Hammer+Bit&amp;qid=1694735295&amp;sr=8-27")</f>
        <v/>
      </c>
      <c r="F7077" t="inlineStr">
        <is>
          <t>B089LL8JD8</t>
        </is>
      </c>
      <c r="G7077">
        <f>_xlfn.IMAGE("https://edmondsonsupply.com/cdn/shop/products/DMAMX1040_Main-Image20200701.png?v=1633030363")</f>
        <v/>
      </c>
      <c r="H7077">
        <f>_xlfn.IMAGE("https://m.media-amazon.com/images/I/616UiJGsK1L._AC_UL320_.jpg")</f>
        <v/>
      </c>
      <c r="K7077" t="inlineStr">
        <is>
          <t>47.97</t>
        </is>
      </c>
      <c r="L7077" t="n">
        <v>33.95</v>
      </c>
      <c r="M7077" s="1" t="inlineStr">
        <is>
          <t>-29.23%</t>
        </is>
      </c>
      <c r="N7077" s="7" t="n"/>
      <c r="O7077" t="n">
        <v>4.5</v>
      </c>
      <c r="P7077" t="n">
        <v>16</v>
      </c>
      <c r="R7077" t="inlineStr">
        <is>
          <t>InStock</t>
        </is>
      </c>
      <c r="S7077" t="inlineStr">
        <is>
          <t>72.46</t>
        </is>
      </c>
      <c r="T7077" t="inlineStr">
        <is>
          <t>5289126527144</t>
        </is>
      </c>
    </row>
    <row r="7078" hidden="1" ht="15.75" customHeight="1">
      <c r="A7078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7078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7078" t="inlineStr">
        <is>
          <t>Diablo Tools DMAPL2380 9/16 in. x 10 in. x 12 in. SDS-Plus 2-Cutter</t>
        </is>
      </c>
      <c r="D7078" t="inlineStr">
        <is>
          <t>Diablo 1/2 in. x 10 in. x 12 in. SDS-Plus 2-Cutter</t>
        </is>
      </c>
      <c r="E7078" s="2">
        <f>HYPERLINK("https://www.amazon.com/Diablo-10-12-SDS-Plus-2-Cutter/dp/B089LLL1VX/ref=sr_1_30?keywords=Diablo+Tools+DMAPL2380+9%2F16+in.+x+10+in.+x+12+in.+SDS-Plus+2-Cutter&amp;qid=1694735296&amp;sr=8-30", "https://www.amazon.com/Diablo-10-12-SDS-Plus-2-Cutter/dp/B089LLL1VX/ref=sr_1_30?keywords=Diablo+Tools+DMAPL2380+9%2F16+in.+x+10+in.+x+12+in.+SDS-Plus+2-Cutter&amp;qid=1694735296&amp;sr=8-30")</f>
        <v/>
      </c>
      <c r="F7078" t="inlineStr">
        <is>
          <t>B089LLL1VX</t>
        </is>
      </c>
      <c r="G7078">
        <f>_xludf.IMAGE("https://edmondsonsupply.com/cdn/shop/products/pn8n58bx2f87ihetrrnf.webp?v=1670435143")</f>
        <v/>
      </c>
      <c r="H7078">
        <f>_xludf.IMAGE("https://m.media-amazon.com/images/I/61+hWGquLCL._AC_UL320_.jpg")</f>
        <v/>
      </c>
      <c r="K7078" t="inlineStr">
        <is>
          <t>14.99</t>
        </is>
      </c>
      <c r="L7078" t="n">
        <v>10.6</v>
      </c>
      <c r="M7078" s="1" t="inlineStr">
        <is>
          <t>-29.29%</t>
        </is>
      </c>
      <c r="N7078" s="1" t="n"/>
      <c r="O7078" t="n">
        <v>4.7</v>
      </c>
      <c r="P7078" t="n">
        <v>4</v>
      </c>
      <c r="R7078" t="inlineStr">
        <is>
          <t>InStock</t>
        </is>
      </c>
      <c r="S7078" t="inlineStr">
        <is>
          <t>21.48</t>
        </is>
      </c>
      <c r="T7078" t="inlineStr">
        <is>
          <t>5286298222760</t>
        </is>
      </c>
    </row>
    <row r="7079" hidden="1" ht="15.75" customHeight="1">
      <c r="A7079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7079" s="2">
        <f>HYPERLINK("https://edmondsonsupply.com/products/diablo-tools-dag1110-7-8-in-x-7-1-2-in-auger-bit", "https://edmondsonsupply.com/products/diablo-tools-dag1110-7-8-in-x-7-1-2-in-auger-bit")</f>
        <v/>
      </c>
      <c r="C7079" t="inlineStr">
        <is>
          <t>Diablo Tools DAG1110 7/8 in. x 7-1/2 in. Auger Bit</t>
        </is>
      </c>
      <c r="D7079" t="inlineStr">
        <is>
          <t>Diablo 3/8 in. x 7-1/2 in. Auger Bit</t>
        </is>
      </c>
      <c r="E7079" s="2">
        <f>HYPERLINK("https://www.amazon.com/Diablo-Freud-DAG1030-7-1-Auger/dp/B089KWZ4C4/ref=sr_1_14?keywords=Diablo+Tools+DAG1110+7%2F8+in.+x+7-1%2F2+in.+Auger+Bit&amp;qid=1694735001&amp;sr=8-14", "https://www.amazon.com/Diablo-Freud-DAG1030-7-1-Auger/dp/B089KWZ4C4/ref=sr_1_14?keywords=Diablo+Tools+DAG1110+7%2F8+in.+x+7-1%2F2+in.+Auger+Bit&amp;qid=1694735001&amp;sr=8-14")</f>
        <v/>
      </c>
      <c r="F7079" t="inlineStr">
        <is>
          <t>B089KWZ4C4</t>
        </is>
      </c>
      <c r="G7079">
        <f>_xludf.IMAGE("https://edmondsonsupply.com/cdn/shop/products/yel7mbaiyy08ii0assd5.webp?v=1680187136")</f>
        <v/>
      </c>
      <c r="H7079">
        <f>_xludf.IMAGE("https://m.media-amazon.com/images/I/615E8KqWW3L._AC_UL320_.jpg")</f>
        <v/>
      </c>
      <c r="K7079" t="inlineStr">
        <is>
          <t>16.97</t>
        </is>
      </c>
      <c r="L7079" t="n">
        <v>12</v>
      </c>
      <c r="M7079" s="1" t="inlineStr">
        <is>
          <t>-29.29%</t>
        </is>
      </c>
      <c r="N7079" s="1" t="n"/>
      <c r="O7079" t="n">
        <v>4.1</v>
      </c>
      <c r="P7079" t="n">
        <v>15</v>
      </c>
      <c r="R7079" t="inlineStr">
        <is>
          <t>InStock</t>
        </is>
      </c>
      <c r="S7079" t="inlineStr">
        <is>
          <t>23.76</t>
        </is>
      </c>
      <c r="T7079" t="inlineStr">
        <is>
          <t>7970459549912</t>
        </is>
      </c>
    </row>
    <row r="7080" ht="87" customHeight="1">
      <c r="A7080" s="2">
        <f>HYPERLINK("https://edmondsonsupply.com/collections/electricians-tools/products/fluke-tplus-electrical-tester", "https://edmondsonsupply.com/collections/electricians-tools/products/fluke-tplus-electrical-tester")</f>
        <v/>
      </c>
      <c r="B7080" s="2">
        <f>HYPERLINK("https://edmondsonsupply.com/products/fluke-tplus-electrical-tester", "https://edmondsonsupply.com/products/fluke-tplus-electrical-tester")</f>
        <v/>
      </c>
      <c r="C7080" t="inlineStr">
        <is>
          <t>Fluke T+ Electrical Tester</t>
        </is>
      </c>
      <c r="D7080" t="inlineStr">
        <is>
          <t>Fluke T+ Electrical Tester</t>
        </is>
      </c>
      <c r="E7080" s="2">
        <f>HYPERLINK("https://www.amazon.com/Fluke-T-Electrical-Tester/dp/B000VRJGUM/ref=sr_1_1?keywords=Fluke+T+Electrical+Tester&amp;qid=1694735309&amp;sr=8-1", "https://www.amazon.com/Fluke-T-Electrical-Tester/dp/B000VRJGUM/ref=sr_1_1?keywords=Fluke+T+Electrical+Tester&amp;qid=1694735309&amp;sr=8-1")</f>
        <v/>
      </c>
      <c r="F7080" t="inlineStr">
        <is>
          <t>B000VRJGUM</t>
        </is>
      </c>
      <c r="G7080">
        <f>_xlfn.IMAGE("https://edmondsonsupply.com/cdn/shop/products/tplus.jpg?v=1633030280")</f>
        <v/>
      </c>
      <c r="H7080">
        <f>_xlfn.IMAGE("https://m.media-amazon.com/images/I/71s8NMMlg5L._AC_UL320_.jpg")</f>
        <v/>
      </c>
      <c r="K7080" t="inlineStr">
        <is>
          <t>94.49</t>
        </is>
      </c>
      <c r="L7080" t="n">
        <v>66.68000000000001</v>
      </c>
      <c r="M7080" s="1" t="inlineStr">
        <is>
          <t>-29.43%</t>
        </is>
      </c>
      <c r="N7080" s="7" t="n"/>
      <c r="O7080" t="n">
        <v>4.5</v>
      </c>
      <c r="P7080" t="n">
        <v>39</v>
      </c>
      <c r="R7080" t="inlineStr">
        <is>
          <t>InStock</t>
        </is>
      </c>
      <c r="S7080" t="inlineStr">
        <is>
          <t>104.99</t>
        </is>
      </c>
      <c r="T7080" t="inlineStr">
        <is>
          <t>5238397337768</t>
        </is>
      </c>
    </row>
    <row r="7081" ht="87" customHeight="1">
      <c r="A7081" s="2">
        <f>HYPERLINK("https://edmondsonsupply.com/collections/electricians-tools/products/klein-tools-2000-9ne-eins-heavy-duty-side-cutting-pliers-insulated", "https://edmondsonsupply.com/collections/electricians-tools/products/klein-tools-2000-9ne-eins-heavy-duty-side-cutting-pliers-insulated")</f>
        <v/>
      </c>
      <c r="B7081" s="2">
        <f>HYPERLINK("https://edmondsonsupply.com/products/klein-tools-2000-9ne-eins-heavy-duty-side-cutting-pliers-insulated", "https://edmondsonsupply.com/products/klein-tools-2000-9ne-eins-heavy-duty-side-cutting-pliers-insulated")</f>
        <v/>
      </c>
      <c r="C7081" t="inlineStr">
        <is>
          <t>Klein Tools 2000-9NE-EINS Heavy Duty Side Cutting Pliers Insulated</t>
        </is>
      </c>
      <c r="D7081" t="inlineStr">
        <is>
          <t>Klein Tools 20009NEEINS Heavy Duty Insulated Side-Cutting Pliers, Streamlined Design with Knurled Jaws and 1000 V Rating</t>
        </is>
      </c>
      <c r="E7081" s="2">
        <f>HYPERLINK("https://www.amazon.com/Klein-Tools-20009NEEINS-Cutting-Insulated/dp/B00JGG5SAQ/ref=sr_1_1?keywords=Klein+Tools+2000-9NE-EINS+Heavy+Duty+Side+Cutting+Pliers+Insulated&amp;qid=1694735405&amp;sr=8-1", "https://www.amazon.com/Klein-Tools-20009NEEINS-Cutting-Insulated/dp/B00JGG5SAQ/ref=sr_1_1?keywords=Klein+Tools+2000-9NE-EINS+Heavy+Duty+Side+Cutting+Pliers+Insulated&amp;qid=1694735405&amp;sr=8-1")</f>
        <v/>
      </c>
      <c r="F7081" t="inlineStr">
        <is>
          <t>B00JGG5SAQ</t>
        </is>
      </c>
      <c r="G7081">
        <f>_xlfn.IMAGE("https://edmondsonsupply.com/cdn/shop/products/20009neeins.jpg?v=1587143800")</f>
        <v/>
      </c>
      <c r="H7081">
        <f>_xlfn.IMAGE("https://m.media-amazon.com/images/I/41Bo6v3C9-L._AC_UL320_.jpg")</f>
        <v/>
      </c>
      <c r="K7081" t="inlineStr">
        <is>
          <t>74.99</t>
        </is>
      </c>
      <c r="L7081" t="n">
        <v>52.9</v>
      </c>
      <c r="M7081" s="1" t="inlineStr">
        <is>
          <t>-29.46%</t>
        </is>
      </c>
      <c r="N7081" s="7" t="n"/>
      <c r="O7081" t="n">
        <v>4.7</v>
      </c>
      <c r="P7081" t="n">
        <v>241</v>
      </c>
      <c r="R7081" t="inlineStr">
        <is>
          <t>InStock</t>
        </is>
      </c>
      <c r="S7081" t="inlineStr">
        <is>
          <t>115.6</t>
        </is>
      </c>
      <c r="T7081" t="inlineStr">
        <is>
          <t>4389716033636</t>
        </is>
      </c>
    </row>
    <row r="7082" ht="87" customHeight="1">
      <c r="A7082" s="2">
        <f>HYPERLINK("https://edmondsonsupply.com/collections/electricians-tools/products/klein-tools-12098-eins-combination-pliers-insulated", "https://edmondsonsupply.com/collections/electricians-tools/products/klein-tools-12098-eins-combination-pliers-insulated")</f>
        <v/>
      </c>
      <c r="B7082" s="2">
        <f>HYPERLINK("https://edmondsonsupply.com/products/klein-tools-12098-eins-combination-pliers-insulated", "https://edmondsonsupply.com/products/klein-tools-12098-eins-combination-pliers-insulated")</f>
        <v/>
      </c>
      <c r="C7082" t="inlineStr">
        <is>
          <t>Klein Tools 12098-EINS Combination Pliers, Insulated</t>
        </is>
      </c>
      <c r="D7082" t="inlineStr">
        <is>
          <t>Klein Tools 20009NEEINS Heavy Duty Insulated Side-Cutting Pliers, Streamlined Design with Knurled Jaws and 1000 V Rating</t>
        </is>
      </c>
      <c r="E7082" s="2">
        <f>HYPERLINK("https://www.amazon.com/Klein-Tools-20009NEEINS-Cutting-Insulated/dp/B00JGG5SAQ/ref=sr_1_8?keywords=Klein+Tools+12098-EINS+Combination+Pliers%2C+Insulated&amp;qid=1694735216&amp;sr=8-8", "https://www.amazon.com/Klein-Tools-20009NEEINS-Cutting-Insulated/dp/B00JGG5SAQ/ref=sr_1_8?keywords=Klein+Tools+12098-EINS+Combination+Pliers%2C+Insulated&amp;qid=1694735216&amp;sr=8-8")</f>
        <v/>
      </c>
      <c r="F7082" t="inlineStr">
        <is>
          <t>B00JGG5SAQ</t>
        </is>
      </c>
      <c r="G7082">
        <f>_xlfn.IMAGE("https://edmondsonsupply.com/cdn/shop/products/12098eins.jpg?v=1633031039")</f>
        <v/>
      </c>
      <c r="H7082">
        <f>_xlfn.IMAGE("https://m.media-amazon.com/images/I/41Bo6v3C9-L._AC_UL320_.jpg")</f>
        <v/>
      </c>
      <c r="K7082" t="inlineStr">
        <is>
          <t>74.99</t>
        </is>
      </c>
      <c r="L7082" t="n">
        <v>52.9</v>
      </c>
      <c r="M7082" s="1" t="inlineStr">
        <is>
          <t>-29.46%</t>
        </is>
      </c>
      <c r="N7082" s="7" t="n"/>
      <c r="O7082" t="n">
        <v>4.7</v>
      </c>
      <c r="P7082" t="n">
        <v>241</v>
      </c>
      <c r="R7082" t="inlineStr">
        <is>
          <t>InStock</t>
        </is>
      </c>
      <c r="S7082" t="inlineStr">
        <is>
          <t>113.62</t>
        </is>
      </c>
      <c r="T7082" t="inlineStr">
        <is>
          <t>6745363546285</t>
        </is>
      </c>
    </row>
    <row r="7083" hidden="1" ht="15.75" customHeight="1">
      <c r="A7083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7083" s="2">
        <f>HYPERLINK("https://edmondsonsupply.com/products/diablo-tools-dag1110-7-8-in-x-7-1-2-in-auger-bit", "https://edmondsonsupply.com/products/diablo-tools-dag1110-7-8-in-x-7-1-2-in-auger-bit")</f>
        <v/>
      </c>
      <c r="C7083" t="inlineStr">
        <is>
          <t>Diablo Tools DAG1110 7/8 in. x 7-1/2 in. Auger Bit</t>
        </is>
      </c>
      <c r="D7083" t="inlineStr">
        <is>
          <t>Diablo 1/4 in. x 7-1/2 in. Auger Bit</t>
        </is>
      </c>
      <c r="E7083" s="2">
        <f>HYPERLINK("https://www.amazon.com/Diablo-DAG1010-7-1-Auger-Bit/dp/B089LG7B4D/ref=sr_1_6?keywords=Diablo+Tools+DAG1110+7%2F8+in.+x+7-1%2F2+in.+Auger+Bit&amp;qid=1694735001&amp;sr=8-6", "https://www.amazon.com/Diablo-DAG1010-7-1-Auger-Bit/dp/B089LG7B4D/ref=sr_1_6?keywords=Diablo+Tools+DAG1110+7%2F8+in.+x+7-1%2F2+in.+Auger+Bit&amp;qid=1694735001&amp;sr=8-6")</f>
        <v/>
      </c>
      <c r="F7083" t="inlineStr">
        <is>
          <t>B089LG7B4D</t>
        </is>
      </c>
      <c r="G7083">
        <f>_xludf.IMAGE("https://edmondsonsupply.com/cdn/shop/products/yel7mbaiyy08ii0assd5.webp?v=1680187136")</f>
        <v/>
      </c>
      <c r="H7083">
        <f>_xludf.IMAGE("https://m.media-amazon.com/images/I/618M4WXOShL._AC_UL320_.jpg")</f>
        <v/>
      </c>
      <c r="K7083" t="inlineStr">
        <is>
          <t>16.97</t>
        </is>
      </c>
      <c r="L7083" t="n">
        <v>11.97</v>
      </c>
      <c r="M7083" s="1" t="inlineStr">
        <is>
          <t>-29.46%</t>
        </is>
      </c>
      <c r="N7083" s="1" t="n"/>
      <c r="O7083" t="n">
        <v>3.2</v>
      </c>
      <c r="P7083" t="n">
        <v>5</v>
      </c>
      <c r="R7083" t="inlineStr">
        <is>
          <t>InStock</t>
        </is>
      </c>
      <c r="S7083" t="inlineStr">
        <is>
          <t>23.76</t>
        </is>
      </c>
      <c r="T7083" t="inlineStr">
        <is>
          <t>7970459549912</t>
        </is>
      </c>
    </row>
    <row r="7084" ht="87" customHeight="1">
      <c r="A7084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7084" s="2">
        <f>HYPERLINK("https://edmondsonsupply.com/products/diablo-tools-dag3090-7-8-in-x-17-1-2-in-auger-bit", "https://edmondsonsupply.com/products/diablo-tools-dag3090-7-8-in-x-17-1-2-in-auger-bit")</f>
        <v/>
      </c>
      <c r="C7084" t="inlineStr">
        <is>
          <t>Diablo Tools DAG3090 7/8 in. x 17-1/2 in. Auger Bit</t>
        </is>
      </c>
      <c r="D7084" t="inlineStr">
        <is>
          <t>Diablo DAG3020 7/16 in. x 17-1/2 in. Auger Bit</t>
        </is>
      </c>
      <c r="E7084" s="2">
        <f>HYPERLINK("https://www.amazon.com/Diablo-DAG3020-17-1-Auger-Bit/dp/B089LGWKFF/ref=sr_1_6?keywords=Diablo+Tools+DAG3090+7%2F8+in.+x+17-1%2F2+in.+Auger+Bit&amp;qid=1694735031&amp;sr=8-6", "https://www.amazon.com/Diablo-DAG3020-17-1-Auger-Bit/dp/B089LGWKFF/ref=sr_1_6?keywords=Diablo+Tools+DAG3090+7%2F8+in.+x+17-1%2F2+in.+Auger+Bit&amp;qid=1694735031&amp;sr=8-6")</f>
        <v/>
      </c>
      <c r="F7084" t="inlineStr">
        <is>
          <t>B089LGWKFF</t>
        </is>
      </c>
      <c r="G7084">
        <f>_xlfn.IMAGE("https://edmondsonsupply.com/cdn/shop/products/aorgtpkivjubhtbiiau0.webp?v=1677256849")</f>
        <v/>
      </c>
      <c r="H7084">
        <f>_xlfn.IMAGE("https://m.media-amazon.com/images/I/61XUUNTev0L._AC_UL320_.jpg")</f>
        <v/>
      </c>
      <c r="K7084" t="inlineStr">
        <is>
          <t>22.99</t>
        </is>
      </c>
      <c r="L7084" t="n">
        <v>16.21</v>
      </c>
      <c r="M7084" s="1" t="inlineStr">
        <is>
          <t>-29.49%</t>
        </is>
      </c>
      <c r="N7084" s="7" t="n"/>
      <c r="O7084" t="n">
        <v>5</v>
      </c>
      <c r="P7084" t="n">
        <v>2</v>
      </c>
      <c r="R7084" t="inlineStr">
        <is>
          <t>InStock</t>
        </is>
      </c>
      <c r="S7084" t="inlineStr">
        <is>
          <t>36.28</t>
        </is>
      </c>
      <c r="T7084" t="inlineStr">
        <is>
          <t>7950782136536</t>
        </is>
      </c>
    </row>
    <row r="7085" hidden="1" ht="15.75" customHeight="1">
      <c r="A7085" s="2">
        <f>HYPERLINK("https://edmondsonsupply.com/collections/electricians-tools/products/klein-tools-32234-power-driver-set-assorted-bits-3-1-2-inch", "https://edmondsonsupply.com/collections/electricians-tools/products/klein-tools-32234-power-driver-set-assorted-bits-3-1-2-inch")</f>
        <v/>
      </c>
      <c r="B7085" s="2">
        <f>HYPERLINK("https://edmondsonsupply.com/products/klein-tools-32234-power-driver-set-assorted-bits-3-1-2-inch", "https://edmondsonsupply.com/products/klein-tools-32234-power-driver-set-assorted-bits-3-1-2-inch")</f>
        <v/>
      </c>
      <c r="C7085" t="inlineStr">
        <is>
          <t>Klein Tools 32234 Power Driver Set, Assorted Bits, 3-1/2-Inch</t>
        </is>
      </c>
      <c r="D7085" t="inlineStr">
        <is>
          <t>Klein Tools 32235 Multi-Bit Power Driver Bits, Fits Klein Switch Drive Handle or Any Power Tool, #1 and #3 Phillips, 6-Inch, 2-Pack</t>
        </is>
      </c>
      <c r="E7085" s="2">
        <f>HYPERLINK("https://www.amazon.com/Klein-Tools-32235-Driver-Phillips/dp/B019874WVS/ref=sr_1_10?keywords=Klein+Tools+32234+Power+Driver+Set%2C+Assorted+Bits%2C+3-1%2F2-Inch&amp;qid=1694735389&amp;sr=8-10", "https://www.amazon.com/Klein-Tools-32235-Driver-Phillips/dp/B019874WVS/ref=sr_1_10?keywords=Klein+Tools+32234+Power+Driver+Set%2C+Assorted+Bits%2C+3-1%2F2-Inch&amp;qid=1694735389&amp;sr=8-10")</f>
        <v/>
      </c>
      <c r="F7085" t="inlineStr">
        <is>
          <t>B019874WVS</t>
        </is>
      </c>
      <c r="G7085">
        <f>_xludf.IMAGE("https://edmondsonsupply.com/cdn/shop/products/32234.jpg?v=1587145699")</f>
        <v/>
      </c>
      <c r="H7085">
        <f>_xludf.IMAGE("https://m.media-amazon.com/images/I/41sYLCZnDBL._AC_UL320_.jpg")</f>
        <v/>
      </c>
      <c r="K7085" t="inlineStr">
        <is>
          <t>13.49</t>
        </is>
      </c>
      <c r="L7085" t="n">
        <v>9.49</v>
      </c>
      <c r="M7085" s="1" t="inlineStr">
        <is>
          <t>-29.65%</t>
        </is>
      </c>
      <c r="N7085" s="1" t="n"/>
      <c r="O7085" t="n">
        <v>4.1</v>
      </c>
      <c r="P7085" t="n">
        <v>29</v>
      </c>
      <c r="R7085" t="inlineStr">
        <is>
          <t>InStock</t>
        </is>
      </c>
      <c r="S7085" t="inlineStr">
        <is>
          <t>20.44</t>
        </is>
      </c>
      <c r="T7085" t="inlineStr">
        <is>
          <t>4407924523108</t>
        </is>
      </c>
    </row>
    <row r="7086" hidden="1" ht="15.75" customHeight="1">
      <c r="A7086" s="2">
        <f>HYPERLINK("https://edmondsonsupply.com/collections/electricians-tools/products/klein-tools-602-4-1-4-inch-keystone-screwdriver-4-inch-round-shank", "https://edmondsonsupply.com/collections/electricians-tools/products/klein-tools-602-4-1-4-inch-keystone-screwdriver-4-inch-round-shank")</f>
        <v/>
      </c>
      <c r="B7086" s="2">
        <f>HYPERLINK("https://edmondsonsupply.com/products/klein-tools-602-4-1-4-inch-keystone-screwdriver-4-inch-round-shank", "https://edmondsonsupply.com/products/klein-tools-602-4-1-4-inch-keystone-screwdriver-4-inch-round-shank")</f>
        <v/>
      </c>
      <c r="C7086" t="inlineStr">
        <is>
          <t>Klein Tools 602-4 1/4-Inch Keystone Screwdriver, 4-Inch Round Shank</t>
        </is>
      </c>
      <c r="D7086" t="inlineStr">
        <is>
          <t>Klein Tools A216-4 1/8-Inch Cabinet-Tip Flat Head Screwdriver with 4-Inch Round Shank and Comfordome Handle</t>
        </is>
      </c>
      <c r="E7086" s="2">
        <f>HYPERLINK("https://www.amazon.com/Cabinet-Tip-Screwdriver-Klein-Tools-A216-4/dp/B00093GC28/ref=sr_1_11?keywords=Klein+Tools+602-4+1%2F4-Inch+Keystone+Screwdriver%2C+4-Inch+Round+Shank&amp;qid=1694735235&amp;sr=8-11", "https://www.amazon.com/Cabinet-Tip-Screwdriver-Klein-Tools-A216-4/dp/B00093GC28/ref=sr_1_11?keywords=Klein+Tools+602-4+1%2F4-Inch+Keystone+Screwdriver%2C+4-Inch+Round+Shank&amp;qid=1694735235&amp;sr=8-11")</f>
        <v/>
      </c>
      <c r="F7086" t="inlineStr">
        <is>
          <t>B00093GC28</t>
        </is>
      </c>
      <c r="G7086">
        <f>_xludf.IMAGE("https://edmondsonsupply.com/cdn/shop/products/602-6.jpg?v=1633030821")</f>
        <v/>
      </c>
      <c r="H7086">
        <f>_xludf.IMAGE("https://m.media-amazon.com/images/I/414kKbGezfL._AC_UL320_.jpg")</f>
        <v/>
      </c>
      <c r="K7086" t="inlineStr">
        <is>
          <t>9.49</t>
        </is>
      </c>
      <c r="L7086" t="n">
        <v>6.65</v>
      </c>
      <c r="M7086" s="1" t="inlineStr">
        <is>
          <t>-29.93%</t>
        </is>
      </c>
      <c r="N7086" s="1" t="n"/>
      <c r="O7086" t="n">
        <v>4.7</v>
      </c>
      <c r="P7086" t="n">
        <v>172</v>
      </c>
      <c r="R7086" t="inlineStr">
        <is>
          <t>InStock</t>
        </is>
      </c>
      <c r="S7086" t="inlineStr">
        <is>
          <t>14.36</t>
        </is>
      </c>
      <c r="T7086" t="inlineStr">
        <is>
          <t>6080792363181</t>
        </is>
      </c>
    </row>
    <row r="7087" ht="87" customHeight="1">
      <c r="A7087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7087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7087" t="inlineStr">
        <is>
          <t>Klein Tools CL390 AC/DC Digital Clamp Meter, Auto-Ranging 400 Amp</t>
        </is>
      </c>
      <c r="D7087" t="inlineStr">
        <is>
          <t>Klein Tools CL220 Digital Clamp Meter, Auto-Ranging 400 Amp AC, AC/DC Voltage, TRMS, Resistance, Continuity, NCVT Detection, and Temp, Orange and Black</t>
        </is>
      </c>
      <c r="E7087" s="2">
        <f>HYPERLINK("https://www.amazon.com/Klein-Tools-CL220-Auto-Ranging-Temperature/dp/B08CFWMYYY/ref=sr_1_6?keywords=Klein+Tools+CL390+AC%2FDC+Digital+Clamp+Meter%2C+Auto-Ranging+400+Amp&amp;qid=1694735129&amp;sr=8-6", "https://www.amazon.com/Klein-Tools-CL220-Auto-Ranging-Temperature/dp/B08CFWMYYY/ref=sr_1_6?keywords=Klein+Tools+CL390+AC%2FDC+Digital+Clamp+Meter%2C+Auto-Ranging+400+Amp&amp;qid=1694735129&amp;sr=8-6")</f>
        <v/>
      </c>
      <c r="F7087" t="inlineStr">
        <is>
          <t>B08CFWMYYY</t>
        </is>
      </c>
      <c r="G7087">
        <f>_xlfn.IMAGE("https://edmondsonsupply.com/cdn/shop/products/cl390.jpg?v=1662670722")</f>
        <v/>
      </c>
      <c r="H7087">
        <f>_xlfn.IMAGE("https://m.media-amazon.com/images/I/61PTwVjeWtL._AC_UY218_.jpg")</f>
        <v/>
      </c>
      <c r="K7087" t="inlineStr">
        <is>
          <t>99.97</t>
        </is>
      </c>
      <c r="L7087" t="n">
        <v>69.97</v>
      </c>
      <c r="M7087" s="1" t="inlineStr">
        <is>
          <t>-30.01%</t>
        </is>
      </c>
      <c r="N7087" s="7" t="n"/>
      <c r="O7087" t="n">
        <v>4.7</v>
      </c>
      <c r="P7087" t="n">
        <v>810</v>
      </c>
      <c r="R7087" t="inlineStr">
        <is>
          <t>InStock</t>
        </is>
      </c>
      <c r="S7087" t="inlineStr">
        <is>
          <t>133.3</t>
        </is>
      </c>
      <c r="T7087" t="inlineStr">
        <is>
          <t>7809430585560</t>
        </is>
      </c>
    </row>
    <row r="7088" hidden="1" ht="15.75" customHeight="1">
      <c r="A7088" s="2">
        <f>HYPERLINK("https://edmondsonsupply.com/collections/electricians-tools/products/klein-tools-vdv512-110-remote-kit-for-coax-explorer%C2%AE-tester", "https://edmondsonsupply.com/collections/electricians-tools/products/klein-tools-vdv512-110-remote-kit-for-coax-explorer%C2%AE-tester")</f>
        <v/>
      </c>
      <c r="B7088" s="2">
        <f>HYPERLINK("https://edmondsonsupply.com/products/klein-tools-vdv512-110-remote-kit-for-coax-explorer%c2%ae-tester", "https://edmondsonsupply.com/products/klein-tools-vdv512-110-remote-kit-for-coax-explorer%c2%ae-tester")</f>
        <v/>
      </c>
      <c r="C7088" t="inlineStr">
        <is>
          <t>Klein Tools VDV512-110 Remote Kit for Coax Explorer® Tester</t>
        </is>
      </c>
      <c r="D7088" t="inlineStr">
        <is>
          <t>RLSOCO Hard Case for Klein Tools VDV512-101 Explorer 2 Coax Tester Kit &amp; Compatible with Klein Tools VDV002-820 Kit</t>
        </is>
      </c>
      <c r="E7088" s="2">
        <f>HYPERLINK("https://www.amazon.com/RLSOCO-VDV512-101-Explorer-Compatible-VDV002-820/dp/B0BM9R78LS/ref=sr_1_4?keywords=Klein+Tools+VDV512-110+Remote+Kit+for+Coax+Explorer%C2%AE+Tester&amp;qid=1694735240&amp;sr=8-4", "https://www.amazon.com/RLSOCO-VDV512-101-Explorer-Compatible-VDV002-820/dp/B0BM9R78LS/ref=sr_1_4?keywords=Klein+Tools+VDV512-110+Remote+Kit+for+Coax+Explorer%C2%AE+Tester&amp;qid=1694735240&amp;sr=8-4")</f>
        <v/>
      </c>
      <c r="F7088" t="inlineStr">
        <is>
          <t>B0BM9R78LS</t>
        </is>
      </c>
      <c r="G7088">
        <f>_xludf.IMAGE("https://edmondsonsupply.com/cdn/shop/products/vdv512110.jpg?v=1633030792")</f>
        <v/>
      </c>
      <c r="H7088">
        <f>_xludf.IMAGE("https://m.media-amazon.com/images/I/813e+Cu49eL._AC_UY218_.jpg")</f>
        <v/>
      </c>
      <c r="K7088" t="inlineStr">
        <is>
          <t>19.99</t>
        </is>
      </c>
      <c r="L7088" t="n">
        <v>13.99</v>
      </c>
      <c r="M7088" s="1" t="inlineStr">
        <is>
          <t>-30.02%</t>
        </is>
      </c>
      <c r="N7088" s="1" t="n"/>
      <c r="O7088" t="n">
        <v>5</v>
      </c>
      <c r="P7088" t="n">
        <v>4</v>
      </c>
      <c r="R7088" t="inlineStr">
        <is>
          <t>InStock</t>
        </is>
      </c>
      <c r="S7088" t="inlineStr">
        <is>
          <t>27.26</t>
        </is>
      </c>
      <c r="T7088" t="inlineStr">
        <is>
          <t>5988016259240</t>
        </is>
      </c>
    </row>
    <row r="7089" hidden="1" ht="15.75" customHeight="1">
      <c r="A7089" s="2">
        <f>HYPERLINK("https://edmondsonsupply.com/collections/electricians-tools/products/fluke-st120-gfci-socket-tester-with-beeper", "https://edmondsonsupply.com/collections/electricians-tools/products/fluke-st120-gfci-socket-tester-with-beeper")</f>
        <v/>
      </c>
      <c r="B7089" s="2">
        <f>HYPERLINK("https://edmondsonsupply.com/products/fluke-st120-gfci-socket-tester-with-beeper", "https://edmondsonsupply.com/products/fluke-st120-gfci-socket-tester-with-beeper")</f>
        <v/>
      </c>
      <c r="C7089" t="inlineStr">
        <is>
          <t>Fluke ST120+ GFCI Socket Tester with Beeper</t>
        </is>
      </c>
      <c r="D7089" t="inlineStr">
        <is>
          <t>FBLFOBELI Hard Travel Carrying Case Compatible with Fluke ST120+ GFCI Socket Tester with Audible Beeper，Shockproof Storage Bag (Case Only)</t>
        </is>
      </c>
      <c r="E7089" s="2">
        <f>HYPERLINK("https://www.amazon.com/FBLFOBELI-Carrying-Compatible-Audible-Beeper%EF%BC%8CShockproof/dp/B0BN4XRLXJ/ref=sr_1_3?keywords=Fluke+ST120%2B+GFCI+Socket+Tester+with+Beeper&amp;qid=1694735127&amp;sr=8-3", "https://www.amazon.com/FBLFOBELI-Carrying-Compatible-Audible-Beeper%EF%BC%8CShockproof/dp/B0BN4XRLXJ/ref=sr_1_3?keywords=Fluke+ST120%2B+GFCI+Socket+Tester+with+Beeper&amp;qid=1694735127&amp;sr=8-3")</f>
        <v/>
      </c>
      <c r="F7089" t="inlineStr">
        <is>
          <t>B0BN4XRLXJ</t>
        </is>
      </c>
      <c r="G7089">
        <f>_xludf.IMAGE("https://edmondsonsupply.com/cdn/shop/products/F-st120-plus_01a_w.webp?v=1662582919")</f>
        <v/>
      </c>
      <c r="H7089">
        <f>_xludf.IMAGE("https://m.media-amazon.com/images/I/719YjA+Nx8L._AC_UL320_.jpg")</f>
        <v/>
      </c>
      <c r="K7089" t="inlineStr">
        <is>
          <t>19.99</t>
        </is>
      </c>
      <c r="L7089" t="n">
        <v>13.99</v>
      </c>
      <c r="M7089" s="1" t="inlineStr">
        <is>
          <t>-30.02%</t>
        </is>
      </c>
      <c r="N7089" s="1" t="n"/>
      <c r="O7089" t="n">
        <v>5</v>
      </c>
      <c r="P7089" t="n">
        <v>1</v>
      </c>
      <c r="R7089" t="inlineStr">
        <is>
          <t>InStock</t>
        </is>
      </c>
      <c r="S7089" t="inlineStr">
        <is>
          <t>21.99</t>
        </is>
      </c>
      <c r="T7089" t="inlineStr">
        <is>
          <t>7807652364504</t>
        </is>
      </c>
    </row>
    <row r="7090" hidden="1" ht="15.75" customHeight="1">
      <c r="A7090" s="2">
        <f>HYPERLINK("https://edmondsonsupply.com/collections/electricians-tools/products/klein-tools-630-5-16m-5-16-inch-magnetic-nut-driver-with-hollow-shaft", "https://edmondsonsupply.com/collections/electricians-tools/products/klein-tools-630-5-16m-5-16-inch-magnetic-nut-driver-with-hollow-shaft")</f>
        <v/>
      </c>
      <c r="B7090" s="2">
        <f>HYPERLINK("https://edmondsonsupply.com/products/klein-tools-630-5-16m-5-16-inch-magnetic-nut-driver-with-hollow-shaft", "https://edmondsonsupply.com/products/klein-tools-630-5-16m-5-16-inch-magnetic-nut-driver-with-hollow-shaft")</f>
        <v/>
      </c>
      <c r="C7090" t="inlineStr">
        <is>
          <t>Klein Tools 630-5/16M 5/16-Inch Magnetic Nut Driver with Hollow Shaft</t>
        </is>
      </c>
      <c r="D7090" t="inlineStr">
        <is>
          <t>Klein Tools 630-5MM 5 mm Nut Driver with 3-Inch Hollow Shaft and Cushion Grip Handle</t>
        </is>
      </c>
      <c r="E7090" s="2">
        <f>HYPERLINK("https://www.amazon.com/Driver-Cushion-Klein-Tools-630-5MM/dp/B0009OODG4/ref=sr_1_22?keywords=Klein+Tools+630-5%2F16M+5%2F16-Inch+Magnetic+Nut+Driver+with+Hollow+Shaft&amp;qid=1694735398&amp;sr=8-22", "https://www.amazon.com/Driver-Cushion-Klein-Tools-630-5MM/dp/B0009OODG4/ref=sr_1_22?keywords=Klein+Tools+630-5%2F16M+5%2F16-Inch+Magnetic+Nut+Driver+with+Hollow+Shaft&amp;qid=1694735398&amp;sr=8-22")</f>
        <v/>
      </c>
      <c r="F7090" t="inlineStr">
        <is>
          <t>B0009OODG4</t>
        </is>
      </c>
      <c r="G7090">
        <f>_xludf.IMAGE("https://edmondsonsupply.com/cdn/shop/products/630-5-16m.jpg?v=1587148610")</f>
        <v/>
      </c>
      <c r="H7090">
        <f>_xludf.IMAGE("https://m.media-amazon.com/images/I/51oyTa9LLJL._AC_UL320_.jpg")</f>
        <v/>
      </c>
      <c r="K7090" t="inlineStr">
        <is>
          <t>9.99</t>
        </is>
      </c>
      <c r="L7090" t="n">
        <v>6.99</v>
      </c>
      <c r="M7090" s="1" t="inlineStr">
        <is>
          <t>-30.03%</t>
        </is>
      </c>
      <c r="N7090" s="1" t="n"/>
      <c r="O7090" t="n">
        <v>4.8</v>
      </c>
      <c r="P7090" t="n">
        <v>1115</v>
      </c>
      <c r="R7090" t="inlineStr">
        <is>
          <t>InStock</t>
        </is>
      </c>
      <c r="S7090" t="inlineStr">
        <is>
          <t>15.12</t>
        </is>
      </c>
      <c r="T7090" t="inlineStr">
        <is>
          <t>4391884324964</t>
        </is>
      </c>
    </row>
    <row r="7091" ht="87" customHeight="1">
      <c r="A7091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091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091" t="inlineStr">
        <is>
          <t>Klein Tools 11055RINS Insulated Klein-Kurve® Wire Stripper and Cutter</t>
        </is>
      </c>
      <c r="D7091" t="inlineStr">
        <is>
          <t>Klein Tools 1019 Klein Kurve Wire Stripper / Crimper / Cutter for B and IDC Connectors, Terminals, More</t>
        </is>
      </c>
      <c r="E7091" s="2">
        <f>HYPERLINK("https://www.amazon.com/Klein-Tools-1019-Connectors-Terminals/dp/B07GFYBW4V/ref=sr_1_3?keywords=Klein+Tools+11055RINS+Insulated+Klein-Kurve%C2%AE+Wire+Stripper+and+Cutter&amp;qid=1694735096&amp;sr=8-3", "https://www.amazon.com/Klein-Tools-1019-Connectors-Terminals/dp/B07GFYBW4V/ref=sr_1_3?keywords=Klein+Tools+11055RINS+Insulated+Klein-Kurve%C2%AE+Wire+Stripper+and+Cutter&amp;qid=1694735096&amp;sr=8-3")</f>
        <v/>
      </c>
      <c r="F7091" t="inlineStr">
        <is>
          <t>B07GFYBW4V</t>
        </is>
      </c>
      <c r="G7091">
        <f>_xlfn.IMAGE("https://edmondsonsupply.com/cdn/shop/products/11055rins.jpg?v=1667236979")</f>
        <v/>
      </c>
      <c r="H7091">
        <f>_xlfn.IMAGE("https://m.media-amazon.com/images/I/41CdFsk2lFL._AC_UL320_.jpg")</f>
        <v/>
      </c>
      <c r="K7091" t="inlineStr">
        <is>
          <t>29.97</t>
        </is>
      </c>
      <c r="L7091" t="n">
        <v>20.97</v>
      </c>
      <c r="M7091" s="1" t="inlineStr">
        <is>
          <t>-30.03%</t>
        </is>
      </c>
      <c r="N7091" s="7" t="n"/>
      <c r="O7091" t="n">
        <v>4.7</v>
      </c>
      <c r="P7091" t="n">
        <v>1795</v>
      </c>
      <c r="R7091" t="inlineStr">
        <is>
          <t>InStock</t>
        </is>
      </c>
      <c r="S7091" t="inlineStr">
        <is>
          <t>41.98</t>
        </is>
      </c>
      <c r="T7091" t="inlineStr">
        <is>
          <t>7871527813336</t>
        </is>
      </c>
    </row>
    <row r="7092" ht="87" customHeight="1">
      <c r="A7092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092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092" t="inlineStr">
        <is>
          <t>Klein Tools 11055RINS Insulated Klein-Kurve® Wire Stripper and Cutter</t>
        </is>
      </c>
      <c r="D7092" t="inlineStr">
        <is>
          <t>Klein Tools 11053 Klein-Kurve Wire Stripper and Cutter for 6-12 AWG Stranded Wire, 7-1/8-Inch,Blue/Red</t>
        </is>
      </c>
      <c r="E7092" s="2">
        <f>HYPERLINK("https://www.amazon.com/Klein-Kurve-Stripper-Klein-Tools-11053/dp/B000MKH0YC/ref=sr_1_4?keywords=Klein+Tools+11055RINS+Insulated+Klein-Kurve%C2%AE+Wire+Stripper+and+Cutter&amp;qid=1694735096&amp;sr=8-4", "https://www.amazon.com/Klein-Kurve-Stripper-Klein-Tools-11053/dp/B000MKH0YC/ref=sr_1_4?keywords=Klein+Tools+11055RINS+Insulated+Klein-Kurve%C2%AE+Wire+Stripper+and+Cutter&amp;qid=1694735096&amp;sr=8-4")</f>
        <v/>
      </c>
      <c r="F7092" t="inlineStr">
        <is>
          <t>B000MKH0YC</t>
        </is>
      </c>
      <c r="G7092">
        <f>_xlfn.IMAGE("https://edmondsonsupply.com/cdn/shop/products/11055rins.jpg?v=1667236979")</f>
        <v/>
      </c>
      <c r="H7092">
        <f>_xlfn.IMAGE("https://m.media-amazon.com/images/I/51eHDSucYhL._AC_UL320_.jpg")</f>
        <v/>
      </c>
      <c r="K7092" t="inlineStr">
        <is>
          <t>29.97</t>
        </is>
      </c>
      <c r="L7092" t="n">
        <v>20.97</v>
      </c>
      <c r="M7092" s="1" t="inlineStr">
        <is>
          <t>-30.03%</t>
        </is>
      </c>
      <c r="N7092" s="7" t="n"/>
      <c r="O7092" t="n">
        <v>4.8</v>
      </c>
      <c r="P7092" t="n">
        <v>2986</v>
      </c>
      <c r="R7092" t="inlineStr">
        <is>
          <t>InStock</t>
        </is>
      </c>
      <c r="S7092" t="inlineStr">
        <is>
          <t>41.98</t>
        </is>
      </c>
      <c r="T7092" t="inlineStr">
        <is>
          <t>7871527813336</t>
        </is>
      </c>
    </row>
    <row r="7093" ht="87" customHeight="1">
      <c r="A7093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093" s="2">
        <f>HYPERLINK("https://edmondsonsupply.com/products/klein-tools-32305-15-in-1-multi-bit-ratcheting-screwdriver", "https://edmondsonsupply.com/products/klein-tools-32305-15-in-1-multi-bit-ratcheting-screwdriver")</f>
        <v/>
      </c>
      <c r="C7093" t="inlineStr">
        <is>
          <t>Klein Tools 32305 15-in-1 Multi-Bit Ratcheting Screwdriver</t>
        </is>
      </c>
      <c r="D7093" t="inlineStr">
        <is>
          <t>Klein Tools 32594 Multi-Bit Screwdriver / Nut Driver, 6-in-1 Stubby Tool with Phillips, Slotted and Square Bits and 2 Nut Driver Sizes</t>
        </is>
      </c>
      <c r="E7093" s="2">
        <f>HYPERLINK("https://www.amazon.com/Ratcheting-Screwdriver-Klein-Tools-32594/dp/B01I2KTKR8/ref=sr_1_47?keywords=Klein+Tools+32305+15-in-1+Multi-Bit+Ratcheting+Screwdriver&amp;qid=1694735163&amp;sr=8-47", "https://www.amazon.com/Ratcheting-Screwdriver-Klein-Tools-32594/dp/B01I2KTKR8/ref=sr_1_47?keywords=Klein+Tools+32305+15-in-1+Multi-Bit+Ratcheting+Screwdriver&amp;qid=1694735163&amp;sr=8-47")</f>
        <v/>
      </c>
      <c r="F7093" t="inlineStr">
        <is>
          <t>B01I2KTKR8</t>
        </is>
      </c>
      <c r="G7093">
        <f>_xlfn.IMAGE("https://edmondsonsupply.com/cdn/shop/products/32305.jpg?v=1646965475")</f>
        <v/>
      </c>
      <c r="H7093">
        <f>_xlfn.IMAGE("https://m.media-amazon.com/images/I/51pkI+hcIbL._AC_UL320_.jpg")</f>
        <v/>
      </c>
      <c r="K7093" t="inlineStr">
        <is>
          <t>21.97</t>
        </is>
      </c>
      <c r="L7093" t="n">
        <v>15.36</v>
      </c>
      <c r="M7093" s="1" t="inlineStr">
        <is>
          <t>-30.09%</t>
        </is>
      </c>
      <c r="N7093" s="7" t="n"/>
      <c r="O7093" t="n">
        <v>4.8</v>
      </c>
      <c r="P7093" t="n">
        <v>550</v>
      </c>
      <c r="R7093" t="inlineStr">
        <is>
          <t>InStock</t>
        </is>
      </c>
      <c r="S7093" t="inlineStr">
        <is>
          <t>30.78</t>
        </is>
      </c>
      <c r="T7093" t="inlineStr">
        <is>
          <t>7632426598616</t>
        </is>
      </c>
    </row>
    <row r="7094" hidden="1" ht="15.75" customHeight="1">
      <c r="A7094" s="2">
        <f>HYPERLINK("https://edmondsonsupply.com/collections/electricians-tools/products/fluke-st120-gfci-socket-tester-with-beeper", "https://edmondsonsupply.com/collections/electricians-tools/products/fluke-st120-gfci-socket-tester-with-beeper")</f>
        <v/>
      </c>
      <c r="B7094" s="2">
        <f>HYPERLINK("https://edmondsonsupply.com/products/fluke-st120-gfci-socket-tester-with-beeper", "https://edmondsonsupply.com/products/fluke-st120-gfci-socket-tester-with-beeper")</f>
        <v/>
      </c>
      <c r="C7094" t="inlineStr">
        <is>
          <t>Fluke ST120+ GFCI Socket Tester with Beeper</t>
        </is>
      </c>
      <c r="D7094" t="inlineStr">
        <is>
          <t>Fluke ST120 GFCI Socket Tester Without Beeper</t>
        </is>
      </c>
      <c r="E7094" s="2">
        <f>HYPERLINK("https://www.amazon.com/Fluke-Socket-Tester-Without-Beeper/dp/B0B3VC2W6X/ref=sr_1_2?keywords=Fluke+ST120%2B+GFCI+Socket+Tester+with+Beeper&amp;qid=1694735127&amp;sr=8-2", "https://www.amazon.com/Fluke-Socket-Tester-Without-Beeper/dp/B0B3VC2W6X/ref=sr_1_2?keywords=Fluke+ST120%2B+GFCI+Socket+Tester+with+Beeper&amp;qid=1694735127&amp;sr=8-2")</f>
        <v/>
      </c>
      <c r="F7094" t="inlineStr">
        <is>
          <t>B0B3VC2W6X</t>
        </is>
      </c>
      <c r="G7094">
        <f>_xludf.IMAGE("https://edmondsonsupply.com/cdn/shop/products/F-st120-plus_01a_w.webp?v=1662582919")</f>
        <v/>
      </c>
      <c r="H7094">
        <f>_xludf.IMAGE("https://m.media-amazon.com/images/I/81hERZs6wNL._AC_UL320_.jpg")</f>
        <v/>
      </c>
      <c r="K7094" t="inlineStr">
        <is>
          <t>19.99</t>
        </is>
      </c>
      <c r="L7094" t="n">
        <v>13.97</v>
      </c>
      <c r="M7094" s="1" t="inlineStr">
        <is>
          <t>-30.12%</t>
        </is>
      </c>
      <c r="N7094" s="1" t="n"/>
      <c r="O7094" t="n">
        <v>4.8</v>
      </c>
      <c r="P7094" t="n">
        <v>116</v>
      </c>
      <c r="R7094" t="inlineStr">
        <is>
          <t>InStock</t>
        </is>
      </c>
      <c r="S7094" t="inlineStr">
        <is>
          <t>21.99</t>
        </is>
      </c>
      <c r="T7094" t="inlineStr">
        <is>
          <t>7807652364504</t>
        </is>
      </c>
    </row>
    <row r="7095" hidden="1" ht="15.75" customHeight="1">
      <c r="A7095" s="2">
        <f>HYPERLINK("https://edmondsonsupply.com/collections/electricians-tools/products/fluke-st120-gfci-socket-tester-with-beeper", "https://edmondsonsupply.com/collections/electricians-tools/products/fluke-st120-gfci-socket-tester-with-beeper")</f>
        <v/>
      </c>
      <c r="B7095" s="2">
        <f>HYPERLINK("https://edmondsonsupply.com/products/fluke-st120-gfci-socket-tester-with-beeper", "https://edmondsonsupply.com/products/fluke-st120-gfci-socket-tester-with-beeper")</f>
        <v/>
      </c>
      <c r="C7095" t="inlineStr">
        <is>
          <t>Fluke ST120+ GFCI Socket Tester with Beeper</t>
        </is>
      </c>
      <c r="D7095" t="inlineStr">
        <is>
          <t>Fluke ST120+ GFCI Socket Tester with Audible Beeper</t>
        </is>
      </c>
      <c r="E7095" s="2">
        <f>HYPERLINK("https://www.amazon.com/Fluke-ST120-Socket-Tester-Audible/dp/B0B3VCZ4XK/ref=sr_1_1?keywords=Fluke+ST120%2B+GFCI+Socket+Tester+with+Beeper&amp;qid=1694735127&amp;sr=8-1", "https://www.amazon.com/Fluke-ST120-Socket-Tester-Audible/dp/B0B3VCZ4XK/ref=sr_1_1?keywords=Fluke+ST120%2B+GFCI+Socket+Tester+with+Beeper&amp;qid=1694735127&amp;sr=8-1")</f>
        <v/>
      </c>
      <c r="F7095" t="inlineStr">
        <is>
          <t>B0B3VCZ4XK</t>
        </is>
      </c>
      <c r="G7095">
        <f>_xludf.IMAGE("https://edmondsonsupply.com/cdn/shop/products/F-st120-plus_01a_w.webp?v=1662582919")</f>
        <v/>
      </c>
      <c r="H7095">
        <f>_xludf.IMAGE("https://m.media-amazon.com/images/I/816n049-GKL._AC_UL320_.jpg")</f>
        <v/>
      </c>
      <c r="K7095" t="inlineStr">
        <is>
          <t>19.99</t>
        </is>
      </c>
      <c r="L7095" t="n">
        <v>13.97</v>
      </c>
      <c r="M7095" s="1" t="inlineStr">
        <is>
          <t>-30.12%</t>
        </is>
      </c>
      <c r="N7095" s="1" t="n"/>
      <c r="O7095" t="n">
        <v>4.8</v>
      </c>
      <c r="P7095" t="n">
        <v>632</v>
      </c>
      <c r="R7095" t="inlineStr">
        <is>
          <t>InStock</t>
        </is>
      </c>
      <c r="S7095" t="inlineStr">
        <is>
          <t>21.99</t>
        </is>
      </c>
      <c r="T7095" t="inlineStr">
        <is>
          <t>7807652364504</t>
        </is>
      </c>
    </row>
    <row r="7096" hidden="1" ht="15.75" customHeight="1">
      <c r="A7096" s="2">
        <f>HYPERLINK("https://edmondsonsupply.com/collections/electricians-tools/products/klein-tools-6916ins-slim-tip-insulated-screwdriver-3-16-inch-cabinet-6-inch-round-shank", "https://edmondsonsupply.com/collections/electricians-tools/products/klein-tools-6916ins-slim-tip-insulated-screwdriver-3-16-inch-cabinet-6-inch-round-shank")</f>
        <v/>
      </c>
      <c r="B7096" s="2">
        <f>HYPERLINK("https://edmondsonsupply.com/products/klein-tools-6916ins-slim-tip-insulated-screwdriver-3-16-inch-cabinet-6-inch-round-shank", "https://edmondsonsupply.com/products/klein-tools-6916ins-slim-tip-insulated-screwdriver-3-16-inch-cabinet-6-inch-round-shank")</f>
        <v/>
      </c>
      <c r="C7096" t="inlineStr">
        <is>
          <t>Klein Tools 6916INS Slim-Tip Insulated Screwdriver, 3/16-Inch Cabinet, 6-Inch Round Shank</t>
        </is>
      </c>
      <c r="D7096" t="inlineStr">
        <is>
          <t>Klein Tools 601-10 Flat Head Screwdriver, 3/16-Inch Cabinet Tip with 10-Inch Round Shank</t>
        </is>
      </c>
      <c r="E7096" s="2">
        <f>HYPERLINK("https://www.amazon.com/Screwdriver-16-Inch-Klein-Tools-601-10/dp/B000F0KC3K/ref=sr_1_4?keywords=Klein+Tools+6916INS+Slim-Tip+Insulated+Screwdriver%2C+3%2F16-Inch+Cabinet%2C+6-Inch+Round+Shank&amp;qid=1694735268&amp;sr=8-4", "https://www.amazon.com/Screwdriver-16-Inch-Klein-Tools-601-10/dp/B000F0KC3K/ref=sr_1_4?keywords=Klein+Tools+6916INS+Slim-Tip+Insulated+Screwdriver%2C+3%2F16-Inch+Cabinet%2C+6-Inch+Round+Shank&amp;qid=1694735268&amp;sr=8-4")</f>
        <v/>
      </c>
      <c r="F7096" t="inlineStr">
        <is>
          <t>B000F0KC3K</t>
        </is>
      </c>
      <c r="G7096">
        <f>_xludf.IMAGE("https://edmondsonsupply.com/cdn/shop/products/6916ins.jpg?v=1633030552")</f>
        <v/>
      </c>
      <c r="H7096">
        <f>_xludf.IMAGE("https://m.media-amazon.com/images/I/31R7xw1rhUL._AC_UL320_.jpg")</f>
        <v/>
      </c>
      <c r="K7096" t="inlineStr">
        <is>
          <t>14.99</t>
        </is>
      </c>
      <c r="L7096" t="n">
        <v>10.47</v>
      </c>
      <c r="M7096" s="1" t="inlineStr">
        <is>
          <t>-30.15%</t>
        </is>
      </c>
      <c r="N7096" s="1" t="n"/>
      <c r="O7096" t="n">
        <v>4.8</v>
      </c>
      <c r="P7096" t="n">
        <v>837</v>
      </c>
      <c r="R7096" t="inlineStr">
        <is>
          <t>InStock</t>
        </is>
      </c>
      <c r="S7096" t="inlineStr">
        <is>
          <t>21.02</t>
        </is>
      </c>
      <c r="T7096" t="inlineStr">
        <is>
          <t>5439528468648</t>
        </is>
      </c>
    </row>
    <row r="7097" hidden="1" ht="15.75" customHeight="1">
      <c r="A7097" s="2">
        <f>HYPERLINK("https://edmondsonsupply.com/collections/electricians-tools/products/diablo-tools-dag", "https://edmondsonsupply.com/collections/electricians-tools/products/diablo-tools-dag")</f>
        <v/>
      </c>
      <c r="B7097" s="2">
        <f>HYPERLINK("https://edmondsonsupply.com/products/diablo-tools-dag", "https://edmondsonsupply.com/products/diablo-tools-dag")</f>
        <v/>
      </c>
      <c r="C7097" t="inlineStr">
        <is>
          <t>Diablo Tools DAG3010 3/8 in. x 17-1/2 in. Auger Bit</t>
        </is>
      </c>
      <c r="D7097" t="inlineStr">
        <is>
          <t>Diablo 3/8 in. x 7-1/2 in. Auger Bit</t>
        </is>
      </c>
      <c r="E7097" s="2">
        <f>HYPERLINK("https://www.amazon.com/Diablo-Freud-DAG1030-7-1-Auger/dp/B089KWZ4C4/ref=sr_1_7?keywords=Diablo+Tools+DAG3010+3%2F8+in.+x+17-1%2F2+in.+Auger+Bit&amp;qid=1694735073&amp;sr=8-7", "https://www.amazon.com/Diablo-Freud-DAG1030-7-1-Auger/dp/B089KWZ4C4/ref=sr_1_7?keywords=Diablo+Tools+DAG3010+3%2F8+in.+x+17-1%2F2+in.+Auger+Bit&amp;qid=1694735073&amp;sr=8-7")</f>
        <v/>
      </c>
      <c r="F7097" t="inlineStr">
        <is>
          <t>B089KWZ4C4</t>
        </is>
      </c>
      <c r="G7097">
        <f>_xludf.IMAGE("https://edmondsonsupply.com/cdn/shop/products/xfctdbahz5wx3g461fm8.webp?v=1669991052")</f>
        <v/>
      </c>
      <c r="H7097">
        <f>_xludf.IMAGE("https://m.media-amazon.com/images/I/615E8KqWW3L._AC_UL320_.jpg")</f>
        <v/>
      </c>
      <c r="K7097" t="inlineStr">
        <is>
          <t>17.47</t>
        </is>
      </c>
      <c r="L7097" t="n">
        <v>12.19</v>
      </c>
      <c r="M7097" s="1" t="inlineStr">
        <is>
          <t>-30.22%</t>
        </is>
      </c>
      <c r="N7097" s="1" t="n"/>
      <c r="O7097" t="n">
        <v>4.1</v>
      </c>
      <c r="P7097" t="n">
        <v>15</v>
      </c>
      <c r="R7097" t="inlineStr">
        <is>
          <t>InStock</t>
        </is>
      </c>
      <c r="S7097" t="inlineStr">
        <is>
          <t>25.04</t>
        </is>
      </c>
      <c r="T7097" t="inlineStr">
        <is>
          <t>7897480921304</t>
        </is>
      </c>
    </row>
    <row r="7098" hidden="1" ht="15.75" customHeight="1">
      <c r="A7098" s="2">
        <f>HYPERLINK("https://edmondsonsupply.com/collections/electricians-tools/products/klein-tools-66073-flip-impact-socket-15-16-and-7-8-inch", "https://edmondsonsupply.com/collections/electricians-tools/products/klein-tools-66073-flip-impact-socket-15-16-and-7-8-inch")</f>
        <v/>
      </c>
      <c r="B7098" s="2">
        <f>HYPERLINK("https://edmondsonsupply.com/products/klein-tools-66073-flip-impact-socket-15-16-and-7-8-inch", "https://edmondsonsupply.com/products/klein-tools-66073-flip-impact-socket-15-16-and-7-8-inch")</f>
        <v/>
      </c>
      <c r="C7098" t="inlineStr">
        <is>
          <t>Klein Tools 66073 Flip Impact Socket, 15/16 and 7/8-Inch</t>
        </is>
      </c>
      <c r="D7098" t="inlineStr">
        <is>
          <t>Klein Tools 66077 Impact Driver Flip Socket, 7/16- and 3/8-Inch Sizes, Use with Klein Tools Compact Impact Wrenches BAT20CW, BAT20CW1</t>
        </is>
      </c>
      <c r="E7098" s="2">
        <f>HYPERLINK("https://www.amazon.com/Klein-Tools-66077-Wrenches-BAT20CW1/dp/B0B34JMDCL/ref=sr_1_4?keywords=Klein+Tools+66073+Flip+Impact+Socket%2C+15%2F16+and+7%2F8-Inch&amp;qid=1694735125&amp;sr=8-4", "https://www.amazon.com/Klein-Tools-66077-Wrenches-BAT20CW1/dp/B0B34JMDCL/ref=sr_1_4?keywords=Klein+Tools+66073+Flip+Impact+Socket%2C+15%2F16+and+7%2F8-Inch&amp;qid=1694735125&amp;sr=8-4")</f>
        <v/>
      </c>
      <c r="F7098" t="inlineStr">
        <is>
          <t>B0B34JMDCL</t>
        </is>
      </c>
      <c r="G7098">
        <f>_xludf.IMAGE("https://edmondsonsupply.com/cdn/shop/products/66073.jpg?v=1663250093")</f>
        <v/>
      </c>
      <c r="H7098">
        <f>_xludf.IMAGE("https://m.media-amazon.com/images/I/41vtzEP3nEL._AC_UL320_.jpg")</f>
        <v/>
      </c>
      <c r="K7098" t="inlineStr">
        <is>
          <t>15.0</t>
        </is>
      </c>
      <c r="L7098" t="n">
        <v>10.43</v>
      </c>
      <c r="M7098" s="1" t="inlineStr">
        <is>
          <t>-30.47%</t>
        </is>
      </c>
      <c r="N7098" s="1" t="n"/>
      <c r="O7098" t="n">
        <v>4.8</v>
      </c>
      <c r="P7098" t="n">
        <v>5</v>
      </c>
      <c r="R7098" t="inlineStr">
        <is>
          <t>InStock</t>
        </is>
      </c>
      <c r="S7098" t="inlineStr">
        <is>
          <t>21.0</t>
        </is>
      </c>
      <c r="T7098" t="inlineStr">
        <is>
          <t>7817375547608</t>
        </is>
      </c>
    </row>
    <row r="7099" hidden="1" ht="15.75" customHeight="1">
      <c r="A7099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7099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7099" t="inlineStr">
        <is>
          <t>Diablo Tools DOU125JBW 1-1/4 in. Universal Fit Bi-Metal Oscillating Blades for Clean Wood</t>
        </is>
      </c>
      <c r="D7099" t="inlineStr">
        <is>
          <t>Diablo by Freud DOU125JBW 1-1/4 in. Universal Fit Bi-Metal Oscillating Blade for Clean Wood</t>
        </is>
      </c>
      <c r="E7099" s="2">
        <f>HYPERLINK("https://www.amazon.com/Diablo-Freud-DOU125JBW-Universal-Oscillating/dp/B089KV62LL/ref=sr_1_1?keywords=Diablo+Tools+DOU125JBW+1-1%2F4+in.+Universal+Fit+Bi-Metal+Oscillating+Blades+for+Clean+Wood&amp;qid=1694735180&amp;sr=8-1", "https://www.amazon.com/Diablo-Freud-DOU125JBW-Universal-Oscillating/dp/B089KV62LL/ref=sr_1_1?keywords=Diablo+Tools+DOU125JBW+1-1%2F4+in.+Universal+Fit+Bi-Metal+Oscillating+Blades+for+Clean+Wood&amp;qid=1694735180&amp;sr=8-1")</f>
        <v/>
      </c>
      <c r="F7099" t="inlineStr">
        <is>
          <t>B089KV62LL</t>
        </is>
      </c>
      <c r="G7099">
        <f>_xludf.IMAGE("https://edmondsonsupply.com/cdn/shop/products/DOU125JBW_Main-Image.png?v=1633638363")</f>
        <v/>
      </c>
      <c r="H7099">
        <f>_xludf.IMAGE("https://m.media-amazon.com/images/I/61wFHtmEH5L._AC_UL320_.jpg")</f>
        <v/>
      </c>
      <c r="K7099" t="inlineStr">
        <is>
          <t>17.97</t>
        </is>
      </c>
      <c r="L7099" t="n">
        <v>12.49</v>
      </c>
      <c r="M7099" s="1" t="inlineStr">
        <is>
          <t>-30.50%</t>
        </is>
      </c>
      <c r="N7099" s="1" t="n"/>
      <c r="O7099" t="n">
        <v>4.8</v>
      </c>
      <c r="P7099" t="n">
        <v>12</v>
      </c>
      <c r="R7099" t="inlineStr">
        <is>
          <t>InStock</t>
        </is>
      </c>
      <c r="S7099" t="inlineStr">
        <is>
          <t>22.35</t>
        </is>
      </c>
      <c r="T7099" t="inlineStr">
        <is>
          <t>7000455807149</t>
        </is>
      </c>
    </row>
    <row r="7100" hidden="1" ht="15.75" customHeight="1">
      <c r="A7100" s="2">
        <f>HYPERLINK("https://edmondsonsupply.com/collections/electricians-tools/products/diablo-tools-dou125bw", "https://edmondsonsupply.com/collections/electricians-tools/products/diablo-tools-dou125bw")</f>
        <v/>
      </c>
      <c r="B7100" s="2">
        <f>HYPERLINK("https://edmondsonsupply.com/products/diablo-tools-dou125bw", "https://edmondsonsupply.com/products/diablo-tools-dou125bw")</f>
        <v/>
      </c>
      <c r="C7100" t="inlineStr">
        <is>
          <t>Diablo Tools DOU125BW 1-1/4 in. Universal Fit Bi-Metal Oscillating Blade for Nail-Embedded Wood</t>
        </is>
      </c>
      <c r="D7100" t="inlineStr">
        <is>
          <t>Diablo by Freud DOU125JBW 1-1/4 in. Universal Fit Bi-Metal Oscillating Blade for Clean Wood</t>
        </is>
      </c>
      <c r="E7100" s="2">
        <f>HYPERLINK("https://www.amazon.com/Diablo-Freud-DOU125JBW-Universal-Oscillating/dp/B089KV62LL/ref=sr_1_11?keywords=Diablo+Tools+DOU125BW+1-1%2F4+in.+Universal+Fit+Bi-Metal+Oscillating+Blade+for+Nail-Embedded+Wood&amp;qid=1694735198&amp;sr=8-11", "https://www.amazon.com/Diablo-Freud-DOU125JBW-Universal-Oscillating/dp/B089KV62LL/ref=sr_1_11?keywords=Diablo+Tools+DOU125BW+1-1%2F4+in.+Universal+Fit+Bi-Metal+Oscillating+Blade+for+Nail-Embedded+Wood&amp;qid=1694735198&amp;sr=8-11")</f>
        <v/>
      </c>
      <c r="F7100" t="inlineStr">
        <is>
          <t>B089KV62LL</t>
        </is>
      </c>
      <c r="G7100">
        <f>_xludf.IMAGE("https://edmondsonsupply.com/cdn/shop/products/gnn0wpqc8veb3qhldcrb.webp?v=1676040020")</f>
        <v/>
      </c>
      <c r="H7100">
        <f>_xludf.IMAGE("https://m.media-amazon.com/images/I/61wFHtmEH5L._AC_UL320_.jpg")</f>
        <v/>
      </c>
      <c r="K7100" t="inlineStr">
        <is>
          <t>17.97</t>
        </is>
      </c>
      <c r="L7100" t="n">
        <v>12.49</v>
      </c>
      <c r="M7100" s="1" t="inlineStr">
        <is>
          <t>-30.50%</t>
        </is>
      </c>
      <c r="N7100" s="1" t="n"/>
      <c r="O7100" t="n">
        <v>4.8</v>
      </c>
      <c r="P7100" t="n">
        <v>12</v>
      </c>
      <c r="R7100" t="inlineStr">
        <is>
          <t>InStock</t>
        </is>
      </c>
      <c r="S7100" t="inlineStr">
        <is>
          <t>22.79</t>
        </is>
      </c>
      <c r="T7100" t="inlineStr">
        <is>
          <t>6846081433773</t>
        </is>
      </c>
    </row>
    <row r="7101" ht="87" customHeight="1">
      <c r="A7101" s="2">
        <f>HYPERLINK("https://edmondsonsupply.com/collections/electricians-tools/products/milwaukee-2732-20", "https://edmondsonsupply.com/collections/electricians-tools/products/milwaukee-2732-20")</f>
        <v/>
      </c>
      <c r="B7101" s="2">
        <f>HYPERLINK("https://edmondsonsupply.com/products/milwaukee-2732-20", "https://edmondsonsupply.com/products/milwaukee-2732-20")</f>
        <v/>
      </c>
      <c r="C7101" t="inlineStr">
        <is>
          <t>Milwaukee 2732-20 M18 FUEL 7-1/4" Circular Saw-tool only</t>
        </is>
      </c>
      <c r="D7101" t="inlineStr">
        <is>
          <t>Milwaukee 2732-20 M18 FUEL 7-1/4 in. Circular Saw</t>
        </is>
      </c>
      <c r="E7101" s="2">
        <f>HYPERLINK("https://www.amazon.com/Milwaukee-05-84-0910-0-8-20-HEX-SOC/dp/B079NPMJQ1/ref=sr_1_2?keywords=Milwaukee+2732-20+M18+FUEL+7-1%2F4%22+Circular+Saw-tool+only&amp;qid=1694735300&amp;sr=8-2", "https://www.amazon.com/Milwaukee-05-84-0910-0-8-20-HEX-SOC/dp/B079NPMJQ1/ref=sr_1_2?keywords=Milwaukee+2732-20+M18+FUEL+7-1%2F4%22+Circular+Saw-tool+only&amp;qid=1694735300&amp;sr=8-2")</f>
        <v/>
      </c>
      <c r="F7101" t="inlineStr">
        <is>
          <t>B079NPMJQ1</t>
        </is>
      </c>
      <c r="G7101">
        <f>_xlfn.IMAGE("https://edmondsonsupply.com/cdn/shop/products/2732-20_1.png?v=1591305391")</f>
        <v/>
      </c>
      <c r="H7101">
        <f>_xlfn.IMAGE("https://m.media-amazon.com/images/I/7105fv4fDrL._AC_UL320_.jpg")</f>
        <v/>
      </c>
      <c r="K7101" t="inlineStr">
        <is>
          <t>249.0</t>
        </is>
      </c>
      <c r="L7101" t="n">
        <v>173</v>
      </c>
      <c r="M7101" s="1" t="inlineStr">
        <is>
          <t>-30.52%</t>
        </is>
      </c>
      <c r="N7101" s="7" t="n"/>
      <c r="O7101" t="n">
        <v>4.8</v>
      </c>
      <c r="P7101" t="n">
        <v>704</v>
      </c>
      <c r="R7101" t="inlineStr">
        <is>
          <t>InStock</t>
        </is>
      </c>
      <c r="S7101" t="inlineStr">
        <is>
          <t>413.0</t>
        </is>
      </c>
      <c r="T7101" t="inlineStr">
        <is>
          <t>5273466601640</t>
        </is>
      </c>
    </row>
    <row r="7102" ht="87" customHeight="1">
      <c r="A7102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102" s="2">
        <f>HYPERLINK("https://edmondsonsupply.com/products/klein-tools-nrhd4-4-in-1-square-impact-socket", "https://edmondsonsupply.com/products/klein-tools-nrhd4-4-in-1-square-impact-socket")</f>
        <v/>
      </c>
      <c r="C7102" t="inlineStr">
        <is>
          <t>Klein Tools NRHD4 4-in-1 Square Impact Socket</t>
        </is>
      </c>
      <c r="D7102" t="inlineStr">
        <is>
          <t>Klein Tools 66040 2-in-1 Impact Socket Set, 5-Piece Tool Set with 12-Point Deep Sockets with 1/2-Inch Drive, Includes Tool Case</t>
        </is>
      </c>
      <c r="E7102" s="2">
        <f>HYPERLINK("https://www.amazon.com/Klein-Tools-5-Piece-6-Point-Sockets/dp/B08363H71P/ref=sr_1_4?keywords=Klein+Tools+NRHD4+4-in-1+Square+Impact+Socket&amp;qid=1694735425&amp;sr=8-4", "https://www.amazon.com/Klein-Tools-5-Piece-6-Point-Sockets/dp/B08363H71P/ref=sr_1_4?keywords=Klein+Tools+NRHD4+4-in-1+Square+Impact+Socket&amp;qid=1694735425&amp;sr=8-4")</f>
        <v/>
      </c>
      <c r="F7102" t="inlineStr">
        <is>
          <t>B08363H71P</t>
        </is>
      </c>
      <c r="G7102">
        <f>_xlfn.IMAGE("https://edmondsonsupply.com/cdn/shop/products/nrhd4.jpg?v=1587150980")</f>
        <v/>
      </c>
      <c r="H7102">
        <f>_xlfn.IMAGE("https://m.media-amazon.com/images/I/618QcMhYqSL._AC_UL320_.jpg")</f>
        <v/>
      </c>
      <c r="K7102" t="inlineStr">
        <is>
          <t>179.99</t>
        </is>
      </c>
      <c r="L7102" t="n">
        <v>124.79</v>
      </c>
      <c r="M7102" s="1" t="inlineStr">
        <is>
          <t>-30.67%</t>
        </is>
      </c>
      <c r="N7102" s="7" t="n"/>
      <c r="O7102" t="n">
        <v>4.8</v>
      </c>
      <c r="P7102" t="n">
        <v>1150</v>
      </c>
      <c r="R7102" t="inlineStr">
        <is>
          <t>InStock</t>
        </is>
      </c>
      <c r="S7102" t="inlineStr">
        <is>
          <t>291.34</t>
        </is>
      </c>
      <c r="T7102" t="inlineStr">
        <is>
          <t>4396986433636</t>
        </is>
      </c>
    </row>
    <row r="7103" hidden="1" ht="15.75" customHeight="1">
      <c r="A7103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7103" s="2">
        <f>HYPERLINK("https://edmondsonsupply.com/products/diablo-tools-dmapl2320-1-2-in-x-10-in-x-12-in-sds-plus-2-cutter", "https://edmondsonsupply.com/products/diablo-tools-dmapl2320-1-2-in-x-10-in-x-12-in-sds-plus-2-cutter")</f>
        <v/>
      </c>
      <c r="C7103" t="inlineStr">
        <is>
          <t>Diablo Tools DMAPL2320 1/2 in. x 10 in. x 12 in. SDS-Plus 2-Cutter</t>
        </is>
      </c>
      <c r="D7103" t="inlineStr">
        <is>
          <t>Sabre Tools 1/2 Inch x 12 Inch SDS Plus Rotary Hammer Drill Bit, Carbide Tipped for Brick, Stone, and Concrete Version 2 (1/2" x 10" x 12")</t>
        </is>
      </c>
      <c r="E7103" s="2">
        <f>HYPERLINK("https://www.amazon.com/Sabre-Tools-Carbide-Concrete-Version/dp/B096NN3XMB/ref=sr_1_12?keywords=Diablo+Tools+DMAPL2320+1%2F2+in.+x+10+in.+x+12+in.+SDS-Plus+2-Cutter&amp;qid=1694735300&amp;sr=8-12", "https://www.amazon.com/Sabre-Tools-Carbide-Concrete-Version/dp/B096NN3XMB/ref=sr_1_12?keywords=Diablo+Tools+DMAPL2320+1%2F2+in.+x+10+in.+x+12+in.+SDS-Plus+2-Cutter&amp;qid=1694735300&amp;sr=8-12")</f>
        <v/>
      </c>
      <c r="F7103" t="inlineStr">
        <is>
          <t>B096NN3XMB</t>
        </is>
      </c>
      <c r="G7103">
        <f>_xludf.IMAGE("https://edmondsonsupply.com/cdn/shop/products/DMAPL2320.jpg?v=1633030356")</f>
        <v/>
      </c>
      <c r="H7103">
        <f>_xludf.IMAGE("https://m.media-amazon.com/images/I/61dIavic6qL._AC_UL320_.jpg")</f>
        <v/>
      </c>
      <c r="K7103" t="inlineStr">
        <is>
          <t>12.97</t>
        </is>
      </c>
      <c r="L7103" t="n">
        <v>8.99</v>
      </c>
      <c r="M7103" s="1" t="inlineStr">
        <is>
          <t>-30.69%</t>
        </is>
      </c>
      <c r="N7103" s="1" t="n"/>
      <c r="O7103" t="n">
        <v>4.6</v>
      </c>
      <c r="P7103" t="n">
        <v>796</v>
      </c>
      <c r="R7103" t="inlineStr">
        <is>
          <t>InStock</t>
        </is>
      </c>
      <c r="S7103" t="inlineStr">
        <is>
          <t>14.25</t>
        </is>
      </c>
      <c r="T7103" t="inlineStr">
        <is>
          <t>5286282264744</t>
        </is>
      </c>
    </row>
    <row r="7104" hidden="1" ht="15.75" customHeight="1">
      <c r="A7104" s="2">
        <f>HYPERLINK("https://edmondsonsupply.com/collections/electricians-tools/products/greenlee-dtap6-32-drill-tap-6-32", "https://edmondsonsupply.com/collections/electricians-tools/products/greenlee-dtap6-32-drill-tap-6-32")</f>
        <v/>
      </c>
      <c r="B7104" s="2">
        <f>HYPERLINK("https://edmondsonsupply.com/products/greenlee-dtap6-32-drill-tap-6-32", "https://edmondsonsupply.com/products/greenlee-dtap6-32-drill-tap-6-32")</f>
        <v/>
      </c>
      <c r="C7104" t="inlineStr">
        <is>
          <t>Greenlee DTAP6-32 Drill/Tap, 6-32</t>
        </is>
      </c>
      <c r="D7104" t="inlineStr">
        <is>
          <t>Century Drill &amp; Tool 95004 Machine Screw Tap, 6-32NC</t>
        </is>
      </c>
      <c r="E7104" s="2">
        <f>HYPERLINK("https://www.amazon.com/Century-Drill-Tool-95004-Fractional/dp/B004UUALCS/ref=sr_1_40?keywords=Greenlee+DTAP6-32+Drill%2FTap%2C+6-32&amp;qid=1694735395&amp;sr=8-40", "https://www.amazon.com/Century-Drill-Tool-95004-Fractional/dp/B004UUALCS/ref=sr_1_40?keywords=Greenlee+DTAP6-32+Drill%2FTap%2C+6-32&amp;qid=1694735395&amp;sr=8-40")</f>
        <v/>
      </c>
      <c r="F7104" t="inlineStr">
        <is>
          <t>B004UUALCS</t>
        </is>
      </c>
      <c r="G7104">
        <f>_xludf.IMAGE("https://edmondsonsupply.com/cdn/shop/products/6-32.jpg?v=1587149860")</f>
        <v/>
      </c>
      <c r="H7104">
        <f>_xludf.IMAGE("https://m.media-amazon.com/images/I/31bL+DjmpkL._AC_UL320_.jpg")</f>
        <v/>
      </c>
      <c r="K7104" t="inlineStr">
        <is>
          <t>8.99</t>
        </is>
      </c>
      <c r="L7104" t="n">
        <v>6.23</v>
      </c>
      <c r="M7104" s="1" t="inlineStr">
        <is>
          <t>-30.70%</t>
        </is>
      </c>
      <c r="N7104" s="1" t="n"/>
      <c r="O7104" t="n">
        <v>4.4</v>
      </c>
      <c r="P7104" t="n">
        <v>29</v>
      </c>
      <c r="R7104" t="inlineStr">
        <is>
          <t>OutOfStock</t>
        </is>
      </c>
      <c r="S7104" t="inlineStr">
        <is>
          <t>9.7</t>
        </is>
      </c>
      <c r="T7104" t="inlineStr">
        <is>
          <t>4395858395236</t>
        </is>
      </c>
    </row>
    <row r="7105" ht="87" customHeight="1">
      <c r="A7105" s="2">
        <f>HYPERLINK("https://edmondsonsupply.com/collections/electricians-tools/products/klein-tools-56351-fiberglass-fish-tape-with-spiral-steel-leader-100-foot", "https://edmondsonsupply.com/collections/electricians-tools/products/klein-tools-56351-fiberglass-fish-tape-with-spiral-steel-leader-100-foot")</f>
        <v/>
      </c>
      <c r="B7105" s="2">
        <f>HYPERLINK("https://edmondsonsupply.com/products/klein-tools-56351-fiberglass-fish-tape-with-spiral-steel-leader-100-foot", "https://edmondsonsupply.com/products/klein-tools-56351-fiberglass-fish-tape-with-spiral-steel-leader-100-foot")</f>
        <v/>
      </c>
      <c r="C7105" t="inlineStr">
        <is>
          <t>Klein Tools 56351 Fiberglass Fish Tape with Spiral Steel Leader, 100-Foot</t>
        </is>
      </c>
      <c r="D7105" t="inlineStr">
        <is>
          <t>Klein Tools 56350 Non-Conductive Electrical Fish Tape, Fiberglass Wire Puller with Steel Leader, Optimized Housing / Handle, 50-Foot x 3/16-Inch</t>
        </is>
      </c>
      <c r="E7105" s="2">
        <f>HYPERLINK("https://www.amazon.com/Klein-Tools-56350-Fiberglass-0-182-Inch/dp/B081ZTJTB5/ref=sr_1_2?keywords=Klein+Tools+56351+Fiberglass+Fish+Tape+with+Spiral+Steel+Leader%2C+100-Foot&amp;qid=1694735385&amp;sr=8-2", "https://www.amazon.com/Klein-Tools-56350-Fiberglass-0-182-Inch/dp/B081ZTJTB5/ref=sr_1_2?keywords=Klein+Tools+56351+Fiberglass+Fish+Tape+with+Spiral+Steel+Leader%2C+100-Foot&amp;qid=1694735385&amp;sr=8-2")</f>
        <v/>
      </c>
      <c r="F7105" t="inlineStr">
        <is>
          <t>B081ZTJTB5</t>
        </is>
      </c>
      <c r="G7105">
        <f>_xlfn.IMAGE("https://edmondsonsupply.com/cdn/shop/products/56351.jpg?v=1587149768")</f>
        <v/>
      </c>
      <c r="H7105">
        <f>_xlfn.IMAGE("https://m.media-amazon.com/images/I/51tGreVpcBL._AC_UL320_.jpg")</f>
        <v/>
      </c>
      <c r="K7105" t="inlineStr">
        <is>
          <t>194.99</t>
        </is>
      </c>
      <c r="L7105" t="n">
        <v>134.95</v>
      </c>
      <c r="M7105" s="1" t="inlineStr">
        <is>
          <t>-30.79%</t>
        </is>
      </c>
      <c r="N7105" s="7" t="n"/>
      <c r="O7105" t="n">
        <v>4.9</v>
      </c>
      <c r="P7105" t="n">
        <v>14</v>
      </c>
      <c r="R7105" t="inlineStr">
        <is>
          <t>InStock</t>
        </is>
      </c>
      <c r="S7105" t="inlineStr">
        <is>
          <t>277.42</t>
        </is>
      </c>
      <c r="T7105" t="inlineStr">
        <is>
          <t>4412223520868</t>
        </is>
      </c>
    </row>
    <row r="7106" hidden="1" ht="15.75" customHeight="1">
      <c r="A7106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7106" s="2">
        <f>HYPERLINK("https://edmondsonsupply.com/products/klein-tools-31944-bi-metal-hole-saw-2-3-4-inch", "https://edmondsonsupply.com/products/klein-tools-31944-bi-metal-hole-saw-2-3-4-inch")</f>
        <v/>
      </c>
      <c r="C7106" t="inlineStr">
        <is>
          <t>Klein Tools 31944 Bi-Metal Hole Saw, 2-3/4-Inch</t>
        </is>
      </c>
      <c r="D7106" t="inlineStr">
        <is>
          <t>Luomorgo 2 3/8 inch 60mm Hole Saw, 1 1/4 inch Cutting Depth HSS Bi-Metal Hole Cutter with Hex Shank Drill Bit Adapter for Wood Cornhole Boards Plastic Drywall Fiberboard</t>
        </is>
      </c>
      <c r="E7106" s="2">
        <f>HYPERLINK("https://www.amazon.com/ZXHAO-Cutting-Bi-Metal-Cornhole-Fiberboard/dp/B08925DJYD/ref=sr_1_36?keywords=Klein+Tools+31944+Bi-Metal+Hole+Saw%2C+2-3%2F4-Inch&amp;qid=1694735356&amp;sr=8-36", "https://www.amazon.com/ZXHAO-Cutting-Bi-Metal-Cornhole-Fiberboard/dp/B08925DJYD/ref=sr_1_36?keywords=Klein+Tools+31944+Bi-Metal+Hole+Saw%2C+2-3%2F4-Inch&amp;qid=1694735356&amp;sr=8-36")</f>
        <v/>
      </c>
      <c r="F7106" t="inlineStr">
        <is>
          <t>B08925DJYD</t>
        </is>
      </c>
      <c r="G7106">
        <f>_xludf.IMAGE("https://edmondsonsupply.com/cdn/shop/products/31944.jpg?v=1587150512")</f>
        <v/>
      </c>
      <c r="H7106">
        <f>_xludf.IMAGE("https://m.media-amazon.com/images/I/61pYPS2kb7L._AC_UL320_.jpg")</f>
        <v/>
      </c>
      <c r="K7106" t="inlineStr">
        <is>
          <t>12.99</t>
        </is>
      </c>
      <c r="L7106" t="n">
        <v>8.99</v>
      </c>
      <c r="M7106" s="1" t="inlineStr">
        <is>
          <t>-30.79%</t>
        </is>
      </c>
      <c r="N7106" s="1" t="n"/>
      <c r="O7106" t="n">
        <v>4.3</v>
      </c>
      <c r="P7106" t="n">
        <v>3583</v>
      </c>
      <c r="R7106" t="inlineStr">
        <is>
          <t>InStock</t>
        </is>
      </c>
      <c r="S7106" t="inlineStr">
        <is>
          <t>18.24</t>
        </is>
      </c>
      <c r="T7106" t="inlineStr">
        <is>
          <t>4433553326180</t>
        </is>
      </c>
    </row>
    <row r="7107" hidden="1" ht="15.75" customHeight="1">
      <c r="A7107" s="2">
        <f>HYPERLINK("https://edmondsonsupply.com/collections/electricians-tools/products/klein-tools-31944-bi-metal-hole-saw-2-3-4-inch", "https://edmondsonsupply.com/collections/electricians-tools/products/klein-tools-31944-bi-metal-hole-saw-2-3-4-inch")</f>
        <v/>
      </c>
      <c r="B7107" s="2">
        <f>HYPERLINK("https://edmondsonsupply.com/products/klein-tools-31944-bi-metal-hole-saw-2-3-4-inch", "https://edmondsonsupply.com/products/klein-tools-31944-bi-metal-hole-saw-2-3-4-inch")</f>
        <v/>
      </c>
      <c r="C7107" t="inlineStr">
        <is>
          <t>Klein Tools 31944 Bi-Metal Hole Saw, 2-3/4-Inch</t>
        </is>
      </c>
      <c r="D7107" t="inlineStr">
        <is>
          <t>Klein Tools 31922 Bi-Metal Hole Saw, 1-3/8-Inch</t>
        </is>
      </c>
      <c r="E7107" s="2">
        <f>HYPERLINK("https://www.amazon.com/Bi-Metal-8-Inch-Klein-Tools-31922/dp/B019874Q0K/ref=sr_1_2?keywords=Klein+Tools+31944+Bi-Metal+Hole+Saw%2C+2-3%2F4-Inch&amp;qid=1694735356&amp;sr=8-2", "https://www.amazon.com/Bi-Metal-8-Inch-Klein-Tools-31922/dp/B019874Q0K/ref=sr_1_2?keywords=Klein+Tools+31944+Bi-Metal+Hole+Saw%2C+2-3%2F4-Inch&amp;qid=1694735356&amp;sr=8-2")</f>
        <v/>
      </c>
      <c r="F7107" t="inlineStr">
        <is>
          <t>B019874Q0K</t>
        </is>
      </c>
      <c r="G7107">
        <f>_xludf.IMAGE("https://edmondsonsupply.com/cdn/shop/products/31944.jpg?v=1587150512")</f>
        <v/>
      </c>
      <c r="H7107">
        <f>_xludf.IMAGE("https://m.media-amazon.com/images/I/41GAmyLoB4L._AC_UL320_.jpg")</f>
        <v/>
      </c>
      <c r="K7107" t="inlineStr">
        <is>
          <t>12.99</t>
        </is>
      </c>
      <c r="L7107" t="n">
        <v>8.99</v>
      </c>
      <c r="M7107" s="1" t="inlineStr">
        <is>
          <t>-30.79%</t>
        </is>
      </c>
      <c r="N7107" s="1" t="n"/>
      <c r="O7107" t="n">
        <v>4.5</v>
      </c>
      <c r="P7107" t="n">
        <v>365</v>
      </c>
      <c r="R7107" t="inlineStr">
        <is>
          <t>InStock</t>
        </is>
      </c>
      <c r="S7107" t="inlineStr">
        <is>
          <t>18.24</t>
        </is>
      </c>
      <c r="T7107" t="inlineStr">
        <is>
          <t>4433553326180</t>
        </is>
      </c>
    </row>
    <row r="7108" ht="87" customHeight="1">
      <c r="A7108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108" s="2">
        <f>HYPERLINK("https://edmondsonsupply.com/products/klein-tools-32307-27-in-1-multi-bit-tamperproof-screwdriver", "https://edmondsonsupply.com/products/klein-tools-32307-27-in-1-multi-bit-tamperproof-screwdriver")</f>
        <v/>
      </c>
      <c r="C7108" t="inlineStr">
        <is>
          <t>Klein Tools 32307 27-in-1 Multi-Bit Tamperproof Screwdriver</t>
        </is>
      </c>
      <c r="D7108" t="inlineStr">
        <is>
          <t>Klein Tools 32593 Multi-bit Ratcheting Screwdriver, 6-in-1 Stubby Tool with Phillips and Slotted Bits and 2 Nut Driver Sizes</t>
        </is>
      </c>
      <c r="E7108" s="2">
        <f>HYPERLINK("https://www.amazon.com/Ratcheting-Screwdriver-Klein-Tools-32593/dp/B01I2KJ91K/ref=sr_1_42?keywords=Klein+Tools+32307+27-in-1+Multi-Bit+Tamperproof+Screwdriver&amp;qid=1694735165&amp;sr=8-42", "https://www.amazon.com/Ratcheting-Screwdriver-Klein-Tools-32593/dp/B01I2KJ91K/ref=sr_1_42?keywords=Klein+Tools+32307+27-in-1+Multi-Bit+Tamperproof+Screwdriver&amp;qid=1694735165&amp;sr=8-42")</f>
        <v/>
      </c>
      <c r="F7108" t="inlineStr">
        <is>
          <t>B01I2KJ91K</t>
        </is>
      </c>
      <c r="G7108">
        <f>_xlfn.IMAGE("https://edmondsonsupply.com/cdn/shop/products/32307.jpg?v=1647347524")</f>
        <v/>
      </c>
      <c r="H7108">
        <f>_xlfn.IMAGE("https://m.media-amazon.com/images/I/51WOLpdOfpL._AC_UL320_.jpg")</f>
        <v/>
      </c>
      <c r="K7108" t="inlineStr">
        <is>
          <t>25.97</t>
        </is>
      </c>
      <c r="L7108" t="n">
        <v>17.97</v>
      </c>
      <c r="M7108" s="1" t="inlineStr">
        <is>
          <t>-30.80%</t>
        </is>
      </c>
      <c r="N7108" s="7" t="n"/>
      <c r="O7108" t="n">
        <v>4.8</v>
      </c>
      <c r="P7108" t="n">
        <v>1664</v>
      </c>
      <c r="R7108" t="inlineStr">
        <is>
          <t>InStock</t>
        </is>
      </c>
      <c r="S7108" t="inlineStr">
        <is>
          <t>36.38</t>
        </is>
      </c>
      <c r="T7108" t="inlineStr">
        <is>
          <t>7637266366680</t>
        </is>
      </c>
    </row>
    <row r="7109" hidden="1" ht="15.75" customHeight="1">
      <c r="A7109" s="2">
        <f>HYPERLINK("https://edmondsonsupply.com/collections/electricians-tools/products/klein-tools-jth9e13-1-4-inch-hex-key-with-journeyman-t-handle-9-inch", "https://edmondsonsupply.com/collections/electricians-tools/products/klein-tools-jth9e13-1-4-inch-hex-key-with-journeyman-t-handle-9-inch")</f>
        <v/>
      </c>
      <c r="B7109" s="2">
        <f>HYPERLINK("https://edmondsonsupply.com/products/klein-tools-jth9e13-1-4-inch-hex-key-with-journeyman-t-handle-9-inch", "https://edmondsonsupply.com/products/klein-tools-jth9e13-1-4-inch-hex-key-with-journeyman-t-handle-9-inch")</f>
        <v/>
      </c>
      <c r="C7109" t="inlineStr">
        <is>
          <t>Klein Tools JTH9E13 1/4-Inch Hex Key with Journeyman T-Handle, 9-Inch</t>
        </is>
      </c>
      <c r="D7109" t="inlineStr">
        <is>
          <t>5/32-Inch Hex Key with Journeyman T-Handle, 9-Inch Klein Tools JTH9E10</t>
        </is>
      </c>
      <c r="E7109" s="2">
        <f>HYPERLINK("https://www.amazon.com/Journeyman-T-Handle-Klein-Tools-JTH9E10/dp/B004QV8H90/ref=sr_1_6?keywords=Klein+Tools+JTH9E13+1%2F4-Inch+Hex+Key+with+Journeyman+T-Handle%2C+9-Inch&amp;qid=1694735245&amp;sr=8-6", "https://www.amazon.com/Journeyman-T-Handle-Klein-Tools-JTH9E10/dp/B004QV8H90/ref=sr_1_6?keywords=Klein+Tools+JTH9E13+1%2F4-Inch+Hex+Key+with+Journeyman+T-Handle%2C+9-Inch&amp;qid=1694735245&amp;sr=8-6")</f>
        <v/>
      </c>
      <c r="F7109" t="inlineStr">
        <is>
          <t>B004QV8H90</t>
        </is>
      </c>
      <c r="G7109">
        <f>_xludf.IMAGE("https://edmondsonsupply.com/cdn/shop/products/jth9e12_7dcdbf9a-5acd-4824-8919-6aeb4a790072.jpg?v=1604060723")</f>
        <v/>
      </c>
      <c r="H7109">
        <f>_xludf.IMAGE("https://m.media-amazon.com/images/I/51Yb8h41vLL._AC_UL320_.jpg")</f>
        <v/>
      </c>
      <c r="K7109" t="inlineStr">
        <is>
          <t>6.49</t>
        </is>
      </c>
      <c r="L7109" t="n">
        <v>4.49</v>
      </c>
      <c r="M7109" s="1" t="inlineStr">
        <is>
          <t>-30.82%</t>
        </is>
      </c>
      <c r="N7109" s="1" t="n"/>
      <c r="O7109" t="n">
        <v>4.8</v>
      </c>
      <c r="P7109" t="n">
        <v>293</v>
      </c>
      <c r="R7109" t="inlineStr">
        <is>
          <t>InStock</t>
        </is>
      </c>
      <c r="S7109" t="inlineStr">
        <is>
          <t>9.84</t>
        </is>
      </c>
      <c r="T7109" t="inlineStr">
        <is>
          <t>5999069462696</t>
        </is>
      </c>
    </row>
    <row r="7110" ht="87" customHeight="1">
      <c r="A7110" s="2">
        <f>HYPERLINK("https://edmondsonsupply.com/collections/electricians-tools/products/milwaukee-48-11-2402-m12%E2%84%A2-xc-high-capacity-redlithium%E2%84%A2-battery", "https://edmondsonsupply.com/collections/electricians-tools/products/milwaukee-48-11-2402-m12%E2%84%A2-xc-high-capacity-redlithium%E2%84%A2-battery")</f>
        <v/>
      </c>
      <c r="B7110" s="2">
        <f>HYPERLINK("https://edmondsonsupply.com/products/milwaukee-48-11-2402-m12%e2%84%a2-xc-high-capacity-redlithium%e2%84%a2-battery", "https://edmondsonsupply.com/products/milwaukee-48-11-2402-m12%e2%84%a2-xc-high-capacity-redlithium%e2%84%a2-battery")</f>
        <v/>
      </c>
      <c r="C7110" t="inlineStr">
        <is>
          <t>Milwaukee 48-11-2402 M12™ XC High Capacity REDLITHIUM™ Battery</t>
        </is>
      </c>
      <c r="D7110" t="inlineStr">
        <is>
          <t>Milwaukee M12 XC High Capacity 3.0 AH REDLITHIUM Battery (48-11-2402)</t>
        </is>
      </c>
      <c r="E7110" s="2">
        <f>HYPERLINK("https://www.amazon.com/Milwaukee-Capacity-REDLITHIUM-Battery-48-11-2402/dp/B002ZM6R12/ref=sr_1_5?keywords=Milwaukee+48-11-2402+M12%E2%84%A2+XC+High+Capacity+REDLITHIUM%E2%84%A2+Battery&amp;qid=1694735153&amp;sr=8-5", "https://www.amazon.com/Milwaukee-Capacity-REDLITHIUM-Battery-48-11-2402/dp/B002ZM6R12/ref=sr_1_5?keywords=Milwaukee+48-11-2402+M12%E2%84%A2+XC+High+Capacity+REDLITHIUM%E2%84%A2+Battery&amp;qid=1694735153&amp;sr=8-5")</f>
        <v/>
      </c>
      <c r="F7110" t="inlineStr">
        <is>
          <t>B002ZM6R12</t>
        </is>
      </c>
      <c r="G7110">
        <f>_xlfn.IMAGE("https://edmondsonsupply.com/cdn/shop/products/56222_48-11-2402v1-lg.webp?v=1654795509")</f>
        <v/>
      </c>
      <c r="H7110">
        <f>_xlfn.IMAGE("https://m.media-amazon.com/images/I/61D+FlUariL._AC_UL320_.jpg")</f>
        <v/>
      </c>
      <c r="K7110" t="inlineStr">
        <is>
          <t>79.0</t>
        </is>
      </c>
      <c r="L7110" t="n">
        <v>54.5</v>
      </c>
      <c r="M7110" s="1" t="inlineStr">
        <is>
          <t>-31.01%</t>
        </is>
      </c>
      <c r="N7110" s="7" t="n"/>
      <c r="O7110" t="n">
        <v>4.7</v>
      </c>
      <c r="P7110" t="n">
        <v>482</v>
      </c>
      <c r="R7110" t="inlineStr">
        <is>
          <t>InStock</t>
        </is>
      </c>
      <c r="S7110" t="inlineStr">
        <is>
          <t>132.0</t>
        </is>
      </c>
      <c r="T7110" t="inlineStr">
        <is>
          <t>7711220302040</t>
        </is>
      </c>
    </row>
    <row r="7111" ht="87" customHeight="1">
      <c r="A7111" s="2">
        <f>HYPERLINK("https://edmondsonsupply.com/collections/electricians-tools/products/diablo-tools-dos125bw3-1-1-4-in-starlock-bi-metal-oscillating-blades-for-nail-embedded-wood", "https://edmondsonsupply.com/collections/electricians-tools/products/diablo-tools-dos125bw3-1-1-4-in-starlock-bi-metal-oscillating-blades-for-nail-embedded-wood")</f>
        <v/>
      </c>
      <c r="B7111" s="2">
        <f>HYPERLINK("https://edmondsonsupply.com/products/diablo-tools-dos125bw3-1-1-4-in-starlock-bi-metal-oscillating-blades-for-nail-embedded-wood", "https://edmondsonsupply.com/products/diablo-tools-dos125bw3-1-1-4-in-starlock-bi-metal-oscillating-blades-for-nail-embedded-wood")</f>
        <v/>
      </c>
      <c r="C7111" t="inlineStr">
        <is>
          <t>Diablo Tools DOS125BW3 1-1/4 in. Starlock Bi-Metal Oscillating Blades for Nail-Embedded Wood</t>
        </is>
      </c>
      <c r="D7111" t="inlineStr">
        <is>
          <t>Diablo DOU125BW3 1-1/4 in. Universal Fit Bi-Metal Oscillating Blades for Nail-Embedded Wood (3-Pack)</t>
        </is>
      </c>
      <c r="E7111" s="2">
        <f>HYPERLINK("https://www.amazon.com/Diablo-Universal-Bi-Metal-Blades-Nail-Embedded/dp/B089KW2WVD/ref=sr_1_4?keywords=Diablo+Tools+DOS125BW3+1-1%2F4+in.+Starlock+Bi-Metal+Oscillating+Blades+for+Nail-Embedded+Wood&amp;qid=1694735197&amp;sr=8-4", "https://www.amazon.com/Diablo-Universal-Bi-Metal-Blades-Nail-Embedded/dp/B089KW2WVD/ref=sr_1_4?keywords=Diablo+Tools+DOS125BW3+1-1%2F4+in.+Starlock+Bi-Metal+Oscillating+Blades+for+Nail-Embedded+Wood&amp;qid=1694735197&amp;sr=8-4")</f>
        <v/>
      </c>
      <c r="F7111" t="inlineStr">
        <is>
          <t>B089KW2WVD</t>
        </is>
      </c>
      <c r="G7111">
        <f>_xlfn.IMAGE("https://edmondsonsupply.com/cdn/shop/products/DOS125BW3_Main-Image.png?v=1633031100")</f>
        <v/>
      </c>
      <c r="H7111">
        <f>_xlfn.IMAGE("https://m.media-amazon.com/images/I/613ig7mNjfL._AC_UL320_.jpg")</f>
        <v/>
      </c>
      <c r="K7111" t="inlineStr">
        <is>
          <t>34.97</t>
        </is>
      </c>
      <c r="L7111" t="n">
        <v>23.99</v>
      </c>
      <c r="M7111" s="1" t="inlineStr">
        <is>
          <t>-31.40%</t>
        </is>
      </c>
      <c r="N7111" s="7" t="n"/>
      <c r="O7111" t="n">
        <v>4.6</v>
      </c>
      <c r="P7111" t="n">
        <v>147</v>
      </c>
      <c r="R7111" t="inlineStr">
        <is>
          <t>InStock</t>
        </is>
      </c>
      <c r="S7111" t="inlineStr">
        <is>
          <t>40.25</t>
        </is>
      </c>
      <c r="T7111" t="inlineStr">
        <is>
          <t>6846091853997</t>
        </is>
      </c>
    </row>
    <row r="7112" ht="87" customHeight="1">
      <c r="A7112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7112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7112" t="inlineStr">
        <is>
          <t>Diablo Tools DOU125JBW3 1-1/4 in. Universal Fit Bi-Metal Oscillating Blades for Clean Wood</t>
        </is>
      </c>
      <c r="D7112" t="inlineStr">
        <is>
          <t>Diablo DOU125BW3 1-1/4 in. Universal Fit Bi-Metal Oscillating Blades for Nail-Embedded Wood (3-Pack)</t>
        </is>
      </c>
      <c r="E7112" s="2">
        <f>HYPERLINK("https://www.amazon.com/Diablo-Universal-Bi-Metal-Blades-Nail-Embedded/dp/B089KW2WVD/ref=sr_1_4?keywords=Diablo+Tools+DOU125JBW3+1-1%2F4+in.+Universal+Fit+Bi-Metal+Oscillating+Blades+for+Clean+Wood&amp;qid=1694735211&amp;sr=8-4", "https://www.amazon.com/Diablo-Universal-Bi-Metal-Blades-Nail-Embedded/dp/B089KW2WVD/ref=sr_1_4?keywords=Diablo+Tools+DOU125JBW3+1-1%2F4+in.+Universal+Fit+Bi-Metal+Oscillating+Blades+for+Clean+Wood&amp;qid=1694735211&amp;sr=8-4")</f>
        <v/>
      </c>
      <c r="F7112" t="inlineStr">
        <is>
          <t>B089KW2WVD</t>
        </is>
      </c>
      <c r="G7112">
        <f>_xlfn.IMAGE("https://edmondsonsupply.com/cdn/shop/products/DOU125JBW3_Main-Image.png?v=1633031095")</f>
        <v/>
      </c>
      <c r="H7112">
        <f>_xlfn.IMAGE("https://m.media-amazon.com/images/I/613ig7mNjfL._AC_UL320_.jpg")</f>
        <v/>
      </c>
      <c r="K7112" t="inlineStr">
        <is>
          <t>34.97</t>
        </is>
      </c>
      <c r="L7112" t="n">
        <v>23.99</v>
      </c>
      <c r="M7112" s="1" t="inlineStr">
        <is>
          <t>-31.40%</t>
        </is>
      </c>
      <c r="N7112" s="7" t="n"/>
      <c r="O7112" t="n">
        <v>4.6</v>
      </c>
      <c r="P7112" t="n">
        <v>147</v>
      </c>
      <c r="R7112" t="inlineStr">
        <is>
          <t>InStock</t>
        </is>
      </c>
      <c r="S7112" t="inlineStr">
        <is>
          <t>43.53</t>
        </is>
      </c>
      <c r="T7112" t="inlineStr">
        <is>
          <t>6839865278637</t>
        </is>
      </c>
    </row>
    <row r="7113" ht="87" customHeight="1">
      <c r="A7113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113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113" t="inlineStr">
        <is>
          <t>Diablo Tools DOU125BF3 1-1/4 in. Universal Fit Bi-Metal Oscillating Blade for Metal (3 pack)</t>
        </is>
      </c>
      <c r="D7113" t="inlineStr">
        <is>
          <t>Diablo DOU125BW3 1-1/4 in. Universal Fit Bi-Metal Oscillating Blades for Nail-Embedded Wood (3-Pack)</t>
        </is>
      </c>
      <c r="E7113" s="2">
        <f>HYPERLINK("https://www.amazon.com/Diablo-Universal-Bi-Metal-Blades-Nail-Embedded/dp/B089KW2WVD/ref=sr_1_6?keywords=Diablo+Tools+DOU125BF3+1-1%2F4+in.+Universal+Fit+Bi-Metal+Oscillating+Blade+for+Metal+%283+pack%29&amp;qid=1694734993&amp;sr=8-6", "https://www.amazon.com/Diablo-Universal-Bi-Metal-Blades-Nail-Embedded/dp/B089KW2WVD/ref=sr_1_6?keywords=Diablo+Tools+DOU125BF3+1-1%2F4+in.+Universal+Fit+Bi-Metal+Oscillating+Blade+for+Metal+%283+pack%29&amp;qid=1694734993&amp;sr=8-6")</f>
        <v/>
      </c>
      <c r="F7113" t="inlineStr">
        <is>
          <t>B089KW2WVD</t>
        </is>
      </c>
      <c r="G7113">
        <f>_xlfn.IMAGE("https://edmondsonsupply.com/cdn/shop/files/k1d1qiwmm4npznsdbwtg_4dc7bdf3-43a4-4863-8a1d-f71b60bc7c6d.webp?v=1685468179")</f>
        <v/>
      </c>
      <c r="H7113">
        <f>_xlfn.IMAGE("https://m.media-amazon.com/images/I/613ig7mNjfL._AC_UL320_.jpg")</f>
        <v/>
      </c>
      <c r="K7113" t="inlineStr">
        <is>
          <t>34.97</t>
        </is>
      </c>
      <c r="L7113" t="n">
        <v>23.99</v>
      </c>
      <c r="M7113" s="1" t="inlineStr">
        <is>
          <t>-31.40%</t>
        </is>
      </c>
      <c r="N7113" s="7" t="n"/>
      <c r="O7113" t="n">
        <v>4.6</v>
      </c>
      <c r="P7113" t="n">
        <v>147</v>
      </c>
      <c r="R7113" t="inlineStr">
        <is>
          <t>InStock</t>
        </is>
      </c>
      <c r="S7113" t="inlineStr">
        <is>
          <t>43.53</t>
        </is>
      </c>
      <c r="T7113" t="inlineStr">
        <is>
          <t>7997880729816</t>
        </is>
      </c>
    </row>
    <row r="7114" hidden="1" ht="15.75" customHeight="1">
      <c r="A7114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7114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7114" t="inlineStr">
        <is>
          <t>Klein Tools 600-6 5/16-Inch Keystone Screwdriver 6-Inch SQ Shank</t>
        </is>
      </c>
      <c r="D7114" t="inlineStr">
        <is>
          <t>Klein Tools BD156 5/16-Inch Flat Head Screwdriver, Keystone Tip with 6-Inch Round Shank and Comfordome Handle</t>
        </is>
      </c>
      <c r="E7114" s="2">
        <f>HYPERLINK("https://www.amazon.com/Screwdriver-Comfordome-Klein-Tools-BD156/dp/B000G1QOMQ/ref=sr_1_4?keywords=Klein+Tools+600-6+5%2F16-Inch+Keystone+Screwdriver+6-Inch+SQ+Shank&amp;qid=1694735292&amp;sr=8-4", "https://www.amazon.com/Screwdriver-Comfordome-Klein-Tools-BD156/dp/B000G1QOMQ/ref=sr_1_4?keywords=Klein+Tools+600-6+5%2F16-Inch+Keystone+Screwdriver+6-Inch+SQ+Shank&amp;qid=1694735292&amp;sr=8-4")</f>
        <v/>
      </c>
      <c r="F7114" t="inlineStr">
        <is>
          <t>B000G1QOMQ</t>
        </is>
      </c>
      <c r="G7114">
        <f>_xludf.IMAGE("https://edmondsonsupply.com/cdn/shop/products/600-6.jpg?v=1633030381")</f>
        <v/>
      </c>
      <c r="H7114">
        <f>_xludf.IMAGE("https://m.media-amazon.com/images/I/31Jat2OaC-L._AC_UL320_.jpg")</f>
        <v/>
      </c>
      <c r="K7114" t="inlineStr">
        <is>
          <t>13.97</t>
        </is>
      </c>
      <c r="L7114" t="n">
        <v>9.57</v>
      </c>
      <c r="M7114" s="1" t="inlineStr">
        <is>
          <t>-31.50%</t>
        </is>
      </c>
      <c r="N7114" s="1" t="n"/>
      <c r="O7114" t="n">
        <v>4.8</v>
      </c>
      <c r="P7114" t="n">
        <v>22</v>
      </c>
      <c r="R7114" t="inlineStr">
        <is>
          <t>InStock</t>
        </is>
      </c>
      <c r="S7114" t="inlineStr">
        <is>
          <t>18.5</t>
        </is>
      </c>
      <c r="T7114" t="inlineStr">
        <is>
          <t>5296722542760</t>
        </is>
      </c>
    </row>
    <row r="7115" ht="87" customHeight="1">
      <c r="A7115" s="2">
        <f>HYPERLINK("https://edmondsonsupply.com/collections/electricians-tools/products/klein-tools-66030-2-in-1-coated-impact-socket-12-point-3-4-and-9-16-inch", "https://edmondsonsupply.com/collections/electricians-tools/products/klein-tools-66030-2-in-1-coated-impact-socket-12-point-3-4-and-9-16-inch")</f>
        <v/>
      </c>
      <c r="B7115" s="2">
        <f>HYPERLINK("https://edmondsonsupply.com/products/klein-tools-66030-2-in-1-coated-impact-socket-12-point-3-4-and-9-16-inch", "https://edmondsonsupply.com/products/klein-tools-66030-2-in-1-coated-impact-socket-12-point-3-4-and-9-16-inch")</f>
        <v/>
      </c>
      <c r="C7115" t="inlineStr">
        <is>
          <t>Klein Tools 66030 2-in-1 Coated Impact Socket, 12-Point, 3/4 and 9/16-Inch</t>
        </is>
      </c>
      <c r="D7115" t="inlineStr">
        <is>
          <t>Impact Rated 2-in-1 Black Oxidized Spring-Loaded Socket, 12 Point, Deep Socket - Multi Function 3/4" and 9/16" Lineman Socket</t>
        </is>
      </c>
      <c r="E7115" s="2">
        <f>HYPERLINK("https://www.amazon.com/Impact-Rated-Oxidized-Spring-Loaded-Socket/dp/B07Y3YB87Z/ref=sr_1_4?keywords=Klein+Tools+66030+2-in-1+Coated+Impact+Socket%2C+12-Point%2C+3%2F4+and+9%2F16-Inch&amp;qid=1694735096&amp;sr=8-4", "https://www.amazon.com/Impact-Rated-Oxidized-Spring-Loaded-Socket/dp/B07Y3YB87Z/ref=sr_1_4?keywords=Klein+Tools+66030+2-in-1+Coated+Impact+Socket%2C+12-Point%2C+3%2F4+and+9%2F16-Inch&amp;qid=1694735096&amp;sr=8-4")</f>
        <v/>
      </c>
      <c r="F7115" t="inlineStr">
        <is>
          <t>B07Y3YB87Z</t>
        </is>
      </c>
      <c r="G7115">
        <f>_xlfn.IMAGE("https://edmondsonsupply.com/cdn/shop/products/66030.jpg?v=1666027133")</f>
        <v/>
      </c>
      <c r="H7115">
        <f>_xlfn.IMAGE("https://m.media-amazon.com/images/I/51icv2N-igL._AC_UL320_.jpg")</f>
        <v/>
      </c>
      <c r="K7115" t="inlineStr">
        <is>
          <t>49.98</t>
        </is>
      </c>
      <c r="L7115" t="n">
        <v>34.2</v>
      </c>
      <c r="M7115" s="1" t="inlineStr">
        <is>
          <t>-31.57%</t>
        </is>
      </c>
      <c r="N7115" s="7" t="n"/>
      <c r="O7115" t="n">
        <v>4.7</v>
      </c>
      <c r="P7115" t="n">
        <v>336</v>
      </c>
      <c r="R7115" t="inlineStr">
        <is>
          <t>InStock</t>
        </is>
      </c>
      <c r="S7115" t="inlineStr">
        <is>
          <t>83.3</t>
        </is>
      </c>
      <c r="T7115" t="inlineStr">
        <is>
          <t>7856657858776</t>
        </is>
      </c>
    </row>
    <row r="7116" ht="87" customHeight="1">
      <c r="A7116" s="2">
        <f>HYPERLINK("https://edmondsonsupply.com/collections/electricians-tools/products/klein-tools-66031-3-in-1-slotted-impact-socket-12-point-3-4-and-9-16-inch", "https://edmondsonsupply.com/collections/electricians-tools/products/klein-tools-66031-3-in-1-slotted-impact-socket-12-point-3-4-and-9-16-inch")</f>
        <v/>
      </c>
      <c r="B7116" s="2">
        <f>HYPERLINK("https://edmondsonsupply.com/products/klein-tools-66031-3-in-1-slotted-impact-socket-12-point-3-4-and-9-16-inch", "https://edmondsonsupply.com/products/klein-tools-66031-3-in-1-slotted-impact-socket-12-point-3-4-and-9-16-inch")</f>
        <v/>
      </c>
      <c r="C7116" t="inlineStr">
        <is>
          <t>Klein Tools 66031 3-in-1 Slotted Impact Socket, 12-Point, 3/4 and 9/16-Inch</t>
        </is>
      </c>
      <c r="D7116" t="inlineStr">
        <is>
          <t>Impact Rated 2-in-1 Black Oxidized Spring-Loaded Socket, 12 Point, Deep Socket - Multi Function 3/4" and 9/16" Lineman Socket</t>
        </is>
      </c>
      <c r="E7116" s="2">
        <f>HYPERLINK("https://www.amazon.com/Impact-Rated-Oxidized-Spring-Loaded-Socket/dp/B07Y3YB87Z/ref=sr_1_10?keywords=Klein+Tools+66031+3-in-1+Slotted+Impact+Socket%2C+12-Point%2C+3%2F4+and+9%2F16-Inch&amp;qid=1694735137&amp;sr=8-10", "https://www.amazon.com/Impact-Rated-Oxidized-Spring-Loaded-Socket/dp/B07Y3YB87Z/ref=sr_1_10?keywords=Klein+Tools+66031+3-in-1+Slotted+Impact+Socket%2C+12-Point%2C+3%2F4+and+9%2F16-Inch&amp;qid=1694735137&amp;sr=8-10")</f>
        <v/>
      </c>
      <c r="F7116" t="inlineStr">
        <is>
          <t>B07Y3YB87Z</t>
        </is>
      </c>
      <c r="G7116">
        <f>_xlfn.IMAGE("https://edmondsonsupply.com/cdn/shop/products/66031.jpg?v=1659389111")</f>
        <v/>
      </c>
      <c r="H7116">
        <f>_xlfn.IMAGE("https://m.media-amazon.com/images/I/51icv2N-igL._AC_UL320_.jpg")</f>
        <v/>
      </c>
      <c r="K7116" t="inlineStr">
        <is>
          <t>49.99</t>
        </is>
      </c>
      <c r="L7116" t="n">
        <v>34.2</v>
      </c>
      <c r="M7116" s="1" t="inlineStr">
        <is>
          <t>-31.59%</t>
        </is>
      </c>
      <c r="N7116" s="7" t="n"/>
      <c r="O7116" t="n">
        <v>4.7</v>
      </c>
      <c r="P7116" t="n">
        <v>336</v>
      </c>
      <c r="R7116" t="inlineStr">
        <is>
          <t>InStock</t>
        </is>
      </c>
      <c r="S7116" t="inlineStr">
        <is>
          <t>85.0</t>
        </is>
      </c>
      <c r="T7116" t="inlineStr">
        <is>
          <t>7769476563160</t>
        </is>
      </c>
    </row>
    <row r="7117" ht="87" customHeight="1">
      <c r="A7117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117" s="2">
        <f>HYPERLINK("https://edmondsonsupply.com/products/klein-tools-32305-15-in-1-multi-bit-ratcheting-screwdriver", "https://edmondsonsupply.com/products/klein-tools-32305-15-in-1-multi-bit-ratcheting-screwdriver")</f>
        <v/>
      </c>
      <c r="C7117" t="inlineStr">
        <is>
          <t>Klein Tools 32305 15-in-1 Multi-Bit Ratcheting Screwdriver</t>
        </is>
      </c>
      <c r="D7117" t="inlineStr">
        <is>
          <t>Klein Tools 32614 Multi-bit Precision Screwdriver Set, 4-in-1 Electronics Pocket Screwdriver, Professional Phillips and Slotted Bits</t>
        </is>
      </c>
      <c r="E7117" s="2">
        <f>HYPERLINK("https://www.amazon.com/Klein-Tools-32614-Screwdriver-Electronics/dp/B07PNC5MPB/ref=sr_1_37?keywords=Klein+Tools+32305+15-in-1+Multi-Bit+Ratcheting+Screwdriver&amp;qid=1694735163&amp;sr=8-37", "https://www.amazon.com/Klein-Tools-32614-Screwdriver-Electronics/dp/B07PNC5MPB/ref=sr_1_37?keywords=Klein+Tools+32305+15-in-1+Multi-Bit+Ratcheting+Screwdriver&amp;qid=1694735163&amp;sr=8-37")</f>
        <v/>
      </c>
      <c r="F7117" t="inlineStr">
        <is>
          <t>B07PNC5MPB</t>
        </is>
      </c>
      <c r="G7117">
        <f>_xlfn.IMAGE("https://edmondsonsupply.com/cdn/shop/products/32305.jpg?v=1646965475")</f>
        <v/>
      </c>
      <c r="H7117">
        <f>_xlfn.IMAGE("https://m.media-amazon.com/images/I/412OaAua5aL._AC_UL320_.jpg")</f>
        <v/>
      </c>
      <c r="K7117" t="inlineStr">
        <is>
          <t>21.97</t>
        </is>
      </c>
      <c r="L7117" t="n">
        <v>15.03</v>
      </c>
      <c r="M7117" s="1" t="inlineStr">
        <is>
          <t>-31.59%</t>
        </is>
      </c>
      <c r="N7117" s="7" t="n"/>
      <c r="O7117" t="n">
        <v>4.7</v>
      </c>
      <c r="P7117" t="n">
        <v>9173</v>
      </c>
      <c r="R7117" t="inlineStr">
        <is>
          <t>InStock</t>
        </is>
      </c>
      <c r="S7117" t="inlineStr">
        <is>
          <t>30.78</t>
        </is>
      </c>
      <c r="T7117" t="inlineStr">
        <is>
          <t>7632426598616</t>
        </is>
      </c>
    </row>
    <row r="7118" ht="87" customHeight="1">
      <c r="A7118" s="2">
        <f>HYPERLINK("https://edmondsonsupply.com/collections/electricians-tools/products/klein-tools-56056-multi-groove-fiberglass-fish-tape-200-foot", "https://edmondsonsupply.com/collections/electricians-tools/products/klein-tools-56056-multi-groove-fiberglass-fish-tape-200-foot")</f>
        <v/>
      </c>
      <c r="B7118" s="2">
        <f>HYPERLINK("https://edmondsonsupply.com/products/klein-tools-56056-multi-groove-fiberglass-fish-tape-200-foot", "https://edmondsonsupply.com/products/klein-tools-56056-multi-groove-fiberglass-fish-tape-200-foot")</f>
        <v/>
      </c>
      <c r="C7118" t="inlineStr">
        <is>
          <t>Klein Tools 56056 Multi-Groove Fiberglass Fish Tape 200-Foot</t>
        </is>
      </c>
      <c r="D7118" t="inlineStr">
        <is>
          <t>Klein Tools 56380 Non-Conductive Electrical Fish Tape, Multi-Groove Fiberglass Wire Puller with Steel Leader, 100-Foot x 3/16-Inch,Orange/Black</t>
        </is>
      </c>
      <c r="E7118" s="2">
        <f>HYPERLINK("https://www.amazon.com/Klein-Tools-56380-Multi-Groove-Fiberglass/dp/B0822229DW/ref=sr_1_5?keywords=Klein+Tools+56056+Multi-Groove+Fiberglass+Fish+Tape+200-Foot&amp;qid=1694735387&amp;sr=8-5", "https://www.amazon.com/Klein-Tools-56380-Multi-Groove-Fiberglass/dp/B0822229DW/ref=sr_1_5?keywords=Klein+Tools+56056+Multi-Groove+Fiberglass+Fish+Tape+200-Foot&amp;qid=1694735387&amp;sr=8-5")</f>
        <v/>
      </c>
      <c r="F7118" t="inlineStr">
        <is>
          <t>B0822229DW</t>
        </is>
      </c>
      <c r="G7118">
        <f>_xlfn.IMAGE("https://edmondsonsupply.com/cdn/shop/products/56056.jpg?v=1587149776")</f>
        <v/>
      </c>
      <c r="H7118">
        <f>_xlfn.IMAGE("https://m.media-amazon.com/images/I/51m05Po5U+L._AC_UL320_.jpg")</f>
        <v/>
      </c>
      <c r="K7118" t="inlineStr">
        <is>
          <t>204.99</t>
        </is>
      </c>
      <c r="L7118" t="n">
        <v>139.99</v>
      </c>
      <c r="M7118" s="1" t="inlineStr">
        <is>
          <t>-31.71%</t>
        </is>
      </c>
      <c r="N7118" s="7" t="n"/>
      <c r="O7118" t="n">
        <v>4.7</v>
      </c>
      <c r="P7118" t="n">
        <v>86</v>
      </c>
      <c r="R7118" t="inlineStr">
        <is>
          <t>InStock</t>
        </is>
      </c>
      <c r="S7118" t="inlineStr">
        <is>
          <t>310.6</t>
        </is>
      </c>
      <c r="T7118" t="inlineStr">
        <is>
          <t>4411121533028</t>
        </is>
      </c>
    </row>
    <row r="7119" hidden="1" ht="15.75" customHeight="1">
      <c r="A7119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7119" s="2">
        <f>HYPERLINK("https://edmondsonsupply.com/products/klein-tools-rt250-gfci-receptacle-tester-with-lcd", "https://edmondsonsupply.com/products/klein-tools-rt250-gfci-receptacle-tester-with-lcd")</f>
        <v/>
      </c>
      <c r="C7119" t="inlineStr">
        <is>
          <t>Klein Tools RT250 GFCI Receptacle Tester with LCD</t>
        </is>
      </c>
      <c r="D7119" t="inlineStr">
        <is>
          <t>Case Compatible with Klein Tools ET310 AC Circuit Breaker Finder, 80041 Outlet Repair Tool Kit &amp; RT250 GFCI Receptacle Tester, Electrical Tools Storage Organizer Holder Bag for Accessories (Box Only)</t>
        </is>
      </c>
      <c r="E7119" s="2">
        <f>HYPERLINK("https://www.amazon.com/Carrying-Organizer-Integrated-Electrical-Accessories/dp/B09K42VH1T/ref=sr_1_36?keywords=Klein+Tools+RT250+GFCI+Receptacle+Tester+with+LCD&amp;qid=1694735148&amp;sr=8-36", "https://www.amazon.com/Carrying-Organizer-Integrated-Electrical-Accessories/dp/B09K42VH1T/ref=sr_1_36?keywords=Klein+Tools+RT250+GFCI+Receptacle+Tester+with+LCD&amp;qid=1694735148&amp;sr=8-36")</f>
        <v/>
      </c>
      <c r="F7119" t="inlineStr">
        <is>
          <t>B09K42VH1T</t>
        </is>
      </c>
      <c r="G7119">
        <f>_xludf.IMAGE("https://edmondsonsupply.com/cdn/shop/products/rt250_photo_c.jpg?v=1661363824")</f>
        <v/>
      </c>
      <c r="H7119">
        <f>_xludf.IMAGE("https://m.media-amazon.com/images/I/813DgUEGU6L._AC_UL320_.jpg")</f>
        <v/>
      </c>
      <c r="K7119" t="inlineStr">
        <is>
          <t>21.97</t>
        </is>
      </c>
      <c r="L7119" t="n">
        <v>14.99</v>
      </c>
      <c r="M7119" s="1" t="inlineStr">
        <is>
          <t>-31.77%</t>
        </is>
      </c>
      <c r="N7119" s="1" t="n"/>
      <c r="O7119" t="n">
        <v>4.6</v>
      </c>
      <c r="P7119" t="n">
        <v>309</v>
      </c>
      <c r="R7119" t="inlineStr">
        <is>
          <t>InStock</t>
        </is>
      </c>
      <c r="S7119" t="inlineStr">
        <is>
          <t>30.78</t>
        </is>
      </c>
      <c r="T7119" t="inlineStr">
        <is>
          <t>7793138729176</t>
        </is>
      </c>
    </row>
    <row r="7120" hidden="1" ht="15.75" customHeight="1">
      <c r="A7120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120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120" t="inlineStr">
        <is>
          <t>Klein Tools 602-4-INS 1/4-Inch Cabinet Tip Insulated Screwdriver, 4-Inch</t>
        </is>
      </c>
      <c r="D7120" t="inlineStr">
        <is>
          <t>Klein Tools 614-4 Flat Screwdriver, Precision Electronics Screwdriver, 1/8-Inch Cabinet Tip, 4-Inch Shank</t>
        </is>
      </c>
      <c r="E7120" s="2">
        <f>HYPERLINK("https://www.amazon.com/Klein-Tools-614-4-Screwdriver-Electronics/dp/B00B9HICKS/ref=sr_1_20?keywords=Klein+Tools+602-4-INS+1%2F4-Inch+Cabinet+Tip+Insulated+Screwdriver%2C+4-Inch&amp;qid=1694735209&amp;sr=8-20", "https://www.amazon.com/Klein-Tools-614-4-Screwdriver-Electronics/dp/B00B9HICKS/ref=sr_1_20?keywords=Klein+Tools+602-4-INS+1%2F4-Inch+Cabinet+Tip+Insulated+Screwdriver%2C+4-Inch&amp;qid=1694735209&amp;sr=8-20")</f>
        <v/>
      </c>
      <c r="F7120" t="inlineStr">
        <is>
          <t>B00B9HICKS</t>
        </is>
      </c>
      <c r="G7120">
        <f>_xludf.IMAGE("https://edmondsonsupply.com/cdn/shop/products/602-4-ins-photo.jpg?v=1633031051")</f>
        <v/>
      </c>
      <c r="H7120">
        <f>_xludf.IMAGE("https://m.media-amazon.com/images/I/41hS1hfEVDS._AC_UL320_.jpg")</f>
        <v/>
      </c>
      <c r="K7120" t="inlineStr">
        <is>
          <t>20.99</t>
        </is>
      </c>
      <c r="L7120" t="n">
        <v>14.32</v>
      </c>
      <c r="M7120" s="1" t="inlineStr">
        <is>
          <t>-31.78%</t>
        </is>
      </c>
      <c r="N7120" s="1" t="n"/>
      <c r="O7120" t="n">
        <v>4.8</v>
      </c>
      <c r="P7120" t="n">
        <v>999</v>
      </c>
      <c r="R7120" t="inlineStr">
        <is>
          <t>InStock</t>
        </is>
      </c>
      <c r="S7120" t="inlineStr">
        <is>
          <t>31.8</t>
        </is>
      </c>
      <c r="T7120" t="inlineStr">
        <is>
          <t>6779496890541</t>
        </is>
      </c>
    </row>
    <row r="7121" ht="87" customHeight="1">
      <c r="A7121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121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121" t="inlineStr">
        <is>
          <t>Milwaukee 48-11-2412 M12 REDLITHIUM™ XC Battery Two Pack</t>
        </is>
      </c>
      <c r="D7121" t="inlineStr">
        <is>
          <t>Milwaukee 48-11-2460 M12 XC 12V 6.0 Ah Extended Capacity Lithium-Ion Battery Pack</t>
        </is>
      </c>
      <c r="E7121" s="2">
        <f>HYPERLINK("https://www.amazon.com/Milwaukee-48-11-2460-REDLITHIUM-Extended-Lithium-Ion/dp/B07FB8N31X/ref=sr_1_19?keywords=Milwaukee+48-11-2412+M12+REDLITHIUM%E2%84%A2+XC+Battery+Two+Pack&amp;qid=1694735150&amp;sr=8-19", "https://www.amazon.com/Milwaukee-48-11-2460-REDLITHIUM-Extended-Lithium-Ion/dp/B07FB8N31X/ref=sr_1_19?keywords=Milwaukee+48-11-2412+M12+REDLITHIUM%E2%84%A2+XC+Battery+Two+Pack&amp;qid=1694735150&amp;sr=8-19")</f>
        <v/>
      </c>
      <c r="F7121" t="inlineStr">
        <is>
          <t>B07FB8N31X</t>
        </is>
      </c>
      <c r="G7121">
        <f>_xlfn.IMAGE("https://edmondsonsupply.com/cdn/shop/products/48-11-2412.jpg?v=1654795924")</f>
        <v/>
      </c>
      <c r="H7121">
        <f>_xlfn.IMAGE("https://m.media-amazon.com/images/I/51MNQvfA+KL._AC_UL320_.jpg")</f>
        <v/>
      </c>
      <c r="K7121" t="inlineStr">
        <is>
          <t>129.0</t>
        </is>
      </c>
      <c r="L7121" t="n">
        <v>88</v>
      </c>
      <c r="M7121" s="1" t="inlineStr">
        <is>
          <t>-31.78%</t>
        </is>
      </c>
      <c r="N7121" s="7" t="n"/>
      <c r="O7121" t="n">
        <v>4.5</v>
      </c>
      <c r="P7121" t="n">
        <v>491</v>
      </c>
      <c r="R7121" t="inlineStr">
        <is>
          <t>InStock</t>
        </is>
      </c>
      <c r="S7121" t="inlineStr">
        <is>
          <t>217.0</t>
        </is>
      </c>
      <c r="T7121" t="inlineStr">
        <is>
          <t>7711224168664</t>
        </is>
      </c>
    </row>
    <row r="7122" ht="87" customHeight="1">
      <c r="A7122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7122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7122" t="inlineStr">
        <is>
          <t>Klein Tools 51603 Iron Conduit Bender Full Assembly, 1/2-Inch EMT with Angle Setter™</t>
        </is>
      </c>
      <c r="D7122" t="inlineStr">
        <is>
          <t>Klein Tools 51608 Iron Conduit Bender Head, for 1/2-Inch EMT, Compatible with Klein Tools Angle Setter (Cat. No. 51611)</t>
        </is>
      </c>
      <c r="E7122" s="2">
        <f>HYPERLINK("https://www.amazon.com/Conduit-Compatible-Klein-Tools-51608/dp/B08VYJMT3R/ref=sr_1_7?keywords=Klein+Tools+51603+Iron+Conduit+Bender+Full+Assembly%2C+1%2F2-Inch+EMT+with+Angle+Setter%E2%84%A2&amp;qid=1694734984&amp;sr=8-7", "https://www.amazon.com/Conduit-Compatible-Klein-Tools-51608/dp/B08VYJMT3R/ref=sr_1_7?keywords=Klein+Tools+51603+Iron+Conduit+Bender+Full+Assembly%2C+1%2F2-Inch+EMT+with+Angle+Setter%E2%84%A2&amp;qid=1694734984&amp;sr=8-7")</f>
        <v/>
      </c>
      <c r="F7122" t="inlineStr">
        <is>
          <t>B08VYJMT3R</t>
        </is>
      </c>
      <c r="G7122">
        <f>_xlfn.IMAGE("https://edmondsonsupply.com/cdn/shop/products/51604.jpg?v=1663940749")</f>
        <v/>
      </c>
      <c r="H7122">
        <f>_xlfn.IMAGE("https://m.media-amazon.com/images/I/61mnVTiX18L._AC_UL320_.jpg")</f>
        <v/>
      </c>
      <c r="K7122" t="inlineStr">
        <is>
          <t>59.99</t>
        </is>
      </c>
      <c r="L7122" t="n">
        <v>40.91</v>
      </c>
      <c r="M7122" s="1" t="inlineStr">
        <is>
          <t>-31.81%</t>
        </is>
      </c>
      <c r="N7122" s="7" t="n"/>
      <c r="O7122" t="n">
        <v>4.3</v>
      </c>
      <c r="P7122" t="n">
        <v>17</v>
      </c>
      <c r="R7122" t="inlineStr">
        <is>
          <t>InStock</t>
        </is>
      </c>
      <c r="S7122" t="inlineStr">
        <is>
          <t>86.4</t>
        </is>
      </c>
      <c r="T7122" t="inlineStr">
        <is>
          <t>7827227574488</t>
        </is>
      </c>
    </row>
    <row r="7123" ht="87" customHeight="1">
      <c r="A7123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7123" s="2">
        <f>HYPERLINK("https://edmondsonsupply.com/products/klein-tools-51609-3-4-inch-iron-conduit-bender-head", "https://edmondsonsupply.com/products/klein-tools-51609-3-4-inch-iron-conduit-bender-head")</f>
        <v/>
      </c>
      <c r="C7123" t="inlineStr">
        <is>
          <t>Klein Tools 51609 3/4-Inch Iron Conduit Bender Head</t>
        </is>
      </c>
      <c r="D7123" t="inlineStr">
        <is>
          <t>Klein Tools 51608 Iron Conduit Bender Head, for 1/2-Inch EMT, Compatible with Klein Tools Angle Setter (Cat. No. 51611)</t>
        </is>
      </c>
      <c r="E7123" s="2">
        <f>HYPERLINK("https://www.amazon.com/Conduit-Compatible-Klein-Tools-51608/dp/B08VYJMT3R/ref=sr_1_5?keywords=Klein+Tools+51609+3%2F4-Inch+Iron+Conduit+Bender+Head&amp;qid=1694735132&amp;sr=8-5", "https://www.amazon.com/Conduit-Compatible-Klein-Tools-51608/dp/B08VYJMT3R/ref=sr_1_5?keywords=Klein+Tools+51609+3%2F4-Inch+Iron+Conduit+Bender+Head&amp;qid=1694735132&amp;sr=8-5")</f>
        <v/>
      </c>
      <c r="F7123" t="inlineStr">
        <is>
          <t>B08VYJMT3R</t>
        </is>
      </c>
      <c r="G7123">
        <f>_xlfn.IMAGE("https://edmondsonsupply.com/cdn/shop/products/51609.jpg?v=1661867147")</f>
        <v/>
      </c>
      <c r="H7123">
        <f>_xlfn.IMAGE("https://m.media-amazon.com/images/I/61mnVTiX18L._AC_UL320_.jpg")</f>
        <v/>
      </c>
      <c r="K7123" t="inlineStr">
        <is>
          <t>59.99</t>
        </is>
      </c>
      <c r="L7123" t="n">
        <v>40.91</v>
      </c>
      <c r="M7123" s="1" t="inlineStr">
        <is>
          <t>-31.81%</t>
        </is>
      </c>
      <c r="N7123" s="7" t="n"/>
      <c r="O7123" t="n">
        <v>4.3</v>
      </c>
      <c r="P7123" t="n">
        <v>17</v>
      </c>
      <c r="R7123" t="inlineStr">
        <is>
          <t>InStock</t>
        </is>
      </c>
      <c r="S7123" t="inlineStr">
        <is>
          <t>90.22</t>
        </is>
      </c>
      <c r="T7123" t="inlineStr">
        <is>
          <t>7797415837912</t>
        </is>
      </c>
    </row>
    <row r="7124" hidden="1" ht="15.75" customHeight="1">
      <c r="A7124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124" s="2">
        <f>HYPERLINK("https://edmondsonsupply.com/products/klein-tools-32305-15-in-1-multi-bit-ratcheting-screwdriver", "https://edmondsonsupply.com/products/klein-tools-32305-15-in-1-multi-bit-ratcheting-screwdriver")</f>
        <v/>
      </c>
      <c r="C7124" t="inlineStr">
        <is>
          <t>Klein Tools 32305 15-in-1 Multi-Bit Ratcheting Screwdriver</t>
        </is>
      </c>
      <c r="D7124" t="inlineStr">
        <is>
          <t>Klein Tools 32557 Multi-Bit Screwdriver / Nut Driver, Heavy Duty 10-in-1 with Interchangable Shafts and Ph, Sl, Sq, Hex Bits and Nut Drivers</t>
        </is>
      </c>
      <c r="E7124" s="2">
        <f>HYPERLINK("https://www.amazon.com/Klein-Tools-32557-Multi-Bit-Screwdriver/dp/B005FQDH9A/ref=sr_1_32?keywords=Klein+Tools+32305+15-in-1+Multi-Bit+Ratcheting+Screwdriver&amp;qid=1694735163&amp;sr=8-32", "https://www.amazon.com/Klein-Tools-32557-Multi-Bit-Screwdriver/dp/B005FQDH9A/ref=sr_1_32?keywords=Klein+Tools+32305+15-in-1+Multi-Bit+Ratcheting+Screwdriver&amp;qid=1694735163&amp;sr=8-32")</f>
        <v/>
      </c>
      <c r="F7124" t="inlineStr">
        <is>
          <t>B005FQDH9A</t>
        </is>
      </c>
      <c r="G7124">
        <f>_xludf.IMAGE("https://edmondsonsupply.com/cdn/shop/products/32305.jpg?v=1646965475")</f>
        <v/>
      </c>
      <c r="H7124">
        <f>_xludf.IMAGE("https://m.media-amazon.com/images/I/41vMDiO0rOL._AC_UL320_.jpg")</f>
        <v/>
      </c>
      <c r="K7124" t="inlineStr">
        <is>
          <t>21.97</t>
        </is>
      </c>
      <c r="L7124" t="n">
        <v>14.98</v>
      </c>
      <c r="M7124" s="1" t="inlineStr">
        <is>
          <t>-31.82%</t>
        </is>
      </c>
      <c r="N7124" s="1" t="n"/>
      <c r="O7124" t="n">
        <v>4.8</v>
      </c>
      <c r="P7124" t="n">
        <v>918</v>
      </c>
      <c r="R7124" t="inlineStr">
        <is>
          <t>InStock</t>
        </is>
      </c>
      <c r="S7124" t="inlineStr">
        <is>
          <t>30.78</t>
        </is>
      </c>
      <c r="T7124" t="inlineStr">
        <is>
          <t>7632426598616</t>
        </is>
      </c>
    </row>
    <row r="7125" hidden="1" ht="15.75" customHeight="1">
      <c r="A7125" s="2">
        <f>HYPERLINK("https://edmondsonsupply.com/collections/electricians-tools/products/klein-tools-rt250-gfci-receptacle-tester-with-lcd", "https://edmondsonsupply.com/collections/electricians-tools/products/klein-tools-rt250-gfci-receptacle-tester-with-lcd")</f>
        <v/>
      </c>
      <c r="B7125" s="2">
        <f>HYPERLINK("https://edmondsonsupply.com/products/klein-tools-rt250-gfci-receptacle-tester-with-lcd", "https://edmondsonsupply.com/products/klein-tools-rt250-gfci-receptacle-tester-with-lcd")</f>
        <v/>
      </c>
      <c r="C7125" t="inlineStr">
        <is>
          <t>Klein Tools RT250 GFCI Receptacle Tester with LCD</t>
        </is>
      </c>
      <c r="D7125" t="inlineStr">
        <is>
          <t>CaseSack case compactable with Klein Tools RT250 GFCI Receptacle Tester</t>
        </is>
      </c>
      <c r="E7125" s="2">
        <f>HYPERLINK("https://www.amazon.com/CaseSack-Receptacle-compactable-compact-accessory/dp/B09KTJKQT3/ref=sr_1_23?keywords=Klein+Tools+RT250+GFCI+Receptacle+Tester+with+LCD&amp;qid=1694735148&amp;sr=8-23", "https://www.amazon.com/CaseSack-Receptacle-compactable-compact-accessory/dp/B09KTJKQT3/ref=sr_1_23?keywords=Klein+Tools+RT250+GFCI+Receptacle+Tester+with+LCD&amp;qid=1694735148&amp;sr=8-23")</f>
        <v/>
      </c>
      <c r="F7125" t="inlineStr">
        <is>
          <t>B09KTJKQT3</t>
        </is>
      </c>
      <c r="G7125">
        <f>_xludf.IMAGE("https://edmondsonsupply.com/cdn/shop/products/rt250_photo_c.jpg?v=1661363824")</f>
        <v/>
      </c>
      <c r="H7125">
        <f>_xludf.IMAGE("https://m.media-amazon.com/images/I/91HdYrul0TL._AC_UL320_.jpg")</f>
        <v/>
      </c>
      <c r="K7125" t="inlineStr">
        <is>
          <t>21.97</t>
        </is>
      </c>
      <c r="L7125" t="n">
        <v>14.98</v>
      </c>
      <c r="M7125" s="1" t="inlineStr">
        <is>
          <t>-31.82%</t>
        </is>
      </c>
      <c r="N7125" s="1" t="n"/>
      <c r="O7125" t="n">
        <v>4.3</v>
      </c>
      <c r="P7125" t="n">
        <v>21</v>
      </c>
      <c r="R7125" t="inlineStr">
        <is>
          <t>InStock</t>
        </is>
      </c>
      <c r="S7125" t="inlineStr">
        <is>
          <t>30.78</t>
        </is>
      </c>
      <c r="T7125" t="inlineStr">
        <is>
          <t>7793138729176</t>
        </is>
      </c>
    </row>
    <row r="7126" ht="87" customHeight="1">
      <c r="A7126" s="2">
        <f>HYPERLINK("https://edmondsonsupply.com/collections/electricians-tools/products/klein-tools-5416tc-bolt-bag-top-closing-tool-pouch-with-tunnel-connect-5-x-10-x-9-inch", "https://edmondsonsupply.com/collections/electricians-tools/products/klein-tools-5416tc-bolt-bag-top-closing-tool-pouch-with-tunnel-connect-5-x-10-x-9-inch")</f>
        <v/>
      </c>
      <c r="B7126" s="2">
        <f>HYPERLINK("https://edmondsonsupply.com/products/klein-tools-5416tc-bolt-bag-top-closing-tool-pouch-with-tunnel-connect-5-x-10-x-9-inch", "https://edmondsonsupply.com/products/klein-tools-5416tc-bolt-bag-top-closing-tool-pouch-with-tunnel-connect-5-x-10-x-9-inch")</f>
        <v/>
      </c>
      <c r="C7126" t="inlineStr">
        <is>
          <t>Klein Tools 5416TC Bolt Bag, Top Closing Tool Pouch with Tunnel Connect, 5 x 10 x 9-Inch</t>
        </is>
      </c>
      <c r="D7126" t="inlineStr">
        <is>
          <t>Klein Tools 5416TFR Tool Bag, Flame Resistant Canvas Bag for Bolt Storage with Double Reinforced Bottom and Tunnel Connect, 5 x 10 x 9-Inch</t>
        </is>
      </c>
      <c r="E7126" s="2">
        <f>HYPERLINK("https://www.amazon.com/Resistant-Canvas-Klein-Tools-5416TFR/dp/B0116IFD6A/ref=sr_1_2?keywords=Klein+Tools+5416TC+Bolt+Bag%2C+Top+Closing+Tool+Pouch+with+Tunnel+Connect%2C+5+x+10+x+9-Inch&amp;qid=1694735257&amp;sr=8-2", "https://www.amazon.com/Resistant-Canvas-Klein-Tools-5416TFR/dp/B0116IFD6A/ref=sr_1_2?keywords=Klein+Tools+5416TC+Bolt+Bag%2C+Top+Closing+Tool+Pouch+with+Tunnel+Connect%2C+5+x+10+x+9-Inch&amp;qid=1694735257&amp;sr=8-2")</f>
        <v/>
      </c>
      <c r="F7126" t="inlineStr">
        <is>
          <t>B0116IFD6A</t>
        </is>
      </c>
      <c r="G7126">
        <f>_xlfn.IMAGE("https://edmondsonsupply.com/cdn/shop/products/5416tc.jpg?v=1633030625")</f>
        <v/>
      </c>
      <c r="H7126">
        <f>_xlfn.IMAGE("https://m.media-amazon.com/images/I/71-H03ahZOL._AC_UL320_.jpg")</f>
        <v/>
      </c>
      <c r="K7126" t="inlineStr">
        <is>
          <t>29.37</t>
        </is>
      </c>
      <c r="L7126" t="n">
        <v>19.99</v>
      </c>
      <c r="M7126" s="1" t="inlineStr">
        <is>
          <t>-31.94%</t>
        </is>
      </c>
      <c r="N7126" s="7" t="n"/>
      <c r="O7126" t="n">
        <v>4.8</v>
      </c>
      <c r="P7126" t="n">
        <v>7379</v>
      </c>
      <c r="R7126" t="inlineStr">
        <is>
          <t>InStock</t>
        </is>
      </c>
      <c r="S7126" t="inlineStr">
        <is>
          <t>46.6</t>
        </is>
      </c>
      <c r="T7126" t="inlineStr">
        <is>
          <t>5661413802152</t>
        </is>
      </c>
    </row>
    <row r="7127" ht="87" customHeight="1">
      <c r="A7127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127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127" t="inlineStr">
        <is>
          <t>Diablo Tools DMAPL4310 1 in. x 16 in. x 18 in. Rebar Demon™ SDS-Plus 4-Cutter Full Carbide Head Hammer Drill Bit</t>
        </is>
      </c>
      <c r="D7127" t="inlineStr">
        <is>
          <t>Diablo 5/8"x 16"x18" Rebar Demon™ SDS-Plus 4-Cutter Full Carbide Head Hammer Bit</t>
        </is>
      </c>
      <c r="E7127" s="2">
        <f>HYPERLINK("https://www.amazon.com/Diablo-SDS-Plus-4-Cutter-Carbide-Hammer/dp/B089LDNZSN/ref=sr_1_14?keywords=Diablo+Tools+DMAPL4310+1+in.+x+16+in.+x+18+in.+Rebar+Demon%E2%84%A2+SDS-Plus+4-Cutter+Full+Carbide+Head+Hammer+Drill+Bit&amp;qid=1694735204&amp;sr=8-14", "https://www.amazon.com/Diablo-SDS-Plus-4-Cutter-Carbide-Hammer/dp/B089LDNZSN/ref=sr_1_14?keywords=Diablo+Tools+DMAPL4310+1+in.+x+16+in.+x+18+in.+Rebar+Demon%E2%84%A2+SDS-Plus+4-Cutter+Full+Carbide+Head+Hammer+Drill+Bit&amp;qid=1694735204&amp;sr=8-14")</f>
        <v/>
      </c>
      <c r="F7127" t="inlineStr">
        <is>
          <t>B089LDNZSN</t>
        </is>
      </c>
      <c r="G7127">
        <f>_xlfn.IMAGE("https://edmondsonsupply.com/cdn/shop/products/DMAPL4310_Main-Image20200701.png?v=1633031094")</f>
        <v/>
      </c>
      <c r="H7127">
        <f>_xlfn.IMAGE("https://m.media-amazon.com/images/I/61Vv8Hsfp5L._AC_UL320_.jpg")</f>
        <v/>
      </c>
      <c r="K7127" t="inlineStr">
        <is>
          <t>49.97</t>
        </is>
      </c>
      <c r="L7127" t="n">
        <v>33.98</v>
      </c>
      <c r="M7127" s="1" t="inlineStr">
        <is>
          <t>-32.00%</t>
        </is>
      </c>
      <c r="N7127" s="7" t="n"/>
      <c r="O7127" t="n">
        <v>4.6</v>
      </c>
      <c r="P7127" t="n">
        <v>10</v>
      </c>
      <c r="R7127" t="inlineStr">
        <is>
          <t>InStock</t>
        </is>
      </c>
      <c r="S7127" t="inlineStr">
        <is>
          <t>57.56</t>
        </is>
      </c>
      <c r="T7127" t="inlineStr">
        <is>
          <t>6839830479021</t>
        </is>
      </c>
    </row>
    <row r="7128" ht="87" customHeight="1">
      <c r="A7128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7128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7128" t="inlineStr">
        <is>
          <t>Klein Tools NCVT3PKIT Dual Range NCVT and AC/DC Voltage Tester Electrical Test Kit</t>
        </is>
      </c>
      <c r="D7128" t="inlineStr">
        <is>
          <t>Klein Tools NCVT2P Dual Range, Non-Contact Voltage Tester, 12-1000V AC, Visual and Audible Indicators, Auto Power Off, Green</t>
        </is>
      </c>
      <c r="E7128" s="2">
        <f>HYPERLINK("https://www.amazon.com/Klein-Tools-NCVT2P-12-1000V-Flashing/dp/B07L5N8ZWS/ref=sr_1_5?keywords=Klein+Tools+NCVT3PKIT+Dual+Range+NCVT+and+AC%2FDC+Voltage+Tester+Electrical+Test+Kit&amp;qid=1694735090&amp;sr=8-5", "https://www.amazon.com/Klein-Tools-NCVT2P-12-1000V-Flashing/dp/B07L5N8ZWS/ref=sr_1_5?keywords=Klein+Tools+NCVT3PKIT+Dual+Range+NCVT+and+AC%2FDC+Voltage+Tester+Electrical+Test+Kit&amp;qid=1694735090&amp;sr=8-5")</f>
        <v/>
      </c>
      <c r="F7128" t="inlineStr">
        <is>
          <t>B07L5N8ZWS</t>
        </is>
      </c>
      <c r="G7128">
        <f>_xlfn.IMAGE("https://edmondsonsupply.com/cdn/shop/products/ncvt3pkit.jpg?v=1667228452")</f>
        <v/>
      </c>
      <c r="H7128">
        <f>_xlfn.IMAGE("https://m.media-amazon.com/images/I/51GASnKpZ1L._AC_UL320_.jpg")</f>
        <v/>
      </c>
      <c r="K7128" t="inlineStr">
        <is>
          <t>34.99</t>
        </is>
      </c>
      <c r="L7128" t="n">
        <v>23.79</v>
      </c>
      <c r="M7128" s="1" t="inlineStr">
        <is>
          <t>-32.01%</t>
        </is>
      </c>
      <c r="N7128" s="7" t="n"/>
      <c r="O7128" t="n">
        <v>4.7</v>
      </c>
      <c r="P7128" t="n">
        <v>638</v>
      </c>
      <c r="R7128" t="inlineStr">
        <is>
          <t>InStock</t>
        </is>
      </c>
      <c r="S7128" t="inlineStr">
        <is>
          <t>48.52</t>
        </is>
      </c>
      <c r="T7128" t="inlineStr">
        <is>
          <t>7871488032984</t>
        </is>
      </c>
    </row>
    <row r="7129" ht="87" customHeight="1">
      <c r="A7129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129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129" t="inlineStr">
        <is>
          <t>Diablo Tools DMAPL4310 1 in. x 16 in. x 18 in. Rebar Demon™ SDS-Plus 4-Cutter Full Carbide Head Hammer Drill Bit</t>
        </is>
      </c>
      <c r="D7129" t="inlineStr">
        <is>
          <t>Diablo by Freud DMAPL4300 1 in. x 8 in. x 10 in. Rebar Demon™ SDS-Plus 4-Cutter Full Carbide Head Hammer Bit</t>
        </is>
      </c>
      <c r="E7129" s="2">
        <f>HYPERLINK("https://www.amazon.com/Diablo-Freud-DMAPL4300-SDS-Plus-4-Cutter/dp/B089LL8JD8/ref=sr_1_2?keywords=Diablo+Tools+DMAPL4310+1+in.+x+16+in.+x+18+in.+Rebar+Demon%E2%84%A2+SDS-Plus+4-Cutter+Full+Carbide+Head+Hammer+Drill+Bit&amp;qid=1694735204&amp;sr=8-2", "https://www.amazon.com/Diablo-Freud-DMAPL4300-SDS-Plus-4-Cutter/dp/B089LL8JD8/ref=sr_1_2?keywords=Diablo+Tools+DMAPL4310+1+in.+x+16+in.+x+18+in.+Rebar+Demon%E2%84%A2+SDS-Plus+4-Cutter+Full+Carbide+Head+Hammer+Drill+Bit&amp;qid=1694735204&amp;sr=8-2")</f>
        <v/>
      </c>
      <c r="F7129" t="inlineStr">
        <is>
          <t>B089LL8JD8</t>
        </is>
      </c>
      <c r="G7129">
        <f>_xlfn.IMAGE("https://edmondsonsupply.com/cdn/shop/products/DMAPL4310_Main-Image20200701.png?v=1633031094")</f>
        <v/>
      </c>
      <c r="H7129">
        <f>_xlfn.IMAGE("https://m.media-amazon.com/images/I/616UiJGsK1L._AC_UL320_.jpg")</f>
        <v/>
      </c>
      <c r="K7129" t="inlineStr">
        <is>
          <t>49.97</t>
        </is>
      </c>
      <c r="L7129" t="n">
        <v>33.95</v>
      </c>
      <c r="M7129" s="1" t="inlineStr">
        <is>
          <t>-32.06%</t>
        </is>
      </c>
      <c r="N7129" s="7" t="n"/>
      <c r="O7129" t="n">
        <v>4.5</v>
      </c>
      <c r="P7129" t="n">
        <v>16</v>
      </c>
      <c r="R7129" t="inlineStr">
        <is>
          <t>InStock</t>
        </is>
      </c>
      <c r="S7129" t="inlineStr">
        <is>
          <t>57.56</t>
        </is>
      </c>
      <c r="T7129" t="inlineStr">
        <is>
          <t>6839830479021</t>
        </is>
      </c>
    </row>
    <row r="7130" ht="87" customHeight="1">
      <c r="A7130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130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130" t="inlineStr">
        <is>
          <t>Klein Tools NCVT-2P Dual Range Non-Contact Voltage Tester 12 - 1000V AC</t>
        </is>
      </c>
      <c r="D7130" t="inlineStr">
        <is>
          <t>Keeptop Non-Contact Voltage Tester - Electrical Tester with Dual Range AC 12 to 1000V, Live/Null Wire and Circuit Tester, Voltage Detector with Flashlight and Pocket Clip</t>
        </is>
      </c>
      <c r="E7130" s="2">
        <f>HYPERLINK("https://www.amazon.com/Keeptop-Non-Contact-Voltage-Tester-Electrical/dp/B09HBHMN75/ref=sr_1_21?keywords=Klein+Tools+NCVT-2P+Dual+Range+Non-Contact+Voltage+Tester+12+-+1000V+AC&amp;qid=1694735236&amp;sr=8-21", "https://www.amazon.com/Keeptop-Non-Contact-Voltage-Tester-Electrical/dp/B09HBHMN75/ref=sr_1_21?keywords=Klein+Tools+NCVT-2P+Dual+Range+Non-Contact+Voltage+Tester+12+-+1000V+AC&amp;qid=1694735236&amp;sr=8-21")</f>
        <v/>
      </c>
      <c r="F7130" t="inlineStr">
        <is>
          <t>B09HBHMN75</t>
        </is>
      </c>
      <c r="G7130">
        <f>_xlfn.IMAGE("https://edmondsonsupply.com/cdn/shop/products/ncvt2p.jpg?v=1633030824")</f>
        <v/>
      </c>
      <c r="H7130">
        <f>_xlfn.IMAGE("https://m.media-amazon.com/images/I/618B2K4XGoL._AC_UL320_.jpg")</f>
        <v/>
      </c>
      <c r="K7130" t="inlineStr">
        <is>
          <t>27.97</t>
        </is>
      </c>
      <c r="L7130" t="n">
        <v>18.99</v>
      </c>
      <c r="M7130" s="1" t="inlineStr">
        <is>
          <t>-32.11%</t>
        </is>
      </c>
      <c r="N7130" s="7" t="n"/>
      <c r="O7130" t="n">
        <v>4.3</v>
      </c>
      <c r="P7130" t="n">
        <v>235</v>
      </c>
      <c r="R7130" t="inlineStr">
        <is>
          <t>InStock</t>
        </is>
      </c>
      <c r="S7130" t="inlineStr">
        <is>
          <t>35.76</t>
        </is>
      </c>
      <c r="T7130" t="inlineStr">
        <is>
          <t>6080875626669</t>
        </is>
      </c>
    </row>
    <row r="7131" ht="87" customHeight="1">
      <c r="A7131" s="2">
        <f>HYPERLINK("https://edmondsonsupply.com/collections/electricians-tools/products/klein-tools-25963-step-drill-bit-spiral-double-fluted-1-4-inch-to-3-4-inch-vaco", "https://edmondsonsupply.com/collections/electricians-tools/products/klein-tools-25963-step-drill-bit-spiral-double-fluted-1-4-inch-to-3-4-inch-vaco")</f>
        <v/>
      </c>
      <c r="B7131" s="2">
        <f>HYPERLINK("https://edmondsonsupply.com/products/klein-tools-25963-step-drill-bit-spiral-double-fluted-1-4-inch-to-3-4-inch-vaco", "https://edmondsonsupply.com/products/klein-tools-25963-step-drill-bit-spiral-double-fluted-1-4-inch-to-3-4-inch-vaco")</f>
        <v/>
      </c>
      <c r="C7131" t="inlineStr">
        <is>
          <t>Klein Tools 25963 Step Drill Bit, Spiral Double-Fluted, 1/4-Inch to 3/4-Inch, VACO</t>
        </is>
      </c>
      <c r="D7131" t="inlineStr">
        <is>
          <t>Jerax tools 1/4 to 1-3/8 Inch Step Drill Bit Spiral Grooved Double Fluted, M2 High Speed Steel Drill bits for Hole Drilling in Stainless Steel, Copper, Aluminum, Wood, Plastic</t>
        </is>
      </c>
      <c r="E7131" s="2">
        <f>HYPERLINK("https://www.amazon.com/Jerax-tools-Drilling-Stainless-Aluminum/dp/B094VCMB17/ref=sr_1_4?keywords=Klein+Tools+25963+Step+Drill+Bit%2C+Spiral+Double-Fluted%2C+1%2F4-Inch+to+3%2F4-Inch%2C+VACO&amp;qid=1694735067&amp;sr=8-4", "https://www.amazon.com/Jerax-tools-Drilling-Stainless-Aluminum/dp/B094VCMB17/ref=sr_1_4?keywords=Klein+Tools+25963+Step+Drill+Bit%2C+Spiral+Double-Fluted%2C+1%2F4-Inch+to+3%2F4-Inch%2C+VACO&amp;qid=1694735067&amp;sr=8-4")</f>
        <v/>
      </c>
      <c r="F7131" t="inlineStr">
        <is>
          <t>B094VCMB17</t>
        </is>
      </c>
      <c r="G7131">
        <f>_xlfn.IMAGE("https://edmondsonsupply.com/cdn/shop/products/25963_b.jpg?v=1670524306")</f>
        <v/>
      </c>
      <c r="H7131">
        <f>_xlfn.IMAGE("https://m.media-amazon.com/images/I/51fvUl5tapL._AC_UY218_.jpg")</f>
        <v/>
      </c>
      <c r="K7131" t="inlineStr">
        <is>
          <t>24.99</t>
        </is>
      </c>
      <c r="L7131" t="n">
        <v>16.95</v>
      </c>
      <c r="M7131" s="1" t="inlineStr">
        <is>
          <t>-32.17%</t>
        </is>
      </c>
      <c r="N7131" s="7" t="n"/>
      <c r="O7131" t="n">
        <v>4.5</v>
      </c>
      <c r="P7131" t="n">
        <v>708</v>
      </c>
      <c r="R7131" t="inlineStr">
        <is>
          <t>InStock</t>
        </is>
      </c>
      <c r="S7131" t="inlineStr">
        <is>
          <t>37.48</t>
        </is>
      </c>
      <c r="T7131" t="inlineStr">
        <is>
          <t>7901318971608</t>
        </is>
      </c>
    </row>
    <row r="7132" ht="87" customHeight="1">
      <c r="A7132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132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132" t="inlineStr">
        <is>
          <t>Klein Tools JTH9E17 1/2-Inch Hex Key with Journeyman T-Handle, 9-Inch</t>
        </is>
      </c>
      <c r="D7132" t="inlineStr">
        <is>
          <t>Klein Tools JTH9M8 8 mm Hex Key with Journeyman T-Handle, 9-Inch</t>
        </is>
      </c>
      <c r="E7132" s="2">
        <f>HYPERLINK("https://www.amazon.com/Journeyman-T-Handle-Klein-Tools-JTH9M8/dp/B005G3HJSC/ref=sr_1_7?keywords=Klein+Tools+JTH9E17+1%2F2-Inch+Hex+Key+with+Journeyman+T-Handle%2C+9-Inch&amp;qid=1694735337&amp;sr=8-7", "https://www.amazon.com/Journeyman-T-Handle-Klein-Tools-JTH9M8/dp/B005G3HJSC/ref=sr_1_7?keywords=Klein+Tools+JTH9E17+1%2F2-Inch+Hex+Key+with+Journeyman+T-Handle%2C+9-Inch&amp;qid=1694735337&amp;sr=8-7")</f>
        <v/>
      </c>
      <c r="F7132" t="inlineStr">
        <is>
          <t>B005G3HJSC</t>
        </is>
      </c>
      <c r="G7132">
        <f>_xlfn.IMAGE("https://edmondsonsupply.com/cdn/shop/products/jth9e12_c458fab1-bd79-4a70-ae62-7e6646bd3d84.jpg?v=1587146369")</f>
        <v/>
      </c>
      <c r="H7132">
        <f>_xlfn.IMAGE("https://m.media-amazon.com/images/I/51+1x0vz9XL._AC_UL320_.jpg")</f>
        <v/>
      </c>
      <c r="K7132" t="inlineStr">
        <is>
          <t>23.99</t>
        </is>
      </c>
      <c r="L7132" t="n">
        <v>16.27</v>
      </c>
      <c r="M7132" s="1" t="inlineStr">
        <is>
          <t>-32.18%</t>
        </is>
      </c>
      <c r="N7132" s="7" t="n"/>
      <c r="O7132" t="n">
        <v>5</v>
      </c>
      <c r="P7132" t="n">
        <v>4</v>
      </c>
      <c r="R7132" t="inlineStr">
        <is>
          <t>InStock</t>
        </is>
      </c>
      <c r="S7132" t="inlineStr">
        <is>
          <t>36.36</t>
        </is>
      </c>
      <c r="T7132" t="inlineStr">
        <is>
          <t>4505575981156</t>
        </is>
      </c>
    </row>
    <row r="7133" hidden="1" ht="15.75" customHeight="1">
      <c r="A7133" s="2">
        <f>HYPERLINK("https://edmondsonsupply.com/collections/electricians-tools/products/klein-tools-jth6t20-t20-torx-hex-key-with-journeyman-t-handle-6-inch", "https://edmondsonsupply.com/collections/electricians-tools/products/klein-tools-jth6t20-t20-torx-hex-key-with-journeyman-t-handle-6-inch")</f>
        <v/>
      </c>
      <c r="B7133" s="2">
        <f>HYPERLINK("https://edmondsonsupply.com/products/klein-tools-jth6t20-t20-torx-hex-key-with-journeyman-t-handle-6-inch", "https://edmondsonsupply.com/products/klein-tools-jth6t20-t20-torx-hex-key-with-journeyman-t-handle-6-inch")</f>
        <v/>
      </c>
      <c r="C7133" t="inlineStr">
        <is>
          <t>Klein Tools JTH6T20 T20 Torx Hex Key with Journeyman T-Handle, 6-Inch</t>
        </is>
      </c>
      <c r="D7133" t="inlineStr">
        <is>
          <t>Klein Tools JTH6E12BE 7/32-Inch Ball End Hex Key with Journeyman T-Handle,6-Inch</t>
        </is>
      </c>
      <c r="E7133" s="2">
        <f>HYPERLINK("https://www.amazon.com/Journeyman-T-Handle-Klein-Tools-JTH6E12BE/dp/B004QW74L6/ref=sr_1_4?keywords=Klein+Tools+JTH6T20+T20+Torx+Hex+Key+with+Journeyman+T-Handle%2C+6-Inch&amp;qid=1694735236&amp;sr=8-4", "https://www.amazon.com/Journeyman-T-Handle-Klein-Tools-JTH6E12BE/dp/B004QW74L6/ref=sr_1_4?keywords=Klein+Tools+JTH6T20+T20+Torx+Hex+Key+with+Journeyman+T-Handle%2C+6-Inch&amp;qid=1694735236&amp;sr=8-4")</f>
        <v/>
      </c>
      <c r="F7133" t="inlineStr">
        <is>
          <t>B004QW74L6</t>
        </is>
      </c>
      <c r="G7133">
        <f>_xludf.IMAGE("https://edmondsonsupply.com/cdn/shop/products/jth6t40_239e6af9-df98-4759-b03a-1003afe41d97.jpg?v=1606265228")</f>
        <v/>
      </c>
      <c r="H7133">
        <f>_xludf.IMAGE("https://m.media-amazon.com/images/I/51f9vBFVXgL._AC_UL320_.jpg")</f>
        <v/>
      </c>
      <c r="K7133" t="inlineStr">
        <is>
          <t>9.08</t>
        </is>
      </c>
      <c r="L7133" t="n">
        <v>6.15</v>
      </c>
      <c r="M7133" s="1" t="inlineStr">
        <is>
          <t>-32.27%</t>
        </is>
      </c>
      <c r="N7133" s="1" t="n"/>
      <c r="O7133" t="n">
        <v>4.5</v>
      </c>
      <c r="P7133" t="n">
        <v>9</v>
      </c>
      <c r="R7133" t="inlineStr">
        <is>
          <t>InStock</t>
        </is>
      </c>
      <c r="S7133" t="inlineStr">
        <is>
          <t>undefined</t>
        </is>
      </c>
      <c r="T7133" t="inlineStr">
        <is>
          <t>6094316339373</t>
        </is>
      </c>
    </row>
    <row r="7134" ht="87" customHeight="1">
      <c r="A7134" s="2">
        <f>HYPERLINK("https://edmondsonsupply.com/collections/electricians-tools/products/diablo-tools-dag3070-3-4-in-x-17-1-2-in-auger-bit", "https://edmondsonsupply.com/collections/electricians-tools/products/diablo-tools-dag3070-3-4-in-x-17-1-2-in-auger-bit")</f>
        <v/>
      </c>
      <c r="B7134" s="2">
        <f>HYPERLINK("https://edmondsonsupply.com/products/diablo-tools-dag3070-3-4-in-x-17-1-2-in-auger-bit", "https://edmondsonsupply.com/products/diablo-tools-dag3070-3-4-in-x-17-1-2-in-auger-bit")</f>
        <v/>
      </c>
      <c r="C7134" t="inlineStr">
        <is>
          <t>Diablo Tools DAG3070 3/4 in. x 17-1/2 in. Auger Bit</t>
        </is>
      </c>
      <c r="D7134" t="inlineStr">
        <is>
          <t>Diablo DAG3020 7/16 in. x 17-1/2 in. Auger Bit</t>
        </is>
      </c>
      <c r="E7134" s="2">
        <f>HYPERLINK("https://www.amazon.com/Diablo-DAG3020-17-1-Auger-Bit/dp/B089LGWKFF/ref=sr_1_8?keywords=Diablo+Tools+DAG3070+3%2F4+in.+x+17-1%2F2+in.+Auger+Bit&amp;qid=1694735067&amp;sr=8-8", "https://www.amazon.com/Diablo-DAG3020-17-1-Auger-Bit/dp/B089LGWKFF/ref=sr_1_8?keywords=Diablo+Tools+DAG3070+3%2F4+in.+x+17-1%2F2+in.+Auger+Bit&amp;qid=1694735067&amp;sr=8-8")</f>
        <v/>
      </c>
      <c r="F7134" t="inlineStr">
        <is>
          <t>B089LGWKFF</t>
        </is>
      </c>
      <c r="G7134">
        <f>_xlfn.IMAGE("https://edmondsonsupply.com/cdn/shop/products/ljatbudptj8xmo1m7sg7.webp?v=1669994151")</f>
        <v/>
      </c>
      <c r="H7134">
        <f>_xlfn.IMAGE("https://m.media-amazon.com/images/I/61XUUNTev0L._AC_UL320_.jpg")</f>
        <v/>
      </c>
      <c r="K7134" t="inlineStr">
        <is>
          <t>23.99</t>
        </is>
      </c>
      <c r="L7134" t="n">
        <v>16.21</v>
      </c>
      <c r="M7134" s="1" t="inlineStr">
        <is>
          <t>-32.43%</t>
        </is>
      </c>
      <c r="N7134" s="7" t="n"/>
      <c r="O7134" t="n">
        <v>5</v>
      </c>
      <c r="P7134" t="n">
        <v>2</v>
      </c>
      <c r="R7134" t="inlineStr">
        <is>
          <t>InStock</t>
        </is>
      </c>
      <c r="S7134" t="inlineStr">
        <is>
          <t>32.3</t>
        </is>
      </c>
      <c r="T7134" t="inlineStr">
        <is>
          <t>7897497960664</t>
        </is>
      </c>
    </row>
    <row r="7135" hidden="1" ht="15.75" customHeight="1">
      <c r="A7135" s="2">
        <f>HYPERLINK("https://edmondsonsupply.com/collections/electricians-tools/products/diablo-tools-dou125jbw-1-1-4-in-universal-fit-bi-metal-oscillating-blades-for-clean-wood", "https://edmondsonsupply.com/collections/electricians-tools/products/diablo-tools-dou125jbw-1-1-4-in-universal-fit-bi-metal-oscillating-blades-for-clean-wood")</f>
        <v/>
      </c>
      <c r="B7135" s="2">
        <f>HYPERLINK("https://edmondsonsupply.com/products/diablo-tools-dou125jbw-1-1-4-in-universal-fit-bi-metal-oscillating-blades-for-clean-wood", "https://edmondsonsupply.com/products/diablo-tools-dou125jbw-1-1-4-in-universal-fit-bi-metal-oscillating-blades-for-clean-wood")</f>
        <v/>
      </c>
      <c r="C7135" t="inlineStr">
        <is>
          <t>Diablo Tools DOU125JBW 1-1/4 in. Universal Fit Bi-Metal Oscillating Blades for Clean Wood</t>
        </is>
      </c>
      <c r="D7135" t="inlineStr">
        <is>
          <t>Diablo DOU125BW 1-1/4 in. Universal Fit Bi-Metal Oscillating Blade for Nail-Embedded Wood</t>
        </is>
      </c>
      <c r="E7135" s="2">
        <f>HYPERLINK("https://www.amazon.com/Diablo-Universal-Bi-Metal-Oscillating-Nail-Embedded/dp/B089LDN2LT/ref=sr_1_4?keywords=Diablo+Tools+DOU125JBW+1-1%2F4+in.+Universal+Fit+Bi-Metal+Oscillating+Blades+for+Clean+Wood&amp;qid=1694735180&amp;sr=8-4", "https://www.amazon.com/Diablo-Universal-Bi-Metal-Oscillating-Nail-Embedded/dp/B089LDN2LT/ref=sr_1_4?keywords=Diablo+Tools+DOU125JBW+1-1%2F4+in.+Universal+Fit+Bi-Metal+Oscillating+Blades+for+Clean+Wood&amp;qid=1694735180&amp;sr=8-4")</f>
        <v/>
      </c>
      <c r="F7135" t="inlineStr">
        <is>
          <t>B089LDN2LT</t>
        </is>
      </c>
      <c r="G7135">
        <f>_xludf.IMAGE("https://edmondsonsupply.com/cdn/shop/products/DOU125JBW_Main-Image.png?v=1633638363")</f>
        <v/>
      </c>
      <c r="H7135">
        <f>_xludf.IMAGE("https://m.media-amazon.com/images/I/613ig7mNjfL._AC_UL320_.jpg")</f>
        <v/>
      </c>
      <c r="K7135" t="inlineStr">
        <is>
          <t>17.97</t>
        </is>
      </c>
      <c r="L7135" t="n">
        <v>12.14</v>
      </c>
      <c r="M7135" s="1" t="inlineStr">
        <is>
          <t>-32.44%</t>
        </is>
      </c>
      <c r="N7135" s="1" t="n"/>
      <c r="O7135" t="n">
        <v>4.8</v>
      </c>
      <c r="P7135" t="n">
        <v>12</v>
      </c>
      <c r="R7135" t="inlineStr">
        <is>
          <t>InStock</t>
        </is>
      </c>
      <c r="S7135" t="inlineStr">
        <is>
          <t>22.35</t>
        </is>
      </c>
      <c r="T7135" t="inlineStr">
        <is>
          <t>7000455807149</t>
        </is>
      </c>
    </row>
    <row r="7136" hidden="1" ht="15.75" customHeight="1">
      <c r="A7136" s="2">
        <f>HYPERLINK("https://edmondsonsupply.com/collections/electricians-tools/products/diablo-tools-dou125bw", "https://edmondsonsupply.com/collections/electricians-tools/products/diablo-tools-dou125bw")</f>
        <v/>
      </c>
      <c r="B7136" s="2">
        <f>HYPERLINK("https://edmondsonsupply.com/products/diablo-tools-dou125bw", "https://edmondsonsupply.com/products/diablo-tools-dou125bw")</f>
        <v/>
      </c>
      <c r="C7136" t="inlineStr">
        <is>
          <t>Diablo Tools DOU125BW 1-1/4 in. Universal Fit Bi-Metal Oscillating Blade for Nail-Embedded Wood</t>
        </is>
      </c>
      <c r="D7136" t="inlineStr">
        <is>
          <t>Diablo DOU125BW 1-1/4 in. Universal Fit Bi-Metal Oscillating Blade for Nail-Embedded Wood</t>
        </is>
      </c>
      <c r="E7136" s="2">
        <f>HYPERLINK("https://www.amazon.com/Diablo-Universal-Bi-Metal-Oscillating-Nail-Embedded/dp/B089LDN2LT/ref=sr_1_1?keywords=Diablo+Tools+DOU125BW+1-1%2F4+in.+Universal+Fit+Bi-Metal+Oscillating+Blade+for+Nail-Embedded+Wood&amp;qid=1694735198&amp;sr=8-1", "https://www.amazon.com/Diablo-Universal-Bi-Metal-Oscillating-Nail-Embedded/dp/B089LDN2LT/ref=sr_1_1?keywords=Diablo+Tools+DOU125BW+1-1%2F4+in.+Universal+Fit+Bi-Metal+Oscillating+Blade+for+Nail-Embedded+Wood&amp;qid=1694735198&amp;sr=8-1")</f>
        <v/>
      </c>
      <c r="F7136" t="inlineStr">
        <is>
          <t>B089LDN2LT</t>
        </is>
      </c>
      <c r="G7136">
        <f>_xludf.IMAGE("https://edmondsonsupply.com/cdn/shop/products/gnn0wpqc8veb3qhldcrb.webp?v=1676040020")</f>
        <v/>
      </c>
      <c r="H7136">
        <f>_xludf.IMAGE("https://m.media-amazon.com/images/I/613ig7mNjfL._AC_UL320_.jpg")</f>
        <v/>
      </c>
      <c r="K7136" t="inlineStr">
        <is>
          <t>17.97</t>
        </is>
      </c>
      <c r="L7136" t="n">
        <v>12.14</v>
      </c>
      <c r="M7136" s="1" t="inlineStr">
        <is>
          <t>-32.44%</t>
        </is>
      </c>
      <c r="N7136" s="1" t="n"/>
      <c r="O7136" t="n">
        <v>4.8</v>
      </c>
      <c r="P7136" t="n">
        <v>12</v>
      </c>
      <c r="R7136" t="inlineStr">
        <is>
          <t>InStock</t>
        </is>
      </c>
      <c r="S7136" t="inlineStr">
        <is>
          <t>22.79</t>
        </is>
      </c>
      <c r="T7136" t="inlineStr">
        <is>
          <t>6846081433773</t>
        </is>
      </c>
    </row>
    <row r="7137" ht="87" customHeight="1">
      <c r="A7137" s="2">
        <f>HYPERLINK("https://edmondsonsupply.com/collections/electricians-tools/products/fluke-indc8", "https://edmondsonsupply.com/collections/electricians-tools/products/fluke-indc8")</f>
        <v/>
      </c>
      <c r="B7137" s="2">
        <f>HYPERLINK("https://edmondsonsupply.com/products/fluke-indc8", "https://edmondsonsupply.com/products/fluke-indc8")</f>
        <v/>
      </c>
      <c r="C7137" t="inlineStr">
        <is>
          <t>Fluke INDC8 Insulated High Leverage Diagonal Cutter</t>
        </is>
      </c>
      <c r="D7137" t="inlineStr">
        <is>
          <t>KNIPEX Tools - High Leverage Diagonal Cutters, 1000V Insulated (7408200SBA), 8 inches</t>
        </is>
      </c>
      <c r="E7137" s="2">
        <f>HYPERLINK("https://www.amazon.com/Knipex-7408200SBA-Leverage-Diagonal-Cutters/dp/B000X4KOSQ/ref=sr_1_2?keywords=Fluke+INDC8+Insulated+High+Leverage+Diagonal+Cutter&amp;qid=1694735326&amp;sr=8-2", "https://www.amazon.com/Knipex-7408200SBA-Leverage-Diagonal-Cutters/dp/B000X4KOSQ/ref=sr_1_2?keywords=Fluke+INDC8+Insulated+High+Leverage+Diagonal+Cutter&amp;qid=1694735326&amp;sr=8-2")</f>
        <v/>
      </c>
      <c r="F7137" t="inlineStr">
        <is>
          <t>B000X4KOSQ</t>
        </is>
      </c>
      <c r="G7137">
        <f>_xlfn.IMAGE("https://edmondsonsupply.com/cdn/shop/products/indc8-1.jpg?v=1588886196")</f>
        <v/>
      </c>
      <c r="H7137">
        <f>_xlfn.IMAGE("https://m.media-amazon.com/images/I/41EljIsCNLL._AC_UL320_.jpg")</f>
        <v/>
      </c>
      <c r="K7137" t="inlineStr">
        <is>
          <t>71.99</t>
        </is>
      </c>
      <c r="L7137" t="n">
        <v>48.62</v>
      </c>
      <c r="M7137" s="1" t="inlineStr">
        <is>
          <t>-32.46%</t>
        </is>
      </c>
      <c r="N7137" s="7" t="n"/>
      <c r="O7137" t="n">
        <v>4.8</v>
      </c>
      <c r="P7137" t="n">
        <v>260</v>
      </c>
      <c r="R7137" t="inlineStr">
        <is>
          <t>OutOfStock</t>
        </is>
      </c>
      <c r="S7137" t="inlineStr">
        <is>
          <t>79.99</t>
        </is>
      </c>
      <c r="T7137" t="inlineStr">
        <is>
          <t>4625639571556</t>
        </is>
      </c>
    </row>
    <row r="7138" hidden="1" ht="15.75" customHeight="1">
      <c r="A7138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7138" s="2">
        <f>HYPERLINK("https://edmondsonsupply.com/products/klein-tools-635-7-16-7-16-inch-heavy-duty-nut-driver", "https://edmondsonsupply.com/products/klein-tools-635-7-16-7-16-inch-heavy-duty-nut-driver")</f>
        <v/>
      </c>
      <c r="C7138" t="inlineStr">
        <is>
          <t>Klein Tools 635-7/16 7/16-Inch Heavy-Duty Nut Driver</t>
        </is>
      </c>
      <c r="D7138" t="inlineStr">
        <is>
          <t>Klein Tools 630-7/16 7/16-Inch Nut Driver with 3-Inch Hollow Shaft and Cushion-Grip Handle</t>
        </is>
      </c>
      <c r="E7138" s="2">
        <f>HYPERLINK("https://www.amazon.com/Cushion-Grip-Klein-Tools-630-7-16/dp/B000BPG4CW/ref=sr_1_3?keywords=Klein+Tools+635-7%2F16+7%2F16-Inch+Heavy-Duty+Nut+Driver&amp;qid=1694735398&amp;sr=8-3", "https://www.amazon.com/Cushion-Grip-Klein-Tools-630-7-16/dp/B000BPG4CW/ref=sr_1_3?keywords=Klein+Tools+635-7%2F16+7%2F16-Inch+Heavy-Duty+Nut+Driver&amp;qid=1694735398&amp;sr=8-3")</f>
        <v/>
      </c>
      <c r="F7138" t="inlineStr">
        <is>
          <t>B000BPG4CW</t>
        </is>
      </c>
      <c r="G7138">
        <f>_xludf.IMAGE("https://edmondsonsupply.com/cdn/shop/products/635-7-16.jpg?v=1587145128")</f>
        <v/>
      </c>
      <c r="H7138">
        <f>_xludf.IMAGE("https://m.media-amazon.com/images/I/41Cj8-Y8KnL._AC_UL320_.jpg")</f>
        <v/>
      </c>
      <c r="K7138" t="inlineStr">
        <is>
          <t>14.49</t>
        </is>
      </c>
      <c r="L7138" t="n">
        <v>9.779999999999999</v>
      </c>
      <c r="M7138" s="1" t="inlineStr">
        <is>
          <t>-32.51%</t>
        </is>
      </c>
      <c r="N7138" s="1" t="n"/>
      <c r="O7138" t="n">
        <v>4.8</v>
      </c>
      <c r="P7138" t="n">
        <v>2069</v>
      </c>
      <c r="R7138" t="inlineStr">
        <is>
          <t>InStock</t>
        </is>
      </c>
      <c r="S7138" t="inlineStr">
        <is>
          <t>21.94</t>
        </is>
      </c>
      <c r="T7138" t="inlineStr">
        <is>
          <t>4410745978980</t>
        </is>
      </c>
    </row>
    <row r="7139" hidden="1" ht="15.75" customHeight="1">
      <c r="A7139" s="2">
        <f>HYPERLINK("https://edmondsonsupply.com/collections/electricians-tools/products/fluke-st120-gfci-socket-tester-with-beeper", "https://edmondsonsupply.com/collections/electricians-tools/products/fluke-st120-gfci-socket-tester-with-beeper")</f>
        <v/>
      </c>
      <c r="B7139" s="2">
        <f>HYPERLINK("https://edmondsonsupply.com/products/fluke-st120-gfci-socket-tester-with-beeper", "https://edmondsonsupply.com/products/fluke-st120-gfci-socket-tester-with-beeper")</f>
        <v/>
      </c>
      <c r="C7139" t="inlineStr">
        <is>
          <t>Fluke ST120+ GFCI Socket Tester with Beeper</t>
        </is>
      </c>
      <c r="D7139" t="inlineStr">
        <is>
          <t>Aenllosi Hard Carrying Case Replacement for Fluke ST120 / ST120+ GFCI Socket Tester</t>
        </is>
      </c>
      <c r="E7139" s="2">
        <f>HYPERLINK("https://www.amazon.com/Aenllosi-Carrying-Replacement-Socket-Tester/dp/B0BD7JLMCB/ref=sr_1_4?keywords=Fluke+ST120%2B+GFCI+Socket+Tester+with+Beeper&amp;qid=1694735127&amp;sr=8-4", "https://www.amazon.com/Aenllosi-Carrying-Replacement-Socket-Tester/dp/B0BD7JLMCB/ref=sr_1_4?keywords=Fluke+ST120%2B+GFCI+Socket+Tester+with+Beeper&amp;qid=1694735127&amp;sr=8-4")</f>
        <v/>
      </c>
      <c r="F7139" t="inlineStr">
        <is>
          <t>B0BD7JLMCB</t>
        </is>
      </c>
      <c r="G7139">
        <f>_xludf.IMAGE("https://edmondsonsupply.com/cdn/shop/products/F-st120-plus_01a_w.webp?v=1662582919")</f>
        <v/>
      </c>
      <c r="H7139">
        <f>_xludf.IMAGE("https://m.media-amazon.com/images/I/81I3g-w5eLL._AC_UL320_.jpg")</f>
        <v/>
      </c>
      <c r="K7139" t="inlineStr">
        <is>
          <t>19.99</t>
        </is>
      </c>
      <c r="L7139" t="n">
        <v>13.49</v>
      </c>
      <c r="M7139" s="1" t="inlineStr">
        <is>
          <t>-32.52%</t>
        </is>
      </c>
      <c r="N7139" s="1" t="n"/>
      <c r="O7139" t="n">
        <v>4.8</v>
      </c>
      <c r="P7139" t="n">
        <v>62</v>
      </c>
      <c r="R7139" t="inlineStr">
        <is>
          <t>InStock</t>
        </is>
      </c>
      <c r="S7139" t="inlineStr">
        <is>
          <t>21.99</t>
        </is>
      </c>
      <c r="T7139" t="inlineStr">
        <is>
          <t>7807652364504</t>
        </is>
      </c>
    </row>
    <row r="7140" ht="87" customHeight="1">
      <c r="A7140" s="2">
        <f>HYPERLINK("https://edmondsonsupply.com/collections/electricians-tools/products/klein-tools-d507-10-adjustable-wrench-extra-capacity-10-inch", "https://edmondsonsupply.com/collections/electricians-tools/products/klein-tools-d507-10-adjustable-wrench-extra-capacity-10-inch")</f>
        <v/>
      </c>
      <c r="B7140" s="2">
        <f>HYPERLINK("https://edmondsonsupply.com/products/klein-tools-d507-10-adjustable-wrench-extra-capacity-10-inch", "https://edmondsonsupply.com/products/klein-tools-d507-10-adjustable-wrench-extra-capacity-10-inch")</f>
        <v/>
      </c>
      <c r="C7140" t="inlineStr">
        <is>
          <t>Klein Tools D507-10 Adjustable Wrench Extra Capacity, 10-Inch</t>
        </is>
      </c>
      <c r="D7140" t="inlineStr">
        <is>
          <t>Klein Tools D507-8 Adjustable Wrench, Extra Capacity Jaw Forged Drive Wrench with High Polish Chrome Finish, 8-Inch</t>
        </is>
      </c>
      <c r="E7140" s="2">
        <f>HYPERLINK("https://www.amazon.com/Adjustable-Capacity-Klein-Tools-D507-8/dp/B00080FA6G/ref=sr_1_4?keywords=Klein+Tools+D507-10+Adjustable+Wrench+Extra+Capacity%2C+10-Inch&amp;qid=1694735353&amp;sr=8-4", "https://www.amazon.com/Adjustable-Capacity-Klein-Tools-D507-8/dp/B00080FA6G/ref=sr_1_4?keywords=Klein+Tools+D507-10+Adjustable+Wrench+Extra+Capacity%2C+10-Inch&amp;qid=1694735353&amp;sr=8-4")</f>
        <v/>
      </c>
      <c r="F7140" t="inlineStr">
        <is>
          <t>B00080FA6G</t>
        </is>
      </c>
      <c r="G7140">
        <f>_xlfn.IMAGE("https://edmondsonsupply.com/cdn/shop/products/d50710.jpg?v=1666011197")</f>
        <v/>
      </c>
      <c r="H7140">
        <f>_xlfn.IMAGE("https://m.media-amazon.com/images/I/41ddIrvHP5L._AC_UL320_.jpg")</f>
        <v/>
      </c>
      <c r="K7140" t="inlineStr">
        <is>
          <t>35.99</t>
        </is>
      </c>
      <c r="L7140" t="n">
        <v>24.28</v>
      </c>
      <c r="M7140" s="1" t="inlineStr">
        <is>
          <t>-32.54%</t>
        </is>
      </c>
      <c r="N7140" s="7" t="n"/>
      <c r="O7140" t="n">
        <v>4.8</v>
      </c>
      <c r="P7140" t="n">
        <v>682</v>
      </c>
      <c r="R7140" t="inlineStr">
        <is>
          <t>InStock</t>
        </is>
      </c>
      <c r="S7140" t="inlineStr">
        <is>
          <t>54.54</t>
        </is>
      </c>
      <c r="T7140" t="inlineStr">
        <is>
          <t>4436115554404</t>
        </is>
      </c>
    </row>
    <row r="7141" hidden="1" ht="15.75" customHeight="1">
      <c r="A7141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7141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7141" t="inlineStr">
        <is>
          <t>Klein Tools JTH6E11BE 3/16-Inch Ball Hex Key, Journeyman T-Handle 6-Inch</t>
        </is>
      </c>
      <c r="D7141" t="inlineStr">
        <is>
          <t>Klein Tools JTH6E12BE 7/32-Inch Ball End Hex Key with Journeyman T-Handle,6-Inch</t>
        </is>
      </c>
      <c r="E7141" s="2">
        <f>HYPERLINK("https://www.amazon.com/Journeyman-T-Handle-Klein-Tools-JTH6E12BE/dp/B004QW74L6/ref=sr_1_3?keywords=Klein+Tools+JTH6E11BE+3%2F16-Inch+Ball+Hex+Key%2C+Journeyman+T-Handle+6-Inch&amp;qid=1694735233&amp;sr=8-3", "https://www.amazon.com/Journeyman-T-Handle-Klein-Tools-JTH6E12BE/dp/B004QW74L6/ref=sr_1_3?keywords=Klein+Tools+JTH6E11BE+3%2F16-Inch+Ball+Hex+Key%2C+Journeyman+T-Handle+6-Inch&amp;qid=1694735233&amp;sr=8-3")</f>
        <v/>
      </c>
      <c r="F7141" t="inlineStr">
        <is>
          <t>B004QW74L6</t>
        </is>
      </c>
      <c r="G7141">
        <f>_xludf.IMAGE("https://edmondsonsupply.com/cdn/shop/products/jth6e13be_9dba8a6a-8a07-4d76-a54f-fe57b92b3fea.jpg?v=1610659188")</f>
        <v/>
      </c>
      <c r="H7141">
        <f>_xludf.IMAGE("https://m.media-amazon.com/images/I/51f9vBFVXgL._AC_UL320_.jpg")</f>
        <v/>
      </c>
      <c r="K7141" t="inlineStr">
        <is>
          <t>9.12</t>
        </is>
      </c>
      <c r="L7141" t="n">
        <v>6.15</v>
      </c>
      <c r="M7141" s="1" t="inlineStr">
        <is>
          <t>-32.57%</t>
        </is>
      </c>
      <c r="N7141" s="1" t="n"/>
      <c r="O7141" t="n">
        <v>4.5</v>
      </c>
      <c r="P7141" t="n">
        <v>9</v>
      </c>
      <c r="R7141" t="inlineStr">
        <is>
          <t>InStock</t>
        </is>
      </c>
      <c r="S7141" t="inlineStr">
        <is>
          <t>undefined</t>
        </is>
      </c>
      <c r="T7141" t="inlineStr">
        <is>
          <t>6203917336749</t>
        </is>
      </c>
    </row>
    <row r="7142" ht="87" customHeight="1">
      <c r="A7142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142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142" t="inlineStr">
        <is>
          <t>Milwaukee 48-11-2411 M12 REDLITHIUM™ Compact Battery Two Pack</t>
        </is>
      </c>
      <c r="D7142" t="inlineStr">
        <is>
          <t>Milwaukee (2-Pack) 48-11-2420 M12 REDLITHIUM 2.0 Compact Battery Packs</t>
        </is>
      </c>
      <c r="E7142" s="2">
        <f>HYPERLINK("https://www.amazon.com/Milwaukee-48-11-2420-REDLITHIUM-Compact-Battery/dp/B00IITE2JU/ref=sr_1_4?keywords=Milwaukee+48-11-2411+M12+REDLITHIUM%E2%84%A2+Compact+Battery+Two+Pack&amp;qid=1694735145&amp;sr=8-4", "https://www.amazon.com/Milwaukee-48-11-2420-REDLITHIUM-Compact-Battery/dp/B00IITE2JU/ref=sr_1_4?keywords=Milwaukee+48-11-2411+M12+REDLITHIUM%E2%84%A2+Compact+Battery+Two+Pack&amp;qid=1694735145&amp;sr=8-4")</f>
        <v/>
      </c>
      <c r="F7142" t="inlineStr">
        <is>
          <t>B00IITE2JU</t>
        </is>
      </c>
      <c r="G7142">
        <f>_xlfn.IMAGE("https://edmondsonsupply.com/cdn/shop/products/65014_48-11-2411-lg.jpg?v=1655484824")</f>
        <v/>
      </c>
      <c r="H7142">
        <f>_xlfn.IMAGE("https://m.media-amazon.com/images/I/81jbPQMz4eL._AC_UL320_.jpg")</f>
        <v/>
      </c>
      <c r="K7142" t="inlineStr">
        <is>
          <t>89.0</t>
        </is>
      </c>
      <c r="L7142" t="n">
        <v>60</v>
      </c>
      <c r="M7142" s="1" t="inlineStr">
        <is>
          <t>-32.58%</t>
        </is>
      </c>
      <c r="N7142" s="7" t="n"/>
      <c r="O7142" t="n">
        <v>4.7</v>
      </c>
      <c r="P7142" t="n">
        <v>1360</v>
      </c>
      <c r="R7142" t="inlineStr">
        <is>
          <t>OutOfStock</t>
        </is>
      </c>
      <c r="S7142" t="inlineStr">
        <is>
          <t>150.0</t>
        </is>
      </c>
      <c r="T7142" t="inlineStr">
        <is>
          <t>7721456795864</t>
        </is>
      </c>
    </row>
    <row r="7143" hidden="1" ht="15.75" customHeight="1">
      <c r="A7143" s="2">
        <f>HYPERLINK("https://edmondsonsupply.com/collections/electricians-tools/products/klein-tools-29026-li-ion-battery", "https://edmondsonsupply.com/collections/electricians-tools/products/klein-tools-29026-li-ion-battery")</f>
        <v/>
      </c>
      <c r="B7143" s="2">
        <f>HYPERLINK("https://edmondsonsupply.com/products/klein-tools-29026-li-ion-battery", "https://edmondsonsupply.com/products/klein-tools-29026-li-ion-battery")</f>
        <v/>
      </c>
      <c r="C7143" t="inlineStr">
        <is>
          <t>Klein Tools 29026 Li-Ion Battery</t>
        </is>
      </c>
      <c r="D7143" t="inlineStr">
        <is>
          <t>Klein Tools 29025 Rechargeable Lithium-ion Portable Battery to Power Klein Tools Hard Hat Cooling Fan Cat. No. 60155, Small</t>
        </is>
      </c>
      <c r="E7143" s="2">
        <f>HYPERLINK("https://www.amazon.com/Klein-Tools-29025-Rechargeable-Lithium-ion/dp/B09H3MYQ95/ref=sr_1_2?keywords=Klein+Tools+29026+Li-Ion+Battery&amp;qid=1694735116&amp;sr=8-2", "https://www.amazon.com/Klein-Tools-29025-Rechargeable-Lithium-ion/dp/B09H3MYQ95/ref=sr_1_2?keywords=Klein+Tools+29026+Li-Ion+Battery&amp;qid=1694735116&amp;sr=8-2")</f>
        <v/>
      </c>
      <c r="F7143" t="inlineStr">
        <is>
          <t>B09H3MYQ95</t>
        </is>
      </c>
      <c r="G7143">
        <f>_xludf.IMAGE("https://edmondsonsupply.com/cdn/shop/products/29026.jpg?v=1664476716")</f>
        <v/>
      </c>
      <c r="H7143">
        <f>_xludf.IMAGE("https://m.media-amazon.com/images/I/41+jmEnDWdL._AC_UL320_.jpg")</f>
        <v/>
      </c>
      <c r="K7143" t="inlineStr">
        <is>
          <t>51.99</t>
        </is>
      </c>
      <c r="L7143" t="n">
        <v>34.99</v>
      </c>
      <c r="M7143" s="1" t="inlineStr">
        <is>
          <t>-32.70%</t>
        </is>
      </c>
      <c r="N7143" s="1" t="n"/>
      <c r="O7143" t="n">
        <v>4</v>
      </c>
      <c r="P7143" t="n">
        <v>147</v>
      </c>
      <c r="R7143" t="inlineStr">
        <is>
          <t>InStock</t>
        </is>
      </c>
      <c r="S7143" t="inlineStr">
        <is>
          <t>72.8</t>
        </is>
      </c>
      <c r="T7143" t="inlineStr">
        <is>
          <t>7833819250904</t>
        </is>
      </c>
    </row>
    <row r="7144" ht="87" customHeight="1">
      <c r="A7144" s="2">
        <f>HYPERLINK("https://edmondsonsupply.com/collections/electricians-tools/products/fluke-indc8", "https://edmondsonsupply.com/collections/electricians-tools/products/fluke-indc8")</f>
        <v/>
      </c>
      <c r="B7144" s="2">
        <f>HYPERLINK("https://edmondsonsupply.com/products/fluke-indc8", "https://edmondsonsupply.com/products/fluke-indc8")</f>
        <v/>
      </c>
      <c r="C7144" t="inlineStr">
        <is>
          <t>Fluke INDC8 Insulated High Leverage Diagonal Cutter</t>
        </is>
      </c>
      <c r="D7144" t="inlineStr">
        <is>
          <t>KNIPEX - 74 08 200 US Tools - High Leverage Diagonal Cutters, 1000V Insulated (7408200US)</t>
        </is>
      </c>
      <c r="E7144" s="2">
        <f>HYPERLINK("https://www.amazon.com/KNIPEX-74-08-200-US/dp/B005EXOAKE/ref=sr_1_3?keywords=Fluke+INDC8+Insulated+High+Leverage+Diagonal+Cutter&amp;qid=1694735326&amp;sr=8-3", "https://www.amazon.com/KNIPEX-74-08-200-US/dp/B005EXOAKE/ref=sr_1_3?keywords=Fluke+INDC8+Insulated+High+Leverage+Diagonal+Cutter&amp;qid=1694735326&amp;sr=8-3")</f>
        <v/>
      </c>
      <c r="F7144" t="inlineStr">
        <is>
          <t>B005EXOAKE</t>
        </is>
      </c>
      <c r="G7144">
        <f>_xlfn.IMAGE("https://edmondsonsupply.com/cdn/shop/products/indc8-1.jpg?v=1588886196")</f>
        <v/>
      </c>
      <c r="H7144">
        <f>_xlfn.IMAGE("https://m.media-amazon.com/images/I/51XAaKAgEeL._AC_UL320_.jpg")</f>
        <v/>
      </c>
      <c r="K7144" t="inlineStr">
        <is>
          <t>71.99</t>
        </is>
      </c>
      <c r="L7144" t="n">
        <v>48.42</v>
      </c>
      <c r="M7144" s="1" t="inlineStr">
        <is>
          <t>-32.74%</t>
        </is>
      </c>
      <c r="N7144" s="7" t="n"/>
      <c r="O7144" t="n">
        <v>4.8</v>
      </c>
      <c r="P7144" t="n">
        <v>104</v>
      </c>
      <c r="R7144" t="inlineStr">
        <is>
          <t>OutOfStock</t>
        </is>
      </c>
      <c r="S7144" t="inlineStr">
        <is>
          <t>79.99</t>
        </is>
      </c>
      <c r="T7144" t="inlineStr">
        <is>
          <t>4625639571556</t>
        </is>
      </c>
    </row>
    <row r="7145" ht="87" customHeight="1">
      <c r="A7145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7145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7145" t="inlineStr">
        <is>
          <t>Klein Tools CL320KIT HVAC Digital Clamp Meter Electrical Test Kit</t>
        </is>
      </c>
      <c r="D7145" t="inlineStr">
        <is>
          <t>Klein Tools CL120VP Electrical Voltage Test Kit with Clamp Meter, Three Testers, Test Leads, Pouch and Batteries</t>
        </is>
      </c>
      <c r="E7145" s="2">
        <f>HYPERLINK("https://www.amazon.com/Klein-Tools-CL120VP-Electrical-Batteries/dp/B08N9G3913/ref=sr_1_13?keywords=Klein+Tools+CL320KIT+HVAC+Digital+Clamp+Meter+Electrical+Test+Kit&amp;qid=1694735135&amp;sr=8-13", "https://www.amazon.com/Klein-Tools-CL120VP-Electrical-Batteries/dp/B08N9G3913/ref=sr_1_13?keywords=Klein+Tools+CL320KIT+HVAC+Digital+Clamp+Meter+Electrical+Test+Kit&amp;qid=1694735135&amp;sr=8-13")</f>
        <v/>
      </c>
      <c r="F7145" t="inlineStr">
        <is>
          <t>B08N9G3913</t>
        </is>
      </c>
      <c r="G7145">
        <f>_xlfn.IMAGE("https://edmondsonsupply.com/cdn/shop/products/cl320kit_photo.jpg?v=1660753251")</f>
        <v/>
      </c>
      <c r="H7145">
        <f>_xlfn.IMAGE("https://m.media-amazon.com/images/I/71RCAKCp7CL._AC_UY218_.jpg")</f>
        <v/>
      </c>
      <c r="K7145" t="inlineStr">
        <is>
          <t>118.99</t>
        </is>
      </c>
      <c r="L7145" t="n">
        <v>79.98</v>
      </c>
      <c r="M7145" s="1" t="inlineStr">
        <is>
          <t>-32.78%</t>
        </is>
      </c>
      <c r="N7145" s="7" t="n"/>
      <c r="O7145" t="n">
        <v>4.8</v>
      </c>
      <c r="P7145" t="n">
        <v>2618</v>
      </c>
      <c r="R7145" t="inlineStr">
        <is>
          <t>InStock</t>
        </is>
      </c>
      <c r="S7145" t="inlineStr">
        <is>
          <t>170.54</t>
        </is>
      </c>
      <c r="T7145" t="inlineStr">
        <is>
          <t>7783540949208</t>
        </is>
      </c>
    </row>
    <row r="7146" ht="87" customHeight="1">
      <c r="A7146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7146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7146" t="inlineStr">
        <is>
          <t>Klein Tools CL320KIT HVAC Digital Clamp Meter Electrical Test Kit</t>
        </is>
      </c>
      <c r="D7146" t="inlineStr">
        <is>
          <t>Klein Tools CL600 Electrical Tester, Digital Clamp Meter has Autorange TRMS, Measures AC Current, AC/DC Volts, Resistance, NCVT, More, 1000V</t>
        </is>
      </c>
      <c r="E7146" s="2">
        <f>HYPERLINK("https://www.amazon.com/Auto-Ranging-Resistance-Klein-Tools-CL600/dp/B019QMRR08/ref=sr_1_6?keywords=Klein+Tools+CL320KIT+HVAC+Digital+Clamp+Meter+Electrical+Test+Kit&amp;qid=1694735135&amp;sr=8-6", "https://www.amazon.com/Auto-Ranging-Resistance-Klein-Tools-CL600/dp/B019QMRR08/ref=sr_1_6?keywords=Klein+Tools+CL320KIT+HVAC+Digital+Clamp+Meter+Electrical+Test+Kit&amp;qid=1694735135&amp;sr=8-6")</f>
        <v/>
      </c>
      <c r="F7146" t="inlineStr">
        <is>
          <t>B019QMRR08</t>
        </is>
      </c>
      <c r="G7146">
        <f>_xlfn.IMAGE("https://edmondsonsupply.com/cdn/shop/products/cl320kit_photo.jpg?v=1660753251")</f>
        <v/>
      </c>
      <c r="H7146">
        <f>_xlfn.IMAGE("https://m.media-amazon.com/images/I/710JKvq4MxL._AC_UY218_.jpg")</f>
        <v/>
      </c>
      <c r="K7146" t="inlineStr">
        <is>
          <t>118.99</t>
        </is>
      </c>
      <c r="L7146" t="n">
        <v>79.97</v>
      </c>
      <c r="M7146" s="1" t="inlineStr">
        <is>
          <t>-32.79%</t>
        </is>
      </c>
      <c r="N7146" s="7" t="n"/>
      <c r="O7146" t="n">
        <v>4.7</v>
      </c>
      <c r="P7146" t="n">
        <v>704</v>
      </c>
      <c r="R7146" t="inlineStr">
        <is>
          <t>InStock</t>
        </is>
      </c>
      <c r="S7146" t="inlineStr">
        <is>
          <t>170.54</t>
        </is>
      </c>
      <c r="T7146" t="inlineStr">
        <is>
          <t>7783540949208</t>
        </is>
      </c>
    </row>
    <row r="7147" ht="87" customHeight="1">
      <c r="A7147" s="2">
        <f>HYPERLINK("https://edmondsonsupply.com/collections/electricians-tools/products/crescent-lufkin-l1125b-02-1-3-16-x-25-shockforce-nite-eye%E2%84%A2-g1-dual-sided-tape-measure", "https://edmondsonsupply.com/collections/electricians-tools/products/crescent-lufkin-l1125b-02-1-3-16-x-25-shockforce-nite-eye%E2%84%A2-g1-dual-sided-tape-measure")</f>
        <v/>
      </c>
      <c r="B7147" s="2">
        <f>HYPERLINK("https://edmondsonsupply.com/products/crescent-lufkin-l1125b-02-1-3-16-x-25-shockforce-nite-eye%e2%84%a2-g1-dual-sided-tape-measure", "https://edmondsonsupply.com/products/crescent-lufkin-l1125b-02-1-3-16-x-25-shockforce-nite-eye%e2%84%a2-g1-dual-sided-tape-measure")</f>
        <v/>
      </c>
      <c r="C7147" t="inlineStr">
        <is>
          <t>Crescent Lufkin L1125B-02 1-3/16" x 25' Shockforce Nite Eye™ G1 Dual Sided Tape Measure</t>
        </is>
      </c>
      <c r="D7147" t="inlineStr">
        <is>
          <t>Crescent Lufkin 1-3/16" x 25' Shockforce Nite Eye G1 Dual Sided Tape Measure</t>
        </is>
      </c>
      <c r="E7147" s="2">
        <f>HYPERLINK("https://www.amazon.com/Crescent-Lufkin-Shockforce-Sided-Measure/dp/B09PGZ6FK2/ref=sr_1_1?keywords=Crescent+Lufkin+L1125B-02+1-3%2F16%22+x+25%27+Shockforce+Nite+Eye%E2%84%A2+G1+Dual+Sided+Tape+Measure&amp;qid=1694735020&amp;sr=8-1", "https://www.amazon.com/Crescent-Lufkin-Shockforce-Sided-Measure/dp/B09PGZ6FK2/ref=sr_1_1?keywords=Crescent+Lufkin+L1125B-02+1-3%2F16%22+x+25%27+Shockforce+Nite+Eye%E2%84%A2+G1+Dual+Sided+Tape+Measure&amp;qid=1694735020&amp;sr=8-1")</f>
        <v/>
      </c>
      <c r="F7147" t="inlineStr">
        <is>
          <t>B09PGZ6FK2</t>
        </is>
      </c>
      <c r="G7147">
        <f>_xlfn.IMAGE("https://edmondsonsupply.com/cdn/shop/products/LFK_L1125B_MAIN.jpg?v=1679579190")</f>
        <v/>
      </c>
      <c r="H7147">
        <f>_xlfn.IMAGE("https://m.media-amazon.com/images/I/91b93u8vVJL._AC_UL320_.jpg")</f>
        <v/>
      </c>
      <c r="K7147" t="inlineStr">
        <is>
          <t>32.75</t>
        </is>
      </c>
      <c r="L7147" t="n">
        <v>21.98</v>
      </c>
      <c r="M7147" s="1" t="inlineStr">
        <is>
          <t>-32.89%</t>
        </is>
      </c>
      <c r="N7147" s="7" t="n"/>
      <c r="O7147" t="n">
        <v>4.2</v>
      </c>
      <c r="P7147" t="n">
        <v>326</v>
      </c>
      <c r="R7147" t="inlineStr">
        <is>
          <t>InStock</t>
        </is>
      </c>
      <c r="S7147" t="inlineStr">
        <is>
          <t>59.92</t>
        </is>
      </c>
      <c r="T7147" t="inlineStr">
        <is>
          <t>7965935501528</t>
        </is>
      </c>
    </row>
    <row r="7148" ht="87" customHeight="1">
      <c r="A7148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148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148" t="inlineStr">
        <is>
          <t>Klein Tools 11055RINS Insulated Klein-Kurve® Wire Stripper and Cutter</t>
        </is>
      </c>
      <c r="D7148" t="inlineStr">
        <is>
          <t>Klein Tools K11095 Klein-Kurve Wire Stripper and Cutter, for 8-18 AWG Solid and 10-20 AWG Stranded Wire,Blue/White</t>
        </is>
      </c>
      <c r="E7148" s="2">
        <f>HYPERLINK("https://www.amazon.com/Klein-Tools-K11095-Klein-Kurve-Stripper/dp/B08TQ83P2C/ref=sr_1_9?keywords=Klein+Tools+11055RINS+Insulated+Klein-Kurve%C2%AE+Wire+Stripper+and+Cutter&amp;qid=1694735096&amp;sr=8-9", "https://www.amazon.com/Klein-Tools-K11095-Klein-Kurve-Stripper/dp/B08TQ83P2C/ref=sr_1_9?keywords=Klein+Tools+11055RINS+Insulated+Klein-Kurve%C2%AE+Wire+Stripper+and+Cutter&amp;qid=1694735096&amp;sr=8-9")</f>
        <v/>
      </c>
      <c r="F7148" t="inlineStr">
        <is>
          <t>B08TQ83P2C</t>
        </is>
      </c>
      <c r="G7148">
        <f>_xlfn.IMAGE("https://edmondsonsupply.com/cdn/shop/products/11055rins.jpg?v=1667236979")</f>
        <v/>
      </c>
      <c r="H7148">
        <f>_xlfn.IMAGE("https://m.media-amazon.com/images/I/5180XMjuiIL._AC_UL320_.jpg")</f>
        <v/>
      </c>
      <c r="K7148" t="inlineStr">
        <is>
          <t>29.97</t>
        </is>
      </c>
      <c r="L7148" t="n">
        <v>20.09</v>
      </c>
      <c r="M7148" s="1" t="inlineStr">
        <is>
          <t>-32.97%</t>
        </is>
      </c>
      <c r="N7148" s="7" t="n"/>
      <c r="O7148" t="n">
        <v>4.8</v>
      </c>
      <c r="P7148" t="n">
        <v>438</v>
      </c>
      <c r="R7148" t="inlineStr">
        <is>
          <t>InStock</t>
        </is>
      </c>
      <c r="S7148" t="inlineStr">
        <is>
          <t>41.98</t>
        </is>
      </c>
      <c r="T7148" t="inlineStr">
        <is>
          <t>7871527813336</t>
        </is>
      </c>
    </row>
    <row r="7149" ht="87" customHeight="1">
      <c r="A7149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7149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7149" t="inlineStr">
        <is>
          <t>Diablo Tools DMAMX1130 3/4 in. x 8 in. x 13 in. Rebar Demon™ SDS‑Max 4‑Cutter Full Carbide Head Hammer Bit</t>
        </is>
      </c>
      <c r="D7149" t="inlineStr">
        <is>
          <t>Diablo by Freud DMAPL4270 27/32 in. x 8 in. x 10 in. Rebar Demon SDS-Plus 4-Cutter Full Carbide Head Hammer Bit</t>
        </is>
      </c>
      <c r="E7149" s="2">
        <f>HYPERLINK("https://www.amazon.com/Diablo-Freud-DMAPL4270-SDS-Plus-4-Cutter/dp/B089KXBGLM/ref=sr_1_42?keywords=Diablo+Tools+DMAMX1130+3%2F4+in.+x+8+in.+x+13+in.+Rebar+Demon%E2%84%A2+SDS%E2%80%91Max+4%E2%80%91Cutter+Full+Carbide+Head+Hammer+Bit&amp;qid=1694735267&amp;sr=8-42", "https://www.amazon.com/Diablo-Freud-DMAPL4270-SDS-Plus-4-Cutter/dp/B089KXBGLM/ref=sr_1_42?keywords=Diablo+Tools+DMAMX1130+3%2F4+in.+x+8+in.+x+13+in.+Rebar+Demon%E2%84%A2+SDS%E2%80%91Max+4%E2%80%91Cutter+Full+Carbide+Head+Hammer+Bit&amp;qid=1694735267&amp;sr=8-42")</f>
        <v/>
      </c>
      <c r="F7149" t="inlineStr">
        <is>
          <t>B089KXBGLM</t>
        </is>
      </c>
      <c r="G7149">
        <f>_xlfn.IMAGE("https://edmondsonsupply.com/cdn/shop/products/DMAMX1130_Main-Image20200701.png?v=1633030568")</f>
        <v/>
      </c>
      <c r="H7149">
        <f>_xlfn.IMAGE("https://m.media-amazon.com/images/I/611A6sphG9L._AC_UL320_.jpg")</f>
        <v/>
      </c>
      <c r="K7149" t="inlineStr">
        <is>
          <t>44.97</t>
        </is>
      </c>
      <c r="L7149" t="n">
        <v>30.13</v>
      </c>
      <c r="M7149" s="1" t="inlineStr">
        <is>
          <t>-33.00%</t>
        </is>
      </c>
      <c r="N7149" s="7" t="n"/>
      <c r="O7149" t="n">
        <v>5</v>
      </c>
      <c r="P7149" t="n">
        <v>2</v>
      </c>
      <c r="R7149" t="inlineStr">
        <is>
          <t>InStock</t>
        </is>
      </c>
      <c r="S7149" t="inlineStr">
        <is>
          <t>46.26</t>
        </is>
      </c>
      <c r="T7149" t="inlineStr">
        <is>
          <t>5463880925352</t>
        </is>
      </c>
    </row>
    <row r="7150" ht="87" customHeight="1">
      <c r="A7150" s="2">
        <f>HYPERLINK("https://edmondsonsupply.com/collections/electricians-tools/products/diablo-tools-dou3cs-3-pc-universal-fit-carbide-oscillating-blade-set", "https://edmondsonsupply.com/collections/electricians-tools/products/diablo-tools-dou3cs-3-pc-universal-fit-carbide-oscillating-blade-set")</f>
        <v/>
      </c>
      <c r="B7150" s="2">
        <f>HYPERLINK("https://edmondsonsupply.com/products/diablo-tools-dou3cs-3-pc-universal-fit-carbide-oscillating-blade-set", "https://edmondsonsupply.com/products/diablo-tools-dou3cs-3-pc-universal-fit-carbide-oscillating-blade-set")</f>
        <v/>
      </c>
      <c r="C7150" t="inlineStr">
        <is>
          <t>Diablo Tools DOU3CS 3 pc Universal Fit Carbide Oscillating Blade Set</t>
        </is>
      </c>
      <c r="D7150" t="inlineStr">
        <is>
          <t>Diablo by Freud DOU3BS 3 pc Universal Fit Bi-Metal Oscillating Blade Set (3-Piece)</t>
        </is>
      </c>
      <c r="E7150" s="2">
        <f>HYPERLINK("https://www.amazon.com/Diablo-Freud-DOU3BS-Universal-Oscillating/dp/B089LKV4R1/ref=sr_1_3?keywords=Diablo+Tools+DOU3CS+3+pc+Universal+Fit+Carbide+Oscillating+Blade+Set&amp;qid=1694734997&amp;sr=8-3", "https://www.amazon.com/Diablo-Freud-DOU3BS-Universal-Oscillating/dp/B089LKV4R1/ref=sr_1_3?keywords=Diablo+Tools+DOU3CS+3+pc+Universal+Fit+Carbide+Oscillating+Blade+Set&amp;qid=1694734997&amp;sr=8-3")</f>
        <v/>
      </c>
      <c r="F7150" t="inlineStr">
        <is>
          <t>B089LKV4R1</t>
        </is>
      </c>
      <c r="G7150">
        <f>_xlfn.IMAGE("https://edmondsonsupply.com/cdn/shop/files/xyfhzl826p3zscosyxtm.webp?v=1685721758")</f>
        <v/>
      </c>
      <c r="H7150">
        <f>_xlfn.IMAGE("https://m.media-amazon.com/images/I/71Kp5BKb9OL._AC_UL320_.jpg")</f>
        <v/>
      </c>
      <c r="K7150" t="inlineStr">
        <is>
          <t>44.97</t>
        </is>
      </c>
      <c r="L7150" t="n">
        <v>30.11</v>
      </c>
      <c r="M7150" s="1" t="inlineStr">
        <is>
          <t>-33.04%</t>
        </is>
      </c>
      <c r="N7150" s="7" t="n"/>
      <c r="O7150" t="n">
        <v>4.5</v>
      </c>
      <c r="P7150" t="n">
        <v>28</v>
      </c>
      <c r="R7150" t="inlineStr">
        <is>
          <t>InStock</t>
        </is>
      </c>
      <c r="S7150" t="inlineStr">
        <is>
          <t>76.19</t>
        </is>
      </c>
      <c r="T7150" t="inlineStr">
        <is>
          <t>7999595217112</t>
        </is>
      </c>
    </row>
    <row r="7151" ht="87" customHeight="1">
      <c r="A7151" s="2">
        <f>HYPERLINK("https://edmondsonsupply.com/collections/electricians-tools/products/crescent-wiss-ws4n-3-offset-handle-hand-seamer", "https://edmondsonsupply.com/collections/electricians-tools/products/crescent-wiss-ws4n-3-offset-handle-hand-seamer")</f>
        <v/>
      </c>
      <c r="B7151" s="2">
        <f>HYPERLINK("https://edmondsonsupply.com/products/crescent-wiss-ws4n-3-offset-handle-hand-seamer", "https://edmondsonsupply.com/products/crescent-wiss-ws4n-3-offset-handle-hand-seamer")</f>
        <v/>
      </c>
      <c r="C7151" t="inlineStr">
        <is>
          <t>Crescent Wiss WS4N 3" Offset Handle Hand Seamer</t>
        </is>
      </c>
      <c r="D7151" t="inlineStr">
        <is>
          <t>Crescent Wiss 3" Straight Handle Hand Seamer - WS3N</t>
        </is>
      </c>
      <c r="E7151" s="2">
        <f>HYPERLINK("https://www.amazon.com/Wiss-WS3N-Straight-Handle-Seamer/dp/B0711SV5KP/ref=sr_1_2?keywords=Crescent+Wiss+WS4N+3%22+Offset+Handle+Hand+Seamer&amp;qid=1694735003&amp;sr=8-2", "https://www.amazon.com/Wiss-WS3N-Straight-Handle-Seamer/dp/B0711SV5KP/ref=sr_1_2?keywords=Crescent+Wiss+WS4N+3%22+Offset+Handle+Hand+Seamer&amp;qid=1694735003&amp;sr=8-2")</f>
        <v/>
      </c>
      <c r="F7151" t="inlineStr">
        <is>
          <t>B0711SV5KP</t>
        </is>
      </c>
      <c r="G7151">
        <f>_xlfn.IMAGE("https://edmondsonsupply.com/cdn/shop/products/WIS_WS4N_IMG-MAIN.jpg?v=1679679084")</f>
        <v/>
      </c>
      <c r="H7151">
        <f>_xlfn.IMAGE("https://m.media-amazon.com/images/I/61If78TftlL._AC_UL320_.jpg")</f>
        <v/>
      </c>
      <c r="K7151" t="inlineStr">
        <is>
          <t>52.33</t>
        </is>
      </c>
      <c r="L7151" t="n">
        <v>34.99</v>
      </c>
      <c r="M7151" s="1" t="inlineStr">
        <is>
          <t>-33.14%</t>
        </is>
      </c>
      <c r="N7151" s="7" t="n"/>
      <c r="O7151" t="n">
        <v>4.4</v>
      </c>
      <c r="P7151" t="n">
        <v>173</v>
      </c>
      <c r="R7151" t="inlineStr">
        <is>
          <t>InStock</t>
        </is>
      </c>
      <c r="S7151" t="inlineStr">
        <is>
          <t>93.99</t>
        </is>
      </c>
      <c r="T7151" t="inlineStr">
        <is>
          <t>7966406836440</t>
        </is>
      </c>
    </row>
    <row r="7152" hidden="1" ht="15.75" customHeight="1">
      <c r="A7152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152" s="2">
        <f>HYPERLINK("https://edmondsonsupply.com/products/klein-tools-32500mag-11-in-1-magnetic-screwdriver-nut-driver", "https://edmondsonsupply.com/products/klein-tools-32500mag-11-in-1-magnetic-screwdriver-nut-driver")</f>
        <v/>
      </c>
      <c r="C7152" t="inlineStr">
        <is>
          <t>Klein Tools 32500MAG 11-in-1 Magnetic Screwdriver / Nut Driver</t>
        </is>
      </c>
      <c r="D7152" t="inlineStr">
        <is>
          <t>Liphontcta Klein Tools 32500 11-in-1 Screwdriver/Nut</t>
        </is>
      </c>
      <c r="E7152" s="2">
        <f>HYPERLINK("https://www.amazon.com/Klein-Tools-32500-11-Screwdriver/dp/B00ECX02LS/ref=sr_1_21?keywords=Klein+Tools+32500MAG+11-in-1+Magnetic+Screwdriver+%2F+Nut+Driver&amp;qid=1694735235&amp;sr=8-21", "https://www.amazon.com/Klein-Tools-32500-11-Screwdriver/dp/B00ECX02LS/ref=sr_1_21?keywords=Klein+Tools+32500MAG+11-in-1+Magnetic+Screwdriver+%2F+Nut+Driver&amp;qid=1694735235&amp;sr=8-21")</f>
        <v/>
      </c>
      <c r="F7152" t="inlineStr">
        <is>
          <t>B00ECX02LS</t>
        </is>
      </c>
      <c r="G7152">
        <f>_xludf.IMAGE("https://edmondsonsupply.com/cdn/shop/products/32500mag.jpg?v=1633030832")</f>
        <v/>
      </c>
      <c r="H7152">
        <f>_xludf.IMAGE("https://m.media-amazon.com/images/I/71qtCyv53yL._AC_UL320_.jpg")</f>
        <v/>
      </c>
      <c r="K7152" t="inlineStr">
        <is>
          <t>20.97</t>
        </is>
      </c>
      <c r="L7152" t="n">
        <v>14</v>
      </c>
      <c r="M7152" s="1" t="inlineStr">
        <is>
          <t>-33.24%</t>
        </is>
      </c>
      <c r="N7152" s="1" t="n"/>
      <c r="O7152" t="n">
        <v>4.7</v>
      </c>
      <c r="P7152" t="n">
        <v>397</v>
      </c>
      <c r="R7152" t="inlineStr">
        <is>
          <t>InStock</t>
        </is>
      </c>
      <c r="S7152" t="inlineStr">
        <is>
          <t>29.38</t>
        </is>
      </c>
      <c r="T7152" t="inlineStr">
        <is>
          <t>6082199814317</t>
        </is>
      </c>
    </row>
    <row r="7153" hidden="1" ht="15.75" customHeight="1">
      <c r="A7153" s="2">
        <f>HYPERLINK("https://edmondsonsupply.com/collections/electricians-tools/products/diablo-tools-d0624x-6-1-2-in-24-tooth-framing-saw-blade", "https://edmondsonsupply.com/collections/electricians-tools/products/diablo-tools-d0624x-6-1-2-in-24-tooth-framing-saw-blade")</f>
        <v/>
      </c>
      <c r="B7153" s="2">
        <f>HYPERLINK("https://edmondsonsupply.com/products/diablo-tools-d0624x-6-1-2-in-24-tooth-framing-saw-blade", "https://edmondsonsupply.com/products/diablo-tools-d0624x-6-1-2-in-24-tooth-framing-saw-blade")</f>
        <v/>
      </c>
      <c r="C7153" t="inlineStr">
        <is>
          <t>Diablo Tools D0624X 6-1/2 in. 24-Tooth Framing Saw Blade</t>
        </is>
      </c>
      <c r="D7153" t="inlineStr">
        <is>
          <t>RIDONG 6-1/2 Inch Circular Saw Blade, 24-Tooth with 5/8" Arbor ATB Framing Saw Blade for Cutting Wood (6.5" 1-Pack)</t>
        </is>
      </c>
      <c r="E7153" s="2">
        <f>HYPERLINK("https://www.amazon.com/RIDONG-24-Tooth-Framing-Circular-Laminate/dp/B092QJK28X/ref=sr_1_13?keywords=Diablo+Tools+D0624X+6-1%2F2+in.+24-Tooth+Framing+Saw+Blade&amp;qid=1694735025&amp;sr=8-13", "https://www.amazon.com/RIDONG-24-Tooth-Framing-Circular-Laminate/dp/B092QJK28X/ref=sr_1_13?keywords=Diablo+Tools+D0624X+6-1%2F2+in.+24-Tooth+Framing+Saw+Blade&amp;qid=1694735025&amp;sr=8-13")</f>
        <v/>
      </c>
      <c r="F7153" t="inlineStr">
        <is>
          <t>B092QJK28X</t>
        </is>
      </c>
      <c r="G7153">
        <f>_xludf.IMAGE("https://edmondsonsupply.com/cdn/shop/products/mfin0gl4ono6qztsnrth.webp?v=1678982694")</f>
        <v/>
      </c>
      <c r="H7153">
        <f>_xludf.IMAGE("https://m.media-amazon.com/images/I/816IV9I9M9L._AC_UL320_.jpg")</f>
        <v/>
      </c>
      <c r="K7153" t="inlineStr">
        <is>
          <t>11.97</t>
        </is>
      </c>
      <c r="L7153" t="n">
        <v>7.99</v>
      </c>
      <c r="M7153" s="1" t="inlineStr">
        <is>
          <t>-33.25%</t>
        </is>
      </c>
      <c r="N7153" s="1" t="n"/>
      <c r="O7153" t="n">
        <v>4.3</v>
      </c>
      <c r="P7153" t="n">
        <v>220</v>
      </c>
      <c r="R7153" t="inlineStr">
        <is>
          <t>InStock</t>
        </is>
      </c>
      <c r="S7153" t="inlineStr">
        <is>
          <t>17.38</t>
        </is>
      </c>
      <c r="T7153" t="inlineStr">
        <is>
          <t>7962732855512</t>
        </is>
      </c>
    </row>
    <row r="7154" ht="87" customHeight="1">
      <c r="A7154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154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154" t="inlineStr">
        <is>
          <t>Klein Tools 11055RINS Insulated Klein-Kurve® Wire Stripper and Cutter</t>
        </is>
      </c>
      <c r="D7154" t="inlineStr">
        <is>
          <t>Klein Tools 11055 Wire Cutter and Wire Stripper, Stranded Wire Cutter, Solid Wire Cutter, Cuts Copper Wire</t>
        </is>
      </c>
      <c r="E7154" s="2">
        <f>HYPERLINK("https://www.amazon.com/Klein-Tools-Cutter-Stripper-Stranded/dp/B00080DPNQ/ref=sr_1_12?keywords=Klein+Tools+11055RINS+Insulated+Klein-Kurve%C2%AE+Wire+Stripper+and+Cutter&amp;qid=1694735096&amp;sr=8-12", "https://www.amazon.com/Klein-Tools-Cutter-Stripper-Stranded/dp/B00080DPNQ/ref=sr_1_12?keywords=Klein+Tools+11055RINS+Insulated+Klein-Kurve%C2%AE+Wire+Stripper+and+Cutter&amp;qid=1694735096&amp;sr=8-12")</f>
        <v/>
      </c>
      <c r="F7154" t="inlineStr">
        <is>
          <t>B00080DPNQ</t>
        </is>
      </c>
      <c r="G7154">
        <f>_xlfn.IMAGE("https://edmondsonsupply.com/cdn/shop/products/11055rins.jpg?v=1667236979")</f>
        <v/>
      </c>
      <c r="H7154">
        <f>_xlfn.IMAGE("https://m.media-amazon.com/images/I/51vtDdpy8vL._AC_UL320_.jpg")</f>
        <v/>
      </c>
      <c r="K7154" t="inlineStr">
        <is>
          <t>29.97</t>
        </is>
      </c>
      <c r="L7154" t="n">
        <v>19.99</v>
      </c>
      <c r="M7154" s="1" t="inlineStr">
        <is>
          <t>-33.30%</t>
        </is>
      </c>
      <c r="N7154" s="7" t="n"/>
      <c r="O7154" t="n">
        <v>4.8</v>
      </c>
      <c r="P7154" t="n">
        <v>7578</v>
      </c>
      <c r="R7154" t="inlineStr">
        <is>
          <t>InStock</t>
        </is>
      </c>
      <c r="S7154" t="inlineStr">
        <is>
          <t>41.98</t>
        </is>
      </c>
      <c r="T7154" t="inlineStr">
        <is>
          <t>7871527813336</t>
        </is>
      </c>
    </row>
    <row r="7155" ht="87" customHeight="1">
      <c r="A7155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7155" s="2">
        <f>HYPERLINK("https://edmondsonsupply.com/products/klein-tools-32900-7-in-1-impact-flip-socket-with-handle", "https://edmondsonsupply.com/products/klein-tools-32900-7-in-1-impact-flip-socket-with-handle")</f>
        <v/>
      </c>
      <c r="C7155" t="inlineStr">
        <is>
          <t>Klein Tools 32900 7-in-1 Impact Flip Socket with Handle</t>
        </is>
      </c>
      <c r="D7155" t="inlineStr">
        <is>
          <t>Klein Tools 32907 Impact Driver, 7-in-1 Impact Flip Socket Set, 6 Hex Driver Sizes plus a 1/4-Inch Bit Holder</t>
        </is>
      </c>
      <c r="E7155" s="2">
        <f>HYPERLINK("https://www.amazon.com/Impact-Driver-Klein-Tools-32907/dp/B09NX72765/ref=sr_1_7?keywords=Klein+Tools+32900+7-in-1+Impact+Flip+Socket+with+Handle&amp;qid=1694735103&amp;sr=8-7", "https://www.amazon.com/Impact-Driver-Klein-Tools-32907/dp/B09NX72765/ref=sr_1_7?keywords=Klein+Tools+32900+7-in-1+Impact+Flip+Socket+with+Handle&amp;qid=1694735103&amp;sr=8-7")</f>
        <v/>
      </c>
      <c r="F7155" t="inlineStr">
        <is>
          <t>B09NX72765</t>
        </is>
      </c>
      <c r="G7155">
        <f>_xlfn.IMAGE("https://edmondsonsupply.com/cdn/shop/products/32900_b.jpg?v=1666024787")</f>
        <v/>
      </c>
      <c r="H7155">
        <f>_xlfn.IMAGE("https://m.media-amazon.com/images/I/410Fk4FReRL._AC_UL320_.jpg")</f>
        <v/>
      </c>
      <c r="K7155" t="inlineStr">
        <is>
          <t>29.97</t>
        </is>
      </c>
      <c r="L7155" t="n">
        <v>19.99</v>
      </c>
      <c r="M7155" s="1" t="inlineStr">
        <is>
          <t>-33.30%</t>
        </is>
      </c>
      <c r="N7155" s="7" t="n"/>
      <c r="O7155" t="n">
        <v>4.6</v>
      </c>
      <c r="P7155" t="n">
        <v>5122</v>
      </c>
      <c r="R7155" t="inlineStr">
        <is>
          <t>InStock</t>
        </is>
      </c>
      <c r="S7155" t="inlineStr">
        <is>
          <t>45.0</t>
        </is>
      </c>
      <c r="T7155" t="inlineStr">
        <is>
          <t>7856651239640</t>
        </is>
      </c>
    </row>
    <row r="7156" ht="87" customHeight="1">
      <c r="A7156" s="2">
        <f>HYPERLINK("https://edmondsonsupply.com/collections/electricians-tools/products/klein-tools-9225-tape-measure-25-foot-magnetic-double-hook", "https://edmondsonsupply.com/collections/electricians-tools/products/klein-tools-9225-tape-measure-25-foot-magnetic-double-hook")</f>
        <v/>
      </c>
      <c r="B7156" s="2">
        <f>HYPERLINK("https://edmondsonsupply.com/products/klein-tools-9225-tape-measure-25-foot-magnetic-double-hook", "https://edmondsonsupply.com/products/klein-tools-9225-tape-measure-25-foot-magnetic-double-hook")</f>
        <v/>
      </c>
      <c r="C7156" t="inlineStr">
        <is>
          <t>Klein Tools 9225 Tape Measure, 25-Foot Magnetic Double-Hook</t>
        </is>
      </c>
      <c r="D7156" t="inlineStr">
        <is>
          <t>Klein Tools 9125 Tape Measure, Heavy-Duty Measuring Tape with 25-Foot Single-Hook Nylon Reinforced Blade, With Metal Belt Clip</t>
        </is>
      </c>
      <c r="E7156" s="2">
        <f>HYPERLINK("https://www.amazon.com/Klein-Tools-Measure-25-Foot-Single-Hook/dp/B07WHFFY72/ref=sr_1_12?keywords=Klein+Tools+9225+Tape+Measure%2C+25-Foot+Magnetic+Double-Hook&amp;qid=1694735384&amp;sr=8-12", "https://www.amazon.com/Klein-Tools-Measure-25-Foot-Single-Hook/dp/B07WHFFY72/ref=sr_1_12?keywords=Klein+Tools+9225+Tape+Measure%2C+25-Foot+Magnetic+Double-Hook&amp;qid=1694735384&amp;sr=8-12")</f>
        <v/>
      </c>
      <c r="F7156" t="inlineStr">
        <is>
          <t>B07WHFFY72</t>
        </is>
      </c>
      <c r="G7156">
        <f>_xlfn.IMAGE("https://edmondsonsupply.com/cdn/shop/products/9225_photo.jpg?v=1587146541")</f>
        <v/>
      </c>
      <c r="H7156">
        <f>_xlfn.IMAGE("https://m.media-amazon.com/images/I/511koRoby5L._AC_UL320_.jpg")</f>
        <v/>
      </c>
      <c r="K7156" t="inlineStr">
        <is>
          <t>29.97</t>
        </is>
      </c>
      <c r="L7156" t="n">
        <v>19.99</v>
      </c>
      <c r="M7156" s="1" t="inlineStr">
        <is>
          <t>-33.30%</t>
        </is>
      </c>
      <c r="N7156" s="7" t="n"/>
      <c r="O7156" t="n">
        <v>4.4</v>
      </c>
      <c r="P7156" t="n">
        <v>245</v>
      </c>
      <c r="R7156" t="inlineStr">
        <is>
          <t>InStock</t>
        </is>
      </c>
      <c r="S7156" t="inlineStr">
        <is>
          <t>37.02</t>
        </is>
      </c>
      <c r="T7156" t="inlineStr">
        <is>
          <t>4411542175844</t>
        </is>
      </c>
    </row>
    <row r="7157" ht="87" customHeight="1">
      <c r="A7157" s="2">
        <f>HYPERLINK("https://edmondsonsupply.com/collections/electricians-tools/products/fluke-62-max-handheld-infrared-laser-thermometer", "https://edmondsonsupply.com/collections/electricians-tools/products/fluke-62-max-handheld-infrared-laser-thermometer")</f>
        <v/>
      </c>
      <c r="B7157" s="2">
        <f>HYPERLINK("https://edmondsonsupply.com/products/fluke-62-max-handheld-infrared-laser-thermometer", "https://edmondsonsupply.com/products/fluke-62-max-handheld-infrared-laser-thermometer")</f>
        <v/>
      </c>
      <c r="C7157" t="inlineStr">
        <is>
          <t>Fluke 62 MAX+ Handheld Infrared Laser Thermometer</t>
        </is>
      </c>
      <c r="D7157" t="inlineStr">
        <is>
          <t>Fluke 62 Max Industrial Infrared Thermometer, -22 to +932 Degree F Range, Single Laser Targeting, 10:1 Distance To Spot Ratio, IP54 Rating, Includes 3 Year Warranty, (Not For Human Temp)</t>
        </is>
      </c>
      <c r="E7157" s="2">
        <f>HYPERLINK("https://www.amazon.com/Fluke-MAX-Thermometer-Contact-Degree/dp/B008EW837S/ref=sr_1_1?keywords=Fluke+62+MAX+Handheld+Infrared+Laser+Thermometer&amp;qid=1694735180&amp;sr=8-1", "https://www.amazon.com/Fluke-MAX-Thermometer-Contact-Degree/dp/B008EW837S/ref=sr_1_1?keywords=Fluke+62+MAX+Handheld+Infrared+Laser+Thermometer&amp;qid=1694735180&amp;sr=8-1")</f>
        <v/>
      </c>
      <c r="F7157" t="inlineStr">
        <is>
          <t>B008EW837S</t>
        </is>
      </c>
      <c r="G7157">
        <f>_xlfn.IMAGE("https://edmondsonsupply.com/cdn/shop/products/Fluke_62_MAX__back_499x1024px_E_NR-18387.jpg?v=1633031180")</f>
        <v/>
      </c>
      <c r="H7157">
        <f>_xlfn.IMAGE("https://m.media-amazon.com/images/I/51QB7aenW8L._AC_UY218_.jpg")</f>
        <v/>
      </c>
      <c r="K7157" t="inlineStr">
        <is>
          <t>179.99</t>
        </is>
      </c>
      <c r="L7157" t="n">
        <v>120.05</v>
      </c>
      <c r="M7157" s="1" t="inlineStr">
        <is>
          <t>-33.30%</t>
        </is>
      </c>
      <c r="N7157" s="7" t="n"/>
      <c r="O7157" t="n">
        <v>4.7</v>
      </c>
      <c r="P7157" t="n">
        <v>1708</v>
      </c>
      <c r="R7157" t="inlineStr">
        <is>
          <t>InStock</t>
        </is>
      </c>
      <c r="S7157" t="inlineStr">
        <is>
          <t>199.99</t>
        </is>
      </c>
      <c r="T7157" t="inlineStr">
        <is>
          <t>6918056050861</t>
        </is>
      </c>
    </row>
    <row r="7158" ht="87" customHeight="1">
      <c r="A7158" s="2">
        <f>HYPERLINK("https://edmondsonsupply.com/collections/electricians-tools/products/klein-tools-ktsb15-step-drill-bit-15-double-fluted-7-8-to-1-3-8-inch", "https://edmondsonsupply.com/collections/electricians-tools/products/klein-tools-ktsb15-step-drill-bit-15-double-fluted-7-8-to-1-3-8-inch")</f>
        <v/>
      </c>
      <c r="B7158" s="2">
        <f>HYPERLINK("https://edmondsonsupply.com/products/klein-tools-ktsb15-step-drill-bit-15-double-fluted-7-8-to-1-3-8-inch", "https://edmondsonsupply.com/products/klein-tools-ktsb15-step-drill-bit-15-double-fluted-7-8-to-1-3-8-inch")</f>
        <v/>
      </c>
      <c r="C7158" t="inlineStr">
        <is>
          <t>Klein Tools KTSB15 Step Drill Bit #15 Double Fluted 7/8 to 1-3/8-Inch</t>
        </is>
      </c>
      <c r="D7158" t="inlineStr">
        <is>
          <t>Klein Tools 25960 Step Drill Bit, 7/8 to 1-3/8-Inch, Spiral Double-Fluted, Cut Thin Metal, Plastic, Aluminum, Wood, 1/4-Inch Hex Shank, VACO</t>
        </is>
      </c>
      <c r="E7158" s="2">
        <f>HYPERLINK("https://www.amazon.com/Klein-Tools-25960-Double-Fluted-Aluminum/dp/B0BLDMH5R8/ref=sr_1_4?keywords=Klein+Tools+KTSB15+Step+Drill+Bit+%2315+Double+Fluted+7%2F8+to+1-3%2F8-Inch&amp;qid=1694735232&amp;sr=8-4", "https://www.amazon.com/Klein-Tools-25960-Double-Fluted-Aluminum/dp/B0BLDMH5R8/ref=sr_1_4?keywords=Klein+Tools+KTSB15+Step+Drill+Bit+%2315+Double+Fluted+7%2F8+to+1-3%2F8-Inch&amp;qid=1694735232&amp;sr=8-4")</f>
        <v/>
      </c>
      <c r="F7158" t="inlineStr">
        <is>
          <t>B0BLDMH5R8</t>
        </is>
      </c>
      <c r="G7158">
        <f>_xlfn.IMAGE("https://edmondsonsupply.com/cdn/shop/products/ktsb15.jpg?v=1633030886")</f>
        <v/>
      </c>
      <c r="H7158">
        <f>_xlfn.IMAGE("https://m.media-amazon.com/images/I/51d0gnaA58L._AC_UY218_.jpg")</f>
        <v/>
      </c>
      <c r="K7158" t="inlineStr">
        <is>
          <t>59.97</t>
        </is>
      </c>
      <c r="L7158" t="n">
        <v>39.99</v>
      </c>
      <c r="M7158" s="1" t="inlineStr">
        <is>
          <t>-33.32%</t>
        </is>
      </c>
      <c r="N7158" s="7" t="n"/>
      <c r="O7158" t="n">
        <v>5</v>
      </c>
      <c r="P7158" t="n">
        <v>6</v>
      </c>
      <c r="R7158" t="inlineStr">
        <is>
          <t>InStock</t>
        </is>
      </c>
      <c r="S7158" t="inlineStr">
        <is>
          <t>81.96</t>
        </is>
      </c>
      <c r="T7158" t="inlineStr">
        <is>
          <t>6217390424237</t>
        </is>
      </c>
    </row>
    <row r="7159" ht="87" customHeight="1">
      <c r="A7159" s="2">
        <f>HYPERLINK("https://edmondsonsupply.com/collections/electricians-tools/products/klein-tools-93pll-rechargeable-self-leveling-green-planar-laser-level", "https://edmondsonsupply.com/collections/electricians-tools/products/klein-tools-93pll-rechargeable-self-leveling-green-planar-laser-level")</f>
        <v/>
      </c>
      <c r="B7159" s="2">
        <f>HYPERLINK("https://edmondsonsupply.com/products/klein-tools-93pll-rechargeable-self-leveling-green-planar-laser-level", "https://edmondsonsupply.com/products/klein-tools-93pll-rechargeable-self-leveling-green-planar-laser-level")</f>
        <v/>
      </c>
      <c r="C7159" t="inlineStr">
        <is>
          <t>Klein Tools 93PLL Rechargeable Self-Leveling Green Planar Laser Level</t>
        </is>
      </c>
      <c r="D7159" t="inlineStr">
        <is>
          <t>Klein Tools 93LCLG Laser Level, Self Leveling, Hi-Viz Green Cross Line Level with Red Plumb Spot and Magnetic Mounting Clamp</t>
        </is>
      </c>
      <c r="E7159" s="2">
        <f>HYPERLINK("https://www.amazon.com/Klein-Tools-93LCLG-Cross-Line-Leveling/dp/B0866NY3NW/ref=sr_1_3?keywords=Klein+Tools+93PLL+Rechargeable+Self-Leveling+Green+Planar+Laser+Level&amp;qid=1694735109&amp;sr=8-3", "https://www.amazon.com/Klein-Tools-93LCLG-Cross-Line-Leveling/dp/B0866NY3NW/ref=sr_1_3?keywords=Klein+Tools+93PLL+Rechargeable+Self-Leveling+Green+Planar+Laser+Level&amp;qid=1694735109&amp;sr=8-3")</f>
        <v/>
      </c>
      <c r="F7159" t="inlineStr">
        <is>
          <t>B0866NY3NW</t>
        </is>
      </c>
      <c r="G7159">
        <f>_xlfn.IMAGE("https://edmondsonsupply.com/cdn/shop/products/93pll_app8.jpg?v=1664476137")</f>
        <v/>
      </c>
      <c r="H7159">
        <f>_xlfn.IMAGE("https://m.media-amazon.com/images/I/51lR5gFHBUL._AC_UL320_.jpg")</f>
        <v/>
      </c>
      <c r="K7159" t="inlineStr">
        <is>
          <t>299.99</t>
        </is>
      </c>
      <c r="L7159" t="n">
        <v>199.99</v>
      </c>
      <c r="M7159" s="1" t="inlineStr">
        <is>
          <t>-33.33%</t>
        </is>
      </c>
      <c r="N7159" s="7" t="n"/>
      <c r="O7159" t="n">
        <v>4.6</v>
      </c>
      <c r="P7159" t="n">
        <v>785</v>
      </c>
      <c r="R7159" t="inlineStr">
        <is>
          <t>InStock</t>
        </is>
      </c>
      <c r="S7159" t="inlineStr">
        <is>
          <t>455.98</t>
        </is>
      </c>
      <c r="T7159" t="inlineStr">
        <is>
          <t>7833808371928</t>
        </is>
      </c>
    </row>
    <row r="7160" ht="87" customHeight="1">
      <c r="A7160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7160" s="2">
        <f>HYPERLINK("https://edmondsonsupply.com/products/klein-tools-631m-magnetic-nut-driver-set-3-inch-shaft-7-piece", "https://edmondsonsupply.com/products/klein-tools-631m-magnetic-nut-driver-set-3-inch-shaft-7-piece")</f>
        <v/>
      </c>
      <c r="C7160" t="inlineStr">
        <is>
          <t>Klein Tools 631M Magnetic Nut Driver Set 3-Inch Shaft, 7 Piece</t>
        </is>
      </c>
      <c r="D7160" t="inlineStr">
        <is>
          <t>Klein Tools 65160 Tool Set, Metric Nut Driver Set Sizes 5, 5.5, 6, 7, 8, 9, and 10 mm, 3-Inch Chrome-Plate Hollow Shafts, 7-Piece</t>
        </is>
      </c>
      <c r="E7160" s="2">
        <f>HYPERLINK("https://www.amazon.com/Driver-Metric-3-Inch-7-Piece-Klein/dp/B0009ORXQQ/ref=sr_1_5?keywords=Klein+Tools+631M+Magnetic+Nut+Driver+Set+3-Inch+Shaft%2C+7+Piece&amp;qid=1694735377&amp;sr=8-5", "https://www.amazon.com/Driver-Metric-3-Inch-7-Piece-Klein/dp/B0009ORXQQ/ref=sr_1_5?keywords=Klein+Tools+631M+Magnetic+Nut+Driver+Set+3-Inch+Shaft%2C+7+Piece&amp;qid=1694735377&amp;sr=8-5")</f>
        <v/>
      </c>
      <c r="F7160" t="inlineStr">
        <is>
          <t>B0009ORXQQ</t>
        </is>
      </c>
      <c r="G7160">
        <f>_xlfn.IMAGE("https://edmondsonsupply.com/cdn/shop/products/631m.jpg?v=1587147726")</f>
        <v/>
      </c>
      <c r="H7160">
        <f>_xlfn.IMAGE("https://m.media-amazon.com/images/I/61CnDJJyViL._AC_UL320_.jpg")</f>
        <v/>
      </c>
      <c r="K7160" t="inlineStr">
        <is>
          <t>74.99</t>
        </is>
      </c>
      <c r="L7160" t="n">
        <v>49.99</v>
      </c>
      <c r="M7160" s="1" t="inlineStr">
        <is>
          <t>-33.34%</t>
        </is>
      </c>
      <c r="N7160" s="7" t="n"/>
      <c r="O7160" t="n">
        <v>4.8</v>
      </c>
      <c r="P7160" t="n">
        <v>588</v>
      </c>
      <c r="R7160" t="inlineStr">
        <is>
          <t>InStock</t>
        </is>
      </c>
      <c r="S7160" t="inlineStr">
        <is>
          <t>112.12</t>
        </is>
      </c>
      <c r="T7160" t="inlineStr">
        <is>
          <t>4414357078116</t>
        </is>
      </c>
    </row>
    <row r="7161" ht="87" customHeight="1">
      <c r="A7161" s="2">
        <f>HYPERLINK("https://edmondsonsupply.com/collections/electricians-tools/products/diablo-tools-dag3070-3-4-in-x-17-1-2-in-auger-bit", "https://edmondsonsupply.com/collections/electricians-tools/products/diablo-tools-dag3070-3-4-in-x-17-1-2-in-auger-bit")</f>
        <v/>
      </c>
      <c r="B7161" s="2">
        <f>HYPERLINK("https://edmondsonsupply.com/products/diablo-tools-dag3070-3-4-in-x-17-1-2-in-auger-bit", "https://edmondsonsupply.com/products/diablo-tools-dag3070-3-4-in-x-17-1-2-in-auger-bit")</f>
        <v/>
      </c>
      <c r="C7161" t="inlineStr">
        <is>
          <t>Diablo Tools DAG3070 3/4 in. x 17-1/2 in. Auger Bit</t>
        </is>
      </c>
      <c r="D7161" t="inlineStr">
        <is>
          <t>Diablo 3/4 in. x 7-1/2 in. Auger Bit</t>
        </is>
      </c>
      <c r="E7161" s="2">
        <f>HYPERLINK("https://www.amazon.com/Diablo-Freud-DAG1090-7-1-Auger/dp/B089KW4S6Y/ref=sr_1_3?keywords=Diablo+Tools+DAG3070+3%2F4+in.+x+17-1%2F2+in.+Auger+Bit&amp;qid=1694735067&amp;sr=8-3", "https://www.amazon.com/Diablo-Freud-DAG1090-7-1-Auger/dp/B089KW4S6Y/ref=sr_1_3?keywords=Diablo+Tools+DAG3070+3%2F4+in.+x+17-1%2F2+in.+Auger+Bit&amp;qid=1694735067&amp;sr=8-3")</f>
        <v/>
      </c>
      <c r="F7161" t="inlineStr">
        <is>
          <t>B089KW4S6Y</t>
        </is>
      </c>
      <c r="G7161">
        <f>_xlfn.IMAGE("https://edmondsonsupply.com/cdn/shop/products/ljatbudptj8xmo1m7sg7.webp?v=1669994151")</f>
        <v/>
      </c>
      <c r="H7161">
        <f>_xlfn.IMAGE("https://m.media-amazon.com/images/I/61wiLPAG21L._AC_UL320_.jpg")</f>
        <v/>
      </c>
      <c r="K7161" t="inlineStr">
        <is>
          <t>23.99</t>
        </is>
      </c>
      <c r="L7161" t="n">
        <v>15.99</v>
      </c>
      <c r="M7161" s="1" t="inlineStr">
        <is>
          <t>-33.35%</t>
        </is>
      </c>
      <c r="N7161" s="7" t="n"/>
      <c r="O7161" t="n">
        <v>4.4</v>
      </c>
      <c r="P7161" t="n">
        <v>35</v>
      </c>
      <c r="R7161" t="inlineStr">
        <is>
          <t>InStock</t>
        </is>
      </c>
      <c r="S7161" t="inlineStr">
        <is>
          <t>32.3</t>
        </is>
      </c>
      <c r="T7161" t="inlineStr">
        <is>
          <t>7897497960664</t>
        </is>
      </c>
    </row>
    <row r="7162" hidden="1" ht="15.75" customHeight="1">
      <c r="A7162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162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162" t="inlineStr">
        <is>
          <t>Klein Tools 602-4-INS 1/4-Inch Cabinet Tip Insulated Screwdriver, 4-Inch</t>
        </is>
      </c>
      <c r="D7162" t="inlineStr">
        <is>
          <t>Klein Tools 6944INS Insulated Screwdriver, 1000V Slim Profile Tip, #2 Square with 4-Inch Shank, Cushion-Grip Handle</t>
        </is>
      </c>
      <c r="E7162" s="2">
        <f>HYPERLINK("https://www.amazon.com/Klein-Tools-6944INS-Screwdriver-Cushion-Grip/dp/B09GPYTZV3/ref=sr_1_16?keywords=Klein+Tools+602-4-INS+1%2F4-Inch+Cabinet+Tip+Insulated+Screwdriver%2C+4-Inch&amp;qid=1694735209&amp;sr=8-16", "https://www.amazon.com/Klein-Tools-6944INS-Screwdriver-Cushion-Grip/dp/B09GPYTZV3/ref=sr_1_16?keywords=Klein+Tools+602-4-INS+1%2F4-Inch+Cabinet+Tip+Insulated+Screwdriver%2C+4-Inch&amp;qid=1694735209&amp;sr=8-16")</f>
        <v/>
      </c>
      <c r="F7162" t="inlineStr">
        <is>
          <t>B09GPYTZV3</t>
        </is>
      </c>
      <c r="G7162">
        <f>_xludf.IMAGE("https://edmondsonsupply.com/cdn/shop/products/602-4-ins-photo.jpg?v=1633031051")</f>
        <v/>
      </c>
      <c r="H7162">
        <f>_xludf.IMAGE("https://m.media-amazon.com/images/I/41PzygwLx+L._AC_UL320_.jpg")</f>
        <v/>
      </c>
      <c r="K7162" t="inlineStr">
        <is>
          <t>20.99</t>
        </is>
      </c>
      <c r="L7162" t="n">
        <v>13.99</v>
      </c>
      <c r="M7162" s="1" t="inlineStr">
        <is>
          <t>-33.35%</t>
        </is>
      </c>
      <c r="N7162" s="1" t="n"/>
      <c r="O7162" t="n">
        <v>4.7</v>
      </c>
      <c r="P7162" t="n">
        <v>93</v>
      </c>
      <c r="R7162" t="inlineStr">
        <is>
          <t>InStock</t>
        </is>
      </c>
      <c r="S7162" t="inlineStr">
        <is>
          <t>31.8</t>
        </is>
      </c>
      <c r="T7162" t="inlineStr">
        <is>
          <t>6779496890541</t>
        </is>
      </c>
    </row>
    <row r="7163" hidden="1" ht="15.75" customHeight="1">
      <c r="A7163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163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163" t="inlineStr">
        <is>
          <t>Klein Tools 602-4-INS 1/4-Inch Cabinet Tip Insulated Screwdriver, 4-Inch</t>
        </is>
      </c>
      <c r="D7163" t="inlineStr">
        <is>
          <t>Klein Tools 6984INS Insulated Screwdriver, 1000V Slim Profile Tip, #1 Square with 4-Inch Shank, Cushion-Grip Handle</t>
        </is>
      </c>
      <c r="E7163" s="2">
        <f>HYPERLINK("https://www.amazon.com/Klein-Tools-6984INS-Screwdriver-Cushion-Grip/dp/B09GPZ5P2M/ref=sr_1_18?keywords=Klein+Tools+602-4-INS+1%2F4-Inch+Cabinet+Tip+Insulated+Screwdriver%2C+4-Inch&amp;qid=1694735209&amp;sr=8-18", "https://www.amazon.com/Klein-Tools-6984INS-Screwdriver-Cushion-Grip/dp/B09GPZ5P2M/ref=sr_1_18?keywords=Klein+Tools+602-4-INS+1%2F4-Inch+Cabinet+Tip+Insulated+Screwdriver%2C+4-Inch&amp;qid=1694735209&amp;sr=8-18")</f>
        <v/>
      </c>
      <c r="F7163" t="inlineStr">
        <is>
          <t>B09GPZ5P2M</t>
        </is>
      </c>
      <c r="G7163">
        <f>_xludf.IMAGE("https://edmondsonsupply.com/cdn/shop/products/602-4-ins-photo.jpg?v=1633031051")</f>
        <v/>
      </c>
      <c r="H7163">
        <f>_xludf.IMAGE("https://m.media-amazon.com/images/I/41uj4ogsy3L._AC_UL320_.jpg")</f>
        <v/>
      </c>
      <c r="K7163" t="inlineStr">
        <is>
          <t>20.99</t>
        </is>
      </c>
      <c r="L7163" t="n">
        <v>13.99</v>
      </c>
      <c r="M7163" s="1" t="inlineStr">
        <is>
          <t>-33.35%</t>
        </is>
      </c>
      <c r="N7163" s="1" t="n"/>
      <c r="O7163" t="n">
        <v>4.8</v>
      </c>
      <c r="P7163" t="n">
        <v>107</v>
      </c>
      <c r="R7163" t="inlineStr">
        <is>
          <t>InStock</t>
        </is>
      </c>
      <c r="S7163" t="inlineStr">
        <is>
          <t>31.8</t>
        </is>
      </c>
      <c r="T7163" t="inlineStr">
        <is>
          <t>6779496890541</t>
        </is>
      </c>
    </row>
    <row r="7164" hidden="1" ht="15.75" customHeight="1">
      <c r="A7164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7164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7164" t="inlineStr">
        <is>
          <t>Klein Tools 6926INS Slim-Tip 1000V Insulated Screwdriver, 1/4-Inch Cabinet, 6-Inch</t>
        </is>
      </c>
      <c r="D7164" t="inlineStr">
        <is>
          <t>Klein Tools 6834INS Insulated Screwdriver, 1000V #2 Phillips Tip Screwdriver with 4-Inch Shank, Tip-Ident, Cushion-Grip Handle</t>
        </is>
      </c>
      <c r="E7164" s="2">
        <f>HYPERLINK("https://www.amazon.com/Klein-Tools-6834INS-Screwdriver-Cushion-Grip/dp/B0BF7LCHQ9/ref=sr_1_21?keywords=Klein+Tools+6926INS+Slim-Tip+1000V+Insulated+Screwdriver%2C+1%2F4-Inch+Cabinet%2C+6-Inch&amp;qid=1694735143&amp;sr=8-21", "https://www.amazon.com/Klein-Tools-6834INS-Screwdriver-Cushion-Grip/dp/B0BF7LCHQ9/ref=sr_1_21?keywords=Klein+Tools+6926INS+Slim-Tip+1000V+Insulated+Screwdriver%2C+1%2F4-Inch+Cabinet%2C+6-Inch&amp;qid=1694735143&amp;sr=8-21")</f>
        <v/>
      </c>
      <c r="F7164" t="inlineStr">
        <is>
          <t>B0BF7LCHQ9</t>
        </is>
      </c>
      <c r="G7164">
        <f>_xludf.IMAGE("https://edmondsonsupply.com/cdn/shop/products/6926ins.jpg?v=1664803626")</f>
        <v/>
      </c>
      <c r="H7164">
        <f>_xludf.IMAGE("https://m.media-amazon.com/images/I/41syzbetq2L._AC_UL320_.jpg")</f>
        <v/>
      </c>
      <c r="K7164" t="inlineStr">
        <is>
          <t>14.99</t>
        </is>
      </c>
      <c r="L7164" t="n">
        <v>9.99</v>
      </c>
      <c r="M7164" s="1" t="inlineStr">
        <is>
          <t>-33.36%</t>
        </is>
      </c>
      <c r="N7164" s="1" t="n"/>
      <c r="O7164" t="n">
        <v>5</v>
      </c>
      <c r="P7164" t="n">
        <v>5</v>
      </c>
      <c r="R7164" t="inlineStr">
        <is>
          <t>InStock</t>
        </is>
      </c>
      <c r="S7164" t="inlineStr">
        <is>
          <t>20.98</t>
        </is>
      </c>
      <c r="T7164" t="inlineStr">
        <is>
          <t>7837578625240</t>
        </is>
      </c>
    </row>
    <row r="7165" hidden="1" ht="15.75" customHeight="1">
      <c r="A7165" s="2">
        <f>HYPERLINK("https://edmondsonsupply.com/collections/electricians-tools/products/klein-tools-6926ins-slim-tip-1000v-insulated-screwdriver-1-4-inch-cabinet-6-inch", "https://edmondsonsupply.com/collections/electricians-tools/products/klein-tools-6926ins-slim-tip-1000v-insulated-screwdriver-1-4-inch-cabinet-6-inch")</f>
        <v/>
      </c>
      <c r="B7165" s="2">
        <f>HYPERLINK("https://edmondsonsupply.com/products/klein-tools-6926ins-slim-tip-1000v-insulated-screwdriver-1-4-inch-cabinet-6-inch", "https://edmondsonsupply.com/products/klein-tools-6926ins-slim-tip-1000v-insulated-screwdriver-1-4-inch-cabinet-6-inch")</f>
        <v/>
      </c>
      <c r="C7165" t="inlineStr">
        <is>
          <t>Klein Tools 6926INS Slim-Tip 1000V Insulated Screwdriver, 1/4-Inch Cabinet, 6-Inch</t>
        </is>
      </c>
      <c r="D7165" t="inlineStr">
        <is>
          <t>Klein Tools 6824INS Insulated Screwdriver, 1000V 1/4-Inch Cabinet Tip Screwdriver with 4-Inch Shank, Tip-Ident, Cushion-Grip Handle</t>
        </is>
      </c>
      <c r="E7165" s="2">
        <f>HYPERLINK("https://www.amazon.com/Klein-Tools-6824INS-Screwdriver-Cushion-Grip/dp/B0BF78XBPX/ref=sr_1_3?keywords=Klein+Tools+6926INS+Slim-Tip+1000V+Insulated+Screwdriver%2C+1%2F4-Inch+Cabinet%2C+6-Inch&amp;qid=1694735143&amp;sr=8-3", "https://www.amazon.com/Klein-Tools-6824INS-Screwdriver-Cushion-Grip/dp/B0BF78XBPX/ref=sr_1_3?keywords=Klein+Tools+6926INS+Slim-Tip+1000V+Insulated+Screwdriver%2C+1%2F4-Inch+Cabinet%2C+6-Inch&amp;qid=1694735143&amp;sr=8-3")</f>
        <v/>
      </c>
      <c r="F7165" t="inlineStr">
        <is>
          <t>B0BF78XBPX</t>
        </is>
      </c>
      <c r="G7165">
        <f>_xludf.IMAGE("https://edmondsonsupply.com/cdn/shop/products/6926ins.jpg?v=1664803626")</f>
        <v/>
      </c>
      <c r="H7165">
        <f>_xludf.IMAGE("https://m.media-amazon.com/images/I/410Gu3snLdL._AC_UL320_.jpg")</f>
        <v/>
      </c>
      <c r="K7165" t="inlineStr">
        <is>
          <t>14.99</t>
        </is>
      </c>
      <c r="L7165" t="n">
        <v>9.99</v>
      </c>
      <c r="M7165" s="1" t="inlineStr">
        <is>
          <t>-33.36%</t>
        </is>
      </c>
      <c r="N7165" s="1" t="n"/>
      <c r="O7165" t="n">
        <v>4.9</v>
      </c>
      <c r="P7165" t="n">
        <v>202</v>
      </c>
      <c r="R7165" t="inlineStr">
        <is>
          <t>InStock</t>
        </is>
      </c>
      <c r="S7165" t="inlineStr">
        <is>
          <t>20.98</t>
        </is>
      </c>
      <c r="T7165" t="inlineStr">
        <is>
          <t>7837578625240</t>
        </is>
      </c>
    </row>
    <row r="7166" hidden="1" ht="15.75" customHeight="1">
      <c r="A7166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7166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7166" t="inlineStr">
        <is>
          <t>Klein Tools 6946INS Slim-Tip 1000V Insulated Screwdriver, #2 Square, 6-Inch Round Shank</t>
        </is>
      </c>
      <c r="D7166" t="inlineStr">
        <is>
          <t>Klein Tools 6844INS Insulated Screwdriver, 1000V #2 Square Tip Screwdriver with 4-Inch Shank, Tip-Ident, Cushion-Grip Handle</t>
        </is>
      </c>
      <c r="E7166" s="2">
        <f>HYPERLINK("https://www.amazon.com/Klein-Tools-6844INS-Screwdriver-Cushion-Grip/dp/B0BF7L6BZ6/ref=sr_1_3?keywords=Klein+Tools+6946INS+Slim-Tip+1000V+Insulated+Screwdriver%2C+%232+Square%2C+6-Inch+Round+Shank&amp;qid=1694735275&amp;sr=8-3", "https://www.amazon.com/Klein-Tools-6844INS-Screwdriver-Cushion-Grip/dp/B0BF7L6BZ6/ref=sr_1_3?keywords=Klein+Tools+6946INS+Slim-Tip+1000V+Insulated+Screwdriver%2C+%232+Square%2C+6-Inch+Round+Shank&amp;qid=1694735275&amp;sr=8-3")</f>
        <v/>
      </c>
      <c r="F7166" t="inlineStr">
        <is>
          <t>B0BF7L6BZ6</t>
        </is>
      </c>
      <c r="G7166">
        <f>_xludf.IMAGE("https://edmondsonsupply.com/cdn/shop/products/6946ins.jpg?v=1633030561")</f>
        <v/>
      </c>
      <c r="H7166">
        <f>_xludf.IMAGE("https://m.media-amazon.com/images/I/41RKewAXjvL._AC_UL320_.jpg")</f>
        <v/>
      </c>
      <c r="K7166" t="inlineStr">
        <is>
          <t>14.99</t>
        </is>
      </c>
      <c r="L7166" t="n">
        <v>9.99</v>
      </c>
      <c r="M7166" s="1" t="inlineStr">
        <is>
          <t>-33.36%</t>
        </is>
      </c>
      <c r="N7166" s="1" t="n"/>
      <c r="O7166" t="n">
        <v>4.9</v>
      </c>
      <c r="P7166" t="n">
        <v>202</v>
      </c>
      <c r="R7166" t="inlineStr">
        <is>
          <t>InStock</t>
        </is>
      </c>
      <c r="S7166" t="inlineStr">
        <is>
          <t>21.02</t>
        </is>
      </c>
      <c r="T7166" t="inlineStr">
        <is>
          <t>5439611502760</t>
        </is>
      </c>
    </row>
    <row r="7167" hidden="1" ht="15.75" customHeight="1">
      <c r="A7167" s="2">
        <f>HYPERLINK("https://edmondsonsupply.com/collections/electricians-tools/products/copy-of-klein-tools-6946ins-slim-tip-1000v-insulated-screwdriver-2-square-6-inch-round-shank", "https://edmondsonsupply.com/collections/electricians-tools/products/copy-of-klein-tools-6946ins-slim-tip-1000v-insulated-screwdriver-2-square-6-inch-round-shank")</f>
        <v/>
      </c>
      <c r="B7167" s="2">
        <f>HYPERLINK("https://edmondsonsupply.com/products/copy-of-klein-tools-6946ins-slim-tip-1000v-insulated-screwdriver-2-square-6-inch-round-shank", "https://edmondsonsupply.com/products/copy-of-klein-tools-6946ins-slim-tip-1000v-insulated-screwdriver-2-square-6-inch-round-shank")</f>
        <v/>
      </c>
      <c r="C7167" t="inlineStr">
        <is>
          <t>Klein Tools 6946INS Slim-Tip 1000V Insulated Screwdriver, #2 Square, 6-Inch Round Shank</t>
        </is>
      </c>
      <c r="D7167" t="inlineStr">
        <is>
          <t>Klein Tools 6834INS Insulated Screwdriver, 1000V #2 Phillips Tip Screwdriver with 4-Inch Shank, Tip-Ident, Cushion-Grip Handle</t>
        </is>
      </c>
      <c r="E7167" s="2">
        <f>HYPERLINK("https://www.amazon.com/Klein-Tools-6834INS-Screwdriver-Cushion-Grip/dp/B0BF7LCHQ9/ref=sr_1_14?keywords=Klein+Tools+6946INS+Slim-Tip+1000V+Insulated+Screwdriver%2C+%232+Square%2C+6-Inch+Round+Shank&amp;qid=1694735275&amp;sr=8-14", "https://www.amazon.com/Klein-Tools-6834INS-Screwdriver-Cushion-Grip/dp/B0BF7LCHQ9/ref=sr_1_14?keywords=Klein+Tools+6946INS+Slim-Tip+1000V+Insulated+Screwdriver%2C+%232+Square%2C+6-Inch+Round+Shank&amp;qid=1694735275&amp;sr=8-14")</f>
        <v/>
      </c>
      <c r="F7167" t="inlineStr">
        <is>
          <t>B0BF7LCHQ9</t>
        </is>
      </c>
      <c r="G7167">
        <f>_xludf.IMAGE("https://edmondsonsupply.com/cdn/shop/products/6946ins.jpg?v=1633030561")</f>
        <v/>
      </c>
      <c r="H7167">
        <f>_xludf.IMAGE("https://m.media-amazon.com/images/I/41syzbetq2L._AC_UL320_.jpg")</f>
        <v/>
      </c>
      <c r="K7167" t="inlineStr">
        <is>
          <t>14.99</t>
        </is>
      </c>
      <c r="L7167" t="n">
        <v>9.99</v>
      </c>
      <c r="M7167" s="1" t="inlineStr">
        <is>
          <t>-33.36%</t>
        </is>
      </c>
      <c r="N7167" s="1" t="n"/>
      <c r="O7167" t="n">
        <v>5</v>
      </c>
      <c r="P7167" t="n">
        <v>5</v>
      </c>
      <c r="R7167" t="inlineStr">
        <is>
          <t>InStock</t>
        </is>
      </c>
      <c r="S7167" t="inlineStr">
        <is>
          <t>21.02</t>
        </is>
      </c>
      <c r="T7167" t="inlineStr">
        <is>
          <t>5439611502760</t>
        </is>
      </c>
    </row>
    <row r="7168" hidden="1" ht="15.75" customHeight="1">
      <c r="A7168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7168" s="2">
        <f>HYPERLINK("https://edmondsonsupply.com/products/klein-tools-635-1-2-1-2-inch-heavy-duty-nut-driver", "https://edmondsonsupply.com/products/klein-tools-635-1-2-1-2-inch-heavy-duty-nut-driver")</f>
        <v/>
      </c>
      <c r="C7168" t="inlineStr">
        <is>
          <t>Klein Tools 635-1/2 1/2-Inch Heavy-Duty Nut Driver</t>
        </is>
      </c>
      <c r="D7168" t="inlineStr">
        <is>
          <t>Klein Tools 646-1/2 1/2-Inch Nut Driver with 6-Inch Hollow Shaft</t>
        </is>
      </c>
      <c r="E7168" s="2">
        <f>HYPERLINK("https://www.amazon.com/2-Inch-Driver-Klein-Tools-646-1/dp/B000QJJKM4/ref=sr_1_13?keywords=Klein+Tools+635-1%2F2+1%2F2-Inch+Heavy-Duty+Nut+Driver&amp;qid=1694735353&amp;sr=8-13", "https://www.amazon.com/2-Inch-Driver-Klein-Tools-646-1/dp/B000QJJKM4/ref=sr_1_13?keywords=Klein+Tools+635-1%2F2+1%2F2-Inch+Heavy-Duty+Nut+Driver&amp;qid=1694735353&amp;sr=8-13")</f>
        <v/>
      </c>
      <c r="F7168" t="inlineStr">
        <is>
          <t>B000QJJKM4</t>
        </is>
      </c>
      <c r="G7168">
        <f>_xludf.IMAGE("https://edmondsonsupply.com/cdn/shop/products/635-1-2.jpg?v=1587147726")</f>
        <v/>
      </c>
      <c r="H7168">
        <f>_xludf.IMAGE("https://m.media-amazon.com/images/I/31sSFYGqdfL._AC_UL320_.jpg")</f>
        <v/>
      </c>
      <c r="K7168" t="inlineStr">
        <is>
          <t>14.99</t>
        </is>
      </c>
      <c r="L7168" t="n">
        <v>9.99</v>
      </c>
      <c r="M7168" s="1" t="inlineStr">
        <is>
          <t>-33.36%</t>
        </is>
      </c>
      <c r="N7168" s="1" t="n"/>
      <c r="O7168" t="n">
        <v>4.8</v>
      </c>
      <c r="P7168" t="n">
        <v>2491</v>
      </c>
      <c r="R7168" t="inlineStr">
        <is>
          <t>InStock</t>
        </is>
      </c>
      <c r="S7168" t="inlineStr">
        <is>
          <t>22.78</t>
        </is>
      </c>
      <c r="T7168" t="inlineStr">
        <is>
          <t>4473296945252</t>
        </is>
      </c>
    </row>
    <row r="7169" hidden="1" ht="15.75" customHeight="1">
      <c r="A7169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7169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7169" t="inlineStr">
        <is>
          <t>Klein Tools 635-1/4 1/4-Inch Nut Driver, Magnetic Tip, 4-Inch Shaft</t>
        </is>
      </c>
      <c r="D7169" t="inlineStr">
        <is>
          <t>Klein Tools S86 1/4-Inch Nut Driver with 6-Inch Hollow Shaft and Comfordome Handle</t>
        </is>
      </c>
      <c r="E7169" s="2">
        <f>HYPERLINK("https://www.amazon.com/4-Inch-Comfordome-Klein-Tools-S86/dp/B00093GCWS/ref=sr_1_9?keywords=Klein+Tools+635-1%2F4+1%2F4-Inch+Nut+Driver%2C+Magnetic+Tip%2C+4-Inch+Shaft&amp;qid=1694735101&amp;sr=8-9", "https://www.amazon.com/4-Inch-Comfordome-Klein-Tools-S86/dp/B00093GCWS/ref=sr_1_9?keywords=Klein+Tools+635-1%2F4+1%2F4-Inch+Nut+Driver%2C+Magnetic+Tip%2C+4-Inch+Shaft&amp;qid=1694735101&amp;sr=8-9")</f>
        <v/>
      </c>
      <c r="F7169" t="inlineStr">
        <is>
          <t>B00093GCWS</t>
        </is>
      </c>
      <c r="G7169">
        <f>_xludf.IMAGE("https://edmondsonsupply.com/cdn/shop/products/635-1-4.jpg?v=1666811523")</f>
        <v/>
      </c>
      <c r="H7169">
        <f>_xludf.IMAGE("https://m.media-amazon.com/images/I/41UucnuSAmL._AC_UL320_.jpg")</f>
        <v/>
      </c>
      <c r="K7169" t="inlineStr">
        <is>
          <t>11.99</t>
        </is>
      </c>
      <c r="L7169" t="n">
        <v>7.99</v>
      </c>
      <c r="M7169" s="1" t="inlineStr">
        <is>
          <t>-33.36%</t>
        </is>
      </c>
      <c r="N7169" s="1" t="n"/>
      <c r="O7169" t="n">
        <v>4.5</v>
      </c>
      <c r="P7169" t="n">
        <v>151</v>
      </c>
      <c r="R7169" t="inlineStr">
        <is>
          <t>InStock</t>
        </is>
      </c>
      <c r="S7169" t="inlineStr">
        <is>
          <t>18.18</t>
        </is>
      </c>
      <c r="T7169" t="inlineStr">
        <is>
          <t>7866294010072</t>
        </is>
      </c>
    </row>
    <row r="7170" ht="87" customHeight="1">
      <c r="A7170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7170" s="2">
        <f>HYPERLINK("https://edmondsonsupply.com/products/klein-tools-32717-all-in-1-precision-screwdriver-set-with-case", "https://edmondsonsupply.com/products/klein-tools-32717-all-in-1-precision-screwdriver-set-with-case")</f>
        <v/>
      </c>
      <c r="C7170" t="inlineStr">
        <is>
          <t>Klein Tools 32717 All-in-1 Precision Screwdriver Set with Case</t>
        </is>
      </c>
      <c r="D7170" t="inlineStr">
        <is>
          <t>Klein Tools 85615 Mini Precision Screwdriver Set, 4-Piece Phillips and Flat Head Set Ideal for Electronics and Small Home Appliances</t>
        </is>
      </c>
      <c r="E7170" s="2">
        <f>HYPERLINK("https://www.amazon.com/Klein-Tools-85615-Screwdriver-Electronics/dp/B0C1QBJGVD/ref=sr_1_12?keywords=Klein+Tools+32717+All-in-1+Precision+Screwdriver+Set+with+Case&amp;qid=1694735187&amp;sr=8-12", "https://www.amazon.com/Klein-Tools-85615-Screwdriver-Electronics/dp/B0C1QBJGVD/ref=sr_1_12?keywords=Klein+Tools+32717+All-in-1+Precision+Screwdriver+Set+with+Case&amp;qid=1694735187&amp;sr=8-12")</f>
        <v/>
      </c>
      <c r="F7170" t="inlineStr">
        <is>
          <t>B0C1QBJGVD</t>
        </is>
      </c>
      <c r="G7170">
        <f>_xlfn.IMAGE("https://edmondsonsupply.com/cdn/shop/products/32717.jpg?v=1633031161")</f>
        <v/>
      </c>
      <c r="H7170">
        <f>_xlfn.IMAGE("https://m.media-amazon.com/images/I/51YOOIPbR9L._AC_UL320_.jpg")</f>
        <v/>
      </c>
      <c r="K7170" t="inlineStr">
        <is>
          <t>29.97</t>
        </is>
      </c>
      <c r="L7170" t="n">
        <v>19.97</v>
      </c>
      <c r="M7170" s="1" t="inlineStr">
        <is>
          <t>-33.37%</t>
        </is>
      </c>
      <c r="N7170" s="7" t="n"/>
      <c r="O7170" t="n">
        <v>4.6</v>
      </c>
      <c r="P7170" t="n">
        <v>13</v>
      </c>
      <c r="R7170" t="inlineStr">
        <is>
          <t>InStock</t>
        </is>
      </c>
      <c r="S7170" t="inlineStr">
        <is>
          <t>41.98</t>
        </is>
      </c>
      <c r="T7170" t="inlineStr">
        <is>
          <t>6897560453293</t>
        </is>
      </c>
    </row>
    <row r="7171" ht="87" customHeight="1">
      <c r="A7171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7171" s="2">
        <f>HYPERLINK("https://edmondsonsupply.com/products/klein-tools-32510-magnetic-screwdriver-with-32-tamperproof-bits", "https://edmondsonsupply.com/products/klein-tools-32510-magnetic-screwdriver-with-32-tamperproof-bits")</f>
        <v/>
      </c>
      <c r="C7171" t="inlineStr">
        <is>
          <t>Klein Tools 32510 Magnetic Screwdriver with 32 Tamperproof Bits</t>
        </is>
      </c>
      <c r="D7171" t="inlineStr">
        <is>
          <t>Klein Tools 32327 Precision Screwdriver Set, 27-in-1 Multi-Bit Screwdriver with 26 Tamperproof Bits, Onboard Storage, Rare-Earth Magnet</t>
        </is>
      </c>
      <c r="E7171" s="2">
        <f>HYPERLINK("https://www.amazon.com/Klein-Tools-Precision-Screwdriver-Tamperproof/dp/B09SVP9NDQ/ref=sr_1_7?keywords=Klein+Tools+32510+Magnetic+Screwdriver+with+32+Tamperproof+Bits&amp;qid=1694735159&amp;sr=8-7", "https://www.amazon.com/Klein-Tools-Precision-Screwdriver-Tamperproof/dp/B09SVP9NDQ/ref=sr_1_7?keywords=Klein+Tools+32510+Magnetic+Screwdriver+with+32+Tamperproof+Bits&amp;qid=1694735159&amp;sr=8-7")</f>
        <v/>
      </c>
      <c r="F7171" t="inlineStr">
        <is>
          <t>B09SVP9NDQ</t>
        </is>
      </c>
      <c r="G7171">
        <f>_xlfn.IMAGE("https://edmondsonsupply.com/cdn/shop/products/32510_alt2.jpg?v=1653267434")</f>
        <v/>
      </c>
      <c r="H7171">
        <f>_xlfn.IMAGE("https://m.media-amazon.com/images/I/41eUHzyQqQL._AC_UL320_.jpg")</f>
        <v/>
      </c>
      <c r="K7171" t="inlineStr">
        <is>
          <t>29.97</t>
        </is>
      </c>
      <c r="L7171" t="n">
        <v>19.97</v>
      </c>
      <c r="M7171" s="1" t="inlineStr">
        <is>
          <t>-33.37%</t>
        </is>
      </c>
      <c r="N7171" s="7" t="n"/>
      <c r="O7171" t="n">
        <v>4.7</v>
      </c>
      <c r="P7171" t="n">
        <v>756</v>
      </c>
      <c r="R7171" t="inlineStr">
        <is>
          <t>InStock</t>
        </is>
      </c>
      <c r="S7171" t="inlineStr">
        <is>
          <t>43.88</t>
        </is>
      </c>
      <c r="T7171" t="inlineStr">
        <is>
          <t>7696117367000</t>
        </is>
      </c>
    </row>
    <row r="7172" ht="87" customHeight="1">
      <c r="A7172" s="2">
        <f>HYPERLINK("https://edmondsonsupply.com/collections/electricians-tools/products/klein-tools-51603-iron-conduit-bender-full-assembly-1-2-inch-emt-with-angle-setter%E2%84%A2", "https://edmondsonsupply.com/collections/electricians-tools/products/klein-tools-51603-iron-conduit-bender-full-assembly-1-2-inch-emt-with-angle-setter%E2%84%A2")</f>
        <v/>
      </c>
      <c r="B7172" s="2">
        <f>HYPERLINK("https://edmondsonsupply.com/products/klein-tools-51603-iron-conduit-bender-full-assembly-1-2-inch-emt-with-angle-setter%e2%84%a2", "https://edmondsonsupply.com/products/klein-tools-51603-iron-conduit-bender-full-assembly-1-2-inch-emt-with-angle-setter%e2%84%a2")</f>
        <v/>
      </c>
      <c r="C7172" t="inlineStr">
        <is>
          <t>Klein Tools 51603 Iron Conduit Bender Full Assembly, 1/2-Inch EMT with Angle Setter™</t>
        </is>
      </c>
      <c r="D7172" t="inlineStr">
        <is>
          <t>Klein Tools 51606 Aluminum Conduit Bender Full Assembly, 1/2-Inch EMT, Wide Food Pedal, Benchmark Symbols and Angle Setter</t>
        </is>
      </c>
      <c r="E7172" s="2">
        <f>HYPERLINK("https://www.amazon.com/Aluminum-Benchmark-Technology-Klein-Tools/dp/B08L41DC9N/ref=sr_1_3?keywords=Klein+Tools+51603+Iron+Conduit+Bender+Full+Assembly%2C+1%2F2-Inch+EMT+with+Angle+Setter%E2%84%A2&amp;qid=1694734984&amp;sr=8-3", "https://www.amazon.com/Aluminum-Benchmark-Technology-Klein-Tools/dp/B08L41DC9N/ref=sr_1_3?keywords=Klein+Tools+51603+Iron+Conduit+Bender+Full+Assembly%2C+1%2F2-Inch+EMT+with+Angle+Setter%E2%84%A2&amp;qid=1694734984&amp;sr=8-3")</f>
        <v/>
      </c>
      <c r="F7172" t="inlineStr">
        <is>
          <t>B08L41DC9N</t>
        </is>
      </c>
      <c r="G7172">
        <f>_xlfn.IMAGE("https://edmondsonsupply.com/cdn/shop/products/51604.jpg?v=1663940749")</f>
        <v/>
      </c>
      <c r="H7172">
        <f>_xlfn.IMAGE("https://m.media-amazon.com/images/I/41JBDxEE8NL._AC_UL320_.jpg")</f>
        <v/>
      </c>
      <c r="K7172" t="inlineStr">
        <is>
          <t>59.99</t>
        </is>
      </c>
      <c r="L7172" t="n">
        <v>39.97</v>
      </c>
      <c r="M7172" s="1" t="inlineStr">
        <is>
          <t>-33.37%</t>
        </is>
      </c>
      <c r="N7172" s="7" t="n"/>
      <c r="O7172" t="n">
        <v>4.8</v>
      </c>
      <c r="P7172" t="n">
        <v>258</v>
      </c>
      <c r="R7172" t="inlineStr">
        <is>
          <t>InStock</t>
        </is>
      </c>
      <c r="S7172" t="inlineStr">
        <is>
          <t>86.4</t>
        </is>
      </c>
      <c r="T7172" t="inlineStr">
        <is>
          <t>7827227574488</t>
        </is>
      </c>
    </row>
    <row r="7173" ht="87" customHeight="1">
      <c r="A7173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7173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7173" t="inlineStr">
        <is>
          <t>Channellock 440X 12-Inch SPEEDGRIP™ Straight Jaw Tongue &amp; Groove Pliers</t>
        </is>
      </c>
      <c r="D7173" t="inlineStr">
        <is>
          <t>Channellock 440 Tongue and Groove Pliers | 12-Inch Straight Jaw Groove Joint Plier with Comfort Grips | 2.25-Inch Jaw Capacity | Laser Heat-Treated 90° Teeth| Forged High Carbon Steel | Made in USA, Black, Blue, Silver</t>
        </is>
      </c>
      <c r="E7173" s="2">
        <f>HYPERLINK("https://www.amazon.com/Channellock-440-12-Inch-Tongue-Groove/dp/B00004SBCU/ref=sr_1_2?keywords=Channellock+440X+12-Inch+SPEEDGRIP%E2%84%A2+Straight+Jaw+Tongue+%26+Groove+Pliers&amp;qid=1694735165&amp;sr=8-2", "https://www.amazon.com/Channellock-440-12-Inch-Tongue-Groove/dp/B00004SBCU/ref=sr_1_2?keywords=Channellock+440X+12-Inch+SPEEDGRIP%E2%84%A2+Straight+Jaw+Tongue+%26+Groove+Pliers&amp;qid=1694735165&amp;sr=8-2")</f>
        <v/>
      </c>
      <c r="F7173" t="inlineStr">
        <is>
          <t>B00004SBCU</t>
        </is>
      </c>
      <c r="G7173">
        <f>_xlfn.IMAGE("https://edmondsonsupply.com/cdn/shop/products/440X.jpg?v=1647104734")</f>
        <v/>
      </c>
      <c r="H7173">
        <f>_xlfn.IMAGE("https://m.media-amazon.com/images/I/71FM1bkavsL._AC_UL320_.jpg")</f>
        <v/>
      </c>
      <c r="K7173" t="inlineStr">
        <is>
          <t>32.95</t>
        </is>
      </c>
      <c r="L7173" t="n">
        <v>21.95</v>
      </c>
      <c r="M7173" s="1" t="inlineStr">
        <is>
          <t>-33.38%</t>
        </is>
      </c>
      <c r="N7173" s="7" t="n"/>
      <c r="O7173" t="n">
        <v>4.8</v>
      </c>
      <c r="P7173" t="n">
        <v>3558</v>
      </c>
      <c r="R7173" t="inlineStr">
        <is>
          <t>InStock</t>
        </is>
      </c>
      <c r="S7173" t="inlineStr">
        <is>
          <t>45.99</t>
        </is>
      </c>
      <c r="T7173" t="inlineStr">
        <is>
          <t>7633805279448</t>
        </is>
      </c>
    </row>
    <row r="7174" hidden="1" ht="15.75" customHeight="1">
      <c r="A7174" s="2">
        <f>HYPERLINK("https://edmondsonsupply.com/collections/electricians-tools/products/klein-tools-jth4e13-1-4-inch-hex-key-journeyman%E2%84%A2-t-handle-4-inch", "https://edmondsonsupply.com/collections/electricians-tools/products/klein-tools-jth4e13-1-4-inch-hex-key-journeyman%E2%84%A2-t-handle-4-inch")</f>
        <v/>
      </c>
      <c r="B7174" s="2">
        <f>HYPERLINK("https://edmondsonsupply.com/products/klein-tools-jth4e13-1-4-inch-hex-key-journeyman%e2%84%a2-t-handle-4-inch", "https://edmondsonsupply.com/products/klein-tools-jth4e13-1-4-inch-hex-key-journeyman%e2%84%a2-t-handle-4-inch")</f>
        <v/>
      </c>
      <c r="C7174" t="inlineStr">
        <is>
          <t>Klein Tools JTH4E13 1/4-Inch Hex Key, Journeyman™ T-Handle, 4-Inch</t>
        </is>
      </c>
      <c r="D7174" t="inlineStr">
        <is>
          <t>Klein Tools JTH6M4 4 mm Hex Key, Journeyman T-Handle, 6-Inch</t>
        </is>
      </c>
      <c r="E7174" s="2">
        <f>HYPERLINK("https://www.amazon.com/Journeyman-T-Handle-Klein-Tools-JTH6M4/dp/B005G394YO/ref=sr_1_3?keywords=Klein+Tools+JTH4E13+1%2F4-Inch+Hex+Key%2C+Journeyman%E2%84%A2+T-Handle%2C+4-Inch&amp;qid=1694735134&amp;sr=8-3", "https://www.amazon.com/Journeyman-T-Handle-Klein-Tools-JTH6M4/dp/B005G394YO/ref=sr_1_3?keywords=Klein+Tools+JTH4E13+1%2F4-Inch+Hex+Key%2C+Journeyman%E2%84%A2+T-Handle%2C+4-Inch&amp;qid=1694735134&amp;sr=8-3")</f>
        <v/>
      </c>
      <c r="F7174" t="inlineStr">
        <is>
          <t>B005G394YO</t>
        </is>
      </c>
      <c r="G7174">
        <f>_xludf.IMAGE("https://edmondsonsupply.com/cdn/shop/products/jth4e13.jpg?v=1660919816")</f>
        <v/>
      </c>
      <c r="H7174">
        <f>_xludf.IMAGE("https://m.media-amazon.com/images/I/51+1x0vz9XL._AC_UL320_.jpg")</f>
        <v/>
      </c>
      <c r="K7174" t="inlineStr">
        <is>
          <t>5.99</t>
        </is>
      </c>
      <c r="L7174" t="n">
        <v>3.99</v>
      </c>
      <c r="M7174" s="1" t="inlineStr">
        <is>
          <t>-33.39%</t>
        </is>
      </c>
      <c r="N7174" s="1" t="n"/>
      <c r="O7174" t="n">
        <v>4.7</v>
      </c>
      <c r="P7174" t="n">
        <v>1530</v>
      </c>
      <c r="R7174" t="inlineStr">
        <is>
          <t>InStock</t>
        </is>
      </c>
      <c r="S7174" t="inlineStr">
        <is>
          <t>9.08</t>
        </is>
      </c>
      <c r="T7174" t="inlineStr">
        <is>
          <t>7786113728728</t>
        </is>
      </c>
    </row>
    <row r="7175" hidden="1" ht="15.75" customHeight="1">
      <c r="A7175" s="2">
        <f>HYPERLINK("https://edmondsonsupply.com/collections/electricians-tools/products/klein-tools-jth9e11-3-16-inch-hex-key-with-journeyman-t-handle-9-inch", "https://edmondsonsupply.com/collections/electricians-tools/products/klein-tools-jth9e11-3-16-inch-hex-key-with-journeyman-t-handle-9-inch")</f>
        <v/>
      </c>
      <c r="B7175" s="2">
        <f>HYPERLINK("https://edmondsonsupply.com/products/klein-tools-jth9e11-3-16-inch-hex-key-with-journeyman-t-handle-9-inch", "https://edmondsonsupply.com/products/klein-tools-jth9e11-3-16-inch-hex-key-with-journeyman-t-handle-9-inch")</f>
        <v/>
      </c>
      <c r="C7175" t="inlineStr">
        <is>
          <t>Klein Tools JTH9E11 3/16-Inch Hex Key with Journeyman T-Handle, 9-Inch</t>
        </is>
      </c>
      <c r="D7175" t="inlineStr">
        <is>
          <t>Klein Tools JTH6M3 3 mm Hex Key with Journeyman T-Handle, 6-Inch</t>
        </is>
      </c>
      <c r="E7175" s="2">
        <f>HYPERLINK("https://www.amazon.com/Journeyman-T-Handle-Klein-Tools-JTH6M3/dp/B005G394RG/ref=sr_1_16?keywords=Klein+Tools+JTH9E11+3%2F16-Inch+Hex+Key+with+Journeyman+T-Handle%2C+9-Inch&amp;qid=1694735351&amp;sr=8-16", "https://www.amazon.com/Journeyman-T-Handle-Klein-Tools-JTH6M3/dp/B005G394RG/ref=sr_1_16?keywords=Klein+Tools+JTH9E11+3%2F16-Inch+Hex+Key+with+Journeyman+T-Handle%2C+9-Inch&amp;qid=1694735351&amp;sr=8-16")</f>
        <v/>
      </c>
      <c r="F7175" t="inlineStr">
        <is>
          <t>B005G394RG</t>
        </is>
      </c>
      <c r="G7175">
        <f>_xludf.IMAGE("https://edmondsonsupply.com/cdn/shop/products/jth9e12_5173eed3-120e-418c-a1cc-489b6dba3958.jpg?v=1587147554")</f>
        <v/>
      </c>
      <c r="H7175">
        <f>_xludf.IMAGE("https://m.media-amazon.com/images/I/51+1x0vz9XL._AC_UL320_.jpg")</f>
        <v/>
      </c>
      <c r="K7175" t="inlineStr">
        <is>
          <t>5.99</t>
        </is>
      </c>
      <c r="L7175" t="n">
        <v>3.99</v>
      </c>
      <c r="M7175" s="1" t="inlineStr">
        <is>
          <t>-33.39%</t>
        </is>
      </c>
      <c r="N7175" s="1" t="n"/>
      <c r="O7175" t="n">
        <v>4.7</v>
      </c>
      <c r="P7175" t="n">
        <v>358</v>
      </c>
      <c r="R7175" t="inlineStr">
        <is>
          <t>InStock</t>
        </is>
      </c>
      <c r="S7175" t="inlineStr">
        <is>
          <t>9.06</t>
        </is>
      </c>
      <c r="T7175" t="inlineStr">
        <is>
          <t>4455227523172</t>
        </is>
      </c>
    </row>
    <row r="7176" hidden="1" ht="15.75" customHeight="1">
      <c r="A7176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176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176" t="inlineStr">
        <is>
          <t>Klein Tools 602-4-INS 1/4-Inch Cabinet Tip Insulated Screwdriver, 4-Inch</t>
        </is>
      </c>
      <c r="D7176" t="inlineStr">
        <is>
          <t>Klein Tools 6924INS 1000V Slim Tip Insulated Screwdriver, 4-Inch Round Shank, 1/4-Inch Cabinet Tip, Cushion Grip Handle</t>
        </is>
      </c>
      <c r="E7176" s="2">
        <f>HYPERLINK("https://www.amazon.com/Klein-Tools-6924INS-Insulated-Screwdriver/dp/B088NRM4CC/ref=sr_1_2?keywords=Klein+Tools+602-4-INS+1%2F4-Inch+Cabinet+Tip+Insulated+Screwdriver%2C+4-Inch&amp;qid=1694735209&amp;sr=8-2", "https://www.amazon.com/Klein-Tools-6924INS-Insulated-Screwdriver/dp/B088NRM4CC/ref=sr_1_2?keywords=Klein+Tools+602-4-INS+1%2F4-Inch+Cabinet+Tip+Insulated+Screwdriver%2C+4-Inch&amp;qid=1694735209&amp;sr=8-2")</f>
        <v/>
      </c>
      <c r="F7176" t="inlineStr">
        <is>
          <t>B088NRM4CC</t>
        </is>
      </c>
      <c r="G7176">
        <f>_xludf.IMAGE("https://edmondsonsupply.com/cdn/shop/products/602-4-ins-photo.jpg?v=1633031051")</f>
        <v/>
      </c>
      <c r="H7176">
        <f>_xludf.IMAGE("https://m.media-amazon.com/images/I/419wtU12P3L._AC_UL320_.jpg")</f>
        <v/>
      </c>
      <c r="K7176" t="inlineStr">
        <is>
          <t>20.99</t>
        </is>
      </c>
      <c r="L7176" t="n">
        <v>13.97</v>
      </c>
      <c r="M7176" s="1" t="inlineStr">
        <is>
          <t>-33.44%</t>
        </is>
      </c>
      <c r="N7176" s="1" t="n"/>
      <c r="O7176" t="n">
        <v>4.8</v>
      </c>
      <c r="P7176" t="n">
        <v>1358</v>
      </c>
      <c r="R7176" t="inlineStr">
        <is>
          <t>InStock</t>
        </is>
      </c>
      <c r="S7176" t="inlineStr">
        <is>
          <t>31.8</t>
        </is>
      </c>
      <c r="T7176" t="inlineStr">
        <is>
          <t>6779496890541</t>
        </is>
      </c>
    </row>
    <row r="7177" hidden="1" ht="15.75" customHeight="1">
      <c r="A7177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7177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7177" t="inlineStr">
        <is>
          <t>Klein Tools 612-4-INS Insulated 1/8-Inch Slotted Screwdriver, 4-Inch</t>
        </is>
      </c>
      <c r="D7177" t="inlineStr">
        <is>
          <t>Klein Tools 6826INS Insulated Screwdriver, 1000V 1/4-Inch Cabinet Tip Screwdriver with 6-Inch Shank, Tip-Ident, Cushion-Grip Handle</t>
        </is>
      </c>
      <c r="E7177" s="2">
        <f>HYPERLINK("https://www.amazon.com/Klein-Tools-6826INS-Screwdriver-Cushion-Grip/dp/B0BF79W49J/ref=sr_1_33?keywords=Klein+Tools+612-4-INS+Insulated+1%2F8-Inch+Slotted+Screwdriver%2C+4-Inch&amp;qid=1694735335&amp;sr=8-33", "https://www.amazon.com/Klein-Tools-6826INS-Screwdriver-Cushion-Grip/dp/B0BF79W49J/ref=sr_1_33?keywords=Klein+Tools+612-4-INS+Insulated+1%2F8-Inch+Slotted+Screwdriver%2C+4-Inch&amp;qid=1694735335&amp;sr=8-33")</f>
        <v/>
      </c>
      <c r="F7177" t="inlineStr">
        <is>
          <t>B0BF79W49J</t>
        </is>
      </c>
      <c r="G7177">
        <f>_xludf.IMAGE("https://edmondsonsupply.com/cdn/shop/products/612-4-ins.jpg?v=1587148611")</f>
        <v/>
      </c>
      <c r="H7177">
        <f>_xludf.IMAGE("https://m.media-amazon.com/images/I/41dJ6lRyHyL._AC_UL320_.jpg")</f>
        <v/>
      </c>
      <c r="K7177" t="inlineStr">
        <is>
          <t>17.99</t>
        </is>
      </c>
      <c r="L7177" t="n">
        <v>11.97</v>
      </c>
      <c r="M7177" s="1" t="inlineStr">
        <is>
          <t>-33.46%</t>
        </is>
      </c>
      <c r="N7177" s="1" t="n"/>
      <c r="O7177" t="n">
        <v>4.9</v>
      </c>
      <c r="P7177" t="n">
        <v>9</v>
      </c>
      <c r="R7177" t="inlineStr">
        <is>
          <t>InStock</t>
        </is>
      </c>
      <c r="S7177" t="inlineStr">
        <is>
          <t>27.26</t>
        </is>
      </c>
      <c r="T7177" t="inlineStr">
        <is>
          <t>4167520911460</t>
        </is>
      </c>
    </row>
    <row r="7178" hidden="1" ht="15.75" customHeight="1">
      <c r="A7178" s="2">
        <f>HYPERLINK("https://edmondsonsupply.com/collections/electricians-tools/products/klein-tools-6986ins-slim-tip-1000v-insulated-screwdriver-1-square-6-inch-round-shank", "https://edmondsonsupply.com/collections/electricians-tools/products/klein-tools-6986ins-slim-tip-1000v-insulated-screwdriver-1-square-6-inch-round-shank")</f>
        <v/>
      </c>
      <c r="B7178" s="2">
        <f>HYPERLINK("https://edmondsonsupply.com/products/klein-tools-6986ins-slim-tip-1000v-insulated-screwdriver-1-square-6-inch-round-shank", "https://edmondsonsupply.com/products/klein-tools-6986ins-slim-tip-1000v-insulated-screwdriver-1-square-6-inch-round-shank")</f>
        <v/>
      </c>
      <c r="C7178" t="inlineStr">
        <is>
          <t>Klein Tools 6986INS Slim-Tip 1000V Insulated Screwdriver, #1 Square, 6-Inch Round Shank</t>
        </is>
      </c>
      <c r="D7178" t="inlineStr">
        <is>
          <t>Klein Tools 6884INS Insulated Screwdriver, 1000V #1 Square Tip Screwdriver with 4-Inch Shank, Tip-Ident, Cushion-Grip Handle</t>
        </is>
      </c>
      <c r="E7178" s="2">
        <f>HYPERLINK("https://www.amazon.com/Klein-Tools-6884INS-Screwdriver-Cushion-Grip/dp/B0BF7K2YSW/ref=sr_1_7?keywords=Klein+Tools+6986INS+Slim-Tip+1000V+Insulated+Screwdriver%2C+%231+Square%2C+6-Inch+Round+Shank&amp;qid=1694735117&amp;sr=8-7", "https://www.amazon.com/Klein-Tools-6884INS-Screwdriver-Cushion-Grip/dp/B0BF7K2YSW/ref=sr_1_7?keywords=Klein+Tools+6986INS+Slim-Tip+1000V+Insulated+Screwdriver%2C+%231+Square%2C+6-Inch+Round+Shank&amp;qid=1694735117&amp;sr=8-7")</f>
        <v/>
      </c>
      <c r="F7178" t="inlineStr">
        <is>
          <t>B0BF7K2YSW</t>
        </is>
      </c>
      <c r="G7178">
        <f>_xludf.IMAGE("https://edmondsonsupply.com/cdn/shop/products/6986ins.jpg?v=1664806830")</f>
        <v/>
      </c>
      <c r="H7178">
        <f>_xludf.IMAGE("https://m.media-amazon.com/images/I/41avq0kPXJL._AC_UL320_.jpg")</f>
        <v/>
      </c>
      <c r="K7178" t="inlineStr">
        <is>
          <t>14.99</t>
        </is>
      </c>
      <c r="L7178" t="n">
        <v>9.970000000000001</v>
      </c>
      <c r="M7178" s="1" t="inlineStr">
        <is>
          <t>-33.49%</t>
        </is>
      </c>
      <c r="N7178" s="1" t="n"/>
      <c r="O7178" t="n">
        <v>4.8</v>
      </c>
      <c r="P7178" t="n">
        <v>414</v>
      </c>
      <c r="R7178" t="inlineStr">
        <is>
          <t>InStock</t>
        </is>
      </c>
      <c r="S7178" t="inlineStr">
        <is>
          <t>20.98</t>
        </is>
      </c>
      <c r="T7178" t="inlineStr">
        <is>
          <t>7837634461912</t>
        </is>
      </c>
    </row>
    <row r="7179" hidden="1" ht="15.75" customHeight="1">
      <c r="A7179" s="2">
        <f>HYPERLINK("https://edmondsonsupply.com/collections/electricians-tools/products/diablo-tools-dou125bw", "https://edmondsonsupply.com/collections/electricians-tools/products/diablo-tools-dou125bw")</f>
        <v/>
      </c>
      <c r="B7179" s="2">
        <f>HYPERLINK("https://edmondsonsupply.com/products/diablo-tools-dou125bw", "https://edmondsonsupply.com/products/diablo-tools-dou125bw")</f>
        <v/>
      </c>
      <c r="C7179" t="inlineStr">
        <is>
          <t>Diablo Tools DOU125BW 1-1/4 in. Universal Fit Bi-Metal Oscillating Blade for Nail-Embedded Wood</t>
        </is>
      </c>
      <c r="D7179" t="inlineStr">
        <is>
          <t>Diablo - DOU125BF 1-1/4 in. Universal Fit Bi-Metal Oscillating Blade for Metal</t>
        </is>
      </c>
      <c r="E7179" s="2">
        <f>HYPERLINK("https://www.amazon.com/Diablo-Freud-DOU125BF-Universal-Oscillating/dp/B089KV143Y/ref=sr_1_10?keywords=Diablo+Tools+DOU125BW+1-1%2F4+in.+Universal+Fit+Bi-Metal+Oscillating+Blade+for+Nail-Embedded+Wood&amp;qid=1694735198&amp;sr=8-10", "https://www.amazon.com/Diablo-Freud-DOU125BF-Universal-Oscillating/dp/B089KV143Y/ref=sr_1_10?keywords=Diablo+Tools+DOU125BW+1-1%2F4+in.+Universal+Fit+Bi-Metal+Oscillating+Blade+for+Nail-Embedded+Wood&amp;qid=1694735198&amp;sr=8-10")</f>
        <v/>
      </c>
      <c r="F7179" t="inlineStr">
        <is>
          <t>B089KV143Y</t>
        </is>
      </c>
      <c r="G7179">
        <f>_xludf.IMAGE("https://edmondsonsupply.com/cdn/shop/products/gnn0wpqc8veb3qhldcrb.webp?v=1676040020")</f>
        <v/>
      </c>
      <c r="H7179">
        <f>_xludf.IMAGE("https://m.media-amazon.com/images/I/61mZfXlj-XL._AC_UL320_.jpg")</f>
        <v/>
      </c>
      <c r="K7179" t="inlineStr">
        <is>
          <t>17.97</t>
        </is>
      </c>
      <c r="L7179" t="n">
        <v>11.95</v>
      </c>
      <c r="M7179" s="1" t="inlineStr">
        <is>
          <t>-33.50%</t>
        </is>
      </c>
      <c r="N7179" s="1" t="n"/>
      <c r="O7179" t="n">
        <v>3.7</v>
      </c>
      <c r="P7179" t="n">
        <v>8</v>
      </c>
      <c r="R7179" t="inlineStr">
        <is>
          <t>InStock</t>
        </is>
      </c>
      <c r="S7179" t="inlineStr">
        <is>
          <t>22.79</t>
        </is>
      </c>
      <c r="T7179" t="inlineStr">
        <is>
          <t>6846081433773</t>
        </is>
      </c>
    </row>
    <row r="7180" hidden="1" ht="15.75" customHeight="1">
      <c r="A7180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7180" s="2">
        <f>HYPERLINK("https://edmondsonsupply.com/products/klein-tools-11057-klein-kurve%c2%ae-wire-stripper-and-cutter", "https://edmondsonsupply.com/products/klein-tools-11057-klein-kurve%c2%ae-wire-stripper-and-cutter")</f>
        <v/>
      </c>
      <c r="C7180" t="inlineStr">
        <is>
          <t>Klein Tools 11057 Klein-Kurve® Wire Stripper and Cutter</t>
        </is>
      </c>
      <c r="D7180" t="inlineStr">
        <is>
          <t>Klein Tools 1011M Wire Stripper/Cutter Stranded Wire,Blue</t>
        </is>
      </c>
      <c r="E7180" s="2">
        <f>HYPERLINK("https://www.amazon.com/KLEIN-TOOLS-Wire-Stripper-Cutter/dp/B00AM1Z0UC/ref=sr_1_30?keywords=Klein+Tools+11057+Klein-Kurve%C2%AE+Wire+Stripper+and+Cutter&amp;qid=1694735357&amp;sr=8-30", "https://www.amazon.com/KLEIN-TOOLS-Wire-Stripper-Cutter/dp/B00AM1Z0UC/ref=sr_1_30?keywords=Klein+Tools+11057+Klein-Kurve%C2%AE+Wire+Stripper+and+Cutter&amp;qid=1694735357&amp;sr=8-30")</f>
        <v/>
      </c>
      <c r="F7180" t="inlineStr">
        <is>
          <t>B00AM1Z0UC</t>
        </is>
      </c>
      <c r="G7180">
        <f>_xludf.IMAGE("https://edmondsonsupply.com/cdn/shop/products/11057.jpg?v=1587146927")</f>
        <v/>
      </c>
      <c r="H7180">
        <f>_xludf.IMAGE("https://m.media-amazon.com/images/I/61x1rjoC-NL._AC_UL320_.jpg")</f>
        <v/>
      </c>
      <c r="K7180" t="inlineStr">
        <is>
          <t>20.97</t>
        </is>
      </c>
      <c r="L7180" t="n">
        <v>13.94</v>
      </c>
      <c r="M7180" s="1" t="inlineStr">
        <is>
          <t>-33.52%</t>
        </is>
      </c>
      <c r="N7180" s="1" t="n"/>
      <c r="O7180" t="n">
        <v>4.7</v>
      </c>
      <c r="P7180" t="n">
        <v>16</v>
      </c>
      <c r="R7180" t="inlineStr">
        <is>
          <t>InStock</t>
        </is>
      </c>
      <c r="S7180" t="inlineStr">
        <is>
          <t>32.72</t>
        </is>
      </c>
      <c r="T7180" t="inlineStr">
        <is>
          <t>4455254720612</t>
        </is>
      </c>
    </row>
    <row r="7181" hidden="1" ht="15.75" customHeight="1">
      <c r="A7181" s="2">
        <f>HYPERLINK("https://edmondsonsupply.com/collections/electricians-tools/products/klein-tools-19352-conduit-reamer", "https://edmondsonsupply.com/collections/electricians-tools/products/klein-tools-19352-conduit-reamer")</f>
        <v/>
      </c>
      <c r="B7181" s="2">
        <f>HYPERLINK("https://edmondsonsupply.com/products/klein-tools-19352-conduit-reamer", "https://edmondsonsupply.com/products/klein-tools-19352-conduit-reamer")</f>
        <v/>
      </c>
      <c r="C7181" t="inlineStr">
        <is>
          <t>Klein Tools 19352 Conduit Reamer</t>
        </is>
      </c>
      <c r="D7181" t="inlineStr">
        <is>
          <t>Klein Tools 19353 Conduit Reamer Replacement Blade Kit</t>
        </is>
      </c>
      <c r="E7181" s="2">
        <f>HYPERLINK("https://www.amazon.com/Conduit-Replacement-Klein-Tools-19353/dp/B00093GD68/ref=sr_1_4?keywords=Klein+Tools+19352+Conduit+Reamer&amp;qid=1694735413&amp;sr=8-4", "https://www.amazon.com/Conduit-Replacement-Klein-Tools-19353/dp/B00093GD68/ref=sr_1_4?keywords=Klein+Tools+19352+Conduit+Reamer&amp;qid=1694735413&amp;sr=8-4")</f>
        <v/>
      </c>
      <c r="F7181" t="inlineStr">
        <is>
          <t>B00093GD68</t>
        </is>
      </c>
      <c r="G7181">
        <f>_xludf.IMAGE("https://edmondsonsupply.com/cdn/shop/products/19352.jpg?v=1587145575")</f>
        <v/>
      </c>
      <c r="H7181">
        <f>_xludf.IMAGE("https://m.media-amazon.com/images/I/51TNO+FocdL._AC_UL320_.jpg")</f>
        <v/>
      </c>
      <c r="K7181" t="inlineStr">
        <is>
          <t>18.49</t>
        </is>
      </c>
      <c r="L7181" t="n">
        <v>12.28</v>
      </c>
      <c r="M7181" s="1" t="inlineStr">
        <is>
          <t>-33.59%</t>
        </is>
      </c>
      <c r="N7181" s="1" t="n"/>
      <c r="O7181" t="n">
        <v>4.5</v>
      </c>
      <c r="P7181" t="n">
        <v>1218</v>
      </c>
      <c r="R7181" t="inlineStr">
        <is>
          <t>InStock</t>
        </is>
      </c>
      <c r="S7181" t="inlineStr">
        <is>
          <t>27.24</t>
        </is>
      </c>
      <c r="T7181" t="inlineStr">
        <is>
          <t>4385945616484</t>
        </is>
      </c>
    </row>
    <row r="7182" ht="87" customHeight="1">
      <c r="A7182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7182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7182" t="inlineStr">
        <is>
          <t>Klein Tools NCVT-3P Dual Range Non-Contact Voltage Tester with Flashlight, 12 - 1000V AC</t>
        </is>
      </c>
      <c r="D7182" t="inlineStr">
        <is>
          <t>Klein Tools NCVT3P Dual Range Non Contact Voltage Tester, 12 - 1000V AC Pen, Flashlight, Audible and Flashing LED Alarms, Pocket Clip,green</t>
        </is>
      </c>
      <c r="E7182" s="2">
        <f>HYPERLINK("https://www.amazon.com/Klein-Tools-NCVT3P-Flashlight-Protection/dp/B08DQMX7YF/ref=sr_1_1?keywords=Klein+Tools+NCVT-3P+Dual+Range+Non-Contact+Voltage+Tester+with+Flashlight%2C+12+-+1000V+AC&amp;qid=1694735337&amp;sr=8-1", "https://www.amazon.com/Klein-Tools-NCVT3P-Flashlight-Protection/dp/B08DQMX7YF/ref=sr_1_1?keywords=Klein+Tools+NCVT-3P+Dual+Range+Non-Contact+Voltage+Tester+with+Flashlight%2C+12+-+1000V+AC&amp;qid=1694735337&amp;sr=8-1")</f>
        <v/>
      </c>
      <c r="F7182" t="inlineStr">
        <is>
          <t>B08DQMX7YF</t>
        </is>
      </c>
      <c r="G7182">
        <f>_xlfn.IMAGE("https://edmondsonsupply.com/cdn/shop/products/ncvt3p.jpg?v=1633030219")</f>
        <v/>
      </c>
      <c r="H7182">
        <f>_xlfn.IMAGE("https://m.media-amazon.com/images/I/516VUtyWXRL._AC_UL320_.jpg")</f>
        <v/>
      </c>
      <c r="K7182" t="inlineStr">
        <is>
          <t>29.97</t>
        </is>
      </c>
      <c r="L7182" t="n">
        <v>19.86</v>
      </c>
      <c r="M7182" s="1" t="inlineStr">
        <is>
          <t>-33.73%</t>
        </is>
      </c>
      <c r="N7182" s="7" t="n"/>
      <c r="O7182" t="n">
        <v>4.7</v>
      </c>
      <c r="P7182" t="n">
        <v>4222</v>
      </c>
      <c r="R7182" t="inlineStr">
        <is>
          <t>InStock</t>
        </is>
      </c>
      <c r="S7182" t="inlineStr">
        <is>
          <t>40.36</t>
        </is>
      </c>
      <c r="T7182" t="inlineStr">
        <is>
          <t>4505582174308</t>
        </is>
      </c>
    </row>
    <row r="7183" hidden="1" ht="15.75" customHeight="1">
      <c r="A7183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7183" s="2">
        <f>HYPERLINK("https://edmondsonsupply.com/products/klein-tools-630-3-8m-3-8-magnetic-tip-nut-driver-3-hollow-shank", "https://edmondsonsupply.com/products/klein-tools-630-3-8m-3-8-magnetic-tip-nut-driver-3-hollow-shank")</f>
        <v/>
      </c>
      <c r="C7183" t="inlineStr">
        <is>
          <t>Klein Tools 630-3/8M 3/8-Inch Magnetic Tip Nut Driver</t>
        </is>
      </c>
      <c r="D7183" t="inlineStr">
        <is>
          <t>Klein Tools S8M 1/4-Inch Magnetic Nut Driver with 3-Inch Solid Shaft and Comfordome Handle</t>
        </is>
      </c>
      <c r="E7183" s="2">
        <f>HYPERLINK("https://www.amazon.com/Magnetic-Comfordome-Klein-Tools-S8M/dp/B00093GCW8/ref=sr_1_45?keywords=Klein+Tools+630-3%2F8M+3%2F8-Inch+Magnetic+Tip+Nut+Driver&amp;qid=1694735121&amp;sr=8-45", "https://www.amazon.com/Magnetic-Comfordome-Klein-Tools-S8M/dp/B00093GCW8/ref=sr_1_45?keywords=Klein+Tools+630-3%2F8M+3%2F8-Inch+Magnetic+Tip+Nut+Driver&amp;qid=1694735121&amp;sr=8-45")</f>
        <v/>
      </c>
      <c r="F7183" t="inlineStr">
        <is>
          <t>B00093GCW8</t>
        </is>
      </c>
      <c r="G7183">
        <f>_xludf.IMAGE("https://edmondsonsupply.com/cdn/shop/products/630-3-8m.jpg?v=1587145139")</f>
        <v/>
      </c>
      <c r="H7183">
        <f>_xludf.IMAGE("https://m.media-amazon.com/images/I/31hOuSIKl7L._AC_UL320_.jpg")</f>
        <v/>
      </c>
      <c r="K7183" t="inlineStr">
        <is>
          <t>10.99</t>
        </is>
      </c>
      <c r="L7183" t="n">
        <v>7.28</v>
      </c>
      <c r="M7183" s="1" t="inlineStr">
        <is>
          <t>-33.76%</t>
        </is>
      </c>
      <c r="N7183" s="1" t="n"/>
      <c r="O7183" t="n">
        <v>3.8</v>
      </c>
      <c r="P7183" t="n">
        <v>8</v>
      </c>
      <c r="R7183" t="inlineStr">
        <is>
          <t>InStock</t>
        </is>
      </c>
      <c r="S7183" t="inlineStr">
        <is>
          <t>16.66</t>
        </is>
      </c>
      <c r="T7183" t="inlineStr">
        <is>
          <t>2766802288740</t>
        </is>
      </c>
    </row>
    <row r="7184" ht="87" customHeight="1">
      <c r="A7184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7184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7184" t="inlineStr">
        <is>
          <t>Klein Tools CL390 AC/DC Digital Clamp Meter, Auto-Ranging 400 Amp</t>
        </is>
      </c>
      <c r="D7184" t="inlineStr">
        <is>
          <t>Klein Tools Digital Clamp Meter, AC Auto-Ranging 400 Amp CL110</t>
        </is>
      </c>
      <c r="E7184" s="2">
        <f>HYPERLINK("https://www.amazon.com/Klein-Tools-Digital-Clamp-Meter/dp/B07G7BZTV3/ref=sr_1_12?keywords=Klein+Tools+CL390+AC%2FDC+Digital+Clamp+Meter%2C+Auto-Ranging+400+Amp&amp;qid=1694735129&amp;sr=8-12", "https://www.amazon.com/Klein-Tools-Digital-Clamp-Meter/dp/B07G7BZTV3/ref=sr_1_12?keywords=Klein+Tools+CL390+AC%2FDC+Digital+Clamp+Meter%2C+Auto-Ranging+400+Amp&amp;qid=1694735129&amp;sr=8-12")</f>
        <v/>
      </c>
      <c r="F7184" t="inlineStr">
        <is>
          <t>B07G7BZTV3</t>
        </is>
      </c>
      <c r="G7184">
        <f>_xlfn.IMAGE("https://edmondsonsupply.com/cdn/shop/products/cl390.jpg?v=1662670722")</f>
        <v/>
      </c>
      <c r="H7184">
        <f>_xlfn.IMAGE("https://m.media-amazon.com/images/I/51Dx4d1AI-L._AC_UY218_.jpg")</f>
        <v/>
      </c>
      <c r="K7184" t="inlineStr">
        <is>
          <t>99.97</t>
        </is>
      </c>
      <c r="L7184" t="n">
        <v>66.16</v>
      </c>
      <c r="M7184" s="1" t="inlineStr">
        <is>
          <t>-33.82%</t>
        </is>
      </c>
      <c r="N7184" s="7" t="n"/>
      <c r="O7184" t="n">
        <v>4.6</v>
      </c>
      <c r="P7184" t="n">
        <v>73</v>
      </c>
      <c r="R7184" t="inlineStr">
        <is>
          <t>InStock</t>
        </is>
      </c>
      <c r="S7184" t="inlineStr">
        <is>
          <t>133.3</t>
        </is>
      </c>
      <c r="T7184" t="inlineStr">
        <is>
          <t>7809430585560</t>
        </is>
      </c>
    </row>
    <row r="7185" ht="87" customHeight="1">
      <c r="A7185" s="2">
        <f>HYPERLINK("https://edmondsonsupply.com/collections/electricians-tools/products/tajima-gs-25-7-5mbw-gs-lock%E2%84%A2-standard-metric-scale-25-ft-7-5-m-x-1-1-16-in-27mm-steel-blade-tape-measure", "https://edmondsonsupply.com/collections/electricians-tools/products/tajima-gs-25-7-5mbw-gs-lock%E2%84%A2-standard-metric-scale-25-ft-7-5-m-x-1-1-16-in-27mm-steel-blade-tape-measure")</f>
        <v/>
      </c>
      <c r="B7185" s="2">
        <f>HYPERLINK("https://edmondsonsupply.com/products/tajima-gs-25-7-5mbw-gs-lock%e2%84%a2-standard-metric-scale-25-ft-7-5-m-x-1-1-16-in-27mm-steel-blade-tape-measure", "https://edmondsonsupply.com/products/tajima-gs-25-7-5mbw-gs-lock%e2%84%a2-standard-metric-scale-25-ft-7-5-m-x-1-1-16-in-27mm-steel-blade-tape-measure")</f>
        <v/>
      </c>
      <c r="C7185" t="inlineStr">
        <is>
          <t>Tajima GS-25/7.5MBW GS Lock™ Standard &amp; Metric Scale, 25 ft/ 7.5 m x 1-1/16 in./27mm Steel Blade Tape Measure</t>
        </is>
      </c>
      <c r="D7185" t="inlineStr">
        <is>
          <t>TAJIMA Tape Measure - SAE &amp; Metric Scale 25ft/7.5m x 1.1 inch GS-Lock Measuring Tape with Acrylic Coated Blade &amp; Safety Belt Holder - GSSF-25/7.5MBW</t>
        </is>
      </c>
      <c r="E7185" s="2">
        <f>HYPERLINK("https://www.amazon.com/TAJIMA-Tape-Measure-GS-Lock-Measuring/dp/B08J4HYBXZ/ref=sr_1_3?keywords=Tajima+GS-25%2F7.5MBW+GS+Lock%E2%84%A2+Standard+%26+Metric+Scale%2C+25+ft%2F+7.5+m+x+1-1%2F16+in.%2F27mm+Steel+Blade+Tape+Measure&amp;qid=1694735146&amp;sr=8-3", "https://www.amazon.com/TAJIMA-Tape-Measure-GS-Lock-Measuring/dp/B08J4HYBXZ/ref=sr_1_3?keywords=Tajima+GS-25%2F7.5MBW+GS+Lock%E2%84%A2+Standard+%26+Metric+Scale%2C+25+ft%2F+7.5+m+x+1-1%2F16+in.%2F27mm+Steel+Blade+Tape+Measure&amp;qid=1694735146&amp;sr=8-3")</f>
        <v/>
      </c>
      <c r="F7185" t="inlineStr">
        <is>
          <t>B08J4HYBXZ</t>
        </is>
      </c>
      <c r="G7185">
        <f>_xlfn.IMAGE("https://edmondsonsupply.com/cdn/shop/products/GS25-7.5MBW.jpg?v=1655830265")</f>
        <v/>
      </c>
      <c r="H7185">
        <f>_xlfn.IMAGE("https://m.media-amazon.com/images/I/51mF266MFFL._AC_UL320_.jpg")</f>
        <v/>
      </c>
      <c r="K7185" t="inlineStr">
        <is>
          <t>42.19</t>
        </is>
      </c>
      <c r="L7185" t="n">
        <v>27.92</v>
      </c>
      <c r="M7185" s="1" t="inlineStr">
        <is>
          <t>-33.82%</t>
        </is>
      </c>
      <c r="N7185" s="7" t="n"/>
      <c r="O7185" t="n">
        <v>4.5</v>
      </c>
      <c r="P7185" t="n">
        <v>135</v>
      </c>
      <c r="R7185" t="inlineStr">
        <is>
          <t>InStock</t>
        </is>
      </c>
      <c r="S7185" t="inlineStr">
        <is>
          <t>undefined</t>
        </is>
      </c>
      <c r="T7185" t="inlineStr">
        <is>
          <t>7726372552920</t>
        </is>
      </c>
    </row>
    <row r="7186" ht="87" customHeight="1">
      <c r="A7186" s="2">
        <f>HYPERLINK("https://edmondsonsupply.com/collections/electricians-tools/products/klein-tools-63050-eins-electricians-cable-cutter-insulated-high-leverage", "https://edmondsonsupply.com/collections/electricians-tools/products/klein-tools-63050-eins-electricians-cable-cutter-insulated-high-leverage")</f>
        <v/>
      </c>
      <c r="B7186" s="2">
        <f>HYPERLINK("https://edmondsonsupply.com/products/klein-tools-63050-eins-electricians-cable-cutter-insulated-high-leverage", "https://edmondsonsupply.com/products/klein-tools-63050-eins-electricians-cable-cutter-insulated-high-leverage")</f>
        <v/>
      </c>
      <c r="C7186" t="inlineStr">
        <is>
          <t>Klein Tools 63050-EINS Electricians Cable Cutter, Insulated, High-Leverage</t>
        </is>
      </c>
      <c r="D7186" t="inlineStr">
        <is>
          <t>Klein Tools 63050-EINS Cable Cutters, Electricians Insulated Cable Cutter, Cuts Aluminum, Soft Copper, Communications Cable</t>
        </is>
      </c>
      <c r="E7186" s="2">
        <f>HYPERLINK("https://www.amazon.com/Klein-Tools-63050-EINS-Electricians-Insulated/dp/B00JGG5U04/ref=sr_1_1?keywords=Klein+Tools+63050-EINS+Electricians+Cable+Cutter%2C+Insulated%2C+High-Leverage&amp;qid=1694735232&amp;sr=8-1", "https://www.amazon.com/Klein-Tools-63050-EINS-Electricians-Insulated/dp/B00JGG5U04/ref=sr_1_1?keywords=Klein+Tools+63050-EINS+Electricians+Cable+Cutter%2C+Insulated%2C+High-Leverage&amp;qid=1694735232&amp;sr=8-1")</f>
        <v/>
      </c>
      <c r="F7186" t="inlineStr">
        <is>
          <t>B00JGG5U04</t>
        </is>
      </c>
      <c r="G7186">
        <f>_xlfn.IMAGE("https://edmondsonsupply.com/cdn/shop/products/63050eins.jpg?v=1633030869")</f>
        <v/>
      </c>
      <c r="H7186">
        <f>_xlfn.IMAGE("https://m.media-amazon.com/images/I/51gCq30GmQL._AC_UL320_.jpg")</f>
        <v/>
      </c>
      <c r="K7186" t="inlineStr">
        <is>
          <t>64.99</t>
        </is>
      </c>
      <c r="L7186" t="n">
        <v>43</v>
      </c>
      <c r="M7186" s="1" t="inlineStr">
        <is>
          <t>-33.84%</t>
        </is>
      </c>
      <c r="N7186" s="7" t="n"/>
      <c r="O7186" t="n">
        <v>4.7</v>
      </c>
      <c r="P7186" t="n">
        <v>176</v>
      </c>
      <c r="R7186" t="inlineStr">
        <is>
          <t>InStock</t>
        </is>
      </c>
      <c r="S7186" t="inlineStr">
        <is>
          <t>106.16</t>
        </is>
      </c>
      <c r="T7186" t="inlineStr">
        <is>
          <t>6135876714669</t>
        </is>
      </c>
    </row>
    <row r="7187" hidden="1" ht="15.75" customHeight="1">
      <c r="A7187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7187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7187" t="inlineStr">
        <is>
          <t>Diablo Tools DOU125BF 1-1/4 in. Universal Fit Bi-Metal Oscillating Blade for Metal</t>
        </is>
      </c>
      <c r="D7187" t="inlineStr">
        <is>
          <t>Diablo by Freud DOU125JBW 1-1/4 in. Universal Fit Bi-Metal Oscillating Blade for Clean Wood</t>
        </is>
      </c>
      <c r="E7187" s="2">
        <f>HYPERLINK("https://www.amazon.com/Diablo-Freud-DOU125JBW-Universal-Oscillating/dp/B089KV62LL/ref=sr_1_5?keywords=Diablo+Tools+DOU125BF+1-1%2F4+in.+Universal+Fit+Bi-Metal+Oscillating+Blade+for+Metal&amp;qid=1694734995&amp;sr=8-5", "https://www.amazon.com/Diablo-Freud-DOU125JBW-Universal-Oscillating/dp/B089KV62LL/ref=sr_1_5?keywords=Diablo+Tools+DOU125BF+1-1%2F4+in.+Universal+Fit+Bi-Metal+Oscillating+Blade+for+Metal&amp;qid=1694734995&amp;sr=8-5")</f>
        <v/>
      </c>
      <c r="F7187" t="inlineStr">
        <is>
          <t>B089KV62LL</t>
        </is>
      </c>
      <c r="G7187">
        <f>_xludf.IMAGE("https://edmondsonsupply.com/cdn/shop/files/k1d1qiwmm4npznsdbwtg.webp?v=1685467858")</f>
        <v/>
      </c>
      <c r="H7187">
        <f>_xludf.IMAGE("https://m.media-amazon.com/images/I/61wFHtmEH5L._AC_UL320_.jpg")</f>
        <v/>
      </c>
      <c r="K7187" t="inlineStr">
        <is>
          <t>18.97</t>
        </is>
      </c>
      <c r="L7187" t="n">
        <v>12.49</v>
      </c>
      <c r="M7187" s="1" t="inlineStr">
        <is>
          <t>-34.16%</t>
        </is>
      </c>
      <c r="N7187" s="1" t="n"/>
      <c r="O7187" t="n">
        <v>4.8</v>
      </c>
      <c r="P7187" t="n">
        <v>12</v>
      </c>
      <c r="R7187" t="inlineStr">
        <is>
          <t>InStock</t>
        </is>
      </c>
      <c r="S7187" t="inlineStr">
        <is>
          <t>22.35</t>
        </is>
      </c>
      <c r="T7187" t="inlineStr">
        <is>
          <t>7997877584088</t>
        </is>
      </c>
    </row>
    <row r="7188" ht="87" customHeight="1">
      <c r="A7188" s="2">
        <f>HYPERLINK("https://edmondsonsupply.com/collections/electricians-tools/products/diablo-tools-dmamx1010", "https://edmondsonsupply.com/collections/electricians-tools/products/diablo-tools-dmamx1010")</f>
        <v/>
      </c>
      <c r="B7188" s="2">
        <f>HYPERLINK("https://edmondsonsupply.com/products/diablo-tools-dmamx1010", "https://edmondsonsupply.com/products/diablo-tools-dmamx1010")</f>
        <v/>
      </c>
      <c r="C7188" t="inlineStr">
        <is>
          <t>Diablo Tools DMAMX1010 3/8 in. x 8 in. x 13 in. Rebar Demon SDS‑Max 4‑Cutter Full Carbide Head Hammer Bit</t>
        </is>
      </c>
      <c r="D7188" t="inlineStr">
        <is>
          <t>Diablo by Freud DMAPL4200 1/2 in. x 16 in. x 18 in. Rebar Demon SDS-Plus 4-Cutter Full Carbide Head Hammer Bit</t>
        </is>
      </c>
      <c r="E7188" s="2">
        <f>HYPERLINK("https://www.amazon.com/Diablo-Freud-DMAPL4200-SDS-Plus-4-Cutter/dp/B089KW2QV1/ref=sr_1_28?keywords=Diablo+Tools+DMAMX1010+3%2F8+in.+x+8+in.+x+13+in.+Rebar+Demon+SDS%E2%80%91Max+4%E2%80%91Cutter+Full+Carbide+Head+Hammer+Bit&amp;qid=1694735277&amp;sr=8-28", "https://www.amazon.com/Diablo-Freud-DMAPL4200-SDS-Plus-4-Cutter/dp/B089KW2QV1/ref=sr_1_28?keywords=Diablo+Tools+DMAMX1010+3%2F8+in.+x+8+in.+x+13+in.+Rebar+Demon+SDS%E2%80%91Max+4%E2%80%91Cutter+Full+Carbide+Head+Hammer+Bit&amp;qid=1694735277&amp;sr=8-28")</f>
        <v/>
      </c>
      <c r="F7188" t="inlineStr">
        <is>
          <t>B089KW2QV1</t>
        </is>
      </c>
      <c r="G7188">
        <f>_xlfn.IMAGE("https://edmondsonsupply.com/cdn/shop/products/DMAMX1010_Main-Image20200701.png?v=1609797900")</f>
        <v/>
      </c>
      <c r="H7188">
        <f>_xlfn.IMAGE("https://m.media-amazon.com/images/I/61rW+ROVmNL._AC_UL320_.jpg")</f>
        <v/>
      </c>
      <c r="K7188" t="inlineStr">
        <is>
          <t>34.97</t>
        </is>
      </c>
      <c r="L7188" t="n">
        <v>23</v>
      </c>
      <c r="M7188" s="1" t="inlineStr">
        <is>
          <t>-34.23%</t>
        </is>
      </c>
      <c r="N7188" s="7" t="n"/>
      <c r="O7188" t="n">
        <v>4.7</v>
      </c>
      <c r="P7188" t="n">
        <v>18</v>
      </c>
      <c r="R7188" t="inlineStr">
        <is>
          <t>InStock</t>
        </is>
      </c>
      <c r="S7188" t="inlineStr">
        <is>
          <t>43.11</t>
        </is>
      </c>
      <c r="T7188" t="inlineStr">
        <is>
          <t>5463785701544</t>
        </is>
      </c>
    </row>
    <row r="7189" hidden="1" ht="15.75" customHeight="1">
      <c r="A7189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189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189" t="inlineStr">
        <is>
          <t>Diablo Tools DMAMX1230 1 in. x 24 in. x 29 in. Rebar Demon™ SDS-Max 4-Cutter Full Carbide Head Hammer Bit</t>
        </is>
      </c>
      <c r="D7189" t="inlineStr">
        <is>
          <t>Diablo by Freud DMAMX1120 5/8 in. x 31 in. x 36 in. Rebar Demon SDS-Max 4-Cutter Full Carbide Head Hammer Bit</t>
        </is>
      </c>
      <c r="E7189" s="2">
        <f>HYPERLINK("https://www.amazon.com/Diablo-SDS-Max-4-Cutter-Carbide-Hammer/dp/B089LJFH3C/ref=sr_1_9?keywords=Diablo+Tools+DMAMX1230+1+in.+x+24+in.+x+29+in.+Rebar+Demon%E2%84%A2+SDS-Max+4-Cutter+Full+Carbide+Head+Hammer+Bit&amp;qid=1694735297&amp;sr=8-9", "https://www.amazon.com/Diablo-SDS-Max-4-Cutter-Carbide-Hammer/dp/B089LJFH3C/ref=sr_1_9?keywords=Diablo+Tools+DMAMX1230+1+in.+x+24+in.+x+29+in.+Rebar+Demon%E2%84%A2+SDS-Max+4-Cutter+Full+Carbide+Head+Hammer+Bit&amp;qid=1694735297&amp;sr=8-9")</f>
        <v/>
      </c>
      <c r="F7189" t="inlineStr">
        <is>
          <t>B089LJFH3C</t>
        </is>
      </c>
      <c r="G7189">
        <f>_xludf.IMAGE("https://edmondsonsupply.com/cdn/shop/products/DMAMX1230_1.jpg?v=1633030364")</f>
        <v/>
      </c>
      <c r="H7189">
        <f>_xludf.IMAGE("https://m.media-amazon.com/images/I/615ffyRtaAL._AC_UL320_.jpg")</f>
        <v/>
      </c>
      <c r="K7189" t="inlineStr">
        <is>
          <t>124.97</t>
        </is>
      </c>
      <c r="L7189" t="n">
        <v>82.18000000000001</v>
      </c>
      <c r="M7189" s="1" t="inlineStr">
        <is>
          <t>-34.24%</t>
        </is>
      </c>
      <c r="N7189" s="1" t="n"/>
      <c r="O7189" t="n">
        <v>3.9</v>
      </c>
      <c r="P7189" t="n">
        <v>4</v>
      </c>
      <c r="R7189" t="inlineStr">
        <is>
          <t>InStock</t>
        </is>
      </c>
      <c r="S7189" t="inlineStr">
        <is>
          <t>152.89</t>
        </is>
      </c>
      <c r="T7189" t="inlineStr">
        <is>
          <t>5289176072360</t>
        </is>
      </c>
    </row>
    <row r="7190" ht="87" customHeight="1">
      <c r="A7190" s="2">
        <f>HYPERLINK("https://edmondsonsupply.com/collections/electricians-tools/products/klein-tools-d502-12-pump-pliers-12-inch", "https://edmondsonsupply.com/collections/electricians-tools/products/klein-tools-d502-12-pump-pliers-12-inch")</f>
        <v/>
      </c>
      <c r="B7190" s="2">
        <f>HYPERLINK("https://edmondsonsupply.com/products/klein-tools-d502-12-pump-pliers-12-inch", "https://edmondsonsupply.com/products/klein-tools-d502-12-pump-pliers-12-inch")</f>
        <v/>
      </c>
      <c r="C7190" t="inlineStr">
        <is>
          <t>Klein Tools D502-12 Pump Pliers, 12-Inch</t>
        </is>
      </c>
      <c r="D7190" t="inlineStr">
        <is>
          <t>Klein Tools D502-6 Pump Pliers, Dipped 6-Inch Tongue and Groove, Yellow</t>
        </is>
      </c>
      <c r="E7190" s="2">
        <f>HYPERLINK("https://www.amazon.com/Pliers-6-Inch-Klein-Tools-D502-6/dp/B0002RI9UY/ref=sr_1_fkmr0_1?keywords=Klein+Tools+D502-12+Pump+Pliers%2C+12-Inch&amp;qid=1694735273&amp;sr=8-1-fkmr0", "https://www.amazon.com/Pliers-6-Inch-Klein-Tools-D502-6/dp/B0002RI9UY/ref=sr_1_fkmr0_1?keywords=Klein+Tools+D502-12+Pump+Pliers%2C+12-Inch&amp;qid=1694735273&amp;sr=8-1-fkmr0")</f>
        <v/>
      </c>
      <c r="F7190" t="inlineStr">
        <is>
          <t>B0002RI9UY</t>
        </is>
      </c>
      <c r="G7190">
        <f>_xlfn.IMAGE("https://edmondsonsupply.com/cdn/shop/products/d502-6.jpg?v=1633030574")</f>
        <v/>
      </c>
      <c r="H7190">
        <f>_xlfn.IMAGE("https://m.media-amazon.com/images/I/41XntVeFqRL._AC_UL320_.jpg")</f>
        <v/>
      </c>
      <c r="K7190" t="inlineStr">
        <is>
          <t>30.99</t>
        </is>
      </c>
      <c r="L7190" t="n">
        <v>20.34</v>
      </c>
      <c r="M7190" s="1" t="inlineStr">
        <is>
          <t>-34.37%</t>
        </is>
      </c>
      <c r="N7190" s="7" t="n"/>
      <c r="O7190" t="n">
        <v>4.7</v>
      </c>
      <c r="P7190" t="n">
        <v>170</v>
      </c>
      <c r="R7190" t="inlineStr">
        <is>
          <t>InStock</t>
        </is>
      </c>
      <c r="S7190" t="inlineStr">
        <is>
          <t>46.96</t>
        </is>
      </c>
      <c r="T7190" t="inlineStr">
        <is>
          <t>5525244706984</t>
        </is>
      </c>
    </row>
    <row r="7191" ht="87" customHeight="1">
      <c r="A7191" s="2">
        <f>HYPERLINK("https://edmondsonsupply.com/collections/electricians-tools/products/fluke-indc8", "https://edmondsonsupply.com/collections/electricians-tools/products/fluke-indc8")</f>
        <v/>
      </c>
      <c r="B7191" s="2">
        <f>HYPERLINK("https://edmondsonsupply.com/products/fluke-indc8", "https://edmondsonsupply.com/products/fluke-indc8")</f>
        <v/>
      </c>
      <c r="C7191" t="inlineStr">
        <is>
          <t>Fluke INDC8 Insulated High Leverage Diagonal Cutter</t>
        </is>
      </c>
      <c r="D7191" t="inlineStr">
        <is>
          <t>Knipex 32022 160mm Fully Insulated High Leverage Diagonal Side Cutters</t>
        </is>
      </c>
      <c r="E7191" s="2">
        <f>HYPERLINK("https://www.amazon.com/Draper-Insulated-Leverage-Diagonal-Cutters/dp/B003UGIREM/ref=sr_1_9?keywords=Fluke+INDC8+Insulated+High+Leverage+Diagonal+Cutter&amp;qid=1694735326&amp;sr=8-9", "https://www.amazon.com/Draper-Insulated-Leverage-Diagonal-Cutters/dp/B003UGIREM/ref=sr_1_9?keywords=Fluke+INDC8+Insulated+High+Leverage+Diagonal+Cutter&amp;qid=1694735326&amp;sr=8-9")</f>
        <v/>
      </c>
      <c r="F7191" t="inlineStr">
        <is>
          <t>B003UGIREM</t>
        </is>
      </c>
      <c r="G7191">
        <f>_xlfn.IMAGE("https://edmondsonsupply.com/cdn/shop/products/indc8-1.jpg?v=1588886196")</f>
        <v/>
      </c>
      <c r="H7191">
        <f>_xlfn.IMAGE("https://m.media-amazon.com/images/I/51td3jwO8JL._AC_UL320_.jpg")</f>
        <v/>
      </c>
      <c r="K7191" t="inlineStr">
        <is>
          <t>71.99</t>
        </is>
      </c>
      <c r="L7191" t="n">
        <v>47.2</v>
      </c>
      <c r="M7191" s="1" t="inlineStr">
        <is>
          <t>-34.44%</t>
        </is>
      </c>
      <c r="N7191" s="7" t="n"/>
      <c r="O7191" t="n">
        <v>5</v>
      </c>
      <c r="P7191" t="n">
        <v>4</v>
      </c>
      <c r="R7191" t="inlineStr">
        <is>
          <t>OutOfStock</t>
        </is>
      </c>
      <c r="S7191" t="inlineStr">
        <is>
          <t>79.99</t>
        </is>
      </c>
      <c r="T7191" t="inlineStr">
        <is>
          <t>4625639571556</t>
        </is>
      </c>
    </row>
    <row r="7192" ht="87" customHeight="1">
      <c r="A7192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192" s="2">
        <f>HYPERLINK("https://edmondsonsupply.com/products/veto-pro-pac-tech-pac-backpack-tool-bag-1", "https://edmondsonsupply.com/products/veto-pro-pac-tech-pac-backpack-tool-bag-1")</f>
        <v/>
      </c>
      <c r="C7192" t="inlineStr">
        <is>
          <t>Veto Pro Pac TECH PAC LT Laptop Backpack Tool Bag</t>
        </is>
      </c>
      <c r="D7192" t="inlineStr">
        <is>
          <t>VETO PRO PAC TECH-MCT Tool Bag (Original)</t>
        </is>
      </c>
      <c r="E7192" s="2">
        <f>HYPERLINK("https://www.amazon.com/VETO-PRO-PAC-TECH-MCT-Tool/dp/B01CENNFYS/ref=sr_1_3?keywords=Veto+Pro+Pac+TECH+PAC+LT+Laptop+Backpack+Tool+Bag&amp;qid=1694735205&amp;sr=8-3", "https://www.amazon.com/VETO-PRO-PAC-TECH-MCT-Tool/dp/B01CENNFYS/ref=sr_1_3?keywords=Veto+Pro+Pac+TECH+PAC+LT+Laptop+Backpack+Tool+Bag&amp;qid=1694735205&amp;sr=8-3")</f>
        <v/>
      </c>
      <c r="F7192" t="inlineStr">
        <is>
          <t>B01CENNFYS</t>
        </is>
      </c>
      <c r="G7192">
        <f>_xlfn.IMAGE("https://edmondsonsupply.com/cdn/shop/products/LT_1.jpg?v=1587146035")</f>
        <v/>
      </c>
      <c r="H7192">
        <f>_xlfn.IMAGE("https://m.media-amazon.com/images/I/61GanfvVX6L._AC_UL320_.jpg")</f>
        <v/>
      </c>
      <c r="K7192" t="inlineStr">
        <is>
          <t>289.99</t>
        </is>
      </c>
      <c r="L7192" t="n">
        <v>189.95</v>
      </c>
      <c r="M7192" s="1" t="inlineStr">
        <is>
          <t>-34.50%</t>
        </is>
      </c>
      <c r="N7192" s="7" t="n"/>
      <c r="O7192" t="n">
        <v>4.8</v>
      </c>
      <c r="P7192" t="n">
        <v>2081</v>
      </c>
      <c r="R7192" t="inlineStr">
        <is>
          <t>InStock</t>
        </is>
      </c>
      <c r="S7192" t="inlineStr">
        <is>
          <t>undefined</t>
        </is>
      </c>
      <c r="T7192" t="inlineStr">
        <is>
          <t>3558529695844</t>
        </is>
      </c>
    </row>
    <row r="7193" hidden="1" ht="15.75" customHeight="1">
      <c r="A7193" s="2">
        <f>HYPERLINK("https://edmondsonsupply.com/collections/electricians-tools/products/diablo-tools-dag", "https://edmondsonsupply.com/collections/electricians-tools/products/diablo-tools-dag")</f>
        <v/>
      </c>
      <c r="B7193" s="2">
        <f>HYPERLINK("https://edmondsonsupply.com/products/diablo-tools-dag", "https://edmondsonsupply.com/products/diablo-tools-dag")</f>
        <v/>
      </c>
      <c r="C7193" t="inlineStr">
        <is>
          <t>Diablo Tools DAG3010 3/8 in. x 17-1/2 in. Auger Bit</t>
        </is>
      </c>
      <c r="D7193" t="inlineStr">
        <is>
          <t>Diablo by Freud DAG2010 3/8 in. x 13 in. Auger Bit Multi, One Size</t>
        </is>
      </c>
      <c r="E7193" s="2">
        <f>HYPERLINK("https://www.amazon.com/Diablo-DAG2010-13-Auger-Bit/dp/B089KW8RBS/ref=sr_1_5?keywords=Diablo+Tools+DAG3010+3%2F8+in.+x+17-1%2F2+in.+Auger+Bit&amp;qid=1694735073&amp;sr=8-5", "https://www.amazon.com/Diablo-DAG2010-13-Auger-Bit/dp/B089KW8RBS/ref=sr_1_5?keywords=Diablo+Tools+DAG3010+3%2F8+in.+x+17-1%2F2+in.+Auger+Bit&amp;qid=1694735073&amp;sr=8-5")</f>
        <v/>
      </c>
      <c r="F7193" t="inlineStr">
        <is>
          <t>B089KW8RBS</t>
        </is>
      </c>
      <c r="G7193">
        <f>_xludf.IMAGE("https://edmondsonsupply.com/cdn/shop/products/xfctdbahz5wx3g461fm8.webp?v=1669991052")</f>
        <v/>
      </c>
      <c r="H7193">
        <f>_xludf.IMAGE("https://m.media-amazon.com/images/I/61XYK47f4zL._AC_UL320_.jpg")</f>
        <v/>
      </c>
      <c r="K7193" t="inlineStr">
        <is>
          <t>17.47</t>
        </is>
      </c>
      <c r="L7193" t="n">
        <v>11.44</v>
      </c>
      <c r="M7193" s="1" t="inlineStr">
        <is>
          <t>-34.52%</t>
        </is>
      </c>
      <c r="N7193" s="1" t="n"/>
      <c r="O7193" t="n">
        <v>3.7</v>
      </c>
      <c r="P7193" t="n">
        <v>4</v>
      </c>
      <c r="R7193" t="inlineStr">
        <is>
          <t>InStock</t>
        </is>
      </c>
      <c r="S7193" t="inlineStr">
        <is>
          <t>25.04</t>
        </is>
      </c>
      <c r="T7193" t="inlineStr">
        <is>
          <t>7897480921304</t>
        </is>
      </c>
    </row>
    <row r="7194" ht="87" customHeight="1">
      <c r="A7194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194" s="2">
        <f>HYPERLINK("https://edmondsonsupply.com/products/klein-tools-32307-27-in-1-multi-bit-tamperproof-screwdriver", "https://edmondsonsupply.com/products/klein-tools-32307-27-in-1-multi-bit-tamperproof-screwdriver")</f>
        <v/>
      </c>
      <c r="C7194" t="inlineStr">
        <is>
          <t>Klein Tools 32307 27-in-1 Multi-Bit Tamperproof Screwdriver</t>
        </is>
      </c>
      <c r="D7194" t="inlineStr">
        <is>
          <t>Klein Tools 32560 Multi-Bit Screwdriver / Nut Driver, Extended Reach 6-in-1 Tool with Phillips, Slotted and Square Bits and Nut Drivers</t>
        </is>
      </c>
      <c r="E7194" s="2">
        <f>HYPERLINK("https://www.amazon.com/Extended-Screwdriver-Klein-Tools-32560/dp/B005FQDHF4/ref=sr_1_27?keywords=Klein+Tools+32307+27-in-1+Multi-Bit+Tamperproof+Screwdriver&amp;qid=1694735165&amp;sr=8-27", "https://www.amazon.com/Extended-Screwdriver-Klein-Tools-32560/dp/B005FQDHF4/ref=sr_1_27?keywords=Klein+Tools+32307+27-in-1+Multi-Bit+Tamperproof+Screwdriver&amp;qid=1694735165&amp;sr=8-27")</f>
        <v/>
      </c>
      <c r="F7194" t="inlineStr">
        <is>
          <t>B005FQDHF4</t>
        </is>
      </c>
      <c r="G7194">
        <f>_xlfn.IMAGE("https://edmondsonsupply.com/cdn/shop/products/32307.jpg?v=1647347524")</f>
        <v/>
      </c>
      <c r="H7194">
        <f>_xlfn.IMAGE("https://m.media-amazon.com/images/I/516UhfUKmUL._AC_UL320_.jpg")</f>
        <v/>
      </c>
      <c r="K7194" t="inlineStr">
        <is>
          <t>25.97</t>
        </is>
      </c>
      <c r="L7194" t="n">
        <v>16.99</v>
      </c>
      <c r="M7194" s="1" t="inlineStr">
        <is>
          <t>-34.58%</t>
        </is>
      </c>
      <c r="N7194" s="7" t="n"/>
      <c r="O7194" t="n">
        <v>4.8</v>
      </c>
      <c r="P7194" t="n">
        <v>679</v>
      </c>
      <c r="R7194" t="inlineStr">
        <is>
          <t>InStock</t>
        </is>
      </c>
      <c r="S7194" t="inlineStr">
        <is>
          <t>36.38</t>
        </is>
      </c>
      <c r="T7194" t="inlineStr">
        <is>
          <t>7637266366680</t>
        </is>
      </c>
    </row>
    <row r="7195" hidden="1" ht="15.75" customHeight="1">
      <c r="A7195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7195" s="2">
        <f>HYPERLINK("https://edmondsonsupply.com/products/klein-tools-jth6m10-10-mm-hex-key-journeyman-t-handle-6-inch", "https://edmondsonsupply.com/products/klein-tools-jth6m10-10-mm-hex-key-journeyman-t-handle-6-inch")</f>
        <v/>
      </c>
      <c r="C7195" t="inlineStr">
        <is>
          <t>Klein Tools JTH6M10 10 mm Hex Key Journeyman T-Handle 6-Inch</t>
        </is>
      </c>
      <c r="D7195" t="inlineStr">
        <is>
          <t>Klein Tools JTH9M3 3 mm Hex Key, Journeyman T-Handle, 9-Inch</t>
        </is>
      </c>
      <c r="E7195" s="2">
        <f>HYPERLINK("https://www.amazon.com/Journeyman-T-Handle-Klein-Tools-JTH9M3/dp/B005G3HJ28/ref=sr_1_13?keywords=Klein+Tools+JTH6M10+10+mm+Hex+Key+Journeyman+T-Handle+6-Inch&amp;qid=1694735203&amp;sr=8-13", "https://www.amazon.com/Journeyman-T-Handle-Klein-Tools-JTH9M3/dp/B005G3HJ28/ref=sr_1_13?keywords=Klein+Tools+JTH6M10+10+mm+Hex+Key+Journeyman+T-Handle+6-Inch&amp;qid=1694735203&amp;sr=8-13")</f>
        <v/>
      </c>
      <c r="F7195" t="inlineStr">
        <is>
          <t>B005G3HJ28</t>
        </is>
      </c>
      <c r="G7195">
        <f>_xludf.IMAGE("https://edmondsonsupply.com/cdn/shop/products/jth6m8_64c2c8d3-e13e-4b81-9b34-745be7fd837a.jpg?v=1627827117")</f>
        <v/>
      </c>
      <c r="H7195">
        <f>_xludf.IMAGE("https://m.media-amazon.com/images/I/51MZtGjDOtL._AC_UL320_.jpg")</f>
        <v/>
      </c>
      <c r="K7195" t="inlineStr">
        <is>
          <t>8.99</t>
        </is>
      </c>
      <c r="L7195" t="n">
        <v>5.88</v>
      </c>
      <c r="M7195" s="1" t="inlineStr">
        <is>
          <t>-34.59%</t>
        </is>
      </c>
      <c r="N7195" s="1" t="n"/>
      <c r="O7195" t="n">
        <v>4.6</v>
      </c>
      <c r="P7195" t="n">
        <v>179</v>
      </c>
      <c r="R7195" t="inlineStr">
        <is>
          <t>InStock</t>
        </is>
      </c>
      <c r="S7195" t="inlineStr">
        <is>
          <t>13.56</t>
        </is>
      </c>
      <c r="T7195" t="inlineStr">
        <is>
          <t>6852298014893</t>
        </is>
      </c>
    </row>
    <row r="7196" hidden="1" ht="15.75" customHeight="1">
      <c r="A7196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7196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7196" t="inlineStr">
        <is>
          <t>Klein Tools JTH6E15 3/8-Inch Hex Key with Journeyman T-Handle, 6-Inch</t>
        </is>
      </c>
      <c r="D7196" t="inlineStr">
        <is>
          <t>Klein Tools JTH9M3 3 mm Hex Key, Journeyman T-Handle, 9-Inch</t>
        </is>
      </c>
      <c r="E7196" s="2">
        <f>HYPERLINK("https://www.amazon.com/Journeyman-T-Handle-Klein-Tools-JTH9M3/dp/B005G3HJ28/ref=sr_1_12?keywords=Klein+Tools+JTH6E15+3%2F8-Inch+Hex+Key+with+Journeyman+T-Handle%2C+6-Inch&amp;qid=1694735343&amp;sr=8-12", "https://www.amazon.com/Journeyman-T-Handle-Klein-Tools-JTH9M3/dp/B005G3HJ28/ref=sr_1_12?keywords=Klein+Tools+JTH6E15+3%2F8-Inch+Hex+Key+with+Journeyman+T-Handle%2C+6-Inch&amp;qid=1694735343&amp;sr=8-12")</f>
        <v/>
      </c>
      <c r="F7196" t="inlineStr">
        <is>
          <t>B005G3HJ28</t>
        </is>
      </c>
      <c r="G7196">
        <f>_xludf.IMAGE("https://edmondsonsupply.com/cdn/shop/products/jth6e15_c4dd65ba-86a8-4743-882c-88cf44faafdc.jpg?v=1587142819")</f>
        <v/>
      </c>
      <c r="H7196">
        <f>_xludf.IMAGE("https://m.media-amazon.com/images/I/51MZtGjDOtL._AC_UL320_.jpg")</f>
        <v/>
      </c>
      <c r="K7196" t="inlineStr">
        <is>
          <t>8.99</t>
        </is>
      </c>
      <c r="L7196" t="n">
        <v>5.88</v>
      </c>
      <c r="M7196" s="1" t="inlineStr">
        <is>
          <t>-34.59%</t>
        </is>
      </c>
      <c r="N7196" s="1" t="n"/>
      <c r="O7196" t="n">
        <v>4.6</v>
      </c>
      <c r="P7196" t="n">
        <v>179</v>
      </c>
      <c r="R7196" t="inlineStr">
        <is>
          <t>InStock</t>
        </is>
      </c>
      <c r="S7196" t="inlineStr">
        <is>
          <t>13.56</t>
        </is>
      </c>
      <c r="T7196" t="inlineStr">
        <is>
          <t>4512705970276</t>
        </is>
      </c>
    </row>
    <row r="7197" ht="87" customHeight="1">
      <c r="A7197" s="2">
        <f>HYPERLINK("https://edmondsonsupply.com/collections/electricians-tools/products/milwaukee-2960-22-m18-fuel%E2%84%A2-3-8-mid-torque-impact-wrench-w-friction-ring-kit", "https://edmondsonsupply.com/collections/electricians-tools/products/milwaukee-2960-22-m18-fuel%E2%84%A2-3-8-mid-torque-impact-wrench-w-friction-ring-kit")</f>
        <v/>
      </c>
      <c r="B7197" s="2">
        <f>HYPERLINK("https://edmondsonsupply.com/products/milwaukee-2960-22-m18-fuel%e2%84%a2-3-8-mid-torque-impact-wrench-w-friction-ring-kit", "https://edmondsonsupply.com/products/milwaukee-2960-22-m18-fuel%e2%84%a2-3-8-mid-torque-impact-wrench-w-friction-ring-kit")</f>
        <v/>
      </c>
      <c r="C7197" t="inlineStr">
        <is>
          <t>Milwaukee 2960-22 M18 FUEL™ 3/8 " Mid-Torque Impact Wrench w/ Friction Ring Kit</t>
        </is>
      </c>
      <c r="D7197" t="inlineStr">
        <is>
          <t>Milwaukee M18 FUEL Mid-Torque 3/8" Impact Wrench with Friction Ring Kit - (2) 2.0Ah Batteries &amp; Charger</t>
        </is>
      </c>
      <c r="E7197" s="2">
        <f>HYPERLINK("https://www.amazon.com/Milwaukee-Mid-Torque-Impact-Wrench-Friction/dp/B09CKBBZQ5/ref=sr_1_5?keywords=Milwaukee+2960-22+M18+FUEL%E2%84%A2+3%2F8+%22+Mid-Torque+Impact+Wrench+w%2F+Friction+Ring+Kit&amp;qid=1694735132&amp;sr=8-5", "https://www.amazon.com/Milwaukee-Mid-Torque-Impact-Wrench-Friction/dp/B09CKBBZQ5/ref=sr_1_5?keywords=Milwaukee+2960-22+M18+FUEL%E2%84%A2+3%2F8+%22+Mid-Torque+Impact+Wrench+w%2F+Friction+Ring+Kit&amp;qid=1694735132&amp;sr=8-5")</f>
        <v/>
      </c>
      <c r="F7197" t="inlineStr">
        <is>
          <t>B09CKBBZQ5</t>
        </is>
      </c>
      <c r="G7197">
        <f>_xlfn.IMAGE("https://edmondsonsupply.com/cdn/shop/products/2960-22_Kit_1.png?v=1661616340")</f>
        <v/>
      </c>
      <c r="H7197">
        <f>_xlfn.IMAGE("https://m.media-amazon.com/images/I/41mEpve6c9L._AC_UL320_.jpg")</f>
        <v/>
      </c>
      <c r="K7197" t="inlineStr">
        <is>
          <t>459.0</t>
        </is>
      </c>
      <c r="L7197" t="n">
        <v>299.99</v>
      </c>
      <c r="M7197" s="1" t="inlineStr">
        <is>
          <t>-34.64%</t>
        </is>
      </c>
      <c r="N7197" s="7" t="n"/>
      <c r="O7197" t="n">
        <v>4.3</v>
      </c>
      <c r="P7197" t="n">
        <v>9</v>
      </c>
      <c r="R7197" t="inlineStr">
        <is>
          <t>InStock</t>
        </is>
      </c>
      <c r="S7197" t="inlineStr">
        <is>
          <t>755.0</t>
        </is>
      </c>
      <c r="T7197" t="inlineStr">
        <is>
          <t>7795189809368</t>
        </is>
      </c>
    </row>
    <row r="7198" ht="87" customHeight="1">
      <c r="A7198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198" s="2">
        <f>HYPERLINK("https://edmondsonsupply.com/products/klein-tools-32307-27-in-1-multi-bit-tamperproof-screwdriver", "https://edmondsonsupply.com/products/klein-tools-32307-27-in-1-multi-bit-tamperproof-screwdriver")</f>
        <v/>
      </c>
      <c r="C7198" t="inlineStr">
        <is>
          <t>Klein Tools 32307 27-in-1 Multi-Bit Tamperproof Screwdriver</t>
        </is>
      </c>
      <c r="D7198" t="inlineStr">
        <is>
          <t>Klein Tools 32308 Multi-bit Stubby Screwdriver, Impact Rated 8-in-1 Adjustable Magnetic Tool with Phillips, Slotted, Square and Nut Driver</t>
        </is>
      </c>
      <c r="E7198" s="2">
        <f>HYPERLINK("https://www.amazon.com/Klein-Tools-Evaporative-Performance-Protection/dp/B08KFNDBRW/ref=sr_1_15?keywords=Klein+Tools+32307+27-in-1+Multi-Bit+Tamperproof+Screwdriver&amp;qid=1694735165&amp;sr=8-15", "https://www.amazon.com/Klein-Tools-Evaporative-Performance-Protection/dp/B08KFNDBRW/ref=sr_1_15?keywords=Klein+Tools+32307+27-in-1+Multi-Bit+Tamperproof+Screwdriver&amp;qid=1694735165&amp;sr=8-15")</f>
        <v/>
      </c>
      <c r="F7198" t="inlineStr">
        <is>
          <t>B08KFNDBRW</t>
        </is>
      </c>
      <c r="G7198">
        <f>_xlfn.IMAGE("https://edmondsonsupply.com/cdn/shop/products/32307.jpg?v=1647347524")</f>
        <v/>
      </c>
      <c r="H7198">
        <f>_xlfn.IMAGE("https://m.media-amazon.com/images/I/61qTHFhrhZL._AC_UL320_.jpg")</f>
        <v/>
      </c>
      <c r="K7198" t="inlineStr">
        <is>
          <t>25.97</t>
        </is>
      </c>
      <c r="L7198" t="n">
        <v>16.97</v>
      </c>
      <c r="M7198" s="1" t="inlineStr">
        <is>
          <t>-34.66%</t>
        </is>
      </c>
      <c r="N7198" s="7" t="n"/>
      <c r="O7198" t="n">
        <v>4.7</v>
      </c>
      <c r="P7198" t="n">
        <v>5219</v>
      </c>
      <c r="R7198" t="inlineStr">
        <is>
          <t>InStock</t>
        </is>
      </c>
      <c r="S7198" t="inlineStr">
        <is>
          <t>36.38</t>
        </is>
      </c>
      <c r="T7198" t="inlineStr">
        <is>
          <t>7637266366680</t>
        </is>
      </c>
    </row>
    <row r="7199" ht="87" customHeight="1">
      <c r="A7199" s="2">
        <f>HYPERLINK("https://edmondsonsupply.com/collections/electricians-tools/products/greenlee-0251-08ad-8-high-leverage-diagonal-cutting-pliers-angled", "https://edmondsonsupply.com/collections/electricians-tools/products/greenlee-0251-08ad-8-high-leverage-diagonal-cutting-pliers-angled")</f>
        <v/>
      </c>
      <c r="B7199" s="2">
        <f>HYPERLINK("https://edmondsonsupply.com/products/greenlee-0251-08ad-8-high-leverage-diagonal-cutting-pliers-angled", "https://edmondsonsupply.com/products/greenlee-0251-08ad-8-high-leverage-diagonal-cutting-pliers-angled")</f>
        <v/>
      </c>
      <c r="C7199" t="inlineStr">
        <is>
          <t>Greenlee 0251-08AD 8" High-Leverage Diagonal Cutting Pliers, Angled (Dipped Grip)</t>
        </is>
      </c>
      <c r="D7199" t="inlineStr">
        <is>
          <t>Greenlee 0251-08AD High Leverage Diagonal Cutting Pliers, Angled Dipped Grip, 8"</t>
        </is>
      </c>
      <c r="E7199" s="2">
        <f>HYPERLINK("https://www.amazon.com/Greenlee-0251-08AD-Leverage-Diagonal-Cutting/dp/B0035M3LZ6/ref=sr_1_1?keywords=Greenlee+0251-08AD+8%22+High-Leverage+Diagonal+Cutting+Pliers%2C+Angled+%28Dipped+Grip%29&amp;qid=1694735370&amp;sr=8-1", "https://www.amazon.com/Greenlee-0251-08AD-Leverage-Diagonal-Cutting/dp/B0035M3LZ6/ref=sr_1_1?keywords=Greenlee+0251-08AD+8%22+High-Leverage+Diagonal+Cutting+Pliers%2C+Angled+%28Dipped+Grip%29&amp;qid=1694735370&amp;sr=8-1")</f>
        <v/>
      </c>
      <c r="F7199" t="inlineStr">
        <is>
          <t>B0035M3LZ6</t>
        </is>
      </c>
      <c r="G7199">
        <f>_xlfn.IMAGE("https://edmondsonsupply.com/cdn/shop/products/0251-08AD.jpg?v=1587146982")</f>
        <v/>
      </c>
      <c r="H7199">
        <f>_xlfn.IMAGE("https://m.media-amazon.com/images/I/71g2raMN2YL._AC_UL320_.jpg")</f>
        <v/>
      </c>
      <c r="K7199" t="inlineStr">
        <is>
          <t>34.89</t>
        </is>
      </c>
      <c r="L7199" t="n">
        <v>22.79</v>
      </c>
      <c r="M7199" s="1" t="inlineStr">
        <is>
          <t>-34.68%</t>
        </is>
      </c>
      <c r="N7199" s="7" t="n"/>
      <c r="O7199" t="n">
        <v>4.7</v>
      </c>
      <c r="P7199" t="n">
        <v>380</v>
      </c>
      <c r="R7199" t="inlineStr">
        <is>
          <t>InStock</t>
        </is>
      </c>
      <c r="S7199" t="inlineStr">
        <is>
          <t>36.05</t>
        </is>
      </c>
      <c r="T7199" t="inlineStr">
        <is>
          <t>4418410086500</t>
        </is>
      </c>
    </row>
    <row r="7200" ht="87" customHeight="1">
      <c r="A7200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7200" s="2">
        <f>HYPERLINK("https://edmondsonsupply.com/products/fluke-179-true-rms-digital-multimeter", "https://edmondsonsupply.com/products/fluke-179-true-rms-digital-multimeter")</f>
        <v/>
      </c>
      <c r="C7200" t="inlineStr">
        <is>
          <t>Fluke 179 True-RMS Digital Multimeter</t>
        </is>
      </c>
      <c r="D7200" t="inlineStr">
        <is>
          <t>Fluke 115 Compact True-RMS Digital Multimeter with Polyester Soft Carrying Case and Electronic Test Lead Kit</t>
        </is>
      </c>
      <c r="E7200" s="2">
        <f>HYPERLINK("https://www.amazon.com/Fluke-True-RMS-Multimeter-Polyester-Electronic/dp/B076HH8ZHS/ref=sr_1_36?keywords=Fluke+179+True-RMS+Digital+Multimeter&amp;qid=1694735225&amp;sr=8-36", "https://www.amazon.com/Fluke-True-RMS-Multimeter-Polyester-Electronic/dp/B076HH8ZHS/ref=sr_1_36?keywords=Fluke+179+True-RMS+Digital+Multimeter&amp;qid=1694735225&amp;sr=8-36")</f>
        <v/>
      </c>
      <c r="F7200" t="inlineStr">
        <is>
          <t>B076HH8ZHS</t>
        </is>
      </c>
      <c r="G7200">
        <f>_xlfn.IMAGE("https://edmondsonsupply.com/cdn/shop/products/e0021116_431x600_31fa1fdc-90ee-45e4-8560-4be681a24cfe.jpg?v=1633030926")</f>
        <v/>
      </c>
      <c r="H7200">
        <f>_xlfn.IMAGE("https://m.media-amazon.com/images/I/61VITfbzgAL._AC_UL320_.jpg")</f>
        <v/>
      </c>
      <c r="K7200" t="inlineStr">
        <is>
          <t>394.19</t>
        </is>
      </c>
      <c r="L7200" t="n">
        <v>257.32</v>
      </c>
      <c r="M7200" s="1" t="inlineStr">
        <is>
          <t>-34.72%</t>
        </is>
      </c>
      <c r="N7200" s="7" t="n"/>
      <c r="O7200" t="n">
        <v>4.6</v>
      </c>
      <c r="P7200" t="n">
        <v>52</v>
      </c>
      <c r="R7200" t="inlineStr">
        <is>
          <t>OutOfStock</t>
        </is>
      </c>
      <c r="S7200" t="inlineStr">
        <is>
          <t>437.99</t>
        </is>
      </c>
      <c r="T7200" t="inlineStr">
        <is>
          <t>6544506060973</t>
        </is>
      </c>
    </row>
    <row r="7201" hidden="1" ht="15.75" customHeight="1">
      <c r="A7201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7201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7201" t="inlineStr">
        <is>
          <t>Klein Tools 630-7/16M 7/16-Inch Magnetic Tip Nut Driver 3-Inch Shaft</t>
        </is>
      </c>
      <c r="D7201" t="inlineStr">
        <is>
          <t>Klein Tools 630-7MM 7 mm Cushion-Grip Nut Driver with 3-Inch Shaft</t>
        </is>
      </c>
      <c r="E7201" s="2">
        <f>HYPERLINK("https://www.amazon.com/Cushion-Driver-Klein-Tools-630-7MM/dp/B0009OODGE/ref=sr_1_16?keywords=Klein+Tools+630-7%2F16M+7%2F16-Inch+Magnetic+Tip+Nut+Driver+3-Inch+Shaft&amp;qid=1694735273&amp;sr=8-16", "https://www.amazon.com/Cushion-Driver-Klein-Tools-630-7MM/dp/B0009OODGE/ref=sr_1_16?keywords=Klein+Tools+630-7%2F16M+7%2F16-Inch+Magnetic+Tip+Nut+Driver+3-Inch+Shaft&amp;qid=1694735273&amp;sr=8-16")</f>
        <v/>
      </c>
      <c r="F7201" t="inlineStr">
        <is>
          <t>B0009OODGE</t>
        </is>
      </c>
      <c r="G7201">
        <f>_xludf.IMAGE("https://edmondsonsupply.com/cdn/shop/products/630-7-16m.jpg?v=1633030529")</f>
        <v/>
      </c>
      <c r="H7201">
        <f>_xludf.IMAGE("https://m.media-amazon.com/images/I/51hGJclj1uL._AC_UL320_.jpg")</f>
        <v/>
      </c>
      <c r="K7201" t="inlineStr">
        <is>
          <t>12.24</t>
        </is>
      </c>
      <c r="L7201" t="n">
        <v>7.99</v>
      </c>
      <c r="M7201" s="1" t="inlineStr">
        <is>
          <t>-34.72%</t>
        </is>
      </c>
      <c r="N7201" s="1" t="n"/>
      <c r="O7201" t="n">
        <v>4.8</v>
      </c>
      <c r="P7201" t="n">
        <v>1115</v>
      </c>
      <c r="R7201" t="inlineStr">
        <is>
          <t>InStock</t>
        </is>
      </c>
      <c r="S7201" t="inlineStr">
        <is>
          <t>18.54</t>
        </is>
      </c>
      <c r="T7201" t="inlineStr">
        <is>
          <t>5408853819560</t>
        </is>
      </c>
    </row>
    <row r="7202" hidden="1" ht="15.75" customHeight="1">
      <c r="A7202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7202" s="2">
        <f>HYPERLINK("https://edmondsonsupply.com/products/diablo-tools-dag3090-7-8-in-x-17-1-2-in-auger-bit", "https://edmondsonsupply.com/products/diablo-tools-dag3090-7-8-in-x-17-1-2-in-auger-bit")</f>
        <v/>
      </c>
      <c r="C7202" t="inlineStr">
        <is>
          <t>Diablo Tools DAG3090 7/8 in. x 17-1/2 in. Auger Bit</t>
        </is>
      </c>
      <c r="D7202" t="inlineStr">
        <is>
          <t>Diablo 5/8 in. x 7-1/2 in. Auger Bit</t>
        </is>
      </c>
      <c r="E7202" s="2">
        <f>HYPERLINK("https://www.amazon.com/Diablo-7-1-Auger-Bit/dp/B089LCPNWX/ref=sr_1_19?keywords=Diablo+Tools+DAG3090+7%2F8+in.+x+17-1%2F2+in.+Auger+Bit&amp;qid=1694735031&amp;sr=8-19", "https://www.amazon.com/Diablo-7-1-Auger-Bit/dp/B089LCPNWX/ref=sr_1_19?keywords=Diablo+Tools+DAG3090+7%2F8+in.+x+17-1%2F2+in.+Auger+Bit&amp;qid=1694735031&amp;sr=8-19")</f>
        <v/>
      </c>
      <c r="F7202" t="inlineStr">
        <is>
          <t>B089LCPNWX</t>
        </is>
      </c>
      <c r="G7202">
        <f>_xludf.IMAGE("https://edmondsonsupply.com/cdn/shop/products/aorgtpkivjubhtbiiau0.webp?v=1677256849")</f>
        <v/>
      </c>
      <c r="H7202">
        <f>_xludf.IMAGE("https://m.media-amazon.com/images/I/61zUoLZQ5OL._AC_UL320_.jpg")</f>
        <v/>
      </c>
      <c r="K7202" t="inlineStr">
        <is>
          <t>22.99</t>
        </is>
      </c>
      <c r="L7202" t="n">
        <v>14.99</v>
      </c>
      <c r="M7202" s="1" t="inlineStr">
        <is>
          <t>-34.80%</t>
        </is>
      </c>
      <c r="N7202" s="1" t="n"/>
      <c r="O7202" t="n">
        <v>4.7</v>
      </c>
      <c r="P7202" t="n">
        <v>9</v>
      </c>
      <c r="R7202" t="inlineStr">
        <is>
          <t>InStock</t>
        </is>
      </c>
      <c r="S7202" t="inlineStr">
        <is>
          <t>36.28</t>
        </is>
      </c>
      <c r="T7202" t="inlineStr">
        <is>
          <t>7950782136536</t>
        </is>
      </c>
    </row>
    <row r="7203" hidden="1" ht="15.75" customHeight="1">
      <c r="A7203" s="2">
        <f>HYPERLINK("https://edmondsonsupply.com/collections/electricians-tools/products/crescent-wiss-m7p-9-1-4-offset-straight-and-right-cut-aviation-snips", "https://edmondsonsupply.com/collections/electricians-tools/products/crescent-wiss-m7p-9-1-4-offset-straight-and-right-cut-aviation-snips")</f>
        <v/>
      </c>
      <c r="B7203" s="2">
        <f>HYPERLINK("https://edmondsonsupply.com/products/crescent-wiss-m7p-9-1-4-offset-straight-and-right-cut-aviation-snips", "https://edmondsonsupply.com/products/crescent-wiss-m7p-9-1-4-offset-straight-and-right-cut-aviation-snips")</f>
        <v/>
      </c>
      <c r="C7203" t="inlineStr">
        <is>
          <t>Crescent Wiss M7P 9-1/4" Offset Straight and Right Cut Aviation Snips</t>
        </is>
      </c>
      <c r="D7203" t="inlineStr">
        <is>
          <t>Wiss Crescent Wiss 9-3/4" MetalMaster Compound Action Straight and Right Cut Aviation Snips - M2R, Multi, One Size</t>
        </is>
      </c>
      <c r="E7203" s="2">
        <f>HYPERLINK("https://www.amazon.com/Wiss-M2R-Compound-Action-Straight/dp/B00002N5KP/ref=sr_1_4?keywords=Crescent+Wiss+M7P+9-1%2F4%22+Offset+Straight+and+Right+Cut+Aviation+Snips&amp;qid=1694735008&amp;sr=8-4", "https://www.amazon.com/Wiss-M2R-Compound-Action-Straight/dp/B00002N5KP/ref=sr_1_4?keywords=Crescent+Wiss+M7P+9-1%2F4%22+Offset+Straight+and+Right+Cut+Aviation+Snips&amp;qid=1694735008&amp;sr=8-4")</f>
        <v/>
      </c>
      <c r="F7203" t="inlineStr">
        <is>
          <t>B00002N5KP</t>
        </is>
      </c>
      <c r="G7203">
        <f>_xludf.IMAGE("https://edmondsonsupply.com/cdn/shop/products/WIS_M7P_IMG_ANG_01.jpg?v=1679669941")</f>
        <v/>
      </c>
      <c r="H7203">
        <f>_xludf.IMAGE("https://m.media-amazon.com/images/I/71ObA+hcEeL._AC_UL320_.jpg")</f>
        <v/>
      </c>
      <c r="K7203" t="inlineStr">
        <is>
          <t>22.99</t>
        </is>
      </c>
      <c r="L7203" t="n">
        <v>14.99</v>
      </c>
      <c r="M7203" s="1" t="inlineStr">
        <is>
          <t>-34.80%</t>
        </is>
      </c>
      <c r="N7203" s="1" t="n"/>
      <c r="O7203" t="n">
        <v>4.6</v>
      </c>
      <c r="P7203" t="n">
        <v>722</v>
      </c>
      <c r="R7203" t="inlineStr">
        <is>
          <t>InStock</t>
        </is>
      </c>
      <c r="S7203" t="inlineStr">
        <is>
          <t>41.64</t>
        </is>
      </c>
      <c r="T7203" t="inlineStr">
        <is>
          <t>7966220681432</t>
        </is>
      </c>
    </row>
    <row r="7204" hidden="1" ht="15.75" customHeight="1">
      <c r="A7204" s="2">
        <f>HYPERLINK("https://edmondsonsupply.com/collections/electricians-tools/products/crescent-wiss-9-1-4-offset-straight-and-left-cut-aviation-snips", "https://edmondsonsupply.com/collections/electricians-tools/products/crescent-wiss-9-1-4-offset-straight-and-left-cut-aviation-snips")</f>
        <v/>
      </c>
      <c r="B7204" s="2">
        <f>HYPERLINK("https://edmondsonsupply.com/products/crescent-wiss-9-1-4-offset-straight-and-left-cut-aviation-snips", "https://edmondsonsupply.com/products/crescent-wiss-9-1-4-offset-straight-and-left-cut-aviation-snips")</f>
        <v/>
      </c>
      <c r="C7204" t="inlineStr">
        <is>
          <t>Crescent Wiss M6P 9-1/4" Offset Straight and Left Cut Aviation Snips</t>
        </is>
      </c>
      <c r="D7204" t="inlineStr">
        <is>
          <t>Crescent Wiss 9-3/4" MetalMaster Compound Action Straight and Left Aviation Snips - M1R</t>
        </is>
      </c>
      <c r="E7204" s="2">
        <f>HYPERLINK("https://www.amazon.com/Wiss-M1R-MetalMaster-Capacity-Straight/dp/B00002N5KO/ref=sr_1_4?keywords=Crescent+Wiss+M6P+9-1%2F4%22+Offset+Straight+and+Left+Cut+Aviation+Snips&amp;qid=1694735010&amp;sr=8-4", "https://www.amazon.com/Wiss-M1R-MetalMaster-Capacity-Straight/dp/B00002N5KO/ref=sr_1_4?keywords=Crescent+Wiss+M6P+9-1%2F4%22+Offset+Straight+and+Left+Cut+Aviation+Snips&amp;qid=1694735010&amp;sr=8-4")</f>
        <v/>
      </c>
      <c r="F7204" t="inlineStr">
        <is>
          <t>B00002N5KO</t>
        </is>
      </c>
      <c r="G7204">
        <f>_xludf.IMAGE("https://edmondsonsupply.com/cdn/shop/products/WIS_M6P_IMG_MAIN_01.jpg?v=1679497499")</f>
        <v/>
      </c>
      <c r="H7204">
        <f>_xludf.IMAGE("https://m.media-amazon.com/images/I/61SRWhDt0pL._AC_UL320_.jpg")</f>
        <v/>
      </c>
      <c r="K7204" t="inlineStr">
        <is>
          <t>22.99</t>
        </is>
      </c>
      <c r="L7204" t="n">
        <v>14.99</v>
      </c>
      <c r="M7204" s="1" t="inlineStr">
        <is>
          <t>-34.80%</t>
        </is>
      </c>
      <c r="N7204" s="1" t="n"/>
      <c r="O7204" t="n">
        <v>4.6</v>
      </c>
      <c r="P7204" t="n">
        <v>1075</v>
      </c>
      <c r="R7204" t="inlineStr">
        <is>
          <t>InStock</t>
        </is>
      </c>
      <c r="S7204" t="inlineStr">
        <is>
          <t>41.64</t>
        </is>
      </c>
      <c r="T7204" t="inlineStr">
        <is>
          <t>7965651960024</t>
        </is>
      </c>
    </row>
    <row r="7205" ht="87" customHeight="1">
      <c r="A7205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205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205" t="inlineStr">
        <is>
          <t>Milwaukee 48-11-2411 M12 REDLITHIUM™ Compact Battery Two Pack</t>
        </is>
      </c>
      <c r="D7205" t="inlineStr">
        <is>
          <t>Energup 12V 6Ah 2Pack Battery for Milwaukee 12-Volt Battery M12 for Milwaukee 48-11-2440 48-11-2411 48-11-2410 + 48-59-2401 12Volt Milwaukee M12 Battery Charger</t>
        </is>
      </c>
      <c r="E7205" s="2">
        <f>HYPERLINK("https://www.amazon.com/48-11-2440-48-11-2411-48-11-2410-Replacement-48-59-2401/dp/B08RHM6TX3/ref=sr_1_13?keywords=Milwaukee+48-11-2411+M12+REDLITHIUM%E2%84%A2+Compact+Battery+Two+Pack&amp;qid=1694735145&amp;sr=8-13", "https://www.amazon.com/48-11-2440-48-11-2411-48-11-2410-Replacement-48-59-2401/dp/B08RHM6TX3/ref=sr_1_13?keywords=Milwaukee+48-11-2411+M12+REDLITHIUM%E2%84%A2+Compact+Battery+Two+Pack&amp;qid=1694735145&amp;sr=8-13")</f>
        <v/>
      </c>
      <c r="F7205" t="inlineStr">
        <is>
          <t>B08RHM6TX3</t>
        </is>
      </c>
      <c r="G7205">
        <f>_xlfn.IMAGE("https://edmondsonsupply.com/cdn/shop/products/65014_48-11-2411-lg.jpg?v=1655484824")</f>
        <v/>
      </c>
      <c r="H7205">
        <f>_xlfn.IMAGE("https://m.media-amazon.com/images/I/71TfufQ-Y6L._AC_UL320_.jpg")</f>
        <v/>
      </c>
      <c r="K7205" t="inlineStr">
        <is>
          <t>89.0</t>
        </is>
      </c>
      <c r="L7205" t="n">
        <v>57.99</v>
      </c>
      <c r="M7205" s="1" t="inlineStr">
        <is>
          <t>-34.84%</t>
        </is>
      </c>
      <c r="N7205" s="7" t="n"/>
      <c r="O7205" t="n">
        <v>4.5</v>
      </c>
      <c r="P7205" t="n">
        <v>153</v>
      </c>
      <c r="R7205" t="inlineStr">
        <is>
          <t>OutOfStock</t>
        </is>
      </c>
      <c r="S7205" t="inlineStr">
        <is>
          <t>150.0</t>
        </is>
      </c>
      <c r="T7205" t="inlineStr">
        <is>
          <t>7721456795864</t>
        </is>
      </c>
    </row>
    <row r="7206" ht="87" customHeight="1">
      <c r="A7206" s="2">
        <f>HYPERLINK("https://edmondsonsupply.com/collections/electricians-tools/products/fluke-971-temperature-humidity-meter", "https://edmondsonsupply.com/collections/electricians-tools/products/fluke-971-temperature-humidity-meter")</f>
        <v/>
      </c>
      <c r="B7206" s="2">
        <f>HYPERLINK("https://edmondsonsupply.com/products/fluke-971-temperature-humidity-meter", "https://edmondsonsupply.com/products/fluke-971-temperature-humidity-meter")</f>
        <v/>
      </c>
      <c r="C7206" t="inlineStr">
        <is>
          <t>Fluke 971 Temperature Humidity Meter</t>
        </is>
      </c>
      <c r="D7206" t="inlineStr">
        <is>
          <t>Fluke 971 Temperature Humidity Meter</t>
        </is>
      </c>
      <c r="E7206" s="2">
        <f>HYPERLINK("https://www.amazon.com/Fluke-971-Temperature-Humidity-Meter/dp/B005T5JW2S/ref=sr_1_1?keywords=Fluke+971+Temperature+Humidity+Meter&amp;qid=1694735224&amp;sr=8-1", "https://www.amazon.com/Fluke-971-Temperature-Humidity-Meter/dp/B005T5JW2S/ref=sr_1_1?keywords=Fluke+971+Temperature+Humidity+Meter&amp;qid=1694735224&amp;sr=8-1")</f>
        <v/>
      </c>
      <c r="F7206" t="inlineStr">
        <is>
          <t>B005T5JW2S</t>
        </is>
      </c>
      <c r="G7206">
        <f>_xlfn.IMAGE("https://edmondsonsupply.com/cdn/shop/products/971_72dpi_495x1024px_E_NR-9830.jpg?v=1633030933")</f>
        <v/>
      </c>
      <c r="H7206">
        <f>_xlfn.IMAGE("https://m.media-amazon.com/images/I/51XZgIqis2L._AC_UL320_.jpg")</f>
        <v/>
      </c>
      <c r="K7206" t="inlineStr">
        <is>
          <t>429.78</t>
        </is>
      </c>
      <c r="L7206" t="n">
        <v>280</v>
      </c>
      <c r="M7206" s="1" t="inlineStr">
        <is>
          <t>-34.85%</t>
        </is>
      </c>
      <c r="N7206" s="7" t="n"/>
      <c r="O7206" t="n">
        <v>4.4</v>
      </c>
      <c r="P7206" t="n">
        <v>134</v>
      </c>
      <c r="R7206" t="inlineStr">
        <is>
          <t>InStock</t>
        </is>
      </c>
      <c r="S7206" t="inlineStr">
        <is>
          <t>470.99</t>
        </is>
      </c>
      <c r="T7206" t="inlineStr">
        <is>
          <t>6560300728493</t>
        </is>
      </c>
    </row>
    <row r="7207" hidden="1" ht="15.75" customHeight="1">
      <c r="A7207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7207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7207" t="inlineStr">
        <is>
          <t>Klein Tools 32801 5-in-1 Multi-Bit Screwdriver / Nut Driver, Heavy Duty</t>
        </is>
      </c>
      <c r="D7207" t="inlineStr">
        <is>
          <t>OEMTOOLS 22588 13-in-1 Multi-Bit Screwdriver, Nut Driver and Schrader Valve Tool, Multi Tool Screwdriver Kit, HVAC tools, Electrician Tools</t>
        </is>
      </c>
      <c r="E7207" s="2">
        <f>HYPERLINK("https://www.amazon.com/OEM-TOOLS-22588-Screwdriver-Electrician/dp/B089QTH219/ref=sr_1_24?keywords=Klein+Tools+32801+5-in-1+Multi-Bit+Screwdriver+%2F+Nut+Driver%2C+Heavy+Duty&amp;qid=1694735265&amp;sr=8-24", "https://www.amazon.com/OEM-TOOLS-22588-Screwdriver-Electrician/dp/B089QTH219/ref=sr_1_24?keywords=Klein+Tools+32801+5-in-1+Multi-Bit+Screwdriver+%2F+Nut+Driver%2C+Heavy+Duty&amp;qid=1694735265&amp;sr=8-24")</f>
        <v/>
      </c>
      <c r="F7207" t="inlineStr">
        <is>
          <t>B089QTH219</t>
        </is>
      </c>
      <c r="G7207">
        <f>_xludf.IMAGE("https://edmondsonsupply.com/cdn/shop/products/32801.jpg?v=1633030677")</f>
        <v/>
      </c>
      <c r="H7207">
        <f>_xludf.IMAGE("https://m.media-amazon.com/images/I/61ZNVa7RD0L._AC_UL320_.jpg")</f>
        <v/>
      </c>
      <c r="K7207" t="inlineStr">
        <is>
          <t>19.97</t>
        </is>
      </c>
      <c r="L7207" t="n">
        <v>12.99</v>
      </c>
      <c r="M7207" s="1" t="inlineStr">
        <is>
          <t>-34.95%</t>
        </is>
      </c>
      <c r="N7207" s="1" t="n"/>
      <c r="O7207" t="n">
        <v>4.6</v>
      </c>
      <c r="P7207" t="n">
        <v>1376</v>
      </c>
      <c r="R7207" t="inlineStr">
        <is>
          <t>InStock</t>
        </is>
      </c>
      <c r="S7207" t="inlineStr">
        <is>
          <t>32.18</t>
        </is>
      </c>
      <c r="T7207" t="inlineStr">
        <is>
          <t>5807274819752</t>
        </is>
      </c>
    </row>
    <row r="7208" ht="87" customHeight="1">
      <c r="A7208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208" s="2">
        <f>HYPERLINK("https://edmondsonsupply.com/products/klein-tools-rt310-afci-gfci-outlet-tester", "https://edmondsonsupply.com/products/klein-tools-rt310-afci-gfci-outlet-tester")</f>
        <v/>
      </c>
      <c r="C7208" t="inlineStr">
        <is>
          <t>Klein Tools RT310 AFCI / GFCI Outlet Tester</t>
        </is>
      </c>
      <c r="D7208" t="inlineStr">
        <is>
          <t>Klein Tools 80097 Beginner Tester Kit with GFCI Outlet and Receptacle Tester, Electronic Voltage Tester, Non-Contact Voltage Tester, 3-Piece Red</t>
        </is>
      </c>
      <c r="E7208" s="2">
        <f>HYPERLINK("https://www.amazon.com/Klein-Tools-80097-Beginner-3-Piece/dp/B0B7Z178B1/ref=sr_1_29?keywords=Klein+Tools+RT310+AFCI+%2F+GFCI+Outlet+Tester&amp;qid=1694734989&amp;sr=8-29", "https://www.amazon.com/Klein-Tools-80097-Beginner-3-Piece/dp/B0B7Z178B1/ref=sr_1_29?keywords=Klein+Tools+RT310+AFCI+%2F+GFCI+Outlet+Tester&amp;qid=1694734989&amp;sr=8-29")</f>
        <v/>
      </c>
      <c r="F7208" t="inlineStr">
        <is>
          <t>B0B7Z178B1</t>
        </is>
      </c>
      <c r="G7208">
        <f>_xlfn.IMAGE("https://edmondsonsupply.com/cdn/shop/products/rt310.jpg?v=1587148552")</f>
        <v/>
      </c>
      <c r="H7208">
        <f>_xlfn.IMAGE("https://m.media-amazon.com/images/I/51TWbZ0INyL._AC_UL320_.jpg")</f>
        <v/>
      </c>
      <c r="K7208" t="inlineStr">
        <is>
          <t>39.97</t>
        </is>
      </c>
      <c r="L7208" t="n">
        <v>25.99</v>
      </c>
      <c r="M7208" s="1" t="inlineStr">
        <is>
          <t>-34.98%</t>
        </is>
      </c>
      <c r="N7208" s="7" t="n"/>
      <c r="O7208" t="n">
        <v>4.7</v>
      </c>
      <c r="P7208" t="n">
        <v>118</v>
      </c>
      <c r="R7208" t="inlineStr">
        <is>
          <t>InStock</t>
        </is>
      </c>
      <c r="S7208" t="inlineStr">
        <is>
          <t>57.9</t>
        </is>
      </c>
      <c r="T7208" t="inlineStr">
        <is>
          <t>3372527779940</t>
        </is>
      </c>
    </row>
    <row r="7209" ht="87" customHeight="1">
      <c r="A7209" s="2">
        <f>HYPERLINK("https://edmondsonsupply.com/collections/electricians-tools/products/diablo-tools-dou16dgx-universal-fit-diamond-grit-oscillating-blade-for-grout", "https://edmondsonsupply.com/collections/electricians-tools/products/diablo-tools-dou16dgx-universal-fit-diamond-grit-oscillating-blade-for-grout")</f>
        <v/>
      </c>
      <c r="B7209" s="2">
        <f>HYPERLINK("https://edmondsonsupply.com/products/diablo-tools-dou16dgx-universal-fit-diamond-grit-oscillating-blade-for-grout", "https://edmondsonsupply.com/products/diablo-tools-dou16dgx-universal-fit-diamond-grit-oscillating-blade-for-grout")</f>
        <v/>
      </c>
      <c r="C7209" t="inlineStr">
        <is>
          <t>Diablo Tools DOU16DGX Universal Fit Diamond Grit Oscillating Blade for Grout</t>
        </is>
      </c>
      <c r="D7209" t="inlineStr">
        <is>
          <t>Diablo by Freud DOU16DGX Universal Fit Diamond Grit Oscillating Blade for Grout</t>
        </is>
      </c>
      <c r="E7209" s="2">
        <f>HYPERLINK("https://www.amazon.com/Diablo-Freud-DOU16DGX-Universal-Oscillating/dp/B089KWYGHY/ref=sr_1_1?keywords=Diablo+Tools+DOU16DGX+Universal+Fit+Diamond+Grit+Oscillating+Blade+for+Grout&amp;qid=1694735198&amp;sr=8-1", "https://www.amazon.com/Diablo-Freud-DOU16DGX-Universal-Oscillating/dp/B089KWYGHY/ref=sr_1_1?keywords=Diablo+Tools+DOU16DGX+Universal+Fit+Diamond+Grit+Oscillating+Blade+for+Grout&amp;qid=1694735198&amp;sr=8-1")</f>
        <v/>
      </c>
      <c r="F7209" t="inlineStr">
        <is>
          <t>B089KWYGHY</t>
        </is>
      </c>
      <c r="G7209">
        <f>_xlfn.IMAGE("https://edmondsonsupply.com/cdn/shop/products/DOU16DGX_Main-Image.png?v=1633031101")</f>
        <v/>
      </c>
      <c r="H7209">
        <f>_xlfn.IMAGE("https://m.media-amazon.com/images/I/61sffzw9nLL._AC_UL320_.jpg")</f>
        <v/>
      </c>
      <c r="K7209" t="inlineStr">
        <is>
          <t>39.97</t>
        </is>
      </c>
      <c r="L7209" t="n">
        <v>25.99</v>
      </c>
      <c r="M7209" s="1" t="inlineStr">
        <is>
          <t>-34.98%</t>
        </is>
      </c>
      <c r="N7209" s="7" t="n"/>
      <c r="O7209" t="n">
        <v>4.5</v>
      </c>
      <c r="P7209" t="n">
        <v>48</v>
      </c>
      <c r="R7209" t="inlineStr">
        <is>
          <t>InStock</t>
        </is>
      </c>
      <c r="S7209" t="inlineStr">
        <is>
          <t>45.98</t>
        </is>
      </c>
      <c r="T7209" t="inlineStr">
        <is>
          <t>6846098768045</t>
        </is>
      </c>
    </row>
    <row r="7210" ht="87" customHeight="1">
      <c r="A7210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7210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7210" t="inlineStr">
        <is>
          <t>Klein Tools 69149P Test Kit with Multimeter, Non-Contact Volt Tester, Receptacle Tester</t>
        </is>
      </c>
      <c r="D7210" t="inlineStr">
        <is>
          <t>Klein Tools 80097 Beginner Tester Kit with GFCI Outlet and Receptacle Tester, Electronic Voltage Tester, Non-Contact Voltage Tester, 3-Piece Red</t>
        </is>
      </c>
      <c r="E7210" s="2">
        <f>HYPERLINK("https://www.amazon.com/Klein-Tools-80097-Beginner-3-Piece/dp/B0B7Z178B1/ref=sr_1_12?keywords=Klein+Tools+69149P+Test+Kit+with+Multimeter%2C+Non-Contact+Volt+Tester%2C+Receptacle+Tester&amp;qid=1694735230&amp;sr=8-12", "https://www.amazon.com/Klein-Tools-80097-Beginner-3-Piece/dp/B0B7Z178B1/ref=sr_1_12?keywords=Klein+Tools+69149P+Test+Kit+with+Multimeter%2C+Non-Contact+Volt+Tester%2C+Receptacle+Tester&amp;qid=1694735230&amp;sr=8-12")</f>
        <v/>
      </c>
      <c r="F7210" t="inlineStr">
        <is>
          <t>B0B7Z178B1</t>
        </is>
      </c>
      <c r="G7210">
        <f>_xlfn.IMAGE("https://edmondsonsupply.com/cdn/shop/products/69149p.jpg?v=1664479017")</f>
        <v/>
      </c>
      <c r="H7210">
        <f>_xlfn.IMAGE("https://m.media-amazon.com/images/I/51TWbZ0INyL._AC_UL320_.jpg")</f>
        <v/>
      </c>
      <c r="K7210" t="inlineStr">
        <is>
          <t>39.97</t>
        </is>
      </c>
      <c r="L7210" t="n">
        <v>25.99</v>
      </c>
      <c r="M7210" s="1" t="inlineStr">
        <is>
          <t>-34.98%</t>
        </is>
      </c>
      <c r="N7210" s="7" t="n"/>
      <c r="O7210" t="n">
        <v>4.7</v>
      </c>
      <c r="P7210" t="n">
        <v>118</v>
      </c>
      <c r="R7210" t="inlineStr">
        <is>
          <t>InStock</t>
        </is>
      </c>
      <c r="S7210" t="inlineStr">
        <is>
          <t>63.9</t>
        </is>
      </c>
      <c r="T7210" t="inlineStr">
        <is>
          <t>6584860606637</t>
        </is>
      </c>
    </row>
    <row r="7211" ht="87" customHeight="1">
      <c r="A7211" s="2">
        <f>HYPERLINK("https://edmondsonsupply.com/collections/electricians-tools/products/fluke-393-solar-clamp-meter-cat-iii-1500-v", "https://edmondsonsupply.com/collections/electricians-tools/products/fluke-393-solar-clamp-meter-cat-iii-1500-v")</f>
        <v/>
      </c>
      <c r="B7211" s="2">
        <f>HYPERLINK("https://edmondsonsupply.com/products/fluke-393-solar-clamp-meter-cat-iii-1500-v", "https://edmondsonsupply.com/products/fluke-393-solar-clamp-meter-cat-iii-1500-v")</f>
        <v/>
      </c>
      <c r="C7211" t="inlineStr">
        <is>
          <t>Fluke 393 FC Solar Clamp Meter CAT III 1500 V</t>
        </is>
      </c>
      <c r="D7211" t="inlineStr">
        <is>
          <t>Fluke 375 FC True-RMS AC/DC Clamp Meter, Measures AC/DC Current To 600 A and AC/DC Voltage To 1000 V, CAT III 1000 V, CAT IV 600 V Safety Rating, Includes Batteries and Soft Carrying Case</t>
        </is>
      </c>
      <c r="E7211" s="2">
        <f>HYPERLINK("https://www.amazon.com/Fluke-True-RMS-Measures-Batteries-Carrying/dp/B017OVC1U4/ref=sr_1_8?keywords=Fluke+393+FC+Solar+Clamp+Meter+CAT+III+1500+V&amp;qid=1694735129&amp;sr=8-8", "https://www.amazon.com/Fluke-True-RMS-Measures-Batteries-Carrying/dp/B017OVC1U4/ref=sr_1_8?keywords=Fluke+393+FC+Solar+Clamp+Meter+CAT+III+1500+V&amp;qid=1694735129&amp;sr=8-8")</f>
        <v/>
      </c>
      <c r="F7211" t="inlineStr">
        <is>
          <t>B017OVC1U4</t>
        </is>
      </c>
      <c r="G7211">
        <f>_xlfn.IMAGE("https://edmondsonsupply.com/cdn/shop/products/F-393fc_01a_w.webp?v=1662652371")</f>
        <v/>
      </c>
      <c r="H7211">
        <f>_xlfn.IMAGE("https://m.media-amazon.com/images/I/71-9RICQeuL._AC_UY218_.jpg")</f>
        <v/>
      </c>
      <c r="K7211" t="inlineStr">
        <is>
          <t>676.79</t>
        </is>
      </c>
      <c r="L7211" t="n">
        <v>440</v>
      </c>
      <c r="M7211" s="1" t="inlineStr">
        <is>
          <t>-34.99%</t>
        </is>
      </c>
      <c r="N7211" s="7" t="n"/>
      <c r="O7211" t="n">
        <v>4.8</v>
      </c>
      <c r="P7211" t="n">
        <v>283</v>
      </c>
      <c r="R7211" t="inlineStr">
        <is>
          <t>InStock</t>
        </is>
      </c>
      <c r="S7211" t="inlineStr">
        <is>
          <t>751.99</t>
        </is>
      </c>
      <c r="T7211" t="inlineStr">
        <is>
          <t>7809266090200</t>
        </is>
      </c>
    </row>
    <row r="7212" hidden="1" ht="15.75" customHeight="1">
      <c r="A7212" s="2">
        <f>HYPERLINK("https://edmondsonsupply.com/collections/electricians-tools/products/klein-tools-vdv512-110-remote-kit-for-coax-explorer%C2%AE-tester", "https://edmondsonsupply.com/collections/electricians-tools/products/klein-tools-vdv512-110-remote-kit-for-coax-explorer%C2%AE-tester")</f>
        <v/>
      </c>
      <c r="B7212" s="2">
        <f>HYPERLINK("https://edmondsonsupply.com/products/klein-tools-vdv512-110-remote-kit-for-coax-explorer%c2%ae-tester", "https://edmondsonsupply.com/products/klein-tools-vdv512-110-remote-kit-for-coax-explorer%c2%ae-tester")</f>
        <v/>
      </c>
      <c r="C7212" t="inlineStr">
        <is>
          <t>Klein Tools VDV512-110 Remote Kit for Coax Explorer® Tester</t>
        </is>
      </c>
      <c r="D7212" t="inlineStr">
        <is>
          <t>Aproca Hard Travel Storage Case, for Klein Tools VDV512-101 Explorer 2 Coax Tester Kit</t>
        </is>
      </c>
      <c r="E7212" s="2">
        <f>HYPERLINK("https://www.amazon.com/Aproca-Storage-Carrying-VDV512-101-Explorer/dp/B087TCB15X/ref=sr_1_2?keywords=Klein+Tools+VDV512-110+Remote+Kit+for+Coax+Explorer%C2%AE+Tester&amp;qid=1694735240&amp;sr=8-2", "https://www.amazon.com/Aproca-Storage-Carrying-VDV512-101-Explorer/dp/B087TCB15X/ref=sr_1_2?keywords=Klein+Tools+VDV512-110+Remote+Kit+for+Coax+Explorer%C2%AE+Tester&amp;qid=1694735240&amp;sr=8-2")</f>
        <v/>
      </c>
      <c r="F7212" t="inlineStr">
        <is>
          <t>B087TCB15X</t>
        </is>
      </c>
      <c r="G7212">
        <f>_xludf.IMAGE("https://edmondsonsupply.com/cdn/shop/products/vdv512110.jpg?v=1633030792")</f>
        <v/>
      </c>
      <c r="H7212">
        <f>_xludf.IMAGE("https://m.media-amazon.com/images/I/71+kvacACeL._AC_UY218_.jpg")</f>
        <v/>
      </c>
      <c r="K7212" t="inlineStr">
        <is>
          <t>19.99</t>
        </is>
      </c>
      <c r="L7212" t="n">
        <v>12.99</v>
      </c>
      <c r="M7212" s="1" t="inlineStr">
        <is>
          <t>-35.02%</t>
        </is>
      </c>
      <c r="N7212" s="1" t="n"/>
      <c r="O7212" t="n">
        <v>4.5</v>
      </c>
      <c r="P7212" t="n">
        <v>53</v>
      </c>
      <c r="R7212" t="inlineStr">
        <is>
          <t>InStock</t>
        </is>
      </c>
      <c r="S7212" t="inlineStr">
        <is>
          <t>27.26</t>
        </is>
      </c>
      <c r="T7212" t="inlineStr">
        <is>
          <t>5988016259240</t>
        </is>
      </c>
    </row>
    <row r="7213" hidden="1" ht="15.75" customHeight="1">
      <c r="A7213" s="2">
        <f>HYPERLINK("https://edmondsonsupply.com/collections/electricians-tools/products/klein-tools-88910-mini-tube-cutter", "https://edmondsonsupply.com/collections/electricians-tools/products/klein-tools-88910-mini-tube-cutter")</f>
        <v/>
      </c>
      <c r="B7213" s="2">
        <f>HYPERLINK("https://edmondsonsupply.com/products/klein-tools-88910-mini-tube-cutter", "https://edmondsonsupply.com/products/klein-tools-88910-mini-tube-cutter")</f>
        <v/>
      </c>
      <c r="C7213" t="inlineStr">
        <is>
          <t>Klein Tools 88910 Mini Tube Cutter</t>
        </is>
      </c>
      <c r="D7213" t="inlineStr">
        <is>
          <t>Klein Tools 88978 Wheels and Screw for Mini Tube Cutter</t>
        </is>
      </c>
      <c r="E7213" s="2">
        <f>HYPERLINK("https://www.amazon.com/Klein-Tools-88978-Replacement-Professional/dp/B002AH181G/ref=sr_1_4?keywords=Klein+Tools+88910+Mini+Tube+Cutter&amp;qid=1694735177&amp;sr=8-4", "https://www.amazon.com/Klein-Tools-88978-Replacement-Professional/dp/B002AH181G/ref=sr_1_4?keywords=Klein+Tools+88910+Mini+Tube+Cutter&amp;qid=1694735177&amp;sr=8-4")</f>
        <v/>
      </c>
      <c r="F7213" t="inlineStr">
        <is>
          <t>B002AH181G</t>
        </is>
      </c>
      <c r="G7213">
        <f>_xludf.IMAGE("https://edmondsonsupply.com/cdn/shop/products/88910.jpg?v=1638577903")</f>
        <v/>
      </c>
      <c r="H7213">
        <f>_xludf.IMAGE("https://m.media-amazon.com/images/I/614IRD-covL._AC_UL320_.jpg")</f>
        <v/>
      </c>
      <c r="K7213" t="inlineStr">
        <is>
          <t>19.99</t>
        </is>
      </c>
      <c r="L7213" t="n">
        <v>12.99</v>
      </c>
      <c r="M7213" s="1" t="inlineStr">
        <is>
          <t>-35.02%</t>
        </is>
      </c>
      <c r="N7213" s="1" t="n"/>
      <c r="O7213" t="n">
        <v>5</v>
      </c>
      <c r="P7213" t="n">
        <v>4</v>
      </c>
      <c r="R7213" t="inlineStr">
        <is>
          <t>InStock</t>
        </is>
      </c>
      <c r="S7213" t="inlineStr">
        <is>
          <t>27.36</t>
        </is>
      </c>
      <c r="T7213" t="inlineStr">
        <is>
          <t>7539584631000</t>
        </is>
      </c>
    </row>
    <row r="7214" ht="87" customHeight="1">
      <c r="A7214" s="2">
        <f>HYPERLINK("https://edmondsonsupply.com/collections/electricians-tools/products/tajima-gs-16-5mbw-gs-lock%E2%84%A2-standard-metric-scale-16-ft-5-m-x-1-in-25mm-steel-blade-tape-measure", "https://edmondsonsupply.com/collections/electricians-tools/products/tajima-gs-16-5mbw-gs-lock%E2%84%A2-standard-metric-scale-16-ft-5-m-x-1-in-25mm-steel-blade-tape-measure")</f>
        <v/>
      </c>
      <c r="B7214" s="2">
        <f>HYPERLINK("https://edmondsonsupply.com/products/tajima-gs-16-5mbw-gs-lock%e2%84%a2-standard-metric-scale-16-ft-5-m-x-1-in-25mm-steel-blade-tape-measure", "https://edmondsonsupply.com/products/tajima-gs-16-5mbw-gs-lock%e2%84%a2-standard-metric-scale-16-ft-5-m-x-1-in-25mm-steel-blade-tape-measure")</f>
        <v/>
      </c>
      <c r="C7214" t="inlineStr">
        <is>
          <t>Tajima GS-16/5MBW GS Lock™ Standard &amp; Metric Scale, 16 ft/ 5 m x 1 in./25mm Steel Blade Tape Measure</t>
        </is>
      </c>
      <c r="D7214" t="inlineStr">
        <is>
          <t>TAJIMA Tape Measure - 16 ft / 5m x 1 inch Hi-Lock Measuring Tape with Dual Metric/Standard Scale &amp; Acrylic Coated Blade - HL-16/5MBW</t>
        </is>
      </c>
      <c r="E7214" s="2">
        <f>HYPERLINK("https://www.amazon.com/TAJIMA-Tape-Measure-Measuring-Standard/dp/B003B43RNY/ref=sr_1_3?keywords=Tajima+GS-16%2F5MBW+GS+Lock%E2%84%A2+Standard+%26+Metric+Scale%2C+16+ft%2F+5+m+x+1+in.%2F25mm+Steel+Blade+Tape+Measure&amp;qid=1694735144&amp;sr=8-3", "https://www.amazon.com/TAJIMA-Tape-Measure-Measuring-Standard/dp/B003B43RNY/ref=sr_1_3?keywords=Tajima+GS-16%2F5MBW+GS+Lock%E2%84%A2+Standard+%26+Metric+Scale%2C+16+ft%2F+5+m+x+1+in.%2F25mm+Steel+Blade+Tape+Measure&amp;qid=1694735144&amp;sr=8-3")</f>
        <v/>
      </c>
      <c r="F7214" t="inlineStr">
        <is>
          <t>B003B43RNY</t>
        </is>
      </c>
      <c r="G7214">
        <f>_xlfn.IMAGE("https://edmondsonsupply.com/cdn/shop/products/GS16-5MBW.jpg?v=1655829307")</f>
        <v/>
      </c>
      <c r="H7214">
        <f>_xlfn.IMAGE("https://m.media-amazon.com/images/I/81u-ZvCs3aL._AC_UL320_.jpg")</f>
        <v/>
      </c>
      <c r="K7214" t="inlineStr">
        <is>
          <t>27.92</t>
        </is>
      </c>
      <c r="L7214" t="n">
        <v>18.13</v>
      </c>
      <c r="M7214" s="1" t="inlineStr">
        <is>
          <t>-35.06%</t>
        </is>
      </c>
      <c r="N7214" s="7" t="n"/>
      <c r="O7214" t="n">
        <v>4.7</v>
      </c>
      <c r="P7214" t="n">
        <v>137</v>
      </c>
      <c r="R7214" t="inlineStr">
        <is>
          <t>InStock</t>
        </is>
      </c>
      <c r="S7214" t="inlineStr">
        <is>
          <t>29.39</t>
        </is>
      </c>
      <c r="T7214" t="inlineStr">
        <is>
          <t>7726331560152</t>
        </is>
      </c>
    </row>
    <row r="7215" ht="87" customHeight="1">
      <c r="A7215" s="2">
        <f>HYPERLINK("https://edmondsonsupply.com/collections/electricians-tools/products/klein-tools-j203-8-pliers-needle-nose-side-cutters-8-inch", "https://edmondsonsupply.com/collections/electricians-tools/products/klein-tools-j203-8-pliers-needle-nose-side-cutters-8-inch")</f>
        <v/>
      </c>
      <c r="B7215" s="2">
        <f>HYPERLINK("https://edmondsonsupply.com/products/klein-tools-j203-8-pliers-needle-nose-side-cutters-8-inch", "https://edmondsonsupply.com/products/klein-tools-j203-8-pliers-needle-nose-side-cutters-8-inch")</f>
        <v/>
      </c>
      <c r="C7215" t="inlineStr">
        <is>
          <t>Klein Tools J203-8 Pliers, Needle Nose Side-Cutters, 8-Inch</t>
        </is>
      </c>
      <c r="D7215" t="inlineStr">
        <is>
          <t>Klein Tools D203-7 Needle Nose Pliers, Long Nose Side Cutters, Heavy Duty Alligator Pliers, 7-Inch</t>
        </is>
      </c>
      <c r="E7215" s="2">
        <f>HYPERLINK("https://www.amazon.com/Klein-Tools-D203-7-Side-Cutters-7-Inch/dp/B000G67F24/ref=sr_1_6?keywords=Klein+Tools+J203-8+Pliers%2C+Needle+Nose+Side-Cutters%2C+8-Inch&amp;qid=1694735171&amp;sr=8-6", "https://www.amazon.com/Klein-Tools-D203-7-Side-Cutters-7-Inch/dp/B000G67F24/ref=sr_1_6?keywords=Klein+Tools+J203-8+Pliers%2C+Needle+Nose+Side-Cutters%2C+8-Inch&amp;qid=1694735171&amp;sr=8-6")</f>
        <v/>
      </c>
      <c r="F7215" t="inlineStr">
        <is>
          <t>B000G67F24</t>
        </is>
      </c>
      <c r="G7215">
        <f>_xlfn.IMAGE("https://edmondsonsupply.com/cdn/shop/products/j2038.jpg?v=1644709677")</f>
        <v/>
      </c>
      <c r="H7215">
        <f>_xlfn.IMAGE("https://m.media-amazon.com/images/I/51DWCz6ft0L._AC_UL320_.jpg")</f>
        <v/>
      </c>
      <c r="K7215" t="inlineStr">
        <is>
          <t>38.49</t>
        </is>
      </c>
      <c r="L7215" t="n">
        <v>24.97</v>
      </c>
      <c r="M7215" s="1" t="inlineStr">
        <is>
          <t>-35.13%</t>
        </is>
      </c>
      <c r="N7215" s="7" t="n"/>
      <c r="O7215" t="n">
        <v>4.8</v>
      </c>
      <c r="P7215" t="n">
        <v>582</v>
      </c>
      <c r="R7215" t="inlineStr">
        <is>
          <t>InStock</t>
        </is>
      </c>
      <c r="S7215" t="inlineStr">
        <is>
          <t>58.32</t>
        </is>
      </c>
      <c r="T7215" t="inlineStr">
        <is>
          <t>7606180249816</t>
        </is>
      </c>
    </row>
    <row r="7216" ht="87" customHeight="1">
      <c r="A7216" s="2">
        <f>HYPERLINK("https://edmondsonsupply.com/collections/electricians-tools/products/milwaukee-2880-20-m18-fuel%E2%84%A2-4-1-2-5-grinder-paddle-switch-no-lock", "https://edmondsonsupply.com/collections/electricians-tools/products/milwaukee-2880-20-m18-fuel%E2%84%A2-4-1-2-5-grinder-paddle-switch-no-lock")</f>
        <v/>
      </c>
      <c r="B7216" s="2">
        <f>HYPERLINK("https://edmondsonsupply.com/products/milwaukee-2880-20-m18-fuel%e2%84%a2-4-1-2-5-grinder-paddle-switch-no-lock", "https://edmondsonsupply.com/products/milwaukee-2880-20-m18-fuel%e2%84%a2-4-1-2-5-grinder-paddle-switch-no-lock")</f>
        <v/>
      </c>
      <c r="C7216" t="inlineStr">
        <is>
          <t>Milwaukee 2880-20 M18 FUEL™ 4-1/2" / 5" Grinder Paddle Switch, No-Lock</t>
        </is>
      </c>
      <c r="D7216" t="inlineStr">
        <is>
          <t>Milwaukee 2880-20 M18 FUEL Brushless Lithium-Ion 4-1/2 in. / 5 in. Cordless Small Angle Grinder with No-Lock Paddle Switch (Tool Only)</t>
        </is>
      </c>
      <c r="E7216" s="2">
        <f>HYPERLINK("https://www.amazon.com/Milwaukee-2880-20-Grinder-Paddle-Switch/dp/B09RX4R3TR/ref=sr_1_1?keywords=Milwaukee+2880-20+M18+FUEL%E2%84%A2+4-1%2F2%22+%2F+5%22+Grinder+Paddle+Switch%2C+No-Lock&amp;qid=1694735131&amp;sr=8-1", "https://www.amazon.com/Milwaukee-2880-20-Grinder-Paddle-Switch/dp/B09RX4R3TR/ref=sr_1_1?keywords=Milwaukee+2880-20+M18+FUEL%E2%84%A2+4-1%2F2%22+%2F+5%22+Grinder+Paddle+Switch%2C+No-Lock&amp;qid=1694735131&amp;sr=8-1")</f>
        <v/>
      </c>
      <c r="F7216" t="inlineStr">
        <is>
          <t>B09RX4R3TR</t>
        </is>
      </c>
      <c r="G7216">
        <f>_xlfn.IMAGE("https://edmondsonsupply.com/cdn/shop/products/2880-20_1.webp?v=1661698933")</f>
        <v/>
      </c>
      <c r="H7216">
        <f>_xlfn.IMAGE("https://m.media-amazon.com/images/I/71eDEAhB1NL._AC_UL320_.jpg")</f>
        <v/>
      </c>
      <c r="K7216" t="inlineStr">
        <is>
          <t>199.0</t>
        </is>
      </c>
      <c r="L7216" t="n">
        <v>128.97</v>
      </c>
      <c r="M7216" s="1" t="inlineStr">
        <is>
          <t>-35.19%</t>
        </is>
      </c>
      <c r="N7216" s="7" t="n"/>
      <c r="O7216" t="n">
        <v>4.8</v>
      </c>
      <c r="P7216" t="n">
        <v>436</v>
      </c>
      <c r="R7216" t="inlineStr">
        <is>
          <t>InStock</t>
        </is>
      </c>
      <c r="S7216" t="inlineStr">
        <is>
          <t>330.0</t>
        </is>
      </c>
      <c r="T7216" t="inlineStr">
        <is>
          <t>7795852411096</t>
        </is>
      </c>
    </row>
    <row r="7217" ht="87" customHeight="1">
      <c r="A7217" s="2">
        <f>HYPERLINK("https://edmondsonsupply.com/collections/electricians-tools/products/milwaukee-48-22-1928b-5-hardline-fixed-blade-knife-boxed", "https://edmondsonsupply.com/collections/electricians-tools/products/milwaukee-48-22-1928b-5-hardline-fixed-blade-knife-boxed")</f>
        <v/>
      </c>
      <c r="B7217" s="2">
        <f>HYPERLINK("https://edmondsonsupply.com/products/milwaukee-48-22-1928b-5-hardline-fixed-blade-knife-boxed", "https://edmondsonsupply.com/products/milwaukee-48-22-1928b-5-hardline-fixed-blade-knife-boxed")</f>
        <v/>
      </c>
      <c r="C7217" t="inlineStr">
        <is>
          <t>Milwaukee 48-22-1928 5" HARDLINE Fixed Blade Knife</t>
        </is>
      </c>
      <c r="D7217" t="inlineStr">
        <is>
          <t>Milwaukee Electric Tool 48-22-1997 2.5" Hardline Smooth Blade Pocket Knife, Plastic, 1" x 9.25" x 3.9"</t>
        </is>
      </c>
      <c r="E7217" s="2">
        <f>HYPERLINK("https://www.amazon.com/Milwaukee-Electric-Tool-48-22-1997-Hardline/dp/B01HQQ11L2/ref=sr_1_33?keywords=Milwaukee+48-22-1928+5%22+HARDLINE+Fixed+Blade+Knife&amp;qid=1694735418&amp;sr=8-33", "https://www.amazon.com/Milwaukee-Electric-Tool-48-22-1997-Hardline/dp/B01HQQ11L2/ref=sr_1_33?keywords=Milwaukee+48-22-1928+5%22+HARDLINE+Fixed+Blade+Knife&amp;qid=1694735418&amp;sr=8-33")</f>
        <v/>
      </c>
      <c r="F7217" t="inlineStr">
        <is>
          <t>B01HQQ11L2</t>
        </is>
      </c>
      <c r="G7217">
        <f>_xlfn.IMAGE("https://edmondsonsupply.com/cdn/shop/products/48-22-1928_1.png?v=1587144780")</f>
        <v/>
      </c>
      <c r="H7217">
        <f>_xlfn.IMAGE("https://m.media-amazon.com/images/I/51sQpjs0FFL._AC_UL320_.jpg")</f>
        <v/>
      </c>
      <c r="K7217" t="inlineStr">
        <is>
          <t>84.97</t>
        </is>
      </c>
      <c r="L7217" t="n">
        <v>54.97</v>
      </c>
      <c r="M7217" s="1" t="inlineStr">
        <is>
          <t>-35.31%</t>
        </is>
      </c>
      <c r="N7217" s="7" t="n"/>
      <c r="O7217" t="n">
        <v>4.2</v>
      </c>
      <c r="P7217" t="n">
        <v>41</v>
      </c>
      <c r="R7217" t="inlineStr">
        <is>
          <t>InStock</t>
        </is>
      </c>
      <c r="S7217" t="inlineStr">
        <is>
          <t>127.7</t>
        </is>
      </c>
      <c r="T7217" t="inlineStr">
        <is>
          <t>4364803637348</t>
        </is>
      </c>
    </row>
    <row r="7218" ht="87" customHeight="1">
      <c r="A7218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7218" s="2">
        <f>HYPERLINK("https://edmondsonsupply.com/products/klein-tools-56334-steel-fish-tape-1-8-inch-x-240-foot", "https://edmondsonsupply.com/products/klein-tools-56334-steel-fish-tape-1-8-inch-x-240-foot")</f>
        <v/>
      </c>
      <c r="C7218" t="inlineStr">
        <is>
          <t>Klein Tools 56334 Steel Fish Tape, 1/8-Inch x 240-Foot</t>
        </is>
      </c>
      <c r="D7218" t="inlineStr">
        <is>
          <t>Klein Tools 56333 Electrical Fish Tape, Steel Wire Puller with Double Loop Tip, Optimized Housing and Handle, 1/8-Inch x 120-Foot</t>
        </is>
      </c>
      <c r="E7218" s="2">
        <f>HYPERLINK("https://www.amazon.com/Klein-Tools-56333-Optimized-120-Foot/dp/B081TVVJTY/ref=sr_1_7?keywords=Klein+Tools+56334+Steel+Fish+Tape%2C+1%2F8-Inch+x+240-Foot&amp;qid=1694735385&amp;sr=8-7", "https://www.amazon.com/Klein-Tools-56333-Optimized-120-Foot/dp/B081TVVJTY/ref=sr_1_7?keywords=Klein+Tools+56334+Steel+Fish+Tape%2C+1%2F8-Inch+x+240-Foot&amp;qid=1694735385&amp;sr=8-7")</f>
        <v/>
      </c>
      <c r="F7218" t="inlineStr">
        <is>
          <t>B081TVVJTY</t>
        </is>
      </c>
      <c r="G7218">
        <f>_xlfn.IMAGE("https://edmondsonsupply.com/cdn/shop/products/56334.jpg?v=1587147767")</f>
        <v/>
      </c>
      <c r="H7218">
        <f>_xlfn.IMAGE("https://m.media-amazon.com/images/I/51qsQYpwj0L._AC_UL320_.jpg")</f>
        <v/>
      </c>
      <c r="K7218" t="inlineStr">
        <is>
          <t>84.97</t>
        </is>
      </c>
      <c r="L7218" t="n">
        <v>54.97</v>
      </c>
      <c r="M7218" s="1" t="inlineStr">
        <is>
          <t>-35.31%</t>
        </is>
      </c>
      <c r="N7218" s="7" t="n"/>
      <c r="O7218" t="n">
        <v>4.6</v>
      </c>
      <c r="P7218" t="n">
        <v>334</v>
      </c>
      <c r="R7218" t="inlineStr">
        <is>
          <t>InStock</t>
        </is>
      </c>
      <c r="S7218" t="inlineStr">
        <is>
          <t>115.14</t>
        </is>
      </c>
      <c r="T7218" t="inlineStr">
        <is>
          <t>4412213723236</t>
        </is>
      </c>
    </row>
    <row r="7219" ht="87" customHeight="1">
      <c r="A7219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7219" s="2">
        <f>HYPERLINK("https://edmondsonsupply.com/products/klein-tools-51609-3-4-inch-iron-conduit-bender-head", "https://edmondsonsupply.com/products/klein-tools-51609-3-4-inch-iron-conduit-bender-head")</f>
        <v/>
      </c>
      <c r="C7219" t="inlineStr">
        <is>
          <t>Klein Tools 51609 3/4-Inch Iron Conduit Bender Head</t>
        </is>
      </c>
      <c r="D7219" t="inlineStr">
        <is>
          <t>Klein Tools 51428 Steel Conduit Bender Handle for 1-Inch EMT Heads, 44-Inch, For Use With Klein tools Conduit Bender Heads</t>
        </is>
      </c>
      <c r="E7219" s="2">
        <f>HYPERLINK("https://www.amazon.com/Conduit-Bender-Klein-Tools-51428/dp/B002B7URLC/ref=sr_1_17?keywords=Klein+Tools+51609+3%2F4-Inch+Iron+Conduit+Bender+Head&amp;qid=1694735132&amp;sr=8-17", "https://www.amazon.com/Conduit-Bender-Klein-Tools-51428/dp/B002B7URLC/ref=sr_1_17?keywords=Klein+Tools+51609+3%2F4-Inch+Iron+Conduit+Bender+Head&amp;qid=1694735132&amp;sr=8-17")</f>
        <v/>
      </c>
      <c r="F7219" t="inlineStr">
        <is>
          <t>B002B7URLC</t>
        </is>
      </c>
      <c r="G7219">
        <f>_xlfn.IMAGE("https://edmondsonsupply.com/cdn/shop/products/51609.jpg?v=1661867147")</f>
        <v/>
      </c>
      <c r="H7219">
        <f>_xlfn.IMAGE("https://m.media-amazon.com/images/I/41Vzf7DpYdL._AC_UL320_.jpg")</f>
        <v/>
      </c>
      <c r="K7219" t="inlineStr">
        <is>
          <t>59.99</t>
        </is>
      </c>
      <c r="L7219" t="n">
        <v>38.79</v>
      </c>
      <c r="M7219" s="1" t="inlineStr">
        <is>
          <t>-35.34%</t>
        </is>
      </c>
      <c r="N7219" s="7" t="n"/>
      <c r="O7219" t="n">
        <v>4.5</v>
      </c>
      <c r="P7219" t="n">
        <v>52</v>
      </c>
      <c r="R7219" t="inlineStr">
        <is>
          <t>InStock</t>
        </is>
      </c>
      <c r="S7219" t="inlineStr">
        <is>
          <t>90.22</t>
        </is>
      </c>
      <c r="T7219" t="inlineStr">
        <is>
          <t>7797415837912</t>
        </is>
      </c>
    </row>
    <row r="7220" ht="87" customHeight="1">
      <c r="A7220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220" s="2">
        <f>HYPERLINK("https://edmondsonsupply.com/products/klein-tools-31900-bi-metal-hole-saw-6-3-8-inch", "https://edmondsonsupply.com/products/klein-tools-31900-bi-metal-hole-saw-6-3-8-inch")</f>
        <v/>
      </c>
      <c r="C7220" t="inlineStr">
        <is>
          <t>Klein Tools 31900 Bi-Metal Hole Saw, 6-3/8-Inch</t>
        </is>
      </c>
      <c r="D7220" t="inlineStr">
        <is>
          <t>LENOX Tools Hole Saw, Bi-Metal, Speed Slot, Arbored, 2-3/8-Inch (1772953)</t>
        </is>
      </c>
      <c r="E7220" s="2">
        <f>HYPERLINK("https://www.amazon.com/LENOX-Tools-Bi-Metal-Arbored-Technology/dp/B0054SBDNQ/ref=sr_1_22?keywords=Klein+Tools+31900+Bi-Metal+Hole+Saw%2C+6-3%2F8-Inch&amp;qid=1694735340&amp;sr=8-22", "https://www.amazon.com/LENOX-Tools-Bi-Metal-Arbored-Technology/dp/B0054SBDNQ/ref=sr_1_22?keywords=Klein+Tools+31900+Bi-Metal+Hole+Saw%2C+6-3%2F8-Inch&amp;qid=1694735340&amp;sr=8-22")</f>
        <v/>
      </c>
      <c r="F7220" t="inlineStr">
        <is>
          <t>B0054SBDNQ</t>
        </is>
      </c>
      <c r="G7220">
        <f>_xlfn.IMAGE("https://edmondsonsupply.com/cdn/shop/products/31900.jpg?v=1587149880")</f>
        <v/>
      </c>
      <c r="H7220">
        <f>_xlfn.IMAGE("https://m.media-amazon.com/images/I/716edrVuxaL._AC_UL320_.jpg")</f>
        <v/>
      </c>
      <c r="K7220" t="inlineStr">
        <is>
          <t>44.99</t>
        </is>
      </c>
      <c r="L7220" t="n">
        <v>29.08</v>
      </c>
      <c r="M7220" s="1" t="inlineStr">
        <is>
          <t>-35.36%</t>
        </is>
      </c>
      <c r="N7220" s="7" t="n"/>
      <c r="O7220" t="n">
        <v>4.6</v>
      </c>
      <c r="P7220" t="n">
        <v>366</v>
      </c>
      <c r="R7220" t="inlineStr">
        <is>
          <t>InStock</t>
        </is>
      </c>
      <c r="S7220" t="inlineStr">
        <is>
          <t>54.86</t>
        </is>
      </c>
      <c r="T7220" t="inlineStr">
        <is>
          <t>4508234514532</t>
        </is>
      </c>
    </row>
    <row r="7221" hidden="1" ht="15.75" customHeight="1">
      <c r="A7221" s="2">
        <f>HYPERLINK("https://edmondsonsupply.com/collections/electricians-tools/products/fluke-st120-gfci-socket-tester", "https://edmondsonsupply.com/collections/electricians-tools/products/fluke-st120-gfci-socket-tester")</f>
        <v/>
      </c>
      <c r="B7221" s="2">
        <f>HYPERLINK("https://edmondsonsupply.com/products/fluke-st120-gfci-socket-tester", "https://edmondsonsupply.com/products/fluke-st120-gfci-socket-tester")</f>
        <v/>
      </c>
      <c r="C7221" t="inlineStr">
        <is>
          <t>Fluke ST120 Socket Tester with GFCI</t>
        </is>
      </c>
      <c r="D7221" t="inlineStr">
        <is>
          <t>RLSOCO Carrying Case for Fluke ST120+/ST120 GFCI Socket Tester（Case Only）</t>
        </is>
      </c>
      <c r="E7221" s="2">
        <f>HYPERLINK("https://www.amazon.com/RLSOCO-Carrying-Fluke-Socket-Tester%EF%BC%88Case/dp/B0BJTZ98HX/ref=sr_1_3?keywords=Fluke+ST120+Socket+Tester+with+GFCI&amp;qid=1694735137&amp;sr=8-3", "https://www.amazon.com/RLSOCO-Carrying-Fluke-Socket-Tester%EF%BC%88Case/dp/B0BJTZ98HX/ref=sr_1_3?keywords=Fluke+ST120+Socket+Tester+with+GFCI&amp;qid=1694735137&amp;sr=8-3")</f>
        <v/>
      </c>
      <c r="F7221" t="inlineStr">
        <is>
          <t>B0BJTZ98HX</t>
        </is>
      </c>
      <c r="G7221">
        <f>_xludf.IMAGE("https://edmondsonsupply.com/cdn/shop/products/F-st120_01a_w.webp?v=1662582102")</f>
        <v/>
      </c>
      <c r="H7221">
        <f>_xludf.IMAGE("https://m.media-amazon.com/images/I/71It6IXE9gL._AC_UL320_.jpg")</f>
        <v/>
      </c>
      <c r="K7221" t="inlineStr">
        <is>
          <t>15.49</t>
        </is>
      </c>
      <c r="L7221" t="n">
        <v>9.99</v>
      </c>
      <c r="M7221" s="1" t="inlineStr">
        <is>
          <t>-35.51%</t>
        </is>
      </c>
      <c r="N7221" s="1" t="n"/>
      <c r="O7221" t="n">
        <v>4.5</v>
      </c>
      <c r="P7221" t="n">
        <v>27</v>
      </c>
      <c r="R7221" t="inlineStr">
        <is>
          <t>InStock</t>
        </is>
      </c>
      <c r="S7221" t="inlineStr">
        <is>
          <t>16.99</t>
        </is>
      </c>
      <c r="T7221" t="inlineStr">
        <is>
          <t>7807640961240</t>
        </is>
      </c>
    </row>
    <row r="7222" hidden="1" ht="15.75" customHeight="1">
      <c r="A7222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7222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7222" t="inlineStr">
        <is>
          <t>Klein Tools JTH6E11BE 3/16-Inch Ball Hex Key, Journeyman T-Handle 6-Inch</t>
        </is>
      </c>
      <c r="D7222" t="inlineStr">
        <is>
          <t>Klein Tools JTH9M3 3 mm Hex Key, Journeyman T-Handle, 9-Inch</t>
        </is>
      </c>
      <c r="E7222" s="2">
        <f>HYPERLINK("https://www.amazon.com/Journeyman-T-Handle-Klein-Tools-JTH9M3/dp/B005G3HJ28/ref=sr_1_14?keywords=Klein+Tools+JTH6E11BE+3%2F16-Inch+Ball+Hex+Key%2C+Journeyman+T-Handle+6-Inch&amp;qid=1694735233&amp;sr=8-14", "https://www.amazon.com/Journeyman-T-Handle-Klein-Tools-JTH9M3/dp/B005G3HJ28/ref=sr_1_14?keywords=Klein+Tools+JTH6E11BE+3%2F16-Inch+Ball+Hex+Key%2C+Journeyman+T-Handle+6-Inch&amp;qid=1694735233&amp;sr=8-14")</f>
        <v/>
      </c>
      <c r="F7222" t="inlineStr">
        <is>
          <t>B005G3HJ28</t>
        </is>
      </c>
      <c r="G7222">
        <f>_xludf.IMAGE("https://edmondsonsupply.com/cdn/shop/products/jth6e13be_9dba8a6a-8a07-4d76-a54f-fe57b92b3fea.jpg?v=1610659188")</f>
        <v/>
      </c>
      <c r="H7222">
        <f>_xludf.IMAGE("https://m.media-amazon.com/images/I/51MZtGjDOtL._AC_UL320_.jpg")</f>
        <v/>
      </c>
      <c r="K7222" t="inlineStr">
        <is>
          <t>9.12</t>
        </is>
      </c>
      <c r="L7222" t="n">
        <v>5.88</v>
      </c>
      <c r="M7222" s="1" t="inlineStr">
        <is>
          <t>-35.53%</t>
        </is>
      </c>
      <c r="N7222" s="1" t="n"/>
      <c r="O7222" t="n">
        <v>4.6</v>
      </c>
      <c r="P7222" t="n">
        <v>179</v>
      </c>
      <c r="R7222" t="inlineStr">
        <is>
          <t>InStock</t>
        </is>
      </c>
      <c r="S7222" t="inlineStr">
        <is>
          <t>undefined</t>
        </is>
      </c>
      <c r="T7222" t="inlineStr">
        <is>
          <t>6203917336749</t>
        </is>
      </c>
    </row>
    <row r="7223" ht="87" customHeight="1">
      <c r="A7223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223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223" t="inlineStr">
        <is>
          <t>Klein Tools NCVT-2P Dual Range Non-Contact Voltage Tester 12 - 1000V AC</t>
        </is>
      </c>
      <c r="D7223" t="inlineStr">
        <is>
          <t>UNI-T Non-Contact AC Voltage Tester Pen, 24V-1000V Volt Detector Pen, Dual Range Live/Null Wire Tester Circuit Tester with LCD Display, Buzzer Alarm, Flashlight (UT12E)</t>
        </is>
      </c>
      <c r="E7223" s="2">
        <f>HYPERLINK("https://www.amazon.com/UNI-T-Detector-Indicator-24V-1000V-Electric/dp/B0B6JBSLY6/ref=sr_1_45?keywords=Klein+Tools+NCVT-2P+Dual+Range+Non-Contact+Voltage+Tester+12+-+1000V+AC&amp;qid=1694735236&amp;sr=8-45", "https://www.amazon.com/UNI-T-Detector-Indicator-24V-1000V-Electric/dp/B0B6JBSLY6/ref=sr_1_45?keywords=Klein+Tools+NCVT-2P+Dual+Range+Non-Contact+Voltage+Tester+12+-+1000V+AC&amp;qid=1694735236&amp;sr=8-45")</f>
        <v/>
      </c>
      <c r="F7223" t="inlineStr">
        <is>
          <t>B0B6JBSLY6</t>
        </is>
      </c>
      <c r="G7223">
        <f>_xlfn.IMAGE("https://edmondsonsupply.com/cdn/shop/products/ncvt2p.jpg?v=1633030824")</f>
        <v/>
      </c>
      <c r="H7223">
        <f>_xlfn.IMAGE("https://m.media-amazon.com/images/I/51G42S0TZIL._AC_UL320_.jpg")</f>
        <v/>
      </c>
      <c r="K7223" t="inlineStr">
        <is>
          <t>27.97</t>
        </is>
      </c>
      <c r="L7223" t="n">
        <v>17.99</v>
      </c>
      <c r="M7223" s="1" t="inlineStr">
        <is>
          <t>-35.68%</t>
        </is>
      </c>
      <c r="N7223" s="7" t="n"/>
      <c r="O7223" t="n">
        <v>4.4</v>
      </c>
      <c r="P7223" t="n">
        <v>20</v>
      </c>
      <c r="R7223" t="inlineStr">
        <is>
          <t>InStock</t>
        </is>
      </c>
      <c r="S7223" t="inlineStr">
        <is>
          <t>35.76</t>
        </is>
      </c>
      <c r="T7223" t="inlineStr">
        <is>
          <t>6080875626669</t>
        </is>
      </c>
    </row>
    <row r="7224" hidden="1" ht="15.75" customHeight="1">
      <c r="A7224" s="2">
        <f>HYPERLINK("https://edmondsonsupply.com/collections/electricians-tools/products/klein-tools-6924ins-slim-tip-insulated-screwdriver-1-4-inch-cabinet-4-inch-shank", "https://edmondsonsupply.com/collections/electricians-tools/products/klein-tools-6924ins-slim-tip-insulated-screwdriver-1-4-inch-cabinet-4-inch-shank")</f>
        <v/>
      </c>
      <c r="B7224" s="2">
        <f>HYPERLINK("https://edmondsonsupply.com/products/klein-tools-6924ins-slim-tip-insulated-screwdriver-1-4-inch-cabinet-4-inch-shank", "https://edmondsonsupply.com/products/klein-tools-6924ins-slim-tip-insulated-screwdriver-1-4-inch-cabinet-4-inch-shank")</f>
        <v/>
      </c>
      <c r="C7224" t="inlineStr">
        <is>
          <t>Klein Tools 6924INS Slim-Tip Insulated Screwdriver, 1/4-Inch Cabinet, 4-Inch Round Shank</t>
        </is>
      </c>
      <c r="D7224" t="inlineStr">
        <is>
          <t>Klein Tools 612-4 Screwdriver, Flat Head Terminal Block Screwdriver, 1/8-Inch Cabinet Tip, 4-Inch Round Shank, TB-DIN</t>
        </is>
      </c>
      <c r="E7224" s="2">
        <f>HYPERLINK("https://www.amazon.com/Screwdriver-Terminal-Klein-Tools-612-4/dp/B0058I6VNE/ref=sr_1_8?keywords=Klein+Tools+6924INS+Slim-Tip+Insulated+Screwdriver%2C+1%2F4-Inch+Cabinet%2C+4-Inch+Round+Shank&amp;qid=1694735273&amp;sr=8-8", "https://www.amazon.com/Screwdriver-Terminal-Klein-Tools-612-4/dp/B0058I6VNE/ref=sr_1_8?keywords=Klein+Tools+6924INS+Slim-Tip+Insulated+Screwdriver%2C+1%2F4-Inch+Cabinet%2C+4-Inch+Round+Shank&amp;qid=1694735273&amp;sr=8-8")</f>
        <v/>
      </c>
      <c r="F7224" t="inlineStr">
        <is>
          <t>B0058I6VNE</t>
        </is>
      </c>
      <c r="G7224">
        <f>_xludf.IMAGE("https://edmondsonsupply.com/cdn/shop/products/6924ins.jpg?v=1633030554")</f>
        <v/>
      </c>
      <c r="H7224">
        <f>_xludf.IMAGE("https://m.media-amazon.com/images/I/51APfPlk95L._AC_UL320_.jpg")</f>
        <v/>
      </c>
      <c r="K7224" t="inlineStr">
        <is>
          <t>13.97</t>
        </is>
      </c>
      <c r="L7224" t="n">
        <v>8.970000000000001</v>
      </c>
      <c r="M7224" s="1" t="inlineStr">
        <is>
          <t>-35.79%</t>
        </is>
      </c>
      <c r="N7224" s="1" t="n"/>
      <c r="O7224" t="n">
        <v>4.8</v>
      </c>
      <c r="P7224" t="n">
        <v>1953</v>
      </c>
      <c r="R7224" t="inlineStr">
        <is>
          <t>InStock</t>
        </is>
      </c>
      <c r="S7224" t="inlineStr">
        <is>
          <t>19.54</t>
        </is>
      </c>
      <c r="T7224" t="inlineStr">
        <is>
          <t>5439557566632</t>
        </is>
      </c>
    </row>
    <row r="7225" ht="87" customHeight="1">
      <c r="A7225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225" s="2">
        <f>HYPERLINK("https://edmondsonsupply.com/products/diablo-tools-dmapl2530-1-in-x-16-in-x-18-in-sds-plus-2-cutter", "https://edmondsonsupply.com/products/diablo-tools-dmapl2530-1-in-x-16-in-x-18-in-sds-plus-2-cutter")</f>
        <v/>
      </c>
      <c r="C7225" t="inlineStr">
        <is>
          <t>Diablo Tools DMAPL2530 1 in. x 16 in. x 18 in. SDS-Plus 2-Cutter</t>
        </is>
      </c>
      <c r="D7225" t="inlineStr">
        <is>
          <t>Diablo 5/8 in. x 16 in. x 18 in. SDS-Plus 2-Cutter</t>
        </is>
      </c>
      <c r="E7225" s="2">
        <f>HYPERLINK("https://www.amazon.com/Diablo-16-18-SDS-Plus-2-Cutter/dp/B089KV7MNH/ref=sr_1_8?keywords=Diablo+Tools+DMAPL2530+1+in.+x+16+in.+x+18+in.+SDS-Plus+2-Cutter&amp;qid=1694735204&amp;sr=8-8", "https://www.amazon.com/Diablo-16-18-SDS-Plus-2-Cutter/dp/B089KV7MNH/ref=sr_1_8?keywords=Diablo+Tools+DMAPL2530+1+in.+x+16+in.+x+18+in.+SDS-Plus+2-Cutter&amp;qid=1694735204&amp;sr=8-8")</f>
        <v/>
      </c>
      <c r="F7225" t="inlineStr">
        <is>
          <t>B089KV7MNH</t>
        </is>
      </c>
      <c r="G7225">
        <f>_xlfn.IMAGE("https://edmondsonsupply.com/cdn/shop/products/DMAPL2530_Main-Image20200703.png?v=1627068300")</f>
        <v/>
      </c>
      <c r="H7225">
        <f>_xlfn.IMAGE("https://m.media-amazon.com/images/I/61QBGOEcYkL._AC_UL320_.jpg")</f>
        <v/>
      </c>
      <c r="K7225" t="inlineStr">
        <is>
          <t>38.97</t>
        </is>
      </c>
      <c r="L7225" t="n">
        <v>24.98</v>
      </c>
      <c r="M7225" s="1" t="inlineStr">
        <is>
          <t>-35.90%</t>
        </is>
      </c>
      <c r="N7225" s="7" t="n"/>
      <c r="O7225" t="n">
        <v>5</v>
      </c>
      <c r="P7225" t="n">
        <v>1</v>
      </c>
      <c r="R7225" t="inlineStr">
        <is>
          <t>InStock</t>
        </is>
      </c>
      <c r="S7225" t="inlineStr">
        <is>
          <t>50.56</t>
        </is>
      </c>
      <c r="T7225" t="inlineStr">
        <is>
          <t>6839623778477</t>
        </is>
      </c>
    </row>
    <row r="7226" ht="87" customHeight="1">
      <c r="A7226" s="2">
        <f>HYPERLINK("https://edmondsonsupply.com/collections/electricians-tools/products/klein-tools-5539cpak-assorted-canvas-zipper-bags-3-pack", "https://edmondsonsupply.com/collections/electricians-tools/products/klein-tools-5539cpak-assorted-canvas-zipper-bags-3-pack")</f>
        <v/>
      </c>
      <c r="B7226" s="2">
        <f>HYPERLINK("https://edmondsonsupply.com/products/klein-tools-5539cpak-assorted-canvas-zipper-bags-3-pack", "https://edmondsonsupply.com/products/klein-tools-5539cpak-assorted-canvas-zipper-bags-3-pack")</f>
        <v/>
      </c>
      <c r="C7226" t="inlineStr">
        <is>
          <t>Klein Tools 5539CPAK Zipper Bags, Assorted Canvas Tool Pouches, 3-Pack</t>
        </is>
      </c>
      <c r="D7226" t="inlineStr">
        <is>
          <t>Klein Tools 55470 Utility Bag, Stand-Up Zipper Tool Bags, Orange/Black, Gray/Black, 2-Pack &amp; 5139 Zipper Bag, Canvas Tool Pouch 12.5 x 7 x 4.25-Inch with Heavy Duty Brass Zipper Close, Natural</t>
        </is>
      </c>
      <c r="E7226" s="2">
        <f>HYPERLINK("https://www.amazon.com/Klein-Tools-Utility-Stand-Up-4-25-Inch/dp/B09Z93CWZ3/ref=sr_1_19?keywords=Klein+Tools+5539CPAK+Zipper+Bags%2C+Assorted+Canvas+Tool+Pouches%2C+3-Pack&amp;qid=1694735341&amp;sr=8-19", "https://www.amazon.com/Klein-Tools-Utility-Stand-Up-4-25-Inch/dp/B09Z93CWZ3/ref=sr_1_19?keywords=Klein+Tools+5539CPAK+Zipper+Bags%2C+Assorted+Canvas+Tool+Pouches%2C+3-Pack&amp;qid=1694735341&amp;sr=8-19")</f>
        <v/>
      </c>
      <c r="F7226" t="inlineStr">
        <is>
          <t>B09Z93CWZ3</t>
        </is>
      </c>
      <c r="G7226">
        <f>_xlfn.IMAGE("https://edmondsonsupply.com/cdn/shop/products/5539cpak.jpg?v=1587143720")</f>
        <v/>
      </c>
      <c r="H7226">
        <f>_xlfn.IMAGE("https://m.media-amazon.com/images/I/51o5htzrb7L._AC_UL320_.jpg")</f>
        <v/>
      </c>
      <c r="K7226" t="inlineStr">
        <is>
          <t>38.99</t>
        </is>
      </c>
      <c r="L7226" t="n">
        <v>24.99</v>
      </c>
      <c r="M7226" s="1" t="inlineStr">
        <is>
          <t>-35.91%</t>
        </is>
      </c>
      <c r="N7226" s="7" t="n"/>
      <c r="O7226" t="n">
        <v>5</v>
      </c>
      <c r="P7226" t="n">
        <v>3</v>
      </c>
      <c r="R7226" t="inlineStr">
        <is>
          <t>InStock</t>
        </is>
      </c>
      <c r="S7226" t="inlineStr">
        <is>
          <t>59.06</t>
        </is>
      </c>
      <c r="T7226" t="inlineStr">
        <is>
          <t>4504095260772</t>
        </is>
      </c>
    </row>
    <row r="7227" hidden="1" ht="15.75" customHeight="1">
      <c r="A7227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227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227" t="inlineStr">
        <is>
          <t>Diablo Tools DMAPL4040-P25 3/16 in. x 4 in. x 6 in. Rebar Demon™ SDS-Plus 4-Cutter Full Carbide Head Hammer Bit (25-Pack)</t>
        </is>
      </c>
      <c r="D7227" t="inlineStr">
        <is>
          <t>Diablo DMAMX1180 7/8 in. x 16 in. x 21 in. Rebar Demon™ SDS-Max 4-Cutter Full Carbide Head Hammer Bit</t>
        </is>
      </c>
      <c r="E7227" s="2">
        <f>HYPERLINK("https://www.amazon.com/Diablo-SDS-Max-4-Cutter-Carbide-Hammer/dp/B089KWFF8B/ref=sr_1_27?keywords=Diablo+Tools+DMAPL4040-P25+3%2F16+in.+x+4+in.+x+6+in.+Rebar+Demon%E2%84%A2+SDS-Plus+4-Cutter+Full+Carbide+Head+Hammer+Bit+%2825-Pack%29&amp;qid=1694735299&amp;sr=8-27", "https://www.amazon.com/Diablo-SDS-Max-4-Cutter-Carbide-Hammer/dp/B089KWFF8B/ref=sr_1_27?keywords=Diablo+Tools+DMAPL4040-P25+3%2F16+in.+x+4+in.+x+6+in.+Rebar+Demon%E2%84%A2+SDS-Plus+4-Cutter+Full+Carbide+Head+Hammer+Bit+%2825-Pack%29&amp;qid=1694735299&amp;sr=8-27")</f>
        <v/>
      </c>
      <c r="F7227" t="inlineStr">
        <is>
          <t>B089KWFF8B</t>
        </is>
      </c>
      <c r="G7227">
        <f>_xludf.IMAGE("https://edmondsonsupply.com/cdn/shop/products/DMAPL4040-P25.jpg?v=1633030349")</f>
        <v/>
      </c>
      <c r="H7227">
        <f>_xludf.IMAGE("https://m.media-amazon.com/images/I/611fTcYRNFL._AC_UL320_.jpg")</f>
        <v/>
      </c>
      <c r="K7227" t="inlineStr">
        <is>
          <t>81.97</t>
        </is>
      </c>
      <c r="L7227" t="n">
        <v>52.51</v>
      </c>
      <c r="M7227" s="1" t="inlineStr">
        <is>
          <t>-35.94%</t>
        </is>
      </c>
      <c r="N7227" s="1" t="n"/>
      <c r="O7227" t="n">
        <v>3.5</v>
      </c>
      <c r="P7227" t="n">
        <v>3</v>
      </c>
      <c r="R7227" t="inlineStr">
        <is>
          <t>InStock</t>
        </is>
      </c>
      <c r="S7227" t="inlineStr">
        <is>
          <t>117.4</t>
        </is>
      </c>
      <c r="T7227" t="inlineStr">
        <is>
          <t>5283055206568</t>
        </is>
      </c>
    </row>
    <row r="7228" ht="87" customHeight="1">
      <c r="A7228" s="2">
        <f>HYPERLINK("https://edmondsonsupply.com/collections/electricians-tools/products/milwaukee-2553-20-m12-fuel%E2%84%A2-1-4-hex-impact-driver-tool-only", "https://edmondsonsupply.com/collections/electricians-tools/products/milwaukee-2553-20-m12-fuel%E2%84%A2-1-4-hex-impact-driver-tool-only")</f>
        <v/>
      </c>
      <c r="B7228" s="2">
        <f>HYPERLINK("https://edmondsonsupply.com/products/milwaukee-2553-20-m12-fuel%e2%84%a2-1-4-hex-impact-driver-tool-only", "https://edmondsonsupply.com/products/milwaukee-2553-20-m12-fuel%e2%84%a2-1-4-hex-impact-driver-tool-only")</f>
        <v/>
      </c>
      <c r="C7228" t="inlineStr">
        <is>
          <t>Milwaukee 2553-20 M12 FUEL™ 1/4" Hex Impact Driver (Tool Only)</t>
        </is>
      </c>
      <c r="D7228" t="inlineStr">
        <is>
          <t>Milwaukee Electric Tools MLW2553-20 M12 Fuel 1/4" Hex Impact Driver (Bare)</t>
        </is>
      </c>
      <c r="E7228" s="2">
        <f>HYPERLINK("https://www.amazon.com/Milwaukee-Electric-Tools-MLW2553-20-Impact/dp/B077ZYMK1W/ref=sr_1_1?keywords=Milwaukee+2553-20+M12+FUEL%E2%84%A2+1%2F4%22+Hex+Impact+Driver+%28Tool+Only%29&amp;qid=1694735091&amp;sr=8-1", "https://www.amazon.com/Milwaukee-Electric-Tools-MLW2553-20-Impact/dp/B077ZYMK1W/ref=sr_1_1?keywords=Milwaukee+2553-20+M12+FUEL%E2%84%A2+1%2F4%22+Hex+Impact+Driver+%28Tool+Only%29&amp;qid=1694735091&amp;sr=8-1")</f>
        <v/>
      </c>
      <c r="F7228" t="inlineStr">
        <is>
          <t>B077ZYMK1W</t>
        </is>
      </c>
      <c r="G7228">
        <f>_xlfn.IMAGE("https://edmondsonsupply.com/cdn/shop/products/2553-20_1.webp?v=1668444189")</f>
        <v/>
      </c>
      <c r="H7228">
        <f>_xlfn.IMAGE("https://m.media-amazon.com/images/I/71gozUvKj2L._AC_UL320_.jpg")</f>
        <v/>
      </c>
      <c r="K7228" t="inlineStr">
        <is>
          <t>139.0</t>
        </is>
      </c>
      <c r="L7228" t="n">
        <v>88.98999999999999</v>
      </c>
      <c r="M7228" s="1" t="inlineStr">
        <is>
          <t>-35.98%</t>
        </is>
      </c>
      <c r="N7228" s="7" t="n"/>
      <c r="O7228" t="n">
        <v>4.8</v>
      </c>
      <c r="P7228" t="n">
        <v>2985</v>
      </c>
      <c r="R7228" t="inlineStr">
        <is>
          <t>InStock</t>
        </is>
      </c>
      <c r="S7228" t="inlineStr">
        <is>
          <t>235.0</t>
        </is>
      </c>
      <c r="T7228" t="inlineStr">
        <is>
          <t>7884402393304</t>
        </is>
      </c>
    </row>
    <row r="7229" ht="87" customHeight="1">
      <c r="A7229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7229" s="2">
        <f>HYPERLINK("https://edmondsonsupply.com/products/klein-tools-31902-bi-metal-hole-saw-kit-8-piece", "https://edmondsonsupply.com/products/klein-tools-31902-bi-metal-hole-saw-kit-8-piece")</f>
        <v/>
      </c>
      <c r="C7229" t="inlineStr">
        <is>
          <t>Klein Tools 31902 Bi-Metal Hole Saw Kit, 8-Piece</t>
        </is>
      </c>
      <c r="D7229" t="inlineStr">
        <is>
          <t>LENOX Tools SPEED SLOT Bi-Metal Hole Saw Kit, 7-Piece Compact Construction Kit (1815140),White/Blue</t>
        </is>
      </c>
      <c r="E7229" s="2">
        <f>HYPERLINK("https://www.amazon.com/LENOX-Tools-Bi-Metal-Technology-Construction/dp/B007CAYVD8/ref=sr_1_17?keywords=Klein+Tools+31902+Bi-Metal+Hole+Saw+Kit%2C+8-Piece&amp;qid=1694735008&amp;sr=8-17", "https://www.amazon.com/LENOX-Tools-Bi-Metal-Technology-Construction/dp/B007CAYVD8/ref=sr_1_17?keywords=Klein+Tools+31902+Bi-Metal+Hole+Saw+Kit%2C+8-Piece&amp;qid=1694735008&amp;sr=8-17")</f>
        <v/>
      </c>
      <c r="F7229" t="inlineStr">
        <is>
          <t>B007CAYVD8</t>
        </is>
      </c>
      <c r="G7229">
        <f>_xlfn.IMAGE("https://edmondsonsupply.com/cdn/shop/products/31902.jpg?v=1679665390")</f>
        <v/>
      </c>
      <c r="H7229">
        <f>_xlfn.IMAGE("https://m.media-amazon.com/images/I/71ey563e58L._AC_UL320_.jpg")</f>
        <v/>
      </c>
      <c r="K7229" t="inlineStr">
        <is>
          <t>74.99</t>
        </is>
      </c>
      <c r="L7229" t="n">
        <v>48</v>
      </c>
      <c r="M7229" s="1" t="inlineStr">
        <is>
          <t>-35.99%</t>
        </is>
      </c>
      <c r="N7229" s="7" t="n"/>
      <c r="O7229" t="n">
        <v>4.7</v>
      </c>
      <c r="P7229" t="n">
        <v>255</v>
      </c>
      <c r="R7229" t="inlineStr">
        <is>
          <t>InStock</t>
        </is>
      </c>
      <c r="S7229" t="inlineStr">
        <is>
          <t>105.24</t>
        </is>
      </c>
      <c r="T7229" t="inlineStr">
        <is>
          <t>7966205673688</t>
        </is>
      </c>
    </row>
    <row r="7230" hidden="1" ht="15.75" customHeight="1">
      <c r="A7230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7230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7230" t="inlineStr">
        <is>
          <t>Diablo Tools DOU125BF 1-1/4 in. Universal Fit Bi-Metal Oscillating Blade for Metal</t>
        </is>
      </c>
      <c r="D7230" t="inlineStr">
        <is>
          <t>Diablo DOU125BW 1-1/4 in. Universal Fit Bi-Metal Oscillating Blade for Nail-Embedded Wood</t>
        </is>
      </c>
      <c r="E7230" s="2">
        <f>HYPERLINK("https://www.amazon.com/Diablo-Universal-Bi-Metal-Oscillating-Nail-Embedded/dp/B089LDN2LT/ref=sr_1_4?keywords=Diablo+Tools+DOU125BF+1-1%2F4+in.+Universal+Fit+Bi-Metal+Oscillating+Blade+for+Metal&amp;qid=1694734995&amp;sr=8-4", "https://www.amazon.com/Diablo-Universal-Bi-Metal-Oscillating-Nail-Embedded/dp/B089LDN2LT/ref=sr_1_4?keywords=Diablo+Tools+DOU125BF+1-1%2F4+in.+Universal+Fit+Bi-Metal+Oscillating+Blade+for+Metal&amp;qid=1694734995&amp;sr=8-4")</f>
        <v/>
      </c>
      <c r="F7230" t="inlineStr">
        <is>
          <t>B089LDN2LT</t>
        </is>
      </c>
      <c r="G7230">
        <f>_xludf.IMAGE("https://edmondsonsupply.com/cdn/shop/files/k1d1qiwmm4npznsdbwtg.webp?v=1685467858")</f>
        <v/>
      </c>
      <c r="H7230">
        <f>_xludf.IMAGE("https://m.media-amazon.com/images/I/613ig7mNjfL._AC_UL320_.jpg")</f>
        <v/>
      </c>
      <c r="K7230" t="inlineStr">
        <is>
          <t>18.97</t>
        </is>
      </c>
      <c r="L7230" t="n">
        <v>12.14</v>
      </c>
      <c r="M7230" s="1" t="inlineStr">
        <is>
          <t>-36.00%</t>
        </is>
      </c>
      <c r="N7230" s="1" t="n"/>
      <c r="O7230" t="n">
        <v>4.8</v>
      </c>
      <c r="P7230" t="n">
        <v>12</v>
      </c>
      <c r="R7230" t="inlineStr">
        <is>
          <t>InStock</t>
        </is>
      </c>
      <c r="S7230" t="inlineStr">
        <is>
          <t>22.35</t>
        </is>
      </c>
      <c r="T7230" t="inlineStr">
        <is>
          <t>7997877584088</t>
        </is>
      </c>
    </row>
    <row r="7231" hidden="1" ht="15.75" customHeight="1">
      <c r="A7231" s="2">
        <f>HYPERLINK("https://edmondsonsupply.com/collections/electricians-tools/products/diablo-tools-dmapl4230-5-8-in-x-10-in-x-12-in-rebar-demon%E2%84%A2-sds-plus-4-cutter-full-carbide-head-hammer-bit", "https://edmondsonsupply.com/collections/electricians-tools/products/diablo-tools-dmapl4230-5-8-in-x-10-in-x-12-in-rebar-demon%E2%84%A2-sds-plus-4-cutter-full-carbide-head-hammer-bit")</f>
        <v/>
      </c>
      <c r="B7231" s="2">
        <f>HYPERLINK("https://edmondsonsupply.com/products/diablo-tools-dmapl4230-5-8-in-x-10-in-x-12-in-rebar-demon%e2%84%a2-sds-plus-4-cutter-full-carbide-head-hammer-bit", "https://edmondsonsupply.com/products/diablo-tools-dmapl4230-5-8-in-x-10-in-x-12-in-rebar-demon%e2%84%a2-sds-plus-4-cutter-full-carbide-head-hammer-bit")</f>
        <v/>
      </c>
      <c r="C7231" t="inlineStr">
        <is>
          <t>Diablo Tools DMAPL4230 5/8 in. x 10 in. x 12 in. Rebar Demon™ SDS‑Plus 4‑Cutter Full Carbide Head Hammer Bit</t>
        </is>
      </c>
      <c r="D7231" t="inlineStr">
        <is>
          <t>Diablo by Freud Diablo DMAPL4210 5/8 in. x 4 in. x 6 in. Rebar Demon SDS-Plus 4-Cutter Full Carbide Head Hammer Bit</t>
        </is>
      </c>
      <c r="E7231" s="2">
        <f>HYPERLINK("https://www.amazon.com/Diablo-Freud-DMAPL4210-SDS-Plus-4-Cutter/dp/B089LGF2KS/ref=sr_1_9?keywords=Diablo+Tools+DMAPL4230+5%2F8+in.+x+10+in.+x+12+in.+Rebar+Demon%E2%84%A2+SDS%E2%80%91Plus+4%E2%80%91Cutter+Full+Carbide+Head+Hammer+Bit&amp;qid=1694735289&amp;sr=8-9", "https://www.amazon.com/Diablo-Freud-DMAPL4210-SDS-Plus-4-Cutter/dp/B089LGF2KS/ref=sr_1_9?keywords=Diablo+Tools+DMAPL4230+5%2F8+in.+x+10+in.+x+12+in.+Rebar+Demon%E2%84%A2+SDS%E2%80%91Plus+4%E2%80%91Cutter+Full+Carbide+Head+Hammer+Bit&amp;qid=1694735289&amp;sr=8-9")</f>
        <v/>
      </c>
      <c r="F7231" t="inlineStr">
        <is>
          <t>B089LGF2KS</t>
        </is>
      </c>
      <c r="G7231">
        <f>_xludf.IMAGE("https://edmondsonsupply.com/cdn/shop/products/DMAPL4230_Main-Image20200701.png?v=1633030428")</f>
        <v/>
      </c>
      <c r="H7231">
        <f>_xludf.IMAGE("https://m.media-amazon.com/images/I/61rU9ZgmndL._AC_UL320_.jpg")</f>
        <v/>
      </c>
      <c r="K7231" t="inlineStr">
        <is>
          <t>17.97</t>
        </is>
      </c>
      <c r="L7231" t="n">
        <v>11.49</v>
      </c>
      <c r="M7231" s="1" t="inlineStr">
        <is>
          <t>-36.06%</t>
        </is>
      </c>
      <c r="N7231" s="1" t="n"/>
      <c r="O7231" t="n">
        <v>4.6</v>
      </c>
      <c r="P7231" t="n">
        <v>63</v>
      </c>
      <c r="R7231" t="inlineStr">
        <is>
          <t>InStock</t>
        </is>
      </c>
      <c r="S7231" t="inlineStr">
        <is>
          <t>27.18</t>
        </is>
      </c>
      <c r="T7231" t="inlineStr">
        <is>
          <t>5326959476904</t>
        </is>
      </c>
    </row>
    <row r="7232" hidden="1" ht="15.75" customHeight="1">
      <c r="A7232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7232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7232" t="inlineStr">
        <is>
          <t>Diablo Tools DMARG1160 1/2 in. x 10 in. x 12 in. SPEEDemon™ Red Granite Carbide Tipped Hammer Drill Bit</t>
        </is>
      </c>
      <c r="D7232" t="inlineStr">
        <is>
          <t>Diablo by Freud DMARG1150 1/2 in. x 4 in. x 6 in. SPEEDemon Red Granite Carbide Tipped Hammer Drill Bit</t>
        </is>
      </c>
      <c r="E7232" s="2">
        <f>HYPERLINK("https://www.amazon.com/Diablo-Freud-DMARG1150-SPEEDemon-Granite/dp/B089LKXD71/ref=sr_1_4?keywords=Diablo+Tools+DMARG1160+1%2F2+in.+x+10+in.+x+12+in.+SPEEDemon%E2%84%A2+Red+Granite+Carbide+Tipped+Hammer+Drill+Bit&amp;qid=1694735262&amp;sr=8-4", "https://www.amazon.com/Diablo-Freud-DMARG1150-SPEEDemon-Granite/dp/B089LKXD71/ref=sr_1_4?keywords=Diablo+Tools+DMARG1160+1%2F2+in.+x+10+in.+x+12+in.+SPEEDemon%E2%84%A2+Red+Granite+Carbide+Tipped+Hammer+Drill+Bit&amp;qid=1694735262&amp;sr=8-4")</f>
        <v/>
      </c>
      <c r="F7232" t="inlineStr">
        <is>
          <t>B089LKXD71</t>
        </is>
      </c>
      <c r="G7232">
        <f>_xludf.IMAGE("https://edmondsonsupply.com/cdn/shop/products/DMARG1160_Main-Image20200513.png?v=1633030651")</f>
        <v/>
      </c>
      <c r="H7232">
        <f>_xludf.IMAGE("https://m.media-amazon.com/images/I/61Irr3Gr9YL._AC_UL320_.jpg")</f>
        <v/>
      </c>
      <c r="K7232" t="inlineStr">
        <is>
          <t>15.97</t>
        </is>
      </c>
      <c r="L7232" t="n">
        <v>10.19</v>
      </c>
      <c r="M7232" s="1" t="inlineStr">
        <is>
          <t>-36.19%</t>
        </is>
      </c>
      <c r="N7232" s="1" t="n"/>
      <c r="O7232" t="n">
        <v>4.3</v>
      </c>
      <c r="P7232" t="n">
        <v>19</v>
      </c>
      <c r="R7232" t="inlineStr">
        <is>
          <t>InStock</t>
        </is>
      </c>
      <c r="S7232" t="inlineStr">
        <is>
          <t>undefined</t>
        </is>
      </c>
      <c r="T7232" t="inlineStr">
        <is>
          <t>5740401164456</t>
        </is>
      </c>
    </row>
    <row r="7233" ht="87" customHeight="1">
      <c r="A7233" s="2">
        <f>HYPERLINK("https://edmondsonsupply.com/collections/electricians-tools/products/tajima-gs-25-7-5mbw-gs-lock%E2%84%A2-standard-metric-scale-25-ft-7-5-m-x-1-1-16-in-27mm-steel-blade-tape-measure", "https://edmondsonsupply.com/collections/electricians-tools/products/tajima-gs-25-7-5mbw-gs-lock%E2%84%A2-standard-metric-scale-25-ft-7-5-m-x-1-1-16-in-27mm-steel-blade-tape-measure")</f>
        <v/>
      </c>
      <c r="B7233" s="2">
        <f>HYPERLINK("https://edmondsonsupply.com/products/tajima-gs-25-7-5mbw-gs-lock%e2%84%a2-standard-metric-scale-25-ft-7-5-m-x-1-1-16-in-27mm-steel-blade-tape-measure", "https://edmondsonsupply.com/products/tajima-gs-25-7-5mbw-gs-lock%e2%84%a2-standard-metric-scale-25-ft-7-5-m-x-1-1-16-in-27mm-steel-blade-tape-measure")</f>
        <v/>
      </c>
      <c r="C7233" t="inlineStr">
        <is>
          <t>Tajima GS-25/7.5MBW GS Lock™ Standard &amp; Metric Scale, 25 ft/ 7.5 m x 1-1/16 in./27mm Steel Blade Tape Measure</t>
        </is>
      </c>
      <c r="D7233" t="inlineStr">
        <is>
          <t>TAJIMA Tape Measure - 25 ft / 7.5 m x 1 inch G-Series Measuring Tape with Dual Metric/Standard Scale &amp; Acrylic Coated Blade - G-25/7.5MBW</t>
        </is>
      </c>
      <c r="E7233" s="2">
        <f>HYPERLINK("https://www.amazon.com/TAJIMA-Tape-Measure-G-Measuring/dp/B000K1I9WU/ref=sr_1_4?keywords=Tajima+GS-25%2F7.5MBW+GS+Lock%E2%84%A2+Standard+%26+Metric+Scale%2C+25+ft%2F+7.5+m+x+1-1%2F16+in.%2F27mm+Steel+Blade+Tape+Measure&amp;qid=1694735146&amp;sr=8-4", "https://www.amazon.com/TAJIMA-Tape-Measure-G-Measuring/dp/B000K1I9WU/ref=sr_1_4?keywords=Tajima+GS-25%2F7.5MBW+GS+Lock%E2%84%A2+Standard+%26+Metric+Scale%2C+25+ft%2F+7.5+m+x+1-1%2F16+in.%2F27mm+Steel+Blade+Tape+Measure&amp;qid=1694735146&amp;sr=8-4")</f>
        <v/>
      </c>
      <c r="F7233" t="inlineStr">
        <is>
          <t>B000K1I9WU</t>
        </is>
      </c>
      <c r="G7233">
        <f>_xlfn.IMAGE("https://edmondsonsupply.com/cdn/shop/products/GS25-7.5MBW.jpg?v=1655830265")</f>
        <v/>
      </c>
      <c r="H7233">
        <f>_xlfn.IMAGE("https://m.media-amazon.com/images/I/81LietF-5eL._AC_UL320_.jpg")</f>
        <v/>
      </c>
      <c r="K7233" t="inlineStr">
        <is>
          <t>42.19</t>
        </is>
      </c>
      <c r="L7233" t="n">
        <v>26.88</v>
      </c>
      <c r="M7233" s="1" t="inlineStr">
        <is>
          <t>-36.29%</t>
        </is>
      </c>
      <c r="N7233" s="7" t="n"/>
      <c r="O7233" t="n">
        <v>4.6</v>
      </c>
      <c r="P7233" t="n">
        <v>85</v>
      </c>
      <c r="R7233" t="inlineStr">
        <is>
          <t>InStock</t>
        </is>
      </c>
      <c r="S7233" t="inlineStr">
        <is>
          <t>undefined</t>
        </is>
      </c>
      <c r="T7233" t="inlineStr">
        <is>
          <t>7726372552920</t>
        </is>
      </c>
    </row>
    <row r="7234" hidden="1" ht="15.75" customHeight="1">
      <c r="A7234" s="2">
        <f>HYPERLINK("https://edmondsonsupply.com/collections/electricians-tools/products/klein-tools-630-7-16m-7-16-inch-magnetic-tip-nut-driver-3-inch-shaft", "https://edmondsonsupply.com/collections/electricians-tools/products/klein-tools-630-7-16m-7-16-inch-magnetic-tip-nut-driver-3-inch-shaft")</f>
        <v/>
      </c>
      <c r="B7234" s="2">
        <f>HYPERLINK("https://edmondsonsupply.com/products/klein-tools-630-7-16m-7-16-inch-magnetic-tip-nut-driver-3-inch-shaft", "https://edmondsonsupply.com/products/klein-tools-630-7-16m-7-16-inch-magnetic-tip-nut-driver-3-inch-shaft")</f>
        <v/>
      </c>
      <c r="C7234" t="inlineStr">
        <is>
          <t>Klein Tools 630-7/16M 7/16-Inch Magnetic Tip Nut Driver 3-Inch Shaft</t>
        </is>
      </c>
      <c r="D7234" t="inlineStr">
        <is>
          <t>Mriuuod 7/16-Inch Nut Driver, 93mm Hollow Shaft Hex Nut Driver Non-Magnetic Tip, Heavy-Duty 6-Point Socket for Added High-Torque, Tight Spaces, Precise Tightening Bolts and Nuts</t>
        </is>
      </c>
      <c r="E7234" s="2">
        <f>HYPERLINK("https://www.amazon.com/Mriuuod-Non-Magnetic-Heavy-Duty-High-Torque-Tightening/dp/B0C9Q5WRZ6/ref=sr_1_21?keywords=Klein+Tools+630-7%2F16M+7%2F16-Inch+Magnetic+Tip+Nut+Driver+3-Inch+Shaft&amp;qid=1694735273&amp;sr=8-21", "https://www.amazon.com/Mriuuod-Non-Magnetic-Heavy-Duty-High-Torque-Tightening/dp/B0C9Q5WRZ6/ref=sr_1_21?keywords=Klein+Tools+630-7%2F16M+7%2F16-Inch+Magnetic+Tip+Nut+Driver+3-Inch+Shaft&amp;qid=1694735273&amp;sr=8-21")</f>
        <v/>
      </c>
      <c r="F7234" t="inlineStr">
        <is>
          <t>B0C9Q5WRZ6</t>
        </is>
      </c>
      <c r="G7234">
        <f>_xludf.IMAGE("https://edmondsonsupply.com/cdn/shop/products/630-7-16m.jpg?v=1633030529")</f>
        <v/>
      </c>
      <c r="H7234">
        <f>_xludf.IMAGE("https://m.media-amazon.com/images/I/51ENUo1ZlJL._AC_UL320_.jpg")</f>
        <v/>
      </c>
      <c r="K7234" t="inlineStr">
        <is>
          <t>12.24</t>
        </is>
      </c>
      <c r="L7234" t="n">
        <v>7.79</v>
      </c>
      <c r="M7234" s="1" t="inlineStr">
        <is>
          <t>-36.36%</t>
        </is>
      </c>
      <c r="N7234" s="1" t="n"/>
      <c r="O7234" t="n">
        <v>3.5</v>
      </c>
      <c r="P7234" t="n">
        <v>7</v>
      </c>
      <c r="R7234" t="inlineStr">
        <is>
          <t>InStock</t>
        </is>
      </c>
      <c r="S7234" t="inlineStr">
        <is>
          <t>18.54</t>
        </is>
      </c>
      <c r="T7234" t="inlineStr">
        <is>
          <t>5408853819560</t>
        </is>
      </c>
    </row>
    <row r="7235" ht="87" customHeight="1">
      <c r="A7235" s="2">
        <f>HYPERLINK("https://edmondsonsupply.com/collections/electricians-tools/products/fluke-325-true-rms-clamp-meter", "https://edmondsonsupply.com/collections/electricians-tools/products/fluke-325-true-rms-clamp-meter")</f>
        <v/>
      </c>
      <c r="B7235" s="2">
        <f>HYPERLINK("https://edmondsonsupply.com/products/fluke-325-true-rms-clamp-meter", "https://edmondsonsupply.com/products/fluke-325-true-rms-clamp-meter")</f>
        <v/>
      </c>
      <c r="C7235" t="inlineStr">
        <is>
          <t>Fluke 325 True RMS Clamp Meter</t>
        </is>
      </c>
      <c r="D7235" t="inlineStr">
        <is>
          <t>Fluke 373 True-RMS AC Clamp Meter</t>
        </is>
      </c>
      <c r="E7235" s="2">
        <f>HYPERLINK("https://www.amazon.com/Fluke-373-True-RMS-Clamp-Meter/dp/B004DZCWIQ/ref=sr_1_10?keywords=Fluke+325+True+RMS+Clamp+Meter&amp;qid=1694735185&amp;sr=8-10", "https://www.amazon.com/Fluke-373-True-RMS-Clamp-Meter/dp/B004DZCWIQ/ref=sr_1_10?keywords=Fluke+325+True+RMS+Clamp+Meter&amp;qid=1694735185&amp;sr=8-10")</f>
        <v/>
      </c>
      <c r="F7235" t="inlineStr">
        <is>
          <t>B004DZCWIQ</t>
        </is>
      </c>
      <c r="G7235">
        <f>_xlfn.IMAGE("https://edmondsonsupply.com/cdn/shop/products/Fluke_325_clamp_meter_1280x873px_E_NR-14655.jpg?v=1688679209")</f>
        <v/>
      </c>
      <c r="H7235">
        <f>_xlfn.IMAGE("https://m.media-amazon.com/images/I/617BjfkzIaL._AC_UY218_.jpg")</f>
        <v/>
      </c>
      <c r="K7235" t="inlineStr">
        <is>
          <t>373.49</t>
        </is>
      </c>
      <c r="L7235" t="n">
        <v>236.46</v>
      </c>
      <c r="M7235" s="1" t="inlineStr">
        <is>
          <t>-36.69%</t>
        </is>
      </c>
      <c r="N7235" s="7" t="n"/>
      <c r="O7235" t="n">
        <v>4.7</v>
      </c>
      <c r="P7235" t="n">
        <v>84</v>
      </c>
      <c r="R7235" t="inlineStr">
        <is>
          <t>InStock</t>
        </is>
      </c>
      <c r="S7235" t="inlineStr">
        <is>
          <t>414.99</t>
        </is>
      </c>
      <c r="T7235" t="inlineStr">
        <is>
          <t>6917985468589</t>
        </is>
      </c>
    </row>
    <row r="7236" hidden="1" ht="15.75" customHeight="1">
      <c r="A7236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7236" s="2">
        <f>HYPERLINK("https://edmondsonsupply.com/products/klein-tools-635-1-2-1-2-inch-heavy-duty-nut-driver", "https://edmondsonsupply.com/products/klein-tools-635-1-2-1-2-inch-heavy-duty-nut-driver")</f>
        <v/>
      </c>
      <c r="C7236" t="inlineStr">
        <is>
          <t>Klein Tools 635-1/2 1/2-Inch Heavy-Duty Nut Driver</t>
        </is>
      </c>
      <c r="D7236" t="inlineStr">
        <is>
          <t>Klein Tools 610-1/4M 1/4-Inch Magnetic Nut Driver with 1-1/2-Inch Hollow Shaft and Cushion Grip Handle</t>
        </is>
      </c>
      <c r="E7236" s="2">
        <f>HYPERLINK("https://www.amazon.com/Magnetic-Cushion-Klein-610-1-4M/dp/B00093GE3A/ref=sr_1_27?keywords=Klein+Tools+635-1%2F2+1%2F2-Inch+Heavy-Duty+Nut+Driver&amp;qid=1694735353&amp;sr=8-27", "https://www.amazon.com/Magnetic-Cushion-Klein-610-1-4M/dp/B00093GE3A/ref=sr_1_27?keywords=Klein+Tools+635-1%2F2+1%2F2-Inch+Heavy-Duty+Nut+Driver&amp;qid=1694735353&amp;sr=8-27")</f>
        <v/>
      </c>
      <c r="F7236" t="inlineStr">
        <is>
          <t>B00093GE3A</t>
        </is>
      </c>
      <c r="G7236">
        <f>_xludf.IMAGE("https://edmondsonsupply.com/cdn/shop/products/635-1-2.jpg?v=1587147726")</f>
        <v/>
      </c>
      <c r="H7236">
        <f>_xludf.IMAGE("https://m.media-amazon.com/images/I/41piyjqJVeL._AC_UL320_.jpg")</f>
        <v/>
      </c>
      <c r="K7236" t="inlineStr">
        <is>
          <t>14.99</t>
        </is>
      </c>
      <c r="L7236" t="n">
        <v>9.49</v>
      </c>
      <c r="M7236" s="1" t="inlineStr">
        <is>
          <t>-36.69%</t>
        </is>
      </c>
      <c r="N7236" s="1" t="n"/>
      <c r="O7236" t="n">
        <v>4.7</v>
      </c>
      <c r="P7236" t="n">
        <v>258</v>
      </c>
      <c r="R7236" t="inlineStr">
        <is>
          <t>InStock</t>
        </is>
      </c>
      <c r="S7236" t="inlineStr">
        <is>
          <t>22.78</t>
        </is>
      </c>
      <c r="T7236" t="inlineStr">
        <is>
          <t>4473296945252</t>
        </is>
      </c>
    </row>
    <row r="7237" ht="87" customHeight="1">
      <c r="A7237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237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237" t="inlineStr">
        <is>
          <t>Diablo Tools DMAMX1230 1 in. x 24 in. x 29 in. Rebar Demon™ SDS-Max 4-Cutter Full Carbide Head Hammer Bit</t>
        </is>
      </c>
      <c r="D7237" t="inlineStr">
        <is>
          <t>Diablo DMAMX1110 5/8 in. x 24 in. x 29 in. Rebar Demon™ SDS-Max 4-Cutter Full Carbide Head Hammer Bit</t>
        </is>
      </c>
      <c r="E7237" s="2">
        <f>HYPERLINK("https://www.amazon.com/Diablo-SDS-Max-4-Cutter-Carbide-Hammer/dp/B089LJ9GHW/ref=sr_1_3?keywords=Diablo+Tools+DMAMX1230+1+in.+x+24+in.+x+29+in.+Rebar+Demon%E2%84%A2+SDS-Max+4-Cutter+Full+Carbide+Head+Hammer+Bit&amp;qid=1694735297&amp;sr=8-3", "https://www.amazon.com/Diablo-SDS-Max-4-Cutter-Carbide-Hammer/dp/B089LJ9GHW/ref=sr_1_3?keywords=Diablo+Tools+DMAMX1230+1+in.+x+24+in.+x+29+in.+Rebar+Demon%E2%84%A2+SDS-Max+4-Cutter+Full+Carbide+Head+Hammer+Bit&amp;qid=1694735297&amp;sr=8-3")</f>
        <v/>
      </c>
      <c r="F7237" t="inlineStr">
        <is>
          <t>B089LJ9GHW</t>
        </is>
      </c>
      <c r="G7237">
        <f>_xlfn.IMAGE("https://edmondsonsupply.com/cdn/shop/products/DMAMX1230_1.jpg?v=1633030364")</f>
        <v/>
      </c>
      <c r="H7237">
        <f>_xlfn.IMAGE("https://m.media-amazon.com/images/I/61vWAd-z8eL._AC_UL320_.jpg")</f>
        <v/>
      </c>
      <c r="K7237" t="inlineStr">
        <is>
          <t>124.97</t>
        </is>
      </c>
      <c r="L7237" t="n">
        <v>78.98999999999999</v>
      </c>
      <c r="M7237" s="1" t="inlineStr">
        <is>
          <t>-36.79%</t>
        </is>
      </c>
      <c r="N7237" s="7" t="n"/>
      <c r="O7237" t="n">
        <v>4.7</v>
      </c>
      <c r="P7237" t="n">
        <v>4</v>
      </c>
      <c r="R7237" t="inlineStr">
        <is>
          <t>InStock</t>
        </is>
      </c>
      <c r="S7237" t="inlineStr">
        <is>
          <t>152.89</t>
        </is>
      </c>
      <c r="T7237" t="inlineStr">
        <is>
          <t>5289176072360</t>
        </is>
      </c>
    </row>
    <row r="7238" hidden="1" ht="15.75" customHeight="1">
      <c r="A7238" s="2">
        <f>HYPERLINK("https://edmondsonsupply.com/collections/electricians-tools/products/copy-of-diablo-tools-dmarg1070-p5-1-4-in-x-4-in-x-6-in-speedemon%E2%84%A2-red-granite-carbide-tipped-hammer-drill-bit-5-pack", "https://edmondsonsupply.com/collections/electricians-tools/products/copy-of-diablo-tools-dmarg1070-p5-1-4-in-x-4-in-x-6-in-speedemon%E2%84%A2-red-granite-carbide-tipped-hammer-drill-bit-5-pack")</f>
        <v/>
      </c>
      <c r="B7238" s="2">
        <f>HYPERLINK("https://edmondsonsupply.com/products/copy-of-diablo-tools-dmarg1070-p5-1-4-in-x-4-in-x-6-in-speedemon%e2%84%a2-red-granite-carbide-tipped-hammer-drill-bit-5-pack", "https://edmondsonsupply.com/products/copy-of-diablo-tools-dmarg1070-p5-1-4-in-x-4-in-x-6-in-speedemon%e2%84%a2-red-granite-carbide-tipped-hammer-drill-bit-5-pack")</f>
        <v/>
      </c>
      <c r="C7238" t="inlineStr">
        <is>
          <t>Diablo Tools DMARG1070-P5 1/4 in. x 4 in. x 6 in. SPEEDemon™ Red Granite Carbide Tipped Hammer Drill Bit (5 Pack)</t>
        </is>
      </c>
      <c r="D7238" t="inlineStr">
        <is>
          <t>Diablo by Freud DMARG1170 5/8 in. x 4 in. x 6 in. SPEEDemon Red Granite Carbide Tipped Hammer Drill Bit</t>
        </is>
      </c>
      <c r="E7238" s="2">
        <f>HYPERLINK("https://www.amazon.com/Diablo-Freud-DMARG1170-SPEEDemon-Granite/dp/B089LHNF2T/ref=sr_1_26?keywords=Diablo+Tools+DMARG1070-P5+1%2F4+in.+x+4+in.+x+6+in.+SPEEDemon%E2%84%A2+Red+Granite+Carbide+Tipped+Hammer+Drill+Bit+%285+Pack%29&amp;qid=1694735292&amp;sr=8-26", "https://www.amazon.com/Diablo-Freud-DMARG1170-SPEEDemon-Granite/dp/B089LHNF2T/ref=sr_1_26?keywords=Diablo+Tools+DMARG1070-P5+1%2F4+in.+x+4+in.+x+6+in.+SPEEDemon%E2%84%A2+Red+Granite+Carbide+Tipped+Hammer+Drill+Bit+%285+Pack%29&amp;qid=1694735292&amp;sr=8-26")</f>
        <v/>
      </c>
      <c r="F7238" t="inlineStr">
        <is>
          <t>B089LHNF2T</t>
        </is>
      </c>
      <c r="G7238">
        <f>_xludf.IMAGE("https://edmondsonsupply.com/cdn/shop/products/DMARG1070_Main-Image20200407_dfed8205-033f-458f-ae14-6143b9796c31.png?v=1633030419")</f>
        <v/>
      </c>
      <c r="H7238">
        <f>_xludf.IMAGE("https://m.media-amazon.com/images/I/61+aCAjnkLL._AC_UL320_.jpg")</f>
        <v/>
      </c>
      <c r="K7238" t="inlineStr">
        <is>
          <t>18.97</t>
        </is>
      </c>
      <c r="L7238" t="n">
        <v>11.99</v>
      </c>
      <c r="M7238" s="1" t="inlineStr">
        <is>
          <t>-36.79%</t>
        </is>
      </c>
      <c r="N7238" s="1" t="n"/>
      <c r="O7238" t="n">
        <v>4.6</v>
      </c>
      <c r="P7238" t="n">
        <v>14</v>
      </c>
      <c r="R7238" t="inlineStr">
        <is>
          <t>InStock</t>
        </is>
      </c>
      <c r="S7238" t="inlineStr">
        <is>
          <t>19.34</t>
        </is>
      </c>
      <c r="T7238" t="inlineStr">
        <is>
          <t>5318022955176</t>
        </is>
      </c>
    </row>
    <row r="7239" hidden="1" ht="15.75" customHeight="1">
      <c r="A7239" s="2">
        <f>HYPERLINK("https://edmondsonsupply.com/collections/electricians-tools/products/diablo-tools-dmarg1180", "https://edmondsonsupply.com/collections/electricians-tools/products/diablo-tools-dmarg1180")</f>
        <v/>
      </c>
      <c r="B7239" s="2">
        <f>HYPERLINK("https://edmondsonsupply.com/products/diablo-tools-dmarg1180", "https://edmondsonsupply.com/products/diablo-tools-dmarg1180")</f>
        <v/>
      </c>
      <c r="C7239" t="inlineStr">
        <is>
          <t>Diablo Tools DMARG1180 5/8 in. x 10 in. x 12 in. SPEEDemon™ Red Granite Carbide Tipped Hammer Drill Bit</t>
        </is>
      </c>
      <c r="D7239" t="inlineStr">
        <is>
          <t>Diablo by Freud DMARG1170 5/8 in. x 4 in. x 6 in. SPEEDemon Red Granite Carbide Tipped Hammer Drill Bit</t>
        </is>
      </c>
      <c r="E7239" s="2">
        <f>HYPERLINK("https://www.amazon.com/Diablo-Freud-DMARG1170-SPEEDemon-Granite/dp/B089LHNF2T/ref=sr_1_29?keywords=Diablo+Tools+DMARG1180+5%2F8+in.+x+10+in.+x+12+in.+SPEEDemon%E2%84%A2+Red+Granite+Carbide+Tipped+Hammer+Drill+Bit&amp;qid=1694735299&amp;sr=8-29", "https://www.amazon.com/Diablo-Freud-DMARG1170-SPEEDemon-Granite/dp/B089LHNF2T/ref=sr_1_29?keywords=Diablo+Tools+DMARG1180+5%2F8+in.+x+10+in.+x+12+in.+SPEEDemon%E2%84%A2+Red+Granite+Carbide+Tipped+Hammer+Drill+Bit&amp;qid=1694735299&amp;sr=8-29")</f>
        <v/>
      </c>
      <c r="F7239" t="inlineStr">
        <is>
          <t>B089LHNF2T</t>
        </is>
      </c>
      <c r="G7239">
        <f>_xludf.IMAGE("https://edmondsonsupply.com/cdn/shop/products/DMARG1180_Main-Image.png?v=1633030424")</f>
        <v/>
      </c>
      <c r="H7239">
        <f>_xludf.IMAGE("https://m.media-amazon.com/images/I/61+aCAjnkLL._AC_UL320_.jpg")</f>
        <v/>
      </c>
      <c r="K7239" t="inlineStr">
        <is>
          <t>18.97</t>
        </is>
      </c>
      <c r="L7239" t="n">
        <v>11.99</v>
      </c>
      <c r="M7239" s="1" t="inlineStr">
        <is>
          <t>-36.79%</t>
        </is>
      </c>
      <c r="N7239" s="1" t="n"/>
      <c r="O7239" t="n">
        <v>4.6</v>
      </c>
      <c r="P7239" t="n">
        <v>14</v>
      </c>
      <c r="R7239" t="inlineStr">
        <is>
          <t>InStock</t>
        </is>
      </c>
      <c r="S7239" t="inlineStr">
        <is>
          <t>undefined</t>
        </is>
      </c>
      <c r="T7239" t="inlineStr">
        <is>
          <t>5323605278888</t>
        </is>
      </c>
    </row>
    <row r="7240" ht="87" customHeight="1">
      <c r="A7240" s="2">
        <f>HYPERLINK("https://edmondsonsupply.com/collections/electricians-tools/products/fluke-80pk-1-bead-probe", "https://edmondsonsupply.com/collections/electricians-tools/products/fluke-80pk-1-bead-probe")</f>
        <v/>
      </c>
      <c r="B7240" s="2">
        <f>HYPERLINK("https://edmondsonsupply.com/products/fluke-80pk-1-bead-probe", "https://edmondsonsupply.com/products/fluke-80pk-1-bead-probe")</f>
        <v/>
      </c>
      <c r="C7240" t="inlineStr">
        <is>
          <t>Fluke 80PK-1 Bead Probe</t>
        </is>
      </c>
      <c r="D7240" t="inlineStr">
        <is>
          <t>Fluke 80PK-1 Bead Probe</t>
        </is>
      </c>
      <c r="E7240" s="2">
        <f>HYPERLINK("https://www.amazon.com/Fluke-80PK-1-Bead-Probe/dp/B00011Q5PW/ref=sr_1_1?keywords=Fluke+80PK-1+Bead+Probe&amp;qid=1694735184&amp;sr=8-1", "https://www.amazon.com/Fluke-80PK-1-Bead-Probe/dp/B00011Q5PW/ref=sr_1_1?keywords=Fluke+80PK-1+Bead+Probe&amp;qid=1694735184&amp;sr=8-1")</f>
        <v/>
      </c>
      <c r="F7240" t="inlineStr">
        <is>
          <t>B00011Q5PW</t>
        </is>
      </c>
      <c r="G7240">
        <f>_xlfn.IMAGE("https://edmondsonsupply.com/cdn/shop/products/80pk-1a.png?v=1633466414")</f>
        <v/>
      </c>
      <c r="H7240">
        <f>_xlfn.IMAGE("https://m.media-amazon.com/images/I/41PUHcuA1YL._AC_UY218_.jpg")</f>
        <v/>
      </c>
      <c r="K7240" t="inlineStr">
        <is>
          <t>56.99</t>
        </is>
      </c>
      <c r="L7240" t="n">
        <v>36</v>
      </c>
      <c r="M7240" s="1" t="inlineStr">
        <is>
          <t>-36.83%</t>
        </is>
      </c>
      <c r="N7240" s="7" t="n"/>
      <c r="O7240" t="n">
        <v>4.2</v>
      </c>
      <c r="P7240" t="n">
        <v>51</v>
      </c>
      <c r="R7240" t="inlineStr">
        <is>
          <t>InStock</t>
        </is>
      </c>
      <c r="S7240" t="inlineStr">
        <is>
          <t>59.99</t>
        </is>
      </c>
      <c r="T7240" t="inlineStr">
        <is>
          <t>6995087130797</t>
        </is>
      </c>
    </row>
    <row r="7241" hidden="1" ht="15.75" customHeight="1">
      <c r="A7241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7241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7241" t="inlineStr">
        <is>
          <t>Klein Tools 32801 5-in-1 Multi-Bit Screwdriver / Nut Driver, Heavy Duty</t>
        </is>
      </c>
      <c r="D7241" t="inlineStr">
        <is>
          <t>Klein Tools 32562 Multi-Bit Screwdriver / Nut Driver, 6-in-1 Stubby Tool with Square Recess, Slotted, Phillips Bits and Nut Drivers</t>
        </is>
      </c>
      <c r="E7241" s="2">
        <f>HYPERLINK("https://www.amazon.com/Multi-Bit-Screwdriver-Klein-Tools-32562/dp/B007SF5DNE/ref=sr_1_13?keywords=Klein+Tools+32801+5-in-1+Multi-Bit+Screwdriver+%2F+Nut+Driver%2C+Heavy+Duty&amp;qid=1694735265&amp;sr=8-13", "https://www.amazon.com/Multi-Bit-Screwdriver-Klein-Tools-32562/dp/B007SF5DNE/ref=sr_1_13?keywords=Klein+Tools+32801+5-in-1+Multi-Bit+Screwdriver+%2F+Nut+Driver%2C+Heavy+Duty&amp;qid=1694735265&amp;sr=8-13")</f>
        <v/>
      </c>
      <c r="F7241" t="inlineStr">
        <is>
          <t>B007SF5DNE</t>
        </is>
      </c>
      <c r="G7241">
        <f>_xludf.IMAGE("https://edmondsonsupply.com/cdn/shop/products/32801.jpg?v=1633030677")</f>
        <v/>
      </c>
      <c r="H7241">
        <f>_xludf.IMAGE("https://m.media-amazon.com/images/I/515fclR4vsL._AC_UL320_.jpg")</f>
        <v/>
      </c>
      <c r="K7241" t="inlineStr">
        <is>
          <t>19.97</t>
        </is>
      </c>
      <c r="L7241" t="n">
        <v>12.6</v>
      </c>
      <c r="M7241" s="1" t="inlineStr">
        <is>
          <t>-36.91%</t>
        </is>
      </c>
      <c r="N7241" s="1" t="n"/>
      <c r="O7241" t="n">
        <v>4.7</v>
      </c>
      <c r="P7241" t="n">
        <v>480</v>
      </c>
      <c r="R7241" t="inlineStr">
        <is>
          <t>InStock</t>
        </is>
      </c>
      <c r="S7241" t="inlineStr">
        <is>
          <t>32.18</t>
        </is>
      </c>
      <c r="T7241" t="inlineStr">
        <is>
          <t>5807274819752</t>
        </is>
      </c>
    </row>
    <row r="7242" ht="87" customHeight="1">
      <c r="A7242" s="2">
        <f>HYPERLINK("https://edmondsonsupply.com/collections/electricians-tools/products/klein-tools-56028-flashlight-with-worklight-led-flashlight", "https://edmondsonsupply.com/collections/electricians-tools/products/klein-tools-56028-flashlight-with-worklight-led-flashlight")</f>
        <v/>
      </c>
      <c r="B7242" s="2">
        <f>HYPERLINK("https://edmondsonsupply.com/products/klein-tools-56028-flashlight-with-worklight-led-flashlight", "https://edmondsonsupply.com/products/klein-tools-56028-flashlight-with-worklight-led-flashlight")</f>
        <v/>
      </c>
      <c r="C7242" t="inlineStr">
        <is>
          <t>Klein Tools 56028 LED Flashlight with Work Light</t>
        </is>
      </c>
      <c r="D7242" t="inlineStr">
        <is>
          <t>Khanka Hard Travel Carrying Case Replacement for Klein Tools 56403 LED Light, Flashlight/Worklight</t>
        </is>
      </c>
      <c r="E7242" s="2">
        <f>HYPERLINK("https://www.amazon.com/Khanka-Carrying-Replacement-Flashlight-Worklight/dp/B0986QYX91/ref=sr_1_24?keywords=Klein+Tools+56028+LED+Flashlight+with+Work+Light&amp;qid=1694735208&amp;sr=8-24", "https://www.amazon.com/Khanka-Carrying-Replacement-Flashlight-Worklight/dp/B0986QYX91/ref=sr_1_24?keywords=Klein+Tools+56028+LED+Flashlight+with+Work+Light&amp;qid=1694735208&amp;sr=8-24")</f>
        <v/>
      </c>
      <c r="F7242" t="inlineStr">
        <is>
          <t>B0986QYX91</t>
        </is>
      </c>
      <c r="G7242">
        <f>_xlfn.IMAGE("https://edmondsonsupply.com/cdn/shop/products/56028.jpg?v=1587148656")</f>
        <v/>
      </c>
      <c r="H7242">
        <f>_xlfn.IMAGE("https://m.media-amazon.com/images/I/71zqfsdbUES._AC_UL320_.jpg")</f>
        <v/>
      </c>
      <c r="K7242" t="inlineStr">
        <is>
          <t>26.97</t>
        </is>
      </c>
      <c r="L7242" t="n">
        <v>16.99</v>
      </c>
      <c r="M7242" s="1" t="inlineStr">
        <is>
          <t>-37.00%</t>
        </is>
      </c>
      <c r="N7242" s="7" t="n"/>
      <c r="O7242" t="n">
        <v>4.8</v>
      </c>
      <c r="P7242" t="n">
        <v>128</v>
      </c>
      <c r="R7242" t="inlineStr">
        <is>
          <t>InStock</t>
        </is>
      </c>
      <c r="S7242" t="inlineStr">
        <is>
          <t>41.04</t>
        </is>
      </c>
      <c r="T7242" t="inlineStr">
        <is>
          <t>1778913050724</t>
        </is>
      </c>
    </row>
    <row r="7243" hidden="1" ht="15.75" customHeight="1">
      <c r="A7243" s="2">
        <f>HYPERLINK("https://edmondsonsupply.com/collections/electricians-tools/products/diablo-tools-dou125bf-1-1-4-in-universal-fit-bi-metal-oscillating-blade-for-metal", "https://edmondsonsupply.com/collections/electricians-tools/products/diablo-tools-dou125bf-1-1-4-in-universal-fit-bi-metal-oscillating-blade-for-metal")</f>
        <v/>
      </c>
      <c r="B7243" s="2">
        <f>HYPERLINK("https://edmondsonsupply.com/products/diablo-tools-dou125bf-1-1-4-in-universal-fit-bi-metal-oscillating-blade-for-metal", "https://edmondsonsupply.com/products/diablo-tools-dou125bf-1-1-4-in-universal-fit-bi-metal-oscillating-blade-for-metal")</f>
        <v/>
      </c>
      <c r="C7243" t="inlineStr">
        <is>
          <t>Diablo Tools DOU125BF 1-1/4 in. Universal Fit Bi-Metal Oscillating Blade for Metal</t>
        </is>
      </c>
      <c r="D7243" t="inlineStr">
        <is>
          <t>Diablo - DOU125BF 1-1/4 in. Universal Fit Bi-Metal Oscillating Blade for Metal</t>
        </is>
      </c>
      <c r="E7243" s="2">
        <f>HYPERLINK("https://www.amazon.com/Diablo-Freud-DOU125BF-Universal-Oscillating/dp/B089KV143Y/ref=sr_1_1?keywords=Diablo+Tools+DOU125BF+1-1%2F4+in.+Universal+Fit+Bi-Metal+Oscillating+Blade+for+Metal&amp;qid=1694734995&amp;sr=8-1", "https://www.amazon.com/Diablo-Freud-DOU125BF-Universal-Oscillating/dp/B089KV143Y/ref=sr_1_1?keywords=Diablo+Tools+DOU125BF+1-1%2F4+in.+Universal+Fit+Bi-Metal+Oscillating+Blade+for+Metal&amp;qid=1694734995&amp;sr=8-1")</f>
        <v/>
      </c>
      <c r="F7243" t="inlineStr">
        <is>
          <t>B089KV143Y</t>
        </is>
      </c>
      <c r="G7243">
        <f>_xludf.IMAGE("https://edmondsonsupply.com/cdn/shop/files/k1d1qiwmm4npznsdbwtg.webp?v=1685467858")</f>
        <v/>
      </c>
      <c r="H7243">
        <f>_xludf.IMAGE("https://m.media-amazon.com/images/I/61mZfXlj-XL._AC_UL320_.jpg")</f>
        <v/>
      </c>
      <c r="K7243" t="inlineStr">
        <is>
          <t>18.97</t>
        </is>
      </c>
      <c r="L7243" t="n">
        <v>11.95</v>
      </c>
      <c r="M7243" s="1" t="inlineStr">
        <is>
          <t>-37.01%</t>
        </is>
      </c>
      <c r="N7243" s="1" t="n"/>
      <c r="O7243" t="n">
        <v>3.7</v>
      </c>
      <c r="P7243" t="n">
        <v>8</v>
      </c>
      <c r="R7243" t="inlineStr">
        <is>
          <t>InStock</t>
        </is>
      </c>
      <c r="S7243" t="inlineStr">
        <is>
          <t>22.35</t>
        </is>
      </c>
      <c r="T7243" t="inlineStr">
        <is>
          <t>7997877584088</t>
        </is>
      </c>
    </row>
    <row r="7244" ht="87" customHeight="1">
      <c r="A7244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7244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7244" t="inlineStr">
        <is>
          <t>Channellock 430X 10-Inch SPEEDGRIP™ Straight Jaw Tongue &amp; Groove Pliers</t>
        </is>
      </c>
      <c r="D7244" t="inlineStr">
        <is>
          <t>CHANNELLOCK 428 Straight Jaw Tongue &amp; Groove Pliers, 8-inch | 1-1/2-inch Jaw Capacity | 4 Adjustments | SAFE-T-STOP feature prevents finger pinch | Forged High-Carbon U.S. Steel | Made in USA, Polished Steel</t>
        </is>
      </c>
      <c r="E7244" s="2">
        <f>HYPERLINK("https://www.amazon.com/CHANNELLOCK-428-Adjustments-SAFE-T-STOP-High-Carbon/dp/B00004SBCT/ref=sr_1_11?keywords=Channellock+430X+10-Inch+SPEEDGRIP%E2%84%A2+Straight+Jaw+Tongue+%26+Groove+Pliers&amp;qid=1694735165&amp;sr=8-11", "https://www.amazon.com/CHANNELLOCK-428-Adjustments-SAFE-T-STOP-High-Carbon/dp/B00004SBCT/ref=sr_1_11?keywords=Channellock+430X+10-Inch+SPEEDGRIP%E2%84%A2+Straight+Jaw+Tongue+%26+Groove+Pliers&amp;qid=1694735165&amp;sr=8-11")</f>
        <v/>
      </c>
      <c r="F7244" t="inlineStr">
        <is>
          <t>B00004SBCT</t>
        </is>
      </c>
      <c r="G7244">
        <f>_xlfn.IMAGE("https://edmondsonsupply.com/cdn/shop/products/430X.jpg?v=1647100497")</f>
        <v/>
      </c>
      <c r="H7244">
        <f>_xlfn.IMAGE("https://m.media-amazon.com/images/I/71PJMchXHJL._AC_UL320_.jpg")</f>
        <v/>
      </c>
      <c r="K7244" t="inlineStr">
        <is>
          <t>26.95</t>
        </is>
      </c>
      <c r="L7244" t="n">
        <v>16.95</v>
      </c>
      <c r="M7244" s="1" t="inlineStr">
        <is>
          <t>-37.11%</t>
        </is>
      </c>
      <c r="N7244" s="7" t="n"/>
      <c r="O7244" t="n">
        <v>4.7</v>
      </c>
      <c r="P7244" t="n">
        <v>238</v>
      </c>
      <c r="R7244" t="inlineStr">
        <is>
          <t>InStock</t>
        </is>
      </c>
      <c r="S7244" t="inlineStr">
        <is>
          <t>40.47</t>
        </is>
      </c>
      <c r="T7244" t="inlineStr">
        <is>
          <t>7633790238936</t>
        </is>
      </c>
    </row>
    <row r="7245" hidden="1" ht="15.75" customHeight="1">
      <c r="A7245" s="2">
        <f>HYPERLINK("https://edmondsonsupply.com/collections/electricians-tools/products/klein-tools-jth6t40-t40-torx%C2%AE-hex-key-with-journeyman-t-handle-6-inch", "https://edmondsonsupply.com/collections/electricians-tools/products/klein-tools-jth6t40-t40-torx%C2%AE-hex-key-with-journeyman-t-handle-6-inch")</f>
        <v/>
      </c>
      <c r="B7245" s="2">
        <f>HYPERLINK("https://edmondsonsupply.com/products/klein-tools-jth6t40-t40-torx%c2%ae-hex-key-with-journeyman-t-handle-6-inch", "https://edmondsonsupply.com/products/klein-tools-jth6t40-t40-torx%c2%ae-hex-key-with-journeyman-t-handle-6-inch")</f>
        <v/>
      </c>
      <c r="C7245" t="inlineStr">
        <is>
          <t>Klein Tools JTH6T40 T40 Torx® Hex Key with Journeyman T-Handle, 6-Inch</t>
        </is>
      </c>
      <c r="D7245" t="inlineStr">
        <is>
          <t>Klein Tools JTH6M4BE 4 mm Ball End Hex Key with Journeyman T-Handle, 6-Inch</t>
        </is>
      </c>
      <c r="E7245" s="2">
        <f>HYPERLINK("https://www.amazon.com/Journeyman-T-Handle-Klein-Tools-JTH6M4BE/dp/B005G3951G/ref=sr_1_4?keywords=Klein+Tools+JTH6T40+T40+Torx%C2%AE+Hex+Key+with+Journeyman+T-Handle%2C+6-Inch&amp;qid=1694735361&amp;sr=8-4", "https://www.amazon.com/Journeyman-T-Handle-Klein-Tools-JTH6M4BE/dp/B005G3951G/ref=sr_1_4?keywords=Klein+Tools+JTH6T40+T40+Torx%C2%AE+Hex+Key+with+Journeyman+T-Handle%2C+6-Inch&amp;qid=1694735361&amp;sr=8-4")</f>
        <v/>
      </c>
      <c r="F7245" t="inlineStr">
        <is>
          <t>B005G3951G</t>
        </is>
      </c>
      <c r="G7245">
        <f>_xludf.IMAGE("https://edmondsonsupply.com/cdn/shop/products/jth6t40_5dae4b7a-507d-4e73-a856-e10843f13488.jpg?v=1587149691")</f>
        <v/>
      </c>
      <c r="H7245">
        <f>_xludf.IMAGE("https://m.media-amazon.com/images/I/51huXA+ij8L._AC_UL320_.jpg")</f>
        <v/>
      </c>
      <c r="K7245" t="inlineStr">
        <is>
          <t>10.99</t>
        </is>
      </c>
      <c r="L7245" t="n">
        <v>6.91</v>
      </c>
      <c r="M7245" s="1" t="inlineStr">
        <is>
          <t>-37.12%</t>
        </is>
      </c>
      <c r="N7245" s="1" t="n"/>
      <c r="O7245" t="n">
        <v>4.8</v>
      </c>
      <c r="P7245" t="n">
        <v>985</v>
      </c>
      <c r="R7245" t="inlineStr">
        <is>
          <t>InStock</t>
        </is>
      </c>
      <c r="S7245" t="inlineStr">
        <is>
          <t>16.66</t>
        </is>
      </c>
      <c r="T7245" t="inlineStr">
        <is>
          <t>4451485352036</t>
        </is>
      </c>
    </row>
    <row r="7246" hidden="1" ht="15.75" customHeight="1">
      <c r="A7246" s="2">
        <f>HYPERLINK("https://edmondsonsupply.com/collections/electricians-tools/products/klein-tools-66074-flip-impact-socket-3-4-and-13-16-inch", "https://edmondsonsupply.com/collections/electricians-tools/products/klein-tools-66074-flip-impact-socket-3-4-and-13-16-inch")</f>
        <v/>
      </c>
      <c r="B7246" s="2">
        <f>HYPERLINK("https://edmondsonsupply.com/products/klein-tools-66074-flip-impact-socket-3-4-and-13-16-inch", "https://edmondsonsupply.com/products/klein-tools-66074-flip-impact-socket-3-4-and-13-16-inch")</f>
        <v/>
      </c>
      <c r="C7246" t="inlineStr">
        <is>
          <t>Klein Tools 66074 Flip Impact Socket, 3/4 and 13/16-Inch</t>
        </is>
      </c>
      <c r="D7246" t="inlineStr">
        <is>
          <t>Klein Tools 32766 Impact Driver, 3-in-1 Impact Flip Socket and Bit Holder, 1 /4-Inch and 5/16-Inch Hex Drivers, 3-Inch Length</t>
        </is>
      </c>
      <c r="E7246" s="2">
        <f>HYPERLINK("https://www.amazon.com/Klein-Tools-32766-16-Inch-Drivers/dp/B09R2L4GFJ/ref=sr_1_7?keywords=Klein+Tools+66074+Flip+Impact+Socket%2C+3%2F4+and+13%2F16-Inch&amp;qid=1694735130&amp;sr=8-7", "https://www.amazon.com/Klein-Tools-32766-16-Inch-Drivers/dp/B09R2L4GFJ/ref=sr_1_7?keywords=Klein+Tools+66074+Flip+Impact+Socket%2C+3%2F4+and+13%2F16-Inch&amp;qid=1694735130&amp;sr=8-7")</f>
        <v/>
      </c>
      <c r="F7246" t="inlineStr">
        <is>
          <t>B09R2L4GFJ</t>
        </is>
      </c>
      <c r="G7246">
        <f>_xludf.IMAGE("https://edmondsonsupply.com/cdn/shop/products/66074.jpg?v=1663249251")</f>
        <v/>
      </c>
      <c r="H7246">
        <f>_xludf.IMAGE("https://m.media-amazon.com/images/I/41MLWTR6goL._AC_UL320_.jpg")</f>
        <v/>
      </c>
      <c r="K7246" t="inlineStr">
        <is>
          <t>12.71</t>
        </is>
      </c>
      <c r="L7246" t="n">
        <v>7.99</v>
      </c>
      <c r="M7246" s="1" t="inlineStr">
        <is>
          <t>-37.14%</t>
        </is>
      </c>
      <c r="N7246" s="1" t="n"/>
      <c r="O7246" t="n">
        <v>4.5</v>
      </c>
      <c r="P7246" t="n">
        <v>1240</v>
      </c>
      <c r="R7246" t="inlineStr">
        <is>
          <t>InStock</t>
        </is>
      </c>
      <c r="S7246" t="inlineStr">
        <is>
          <t>17.8</t>
        </is>
      </c>
      <c r="T7246" t="inlineStr">
        <is>
          <t>7817341534424</t>
        </is>
      </c>
    </row>
    <row r="7247" ht="87" customHeight="1">
      <c r="A7247" s="2">
        <f>HYPERLINK("https://edmondsonsupply.com/collections/electricians-tools/products/diablo-tools-dmamx1040", "https://edmondsonsupply.com/collections/electricians-tools/products/diablo-tools-dmamx1040")</f>
        <v/>
      </c>
      <c r="B7247" s="2">
        <f>HYPERLINK("https://edmondsonsupply.com/products/diablo-tools-dmamx1040", "https://edmondsonsupply.com/products/diablo-tools-dmamx1040")</f>
        <v/>
      </c>
      <c r="C7247" t="inlineStr">
        <is>
          <t>Diablo Tools DMAMX1040 1/2 in. x 24 in. x 29 in. Rebar Demon SDS-Max 4-Cutter Full Carbide Head Hammer Bit</t>
        </is>
      </c>
      <c r="D7247" t="inlineStr">
        <is>
          <t>Diablo by Freud DMAPL4270 27/32 in. x 8 in. x 10 in. Rebar Demon SDS-Plus 4-Cutter Full Carbide Head Hammer Bit</t>
        </is>
      </c>
      <c r="E7247" s="2">
        <f>HYPERLINK("https://www.amazon.com/Diablo-Freud-DMAPL4270-SDS-Plus-4-Cutter/dp/B089KXBGLM/ref=sr_1_8?keywords=Diablo+Tools+DMAMX1040+1%2F2+in.+x+24+in.+x+29+in.+Rebar+Demon+SDS-Max+4-Cutter+Full+Carbide+Head+Hammer+Bit&amp;qid=1694735295&amp;sr=8-8", "https://www.amazon.com/Diablo-Freud-DMAPL4270-SDS-Plus-4-Cutter/dp/B089KXBGLM/ref=sr_1_8?keywords=Diablo+Tools+DMAMX1040+1%2F2+in.+x+24+in.+x+29+in.+Rebar+Demon+SDS-Max+4-Cutter+Full+Carbide+Head+Hammer+Bit&amp;qid=1694735295&amp;sr=8-8")</f>
        <v/>
      </c>
      <c r="F7247" t="inlineStr">
        <is>
          <t>B089KXBGLM</t>
        </is>
      </c>
      <c r="G7247">
        <f>_xlfn.IMAGE("https://edmondsonsupply.com/cdn/shop/products/DMAMX1040_Main-Image20200701.png?v=1633030363")</f>
        <v/>
      </c>
      <c r="H7247">
        <f>_xlfn.IMAGE("https://m.media-amazon.com/images/I/611A6sphG9L._AC_UL320_.jpg")</f>
        <v/>
      </c>
      <c r="K7247" t="inlineStr">
        <is>
          <t>47.97</t>
        </is>
      </c>
      <c r="L7247" t="n">
        <v>30.13</v>
      </c>
      <c r="M7247" s="1" t="inlineStr">
        <is>
          <t>-37.19%</t>
        </is>
      </c>
      <c r="N7247" s="7" t="n"/>
      <c r="O7247" t="n">
        <v>5</v>
      </c>
      <c r="P7247" t="n">
        <v>2</v>
      </c>
      <c r="R7247" t="inlineStr">
        <is>
          <t>InStock</t>
        </is>
      </c>
      <c r="S7247" t="inlineStr">
        <is>
          <t>72.46</t>
        </is>
      </c>
      <c r="T7247" t="inlineStr">
        <is>
          <t>5289126527144</t>
        </is>
      </c>
    </row>
    <row r="7248" hidden="1" ht="15.75" customHeight="1">
      <c r="A7248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7248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7248" t="inlineStr">
        <is>
          <t>Diablo Tools DMARG1160 1/2 in. x 10 in. x 12 in. SPEEDemon™ Red Granite Carbide Tipped Hammer Drill Bit</t>
        </is>
      </c>
      <c r="D7248" t="inlineStr">
        <is>
          <t>Diablo DMARG1110 5/16 in. x 8 in. x 10 in. SPEEDemon™ Red Granite Carbide Tipped Hammer Drill Bit</t>
        </is>
      </c>
      <c r="E7248" s="2">
        <f>HYPERLINK("https://www.amazon.com/Diablo-DMARG1110-SPEEDemon-Granite-Carbide/dp/B089LN9JJL/ref=sr_1_9?keywords=Diablo+Tools+DMARG1160+1%2F2+in.+x+10+in.+x+12+in.+SPEEDemon%E2%84%A2+Red+Granite+Carbide+Tipped+Hammer+Drill+Bit&amp;qid=1694735262&amp;sr=8-9", "https://www.amazon.com/Diablo-DMARG1110-SPEEDemon-Granite-Carbide/dp/B089LN9JJL/ref=sr_1_9?keywords=Diablo+Tools+DMARG1160+1%2F2+in.+x+10+in.+x+12+in.+SPEEDemon%E2%84%A2+Red+Granite+Carbide+Tipped+Hammer+Drill+Bit&amp;qid=1694735262&amp;sr=8-9")</f>
        <v/>
      </c>
      <c r="F7248" t="inlineStr">
        <is>
          <t>B089LN9JJL</t>
        </is>
      </c>
      <c r="G7248">
        <f>_xludf.IMAGE("https://edmondsonsupply.com/cdn/shop/products/DMARG1160_Main-Image20200513.png?v=1633030651")</f>
        <v/>
      </c>
      <c r="H7248">
        <f>_xludf.IMAGE("https://m.media-amazon.com/images/I/61Qf0cC1SJL._AC_UL320_.jpg")</f>
        <v/>
      </c>
      <c r="K7248" t="inlineStr">
        <is>
          <t>15.97</t>
        </is>
      </c>
      <c r="L7248" t="n">
        <v>10.03</v>
      </c>
      <c r="M7248" s="1" t="inlineStr">
        <is>
          <t>-37.19%</t>
        </is>
      </c>
      <c r="N7248" s="1" t="n"/>
      <c r="O7248" t="n">
        <v>4.2</v>
      </c>
      <c r="P7248" t="n">
        <v>5</v>
      </c>
      <c r="R7248" t="inlineStr">
        <is>
          <t>InStock</t>
        </is>
      </c>
      <c r="S7248" t="inlineStr">
        <is>
          <t>undefined</t>
        </is>
      </c>
      <c r="T7248" t="inlineStr">
        <is>
          <t>5740401164456</t>
        </is>
      </c>
    </row>
    <row r="7249" ht="87" customHeight="1">
      <c r="A7249" s="2">
        <f>HYPERLINK("https://edmondsonsupply.com/collections/electricians-tools/products/klein-tools-ktsb01-step-drill-bit-double-fluted-1-1-8-to-1-2-inch", "https://edmondsonsupply.com/collections/electricians-tools/products/klein-tools-ktsb01-step-drill-bit-double-fluted-1-1-8-to-1-2-inch")</f>
        <v/>
      </c>
      <c r="B7249" s="2">
        <f>HYPERLINK("https://edmondsonsupply.com/products/klein-tools-ktsb01-step-drill-bit-double-fluted-1-1-8-to-1-2-inch", "https://edmondsonsupply.com/products/klein-tools-ktsb01-step-drill-bit-double-fluted-1-1-8-to-1-2-inch")</f>
        <v/>
      </c>
      <c r="C7249" t="inlineStr">
        <is>
          <t>Klein Tools KTSB01 Step Drill Bit Double-Fluted #1, 1/8 to 1/2-Inch</t>
        </is>
      </c>
      <c r="D7249" t="inlineStr">
        <is>
          <t>Jerax tools 1/4 to 1-3/8 Inch Step Drill Bit Spiral Grooved Double Fluted, M2 High Speed Steel Drill bits for Hole Drilling in Stainless Steel, Copper, Aluminum, Wood, Plastic</t>
        </is>
      </c>
      <c r="E7249" s="2">
        <f>HYPERLINK("https://www.amazon.com/Jerax-tools-Drilling-Stainless-Aluminum/dp/B094VCMB17/ref=sr_1_4?keywords=Klein+Tools+KTSB01+Step+Drill+Bit+Double-Fluted&amp;qid=1694735175&amp;sr=8-4", "https://www.amazon.com/Jerax-tools-Drilling-Stainless-Aluminum/dp/B094VCMB17/ref=sr_1_4?keywords=Klein+Tools+KTSB01+Step+Drill+Bit+Double-Fluted&amp;qid=1694735175&amp;sr=8-4")</f>
        <v/>
      </c>
      <c r="F7249" t="inlineStr">
        <is>
          <t>B094VCMB17</t>
        </is>
      </c>
      <c r="G7249">
        <f>_xlfn.IMAGE("https://edmondsonsupply.com/cdn/shop/products/ktsb01.jpg?v=1633903640")</f>
        <v/>
      </c>
      <c r="H7249">
        <f>_xlfn.IMAGE("https://m.media-amazon.com/images/I/51fvUl5tapL._AC_UY218_.jpg")</f>
        <v/>
      </c>
      <c r="K7249" t="inlineStr">
        <is>
          <t>26.99</t>
        </is>
      </c>
      <c r="L7249" t="n">
        <v>16.95</v>
      </c>
      <c r="M7249" s="1" t="inlineStr">
        <is>
          <t>-37.20%</t>
        </is>
      </c>
      <c r="N7249" s="7" t="n"/>
      <c r="O7249" t="n">
        <v>4.5</v>
      </c>
      <c r="P7249" t="n">
        <v>708</v>
      </c>
      <c r="R7249" t="inlineStr">
        <is>
          <t>InStock</t>
        </is>
      </c>
      <c r="S7249" t="inlineStr">
        <is>
          <t>36.48</t>
        </is>
      </c>
      <c r="T7249" t="inlineStr">
        <is>
          <t>7007793774765</t>
        </is>
      </c>
    </row>
    <row r="7250" hidden="1" ht="15.75" customHeight="1">
      <c r="A7250" s="2">
        <f>HYPERLINK("https://edmondsonsupply.com/collections/electricians-tools/products/diablo-tools-dmarg1210-1-in-x-10-in-x-12-in-speedemon%E2%84%A2-red-granite-carbide-tipped-hammer-drill-bit", "https://edmondsonsupply.com/collections/electricians-tools/products/diablo-tools-dmarg1210-1-in-x-10-in-x-12-in-speedemon%E2%84%A2-red-granite-carbide-tipped-hammer-drill-bit")</f>
        <v/>
      </c>
      <c r="B7250" s="2">
        <f>HYPERLINK("https://edmondsonsupply.com/products/diablo-tools-dmarg1210-1-in-x-10-in-x-12-in-speedemon%e2%84%a2-red-granite-carbide-tipped-hammer-drill-bit", "https://edmondsonsupply.com/products/diablo-tools-dmarg1210-1-in-x-10-in-x-12-in-speedemon%e2%84%a2-red-granite-carbide-tipped-hammer-drill-bit")</f>
        <v/>
      </c>
      <c r="C7250" t="inlineStr">
        <is>
          <t>Diablo Tools DMARG1210 1 in. x 10 in. x 12 in. SPEEDemon™ Red Granite Carbide Tipped Hammer Drill Bit</t>
        </is>
      </c>
      <c r="D7250" t="inlineStr">
        <is>
          <t>Diablo by Freud DMARG1200 3/4 in. x 10 in. x 12 in. SPEEDemon Red Granite Carbide Tipped Hammer Drill Bit</t>
        </is>
      </c>
      <c r="E7250" s="2">
        <f>HYPERLINK("https://www.amazon.com/Diablo-Freud-DMARG1200-SPEEDemon-Granite/dp/B089KWGLL5/ref=sr_1_4?keywords=Diablo+Tools+DMARG1210+1+in.+x+10+in.+x+12+in.+SPEEDemon%E2%84%A2+Red+Granite+Carbide+Tipped+Hammer+Drill+Bit&amp;qid=1694735273&amp;sr=8-4", "https://www.amazon.com/Diablo-Freud-DMARG1200-SPEEDemon-Granite/dp/B089KWGLL5/ref=sr_1_4?keywords=Diablo+Tools+DMARG1210+1+in.+x+10+in.+x+12+in.+SPEEDemon%E2%84%A2+Red+Granite+Carbide+Tipped+Hammer+Drill+Bit&amp;qid=1694735273&amp;sr=8-4")</f>
        <v/>
      </c>
      <c r="F7250" t="inlineStr">
        <is>
          <t>B089KWGLL5</t>
        </is>
      </c>
      <c r="G7250">
        <f>_xludf.IMAGE("https://edmondsonsupply.com/cdn/shop/products/DMARG1210_Main-Image20200702.png?v=1633030511")</f>
        <v/>
      </c>
      <c r="H7250">
        <f>_xludf.IMAGE("https://m.media-amazon.com/images/I/61fi8hhRaDL._AC_UL320_.jpg")</f>
        <v/>
      </c>
      <c r="K7250" t="inlineStr">
        <is>
          <t>31.97</t>
        </is>
      </c>
      <c r="L7250" t="n">
        <v>20</v>
      </c>
      <c r="M7250" s="1" t="inlineStr">
        <is>
          <t>-37.44%</t>
        </is>
      </c>
      <c r="N7250" s="1" t="n"/>
      <c r="O7250" t="n">
        <v>3.9</v>
      </c>
      <c r="P7250" t="n">
        <v>13</v>
      </c>
      <c r="R7250" t="inlineStr">
        <is>
          <t>InStock</t>
        </is>
      </c>
      <c r="S7250" t="inlineStr">
        <is>
          <t>undefined</t>
        </is>
      </c>
      <c r="T7250" t="inlineStr">
        <is>
          <t>5386558177448</t>
        </is>
      </c>
    </row>
    <row r="7251" hidden="1" ht="15.75" customHeight="1">
      <c r="A7251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7251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7251" t="inlineStr">
        <is>
          <t>Diablo Tools DOU250BW 2-1/2 in. Universal Fit Bi-Metal Oscillating Blade for Nail-Embedded Wood</t>
        </is>
      </c>
      <c r="D7251" t="inlineStr">
        <is>
          <t>Diablo by Freud DOU125JBW 1-1/4 in. Universal Fit Bi-Metal Oscillating Blade for Clean Wood</t>
        </is>
      </c>
      <c r="E7251" s="2">
        <f>HYPERLINK("https://www.amazon.com/Diablo-Freud-DOU125JBW-Universal-Oscillating/dp/B089KV62LL/ref=sr_1_16?keywords=Diablo+Tools+DOU250BW+2-1%2F2+in.+Universal+Fit+Bi-Metal+Oscillating+Blade+for+Nail-Embedded+Wood&amp;qid=1694734995&amp;sr=8-16", "https://www.amazon.com/Diablo-Freud-DOU125JBW-Universal-Oscillating/dp/B089KV62LL/ref=sr_1_16?keywords=Diablo+Tools+DOU250BW+2-1%2F2+in.+Universal+Fit+Bi-Metal+Oscillating+Blade+for+Nail-Embedded+Wood&amp;qid=1694734995&amp;sr=8-16")</f>
        <v/>
      </c>
      <c r="F7251" t="inlineStr">
        <is>
          <t>B089KV62LL</t>
        </is>
      </c>
      <c r="G7251">
        <f>_xludf.IMAGE("https://edmondsonsupply.com/cdn/shop/files/xcched1uye7bv2s0ryod.webp?v=1685717397")</f>
        <v/>
      </c>
      <c r="H7251">
        <f>_xludf.IMAGE("https://m.media-amazon.com/images/I/61wFHtmEH5L._AC_UL320_.jpg")</f>
        <v/>
      </c>
      <c r="K7251" t="inlineStr">
        <is>
          <t>19.97</t>
        </is>
      </c>
      <c r="L7251" t="n">
        <v>12.49</v>
      </c>
      <c r="M7251" s="1" t="inlineStr">
        <is>
          <t>-37.46%</t>
        </is>
      </c>
      <c r="N7251" s="1" t="n"/>
      <c r="O7251" t="n">
        <v>4.8</v>
      </c>
      <c r="P7251" t="n">
        <v>12</v>
      </c>
      <c r="R7251" t="inlineStr">
        <is>
          <t>InStock</t>
        </is>
      </c>
      <c r="S7251" t="inlineStr">
        <is>
          <t>24.85</t>
        </is>
      </c>
      <c r="T7251" t="inlineStr">
        <is>
          <t>7999559598296</t>
        </is>
      </c>
    </row>
    <row r="7252" ht="87" customHeight="1">
      <c r="A7252" s="2">
        <f>HYPERLINK("https://edmondsonsupply.com/collections/electricians-tools/products/diablo-tools-dmamx1010", "https://edmondsonsupply.com/collections/electricians-tools/products/diablo-tools-dmamx1010")</f>
        <v/>
      </c>
      <c r="B7252" s="2">
        <f>HYPERLINK("https://edmondsonsupply.com/products/diablo-tools-dmamx1010", "https://edmondsonsupply.com/products/diablo-tools-dmamx1010")</f>
        <v/>
      </c>
      <c r="C7252" t="inlineStr">
        <is>
          <t>Diablo Tools DMAMX1010 3/8 in. x 8 in. x 13 in. Rebar Demon SDS‑Max 4‑Cutter Full Carbide Head Hammer Bit</t>
        </is>
      </c>
      <c r="D7252" t="inlineStr">
        <is>
          <t>Diablo by Freud DMAPL4230 5/8 in. x 10 in. x 12 in. Rebar Demon SDS-Plus 4-Cutter Full Carbide Head Hammer Bit</t>
        </is>
      </c>
      <c r="E7252" s="2">
        <f>HYPERLINK("https://www.amazon.com/Diablo-Freud-DMAPL4230-SDS-Plus-4-Cutter/dp/B089LCN234/ref=sr_1_25?keywords=Diablo+Tools+DMAMX1010+3%2F8+in.+x+8+in.+x+13+in.+Rebar+Demon+SDS%E2%80%91Max+4%E2%80%91Cutter+Full+Carbide+Head+Hammer+Bit&amp;qid=1694735277&amp;sr=8-25", "https://www.amazon.com/Diablo-Freud-DMAPL4230-SDS-Plus-4-Cutter/dp/B089LCN234/ref=sr_1_25?keywords=Diablo+Tools+DMAMX1010+3%2F8+in.+x+8+in.+x+13+in.+Rebar+Demon+SDS%E2%80%91Max+4%E2%80%91Cutter+Full+Carbide+Head+Hammer+Bit&amp;qid=1694735277&amp;sr=8-25")</f>
        <v/>
      </c>
      <c r="F7252" t="inlineStr">
        <is>
          <t>B089LCN234</t>
        </is>
      </c>
      <c r="G7252">
        <f>_xlfn.IMAGE("https://edmondsonsupply.com/cdn/shop/products/DMAMX1010_Main-Image20200701.png?v=1609797900")</f>
        <v/>
      </c>
      <c r="H7252">
        <f>_xlfn.IMAGE("https://m.media-amazon.com/images/I/61r649wmyhL._AC_UL320_.jpg")</f>
        <v/>
      </c>
      <c r="K7252" t="inlineStr">
        <is>
          <t>34.97</t>
        </is>
      </c>
      <c r="L7252" t="n">
        <v>21.86</v>
      </c>
      <c r="M7252" s="1" t="inlineStr">
        <is>
          <t>-37.49%</t>
        </is>
      </c>
      <c r="N7252" s="7" t="n"/>
      <c r="O7252" t="n">
        <v>4.7</v>
      </c>
      <c r="P7252" t="n">
        <v>47</v>
      </c>
      <c r="R7252" t="inlineStr">
        <is>
          <t>InStock</t>
        </is>
      </c>
      <c r="S7252" t="inlineStr">
        <is>
          <t>43.11</t>
        </is>
      </c>
      <c r="T7252" t="inlineStr">
        <is>
          <t>5463785701544</t>
        </is>
      </c>
    </row>
    <row r="7253" ht="87" customHeight="1">
      <c r="A7253" s="2">
        <f>HYPERLINK("https://edmondsonsupply.com/collections/electricians-tools/products/milwaukee-49-56-9290-10-pc-big-hawg%E2%84%A2-with-carbide-teeth-hole-saw-kit", "https://edmondsonsupply.com/collections/electricians-tools/products/milwaukee-49-56-9290-10-pc-big-hawg%E2%84%A2-with-carbide-teeth-hole-saw-kit")</f>
        <v/>
      </c>
      <c r="B7253" s="2">
        <f>HYPERLINK("https://edmondsonsupply.com/products/milwaukee-49-56-9290-10-pc-big-hawg%e2%84%a2-with-carbide-teeth-hole-saw-kit", "https://edmondsonsupply.com/products/milwaukee-49-56-9290-10-pc-big-hawg%e2%84%a2-with-carbide-teeth-hole-saw-kit")</f>
        <v/>
      </c>
      <c r="C7253" t="inlineStr">
        <is>
          <t>Milwaukee 49-56-9290 10 PC BIG HAWG™ with Carbide Teeth Hole Saw Kit</t>
        </is>
      </c>
      <c r="D7253" t="inlineStr">
        <is>
          <t>Milwaukee 49-56-9285 8 Pc Big Hawg Hole Saw W/Carbide Teeth Kit New</t>
        </is>
      </c>
      <c r="E7253" s="2">
        <f>HYPERLINK("https://www.amazon.com/Milwaukee-49-56-9285-Hawg-Carbide-Teeth/dp/B07HNDM4VB/ref=sr_1_2?keywords=Milwaukee+49-56-9290+10+PC+BIG+HAWG%E2%84%A2+with+Carbide+Teeth+Hole+Saw+Kit&amp;qid=1694735084&amp;sr=8-2", "https://www.amazon.com/Milwaukee-49-56-9285-Hawg-Carbide-Teeth/dp/B07HNDM4VB/ref=sr_1_2?keywords=Milwaukee+49-56-9290+10+PC+BIG+HAWG%E2%84%A2+with+Carbide+Teeth+Hole+Saw+Kit&amp;qid=1694735084&amp;sr=8-2")</f>
        <v/>
      </c>
      <c r="F7253" t="inlineStr">
        <is>
          <t>B07HNDM4VB</t>
        </is>
      </c>
      <c r="G7253">
        <f>_xlfn.IMAGE("https://edmondsonsupply.com/cdn/shop/products/49-56-9290_Kit.png?v=1668781786")</f>
        <v/>
      </c>
      <c r="H7253">
        <f>_xlfn.IMAGE("https://m.media-amazon.com/images/I/91MZfSE7dxL._AC_UL320_.jpg")</f>
        <v/>
      </c>
      <c r="K7253" t="inlineStr">
        <is>
          <t>239.97</t>
        </is>
      </c>
      <c r="L7253" t="n">
        <v>150</v>
      </c>
      <c r="M7253" s="1" t="inlineStr">
        <is>
          <t>-37.49%</t>
        </is>
      </c>
      <c r="N7253" s="7" t="n"/>
      <c r="O7253" t="n">
        <v>4.8</v>
      </c>
      <c r="P7253" t="n">
        <v>99</v>
      </c>
      <c r="R7253" t="inlineStr">
        <is>
          <t>InStock</t>
        </is>
      </c>
      <c r="S7253" t="inlineStr">
        <is>
          <t>360.4</t>
        </is>
      </c>
      <c r="T7253" t="inlineStr">
        <is>
          <t>7887681192152</t>
        </is>
      </c>
    </row>
    <row r="7254" ht="87" customHeight="1">
      <c r="A7254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7254" s="2">
        <f>HYPERLINK("https://edmondsonsupply.com/products/klein-tools-647m-magnetic-nut-driver-set-6-inch-shafts-7-piece", "https://edmondsonsupply.com/products/klein-tools-647m-magnetic-nut-driver-set-6-inch-shafts-7-piece")</f>
        <v/>
      </c>
      <c r="C7254" t="inlineStr">
        <is>
          <t>Klein Tools 647M Magnetic Nut Driver Set, 6-Inch Shafts, 7-Piece</t>
        </is>
      </c>
      <c r="D7254" t="inlineStr">
        <is>
          <t>Klein Tools 65160 Tool Set, Metric Nut Driver Set Sizes 5, 5.5, 6, 7, 8, 9, and 10 mm, 3-Inch Chrome-Plate Hollow Shafts, 7-Piece</t>
        </is>
      </c>
      <c r="E7254" s="2">
        <f>HYPERLINK("https://www.amazon.com/Driver-Metric-3-Inch-7-Piece-Klein/dp/B0009ORXQQ/ref=sr_1_12?keywords=Klein+Tools+647M+Magnetic+Nut+Driver+Set%2C+6-Inch+Shafts%2C+7-Piece&amp;qid=1694735271&amp;sr=8-12", "https://www.amazon.com/Driver-Metric-3-Inch-7-Piece-Klein/dp/B0009ORXQQ/ref=sr_1_12?keywords=Klein+Tools+647M+Magnetic+Nut+Driver+Set%2C+6-Inch+Shafts%2C+7-Piece&amp;qid=1694735271&amp;sr=8-12")</f>
        <v/>
      </c>
      <c r="F7254" t="inlineStr">
        <is>
          <t>B0009ORXQQ</t>
        </is>
      </c>
      <c r="G7254">
        <f>_xlfn.IMAGE("https://edmondsonsupply.com/cdn/shop/products/647m.jpg?v=1633030530")</f>
        <v/>
      </c>
      <c r="H7254">
        <f>_xlfn.IMAGE("https://m.media-amazon.com/images/I/61CnDJJyViL._AC_UL320_.jpg")</f>
        <v/>
      </c>
      <c r="K7254" t="inlineStr">
        <is>
          <t>79.99</t>
        </is>
      </c>
      <c r="L7254" t="n">
        <v>49.99</v>
      </c>
      <c r="M7254" s="1" t="inlineStr">
        <is>
          <t>-37.50%</t>
        </is>
      </c>
      <c r="N7254" s="7" t="n"/>
      <c r="O7254" t="n">
        <v>4.8</v>
      </c>
      <c r="P7254" t="n">
        <v>588</v>
      </c>
      <c r="R7254" t="inlineStr">
        <is>
          <t>InStock</t>
        </is>
      </c>
      <c r="S7254" t="inlineStr">
        <is>
          <t>117.72</t>
        </is>
      </c>
      <c r="T7254" t="inlineStr">
        <is>
          <t>5408872136872</t>
        </is>
      </c>
    </row>
    <row r="7255" hidden="1" ht="15.75" customHeight="1">
      <c r="A7255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7255" s="2">
        <f>HYPERLINK("https://edmondsonsupply.com/products/diablo-tools-dmast1050-5-8-in-x-2-1-16-x-sds-plus-2-cutter", "https://edmondsonsupply.com/products/diablo-tools-dmast1050-5-8-in-x-2-1-16-x-sds-plus-2-cutter")</f>
        <v/>
      </c>
      <c r="C7255" t="inlineStr">
        <is>
          <t>Diablo Tools DMAST1050 5/8 in. x 2-1/16 SDS-Plus 2-Cutter</t>
        </is>
      </c>
      <c r="D7255" t="inlineStr">
        <is>
          <t>Diablo 9/16 in. x 10 in. x 12 in. SDS-Plus 2-Cutter</t>
        </is>
      </c>
      <c r="E7255" s="2">
        <f>HYPERLINK("https://www.amazon.com/Diablo-DMAPL2380-16-SDS-Plus-2-Cutter/dp/B089LGWH7X/ref=sr_1_31?keywords=Diablo+Tools+DMAST1050+5%2F8+in.+x+2-1%2F16+SDS-Plus+2-Cutter&amp;qid=1694735304&amp;sr=8-31", "https://www.amazon.com/Diablo-DMAPL2380-16-SDS-Plus-2-Cutter/dp/B089LGWH7X/ref=sr_1_31?keywords=Diablo+Tools+DMAST1050+5%2F8+in.+x+2-1%2F16+SDS-Plus+2-Cutter&amp;qid=1694735304&amp;sr=8-31")</f>
        <v/>
      </c>
      <c r="F7255" t="inlineStr">
        <is>
          <t>B089LGWH7X</t>
        </is>
      </c>
      <c r="G7255">
        <f>_xludf.IMAGE("https://edmondsonsupply.com/cdn/shop/products/DMAST1050_1.jpg?v=1633030363")</f>
        <v/>
      </c>
      <c r="H7255">
        <f>_xludf.IMAGE("https://m.media-amazon.com/images/I/6120+2+rRTL._AC_UL320_.jpg")</f>
        <v/>
      </c>
      <c r="K7255" t="inlineStr">
        <is>
          <t>21.97</t>
        </is>
      </c>
      <c r="L7255" t="n">
        <v>13.73</v>
      </c>
      <c r="M7255" s="1" t="inlineStr">
        <is>
          <t>-37.51%</t>
        </is>
      </c>
      <c r="N7255" s="1" t="n"/>
      <c r="O7255" t="n">
        <v>5</v>
      </c>
      <c r="P7255" t="n">
        <v>1</v>
      </c>
      <c r="R7255" t="inlineStr">
        <is>
          <t>InStock</t>
        </is>
      </c>
      <c r="S7255" t="inlineStr">
        <is>
          <t>29.12</t>
        </is>
      </c>
      <c r="T7255" t="inlineStr">
        <is>
          <t>5286938869928</t>
        </is>
      </c>
    </row>
    <row r="7256" hidden="1" ht="15.75" customHeight="1">
      <c r="A7256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256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256" t="inlineStr">
        <is>
          <t>Klein Tools 605-7-INS Insulated 1/4-Inch Cabinet Tip Screwdriver, 7-Inch</t>
        </is>
      </c>
      <c r="D7256" t="inlineStr">
        <is>
          <t>Klein Tools 6926INS Insulated Screwdriver, 1000V Slim Profile Tip, 1/4-Inch Cabinet Screwdriver with 6-Inch Shank, Cushion-Grip Handle</t>
        </is>
      </c>
      <c r="E7256" s="2">
        <f>HYPERLINK("https://www.amazon.com/Klein-Tools-6926INS-Screwdriver-Cushion-Grip/dp/B09GL1X5SZ/ref=sr_1_5?keywords=Klein+Tools+605-7-INS+Insulated+1%2F4-Inch+Cabinet+Tip+Screwdriver%2C+7-Inch&amp;qid=1694735376&amp;sr=8-5", "https://www.amazon.com/Klein-Tools-6926INS-Screwdriver-Cushion-Grip/dp/B09GL1X5SZ/ref=sr_1_5?keywords=Klein+Tools+605-7-INS+Insulated+1%2F4-Inch+Cabinet+Tip+Screwdriver%2C+7-Inch&amp;qid=1694735376&amp;sr=8-5")</f>
        <v/>
      </c>
      <c r="F7256" t="inlineStr">
        <is>
          <t>B09GL1X5SZ</t>
        </is>
      </c>
      <c r="G7256">
        <f>_xludf.IMAGE("https://edmondsonsupply.com/cdn/shop/products/605-7-ins.jpg?v=1587148614")</f>
        <v/>
      </c>
      <c r="H7256">
        <f>_xludf.IMAGE("https://m.media-amazon.com/images/I/41JbepP5oGL._AC_UL320_.jpg")</f>
        <v/>
      </c>
      <c r="K7256" t="inlineStr">
        <is>
          <t>23.99</t>
        </is>
      </c>
      <c r="L7256" t="n">
        <v>14.99</v>
      </c>
      <c r="M7256" s="1" t="inlineStr">
        <is>
          <t>-37.52%</t>
        </is>
      </c>
      <c r="N7256" s="1" t="n"/>
      <c r="O7256" t="n">
        <v>4.8</v>
      </c>
      <c r="P7256" t="n">
        <v>85</v>
      </c>
      <c r="R7256" t="inlineStr">
        <is>
          <t>InStock</t>
        </is>
      </c>
      <c r="S7256" t="inlineStr">
        <is>
          <t>32.58</t>
        </is>
      </c>
      <c r="T7256" t="inlineStr">
        <is>
          <t>4414349181028</t>
        </is>
      </c>
    </row>
    <row r="7257" ht="87" customHeight="1">
      <c r="A7257" s="2">
        <f>HYPERLINK("https://edmondsonsupply.com/collections/electricians-tools/products/klein-tools-69149-test-kit-with-multimeter-non-contact-volt-tester-outlet-tester", "https://edmondsonsupply.com/collections/electricians-tools/products/klein-tools-69149-test-kit-with-multimeter-non-contact-volt-tester-outlet-tester")</f>
        <v/>
      </c>
      <c r="B7257" s="2">
        <f>HYPERLINK("https://edmondsonsupply.com/products/klein-tools-69149-test-kit-with-multimeter-non-contact-volt-tester-outlet-tester", "https://edmondsonsupply.com/products/klein-tools-69149-test-kit-with-multimeter-non-contact-volt-tester-outlet-tester")</f>
        <v/>
      </c>
      <c r="C7257" t="inlineStr">
        <is>
          <t>Klein Tools 69149P Test Kit with Multimeter, Non-Contact Volt Tester, Receptacle Tester</t>
        </is>
      </c>
      <c r="D7257" t="inlineStr">
        <is>
          <t>Klein Tools NCVT1PKIT Electrical Tester Kit with Non-Contact Volt Tester, 50 to 1000V AC and GFCI Receptacle Tester, 2-Piece</t>
        </is>
      </c>
      <c r="E7257" s="2">
        <f>HYPERLINK("https://www.amazon.com/Klein-Tools-NCVT1PKIT-Electrical-Non-Contact/dp/B0BS5SCNJ1/ref=sr_1_9?keywords=Klein+Tools+69149P+Test+Kit+with+Multimeter%2C+Non-Contact+Volt+Tester%2C+Receptacle+Tester&amp;qid=1694735230&amp;sr=8-9", "https://www.amazon.com/Klein-Tools-NCVT1PKIT-Electrical-Non-Contact/dp/B0BS5SCNJ1/ref=sr_1_9?keywords=Klein+Tools+69149P+Test+Kit+with+Multimeter%2C+Non-Contact+Volt+Tester%2C+Receptacle+Tester&amp;qid=1694735230&amp;sr=8-9")</f>
        <v/>
      </c>
      <c r="F7257" t="inlineStr">
        <is>
          <t>B0BS5SCNJ1</t>
        </is>
      </c>
      <c r="G7257">
        <f>_xlfn.IMAGE("https://edmondsonsupply.com/cdn/shop/products/69149p.jpg?v=1664479017")</f>
        <v/>
      </c>
      <c r="H7257">
        <f>_xlfn.IMAGE("https://m.media-amazon.com/images/I/51CD2DGal7L._AC_UL320_.jpg")</f>
        <v/>
      </c>
      <c r="K7257" t="inlineStr">
        <is>
          <t>39.97</t>
        </is>
      </c>
      <c r="L7257" t="n">
        <v>24.97</v>
      </c>
      <c r="M7257" s="1" t="inlineStr">
        <is>
          <t>-37.53%</t>
        </is>
      </c>
      <c r="N7257" s="7" t="n"/>
      <c r="O7257" t="n">
        <v>4.4</v>
      </c>
      <c r="P7257" t="n">
        <v>31</v>
      </c>
      <c r="R7257" t="inlineStr">
        <is>
          <t>InStock</t>
        </is>
      </c>
      <c r="S7257" t="inlineStr">
        <is>
          <t>63.9</t>
        </is>
      </c>
      <c r="T7257" t="inlineStr">
        <is>
          <t>6584860606637</t>
        </is>
      </c>
    </row>
    <row r="7258" ht="87" customHeight="1">
      <c r="A7258" s="2">
        <f>HYPERLINK("https://edmondsonsupply.com/collections/electricians-tools/products/klein-tools-rt250kit-premium-dual-range-ncvt-and-gfci-receptacle-tester-electrical-test-kit", "https://edmondsonsupply.com/collections/electricians-tools/products/klein-tools-rt250kit-premium-dual-range-ncvt-and-gfci-receptacle-tester-electrical-test-kit")</f>
        <v/>
      </c>
      <c r="B7258" s="2">
        <f>HYPERLINK("https://edmondsonsupply.com/products/klein-tools-rt250kit-premium-dual-range-ncvt-and-gfci-receptacle-tester-electrical-test-kit", "https://edmondsonsupply.com/products/klein-tools-rt250kit-premium-dual-range-ncvt-and-gfci-receptacle-tester-electrical-test-kit")</f>
        <v/>
      </c>
      <c r="C7258" t="inlineStr">
        <is>
          <t>Klein Tools RT250KIT Premium Dual-Range NCVT and GFCI Receptacle Tester Electrical Test Kit</t>
        </is>
      </c>
      <c r="D7258" t="inlineStr">
        <is>
          <t>Klein Tools NCVT1PKIT Electrical Tester Kit with Non-Contact Volt Tester, 50 to 1000V AC and GFCI Receptacle Tester, 2-Piece</t>
        </is>
      </c>
      <c r="E7258" s="2">
        <f>HYPERLINK("https://www.amazon.com/Klein-Tools-NCVT1PKIT-Electrical-Non-Contact/dp/B0BS5SCNJ1/ref=sr_1_3?keywords=Klein+Tools+RT250KIT+Premium+Dual-Range+NCVT+and+GFCI+Receptacle+Tester+Electrical+Test+Kit&amp;qid=1694735135&amp;sr=8-3", "https://www.amazon.com/Klein-Tools-NCVT1PKIT-Electrical-Non-Contact/dp/B0BS5SCNJ1/ref=sr_1_3?keywords=Klein+Tools+RT250KIT+Premium+Dual-Range+NCVT+and+GFCI+Receptacle+Tester+Electrical+Test+Kit&amp;qid=1694735135&amp;sr=8-3")</f>
        <v/>
      </c>
      <c r="F7258" t="inlineStr">
        <is>
          <t>B0BS5SCNJ1</t>
        </is>
      </c>
      <c r="G7258">
        <f>_xlfn.IMAGE("https://edmondsonsupply.com/cdn/shop/products/rt250kit.jpg?v=1660755074")</f>
        <v/>
      </c>
      <c r="H7258">
        <f>_xlfn.IMAGE("https://m.media-amazon.com/images/I/51CD2DGal7L._AC_UL320_.jpg")</f>
        <v/>
      </c>
      <c r="K7258" t="inlineStr">
        <is>
          <t>39.99</t>
        </is>
      </c>
      <c r="L7258" t="n">
        <v>24.97</v>
      </c>
      <c r="M7258" s="1" t="inlineStr">
        <is>
          <t>-37.56%</t>
        </is>
      </c>
      <c r="N7258" s="7" t="n"/>
      <c r="O7258" t="n">
        <v>4.4</v>
      </c>
      <c r="P7258" t="n">
        <v>31</v>
      </c>
      <c r="R7258" t="inlineStr">
        <is>
          <t>InStock</t>
        </is>
      </c>
      <c r="S7258" t="inlineStr">
        <is>
          <t>56.78</t>
        </is>
      </c>
      <c r="T7258" t="inlineStr">
        <is>
          <t>7783551336664</t>
        </is>
      </c>
    </row>
    <row r="7259" ht="87" customHeight="1">
      <c r="A7259" s="2">
        <f>HYPERLINK("https://edmondsonsupply.com/collections/electricians-tools/products/klein-tools-66060-2-in-1-impact-socket-set-6-point-6-piece", "https://edmondsonsupply.com/collections/electricians-tools/products/klein-tools-66060-2-in-1-impact-socket-set-6-point-6-piece")</f>
        <v/>
      </c>
      <c r="B7259" s="2">
        <f>HYPERLINK("https://edmondsonsupply.com/products/klein-tools-66060-2-in-1-impact-socket-set-6-point-6-piece", "https://edmondsonsupply.com/products/klein-tools-66060-2-in-1-impact-socket-set-6-point-6-piece")</f>
        <v/>
      </c>
      <c r="C7259" t="inlineStr">
        <is>
          <t>Klein Tools 66060 2-in-1 Impact Socket Set, 6-Point, 6-Piece</t>
        </is>
      </c>
      <c r="D7259" t="inlineStr">
        <is>
          <t>Klein Tools 66040 2-in-1 Impact Socket Set, 5-Piece Tool Set with 12-Point Deep Sockets with 1/2-Inch Drive, Includes Tool Case</t>
        </is>
      </c>
      <c r="E7259" s="2">
        <f>HYPERLINK("https://www.amazon.com/Klein-Tools-5-Piece-6-Point-Sockets/dp/B08363H71P/ref=sr_1_3?keywords=Klein+Tools+66060+2-in-1+Impact+Socket+Set%2C+6-Point%2C+6-Piece&amp;qid=1694735105&amp;sr=8-3", "https://www.amazon.com/Klein-Tools-5-Piece-6-Point-Sockets/dp/B08363H71P/ref=sr_1_3?keywords=Klein+Tools+66060+2-in-1+Impact+Socket+Set%2C+6-Point%2C+6-Piece&amp;qid=1694735105&amp;sr=8-3")</f>
        <v/>
      </c>
      <c r="F7259" t="inlineStr">
        <is>
          <t>B08363H71P</t>
        </is>
      </c>
      <c r="G7259">
        <f>_xlfn.IMAGE("https://edmondsonsupply.com/cdn/shop/products/66060.jpg?v=1665592747")</f>
        <v/>
      </c>
      <c r="H7259">
        <f>_xlfn.IMAGE("https://m.media-amazon.com/images/I/618QcMhYqSL._AC_UL320_.jpg")</f>
        <v/>
      </c>
      <c r="K7259" t="inlineStr">
        <is>
          <t>199.99</t>
        </is>
      </c>
      <c r="L7259" t="n">
        <v>124.79</v>
      </c>
      <c r="M7259" s="1" t="inlineStr">
        <is>
          <t>-37.60%</t>
        </is>
      </c>
      <c r="N7259" s="7" t="n"/>
      <c r="O7259" t="n">
        <v>4.8</v>
      </c>
      <c r="P7259" t="n">
        <v>1150</v>
      </c>
      <c r="R7259" t="inlineStr">
        <is>
          <t>InStock</t>
        </is>
      </c>
      <c r="S7259" t="inlineStr">
        <is>
          <t>344.76</t>
        </is>
      </c>
      <c r="T7259" t="inlineStr">
        <is>
          <t>7850034561240</t>
        </is>
      </c>
    </row>
    <row r="7260" ht="87" customHeight="1">
      <c r="A7260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260" s="2">
        <f>HYPERLINK("https://edmondsonsupply.com/products/veto-pro-pac-tech-pac-backpack-tool-bag-1", "https://edmondsonsupply.com/products/veto-pro-pac-tech-pac-backpack-tool-bag-1")</f>
        <v/>
      </c>
      <c r="C7260" t="inlineStr">
        <is>
          <t>Veto Pro Pac TECH PAC LT Laptop Backpack Tool Bag</t>
        </is>
      </c>
      <c r="D7260" t="inlineStr">
        <is>
          <t>Veto Pro Pac TECH OT-SC (Sub-Compact Open Top Electrician Tool Bag)</t>
        </is>
      </c>
      <c r="E7260" s="2">
        <f>HYPERLINK("https://www.amazon.com/Veto-TECH-OT-SC-Sub-Compact-Electrician/dp/B09ZC63KFK/ref=sr_1_8?keywords=Veto+Pro+Pac+TECH+PAC+LT+Laptop+Backpack+Tool+Bag&amp;qid=1694735205&amp;sr=8-8", "https://www.amazon.com/Veto-TECH-OT-SC-Sub-Compact-Electrician/dp/B09ZC63KFK/ref=sr_1_8?keywords=Veto+Pro+Pac+TECH+PAC+LT+Laptop+Backpack+Tool+Bag&amp;qid=1694735205&amp;sr=8-8")</f>
        <v/>
      </c>
      <c r="F7260" t="inlineStr">
        <is>
          <t>B09ZC63KFK</t>
        </is>
      </c>
      <c r="G7260">
        <f>_xlfn.IMAGE("https://edmondsonsupply.com/cdn/shop/products/LT_1.jpg?v=1587146035")</f>
        <v/>
      </c>
      <c r="H7260">
        <f>_xlfn.IMAGE("https://m.media-amazon.com/images/I/51LTwfYG5eL._AC_UL320_.jpg")</f>
        <v/>
      </c>
      <c r="K7260" t="inlineStr">
        <is>
          <t>289.99</t>
        </is>
      </c>
      <c r="L7260" t="n">
        <v>179.95</v>
      </c>
      <c r="M7260" s="1" t="inlineStr">
        <is>
          <t>-37.95%</t>
        </is>
      </c>
      <c r="N7260" s="7" t="n"/>
      <c r="O7260" t="n">
        <v>4.7</v>
      </c>
      <c r="P7260" t="n">
        <v>21</v>
      </c>
      <c r="R7260" t="inlineStr">
        <is>
          <t>InStock</t>
        </is>
      </c>
      <c r="S7260" t="inlineStr">
        <is>
          <t>undefined</t>
        </is>
      </c>
      <c r="T7260" t="inlineStr">
        <is>
          <t>3558529695844</t>
        </is>
      </c>
    </row>
    <row r="7261" hidden="1" ht="15.75" customHeight="1">
      <c r="A7261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7261" s="2">
        <f>HYPERLINK("https://edmondsonsupply.com/products/klein-tools-635-1-2-1-2-inch-heavy-duty-nut-driver", "https://edmondsonsupply.com/products/klein-tools-635-1-2-1-2-inch-heavy-duty-nut-driver")</f>
        <v/>
      </c>
      <c r="C7261" t="inlineStr">
        <is>
          <t>Klein Tools 635-1/2 1/2-Inch Heavy-Duty Nut Driver</t>
        </is>
      </c>
      <c r="D7261" t="inlineStr">
        <is>
          <t>Klein Tools S166 1/2-Inch Nut Driver with 6-Inch Hollow Shaft and Comfordome Handle</t>
        </is>
      </c>
      <c r="E7261" s="2">
        <f>HYPERLINK("https://www.amazon.com/2-Inch-Comfordome-Klein-Tools-S166/dp/B0002RIA2G/ref=sr_1_18?keywords=Klein+Tools+635-1%2F2+1%2F2-Inch+Heavy-Duty+Nut+Driver&amp;qid=1694735353&amp;sr=8-18", "https://www.amazon.com/2-Inch-Comfordome-Klein-Tools-S166/dp/B0002RIA2G/ref=sr_1_18?keywords=Klein+Tools+635-1%2F2+1%2F2-Inch+Heavy-Duty+Nut+Driver&amp;qid=1694735353&amp;sr=8-18")</f>
        <v/>
      </c>
      <c r="F7261" t="inlineStr">
        <is>
          <t>B0002RIA2G</t>
        </is>
      </c>
      <c r="G7261">
        <f>_xludf.IMAGE("https://edmondsonsupply.com/cdn/shop/products/635-1-2.jpg?v=1587147726")</f>
        <v/>
      </c>
      <c r="H7261">
        <f>_xludf.IMAGE("https://m.media-amazon.com/images/I/415yMhUbMiL._AC_UL320_.jpg")</f>
        <v/>
      </c>
      <c r="K7261" t="inlineStr">
        <is>
          <t>14.99</t>
        </is>
      </c>
      <c r="L7261" t="n">
        <v>9.300000000000001</v>
      </c>
      <c r="M7261" s="1" t="inlineStr">
        <is>
          <t>-37.96%</t>
        </is>
      </c>
      <c r="N7261" s="1" t="n"/>
      <c r="O7261" t="n">
        <v>4.5</v>
      </c>
      <c r="P7261" t="n">
        <v>151</v>
      </c>
      <c r="R7261" t="inlineStr">
        <is>
          <t>InStock</t>
        </is>
      </c>
      <c r="S7261" t="inlineStr">
        <is>
          <t>22.78</t>
        </is>
      </c>
      <c r="T7261" t="inlineStr">
        <is>
          <t>4473296945252</t>
        </is>
      </c>
    </row>
    <row r="7262" ht="87" customHeight="1">
      <c r="A7262" s="2">
        <f>HYPERLINK("https://edmondsonsupply.com/collections/electricians-tools/products/klein-tools-bat20ubl1-cordless-utility-led-light-kit", "https://edmondsonsupply.com/collections/electricians-tools/products/klein-tools-bat20ubl1-cordless-utility-led-light-kit")</f>
        <v/>
      </c>
      <c r="B7262" s="2">
        <f>HYPERLINK("https://edmondsonsupply.com/products/klein-tools-bat20ubl1-cordless-utility-led-light-kit", "https://edmondsonsupply.com/products/klein-tools-bat20ubl1-cordless-utility-led-light-kit")</f>
        <v/>
      </c>
      <c r="C7262" t="inlineStr">
        <is>
          <t>Klein Tools BAT20UBL1 Cordless Utility LED Light Kit</t>
        </is>
      </c>
      <c r="D7262" t="inlineStr">
        <is>
          <t>Klein Tools BAT20UBL1 LED Utility Bucket Work Light Kit, Cordless Utility Light with 2 Lithium-Ion 4 Ah Batteries and Charger</t>
        </is>
      </c>
      <c r="E7262" s="2">
        <f>HYPERLINK("https://www.amazon.com/Klein-Tools-BAT20UBL1-Lithium-Ion-Batteries/dp/B09HW8BM5R/ref=sr_1_1?keywords=Klein+Tools+BAT20UBL1+Cordless+Utility+LED+Light+Kit&amp;qid=1694735097&amp;sr=8-1", "https://www.amazon.com/Klein-Tools-BAT20UBL1-Lithium-Ion-Batteries/dp/B09HW8BM5R/ref=sr_1_1?keywords=Klein+Tools+BAT20UBL1+Cordless+Utility+LED+Light+Kit&amp;qid=1694735097&amp;sr=8-1")</f>
        <v/>
      </c>
      <c r="F7262" t="inlineStr">
        <is>
          <t>B09HW8BM5R</t>
        </is>
      </c>
      <c r="G7262">
        <f>_xlfn.IMAGE("https://edmondsonsupply.com/cdn/shop/products/bat20ubl1.jpg?v=1666017304")</f>
        <v/>
      </c>
      <c r="H7262">
        <f>_xlfn.IMAGE("https://m.media-amazon.com/images/I/51QMrm33mfL._AC_UL320_.jpg")</f>
        <v/>
      </c>
      <c r="K7262" t="inlineStr">
        <is>
          <t>492.69</t>
        </is>
      </c>
      <c r="L7262" t="n">
        <v>305.47</v>
      </c>
      <c r="M7262" s="1" t="inlineStr">
        <is>
          <t>-38.00%</t>
        </is>
      </c>
      <c r="N7262" s="7" t="n"/>
      <c r="O7262" t="n">
        <v>5</v>
      </c>
      <c r="P7262" t="n">
        <v>2</v>
      </c>
      <c r="R7262" t="inlineStr">
        <is>
          <t>InStock</t>
        </is>
      </c>
      <c r="S7262" t="inlineStr">
        <is>
          <t>821.14</t>
        </is>
      </c>
      <c r="T7262" t="inlineStr">
        <is>
          <t>7856582099160</t>
        </is>
      </c>
    </row>
    <row r="7263" hidden="1" ht="15.75" customHeight="1">
      <c r="A7263" s="2">
        <f>HYPERLINK("https://edmondsonsupply.com/collections/electricians-tools/products/klein-tools-69190-magnetic-hanger", "https://edmondsonsupply.com/collections/electricians-tools/products/klein-tools-69190-magnetic-hanger")</f>
        <v/>
      </c>
      <c r="B7263" s="2">
        <f>HYPERLINK("https://edmondsonsupply.com/products/klein-tools-69190-magnetic-hanger", "https://edmondsonsupply.com/products/klein-tools-69190-magnetic-hanger")</f>
        <v/>
      </c>
      <c r="C7263" t="inlineStr">
        <is>
          <t>Klein Tools 69190 Magnetic Hanger</t>
        </is>
      </c>
      <c r="D7263" t="inlineStr">
        <is>
          <t>Klein Tools 69417 Rare-Earth Magnetic Hanger, with Strap</t>
        </is>
      </c>
      <c r="E7263" s="2">
        <f>HYPERLINK("https://www.amazon.com/Magnetic-Hanger-Klein-Tools-69417/dp/B01B7RBXZ0/ref=sr_1_2?keywords=Klein+Tools+69190+Magnetic+Hanger&amp;qid=1694735208&amp;sr=8-2", "https://www.amazon.com/Magnetic-Hanger-Klein-Tools-69417/dp/B01B7RBXZ0/ref=sr_1_2?keywords=Klein+Tools+69190+Magnetic+Hanger&amp;qid=1694735208&amp;sr=8-2")</f>
        <v/>
      </c>
      <c r="F7263" t="inlineStr">
        <is>
          <t>B01B7RBXZ0</t>
        </is>
      </c>
      <c r="G7263">
        <f>_xludf.IMAGE("https://edmondsonsupply.com/cdn/shop/products/69190.jpg?v=1633031095")</f>
        <v/>
      </c>
      <c r="H7263">
        <f>_xludf.IMAGE("https://m.media-amazon.com/images/I/51yfJbP4XCL._AC_UL320_.jpg")</f>
        <v/>
      </c>
      <c r="K7263" t="inlineStr">
        <is>
          <t>20.99</t>
        </is>
      </c>
      <c r="L7263" t="n">
        <v>13</v>
      </c>
      <c r="M7263" s="1" t="inlineStr">
        <is>
          <t>-38.07%</t>
        </is>
      </c>
      <c r="N7263" s="1" t="n"/>
      <c r="O7263" t="n">
        <v>4.8</v>
      </c>
      <c r="P7263" t="n">
        <v>3746</v>
      </c>
      <c r="R7263" t="inlineStr">
        <is>
          <t>InStock</t>
        </is>
      </c>
      <c r="S7263" t="inlineStr">
        <is>
          <t>31.34</t>
        </is>
      </c>
      <c r="T7263" t="inlineStr">
        <is>
          <t>6840979521709</t>
        </is>
      </c>
    </row>
    <row r="7264" ht="87" customHeight="1">
      <c r="A7264" s="2">
        <f>HYPERLINK("https://edmondsonsupply.com/collections/electricians-tools/products/klein-tools-vdv001-081-punchdown-screwdriver-multi-tool", "https://edmondsonsupply.com/collections/electricians-tools/products/klein-tools-vdv001-081-punchdown-screwdriver-multi-tool")</f>
        <v/>
      </c>
      <c r="B7264" s="2">
        <f>HYPERLINK("https://edmondsonsupply.com/products/klein-tools-vdv001-081-punchdown-screwdriver-multi-tool", "https://edmondsonsupply.com/products/klein-tools-vdv001-081-punchdown-screwdriver-multi-tool")</f>
        <v/>
      </c>
      <c r="C7264" t="inlineStr">
        <is>
          <t>Klein Tools VDV001-081 Punchdown Screwdriver Multi-Tool</t>
        </is>
      </c>
      <c r="D7264" t="inlineStr">
        <is>
          <t>Klein Tools VDV770-050 Workends Kit for VDV427-047 Punchdown Multi-Tool, with Adapter, Reach Extension Phillips and Slotted Screwdriver Bits</t>
        </is>
      </c>
      <c r="E7264" s="2">
        <f>HYPERLINK("https://www.amazon.com/VDV427-047-Screwdriver-Klein-Tools-VDV770-050/dp/B007GH1JBY/ref=sr_1_2?keywords=Klein+Tools+VDV001-081+Punchdown+Screwdriver+Multi-Tool&amp;qid=1694735281&amp;sr=8-2", "https://www.amazon.com/VDV427-047-Screwdriver-Klein-Tools-VDV770-050/dp/B007GH1JBY/ref=sr_1_2?keywords=Klein+Tools+VDV001-081+Punchdown+Screwdriver+Multi-Tool&amp;qid=1694735281&amp;sr=8-2")</f>
        <v/>
      </c>
      <c r="F7264" t="inlineStr">
        <is>
          <t>B007GH1JBY</t>
        </is>
      </c>
      <c r="G7264">
        <f>_xlfn.IMAGE("https://edmondsonsupply.com/cdn/shop/products/vdv001-081.jpg?v=1633030505")</f>
        <v/>
      </c>
      <c r="H7264">
        <f>_xlfn.IMAGE("https://m.media-amazon.com/images/I/51WdjxnKMoL._AC_UL320_.jpg")</f>
        <v/>
      </c>
      <c r="K7264" t="inlineStr">
        <is>
          <t>26.97</t>
        </is>
      </c>
      <c r="L7264" t="n">
        <v>16.7</v>
      </c>
      <c r="M7264" s="1" t="inlineStr">
        <is>
          <t>-38.08%</t>
        </is>
      </c>
      <c r="N7264" s="7" t="n"/>
      <c r="O7264" t="n">
        <v>4.2</v>
      </c>
      <c r="P7264" t="n">
        <v>10</v>
      </c>
      <c r="R7264" t="inlineStr">
        <is>
          <t>InStock</t>
        </is>
      </c>
      <c r="S7264" t="inlineStr">
        <is>
          <t>37.8</t>
        </is>
      </c>
      <c r="T7264" t="inlineStr">
        <is>
          <t>5382696501416</t>
        </is>
      </c>
    </row>
    <row r="7265" hidden="1" ht="15.75" customHeight="1">
      <c r="A7265" s="2">
        <f>HYPERLINK("https://edmondsonsupply.com/collections/electricians-tools/products/klein-tools-69190-magnetic-hanger", "https://edmondsonsupply.com/collections/electricians-tools/products/klein-tools-69190-magnetic-hanger")</f>
        <v/>
      </c>
      <c r="B7265" s="2">
        <f>HYPERLINK("https://edmondsonsupply.com/products/klein-tools-69190-magnetic-hanger", "https://edmondsonsupply.com/products/klein-tools-69190-magnetic-hanger")</f>
        <v/>
      </c>
      <c r="C7265" t="inlineStr">
        <is>
          <t>Klein Tools 69190 Magnetic Hanger</t>
        </is>
      </c>
      <c r="D7265" t="inlineStr">
        <is>
          <t>Magnetic Multimeter Hanger Strap Works with Klein Tools Meters MM1000, MM1300, MM2000, MM2300, MM5000, MM6000</t>
        </is>
      </c>
      <c r="E7265" s="2">
        <f>HYPERLINK("https://www.amazon.com/Magnetic-Multimeter-Hanger-Tools-Meters/dp/B079SHC9LP/ref=sr_1_7?keywords=Klein+Tools+69190+Magnetic+Hanger&amp;qid=1694735208&amp;sr=8-7", "https://www.amazon.com/Magnetic-Multimeter-Hanger-Tools-Meters/dp/B079SHC9LP/ref=sr_1_7?keywords=Klein+Tools+69190+Magnetic+Hanger&amp;qid=1694735208&amp;sr=8-7")</f>
        <v/>
      </c>
      <c r="F7265" t="inlineStr">
        <is>
          <t>B079SHC9LP</t>
        </is>
      </c>
      <c r="G7265">
        <f>_xludf.IMAGE("https://edmondsonsupply.com/cdn/shop/products/69190.jpg?v=1633031095")</f>
        <v/>
      </c>
      <c r="H7265">
        <f>_xludf.IMAGE("https://m.media-amazon.com/images/I/61NPpr+el9L._AC_UL320_.jpg")</f>
        <v/>
      </c>
      <c r="K7265" t="inlineStr">
        <is>
          <t>20.99</t>
        </is>
      </c>
      <c r="L7265" t="n">
        <v>12.99</v>
      </c>
      <c r="M7265" s="1" t="inlineStr">
        <is>
          <t>-38.11%</t>
        </is>
      </c>
      <c r="N7265" s="1" t="n"/>
      <c r="O7265" t="n">
        <v>4</v>
      </c>
      <c r="P7265" t="n">
        <v>124</v>
      </c>
      <c r="R7265" t="inlineStr">
        <is>
          <t>InStock</t>
        </is>
      </c>
      <c r="S7265" t="inlineStr">
        <is>
          <t>31.34</t>
        </is>
      </c>
      <c r="T7265" t="inlineStr">
        <is>
          <t>6840979521709</t>
        </is>
      </c>
    </row>
    <row r="7266" ht="87" customHeight="1">
      <c r="A7266" s="2">
        <f>HYPERLINK("https://edmondsonsupply.com/collections/electricians-tools/products/klein-tools-203-6-eins-long-nose-side-cutter-pliers-6-inch-slim-insulated", "https://edmondsonsupply.com/collections/electricians-tools/products/klein-tools-203-6-eins-long-nose-side-cutter-pliers-6-inch-slim-insulated")</f>
        <v/>
      </c>
      <c r="B7266" s="2">
        <f>HYPERLINK("https://edmondsonsupply.com/products/klein-tools-203-6-eins-long-nose-side-cutter-pliers-6-inch-slim-insulated", "https://edmondsonsupply.com/products/klein-tools-203-6-eins-long-nose-side-cutter-pliers-6-inch-slim-insulated")</f>
        <v/>
      </c>
      <c r="C7266" t="inlineStr">
        <is>
          <t>Klein Tools 2036EINS Long Nose Side Cutter Pliers 6-Inch Slim Insulated</t>
        </is>
      </c>
      <c r="D7266" t="inlineStr">
        <is>
          <t>Klein Tools J203-6 Needle Nose Pliers, Long Nose Side Cutters, Heavy Duty Journeyman Alligator Pliers with Curved Handles, 6-3/4-Inch</t>
        </is>
      </c>
      <c r="E7266" s="2">
        <f>HYPERLINK("https://www.amazon.com/Klein-Tools-J203-6-Pliers-Side-Cutters/dp/B000FH289O/ref=sr_1_4?keywords=Klein+Tools+2036EINS+Long+Nose+Side+Cutter+Pliers+6-Inch+Slim+Insulated&amp;qid=1694735202&amp;sr=8-4", "https://www.amazon.com/Klein-Tools-J203-6-Pliers-Side-Cutters/dp/B000FH289O/ref=sr_1_4?keywords=Klein+Tools+2036EINS+Long+Nose+Side+Cutter+Pliers+6-Inch+Slim+Insulated&amp;qid=1694735202&amp;sr=8-4")</f>
        <v/>
      </c>
      <c r="F7266" t="inlineStr">
        <is>
          <t>B000FH289O</t>
        </is>
      </c>
      <c r="G7266">
        <f>_xlfn.IMAGE("https://edmondsonsupply.com/cdn/shop/products/2036eins.jpg?v=1633031077")</f>
        <v/>
      </c>
      <c r="H7266">
        <f>_xlfn.IMAGE("https://m.media-amazon.com/images/I/514ud2Pt0TL._AC_UL320_.jpg")</f>
        <v/>
      </c>
      <c r="K7266" t="inlineStr">
        <is>
          <t>46.99</t>
        </is>
      </c>
      <c r="L7266" t="n">
        <v>28.99</v>
      </c>
      <c r="M7266" s="1" t="inlineStr">
        <is>
          <t>-38.31%</t>
        </is>
      </c>
      <c r="N7266" s="7" t="n"/>
      <c r="O7266" t="n">
        <v>4.7</v>
      </c>
      <c r="P7266" t="n">
        <v>106</v>
      </c>
      <c r="R7266" t="inlineStr">
        <is>
          <t>InStock</t>
        </is>
      </c>
      <c r="S7266" t="inlineStr">
        <is>
          <t>71.2</t>
        </is>
      </c>
      <c r="T7266" t="inlineStr">
        <is>
          <t>6829261029549</t>
        </is>
      </c>
    </row>
    <row r="7267" ht="87" customHeight="1">
      <c r="A7267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267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267" t="inlineStr">
        <is>
          <t>Diablo Tools DMAMX1360 1-1/2 in. x 16 in. x 21 in. Rebar Demon™ SDS-Max 4-Cutter Carbide-Tipped Hammer Drill Bit</t>
        </is>
      </c>
      <c r="D7267" t="inlineStr">
        <is>
          <t>Diablo 1-1/8" x 16"x21" Rebar Demon™ SDS-Max 4-Cutter Carbide-Tipped Hammer Bit</t>
        </is>
      </c>
      <c r="E7267" s="2">
        <f>HYPERLINK("https://www.amazon.com/Diablo-Freud-DMAMX1260-4-Cutter-Carbide-Tipped/dp/B089KWJXHC/ref=sr_1_15?keywords=Diablo+Tools+DMAMX1360+1-1%2F2+in.+x+16+in.+x+21+in.+Rebar+Demon%E2%84%A2+SDS-Max+4-Cutter+Carbide-Tipped+Hammer+Drill+Bit&amp;qid=1694735042&amp;sr=8-15", "https://www.amazon.com/Diablo-Freud-DMAMX1260-4-Cutter-Carbide-Tipped/dp/B089KWJXHC/ref=sr_1_15?keywords=Diablo+Tools+DMAMX1360+1-1%2F2+in.+x+16+in.+x+21+in.+Rebar+Demon%E2%84%A2+SDS-Max+4-Cutter+Carbide-Tipped+Hammer+Drill+Bit&amp;qid=1694735042&amp;sr=8-15")</f>
        <v/>
      </c>
      <c r="F7267" t="inlineStr">
        <is>
          <t>B089KWJXHC</t>
        </is>
      </c>
      <c r="G7267">
        <f>_xlfn.IMAGE("https://edmondsonsupply.com/cdn/shop/products/z2umcsdaj3y4uvsfnxoh.webp?v=1677257156")</f>
        <v/>
      </c>
      <c r="H7267">
        <f>_xlfn.IMAGE("https://m.media-amazon.com/images/I/61-Tv2lZZRL._AC_UL320_.jpg")</f>
        <v/>
      </c>
      <c r="K7267" t="inlineStr">
        <is>
          <t>93.87</t>
        </is>
      </c>
      <c r="L7267" t="n">
        <v>57.82</v>
      </c>
      <c r="M7267" s="1" t="inlineStr">
        <is>
          <t>-38.40%</t>
        </is>
      </c>
      <c r="N7267" s="7" t="n"/>
      <c r="O7267" t="n">
        <v>5</v>
      </c>
      <c r="P7267" t="n">
        <v>2</v>
      </c>
      <c r="R7267" t="inlineStr">
        <is>
          <t>InStock</t>
        </is>
      </c>
      <c r="S7267" t="inlineStr">
        <is>
          <t>149.01</t>
        </is>
      </c>
      <c r="T7267" t="inlineStr">
        <is>
          <t>7950786855128</t>
        </is>
      </c>
    </row>
    <row r="7268" hidden="1" ht="15.75" customHeight="1">
      <c r="A7268" s="2">
        <f>HYPERLINK("https://edmondsonsupply.com/collections/electricians-tools/products/greenlee-k2bb-1-1-conduit-size-slug-buster%C2%AE-manual-knockout-set", "https://edmondsonsupply.com/collections/electricians-tools/products/greenlee-k2bb-1-1-conduit-size-slug-buster%C2%AE-manual-knockout-set")</f>
        <v/>
      </c>
      <c r="B7268" s="2">
        <f>HYPERLINK("https://edmondsonsupply.com/products/greenlee-k2bb-1-1-conduit-size-slug-buster%c2%ae-manual-knockout-set", "https://edmondsonsupply.com/products/greenlee-k2bb-1-1-conduit-size-slug-buster%c2%ae-manual-knockout-set")</f>
        <v/>
      </c>
      <c r="C7268" t="inlineStr">
        <is>
          <t>Greenlee K2BB-1 1" Conduit Size Slug-Buster® Manual Knockout Set</t>
        </is>
      </c>
      <c r="D7268" t="inlineStr">
        <is>
          <t>Greenlee, K2BB-1/2 replaces 60246, 1/2" Conduit Size Slug-Buster Manual Knockout Set</t>
        </is>
      </c>
      <c r="E7268" s="2">
        <f>HYPERLINK("https://www.amazon.com/Greenlee-K2BB-1-2-KNOCKOUT-SET/dp/B07Y5TWM7M/ref=sr_1_2?keywords=Greenlee+K2BB-1+1%22+Conduit+Size+Slug-Buster%C2%AE+Manual+Knockout+Set&amp;qid=1694735360&amp;sr=8-2", "https://www.amazon.com/Greenlee-K2BB-1-2-KNOCKOUT-SET/dp/B07Y5TWM7M/ref=sr_1_2?keywords=Greenlee+K2BB-1+1%22+Conduit+Size+Slug-Buster%C2%AE+Manual+Knockout+Set&amp;qid=1694735360&amp;sr=8-2")</f>
        <v/>
      </c>
      <c r="F7268" t="inlineStr">
        <is>
          <t>B07Y5TWM7M</t>
        </is>
      </c>
      <c r="G7268">
        <f>_xludf.IMAGE("https://edmondsonsupply.com/cdn/shop/products/K2BB-1-ASM.jpg?v=1587151444")</f>
        <v/>
      </c>
      <c r="H7268">
        <f>_xludf.IMAGE("https://m.media-amazon.com/images/I/51TtbjBnjXL._AC_UL320_.jpg")</f>
        <v/>
      </c>
      <c r="K7268" t="inlineStr">
        <is>
          <t>92.5</t>
        </is>
      </c>
      <c r="L7268" t="n">
        <v>56.97</v>
      </c>
      <c r="M7268" s="1" t="inlineStr">
        <is>
          <t>-38.41%</t>
        </is>
      </c>
      <c r="N7268" s="1" t="n"/>
      <c r="O7268" t="n">
        <v>3.7</v>
      </c>
      <c r="P7268" t="n">
        <v>6</v>
      </c>
      <c r="R7268" t="inlineStr">
        <is>
          <t>InStock</t>
        </is>
      </c>
      <c r="S7268" t="inlineStr">
        <is>
          <t>92.5</t>
        </is>
      </c>
      <c r="T7268" t="inlineStr">
        <is>
          <t>4431424553060</t>
        </is>
      </c>
    </row>
    <row r="7269" ht="87" customHeight="1">
      <c r="A7269" s="2">
        <f>HYPERLINK("https://edmondsonsupply.com/collections/electricians-tools/products/klein-tools-2000-48-eins-diagonal-cutting-pliers-insulated-angled-head-8-inch", "https://edmondsonsupply.com/collections/electricians-tools/products/klein-tools-2000-48-eins-diagonal-cutting-pliers-insulated-angled-head-8-inch")</f>
        <v/>
      </c>
      <c r="B7269" s="2">
        <f>HYPERLINK("https://edmondsonsupply.com/products/klein-tools-2000-48-eins-diagonal-cutting-pliers-insulated-angled-head-8-inch", "https://edmondsonsupply.com/products/klein-tools-2000-48-eins-diagonal-cutting-pliers-insulated-angled-head-8-inch")</f>
        <v/>
      </c>
      <c r="C7269" t="inlineStr">
        <is>
          <t>Klein Tools 2000-48-EINS Diagonal Cutting Pliers, Insulated, Angled Head, 8-Inch</t>
        </is>
      </c>
      <c r="D7269" t="inlineStr">
        <is>
          <t>Klein Tools J2000-48 Pliers, Diagonal Cutting Pliers with Angled Head, Heavy-Duty to Cut ACSR, Screws, Nails, and most Hardened Wire, 8-Inch</t>
        </is>
      </c>
      <c r="E7269" s="2">
        <f>HYPERLINK("https://www.amazon.com/Klein-Tools-J2000-48-Diagonal-Cutters/dp/B0006M6Y8O/ref=sr_1_3?keywords=Klein+Tools+2000-48-EINS+Diagonal+Cutting+Pliers%2C+Insulated%2C+Angled+Head%2C+8-Inch&amp;qid=1694735272&amp;sr=8-3", "https://www.amazon.com/Klein-Tools-J2000-48-Diagonal-Cutters/dp/B0006M6Y8O/ref=sr_1_3?keywords=Klein+Tools+2000-48-EINS+Diagonal+Cutting+Pliers%2C+Insulated%2C+Angled+Head%2C+8-Inch&amp;qid=1694735272&amp;sr=8-3")</f>
        <v/>
      </c>
      <c r="F7269" t="inlineStr">
        <is>
          <t>B0006M6Y8O</t>
        </is>
      </c>
      <c r="G7269">
        <f>_xlfn.IMAGE("https://edmondsonsupply.com/cdn/shop/products/200048eins.jpg?v=1633030513")</f>
        <v/>
      </c>
      <c r="H7269">
        <f>_xlfn.IMAGE("https://m.media-amazon.com/images/I/41ZnJLE+YFL._AC_UL320_.jpg")</f>
        <v/>
      </c>
      <c r="K7269" t="inlineStr">
        <is>
          <t>64.99</t>
        </is>
      </c>
      <c r="L7269" t="n">
        <v>39.99</v>
      </c>
      <c r="M7269" s="1" t="inlineStr">
        <is>
          <t>-38.47%</t>
        </is>
      </c>
      <c r="N7269" s="7" t="n"/>
      <c r="O7269" t="n">
        <v>4.8</v>
      </c>
      <c r="P7269" t="n">
        <v>1553</v>
      </c>
      <c r="R7269" t="inlineStr">
        <is>
          <t>InStock</t>
        </is>
      </c>
      <c r="S7269" t="inlineStr">
        <is>
          <t>100.92</t>
        </is>
      </c>
      <c r="T7269" t="inlineStr">
        <is>
          <t>5387314954408</t>
        </is>
      </c>
    </row>
    <row r="7270" ht="87" customHeight="1">
      <c r="A7270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270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270" t="inlineStr">
        <is>
          <t>Klein Tools 32288 8-in-1 Insulated Interchangeable Screwdriver Set</t>
        </is>
      </c>
      <c r="D7270" t="inlineStr">
        <is>
          <t>Klein Tools 80031 Screwdriver Set, 5-Piece Kit Includes 2 Slotted, 2 Phillips and 1 Square Tip Screwdriver, Cushion Grip Comfort</t>
        </is>
      </c>
      <c r="E7270" s="2">
        <f>HYPERLINK("https://www.amazon.com/Klein-Tools-80031-Screwdriver-Phillips/dp/B09N54D7C6/ref=sr_1_46?keywords=Klein+Tools+32288+8-in-1+Insulated+Interchangeable+Screwdriver+Set&amp;qid=1694734974&amp;sr=8-46", "https://www.amazon.com/Klein-Tools-80031-Screwdriver-Phillips/dp/B09N54D7C6/ref=sr_1_46?keywords=Klein+Tools+32288+8-in-1+Insulated+Interchangeable+Screwdriver+Set&amp;qid=1694734974&amp;sr=8-46")</f>
        <v/>
      </c>
      <c r="F7270" t="inlineStr">
        <is>
          <t>B09N54D7C6</t>
        </is>
      </c>
      <c r="G7270">
        <f>_xlfn.IMAGE("https://edmondsonsupply.com/cdn/shop/products/32288.jpg?v=1587146849")</f>
        <v/>
      </c>
      <c r="H7270">
        <f>_xlfn.IMAGE("https://m.media-amazon.com/images/I/51HdKvRvjiL._AC_UL320_.jpg")</f>
        <v/>
      </c>
      <c r="K7270" t="inlineStr">
        <is>
          <t>49.99</t>
        </is>
      </c>
      <c r="L7270" t="n">
        <v>30.75</v>
      </c>
      <c r="M7270" s="1" t="inlineStr">
        <is>
          <t>-38.49%</t>
        </is>
      </c>
      <c r="N7270" s="7" t="n"/>
      <c r="O7270" t="n">
        <v>4.9</v>
      </c>
      <c r="P7270" t="n">
        <v>2839</v>
      </c>
      <c r="R7270" t="inlineStr">
        <is>
          <t>InStock</t>
        </is>
      </c>
      <c r="S7270" t="inlineStr">
        <is>
          <t>69.98</t>
        </is>
      </c>
      <c r="T7270" t="inlineStr">
        <is>
          <t>4094849613924</t>
        </is>
      </c>
    </row>
    <row r="7271" hidden="1" ht="15.75" customHeight="1">
      <c r="A7271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7271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7271" t="inlineStr">
        <is>
          <t>Klein Tools 646-7/16M 7/16-Inch Magnetic Tip Nut Driver 6-Inch Shaft</t>
        </is>
      </c>
      <c r="D7271" t="inlineStr">
        <is>
          <t>Sabre Tools 7/16 Inch Impact Magnetic Nut Driver – 6 Inch Length, 1/4 Inch Hex Shank, Magnetic Socket Tip (7/16” SAE)</t>
        </is>
      </c>
      <c r="E7271" s="2">
        <f>HYPERLINK("https://www.amazon.com/Sabre-Tools-Impact-Magnetic-Driver/dp/B0973C6NGD/ref=sr_1_5?keywords=Klein+Tools+646-7%2F16M+7%2F16-Inch+Magnetic+Tip+Nut+Driver+6-Inch+Shaft&amp;qid=1694735353&amp;sr=8-5", "https://www.amazon.com/Sabre-Tools-Impact-Magnetic-Driver/dp/B0973C6NGD/ref=sr_1_5?keywords=Klein+Tools+646-7%2F16M+7%2F16-Inch+Magnetic+Tip+Nut+Driver+6-Inch+Shaft&amp;qid=1694735353&amp;sr=8-5")</f>
        <v/>
      </c>
      <c r="F7271" t="inlineStr">
        <is>
          <t>B0973C6NGD</t>
        </is>
      </c>
      <c r="G7271">
        <f>_xludf.IMAGE("https://edmondsonsupply.com/cdn/shop/products/646-5-16m_906faaaa-dd9e-40e4-bce3-8174c2b127b5.jpg?v=1587146594")</f>
        <v/>
      </c>
      <c r="H7271">
        <f>_xludf.IMAGE("https://m.media-amazon.com/images/I/61-r7LcMESL._AC_UL320_.jpg")</f>
        <v/>
      </c>
      <c r="K7271" t="inlineStr">
        <is>
          <t>12.99</t>
        </is>
      </c>
      <c r="L7271" t="n">
        <v>7.99</v>
      </c>
      <c r="M7271" s="1" t="inlineStr">
        <is>
          <t>-38.49%</t>
        </is>
      </c>
      <c r="N7271" s="1" t="n"/>
      <c r="O7271" t="n">
        <v>4.6</v>
      </c>
      <c r="P7271" t="n">
        <v>404</v>
      </c>
      <c r="R7271" t="inlineStr">
        <is>
          <t>InStock</t>
        </is>
      </c>
      <c r="S7271" t="inlineStr">
        <is>
          <t>19.74</t>
        </is>
      </c>
      <c r="T7271" t="inlineStr">
        <is>
          <t>4461840171108</t>
        </is>
      </c>
    </row>
    <row r="7272" ht="87" customHeight="1">
      <c r="A7272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272" s="2">
        <f>HYPERLINK("https://edmondsonsupply.com/products/klein-tools-32307-27-in-1-multi-bit-tamperproof-screwdriver", "https://edmondsonsupply.com/products/klein-tools-32307-27-in-1-multi-bit-tamperproof-screwdriver")</f>
        <v/>
      </c>
      <c r="C7272" t="inlineStr">
        <is>
          <t>Klein Tools 32307 27-in-1 Multi-Bit Tamperproof Screwdriver</t>
        </is>
      </c>
      <c r="D7272" t="inlineStr">
        <is>
          <t>Klein Tools 32559 Multi-bit Screwdriver / Nut Driver, Extended Reach 6-in-1 Tool with Nut Driver, Phillips and Slotted Bits</t>
        </is>
      </c>
      <c r="E7272" s="2">
        <f>HYPERLINK("https://www.amazon.com/Multibit-Screwdriver-Klein-Tools-32559/dp/B005FQDHDG/ref=sr_1_28?keywords=Klein+Tools+32307+27-in-1+Multi-Bit+Tamperproof+Screwdriver&amp;qid=1694735165&amp;sr=8-28", "https://www.amazon.com/Multibit-Screwdriver-Klein-Tools-32559/dp/B005FQDHDG/ref=sr_1_28?keywords=Klein+Tools+32307+27-in-1+Multi-Bit+Tamperproof+Screwdriver&amp;qid=1694735165&amp;sr=8-28")</f>
        <v/>
      </c>
      <c r="F7272" t="inlineStr">
        <is>
          <t>B005FQDHDG</t>
        </is>
      </c>
      <c r="G7272">
        <f>_xlfn.IMAGE("https://edmondsonsupply.com/cdn/shop/products/32307.jpg?v=1647347524")</f>
        <v/>
      </c>
      <c r="H7272">
        <f>_xlfn.IMAGE("https://m.media-amazon.com/images/I/514peoSo7EL._AC_UL320_.jpg")</f>
        <v/>
      </c>
      <c r="K7272" t="inlineStr">
        <is>
          <t>25.97</t>
        </is>
      </c>
      <c r="L7272" t="n">
        <v>15.97</v>
      </c>
      <c r="M7272" s="1" t="inlineStr">
        <is>
          <t>-38.51%</t>
        </is>
      </c>
      <c r="N7272" s="7" t="n"/>
      <c r="O7272" t="n">
        <v>4.8</v>
      </c>
      <c r="P7272" t="n">
        <v>2200</v>
      </c>
      <c r="R7272" t="inlineStr">
        <is>
          <t>InStock</t>
        </is>
      </c>
      <c r="S7272" t="inlineStr">
        <is>
          <t>36.38</t>
        </is>
      </c>
      <c r="T7272" t="inlineStr">
        <is>
          <t>7637266366680</t>
        </is>
      </c>
    </row>
    <row r="7273" ht="87" customHeight="1">
      <c r="A7273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273" s="2">
        <f>HYPERLINK("https://edmondsonsupply.com/products/klein-tools-32307-27-in-1-multi-bit-tamperproof-screwdriver", "https://edmondsonsupply.com/products/klein-tools-32307-27-in-1-multi-bit-tamperproof-screwdriver")</f>
        <v/>
      </c>
      <c r="C7273" t="inlineStr">
        <is>
          <t>Klein Tools 32307 27-in-1 Multi-Bit Tamperproof Screwdriver</t>
        </is>
      </c>
      <c r="D7273" t="inlineStr">
        <is>
          <t>Klein Tools 32527 Multi-Bit Screwdriver / Nut Driver, 11-in-1 with Phillips, Slotted, Square, and Schrader Bits and Nut Drivers</t>
        </is>
      </c>
      <c r="E7273" s="2">
        <f>HYPERLINK("https://www.amazon.com/Screwdriver-Phillips-Klein-Tools-32527/dp/B004RIDKHQ/ref=sr_1_13?keywords=Klein+Tools+32307+27-in-1+Multi-Bit+Tamperproof+Screwdriver&amp;qid=1694735165&amp;sr=8-13", "https://www.amazon.com/Screwdriver-Phillips-Klein-Tools-32527/dp/B004RIDKHQ/ref=sr_1_13?keywords=Klein+Tools+32307+27-in-1+Multi-Bit+Tamperproof+Screwdriver&amp;qid=1694735165&amp;sr=8-13")</f>
        <v/>
      </c>
      <c r="F7273" t="inlineStr">
        <is>
          <t>B004RIDKHQ</t>
        </is>
      </c>
      <c r="G7273">
        <f>_xlfn.IMAGE("https://edmondsonsupply.com/cdn/shop/products/32307.jpg?v=1647347524")</f>
        <v/>
      </c>
      <c r="H7273">
        <f>_xlfn.IMAGE("https://m.media-amazon.com/images/I/41cLxI0Af5L._AC_UL320_.jpg")</f>
        <v/>
      </c>
      <c r="K7273" t="inlineStr">
        <is>
          <t>25.97</t>
        </is>
      </c>
      <c r="L7273" t="n">
        <v>15.97</v>
      </c>
      <c r="M7273" s="1" t="inlineStr">
        <is>
          <t>-38.51%</t>
        </is>
      </c>
      <c r="N7273" s="7" t="n"/>
      <c r="O7273" t="n">
        <v>4.8</v>
      </c>
      <c r="P7273" t="n">
        <v>4201</v>
      </c>
      <c r="R7273" t="inlineStr">
        <is>
          <t>InStock</t>
        </is>
      </c>
      <c r="S7273" t="inlineStr">
        <is>
          <t>36.38</t>
        </is>
      </c>
      <c r="T7273" t="inlineStr">
        <is>
          <t>7637266366680</t>
        </is>
      </c>
    </row>
    <row r="7274" ht="87" customHeight="1">
      <c r="A7274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274" s="2">
        <f>HYPERLINK("https://edmondsonsupply.com/products/klein-tools-32307-27-in-1-multi-bit-tamperproof-screwdriver", "https://edmondsonsupply.com/products/klein-tools-32307-27-in-1-multi-bit-tamperproof-screwdriver")</f>
        <v/>
      </c>
      <c r="C7274" t="inlineStr">
        <is>
          <t>Klein Tools 32307 27-in-1 Multi-Bit Tamperproof Screwdriver</t>
        </is>
      </c>
      <c r="D7274" t="inlineStr">
        <is>
          <t>Klein Tools 32613 Multi-Bit Screwdriver, Precision HVAC 3-in-1 Pocket Screwdriver with Phillips, Slotted and Schrader Bits</t>
        </is>
      </c>
      <c r="E7274" s="2">
        <f>HYPERLINK("https://www.amazon.com/Klein-Tools-32613-Screwdriver-Precision/dp/B07PMDR8QG/ref=sr_1_57?keywords=Klein+Tools+32307+27-in-1+Multi-Bit+Tamperproof+Screwdriver&amp;qid=1694735165&amp;sr=8-57", "https://www.amazon.com/Klein-Tools-32613-Screwdriver-Precision/dp/B07PMDR8QG/ref=sr_1_57?keywords=Klein+Tools+32307+27-in-1+Multi-Bit+Tamperproof+Screwdriver&amp;qid=1694735165&amp;sr=8-57")</f>
        <v/>
      </c>
      <c r="F7274" t="inlineStr">
        <is>
          <t>B07PMDR8QG</t>
        </is>
      </c>
      <c r="G7274">
        <f>_xlfn.IMAGE("https://edmondsonsupply.com/cdn/shop/products/32307.jpg?v=1647347524")</f>
        <v/>
      </c>
      <c r="H7274">
        <f>_xlfn.IMAGE("https://m.media-amazon.com/images/I/41ymPfw5umL._AC_UL320_.jpg")</f>
        <v/>
      </c>
      <c r="K7274" t="inlineStr">
        <is>
          <t>25.97</t>
        </is>
      </c>
      <c r="L7274" t="n">
        <v>15.97</v>
      </c>
      <c r="M7274" s="1" t="inlineStr">
        <is>
          <t>-38.51%</t>
        </is>
      </c>
      <c r="N7274" s="7" t="n"/>
      <c r="O7274" t="n">
        <v>4.8</v>
      </c>
      <c r="P7274" t="n">
        <v>2282</v>
      </c>
      <c r="R7274" t="inlineStr">
        <is>
          <t>InStock</t>
        </is>
      </c>
      <c r="S7274" t="inlineStr">
        <is>
          <t>36.38</t>
        </is>
      </c>
      <c r="T7274" t="inlineStr">
        <is>
          <t>7637266366680</t>
        </is>
      </c>
    </row>
    <row r="7275" ht="87" customHeight="1">
      <c r="A7275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275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275" t="inlineStr">
        <is>
          <t>Diablo Tools DMAPL4040-P25 3/16 in. x 4 in. x 6 in. Rebar Demon™ SDS-Plus 4-Cutter Full Carbide Head Hammer Bit (25-Pack)</t>
        </is>
      </c>
      <c r="D7275" t="inlineStr">
        <is>
          <t>Diablo DMAMX1140 3/4 in. x 16 in. x 21 in. Rebar Demon™ SDS-Max 4-Cutter Full Carbide Head Hammer Bit</t>
        </is>
      </c>
      <c r="E7275" s="2">
        <f>HYPERLINK("https://www.amazon.com/Diablo-SDS-Max-4-Cutter-Carbide-Hammer/dp/B089KWP4WK/ref=sr_1_42?keywords=Diablo+Tools+DMAPL4040-P25+3%2F16+in.+x+4+in.+x+6+in.+Rebar+Demon%E2%84%A2+SDS-Plus+4-Cutter+Full+Carbide+Head+Hammer+Bit+%2825-Pack%29&amp;qid=1694735299&amp;sr=8-42", "https://www.amazon.com/Diablo-SDS-Max-4-Cutter-Carbide-Hammer/dp/B089KWP4WK/ref=sr_1_42?keywords=Diablo+Tools+DMAPL4040-P25+3%2F16+in.+x+4+in.+x+6+in.+Rebar+Demon%E2%84%A2+SDS-Plus+4-Cutter+Full+Carbide+Head+Hammer+Bit+%2825-Pack%29&amp;qid=1694735299&amp;sr=8-42")</f>
        <v/>
      </c>
      <c r="F7275" t="inlineStr">
        <is>
          <t>B089KWP4WK</t>
        </is>
      </c>
      <c r="G7275">
        <f>_xlfn.IMAGE("https://edmondsonsupply.com/cdn/shop/products/DMAPL4040-P25.jpg?v=1633030349")</f>
        <v/>
      </c>
      <c r="H7275">
        <f>_xlfn.IMAGE("https://m.media-amazon.com/images/I/61yWWNP1xrL._AC_UL320_.jpg")</f>
        <v/>
      </c>
      <c r="K7275" t="inlineStr">
        <is>
          <t>81.97</t>
        </is>
      </c>
      <c r="L7275" t="n">
        <v>50.26</v>
      </c>
      <c r="M7275" s="1" t="inlineStr">
        <is>
          <t>-38.68%</t>
        </is>
      </c>
      <c r="N7275" s="7" t="n"/>
      <c r="O7275" t="n">
        <v>5</v>
      </c>
      <c r="P7275" t="n">
        <v>9</v>
      </c>
      <c r="R7275" t="inlineStr">
        <is>
          <t>InStock</t>
        </is>
      </c>
      <c r="S7275" t="inlineStr">
        <is>
          <t>117.4</t>
        </is>
      </c>
      <c r="T7275" t="inlineStr">
        <is>
          <t>5283055206568</t>
        </is>
      </c>
    </row>
    <row r="7276" ht="87" customHeight="1">
      <c r="A7276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276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276" t="inlineStr">
        <is>
          <t>Diablo Tools DMAMX1110 5/8 in. x 24 in. x 29 in. Rebar Demon™ SDS-Max 4-Cutter Full Carbide Head Hammer Bit</t>
        </is>
      </c>
      <c r="D7276" t="inlineStr">
        <is>
          <t>Diablo by Freud DMAMX1040 1/2 in. x 24 in. x 29 in. Rebar Demon™ SDS-Max 4-Cutter Full Carbide Head</t>
        </is>
      </c>
      <c r="E7276" s="2">
        <f>HYPERLINK("https://www.amazon.com/Diablo-SDS-Max-4-Cutter-Carbide-Hammer/dp/B089LG76YL/ref=sr_1_6?keywords=Diablo+Tools+DMAMX1110+5%2F8+in.+x+24+in.+x+29+in.+Rebar+Demon%E2%84%A2+SDS-Max+4-Cutter+Full+Carbide+Head+Hammer+Bit&amp;qid=1694735304&amp;sr=8-6", "https://www.amazon.com/Diablo-SDS-Max-4-Cutter-Carbide-Hammer/dp/B089LG76YL/ref=sr_1_6?keywords=Diablo+Tools+DMAMX1110+5%2F8+in.+x+24+in.+x+29+in.+Rebar+Demon%E2%84%A2+SDS-Max+4-Cutter+Full+Carbide+Head+Hammer+Bit&amp;qid=1694735304&amp;sr=8-6")</f>
        <v/>
      </c>
      <c r="F7276" t="inlineStr">
        <is>
          <t>B089LG76YL</t>
        </is>
      </c>
      <c r="G7276">
        <f>_xlfn.IMAGE("https://edmondsonsupply.com/cdn/shop/products/DMAMX1110_1.jpg?v=1633030364")</f>
        <v/>
      </c>
      <c r="H7276">
        <f>_xlfn.IMAGE("https://m.media-amazon.com/images/I/61Q8G2EXOxL._AC_UL320_.jpg")</f>
        <v/>
      </c>
      <c r="K7276" t="inlineStr">
        <is>
          <t>89.97</t>
        </is>
      </c>
      <c r="L7276" t="n">
        <v>55</v>
      </c>
      <c r="M7276" s="1" t="inlineStr">
        <is>
          <t>-38.87%</t>
        </is>
      </c>
      <c r="N7276" s="7" t="n"/>
      <c r="O7276" t="n">
        <v>5</v>
      </c>
      <c r="P7276" t="n">
        <v>9</v>
      </c>
      <c r="R7276" t="inlineStr">
        <is>
          <t>InStock</t>
        </is>
      </c>
      <c r="S7276" t="inlineStr">
        <is>
          <t>115.5</t>
        </is>
      </c>
      <c r="T7276" t="inlineStr">
        <is>
          <t>5289159655592</t>
        </is>
      </c>
    </row>
    <row r="7277" ht="87" customHeight="1">
      <c r="A7277" s="2">
        <f>HYPERLINK("https://edmondsonsupply.com/collections/electricians-tools/products/wiha-tools-66991-13-piece-magicring-ball-end-hex-l-key-set-inch", "https://edmondsonsupply.com/collections/electricians-tools/products/wiha-tools-66991-13-piece-magicring-ball-end-hex-l-key-set-inch")</f>
        <v/>
      </c>
      <c r="B7277" s="2">
        <f>HYPERLINK("https://edmondsonsupply.com/products/wiha-tools-66991-13-piece-magicring-ball-end-hex-l-key-set-inch", "https://edmondsonsupply.com/products/wiha-tools-66991-13-piece-magicring-ball-end-hex-l-key-set-inch")</f>
        <v/>
      </c>
      <c r="C7277" t="inlineStr">
        <is>
          <t>Wiha Tools 66991 13 Piece MagicRing Ball End Hex L-Key Set - Inch</t>
        </is>
      </c>
      <c r="D7277" t="inlineStr">
        <is>
          <t>Wiha 36991 13-Piece Ball End Long Hex-Inch L-Key Set in ProStar Holder</t>
        </is>
      </c>
      <c r="E7277" s="2">
        <f>HYPERLINK("https://www.amazon.com/Wiha-36991-13-Piece-Hex-Inch-ProStar/dp/B000LSJGQU/ref=sr_1_32?keywords=Wiha+Tools+66991+13+Piece+MagicRing+Ball+End+Hex+L-Key+Set+-+Inch&amp;qid=1694734990&amp;sr=8-32", "https://www.amazon.com/Wiha-36991-13-Piece-Hex-Inch-ProStar/dp/B000LSJGQU/ref=sr_1_32?keywords=Wiha+Tools+66991+13+Piece+MagicRing+Ball+End+Hex+L-Key+Set+-+Inch&amp;qid=1694734990&amp;sr=8-32")</f>
        <v/>
      </c>
      <c r="F7277" t="inlineStr">
        <is>
          <t>B000LSJGQU</t>
        </is>
      </c>
      <c r="G7277">
        <f>_xlfn.IMAGE("https://edmondsonsupply.com/cdn/shop/files/203e9943d7bc6da0913f39b14430d97570f6257a_1000x_25f5521b-5db2-4e3a-9496-a87eed5e7da1.webp?v=1690841742")</f>
        <v/>
      </c>
      <c r="H7277">
        <f>_xlfn.IMAGE("https://m.media-amazon.com/images/I/611Dt3dWdBL._AC_UL320_.jpg")</f>
        <v/>
      </c>
      <c r="K7277" t="inlineStr">
        <is>
          <t>48.61</t>
        </is>
      </c>
      <c r="L7277" t="n">
        <v>29.71</v>
      </c>
      <c r="M7277" s="1" t="inlineStr">
        <is>
          <t>-38.88%</t>
        </is>
      </c>
      <c r="N7277" s="7" t="n"/>
      <c r="O7277" t="n">
        <v>4.2</v>
      </c>
      <c r="P7277" t="n">
        <v>20</v>
      </c>
      <c r="R7277" t="inlineStr">
        <is>
          <t>InStock</t>
        </is>
      </c>
      <c r="S7277" t="inlineStr">
        <is>
          <t>64.81</t>
        </is>
      </c>
      <c r="T7277" t="inlineStr">
        <is>
          <t>8023273668824</t>
        </is>
      </c>
    </row>
    <row r="7278" hidden="1" ht="15.75" customHeight="1">
      <c r="A7278" s="2">
        <f>HYPERLINK("https://edmondsonsupply.com/collections/electricians-tools/products/klein-tools-635-1-2-1-2-inch-heavy-duty-nut-driver", "https://edmondsonsupply.com/collections/electricians-tools/products/klein-tools-635-1-2-1-2-inch-heavy-duty-nut-driver")</f>
        <v/>
      </c>
      <c r="B7278" s="2">
        <f>HYPERLINK("https://edmondsonsupply.com/products/klein-tools-635-1-2-1-2-inch-heavy-duty-nut-driver", "https://edmondsonsupply.com/products/klein-tools-635-1-2-1-2-inch-heavy-duty-nut-driver")</f>
        <v/>
      </c>
      <c r="C7278" t="inlineStr">
        <is>
          <t>Klein Tools 635-1/2 1/2-Inch Heavy-Duty Nut Driver</t>
        </is>
      </c>
      <c r="D7278" t="inlineStr">
        <is>
          <t>Klein Tools 630-1/2 1/2-Inch Nut Driver, 3-Inch Shaft, Cushion-Grip</t>
        </is>
      </c>
      <c r="E7278" s="2">
        <f>HYPERLINK("https://www.amazon.com/2-Inch-Cushion-Grip-Klein-Tools-630-1/dp/B000BQ7R7W/ref=sr_1_6?keywords=Klein+Tools+635-1%2F2+1%2F2-Inch+Heavy-Duty+Nut+Driver&amp;qid=1694735353&amp;sr=8-6", "https://www.amazon.com/2-Inch-Cushion-Grip-Klein-Tools-630-1/dp/B000BQ7R7W/ref=sr_1_6?keywords=Klein+Tools+635-1%2F2+1%2F2-Inch+Heavy-Duty+Nut+Driver&amp;qid=1694735353&amp;sr=8-6")</f>
        <v/>
      </c>
      <c r="F7278" t="inlineStr">
        <is>
          <t>B000BQ7R7W</t>
        </is>
      </c>
      <c r="G7278">
        <f>_xludf.IMAGE("https://edmondsonsupply.com/cdn/shop/products/635-1-2.jpg?v=1587147726")</f>
        <v/>
      </c>
      <c r="H7278">
        <f>_xludf.IMAGE("https://m.media-amazon.com/images/I/515pcWc9GiL._AC_UL320_.jpg")</f>
        <v/>
      </c>
      <c r="K7278" t="inlineStr">
        <is>
          <t>14.99</t>
        </is>
      </c>
      <c r="L7278" t="n">
        <v>9.130000000000001</v>
      </c>
      <c r="M7278" s="1" t="inlineStr">
        <is>
          <t>-39.09%</t>
        </is>
      </c>
      <c r="N7278" s="1" t="n"/>
      <c r="O7278" t="n">
        <v>4.8</v>
      </c>
      <c r="P7278" t="n">
        <v>2069</v>
      </c>
      <c r="R7278" t="inlineStr">
        <is>
          <t>InStock</t>
        </is>
      </c>
      <c r="S7278" t="inlineStr">
        <is>
          <t>22.78</t>
        </is>
      </c>
      <c r="T7278" t="inlineStr">
        <is>
          <t>4473296945252</t>
        </is>
      </c>
    </row>
    <row r="7279" hidden="1" ht="15.75" customHeight="1">
      <c r="A7279" s="2">
        <f>HYPERLINK("https://edmondsonsupply.com/collections/electricians-tools/products/klein-tools-vdv110-095-coax-cable-radial-stripper", "https://edmondsonsupply.com/collections/electricians-tools/products/klein-tools-vdv110-095-coax-cable-radial-stripper")</f>
        <v/>
      </c>
      <c r="B7279" s="2">
        <f>HYPERLINK("https://edmondsonsupply.com/products/klein-tools-vdv110-095-coax-cable-radial-stripper", "https://edmondsonsupply.com/products/klein-tools-vdv110-095-coax-cable-radial-stripper")</f>
        <v/>
      </c>
      <c r="C7279" t="inlineStr">
        <is>
          <t>Klein Tools VDV110-095 Coax Cable Radial Stripper</t>
        </is>
      </c>
      <c r="D7279" t="inlineStr">
        <is>
          <t>Klein Tools VDV110-020 Radial Stripper Cartridge Mini-Coaxial</t>
        </is>
      </c>
      <c r="E7279" s="2">
        <f>HYPERLINK("https://www.amazon.com/Cartridge-Mini-Coaxial-Klein-Tools-VDV110-020/dp/B00788IM1G/ref=sr_1_3?keywords=Klein+Tools+VDV110-095+Coax+Cable+Radial+Stripper&amp;qid=1694735276&amp;sr=8-3", "https://www.amazon.com/Cartridge-Mini-Coaxial-Klein-Tools-VDV110-020/dp/B00788IM1G/ref=sr_1_3?keywords=Klein+Tools+VDV110-095+Coax+Cable+Radial+Stripper&amp;qid=1694735276&amp;sr=8-3")</f>
        <v/>
      </c>
      <c r="F7279" t="inlineStr">
        <is>
          <t>B00788IM1G</t>
        </is>
      </c>
      <c r="G7279">
        <f>_xludf.IMAGE("https://edmondsonsupply.com/cdn/shop/products/vdv110-095.jpg?v=1633030592")</f>
        <v/>
      </c>
      <c r="H7279">
        <f>_xludf.IMAGE("https://m.media-amazon.com/images/I/61rvMLOm8UL._AC_UL320_.jpg")</f>
        <v/>
      </c>
      <c r="K7279" t="inlineStr">
        <is>
          <t>17.99</t>
        </is>
      </c>
      <c r="L7279" t="n">
        <v>10.94</v>
      </c>
      <c r="M7279" s="1" t="inlineStr">
        <is>
          <t>-39.19%</t>
        </is>
      </c>
      <c r="N7279" s="1" t="n"/>
      <c r="O7279" t="n">
        <v>4.1</v>
      </c>
      <c r="P7279" t="n">
        <v>7</v>
      </c>
      <c r="R7279" t="inlineStr">
        <is>
          <t>InStock</t>
        </is>
      </c>
      <c r="S7279" t="inlineStr">
        <is>
          <t>25.74</t>
        </is>
      </c>
      <c r="T7279" t="inlineStr">
        <is>
          <t>5604615880872</t>
        </is>
      </c>
    </row>
    <row r="7280" hidden="1" ht="15.75" customHeight="1">
      <c r="A7280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7280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7280" t="inlineStr">
        <is>
          <t>Diablo Tools DOU250BW 2-1/2 in. Universal Fit Bi-Metal Oscillating Blade for Nail-Embedded Wood</t>
        </is>
      </c>
      <c r="D7280" t="inlineStr">
        <is>
          <t>Diablo DOU125BW 1-1/4 in. Universal Fit Bi-Metal Oscillating Blade for Nail-Embedded Wood</t>
        </is>
      </c>
      <c r="E7280" s="2">
        <f>HYPERLINK("https://www.amazon.com/Diablo-Universal-Bi-Metal-Oscillating-Nail-Embedded/dp/B089LDN2LT/ref=sr_1_2?keywords=Diablo+Tools+DOU250BW+2-1%2F2+in.+Universal+Fit+Bi-Metal+Oscillating+Blade+for+Nail-Embedded+Wood&amp;qid=1694734995&amp;sr=8-2", "https://www.amazon.com/Diablo-Universal-Bi-Metal-Oscillating-Nail-Embedded/dp/B089LDN2LT/ref=sr_1_2?keywords=Diablo+Tools+DOU250BW+2-1%2F2+in.+Universal+Fit+Bi-Metal+Oscillating+Blade+for+Nail-Embedded+Wood&amp;qid=1694734995&amp;sr=8-2")</f>
        <v/>
      </c>
      <c r="F7280" t="inlineStr">
        <is>
          <t>B089LDN2LT</t>
        </is>
      </c>
      <c r="G7280">
        <f>_xludf.IMAGE("https://edmondsonsupply.com/cdn/shop/files/xcched1uye7bv2s0ryod.webp?v=1685717397")</f>
        <v/>
      </c>
      <c r="H7280">
        <f>_xludf.IMAGE("https://m.media-amazon.com/images/I/613ig7mNjfL._AC_UL320_.jpg")</f>
        <v/>
      </c>
      <c r="K7280" t="inlineStr">
        <is>
          <t>19.97</t>
        </is>
      </c>
      <c r="L7280" t="n">
        <v>12.14</v>
      </c>
      <c r="M7280" s="1" t="inlineStr">
        <is>
          <t>-39.21%</t>
        </is>
      </c>
      <c r="N7280" s="1" t="n"/>
      <c r="O7280" t="n">
        <v>4.8</v>
      </c>
      <c r="P7280" t="n">
        <v>12</v>
      </c>
      <c r="R7280" t="inlineStr">
        <is>
          <t>InStock</t>
        </is>
      </c>
      <c r="S7280" t="inlineStr">
        <is>
          <t>24.85</t>
        </is>
      </c>
      <c r="T7280" t="inlineStr">
        <is>
          <t>7999559598296</t>
        </is>
      </c>
    </row>
    <row r="7281" ht="87" customHeight="1">
      <c r="A7281" s="2">
        <f>HYPERLINK("https://edmondsonsupply.com/collections/electricians-tools/products/diablo-tools-dou275rcgp-2-3-4-in-universal-fit-carbide-oscillating-blade-for-general-purpose-cuts", "https://edmondsonsupply.com/collections/electricians-tools/products/diablo-tools-dou275rcgp-2-3-4-in-universal-fit-carbide-oscillating-blade-for-general-purpose-cuts")</f>
        <v/>
      </c>
      <c r="B7281" s="2">
        <f>HYPERLINK("https://edmondsonsupply.com/products/diablo-tools-dou275rcgp-2-3-4-in-universal-fit-carbide-oscillating-blade-for-general-purpose-cuts", "https://edmondsonsupply.com/products/diablo-tools-dou275rcgp-2-3-4-in-universal-fit-carbide-oscillating-blade-for-general-purpose-cuts")</f>
        <v/>
      </c>
      <c r="C7281" t="inlineStr">
        <is>
          <t>Diablo Tools DOU275RCGP 2-3/4 in. Universal Fit Carbide Oscillating Blade for General Purpose Cuts</t>
        </is>
      </c>
      <c r="D7281" t="inlineStr">
        <is>
          <t>Diablo 3-1/2" Universal Fit Bi-Metal Oscillating Blade for General Purpose Cuts</t>
        </is>
      </c>
      <c r="E7281" s="2">
        <f>HYPERLINK("https://www.amazon.com/Diablo-DOU350RBGP-Universal-Bi-Metal-Oscillating/dp/B089LLG8ZQ/ref=sr_1_7?keywords=Diablo+Tools+DOU275RCGP+2-3%2F4+in.+Universal+Fit+Carbide+Oscillating+Blade+for+General+Purpose+Cuts&amp;qid=1694734993&amp;sr=8-7", "https://www.amazon.com/Diablo-DOU350RBGP-Universal-Bi-Metal-Oscillating/dp/B089LLG8ZQ/ref=sr_1_7?keywords=Diablo+Tools+DOU275RCGP+2-3%2F4+in.+Universal+Fit+Carbide+Oscillating+Blade+for+General+Purpose+Cuts&amp;qid=1694734993&amp;sr=8-7")</f>
        <v/>
      </c>
      <c r="F7281" t="inlineStr">
        <is>
          <t>B089LLG8ZQ</t>
        </is>
      </c>
      <c r="G7281">
        <f>_xlfn.IMAGE("https://edmondsonsupply.com/cdn/shop/files/kukkli8nylq54bgtz0o5.webp?v=1685720266")</f>
        <v/>
      </c>
      <c r="H7281">
        <f>_xlfn.IMAGE("https://m.media-amazon.com/images/I/71xBW7MA1oL._AC_UL320_.jpg")</f>
        <v/>
      </c>
      <c r="K7281" t="inlineStr">
        <is>
          <t>29.97</t>
        </is>
      </c>
      <c r="L7281" t="n">
        <v>18.2</v>
      </c>
      <c r="M7281" s="1" t="inlineStr">
        <is>
          <t>-39.27%</t>
        </is>
      </c>
      <c r="N7281" s="7" t="n"/>
      <c r="O7281" t="n">
        <v>4.4</v>
      </c>
      <c r="P7281" t="n">
        <v>8</v>
      </c>
      <c r="R7281" t="inlineStr">
        <is>
          <t>InStock</t>
        </is>
      </c>
      <c r="S7281" t="inlineStr">
        <is>
          <t>37.28</t>
        </is>
      </c>
      <c r="T7281" t="inlineStr">
        <is>
          <t>7999583125720</t>
        </is>
      </c>
    </row>
    <row r="7282" hidden="1" ht="15.75" customHeight="1">
      <c r="A7282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7282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7282" t="inlineStr">
        <is>
          <t>Klein Tools 635-1/4 1/4-Inch Nut Driver, Magnetic Tip, 4-Inch Shaft</t>
        </is>
      </c>
      <c r="D7282" t="inlineStr">
        <is>
          <t>Klein Tools S8M 1/4-Inch Magnetic Nut Driver with 3-Inch Solid Shaft and Comfordome Handle</t>
        </is>
      </c>
      <c r="E7282" s="2">
        <f>HYPERLINK("https://www.amazon.com/Magnetic-Comfordome-Klein-Tools-S8M/dp/B00093GCW8/ref=sr_1_2?keywords=Klein+Tools+635-1%2F4+1%2F4-Inch+Nut+Driver%2C+Magnetic+Tip%2C+4-Inch+Shaft&amp;qid=1694735101&amp;sr=8-2", "https://www.amazon.com/Magnetic-Comfordome-Klein-Tools-S8M/dp/B00093GCW8/ref=sr_1_2?keywords=Klein+Tools+635-1%2F4+1%2F4-Inch+Nut+Driver%2C+Magnetic+Tip%2C+4-Inch+Shaft&amp;qid=1694735101&amp;sr=8-2")</f>
        <v/>
      </c>
      <c r="F7282" t="inlineStr">
        <is>
          <t>B00093GCW8</t>
        </is>
      </c>
      <c r="G7282">
        <f>_xludf.IMAGE("https://edmondsonsupply.com/cdn/shop/products/635-1-4.jpg?v=1666811523")</f>
        <v/>
      </c>
      <c r="H7282">
        <f>_xludf.IMAGE("https://m.media-amazon.com/images/I/31hOuSIKl7L._AC_UL320_.jpg")</f>
        <v/>
      </c>
      <c r="K7282" t="inlineStr">
        <is>
          <t>11.99</t>
        </is>
      </c>
      <c r="L7282" t="n">
        <v>7.28</v>
      </c>
      <c r="M7282" s="1" t="inlineStr">
        <is>
          <t>-39.28%</t>
        </is>
      </c>
      <c r="N7282" s="1" t="n"/>
      <c r="O7282" t="n">
        <v>3.8</v>
      </c>
      <c r="P7282" t="n">
        <v>8</v>
      </c>
      <c r="R7282" t="inlineStr">
        <is>
          <t>InStock</t>
        </is>
      </c>
      <c r="S7282" t="inlineStr">
        <is>
          <t>18.18</t>
        </is>
      </c>
      <c r="T7282" t="inlineStr">
        <is>
          <t>7866294010072</t>
        </is>
      </c>
    </row>
    <row r="7283" hidden="1" ht="15.75" customHeight="1">
      <c r="A7283" s="2">
        <f>HYPERLINK("https://edmondsonsupply.com/collections/electricians-tools/products/klein-tools-635-1-4-1-4-inch-nut-driver-magnetic-tip-4-inch-shaft", "https://edmondsonsupply.com/collections/electricians-tools/products/klein-tools-635-1-4-1-4-inch-nut-driver-magnetic-tip-4-inch-shaft")</f>
        <v/>
      </c>
      <c r="B7283" s="2">
        <f>HYPERLINK("https://edmondsonsupply.com/products/klein-tools-635-1-4-1-4-inch-nut-driver-magnetic-tip-4-inch-shaft", "https://edmondsonsupply.com/products/klein-tools-635-1-4-1-4-inch-nut-driver-magnetic-tip-4-inch-shaft")</f>
        <v/>
      </c>
      <c r="C7283" t="inlineStr">
        <is>
          <t>Klein Tools 635-1/4 1/4-Inch Nut Driver, Magnetic Tip, 4-Inch Shaft</t>
        </is>
      </c>
      <c r="D7283" t="inlineStr">
        <is>
          <t>Klein Tools S8 1/4-Inch Hollow Shaft Nut Driver, 3-Inch Shaft</t>
        </is>
      </c>
      <c r="E7283" s="2">
        <f>HYPERLINK("https://www.amazon.com/Klein-S8-4-Inch-Hollow-Shank-Driver/dp/B0000302VS/ref=sr_1_8?keywords=Klein+Tools+635-1%2F4+1%2F4-Inch+Nut+Driver%2C+Magnetic+Tip%2C+4-Inch+Shaft&amp;qid=1694735101&amp;sr=8-8", "https://www.amazon.com/Klein-S8-4-Inch-Hollow-Shank-Driver/dp/B0000302VS/ref=sr_1_8?keywords=Klein+Tools+635-1%2F4+1%2F4-Inch+Nut+Driver%2C+Magnetic+Tip%2C+4-Inch+Shaft&amp;qid=1694735101&amp;sr=8-8")</f>
        <v/>
      </c>
      <c r="F7283" t="inlineStr">
        <is>
          <t>B0000302VS</t>
        </is>
      </c>
      <c r="G7283">
        <f>_xludf.IMAGE("https://edmondsonsupply.com/cdn/shop/products/635-1-4.jpg?v=1666811523")</f>
        <v/>
      </c>
      <c r="H7283">
        <f>_xludf.IMAGE("https://m.media-amazon.com/images/I/41LI6wTa36L._AC_UL320_.jpg")</f>
        <v/>
      </c>
      <c r="K7283" t="inlineStr">
        <is>
          <t>11.99</t>
        </is>
      </c>
      <c r="L7283" t="n">
        <v>7.28</v>
      </c>
      <c r="M7283" s="1" t="inlineStr">
        <is>
          <t>-39.28%</t>
        </is>
      </c>
      <c r="N7283" s="1" t="n"/>
      <c r="O7283" t="n">
        <v>4.5</v>
      </c>
      <c r="P7283" t="n">
        <v>224</v>
      </c>
      <c r="R7283" t="inlineStr">
        <is>
          <t>InStock</t>
        </is>
      </c>
      <c r="S7283" t="inlineStr">
        <is>
          <t>18.18</t>
        </is>
      </c>
      <c r="T7283" t="inlineStr">
        <is>
          <t>7866294010072</t>
        </is>
      </c>
    </row>
    <row r="7284" ht="87" customHeight="1">
      <c r="A7284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7284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7284" t="inlineStr">
        <is>
          <t>Diablo Tools DOU250JBW3 2-1/2 in. Universal Fit Bi-Metal Oscillating Blade for Clean Wood (3 pk)</t>
        </is>
      </c>
      <c r="D7284" t="inlineStr">
        <is>
          <t>Norske Tools NOTP273 1-1/4 inch Japanese Tooth Bi-Metal Oscillating Multi Tool Accessory Blades (3 Pack Set) Universal Fit for Cutting Wood and Hard Wood</t>
        </is>
      </c>
      <c r="E7284" s="2">
        <f>HYPERLINK("https://www.amazon.com/Norske-Tools-NOTP273-Oscillating-Accessory/dp/B07GB9QHBF/ref=sr_1_19?keywords=Diablo+Tools+DOU250JBW3+2-1%2F2+in.+Universal+Fit+Bi-Metal+Oscillating+Blade+for+Clean+Wood+%283+pk%29&amp;qid=1694734992&amp;sr=8-19", "https://www.amazon.com/Norske-Tools-NOTP273-Oscillating-Accessory/dp/B07GB9QHBF/ref=sr_1_19?keywords=Diablo+Tools+DOU250JBW3+2-1%2F2+in.+Universal+Fit+Bi-Metal+Oscillating+Blade+for+Clean+Wood+%283+pk%29&amp;qid=1694734992&amp;sr=8-19")</f>
        <v/>
      </c>
      <c r="F7284" t="inlineStr">
        <is>
          <t>B07GB9QHBF</t>
        </is>
      </c>
      <c r="G7284">
        <f>_xlfn.IMAGE("https://edmondsonsupply.com/cdn/shop/files/pycnap4eb1urn2hxvudq_1.webp?v=1685719587")</f>
        <v/>
      </c>
      <c r="H7284">
        <f>_xlfn.IMAGE("https://m.media-amazon.com/images/I/61TOLqLfwWL._AC_UL320_.jpg")</f>
        <v/>
      </c>
      <c r="K7284" t="inlineStr">
        <is>
          <t>31.32</t>
        </is>
      </c>
      <c r="L7284" t="n">
        <v>19.01</v>
      </c>
      <c r="M7284" s="1" t="inlineStr">
        <is>
          <t>-39.30%</t>
        </is>
      </c>
      <c r="N7284" s="7" t="n"/>
      <c r="O7284" t="n">
        <v>4.3</v>
      </c>
      <c r="P7284" t="n">
        <v>83</v>
      </c>
      <c r="R7284" t="inlineStr">
        <is>
          <t>InStock</t>
        </is>
      </c>
      <c r="S7284" t="inlineStr">
        <is>
          <t>49.72</t>
        </is>
      </c>
      <c r="T7284" t="inlineStr">
        <is>
          <t>7999575654616</t>
        </is>
      </c>
    </row>
    <row r="7285" hidden="1" ht="15.75" customHeight="1">
      <c r="A7285" s="2">
        <f>HYPERLINK("https://edmondsonsupply.com/collections/electricians-tools/products/klein-tools-6866ins-insulated-screwdriver-5-16-inch-cabinet-tip-6-inch-shank", "https://edmondsonsupply.com/collections/electricians-tools/products/klein-tools-6866ins-insulated-screwdriver-5-16-inch-cabinet-tip-6-inch-shank")</f>
        <v/>
      </c>
      <c r="B7285" s="2">
        <f>HYPERLINK("https://edmondsonsupply.com/products/klein-tools-6866ins-insulated-screwdriver-5-16-inch-cabinet-tip-6-inch-shank", "https://edmondsonsupply.com/products/klein-tools-6866ins-insulated-screwdriver-5-16-inch-cabinet-tip-6-inch-shank")</f>
        <v/>
      </c>
      <c r="C7285" t="inlineStr">
        <is>
          <t>Klein Tools 6866INS Insulated Screwdriver, 5/16-Inch Cabinet Tip, 6-Inch Shank</t>
        </is>
      </c>
      <c r="D7285" t="inlineStr">
        <is>
          <t>Klein Tools 600-1 5/16-Inch Flat Head Screwdriver with Cabinet Tip, 1-1/2-Inch Heavy Duty Round Shank and Cushion Grip Handle</t>
        </is>
      </c>
      <c r="E7285" s="2">
        <f>HYPERLINK("https://www.amazon.com/Klein-Tools-600-1-16-Inch-Screwdriver/dp/B0002G2OOC/ref=sr_1_23?keywords=Klein+Tools+6866INS+Insulated+Screwdriver%2C+5%2F16-Inch+Cabinet+Tip%2C+6-Inch+Shank&amp;qid=1694735117&amp;sr=8-23", "https://www.amazon.com/Klein-Tools-600-1-16-Inch-Screwdriver/dp/B0002G2OOC/ref=sr_1_23?keywords=Klein+Tools+6866INS+Insulated+Screwdriver%2C+5%2F16-Inch+Cabinet+Tip%2C+6-Inch+Shank&amp;qid=1694735117&amp;sr=8-23")</f>
        <v/>
      </c>
      <c r="F7285" t="inlineStr">
        <is>
          <t>B0002G2OOC</t>
        </is>
      </c>
      <c r="G7285">
        <f>_xludf.IMAGE("https://edmondsonsupply.com/cdn/shop/products/6866ins.jpg?v=1664818689")</f>
        <v/>
      </c>
      <c r="H7285">
        <f>_xludf.IMAGE("https://m.media-amazon.com/images/I/414W04RiVwL._AC_UL320_.jpg")</f>
        <v/>
      </c>
      <c r="K7285" t="inlineStr">
        <is>
          <t>11.97</t>
        </is>
      </c>
      <c r="L7285" t="n">
        <v>7.26</v>
      </c>
      <c r="M7285" s="1" t="inlineStr">
        <is>
          <t>-39.35%</t>
        </is>
      </c>
      <c r="N7285" s="1" t="n"/>
      <c r="O7285" t="n">
        <v>4.7</v>
      </c>
      <c r="P7285" t="n">
        <v>95</v>
      </c>
      <c r="R7285" t="inlineStr">
        <is>
          <t>InStock</t>
        </is>
      </c>
      <c r="S7285" t="inlineStr">
        <is>
          <t>17.98</t>
        </is>
      </c>
      <c r="T7285" t="inlineStr">
        <is>
          <t>7837748068568</t>
        </is>
      </c>
    </row>
    <row r="7286" hidden="1" ht="15.75" customHeight="1">
      <c r="A7286" s="2">
        <f>HYPERLINK("https://edmondsonsupply.com/collections/electricians-tools/products/klein-tools-602-6-5-16-inch-keystone-tip-screwdriver-cushion-grip-6-inch", "https://edmondsonsupply.com/collections/electricians-tools/products/klein-tools-602-6-5-16-inch-keystone-tip-screwdriver-cushion-grip-6-inch")</f>
        <v/>
      </c>
      <c r="B7286" s="2">
        <f>HYPERLINK("https://edmondsonsupply.com/products/klein-tools-602-6-5-16-inch-keystone-tip-screwdriver-cushion-grip-6-inch", "https://edmondsonsupply.com/products/klein-tools-602-6-5-16-inch-keystone-tip-screwdriver-cushion-grip-6-inch")</f>
        <v/>
      </c>
      <c r="C7286" t="inlineStr">
        <is>
          <t>Klein Tools 602-6 5/16-Inch Keystone Tip Screwdriver, Cushion Grip, 6-Inch</t>
        </is>
      </c>
      <c r="D7286" t="inlineStr">
        <is>
          <t>Klein Tools 600-1 5/16-Inch Flat Head Screwdriver with Cabinet Tip, 1-1/2-Inch Heavy Duty Round Shank and Cushion Grip Handle</t>
        </is>
      </c>
      <c r="E7286" s="2">
        <f>HYPERLINK("https://www.amazon.com/Klein-Tools-600-1-16-Inch-Screwdriver/dp/B0002G2OOC/ref=sr_1_5?keywords=Klein+Tools+602-6+5%2F16-Inch+Keystone+Tip+Screwdriver%2C+Cushion+Grip%2C+6-Inch&amp;qid=1694735231&amp;sr=8-5", "https://www.amazon.com/Klein-Tools-600-1-16-Inch-Screwdriver/dp/B0002G2OOC/ref=sr_1_5?keywords=Klein+Tools+602-6+5%2F16-Inch+Keystone+Tip+Screwdriver%2C+Cushion+Grip%2C+6-Inch&amp;qid=1694735231&amp;sr=8-5")</f>
        <v/>
      </c>
      <c r="F7286" t="inlineStr">
        <is>
          <t>B0002G2OOC</t>
        </is>
      </c>
      <c r="G7286">
        <f>_xludf.IMAGE("https://edmondsonsupply.com/cdn/shop/products/602-6_162e3283-acea-47de-aecf-2a25f009fdcb.jpg?v=1633030880")</f>
        <v/>
      </c>
      <c r="H7286">
        <f>_xludf.IMAGE("https://m.media-amazon.com/images/I/414W04RiVwL._AC_UL320_.jpg")</f>
        <v/>
      </c>
      <c r="K7286" t="inlineStr">
        <is>
          <t>11.99</t>
        </is>
      </c>
      <c r="L7286" t="n">
        <v>7.26</v>
      </c>
      <c r="M7286" s="1" t="inlineStr">
        <is>
          <t>-39.45%</t>
        </is>
      </c>
      <c r="N7286" s="1" t="n"/>
      <c r="O7286" t="n">
        <v>4.7</v>
      </c>
      <c r="P7286" t="n">
        <v>95</v>
      </c>
      <c r="R7286" t="inlineStr">
        <is>
          <t>InStock</t>
        </is>
      </c>
      <c r="S7286" t="inlineStr">
        <is>
          <t>18.18</t>
        </is>
      </c>
      <c r="T7286" t="inlineStr">
        <is>
          <t>6169213501613</t>
        </is>
      </c>
    </row>
    <row r="7287" ht="87" customHeight="1">
      <c r="A7287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7287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7287" t="inlineStr">
        <is>
          <t>Channellock 440X 12-Inch SPEEDGRIP™ Straight Jaw Tongue &amp; Groove Pliers</t>
        </is>
      </c>
      <c r="D7287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7287" s="2">
        <f>HYPERLINK("https://www.amazon.com/Channellock-430-Straight-Heat-Treated-Reinforcing/dp/B00002N5JF/ref=sr_1_8?keywords=Channellock+440X+12-Inch+SPEEDGRIP%E2%84%A2+Straight+Jaw+Tongue+%26+Groove+Pliers&amp;qid=1694735165&amp;sr=8-8", "https://www.amazon.com/Channellock-430-Straight-Heat-Treated-Reinforcing/dp/B00002N5JF/ref=sr_1_8?keywords=Channellock+440X+12-Inch+SPEEDGRIP%E2%84%A2+Straight+Jaw+Tongue+%26+Groove+Pliers&amp;qid=1694735165&amp;sr=8-8")</f>
        <v/>
      </c>
      <c r="F7287" t="inlineStr">
        <is>
          <t>B00002N5JF</t>
        </is>
      </c>
      <c r="G7287">
        <f>_xlfn.IMAGE("https://edmondsonsupply.com/cdn/shop/products/440X.jpg?v=1647104734")</f>
        <v/>
      </c>
      <c r="H7287">
        <f>_xlfn.IMAGE("https://m.media-amazon.com/images/I/71JqgqffnnL._AC_UL320_.jpg")</f>
        <v/>
      </c>
      <c r="K7287" t="inlineStr">
        <is>
          <t>32.95</t>
        </is>
      </c>
      <c r="L7287" t="n">
        <v>19.95</v>
      </c>
      <c r="M7287" s="1" t="inlineStr">
        <is>
          <t>-39.45%</t>
        </is>
      </c>
      <c r="N7287" s="7" t="n"/>
      <c r="O7287" t="n">
        <v>4.8</v>
      </c>
      <c r="P7287" t="n">
        <v>2186</v>
      </c>
      <c r="R7287" t="inlineStr">
        <is>
          <t>InStock</t>
        </is>
      </c>
      <c r="S7287" t="inlineStr">
        <is>
          <t>45.99</t>
        </is>
      </c>
      <c r="T7287" t="inlineStr">
        <is>
          <t>7633805279448</t>
        </is>
      </c>
    </row>
    <row r="7288" hidden="1" ht="15.75" customHeight="1">
      <c r="A7288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7288" s="2">
        <f>HYPERLINK("https://edmondsonsupply.com/products/diablo-tools-dmast1050-5-8-in-x-2-1-16-x-sds-plus-2-cutter", "https://edmondsonsupply.com/products/diablo-tools-dmast1050-5-8-in-x-2-1-16-x-sds-plus-2-cutter")</f>
        <v/>
      </c>
      <c r="C7288" t="inlineStr">
        <is>
          <t>Diablo Tools DMAST1050 5/8 in. x 2-1/16 SDS-Plus 2-Cutter</t>
        </is>
      </c>
      <c r="D7288" t="inlineStr">
        <is>
          <t>Diablo 5/16 in. x 16 in. x 18 in. SDS-Plus 2-Cutter</t>
        </is>
      </c>
      <c r="E7288" s="2">
        <f>HYPERLINK("https://www.amazon.com/Diablo-16-18-SDS-Plus-2-Cutter/dp/B089LLBQMK/ref=sr_1_25?keywords=Diablo+Tools+DMAST1050+5%2F8+in.+x+2-1%2F16+SDS-Plus+2-Cutter&amp;qid=1694735304&amp;sr=8-25", "https://www.amazon.com/Diablo-16-18-SDS-Plus-2-Cutter/dp/B089LLBQMK/ref=sr_1_25?keywords=Diablo+Tools+DMAST1050+5%2F8+in.+x+2-1%2F16+SDS-Plus+2-Cutter&amp;qid=1694735304&amp;sr=8-25")</f>
        <v/>
      </c>
      <c r="F7288" t="inlineStr">
        <is>
          <t>B089LLBQMK</t>
        </is>
      </c>
      <c r="G7288">
        <f>_xludf.IMAGE("https://edmondsonsupply.com/cdn/shop/products/DMAST1050_1.jpg?v=1633030363")</f>
        <v/>
      </c>
      <c r="H7288">
        <f>_xludf.IMAGE("https://m.media-amazon.com/images/I/6105mcVttIL._AC_UL320_.jpg")</f>
        <v/>
      </c>
      <c r="K7288" t="inlineStr">
        <is>
          <t>21.97</t>
        </is>
      </c>
      <c r="L7288" t="n">
        <v>13.28</v>
      </c>
      <c r="M7288" s="1" t="inlineStr">
        <is>
          <t>-39.55%</t>
        </is>
      </c>
      <c r="N7288" s="1" t="n"/>
      <c r="O7288" t="n">
        <v>4.8</v>
      </c>
      <c r="P7288" t="n">
        <v>10</v>
      </c>
      <c r="R7288" t="inlineStr">
        <is>
          <t>InStock</t>
        </is>
      </c>
      <c r="S7288" t="inlineStr">
        <is>
          <t>29.12</t>
        </is>
      </c>
      <c r="T7288" t="inlineStr">
        <is>
          <t>5286938869928</t>
        </is>
      </c>
    </row>
    <row r="7289" ht="87" customHeight="1">
      <c r="A7289" s="2">
        <f>HYPERLINK("https://edmondsonsupply.com/collections/electricians-tools/products/klein-tools-vdv501-852-scout%C2%AE-pro-3-tester-with-locator-remote-kit", "https://edmondsonsupply.com/collections/electricians-tools/products/klein-tools-vdv501-852-scout%C2%AE-pro-3-tester-with-locator-remote-kit")</f>
        <v/>
      </c>
      <c r="B7289" s="2">
        <f>HYPERLINK("https://edmondsonsupply.com/products/klein-tools-vdv501-852-scout%c2%ae-pro-3-tester-with-locator-remote-kit", "https://edmondsonsupply.com/products/klein-tools-vdv501-852-scout%c2%ae-pro-3-tester-with-locator-remote-kit")</f>
        <v/>
      </c>
      <c r="C7289" t="inlineStr">
        <is>
          <t>Klein Tools VDV501-852 Scout® Pro 3 Tester with Locator Remote Kit</t>
        </is>
      </c>
      <c r="D7289" t="inlineStr">
        <is>
          <t>Klein Tools VDV501-851 Cable Tester Kit, 5 Locator Remotes &amp; Klein Tools VDV770-126 Replacement Carrying Case for Scout Pro 3 Series Testers and Locator Remotes, Black</t>
        </is>
      </c>
      <c r="E7289" s="2">
        <f>HYPERLINK("https://www.amazon.com/Klein-Tools-VDV501-851-VDV770-126-Replacement/dp/B09T6YN1YB/ref=sr_1_2?keywords=Klein+Tools+VDV501-852+Scout%C2%AE+Pro+3+Tester+with+Locator+Remote+Kit&amp;qid=1694735261&amp;sr=8-2", "https://www.amazon.com/Klein-Tools-VDV501-851-VDV770-126-Replacement/dp/B09T6YN1YB/ref=sr_1_2?keywords=Klein+Tools+VDV501-852+Scout%C2%AE+Pro+3+Tester+with+Locator+Remote+Kit&amp;qid=1694735261&amp;sr=8-2")</f>
        <v/>
      </c>
      <c r="F7289" t="inlineStr">
        <is>
          <t>B09T6YN1YB</t>
        </is>
      </c>
      <c r="G7289">
        <f>_xlfn.IMAGE("https://edmondsonsupply.com/cdn/shop/products/vdv501852_c.jpg?v=1633030670")</f>
        <v/>
      </c>
      <c r="H7289">
        <f>_xlfn.IMAGE("https://m.media-amazon.com/images/I/51nHnWIj1JL._AC_UY218_.jpg")</f>
        <v/>
      </c>
      <c r="K7289" t="inlineStr">
        <is>
          <t>184.99</t>
        </is>
      </c>
      <c r="L7289" t="n">
        <v>111.65</v>
      </c>
      <c r="M7289" s="1" t="inlineStr">
        <is>
          <t>-39.65%</t>
        </is>
      </c>
      <c r="N7289" s="7" t="n"/>
      <c r="O7289" t="n">
        <v>5</v>
      </c>
      <c r="P7289" t="n">
        <v>6</v>
      </c>
      <c r="R7289" t="inlineStr">
        <is>
          <t>InStock</t>
        </is>
      </c>
      <c r="S7289" t="inlineStr">
        <is>
          <t>279.46</t>
        </is>
      </c>
      <c r="T7289" t="inlineStr">
        <is>
          <t>5799776157864</t>
        </is>
      </c>
    </row>
    <row r="7290" ht="87" customHeight="1">
      <c r="A7290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290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290" t="inlineStr">
        <is>
          <t>Diablo Tools DMAPL4310 1 in. x 16 in. x 18 in. Rebar Demon™ SDS-Plus 4-Cutter Full Carbide Head Hammer Drill Bit</t>
        </is>
      </c>
      <c r="D7290" t="inlineStr">
        <is>
          <t>Diablo by Freud DMAPL4270 27/32 in. x 8 in. x 10 in. Rebar Demon SDS-Plus 4-Cutter Full Carbide Head Hammer Bit</t>
        </is>
      </c>
      <c r="E7290" s="2">
        <f>HYPERLINK("https://www.amazon.com/Diablo-Freud-DMAPL4270-SDS-Plus-4-Cutter/dp/B089KXBGLM/ref=sr_1_5?keywords=Diablo+Tools+DMAPL4310+1+in.+x+16+in.+x+18+in.+Rebar+Demon%E2%84%A2+SDS-Plus+4-Cutter+Full+Carbide+Head+Hammer+Drill+Bit&amp;qid=1694735204&amp;sr=8-5", "https://www.amazon.com/Diablo-Freud-DMAPL4270-SDS-Plus-4-Cutter/dp/B089KXBGLM/ref=sr_1_5?keywords=Diablo+Tools+DMAPL4310+1+in.+x+16+in.+x+18+in.+Rebar+Demon%E2%84%A2+SDS-Plus+4-Cutter+Full+Carbide+Head+Hammer+Drill+Bit&amp;qid=1694735204&amp;sr=8-5")</f>
        <v/>
      </c>
      <c r="F7290" t="inlineStr">
        <is>
          <t>B089KXBGLM</t>
        </is>
      </c>
      <c r="G7290">
        <f>_xlfn.IMAGE("https://edmondsonsupply.com/cdn/shop/products/DMAPL4310_Main-Image20200701.png?v=1633031094")</f>
        <v/>
      </c>
      <c r="H7290">
        <f>_xlfn.IMAGE("https://m.media-amazon.com/images/I/611A6sphG9L._AC_UL320_.jpg")</f>
        <v/>
      </c>
      <c r="K7290" t="inlineStr">
        <is>
          <t>49.97</t>
        </is>
      </c>
      <c r="L7290" t="n">
        <v>30.13</v>
      </c>
      <c r="M7290" s="1" t="inlineStr">
        <is>
          <t>-39.70%</t>
        </is>
      </c>
      <c r="N7290" s="7" t="n"/>
      <c r="O7290" t="n">
        <v>5</v>
      </c>
      <c r="P7290" t="n">
        <v>2</v>
      </c>
      <c r="R7290" t="inlineStr">
        <is>
          <t>InStock</t>
        </is>
      </c>
      <c r="S7290" t="inlineStr">
        <is>
          <t>57.56</t>
        </is>
      </c>
      <c r="T7290" t="inlineStr">
        <is>
          <t>6839830479021</t>
        </is>
      </c>
    </row>
    <row r="7291" hidden="1" ht="15.75" customHeight="1">
      <c r="A7291" s="2">
        <f>HYPERLINK("https://edmondsonsupply.com/collections/electricians-tools/products/channellock-3017", "https://edmondsonsupply.com/collections/electricians-tools/products/channellock-3017")</f>
        <v/>
      </c>
      <c r="B7291" s="2">
        <f>HYPERLINK("https://edmondsonsupply.com/products/channellock-3017", "https://edmondsonsupply.com/products/channellock-3017")</f>
        <v/>
      </c>
      <c r="C7291" t="inlineStr">
        <is>
          <t>Channellock 3017 8-Inch Long Nose Pliers</t>
        </is>
      </c>
      <c r="D7291" t="inlineStr">
        <is>
          <t>IRWIN VISE-GRIP Pliers, Long Nose Pliers, 6 Inch, For Heavy Duty Cutting and Bending (2078216)</t>
        </is>
      </c>
      <c r="E7291" s="2">
        <f>HYPERLINK("https://www.amazon.com/Tools-VISE-GRIP-Pliers-6-Inch-2078216/dp/B000A0OW2M/ref=sr_1_33?keywords=Channellock+3017+8-Inch+Long+Nose+Pliers&amp;qid=1694735304&amp;sr=8-33", "https://www.amazon.com/Tools-VISE-GRIP-Pliers-6-Inch-2078216/dp/B000A0OW2M/ref=sr_1_33?keywords=Channellock+3017+8-Inch+Long+Nose+Pliers&amp;qid=1694735304&amp;sr=8-33")</f>
        <v/>
      </c>
      <c r="F7291" t="inlineStr">
        <is>
          <t>B000A0OW2M</t>
        </is>
      </c>
      <c r="G7291">
        <f>_xludf.IMAGE("https://edmondsonsupply.com/cdn/shop/products/3017-683x1024.jpg?v=1633030322")</f>
        <v/>
      </c>
      <c r="H7291">
        <f>_xludf.IMAGE("https://m.media-amazon.com/images/I/61wTu0pva4L._AC_UL320_.jpg")</f>
        <v/>
      </c>
      <c r="K7291" t="inlineStr">
        <is>
          <t>19.95</t>
        </is>
      </c>
      <c r="L7291" t="n">
        <v>11.99</v>
      </c>
      <c r="M7291" s="1" t="inlineStr">
        <is>
          <t>-39.90%</t>
        </is>
      </c>
      <c r="N7291" s="1" t="n"/>
      <c r="O7291" t="n">
        <v>4.8</v>
      </c>
      <c r="P7291" t="n">
        <v>8905</v>
      </c>
      <c r="R7291" t="inlineStr">
        <is>
          <t>InStock</t>
        </is>
      </c>
      <c r="S7291" t="inlineStr">
        <is>
          <t>29.97</t>
        </is>
      </c>
      <c r="T7291" t="inlineStr">
        <is>
          <t>5245817159848</t>
        </is>
      </c>
    </row>
    <row r="7292" hidden="1" ht="15.75" customHeight="1">
      <c r="A7292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292" s="2">
        <f>HYPERLINK("https://edmondsonsupply.com/products/klein-tools-32500mag-11-in-1-magnetic-screwdriver-nut-driver", "https://edmondsonsupply.com/products/klein-tools-32500mag-11-in-1-magnetic-screwdriver-nut-driver")</f>
        <v/>
      </c>
      <c r="C7292" t="inlineStr">
        <is>
          <t>Klein Tools 32500MAG 11-in-1 Magnetic Screwdriver / Nut Driver</t>
        </is>
      </c>
      <c r="D7292" t="inlineStr">
        <is>
          <t>Klein Tools 32562 Multi-Bit Screwdriver / Nut Driver, 6-in-1 Stubby Tool with Square Recess, Slotted, Phillips Bits and Nut Drivers</t>
        </is>
      </c>
      <c r="E7292" s="2">
        <f>HYPERLINK("https://www.amazon.com/Multi-Bit-Screwdriver-Klein-Tools-32562/dp/B007SF5DNE/ref=sr_1_40?keywords=Klein+Tools+32500MAG+11-in-1+Magnetic+Screwdriver+%2F+Nut+Driver&amp;qid=1694735235&amp;sr=8-40", "https://www.amazon.com/Multi-Bit-Screwdriver-Klein-Tools-32562/dp/B007SF5DNE/ref=sr_1_40?keywords=Klein+Tools+32500MAG+11-in-1+Magnetic+Screwdriver+%2F+Nut+Driver&amp;qid=1694735235&amp;sr=8-40")</f>
        <v/>
      </c>
      <c r="F7292" t="inlineStr">
        <is>
          <t>B007SF5DNE</t>
        </is>
      </c>
      <c r="G7292">
        <f>_xludf.IMAGE("https://edmondsonsupply.com/cdn/shop/products/32500mag.jpg?v=1633030832")</f>
        <v/>
      </c>
      <c r="H7292">
        <f>_xludf.IMAGE("https://m.media-amazon.com/images/I/515fclR4vsL._AC_UL320_.jpg")</f>
        <v/>
      </c>
      <c r="K7292" t="inlineStr">
        <is>
          <t>20.97</t>
        </is>
      </c>
      <c r="L7292" t="n">
        <v>12.6</v>
      </c>
      <c r="M7292" s="1" t="inlineStr">
        <is>
          <t>-39.91%</t>
        </is>
      </c>
      <c r="N7292" s="1" t="n"/>
      <c r="O7292" t="n">
        <v>4.7</v>
      </c>
      <c r="P7292" t="n">
        <v>480</v>
      </c>
      <c r="R7292" t="inlineStr">
        <is>
          <t>InStock</t>
        </is>
      </c>
      <c r="S7292" t="inlineStr">
        <is>
          <t>29.38</t>
        </is>
      </c>
      <c r="T7292" t="inlineStr">
        <is>
          <t>6082199814317</t>
        </is>
      </c>
    </row>
    <row r="7293" hidden="1" ht="15.75" customHeight="1">
      <c r="A7293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7293" s="2">
        <f>HYPERLINK("https://edmondsonsupply.com/products/diablo-tools-d0760x-7-1-4-in-x-60-tooth-ultra-finish-saw-blade", "https://edmondsonsupply.com/products/diablo-tools-d0760x-7-1-4-in-x-60-tooth-ultra-finish-saw-blade")</f>
        <v/>
      </c>
      <c r="C7293" t="inlineStr">
        <is>
          <t>Diablo Tools D0760X 7-1/4 in. x 60 Tooth Ultra Finish Saw Blade</t>
        </is>
      </c>
      <c r="D7293" t="inlineStr">
        <is>
          <t>TOMAX 7-1/4-Inch 60 Tooth ATB Fine Finish Saw Blade with 5/8-Inch DMK Arbor</t>
        </is>
      </c>
      <c r="E7293" s="2">
        <f>HYPERLINK("https://www.amazon.com/TOMAX-4-Inch-Tooth-Finish-8-Inch/dp/B01LYZTVS3/ref=sr_1_6?keywords=Diablo+Tools+D0760X+7-1%2F4+in.+x+60+Tooth+Ultra+Finish+Saw+Blade&amp;qid=1694735024&amp;sr=8-6", "https://www.amazon.com/TOMAX-4-Inch-Tooth-Finish-8-Inch/dp/B01LYZTVS3/ref=sr_1_6?keywords=Diablo+Tools+D0760X+7-1%2F4+in.+x+60+Tooth+Ultra+Finish+Saw+Blade&amp;qid=1694735024&amp;sr=8-6")</f>
        <v/>
      </c>
      <c r="F7293" t="inlineStr">
        <is>
          <t>B01LYZTVS3</t>
        </is>
      </c>
      <c r="G7293">
        <f>_xludf.IMAGE("https://edmondsonsupply.com/cdn/shop/products/vlfiqrihhfwf5bxirasx.webp?v=1678977162")</f>
        <v/>
      </c>
      <c r="H7293">
        <f>_xludf.IMAGE("https://m.media-amazon.com/images/I/81ltKmsGtYL._AC_UL320_.jpg")</f>
        <v/>
      </c>
      <c r="K7293" t="inlineStr">
        <is>
          <t>19.97</t>
        </is>
      </c>
      <c r="L7293" t="n">
        <v>11.99</v>
      </c>
      <c r="M7293" s="1" t="inlineStr">
        <is>
          <t>-39.96%</t>
        </is>
      </c>
      <c r="N7293" s="1" t="n"/>
      <c r="O7293" t="n">
        <v>4.6</v>
      </c>
      <c r="P7293" t="n">
        <v>1497</v>
      </c>
      <c r="R7293" t="inlineStr">
        <is>
          <t>InStock</t>
        </is>
      </c>
      <c r="S7293" t="inlineStr">
        <is>
          <t>30.2</t>
        </is>
      </c>
      <c r="T7293" t="inlineStr">
        <is>
          <t>7962630521048</t>
        </is>
      </c>
    </row>
    <row r="7294" ht="87" customHeight="1">
      <c r="A7294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7294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7294" t="inlineStr">
        <is>
          <t>Klein Tools 51605 Iron Conduit Bender Full Assembly, 1-Inch EMT with Angle Setter™</t>
        </is>
      </c>
      <c r="D7294" t="inlineStr">
        <is>
          <t>Klein Tools 51603 Iron Conduit Bender Full Assembly, 1/2-Inch EMT, Wide Foot Pedal, Benchmark Symbols and Angle Setter</t>
        </is>
      </c>
      <c r="E7294" s="2">
        <f>HYPERLINK("https://www.amazon.com/Klein-Tools-51603-Conduit-Features/dp/B08W6GJTHW/ref=sr_1_3?keywords=Klein+Tools+51605+Iron+Conduit+Bender+Full+Assembly%2C+1-Inch+EMT+with+Angle+Setter%E2%84%A2&amp;qid=1694735128&amp;sr=8-3", "https://www.amazon.com/Klein-Tools-51603-Conduit-Features/dp/B08W6GJTHW/ref=sr_1_3?keywords=Klein+Tools+51605+Iron+Conduit+Bender+Full+Assembly%2C+1-Inch+EMT+with+Angle+Setter%E2%84%A2&amp;qid=1694735128&amp;sr=8-3")</f>
        <v/>
      </c>
      <c r="F7294" t="inlineStr">
        <is>
          <t>B08W6GJTHW</t>
        </is>
      </c>
      <c r="G7294">
        <f>_xlfn.IMAGE("https://edmondsonsupply.com/cdn/shop/products/51605.jpg?v=1663938749")</f>
        <v/>
      </c>
      <c r="H7294">
        <f>_xlfn.IMAGE("https://m.media-amazon.com/images/I/31lf3y-9bSL._AC_UL320_.jpg")</f>
        <v/>
      </c>
      <c r="K7294" t="inlineStr">
        <is>
          <t>99.97</t>
        </is>
      </c>
      <c r="L7294" t="n">
        <v>59.99</v>
      </c>
      <c r="M7294" s="1" t="inlineStr">
        <is>
          <t>-39.99%</t>
        </is>
      </c>
      <c r="N7294" s="7" t="n"/>
      <c r="O7294" t="n">
        <v>4.9</v>
      </c>
      <c r="P7294" t="n">
        <v>31</v>
      </c>
      <c r="R7294" t="inlineStr">
        <is>
          <t>InStock</t>
        </is>
      </c>
      <c r="S7294" t="inlineStr">
        <is>
          <t>149.98</t>
        </is>
      </c>
      <c r="T7294" t="inlineStr">
        <is>
          <t>7827205619928</t>
        </is>
      </c>
    </row>
    <row r="7295" ht="87" customHeight="1">
      <c r="A7295" s="2">
        <f>HYPERLINK("https://edmondsonsupply.com/collections/electricians-tools/products/klein-tools-51604-iron-conduit-bender-full-assembly-3-4-inch-emt-with-angle-setter%E2%84%A2", "https://edmondsonsupply.com/collections/electricians-tools/products/klein-tools-51604-iron-conduit-bender-full-assembly-3-4-inch-emt-with-angle-setter%E2%84%A2")</f>
        <v/>
      </c>
      <c r="B7295" s="2">
        <f>HYPERLINK("https://edmondsonsupply.com/products/klein-tools-51604-iron-conduit-bender-full-assembly-3-4-inch-emt-with-angle-setter%e2%84%a2", "https://edmondsonsupply.com/products/klein-tools-51604-iron-conduit-bender-full-assembly-3-4-inch-emt-with-angle-setter%e2%84%a2")</f>
        <v/>
      </c>
      <c r="C7295" t="inlineStr">
        <is>
          <t>Klein Tools 51604 Iron Conduit Bender Full Assembly, 3/4-Inch EMT with Angle Setter™</t>
        </is>
      </c>
      <c r="D7295" t="inlineStr">
        <is>
          <t>Klein Tools 51607 Aluminum Conduit Bender Full Assembly, 3/4-Inch EMT, 1/2-Inch Rigid, Wide Foot Pedal, Benchmark Symbols and Angle Setter</t>
        </is>
      </c>
      <c r="E7295" s="2">
        <f>HYPERLINK("https://www.amazon.com/Aluminum-Benchmark-Technology-Klein-Tools/dp/B08L41G5G5/ref=sr_1_3?keywords=Klein+Tools+51604+Iron+Conduit+Bender+Full+Assembly%2C+3%2F4-Inch+EMT+with+Angle+Setter%E2%84%A2&amp;qid=1694735137&amp;sr=8-3", "https://www.amazon.com/Aluminum-Benchmark-Technology-Klein-Tools/dp/B08L41G5G5/ref=sr_1_3?keywords=Klein+Tools+51604+Iron+Conduit+Bender+Full+Assembly%2C+3%2F4-Inch+EMT+with+Angle+Setter%E2%84%A2&amp;qid=1694735137&amp;sr=8-3")</f>
        <v/>
      </c>
      <c r="F7295" t="inlineStr">
        <is>
          <t>B08L41G5G5</t>
        </is>
      </c>
      <c r="G7295">
        <f>_xlfn.IMAGE("https://edmondsonsupply.com/cdn/shop/products/51603.jpg?v=1660829273")</f>
        <v/>
      </c>
      <c r="H7295">
        <f>_xlfn.IMAGE("https://m.media-amazon.com/images/I/419ZjlOD69L._AC_UL320_.jpg")</f>
        <v/>
      </c>
      <c r="K7295" t="inlineStr">
        <is>
          <t>74.99</t>
        </is>
      </c>
      <c r="L7295" t="n">
        <v>44.99</v>
      </c>
      <c r="M7295" s="1" t="inlineStr">
        <is>
          <t>-40.01%</t>
        </is>
      </c>
      <c r="N7295" s="7" t="n"/>
      <c r="O7295" t="n">
        <v>4.7</v>
      </c>
      <c r="P7295" t="n">
        <v>342</v>
      </c>
      <c r="R7295" t="inlineStr">
        <is>
          <t>OutOfStock</t>
        </is>
      </c>
      <c r="S7295" t="inlineStr">
        <is>
          <t>108.0</t>
        </is>
      </c>
      <c r="T7295" t="inlineStr">
        <is>
          <t>7784729673944</t>
        </is>
      </c>
    </row>
    <row r="7296" ht="87" customHeight="1">
      <c r="A7296" s="2">
        <f>HYPERLINK("https://edmondsonsupply.com/collections/electricians-tools/products/klein-tools-2000-9ne-eins-heavy-duty-side-cutting-pliers-insulated", "https://edmondsonsupply.com/collections/electricians-tools/products/klein-tools-2000-9ne-eins-heavy-duty-side-cutting-pliers-insulated")</f>
        <v/>
      </c>
      <c r="B7296" s="2">
        <f>HYPERLINK("https://edmondsonsupply.com/products/klein-tools-2000-9ne-eins-heavy-duty-side-cutting-pliers-insulated", "https://edmondsonsupply.com/products/klein-tools-2000-9ne-eins-heavy-duty-side-cutting-pliers-insulated")</f>
        <v/>
      </c>
      <c r="C7296" t="inlineStr">
        <is>
          <t>Klein Tools 2000-9NE-EINS Heavy Duty Side Cutting Pliers Insulated</t>
        </is>
      </c>
      <c r="D7296" t="inlineStr">
        <is>
          <t>Klein Tools D2000-7 Pliers, Heavy Duty Side Cutters, High Leverage fFor Cutting ACSR, Screws, Nails and Most Wire, 7-Inch</t>
        </is>
      </c>
      <c r="E7296" s="2">
        <f>HYPERLINK("https://www.amazon.com/Cutters-Leverage-Klein-Tools-D2000-7/dp/B00093DXUW/ref=sr_1_26?keywords=Klein+Tools+2000-9NE-EINS+Heavy+Duty+Side+Cutting+Pliers+Insulated&amp;qid=1694735405&amp;sr=8-26", "https://www.amazon.com/Cutters-Leverage-Klein-Tools-D2000-7/dp/B00093DXUW/ref=sr_1_26?keywords=Klein+Tools+2000-9NE-EINS+Heavy+Duty+Side+Cutting+Pliers+Insulated&amp;qid=1694735405&amp;sr=8-26")</f>
        <v/>
      </c>
      <c r="F7296" t="inlineStr">
        <is>
          <t>B00093DXUW</t>
        </is>
      </c>
      <c r="G7296">
        <f>_xlfn.IMAGE("https://edmondsonsupply.com/cdn/shop/products/20009neeins.jpg?v=1587143800")</f>
        <v/>
      </c>
      <c r="H7296">
        <f>_xlfn.IMAGE("https://m.media-amazon.com/images/I/51qEoG92lmL._AC_UL320_.jpg")</f>
        <v/>
      </c>
      <c r="K7296" t="inlineStr">
        <is>
          <t>74.99</t>
        </is>
      </c>
      <c r="L7296" t="n">
        <v>44.99</v>
      </c>
      <c r="M7296" s="1" t="inlineStr">
        <is>
          <t>-40.01%</t>
        </is>
      </c>
      <c r="N7296" s="7" t="n"/>
      <c r="O7296" t="n">
        <v>4.4</v>
      </c>
      <c r="P7296" t="n">
        <v>48</v>
      </c>
      <c r="R7296" t="inlineStr">
        <is>
          <t>InStock</t>
        </is>
      </c>
      <c r="S7296" t="inlineStr">
        <is>
          <t>115.6</t>
        </is>
      </c>
      <c r="T7296" t="inlineStr">
        <is>
          <t>4389716033636</t>
        </is>
      </c>
    </row>
    <row r="7297" ht="87" customHeight="1">
      <c r="A7297" s="2">
        <f>HYPERLINK("https://edmondsonsupply.com/collections/electricians-tools/products/klein-tools-51610-1-iron-conduit-bender-head", "https://edmondsonsupply.com/collections/electricians-tools/products/klein-tools-51610-1-iron-conduit-bender-head")</f>
        <v/>
      </c>
      <c r="B7297" s="2">
        <f>HYPERLINK("https://edmondsonsupply.com/products/klein-tools-51610-1-iron-conduit-bender-head", "https://edmondsonsupply.com/products/klein-tools-51610-1-iron-conduit-bender-head")</f>
        <v/>
      </c>
      <c r="C7297" t="inlineStr">
        <is>
          <t>Klein Tools 51610 1" Iron Conduit Bender Head</t>
        </is>
      </c>
      <c r="D7297" t="inlineStr">
        <is>
          <t>Klein Tools 51609 Iron Conduit Bender Head, for 3/4-Inch EMT or 1/2-Inch Rigid IMC, use with Klein Tools Angle Setter (Cat. No. 51612)</t>
        </is>
      </c>
      <c r="E7297" s="2">
        <f>HYPERLINK("https://www.amazon.com/Conduit-Bender-Klein-Tools-51609/dp/B08VYFHL9J/ref=sr_1_7?keywords=Klein+Tools+51610+1%22+Iron+Conduit+Bender+Head&amp;qid=1694735131&amp;sr=8-7", "https://www.amazon.com/Conduit-Bender-Klein-Tools-51609/dp/B08VYFHL9J/ref=sr_1_7?keywords=Klein+Tools+51610+1%22+Iron+Conduit+Bender+Head&amp;qid=1694735131&amp;sr=8-7")</f>
        <v/>
      </c>
      <c r="F7297" t="inlineStr">
        <is>
          <t>B08VYFHL9J</t>
        </is>
      </c>
      <c r="G7297">
        <f>_xlfn.IMAGE("https://edmondsonsupply.com/cdn/shop/products/51610.jpg?v=1661975879")</f>
        <v/>
      </c>
      <c r="H7297">
        <f>_xlfn.IMAGE("https://m.media-amazon.com/images/I/61KifnC2xML._AC_UL320_.jpg")</f>
        <v/>
      </c>
      <c r="K7297" t="inlineStr">
        <is>
          <t>74.99</t>
        </is>
      </c>
      <c r="L7297" t="n">
        <v>44.99</v>
      </c>
      <c r="M7297" s="1" t="inlineStr">
        <is>
          <t>-40.01%</t>
        </is>
      </c>
      <c r="N7297" s="7" t="n"/>
      <c r="O7297" t="n">
        <v>4.2</v>
      </c>
      <c r="P7297" t="n">
        <v>31</v>
      </c>
      <c r="R7297" t="inlineStr">
        <is>
          <t>InStock</t>
        </is>
      </c>
      <c r="S7297" t="inlineStr">
        <is>
          <t>113.68</t>
        </is>
      </c>
      <c r="T7297" t="inlineStr">
        <is>
          <t>7798372630744</t>
        </is>
      </c>
    </row>
    <row r="7298" ht="87" customHeight="1">
      <c r="A7298" s="2">
        <f>HYPERLINK("https://edmondsonsupply.com/collections/electricians-tools/products/klein-tools-51604-iron-conduit-bender-full-assembly-3-4-inch-emt-with-angle-setter%E2%84%A2", "https://edmondsonsupply.com/collections/electricians-tools/products/klein-tools-51604-iron-conduit-bender-full-assembly-3-4-inch-emt-with-angle-setter%E2%84%A2")</f>
        <v/>
      </c>
      <c r="B7298" s="2">
        <f>HYPERLINK("https://edmondsonsupply.com/products/klein-tools-51604-iron-conduit-bender-full-assembly-3-4-inch-emt-with-angle-setter%e2%84%a2", "https://edmondsonsupply.com/products/klein-tools-51604-iron-conduit-bender-full-assembly-3-4-inch-emt-with-angle-setter%e2%84%a2")</f>
        <v/>
      </c>
      <c r="C7298" t="inlineStr">
        <is>
          <t>Klein Tools 51604 Iron Conduit Bender Full Assembly, 3/4-Inch EMT with Angle Setter™</t>
        </is>
      </c>
      <c r="D7298" t="inlineStr">
        <is>
          <t>Klein Tools 51609 Iron Conduit Bender Head, for 3/4-Inch EMT or 1/2-Inch Rigid IMC, use with Klein Tools Angle Setter (Cat. No. 51612)</t>
        </is>
      </c>
      <c r="E7298" s="2">
        <f>HYPERLINK("https://www.amazon.com/Conduit-Bender-Klein-Tools-51609/dp/B08VYFHL9J/ref=sr_1_9?keywords=Klein+Tools+51604+Iron+Conduit+Bender+Full+Assembly%2C+3%2F4-Inch+EMT+with+Angle+Setter%E2%84%A2&amp;qid=1694735137&amp;sr=8-9", "https://www.amazon.com/Conduit-Bender-Klein-Tools-51609/dp/B08VYFHL9J/ref=sr_1_9?keywords=Klein+Tools+51604+Iron+Conduit+Bender+Full+Assembly%2C+3%2F4-Inch+EMT+with+Angle+Setter%E2%84%A2&amp;qid=1694735137&amp;sr=8-9")</f>
        <v/>
      </c>
      <c r="F7298" t="inlineStr">
        <is>
          <t>B08VYFHL9J</t>
        </is>
      </c>
      <c r="G7298">
        <f>_xlfn.IMAGE("https://edmondsonsupply.com/cdn/shop/products/51603.jpg?v=1660829273")</f>
        <v/>
      </c>
      <c r="H7298">
        <f>_xlfn.IMAGE("https://m.media-amazon.com/images/I/61KifnC2xML._AC_UL320_.jpg")</f>
        <v/>
      </c>
      <c r="K7298" t="inlineStr">
        <is>
          <t>74.99</t>
        </is>
      </c>
      <c r="L7298" t="n">
        <v>44.99</v>
      </c>
      <c r="M7298" s="1" t="inlineStr">
        <is>
          <t>-40.01%</t>
        </is>
      </c>
      <c r="N7298" s="7" t="n"/>
      <c r="O7298" t="n">
        <v>4.2</v>
      </c>
      <c r="P7298" t="n">
        <v>31</v>
      </c>
      <c r="R7298" t="inlineStr">
        <is>
          <t>OutOfStock</t>
        </is>
      </c>
      <c r="S7298" t="inlineStr">
        <is>
          <t>108.0</t>
        </is>
      </c>
      <c r="T7298" t="inlineStr">
        <is>
          <t>7784729673944</t>
        </is>
      </c>
    </row>
    <row r="7299" hidden="1" ht="15.75" customHeight="1">
      <c r="A7299" s="2">
        <f>HYPERLINK("https://edmondsonsupply.com/collections/electricians-tools/products/copy-of-diablo-tools-d12100x-12-in-x-100-tooth-ultimate-polished-finish-saw-blade", "https://edmondsonsupply.com/collections/electricians-tools/products/copy-of-diablo-tools-d12100x-12-in-x-100-tooth-ultimate-polished-finish-saw-blade")</f>
        <v/>
      </c>
      <c r="B7299" s="2">
        <f>HYPERLINK("https://edmondsonsupply.com/products/copy-of-diablo-tools-d12100x-12-in-x-100-tooth-ultimate-polished-finish-saw-blade", "https://edmondsonsupply.com/products/copy-of-diablo-tools-d12100x-12-in-x-100-tooth-ultimate-polished-finish-saw-blade")</f>
        <v/>
      </c>
      <c r="C7299" t="inlineStr">
        <is>
          <t>Diablo Tools D1060X 10 in. x 60 Tooth Fine Finish Saw Blade</t>
        </is>
      </c>
      <c r="D7299" t="inlineStr">
        <is>
          <t>Freud-Diablo Avanti 10 in. x 60 Tooth Fine-Finish Circular Saw Blade</t>
        </is>
      </c>
      <c r="E7299" s="2">
        <f>HYPERLINK("https://www.amazon.com/AVANTI-Tooth-Fine-Finish-Circular-Blade/dp/B00KX7VMIE/ref=sr_1_2?keywords=Diablo+Tools+D1060X+10+in.+x+60+Tooth+Fine+Finish+Saw+Blade&amp;qid=1694735313&amp;sr=8-2", "https://www.amazon.com/AVANTI-Tooth-Fine-Finish-Circular-Blade/dp/B00KX7VMIE/ref=sr_1_2?keywords=Diablo+Tools+D1060X+10+in.+x+60+Tooth+Fine+Finish+Saw+Blade&amp;qid=1694735313&amp;sr=8-2")</f>
        <v/>
      </c>
      <c r="F7299" t="inlineStr">
        <is>
          <t>B00KX7VMIE</t>
        </is>
      </c>
      <c r="G7299">
        <f>_xludf.IMAGE("https://edmondsonsupply.com/cdn/shop/products/D1060X_Main-Image20191112.png?v=1633030277")</f>
        <v/>
      </c>
      <c r="H7299">
        <f>_xludf.IMAGE("https://m.media-amazon.com/images/I/61d7C7XSNAL._AC_UL320_.jpg")</f>
        <v/>
      </c>
      <c r="K7299" t="inlineStr">
        <is>
          <t>38.29</t>
        </is>
      </c>
      <c r="L7299" t="n">
        <v>22.97</v>
      </c>
      <c r="M7299" s="1" t="inlineStr">
        <is>
          <t>-40.01%</t>
        </is>
      </c>
      <c r="N7299" s="1" t="n"/>
      <c r="O7299" t="n">
        <v>3.8</v>
      </c>
      <c r="P7299" t="n">
        <v>4</v>
      </c>
      <c r="R7299" t="inlineStr">
        <is>
          <t>InStock</t>
        </is>
      </c>
      <c r="S7299" t="inlineStr">
        <is>
          <t>60.65</t>
        </is>
      </c>
      <c r="T7299" t="inlineStr">
        <is>
          <t>5238382526632</t>
        </is>
      </c>
    </row>
    <row r="7300" hidden="1" ht="15.75" customHeight="1">
      <c r="A7300" s="2">
        <f>HYPERLINK("https://edmondsonsupply.com/collections/electricians-tools/products/klein-tools-31948-bi-metal-hole-saw-3-inch", "https://edmondsonsupply.com/collections/electricians-tools/products/klein-tools-31948-bi-metal-hole-saw-3-inch")</f>
        <v/>
      </c>
      <c r="B7300" s="2">
        <f>HYPERLINK("https://edmondsonsupply.com/products/klein-tools-31948-bi-metal-hole-saw-3-inch", "https://edmondsonsupply.com/products/klein-tools-31948-bi-metal-hole-saw-3-inch")</f>
        <v/>
      </c>
      <c r="C7300" t="inlineStr">
        <is>
          <t>Klein Tools 31948 Bi-Metal Hole Saw, 3-Inch</t>
        </is>
      </c>
      <c r="D7300" t="inlineStr">
        <is>
          <t>Klein Tools 31922 Bi-Metal Hole Saw, 1-3/8-Inch</t>
        </is>
      </c>
      <c r="E7300" s="2">
        <f>HYPERLINK("https://www.amazon.com/Bi-Metal-8-Inch-Klein-Tools-31922/dp/B019874Q0K/ref=sr_1_3?keywords=Klein+Tools+31948+Bi-Metal+Hole+Saw%2C+3-Inch&amp;qid=1694735118&amp;sr=8-3", "https://www.amazon.com/Bi-Metal-8-Inch-Klein-Tools-31922/dp/B019874Q0K/ref=sr_1_3?keywords=Klein+Tools+31948+Bi-Metal+Hole+Saw%2C+3-Inch&amp;qid=1694735118&amp;sr=8-3")</f>
        <v/>
      </c>
      <c r="F7300" t="inlineStr">
        <is>
          <t>B019874Q0K</t>
        </is>
      </c>
      <c r="G7300">
        <f>_xludf.IMAGE("https://edmondsonsupply.com/cdn/shop/products/31948.jpg?v=1663945105")</f>
        <v/>
      </c>
      <c r="H7300">
        <f>_xludf.IMAGE("https://m.media-amazon.com/images/I/41GAmyLoB4L._AC_UL320_.jpg")</f>
        <v/>
      </c>
      <c r="K7300" t="inlineStr">
        <is>
          <t>14.99</t>
        </is>
      </c>
      <c r="L7300" t="n">
        <v>8.99</v>
      </c>
      <c r="M7300" s="1" t="inlineStr">
        <is>
          <t>-40.03%</t>
        </is>
      </c>
      <c r="N7300" s="1" t="n"/>
      <c r="O7300" t="n">
        <v>4.5</v>
      </c>
      <c r="P7300" t="n">
        <v>365</v>
      </c>
      <c r="R7300" t="inlineStr">
        <is>
          <t>InStock</t>
        </is>
      </c>
      <c r="S7300" t="inlineStr">
        <is>
          <t>19.62</t>
        </is>
      </c>
      <c r="T7300" t="inlineStr">
        <is>
          <t>7827277185240</t>
        </is>
      </c>
    </row>
    <row r="7301" hidden="1" ht="15.75" customHeight="1">
      <c r="A7301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7301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7301" t="inlineStr">
        <is>
          <t>Diablo Tools DMAPL2380 9/16 in. x 10 in. x 12 in. SDS-Plus 2-Cutter</t>
        </is>
      </c>
      <c r="D7301" t="inlineStr">
        <is>
          <t>Sabre Tools 9/16 Inch x 12 Inch SDS Plus Rotary Hammer Drill Bit, Carbide Tipped for Brick, Stone, and Concrete Version 2 (9/16" x 10" x 12")</t>
        </is>
      </c>
      <c r="E7301" s="2">
        <f>HYPERLINK("https://www.amazon.com/Sabre-Tools-Carbide-Concrete-Version/dp/B0BL1J47DL/ref=sr_1_8?keywords=Diablo+Tools+DMAPL2380+9%2F16+in.+x+10+in.+x+12+in.+SDS-Plus+2-Cutter&amp;qid=1694735296&amp;sr=8-8", "https://www.amazon.com/Sabre-Tools-Carbide-Concrete-Version/dp/B0BL1J47DL/ref=sr_1_8?keywords=Diablo+Tools+DMAPL2380+9%2F16+in.+x+10+in.+x+12+in.+SDS-Plus+2-Cutter&amp;qid=1694735296&amp;sr=8-8")</f>
        <v/>
      </c>
      <c r="F7301" t="inlineStr">
        <is>
          <t>B0BL1J47DL</t>
        </is>
      </c>
      <c r="G7301">
        <f>_xludf.IMAGE("https://edmondsonsupply.com/cdn/shop/products/pn8n58bx2f87ihetrrnf.webp?v=1670435143")</f>
        <v/>
      </c>
      <c r="H7301">
        <f>_xludf.IMAGE("https://m.media-amazon.com/images/I/61f4sVM4qNL._AC_UL320_.jpg")</f>
        <v/>
      </c>
      <c r="K7301" t="inlineStr">
        <is>
          <t>14.99</t>
        </is>
      </c>
      <c r="L7301" t="n">
        <v>8.99</v>
      </c>
      <c r="M7301" s="1" t="inlineStr">
        <is>
          <t>-40.03%</t>
        </is>
      </c>
      <c r="N7301" s="1" t="n"/>
      <c r="O7301" t="n">
        <v>4.6</v>
      </c>
      <c r="P7301" t="n">
        <v>796</v>
      </c>
      <c r="R7301" t="inlineStr">
        <is>
          <t>InStock</t>
        </is>
      </c>
      <c r="S7301" t="inlineStr">
        <is>
          <t>21.48</t>
        </is>
      </c>
      <c r="T7301" t="inlineStr">
        <is>
          <t>5286298222760</t>
        </is>
      </c>
    </row>
    <row r="7302" hidden="1" ht="15.75" customHeight="1">
      <c r="A7302" s="2">
        <f>HYPERLINK("https://edmondsonsupply.com/collections/electricians-tools/products/klein-tools-646-7-16m-7-16-inch-magnetic-tip-nut-driver-6-inch-shaft", "https://edmondsonsupply.com/collections/electricians-tools/products/klein-tools-646-7-16m-7-16-inch-magnetic-tip-nut-driver-6-inch-shaft")</f>
        <v/>
      </c>
      <c r="B7302" s="2">
        <f>HYPERLINK("https://edmondsonsupply.com/products/klein-tools-646-7-16m-7-16-inch-magnetic-tip-nut-driver-6-inch-shaft", "https://edmondsonsupply.com/products/klein-tools-646-7-16m-7-16-inch-magnetic-tip-nut-driver-6-inch-shaft")</f>
        <v/>
      </c>
      <c r="C7302" t="inlineStr">
        <is>
          <t>Klein Tools 646-7/16M 7/16-Inch Magnetic Tip Nut Driver 6-Inch Shaft</t>
        </is>
      </c>
      <c r="D7302" t="inlineStr">
        <is>
          <t>Mriuuod 7/16-Inch Nut Driver, 93mm Hollow Shaft Hex Nut Driver Non-Magnetic Tip, Heavy-Duty 6-Point Socket for Added High-Torque, Tight Spaces, Precise Tightening Bolts and Nuts</t>
        </is>
      </c>
      <c r="E7302" s="2">
        <f>HYPERLINK("https://www.amazon.com/Mriuuod-Non-Magnetic-Heavy-Duty-High-Torque-Tightening/dp/B0C9Q5WRZ6/ref=sr_1_24?keywords=Klein+Tools+646-7%2F16M+7%2F16-Inch+Magnetic+Tip+Nut+Driver+6-Inch+Shaft&amp;qid=1694735353&amp;sr=8-24", "https://www.amazon.com/Mriuuod-Non-Magnetic-Heavy-Duty-High-Torque-Tightening/dp/B0C9Q5WRZ6/ref=sr_1_24?keywords=Klein+Tools+646-7%2F16M+7%2F16-Inch+Magnetic+Tip+Nut+Driver+6-Inch+Shaft&amp;qid=1694735353&amp;sr=8-24")</f>
        <v/>
      </c>
      <c r="F7302" t="inlineStr">
        <is>
          <t>B0C9Q5WRZ6</t>
        </is>
      </c>
      <c r="G7302">
        <f>_xludf.IMAGE("https://edmondsonsupply.com/cdn/shop/products/646-5-16m_906faaaa-dd9e-40e4-bce3-8174c2b127b5.jpg?v=1587146594")</f>
        <v/>
      </c>
      <c r="H7302">
        <f>_xludf.IMAGE("https://m.media-amazon.com/images/I/51ENUo1ZlJL._AC_UL320_.jpg")</f>
        <v/>
      </c>
      <c r="K7302" t="inlineStr">
        <is>
          <t>12.99</t>
        </is>
      </c>
      <c r="L7302" t="n">
        <v>7.79</v>
      </c>
      <c r="M7302" s="1" t="inlineStr">
        <is>
          <t>-40.03%</t>
        </is>
      </c>
      <c r="N7302" s="1" t="n"/>
      <c r="O7302" t="n">
        <v>3.5</v>
      </c>
      <c r="P7302" t="n">
        <v>7</v>
      </c>
      <c r="R7302" t="inlineStr">
        <is>
          <t>InStock</t>
        </is>
      </c>
      <c r="S7302" t="inlineStr">
        <is>
          <t>19.74</t>
        </is>
      </c>
      <c r="T7302" t="inlineStr">
        <is>
          <t>4461840171108</t>
        </is>
      </c>
    </row>
    <row r="7303" ht="87" customHeight="1">
      <c r="A7303" s="2">
        <f>HYPERLINK("https://edmondsonsupply.com/collections/electricians-tools/products/klein-tools-et60-electronic-ac-dc-voltage-tester-12-to-600v", "https://edmondsonsupply.com/collections/electricians-tools/products/klein-tools-et60-electronic-ac-dc-voltage-tester-12-to-600v")</f>
        <v/>
      </c>
      <c r="B7303" s="2">
        <f>HYPERLINK("https://edmondsonsupply.com/products/klein-tools-et60-electronic-ac-dc-voltage-tester-12-to-600v", "https://edmondsonsupply.com/products/klein-tools-et60-electronic-ac-dc-voltage-tester-12-to-600v")</f>
        <v/>
      </c>
      <c r="C7303" t="inlineStr">
        <is>
          <t>Klein Tools ET60 Electronic AC/DC Voltage Tester, 12 to 600V</t>
        </is>
      </c>
      <c r="D7303" t="inlineStr">
        <is>
          <t>Klein Tools ET40 Digital AC/DC Voltage Tester, 12-240V AC, 1.5-24V DC, LED Illumination, DC Polarity, Auto Off, CATIII 250V-Class 2- Double Insulation, IP4 Dust and Water Resistant,Black/Orange</t>
        </is>
      </c>
      <c r="E7303" s="2">
        <f>HYPERLINK("https://www.amazon.com/Klein-Tools-ET40-Polarity-Batteries/dp/B07P45RB8S/ref=sr_1_2?keywords=Klein+Tools+ET60+Electronic+AC%2FDC+Voltage+Tester%2C+12+to+600V&amp;qid=1694735220&amp;sr=8-2", "https://www.amazon.com/Klein-Tools-ET40-Polarity-Batteries/dp/B07P45RB8S/ref=sr_1_2?keywords=Klein+Tools+ET60+Electronic+AC%2FDC+Voltage+Tester%2C+12+to+600V&amp;qid=1694735220&amp;sr=8-2")</f>
        <v/>
      </c>
      <c r="F7303" t="inlineStr">
        <is>
          <t>B07P45RB8S</t>
        </is>
      </c>
      <c r="G7303">
        <f>_xlfn.IMAGE("https://edmondsonsupply.com/cdn/shop/products/et60.jpg?v=1633030979")</f>
        <v/>
      </c>
      <c r="H7303">
        <f>_xlfn.IMAGE("https://m.media-amazon.com/images/I/519RV+CHdeL._AC_UL320_.jpg")</f>
        <v/>
      </c>
      <c r="K7303" t="inlineStr">
        <is>
          <t>29.97</t>
        </is>
      </c>
      <c r="L7303" t="n">
        <v>17.97</v>
      </c>
      <c r="M7303" s="1" t="inlineStr">
        <is>
          <t>-40.04%</t>
        </is>
      </c>
      <c r="N7303" s="7" t="n"/>
      <c r="O7303" t="n">
        <v>4.5</v>
      </c>
      <c r="P7303" t="n">
        <v>1281</v>
      </c>
      <c r="R7303" t="inlineStr">
        <is>
          <t>InStock</t>
        </is>
      </c>
      <c r="S7303" t="inlineStr">
        <is>
          <t>46.76</t>
        </is>
      </c>
      <c r="T7303" t="inlineStr">
        <is>
          <t>6650286178477</t>
        </is>
      </c>
    </row>
    <row r="7304" ht="87" customHeight="1">
      <c r="A7304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304" s="2">
        <f>HYPERLINK("https://edmondsonsupply.com/products/klein-tools-32800-6-in-1-multi-nut-driver-heavy-duty", "https://edmondsonsupply.com/products/klein-tools-32800-6-in-1-multi-nut-driver-heavy-duty")</f>
        <v/>
      </c>
      <c r="C7304" t="inlineStr">
        <is>
          <t>Klein Tools 32800 6-in-1 6-in-1 Multi-Bit Nut Driver, Heavy Duty</t>
        </is>
      </c>
      <c r="D7304" t="inlineStr">
        <is>
          <t>Klein Tools 32593 Multi-bit Ratcheting Screwdriver, 6-in-1 Stubby Tool with Phillips and Slotted Bits and 2 Nut Driver Sizes</t>
        </is>
      </c>
      <c r="E7304" s="2">
        <f>HYPERLINK("https://www.amazon.com/Ratcheting-Screwdriver-Klein-Tools-32593/dp/B01I2KJ91K/ref=sr_1_19?keywords=Klein+Tools+32800+6-in-1+6-in-1+Multi-Bit+Nut+Driver%2C+Heavy+Duty&amp;qid=1694735172&amp;sr=8-19", "https://www.amazon.com/Ratcheting-Screwdriver-Klein-Tools-32593/dp/B01I2KJ91K/ref=sr_1_19?keywords=Klein+Tools+32800+6-in-1+6-in-1+Multi-Bit+Nut+Driver%2C+Heavy+Duty&amp;qid=1694735172&amp;sr=8-19")</f>
        <v/>
      </c>
      <c r="F7304" t="inlineStr">
        <is>
          <t>B01I2KJ91K</t>
        </is>
      </c>
      <c r="G7304">
        <f>_xlfn.IMAGE("https://edmondsonsupply.com/cdn/shop/products/32800_alt2.jpg?v=1646595019")</f>
        <v/>
      </c>
      <c r="H7304">
        <f>_xlfn.IMAGE("https://m.media-amazon.com/images/I/51WOLpdOfpL._AC_UL320_.jpg")</f>
        <v/>
      </c>
      <c r="K7304" t="inlineStr">
        <is>
          <t>29.99</t>
        </is>
      </c>
      <c r="L7304" t="n">
        <v>17.97</v>
      </c>
      <c r="M7304" s="1" t="inlineStr">
        <is>
          <t>-40.08%</t>
        </is>
      </c>
      <c r="N7304" s="7" t="n"/>
      <c r="O7304" t="n">
        <v>4.8</v>
      </c>
      <c r="P7304" t="n">
        <v>1664</v>
      </c>
      <c r="R7304" t="inlineStr">
        <is>
          <t>InStock</t>
        </is>
      </c>
      <c r="S7304" t="inlineStr">
        <is>
          <t>42.2</t>
        </is>
      </c>
      <c r="T7304" t="inlineStr">
        <is>
          <t>1723912519780</t>
        </is>
      </c>
    </row>
    <row r="7305" ht="87" customHeight="1">
      <c r="A7305" s="2">
        <f>HYPERLINK("https://edmondsonsupply.com/collections/electricians-tools/products/klein-tools-44033-stainless-steel-pocket-knife-2-1-4-inch-drop-point-blade", "https://edmondsonsupply.com/collections/electricians-tools/products/klein-tools-44033-stainless-steel-pocket-knife-2-1-4-inch-drop-point-blade")</f>
        <v/>
      </c>
      <c r="B7305" s="2">
        <f>HYPERLINK("https://edmondsonsupply.com/products/klein-tools-44033-stainless-steel-pocket-knife-2-1-4-inch-drop-point-blade", "https://edmondsonsupply.com/products/klein-tools-44033-stainless-steel-pocket-knife-2-1-4-inch-drop-point-blade")</f>
        <v/>
      </c>
      <c r="C7305" t="inlineStr">
        <is>
          <t>Klein Tools 44033 Stainless Steel Pocket Knife, 2-1/4-Inch Drop Point Blade</t>
        </is>
      </c>
      <c r="D7305" t="inlineStr">
        <is>
          <t>Klein Tools 44033 Pocket Knife with 2-1/4-Inch Drop Point Blade</t>
        </is>
      </c>
      <c r="E7305" s="2">
        <f>HYPERLINK("https://www.amazon.com/Compact-Pocket-Klein-Tools-44033/dp/B000DLC0HC/ref=sr_1_1?keywords=Klein+Tools+44033+Stainless+Steel+Pocket+Knife%2C+2-1%2F4-Inch+Drop+Point+Blade&amp;qid=1694735160&amp;sr=8-1", "https://www.amazon.com/Compact-Pocket-Klein-Tools-44033/dp/B000DLC0HC/ref=sr_1_1?keywords=Klein+Tools+44033+Stainless+Steel+Pocket+Knife%2C+2-1%2F4-Inch+Drop+Point+Blade&amp;qid=1694735160&amp;sr=8-1")</f>
        <v/>
      </c>
      <c r="F7305" t="inlineStr">
        <is>
          <t>B000DLC0HC</t>
        </is>
      </c>
      <c r="G7305">
        <f>_xlfn.IMAGE("https://edmondsonsupply.com/cdn/shop/products/44033.jpg?v=1649893400")</f>
        <v/>
      </c>
      <c r="H7305">
        <f>_xlfn.IMAGE("https://m.media-amazon.com/images/I/41lVRYcGPKL._AC_UL320_.jpg")</f>
        <v/>
      </c>
      <c r="K7305" t="inlineStr">
        <is>
          <t>75.24</t>
        </is>
      </c>
      <c r="L7305" t="n">
        <v>45.06</v>
      </c>
      <c r="M7305" s="1" t="inlineStr">
        <is>
          <t>-40.11%</t>
        </is>
      </c>
      <c r="N7305" s="7" t="n"/>
      <c r="O7305" t="n">
        <v>4.8</v>
      </c>
      <c r="P7305" t="n">
        <v>191</v>
      </c>
      <c r="R7305" t="inlineStr">
        <is>
          <t>InStock</t>
        </is>
      </c>
      <c r="S7305" t="inlineStr">
        <is>
          <t>undefined</t>
        </is>
      </c>
      <c r="T7305" t="inlineStr">
        <is>
          <t>7662137835736</t>
        </is>
      </c>
    </row>
    <row r="7306" hidden="1" ht="15.75" customHeight="1">
      <c r="A7306" s="2">
        <f>HYPERLINK("https://edmondsonsupply.com/collections/electricians-tools/products/diablo-tools-dou250bw-2-1-2-in-universal-fit-bi-metal-oscillating-blade-for-nail-embedded-wood", "https://edmondsonsupply.com/collections/electricians-tools/products/diablo-tools-dou250bw-2-1-2-in-universal-fit-bi-metal-oscillating-blade-for-nail-embedded-wood")</f>
        <v/>
      </c>
      <c r="B7306" s="2">
        <f>HYPERLINK("https://edmondsonsupply.com/products/diablo-tools-dou250bw-2-1-2-in-universal-fit-bi-metal-oscillating-blade-for-nail-embedded-wood", "https://edmondsonsupply.com/products/diablo-tools-dou250bw-2-1-2-in-universal-fit-bi-metal-oscillating-blade-for-nail-embedded-wood")</f>
        <v/>
      </c>
      <c r="C7306" t="inlineStr">
        <is>
          <t>Diablo Tools DOU250BW 2-1/2 in. Universal Fit Bi-Metal Oscillating Blade for Nail-Embedded Wood</t>
        </is>
      </c>
      <c r="D7306" t="inlineStr">
        <is>
          <t>Diablo - DOU125BF 1-1/4 in. Universal Fit Bi-Metal Oscillating Blade for Metal</t>
        </is>
      </c>
      <c r="E7306" s="2">
        <f>HYPERLINK("https://www.amazon.com/Diablo-Freud-DOU125BF-Universal-Oscillating/dp/B089KV143Y/ref=sr_1_19?keywords=Diablo+Tools+DOU250BW+2-1%2F2+in.+Universal+Fit+Bi-Metal+Oscillating+Blade+for+Nail-Embedded+Wood&amp;qid=1694734995&amp;sr=8-19", "https://www.amazon.com/Diablo-Freud-DOU125BF-Universal-Oscillating/dp/B089KV143Y/ref=sr_1_19?keywords=Diablo+Tools+DOU250BW+2-1%2F2+in.+Universal+Fit+Bi-Metal+Oscillating+Blade+for+Nail-Embedded+Wood&amp;qid=1694734995&amp;sr=8-19")</f>
        <v/>
      </c>
      <c r="F7306" t="inlineStr">
        <is>
          <t>B089KV143Y</t>
        </is>
      </c>
      <c r="G7306">
        <f>_xludf.IMAGE("https://edmondsonsupply.com/cdn/shop/files/xcched1uye7bv2s0ryod.webp?v=1685717397")</f>
        <v/>
      </c>
      <c r="H7306">
        <f>_xludf.IMAGE("https://m.media-amazon.com/images/I/61mZfXlj-XL._AC_UL320_.jpg")</f>
        <v/>
      </c>
      <c r="K7306" t="inlineStr">
        <is>
          <t>19.97</t>
        </is>
      </c>
      <c r="L7306" t="n">
        <v>11.95</v>
      </c>
      <c r="M7306" s="1" t="inlineStr">
        <is>
          <t>-40.16%</t>
        </is>
      </c>
      <c r="N7306" s="1" t="n"/>
      <c r="O7306" t="n">
        <v>3.7</v>
      </c>
      <c r="P7306" t="n">
        <v>8</v>
      </c>
      <c r="R7306" t="inlineStr">
        <is>
          <t>InStock</t>
        </is>
      </c>
      <c r="S7306" t="inlineStr">
        <is>
          <t>24.85</t>
        </is>
      </c>
      <c r="T7306" t="inlineStr">
        <is>
          <t>7999559598296</t>
        </is>
      </c>
    </row>
    <row r="7307" hidden="1" ht="15.75" customHeight="1">
      <c r="A7307" s="2">
        <f>HYPERLINK("https://edmondsonsupply.com/collections/electricians-tools/products/klein-tools-1011m-metric-wire-stripper-cutter-stranded-wire", "https://edmondsonsupply.com/collections/electricians-tools/products/klein-tools-1011m-metric-wire-stripper-cutter-stranded-wire")</f>
        <v/>
      </c>
      <c r="B7307" s="2">
        <f>HYPERLINK("https://edmondsonsupply.com/products/klein-tools-1011m-metric-wire-stripper-cutter-stranded-wire", "https://edmondsonsupply.com/products/klein-tools-1011m-metric-wire-stripper-cutter-stranded-wire")</f>
        <v/>
      </c>
      <c r="C7307" t="inlineStr">
        <is>
          <t>Klein Tools 1011M Metric Wire Stripper/Cutter Stranded Wire</t>
        </is>
      </c>
      <c r="D7307" t="inlineStr">
        <is>
          <t>Klein Tools 1003 Wire Stripper and Cutter for Solid and Stranded Wire, Compact Yellow</t>
        </is>
      </c>
      <c r="E7307" s="2">
        <f>HYPERLINK("https://www.amazon.com/Stripper-Stranded-Klein-Tools-1003/dp/B000V6W5QU/ref=sr_1_4?keywords=Klein+Tools+1011M+Metric+Wire+Stripper%2FCutter+Stranded+Wire&amp;qid=1694735312&amp;sr=8-4", "https://www.amazon.com/Stripper-Stranded-Klein-Tools-1003/dp/B000V6W5QU/ref=sr_1_4?keywords=Klein+Tools+1011M+Metric+Wire+Stripper%2FCutter+Stranded+Wire&amp;qid=1694735312&amp;sr=8-4")</f>
        <v/>
      </c>
      <c r="F7307" t="inlineStr">
        <is>
          <t>B000V6W5QU</t>
        </is>
      </c>
      <c r="G7307">
        <f>_xludf.IMAGE("https://edmondsonsupply.com/cdn/shop/products/1011m.jpg?v=1633030273")</f>
        <v/>
      </c>
      <c r="H7307">
        <f>_xludf.IMAGE("https://m.media-amazon.com/images/I/41OXcwB6zvL._AC_UL320_.jpg")</f>
        <v/>
      </c>
      <c r="K7307" t="inlineStr">
        <is>
          <t>14.99</t>
        </is>
      </c>
      <c r="L7307" t="n">
        <v>8.960000000000001</v>
      </c>
      <c r="M7307" s="1" t="inlineStr">
        <is>
          <t>-40.23%</t>
        </is>
      </c>
      <c r="N7307" s="1" t="n"/>
      <c r="O7307" t="n">
        <v>4.6</v>
      </c>
      <c r="P7307" t="n">
        <v>627</v>
      </c>
      <c r="R7307" t="inlineStr">
        <is>
          <t>InStock</t>
        </is>
      </c>
      <c r="S7307" t="inlineStr">
        <is>
          <t>22.72</t>
        </is>
      </c>
      <c r="T7307" t="inlineStr">
        <is>
          <t>5237017772200</t>
        </is>
      </c>
    </row>
    <row r="7308" ht="87" customHeight="1">
      <c r="A7308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308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308" t="inlineStr">
        <is>
          <t>Diablo Tools DMAPL4180-P25 1/2 in. x 4 in. x 6 in. Rebar Demon™ SDS-Plus 4-Cutter Full Carbide Head Hammer Bit (25 Pack)</t>
        </is>
      </c>
      <c r="D7308" t="inlineStr">
        <is>
          <t>Diablo by Freud DMAPL4040-P25 3/16 in. x 4 in. x 6 in. Rebar Demon™ SDS-Plus 4-Cutter Full Carbide Head Hammer Bit (25-Pack)</t>
        </is>
      </c>
      <c r="E7308" s="2" t="n"/>
      <c r="F7308" t="inlineStr">
        <is>
          <t>B089LKW42D</t>
        </is>
      </c>
      <c r="G7308">
        <f>_xlfn.IMAGE("https://edmondsonsupply.com/cdn/shop/products/DMAPL4180-P25_Additional-Images_0120200331.png?v=1633030573")</f>
        <v/>
      </c>
      <c r="H7308">
        <f>_xlfn.IMAGE("https://m.media-amazon.com/images/I/61WAyx865hL._AC_UL320_.jpg")</f>
        <v/>
      </c>
      <c r="K7308" t="inlineStr">
        <is>
          <t>133.97</t>
        </is>
      </c>
      <c r="L7308" t="n">
        <v>79.63</v>
      </c>
      <c r="M7308" s="1" t="inlineStr">
        <is>
          <t>-40.56%</t>
        </is>
      </c>
      <c r="N7308" s="7" t="n"/>
      <c r="O7308" t="n">
        <v>5</v>
      </c>
      <c r="P7308" t="n">
        <v>2</v>
      </c>
      <c r="R7308" t="inlineStr">
        <is>
          <t>InStock</t>
        </is>
      </c>
      <c r="S7308" t="inlineStr">
        <is>
          <t>193.66</t>
        </is>
      </c>
      <c r="T7308" t="inlineStr">
        <is>
          <t>5524246659240</t>
        </is>
      </c>
    </row>
    <row r="7309" ht="87" customHeight="1">
      <c r="A7309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7309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7309" t="inlineStr">
        <is>
          <t>Klein Tools CL390 AC/DC Digital Clamp Meter, Auto-Ranging 400 Amp</t>
        </is>
      </c>
      <c r="D7309" t="inlineStr">
        <is>
          <t>Klein Tools CL120 Digital Clamp Meter, Auto-Ranging 400 Amp AC, AC/DC Voltage, Resistance, Continuity, Non-Contact Voltage Tester Detection</t>
        </is>
      </c>
      <c r="E7309" s="2">
        <f>HYPERLINK("https://www.amazon.com/Klein-Tools-CL120-Auto-Ranging-Measurements/dp/B08CP6GL49/ref=sr_1_8?keywords=Klein+Tools+CL390+AC%2FDC+Digital+Clamp+Meter%2C+Auto-Ranging+400+Amp&amp;qid=1694735129&amp;sr=8-8", "https://www.amazon.com/Klein-Tools-CL120-Auto-Ranging-Measurements/dp/B08CP6GL49/ref=sr_1_8?keywords=Klein+Tools+CL390+AC%2FDC+Digital+Clamp+Meter%2C+Auto-Ranging+400+Amp&amp;qid=1694735129&amp;sr=8-8")</f>
        <v/>
      </c>
      <c r="F7309" t="inlineStr">
        <is>
          <t>B08CP6GL49</t>
        </is>
      </c>
      <c r="G7309">
        <f>_xlfn.IMAGE("https://edmondsonsupply.com/cdn/shop/products/cl390.jpg?v=1662670722")</f>
        <v/>
      </c>
      <c r="H7309">
        <f>_xlfn.IMAGE("https://m.media-amazon.com/images/I/61kcTqY2rFL._AC_UY218_.jpg")</f>
        <v/>
      </c>
      <c r="K7309" t="inlineStr">
        <is>
          <t>99.97</t>
        </is>
      </c>
      <c r="L7309" t="n">
        <v>59.37</v>
      </c>
      <c r="M7309" s="1" t="inlineStr">
        <is>
          <t>-40.61%</t>
        </is>
      </c>
      <c r="N7309" s="7" t="n"/>
      <c r="O7309" t="n">
        <v>4.7</v>
      </c>
      <c r="P7309" t="n">
        <v>495</v>
      </c>
      <c r="R7309" t="inlineStr">
        <is>
          <t>InStock</t>
        </is>
      </c>
      <c r="S7309" t="inlineStr">
        <is>
          <t>133.3</t>
        </is>
      </c>
      <c r="T7309" t="inlineStr">
        <is>
          <t>7809430585560</t>
        </is>
      </c>
    </row>
    <row r="7310" ht="87" customHeight="1">
      <c r="A7310" s="2">
        <f>HYPERLINK("https://edmondsonsupply.com/collections/electricians-tools/products/klein-tools-5416tc-bolt-bag-top-closing-tool-pouch-with-tunnel-connect-5-x-10-x-9-inch", "https://edmondsonsupply.com/collections/electricians-tools/products/klein-tools-5416tc-bolt-bag-top-closing-tool-pouch-with-tunnel-connect-5-x-10-x-9-inch")</f>
        <v/>
      </c>
      <c r="B7310" s="2">
        <f>HYPERLINK("https://edmondsonsupply.com/products/klein-tools-5416tc-bolt-bag-top-closing-tool-pouch-with-tunnel-connect-5-x-10-x-9-inch", "https://edmondsonsupply.com/products/klein-tools-5416tc-bolt-bag-top-closing-tool-pouch-with-tunnel-connect-5-x-10-x-9-inch")</f>
        <v/>
      </c>
      <c r="C7310" t="inlineStr">
        <is>
          <t>Klein Tools 5416TC Bolt Bag, Top Closing Tool Pouch with Tunnel Connect, 5 x 10 x 9-Inch</t>
        </is>
      </c>
      <c r="D7310" t="inlineStr">
        <is>
          <t>Klein Tools 5416 Tool Pouch, Small Tool Bag for Bolt Storage with Bull Pin Loops and Belt Strap Connect, 5 x 10 x 9-Inch</t>
        </is>
      </c>
      <c r="E7310" s="2">
        <f>HYPERLINK("https://www.amazon.com/Canvas-Storage-Klein-Tools-5416/dp/B0002RI6JS/ref=sr_1_5?keywords=Klein+Tools+5416TC+Bolt+Bag%2C+Top+Closing+Tool+Pouch+with+Tunnel+Connect%2C+5+x+10+x+9-Inch&amp;qid=1694735257&amp;sr=8-5", "https://www.amazon.com/Canvas-Storage-Klein-Tools-5416/dp/B0002RI6JS/ref=sr_1_5?keywords=Klein+Tools+5416TC+Bolt+Bag%2C+Top+Closing+Tool+Pouch+with+Tunnel+Connect%2C+5+x+10+x+9-Inch&amp;qid=1694735257&amp;sr=8-5")</f>
        <v/>
      </c>
      <c r="F7310" t="inlineStr">
        <is>
          <t>B0002RI6JS</t>
        </is>
      </c>
      <c r="G7310">
        <f>_xlfn.IMAGE("https://edmondsonsupply.com/cdn/shop/products/5416tc.jpg?v=1633030625")</f>
        <v/>
      </c>
      <c r="H7310">
        <f>_xlfn.IMAGE("https://m.media-amazon.com/images/I/61w6J+DVn0L._AC_UL320_.jpg")</f>
        <v/>
      </c>
      <c r="K7310" t="inlineStr">
        <is>
          <t>29.37</t>
        </is>
      </c>
      <c r="L7310" t="n">
        <v>17.44</v>
      </c>
      <c r="M7310" s="1" t="inlineStr">
        <is>
          <t>-40.62%</t>
        </is>
      </c>
      <c r="N7310" s="7" t="n"/>
      <c r="O7310" t="n">
        <v>4.6</v>
      </c>
      <c r="P7310" t="n">
        <v>901</v>
      </c>
      <c r="R7310" t="inlineStr">
        <is>
          <t>InStock</t>
        </is>
      </c>
      <c r="S7310" t="inlineStr">
        <is>
          <t>46.6</t>
        </is>
      </c>
      <c r="T7310" t="inlineStr">
        <is>
          <t>5661413802152</t>
        </is>
      </c>
    </row>
    <row r="7311" ht="87" customHeight="1">
      <c r="A7311" s="2">
        <f>HYPERLINK("https://edmondsonsupply.com/collections/electricians-tools/products/copy-of-diablo-tools-dsd0875s12-3-8-in-7-8-in-impact-step-drill-bit-12-steps", "https://edmondsonsupply.com/collections/electricians-tools/products/copy-of-diablo-tools-dsd0875s12-3-8-in-7-8-in-impact-step-drill-bit-12-steps")</f>
        <v/>
      </c>
      <c r="B7311" s="2">
        <f>HYPERLINK("https://edmondsonsupply.com/products/copy-of-diablo-tools-dsd0875s12-3-8-in-7-8-in-impact-step-drill-bit-12-steps", "https://edmondsonsupply.com/products/copy-of-diablo-tools-dsd0875s12-3-8-in-7-8-in-impact-step-drill-bit-12-steps")</f>
        <v/>
      </c>
      <c r="C7311" t="inlineStr">
        <is>
          <t>Diablo Tools DSF2562 2-9/16 in. Dia. Self Feed Bit</t>
        </is>
      </c>
      <c r="D7311" t="inlineStr">
        <is>
          <t>Lenox Tools 1787566 Bi-Metal Self Feed Bit, 2-9/16-Inch</t>
        </is>
      </c>
      <c r="E7311" s="2">
        <f>HYPERLINK("https://www.amazon.com/Lenox-Tools-1787566-Bi-Metal-16-Inch/dp/B007YNB9OW/ref=sr_1_6?keywords=Diablo+Tools+DSF2562+2-9%2F16+in.+Dia.+Self+Feed+Bit&amp;qid=1694735319&amp;sr=8-6", "https://www.amazon.com/Lenox-Tools-1787566-Bi-Metal-16-Inch/dp/B007YNB9OW/ref=sr_1_6?keywords=Diablo+Tools+DSF2562+2-9%2F16+in.+Dia.+Self+Feed+Bit&amp;qid=1694735319&amp;sr=8-6")</f>
        <v/>
      </c>
      <c r="F7311" t="inlineStr">
        <is>
          <t>B007YNB9OW</t>
        </is>
      </c>
      <c r="G7311">
        <f>_xlfn.IMAGE("https://edmondsonsupply.com/cdn/shop/products/DSF2562_Main-Image.png?v=1633030265")</f>
        <v/>
      </c>
      <c r="H7311">
        <f>_xlfn.IMAGE("https://m.media-amazon.com/images/I/71d1HCAhogL._AC_UL320_.jpg")</f>
        <v/>
      </c>
      <c r="K7311" t="inlineStr">
        <is>
          <t>58.97</t>
        </is>
      </c>
      <c r="L7311" t="n">
        <v>35</v>
      </c>
      <c r="M7311" s="1" t="inlineStr">
        <is>
          <t>-40.65%</t>
        </is>
      </c>
      <c r="N7311" s="7" t="n"/>
      <c r="O7311" t="n">
        <v>4.4</v>
      </c>
      <c r="P7311" t="n">
        <v>140</v>
      </c>
      <c r="R7311" t="inlineStr">
        <is>
          <t>InStock</t>
        </is>
      </c>
      <c r="S7311" t="inlineStr">
        <is>
          <t>77.78</t>
        </is>
      </c>
      <c r="T7311" t="inlineStr">
        <is>
          <t>4643631726692</t>
        </is>
      </c>
    </row>
    <row r="7312" ht="87" customHeight="1">
      <c r="A7312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7312" s="2">
        <f>HYPERLINK("https://edmondsonsupply.com/products/klein-tools-et600-insulation-resistance-tester", "https://edmondsonsupply.com/products/klein-tools-et600-insulation-resistance-tester")</f>
        <v/>
      </c>
      <c r="C7312" t="inlineStr">
        <is>
          <t>Klein Tools ET600 Insulation Resistance Tester</t>
        </is>
      </c>
      <c r="D7312" t="inlineStr">
        <is>
          <t>Extech Non-Contact Phase Sequence Tester - PRT200 &amp; Klein Tools ET600 Multimeter, Megohmmeter Insulation Tester, 4000 Ohms Resistance, 125V/250V/500V/1000V, Auto-Ranging TRMS Multimeter</t>
        </is>
      </c>
      <c r="E7312" s="2">
        <f>HYPERLINK("https://www.amazon.com/Extech-Non-Contact-Sequence-Tester-Megohmmeter-Insulation/dp/B0BVGFMXSC/ref=sr_1_7?keywords=Klein+Tools+ET600+Insulation+Resistance+Tester&amp;qid=1694734978&amp;sr=8-7", "https://www.amazon.com/Extech-Non-Contact-Sequence-Tester-Megohmmeter-Insulation/dp/B0BVGFMXSC/ref=sr_1_7?keywords=Klein+Tools+ET600+Insulation+Resistance+Tester&amp;qid=1694734978&amp;sr=8-7")</f>
        <v/>
      </c>
      <c r="F7312" t="inlineStr">
        <is>
          <t>B0BVGFMXSC</t>
        </is>
      </c>
      <c r="G7312">
        <f>_xlfn.IMAGE("https://edmondsonsupply.com/cdn/shop/products/et600_accessories_b.jpg?v=1677685603")</f>
        <v/>
      </c>
      <c r="H7312">
        <f>_xlfn.IMAGE("https://m.media-amazon.com/images/I/51j7ddGiWcL._AC_UY218_.jpg")</f>
        <v/>
      </c>
      <c r="K7312" t="inlineStr">
        <is>
          <t>164.99</t>
        </is>
      </c>
      <c r="L7312" t="n">
        <v>97.89</v>
      </c>
      <c r="M7312" s="1" t="inlineStr">
        <is>
          <t>-40.67%</t>
        </is>
      </c>
      <c r="N7312" s="7" t="n"/>
      <c r="O7312" t="n">
        <v>4.7</v>
      </c>
      <c r="P7312" t="n">
        <v>256</v>
      </c>
      <c r="R7312" t="inlineStr">
        <is>
          <t>InStock</t>
        </is>
      </c>
      <c r="S7312" t="inlineStr">
        <is>
          <t>231.0</t>
        </is>
      </c>
      <c r="T7312" t="inlineStr">
        <is>
          <t>4411568095332</t>
        </is>
      </c>
    </row>
    <row r="7313" ht="87" customHeight="1">
      <c r="A7313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7313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7313" t="inlineStr">
        <is>
          <t>Channellock 430X 10-Inch SPEEDGRIP™ Straight Jaw Tongue &amp; Groove Pliers</t>
        </is>
      </c>
      <c r="D7313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7313" s="2">
        <f>HYPERLINK("https://www.amazon.com/Channellock-426-8-Inch-Capacity-2-Inch/dp/B00004SBCS/ref=sr_1_6?keywords=Channellock+430X+10-Inch+SPEEDGRIP%E2%84%A2+Straight+Jaw+Tongue+%26+Groove+Pliers&amp;qid=1694735165&amp;sr=8-6", "https://www.amazon.com/Channellock-426-8-Inch-Capacity-2-Inch/dp/B00004SBCS/ref=sr_1_6?keywords=Channellock+430X+10-Inch+SPEEDGRIP%E2%84%A2+Straight+Jaw+Tongue+%26+Groove+Pliers&amp;qid=1694735165&amp;sr=8-6")</f>
        <v/>
      </c>
      <c r="F7313" t="inlineStr">
        <is>
          <t>B00004SBCS</t>
        </is>
      </c>
      <c r="G7313">
        <f>_xlfn.IMAGE("https://edmondsonsupply.com/cdn/shop/products/430X.jpg?v=1647100497")</f>
        <v/>
      </c>
      <c r="H7313">
        <f>_xlfn.IMAGE("https://m.media-amazon.com/images/I/713NYKlIyoL._AC_UL320_.jpg")</f>
        <v/>
      </c>
      <c r="K7313" t="inlineStr">
        <is>
          <t>26.95</t>
        </is>
      </c>
      <c r="L7313" t="n">
        <v>15.95</v>
      </c>
      <c r="M7313" s="1" t="inlineStr">
        <is>
          <t>-40.82%</t>
        </is>
      </c>
      <c r="N7313" s="7" t="n"/>
      <c r="O7313" t="n">
        <v>4.7</v>
      </c>
      <c r="P7313" t="n">
        <v>1995</v>
      </c>
      <c r="R7313" t="inlineStr">
        <is>
          <t>InStock</t>
        </is>
      </c>
      <c r="S7313" t="inlineStr">
        <is>
          <t>40.47</t>
        </is>
      </c>
      <c r="T7313" t="inlineStr">
        <is>
          <t>7633790238936</t>
        </is>
      </c>
    </row>
    <row r="7314" ht="87" customHeight="1">
      <c r="A7314" s="2">
        <f>HYPERLINK("https://edmondsonsupply.com/collections/electricians-tools/products/channellock-430x-10-inch-speedgrip%E2%84%A2-straight-jaw-tongue-groove-pliers", "https://edmondsonsupply.com/collections/electricians-tools/products/channellock-430x-10-inch-speedgrip%E2%84%A2-straight-jaw-tongue-groove-pliers")</f>
        <v/>
      </c>
      <c r="B7314" s="2">
        <f>HYPERLINK("https://edmondsonsupply.com/products/channellock-430x-10-inch-speedgrip%e2%84%a2-straight-jaw-tongue-groove-pliers", "https://edmondsonsupply.com/products/channellock-430x-10-inch-speedgrip%e2%84%a2-straight-jaw-tongue-groove-pliers")</f>
        <v/>
      </c>
      <c r="C7314" t="inlineStr">
        <is>
          <t>Channellock 430X 10-Inch SPEEDGRIP™ Straight Jaw Tongue &amp; Groove Pliers</t>
        </is>
      </c>
      <c r="D7314" t="inlineStr">
        <is>
          <t>CHANNELLOCK 424 Straight Jaw Tongue &amp; Groove Pliers, 4.5-inch | 1/2-inch Jaw Capacity | 3 Adjustments | Forged High-Carbon U.S. Steel | 90° Teeth Grip in Both Directions | Made in USA, Polished Steel</t>
        </is>
      </c>
      <c r="E7314" s="2">
        <f>HYPERLINK("https://www.amazon.com/CHANNELLOCK-424-Adjustments-High-Carbon-Directions/dp/B00004SBCR/ref=sr_1_9?keywords=Channellock+430X+10-Inch+SPEEDGRIP%E2%84%A2+Straight+Jaw+Tongue+%26+Groove+Pliers&amp;qid=1694735165&amp;sr=8-9", "https://www.amazon.com/CHANNELLOCK-424-Adjustments-High-Carbon-Directions/dp/B00004SBCR/ref=sr_1_9?keywords=Channellock+430X+10-Inch+SPEEDGRIP%E2%84%A2+Straight+Jaw+Tongue+%26+Groove+Pliers&amp;qid=1694735165&amp;sr=8-9")</f>
        <v/>
      </c>
      <c r="F7314" t="inlineStr">
        <is>
          <t>B00004SBCR</t>
        </is>
      </c>
      <c r="G7314">
        <f>_xlfn.IMAGE("https://edmondsonsupply.com/cdn/shop/products/430X.jpg?v=1647100497")</f>
        <v/>
      </c>
      <c r="H7314">
        <f>_xlfn.IMAGE("https://m.media-amazon.com/images/I/71txViLKvZL._AC_UL320_.jpg")</f>
        <v/>
      </c>
      <c r="K7314" t="inlineStr">
        <is>
          <t>26.95</t>
        </is>
      </c>
      <c r="L7314" t="n">
        <v>15.95</v>
      </c>
      <c r="M7314" s="1" t="inlineStr">
        <is>
          <t>-40.82%</t>
        </is>
      </c>
      <c r="N7314" s="7" t="n"/>
      <c r="O7314" t="n">
        <v>4.7</v>
      </c>
      <c r="P7314" t="n">
        <v>1648</v>
      </c>
      <c r="R7314" t="inlineStr">
        <is>
          <t>InStock</t>
        </is>
      </c>
      <c r="S7314" t="inlineStr">
        <is>
          <t>40.47</t>
        </is>
      </c>
      <c r="T7314" t="inlineStr">
        <is>
          <t>7633790238936</t>
        </is>
      </c>
    </row>
    <row r="7315" hidden="1" ht="15.75" customHeight="1">
      <c r="A7315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7315" s="2">
        <f>HYPERLINK("https://edmondsonsupply.com/products/diablo-tools-dmast1050-5-8-in-x-2-1-16-x-sds-plus-2-cutter", "https://edmondsonsupply.com/products/diablo-tools-dmast1050-5-8-in-x-2-1-16-x-sds-plus-2-cutter")</f>
        <v/>
      </c>
      <c r="C7315" t="inlineStr">
        <is>
          <t>Diablo Tools DMAST1050 5/8 in. x 2-1/16 SDS-Plus 2-Cutter</t>
        </is>
      </c>
      <c r="D7315" t="inlineStr">
        <is>
          <t>Diablo DMAPL4120 5/16 in. x 10 in. x 12 in. Rebar Demon™ SDS-Plus 4-Cutter Full Carbide Head Hammer Bit</t>
        </is>
      </c>
      <c r="E7315" s="2">
        <f>HYPERLINK("https://www.amazon.com/Diablo-SDS-Plus-4-Cutter-Carbide-Hammer/dp/B089KTHL12/ref=sr_1_29?keywords=Diablo+Tools+DMAST1050+5%2F8+in.+x+2-1%2F16+SDS-Plus+2-Cutter&amp;qid=1694735304&amp;sr=8-29", "https://www.amazon.com/Diablo-SDS-Plus-4-Cutter-Carbide-Hammer/dp/B089KTHL12/ref=sr_1_29?keywords=Diablo+Tools+DMAST1050+5%2F8+in.+x+2-1%2F16+SDS-Plus+2-Cutter&amp;qid=1694735304&amp;sr=8-29")</f>
        <v/>
      </c>
      <c r="F7315" t="inlineStr">
        <is>
          <t>B089KTHL12</t>
        </is>
      </c>
      <c r="G7315">
        <f>_xludf.IMAGE("https://edmondsonsupply.com/cdn/shop/products/DMAST1050_1.jpg?v=1633030363")</f>
        <v/>
      </c>
      <c r="H7315">
        <f>_xludf.IMAGE("https://m.media-amazon.com/images/I/61P8b1v1TBL._AC_UL320_.jpg")</f>
        <v/>
      </c>
      <c r="K7315" t="inlineStr">
        <is>
          <t>21.97</t>
        </is>
      </c>
      <c r="L7315" t="n">
        <v>12.99</v>
      </c>
      <c r="M7315" s="1" t="inlineStr">
        <is>
          <t>-40.87%</t>
        </is>
      </c>
      <c r="N7315" s="1" t="n"/>
      <c r="O7315" t="n">
        <v>5</v>
      </c>
      <c r="P7315" t="n">
        <v>6</v>
      </c>
      <c r="R7315" t="inlineStr">
        <is>
          <t>InStock</t>
        </is>
      </c>
      <c r="S7315" t="inlineStr">
        <is>
          <t>29.12</t>
        </is>
      </c>
      <c r="T7315" t="inlineStr">
        <is>
          <t>5286938869928</t>
        </is>
      </c>
    </row>
    <row r="7316" hidden="1" ht="15.75" customHeight="1">
      <c r="A7316" s="2">
        <f>HYPERLINK("https://edmondsonsupply.com/collections/electricians-tools/products/klein-tools-jth9e10-5-32-inch-hex-key-journeyman-t-handle-9-inch", "https://edmondsonsupply.com/collections/electricians-tools/products/klein-tools-jth9e10-5-32-inch-hex-key-journeyman-t-handle-9-inch")</f>
        <v/>
      </c>
      <c r="B7316" s="2">
        <f>HYPERLINK("https://edmondsonsupply.com/products/klein-tools-jth9e10-5-32-inch-hex-key-journeyman-t-handle-9-inch", "https://edmondsonsupply.com/products/klein-tools-jth9e10-5-32-inch-hex-key-journeyman-t-handle-9-inch")</f>
        <v/>
      </c>
      <c r="C7316" t="inlineStr">
        <is>
          <t>Klein Tools JTH9E10 5/32-Inch Hex Key, Journeyman T-Handle, 9-Inch</t>
        </is>
      </c>
      <c r="D7316" t="inlineStr">
        <is>
          <t>5/32-Inch Hex Key with Journeyman T-Handle, 9-Inch Klein Tools JTH9E10</t>
        </is>
      </c>
      <c r="E7316" s="2">
        <f>HYPERLINK("https://www.amazon.com/Journeyman-T-Handle-Klein-Tools-JTH9E10/dp/B004QV8H90/ref=sr_1_1?keywords=Klein+Tools+JTH9E10+5%2F32-Inch+Hex+Key%2C+Journeyman+T-Handle%2C+9-Inch&amp;qid=1694735165&amp;sr=8-1", "https://www.amazon.com/Journeyman-T-Handle-Klein-Tools-JTH9E10/dp/B004QV8H90/ref=sr_1_1?keywords=Klein+Tools+JTH9E10+5%2F32-Inch+Hex+Key%2C+Journeyman+T-Handle%2C+9-Inch&amp;qid=1694735165&amp;sr=8-1")</f>
        <v/>
      </c>
      <c r="F7316" t="inlineStr">
        <is>
          <t>B004QV8H90</t>
        </is>
      </c>
      <c r="G7316">
        <f>_xludf.IMAGE("https://edmondsonsupply.com/cdn/shop/products/jth9e12_37b16542-2f59-465e-8bba-0a543803dfd0.jpg?v=1647892900")</f>
        <v/>
      </c>
      <c r="H7316">
        <f>_xludf.IMAGE("https://m.media-amazon.com/images/I/51Yb8h41vLL._AC_UL320_.jpg")</f>
        <v/>
      </c>
      <c r="K7316" t="inlineStr">
        <is>
          <t>7.6</t>
        </is>
      </c>
      <c r="L7316" t="n">
        <v>4.49</v>
      </c>
      <c r="M7316" s="1" t="inlineStr">
        <is>
          <t>-40.92%</t>
        </is>
      </c>
      <c r="N7316" s="1" t="n"/>
      <c r="O7316" t="n">
        <v>4.8</v>
      </c>
      <c r="P7316" t="n">
        <v>293</v>
      </c>
      <c r="R7316" t="inlineStr">
        <is>
          <t>OutOfStock</t>
        </is>
      </c>
      <c r="S7316" t="inlineStr">
        <is>
          <t>undefined</t>
        </is>
      </c>
      <c r="T7316" t="inlineStr">
        <is>
          <t>7640873205976</t>
        </is>
      </c>
    </row>
    <row r="7317" ht="87" customHeight="1">
      <c r="A7317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317" s="2">
        <f>HYPERLINK("https://edmondsonsupply.com/products/diablo-tools-dmapl2530-1-in-x-16-in-x-18-in-sds-plus-2-cutter", "https://edmondsonsupply.com/products/diablo-tools-dmapl2530-1-in-x-16-in-x-18-in-sds-plus-2-cutter")</f>
        <v/>
      </c>
      <c r="C7317" t="inlineStr">
        <is>
          <t>Diablo Tools DMAPL2530 1 in. x 16 in. x 18 in. SDS-Plus 2-Cutter</t>
        </is>
      </c>
      <c r="D7317" t="inlineStr">
        <is>
          <t>Diablo by Freud DMAPL4200 1/2 in. x 16 in. x 18 in. Rebar Demon SDS-Plus 4-Cutter Full Carbide Head Hammer Bit</t>
        </is>
      </c>
      <c r="E7317" s="2">
        <f>HYPERLINK("https://www.amazon.com/Diablo-Freud-DMAPL4200-SDS-Plus-4-Cutter/dp/B089KW2QV1/ref=sr_1_7?keywords=Diablo+Tools+DMAPL2530+1+in.+x+16+in.+x+18+in.+SDS-Plus+2-Cutter&amp;qid=1694735204&amp;sr=8-7", "https://www.amazon.com/Diablo-Freud-DMAPL4200-SDS-Plus-4-Cutter/dp/B089KW2QV1/ref=sr_1_7?keywords=Diablo+Tools+DMAPL2530+1+in.+x+16+in.+x+18+in.+SDS-Plus+2-Cutter&amp;qid=1694735204&amp;sr=8-7")</f>
        <v/>
      </c>
      <c r="F7317" t="inlineStr">
        <is>
          <t>B089KW2QV1</t>
        </is>
      </c>
      <c r="G7317">
        <f>_xlfn.IMAGE("https://edmondsonsupply.com/cdn/shop/products/DMAPL2530_Main-Image20200703.png?v=1627068300")</f>
        <v/>
      </c>
      <c r="H7317">
        <f>_xlfn.IMAGE("https://m.media-amazon.com/images/I/61rW+ROVmNL._AC_UL320_.jpg")</f>
        <v/>
      </c>
      <c r="K7317" t="inlineStr">
        <is>
          <t>38.97</t>
        </is>
      </c>
      <c r="L7317" t="n">
        <v>23</v>
      </c>
      <c r="M7317" s="1" t="inlineStr">
        <is>
          <t>-40.98%</t>
        </is>
      </c>
      <c r="N7317" s="7" t="n"/>
      <c r="O7317" t="n">
        <v>4.7</v>
      </c>
      <c r="P7317" t="n">
        <v>18</v>
      </c>
      <c r="R7317" t="inlineStr">
        <is>
          <t>InStock</t>
        </is>
      </c>
      <c r="S7317" t="inlineStr">
        <is>
          <t>50.56</t>
        </is>
      </c>
      <c r="T7317" t="inlineStr">
        <is>
          <t>6839623778477</t>
        </is>
      </c>
    </row>
    <row r="7318" ht="87" customHeight="1">
      <c r="A7318" s="2">
        <f>HYPERLINK("https://edmondsonsupply.com/collections/electricians-tools/products/tajima-gk-g240-g-saw%E2%84%A2-240-folding-pull-stroke-saw-9-tpi-blade", "https://edmondsonsupply.com/collections/electricians-tools/products/tajima-gk-g240-g-saw%E2%84%A2-240-folding-pull-stroke-saw-9-tpi-blade")</f>
        <v/>
      </c>
      <c r="B7318" s="2">
        <f>HYPERLINK("https://edmondsonsupply.com/products/tajima-gk-g240-g-saw%e2%84%a2-240-folding-pull-stroke-saw-9-tpi-blade", "https://edmondsonsupply.com/products/tajima-gk-g240-g-saw%e2%84%a2-240-folding-pull-stroke-saw-9-tpi-blade")</f>
        <v/>
      </c>
      <c r="C7318" t="inlineStr">
        <is>
          <t>Tajima GK-G240 G-Saw™ 240 Folding Pull-Stroke Saw, 9 TPI Blade</t>
        </is>
      </c>
      <c r="D7318" t="inlineStr">
        <is>
          <t>TAJIMA Pull-Stroke Saw - 240 mm x 9 TPI Japanese Flush Cut Hand Saw with Multi-Position Blade &amp; Elastomer Folding Handle - GK-G240</t>
        </is>
      </c>
      <c r="E7318" s="2">
        <f>HYPERLINK("https://www.amazon.com/TAJIMA-Pull-Stroke-Saw-Multi-Position-Elastomer/dp/B0008Z7FEG/ref=sr_1_1?keywords=Tajima+GK-G240+G-Saw%E2%84%A2+240+Folding+Pull-Stroke+Saw%2C+9+TPI+Blade&amp;qid=1694735181&amp;sr=8-1", "https://www.amazon.com/TAJIMA-Pull-Stroke-Saw-Multi-Position-Elastomer/dp/B0008Z7FEG/ref=sr_1_1?keywords=Tajima+GK-G240+G-Saw%E2%84%A2+240+Folding+Pull-Stroke+Saw%2C+9+TPI+Blade&amp;qid=1694735181&amp;sr=8-1")</f>
        <v/>
      </c>
      <c r="F7318" t="inlineStr">
        <is>
          <t>B0008Z7FEG</t>
        </is>
      </c>
      <c r="G7318">
        <f>_xlfn.IMAGE("https://edmondsonsupply.com/cdn/shop/products/GK-G240.jpg?v=1637114454")</f>
        <v/>
      </c>
      <c r="H7318">
        <f>_xlfn.IMAGE("https://m.media-amazon.com/images/I/51sbHsvfz+L._AC_UL320_.jpg")</f>
        <v/>
      </c>
      <c r="K7318" t="inlineStr">
        <is>
          <t>36.29</t>
        </is>
      </c>
      <c r="L7318" t="n">
        <v>21.4</v>
      </c>
      <c r="M7318" s="1" t="inlineStr">
        <is>
          <t>-41.03%</t>
        </is>
      </c>
      <c r="N7318" s="7" t="n"/>
      <c r="O7318" t="n">
        <v>4.7</v>
      </c>
      <c r="P7318" t="n">
        <v>152</v>
      </c>
      <c r="R7318" t="inlineStr">
        <is>
          <t>InStock</t>
        </is>
      </c>
      <c r="S7318" t="inlineStr">
        <is>
          <t>undefined</t>
        </is>
      </c>
      <c r="T7318" t="inlineStr">
        <is>
          <t>7509499543768</t>
        </is>
      </c>
    </row>
    <row r="7319" hidden="1" ht="15.75" customHeight="1">
      <c r="A7319" s="2">
        <f>HYPERLINK("https://edmondsonsupply.com/collections/electricians-tools/products/milwaukee-48-22-2181-9-key-folding-hex-key-set-sae", "https://edmondsonsupply.com/collections/electricians-tools/products/milwaukee-48-22-2181-9-key-folding-hex-key-set-sae")</f>
        <v/>
      </c>
      <c r="B7319" s="2">
        <f>HYPERLINK("https://edmondsonsupply.com/products/milwaukee-48-22-2181-9-key-folding-hex-key-set-sae", "https://edmondsonsupply.com/products/milwaukee-48-22-2181-9-key-folding-hex-key-set-sae")</f>
        <v/>
      </c>
      <c r="C7319" t="inlineStr">
        <is>
          <t>Milwaukee 48-22-2181 9-Key Folding Hex Key Set - SAE</t>
        </is>
      </c>
      <c r="D7319" t="inlineStr">
        <is>
          <t>SATA 9-Piece SAE Folding Hex Key Set with Alloy Steel Construction and Ergonomic Dual Material Comfort Grip - ST09122SJ</t>
        </is>
      </c>
      <c r="E7319" s="2">
        <f>HYPERLINK("https://www.amazon.com/SATA-9-Piece-Construction-Ergonomic-Material/dp/B0779MSRZX/ref=sr_1_9?keywords=Milwaukee+48-22-2181+9-Key+Folding+Hex+Key+Set+-+SAE&amp;qid=1694735005&amp;sr=8-9", "https://www.amazon.com/SATA-9-Piece-Construction-Ergonomic-Material/dp/B0779MSRZX/ref=sr_1_9?keywords=Milwaukee+48-22-2181+9-Key+Folding+Hex+Key+Set+-+SAE&amp;qid=1694735005&amp;sr=8-9")</f>
        <v/>
      </c>
      <c r="F7319" t="inlineStr">
        <is>
          <t>B0779MSRZX</t>
        </is>
      </c>
      <c r="G7319">
        <f>_xludf.IMAGE("https://edmondsonsupply.com/cdn/shop/products/48-22-2181_101.webp?v=1680111790")</f>
        <v/>
      </c>
      <c r="H7319">
        <f>_xludf.IMAGE("https://m.media-amazon.com/images/I/81cQMqP9pWL._AC_UL320_.jpg")</f>
        <v/>
      </c>
      <c r="K7319" t="inlineStr">
        <is>
          <t>16.97</t>
        </is>
      </c>
      <c r="L7319" t="n">
        <v>9.99</v>
      </c>
      <c r="M7319" s="1" t="inlineStr">
        <is>
          <t>-41.13%</t>
        </is>
      </c>
      <c r="N7319" s="1" t="n"/>
      <c r="O7319" t="n">
        <v>4.6</v>
      </c>
      <c r="P7319" t="n">
        <v>357</v>
      </c>
      <c r="R7319" t="inlineStr">
        <is>
          <t>InStock</t>
        </is>
      </c>
      <c r="S7319" t="inlineStr">
        <is>
          <t>23.0</t>
        </is>
      </c>
      <c r="T7319" t="inlineStr">
        <is>
          <t>7969751957720</t>
        </is>
      </c>
    </row>
    <row r="7320" hidden="1" ht="15.75" customHeight="1">
      <c r="A7320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320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320" t="inlineStr">
        <is>
          <t>Diablo Tools DMAMX1360 1-1/2 in. x 16 in. x 21 in. Rebar Demon™ SDS-Max 4-Cutter Carbide-Tipped Hammer Drill Bit</t>
        </is>
      </c>
      <c r="D7320" t="inlineStr">
        <is>
          <t>Diablo 1" x 16" x 21" Rebar Demon™ SDS-Max 4-Cutter Full Carbide Head Hammer Bit</t>
        </is>
      </c>
      <c r="E7320" s="2">
        <f>HYPERLINK("https://www.amazon.com/Diablo-SDS-Max-4-Cutter-Carbide-Hammer/dp/B089LN5QN7/ref=sr_1_10?keywords=Diablo+Tools+DMAMX1360+1-1%2F2+in.+x+16+in.+x+21+in.+Rebar+Demon%E2%84%A2+SDS-Max+4-Cutter+Carbide-Tipped+Hammer+Drill+Bit&amp;qid=1694735042&amp;sr=8-10", "https://www.amazon.com/Diablo-SDS-Max-4-Cutter-Carbide-Hammer/dp/B089LN5QN7/ref=sr_1_10?keywords=Diablo+Tools+DMAMX1360+1-1%2F2+in.+x+16+in.+x+21+in.+Rebar+Demon%E2%84%A2+SDS-Max+4-Cutter+Carbide-Tipped+Hammer+Drill+Bit&amp;qid=1694735042&amp;sr=8-10")</f>
        <v/>
      </c>
      <c r="F7320" t="inlineStr">
        <is>
          <t>B089LN5QN7</t>
        </is>
      </c>
      <c r="G7320">
        <f>_xludf.IMAGE("https://edmondsonsupply.com/cdn/shop/products/z2umcsdaj3y4uvsfnxoh.webp?v=1677257156")</f>
        <v/>
      </c>
      <c r="H7320">
        <f>_xludf.IMAGE("https://m.media-amazon.com/images/I/6182PTqKZGL._AC_UL320_.jpg")</f>
        <v/>
      </c>
      <c r="K7320" t="inlineStr">
        <is>
          <t>93.87</t>
        </is>
      </c>
      <c r="L7320" t="n">
        <v>55.24</v>
      </c>
      <c r="M7320" s="1" t="inlineStr">
        <is>
          <t>-41.15%</t>
        </is>
      </c>
      <c r="N7320" s="1" t="n"/>
      <c r="O7320" t="n">
        <v>3.6</v>
      </c>
      <c r="P7320" t="n">
        <v>4</v>
      </c>
      <c r="R7320" t="inlineStr">
        <is>
          <t>InStock</t>
        </is>
      </c>
      <c r="S7320" t="inlineStr">
        <is>
          <t>149.01</t>
        </is>
      </c>
      <c r="T7320" t="inlineStr">
        <is>
          <t>7950786855128</t>
        </is>
      </c>
    </row>
    <row r="7321" ht="87" customHeight="1">
      <c r="A7321" s="2">
        <f>HYPERLINK("https://edmondsonsupply.com/collections/electricians-tools/products/klein-tools-9416r-1000v-insulated-tool-kit-3-piece", "https://edmondsonsupply.com/collections/electricians-tools/products/klein-tools-9416r-1000v-insulated-tool-kit-3-piece")</f>
        <v/>
      </c>
      <c r="B7321" s="2">
        <f>HYPERLINK("https://edmondsonsupply.com/products/klein-tools-9416r-1000v-insulated-tool-kit-3-piece", "https://edmondsonsupply.com/products/klein-tools-9416r-1000v-insulated-tool-kit-3-piece")</f>
        <v/>
      </c>
      <c r="C7321" t="inlineStr">
        <is>
          <t>Klein Tools 9416R 1000V Insulated Tool Kit, 3-Piece</t>
        </is>
      </c>
      <c r="D7321" t="inlineStr">
        <is>
          <t>Klein Tools 33736INS Insulated Screwdriver Set, 1000V Slim-Tip Driver with Phillips, Cabinet and Square Bits and a Magnetizer, 6-Piece</t>
        </is>
      </c>
      <c r="E7321" s="2">
        <f>HYPERLINK("https://www.amazon.com/Klein-Tools-33736INS-Screwdriver-Magnetizer/dp/B09GPZPMTD/ref=sr_1_7?keywords=Klein+Tools+9416R+1000V+Insulated+Tool+Kit%2C+3-Piece&amp;qid=1694735088&amp;sr=8-7", "https://www.amazon.com/Klein-Tools-33736INS-Screwdriver-Magnetizer/dp/B09GPZPMTD/ref=sr_1_7?keywords=Klein+Tools+9416R+1000V+Insulated+Tool+Kit%2C+3-Piece&amp;qid=1694735088&amp;sr=8-7")</f>
        <v/>
      </c>
      <c r="F7321" t="inlineStr">
        <is>
          <t>B09GPZPMTD</t>
        </is>
      </c>
      <c r="G7321">
        <f>_xlfn.IMAGE("https://edmondsonsupply.com/cdn/shop/products/9416r.jpg?v=1667327475")</f>
        <v/>
      </c>
      <c r="H7321">
        <f>_xlfn.IMAGE("https://m.media-amazon.com/images/I/51W2DUA3c7L._AC_UL320_.jpg")</f>
        <v/>
      </c>
      <c r="K7321" t="inlineStr">
        <is>
          <t>84.99</t>
        </is>
      </c>
      <c r="L7321" t="n">
        <v>49.99</v>
      </c>
      <c r="M7321" s="1" t="inlineStr">
        <is>
          <t>-41.18%</t>
        </is>
      </c>
      <c r="N7321" s="7" t="n"/>
      <c r="O7321" t="n">
        <v>4.8</v>
      </c>
      <c r="P7321" t="n">
        <v>414</v>
      </c>
      <c r="R7321" t="inlineStr">
        <is>
          <t>InStock</t>
        </is>
      </c>
      <c r="S7321" t="inlineStr">
        <is>
          <t>127.48</t>
        </is>
      </c>
      <c r="T7321" t="inlineStr">
        <is>
          <t>7872648347864</t>
        </is>
      </c>
    </row>
    <row r="7322" hidden="1" ht="15.75" customHeight="1">
      <c r="A7322" s="2">
        <f>HYPERLINK("https://edmondsonsupply.com/collections/electricians-tools/products/crescent-tools-caead332-eshok-guard%E2%84%A2-socket-isolator-1-2-x-2-1-2", "https://edmondsonsupply.com/collections/electricians-tools/products/crescent-tools-caead332-eshok-guard%E2%84%A2-socket-isolator-1-2-x-2-1-2")</f>
        <v/>
      </c>
      <c r="B7322" s="2">
        <f>HYPERLINK("https://edmondsonsupply.com/products/crescent-tools-caead332-eshok-guard%e2%84%a2-socket-isolator-1-2-x-2-1-2", "https://edmondsonsupply.com/products/crescent-tools-caead332-eshok-guard%e2%84%a2-socket-isolator-1-2-x-2-1-2")</f>
        <v/>
      </c>
      <c r="C7322" t="inlineStr">
        <is>
          <t>Crescent Tools CAEAD332 eSHOK-GUARD™ Socket Isolator 1/2" x 2-1/2"</t>
        </is>
      </c>
      <c r="D7322" t="inlineStr">
        <is>
          <t>APEX - Eshok-Guard 1/2" Socket Isolator (CAEAD332)</t>
        </is>
      </c>
      <c r="E7322" s="2">
        <f>HYPERLINK("https://www.amazon.com/CRESCENT-APEX-eSHOK-GUARD-Socket/dp/B08SP7FFB4/ref=sr_1_1?keywords=Crescent+Tools+CAEAD332+eSHOK-GUARD%E2%84%A2+Socket+Isolator+1%2F2%22+x+2-1%2F2%22&amp;qid=1694735025&amp;sr=8-1", "https://www.amazon.com/CRESCENT-APEX-eSHOK-GUARD-Socket/dp/B08SP7FFB4/ref=sr_1_1?keywords=Crescent+Tools+CAEAD332+eSHOK-GUARD%E2%84%A2+Socket+Isolator+1%2F2%22+x+2-1%2F2%22&amp;qid=1694735025&amp;sr=8-1")</f>
        <v/>
      </c>
      <c r="F7322" t="inlineStr">
        <is>
          <t>B08SP7FFB4</t>
        </is>
      </c>
      <c r="G7322">
        <f>_xludf.IMAGE("https://edmondsonsupply.com/cdn/shop/products/APX_CAEAD332_IMG_MAIN.jpg?v=1678747341")</f>
        <v/>
      </c>
      <c r="H7322">
        <f>_xludf.IMAGE("https://m.media-amazon.com/images/I/31uJTqP0gpL._AC_UL320_.jpg")</f>
        <v/>
      </c>
      <c r="K7322" t="inlineStr">
        <is>
          <t>15.49</t>
        </is>
      </c>
      <c r="L7322" t="n">
        <v>9.109999999999999</v>
      </c>
      <c r="M7322" s="1" t="inlineStr">
        <is>
          <t>-41.19%</t>
        </is>
      </c>
      <c r="N7322" s="1" t="n"/>
      <c r="O7322" t="n">
        <v>4.9</v>
      </c>
      <c r="P7322" t="n">
        <v>52</v>
      </c>
      <c r="R7322" t="inlineStr">
        <is>
          <t>InStock</t>
        </is>
      </c>
      <c r="S7322" t="inlineStr">
        <is>
          <t>28.19</t>
        </is>
      </c>
      <c r="T7322" t="inlineStr">
        <is>
          <t>7961092292824</t>
        </is>
      </c>
    </row>
    <row r="7323" ht="87" customHeight="1">
      <c r="A7323" s="2">
        <f>HYPERLINK("https://edmondsonsupply.com/collections/electricians-tools/products/milwaukee-49-56-0233-4-1-2-hole-dozer%E2%84%A2-hole-saw-bi-metal-cup", "https://edmondsonsupply.com/collections/electricians-tools/products/milwaukee-49-56-0233-4-1-2-hole-dozer%E2%84%A2-hole-saw-bi-metal-cup")</f>
        <v/>
      </c>
      <c r="B7323" s="2">
        <f>HYPERLINK("https://edmondsonsupply.com/products/milwaukee-49-56-0233-4-1-2-hole-dozer%e2%84%a2-hole-saw-bi-metal-cup", "https://edmondsonsupply.com/products/milwaukee-49-56-0233-4-1-2-hole-dozer%e2%84%a2-hole-saw-bi-metal-cup")</f>
        <v/>
      </c>
      <c r="C7323" t="inlineStr">
        <is>
          <t>Milwaukee 49-56-0233 4-1/2" HOLE DOZER™ Hole Saw Bi-Metal Cup</t>
        </is>
      </c>
      <c r="D7323" t="inlineStr">
        <is>
          <t>Milwaukee Electric Tool 49-56-0193 Bi-Metal Hole Saw, 3-1/2"</t>
        </is>
      </c>
      <c r="E7323" s="2">
        <f>HYPERLINK("https://www.amazon.com/Milwaukee-Electric-Tool-49-56-0193-Bi-Metal/dp/B0017WTULA/ref=sr_1_3?keywords=Milwaukee+49-56-0233+4-1%2F2%22+HOLE+DOZER%E2%84%A2+Hole+Saw+Bi-Metal+Cup&amp;qid=1694735026&amp;sr=8-3", "https://www.amazon.com/Milwaukee-Electric-Tool-49-56-0193-Bi-Metal/dp/B0017WTULA/ref=sr_1_3?keywords=Milwaukee+49-56-0233+4-1%2F2%22+HOLE+DOZER%E2%84%A2+Hole+Saw+Bi-Metal+Cup&amp;qid=1694735026&amp;sr=8-3")</f>
        <v/>
      </c>
      <c r="F7323" t="inlineStr">
        <is>
          <t>B0017WTULA</t>
        </is>
      </c>
      <c r="G7323">
        <f>_xlfn.IMAGE("https://edmondsonsupply.com/cdn/shop/products/49-56-0052_101_1.webp?v=1678909204")</f>
        <v/>
      </c>
      <c r="H7323">
        <f>_xlfn.IMAGE("https://m.media-amazon.com/images/I/51Yfl2-hbuL._AC_UL320_.jpg")</f>
        <v/>
      </c>
      <c r="K7323" t="inlineStr">
        <is>
          <t>32.49</t>
        </is>
      </c>
      <c r="L7323" t="n">
        <v>19.09</v>
      </c>
      <c r="M7323" s="1" t="inlineStr">
        <is>
          <t>-41.24%</t>
        </is>
      </c>
      <c r="N7323" s="7" t="n"/>
      <c r="O7323" t="n">
        <v>4.6</v>
      </c>
      <c r="P7323" t="n">
        <v>249</v>
      </c>
      <c r="R7323" t="inlineStr">
        <is>
          <t>InStock</t>
        </is>
      </c>
      <c r="S7323" t="inlineStr">
        <is>
          <t>65.7</t>
        </is>
      </c>
      <c r="T7323" t="inlineStr">
        <is>
          <t>7962111344856</t>
        </is>
      </c>
    </row>
    <row r="7324" ht="87" customHeight="1">
      <c r="A7324" s="2">
        <f>HYPERLINK("https://edmondsonsupply.com/collections/electricians-tools/products/klein-tools-702-12-12-high-tension-hacksaw", "https://edmondsonsupply.com/collections/electricians-tools/products/klein-tools-702-12-12-high-tension-hacksaw")</f>
        <v/>
      </c>
      <c r="B7324" s="2">
        <f>HYPERLINK("https://edmondsonsupply.com/products/klein-tools-702-12-12-high-tension-hacksaw", "https://edmondsonsupply.com/products/klein-tools-702-12-12-high-tension-hacksaw")</f>
        <v/>
      </c>
      <c r="C7324" t="inlineStr">
        <is>
          <t>Klein Tools 702-12 High-Tension Hacksaw</t>
        </is>
      </c>
      <c r="D7324" t="inlineStr">
        <is>
          <t>AIRAJ 12 inch Adjustable Hacksaw Frame Set,Tools High-Tension Hacksaw,with 10 Hacksaw Blades,Suitable for Gardeners,PVC Pipes,Metal Pipes,Wood Saws.</t>
        </is>
      </c>
      <c r="E7324" s="2">
        <f>HYPERLINK("https://www.amazon.com/AIRAJ-Adjustable-Tension-Hacksaw-Multifunction/dp/B083HW8KQZ/ref=sr_1_3?keywords=Klein+Tools+702-12+High-Tension+Hacksaw&amp;qid=1694735360&amp;sr=8-3", "https://www.amazon.com/AIRAJ-Adjustable-Tension-Hacksaw-Multifunction/dp/B083HW8KQZ/ref=sr_1_3?keywords=Klein+Tools+702-12+High-Tension+Hacksaw&amp;qid=1694735360&amp;sr=8-3")</f>
        <v/>
      </c>
      <c r="F7324" t="inlineStr">
        <is>
          <t>B083HW8KQZ</t>
        </is>
      </c>
      <c r="G7324">
        <f>_xlfn.IMAGE("https://edmondsonsupply.com/cdn/shop/products/702-12.jpg?v=1587145235")</f>
        <v/>
      </c>
      <c r="H7324">
        <f>_xlfn.IMAGE("https://m.media-amazon.com/images/I/61kka0uhdeL._AC_UL320_.jpg")</f>
        <v/>
      </c>
      <c r="K7324" t="inlineStr">
        <is>
          <t>28.99</t>
        </is>
      </c>
      <c r="L7324" t="n">
        <v>16.99</v>
      </c>
      <c r="M7324" s="1" t="inlineStr">
        <is>
          <t>-41.39%</t>
        </is>
      </c>
      <c r="N7324" s="7" t="n"/>
      <c r="O7324" t="n">
        <v>4.5</v>
      </c>
      <c r="P7324" t="n">
        <v>1244</v>
      </c>
      <c r="R7324" t="inlineStr">
        <is>
          <t>InStock</t>
        </is>
      </c>
      <c r="S7324" t="inlineStr">
        <is>
          <t>43.94</t>
        </is>
      </c>
      <c r="T7324" t="inlineStr">
        <is>
          <t>4432213704804</t>
        </is>
      </c>
    </row>
    <row r="7325" ht="87" customHeight="1">
      <c r="A7325" s="2">
        <f>HYPERLINK("https://edmondsonsupply.com/collections/electricians-tools/products/fluke-2ac-non-contact-voltage-tester-90-to-1000v", "https://edmondsonsupply.com/collections/electricians-tools/products/fluke-2ac-non-contact-voltage-tester-90-to-1000v")</f>
        <v/>
      </c>
      <c r="B7325" s="2">
        <f>HYPERLINK("https://edmondsonsupply.com/products/fluke-2ac-non-contact-voltage-tester-90-to-1000v", "https://edmondsonsupply.com/products/fluke-2ac-non-contact-voltage-tester-90-to-1000v")</f>
        <v/>
      </c>
      <c r="C7325" t="inlineStr">
        <is>
          <t>Fluke 2AC Non-Contact Voltage Tester, 90 to 1000V</t>
        </is>
      </c>
      <c r="D7325" t="inlineStr">
        <is>
          <t>Fluke 1AC-A1-II VoltAlert Non-Contact Voltage Tester, Pocket-Sized, Voltage Detection Range 90 V to 1000 V AC, Audible Beeper, Silent Mode, Includes Batteries And 2 Year Warranty, CAT IV 1000 V Rating</t>
        </is>
      </c>
      <c r="E7325" s="2">
        <f>HYPERLINK("https://www.amazon.com/Fluke-1AC-A1-II-VoltAlert-Non-Contact-Voltage/dp/B000EJ332O/ref=sr_1_1?keywords=Fluke+2AC+Non-Contact+Voltage+Tester%2C+90+to+1000V&amp;qid=1694735227&amp;sr=8-1", "https://www.amazon.com/Fluke-1AC-A1-II-VoltAlert-Non-Contact-Voltage/dp/B000EJ332O/ref=sr_1_1?keywords=Fluke+2AC+Non-Contact+Voltage+Tester%2C+90+to+1000V&amp;qid=1694735227&amp;sr=8-1")</f>
        <v/>
      </c>
      <c r="F7325" t="inlineStr">
        <is>
          <t>B000EJ332O</t>
        </is>
      </c>
      <c r="G7325">
        <f>_xlfn.IMAGE("https://edmondsonsupply.com/cdn/shop/products/e0010839_640x477_b6e1f28e-9ab2-49df-9514-6a2e4f0928d9.jpg?v=1633030920")</f>
        <v/>
      </c>
      <c r="H7325">
        <f>_xlfn.IMAGE("https://m.media-amazon.com/images/I/61UvsXlpIaL._AC_UL320_.jpg")</f>
        <v/>
      </c>
      <c r="K7325" t="inlineStr">
        <is>
          <t>40.99</t>
        </is>
      </c>
      <c r="L7325" t="n">
        <v>23.99</v>
      </c>
      <c r="M7325" s="1" t="inlineStr">
        <is>
          <t>-41.47%</t>
        </is>
      </c>
      <c r="N7325" s="7" t="n"/>
      <c r="O7325" t="n">
        <v>4.7</v>
      </c>
      <c r="P7325" t="n">
        <v>12082</v>
      </c>
      <c r="R7325" t="inlineStr">
        <is>
          <t>InStock</t>
        </is>
      </c>
      <c r="S7325" t="inlineStr">
        <is>
          <t>41.99</t>
        </is>
      </c>
      <c r="T7325" t="inlineStr">
        <is>
          <t>6263497982125</t>
        </is>
      </c>
    </row>
    <row r="7326" ht="87" customHeight="1">
      <c r="A7326" s="2">
        <f>HYPERLINK("https://edmondsonsupply.com/collections/electricians-tools/products/tajima-jpr-265-japan-pull%E2%84%A2-265-16-tpi-blade", "https://edmondsonsupply.com/collections/electricians-tools/products/tajima-jpr-265-japan-pull%E2%84%A2-265-16-tpi-blade")</f>
        <v/>
      </c>
      <c r="B7326" s="2">
        <f>HYPERLINK("https://edmondsonsupply.com/products/tajima-jpr-265-japan-pull%e2%84%a2-265-16-tpi-blade", "https://edmondsonsupply.com/products/tajima-jpr-265-japan-pull%e2%84%a2-265-16-tpi-blade")</f>
        <v/>
      </c>
      <c r="C7326" t="inlineStr">
        <is>
          <t>Tajima JPR-265 Japan Pull™ 265, 16 TPI Blade</t>
        </is>
      </c>
      <c r="D7326" t="inlineStr">
        <is>
          <t>TAJIMA Pull-Stroke Saw - 265 mm x 16 TPI Japanese Flush Cut Hand Saw with Quick-Release Blade &amp; Non-Slip Elastomer Handle - JPR-265</t>
        </is>
      </c>
      <c r="E7326" s="2">
        <f>HYPERLINK("https://www.amazon.com/TAJIMA-Pull-Stroke-Saw-Quick-Release-Elastomer/dp/B0042BAH6K/ref=sr_1_2?keywords=Tajima+JPR-265+Japan+Pull%E2%84%A2+265%2C+16+TPI+Blade&amp;qid=1694735147&amp;sr=8-2", "https://www.amazon.com/TAJIMA-Pull-Stroke-Saw-Quick-Release-Elastomer/dp/B0042BAH6K/ref=sr_1_2?keywords=Tajima+JPR-265+Japan+Pull%E2%84%A2+265%2C+16+TPI+Blade&amp;qid=1694735147&amp;sr=8-2")</f>
        <v/>
      </c>
      <c r="F7326" t="inlineStr">
        <is>
          <t>B0042BAH6K</t>
        </is>
      </c>
      <c r="G7326">
        <f>_xlfn.IMAGE("https://edmondsonsupply.com/cdn/shop/products/JPR-265.jpg?v=1655818417")</f>
        <v/>
      </c>
      <c r="H7326">
        <f>_xlfn.IMAGE("https://m.media-amazon.com/images/I/61ys54ygZsL._AC_UL320_.jpg")</f>
        <v/>
      </c>
      <c r="K7326" t="inlineStr">
        <is>
          <t>31.82</t>
        </is>
      </c>
      <c r="L7326" t="n">
        <v>18.62</v>
      </c>
      <c r="M7326" s="1" t="inlineStr">
        <is>
          <t>-41.48%</t>
        </is>
      </c>
      <c r="N7326" s="7" t="n"/>
      <c r="O7326" t="n">
        <v>4.5</v>
      </c>
      <c r="P7326" t="n">
        <v>37</v>
      </c>
      <c r="R7326" t="inlineStr">
        <is>
          <t>InStock</t>
        </is>
      </c>
      <c r="S7326" t="inlineStr">
        <is>
          <t>33.49</t>
        </is>
      </c>
      <c r="T7326" t="inlineStr">
        <is>
          <t>7726142652632</t>
        </is>
      </c>
    </row>
    <row r="7327" ht="87" customHeight="1">
      <c r="A7327" s="2">
        <f>HYPERLINK("https://edmondsonsupply.com/collections/electricians-tools/products/milwaukee-48-11-2440-m12%E2%84%A2-redlithium%E2%84%A2-xc-4-0-extended-capacity-battery-pack", "https://edmondsonsupply.com/collections/electricians-tools/products/milwaukee-48-11-2440-m12%E2%84%A2-redlithium%E2%84%A2-xc-4-0-extended-capacity-battery-pack")</f>
        <v/>
      </c>
      <c r="B7327" s="2">
        <f>HYPERLINK("https://edmondsonsupply.com/products/milwaukee-48-11-2440-m12%e2%84%a2-redlithium%e2%84%a2-xc-4-0-extended-capacity-battery-pack", "https://edmondsonsupply.com/products/milwaukee-48-11-2440-m12%e2%84%a2-redlithium%e2%84%a2-xc-4-0-extended-capacity-battery-pack")</f>
        <v/>
      </c>
      <c r="C7327" t="inlineStr">
        <is>
          <t>Milwaukee 48-11-2440 M12™ REDLITHIUM™ XC 4.0 Extended Capacity Battery Pack</t>
        </is>
      </c>
      <c r="D7327" t="inlineStr">
        <is>
          <t>Milwaukee 48-11-2440 M12 REDLITHIUM XC 4.0 Extended Capacity Battery Pack</t>
        </is>
      </c>
      <c r="E7327" s="2">
        <f>HYPERLINK("https://www.amazon.com/Milwaukee-48-11-2440-REDLITHIUM-Extended-Capacity/dp/B00BYFO1AA/ref=sr_1_1?keywords=Milwaukee+48-11-2440+M12%E2%84%A2+REDLITHIUM%E2%84%A2+XC+4.0+Extended+Capacity+Battery+Pack&amp;qid=1694735150&amp;sr=8-1", "https://www.amazon.com/Milwaukee-48-11-2440-REDLITHIUM-Extended-Capacity/dp/B00BYFO1AA/ref=sr_1_1?keywords=Milwaukee+48-11-2440+M12%E2%84%A2+REDLITHIUM%E2%84%A2+XC+4.0+Extended+Capacity+Battery+Pack&amp;qid=1694735150&amp;sr=8-1")</f>
        <v/>
      </c>
      <c r="F7327" t="inlineStr">
        <is>
          <t>B00BYFO1AA</t>
        </is>
      </c>
      <c r="G7327">
        <f>_xlfn.IMAGE("https://edmondsonsupply.com/cdn/shop/products/64620_48-11-2440-lg.png?v=1654801817")</f>
        <v/>
      </c>
      <c r="H7327">
        <f>_xlfn.IMAGE("https://m.media-amazon.com/images/I/81RzIHvm69L._AC_UL320_.jpg")</f>
        <v/>
      </c>
      <c r="K7327" t="inlineStr">
        <is>
          <t>89.0</t>
        </is>
      </c>
      <c r="L7327" t="n">
        <v>51.99</v>
      </c>
      <c r="M7327" s="1" t="inlineStr">
        <is>
          <t>-41.58%</t>
        </is>
      </c>
      <c r="N7327" s="7" t="n"/>
      <c r="O7327" t="n">
        <v>4.8</v>
      </c>
      <c r="P7327" t="n">
        <v>2998</v>
      </c>
      <c r="R7327" t="inlineStr">
        <is>
          <t>OutOfStock</t>
        </is>
      </c>
      <c r="S7327" t="inlineStr">
        <is>
          <t>149.0</t>
        </is>
      </c>
      <c r="T7327" t="inlineStr">
        <is>
          <t>7711273943256</t>
        </is>
      </c>
    </row>
    <row r="7328" hidden="1" ht="15.75" customHeight="1">
      <c r="A7328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328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328" t="inlineStr">
        <is>
          <t>Diablo Tools DMAMX1110 5/8 in. x 24 in. x 29 in. Rebar Demon™ SDS-Max 4-Cutter Full Carbide Head Hammer Bit</t>
        </is>
      </c>
      <c r="D7328" t="inlineStr">
        <is>
          <t>Diablo DMAMX1180 7/8 in. x 16 in. x 21 in. Rebar Demon™ SDS-Max 4-Cutter Full Carbide Head Hammer Bit</t>
        </is>
      </c>
      <c r="E7328" s="2">
        <f>HYPERLINK("https://www.amazon.com/Diablo-SDS-Max-4-Cutter-Carbide-Hammer/dp/B089KWFF8B/ref=sr_1_16?keywords=Diablo+Tools+DMAMX1110+5%2F8+in.+x+24+in.+x+29+in.+Rebar+Demon%E2%84%A2+SDS-Max+4-Cutter+Full+Carbide+Head+Hammer+Bit&amp;qid=1694735304&amp;sr=8-16", "https://www.amazon.com/Diablo-SDS-Max-4-Cutter-Carbide-Hammer/dp/B089KWFF8B/ref=sr_1_16?keywords=Diablo+Tools+DMAMX1110+5%2F8+in.+x+24+in.+x+29+in.+Rebar+Demon%E2%84%A2+SDS-Max+4-Cutter+Full+Carbide+Head+Hammer+Bit&amp;qid=1694735304&amp;sr=8-16")</f>
        <v/>
      </c>
      <c r="F7328" t="inlineStr">
        <is>
          <t>B089KWFF8B</t>
        </is>
      </c>
      <c r="G7328">
        <f>_xludf.IMAGE("https://edmondsonsupply.com/cdn/shop/products/DMAMX1110_1.jpg?v=1633030364")</f>
        <v/>
      </c>
      <c r="H7328">
        <f>_xludf.IMAGE("https://m.media-amazon.com/images/I/611fTcYRNFL._AC_UL320_.jpg")</f>
        <v/>
      </c>
      <c r="K7328" t="inlineStr">
        <is>
          <t>89.97</t>
        </is>
      </c>
      <c r="L7328" t="n">
        <v>52.51</v>
      </c>
      <c r="M7328" s="1" t="inlineStr">
        <is>
          <t>-41.64%</t>
        </is>
      </c>
      <c r="N7328" s="1" t="n"/>
      <c r="O7328" t="n">
        <v>3.5</v>
      </c>
      <c r="P7328" t="n">
        <v>3</v>
      </c>
      <c r="R7328" t="inlineStr">
        <is>
          <t>InStock</t>
        </is>
      </c>
      <c r="S7328" t="inlineStr">
        <is>
          <t>115.5</t>
        </is>
      </c>
      <c r="T7328" t="inlineStr">
        <is>
          <t>5289159655592</t>
        </is>
      </c>
    </row>
    <row r="7329" hidden="1" ht="15.75" customHeight="1">
      <c r="A7329" s="2">
        <f>HYPERLINK("https://edmondsonsupply.com/collections/electricians-tools/products/klein-tools-ktsb15-step-drill-bit-15-double-fluted-7-8-to-1-3-8-inch", "https://edmondsonsupply.com/collections/electricians-tools/products/klein-tools-ktsb15-step-drill-bit-15-double-fluted-7-8-to-1-3-8-inch")</f>
        <v/>
      </c>
      <c r="B7329" s="2">
        <f>HYPERLINK("https://edmondsonsupply.com/products/klein-tools-ktsb15-step-drill-bit-15-double-fluted-7-8-to-1-3-8-inch", "https://edmondsonsupply.com/products/klein-tools-ktsb15-step-drill-bit-15-double-fluted-7-8-to-1-3-8-inch")</f>
        <v/>
      </c>
      <c r="C7329" t="inlineStr">
        <is>
          <t>Klein Tools KTSB15 Step Drill Bit #15 Double Fluted 7/8 to 1-3/8-Inch</t>
        </is>
      </c>
      <c r="D7329" t="inlineStr">
        <is>
          <t>Klein Tools 25961 Step Drill Bit, 7/8 to 1-1/8-Inch, Spiral Double-Fluted, Cut Thin Metal, Plastic, Aluminum, Wood, 1/4-Inch Hex Shank, VACO</t>
        </is>
      </c>
      <c r="E7329" s="2">
        <f>HYPERLINK("https://www.amazon.com/Klein-Tools-25961-Double-Fluted-Aluminum/dp/B0BLFDMW41/ref=sr_1_5?keywords=Klein+Tools+KTSB15+Step+Drill+Bit+%2315+Double+Fluted+7%2F8+to+1-3%2F8-Inch&amp;qid=1694735232&amp;sr=8-5", "https://www.amazon.com/Klein-Tools-25961-Double-Fluted-Aluminum/dp/B0BLFDMW41/ref=sr_1_5?keywords=Klein+Tools+KTSB15+Step+Drill+Bit+%2315+Double+Fluted+7%2F8+to+1-3%2F8-Inch&amp;qid=1694735232&amp;sr=8-5")</f>
        <v/>
      </c>
      <c r="F7329" t="inlineStr">
        <is>
          <t>B0BLFDMW41</t>
        </is>
      </c>
      <c r="G7329">
        <f>_xludf.IMAGE("https://edmondsonsupply.com/cdn/shop/products/ktsb15.jpg?v=1633030886")</f>
        <v/>
      </c>
      <c r="H7329">
        <f>_xludf.IMAGE("https://m.media-amazon.com/images/I/51qjThEbRVL._AC_UY218_.jpg")</f>
        <v/>
      </c>
      <c r="K7329" t="inlineStr">
        <is>
          <t>59.97</t>
        </is>
      </c>
      <c r="L7329" t="n">
        <v>34.99</v>
      </c>
      <c r="M7329" s="1" t="inlineStr">
        <is>
          <t>-41.65%</t>
        </is>
      </c>
      <c r="N7329" s="1" t="n"/>
      <c r="O7329" t="n">
        <v>3.7</v>
      </c>
      <c r="P7329" t="n">
        <v>5</v>
      </c>
      <c r="R7329" t="inlineStr">
        <is>
          <t>InStock</t>
        </is>
      </c>
      <c r="S7329" t="inlineStr">
        <is>
          <t>81.96</t>
        </is>
      </c>
      <c r="T7329" t="inlineStr">
        <is>
          <t>6217390424237</t>
        </is>
      </c>
    </row>
    <row r="7330" hidden="1" ht="15.75" customHeight="1">
      <c r="A7330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330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330" t="inlineStr">
        <is>
          <t>Klein Tools 605-7-INS Insulated 1/4-Inch Cabinet Tip Screwdriver, 7-Inch</t>
        </is>
      </c>
      <c r="D7330" t="inlineStr">
        <is>
          <t>Klein Tools 6944INS Insulated Screwdriver, 1000V Slim Profile Tip, #2 Square with 4-Inch Shank, Cushion-Grip Handle</t>
        </is>
      </c>
      <c r="E7330" s="2">
        <f>HYPERLINK("https://www.amazon.com/Klein-Tools-6944INS-Screwdriver-Cushion-Grip/dp/B09GPYTZV3/ref=sr_1_37?keywords=Klein+Tools+605-7-INS+Insulated+1%2F4-Inch+Cabinet+Tip+Screwdriver%2C+7-Inch&amp;qid=1694735376&amp;sr=8-37", "https://www.amazon.com/Klein-Tools-6944INS-Screwdriver-Cushion-Grip/dp/B09GPYTZV3/ref=sr_1_37?keywords=Klein+Tools+605-7-INS+Insulated+1%2F4-Inch+Cabinet+Tip+Screwdriver%2C+7-Inch&amp;qid=1694735376&amp;sr=8-37")</f>
        <v/>
      </c>
      <c r="F7330" t="inlineStr">
        <is>
          <t>B09GPYTZV3</t>
        </is>
      </c>
      <c r="G7330">
        <f>_xludf.IMAGE("https://edmondsonsupply.com/cdn/shop/products/605-7-ins.jpg?v=1587148614")</f>
        <v/>
      </c>
      <c r="H7330">
        <f>_xludf.IMAGE("https://m.media-amazon.com/images/I/41PzygwLx+L._AC_UL320_.jpg")</f>
        <v/>
      </c>
      <c r="K7330" t="inlineStr">
        <is>
          <t>23.99</t>
        </is>
      </c>
      <c r="L7330" t="n">
        <v>13.99</v>
      </c>
      <c r="M7330" s="1" t="inlineStr">
        <is>
          <t>-41.68%</t>
        </is>
      </c>
      <c r="N7330" s="1" t="n"/>
      <c r="O7330" t="n">
        <v>4.7</v>
      </c>
      <c r="P7330" t="n">
        <v>93</v>
      </c>
      <c r="R7330" t="inlineStr">
        <is>
          <t>InStock</t>
        </is>
      </c>
      <c r="S7330" t="inlineStr">
        <is>
          <t>32.58</t>
        </is>
      </c>
      <c r="T7330" t="inlineStr">
        <is>
          <t>4414349181028</t>
        </is>
      </c>
    </row>
    <row r="7331" hidden="1" ht="15.75" customHeight="1">
      <c r="A7331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331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331" t="inlineStr">
        <is>
          <t>Klein Tools 605-7-INS Insulated 1/4-Inch Cabinet Tip Screwdriver, 7-Inch</t>
        </is>
      </c>
      <c r="D7331" t="inlineStr">
        <is>
          <t>Klein Tools 6984INS Insulated Screwdriver, 1000V Slim Profile Tip, #1 Square with 4-Inch Shank, Cushion-Grip Handle</t>
        </is>
      </c>
      <c r="E7331" s="2">
        <f>HYPERLINK("https://www.amazon.com/Klein-Tools-6984INS-Screwdriver-Cushion-Grip/dp/B09GPZ5P2M/ref=sr_1_33?keywords=Klein+Tools+605-7-INS+Insulated+1%2F4-Inch+Cabinet+Tip+Screwdriver%2C+7-Inch&amp;qid=1694735376&amp;sr=8-33", "https://www.amazon.com/Klein-Tools-6984INS-Screwdriver-Cushion-Grip/dp/B09GPZ5P2M/ref=sr_1_33?keywords=Klein+Tools+605-7-INS+Insulated+1%2F4-Inch+Cabinet+Tip+Screwdriver%2C+7-Inch&amp;qid=1694735376&amp;sr=8-33")</f>
        <v/>
      </c>
      <c r="F7331" t="inlineStr">
        <is>
          <t>B09GPZ5P2M</t>
        </is>
      </c>
      <c r="G7331">
        <f>_xludf.IMAGE("https://edmondsonsupply.com/cdn/shop/products/605-7-ins.jpg?v=1587148614")</f>
        <v/>
      </c>
      <c r="H7331">
        <f>_xludf.IMAGE("https://m.media-amazon.com/images/I/41uj4ogsy3L._AC_UL320_.jpg")</f>
        <v/>
      </c>
      <c r="K7331" t="inlineStr">
        <is>
          <t>23.99</t>
        </is>
      </c>
      <c r="L7331" t="n">
        <v>13.99</v>
      </c>
      <c r="M7331" s="1" t="inlineStr">
        <is>
          <t>-41.68%</t>
        </is>
      </c>
      <c r="N7331" s="1" t="n"/>
      <c r="O7331" t="n">
        <v>4.8</v>
      </c>
      <c r="P7331" t="n">
        <v>107</v>
      </c>
      <c r="R7331" t="inlineStr">
        <is>
          <t>InStock</t>
        </is>
      </c>
      <c r="S7331" t="inlineStr">
        <is>
          <t>32.58</t>
        </is>
      </c>
      <c r="T7331" t="inlineStr">
        <is>
          <t>4414349181028</t>
        </is>
      </c>
    </row>
    <row r="7332" hidden="1" ht="15.75" customHeight="1">
      <c r="A7332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332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332" t="inlineStr">
        <is>
          <t>Klein Tools 605-7-INS Insulated 1/4-Inch Cabinet Tip Screwdriver, 7-Inch</t>
        </is>
      </c>
      <c r="D7332" t="inlineStr">
        <is>
          <t>Klein Tools 671-6 Rapi-Driv Screwdriver with 1/4-Inch Cabinet Tip with 6-Inch Shank</t>
        </is>
      </c>
      <c r="E7332" s="2">
        <f>HYPERLINK("https://www.amazon.com/Rapi-Driv-Screwdriver-Klein-Tools-671-6/dp/B000936R4G/ref=sr_1_12?keywords=Klein+Tools+605-7-INS+Insulated+1%2F4-Inch+Cabinet+Tip+Screwdriver%2C+7-Inch&amp;qid=1694735376&amp;sr=8-12", "https://www.amazon.com/Rapi-Driv-Screwdriver-Klein-Tools-671-6/dp/B000936R4G/ref=sr_1_12?keywords=Klein+Tools+605-7-INS+Insulated+1%2F4-Inch+Cabinet+Tip+Screwdriver%2C+7-Inch&amp;qid=1694735376&amp;sr=8-12")</f>
        <v/>
      </c>
      <c r="F7332" t="inlineStr">
        <is>
          <t>B000936R4G</t>
        </is>
      </c>
      <c r="G7332">
        <f>_xludf.IMAGE("https://edmondsonsupply.com/cdn/shop/products/605-7-ins.jpg?v=1587148614")</f>
        <v/>
      </c>
      <c r="H7332">
        <f>_xludf.IMAGE("https://m.media-amazon.com/images/I/31+1RSUdZ+S._AC_UL320_.jpg")</f>
        <v/>
      </c>
      <c r="K7332" t="inlineStr">
        <is>
          <t>23.99</t>
        </is>
      </c>
      <c r="L7332" t="n">
        <v>13.94</v>
      </c>
      <c r="M7332" s="1" t="inlineStr">
        <is>
          <t>-41.89%</t>
        </is>
      </c>
      <c r="N7332" s="1" t="n"/>
      <c r="O7332" t="n">
        <v>4.8</v>
      </c>
      <c r="P7332" t="n">
        <v>1603</v>
      </c>
      <c r="R7332" t="inlineStr">
        <is>
          <t>InStock</t>
        </is>
      </c>
      <c r="S7332" t="inlineStr">
        <is>
          <t>32.58</t>
        </is>
      </c>
      <c r="T7332" t="inlineStr">
        <is>
          <t>4414349181028</t>
        </is>
      </c>
    </row>
    <row r="7333" ht="87" customHeight="1">
      <c r="A7333" s="2">
        <f>HYPERLINK("https://edmondsonsupply.com/collections/electricians-tools/products/klein-tools-56059-multi-groove-fiberglass-fish-tape-200-foot", "https://edmondsonsupply.com/collections/electricians-tools/products/klein-tools-56059-multi-groove-fiberglass-fish-tape-200-foot")</f>
        <v/>
      </c>
      <c r="B7333" s="2">
        <f>HYPERLINK("https://edmondsonsupply.com/products/klein-tools-56059-multi-groove-fiberglass-fish-tape-200-foot", "https://edmondsonsupply.com/products/klein-tools-56059-multi-groove-fiberglass-fish-tape-200-foot")</f>
        <v/>
      </c>
      <c r="C7333" t="inlineStr">
        <is>
          <t>Klein Tools 56059 Multi-Groove Fiberglass Fish Tape 200-Foot</t>
        </is>
      </c>
      <c r="D7333" t="inlineStr">
        <is>
          <t>Klein Tools 56383 Non-Conductive 100-Foot Electrical Fish Tape, Multi-Groove Fiberglass Wire Puller with Nylon Tip, Optimized Housing and Handle</t>
        </is>
      </c>
      <c r="E7333" s="2">
        <f>HYPERLINK("https://www.amazon.com/Klein-Tools-56383-Multi-Groove-Fiberglass/dp/B08222VGN8/ref=sr_1_7?keywords=Klein+Tools+56059+Multi-Groove+Fiberglass+Fish+Tape+200-Foot&amp;qid=1694735159&amp;sr=8-7", "https://www.amazon.com/Klein-Tools-56383-Multi-Groove-Fiberglass/dp/B08222VGN8/ref=sr_1_7?keywords=Klein+Tools+56059+Multi-Groove+Fiberglass+Fish+Tape+200-Foot&amp;qid=1694735159&amp;sr=8-7")</f>
        <v/>
      </c>
      <c r="F7333" t="inlineStr">
        <is>
          <t>B08222VGN8</t>
        </is>
      </c>
      <c r="G7333">
        <f>_xlfn.IMAGE("https://edmondsonsupply.com/cdn/shop/products/56059.jpg?v=1648938340")</f>
        <v/>
      </c>
      <c r="H7333">
        <f>_xlfn.IMAGE("https://m.media-amazon.com/images/I/51Fs1Kjrk8L._AC_UL320_.jpg")</f>
        <v/>
      </c>
      <c r="K7333" t="inlineStr">
        <is>
          <t>184.99</t>
        </is>
      </c>
      <c r="L7333" t="n">
        <v>106.99</v>
      </c>
      <c r="M7333" s="1" t="inlineStr">
        <is>
          <t>-42.16%</t>
        </is>
      </c>
      <c r="N7333" s="7" t="n"/>
      <c r="O7333" t="n">
        <v>4.7</v>
      </c>
      <c r="P7333" t="n">
        <v>135</v>
      </c>
      <c r="R7333" t="inlineStr">
        <is>
          <t>InStock</t>
        </is>
      </c>
      <c r="S7333" t="inlineStr">
        <is>
          <t>272.72</t>
        </is>
      </c>
      <c r="T7333" t="inlineStr">
        <is>
          <t>7652141531352</t>
        </is>
      </c>
    </row>
    <row r="7334" ht="87" customHeight="1">
      <c r="A7334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7334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7334" t="inlineStr">
        <is>
          <t>Diablo Tools DMAPL4300 1 in. x 8 in. x 10 in. Rebar Demon™ SDS‑Plus 4‑Cutter Full Carbide Head Hammer Drill Bit</t>
        </is>
      </c>
      <c r="D7334" t="inlineStr">
        <is>
          <t>Diablo by Freud DMAPL4230 5/8 in. x 10 in. x 12 in. Rebar Demon SDS-Plus 4-Cutter Full Carbide Head Hammer Bit</t>
        </is>
      </c>
      <c r="E7334" s="2" t="n"/>
      <c r="F7334" t="inlineStr">
        <is>
          <t>B089LCN234</t>
        </is>
      </c>
      <c r="G7334">
        <f>_xlfn.IMAGE("https://edmondsonsupply.com/cdn/shop/products/DMAPL4300_Additional-Images_0120200225.png?v=1633030652")</f>
        <v/>
      </c>
      <c r="H7334">
        <f>_xlfn.IMAGE("https://m.media-amazon.com/images/I/61r649wmyhL._AC_UL320_.jpg")</f>
        <v/>
      </c>
      <c r="K7334" t="inlineStr">
        <is>
          <t>38.97</t>
        </is>
      </c>
      <c r="L7334" t="n">
        <v>22.51</v>
      </c>
      <c r="M7334" s="1" t="inlineStr">
        <is>
          <t>-42.24%</t>
        </is>
      </c>
      <c r="N7334" s="7" t="n"/>
      <c r="O7334" t="n">
        <v>4.7</v>
      </c>
      <c r="P7334" t="n">
        <v>47</v>
      </c>
      <c r="R7334" t="inlineStr">
        <is>
          <t>InStock</t>
        </is>
      </c>
      <c r="S7334" t="inlineStr">
        <is>
          <t>52.66</t>
        </is>
      </c>
      <c r="T7334" t="inlineStr">
        <is>
          <t>5740518637736</t>
        </is>
      </c>
    </row>
    <row r="7335" hidden="1" ht="15.75" customHeight="1">
      <c r="A7335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335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335" t="inlineStr">
        <is>
          <t>Klein Tools 605-7-INS Insulated 1/4-Inch Cabinet Tip Screwdriver, 7-Inch</t>
        </is>
      </c>
      <c r="D7335" t="inlineStr">
        <is>
          <t>Klein Tools 6916INS 1000V Slim Tip Insulated Screwdriver, 6-Inch Round Shank, 3/16-Inch Cabinet Tip, Cushion Grip Handle</t>
        </is>
      </c>
      <c r="E7335" s="2">
        <f>HYPERLINK("https://www.amazon.com/Klein-Tools-6916INS-Insulated-Screwdriver/dp/B089DR97MJ/ref=sr_1_6?keywords=Klein+Tools+605-7-INS+Insulated+1%2F4-Inch+Cabinet+Tip+Screwdriver%2C+7-Inch&amp;qid=1694735376&amp;sr=8-6", "https://www.amazon.com/Klein-Tools-6916INS-Insulated-Screwdriver/dp/B089DR97MJ/ref=sr_1_6?keywords=Klein+Tools+605-7-INS+Insulated+1%2F4-Inch+Cabinet+Tip+Screwdriver%2C+7-Inch&amp;qid=1694735376&amp;sr=8-6")</f>
        <v/>
      </c>
      <c r="F7335" t="inlineStr">
        <is>
          <t>B089DR97MJ</t>
        </is>
      </c>
      <c r="G7335">
        <f>_xludf.IMAGE("https://edmondsonsupply.com/cdn/shop/products/605-7-ins.jpg?v=1587148614")</f>
        <v/>
      </c>
      <c r="H7335">
        <f>_xludf.IMAGE("https://m.media-amazon.com/images/I/41JpJG+Jh0L._AC_UL320_.jpg")</f>
        <v/>
      </c>
      <c r="K7335" t="inlineStr">
        <is>
          <t>23.99</t>
        </is>
      </c>
      <c r="L7335" t="n">
        <v>13.85</v>
      </c>
      <c r="M7335" s="1" t="inlineStr">
        <is>
          <t>-42.27%</t>
        </is>
      </c>
      <c r="N7335" s="1" t="n"/>
      <c r="O7335" t="n">
        <v>4.8</v>
      </c>
      <c r="P7335" t="n">
        <v>1358</v>
      </c>
      <c r="R7335" t="inlineStr">
        <is>
          <t>InStock</t>
        </is>
      </c>
      <c r="S7335" t="inlineStr">
        <is>
          <t>32.58</t>
        </is>
      </c>
      <c r="T7335" t="inlineStr">
        <is>
          <t>4414349181028</t>
        </is>
      </c>
    </row>
    <row r="7336" hidden="1" ht="15.75" customHeight="1">
      <c r="A7336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336" s="2">
        <f>HYPERLINK("https://edmondsonsupply.com/products/klein-tools-32307-27-in-1-multi-bit-tamperproof-screwdriver", "https://edmondsonsupply.com/products/klein-tools-32307-27-in-1-multi-bit-tamperproof-screwdriver")</f>
        <v/>
      </c>
      <c r="C7336" t="inlineStr">
        <is>
          <t>Klein Tools 32307 27-in-1 Multi-Bit Tamperproof Screwdriver</t>
        </is>
      </c>
      <c r="D7336" t="inlineStr">
        <is>
          <t>Klein Tools 32557 Multi-Bit Screwdriver / Nut Driver, Heavy Duty 10-in-1 with Interchangable Shafts and Ph, Sl, Sq, Hex Bits and Nut Drivers</t>
        </is>
      </c>
      <c r="E7336" s="2">
        <f>HYPERLINK("https://www.amazon.com/Klein-Tools-32557-Multi-Bit-Screwdriver/dp/B005FQDH9A/ref=sr_1_21?keywords=Klein+Tools+32307+27-in-1+Multi-Bit+Tamperproof+Screwdriver&amp;qid=1694735165&amp;sr=8-21", "https://www.amazon.com/Klein-Tools-32557-Multi-Bit-Screwdriver/dp/B005FQDH9A/ref=sr_1_21?keywords=Klein+Tools+32307+27-in-1+Multi-Bit+Tamperproof+Screwdriver&amp;qid=1694735165&amp;sr=8-21")</f>
        <v/>
      </c>
      <c r="F7336" t="inlineStr">
        <is>
          <t>B005FQDH9A</t>
        </is>
      </c>
      <c r="G7336">
        <f>_xludf.IMAGE("https://edmondsonsupply.com/cdn/shop/products/32307.jpg?v=1647347524")</f>
        <v/>
      </c>
      <c r="H7336">
        <f>_xludf.IMAGE("https://m.media-amazon.com/images/I/41vMDiO0rOL._AC_UL320_.jpg")</f>
        <v/>
      </c>
      <c r="K7336" t="inlineStr">
        <is>
          <t>25.97</t>
        </is>
      </c>
      <c r="L7336" t="n">
        <v>14.98</v>
      </c>
      <c r="M7336" s="1" t="inlineStr">
        <is>
          <t>-42.32%</t>
        </is>
      </c>
      <c r="N7336" s="1" t="n"/>
      <c r="O7336" t="n">
        <v>4.8</v>
      </c>
      <c r="P7336" t="n">
        <v>918</v>
      </c>
      <c r="R7336" t="inlineStr">
        <is>
          <t>InStock</t>
        </is>
      </c>
      <c r="S7336" t="inlineStr">
        <is>
          <t>36.38</t>
        </is>
      </c>
      <c r="T7336" t="inlineStr">
        <is>
          <t>7637266366680</t>
        </is>
      </c>
    </row>
    <row r="7337" hidden="1" ht="15.75" customHeight="1">
      <c r="A7337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337" s="2">
        <f>HYPERLINK("https://edmondsonsupply.com/products/klein-tools-32307-27-in-1-multi-bit-tamperproof-screwdriver", "https://edmondsonsupply.com/products/klein-tools-32307-27-in-1-multi-bit-tamperproof-screwdriver")</f>
        <v/>
      </c>
      <c r="C7337" t="inlineStr">
        <is>
          <t>Klein Tools 32307 27-in-1 Multi-Bit Tamperproof Screwdriver</t>
        </is>
      </c>
      <c r="D7337" t="inlineStr">
        <is>
          <t>Klein Tools 32557 Multi-Bit Screwdriver / Nut Driver, Heavy Duty 10-in-1 with Interchangable Shafts and Ph, Sl, Sq, Hex Bits and Nut Drivers</t>
        </is>
      </c>
      <c r="E7337" s="2" t="n"/>
      <c r="F7337" t="inlineStr">
        <is>
          <t>B005FQDH9A</t>
        </is>
      </c>
      <c r="G7337">
        <f>_xludf.IMAGE("https://edmondsonsupply.com/cdn/shop/products/32307.jpg?v=1647347524")</f>
        <v/>
      </c>
      <c r="H7337">
        <f>_xludf.IMAGE("https://m.media-amazon.com/images/I/41vMDiO0rOL._AC_UL320_.jpg")</f>
        <v/>
      </c>
      <c r="K7337" t="inlineStr">
        <is>
          <t>25.97</t>
        </is>
      </c>
      <c r="L7337" t="n">
        <v>14.98</v>
      </c>
      <c r="M7337" s="1" t="inlineStr">
        <is>
          <t>-42.32%</t>
        </is>
      </c>
      <c r="N7337" s="1" t="n"/>
      <c r="O7337" t="n">
        <v>4.8</v>
      </c>
      <c r="P7337" t="n">
        <v>918</v>
      </c>
      <c r="R7337" t="inlineStr">
        <is>
          <t>InStock</t>
        </is>
      </c>
      <c r="S7337" t="inlineStr">
        <is>
          <t>36.38</t>
        </is>
      </c>
      <c r="T7337" t="inlineStr">
        <is>
          <t>7637266366680</t>
        </is>
      </c>
    </row>
    <row r="7338" hidden="1" ht="15.75" customHeight="1">
      <c r="A7338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7338" s="2">
        <f>HYPERLINK("https://edmondsonsupply.com/products/klein-tools-635-3-8-3-8-inch-heavy-duty-nut-driver", "https://edmondsonsupply.com/products/klein-tools-635-3-8-3-8-inch-heavy-duty-nut-driver")</f>
        <v/>
      </c>
      <c r="C7338" t="inlineStr">
        <is>
          <t>Klein Tools 635-3/8 3/8-Inch Heavy-Duty Nut Driver</t>
        </is>
      </c>
      <c r="D7338" t="inlineStr">
        <is>
          <t>Klein Tools S12 3/8-Inch Nut Driver with 3-Inch Hollow Shaft and Plastic Grip Handle</t>
        </is>
      </c>
      <c r="E7338" s="2">
        <f>HYPERLINK("https://www.amazon.com/8-Inch-Plastic-Klein-Tools-S12/dp/B00093D5J6/ref=sr_1_15?keywords=Klein+Tools+635-3%2F8+3%2F8-Inch+Heavy-Duty+Nut+Driver&amp;qid=1694735241&amp;sr=8-15", "https://www.amazon.com/8-Inch-Plastic-Klein-Tools-S12/dp/B00093D5J6/ref=sr_1_15?keywords=Klein+Tools+635-3%2F8+3%2F8-Inch+Heavy-Duty+Nut+Driver&amp;qid=1694735241&amp;sr=8-15")</f>
        <v/>
      </c>
      <c r="F7338" t="inlineStr">
        <is>
          <t>B00093D5J6</t>
        </is>
      </c>
      <c r="G7338">
        <f>_xludf.IMAGE("https://edmondsonsupply.com/cdn/shop/products/635-3-8.jpg?v=1633030895")</f>
        <v/>
      </c>
      <c r="H7338">
        <f>_xludf.IMAGE("https://m.media-amazon.com/images/I/51rLJLucC-L._AC_UL320_.jpg")</f>
        <v/>
      </c>
      <c r="K7338" t="inlineStr">
        <is>
          <t>12.99</t>
        </is>
      </c>
      <c r="L7338" t="n">
        <v>7.49</v>
      </c>
      <c r="M7338" s="1" t="inlineStr">
        <is>
          <t>-42.34%</t>
        </is>
      </c>
      <c r="N7338" s="1" t="n"/>
      <c r="O7338" t="n">
        <v>4.5</v>
      </c>
      <c r="P7338" t="n">
        <v>224</v>
      </c>
      <c r="R7338" t="inlineStr">
        <is>
          <t>InStock</t>
        </is>
      </c>
      <c r="S7338" t="inlineStr">
        <is>
          <t>19.68</t>
        </is>
      </c>
      <c r="T7338" t="inlineStr">
        <is>
          <t>6228534952109</t>
        </is>
      </c>
    </row>
    <row r="7339" hidden="1" ht="15.75" customHeight="1">
      <c r="A7339" s="2">
        <f>HYPERLINK("https://edmondsonsupply.com/collections/electricians-tools/products/klein-tools-635-3-8-3-8-inch-heavy-duty-nut-driver", "https://edmondsonsupply.com/collections/electricians-tools/products/klein-tools-635-3-8-3-8-inch-heavy-duty-nut-driver")</f>
        <v/>
      </c>
      <c r="B7339" s="2">
        <f>HYPERLINK("https://edmondsonsupply.com/products/klein-tools-635-3-8-3-8-inch-heavy-duty-nut-driver", "https://edmondsonsupply.com/products/klein-tools-635-3-8-3-8-inch-heavy-duty-nut-driver")</f>
        <v/>
      </c>
      <c r="C7339" t="inlineStr">
        <is>
          <t>Klein Tools 635-3/8 3/8-Inch Heavy-Duty Nut Driver</t>
        </is>
      </c>
      <c r="D7339" t="inlineStr">
        <is>
          <t>Klein Tools S126 3/8-Inch Nut Driver with 6-Inch Hollow Shaft and Comfordome Handle</t>
        </is>
      </c>
      <c r="E7339" s="2">
        <f>HYPERLINK("https://www.amazon.com/8-Inch-Comfordome-Klein-Tools-S126/dp/B000936PDY/ref=sr_1_12?keywords=Klein+Tools+635-3%2F8+3%2F8-Inch+Heavy-Duty+Nut+Driver&amp;qid=1694735241&amp;sr=8-12", "https://www.amazon.com/8-Inch-Comfordome-Klein-Tools-S126/dp/B000936PDY/ref=sr_1_12?keywords=Klein+Tools+635-3%2F8+3%2F8-Inch+Heavy-Duty+Nut+Driver&amp;qid=1694735241&amp;sr=8-12")</f>
        <v/>
      </c>
      <c r="F7339" t="inlineStr">
        <is>
          <t>B000936PDY</t>
        </is>
      </c>
      <c r="G7339">
        <f>_xludf.IMAGE("https://edmondsonsupply.com/cdn/shop/products/635-3-8.jpg?v=1633030895")</f>
        <v/>
      </c>
      <c r="H7339">
        <f>_xludf.IMAGE("https://m.media-amazon.com/images/I/414jM2ApGiL._AC_UL320_.jpg")</f>
        <v/>
      </c>
      <c r="K7339" t="inlineStr">
        <is>
          <t>12.99</t>
        </is>
      </c>
      <c r="L7339" t="n">
        <v>7.49</v>
      </c>
      <c r="M7339" s="1" t="inlineStr">
        <is>
          <t>-42.34%</t>
        </is>
      </c>
      <c r="N7339" s="1" t="n"/>
      <c r="O7339" t="n">
        <v>4.5</v>
      </c>
      <c r="P7339" t="n">
        <v>151</v>
      </c>
      <c r="R7339" t="inlineStr">
        <is>
          <t>InStock</t>
        </is>
      </c>
      <c r="S7339" t="inlineStr">
        <is>
          <t>19.68</t>
        </is>
      </c>
      <c r="T7339" t="inlineStr">
        <is>
          <t>6228534952109</t>
        </is>
      </c>
    </row>
    <row r="7340" hidden="1" ht="15.75" customHeight="1">
      <c r="A7340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340" s="2">
        <f>HYPERLINK("https://edmondsonsupply.com/products/klein-tools-32307-27-in-1-multi-bit-tamperproof-screwdriver", "https://edmondsonsupply.com/products/klein-tools-32307-27-in-1-multi-bit-tamperproof-screwdriver")</f>
        <v/>
      </c>
      <c r="C7340" t="inlineStr">
        <is>
          <t>Klein Tools 32307 27-in-1 Multi-Bit Tamperproof Screwdriver</t>
        </is>
      </c>
      <c r="D7340" t="inlineStr">
        <is>
          <t>Klein Tools 32314 Electronic Screwdriver, 14-in-1 with 8 Precision Tips, Slotted, Phillips, and Tamperproof TORX Bits, 6 Precision Nut Drivers</t>
        </is>
      </c>
      <c r="E7340" s="2">
        <f>HYPERLINK("https://www.amazon.com/Klein-Tools-32314-Screwdriver-Tamperproof/dp/B08J8GGQBL/ref=sr_1_11?keywords=Klein+Tools+32307+27-in-1+Multi-Bit+Tamperproof+Screwdriver&amp;qid=1694735165&amp;sr=8-11", "https://www.amazon.com/Klein-Tools-32314-Screwdriver-Tamperproof/dp/B08J8GGQBL/ref=sr_1_11?keywords=Klein+Tools+32307+27-in-1+Multi-Bit+Tamperproof+Screwdriver&amp;qid=1694735165&amp;sr=8-11")</f>
        <v/>
      </c>
      <c r="F7340" t="inlineStr">
        <is>
          <t>B08J8GGQBL</t>
        </is>
      </c>
      <c r="G7340">
        <f>_xludf.IMAGE("https://edmondsonsupply.com/cdn/shop/products/32307.jpg?v=1647347524")</f>
        <v/>
      </c>
      <c r="H7340">
        <f>_xludf.IMAGE("https://m.media-amazon.com/images/I/51r5V2PttIL._AC_UL320_.jpg")</f>
        <v/>
      </c>
      <c r="K7340" t="inlineStr">
        <is>
          <t>25.97</t>
        </is>
      </c>
      <c r="L7340" t="n">
        <v>14.97</v>
      </c>
      <c r="M7340" s="1" t="inlineStr">
        <is>
          <t>-42.36%</t>
        </is>
      </c>
      <c r="N7340" s="1" t="n"/>
      <c r="O7340" t="n">
        <v>4.7</v>
      </c>
      <c r="P7340" t="n">
        <v>2879</v>
      </c>
      <c r="R7340" t="inlineStr">
        <is>
          <t>InStock</t>
        </is>
      </c>
      <c r="S7340" t="inlineStr">
        <is>
          <t>36.38</t>
        </is>
      </c>
      <c r="T7340" t="inlineStr">
        <is>
          <t>7637266366680</t>
        </is>
      </c>
    </row>
    <row r="7341" hidden="1" ht="15.75" customHeight="1">
      <c r="A7341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341" s="2">
        <f>HYPERLINK("https://edmondsonsupply.com/products/klein-tools-32307-27-in-1-multi-bit-tamperproof-screwdriver", "https://edmondsonsupply.com/products/klein-tools-32307-27-in-1-multi-bit-tamperproof-screwdriver")</f>
        <v/>
      </c>
      <c r="C7341" t="inlineStr">
        <is>
          <t>Klein Tools 32307 27-in-1 Multi-Bit Tamperproof Screwdriver</t>
        </is>
      </c>
      <c r="D7341" t="inlineStr">
        <is>
          <t>Klein Tools 67100 Multi-Screwdriver Set, 2-in-1 Interchangeable Rapi-Driv Screwdriver with Phillips and Slottd Bits</t>
        </is>
      </c>
      <c r="E7341" s="2">
        <f>HYPERLINK("https://www.amazon.com/Interchangeable-Screwdriver-Klein-Tools-67100/dp/B003FC75YE/ref=sr_1_54?keywords=Klein+Tools+32307+27-in-1+Multi-Bit+Tamperproof+Screwdriver&amp;qid=1694735165&amp;sr=8-54", "https://www.amazon.com/Interchangeable-Screwdriver-Klein-Tools-67100/dp/B003FC75YE/ref=sr_1_54?keywords=Klein+Tools+32307+27-in-1+Multi-Bit+Tamperproof+Screwdriver&amp;qid=1694735165&amp;sr=8-54")</f>
        <v/>
      </c>
      <c r="F7341" t="inlineStr">
        <is>
          <t>B003FC75YE</t>
        </is>
      </c>
      <c r="G7341">
        <f>_xludf.IMAGE("https://edmondsonsupply.com/cdn/shop/products/32307.jpg?v=1647347524")</f>
        <v/>
      </c>
      <c r="H7341">
        <f>_xludf.IMAGE("https://m.media-amazon.com/images/I/51OgeTEZfML._AC_UL320_.jpg")</f>
        <v/>
      </c>
      <c r="K7341" t="inlineStr">
        <is>
          <t>25.97</t>
        </is>
      </c>
      <c r="L7341" t="n">
        <v>14.97</v>
      </c>
      <c r="M7341" s="1" t="inlineStr">
        <is>
          <t>-42.36%</t>
        </is>
      </c>
      <c r="N7341" s="1" t="n"/>
      <c r="O7341" t="n">
        <v>4.7</v>
      </c>
      <c r="P7341" t="n">
        <v>1605</v>
      </c>
      <c r="R7341" t="inlineStr">
        <is>
          <t>InStock</t>
        </is>
      </c>
      <c r="S7341" t="inlineStr">
        <is>
          <t>36.38</t>
        </is>
      </c>
      <c r="T7341" t="inlineStr">
        <is>
          <t>7637266366680</t>
        </is>
      </c>
    </row>
    <row r="7342" hidden="1" ht="15.75" customHeight="1">
      <c r="A7342" s="2">
        <f>HYPERLINK("https://edmondsonsupply.com/collections/electricians-tools/products/klein-tools-32619-adjustable-length-screwdriver-handle", "https://edmondsonsupply.com/collections/electricians-tools/products/klein-tools-32619-adjustable-length-screwdriver-handle")</f>
        <v/>
      </c>
      <c r="B7342" s="2">
        <f>HYPERLINK("https://edmondsonsupply.com/products/klein-tools-32619-adjustable-length-screwdriver-handle", "https://edmondsonsupply.com/products/klein-tools-32619-adjustable-length-screwdriver-handle")</f>
        <v/>
      </c>
      <c r="C7342" t="inlineStr">
        <is>
          <t>Klein Tools 32619 Adjustable Length Screwdriver Handle</t>
        </is>
      </c>
      <c r="D7342" t="inlineStr">
        <is>
          <t>Klein Tools 32709 Adjustable Length Screwdriver Blade Replacement, Square #1 and #2</t>
        </is>
      </c>
      <c r="E7342" s="2">
        <f>HYPERLINK("https://www.amazon.com/Klein-Tools-32709-Screwdriver-Replacement/dp/B01HD4HEZY/ref=sr_1_4?keywords=Klein+Tools+32619+Adjustable+Length+Screwdriver+Handle&amp;qid=1694735412&amp;sr=8-4", "https://www.amazon.com/Klein-Tools-32709-Screwdriver-Replacement/dp/B01HD4HEZY/ref=sr_1_4?keywords=Klein+Tools+32619+Adjustable+Length+Screwdriver+Handle&amp;qid=1694735412&amp;sr=8-4")</f>
        <v/>
      </c>
      <c r="F7342" t="inlineStr">
        <is>
          <t>B01HD4HEZY</t>
        </is>
      </c>
      <c r="G7342">
        <f>_xludf.IMAGE("https://edmondsonsupply.com/cdn/shop/products/32619.jpg?v=1587147877")</f>
        <v/>
      </c>
      <c r="H7342">
        <f>_xludf.IMAGE("https://m.media-amazon.com/images/I/41Jo9Qqxp-L._AC_UL320_.jpg")</f>
        <v/>
      </c>
      <c r="K7342" t="inlineStr">
        <is>
          <t>17.99</t>
        </is>
      </c>
      <c r="L7342" t="n">
        <v>10.37</v>
      </c>
      <c r="M7342" s="1" t="inlineStr">
        <is>
          <t>-42.36%</t>
        </is>
      </c>
      <c r="N7342" s="1" t="n"/>
      <c r="O7342" t="n">
        <v>4.4</v>
      </c>
      <c r="P7342" t="n">
        <v>46</v>
      </c>
      <c r="R7342" t="inlineStr">
        <is>
          <t>InStock</t>
        </is>
      </c>
      <c r="S7342" t="inlineStr">
        <is>
          <t>27.34</t>
        </is>
      </c>
      <c r="T7342" t="inlineStr">
        <is>
          <t>4391227097188</t>
        </is>
      </c>
    </row>
    <row r="7343" ht="87" customHeight="1">
      <c r="A7343" s="2">
        <f>HYPERLINK("https://edmondsonsupply.com/collections/electricians-tools/products/diablo-tools-dmamx1020", "https://edmondsonsupply.com/collections/electricians-tools/products/diablo-tools-dmamx1020")</f>
        <v/>
      </c>
      <c r="B7343" s="2">
        <f>HYPERLINK("https://edmondsonsupply.com/products/diablo-tools-dmamx1020", "https://edmondsonsupply.com/products/diablo-tools-dmamx1020")</f>
        <v/>
      </c>
      <c r="C7343" t="inlineStr">
        <is>
          <t>Diablo Tools DMAMX1020 1/2 in. x 8 in. x 13 in. Rebar Demon SDS‑Max 4‑Cutter Full Carbide Head Hammer Bit</t>
        </is>
      </c>
      <c r="D7343" t="inlineStr">
        <is>
          <t>Diablo by Freud DMAPL4200 1/2 in. x 16 in. x 18 in. Rebar Demon SDS-Plus 4-Cutter Full Carbide Head Hammer Bit</t>
        </is>
      </c>
      <c r="E7343" s="2">
        <f>HYPERLINK("https://www.amazon.com/Diablo-Freud-DMAPL4200-SDS-Plus-4-Cutter/dp/B089KW2QV1/ref=sr_1_13?keywords=Diablo+Tools+DMAMX1020+1%2F2+in.+x+8+in.+x+13+in.+Rebar+Demon+SDS%E2%80%91Max+4%E2%80%91Cutter+Full+Carbide+Head+Hammer+Bit&amp;qid=1694735268&amp;sr=8-13", "https://www.amazon.com/Diablo-Freud-DMAPL4200-SDS-Plus-4-Cutter/dp/B089KW2QV1/ref=sr_1_13?keywords=Diablo+Tools+DMAMX1020+1%2F2+in.+x+8+in.+x+13+in.+Rebar+Demon+SDS%E2%80%91Max+4%E2%80%91Cutter+Full+Carbide+Head+Hammer+Bit&amp;qid=1694735268&amp;sr=8-13")</f>
        <v/>
      </c>
      <c r="F7343" t="inlineStr">
        <is>
          <t>B089KW2QV1</t>
        </is>
      </c>
      <c r="G7343">
        <f>_xlfn.IMAGE("https://edmondsonsupply.com/cdn/shop/products/DMAMX1020_Main-Image20200701.png?v=1609798895")</f>
        <v/>
      </c>
      <c r="H7343">
        <f>_xlfn.IMAGE("https://m.media-amazon.com/images/I/61rW+ROVmNL._AC_UL320_.jpg")</f>
        <v/>
      </c>
      <c r="K7343" t="inlineStr">
        <is>
          <t>39.97</t>
        </is>
      </c>
      <c r="L7343" t="n">
        <v>23</v>
      </c>
      <c r="M7343" s="1" t="inlineStr">
        <is>
          <t>-42.46%</t>
        </is>
      </c>
      <c r="N7343" s="7" t="n"/>
      <c r="O7343" t="n">
        <v>4.7</v>
      </c>
      <c r="P7343" t="n">
        <v>18</v>
      </c>
      <c r="R7343" t="inlineStr">
        <is>
          <t>InStock</t>
        </is>
      </c>
      <c r="S7343" t="inlineStr">
        <is>
          <t>42.31</t>
        </is>
      </c>
      <c r="T7343" t="inlineStr">
        <is>
          <t>5463822598312</t>
        </is>
      </c>
    </row>
    <row r="7344" hidden="1" ht="15.75" customHeight="1">
      <c r="A7344" s="2">
        <f>HYPERLINK("https://edmondsonsupply.com/collections/electricians-tools/products/greenlee-dtap8-32-drill-tap-8-32", "https://edmondsonsupply.com/collections/electricians-tools/products/greenlee-dtap8-32-drill-tap-8-32")</f>
        <v/>
      </c>
      <c r="B7344" s="2">
        <f>HYPERLINK("https://edmondsonsupply.com/products/greenlee-dtap8-32-drill-tap-8-32", "https://edmondsonsupply.com/products/greenlee-dtap8-32-drill-tap-8-32")</f>
        <v/>
      </c>
      <c r="C7344" t="inlineStr">
        <is>
          <t>Greenlee DTAP8-32 Drill/Tap, 8-32</t>
        </is>
      </c>
      <c r="D7344" t="inlineStr">
        <is>
          <t>Drill America - DWT54279 #8-32 UNC High Speed Steel Bottoming Tap, (Pack of 1)</t>
        </is>
      </c>
      <c r="E7344" s="2">
        <f>HYPERLINK("https://www.amazon.com/Drill-America-DWT54279-High-Speed-Threading/dp/B00DL7COVW/ref=sr_1_24?keywords=Greenlee+DTAP8-32+Drill%2FTap%2C+8-32&amp;qid=1694735400&amp;sr=8-24", "https://www.amazon.com/Drill-America-DWT54279-High-Speed-Threading/dp/B00DL7COVW/ref=sr_1_24?keywords=Greenlee+DTAP8-32+Drill%2FTap%2C+8-32&amp;qid=1694735400&amp;sr=8-24")</f>
        <v/>
      </c>
      <c r="F7344" t="inlineStr">
        <is>
          <t>B00DL7COVW</t>
        </is>
      </c>
      <c r="G7344">
        <f>_xludf.IMAGE("https://edmondsonsupply.com/cdn/shop/products/DTAP8-32.jpg?v=1633030185")</f>
        <v/>
      </c>
      <c r="H7344">
        <f>_xludf.IMAGE("https://m.media-amazon.com/images/I/512vfq8r6PL._AC_UL320_.jpg")</f>
        <v/>
      </c>
      <c r="K7344" t="inlineStr">
        <is>
          <t>8.29</t>
        </is>
      </c>
      <c r="L7344" t="n">
        <v>4.76</v>
      </c>
      <c r="M7344" s="1" t="inlineStr">
        <is>
          <t>-42.58%</t>
        </is>
      </c>
      <c r="N7344" s="1" t="n"/>
      <c r="O7344" t="n">
        <v>4.6</v>
      </c>
      <c r="P7344" t="n">
        <v>1175</v>
      </c>
      <c r="R7344" t="inlineStr">
        <is>
          <t>InStock</t>
        </is>
      </c>
      <c r="S7344" t="inlineStr">
        <is>
          <t>9.7</t>
        </is>
      </c>
      <c r="T7344" t="inlineStr">
        <is>
          <t>4395862392932</t>
        </is>
      </c>
    </row>
    <row r="7345" hidden="1" ht="15.75" customHeight="1">
      <c r="A7345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345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345" t="inlineStr">
        <is>
          <t>Klein Tools 602-4-INS 1/4-Inch Cabinet Tip Insulated Screwdriver, 4-Inch</t>
        </is>
      </c>
      <c r="D7345" t="inlineStr">
        <is>
          <t>Klein Tools 6826INS Insulated Screwdriver, 1000V 1/4-Inch Cabinet Tip Screwdriver with 6-Inch Shank, Tip-Ident, Cushion-Grip Handle</t>
        </is>
      </c>
      <c r="E7345" s="2">
        <f>HYPERLINK("https://www.amazon.com/Klein-Tools-6826INS-Screwdriver-Cushion-Grip/dp/B0BF79W49J/ref=sr_1_26?keywords=Klein+Tools+602-4-INS+1%2F4-Inch+Cabinet+Tip+Insulated+Screwdriver%2C+4-Inch&amp;qid=1694735209&amp;sr=8-26", "https://www.amazon.com/Klein-Tools-6826INS-Screwdriver-Cushion-Grip/dp/B0BF79W49J/ref=sr_1_26?keywords=Klein+Tools+602-4-INS+1%2F4-Inch+Cabinet+Tip+Insulated+Screwdriver%2C+4-Inch&amp;qid=1694735209&amp;sr=8-26")</f>
        <v/>
      </c>
      <c r="F7345" t="inlineStr">
        <is>
          <t>B0BF79W49J</t>
        </is>
      </c>
      <c r="G7345">
        <f>_xludf.IMAGE("https://edmondsonsupply.com/cdn/shop/products/602-4-ins-photo.jpg?v=1633031051")</f>
        <v/>
      </c>
      <c r="H7345">
        <f>_xludf.IMAGE("https://m.media-amazon.com/images/I/41dJ6lRyHyL._AC_UL320_.jpg")</f>
        <v/>
      </c>
      <c r="K7345" t="inlineStr">
        <is>
          <t>20.99</t>
        </is>
      </c>
      <c r="L7345" t="n">
        <v>11.97</v>
      </c>
      <c r="M7345" s="1" t="inlineStr">
        <is>
          <t>-42.97%</t>
        </is>
      </c>
      <c r="N7345" s="1" t="n"/>
      <c r="O7345" t="n">
        <v>4.9</v>
      </c>
      <c r="P7345" t="n">
        <v>9</v>
      </c>
      <c r="R7345" t="inlineStr">
        <is>
          <t>InStock</t>
        </is>
      </c>
      <c r="S7345" t="inlineStr">
        <is>
          <t>31.8</t>
        </is>
      </c>
      <c r="T7345" t="inlineStr">
        <is>
          <t>6779496890541</t>
        </is>
      </c>
    </row>
    <row r="7346" hidden="1" ht="15.75" customHeight="1">
      <c r="A7346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346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346" t="inlineStr">
        <is>
          <t>Klein Tools 602-4-INS 1/4-Inch Cabinet Tip Insulated Screwdriver, 4-Inch</t>
        </is>
      </c>
      <c r="D7346" t="inlineStr">
        <is>
          <t>Klein Tools 6816INS Insulated Screwdriver, 1000V 3/16-Inch Cabinet Tip Screwdriver with 6-Inch Shank, Tip-Ident, Cushion-Grip Handle</t>
        </is>
      </c>
      <c r="E7346" s="2">
        <f>HYPERLINK("https://www.amazon.com/Klein-Tools-6816INS-Screwdriver-Cushion-Grip/dp/B0BF7JHR5X/ref=sr_1_28?keywords=Klein+Tools+602-4-INS+1%2F4-Inch+Cabinet+Tip+Insulated+Screwdriver%2C+4-Inch&amp;qid=1694735209&amp;sr=8-28", "https://www.amazon.com/Klein-Tools-6816INS-Screwdriver-Cushion-Grip/dp/B0BF7JHR5X/ref=sr_1_28?keywords=Klein+Tools+602-4-INS+1%2F4-Inch+Cabinet+Tip+Insulated+Screwdriver%2C+4-Inch&amp;qid=1694735209&amp;sr=8-28")</f>
        <v/>
      </c>
      <c r="F7346" t="inlineStr">
        <is>
          <t>B0BF7JHR5X</t>
        </is>
      </c>
      <c r="G7346">
        <f>_xludf.IMAGE("https://edmondsonsupply.com/cdn/shop/products/602-4-ins-photo.jpg?v=1633031051")</f>
        <v/>
      </c>
      <c r="H7346">
        <f>_xludf.IMAGE("https://m.media-amazon.com/images/I/31ngLMMA6xL._AC_UL320_.jpg")</f>
        <v/>
      </c>
      <c r="K7346" t="inlineStr">
        <is>
          <t>20.99</t>
        </is>
      </c>
      <c r="L7346" t="n">
        <v>11.97</v>
      </c>
      <c r="M7346" s="1" t="inlineStr">
        <is>
          <t>-42.97%</t>
        </is>
      </c>
      <c r="N7346" s="1" t="n"/>
      <c r="O7346" t="n">
        <v>4</v>
      </c>
      <c r="P7346" t="n">
        <v>6</v>
      </c>
      <c r="R7346" t="inlineStr">
        <is>
          <t>InStock</t>
        </is>
      </c>
      <c r="S7346" t="inlineStr">
        <is>
          <t>31.8</t>
        </is>
      </c>
      <c r="T7346" t="inlineStr">
        <is>
          <t>6779496890541</t>
        </is>
      </c>
    </row>
    <row r="7347" hidden="1" ht="15.75" customHeight="1">
      <c r="A7347" s="2">
        <f>HYPERLINK("https://edmondsonsupply.com/collections/electricians-tools/products/milwaukee-2767-20-m18-fuel%E2%84%A2-1-2-high-torque-impact-wrench-with-friction-ring-tool-only", "https://edmondsonsupply.com/collections/electricians-tools/products/milwaukee-2767-20-m18-fuel%E2%84%A2-1-2-high-torque-impact-wrench-with-friction-ring-tool-only")</f>
        <v/>
      </c>
      <c r="B7347" s="2">
        <f>HYPERLINK("https://edmondsonsupply.com/products/milwaukee-2767-20-m18-fuel%e2%84%a2-1-2-high-torque-impact-wrench-with-friction-ring-tool-only", "https://edmondsonsupply.com/products/milwaukee-2767-20-m18-fuel%e2%84%a2-1-2-high-torque-impact-wrench-with-friction-ring-tool-only")</f>
        <v/>
      </c>
      <c r="C7347" t="inlineStr">
        <is>
          <t>Milwaukee 2767-20 M18 FUEL™ 1/2" High Torque Impact Wrench with Friction Ring (Tool Only)</t>
        </is>
      </c>
      <c r="D7347" t="inlineStr">
        <is>
          <t>Milwaukee 2663-20 M18 18V 1/2" High Torque Impact Wrench with Friction Ring</t>
        </is>
      </c>
      <c r="E7347" s="2">
        <f>HYPERLINK("https://www.amazon.com/Milwaukee-2663-20-Torque-Impact-Friction/dp/B09LKQ1KF5/ref=sr_1_18?keywords=Milwaukee+2767-20+M18+FUEL%E2%84%A2+1%2F2%22+High+Torque+Impact+Wrench+with+Friction+Ring+%28Tool+Only%29&amp;qid=1694735156&amp;sr=8-18", "https://www.amazon.com/Milwaukee-2663-20-Torque-Impact-Friction/dp/B09LKQ1KF5/ref=sr_1_18?keywords=Milwaukee+2767-20+M18+FUEL%E2%84%A2+1%2F2%22+High+Torque+Impact+Wrench+with+Friction+Ring+%28Tool+Only%29&amp;qid=1694735156&amp;sr=8-18")</f>
        <v/>
      </c>
      <c r="F7347" t="inlineStr">
        <is>
          <t>B09LKQ1KF5</t>
        </is>
      </c>
      <c r="G7347">
        <f>_xludf.IMAGE("https://edmondsonsupply.com/cdn/shop/products/2767-20_1.webp?v=1668441181")</f>
        <v/>
      </c>
      <c r="H7347">
        <f>_xludf.IMAGE("https://m.media-amazon.com/images/I/61MymxxU+JL._AC_UL320_.jpg")</f>
        <v/>
      </c>
      <c r="K7347" t="inlineStr">
        <is>
          <t>279.0</t>
        </is>
      </c>
      <c r="L7347" t="n">
        <v>158.99</v>
      </c>
      <c r="M7347" s="1" t="inlineStr">
        <is>
          <t>-43.01%</t>
        </is>
      </c>
      <c r="N7347" s="1" t="n"/>
      <c r="O7347" t="n">
        <v>4</v>
      </c>
      <c r="P7347" t="n">
        <v>4</v>
      </c>
      <c r="R7347" t="inlineStr">
        <is>
          <t>InStock</t>
        </is>
      </c>
      <c r="S7347" t="inlineStr">
        <is>
          <t>464.0</t>
        </is>
      </c>
      <c r="T7347" t="inlineStr">
        <is>
          <t>7884381552856</t>
        </is>
      </c>
    </row>
    <row r="7348" ht="87" customHeight="1">
      <c r="A7348" s="2">
        <f>HYPERLINK("https://edmondsonsupply.com/collections/electricians-tools/products/fluke-325-true-rms-clamp-meter", "https://edmondsonsupply.com/collections/electricians-tools/products/fluke-325-true-rms-clamp-meter")</f>
        <v/>
      </c>
      <c r="B7348" s="2">
        <f>HYPERLINK("https://edmondsonsupply.com/products/fluke-325-true-rms-clamp-meter", "https://edmondsonsupply.com/products/fluke-325-true-rms-clamp-meter")</f>
        <v/>
      </c>
      <c r="C7348" t="inlineStr">
        <is>
          <t>Fluke 325 True RMS Clamp Meter</t>
        </is>
      </c>
      <c r="D7348" t="inlineStr">
        <is>
          <t>Fluke 324 True-RMS Clamp Meter with Temperature &amp; Capacitance, Measure AC Current Up To 400 A and AC/DC Voltage Up to 600 V, Includes Backlit Display, Measure Resistance Up To 4000 Ohms</t>
        </is>
      </c>
      <c r="E7348" s="2" t="n"/>
      <c r="F7348" t="inlineStr">
        <is>
          <t>B009AZ0TXE</t>
        </is>
      </c>
      <c r="G7348">
        <f>_xlfn.IMAGE("https://edmondsonsupply.com/cdn/shop/products/Fluke_325_clamp_meter_1280x873px_E_NR-14655.jpg?v=1688679209")</f>
        <v/>
      </c>
      <c r="H7348">
        <f>_xlfn.IMAGE("https://m.media-amazon.com/images/I/51R3UJ4M4OL._AC_UY218_.jpg")</f>
        <v/>
      </c>
      <c r="K7348" t="inlineStr">
        <is>
          <t>373.49</t>
        </is>
      </c>
      <c r="L7348" t="n">
        <v>211.68</v>
      </c>
      <c r="M7348" s="1" t="inlineStr">
        <is>
          <t>-43.32%</t>
        </is>
      </c>
      <c r="N7348" s="7" t="n"/>
      <c r="O7348" t="n">
        <v>4.7</v>
      </c>
      <c r="P7348" t="n">
        <v>1253</v>
      </c>
      <c r="R7348" t="inlineStr">
        <is>
          <t>InStock</t>
        </is>
      </c>
      <c r="S7348" t="inlineStr">
        <is>
          <t>414.99</t>
        </is>
      </c>
      <c r="T7348" t="inlineStr">
        <is>
          <t>6917985468589</t>
        </is>
      </c>
    </row>
    <row r="7349" ht="87" customHeight="1">
      <c r="A7349" s="2">
        <f>HYPERLINK("https://edmondsonsupply.com/collections/electricians-tools/products/fluke-325-true-rms-clamp-meter", "https://edmondsonsupply.com/collections/electricians-tools/products/fluke-325-true-rms-clamp-meter")</f>
        <v/>
      </c>
      <c r="B7349" s="2">
        <f>HYPERLINK("https://edmondsonsupply.com/products/fluke-325-true-rms-clamp-meter", "https://edmondsonsupply.com/products/fluke-325-true-rms-clamp-meter")</f>
        <v/>
      </c>
      <c r="C7349" t="inlineStr">
        <is>
          <t>Fluke 325 True RMS Clamp Meter</t>
        </is>
      </c>
      <c r="D7349" t="inlineStr">
        <is>
          <t>Fluke 324 True-RMS Clamp Meter with Temperature &amp; Capacitance, Measure AC Current Up To 400 A and AC/DC Voltage Up to 600 V, Includes Backlit Display, Measure Resistance Up To 4000 Ohms</t>
        </is>
      </c>
      <c r="E7349" s="2">
        <f>HYPERLINK("https://www.amazon.com/Fluke-324-Temperature-Capacitance-Measurements/dp/B009AZ0TXE/ref=sr_1_5?keywords=Fluke+325+True+RMS+Clamp+Meter&amp;qid=1694735185&amp;sr=8-5", "https://www.amazon.com/Fluke-324-Temperature-Capacitance-Measurements/dp/B009AZ0TXE/ref=sr_1_5?keywords=Fluke+325+True+RMS+Clamp+Meter&amp;qid=1694735185&amp;sr=8-5")</f>
        <v/>
      </c>
      <c r="F7349" t="inlineStr">
        <is>
          <t>B009AZ0TXE</t>
        </is>
      </c>
      <c r="G7349">
        <f>_xlfn.IMAGE("https://edmondsonsupply.com/cdn/shop/products/Fluke_325_clamp_meter_1280x873px_E_NR-14655.jpg?v=1688679209")</f>
        <v/>
      </c>
      <c r="H7349">
        <f>_xlfn.IMAGE("https://m.media-amazon.com/images/I/51R3UJ4M4OL._AC_UY218_.jpg")</f>
        <v/>
      </c>
      <c r="K7349" t="inlineStr">
        <is>
          <t>373.49</t>
        </is>
      </c>
      <c r="L7349" t="n">
        <v>211.68</v>
      </c>
      <c r="M7349" s="1" t="inlineStr">
        <is>
          <t>-43.32%</t>
        </is>
      </c>
      <c r="N7349" s="7" t="n"/>
      <c r="O7349" t="n">
        <v>4.7</v>
      </c>
      <c r="P7349" t="n">
        <v>1253</v>
      </c>
      <c r="R7349" t="inlineStr">
        <is>
          <t>InStock</t>
        </is>
      </c>
      <c r="S7349" t="inlineStr">
        <is>
          <t>414.99</t>
        </is>
      </c>
      <c r="T7349" t="inlineStr">
        <is>
          <t>6917985468589</t>
        </is>
      </c>
    </row>
    <row r="7350" ht="87" customHeight="1">
      <c r="A7350" s="2">
        <f>HYPERLINK("https://edmondsonsupply.com/collections/electricians-tools/products/klein-tools-56014-fiberglass-fish-tape-with-spiral-leader-200-foot", "https://edmondsonsupply.com/collections/electricians-tools/products/klein-tools-56014-fiberglass-fish-tape-with-spiral-leader-200-foot")</f>
        <v/>
      </c>
      <c r="B7350" s="2">
        <f>HYPERLINK("https://edmondsonsupply.com/products/klein-tools-56014-fiberglass-fish-tape-with-spiral-leader-200-foot", "https://edmondsonsupply.com/products/klein-tools-56014-fiberglass-fish-tape-with-spiral-leader-200-foot")</f>
        <v/>
      </c>
      <c r="C7350" t="inlineStr">
        <is>
          <t>Klein Tools 56014 Fiberglass Fish Tape with Spiral Leader, 200-Foot</t>
        </is>
      </c>
      <c r="D7350" t="inlineStr">
        <is>
          <t>Klein Tools 56056 Electrical Fiberglass Fish Tape, 200-Foot x 3/16-Inch Wide Multi-Groove Fish Tape with Steel Leader</t>
        </is>
      </c>
      <c r="E7350" s="2">
        <f>HYPERLINK("https://www.amazon.com/Multi-Groove-Fiberglass-200-Foot-Klein-Tools/dp/B00N6Y8RRA/ref=sr_1_1?keywords=Klein+Tools+56014+Fiberglass+Fish+Tape+with+Spiral+Leader%2C+200-Foot&amp;qid=1694735109&amp;sr=8-1", "https://www.amazon.com/Multi-Groove-Fiberglass-200-Foot-Klein-Tools/dp/B00N6Y8RRA/ref=sr_1_1?keywords=Klein+Tools+56014+Fiberglass+Fish+Tape+with+Spiral+Leader%2C+200-Foot&amp;qid=1694735109&amp;sr=8-1")</f>
        <v/>
      </c>
      <c r="F7350" t="inlineStr">
        <is>
          <t>B00N6Y8RRA</t>
        </is>
      </c>
      <c r="G7350">
        <f>_xlfn.IMAGE("https://edmondsonsupply.com/cdn/shop/products/56014.jpg?v=1664478500")</f>
        <v/>
      </c>
      <c r="H7350">
        <f>_xlfn.IMAGE("https://m.media-amazon.com/images/I/61-dcSdFpvL._AC_UL320_.jpg")</f>
        <v/>
      </c>
      <c r="K7350" t="inlineStr">
        <is>
          <t>353.0</t>
        </is>
      </c>
      <c r="L7350" t="n">
        <v>199.99</v>
      </c>
      <c r="M7350" s="1" t="inlineStr">
        <is>
          <t>-43.35%</t>
        </is>
      </c>
      <c r="N7350" s="7" t="n"/>
      <c r="O7350" t="n">
        <v>4.4</v>
      </c>
      <c r="P7350" t="n">
        <v>86</v>
      </c>
      <c r="R7350" t="inlineStr">
        <is>
          <t>InStock</t>
        </is>
      </c>
      <c r="S7350" t="inlineStr">
        <is>
          <t>530.26</t>
        </is>
      </c>
      <c r="T7350" t="inlineStr">
        <is>
          <t>7833833013464</t>
        </is>
      </c>
    </row>
    <row r="7351" ht="87" customHeight="1">
      <c r="A7351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351" s="2">
        <f>HYPERLINK("https://edmondsonsupply.com/products/klein-tools-32800-6-in-1-multi-nut-driver-heavy-duty", "https://edmondsonsupply.com/products/klein-tools-32800-6-in-1-multi-nut-driver-heavy-duty")</f>
        <v/>
      </c>
      <c r="C7351" t="inlineStr">
        <is>
          <t>Klein Tools 32800 6-in-1 6-in-1 Multi-Bit Nut Driver, Heavy Duty</t>
        </is>
      </c>
      <c r="D7351" t="inlineStr">
        <is>
          <t>Klein Tools 32560 Multi-Bit Screwdriver / Nut Driver, Extended Reach 6-in-1 Tool with Phillips, Slotted and Square Bits and Nut Drivers</t>
        </is>
      </c>
      <c r="E7351" s="2">
        <f>HYPERLINK("https://www.amazon.com/Extended-Screwdriver-Klein-Tools-32560/dp/B005FQDHF4/ref=sr_1_5?keywords=Klein+Tools+32800+6-in-1+6-in-1+Multi-Bit+Nut+Driver%2C+Heavy+Duty&amp;qid=1694735172&amp;sr=8-5", "https://www.amazon.com/Extended-Screwdriver-Klein-Tools-32560/dp/B005FQDHF4/ref=sr_1_5?keywords=Klein+Tools+32800+6-in-1+6-in-1+Multi-Bit+Nut+Driver%2C+Heavy+Duty&amp;qid=1694735172&amp;sr=8-5")</f>
        <v/>
      </c>
      <c r="F7351" t="inlineStr">
        <is>
          <t>B005FQDHF4</t>
        </is>
      </c>
      <c r="G7351">
        <f>_xlfn.IMAGE("https://edmondsonsupply.com/cdn/shop/products/32800_alt2.jpg?v=1646595019")</f>
        <v/>
      </c>
      <c r="H7351">
        <f>_xlfn.IMAGE("https://m.media-amazon.com/images/I/516UhfUKmUL._AC_UL320_.jpg")</f>
        <v/>
      </c>
      <c r="K7351" t="inlineStr">
        <is>
          <t>29.99</t>
        </is>
      </c>
      <c r="L7351" t="n">
        <v>16.99</v>
      </c>
      <c r="M7351" s="1" t="inlineStr">
        <is>
          <t>-43.35%</t>
        </is>
      </c>
      <c r="N7351" s="7" t="n"/>
      <c r="O7351" t="n">
        <v>4.8</v>
      </c>
      <c r="P7351" t="n">
        <v>679</v>
      </c>
      <c r="R7351" t="inlineStr">
        <is>
          <t>InStock</t>
        </is>
      </c>
      <c r="S7351" t="inlineStr">
        <is>
          <t>42.2</t>
        </is>
      </c>
      <c r="T7351" t="inlineStr">
        <is>
          <t>1723912519780</t>
        </is>
      </c>
    </row>
    <row r="7352" hidden="1" ht="15.75" customHeight="1">
      <c r="A7352" s="2">
        <f>HYPERLINK("https://edmondsonsupply.com/collections/electricians-tools/products/klein-tools-646m-1-4-magnetic-nut-driver-set-6-inch-shafts-2-piece", "https://edmondsonsupply.com/collections/electricians-tools/products/klein-tools-646m-1-4-magnetic-nut-driver-set-6-inch-shafts-2-piece")</f>
        <v/>
      </c>
      <c r="B7352" s="2">
        <f>HYPERLINK("https://edmondsonsupply.com/products/klein-tools-646m-1-4-magnetic-nut-driver-set-6-inch-shafts-2-piece", "https://edmondsonsupply.com/products/klein-tools-646m-1-4-magnetic-nut-driver-set-6-inch-shafts-2-piece")</f>
        <v/>
      </c>
      <c r="C7352" t="inlineStr">
        <is>
          <t>Klein Tools 646M Magnetic Nut Driver Set, 6-Inch Shafts, 2-Piece</t>
        </is>
      </c>
      <c r="D7352" t="inlineStr">
        <is>
          <t>Klein Tools 610 Tool Set, Nut Driver Set with Stubby Nut Driver Sizes 1/4 and 5/16-Inch, Full Hollow Shaft, 2-Piece</t>
        </is>
      </c>
      <c r="E7352" s="2">
        <f>HYPERLINK("https://www.amazon.com/Klein-Tools-610-16-Inch-2-Piece/dp/B000CSKRCQ/ref=sr_1_12?keywords=Klein+Tools+646M+Magnetic+Nut+Driver+Set%2C+6-Inch+Shafts%2C+2-Piece&amp;qid=1694735354&amp;sr=8-12", "https://www.amazon.com/Klein-Tools-610-16-Inch-2-Piece/dp/B000CSKRCQ/ref=sr_1_12?keywords=Klein+Tools+646M+Magnetic+Nut+Driver+Set%2C+6-Inch+Shafts%2C+2-Piece&amp;qid=1694735354&amp;sr=8-12")</f>
        <v/>
      </c>
      <c r="F7352" t="inlineStr">
        <is>
          <t>B000CSKRCQ</t>
        </is>
      </c>
      <c r="G7352">
        <f>_xludf.IMAGE("https://edmondsonsupply.com/cdn/shop/products/646m.jpg?v=1587146592")</f>
        <v/>
      </c>
      <c r="H7352">
        <f>_xludf.IMAGE("https://m.media-amazon.com/images/I/51+8QhofFWL._AC_UL320_.jpg")</f>
        <v/>
      </c>
      <c r="K7352" t="inlineStr">
        <is>
          <t>24.99</t>
        </is>
      </c>
      <c r="L7352" t="n">
        <v>14.14</v>
      </c>
      <c r="M7352" s="1" t="inlineStr">
        <is>
          <t>-43.42%</t>
        </is>
      </c>
      <c r="N7352" s="1" t="n"/>
      <c r="O7352" t="n">
        <v>4.9</v>
      </c>
      <c r="P7352" t="n">
        <v>19</v>
      </c>
      <c r="R7352" t="inlineStr">
        <is>
          <t>InStock</t>
        </is>
      </c>
      <c r="S7352" t="inlineStr">
        <is>
          <t>31.74</t>
        </is>
      </c>
      <c r="T7352" t="inlineStr">
        <is>
          <t>4469705932900</t>
        </is>
      </c>
    </row>
    <row r="7353" hidden="1" ht="15.75" customHeight="1">
      <c r="A7353" s="2">
        <f>HYPERLINK("https://edmondsonsupply.com/collections/electricians-tools/products/diablo-tools-dmarg1160-1-2-in-x-10-in-x-12-in-speedemon%E2%84%A2-red-granite-carbide-tipped-hammer-drill-bit", "https://edmondsonsupply.com/collections/electricians-tools/products/diablo-tools-dmarg1160-1-2-in-x-10-in-x-12-in-speedemon%E2%84%A2-red-granite-carbide-tipped-hammer-drill-bit")</f>
        <v/>
      </c>
      <c r="B7353" s="2">
        <f>HYPERLINK("https://edmondsonsupply.com/products/diablo-tools-dmarg1160-1-2-in-x-10-in-x-12-in-speedemon%e2%84%a2-red-granite-carbide-tipped-hammer-drill-bit", "https://edmondsonsupply.com/products/diablo-tools-dmarg1160-1-2-in-x-10-in-x-12-in-speedemon%e2%84%a2-red-granite-carbide-tipped-hammer-drill-bit")</f>
        <v/>
      </c>
      <c r="C7353" t="inlineStr">
        <is>
          <t>Diablo Tools DMARG1160 1/2 in. x 10 in. x 12 in. SPEEDemon™ Red Granite Carbide Tipped Hammer Drill Bit</t>
        </is>
      </c>
      <c r="D7353" t="inlineStr">
        <is>
          <t>Sabre Tools 1/2 Inch x 12 Inch SDS Plus Rotary Hammer Drill Bit, Carbide Tipped for Brick, Stone, and Concrete Version 2 (1/2" x 10" x 12")</t>
        </is>
      </c>
      <c r="E7353" s="2">
        <f>HYPERLINK("https://www.amazon.com/Sabre-Tools-Carbide-Concrete-Version/dp/B096NN3XMB/ref=sr_1_12?keywords=Diablo+Tools+DMARG1160+1%2F2+in.+x+10+in.+x+12+in.+SPEEDemon%E2%84%A2+Red+Granite+Carbide+Tipped+Hammer+Drill+Bit&amp;qid=1694735262&amp;sr=8-12", "https://www.amazon.com/Sabre-Tools-Carbide-Concrete-Version/dp/B096NN3XMB/ref=sr_1_12?keywords=Diablo+Tools+DMARG1160+1%2F2+in.+x+10+in.+x+12+in.+SPEEDemon%E2%84%A2+Red+Granite+Carbide+Tipped+Hammer+Drill+Bit&amp;qid=1694735262&amp;sr=8-12")</f>
        <v/>
      </c>
      <c r="F7353" t="inlineStr">
        <is>
          <t>B096NN3XMB</t>
        </is>
      </c>
      <c r="G7353">
        <f>_xludf.IMAGE("https://edmondsonsupply.com/cdn/shop/products/DMARG1160_Main-Image20200513.png?v=1633030651")</f>
        <v/>
      </c>
      <c r="H7353">
        <f>_xludf.IMAGE("https://m.media-amazon.com/images/I/61dIavic6qL._AC_UL320_.jpg")</f>
        <v/>
      </c>
      <c r="K7353" t="inlineStr">
        <is>
          <t>15.97</t>
        </is>
      </c>
      <c r="L7353" t="n">
        <v>8.99</v>
      </c>
      <c r="M7353" s="1" t="inlineStr">
        <is>
          <t>-43.71%</t>
        </is>
      </c>
      <c r="N7353" s="1" t="n"/>
      <c r="O7353" t="n">
        <v>4.6</v>
      </c>
      <c r="P7353" t="n">
        <v>796</v>
      </c>
      <c r="R7353" t="inlineStr">
        <is>
          <t>InStock</t>
        </is>
      </c>
      <c r="S7353" t="inlineStr">
        <is>
          <t>undefined</t>
        </is>
      </c>
      <c r="T7353" t="inlineStr">
        <is>
          <t>5740401164456</t>
        </is>
      </c>
    </row>
    <row r="7354" hidden="1" ht="15.75" customHeight="1">
      <c r="A7354" s="2">
        <f>HYPERLINK("https://edmondsonsupply.com/collections/electricians-tools/products/klein-tools-jth6t27-t27-torx%C2%AE-hex-key-with-journeyman-t-handle-6-inch", "https://edmondsonsupply.com/collections/electricians-tools/products/klein-tools-jth6t27-t27-torx%C2%AE-hex-key-with-journeyman-t-handle-6-inch")</f>
        <v/>
      </c>
      <c r="B7354" s="2">
        <f>HYPERLINK("https://edmondsonsupply.com/products/klein-tools-jth6t27-t27-torx%c2%ae-hex-key-with-journeyman-t-handle-6-inch", "https://edmondsonsupply.com/products/klein-tools-jth6t27-t27-torx%c2%ae-hex-key-with-journeyman-t-handle-6-inch")</f>
        <v/>
      </c>
      <c r="C7354" t="inlineStr">
        <is>
          <t>Klein Tools JTH6T27 T27 Torx® Hex Key with Journeyman T-Handle, 6-Inch</t>
        </is>
      </c>
      <c r="D7354" t="inlineStr">
        <is>
          <t>Klein Tools JTH6E10BE 5/32-Inch Ball Hex Key with Journeyman T-Handle, 6-Inch</t>
        </is>
      </c>
      <c r="E7354" s="2">
        <f>HYPERLINK("https://www.amazon.com/Journeyman-T-Handle-Klein-Tools-JTH6E10BE/dp/B004QW4EPK/ref=sr_1_3?keywords=Klein+Tools+JTH6T27+T27+Torx%C2%AE+Hex+Key+with+Journeyman+T-Handle%2C+6-Inch&amp;qid=1694735413&amp;sr=8-3", "https://www.amazon.com/Journeyman-T-Handle-Klein-Tools-JTH6E10BE/dp/B004QW4EPK/ref=sr_1_3?keywords=Klein+Tools+JTH6T27+T27+Torx%C2%AE+Hex+Key+with+Journeyman+T-Handle%2C+6-Inch&amp;qid=1694735413&amp;sr=8-3")</f>
        <v/>
      </c>
      <c r="F7354" t="inlineStr">
        <is>
          <t>B004QW4EPK</t>
        </is>
      </c>
      <c r="G7354">
        <f>_xludf.IMAGE("https://edmondsonsupply.com/cdn/shop/products/jth6t40_cb060be3-75cf-4184-9024-dee33ab54739.jpg?v=1587142808")</f>
        <v/>
      </c>
      <c r="H7354">
        <f>_xludf.IMAGE("https://m.media-amazon.com/images/I/51f9vBFVXgL._AC_UL320_.jpg")</f>
        <v/>
      </c>
      <c r="K7354" t="inlineStr">
        <is>
          <t>12.1</t>
        </is>
      </c>
      <c r="L7354" t="n">
        <v>6.8</v>
      </c>
      <c r="M7354" s="1" t="inlineStr">
        <is>
          <t>-43.80%</t>
        </is>
      </c>
      <c r="N7354" s="1" t="n"/>
      <c r="O7354" t="n">
        <v>4.8</v>
      </c>
      <c r="P7354" t="n">
        <v>454</v>
      </c>
      <c r="R7354" t="inlineStr">
        <is>
          <t>InStock</t>
        </is>
      </c>
      <c r="S7354" t="inlineStr">
        <is>
          <t>undefined</t>
        </is>
      </c>
      <c r="T7354" t="inlineStr">
        <is>
          <t>4392295039076</t>
        </is>
      </c>
    </row>
    <row r="7355" ht="87" customHeight="1">
      <c r="A7355" s="2">
        <f>HYPERLINK("https://edmondsonsupply.com/collections/electricians-tools/products/crescent-wiss-ws46n-6-straight-handle-hand-seamer", "https://edmondsonsupply.com/collections/electricians-tools/products/crescent-wiss-ws46n-6-straight-handle-hand-seamer")</f>
        <v/>
      </c>
      <c r="B7355" s="2">
        <f>HYPERLINK("https://edmondsonsupply.com/products/crescent-wiss-ws46n-6-straight-handle-hand-seamer", "https://edmondsonsupply.com/products/crescent-wiss-ws46n-6-straight-handle-hand-seamer")</f>
        <v/>
      </c>
      <c r="C7355" t="inlineStr">
        <is>
          <t>Crescent Wiss WS6N 6" Straight Handle Hand Seamer</t>
        </is>
      </c>
      <c r="D7355" t="inlineStr">
        <is>
          <t>Crescent Wiss 3" Straight Handle Hand Seamer - WS3N</t>
        </is>
      </c>
      <c r="E7355" s="2">
        <f>HYPERLINK("https://www.amazon.com/Wiss-WS3N-Straight-Handle-Seamer/dp/B0711SV5KP/ref=sr_1_2?keywords=Crescent+Wiss+WS6N+6%22+Straight+Handle+Hand+Seamer&amp;qid=1694735007&amp;sr=8-2", "https://www.amazon.com/Wiss-WS3N-Straight-Handle-Seamer/dp/B0711SV5KP/ref=sr_1_2?keywords=Crescent+Wiss+WS6N+6%22+Straight+Handle+Hand+Seamer&amp;qid=1694735007&amp;sr=8-2")</f>
        <v/>
      </c>
      <c r="F7355" t="inlineStr">
        <is>
          <t>B0711SV5KP</t>
        </is>
      </c>
      <c r="G7355">
        <f>_xlfn.IMAGE("https://edmondsonsupply.com/cdn/shop/products/WIS_WS3N_IMG-MAIN_1.jpg?v=1679679422")</f>
        <v/>
      </c>
      <c r="H7355">
        <f>_xlfn.IMAGE("https://m.media-amazon.com/images/I/61If78TftlL._AC_UL320_.jpg")</f>
        <v/>
      </c>
      <c r="K7355" t="inlineStr">
        <is>
          <t>62.4</t>
        </is>
      </c>
      <c r="L7355" t="n">
        <v>34.99</v>
      </c>
      <c r="M7355" s="1" t="inlineStr">
        <is>
          <t>-43.93%</t>
        </is>
      </c>
      <c r="N7355" s="7" t="n"/>
      <c r="O7355" t="n">
        <v>4.4</v>
      </c>
      <c r="P7355" t="n">
        <v>173</v>
      </c>
      <c r="R7355" t="inlineStr">
        <is>
          <t>InStock</t>
        </is>
      </c>
      <c r="S7355" t="inlineStr">
        <is>
          <t>112.06</t>
        </is>
      </c>
      <c r="T7355" t="inlineStr">
        <is>
          <t>7966439309528</t>
        </is>
      </c>
    </row>
    <row r="7356" hidden="1" ht="15.75" customHeight="1">
      <c r="A7356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356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356" t="inlineStr">
        <is>
          <t>Diablo Tools DMAMX1360 1-1/2 in. x 16 in. x 21 in. Rebar Demon™ SDS-Max 4-Cutter Carbide-Tipped Hammer Drill Bit</t>
        </is>
      </c>
      <c r="D7356" t="inlineStr">
        <is>
          <t>Diablo DMAMX1180 7/8 in. x 16 in. x 21 in. Rebar Demon™ SDS-Max 4-Cutter Full Carbide Head Hammer Bit</t>
        </is>
      </c>
      <c r="E7356" s="2">
        <f>HYPERLINK("https://www.amazon.com/Diablo-SDS-Max-4-Cutter-Carbide-Hammer/dp/B089KWFF8B/ref=sr_1_11?keywords=Diablo+Tools+DMAMX1360+1-1%2F2+in.+x+16+in.+x+21+in.+Rebar+Demon%E2%84%A2+SDS-Max+4-Cutter+Carbide-Tipped+Hammer+Drill+Bit&amp;qid=1694735042&amp;sr=8-11", "https://www.amazon.com/Diablo-SDS-Max-4-Cutter-Carbide-Hammer/dp/B089KWFF8B/ref=sr_1_11?keywords=Diablo+Tools+DMAMX1360+1-1%2F2+in.+x+16+in.+x+21+in.+Rebar+Demon%E2%84%A2+SDS-Max+4-Cutter+Carbide-Tipped+Hammer+Drill+Bit&amp;qid=1694735042&amp;sr=8-11")</f>
        <v/>
      </c>
      <c r="F7356" t="inlineStr">
        <is>
          <t>B089KWFF8B</t>
        </is>
      </c>
      <c r="G7356">
        <f>_xludf.IMAGE("https://edmondsonsupply.com/cdn/shop/products/z2umcsdaj3y4uvsfnxoh.webp?v=1677257156")</f>
        <v/>
      </c>
      <c r="H7356">
        <f>_xludf.IMAGE("https://m.media-amazon.com/images/I/611fTcYRNFL._AC_UL320_.jpg")</f>
        <v/>
      </c>
      <c r="K7356" t="inlineStr">
        <is>
          <t>93.87</t>
        </is>
      </c>
      <c r="L7356" t="n">
        <v>52.51</v>
      </c>
      <c r="M7356" s="1" t="inlineStr">
        <is>
          <t>-44.06%</t>
        </is>
      </c>
      <c r="N7356" s="1" t="n"/>
      <c r="O7356" t="n">
        <v>3.5</v>
      </c>
      <c r="P7356" t="n">
        <v>3</v>
      </c>
      <c r="R7356" t="inlineStr">
        <is>
          <t>InStock</t>
        </is>
      </c>
      <c r="S7356" t="inlineStr">
        <is>
          <t>149.01</t>
        </is>
      </c>
      <c r="T7356" t="inlineStr">
        <is>
          <t>7950786855128</t>
        </is>
      </c>
    </row>
    <row r="7357" hidden="1" ht="15.75" customHeight="1">
      <c r="A7357" s="2">
        <f>HYPERLINK("https://edmondsonsupply.com/collections/electricians-tools/products/klein-tools-66076-flip-impact-socket-9-16-and-1-2-inch", "https://edmondsonsupply.com/collections/electricians-tools/products/klein-tools-66076-flip-impact-socket-9-16-and-1-2-inch")</f>
        <v/>
      </c>
      <c r="B7357" s="2">
        <f>HYPERLINK("https://edmondsonsupply.com/products/klein-tools-66076-flip-impact-socket-9-16-and-1-2-inch", "https://edmondsonsupply.com/products/klein-tools-66076-flip-impact-socket-9-16-and-1-2-inch")</f>
        <v/>
      </c>
      <c r="C7357" t="inlineStr">
        <is>
          <t>Klein Tools 66076 Flip Impact Socket, 9/16 and 1/2-Inch</t>
        </is>
      </c>
      <c r="D7357" t="inlineStr">
        <is>
          <t>9/16-Inch Standard 12-Point Socket, 1/2-Inch Drive Klein Tools 65802</t>
        </is>
      </c>
      <c r="E7357" s="2">
        <f>HYPERLINK("https://www.amazon.com/Standard-12-Point-Klein-Tools-65802/dp/B0002RI7RO/ref=sr_1_43?keywords=Klein+Tools+66076+Flip+Impact+Socket%2C+9%2F16+and+1%2F2-Inch&amp;qid=1694735129&amp;sr=8-43", "https://www.amazon.com/Standard-12-Point-Klein-Tools-65802/dp/B0002RI7RO/ref=sr_1_43?keywords=Klein+Tools+66076+Flip+Impact+Socket%2C+9%2F16+and+1%2F2-Inch&amp;qid=1694735129&amp;sr=8-43")</f>
        <v/>
      </c>
      <c r="F7357" t="inlineStr">
        <is>
          <t>B0002RI7RO</t>
        </is>
      </c>
      <c r="G7357">
        <f>_xludf.IMAGE("https://edmondsonsupply.com/cdn/shop/products/66076.jpg?v=1663083814")</f>
        <v/>
      </c>
      <c r="H7357">
        <f>_xludf.IMAGE("https://m.media-amazon.com/images/I/519noZwIExL._AC_UL320_.jpg")</f>
        <v/>
      </c>
      <c r="K7357" t="inlineStr">
        <is>
          <t>10.71</t>
        </is>
      </c>
      <c r="L7357" t="n">
        <v>5.99</v>
      </c>
      <c r="M7357" s="1" t="inlineStr">
        <is>
          <t>-44.07%</t>
        </is>
      </c>
      <c r="N7357" s="1" t="n"/>
      <c r="O7357" t="n">
        <v>5</v>
      </c>
      <c r="P7357" t="n">
        <v>6</v>
      </c>
      <c r="R7357" t="inlineStr">
        <is>
          <t>InStock</t>
        </is>
      </c>
      <c r="S7357" t="inlineStr">
        <is>
          <t>15.0</t>
        </is>
      </c>
      <c r="T7357" t="inlineStr">
        <is>
          <t>7814133874904</t>
        </is>
      </c>
    </row>
    <row r="7358" ht="87" customHeight="1">
      <c r="A7358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358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358" t="inlineStr">
        <is>
          <t>Diablo Tools DMAMX1110 5/8 in. x 24 in. x 29 in. Rebar Demon™ SDS-Max 4-Cutter Full Carbide Head Hammer Bit</t>
        </is>
      </c>
      <c r="D7358" t="inlineStr">
        <is>
          <t>Diablo DMAMX1140 3/4 in. x 16 in. x 21 in. Rebar Demon™ SDS-Max 4-Cutter Full Carbide Head Hammer Bit</t>
        </is>
      </c>
      <c r="E7358" s="2">
        <f>HYPERLINK("https://www.amazon.com/Diablo-SDS-Max-4-Cutter-Carbide-Hammer/dp/B089KWP4WK/ref=sr_1_22?keywords=Diablo+Tools+DMAMX1110+5%2F8+in.+x+24+in.+x+29+in.+Rebar+Demon%E2%84%A2+SDS-Max+4-Cutter+Full+Carbide+Head+Hammer+Bit&amp;qid=1694735304&amp;sr=8-22", "https://www.amazon.com/Diablo-SDS-Max-4-Cutter-Carbide-Hammer/dp/B089KWP4WK/ref=sr_1_22?keywords=Diablo+Tools+DMAMX1110+5%2F8+in.+x+24+in.+x+29+in.+Rebar+Demon%E2%84%A2+SDS-Max+4-Cutter+Full+Carbide+Head+Hammer+Bit&amp;qid=1694735304&amp;sr=8-22")</f>
        <v/>
      </c>
      <c r="F7358" t="inlineStr">
        <is>
          <t>B089KWP4WK</t>
        </is>
      </c>
      <c r="G7358">
        <f>_xlfn.IMAGE("https://edmondsonsupply.com/cdn/shop/products/DMAMX1110_1.jpg?v=1633030364")</f>
        <v/>
      </c>
      <c r="H7358">
        <f>_xlfn.IMAGE("https://m.media-amazon.com/images/I/61yWWNP1xrL._AC_UL320_.jpg")</f>
        <v/>
      </c>
      <c r="K7358" t="inlineStr">
        <is>
          <t>89.97</t>
        </is>
      </c>
      <c r="L7358" t="n">
        <v>50.26</v>
      </c>
      <c r="M7358" s="1" t="inlineStr">
        <is>
          <t>-44.14%</t>
        </is>
      </c>
      <c r="N7358" s="7" t="n"/>
      <c r="O7358" t="n">
        <v>5</v>
      </c>
      <c r="P7358" t="n">
        <v>9</v>
      </c>
      <c r="R7358" t="inlineStr">
        <is>
          <t>InStock</t>
        </is>
      </c>
      <c r="S7358" t="inlineStr">
        <is>
          <t>115.5</t>
        </is>
      </c>
      <c r="T7358" t="inlineStr">
        <is>
          <t>5289159655592</t>
        </is>
      </c>
    </row>
    <row r="7359" ht="87" customHeight="1">
      <c r="A7359" s="2">
        <f>HYPERLINK("https://edmondsonsupply.com/collections/electricians-tools/products/diablo-tools-d0704dh-7-1-4-in-x-4-tooth-fiber-cement", "https://edmondsonsupply.com/collections/electricians-tools/products/diablo-tools-d0704dh-7-1-4-in-x-4-tooth-fiber-cement")</f>
        <v/>
      </c>
      <c r="B7359" s="2">
        <f>HYPERLINK("https://edmondsonsupply.com/products/diablo-tools-d0704dh-7-1-4-in-x-4-tooth-fiber-cement", "https://edmondsonsupply.com/products/diablo-tools-d0704dh-7-1-4-in-x-4-tooth-fiber-cement")</f>
        <v/>
      </c>
      <c r="C7359" t="inlineStr">
        <is>
          <t>Diablo Tools D0704DH 7-1/4 in. x 4 Tooth Fiber Cement</t>
        </is>
      </c>
      <c r="D7359" t="inlineStr">
        <is>
          <t>TOMAX PCDM71404 7-1/4 Inch 4 Tooth Polycrystalline Diamond Tipped (PCD) Hardie Fiber Cement Saw Blade with 5/8-Inch DMK Arbor</t>
        </is>
      </c>
      <c r="E7359" s="2">
        <f>HYPERLINK("https://www.amazon.com/TOMAX-PCDM71404-Polycrystalline-Diamond-Tipped/dp/B0856RR3RR/ref=sr_1_4?keywords=Diablo+Tools+D0704DH+7-1%2F4+in.+x+4+Tooth+Fiber+Cement&amp;qid=1694735024&amp;sr=8-4", "https://www.amazon.com/TOMAX-PCDM71404-Polycrystalline-Diamond-Tipped/dp/B0856RR3RR/ref=sr_1_4?keywords=Diablo+Tools+D0704DH+7-1%2F4+in.+x+4+Tooth+Fiber+Cement&amp;qid=1694735024&amp;sr=8-4")</f>
        <v/>
      </c>
      <c r="F7359" t="inlineStr">
        <is>
          <t>B0856RR3RR</t>
        </is>
      </c>
      <c r="G7359">
        <f>_xlfn.IMAGE("https://edmondsonsupply.com/cdn/shop/products/baadnmj6vhmqufio7ofn.webp?v=1679325375")</f>
        <v/>
      </c>
      <c r="H7359">
        <f>_xlfn.IMAGE("https://m.media-amazon.com/images/I/71KrPyDF71S._AC_UL320_.jpg")</f>
        <v/>
      </c>
      <c r="K7359" t="inlineStr">
        <is>
          <t>44.97</t>
        </is>
      </c>
      <c r="L7359" t="n">
        <v>24.99</v>
      </c>
      <c r="M7359" s="1" t="inlineStr">
        <is>
          <t>-44.43%</t>
        </is>
      </c>
      <c r="N7359" s="7" t="n"/>
      <c r="O7359" t="n">
        <v>4.4</v>
      </c>
      <c r="P7359" t="n">
        <v>255</v>
      </c>
      <c r="R7359" t="inlineStr">
        <is>
          <t>InStock</t>
        </is>
      </c>
      <c r="S7359" t="inlineStr">
        <is>
          <t>67.99</t>
        </is>
      </c>
      <c r="T7359" t="inlineStr">
        <is>
          <t>7964908159192</t>
        </is>
      </c>
    </row>
    <row r="7360" hidden="1" ht="15.75" customHeight="1">
      <c r="A7360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7360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7360" t="inlineStr">
        <is>
          <t>Klein Tools 612-4-INS Insulated 1/8-Inch Slotted Screwdriver, 4-Inch</t>
        </is>
      </c>
      <c r="D7360" t="inlineStr">
        <is>
          <t>Klein Tools 6834INS Insulated Screwdriver, 1000V #2 Phillips Tip Screwdriver with 4-Inch Shank, Tip-Ident, Cushion-Grip Handle</t>
        </is>
      </c>
      <c r="E7360" s="2">
        <f>HYPERLINK("https://www.amazon.com/Klein-Tools-6834INS-Screwdriver-Cushion-Grip/dp/B0BF7LCHQ9/ref=sr_1_21?keywords=Klein+Tools+612-4-INS+Insulated+1%2F8-Inch+Slotted+Screwdriver%2C+4-Inch&amp;qid=1694735335&amp;sr=8-21", "https://www.amazon.com/Klein-Tools-6834INS-Screwdriver-Cushion-Grip/dp/B0BF7LCHQ9/ref=sr_1_21?keywords=Klein+Tools+612-4-INS+Insulated+1%2F8-Inch+Slotted+Screwdriver%2C+4-Inch&amp;qid=1694735335&amp;sr=8-21")</f>
        <v/>
      </c>
      <c r="F7360" t="inlineStr">
        <is>
          <t>B0BF7LCHQ9</t>
        </is>
      </c>
      <c r="G7360">
        <f>_xludf.IMAGE("https://edmondsonsupply.com/cdn/shop/products/612-4-ins.jpg?v=1587148611")</f>
        <v/>
      </c>
      <c r="H7360">
        <f>_xludf.IMAGE("https://m.media-amazon.com/images/I/41syzbetq2L._AC_UL320_.jpg")</f>
        <v/>
      </c>
      <c r="K7360" t="inlineStr">
        <is>
          <t>17.99</t>
        </is>
      </c>
      <c r="L7360" t="n">
        <v>9.99</v>
      </c>
      <c r="M7360" s="1" t="inlineStr">
        <is>
          <t>-44.47%</t>
        </is>
      </c>
      <c r="N7360" s="1" t="n"/>
      <c r="O7360" t="n">
        <v>5</v>
      </c>
      <c r="P7360" t="n">
        <v>5</v>
      </c>
      <c r="R7360" t="inlineStr">
        <is>
          <t>InStock</t>
        </is>
      </c>
      <c r="S7360" t="inlineStr">
        <is>
          <t>27.26</t>
        </is>
      </c>
      <c r="T7360" t="inlineStr">
        <is>
          <t>4167520911460</t>
        </is>
      </c>
    </row>
    <row r="7361" hidden="1" ht="15.75" customHeight="1">
      <c r="A7361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7361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7361" t="inlineStr">
        <is>
          <t>Klein Tools 661-4-INS Insulated Screwdriver, #1 Square Tip, 4-Inch Shank</t>
        </is>
      </c>
      <c r="D7361" t="inlineStr">
        <is>
          <t>Klein Tools 6844INS Insulated Screwdriver, 1000V #2 Square Tip Screwdriver with 4-Inch Shank, Tip-Ident, Cushion-Grip Handle</t>
        </is>
      </c>
      <c r="E7361" s="2">
        <f>HYPERLINK("https://www.amazon.com/Klein-Tools-6844INS-Screwdriver-Cushion-Grip/dp/B0BF7L6BZ6/ref=sr_1_6?keywords=Klein+Tools+661-4-INS+Insulated+Screwdriver%2C+%231+Square+Tip%2C+4-Inch+Shank&amp;qid=1694735265&amp;sr=8-6", "https://www.amazon.com/Klein-Tools-6844INS-Screwdriver-Cushion-Grip/dp/B0BF7L6BZ6/ref=sr_1_6?keywords=Klein+Tools+661-4-INS+Insulated+Screwdriver%2C+%231+Square+Tip%2C+4-Inch+Shank&amp;qid=1694735265&amp;sr=8-6")</f>
        <v/>
      </c>
      <c r="F7361" t="inlineStr">
        <is>
          <t>B0BF7L6BZ6</t>
        </is>
      </c>
      <c r="G7361">
        <f>_xludf.IMAGE("https://edmondsonsupply.com/cdn/shop/products/661-4-ins.jpg?v=1633030622")</f>
        <v/>
      </c>
      <c r="H7361">
        <f>_xludf.IMAGE("https://m.media-amazon.com/images/I/41RKewAXjvL._AC_UL320_.jpg")</f>
        <v/>
      </c>
      <c r="K7361" t="inlineStr">
        <is>
          <t>17.99</t>
        </is>
      </c>
      <c r="L7361" t="n">
        <v>9.99</v>
      </c>
      <c r="M7361" s="1" t="inlineStr">
        <is>
          <t>-44.47%</t>
        </is>
      </c>
      <c r="N7361" s="1" t="n"/>
      <c r="O7361" t="n">
        <v>4.9</v>
      </c>
      <c r="P7361" t="n">
        <v>202</v>
      </c>
      <c r="R7361" t="inlineStr">
        <is>
          <t>InStock</t>
        </is>
      </c>
      <c r="S7361" t="inlineStr">
        <is>
          <t>27.24</t>
        </is>
      </c>
      <c r="T7361" t="inlineStr">
        <is>
          <t>5651594215592</t>
        </is>
      </c>
    </row>
    <row r="7362" hidden="1" ht="15.75" customHeight="1">
      <c r="A7362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7362" s="2">
        <f>HYPERLINK("https://edmondsonsupply.com/products/greenlee-dtap10-32-drill-tap-10-32", "https://edmondsonsupply.com/products/greenlee-dtap10-32-drill-tap-10-32")</f>
        <v/>
      </c>
      <c r="C7362" t="inlineStr">
        <is>
          <t>Greenlee DTAP10-32 Drill/Tap, 10-32</t>
        </is>
      </c>
      <c r="D7362" t="inlineStr">
        <is>
          <t>Century Drill &amp; Tool 95007 Machine Screw Tap, 10-32NF</t>
        </is>
      </c>
      <c r="E7362" s="2">
        <f>HYPERLINK("https://www.amazon.com/Century-Drill-Tool-95007-Fractional/dp/B004UUALKU/ref=sr_1_44?keywords=Greenlee+DTAP10-32+Drill%2FTap%2C+10-32&amp;qid=1694735404&amp;sr=8-44", "https://www.amazon.com/Century-Drill-Tool-95007-Fractional/dp/B004UUALKU/ref=sr_1_44?keywords=Greenlee+DTAP10-32+Drill%2FTap%2C+10-32&amp;qid=1694735404&amp;sr=8-44")</f>
        <v/>
      </c>
      <c r="F7362" t="inlineStr">
        <is>
          <t>B004UUALKU</t>
        </is>
      </c>
      <c r="G7362">
        <f>_xludf.IMAGE("https://edmondsonsupply.com/cdn/shop/products/DTAP10-32.jpg?v=1633030188")</f>
        <v/>
      </c>
      <c r="H7362">
        <f>_xludf.IMAGE("https://m.media-amazon.com/images/I/31bL+DjmpkL._AC_UL320_.jpg")</f>
        <v/>
      </c>
      <c r="K7362" t="inlineStr">
        <is>
          <t>8.99</t>
        </is>
      </c>
      <c r="L7362" t="n">
        <v>4.99</v>
      </c>
      <c r="M7362" s="1" t="inlineStr">
        <is>
          <t>-44.49%</t>
        </is>
      </c>
      <c r="N7362" s="1" t="n"/>
      <c r="O7362" t="n">
        <v>4.8</v>
      </c>
      <c r="P7362" t="n">
        <v>10</v>
      </c>
      <c r="R7362" t="inlineStr">
        <is>
          <t>InStock</t>
        </is>
      </c>
      <c r="S7362" t="inlineStr">
        <is>
          <t>9.7</t>
        </is>
      </c>
      <c r="T7362" t="inlineStr">
        <is>
          <t>4395883298916</t>
        </is>
      </c>
    </row>
    <row r="7363" hidden="1" ht="15.75" customHeight="1">
      <c r="A7363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7363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7363" t="inlineStr">
        <is>
          <t>Klein Tools 661-4-INS Insulated Screwdriver, #1 Square Tip, 4-Inch Shank</t>
        </is>
      </c>
      <c r="D7363" t="inlineStr">
        <is>
          <t>Klein Tools 6884INS Insulated Screwdriver, 1000V #1 Square Tip Screwdriver with 4-Inch Shank, Tip-Ident, Cushion-Grip Handle</t>
        </is>
      </c>
      <c r="E7363" s="2">
        <f>HYPERLINK("https://www.amazon.com/Klein-Tools-6884INS-Screwdriver-Cushion-Grip/dp/B0BF7K2YSW/ref=sr_1_3?keywords=Klein+Tools+661-4-INS+Insulated+Screwdriver%2C+%231+Square+Tip%2C+4-Inch+Shank&amp;qid=1694735265&amp;sr=8-3", "https://www.amazon.com/Klein-Tools-6884INS-Screwdriver-Cushion-Grip/dp/B0BF7K2YSW/ref=sr_1_3?keywords=Klein+Tools+661-4-INS+Insulated+Screwdriver%2C+%231+Square+Tip%2C+4-Inch+Shank&amp;qid=1694735265&amp;sr=8-3")</f>
        <v/>
      </c>
      <c r="F7363" t="inlineStr">
        <is>
          <t>B0BF7K2YSW</t>
        </is>
      </c>
      <c r="G7363">
        <f>_xludf.IMAGE("https://edmondsonsupply.com/cdn/shop/products/661-4-ins.jpg?v=1633030622")</f>
        <v/>
      </c>
      <c r="H7363">
        <f>_xludf.IMAGE("https://m.media-amazon.com/images/I/41avq0kPXJL._AC_UL320_.jpg")</f>
        <v/>
      </c>
      <c r="K7363" t="inlineStr">
        <is>
          <t>17.99</t>
        </is>
      </c>
      <c r="L7363" t="n">
        <v>9.970000000000001</v>
      </c>
      <c r="M7363" s="1" t="inlineStr">
        <is>
          <t>-44.58%</t>
        </is>
      </c>
      <c r="N7363" s="1" t="n"/>
      <c r="O7363" t="n">
        <v>4.8</v>
      </c>
      <c r="P7363" t="n">
        <v>414</v>
      </c>
      <c r="R7363" t="inlineStr">
        <is>
          <t>InStock</t>
        </is>
      </c>
      <c r="S7363" t="inlineStr">
        <is>
          <t>27.24</t>
        </is>
      </c>
      <c r="T7363" t="inlineStr">
        <is>
          <t>5651594215592</t>
        </is>
      </c>
    </row>
    <row r="7364" hidden="1" ht="15.75" customHeight="1">
      <c r="A7364" s="2">
        <f>HYPERLINK("https://edmondsonsupply.com/collections/electricians-tools/products/channellock-3017", "https://edmondsonsupply.com/collections/electricians-tools/products/channellock-3017")</f>
        <v/>
      </c>
      <c r="B7364" s="2">
        <f>HYPERLINK("https://edmondsonsupply.com/products/channellock-3017", "https://edmondsonsupply.com/products/channellock-3017")</f>
        <v/>
      </c>
      <c r="C7364" t="inlineStr">
        <is>
          <t>Channellock 3017 8-Inch Long Nose Pliers</t>
        </is>
      </c>
      <c r="D7364" t="inlineStr">
        <is>
          <t>Stanley 84-032 8-Inch Bi-Material Long Nose Pliers</t>
        </is>
      </c>
      <c r="E7364" s="2">
        <f>HYPERLINK("https://www.amazon.com/Stanley-84-032-8-Inch-Bi-Material-Pliers/dp/B000NNIM5E/ref=sr_1_30?keywords=Channellock+3017+8-Inch+Long+Nose+Pliers&amp;qid=1694735304&amp;sr=8-30", "https://www.amazon.com/Stanley-84-032-8-Inch-Bi-Material-Pliers/dp/B000NNIM5E/ref=sr_1_30?keywords=Channellock+3017+8-Inch+Long+Nose+Pliers&amp;qid=1694735304&amp;sr=8-30")</f>
        <v/>
      </c>
      <c r="F7364" t="inlineStr">
        <is>
          <t>B000NNIM5E</t>
        </is>
      </c>
      <c r="G7364">
        <f>_xludf.IMAGE("https://edmondsonsupply.com/cdn/shop/products/3017-683x1024.jpg?v=1633030322")</f>
        <v/>
      </c>
      <c r="H7364">
        <f>_xludf.IMAGE("https://m.media-amazon.com/images/I/71BHZ-Jog6L._AC_UL320_.jpg")</f>
        <v/>
      </c>
      <c r="K7364" t="inlineStr">
        <is>
          <t>19.95</t>
        </is>
      </c>
      <c r="L7364" t="n">
        <v>10.98</v>
      </c>
      <c r="M7364" s="1" t="inlineStr">
        <is>
          <t>-44.96%</t>
        </is>
      </c>
      <c r="N7364" s="1" t="n"/>
      <c r="O7364" t="n">
        <v>4.6</v>
      </c>
      <c r="P7364" t="n">
        <v>123</v>
      </c>
      <c r="R7364" t="inlineStr">
        <is>
          <t>InStock</t>
        </is>
      </c>
      <c r="S7364" t="inlineStr">
        <is>
          <t>29.97</t>
        </is>
      </c>
      <c r="T7364" t="inlineStr">
        <is>
          <t>5245817159848</t>
        </is>
      </c>
    </row>
    <row r="7365" hidden="1" ht="15.75" customHeight="1">
      <c r="A7365" s="2">
        <f>HYPERLINK("https://edmondsonsupply.com/collections/electricians-tools/products/diablo-tools-d0760x-7-1-4-in-x-60-tooth-ultra-finish-saw-blade", "https://edmondsonsupply.com/collections/electricians-tools/products/diablo-tools-d0760x-7-1-4-in-x-60-tooth-ultra-finish-saw-blade")</f>
        <v/>
      </c>
      <c r="B7365" s="2">
        <f>HYPERLINK("https://edmondsonsupply.com/products/diablo-tools-d0760x-7-1-4-in-x-60-tooth-ultra-finish-saw-blade", "https://edmondsonsupply.com/products/diablo-tools-d0760x-7-1-4-in-x-60-tooth-ultra-finish-saw-blade")</f>
        <v/>
      </c>
      <c r="C7365" t="inlineStr">
        <is>
          <t>Diablo Tools D0760X 7-1/4 in. x 60 Tooth Ultra Finish Saw Blade</t>
        </is>
      </c>
      <c r="D7365" t="inlineStr">
        <is>
          <t>Echo Corner 7-1/4 inch Ultra Fine Finish Wood Cutting Circular Saw Blade, Ultra-Thin kerf 60-Tooth, 5/8" Arbor for Woodworking Rip Trim Crosscut Wood Veneered Plywood Melamine Lumber MDF OSB LVL</t>
        </is>
      </c>
      <c r="E7365" s="2">
        <f>HYPERLINK("https://www.amazon.com/Echo-Corner-Circular-60-Tooth-Woodworking/dp/B0BPNHNDFC/ref=sr_1_16?keywords=Diablo+Tools+D0760X+7-1%2F4+in.+x+60+Tooth+Ultra+Finish+Saw+Blade&amp;qid=1694735024&amp;sr=8-16", "https://www.amazon.com/Echo-Corner-Circular-60-Tooth-Woodworking/dp/B0BPNHNDFC/ref=sr_1_16?keywords=Diablo+Tools+D0760X+7-1%2F4+in.+x+60+Tooth+Ultra+Finish+Saw+Blade&amp;qid=1694735024&amp;sr=8-16")</f>
        <v/>
      </c>
      <c r="F7365" t="inlineStr">
        <is>
          <t>B0BPNHNDFC</t>
        </is>
      </c>
      <c r="G7365">
        <f>_xludf.IMAGE("https://edmondsonsupply.com/cdn/shop/products/vlfiqrihhfwf5bxirasx.webp?v=1678977162")</f>
        <v/>
      </c>
      <c r="H7365">
        <f>_xludf.IMAGE("https://m.media-amazon.com/images/I/717ZHUsaKZL._AC_UL320_.jpg")</f>
        <v/>
      </c>
      <c r="K7365" t="inlineStr">
        <is>
          <t>19.97</t>
        </is>
      </c>
      <c r="L7365" t="n">
        <v>10.99</v>
      </c>
      <c r="M7365" s="1" t="inlineStr">
        <is>
          <t>-44.97%</t>
        </is>
      </c>
      <c r="N7365" s="1" t="n"/>
      <c r="O7365" t="n">
        <v>4.6</v>
      </c>
      <c r="P7365" t="n">
        <v>91</v>
      </c>
      <c r="R7365" t="inlineStr">
        <is>
          <t>InStock</t>
        </is>
      </c>
      <c r="S7365" t="inlineStr">
        <is>
          <t>30.2</t>
        </is>
      </c>
      <c r="T7365" t="inlineStr">
        <is>
          <t>7962630521048</t>
        </is>
      </c>
    </row>
    <row r="7366" ht="87" customHeight="1">
      <c r="A7366" s="2">
        <f>HYPERLINK("https://edmondsonsupply.com/collections/electricians-tools/products/diablo-tools-dmamx1400-2-in-x-16-in-x-21-in-rebar-demon%E2%84%A2-sds-max-4-cutter-carbide-tipped-hammer-bit", "https://edmondsonsupply.com/collections/electricians-tools/products/diablo-tools-dmamx1400-2-in-x-16-in-x-21-in-rebar-demon%E2%84%A2-sds-max-4-cutter-carbide-tipped-hammer-bit")</f>
        <v/>
      </c>
      <c r="B7366" s="2">
        <f>HYPERLINK("https://edmondsonsupply.com/products/diablo-tools-dmamx1400-2-in-x-16-in-x-21-in-rebar-demon%e2%84%a2-sds-max-4-cutter-carbide-tipped-hammer-bit", "https://edmondsonsupply.com/products/diablo-tools-dmamx1400-2-in-x-16-in-x-21-in-rebar-demon%e2%84%a2-sds-max-4-cutter-carbide-tipped-hammer-bit")</f>
        <v/>
      </c>
      <c r="C7366" t="inlineStr">
        <is>
          <t>Diablo Tools DMAMX1400 2 in. x 16 in. x 21 in. Rebar Demon™ SDS‑Max 4‑Cutter Carbide‑Tipped Hammer Bit</t>
        </is>
      </c>
      <c r="D7366" t="inlineStr">
        <is>
          <t>Diablo DMAMX1360 1-1/2 in. x 16 in. x 21 in. Rebar Demon™ SDS-Max 4-Cutter Carbide-Tipped Hammer Bit</t>
        </is>
      </c>
      <c r="E7366" s="2" t="n"/>
      <c r="F7366" t="inlineStr">
        <is>
          <t>B089KXF4R5</t>
        </is>
      </c>
      <c r="G7366">
        <f>_xlfn.IMAGE("https://edmondsonsupply.com/cdn/shop/products/DMAMX1400_Main-Image20200702.png?v=1633030514")</f>
        <v/>
      </c>
      <c r="H7366">
        <f>_xlfn.IMAGE("https://m.media-amazon.com/images/I/61MTkJ-cWaL._AC_UL320_.jpg")</f>
        <v/>
      </c>
      <c r="K7366" t="inlineStr">
        <is>
          <t>179.97</t>
        </is>
      </c>
      <c r="L7366" t="n">
        <v>98.98999999999999</v>
      </c>
      <c r="M7366" s="1" t="inlineStr">
        <is>
          <t>-45.00%</t>
        </is>
      </c>
      <c r="N7366" s="7" t="n"/>
      <c r="O7366" t="n">
        <v>5</v>
      </c>
      <c r="P7366" t="n">
        <v>5</v>
      </c>
      <c r="R7366" t="inlineStr">
        <is>
          <t>InStock</t>
        </is>
      </c>
      <c r="S7366" t="inlineStr">
        <is>
          <t>222.22</t>
        </is>
      </c>
      <c r="T7366" t="inlineStr">
        <is>
          <t>5395537461416</t>
        </is>
      </c>
    </row>
    <row r="7367" ht="87" customHeight="1">
      <c r="A7367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367" s="2">
        <f>HYPERLINK("https://edmondsonsupply.com/products/klein-tools-rt310-afci-gfci-outlet-tester", "https://edmondsonsupply.com/products/klein-tools-rt310-afci-gfci-outlet-tester")</f>
        <v/>
      </c>
      <c r="C7367" t="inlineStr">
        <is>
          <t>Klein Tools RT310 AFCI / GFCI Outlet Tester</t>
        </is>
      </c>
      <c r="D7367" t="inlineStr">
        <is>
          <t>Klein Tools RT250 GFCI Outlet Tester with LCD Display, Electric Voltage Tester for Standard 3-Wire 120V Electrical Receptacles,Green/Red</t>
        </is>
      </c>
      <c r="E7367" s="2">
        <f>HYPERLINK("https://www.amazon.com/Receptacle-Electrical-Klein-Tools-RT250/dp/B08QW7K1JJ/ref=sr_1_10?keywords=Klein+Tools+RT310+AFCI+%2F+GFCI+Outlet+Tester&amp;qid=1694734989&amp;sr=8-10", "https://www.amazon.com/Receptacle-Electrical-Klein-Tools-RT250/dp/B08QW7K1JJ/ref=sr_1_10?keywords=Klein+Tools+RT310+AFCI+%2F+GFCI+Outlet+Tester&amp;qid=1694734989&amp;sr=8-10")</f>
        <v/>
      </c>
      <c r="F7367" t="inlineStr">
        <is>
          <t>B08QW7K1JJ</t>
        </is>
      </c>
      <c r="G7367">
        <f>_xlfn.IMAGE("https://edmondsonsupply.com/cdn/shop/products/rt310.jpg?v=1587148552")</f>
        <v/>
      </c>
      <c r="H7367">
        <f>_xlfn.IMAGE("https://m.media-amazon.com/images/I/61j28ynJ7bL._AC_UL320_.jpg")</f>
        <v/>
      </c>
      <c r="K7367" t="inlineStr">
        <is>
          <t>39.97</t>
        </is>
      </c>
      <c r="L7367" t="n">
        <v>21.97</v>
      </c>
      <c r="M7367" s="1" t="inlineStr">
        <is>
          <t>-45.03%</t>
        </is>
      </c>
      <c r="N7367" s="7" t="n"/>
      <c r="O7367" t="n">
        <v>4.8</v>
      </c>
      <c r="P7367" t="n">
        <v>7942</v>
      </c>
      <c r="R7367" t="inlineStr">
        <is>
          <t>InStock</t>
        </is>
      </c>
      <c r="S7367" t="inlineStr">
        <is>
          <t>57.9</t>
        </is>
      </c>
      <c r="T7367" t="inlineStr">
        <is>
          <t>3372527779940</t>
        </is>
      </c>
    </row>
    <row r="7368" ht="87" customHeight="1">
      <c r="A7368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368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368" t="inlineStr">
        <is>
          <t>Klein Tools NCVT-2P Dual Range Non-Contact Voltage Tester 12 - 1000V AC</t>
        </is>
      </c>
      <c r="D7368" t="inlineStr">
        <is>
          <t>Klein Tools NCVT1P Voltage Tester, Non-Contact Voltage Detector Pen, 50V to 1000V AC, Audible and Flashing LED Alarms, Pocket Clip,Green,Red,Green/Red/Yellow</t>
        </is>
      </c>
      <c r="E7368" s="2">
        <f>HYPERLINK("https://www.amazon.com/Non-Contact-Detector-Klein-Tools-NCVT1P/dp/B099SJ6469/ref=sr_1_9?keywords=Klein+Tools+NCVT-2P+Dual+Range+Non-Contact+Voltage+Tester+12+-+1000V+AC&amp;qid=1694735236&amp;sr=8-9", "https://www.amazon.com/Non-Contact-Detector-Klein-Tools-NCVT1P/dp/B099SJ6469/ref=sr_1_9?keywords=Klein+Tools+NCVT-2P+Dual+Range+Non-Contact+Voltage+Tester+12+-+1000V+AC&amp;qid=1694735236&amp;sr=8-9")</f>
        <v/>
      </c>
      <c r="F7368" t="inlineStr">
        <is>
          <t>B099SJ6469</t>
        </is>
      </c>
      <c r="G7368">
        <f>_xlfn.IMAGE("https://edmondsonsupply.com/cdn/shop/products/ncvt2p.jpg?v=1633030824")</f>
        <v/>
      </c>
      <c r="H7368">
        <f>_xlfn.IMAGE("https://m.media-amazon.com/images/I/412nrsDmOxL._AC_UL320_.jpg")</f>
        <v/>
      </c>
      <c r="K7368" t="inlineStr">
        <is>
          <t>27.97</t>
        </is>
      </c>
      <c r="L7368" t="n">
        <v>15.36</v>
      </c>
      <c r="M7368" s="1" t="inlineStr">
        <is>
          <t>-45.08%</t>
        </is>
      </c>
      <c r="N7368" s="7" t="n"/>
      <c r="O7368" t="n">
        <v>4.6</v>
      </c>
      <c r="P7368" t="n">
        <v>3415</v>
      </c>
      <c r="R7368" t="inlineStr">
        <is>
          <t>InStock</t>
        </is>
      </c>
      <c r="S7368" t="inlineStr">
        <is>
          <t>35.76</t>
        </is>
      </c>
      <c r="T7368" t="inlineStr">
        <is>
          <t>6080875626669</t>
        </is>
      </c>
    </row>
    <row r="7369" ht="87" customHeight="1">
      <c r="A7369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7369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7369" t="inlineStr">
        <is>
          <t>Klein Tools CL320KIT HVAC Digital Clamp Meter Electrical Test Kit</t>
        </is>
      </c>
      <c r="D7369" t="inlineStr">
        <is>
          <t>Klein Tools CL120KIT Clamp Meter Electrical Test Kit, AC Auto Ranging 400 Amp, Backlit Display, Includes GFCI Tester-Line Splitter-Pouch-Leads-3 x AAA</t>
        </is>
      </c>
      <c r="E7369" s="2">
        <f>HYPERLINK("https://www.amazon.com/Klein-Tools-CL120KIT-Electrical-Auto-Ranging/dp/B08DSX4B27/ref=sr_1_4?keywords=Klein+Tools+CL320KIT+HVAC+Digital+Clamp+Meter+Electrical+Test+Kit&amp;qid=1694735135&amp;sr=8-4", "https://www.amazon.com/Klein-Tools-CL120KIT-Electrical-Auto-Ranging/dp/B08DSX4B27/ref=sr_1_4?keywords=Klein+Tools+CL320KIT+HVAC+Digital+Clamp+Meter+Electrical+Test+Kit&amp;qid=1694735135&amp;sr=8-4")</f>
        <v/>
      </c>
      <c r="F7369" t="inlineStr">
        <is>
          <t>B08DSX4B27</t>
        </is>
      </c>
      <c r="G7369">
        <f>_xlfn.IMAGE("https://edmondsonsupply.com/cdn/shop/products/cl320kit_photo.jpg?v=1660753251")</f>
        <v/>
      </c>
      <c r="H7369">
        <f>_xlfn.IMAGE("https://m.media-amazon.com/images/I/61PGdW5i-0L._AC_UY218_.jpg")</f>
        <v/>
      </c>
      <c r="K7369" t="inlineStr">
        <is>
          <t>118.99</t>
        </is>
      </c>
      <c r="L7369" t="n">
        <v>65.22</v>
      </c>
      <c r="M7369" s="1" t="inlineStr">
        <is>
          <t>-45.19%</t>
        </is>
      </c>
      <c r="N7369" s="7" t="n"/>
      <c r="O7369" t="n">
        <v>4.8</v>
      </c>
      <c r="P7369" t="n">
        <v>494</v>
      </c>
      <c r="R7369" t="inlineStr">
        <is>
          <t>InStock</t>
        </is>
      </c>
      <c r="S7369" t="inlineStr">
        <is>
          <t>170.54</t>
        </is>
      </c>
      <c r="T7369" t="inlineStr">
        <is>
          <t>7783540949208</t>
        </is>
      </c>
    </row>
    <row r="7370" ht="87" customHeight="1">
      <c r="A7370" s="2">
        <f>HYPERLINK("https://edmondsonsupply.com/collections/electricians-tools/products/diablo-tools-dmamx1090-5-8", "https://edmondsonsupply.com/collections/electricians-tools/products/diablo-tools-dmamx1090-5-8")</f>
        <v/>
      </c>
      <c r="B7370" s="2">
        <f>HYPERLINK("https://edmondsonsupply.com/products/diablo-tools-dmamx1090-5-8", "https://edmondsonsupply.com/products/diablo-tools-dmamx1090-5-8")</f>
        <v/>
      </c>
      <c r="C7370" t="inlineStr">
        <is>
          <t>Diablo Tools DMAMX1090 5/8 in. x 8 in. x 13 in. Rebar Demon SDS‑Max 4‑Cutter Full Carbide Head Hammer Bit</t>
        </is>
      </c>
      <c r="D7370" t="inlineStr">
        <is>
          <t>Diablo by Freud DMAPL4200 1/2 in. x 16 in. x 18 in. Rebar Demon SDS-Plus 4-Cutter Full Carbide Head Hammer Bit</t>
        </is>
      </c>
      <c r="E7370" s="2">
        <f>HYPERLINK("https://www.amazon.com/Diablo-Freud-DMAPL4200-SDS-Plus-4-Cutter/dp/B089KW2QV1/ref=sr_1_37?keywords=Diablo+Tools+DMAMX1090+5%2F8+in.+x+8+in.+x+13+in.+Rebar+Demon+SDS%E2%80%91Max+4%E2%80%91Cutter+Full+Carbide+Head+Hammer+Bit&amp;qid=1694735267&amp;sr=8-37", "https://www.amazon.com/Diablo-Freud-DMAPL4200-SDS-Plus-4-Cutter/dp/B089KW2QV1/ref=sr_1_37?keywords=Diablo+Tools+DMAMX1090+5%2F8+in.+x+8+in.+x+13+in.+Rebar+Demon+SDS%E2%80%91Max+4%E2%80%91Cutter+Full+Carbide+Head+Hammer+Bit&amp;qid=1694735267&amp;sr=8-37")</f>
        <v/>
      </c>
      <c r="F7370" t="inlineStr">
        <is>
          <t>B089KW2QV1</t>
        </is>
      </c>
      <c r="G7370">
        <f>_xlfn.IMAGE("https://edmondsonsupply.com/cdn/shop/products/DMAMX1090_Main-Image20200701.png?v=1609799247")</f>
        <v/>
      </c>
      <c r="H7370">
        <f>_xlfn.IMAGE("https://m.media-amazon.com/images/I/61rW+ROVmNL._AC_UL320_.jpg")</f>
        <v/>
      </c>
      <c r="K7370" t="inlineStr">
        <is>
          <t>41.97</t>
        </is>
      </c>
      <c r="L7370" t="n">
        <v>23</v>
      </c>
      <c r="M7370" s="1" t="inlineStr">
        <is>
          <t>-45.20%</t>
        </is>
      </c>
      <c r="N7370" s="7" t="n"/>
      <c r="O7370" t="n">
        <v>4.7</v>
      </c>
      <c r="P7370" t="n">
        <v>18</v>
      </c>
      <c r="R7370" t="inlineStr">
        <is>
          <t>InStock</t>
        </is>
      </c>
      <c r="S7370" t="inlineStr">
        <is>
          <t>48.13</t>
        </is>
      </c>
      <c r="T7370" t="inlineStr">
        <is>
          <t>5463856447656</t>
        </is>
      </c>
    </row>
    <row r="7371" hidden="1" ht="15.75" customHeight="1">
      <c r="A7371" s="2">
        <f>HYPERLINK("https://edmondsonsupply.com/collections/electricians-tools/products/diablo-tools-dmans1050-3-8-in-tile-stone-carbide-tipped-drill-bit", "https://edmondsonsupply.com/collections/electricians-tools/products/diablo-tools-dmans1050-3-8-in-tile-stone-carbide-tipped-drill-bit")</f>
        <v/>
      </c>
      <c r="B7371" s="2">
        <f>HYPERLINK("https://edmondsonsupply.com/products/diablo-tools-dmans1050-3-8-in-tile-stone-carbide-tipped-drill-bit", "https://edmondsonsupply.com/products/diablo-tools-dmans1050-3-8-in-tile-stone-carbide-tipped-drill-bit")</f>
        <v/>
      </c>
      <c r="C7371" t="inlineStr">
        <is>
          <t>Diablo Tools DMANS1050 3/8 in. Tile &amp; Stone Carbide Tipped Drill Bit</t>
        </is>
      </c>
      <c r="D7371" t="inlineStr">
        <is>
          <t>Diablo by Freud DMANS1010 1/8 in. Tile &amp; Stone Carbide Tipped Drill Bit</t>
        </is>
      </c>
      <c r="E7371" s="2">
        <f>HYPERLINK("https://www.amazon.com/Diablo-Freud-DMANS1010-Carbide-Tipped/dp/B089LHTFX6/ref=sr_1_13?keywords=Diablo+Tools+DMANS1050+3%2F8+in.+Tile&amp;qid=1694735161&amp;sr=8-13", "https://www.amazon.com/Diablo-Freud-DMANS1010-Carbide-Tipped/dp/B089LHTFX6/ref=sr_1_13?keywords=Diablo+Tools+DMANS1050+3%2F8+in.+Tile&amp;qid=1694735161&amp;sr=8-13")</f>
        <v/>
      </c>
      <c r="F7371" t="inlineStr">
        <is>
          <t>B089LHTFX6</t>
        </is>
      </c>
      <c r="G7371">
        <f>_xludf.IMAGE("https://edmondsonsupply.com/cdn/shop/products/1050.webp?v=1647637874")</f>
        <v/>
      </c>
      <c r="H7371">
        <f>_xludf.IMAGE("https://m.media-amazon.com/images/I/61gwDacBESL._AC_UL320_.jpg")</f>
        <v/>
      </c>
      <c r="K7371" t="inlineStr">
        <is>
          <t>14.97</t>
        </is>
      </c>
      <c r="L7371" t="n">
        <v>8.199999999999999</v>
      </c>
      <c r="M7371" s="1" t="inlineStr">
        <is>
          <t>-45.22%</t>
        </is>
      </c>
      <c r="N7371" s="1" t="n"/>
      <c r="O7371" t="n">
        <v>4</v>
      </c>
      <c r="P7371" t="n">
        <v>1</v>
      </c>
      <c r="R7371" t="inlineStr">
        <is>
          <t>InStock</t>
        </is>
      </c>
      <c r="S7371" t="inlineStr">
        <is>
          <t>undefined</t>
        </is>
      </c>
      <c r="T7371" t="inlineStr">
        <is>
          <t>7639207149784</t>
        </is>
      </c>
    </row>
    <row r="7372" hidden="1" ht="15.75" customHeight="1">
      <c r="A7372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372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372" t="inlineStr">
        <is>
          <t>Klein Tools JTH6E17 1/2-Inch Hex Journeyman T-Handle 6-Inch</t>
        </is>
      </c>
      <c r="D7372" t="inlineStr">
        <is>
          <t>Klein Tools JTH6T30 T30 TORX Hex Key, Journeyman T-Handle, 6-Inch</t>
        </is>
      </c>
      <c r="E7372" s="2">
        <f>HYPERLINK("https://www.amazon.com/Journeyman-T-Handle-Klein-Tools-JTH6T30/dp/B005G3B4TM/ref=sr_1_8?keywords=Klein+Tools+JTH6E17+1%2F2-Inch+Hex+Journeyman+T-Handle+6-Inch&amp;qid=1694735359&amp;sr=8-8", "https://www.amazon.com/Journeyman-T-Handle-Klein-Tools-JTH6T30/dp/B005G3B4TM/ref=sr_1_8?keywords=Klein+Tools+JTH6E17+1%2F2-Inch+Hex+Journeyman+T-Handle+6-Inch&amp;qid=1694735359&amp;sr=8-8")</f>
        <v/>
      </c>
      <c r="F7372" t="inlineStr">
        <is>
          <t>B005G3B4TM</t>
        </is>
      </c>
      <c r="G7372">
        <f>_xludf.IMAGE("https://edmondsonsupply.com/cdn/shop/products/jth6e15_80623668-f320-404f-929d-7d7e04a8b5aa.jpg?v=1587146378")</f>
        <v/>
      </c>
      <c r="H7372">
        <f>_xludf.IMAGE("https://m.media-amazon.com/images/I/51Xj0Vsb-EL._AC_UL320_.jpg")</f>
        <v/>
      </c>
      <c r="K7372" t="inlineStr">
        <is>
          <t>19.99</t>
        </is>
      </c>
      <c r="L7372" t="n">
        <v>10.94</v>
      </c>
      <c r="M7372" s="1" t="inlineStr">
        <is>
          <t>-45.27%</t>
        </is>
      </c>
      <c r="N7372" s="1" t="n"/>
      <c r="O7372" t="n">
        <v>4.8</v>
      </c>
      <c r="P7372" t="n">
        <v>1540</v>
      </c>
      <c r="R7372" t="inlineStr">
        <is>
          <t>InStock</t>
        </is>
      </c>
      <c r="S7372" t="inlineStr">
        <is>
          <t>30.28</t>
        </is>
      </c>
      <c r="T7372" t="inlineStr">
        <is>
          <t>4431817605220</t>
        </is>
      </c>
    </row>
    <row r="7373" hidden="1" ht="15.75" customHeight="1">
      <c r="A7373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7373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7373" t="inlineStr">
        <is>
          <t>Klein Tools JTH6E11BE 3/16-Inch Ball Hex Key, Journeyman T-Handle 6-Inch</t>
        </is>
      </c>
      <c r="D7373" t="inlineStr">
        <is>
          <t>Klein Tools JTH6E11 3/16-Inch Hex Key with Journeyman T-Handle, 6-Inch</t>
        </is>
      </c>
      <c r="E7373" s="2">
        <f>HYPERLINK("https://www.amazon.com/Journeyman-T-Handle-Klein-Tools-JTH6E11/dp/B004N5WF56/ref=sr_1_2?keywords=Klein+Tools+JTH6E11BE+3%2F16-Inch+Ball+Hex+Key%2C+Journeyman+T-Handle+6-Inch&amp;qid=1694735233&amp;sr=8-2", "https://www.amazon.com/Journeyman-T-Handle-Klein-Tools-JTH6E11/dp/B004N5WF56/ref=sr_1_2?keywords=Klein+Tools+JTH6E11BE+3%2F16-Inch+Ball+Hex+Key%2C+Journeyman+T-Handle+6-Inch&amp;qid=1694735233&amp;sr=8-2")</f>
        <v/>
      </c>
      <c r="F7373" t="inlineStr">
        <is>
          <t>B004N5WF56</t>
        </is>
      </c>
      <c r="G7373">
        <f>_xludf.IMAGE("https://edmondsonsupply.com/cdn/shop/products/jth6e13be_9dba8a6a-8a07-4d76-a54f-fe57b92b3fea.jpg?v=1610659188")</f>
        <v/>
      </c>
      <c r="H7373">
        <f>_xludf.IMAGE("https://m.media-amazon.com/images/I/51Yb8h41vLL._AC_UL320_.jpg")</f>
        <v/>
      </c>
      <c r="K7373" t="inlineStr">
        <is>
          <t>9.12</t>
        </is>
      </c>
      <c r="L7373" t="n">
        <v>4.99</v>
      </c>
      <c r="M7373" s="1" t="inlineStr">
        <is>
          <t>-45.29%</t>
        </is>
      </c>
      <c r="N7373" s="1" t="n"/>
      <c r="O7373" t="n">
        <v>4.8</v>
      </c>
      <c r="P7373" t="n">
        <v>2477</v>
      </c>
      <c r="R7373" t="inlineStr">
        <is>
          <t>InStock</t>
        </is>
      </c>
      <c r="S7373" t="inlineStr">
        <is>
          <t>undefined</t>
        </is>
      </c>
      <c r="T7373" t="inlineStr">
        <is>
          <t>6203917336749</t>
        </is>
      </c>
    </row>
    <row r="7374" ht="87" customHeight="1">
      <c r="A7374" s="2">
        <f>HYPERLINK("https://edmondsonsupply.com/collections/electricians-tools/products/diablo-tools-dmamx1020", "https://edmondsonsupply.com/collections/electricians-tools/products/diablo-tools-dmamx1020")</f>
        <v/>
      </c>
      <c r="B7374" s="2">
        <f>HYPERLINK("https://edmondsonsupply.com/products/diablo-tools-dmamx1020", "https://edmondsonsupply.com/products/diablo-tools-dmamx1020")</f>
        <v/>
      </c>
      <c r="C7374" t="inlineStr">
        <is>
          <t>Diablo Tools DMAMX1020 1/2 in. x 8 in. x 13 in. Rebar Demon SDS‑Max 4‑Cutter Full Carbide Head Hammer Bit</t>
        </is>
      </c>
      <c r="D7374" t="inlineStr">
        <is>
          <t>Diablo by Freud DMAPL4230 5/8 in. x 10 in. x 12 in. Rebar Demon SDS-Plus 4-Cutter Full Carbide Head Hammer Bit</t>
        </is>
      </c>
      <c r="E7374" s="2">
        <f>HYPERLINK("https://www.amazon.com/Diablo-Freud-DMAPL4230-SDS-Plus-4-Cutter/dp/B089LCN234/ref=sr_1_28?keywords=Diablo+Tools+DMAMX1020+1%2F2+in.+x+8+in.+x+13+in.+Rebar+Demon+SDS%E2%80%91Max+4%E2%80%91Cutter+Full+Carbide+Head+Hammer+Bit&amp;qid=1694735268&amp;sr=8-28", "https://www.amazon.com/Diablo-Freud-DMAPL4230-SDS-Plus-4-Cutter/dp/B089LCN234/ref=sr_1_28?keywords=Diablo+Tools+DMAMX1020+1%2F2+in.+x+8+in.+x+13+in.+Rebar+Demon+SDS%E2%80%91Max+4%E2%80%91Cutter+Full+Carbide+Head+Hammer+Bit&amp;qid=1694735268&amp;sr=8-28")</f>
        <v/>
      </c>
      <c r="F7374" t="inlineStr">
        <is>
          <t>B089LCN234</t>
        </is>
      </c>
      <c r="G7374">
        <f>_xlfn.IMAGE("https://edmondsonsupply.com/cdn/shop/products/DMAMX1020_Main-Image20200701.png?v=1609798895")</f>
        <v/>
      </c>
      <c r="H7374">
        <f>_xlfn.IMAGE("https://m.media-amazon.com/images/I/61r649wmyhL._AC_UL320_.jpg")</f>
        <v/>
      </c>
      <c r="K7374" t="inlineStr">
        <is>
          <t>39.97</t>
        </is>
      </c>
      <c r="L7374" t="n">
        <v>21.86</v>
      </c>
      <c r="M7374" s="1" t="inlineStr">
        <is>
          <t>-45.31%</t>
        </is>
      </c>
      <c r="N7374" s="7" t="n"/>
      <c r="O7374" t="n">
        <v>4.7</v>
      </c>
      <c r="P7374" t="n">
        <v>47</v>
      </c>
      <c r="R7374" t="inlineStr">
        <is>
          <t>InStock</t>
        </is>
      </c>
      <c r="S7374" t="inlineStr">
        <is>
          <t>42.31</t>
        </is>
      </c>
      <c r="T7374" t="inlineStr">
        <is>
          <t>5463822598312</t>
        </is>
      </c>
    </row>
    <row r="7375" ht="87" customHeight="1">
      <c r="A7375" s="2">
        <f>HYPERLINK("https://edmondsonsupply.com/collections/electricians-tools/products/klein-tools-51610-1-iron-conduit-bender-head", "https://edmondsonsupply.com/collections/electricians-tools/products/klein-tools-51610-1-iron-conduit-bender-head")</f>
        <v/>
      </c>
      <c r="B7375" s="2">
        <f>HYPERLINK("https://edmondsonsupply.com/products/klein-tools-51610-1-iron-conduit-bender-head", "https://edmondsonsupply.com/products/klein-tools-51610-1-iron-conduit-bender-head")</f>
        <v/>
      </c>
      <c r="C7375" t="inlineStr">
        <is>
          <t>Klein Tools 51610 1" Iron Conduit Bender Head</t>
        </is>
      </c>
      <c r="D7375" t="inlineStr">
        <is>
          <t>Klein Tools 51608 Iron Conduit Bender Head, for 1/2-Inch EMT, Compatible with Klein Tools Angle Setter (Cat. No. 51611)</t>
        </is>
      </c>
      <c r="E7375" s="2">
        <f>HYPERLINK("https://www.amazon.com/Conduit-Compatible-Klein-Tools-51608/dp/B08VYJMT3R/ref=sr_1_5?keywords=Klein+Tools+51610+1%22+Iron+Conduit+Bender+Head&amp;qid=1694735131&amp;sr=8-5", "https://www.amazon.com/Conduit-Compatible-Klein-Tools-51608/dp/B08VYJMT3R/ref=sr_1_5?keywords=Klein+Tools+51610+1%22+Iron+Conduit+Bender+Head&amp;qid=1694735131&amp;sr=8-5")</f>
        <v/>
      </c>
      <c r="F7375" t="inlineStr">
        <is>
          <t>B08VYJMT3R</t>
        </is>
      </c>
      <c r="G7375">
        <f>_xlfn.IMAGE("https://edmondsonsupply.com/cdn/shop/products/51610.jpg?v=1661975879")</f>
        <v/>
      </c>
      <c r="H7375">
        <f>_xlfn.IMAGE("https://m.media-amazon.com/images/I/61mnVTiX18L._AC_UL320_.jpg")</f>
        <v/>
      </c>
      <c r="K7375" t="inlineStr">
        <is>
          <t>74.99</t>
        </is>
      </c>
      <c r="L7375" t="n">
        <v>40.91</v>
      </c>
      <c r="M7375" s="1" t="inlineStr">
        <is>
          <t>-45.45%</t>
        </is>
      </c>
      <c r="N7375" s="7" t="n"/>
      <c r="O7375" t="n">
        <v>4.3</v>
      </c>
      <c r="P7375" t="n">
        <v>17</v>
      </c>
      <c r="R7375" t="inlineStr">
        <is>
          <t>InStock</t>
        </is>
      </c>
      <c r="S7375" t="inlineStr">
        <is>
          <t>113.68</t>
        </is>
      </c>
      <c r="T7375" t="inlineStr">
        <is>
          <t>7798372630744</t>
        </is>
      </c>
    </row>
    <row r="7376" ht="87" customHeight="1">
      <c r="A7376" s="2">
        <f>HYPERLINK("https://edmondsonsupply.com/collections/electricians-tools/products/klein-tools-56414-rechargeable-2-color-led-headlamp-with-adjustable-strap", "https://edmondsonsupply.com/collections/electricians-tools/products/klein-tools-56414-rechargeable-2-color-led-headlamp-with-adjustable-strap")</f>
        <v/>
      </c>
      <c r="B7376" s="2">
        <f>HYPERLINK("https://edmondsonsupply.com/products/klein-tools-56414-rechargeable-2-color-led-headlamp-with-adjustable-strap", "https://edmondsonsupply.com/products/klein-tools-56414-rechargeable-2-color-led-headlamp-with-adjustable-strap")</f>
        <v/>
      </c>
      <c r="C7376" t="inlineStr">
        <is>
          <t>Klein Tools 56414 Rechargeable 2-Color LED Headlamp with Adjustable Strap</t>
        </is>
      </c>
      <c r="D7376" t="inlineStr">
        <is>
          <t>Klein Tools 56049 Rechargeable Headlamp / LED Lights, Adjustable Fabric Strap with Marker / Pencil Holder, 260 Lumens, for Work and Outdoors</t>
        </is>
      </c>
      <c r="E7376" s="2">
        <f>HYPERLINK("https://www.amazon.com/Klein-Tools-56049-Rechargeable-Headlamp/dp/B089DRF7QW/ref=sr_1_3?keywords=Klein+Tools+56414+Rechargeable+2-Color+LED+Headlamp+with+Adjustable+Strap&amp;qid=1694735116&amp;sr=8-3", "https://www.amazon.com/Klein-Tools-56049-Rechargeable-Headlamp/dp/B089DRF7QW/ref=sr_1_3?keywords=Klein+Tools+56414+Rechargeable+2-Color+LED+Headlamp+with+Adjustable+Strap&amp;qid=1694735116&amp;sr=8-3")</f>
        <v/>
      </c>
      <c r="F7376" t="inlineStr">
        <is>
          <t>B089DRF7QW</t>
        </is>
      </c>
      <c r="G7376">
        <f>_xlfn.IMAGE("https://edmondsonsupply.com/cdn/shop/products/56414.jpg?v=1663954728")</f>
        <v/>
      </c>
      <c r="H7376">
        <f>_xlfn.IMAGE("https://m.media-amazon.com/images/I/61PyFw1jeZL._AC_UL320_.jpg")</f>
        <v/>
      </c>
      <c r="K7376" t="inlineStr">
        <is>
          <t>54.97</t>
        </is>
      </c>
      <c r="L7376" t="n">
        <v>29.97</v>
      </c>
      <c r="M7376" s="1" t="inlineStr">
        <is>
          <t>-45.48%</t>
        </is>
      </c>
      <c r="N7376" s="7" t="n"/>
      <c r="O7376" t="n">
        <v>4.6</v>
      </c>
      <c r="P7376" t="n">
        <v>386</v>
      </c>
      <c r="R7376" t="inlineStr">
        <is>
          <t>InStock</t>
        </is>
      </c>
      <c r="S7376" t="inlineStr">
        <is>
          <t>81.62</t>
        </is>
      </c>
      <c r="T7376" t="inlineStr">
        <is>
          <t>7827369853144</t>
        </is>
      </c>
    </row>
    <row r="7377" hidden="1" ht="15.75" customHeight="1">
      <c r="A7377" s="2">
        <f>HYPERLINK("https://edmondsonsupply.com/collections/electricians-tools/products/klein-tools-630-3-8m-3-8-magnetic-tip-nut-driver-3-hollow-shank", "https://edmondsonsupply.com/collections/electricians-tools/products/klein-tools-630-3-8m-3-8-magnetic-tip-nut-driver-3-hollow-shank")</f>
        <v/>
      </c>
      <c r="B7377" s="2">
        <f>HYPERLINK("https://edmondsonsupply.com/products/klein-tools-630-3-8m-3-8-magnetic-tip-nut-driver-3-hollow-shank", "https://edmondsonsupply.com/products/klein-tools-630-3-8m-3-8-magnetic-tip-nut-driver-3-hollow-shank")</f>
        <v/>
      </c>
      <c r="C7377" t="inlineStr">
        <is>
          <t>Klein Tools 630-3/8M 3/8-Inch Magnetic Tip Nut Driver</t>
        </is>
      </c>
      <c r="D7377" t="inlineStr">
        <is>
          <t>Sabre Tools 3/8 Inch Impact Magnetic Nut Driver – 6 Inch Length, 1/4 Inch Hex Shank, Magnetic Socket Tip (3/8” SAE)</t>
        </is>
      </c>
      <c r="E7377" s="2">
        <f>HYPERLINK("https://www.amazon.com/Sabre-Tools-Impact-Magnetic-Driver/dp/B08R81GVDW/ref=sr_1_24?keywords=Klein+Tools+630-3%2F8M+3%2F8-Inch+Magnetic+Tip+Nut+Driver&amp;qid=1694735121&amp;sr=8-24", "https://www.amazon.com/Sabre-Tools-Impact-Magnetic-Driver/dp/B08R81GVDW/ref=sr_1_24?keywords=Klein+Tools+630-3%2F8M+3%2F8-Inch+Magnetic+Tip+Nut+Driver&amp;qid=1694735121&amp;sr=8-24")</f>
        <v/>
      </c>
      <c r="F7377" t="inlineStr">
        <is>
          <t>B08R81GVDW</t>
        </is>
      </c>
      <c r="G7377">
        <f>_xludf.IMAGE("https://edmondsonsupply.com/cdn/shop/products/630-3-8m.jpg?v=1587145139")</f>
        <v/>
      </c>
      <c r="H7377">
        <f>_xludf.IMAGE("https://m.media-amazon.com/images/I/71qmH7y7VeL._AC_UL320_.jpg")</f>
        <v/>
      </c>
      <c r="K7377" t="inlineStr">
        <is>
          <t>10.99</t>
        </is>
      </c>
      <c r="L7377" t="n">
        <v>5.99</v>
      </c>
      <c r="M7377" s="1" t="inlineStr">
        <is>
          <t>-45.50%</t>
        </is>
      </c>
      <c r="N7377" s="1" t="n"/>
      <c r="O7377" t="n">
        <v>4.6</v>
      </c>
      <c r="P7377" t="n">
        <v>404</v>
      </c>
      <c r="R7377" t="inlineStr">
        <is>
          <t>InStock</t>
        </is>
      </c>
      <c r="S7377" t="inlineStr">
        <is>
          <t>16.66</t>
        </is>
      </c>
      <c r="T7377" t="inlineStr">
        <is>
          <t>2766802288740</t>
        </is>
      </c>
    </row>
    <row r="7378" ht="87" customHeight="1">
      <c r="A7378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7378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7378" t="inlineStr">
        <is>
          <t>Diablo Tools DOU125JBW3 1-1/4 in. Universal Fit Bi-Metal Oscillating Blades for Clean Wood</t>
        </is>
      </c>
      <c r="D7378" t="inlineStr">
        <is>
          <t>Norske Tools NOTP273 1-1/4 inch Japanese Tooth Bi-Metal Oscillating Multi Tool Accessory Blades (3 Pack Set) Universal Fit for Cutting Wood and Hard Wood</t>
        </is>
      </c>
      <c r="E7378" s="2">
        <f>HYPERLINK("https://www.amazon.com/Norske-Tools-NOTP273-Oscillating-Accessory/dp/B07GB9QHBF/ref=sr_1_18?keywords=Diablo+Tools+DOU125JBW3+1-1%2F4+in.+Universal+Fit+Bi-Metal+Oscillating+Blades+for+Clean+Wood&amp;qid=1694735211&amp;sr=8-18", "https://www.amazon.com/Norske-Tools-NOTP273-Oscillating-Accessory/dp/B07GB9QHBF/ref=sr_1_18?keywords=Diablo+Tools+DOU125JBW3+1-1%2F4+in.+Universal+Fit+Bi-Metal+Oscillating+Blades+for+Clean+Wood&amp;qid=1694735211&amp;sr=8-18")</f>
        <v/>
      </c>
      <c r="F7378" t="inlineStr">
        <is>
          <t>B07GB9QHBF</t>
        </is>
      </c>
      <c r="G7378">
        <f>_xlfn.IMAGE("https://edmondsonsupply.com/cdn/shop/products/DOU125JBW3_Main-Image.png?v=1633031095")</f>
        <v/>
      </c>
      <c r="H7378">
        <f>_xlfn.IMAGE("https://m.media-amazon.com/images/I/61TOLqLfwWL._AC_UL320_.jpg")</f>
        <v/>
      </c>
      <c r="K7378" t="inlineStr">
        <is>
          <t>34.97</t>
        </is>
      </c>
      <c r="L7378" t="n">
        <v>19.01</v>
      </c>
      <c r="M7378" s="1" t="inlineStr">
        <is>
          <t>-45.64%</t>
        </is>
      </c>
      <c r="N7378" s="7" t="n"/>
      <c r="O7378" t="n">
        <v>4.3</v>
      </c>
      <c r="P7378" t="n">
        <v>83</v>
      </c>
      <c r="R7378" t="inlineStr">
        <is>
          <t>InStock</t>
        </is>
      </c>
      <c r="S7378" t="inlineStr">
        <is>
          <t>43.53</t>
        </is>
      </c>
      <c r="T7378" t="inlineStr">
        <is>
          <t>6839865278637</t>
        </is>
      </c>
    </row>
    <row r="7379" ht="87" customHeight="1">
      <c r="A7379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379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379" t="inlineStr">
        <is>
          <t>Diablo Tools DOU125BF3 1-1/4 in. Universal Fit Bi-Metal Oscillating Blade for Metal (3 pack)</t>
        </is>
      </c>
      <c r="D7379" t="inlineStr">
        <is>
          <t>Norske Tools NOTP273 1-1/4 inch Japanese Tooth Bi-Metal Oscillating Multi Tool Accessory Blades (3 Pack Set) Universal Fit for Cutting Wood and Hard Wood</t>
        </is>
      </c>
      <c r="E7379" s="2">
        <f>HYPERLINK("https://www.amazon.com/Norske-Tools-NOTP273-Oscillating-Accessory/dp/B07GB9QHBF/ref=sr_1_13?keywords=Diablo+Tools+DOU125BF3+1-1%2F4+in.+Universal+Fit+Bi-Metal+Oscillating+Blade+for+Metal+%283+pack%29&amp;qid=1694734993&amp;sr=8-13", "https://www.amazon.com/Norske-Tools-NOTP273-Oscillating-Accessory/dp/B07GB9QHBF/ref=sr_1_13?keywords=Diablo+Tools+DOU125BF3+1-1%2F4+in.+Universal+Fit+Bi-Metal+Oscillating+Blade+for+Metal+%283+pack%29&amp;qid=1694734993&amp;sr=8-13")</f>
        <v/>
      </c>
      <c r="F7379" t="inlineStr">
        <is>
          <t>B07GB9QHBF</t>
        </is>
      </c>
      <c r="G7379">
        <f>_xlfn.IMAGE("https://edmondsonsupply.com/cdn/shop/files/k1d1qiwmm4npznsdbwtg_4dc7bdf3-43a4-4863-8a1d-f71b60bc7c6d.webp?v=1685468179")</f>
        <v/>
      </c>
      <c r="H7379">
        <f>_xlfn.IMAGE("https://m.media-amazon.com/images/I/61TOLqLfwWL._AC_UL320_.jpg")</f>
        <v/>
      </c>
      <c r="K7379" t="inlineStr">
        <is>
          <t>34.97</t>
        </is>
      </c>
      <c r="L7379" t="n">
        <v>19.01</v>
      </c>
      <c r="M7379" s="1" t="inlineStr">
        <is>
          <t>-45.64%</t>
        </is>
      </c>
      <c r="N7379" s="7" t="n"/>
      <c r="O7379" t="n">
        <v>4.3</v>
      </c>
      <c r="P7379" t="n">
        <v>83</v>
      </c>
      <c r="R7379" t="inlineStr">
        <is>
          <t>InStock</t>
        </is>
      </c>
      <c r="S7379" t="inlineStr">
        <is>
          <t>43.53</t>
        </is>
      </c>
      <c r="T7379" t="inlineStr">
        <is>
          <t>7997880729816</t>
        </is>
      </c>
    </row>
    <row r="7380" hidden="1" ht="15.75" customHeight="1">
      <c r="A7380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7380" s="2">
        <f>HYPERLINK("https://edmondsonsupply.com/products/greenlee-dtap10-32-drill-tap-10-32", "https://edmondsonsupply.com/products/greenlee-dtap10-32-drill-tap-10-32")</f>
        <v/>
      </c>
      <c r="C7380" t="inlineStr">
        <is>
          <t>Greenlee DTAP10-32 Drill/Tap, 10-32</t>
        </is>
      </c>
      <c r="D7380" t="inlineStr">
        <is>
          <t>Drill America DWT54358 #10-32 UNF High Speed Steel Bottoming Tap, (Pack of 1)</t>
        </is>
      </c>
      <c r="E7380" s="2">
        <f>HYPERLINK("https://www.amazon.com/Drill-America-DWT54358-High-Speed-Threading/dp/B00DL7CUPM/ref=sr_1_30?keywords=Greenlee+DTAP10-32+Drill%2FTap%2C+10-32&amp;qid=1694735404&amp;sr=8-30", "https://www.amazon.com/Drill-America-DWT54358-High-Speed-Threading/dp/B00DL7CUPM/ref=sr_1_30?keywords=Greenlee+DTAP10-32+Drill%2FTap%2C+10-32&amp;qid=1694735404&amp;sr=8-30")</f>
        <v/>
      </c>
      <c r="F7380" t="inlineStr">
        <is>
          <t>B00DL7CUPM</t>
        </is>
      </c>
      <c r="G7380">
        <f>_xludf.IMAGE("https://edmondsonsupply.com/cdn/shop/products/DTAP10-32.jpg?v=1633030188")</f>
        <v/>
      </c>
      <c r="H7380">
        <f>_xludf.IMAGE("https://m.media-amazon.com/images/I/512vfq8r6PL._AC_UL320_.jpg")</f>
        <v/>
      </c>
      <c r="K7380" t="inlineStr">
        <is>
          <t>8.99</t>
        </is>
      </c>
      <c r="L7380" t="n">
        <v>4.88</v>
      </c>
      <c r="M7380" s="1" t="inlineStr">
        <is>
          <t>-45.72%</t>
        </is>
      </c>
      <c r="N7380" s="1" t="n"/>
      <c r="O7380" t="n">
        <v>4.6</v>
      </c>
      <c r="P7380" t="n">
        <v>1175</v>
      </c>
      <c r="R7380" t="inlineStr">
        <is>
          <t>InStock</t>
        </is>
      </c>
      <c r="S7380" t="inlineStr">
        <is>
          <t>9.7</t>
        </is>
      </c>
      <c r="T7380" t="inlineStr">
        <is>
          <t>4395883298916</t>
        </is>
      </c>
    </row>
    <row r="7381" ht="87" customHeight="1">
      <c r="A7381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381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381" t="inlineStr">
        <is>
          <t>Milwaukee 48-11-2412 M12 REDLITHIUM™ XC Battery Two Pack</t>
        </is>
      </c>
      <c r="D7381" t="inlineStr">
        <is>
          <t>ANTRobut 2 Pack 9.0Ah M12 Battery for Milwaukee M12 48-11-2460 48-11-2440 48-11-2425 48-11-2412 12V Battery and M12 Charger Kit</t>
        </is>
      </c>
      <c r="E7381" s="2">
        <f>HYPERLINK("https://www.amazon.com/ANTRobut-48-11-2460-48-11-2440-48-11-2425-48-11-2412/dp/B0BXLCW9DT/ref=sr_1_26?keywords=Milwaukee+48-11-2412+M12+REDLITHIUM%E2%84%A2+XC+Battery+Two+Pack&amp;qid=1694735150&amp;sr=8-26", "https://www.amazon.com/ANTRobut-48-11-2460-48-11-2440-48-11-2425-48-11-2412/dp/B0BXLCW9DT/ref=sr_1_26?keywords=Milwaukee+48-11-2412+M12+REDLITHIUM%E2%84%A2+XC+Battery+Two+Pack&amp;qid=1694735150&amp;sr=8-26")</f>
        <v/>
      </c>
      <c r="F7381" t="inlineStr">
        <is>
          <t>B0BXLCW9DT</t>
        </is>
      </c>
      <c r="G7381">
        <f>_xlfn.IMAGE("https://edmondsonsupply.com/cdn/shop/products/48-11-2412.jpg?v=1654795924")</f>
        <v/>
      </c>
      <c r="H7381">
        <f>_xlfn.IMAGE("https://m.media-amazon.com/images/I/71M6dcF57yL._AC_UL320_.jpg")</f>
        <v/>
      </c>
      <c r="K7381" t="inlineStr">
        <is>
          <t>129.0</t>
        </is>
      </c>
      <c r="L7381" t="n">
        <v>69.98999999999999</v>
      </c>
      <c r="M7381" s="1" t="inlineStr">
        <is>
          <t>-45.74%</t>
        </is>
      </c>
      <c r="N7381" s="7" t="n"/>
      <c r="O7381" t="n">
        <v>4.5</v>
      </c>
      <c r="P7381" t="n">
        <v>1114</v>
      </c>
      <c r="R7381" t="inlineStr">
        <is>
          <t>InStock</t>
        </is>
      </c>
      <c r="S7381" t="inlineStr">
        <is>
          <t>217.0</t>
        </is>
      </c>
      <c r="T7381" t="inlineStr">
        <is>
          <t>7711224168664</t>
        </is>
      </c>
    </row>
    <row r="7382" ht="87" customHeight="1">
      <c r="A7382" s="2">
        <f>HYPERLINK("https://edmondsonsupply.com/collections/electricians-tools/products/milwaukee-2767-20-m18-fuel%E2%84%A2-1-2-high-torque-impact-wrench-with-friction-ring-tool-only", "https://edmondsonsupply.com/collections/electricians-tools/products/milwaukee-2767-20-m18-fuel%E2%84%A2-1-2-high-torque-impact-wrench-with-friction-ring-tool-only")</f>
        <v/>
      </c>
      <c r="B7382" s="2">
        <f>HYPERLINK("https://edmondsonsupply.com/products/milwaukee-2767-20-m18-fuel%e2%84%a2-1-2-high-torque-impact-wrench-with-friction-ring-tool-only", "https://edmondsonsupply.com/products/milwaukee-2767-20-m18-fuel%e2%84%a2-1-2-high-torque-impact-wrench-with-friction-ring-tool-only")</f>
        <v/>
      </c>
      <c r="C7382" t="inlineStr">
        <is>
          <t>Milwaukee 2767-20 M18 FUEL™ 1/2" High Torque Impact Wrench with Friction Ring (Tool Only)</t>
        </is>
      </c>
      <c r="D7382" t="inlineStr">
        <is>
          <t>Milwaukee 2663-20 M18 1/2" High Torque Impact Wrench with Friction Ring (Bare Tool)</t>
        </is>
      </c>
      <c r="E7382" s="2">
        <f>HYPERLINK("https://www.amazon.com/Milwaukee-2663-20-Torque-Impact-Friction/dp/B07G9H1FHX/ref=sr_1_10?keywords=Milwaukee+2767-20+M18+FUEL%E2%84%A2+1%2F2%22+High+Torque+Impact+Wrench+with+Friction+Ring+%28Tool+Only%29&amp;qid=1694735156&amp;sr=8-10", "https://www.amazon.com/Milwaukee-2663-20-Torque-Impact-Friction/dp/B07G9H1FHX/ref=sr_1_10?keywords=Milwaukee+2767-20+M18+FUEL%E2%84%A2+1%2F2%22+High+Torque+Impact+Wrench+with+Friction+Ring+%28Tool+Only%29&amp;qid=1694735156&amp;sr=8-10")</f>
        <v/>
      </c>
      <c r="F7382" t="inlineStr">
        <is>
          <t>B07G9H1FHX</t>
        </is>
      </c>
      <c r="G7382">
        <f>_xlfn.IMAGE("https://edmondsonsupply.com/cdn/shop/products/2767-20_1.webp?v=1668441181")</f>
        <v/>
      </c>
      <c r="H7382">
        <f>_xlfn.IMAGE("https://m.media-amazon.com/images/I/31BwKxDDZbL._AC_UL320_.jpg")</f>
        <v/>
      </c>
      <c r="K7382" t="inlineStr">
        <is>
          <t>279.0</t>
        </is>
      </c>
      <c r="L7382" t="n">
        <v>151.11</v>
      </c>
      <c r="M7382" s="1" t="inlineStr">
        <is>
          <t>-45.84%</t>
        </is>
      </c>
      <c r="N7382" s="7" t="n"/>
      <c r="O7382" t="n">
        <v>4.5</v>
      </c>
      <c r="P7382" t="n">
        <v>123</v>
      </c>
      <c r="R7382" t="inlineStr">
        <is>
          <t>InStock</t>
        </is>
      </c>
      <c r="S7382" t="inlineStr">
        <is>
          <t>464.0</t>
        </is>
      </c>
      <c r="T7382" t="inlineStr">
        <is>
          <t>7884381552856</t>
        </is>
      </c>
    </row>
    <row r="7383" ht="87" customHeight="1">
      <c r="A7383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7383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7383" t="inlineStr">
        <is>
          <t>Diablo Tools DOU250JBW3 2-1/2 in. Universal Fit Bi-Metal Oscillating Blade for Clean Wood (3 pk)</t>
        </is>
      </c>
      <c r="D7383" t="inlineStr">
        <is>
          <t>Diablo 2-1/2 in. Universal Fit Bi-Metal Oscillating Blade for Nail-Embedded Wood</t>
        </is>
      </c>
      <c r="E7383" s="2">
        <f>HYPERLINK("https://www.amazon.com/Diablo-Freud-DOU250BW-Oscillating-Nail-Embedded/dp/B089KWP5Z2/ref=sr_1_3?keywords=Diablo+Tools+DOU250JBW3+2-1%2F2+in.+Universal+Fit+Bi-Metal+Oscillating+Blade+for+Clean+Wood+%283+pk%29&amp;qid=1694734992&amp;sr=8-3", "https://www.amazon.com/Diablo-Freud-DOU250BW-Oscillating-Nail-Embedded/dp/B089KWP5Z2/ref=sr_1_3?keywords=Diablo+Tools+DOU250JBW3+2-1%2F2+in.+Universal+Fit+Bi-Metal+Oscillating+Blade+for+Clean+Wood+%283+pk%29&amp;qid=1694734992&amp;sr=8-3")</f>
        <v/>
      </c>
      <c r="F7383" t="inlineStr">
        <is>
          <t>B089KWP5Z2</t>
        </is>
      </c>
      <c r="G7383">
        <f>_xlfn.IMAGE("https://edmondsonsupply.com/cdn/shop/files/pycnap4eb1urn2hxvudq_1.webp?v=1685719587")</f>
        <v/>
      </c>
      <c r="H7383">
        <f>_xlfn.IMAGE("https://m.media-amazon.com/images/I/71fhfiK3NaL._AC_UL320_.jpg")</f>
        <v/>
      </c>
      <c r="K7383" t="inlineStr">
        <is>
          <t>31.32</t>
        </is>
      </c>
      <c r="L7383" t="n">
        <v>16.96</v>
      </c>
      <c r="M7383" s="1" t="inlineStr">
        <is>
          <t>-45.85%</t>
        </is>
      </c>
      <c r="N7383" s="7" t="n"/>
      <c r="O7383" t="n">
        <v>4.6</v>
      </c>
      <c r="P7383" t="n">
        <v>31</v>
      </c>
      <c r="R7383" t="inlineStr">
        <is>
          <t>InStock</t>
        </is>
      </c>
      <c r="S7383" t="inlineStr">
        <is>
          <t>49.72</t>
        </is>
      </c>
      <c r="T7383" t="inlineStr">
        <is>
          <t>7999575654616</t>
        </is>
      </c>
    </row>
    <row r="7384" ht="87" customHeight="1">
      <c r="A7384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384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384" t="inlineStr">
        <is>
          <t>Klein Tools ET310 Digital Circuit Breaker Finder with GFCI Outlet Tester</t>
        </is>
      </c>
      <c r="D7384" t="inlineStr">
        <is>
          <t>Khanka Hard Case Replacement for Klein Tools ET310 AC Circuit Breaker 69149P Electrical Test Kit Digital Multimeter 80016 Circuit Breaker Finder Tool Kit, Home Tester Kit Bag Storage Organizer</t>
        </is>
      </c>
      <c r="E7384" s="2">
        <f>HYPERLINK("https://www.amazon.com/Replacement-Circuit-Electrical-Multimeter-Organizer/dp/B0BZCNHTNL/ref=sr_1_27?keywords=Klein+Tools+ET310+Digital+Circuit+Breaker+Finder+with+GFCI+Outlet+Tester&amp;qid=1694734974&amp;sr=8-27", "https://www.amazon.com/Replacement-Circuit-Electrical-Multimeter-Organizer/dp/B0BZCNHTNL/ref=sr_1_27?keywords=Klein+Tools+ET310+Digital+Circuit+Breaker+Finder+with+GFCI+Outlet+Tester&amp;qid=1694734974&amp;sr=8-27")</f>
        <v/>
      </c>
      <c r="F7384" t="inlineStr">
        <is>
          <t>B0BZCNHTNL</t>
        </is>
      </c>
      <c r="G7384">
        <f>_xlfn.IMAGE("https://edmondsonsupply.com/cdn/shop/products/et310_c.jpg?v=1646963918")</f>
        <v/>
      </c>
      <c r="H7384">
        <f>_xlfn.IMAGE("https://m.media-amazon.com/images/I/91tjDtkw89L._AC_UL320_.jpg")</f>
        <v/>
      </c>
      <c r="K7384" t="inlineStr">
        <is>
          <t>49.97</t>
        </is>
      </c>
      <c r="L7384" t="n">
        <v>26.99</v>
      </c>
      <c r="M7384" s="1" t="inlineStr">
        <is>
          <t>-45.99%</t>
        </is>
      </c>
      <c r="N7384" s="7" t="n"/>
      <c r="O7384" t="n">
        <v>4.3</v>
      </c>
      <c r="P7384" t="n">
        <v>25</v>
      </c>
      <c r="R7384" t="inlineStr">
        <is>
          <t>InStock</t>
        </is>
      </c>
      <c r="S7384" t="inlineStr">
        <is>
          <t>75.1</t>
        </is>
      </c>
      <c r="T7384" t="inlineStr">
        <is>
          <t>3389551280228</t>
        </is>
      </c>
    </row>
    <row r="7385" hidden="1" ht="15.75" customHeight="1">
      <c r="A7385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7385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7385" t="inlineStr">
        <is>
          <t>Diablo Tools DMAMX1050 9/16 in. x 8 in. x 13 in. Rebar Demon™ SDS-Max 4-Cutter Full Carbide Head Hammer Drill Bit</t>
        </is>
      </c>
      <c r="D7385" t="inlineStr">
        <is>
          <t>Diablo DMAPL4055 3/16 in. x 10 in. x 12 in. Rebar Demon™ SDS-Plus 4-Cutter Full Carbide Head Hammer Bit</t>
        </is>
      </c>
      <c r="E7385" s="2">
        <f>HYPERLINK("https://www.amazon.com/Diablo-DMAPL4055-SDS-Plus-4-Cutter-Carbide/dp/B089LJCD42/ref=sr_1_39?keywords=Diablo+Tools+DMAMX1050+9%2F16+in.+x+8+in.+x+13+in.+Rebar+Demon%E2%84%A2+SDS-Max+4-Cutter+Full+Carbide+Head+Hammer+Drill+Bit&amp;qid=1694735208&amp;sr=8-39", "https://www.amazon.com/Diablo-DMAPL4055-SDS-Plus-4-Cutter-Carbide/dp/B089LJCD42/ref=sr_1_39?keywords=Diablo+Tools+DMAMX1050+9%2F16+in.+x+8+in.+x+13+in.+Rebar+Demon%E2%84%A2+SDS-Max+4-Cutter+Full+Carbide+Head+Hammer+Drill+Bit&amp;qid=1694735208&amp;sr=8-39")</f>
        <v/>
      </c>
      <c r="F7385" t="inlineStr">
        <is>
          <t>B089LJCD42</t>
        </is>
      </c>
      <c r="G7385">
        <f>_xludf.IMAGE("https://edmondsonsupply.com/cdn/shop/products/DMAMX1050_Main-Image20200701.png?v=1633031097")</f>
        <v/>
      </c>
      <c r="H7385">
        <f>_xludf.IMAGE("https://m.media-amazon.com/images/I/61cDOAhkb4L._AC_UL320_.jpg")</f>
        <v/>
      </c>
      <c r="K7385" t="inlineStr">
        <is>
          <t>29.19</t>
        </is>
      </c>
      <c r="L7385" t="n">
        <v>15.76</v>
      </c>
      <c r="M7385" s="1" t="inlineStr">
        <is>
          <t>-46.01%</t>
        </is>
      </c>
      <c r="N7385" s="1" t="n"/>
      <c r="O7385" t="n">
        <v>2</v>
      </c>
      <c r="P7385" t="n">
        <v>1</v>
      </c>
      <c r="R7385" t="inlineStr">
        <is>
          <t>InStock</t>
        </is>
      </c>
      <c r="S7385" t="inlineStr">
        <is>
          <t>46.05</t>
        </is>
      </c>
      <c r="T7385" t="inlineStr">
        <is>
          <t>6842367738029</t>
        </is>
      </c>
    </row>
    <row r="7386" ht="87" customHeight="1">
      <c r="A7386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386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386" t="inlineStr">
        <is>
          <t>Diablo Tools DMAMX1110 5/8 in. x 24 in. x 29 in. Rebar Demon™ SDS-Max 4-Cutter Full Carbide Head Hammer Bit</t>
        </is>
      </c>
      <c r="D7386" t="inlineStr">
        <is>
          <t>Diablo DMAPL4310 1 in. x 16 in. x 18 in. Rebar Demon™ SDS-Plus 4-Cutter Full Carbide Head Hammer Bit</t>
        </is>
      </c>
      <c r="E7386" s="2">
        <f>HYPERLINK("https://www.amazon.com/Diablo-DMAPL4310-SDS-Plus-4-Cutter-Carbide/dp/B089KX2VKR/ref=sr_1_34?keywords=Diablo+Tools+DMAMX1110+5%2F8+in.+x+24+in.+x+29+in.+Rebar+Demon%E2%84%A2+SDS-Max+4-Cutter+Full+Carbide+Head+Hammer+Bit&amp;qid=1694735304&amp;sr=8-34", "https://www.amazon.com/Diablo-DMAPL4310-SDS-Plus-4-Cutter-Carbide/dp/B089KX2VKR/ref=sr_1_34?keywords=Diablo+Tools+DMAMX1110+5%2F8+in.+x+24+in.+x+29+in.+Rebar+Demon%E2%84%A2+SDS-Max+4-Cutter+Full+Carbide+Head+Hammer+Bit&amp;qid=1694735304&amp;sr=8-34")</f>
        <v/>
      </c>
      <c r="F7386" t="inlineStr">
        <is>
          <t>B089KX2VKR</t>
        </is>
      </c>
      <c r="G7386">
        <f>_xlfn.IMAGE("https://edmondsonsupply.com/cdn/shop/products/DMAMX1110_1.jpg?v=1633030364")</f>
        <v/>
      </c>
      <c r="H7386">
        <f>_xlfn.IMAGE("https://m.media-amazon.com/images/I/61iwxfqG2VL._AC_UL320_.jpg")</f>
        <v/>
      </c>
      <c r="K7386" t="inlineStr">
        <is>
          <t>89.97</t>
        </is>
      </c>
      <c r="L7386" t="n">
        <v>48.49</v>
      </c>
      <c r="M7386" s="1" t="inlineStr">
        <is>
          <t>-46.10%</t>
        </is>
      </c>
      <c r="N7386" s="7" t="n"/>
      <c r="O7386" t="n">
        <v>4.5</v>
      </c>
      <c r="P7386" t="n">
        <v>32</v>
      </c>
      <c r="R7386" t="inlineStr">
        <is>
          <t>InStock</t>
        </is>
      </c>
      <c r="S7386" t="inlineStr">
        <is>
          <t>115.5</t>
        </is>
      </c>
      <c r="T7386" t="inlineStr">
        <is>
          <t>5289159655592</t>
        </is>
      </c>
    </row>
    <row r="7387" hidden="1" ht="15.75" customHeight="1">
      <c r="A7387" s="2">
        <f>HYPERLINK("https://edmondsonsupply.com/collections/electricians-tools/products/copy-of-diablo-tools-dsd0500s06-1-4-in-1-2-in-impact-step-drill-bit-6-steps-1", "https://edmondsonsupply.com/collections/electricians-tools/products/copy-of-diablo-tools-dsd0500s06-1-4-in-1-2-in-impact-step-drill-bit-6-steps-1")</f>
        <v/>
      </c>
      <c r="B7387" s="2">
        <f>HYPERLINK("https://edmondsonsupply.com/products/copy-of-diablo-tools-dsd0500s06-1-4-in-1-2-in-impact-step-drill-bit-6-steps-1", "https://edmondsonsupply.com/products/copy-of-diablo-tools-dsd0500s06-1-4-in-1-2-in-impact-step-drill-bit-6-steps-1")</f>
        <v/>
      </c>
      <c r="C7387" t="inlineStr">
        <is>
          <t>Diablo Tools DSD1125S17 7/8 in. - 1-1/8 in. Impact Step Drill Bit (17 Steps)</t>
        </is>
      </c>
      <c r="D7387" t="inlineStr">
        <is>
          <t>Klein Tools 25961 Step Drill Bit, 7/8 to 1-1/8-Inch, Spiral Double-Fluted, Cut Thin Metal, Plastic, Aluminum, Wood, 1/4-Inch Hex Shank, VACO</t>
        </is>
      </c>
      <c r="E7387" s="2">
        <f>HYPERLINK("https://www.amazon.com/Klein-Tools-25961-Double-Fluted-Aluminum/dp/B0BLFDMW41/ref=sr_1_2?keywords=Diablo+Tools+DSD1125S17+7%2F8+in.+-+1-1%2F8+in.+Impact+Step+Drill+Bit+%2817+Steps%29&amp;qid=1694735315&amp;sr=8-2", "https://www.amazon.com/Klein-Tools-25961-Double-Fluted-Aluminum/dp/B0BLFDMW41/ref=sr_1_2?keywords=Diablo+Tools+DSD1125S17+7%2F8+in.+-+1-1%2F8+in.+Impact+Step+Drill+Bit+%2817+Steps%29&amp;qid=1694735315&amp;sr=8-2")</f>
        <v/>
      </c>
      <c r="F7387" t="inlineStr">
        <is>
          <t>B0BLFDMW41</t>
        </is>
      </c>
      <c r="G7387">
        <f>_xludf.IMAGE("https://edmondsonsupply.com/cdn/shop/products/DSD1125S17_Main-Image.png?v=1633030270")</f>
        <v/>
      </c>
      <c r="H7387">
        <f>_xludf.IMAGE("https://m.media-amazon.com/images/I/51qjThEbRVL._AC_UL320_.jpg")</f>
        <v/>
      </c>
      <c r="K7387" t="inlineStr">
        <is>
          <t>64.97</t>
        </is>
      </c>
      <c r="L7387" t="n">
        <v>34.99</v>
      </c>
      <c r="M7387" s="1" t="inlineStr">
        <is>
          <t>-46.14%</t>
        </is>
      </c>
      <c r="N7387" s="1" t="n"/>
      <c r="O7387" t="n">
        <v>3.7</v>
      </c>
      <c r="P7387" t="n">
        <v>5</v>
      </c>
      <c r="R7387" t="inlineStr">
        <is>
          <t>InStock</t>
        </is>
      </c>
      <c r="S7387" t="inlineStr">
        <is>
          <t>82.51</t>
        </is>
      </c>
      <c r="T7387" t="inlineStr">
        <is>
          <t>4683700371556</t>
        </is>
      </c>
    </row>
    <row r="7388" hidden="1" ht="15.75" customHeight="1">
      <c r="A7388" s="2">
        <f>HYPERLINK("https://edmondsonsupply.com/collections/electricians-tools/products/klein-tools-635-7-16-7-16-inch-heavy-duty-nut-driver", "https://edmondsonsupply.com/collections/electricians-tools/products/klein-tools-635-7-16-7-16-inch-heavy-duty-nut-driver")</f>
        <v/>
      </c>
      <c r="B7388" s="2">
        <f>HYPERLINK("https://edmondsonsupply.com/products/klein-tools-635-7-16-7-16-inch-heavy-duty-nut-driver", "https://edmondsonsupply.com/products/klein-tools-635-7-16-7-16-inch-heavy-duty-nut-driver")</f>
        <v/>
      </c>
      <c r="C7388" t="inlineStr">
        <is>
          <t>Klein Tools 635-7/16 7/16-Inch Heavy-Duty Nut Driver</t>
        </is>
      </c>
      <c r="D7388" t="inlineStr">
        <is>
          <t>Mriuuod 7/16-Inch Nut Driver, 93mm Hollow Shaft Hex Nut Driver Non-Magnetic Tip, Heavy-Duty 6-Point Socket for Added High-Torque, Tight Spaces, Precise Tightening Bolts and Nuts</t>
        </is>
      </c>
      <c r="E7388" s="2">
        <f>HYPERLINK("https://www.amazon.com/Mriuuod-Non-Magnetic-Heavy-Duty-High-Torque-Tightening/dp/B0C9Q5WRZ6/ref=sr_1_41?keywords=Klein+Tools+635-7%2F16+7%2F16-Inch+Heavy-Duty+Nut+Driver&amp;qid=1694735398&amp;sr=8-41", "https://www.amazon.com/Mriuuod-Non-Magnetic-Heavy-Duty-High-Torque-Tightening/dp/B0C9Q5WRZ6/ref=sr_1_41?keywords=Klein+Tools+635-7%2F16+7%2F16-Inch+Heavy-Duty+Nut+Driver&amp;qid=1694735398&amp;sr=8-41")</f>
        <v/>
      </c>
      <c r="F7388" t="inlineStr">
        <is>
          <t>B0C9Q5WRZ6</t>
        </is>
      </c>
      <c r="G7388">
        <f>_xludf.IMAGE("https://edmondsonsupply.com/cdn/shop/products/635-7-16.jpg?v=1587145128")</f>
        <v/>
      </c>
      <c r="H7388">
        <f>_xludf.IMAGE("https://m.media-amazon.com/images/I/51ENUo1ZlJL._AC_UL320_.jpg")</f>
        <v/>
      </c>
      <c r="K7388" t="inlineStr">
        <is>
          <t>14.49</t>
        </is>
      </c>
      <c r="L7388" t="n">
        <v>7.79</v>
      </c>
      <c r="M7388" s="1" t="inlineStr">
        <is>
          <t>-46.24%</t>
        </is>
      </c>
      <c r="N7388" s="1" t="n"/>
      <c r="O7388" t="n">
        <v>3.5</v>
      </c>
      <c r="P7388" t="n">
        <v>7</v>
      </c>
      <c r="R7388" t="inlineStr">
        <is>
          <t>InStock</t>
        </is>
      </c>
      <c r="S7388" t="inlineStr">
        <is>
          <t>21.94</t>
        </is>
      </c>
      <c r="T7388" t="inlineStr">
        <is>
          <t>4410745978980</t>
        </is>
      </c>
    </row>
    <row r="7389" hidden="1" ht="15.75" customHeight="1">
      <c r="A7389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389" s="2">
        <f>HYPERLINK("https://edmondsonsupply.com/products/klein-tools-32500mag-11-in-1-magnetic-screwdriver-nut-driver", "https://edmondsonsupply.com/products/klein-tools-32500mag-11-in-1-magnetic-screwdriver-nut-driver")</f>
        <v/>
      </c>
      <c r="C7389" t="inlineStr">
        <is>
          <t>Klein Tools 32500MAG 11-in-1 Magnetic Screwdriver / Nut Driver</t>
        </is>
      </c>
      <c r="D7389" t="inlineStr">
        <is>
          <t>Klein Tools 630-11/32M 11/32-Inch Magnetic Tip Nut Driver with 3-Inch Hollow Shaft</t>
        </is>
      </c>
      <c r="E7389" s="2">
        <f>HYPERLINK("https://www.amazon.com/Magnetic-Klein-Tools-630-11-32M/dp/B000MKITB0/ref=sr_1_47?keywords=Klein+Tools+32500MAG+11-in-1+Magnetic+Screwdriver+%2F+Nut+Driver&amp;qid=1694735235&amp;sr=8-47", "https://www.amazon.com/Magnetic-Klein-Tools-630-11-32M/dp/B000MKITB0/ref=sr_1_47?keywords=Klein+Tools+32500MAG+11-in-1+Magnetic+Screwdriver+%2F+Nut+Driver&amp;qid=1694735235&amp;sr=8-47")</f>
        <v/>
      </c>
      <c r="F7389" t="inlineStr">
        <is>
          <t>B000MKITB0</t>
        </is>
      </c>
      <c r="G7389">
        <f>_xludf.IMAGE("https://edmondsonsupply.com/cdn/shop/products/32500mag.jpg?v=1633030832")</f>
        <v/>
      </c>
      <c r="H7389">
        <f>_xludf.IMAGE("https://m.media-amazon.com/images/I/51oGaYQUmyL._AC_UL320_.jpg")</f>
        <v/>
      </c>
      <c r="K7389" t="inlineStr">
        <is>
          <t>20.97</t>
        </is>
      </c>
      <c r="L7389" t="n">
        <v>11.27</v>
      </c>
      <c r="M7389" s="1" t="inlineStr">
        <is>
          <t>-46.26%</t>
        </is>
      </c>
      <c r="N7389" s="1" t="n"/>
      <c r="O7389" t="n">
        <v>4.7</v>
      </c>
      <c r="P7389" t="n">
        <v>1571</v>
      </c>
      <c r="R7389" t="inlineStr">
        <is>
          <t>InStock</t>
        </is>
      </c>
      <c r="S7389" t="inlineStr">
        <is>
          <t>29.38</t>
        </is>
      </c>
      <c r="T7389" t="inlineStr">
        <is>
          <t>6082199814317</t>
        </is>
      </c>
    </row>
    <row r="7390" hidden="1" ht="15.75" customHeight="1">
      <c r="A7390" s="2">
        <f>HYPERLINK("https://edmondsonsupply.com/collections/electricians-tools/products/copy-of-diablo-tools-dmarg1070-p5-1-4-in-x-4-in-x-6-in-speedemon%E2%84%A2-red-granite-carbide-tipped-hammer-drill-bit-5-pack", "https://edmondsonsupply.com/collections/electricians-tools/products/copy-of-diablo-tools-dmarg1070-p5-1-4-in-x-4-in-x-6-in-speedemon%E2%84%A2-red-granite-carbide-tipped-hammer-drill-bit-5-pack")</f>
        <v/>
      </c>
      <c r="B7390" s="2">
        <f>HYPERLINK("https://edmondsonsupply.com/products/copy-of-diablo-tools-dmarg1070-p5-1-4-in-x-4-in-x-6-in-speedemon%e2%84%a2-red-granite-carbide-tipped-hammer-drill-bit-5-pack", "https://edmondsonsupply.com/products/copy-of-diablo-tools-dmarg1070-p5-1-4-in-x-4-in-x-6-in-speedemon%e2%84%a2-red-granite-carbide-tipped-hammer-drill-bit-5-pack")</f>
        <v/>
      </c>
      <c r="C7390" t="inlineStr">
        <is>
          <t>Diablo Tools DMARG1070-P5 1/4 in. x 4 in. x 6 in. SPEEDemon™ Red Granite Carbide Tipped Hammer Drill Bit (5 Pack)</t>
        </is>
      </c>
      <c r="D7390" t="inlineStr">
        <is>
          <t>Diablo by Freud DMARG1150 1/2 in. x 4 in. x 6 in. SPEEDemon Red Granite Carbide Tipped Hammer Drill Bit</t>
        </is>
      </c>
      <c r="E7390" s="2">
        <f>HYPERLINK("https://www.amazon.com/Diablo-Freud-DMARG1150-SPEEDemon-Granite/dp/B089LKXD71/ref=sr_1_4?keywords=Diablo+Tools+DMARG1070-P5+1%2F4+in.+x+4+in.+x+6+in.+SPEEDemon%E2%84%A2+Red+Granite+Carbide+Tipped+Hammer+Drill+Bit+%285+Pack%29&amp;qid=1694735292&amp;sr=8-4", "https://www.amazon.com/Diablo-Freud-DMARG1150-SPEEDemon-Granite/dp/B089LKXD71/ref=sr_1_4?keywords=Diablo+Tools+DMARG1070-P5+1%2F4+in.+x+4+in.+x+6+in.+SPEEDemon%E2%84%A2+Red+Granite+Carbide+Tipped+Hammer+Drill+Bit+%285+Pack%29&amp;qid=1694735292&amp;sr=8-4")</f>
        <v/>
      </c>
      <c r="F7390" t="inlineStr">
        <is>
          <t>B089LKXD71</t>
        </is>
      </c>
      <c r="G7390">
        <f>_xludf.IMAGE("https://edmondsonsupply.com/cdn/shop/products/DMARG1070_Main-Image20200407_dfed8205-033f-458f-ae14-6143b9796c31.png?v=1633030419")</f>
        <v/>
      </c>
      <c r="H7390">
        <f>_xludf.IMAGE("https://m.media-amazon.com/images/I/61Irr3Gr9YL._AC_UL320_.jpg")</f>
        <v/>
      </c>
      <c r="K7390" t="inlineStr">
        <is>
          <t>18.97</t>
        </is>
      </c>
      <c r="L7390" t="n">
        <v>10.19</v>
      </c>
      <c r="M7390" s="1" t="inlineStr">
        <is>
          <t>-46.28%</t>
        </is>
      </c>
      <c r="N7390" s="1" t="n"/>
      <c r="O7390" t="n">
        <v>4.3</v>
      </c>
      <c r="P7390" t="n">
        <v>19</v>
      </c>
      <c r="R7390" t="inlineStr">
        <is>
          <t>InStock</t>
        </is>
      </c>
      <c r="S7390" t="inlineStr">
        <is>
          <t>19.34</t>
        </is>
      </c>
      <c r="T7390" t="inlineStr">
        <is>
          <t>5318022955176</t>
        </is>
      </c>
    </row>
    <row r="7391" hidden="1" ht="15.75" customHeight="1">
      <c r="A7391" s="2">
        <f>HYPERLINK("https://edmondsonsupply.com/collections/electricians-tools/products/diablo-tools-dmarg1180", "https://edmondsonsupply.com/collections/electricians-tools/products/diablo-tools-dmarg1180")</f>
        <v/>
      </c>
      <c r="B7391" s="2">
        <f>HYPERLINK("https://edmondsonsupply.com/products/diablo-tools-dmarg1180", "https://edmondsonsupply.com/products/diablo-tools-dmarg1180")</f>
        <v/>
      </c>
      <c r="C7391" t="inlineStr">
        <is>
          <t>Diablo Tools DMARG1180 5/8 in. x 10 in. x 12 in. SPEEDemon™ Red Granite Carbide Tipped Hammer Drill Bit</t>
        </is>
      </c>
      <c r="D7391" t="inlineStr">
        <is>
          <t>Diablo by Freud DMARG1150 1/2 in. x 4 in. x 6 in. SPEEDemon Red Granite Carbide Tipped Hammer Drill Bit</t>
        </is>
      </c>
      <c r="E7391" s="2">
        <f>HYPERLINK("https://www.amazon.com/Diablo-Freud-DMARG1150-SPEEDemon-Granite/dp/B089LKXD71/ref=sr_1_7?keywords=Diablo+Tools+DMARG1180+5%2F8+in.+x+10+in.+x+12+in.+SPEEDemon%E2%84%A2+Red+Granite+Carbide+Tipped+Hammer+Drill+Bit&amp;qid=1694735299&amp;sr=8-7", "https://www.amazon.com/Diablo-Freud-DMARG1150-SPEEDemon-Granite/dp/B089LKXD71/ref=sr_1_7?keywords=Diablo+Tools+DMARG1180+5%2F8+in.+x+10+in.+x+12+in.+SPEEDemon%E2%84%A2+Red+Granite+Carbide+Tipped+Hammer+Drill+Bit&amp;qid=1694735299&amp;sr=8-7")</f>
        <v/>
      </c>
      <c r="F7391" t="inlineStr">
        <is>
          <t>B089LKXD71</t>
        </is>
      </c>
      <c r="G7391">
        <f>_xludf.IMAGE("https://edmondsonsupply.com/cdn/shop/products/DMARG1180_Main-Image.png?v=1633030424")</f>
        <v/>
      </c>
      <c r="H7391">
        <f>_xludf.IMAGE("https://m.media-amazon.com/images/I/61Irr3Gr9YL._AC_UL320_.jpg")</f>
        <v/>
      </c>
      <c r="K7391" t="inlineStr">
        <is>
          <t>18.97</t>
        </is>
      </c>
      <c r="L7391" t="n">
        <v>10.19</v>
      </c>
      <c r="M7391" s="1" t="inlineStr">
        <is>
          <t>-46.28%</t>
        </is>
      </c>
      <c r="N7391" s="1" t="n"/>
      <c r="O7391" t="n">
        <v>4.3</v>
      </c>
      <c r="P7391" t="n">
        <v>19</v>
      </c>
      <c r="R7391" t="inlineStr">
        <is>
          <t>InStock</t>
        </is>
      </c>
      <c r="S7391" t="inlineStr">
        <is>
          <t>undefined</t>
        </is>
      </c>
      <c r="T7391" t="inlineStr">
        <is>
          <t>5323605278888</t>
        </is>
      </c>
    </row>
    <row r="7392" ht="87" customHeight="1">
      <c r="A7392" s="2">
        <f>HYPERLINK("https://edmondsonsupply.com/collections/electricians-tools/products/copy-of-milwaukee-48-11-1850-m18%E2%84%A2-redlithium%E2%84%A2-xc5-0-extended-capacity-battery-pack", "https://edmondsonsupply.com/collections/electricians-tools/products/copy-of-milwaukee-48-11-1850-m18%E2%84%A2-redlithium%E2%84%A2-xc5-0-extended-capacity-battery-pack")</f>
        <v/>
      </c>
      <c r="B7392" s="2">
        <f>HYPERLINK("https://edmondsonsupply.com/products/copy-of-milwaukee-48-11-1850-m18%e2%84%a2-redlithium%e2%84%a2-xc5-0-extended-capacity-battery-pack", "https://edmondsonsupply.com/products/copy-of-milwaukee-48-11-1850-m18%e2%84%a2-redlithium%e2%84%a2-xc5-0-extended-capacity-battery-pack")</f>
        <v/>
      </c>
      <c r="C7392" t="inlineStr">
        <is>
          <t>Milwaukee 48-11-1852 M18™ REDLITHIUM™ XC5.0 Extended Capacity Battery 2-Pack</t>
        </is>
      </c>
      <c r="D7392" t="inlineStr">
        <is>
          <t>Milwaukee 48-11-1852 M18 REDLITHIUM XC 5 Ah Lithium-Ion Extended Capacity Battery (2-Pack)</t>
        </is>
      </c>
      <c r="E7392" s="2">
        <f>HYPERLINK("https://www.amazon.com/Milwaukee-48-11-1850-Batteries-48-11-1852-pack/dp/B09NNHN8S8/ref=sr_1_1?keywords=Milwaukee+48-11-1852+M18%E2%84%A2+REDLITHIUM%E2%84%A2+XC5.0+Extended+Capacity+Battery+2-Pack&amp;qid=1694735154&amp;sr=8-1", "https://www.amazon.com/Milwaukee-48-11-1850-Batteries-48-11-1852-pack/dp/B09NNHN8S8/ref=sr_1_1?keywords=Milwaukee+48-11-1852+M18%E2%84%A2+REDLITHIUM%E2%84%A2+XC5.0+Extended+Capacity+Battery+2-Pack&amp;qid=1694735154&amp;sr=8-1")</f>
        <v/>
      </c>
      <c r="F7392" t="inlineStr">
        <is>
          <t>B09NNHN8S8</t>
        </is>
      </c>
      <c r="G7392">
        <f>_xlfn.IMAGE("https://edmondsonsupply.com/cdn/shop/products/48-11-1852_2.png?v=1657136927")</f>
        <v/>
      </c>
      <c r="H7392">
        <f>_xlfn.IMAGE("https://m.media-amazon.com/images/I/61QtFZehTkL._AC_UL320_.jpg")</f>
        <v/>
      </c>
      <c r="K7392" t="inlineStr">
        <is>
          <t>249.0</t>
        </is>
      </c>
      <c r="L7392" t="n">
        <v>133.5</v>
      </c>
      <c r="M7392" s="1" t="inlineStr">
        <is>
          <t>-46.39%</t>
        </is>
      </c>
      <c r="N7392" s="7" t="n"/>
      <c r="O7392" t="n">
        <v>4.7</v>
      </c>
      <c r="P7392" t="n">
        <v>1279</v>
      </c>
      <c r="R7392" t="inlineStr">
        <is>
          <t>InStock</t>
        </is>
      </c>
      <c r="S7392" t="inlineStr">
        <is>
          <t>413.0</t>
        </is>
      </c>
      <c r="T7392" t="inlineStr">
        <is>
          <t>7739700216024</t>
        </is>
      </c>
    </row>
    <row r="7393" hidden="1" ht="15.75" customHeight="1">
      <c r="A7393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393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393" t="inlineStr">
        <is>
          <t>Klein Tools NCVT-2P Dual Range Non-Contact Voltage Tester 12 - 1000V AC</t>
        </is>
      </c>
      <c r="D7393" t="inlineStr">
        <is>
          <t>2PCS LETONNEY Voltage Tester, Non Contact Voltage Detector, Circuit Tester Dual Range Voltage Sniffer AC 12V-1000V/48V-1000V, Live/Null Wire Tester with Alarm and Flashlight (Gray)</t>
        </is>
      </c>
      <c r="E7393" s="2">
        <f>HYPERLINK("https://www.amazon.com/LETONNEY-Detector-12V-1000V-48V-1000V-Flashlight/dp/B0B6ZY76D4/ref=sr_1_31?keywords=Klein+Tools+NCVT-2P+Dual+Range+Non-Contact+Voltage+Tester+12+-+1000V+AC&amp;qid=1694735236&amp;sr=8-31", "https://www.amazon.com/LETONNEY-Detector-12V-1000V-48V-1000V-Flashlight/dp/B0B6ZY76D4/ref=sr_1_31?keywords=Klein+Tools+NCVT-2P+Dual+Range+Non-Contact+Voltage+Tester+12+-+1000V+AC&amp;qid=1694735236&amp;sr=8-31")</f>
        <v/>
      </c>
      <c r="F7393" t="inlineStr">
        <is>
          <t>B0B6ZY76D4</t>
        </is>
      </c>
      <c r="G7393">
        <f>_xludf.IMAGE("https://edmondsonsupply.com/cdn/shop/products/ncvt2p.jpg?v=1633030824")</f>
        <v/>
      </c>
      <c r="H7393">
        <f>_xludf.IMAGE("https://m.media-amazon.com/images/I/81vZwr3WKiL._AC_UL320_.jpg")</f>
        <v/>
      </c>
      <c r="K7393" t="inlineStr">
        <is>
          <t>27.97</t>
        </is>
      </c>
      <c r="L7393" t="n">
        <v>14.99</v>
      </c>
      <c r="M7393" s="1" t="inlineStr">
        <is>
          <t>-46.41%</t>
        </is>
      </c>
      <c r="N7393" s="1" t="n"/>
      <c r="O7393" t="n">
        <v>4.2</v>
      </c>
      <c r="P7393" t="n">
        <v>103</v>
      </c>
      <c r="R7393" t="inlineStr">
        <is>
          <t>InStock</t>
        </is>
      </c>
      <c r="S7393" t="inlineStr">
        <is>
          <t>35.76</t>
        </is>
      </c>
      <c r="T7393" t="inlineStr">
        <is>
          <t>6080875626669</t>
        </is>
      </c>
    </row>
    <row r="7394" ht="87" customHeight="1">
      <c r="A7394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394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394" t="inlineStr">
        <is>
          <t>Diablo Tools DMAMX1360 1-1/2 in. x 16 in. x 21 in. Rebar Demon™ SDS-Max 4-Cutter Carbide-Tipped Hammer Drill Bit</t>
        </is>
      </c>
      <c r="D7394" t="inlineStr">
        <is>
          <t>Diablo DMAMX1140 3/4 in. x 16 in. x 21 in. Rebar Demon™ SDS-Max 4-Cutter Full Carbide Head Hammer Bit</t>
        </is>
      </c>
      <c r="E7394" s="2">
        <f>HYPERLINK("https://www.amazon.com/Diablo-SDS-Max-4-Cutter-Carbide-Hammer/dp/B089KWP4WK/ref=sr_1_7?keywords=Diablo+Tools+DMAMX1360+1-1%2F2+in.+x+16+in.+x+21+in.+Rebar+Demon%E2%84%A2+SDS-Max+4-Cutter+Carbide-Tipped+Hammer+Drill+Bit&amp;qid=1694735042&amp;sr=8-7", "https://www.amazon.com/Diablo-SDS-Max-4-Cutter-Carbide-Hammer/dp/B089KWP4WK/ref=sr_1_7?keywords=Diablo+Tools+DMAMX1360+1-1%2F2+in.+x+16+in.+x+21+in.+Rebar+Demon%E2%84%A2+SDS-Max+4-Cutter+Carbide-Tipped+Hammer+Drill+Bit&amp;qid=1694735042&amp;sr=8-7")</f>
        <v/>
      </c>
      <c r="F7394" t="inlineStr">
        <is>
          <t>B089KWP4WK</t>
        </is>
      </c>
      <c r="G7394">
        <f>_xlfn.IMAGE("https://edmondsonsupply.com/cdn/shop/products/z2umcsdaj3y4uvsfnxoh.webp?v=1677257156")</f>
        <v/>
      </c>
      <c r="H7394">
        <f>_xlfn.IMAGE("https://m.media-amazon.com/images/I/61yWWNP1xrL._AC_UL320_.jpg")</f>
        <v/>
      </c>
      <c r="K7394" t="inlineStr">
        <is>
          <t>93.87</t>
        </is>
      </c>
      <c r="L7394" t="n">
        <v>50.26</v>
      </c>
      <c r="M7394" s="1" t="inlineStr">
        <is>
          <t>-46.46%</t>
        </is>
      </c>
      <c r="N7394" s="7" t="n"/>
      <c r="O7394" t="n">
        <v>5</v>
      </c>
      <c r="P7394" t="n">
        <v>9</v>
      </c>
      <c r="R7394" t="inlineStr">
        <is>
          <t>InStock</t>
        </is>
      </c>
      <c r="S7394" t="inlineStr">
        <is>
          <t>149.01</t>
        </is>
      </c>
      <c r="T7394" t="inlineStr">
        <is>
          <t>7950786855128</t>
        </is>
      </c>
    </row>
    <row r="7395" hidden="1" ht="15.75" customHeight="1">
      <c r="A7395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395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395" t="inlineStr">
        <is>
          <t>Klein Tools NCVT-2P Dual Range Non-Contact Voltage Tester 12 - 1000V AC</t>
        </is>
      </c>
      <c r="D7395" t="inlineStr">
        <is>
          <t>KAIWEETS Voltage Tester/Non-Contact Voltage Tester with Dual Range AC 12V-1000V/48V-1000V, Live/Null Wire Tester, Electrical Tester with LCD Display, Buzzer Alarm, Wire Breakpoint Finder-HT100(Black)</t>
        </is>
      </c>
      <c r="E7395" s="2">
        <f>HYPERLINK("https://www.amazon.com/KAIWEETS-Non-Contact-Electrical-Breakpoint-Finder-HT100B/dp/B09FX5GC12/ref=sr_1_8?keywords=Klein+Tools+NCVT-2P+Dual+Range+Non-Contact+Voltage+Tester+12+-+1000V+AC&amp;qid=1694735236&amp;sr=8-8", "https://www.amazon.com/KAIWEETS-Non-Contact-Electrical-Breakpoint-Finder-HT100B/dp/B09FX5GC12/ref=sr_1_8?keywords=Klein+Tools+NCVT-2P+Dual+Range+Non-Contact+Voltage+Tester+12+-+1000V+AC&amp;qid=1694735236&amp;sr=8-8")</f>
        <v/>
      </c>
      <c r="F7395" t="inlineStr">
        <is>
          <t>B09FX5GC12</t>
        </is>
      </c>
      <c r="G7395">
        <f>_xludf.IMAGE("https://edmondsonsupply.com/cdn/shop/products/ncvt2p.jpg?v=1633030824")</f>
        <v/>
      </c>
      <c r="H7395">
        <f>_xludf.IMAGE("https://m.media-amazon.com/images/I/61nvl3MItJL._AC_UL320_.jpg")</f>
        <v/>
      </c>
      <c r="K7395" t="inlineStr">
        <is>
          <t>27.97</t>
        </is>
      </c>
      <c r="L7395" t="n">
        <v>14.97</v>
      </c>
      <c r="M7395" s="1" t="inlineStr">
        <is>
          <t>-46.48%</t>
        </is>
      </c>
      <c r="N7395" s="1" t="n"/>
      <c r="O7395" t="n">
        <v>4.5</v>
      </c>
      <c r="P7395" t="n">
        <v>16272</v>
      </c>
      <c r="R7395" t="inlineStr">
        <is>
          <t>InStock</t>
        </is>
      </c>
      <c r="S7395" t="inlineStr">
        <is>
          <t>35.76</t>
        </is>
      </c>
      <c r="T7395" t="inlineStr">
        <is>
          <t>6080875626669</t>
        </is>
      </c>
    </row>
    <row r="7396" ht="87" customHeight="1">
      <c r="A7396" s="2">
        <f>HYPERLINK("https://edmondsonsupply.com/collections/electricians-tools/products/klein-tools-d504-10b-quick-adjust-klaw%E2%84%A2-pump-pliers-10-inch", "https://edmondsonsupply.com/collections/electricians-tools/products/klein-tools-d504-10b-quick-adjust-klaw%E2%84%A2-pump-pliers-10-inch")</f>
        <v/>
      </c>
      <c r="B7396" s="2">
        <f>HYPERLINK("https://edmondsonsupply.com/products/klein-tools-d504-10b-quick-adjust-klaw%e2%84%a2-pump-pliers-10-inch", "https://edmondsonsupply.com/products/klein-tools-d504-10b-quick-adjust-klaw%e2%84%a2-pump-pliers-10-inch")</f>
        <v/>
      </c>
      <c r="C7396" t="inlineStr">
        <is>
          <t>Klein Tools D504-10B Quick-Adjust Klaw™ Pump Pliers, 10-Inch</t>
        </is>
      </c>
      <c r="D7396" t="inlineStr">
        <is>
          <t>Klein Tools D502-10 Pump Pliers, 10-Inch Tongue and Groove, Quick-Adjust Rivet, 1-3/4 Inch Max Parallel Jaw Range, Tension Loaded Joint</t>
        </is>
      </c>
      <c r="E7396" s="2">
        <f>HYPERLINK("https://www.amazon.com/Pliers-10-Inch-Klein-Tools-D502-10/dp/B0000302WC/ref=sr_1_2?keywords=Klein+Tools+D504-10B+Quick-Adjust+Klaw%E2%84%A2+Pump+Pliers%2C+10-Inch&amp;qid=1694735394&amp;sr=8-2", "https://www.amazon.com/Pliers-10-Inch-Klein-Tools-D502-10/dp/B0000302WC/ref=sr_1_2?keywords=Klein+Tools+D504-10B+Quick-Adjust+Klaw%E2%84%A2+Pump+Pliers%2C+10-Inch&amp;qid=1694735394&amp;sr=8-2")</f>
        <v/>
      </c>
      <c r="F7396" t="inlineStr">
        <is>
          <t>B0000302WC</t>
        </is>
      </c>
      <c r="G7396">
        <f>_xlfn.IMAGE("https://edmondsonsupply.com/cdn/shop/products/d504-12b.jpg?v=1587147609")</f>
        <v/>
      </c>
      <c r="H7396">
        <f>_xlfn.IMAGE("https://m.media-amazon.com/images/I/418n0XM7PlL._AC_UL320_.jpg")</f>
        <v/>
      </c>
      <c r="K7396" t="inlineStr">
        <is>
          <t>44.99</t>
        </is>
      </c>
      <c r="L7396" t="n">
        <v>23.99</v>
      </c>
      <c r="M7396" s="1" t="inlineStr">
        <is>
          <t>-46.68%</t>
        </is>
      </c>
      <c r="N7396" s="7" t="n"/>
      <c r="O7396" t="n">
        <v>4.7</v>
      </c>
      <c r="P7396" t="n">
        <v>226</v>
      </c>
      <c r="R7396" t="inlineStr">
        <is>
          <t>InStock</t>
        </is>
      </c>
      <c r="S7396" t="inlineStr">
        <is>
          <t>63.12</t>
        </is>
      </c>
      <c r="T7396" t="inlineStr">
        <is>
          <t>4409553649764</t>
        </is>
      </c>
    </row>
    <row r="7397" ht="87" customHeight="1">
      <c r="A7397" s="2">
        <f>HYPERLINK("https://edmondsonsupply.com/collections/electricians-tools/products/milwaukee-49-22-4175-hole-dozer%E2%84%A2-general-purpose-hole-saw-kit-15pc", "https://edmondsonsupply.com/collections/electricians-tools/products/milwaukee-49-22-4175-hole-dozer%E2%84%A2-general-purpose-hole-saw-kit-15pc")</f>
        <v/>
      </c>
      <c r="B7397" s="2">
        <f>HYPERLINK("https://edmondsonsupply.com/products/milwaukee-49-22-4175-hole-dozer%e2%84%a2-general-purpose-hole-saw-kit-15pc", "https://edmondsonsupply.com/products/milwaukee-49-22-4175-hole-dozer%e2%84%a2-general-purpose-hole-saw-kit-15pc")</f>
        <v/>
      </c>
      <c r="C7397" t="inlineStr">
        <is>
          <t>Milwaukee 49-22-4175 HOLE DOZER™ General-Purpose Hole Saw Kit - 15PC</t>
        </is>
      </c>
      <c r="D7397" t="inlineStr">
        <is>
          <t>Milwaukee 49-22-4175 General Purpose Hole Saw Kit, 15-Piece</t>
        </is>
      </c>
      <c r="E7397" s="2">
        <f>HYPERLINK("https://www.amazon.com/Milwaukee-49-22-4175-General-Hardened-15-Piece/dp/B0017WOBL4/ref=sr_1_1?keywords=Milwaukee+49-22-4175+HOLE+DOZER%E2%84%A2+General-Purpose+Hole+Saw+Kit+-+15PC&amp;qid=1694735083&amp;sr=8-1", "https://www.amazon.com/Milwaukee-49-22-4175-General-Hardened-15-Piece/dp/B0017WOBL4/ref=sr_1_1?keywords=Milwaukee+49-22-4175+HOLE+DOZER%E2%84%A2+General-Purpose+Hole+Saw+Kit+-+15PC&amp;qid=1694735083&amp;sr=8-1")</f>
        <v/>
      </c>
      <c r="F7397" t="inlineStr">
        <is>
          <t>B0017WOBL4</t>
        </is>
      </c>
      <c r="G7397">
        <f>_xlfn.IMAGE("https://edmondsonsupply.com/cdn/shop/products/49-22-4175_101.webp?v=1668783398")</f>
        <v/>
      </c>
      <c r="H7397">
        <f>_xlfn.IMAGE("https://m.media-amazon.com/images/I/811cndYKfBS._AC_UL320_.jpg")</f>
        <v/>
      </c>
      <c r="K7397" t="inlineStr">
        <is>
          <t>149.97</t>
        </is>
      </c>
      <c r="L7397" t="n">
        <v>79.95</v>
      </c>
      <c r="M7397" s="1" t="inlineStr">
        <is>
          <t>-46.69%</t>
        </is>
      </c>
      <c r="N7397" s="7" t="n"/>
      <c r="O7397" t="n">
        <v>4.6</v>
      </c>
      <c r="P7397" t="n">
        <v>176</v>
      </c>
      <c r="R7397" t="inlineStr">
        <is>
          <t>InStock</t>
        </is>
      </c>
      <c r="S7397" t="inlineStr">
        <is>
          <t>292.7</t>
        </is>
      </c>
      <c r="T7397" t="inlineStr">
        <is>
          <t>7887697117400</t>
        </is>
      </c>
    </row>
    <row r="7398" ht="87" customHeight="1">
      <c r="A7398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398" s="2">
        <f>HYPERLINK("https://edmondsonsupply.com/products/klein-tools-32800-6-in-1-multi-nut-driver-heavy-duty", "https://edmondsonsupply.com/products/klein-tools-32800-6-in-1-multi-nut-driver-heavy-duty")</f>
        <v/>
      </c>
      <c r="C7398" t="inlineStr">
        <is>
          <t>Klein Tools 32800 6-in-1 6-in-1 Multi-Bit Nut Driver, Heavy Duty</t>
        </is>
      </c>
      <c r="D7398" t="inlineStr">
        <is>
          <t>Klein Tools 32559 Multi-bit Screwdriver / Nut Driver, Extended Reach 6-in-1 Tool with Nut Driver, Phillips and Slotted Bits</t>
        </is>
      </c>
      <c r="E7398" s="2">
        <f>HYPERLINK("https://www.amazon.com/Multibit-Screwdriver-Klein-Tools-32559/dp/B005FQDHDG/ref=sr_1_4?keywords=Klein+Tools+32800+6-in-1+6-in-1+Multi-Bit+Nut+Driver%2C+Heavy+Duty&amp;qid=1694735172&amp;sr=8-4", "https://www.amazon.com/Multibit-Screwdriver-Klein-Tools-32559/dp/B005FQDHDG/ref=sr_1_4?keywords=Klein+Tools+32800+6-in-1+6-in-1+Multi-Bit+Nut+Driver%2C+Heavy+Duty&amp;qid=1694735172&amp;sr=8-4")</f>
        <v/>
      </c>
      <c r="F7398" t="inlineStr">
        <is>
          <t>B005FQDHDG</t>
        </is>
      </c>
      <c r="G7398">
        <f>_xlfn.IMAGE("https://edmondsonsupply.com/cdn/shop/products/32800_alt2.jpg?v=1646595019")</f>
        <v/>
      </c>
      <c r="H7398">
        <f>_xlfn.IMAGE("https://m.media-amazon.com/images/I/514peoSo7EL._AC_UL320_.jpg")</f>
        <v/>
      </c>
      <c r="K7398" t="inlineStr">
        <is>
          <t>29.99</t>
        </is>
      </c>
      <c r="L7398" t="n">
        <v>15.97</v>
      </c>
      <c r="M7398" s="1" t="inlineStr">
        <is>
          <t>-46.75%</t>
        </is>
      </c>
      <c r="N7398" s="7" t="n"/>
      <c r="O7398" t="n">
        <v>4.8</v>
      </c>
      <c r="P7398" t="n">
        <v>2200</v>
      </c>
      <c r="R7398" t="inlineStr">
        <is>
          <t>InStock</t>
        </is>
      </c>
      <c r="S7398" t="inlineStr">
        <is>
          <t>42.2</t>
        </is>
      </c>
      <c r="T7398" t="inlineStr">
        <is>
          <t>1723912519780</t>
        </is>
      </c>
    </row>
    <row r="7399" ht="87" customHeight="1">
      <c r="A7399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399" s="2">
        <f>HYPERLINK("https://edmondsonsupply.com/products/klein-tools-32800-6-in-1-multi-nut-driver-heavy-duty", "https://edmondsonsupply.com/products/klein-tools-32800-6-in-1-multi-nut-driver-heavy-duty")</f>
        <v/>
      </c>
      <c r="C7399" t="inlineStr">
        <is>
          <t>Klein Tools 32800 6-in-1 6-in-1 Multi-Bit Nut Driver, Heavy Duty</t>
        </is>
      </c>
      <c r="D7399" t="inlineStr">
        <is>
          <t>Klein Tools 32613 Multi-Bit Screwdriver, Precision HVAC 3-in-1 Pocket Screwdriver with Phillips, Slotted and Schrader Bits</t>
        </is>
      </c>
      <c r="E7399" s="2">
        <f>HYPERLINK("https://www.amazon.com/Klein-Tools-32613-Screwdriver-Precision/dp/B07PMDR8QG/ref=sr_1_42?keywords=Klein+Tools+32800+6-in-1+6-in-1+Multi-Bit+Nut+Driver%2C+Heavy+Duty&amp;qid=1694735172&amp;sr=8-42", "https://www.amazon.com/Klein-Tools-32613-Screwdriver-Precision/dp/B07PMDR8QG/ref=sr_1_42?keywords=Klein+Tools+32800+6-in-1+6-in-1+Multi-Bit+Nut+Driver%2C+Heavy+Duty&amp;qid=1694735172&amp;sr=8-42")</f>
        <v/>
      </c>
      <c r="F7399" t="inlineStr">
        <is>
          <t>B07PMDR8QG</t>
        </is>
      </c>
      <c r="G7399">
        <f>_xlfn.IMAGE("https://edmondsonsupply.com/cdn/shop/products/32800_alt2.jpg?v=1646595019")</f>
        <v/>
      </c>
      <c r="H7399">
        <f>_xlfn.IMAGE("https://m.media-amazon.com/images/I/41ymPfw5umL._AC_UL320_.jpg")</f>
        <v/>
      </c>
      <c r="K7399" t="inlineStr">
        <is>
          <t>29.99</t>
        </is>
      </c>
      <c r="L7399" t="n">
        <v>15.97</v>
      </c>
      <c r="M7399" s="1" t="inlineStr">
        <is>
          <t>-46.75%</t>
        </is>
      </c>
      <c r="N7399" s="7" t="n"/>
      <c r="O7399" t="n">
        <v>4.8</v>
      </c>
      <c r="P7399" t="n">
        <v>2282</v>
      </c>
      <c r="R7399" t="inlineStr">
        <is>
          <t>InStock</t>
        </is>
      </c>
      <c r="S7399" t="inlineStr">
        <is>
          <t>42.2</t>
        </is>
      </c>
      <c r="T7399" t="inlineStr">
        <is>
          <t>1723912519780</t>
        </is>
      </c>
    </row>
    <row r="7400" hidden="1" ht="15.75" customHeight="1">
      <c r="A7400" s="2">
        <f>HYPERLINK("https://edmondsonsupply.com/collections/electricians-tools/products/diablo-tools-dag3090-7-8-in-x-17-1-2-in-auger-bit", "https://edmondsonsupply.com/collections/electricians-tools/products/diablo-tools-dag3090-7-8-in-x-17-1-2-in-auger-bit")</f>
        <v/>
      </c>
      <c r="B7400" s="2">
        <f>HYPERLINK("https://edmondsonsupply.com/products/diablo-tools-dag3090-7-8-in-x-17-1-2-in-auger-bit", "https://edmondsonsupply.com/products/diablo-tools-dag3090-7-8-in-x-17-1-2-in-auger-bit")</f>
        <v/>
      </c>
      <c r="C7400" t="inlineStr">
        <is>
          <t>Diablo Tools DAG3090 7/8 in. x 17-1/2 in. Auger Bit</t>
        </is>
      </c>
      <c r="D7400" t="inlineStr">
        <is>
          <t>Diablo 3/8 in. x 7-1/2 in. Auger Bit</t>
        </is>
      </c>
      <c r="E7400" s="2">
        <f>HYPERLINK("https://www.amazon.com/Diablo-Freud-DAG1030-7-1-Auger/dp/B089KWZ4C4/ref=sr_1_39?keywords=Diablo+Tools+DAG3090+7%2F8+in.+x+17-1%2F2+in.+Auger+Bit&amp;qid=1694735031&amp;sr=8-39", "https://www.amazon.com/Diablo-Freud-DAG1030-7-1-Auger/dp/B089KWZ4C4/ref=sr_1_39?keywords=Diablo+Tools+DAG3090+7%2F8+in.+x+17-1%2F2+in.+Auger+Bit&amp;qid=1694735031&amp;sr=8-39")</f>
        <v/>
      </c>
      <c r="F7400" t="inlineStr">
        <is>
          <t>B089KWZ4C4</t>
        </is>
      </c>
      <c r="G7400">
        <f>_xludf.IMAGE("https://edmondsonsupply.com/cdn/shop/products/aorgtpkivjubhtbiiau0.webp?v=1677256849")</f>
        <v/>
      </c>
      <c r="H7400">
        <f>_xludf.IMAGE("https://m.media-amazon.com/images/I/615E8KqWW3L._AC_UL320_.jpg")</f>
        <v/>
      </c>
      <c r="K7400" t="inlineStr">
        <is>
          <t>22.99</t>
        </is>
      </c>
      <c r="L7400" t="n">
        <v>12.19</v>
      </c>
      <c r="M7400" s="1" t="inlineStr">
        <is>
          <t>-46.98%</t>
        </is>
      </c>
      <c r="N7400" s="1" t="n"/>
      <c r="O7400" t="n">
        <v>4.1</v>
      </c>
      <c r="P7400" t="n">
        <v>15</v>
      </c>
      <c r="R7400" t="inlineStr">
        <is>
          <t>InStock</t>
        </is>
      </c>
      <c r="S7400" t="inlineStr">
        <is>
          <t>36.28</t>
        </is>
      </c>
      <c r="T7400" t="inlineStr">
        <is>
          <t>7950782136536</t>
        </is>
      </c>
    </row>
    <row r="7401" hidden="1" ht="15.75" customHeight="1">
      <c r="A7401" s="2">
        <f>HYPERLINK("https://edmondsonsupply.com/collections/electricians-tools/products/diablo-tools-dmapl4100-1-4-in-x-16-in-x-18-in-rebar-demon%E2%84%A2-sds-plus-4-cutter-full-carbide-head-hammer-bit", "https://edmondsonsupply.com/collections/electricians-tools/products/diablo-tools-dmapl4100-1-4-in-x-16-in-x-18-in-rebar-demon%E2%84%A2-sds-plus-4-cutter-full-carbide-head-hammer-bit")</f>
        <v/>
      </c>
      <c r="B7401" s="2">
        <f>HYPERLINK("https://edmondsonsupply.com/products/diablo-tools-dmapl4100-1-4-in-x-16-in-x-18-in-rebar-demon%e2%84%a2-sds-plus-4-cutter-full-carbide-head-hammer-bit", "https://edmondsonsupply.com/products/diablo-tools-dmapl4100-1-4-in-x-16-in-x-18-in-rebar-demon%e2%84%a2-sds-plus-4-cutter-full-carbide-head-hammer-bit")</f>
        <v/>
      </c>
      <c r="C7401" t="inlineStr">
        <is>
          <t>Diablo Tools DMAPL4100 1/4 in. x 16 in. x 18 in. Rebar Demon™ SDS‑Plus 4‑Cutter Full Carbide Head Hammer Bit</t>
        </is>
      </c>
      <c r="D7401" t="inlineStr">
        <is>
          <t>Diablo by Freud DMAPL4050 3/16 in. x 6 in. x 8 in. Rebar Demon SDS-Plus 4-Cutter Full Carbide Head Hammer Bit Multi, One Size</t>
        </is>
      </c>
      <c r="E7401" s="2">
        <f>HYPERLINK("https://www.amazon.com/Diablo-SDS-Plus-4-Cutter-Carbide-Hammer/dp/B089LKWR9L/ref=sr_1_32?keywords=Diablo+Tools+DMAPL4100+1%2F4+in.+x+16+in.+x+18+in.+Rebar+Demon%E2%84%A2+SDS%E2%80%91Plus+4%E2%80%91Cutter+Full+Carbide+Head+Hammer+Bit&amp;qid=1694735272&amp;sr=8-32", "https://www.amazon.com/Diablo-SDS-Plus-4-Cutter-Carbide-Hammer/dp/B089LKWR9L/ref=sr_1_32?keywords=Diablo+Tools+DMAPL4100+1%2F4+in.+x+16+in.+x+18+in.+Rebar+Demon%E2%84%A2+SDS%E2%80%91Plus+4%E2%80%91Cutter+Full+Carbide+Head+Hammer+Bit&amp;qid=1694735272&amp;sr=8-32")</f>
        <v/>
      </c>
      <c r="F7401" t="inlineStr">
        <is>
          <t>B089LKWR9L</t>
        </is>
      </c>
      <c r="G7401">
        <f>_xludf.IMAGE("https://edmondsonsupply.com/cdn/shop/products/DMAPL4100_Main-Image20200701.png?v=1633030520")</f>
        <v/>
      </c>
      <c r="H7401">
        <f>_xludf.IMAGE("https://m.media-amazon.com/images/I/61uukuKzJeL._AC_UL320_.jpg")</f>
        <v/>
      </c>
      <c r="K7401" t="inlineStr">
        <is>
          <t>16.97</t>
        </is>
      </c>
      <c r="L7401" t="n">
        <v>8.99</v>
      </c>
      <c r="M7401" s="1" t="inlineStr">
        <is>
          <t>-47.02%</t>
        </is>
      </c>
      <c r="N7401" s="1" t="n"/>
      <c r="O7401" t="n">
        <v>3.7</v>
      </c>
      <c r="P7401" t="n">
        <v>10</v>
      </c>
      <c r="R7401" t="inlineStr">
        <is>
          <t>InStock</t>
        </is>
      </c>
      <c r="S7401" t="inlineStr">
        <is>
          <t>undefined</t>
        </is>
      </c>
      <c r="T7401" t="inlineStr">
        <is>
          <t>5399840882856</t>
        </is>
      </c>
    </row>
    <row r="7402" hidden="1" ht="15.75" customHeight="1">
      <c r="A7402" s="2">
        <f>HYPERLINK("https://edmondsonsupply.com/collections/electricians-tools/products/diablo-tools-dmarg1180", "https://edmondsonsupply.com/collections/electricians-tools/products/diablo-tools-dmarg1180")</f>
        <v/>
      </c>
      <c r="B7402" s="2">
        <f>HYPERLINK("https://edmondsonsupply.com/products/diablo-tools-dmarg1180", "https://edmondsonsupply.com/products/diablo-tools-dmarg1180")</f>
        <v/>
      </c>
      <c r="C7402" t="inlineStr">
        <is>
          <t>Diablo Tools DMARG1180 5/8 in. x 10 in. x 12 in. SPEEDemon™ Red Granite Carbide Tipped Hammer Drill Bit</t>
        </is>
      </c>
      <c r="D7402" t="inlineStr">
        <is>
          <t>Diablo DMARG1110 5/16 in. x 8 in. x 10 in. SPEEDemon™ Red Granite Carbide Tipped Hammer Drill Bit</t>
        </is>
      </c>
      <c r="E7402" s="2">
        <f>HYPERLINK("https://www.amazon.com/Diablo-DMARG1110-SPEEDemon-Granite-Carbide/dp/B089LN9JJL/ref=sr_1_6?keywords=Diablo+Tools+DMARG1180+5%2F8+in.+x+10+in.+x+12+in.+SPEEDemon%E2%84%A2+Red+Granite+Carbide+Tipped+Hammer+Drill+Bit&amp;qid=1694735299&amp;sr=8-6", "https://www.amazon.com/Diablo-DMARG1110-SPEEDemon-Granite-Carbide/dp/B089LN9JJL/ref=sr_1_6?keywords=Diablo+Tools+DMARG1180+5%2F8+in.+x+10+in.+x+12+in.+SPEEDemon%E2%84%A2+Red+Granite+Carbide+Tipped+Hammer+Drill+Bit&amp;qid=1694735299&amp;sr=8-6")</f>
        <v/>
      </c>
      <c r="F7402" t="inlineStr">
        <is>
          <t>B089LN9JJL</t>
        </is>
      </c>
      <c r="G7402">
        <f>_xludf.IMAGE("https://edmondsonsupply.com/cdn/shop/products/DMARG1180_Main-Image.png?v=1633030424")</f>
        <v/>
      </c>
      <c r="H7402">
        <f>_xludf.IMAGE("https://m.media-amazon.com/images/I/61Qf0cC1SJL._AC_UL320_.jpg")</f>
        <v/>
      </c>
      <c r="K7402" t="inlineStr">
        <is>
          <t>18.97</t>
        </is>
      </c>
      <c r="L7402" t="n">
        <v>10.03</v>
      </c>
      <c r="M7402" s="1" t="inlineStr">
        <is>
          <t>-47.13%</t>
        </is>
      </c>
      <c r="N7402" s="1" t="n"/>
      <c r="O7402" t="n">
        <v>4.2</v>
      </c>
      <c r="P7402" t="n">
        <v>5</v>
      </c>
      <c r="R7402" t="inlineStr">
        <is>
          <t>InStock</t>
        </is>
      </c>
      <c r="S7402" t="inlineStr">
        <is>
          <t>undefined</t>
        </is>
      </c>
      <c r="T7402" t="inlineStr">
        <is>
          <t>5323605278888</t>
        </is>
      </c>
    </row>
    <row r="7403" hidden="1" ht="15.75" customHeight="1">
      <c r="A7403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403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403" t="inlineStr">
        <is>
          <t>Klein Tools JTH6E17 1/2-Inch Hex Journeyman T-Handle 6-Inch</t>
        </is>
      </c>
      <c r="D7403" t="inlineStr">
        <is>
          <t>Klein Tools JTH6E13BE 1/4-Inch Ball End Hex Key with Journeyman T-Handle, 6-Inch</t>
        </is>
      </c>
      <c r="E7403" s="2">
        <f>HYPERLINK("https://www.amazon.com/Journeyman-T-Handle-Klein-Tools-JTH6E13BE/dp/B004QW52YW/ref=sr_1_7?keywords=Klein+Tools+JTH6E17+1%2F2-Inch+Hex+Journeyman+T-Handle+6-Inch&amp;qid=1694735359&amp;sr=8-7", "https://www.amazon.com/Journeyman-T-Handle-Klein-Tools-JTH6E13BE/dp/B004QW52YW/ref=sr_1_7?keywords=Klein+Tools+JTH6E17+1%2F2-Inch+Hex+Journeyman+T-Handle+6-Inch&amp;qid=1694735359&amp;sr=8-7")</f>
        <v/>
      </c>
      <c r="F7403" t="inlineStr">
        <is>
          <t>B004QW52YW</t>
        </is>
      </c>
      <c r="G7403">
        <f>_xludf.IMAGE("https://edmondsonsupply.com/cdn/shop/products/jth6e15_80623668-f320-404f-929d-7d7e04a8b5aa.jpg?v=1587146378")</f>
        <v/>
      </c>
      <c r="H7403">
        <f>_xludf.IMAGE("https://m.media-amazon.com/images/I/51f9vBFVXgL._AC_UL320_.jpg")</f>
        <v/>
      </c>
      <c r="K7403" t="inlineStr">
        <is>
          <t>19.99</t>
        </is>
      </c>
      <c r="L7403" t="n">
        <v>10.55</v>
      </c>
      <c r="M7403" s="1" t="inlineStr">
        <is>
          <t>-47.22%</t>
        </is>
      </c>
      <c r="N7403" s="1" t="n"/>
      <c r="O7403" t="n">
        <v>4.7</v>
      </c>
      <c r="P7403" t="n">
        <v>32</v>
      </c>
      <c r="R7403" t="inlineStr">
        <is>
          <t>InStock</t>
        </is>
      </c>
      <c r="S7403" t="inlineStr">
        <is>
          <t>30.28</t>
        </is>
      </c>
      <c r="T7403" t="inlineStr">
        <is>
          <t>4431817605220</t>
        </is>
      </c>
    </row>
    <row r="7404" ht="87" customHeight="1">
      <c r="A7404" s="2">
        <f>HYPERLINK("https://edmondsonsupply.com/collections/electricians-tools/products/milwaukee-2553-22", "https://edmondsonsupply.com/collections/electricians-tools/products/milwaukee-2553-22")</f>
        <v/>
      </c>
      <c r="B7404" s="2">
        <f>HYPERLINK("https://edmondsonsupply.com/products/milwaukee-2553-22", "https://edmondsonsupply.com/products/milwaukee-2553-22")</f>
        <v/>
      </c>
      <c r="C7404" t="inlineStr">
        <is>
          <t>Milwaukee 2553-22 M12 FUEL™ 1/4" Hex Impact Driver Kit</t>
        </is>
      </c>
      <c r="D7404" t="inlineStr">
        <is>
          <t>Milwaukee Electric Tools MLW2553-20 M12 Fuel 1/4" Hex Impact Driver (Bare)</t>
        </is>
      </c>
      <c r="E7404" s="2">
        <f>HYPERLINK("https://www.amazon.com/Milwaukee-Electric-Tools-MLW2553-20-Impact/dp/B077ZYMK1W/ref=sr_1_13?keywords=Milwaukee+2553-22+M12+FUEL%E2%84%A2+1%2F4%22+Hex+Impact+Driver+Kit&amp;qid=1694735083&amp;sr=8-13", "https://www.amazon.com/Milwaukee-Electric-Tools-MLW2553-20-Impact/dp/B077ZYMK1W/ref=sr_1_13?keywords=Milwaukee+2553-22+M12+FUEL%E2%84%A2+1%2F4%22+Hex+Impact+Driver+Kit&amp;qid=1694735083&amp;sr=8-13")</f>
        <v/>
      </c>
      <c r="F7404" t="inlineStr">
        <is>
          <t>B077ZYMK1W</t>
        </is>
      </c>
      <c r="G7404">
        <f>_xlfn.IMAGE("https://edmondsonsupply.com/cdn/shop/products/2553-22_Kit.webp?v=1668445129")</f>
        <v/>
      </c>
      <c r="H7404">
        <f>_xlfn.IMAGE("https://m.media-amazon.com/images/I/71gozUvKj2L._AC_UL320_.jpg")</f>
        <v/>
      </c>
      <c r="K7404" t="inlineStr">
        <is>
          <t>169.0</t>
        </is>
      </c>
      <c r="L7404" t="n">
        <v>88.98999999999999</v>
      </c>
      <c r="M7404" s="1" t="inlineStr">
        <is>
          <t>-47.34%</t>
        </is>
      </c>
      <c r="N7404" s="7" t="n"/>
      <c r="O7404" t="n">
        <v>4.8</v>
      </c>
      <c r="P7404" t="n">
        <v>2985</v>
      </c>
      <c r="R7404" t="inlineStr">
        <is>
          <t>InStock</t>
        </is>
      </c>
      <c r="S7404" t="inlineStr">
        <is>
          <t>299.0</t>
        </is>
      </c>
      <c r="T7404" t="inlineStr">
        <is>
          <t>7884423528664</t>
        </is>
      </c>
    </row>
    <row r="7405" hidden="1" ht="15.75" customHeight="1">
      <c r="A7405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405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405" t="inlineStr">
        <is>
          <t>Diablo Tools DMAPL4080-P25 1/4 in. x 6 in. x 8 in. Rebar Demon™ SDS-Plus 4-Cutter Full Carbide Head Hammer Bit (25 Pack)</t>
        </is>
      </c>
      <c r="D7405" t="inlineStr">
        <is>
          <t>Diablo DMAMX1180 7/8 in. x 16 in. x 21 in. Rebar Demon™ SDS-Max 4-Cutter Full Carbide Head Hammer Bit</t>
        </is>
      </c>
      <c r="E7405" s="2">
        <f>HYPERLINK("https://www.amazon.com/Diablo-SDS-Max-4-Cutter-Carbide-Hammer/dp/B089KWFF8B/ref=sr_1_46?keywords=Diablo+Tools+DMAPL4080-P25+1%2F4+in.+x+6+in.+x+8+in.+Rebar+Demon%E2%84%A2+SDS-Plus+4-Cutter+Full+Carbide+Head+Hammer+Bit+%2825+Pack%29&amp;qid=1694735261&amp;sr=8-46", "https://www.amazon.com/Diablo-SDS-Max-4-Cutter-Carbide-Hammer/dp/B089KWFF8B/ref=sr_1_46?keywords=Diablo+Tools+DMAPL4080-P25+1%2F4+in.+x+6+in.+x+8+in.+Rebar+Demon%E2%84%A2+SDS-Plus+4-Cutter+Full+Carbide+Head+Hammer+Bit+%2825+Pack%29&amp;qid=1694735261&amp;sr=8-46")</f>
        <v/>
      </c>
      <c r="F7405" t="inlineStr">
        <is>
          <t>B089KWFF8B</t>
        </is>
      </c>
      <c r="G7405">
        <f>_xludf.IMAGE("https://edmondsonsupply.com/cdn/shop/products/DMAPL4080-P25_Main-Image20200701.png?v=1633030623")</f>
        <v/>
      </c>
      <c r="H7405">
        <f>_xludf.IMAGE("https://m.media-amazon.com/images/I/611fTcYRNFL._AC_UL320_.jpg")</f>
        <v/>
      </c>
      <c r="K7405" t="inlineStr">
        <is>
          <t>99.97</t>
        </is>
      </c>
      <c r="L7405" t="n">
        <v>52.51</v>
      </c>
      <c r="M7405" s="1" t="inlineStr">
        <is>
          <t>-47.47%</t>
        </is>
      </c>
      <c r="N7405" s="1" t="n"/>
      <c r="O7405" t="n">
        <v>3.5</v>
      </c>
      <c r="P7405" t="n">
        <v>3</v>
      </c>
      <c r="R7405" t="inlineStr">
        <is>
          <t>InStock</t>
        </is>
      </c>
      <c r="S7405" t="inlineStr">
        <is>
          <t>144.22</t>
        </is>
      </c>
      <c r="T7405" t="inlineStr">
        <is>
          <t>5660158918824</t>
        </is>
      </c>
    </row>
    <row r="7406" ht="87" customHeight="1">
      <c r="A7406" s="2">
        <f>HYPERLINK("https://edmondsonsupply.com/collections/electricians-tools/products/diablo-tools-dmamx1020", "https://edmondsonsupply.com/collections/electricians-tools/products/diablo-tools-dmamx1020")</f>
        <v/>
      </c>
      <c r="B7406" s="2">
        <f>HYPERLINK("https://edmondsonsupply.com/products/diablo-tools-dmamx1020", "https://edmondsonsupply.com/products/diablo-tools-dmamx1020")</f>
        <v/>
      </c>
      <c r="C7406" t="inlineStr">
        <is>
          <t>Diablo Tools DMAMX1020 1/2 in. x 8 in. x 13 in. Rebar Demon SDS‑Max 4‑Cutter Full Carbide Head Hammer Bit</t>
        </is>
      </c>
      <c r="D7406" t="inlineStr">
        <is>
          <t>Diablo DMAMX1050 9/16 in. x 8 in. x 13 in. Rebar Demon™ SDS-Max 4-Cutter Full Carbide Head Hammer Bit</t>
        </is>
      </c>
      <c r="E7406" s="2">
        <f>HYPERLINK("https://www.amazon.com/Diablo-SDS-Max-4-Cutter-Carbide-Hammer/dp/B089LK4F2D/ref=sr_1_4?keywords=Diablo+Tools+DMAMX1020+1%2F2+in.+x+8+in.+x+13+in.+Rebar+Demon+SDS%E2%80%91Max+4%E2%80%91Cutter+Full+Carbide+Head+Hammer+Bit&amp;qid=1694735268&amp;sr=8-4", "https://www.amazon.com/Diablo-SDS-Max-4-Cutter-Carbide-Hammer/dp/B089LK4F2D/ref=sr_1_4?keywords=Diablo+Tools+DMAMX1020+1%2F2+in.+x+8+in.+x+13+in.+Rebar+Demon+SDS%E2%80%91Max+4%E2%80%91Cutter+Full+Carbide+Head+Hammer+Bit&amp;qid=1694735268&amp;sr=8-4")</f>
        <v/>
      </c>
      <c r="F7406" t="inlineStr">
        <is>
          <t>B089LK4F2D</t>
        </is>
      </c>
      <c r="G7406">
        <f>_xlfn.IMAGE("https://edmondsonsupply.com/cdn/shop/products/DMAMX1020_Main-Image20200701.png?v=1609798895")</f>
        <v/>
      </c>
      <c r="H7406">
        <f>_xlfn.IMAGE("https://m.media-amazon.com/images/I/61jYhd4-UbL._AC_UL320_.jpg")</f>
        <v/>
      </c>
      <c r="K7406" t="inlineStr">
        <is>
          <t>39.97</t>
        </is>
      </c>
      <c r="L7406" t="n">
        <v>20.99</v>
      </c>
      <c r="M7406" s="1" t="inlineStr">
        <is>
          <t>-47.49%</t>
        </is>
      </c>
      <c r="N7406" s="7" t="n"/>
      <c r="O7406" t="n">
        <v>5</v>
      </c>
      <c r="P7406" t="n">
        <v>1</v>
      </c>
      <c r="R7406" t="inlineStr">
        <is>
          <t>InStock</t>
        </is>
      </c>
      <c r="S7406" t="inlineStr">
        <is>
          <t>42.31</t>
        </is>
      </c>
      <c r="T7406" t="inlineStr">
        <is>
          <t>5463822598312</t>
        </is>
      </c>
    </row>
    <row r="7407" hidden="1" ht="15.75" customHeight="1">
      <c r="A7407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407" s="2">
        <f>HYPERLINK("https://edmondsonsupply.com/products/klein-tools-32500mag-11-in-1-magnetic-screwdriver-nut-driver", "https://edmondsonsupply.com/products/klein-tools-32500mag-11-in-1-magnetic-screwdriver-nut-driver")</f>
        <v/>
      </c>
      <c r="C7407" t="inlineStr">
        <is>
          <t>Klein Tools 32500MAG 11-in-1 Magnetic Screwdriver / Nut Driver</t>
        </is>
      </c>
      <c r="D7407" t="inlineStr">
        <is>
          <t>Klein Tools 646-11/32M 11/32-Inch Magnetic Tip Nut Driver with 6-Inch Hollow Shaft and Cushion Grip Handle</t>
        </is>
      </c>
      <c r="E7407" s="2">
        <f>HYPERLINK("https://www.amazon.com/Magnetic-Klein-Tools-646-11-32M/dp/B000MKIUT6/ref=sr_1_32?keywords=Klein+Tools+32500MAG+11-in-1+Magnetic+Screwdriver+%2F+Nut+Driver&amp;qid=1694735235&amp;sr=8-32", "https://www.amazon.com/Magnetic-Klein-Tools-646-11-32M/dp/B000MKIUT6/ref=sr_1_32?keywords=Klein+Tools+32500MAG+11-in-1+Magnetic+Screwdriver+%2F+Nut+Driver&amp;qid=1694735235&amp;sr=8-32")</f>
        <v/>
      </c>
      <c r="F7407" t="inlineStr">
        <is>
          <t>B000MKIUT6</t>
        </is>
      </c>
      <c r="G7407">
        <f>_xludf.IMAGE("https://edmondsonsupply.com/cdn/shop/products/32500mag.jpg?v=1633030832")</f>
        <v/>
      </c>
      <c r="H7407">
        <f>_xludf.IMAGE("https://m.media-amazon.com/images/I/41SQ6Na6znL._AC_UL320_.jpg")</f>
        <v/>
      </c>
      <c r="K7407" t="inlineStr">
        <is>
          <t>20.97</t>
        </is>
      </c>
      <c r="L7407" t="n">
        <v>10.99</v>
      </c>
      <c r="M7407" s="1" t="inlineStr">
        <is>
          <t>-47.59%</t>
        </is>
      </c>
      <c r="N7407" s="1" t="n"/>
      <c r="O7407" t="n">
        <v>4.8</v>
      </c>
      <c r="P7407" t="n">
        <v>2491</v>
      </c>
      <c r="R7407" t="inlineStr">
        <is>
          <t>InStock</t>
        </is>
      </c>
      <c r="S7407" t="inlineStr">
        <is>
          <t>29.38</t>
        </is>
      </c>
      <c r="T7407" t="inlineStr">
        <is>
          <t>6082199814317</t>
        </is>
      </c>
    </row>
    <row r="7408" hidden="1" ht="15.75" customHeight="1">
      <c r="A7408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408" s="2">
        <f>HYPERLINK("https://edmondsonsupply.com/products/diablo-tools-dmapl2530-1-in-x-16-in-x-18-in-sds-plus-2-cutter", "https://edmondsonsupply.com/products/diablo-tools-dmapl2530-1-in-x-16-in-x-18-in-sds-plus-2-cutter")</f>
        <v/>
      </c>
      <c r="C7408" t="inlineStr">
        <is>
          <t>Diablo Tools DMAPL2530 1 in. x 16 in. x 18 in. SDS-Plus 2-Cutter</t>
        </is>
      </c>
      <c r="D7408" t="inlineStr">
        <is>
          <t>Diablo 1/2 in. x 1-11/16 in. x SDS-Plus 2-Cutter</t>
        </is>
      </c>
      <c r="E7408" s="2">
        <f>HYPERLINK("https://www.amazon.com/Diablo-1-11-16-SDS-Plus-2-Cutter/dp/B089KVV91N/ref=sr_1_21?keywords=Diablo+Tools+DMAPL2530+1+in.+x+16+in.+x+18+in.+SDS-Plus+2-Cutter&amp;qid=1694735204&amp;sr=8-21", "https://www.amazon.com/Diablo-1-11-16-SDS-Plus-2-Cutter/dp/B089KVV91N/ref=sr_1_21?keywords=Diablo+Tools+DMAPL2530+1+in.+x+16+in.+x+18+in.+SDS-Plus+2-Cutter&amp;qid=1694735204&amp;sr=8-21")</f>
        <v/>
      </c>
      <c r="F7408" t="inlineStr">
        <is>
          <t>B089KVV91N</t>
        </is>
      </c>
      <c r="G7408">
        <f>_xludf.IMAGE("https://edmondsonsupply.com/cdn/shop/products/DMAPL2530_Main-Image20200703.png?v=1627068300")</f>
        <v/>
      </c>
      <c r="H7408">
        <f>_xludf.IMAGE("https://m.media-amazon.com/images/I/71hFSVgA3gL._AC_UL320_.jpg")</f>
        <v/>
      </c>
      <c r="K7408" t="inlineStr">
        <is>
          <t>38.97</t>
        </is>
      </c>
      <c r="L7408" t="n">
        <v>20.4</v>
      </c>
      <c r="M7408" s="1" t="inlineStr">
        <is>
          <t>-47.65%</t>
        </is>
      </c>
      <c r="N7408" s="1" t="n"/>
      <c r="O7408" t="n">
        <v>3.7</v>
      </c>
      <c r="P7408" t="n">
        <v>7</v>
      </c>
      <c r="R7408" t="inlineStr">
        <is>
          <t>InStock</t>
        </is>
      </c>
      <c r="S7408" t="inlineStr">
        <is>
          <t>50.56</t>
        </is>
      </c>
      <c r="T7408" t="inlineStr">
        <is>
          <t>6839623778477</t>
        </is>
      </c>
    </row>
    <row r="7409" ht="87" customHeight="1">
      <c r="A7409" s="2">
        <f>HYPERLINK("https://edmondsonsupply.com/collections/electricians-tools/products/klein-tools-2000-48-eins-diagonal-cutting-pliers-insulated-angled-head-8-inch", "https://edmondsonsupply.com/collections/electricians-tools/products/klein-tools-2000-48-eins-diagonal-cutting-pliers-insulated-angled-head-8-inch")</f>
        <v/>
      </c>
      <c r="B7409" s="2">
        <f>HYPERLINK("https://edmondsonsupply.com/products/klein-tools-2000-48-eins-diagonal-cutting-pliers-insulated-angled-head-8-inch", "https://edmondsonsupply.com/products/klein-tools-2000-48-eins-diagonal-cutting-pliers-insulated-angled-head-8-inch")</f>
        <v/>
      </c>
      <c r="C7409" t="inlineStr">
        <is>
          <t>Klein Tools 2000-48-EINS Diagonal Cutting Pliers, Insulated, Angled Head, 8-Inch</t>
        </is>
      </c>
      <c r="D7409" t="inlineStr">
        <is>
          <t>Klein Tools D248-8-GLW Pliers, Hi-Viz Diagonal Cutting Pliers with Angled Head, Short Jaws, and Glow in the Dark Handles, 8-Inch</t>
        </is>
      </c>
      <c r="E7409" s="2">
        <f>HYPERLINK("https://www.amazon.com/Diagonal-Cutting-Klein-Tools-D248-8-GLW/dp/B00LMM39TY/ref=sr_1_11?keywords=Klein+Tools+2000-48-EINS+Diagonal+Cutting+Pliers%2C+Insulated%2C+Angled+Head%2C+8-Inch&amp;qid=1694735272&amp;sr=8-11", "https://www.amazon.com/Diagonal-Cutting-Klein-Tools-D248-8-GLW/dp/B00LMM39TY/ref=sr_1_11?keywords=Klein+Tools+2000-48-EINS+Diagonal+Cutting+Pliers%2C+Insulated%2C+Angled+Head%2C+8-Inch&amp;qid=1694735272&amp;sr=8-11")</f>
        <v/>
      </c>
      <c r="F7409" t="inlineStr">
        <is>
          <t>B00LMM39TY</t>
        </is>
      </c>
      <c r="G7409">
        <f>_xlfn.IMAGE("https://edmondsonsupply.com/cdn/shop/products/200048eins.jpg?v=1633030513")</f>
        <v/>
      </c>
      <c r="H7409">
        <f>_xlfn.IMAGE("https://m.media-amazon.com/images/I/41HSLnsbFiL._AC_UL320_.jpg")</f>
        <v/>
      </c>
      <c r="K7409" t="inlineStr">
        <is>
          <t>64.99</t>
        </is>
      </c>
      <c r="L7409" t="n">
        <v>33.99</v>
      </c>
      <c r="M7409" s="1" t="inlineStr">
        <is>
          <t>-47.70%</t>
        </is>
      </c>
      <c r="N7409" s="7" t="n"/>
      <c r="O7409" t="n">
        <v>4.9</v>
      </c>
      <c r="P7409" t="n">
        <v>631</v>
      </c>
      <c r="R7409" t="inlineStr">
        <is>
          <t>InStock</t>
        </is>
      </c>
      <c r="S7409" t="inlineStr">
        <is>
          <t>100.92</t>
        </is>
      </c>
      <c r="T7409" t="inlineStr">
        <is>
          <t>5387314954408</t>
        </is>
      </c>
    </row>
    <row r="7410" hidden="1" ht="15.75" customHeight="1">
      <c r="A7410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7410" s="2">
        <f>HYPERLINK("https://edmondsonsupply.com/products/diablo-tools-dmast1050-5-8-in-x-2-1-16-x-sds-plus-2-cutter", "https://edmondsonsupply.com/products/diablo-tools-dmast1050-5-8-in-x-2-1-16-x-sds-plus-2-cutter")</f>
        <v/>
      </c>
      <c r="C7410" t="inlineStr">
        <is>
          <t>Diablo Tools DMAST1050 5/8 in. x 2-1/16 SDS-Plus 2-Cutter</t>
        </is>
      </c>
      <c r="D7410" t="inlineStr">
        <is>
          <t>Diablo by Freud Diablo DMAPL4210 5/8 in. x 4 in. x 6 in. Rebar Demon SDS-Plus 4-Cutter Full Carbide Head Hammer Bit</t>
        </is>
      </c>
      <c r="E7410" s="2">
        <f>HYPERLINK("https://www.amazon.com/Diablo-Freud-DMAPL4210-SDS-Plus-4-Cutter/dp/B089LGF2KS/ref=sr_1_14?keywords=Diablo+Tools+DMAST1050+5%2F8+in.+x+2-1%2F16+SDS-Plus+2-Cutter&amp;qid=1694735304&amp;sr=8-14", "https://www.amazon.com/Diablo-Freud-DMAPL4210-SDS-Plus-4-Cutter/dp/B089LGF2KS/ref=sr_1_14?keywords=Diablo+Tools+DMAST1050+5%2F8+in.+x+2-1%2F16+SDS-Plus+2-Cutter&amp;qid=1694735304&amp;sr=8-14")</f>
        <v/>
      </c>
      <c r="F7410" t="inlineStr">
        <is>
          <t>B089LGF2KS</t>
        </is>
      </c>
      <c r="G7410">
        <f>_xludf.IMAGE("https://edmondsonsupply.com/cdn/shop/products/DMAST1050_1.jpg?v=1633030363")</f>
        <v/>
      </c>
      <c r="H7410">
        <f>_xludf.IMAGE("https://m.media-amazon.com/images/I/61rU9ZgmndL._AC_UL320_.jpg")</f>
        <v/>
      </c>
      <c r="K7410" t="inlineStr">
        <is>
          <t>21.97</t>
        </is>
      </c>
      <c r="L7410" t="n">
        <v>11.49</v>
      </c>
      <c r="M7410" s="1" t="inlineStr">
        <is>
          <t>-47.70%</t>
        </is>
      </c>
      <c r="N7410" s="1" t="n"/>
      <c r="O7410" t="n">
        <v>4.6</v>
      </c>
      <c r="P7410" t="n">
        <v>63</v>
      </c>
      <c r="R7410" t="inlineStr">
        <is>
          <t>InStock</t>
        </is>
      </c>
      <c r="S7410" t="inlineStr">
        <is>
          <t>29.12</t>
        </is>
      </c>
      <c r="T7410" t="inlineStr">
        <is>
          <t>5286938869928</t>
        </is>
      </c>
    </row>
    <row r="7411" ht="87" customHeight="1">
      <c r="A7411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411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411" t="inlineStr">
        <is>
          <t>Milwaukee 48-11-2411 M12 REDLITHIUM™ Compact Battery Two Pack</t>
        </is>
      </c>
      <c r="D7411" t="inlineStr">
        <is>
          <t>Milwaukee Electric Tool 48-11-2430 M12 Red Lithium 3.0 Compact Battery Pack, 3.375" x 1.875" x 1.75"</t>
        </is>
      </c>
      <c r="E7411" s="2">
        <f>HYPERLINK("https://www.amazon.com/Milwaukee-Electric-Tool-48-11-2430-Lithium/dp/B078W9W425/ref=sr_1_47?keywords=Milwaukee+48-11-2411+M12+REDLITHIUM%E2%84%A2+Compact+Battery+Two+Pack&amp;qid=1694735145&amp;sr=8-47", "https://www.amazon.com/Milwaukee-Electric-Tool-48-11-2430-Lithium/dp/B078W9W425/ref=sr_1_47?keywords=Milwaukee+48-11-2411+M12+REDLITHIUM%E2%84%A2+Compact+Battery+Two+Pack&amp;qid=1694735145&amp;sr=8-47")</f>
        <v/>
      </c>
      <c r="F7411" t="inlineStr">
        <is>
          <t>B078W9W425</t>
        </is>
      </c>
      <c r="G7411">
        <f>_xlfn.IMAGE("https://edmondsonsupply.com/cdn/shop/products/65014_48-11-2411-lg.jpg?v=1655484824")</f>
        <v/>
      </c>
      <c r="H7411">
        <f>_xlfn.IMAGE("https://m.media-amazon.com/images/I/61PrFqnmvKL._AC_UL320_.jpg")</f>
        <v/>
      </c>
      <c r="K7411" t="inlineStr">
        <is>
          <t>89.0</t>
        </is>
      </c>
      <c r="L7411" t="n">
        <v>46.49</v>
      </c>
      <c r="M7411" s="1" t="inlineStr">
        <is>
          <t>-47.76%</t>
        </is>
      </c>
      <c r="N7411" s="7" t="n"/>
      <c r="O7411" t="n">
        <v>4.6</v>
      </c>
      <c r="P7411" t="n">
        <v>171</v>
      </c>
      <c r="R7411" t="inlineStr">
        <is>
          <t>OutOfStock</t>
        </is>
      </c>
      <c r="S7411" t="inlineStr">
        <is>
          <t>150.0</t>
        </is>
      </c>
      <c r="T7411" t="inlineStr">
        <is>
          <t>7721456795864</t>
        </is>
      </c>
    </row>
    <row r="7412" hidden="1" ht="15.75" customHeight="1">
      <c r="A7412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412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412" t="inlineStr">
        <is>
          <t>Klein Tools JTH6E17 1/2-Inch Hex Journeyman T-Handle 6-Inch</t>
        </is>
      </c>
      <c r="D7412" t="inlineStr">
        <is>
          <t>Klein Tools JTH6T15 T15 TORX Hex Key, Journeyman T-Handle, 6-Inch</t>
        </is>
      </c>
      <c r="E7412" s="2">
        <f>HYPERLINK("https://www.amazon.com/Journeyman-T-Handle-Klein-Tools-JTH6T15/dp/B005G3B43I/ref=sr_1_9?keywords=Klein+Tools+JTH6E17+1%2F2-Inch+Hex+Journeyman+T-Handle+6-Inch&amp;qid=1694735359&amp;sr=8-9", "https://www.amazon.com/Journeyman-T-Handle-Klein-Tools-JTH6T15/dp/B005G3B43I/ref=sr_1_9?keywords=Klein+Tools+JTH6E17+1%2F2-Inch+Hex+Journeyman+T-Handle+6-Inch&amp;qid=1694735359&amp;sr=8-9")</f>
        <v/>
      </c>
      <c r="F7412" t="inlineStr">
        <is>
          <t>B005G3B43I</t>
        </is>
      </c>
      <c r="G7412">
        <f>_xludf.IMAGE("https://edmondsonsupply.com/cdn/shop/products/jth6e15_80623668-f320-404f-929d-7d7e04a8b5aa.jpg?v=1587146378")</f>
        <v/>
      </c>
      <c r="H7412">
        <f>_xludf.IMAGE("https://m.media-amazon.com/images/I/51Xj0Vsb-EL._AC_UL320_.jpg")</f>
        <v/>
      </c>
      <c r="K7412" t="inlineStr">
        <is>
          <t>19.99</t>
        </is>
      </c>
      <c r="L7412" t="n">
        <v>10.44</v>
      </c>
      <c r="M7412" s="1" t="inlineStr">
        <is>
          <t>-47.77%</t>
        </is>
      </c>
      <c r="N7412" s="1" t="n"/>
      <c r="O7412" t="n">
        <v>4.6</v>
      </c>
      <c r="P7412" t="n">
        <v>231</v>
      </c>
      <c r="R7412" t="inlineStr">
        <is>
          <t>InStock</t>
        </is>
      </c>
      <c r="S7412" t="inlineStr">
        <is>
          <t>30.28</t>
        </is>
      </c>
      <c r="T7412" t="inlineStr">
        <is>
          <t>4431817605220</t>
        </is>
      </c>
    </row>
    <row r="7413" ht="87" customHeight="1">
      <c r="A7413" s="2">
        <f>HYPERLINK("https://edmondsonsupply.com/collections/electricians-tools/products/klein-tools-56056-multi-groove-fiberglass-fish-tape-200-foot", "https://edmondsonsupply.com/collections/electricians-tools/products/klein-tools-56056-multi-groove-fiberglass-fish-tape-200-foot")</f>
        <v/>
      </c>
      <c r="B7413" s="2">
        <f>HYPERLINK("https://edmondsonsupply.com/products/klein-tools-56056-multi-groove-fiberglass-fish-tape-200-foot", "https://edmondsonsupply.com/products/klein-tools-56056-multi-groove-fiberglass-fish-tape-200-foot")</f>
        <v/>
      </c>
      <c r="C7413" t="inlineStr">
        <is>
          <t>Klein Tools 56056 Multi-Groove Fiberglass Fish Tape 200-Foot</t>
        </is>
      </c>
      <c r="D7413" t="inlineStr">
        <is>
          <t>Klein Tools 56383 Non-Conductive 100-Foot Electrical Fish Tape, Multi-Groove Fiberglass Wire Puller with Nylon Tip, Optimized Housing and Handle</t>
        </is>
      </c>
      <c r="E7413" s="2">
        <f>HYPERLINK("https://www.amazon.com/Klein-Tools-56383-Multi-Groove-Fiberglass/dp/B08222VGN8/ref=sr_1_7?keywords=Klein+Tools+56056+Multi-Groove+Fiberglass+Fish+Tape+200-Foot&amp;qid=1694735387&amp;sr=8-7", "https://www.amazon.com/Klein-Tools-56383-Multi-Groove-Fiberglass/dp/B08222VGN8/ref=sr_1_7?keywords=Klein+Tools+56056+Multi-Groove+Fiberglass+Fish+Tape+200-Foot&amp;qid=1694735387&amp;sr=8-7")</f>
        <v/>
      </c>
      <c r="F7413" t="inlineStr">
        <is>
          <t>B08222VGN8</t>
        </is>
      </c>
      <c r="G7413">
        <f>_xlfn.IMAGE("https://edmondsonsupply.com/cdn/shop/products/56056.jpg?v=1587149776")</f>
        <v/>
      </c>
      <c r="H7413">
        <f>_xlfn.IMAGE("https://m.media-amazon.com/images/I/51Fs1Kjrk8L._AC_UL320_.jpg")</f>
        <v/>
      </c>
      <c r="K7413" t="inlineStr">
        <is>
          <t>204.99</t>
        </is>
      </c>
      <c r="L7413" t="n">
        <v>106.99</v>
      </c>
      <c r="M7413" s="1" t="inlineStr">
        <is>
          <t>-47.81%</t>
        </is>
      </c>
      <c r="N7413" s="7" t="n"/>
      <c r="O7413" t="n">
        <v>4.7</v>
      </c>
      <c r="P7413" t="n">
        <v>135</v>
      </c>
      <c r="R7413" t="inlineStr">
        <is>
          <t>InStock</t>
        </is>
      </c>
      <c r="S7413" t="inlineStr">
        <is>
          <t>310.6</t>
        </is>
      </c>
      <c r="T7413" t="inlineStr">
        <is>
          <t>4411121533028</t>
        </is>
      </c>
    </row>
    <row r="7414" ht="87" customHeight="1">
      <c r="A7414" s="2">
        <f>HYPERLINK("https://edmondsonsupply.com/collections/electricians-tools/products/diablo-tools-dmamx1090-5-8", "https://edmondsonsupply.com/collections/electricians-tools/products/diablo-tools-dmamx1090-5-8")</f>
        <v/>
      </c>
      <c r="B7414" s="2">
        <f>HYPERLINK("https://edmondsonsupply.com/products/diablo-tools-dmamx1090-5-8", "https://edmondsonsupply.com/products/diablo-tools-dmamx1090-5-8")</f>
        <v/>
      </c>
      <c r="C7414" t="inlineStr">
        <is>
          <t>Diablo Tools DMAMX1090 5/8 in. x 8 in. x 13 in. Rebar Demon SDS‑Max 4‑Cutter Full Carbide Head Hammer Bit</t>
        </is>
      </c>
      <c r="D7414" t="inlineStr">
        <is>
          <t>Diablo by Freud DMAPL4230 5/8 in. x 10 in. x 12 in. Rebar Demon SDS-Plus 4-Cutter Full Carbide Head Hammer Bit</t>
        </is>
      </c>
      <c r="E7414" s="2">
        <f>HYPERLINK("https://www.amazon.com/Diablo-Freud-DMAPL4230-SDS-Plus-4-Cutter/dp/B089LCN234/ref=sr_1_14?keywords=Diablo+Tools+DMAMX1090+5%2F8+in.+x+8+in.+x+13+in.+Rebar+Demon+SDS%E2%80%91Max+4%E2%80%91Cutter+Full+Carbide+Head+Hammer+Bit&amp;qid=1694735267&amp;sr=8-14", "https://www.amazon.com/Diablo-Freud-DMAPL4230-SDS-Plus-4-Cutter/dp/B089LCN234/ref=sr_1_14?keywords=Diablo+Tools+DMAMX1090+5%2F8+in.+x+8+in.+x+13+in.+Rebar+Demon+SDS%E2%80%91Max+4%E2%80%91Cutter+Full+Carbide+Head+Hammer+Bit&amp;qid=1694735267&amp;sr=8-14")</f>
        <v/>
      </c>
      <c r="F7414" t="inlineStr">
        <is>
          <t>B089LCN234</t>
        </is>
      </c>
      <c r="G7414">
        <f>_xlfn.IMAGE("https://edmondsonsupply.com/cdn/shop/products/DMAMX1090_Main-Image20200701.png?v=1609799247")</f>
        <v/>
      </c>
      <c r="H7414">
        <f>_xlfn.IMAGE("https://m.media-amazon.com/images/I/61r649wmyhL._AC_UL320_.jpg")</f>
        <v/>
      </c>
      <c r="K7414" t="inlineStr">
        <is>
          <t>41.97</t>
        </is>
      </c>
      <c r="L7414" t="n">
        <v>21.86</v>
      </c>
      <c r="M7414" s="1" t="inlineStr">
        <is>
          <t>-47.92%</t>
        </is>
      </c>
      <c r="N7414" s="7" t="n"/>
      <c r="O7414" t="n">
        <v>4.7</v>
      </c>
      <c r="P7414" t="n">
        <v>47</v>
      </c>
      <c r="R7414" t="inlineStr">
        <is>
          <t>InStock</t>
        </is>
      </c>
      <c r="S7414" t="inlineStr">
        <is>
          <t>48.13</t>
        </is>
      </c>
      <c r="T7414" t="inlineStr">
        <is>
          <t>5463856447656</t>
        </is>
      </c>
    </row>
    <row r="7415" ht="87" customHeight="1">
      <c r="A7415" s="2">
        <f>HYPERLINK("https://edmondsonsupply.com/collections/electricians-tools/products/klein-tools-66040-2-in-1-impact-socket-set-12-point-5-piece", "https://edmondsonsupply.com/collections/electricians-tools/products/klein-tools-66040-2-in-1-impact-socket-set-12-point-5-piece")</f>
        <v/>
      </c>
      <c r="B7415" s="2">
        <f>HYPERLINK("https://edmondsonsupply.com/products/klein-tools-66040-2-in-1-impact-socket-set-12-point-5-piece", "https://edmondsonsupply.com/products/klein-tools-66040-2-in-1-impact-socket-set-12-point-5-piece")</f>
        <v/>
      </c>
      <c r="C7415" t="inlineStr">
        <is>
          <t>Klein Tools 66040 2-in-1 Impact Socket Set, 12-Point, 5-Piece</t>
        </is>
      </c>
      <c r="D7415" t="inlineStr">
        <is>
          <t>Klein Tools 65508 3/8-Inch Drive Socket Wrench Set with 6-Point, 12-Point, and 6-Point Deep Sockets in SAE Sizes, Case Included, 20-Piece</t>
        </is>
      </c>
      <c r="E7415" s="2">
        <f>HYPERLINK("https://www.amazon.com/Klein-Tools-8-Inch-Socket-20-Piece/dp/B000ALJN7U/ref=sr_1_15?keywords=Klein+Tools+66040+2-in-1+Impact+Socket+Set%2C+12-Point%2C+5-Piece&amp;qid=1694734983&amp;sr=8-15", "https://www.amazon.com/Klein-Tools-8-Inch-Socket-20-Piece/dp/B000ALJN7U/ref=sr_1_15?keywords=Klein+Tools+66040+2-in-1+Impact+Socket+Set%2C+12-Point%2C+5-Piece&amp;qid=1694734983&amp;sr=8-15")</f>
        <v/>
      </c>
      <c r="F7415" t="inlineStr">
        <is>
          <t>B000ALJN7U</t>
        </is>
      </c>
      <c r="G7415">
        <f>_xlfn.IMAGE("https://edmondsonsupply.com/cdn/shop/products/66040.jpg?v=1659120255")</f>
        <v/>
      </c>
      <c r="H7415">
        <f>_xlfn.IMAGE("https://m.media-amazon.com/images/I/610uFHR1QOL._AC_UL320_.jpg")</f>
        <v/>
      </c>
      <c r="K7415" t="inlineStr">
        <is>
          <t>124.79</t>
        </is>
      </c>
      <c r="L7415" t="n">
        <v>64.98999999999999</v>
      </c>
      <c r="M7415" s="1" t="inlineStr">
        <is>
          <t>-47.92%</t>
        </is>
      </c>
      <c r="N7415" s="7" t="n"/>
      <c r="O7415" t="n">
        <v>4.5</v>
      </c>
      <c r="P7415" t="n">
        <v>167</v>
      </c>
      <c r="R7415" t="inlineStr">
        <is>
          <t>InStock</t>
        </is>
      </c>
      <c r="S7415" t="inlineStr">
        <is>
          <t>217.02</t>
        </is>
      </c>
      <c r="T7415" t="inlineStr">
        <is>
          <t>7766538846424</t>
        </is>
      </c>
    </row>
    <row r="7416" hidden="1" ht="15.75" customHeight="1">
      <c r="A7416" s="2">
        <f>HYPERLINK("https://edmondsonsupply.com/collections/electricians-tools/products/milwaukee-48-03-3012-sds-max-to-spline-adapter", "https://edmondsonsupply.com/collections/electricians-tools/products/milwaukee-48-03-3012-sds-max-to-spline-adapter")</f>
        <v/>
      </c>
      <c r="B7416" s="2">
        <f>HYPERLINK("https://edmondsonsupply.com/products/milwaukee-48-03-3012-sds-max-to-spline-adapter", "https://edmondsonsupply.com/products/milwaukee-48-03-3012-sds-max-to-spline-adapter")</f>
        <v/>
      </c>
      <c r="C7416" t="inlineStr">
        <is>
          <t>Milwaukee 48-03-3012 SDS-MAX to Spline Bit Adapter</t>
        </is>
      </c>
      <c r="D7416" t="inlineStr">
        <is>
          <t>Milwaukee 48-03-3564 12-Inch Spline Thick Core Bit Adapter for 1 1/2-Inch to 6-Inch Bits</t>
        </is>
      </c>
      <c r="E7416" s="2">
        <f>HYPERLINK("https://www.amazon.com/Milwaukee-48-03-3564-12-Inch-Spline-Adapter/dp/B0009H5R6Q/ref=sr_1_5?keywords=Milwaukee+48-03-3012+SDS-MAX+to+Spline+Bit+Adapter&amp;qid=1694735056&amp;sr=8-5", "https://www.amazon.com/Milwaukee-48-03-3564-12-Inch-Spline-Adapter/dp/B0009H5R6Q/ref=sr_1_5?keywords=Milwaukee+48-03-3012+SDS-MAX+to+Spline+Bit+Adapter&amp;qid=1694735056&amp;sr=8-5")</f>
        <v/>
      </c>
      <c r="F7416" t="inlineStr">
        <is>
          <t>B0009H5R6Q</t>
        </is>
      </c>
      <c r="G7416">
        <f>_xludf.IMAGE("https://edmondsonsupply.com/cdn/shop/products/48-03-3012.jpg?v=1674074396")</f>
        <v/>
      </c>
      <c r="H7416">
        <f>_xludf.IMAGE("https://m.media-amazon.com/images/I/2157CNN6DQL._AC_UL320_.jpg")</f>
        <v/>
      </c>
      <c r="K7416" t="inlineStr">
        <is>
          <t>141.88</t>
        </is>
      </c>
      <c r="L7416" t="n">
        <v>73.88</v>
      </c>
      <c r="M7416" s="1" t="inlineStr">
        <is>
          <t>-47.93%</t>
        </is>
      </c>
      <c r="N7416" s="1" t="n"/>
      <c r="O7416" t="n">
        <v>1</v>
      </c>
      <c r="P7416" t="n">
        <v>1</v>
      </c>
      <c r="R7416" t="inlineStr">
        <is>
          <t>InStock</t>
        </is>
      </c>
      <c r="S7416" t="inlineStr">
        <is>
          <t>256.6</t>
        </is>
      </c>
      <c r="T7416" t="inlineStr">
        <is>
          <t>7926127886552</t>
        </is>
      </c>
    </row>
    <row r="7417" ht="87" customHeight="1">
      <c r="A7417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417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417" t="inlineStr">
        <is>
          <t>Diablo Tools DOU125BF3 1-1/4 in. Universal Fit Bi-Metal Oscillating Blade for Metal (3 pack)</t>
        </is>
      </c>
      <c r="D7417" t="inlineStr">
        <is>
          <t>Diablo 3-1/2" Universal Fit Bi-Metal Oscillating Blade for General Purpose Cuts</t>
        </is>
      </c>
      <c r="E7417" s="2">
        <f>HYPERLINK("https://www.amazon.com/Diablo-DOU350RBGP-Universal-Bi-Metal-Oscillating/dp/B089LLG8ZQ/ref=sr_1_11?keywords=Diablo+Tools+DOU125BF3+1-1%2F4+in.+Universal+Fit+Bi-Metal+Oscillating+Blade+for+Metal+%283+pack%29&amp;qid=1694734993&amp;sr=8-11", "https://www.amazon.com/Diablo-DOU350RBGP-Universal-Bi-Metal-Oscillating/dp/B089LLG8ZQ/ref=sr_1_11?keywords=Diablo+Tools+DOU125BF3+1-1%2F4+in.+Universal+Fit+Bi-Metal+Oscillating+Blade+for+Metal+%283+pack%29&amp;qid=1694734993&amp;sr=8-11")</f>
        <v/>
      </c>
      <c r="F7417" t="inlineStr">
        <is>
          <t>B089LLG8ZQ</t>
        </is>
      </c>
      <c r="G7417">
        <f>_xlfn.IMAGE("https://edmondsonsupply.com/cdn/shop/files/k1d1qiwmm4npznsdbwtg_4dc7bdf3-43a4-4863-8a1d-f71b60bc7c6d.webp?v=1685468179")</f>
        <v/>
      </c>
      <c r="H7417">
        <f>_xlfn.IMAGE("https://m.media-amazon.com/images/I/71xBW7MA1oL._AC_UL320_.jpg")</f>
        <v/>
      </c>
      <c r="K7417" t="inlineStr">
        <is>
          <t>34.97</t>
        </is>
      </c>
      <c r="L7417" t="n">
        <v>18.2</v>
      </c>
      <c r="M7417" s="1" t="inlineStr">
        <is>
          <t>-47.96%</t>
        </is>
      </c>
      <c r="N7417" s="7" t="n"/>
      <c r="O7417" t="n">
        <v>4.4</v>
      </c>
      <c r="P7417" t="n">
        <v>8</v>
      </c>
      <c r="R7417" t="inlineStr">
        <is>
          <t>InStock</t>
        </is>
      </c>
      <c r="S7417" t="inlineStr">
        <is>
          <t>43.53</t>
        </is>
      </c>
      <c r="T7417" t="inlineStr">
        <is>
          <t>7997880729816</t>
        </is>
      </c>
    </row>
    <row r="7418" hidden="1" ht="15.75" customHeight="1">
      <c r="A7418" s="2">
        <f>HYPERLINK("https://edmondsonsupply.com/collections/electricians-tools/products/klein-tools-600-6-5-16-inch-keystone-screwdriver-6-inch-sq-shank", "https://edmondsonsupply.com/collections/electricians-tools/products/klein-tools-600-6-5-16-inch-keystone-screwdriver-6-inch-sq-shank")</f>
        <v/>
      </c>
      <c r="B7418" s="2">
        <f>HYPERLINK("https://edmondsonsupply.com/products/klein-tools-600-6-5-16-inch-keystone-screwdriver-6-inch-sq-shank", "https://edmondsonsupply.com/products/klein-tools-600-6-5-16-inch-keystone-screwdriver-6-inch-sq-shank")</f>
        <v/>
      </c>
      <c r="C7418" t="inlineStr">
        <is>
          <t>Klein Tools 600-6 5/16-Inch Keystone Screwdriver 6-Inch SQ Shank</t>
        </is>
      </c>
      <c r="D7418" t="inlineStr">
        <is>
          <t>Klein Tools 600-1 5/16-Inch Flat Head Screwdriver with Cabinet Tip, 1-1/2-Inch Heavy Duty Round Shank and Cushion Grip Handle</t>
        </is>
      </c>
      <c r="E7418" s="2">
        <f>HYPERLINK("https://www.amazon.com/Klein-Tools-600-1-16-Inch-Screwdriver/dp/B0002G2OOC/ref=sr_1_11?keywords=Klein+Tools+600-6+5%2F16-Inch+Keystone+Screwdriver+6-Inch+SQ+Shank&amp;qid=1694735292&amp;sr=8-11", "https://www.amazon.com/Klein-Tools-600-1-16-Inch-Screwdriver/dp/B0002G2OOC/ref=sr_1_11?keywords=Klein+Tools+600-6+5%2F16-Inch+Keystone+Screwdriver+6-Inch+SQ+Shank&amp;qid=1694735292&amp;sr=8-11")</f>
        <v/>
      </c>
      <c r="F7418" t="inlineStr">
        <is>
          <t>B0002G2OOC</t>
        </is>
      </c>
      <c r="G7418">
        <f>_xludf.IMAGE("https://edmondsonsupply.com/cdn/shop/products/600-6.jpg?v=1633030381")</f>
        <v/>
      </c>
      <c r="H7418">
        <f>_xludf.IMAGE("https://m.media-amazon.com/images/I/414W04RiVwL._AC_UL320_.jpg")</f>
        <v/>
      </c>
      <c r="K7418" t="inlineStr">
        <is>
          <t>13.97</t>
        </is>
      </c>
      <c r="L7418" t="n">
        <v>7.26</v>
      </c>
      <c r="M7418" s="1" t="inlineStr">
        <is>
          <t>-48.03%</t>
        </is>
      </c>
      <c r="N7418" s="1" t="n"/>
      <c r="O7418" t="n">
        <v>4.7</v>
      </c>
      <c r="P7418" t="n">
        <v>95</v>
      </c>
      <c r="R7418" t="inlineStr">
        <is>
          <t>InStock</t>
        </is>
      </c>
      <c r="S7418" t="inlineStr">
        <is>
          <t>18.5</t>
        </is>
      </c>
      <c r="T7418" t="inlineStr">
        <is>
          <t>5296722542760</t>
        </is>
      </c>
    </row>
    <row r="7419" ht="87" customHeight="1">
      <c r="A7419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419" s="2">
        <f>HYPERLINK("https://edmondsonsupply.com/products/veto-pro-pac-tech-pac-backpack-tool-bag-1", "https://edmondsonsupply.com/products/veto-pro-pac-tech-pac-backpack-tool-bag-1")</f>
        <v/>
      </c>
      <c r="C7419" t="inlineStr">
        <is>
          <t>Veto Pro Pac TECH PAC LT Laptop Backpack Tool Bag</t>
        </is>
      </c>
      <c r="D7419" t="inlineStr">
        <is>
          <t>SwissGear Tool Bag Backpack, Fits Up to 17-Inch Laptop, Work Pack PRO, Black</t>
        </is>
      </c>
      <c r="E7419" s="2">
        <f>HYPERLINK("https://www.amazon.com/SwissGear-Backpack-Storage-15-Inch-Notebook/dp/B07N141974/ref=sr_1_29?keywords=Veto+Pro+Pac+TECH+PAC+LT+Laptop+Backpack+Tool+Bag&amp;qid=1694735205&amp;sr=8-29", "https://www.amazon.com/SwissGear-Backpack-Storage-15-Inch-Notebook/dp/B07N141974/ref=sr_1_29?keywords=Veto+Pro+Pac+TECH+PAC+LT+Laptop+Backpack+Tool+Bag&amp;qid=1694735205&amp;sr=8-29")</f>
        <v/>
      </c>
      <c r="F7419" t="inlineStr">
        <is>
          <t>B07N141974</t>
        </is>
      </c>
      <c r="G7419">
        <f>_xlfn.IMAGE("https://edmondsonsupply.com/cdn/shop/products/LT_1.jpg?v=1587146035")</f>
        <v/>
      </c>
      <c r="H7419">
        <f>_xlfn.IMAGE("https://m.media-amazon.com/images/I/91no85iUq6L._AC_UL320_.jpg")</f>
        <v/>
      </c>
      <c r="K7419" t="inlineStr">
        <is>
          <t>289.99</t>
        </is>
      </c>
      <c r="L7419" t="n">
        <v>149.99</v>
      </c>
      <c r="M7419" s="1" t="inlineStr">
        <is>
          <t>-48.28%</t>
        </is>
      </c>
      <c r="N7419" s="7" t="n"/>
      <c r="O7419" t="n">
        <v>4.5</v>
      </c>
      <c r="P7419" t="n">
        <v>892</v>
      </c>
      <c r="R7419" t="inlineStr">
        <is>
          <t>InStock</t>
        </is>
      </c>
      <c r="S7419" t="inlineStr">
        <is>
          <t>undefined</t>
        </is>
      </c>
      <c r="T7419" t="inlineStr">
        <is>
          <t>3558529695844</t>
        </is>
      </c>
    </row>
    <row r="7420" ht="87" customHeight="1">
      <c r="A7420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420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420" t="inlineStr">
        <is>
          <t>Diablo Tools DMAMX1360 1-1/2 in. x 16 in. x 21 in. Rebar Demon™ SDS-Max 4-Cutter Carbide-Tipped Hammer Drill Bit</t>
        </is>
      </c>
      <c r="D7420" t="inlineStr">
        <is>
          <t>Diablo DMAPL4310 1 in. x 16 in. x 18 in. Rebar Demon™ SDS-Plus 4-Cutter Full Carbide Head Hammer Bit</t>
        </is>
      </c>
      <c r="E7420" s="2">
        <f>HYPERLINK("https://www.amazon.com/Diablo-DMAPL4310-SDS-Plus-4-Cutter-Carbide/dp/B089KX2VKR/ref=sr_1_23?keywords=Diablo+Tools+DMAMX1360+1-1%2F2+in.+x+16+in.+x+21+in.+Rebar+Demon%E2%84%A2+SDS-Max+4-Cutter+Carbide-Tipped+Hammer+Drill+Bit&amp;qid=1694735042&amp;sr=8-23", "https://www.amazon.com/Diablo-DMAPL4310-SDS-Plus-4-Cutter-Carbide/dp/B089KX2VKR/ref=sr_1_23?keywords=Diablo+Tools+DMAMX1360+1-1%2F2+in.+x+16+in.+x+21+in.+Rebar+Demon%E2%84%A2+SDS-Max+4-Cutter+Carbide-Tipped+Hammer+Drill+Bit&amp;qid=1694735042&amp;sr=8-23")</f>
        <v/>
      </c>
      <c r="F7420" t="inlineStr">
        <is>
          <t>B089KX2VKR</t>
        </is>
      </c>
      <c r="G7420">
        <f>_xlfn.IMAGE("https://edmondsonsupply.com/cdn/shop/products/z2umcsdaj3y4uvsfnxoh.webp?v=1677257156")</f>
        <v/>
      </c>
      <c r="H7420">
        <f>_xlfn.IMAGE("https://m.media-amazon.com/images/I/61iwxfqG2VL._AC_UL320_.jpg")</f>
        <v/>
      </c>
      <c r="K7420" t="inlineStr">
        <is>
          <t>93.87</t>
        </is>
      </c>
      <c r="L7420" t="n">
        <v>48.49</v>
      </c>
      <c r="M7420" s="1" t="inlineStr">
        <is>
          <t>-48.34%</t>
        </is>
      </c>
      <c r="N7420" s="7" t="n"/>
      <c r="O7420" t="n">
        <v>4.5</v>
      </c>
      <c r="P7420" t="n">
        <v>32</v>
      </c>
      <c r="R7420" t="inlineStr">
        <is>
          <t>InStock</t>
        </is>
      </c>
      <c r="S7420" t="inlineStr">
        <is>
          <t>149.01</t>
        </is>
      </c>
      <c r="T7420" t="inlineStr">
        <is>
          <t>7950786855128</t>
        </is>
      </c>
    </row>
    <row r="7421" ht="87" customHeight="1">
      <c r="A7421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7421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7421" t="inlineStr">
        <is>
          <t>Channellock 440X 12-Inch SPEEDGRIP™ Straight Jaw Tongue &amp; Groove Pliers</t>
        </is>
      </c>
      <c r="D7421" t="inlineStr">
        <is>
          <t>CHANNELLOCK 428 Straight Jaw Tongue &amp; Groove Pliers, 8-inch | 1-1/2-inch Jaw Capacity | 4 Adjustments | SAFE-T-STOP feature prevents finger pinch | Forged High-Carbon U.S. Steel | Made in USA, Polished Steel</t>
        </is>
      </c>
      <c r="E7421" s="2">
        <f>HYPERLINK("https://www.amazon.com/CHANNELLOCK-428-Adjustments-SAFE-T-STOP-High-Carbon/dp/B00004SBCT/ref=sr_1_14?keywords=Channellock+440X+12-Inch+SPEEDGRIP%E2%84%A2+Straight+Jaw+Tongue+%26+Groove+Pliers&amp;qid=1694735165&amp;sr=8-14", "https://www.amazon.com/CHANNELLOCK-428-Adjustments-SAFE-T-STOP-High-Carbon/dp/B00004SBCT/ref=sr_1_14?keywords=Channellock+440X+12-Inch+SPEEDGRIP%E2%84%A2+Straight+Jaw+Tongue+%26+Groove+Pliers&amp;qid=1694735165&amp;sr=8-14")</f>
        <v/>
      </c>
      <c r="F7421" t="inlineStr">
        <is>
          <t>B00004SBCT</t>
        </is>
      </c>
      <c r="G7421">
        <f>_xlfn.IMAGE("https://edmondsonsupply.com/cdn/shop/products/440X.jpg?v=1647104734")</f>
        <v/>
      </c>
      <c r="H7421">
        <f>_xlfn.IMAGE("https://m.media-amazon.com/images/I/71PJMchXHJL._AC_UL320_.jpg")</f>
        <v/>
      </c>
      <c r="K7421" t="inlineStr">
        <is>
          <t>32.95</t>
        </is>
      </c>
      <c r="L7421" t="n">
        <v>16.95</v>
      </c>
      <c r="M7421" s="1" t="inlineStr">
        <is>
          <t>-48.56%</t>
        </is>
      </c>
      <c r="N7421" s="7" t="n"/>
      <c r="O7421" t="n">
        <v>4.7</v>
      </c>
      <c r="P7421" t="n">
        <v>238</v>
      </c>
      <c r="R7421" t="inlineStr">
        <is>
          <t>InStock</t>
        </is>
      </c>
      <c r="S7421" t="inlineStr">
        <is>
          <t>45.99</t>
        </is>
      </c>
      <c r="T7421" t="inlineStr">
        <is>
          <t>7633805279448</t>
        </is>
      </c>
    </row>
    <row r="7422" hidden="1" ht="15.75" customHeight="1">
      <c r="A7422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7422" s="2">
        <f>HYPERLINK("https://edmondsonsupply.com/products/amprobe-st-102b-receptacle-tester-with-gfci", "https://edmondsonsupply.com/products/amprobe-st-102b-receptacle-tester-with-gfci")</f>
        <v/>
      </c>
      <c r="C7422" t="inlineStr">
        <is>
          <t>Amprobe ST-102B Receptacle Tester with GFCI</t>
        </is>
      </c>
      <c r="D7422" t="inlineStr">
        <is>
          <t>Outlet Tester, NOAYFA GFCI Receptacle Tester 90-125V with 7 Visual LED Display Tests Standard US Electrical Socket Tester for Plug Security Test, Outlet Ground Test</t>
        </is>
      </c>
      <c r="E7422" s="2">
        <f>HYPERLINK("https://www.amazon.com/Outlet-Receptacle-Standard-Electrical-Security/dp/B0BKZWDNKM/ref=sr_1_11?keywords=Amprobe+ST-102B+Receptacle+Tester+with+GFCI&amp;qid=1694735128&amp;sr=8-11", "https://www.amazon.com/Outlet-Receptacle-Standard-Electrical-Security/dp/B0BKZWDNKM/ref=sr_1_11?keywords=Amprobe+ST-102B+Receptacle+Tester+with+GFCI&amp;qid=1694735128&amp;sr=8-11")</f>
        <v/>
      </c>
      <c r="F7422" t="inlineStr">
        <is>
          <t>B0BKZWDNKM</t>
        </is>
      </c>
      <c r="G7422">
        <f>_xludf.IMAGE("https://edmondsonsupply.com/cdn/shop/products/PD_ST102B1.jpg?v=1662641155")</f>
        <v/>
      </c>
      <c r="H7422">
        <f>_xludf.IMAGE("https://m.media-amazon.com/images/I/61tZ3wjgKDL._AC_UL320_.jpg")</f>
        <v/>
      </c>
      <c r="K7422" t="inlineStr">
        <is>
          <t>17.49</t>
        </is>
      </c>
      <c r="L7422" t="n">
        <v>8.99</v>
      </c>
      <c r="M7422" s="1" t="inlineStr">
        <is>
          <t>-48.60%</t>
        </is>
      </c>
      <c r="N7422" s="1" t="n"/>
      <c r="O7422" t="n">
        <v>4.5</v>
      </c>
      <c r="P7422" t="n">
        <v>35</v>
      </c>
      <c r="R7422" t="inlineStr">
        <is>
          <t>InStock</t>
        </is>
      </c>
      <c r="S7422" t="inlineStr">
        <is>
          <t>19.99</t>
        </is>
      </c>
      <c r="T7422" t="inlineStr">
        <is>
          <t>7808944570584</t>
        </is>
      </c>
    </row>
    <row r="7423" hidden="1" ht="15.75" customHeight="1">
      <c r="A7423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7423" s="2">
        <f>HYPERLINK("https://edmondsonsupply.com/products/amprobe-st-102b-receptacle-tester-with-gfci", "https://edmondsonsupply.com/products/amprobe-st-102b-receptacle-tester-with-gfci")</f>
        <v/>
      </c>
      <c r="C7423" t="inlineStr">
        <is>
          <t>Amprobe ST-102B Receptacle Tester with GFCI</t>
        </is>
      </c>
      <c r="D7423" t="inlineStr">
        <is>
          <t>Bastex Socket Tester with GFCI check. Receptacle Tester for Standard AC Outlets. Includes 7 Visual Indications and Wiring Legend. Automatic Electric Circuit Polarity Voltage Detector Breaker Finder</t>
        </is>
      </c>
      <c r="E7423" s="2">
        <f>HYPERLINK("https://www.amazon.com/Bastex-Tester-Receptacle-Indications-Electric/dp/B071FVB35Q/ref=sr_1_25?keywords=Amprobe+ST-102B+Receptacle+Tester+with+GFCI&amp;qid=1694735128&amp;sr=8-25", "https://www.amazon.com/Bastex-Tester-Receptacle-Indications-Electric/dp/B071FVB35Q/ref=sr_1_25?keywords=Amprobe+ST-102B+Receptacle+Tester+with+GFCI&amp;qid=1694735128&amp;sr=8-25")</f>
        <v/>
      </c>
      <c r="F7423" t="inlineStr">
        <is>
          <t>B071FVB35Q</t>
        </is>
      </c>
      <c r="G7423">
        <f>_xludf.IMAGE("https://edmondsonsupply.com/cdn/shop/products/PD_ST102B1.jpg?v=1662641155")</f>
        <v/>
      </c>
      <c r="H7423">
        <f>_xludf.IMAGE("https://m.media-amazon.com/images/I/81GohxNa05L._AC_UL320_.jpg")</f>
        <v/>
      </c>
      <c r="K7423" t="inlineStr">
        <is>
          <t>17.49</t>
        </is>
      </c>
      <c r="L7423" t="n">
        <v>8.99</v>
      </c>
      <c r="M7423" s="1" t="inlineStr">
        <is>
          <t>-48.60%</t>
        </is>
      </c>
      <c r="N7423" s="1" t="n"/>
      <c r="O7423" t="n">
        <v>4.5</v>
      </c>
      <c r="P7423" t="n">
        <v>787</v>
      </c>
      <c r="R7423" t="inlineStr">
        <is>
          <t>InStock</t>
        </is>
      </c>
      <c r="S7423" t="inlineStr">
        <is>
          <t>19.99</t>
        </is>
      </c>
      <c r="T7423" t="inlineStr">
        <is>
          <t>7808944570584</t>
        </is>
      </c>
    </row>
    <row r="7424" ht="87" customHeight="1">
      <c r="A7424" s="2">
        <f>HYPERLINK("https://edmondsonsupply.com/collections/electricians-tools/products/fluke-tl220-suregrip%E2%84%A2-industrial-test-lead-set", "https://edmondsonsupply.com/collections/electricians-tools/products/fluke-tl220-suregrip%E2%84%A2-industrial-test-lead-set")</f>
        <v/>
      </c>
      <c r="B7424" s="2">
        <f>HYPERLINK("https://edmondsonsupply.com/products/fluke-tl220-suregrip%e2%84%a2-industrial-test-lead-set", "https://edmondsonsupply.com/products/fluke-tl220-suregrip%e2%84%a2-industrial-test-lead-set")</f>
        <v/>
      </c>
      <c r="C7424" t="inlineStr">
        <is>
          <t>Fluke TL220 SureGrip™ Industrial Test Lead Set</t>
        </is>
      </c>
      <c r="D7424" t="inlineStr">
        <is>
          <t>Fluke TL221 SureGrip Industrial Test Lead Set</t>
        </is>
      </c>
      <c r="E7424" s="2">
        <f>HYPERLINK("https://www.amazon.com/Fluke-TL221-Test-Extension-FLK-TL221/dp/B008FM2XPA/ref=sr_1_2?keywords=Fluke+TL220+SureGrip%E2%84%A2+Industrial+Test+Lead+Set&amp;qid=1694735182&amp;sr=8-2", "https://www.amazon.com/Fluke-TL221-Test-Extension-FLK-TL221/dp/B008FM2XPA/ref=sr_1_2?keywords=Fluke+TL220+SureGrip%E2%84%A2+Industrial+Test+Lead+Set&amp;qid=1694735182&amp;sr=8-2")</f>
        <v/>
      </c>
      <c r="F7424" t="inlineStr">
        <is>
          <t>B008FM2XPA</t>
        </is>
      </c>
      <c r="G7424">
        <f>_xlfn.IMAGE("https://edmondsonsupply.com/cdn/shop/products/220.png?v=1633540209")</f>
        <v/>
      </c>
      <c r="H7424">
        <f>_xlfn.IMAGE("https://m.media-amazon.com/images/I/21cU9qMCp7L._AC_UY218_.jpg")</f>
        <v/>
      </c>
      <c r="K7424" t="inlineStr">
        <is>
          <t>93.99</t>
        </is>
      </c>
      <c r="L7424" t="n">
        <v>48.29</v>
      </c>
      <c r="M7424" s="1" t="inlineStr">
        <is>
          <t>-48.62%</t>
        </is>
      </c>
      <c r="N7424" s="7" t="n"/>
      <c r="O7424" t="n">
        <v>5</v>
      </c>
      <c r="P7424" t="n">
        <v>10</v>
      </c>
      <c r="R7424" t="inlineStr">
        <is>
          <t>InStock</t>
        </is>
      </c>
      <c r="S7424" t="inlineStr">
        <is>
          <t>104.99</t>
        </is>
      </c>
      <c r="T7424" t="inlineStr">
        <is>
          <t>6997259550893</t>
        </is>
      </c>
    </row>
    <row r="7425" ht="87" customHeight="1">
      <c r="A7425" s="2">
        <f>HYPERLINK("https://edmondsonsupply.com/collections/electricians-tools/products/klein-tools-ncvt3pkit-dual-range-ncvt-and-ac-dc-voltage-tester-electrical-test-kit", "https://edmondsonsupply.com/collections/electricians-tools/products/klein-tools-ncvt3pkit-dual-range-ncvt-and-ac-dc-voltage-tester-electrical-test-kit")</f>
        <v/>
      </c>
      <c r="B7425" s="2">
        <f>HYPERLINK("https://edmondsonsupply.com/products/klein-tools-ncvt3pkit-dual-range-ncvt-and-ac-dc-voltage-tester-electrical-test-kit", "https://edmondsonsupply.com/products/klein-tools-ncvt3pkit-dual-range-ncvt-and-ac-dc-voltage-tester-electrical-test-kit")</f>
        <v/>
      </c>
      <c r="C7425" t="inlineStr">
        <is>
          <t>Klein Tools NCVT3PKIT Dual Range NCVT and AC/DC Voltage Tester Electrical Test Kit</t>
        </is>
      </c>
      <c r="D7425" t="inlineStr">
        <is>
          <t>Klein Tools ET45VP Electrical Test Kit with GFCI Outlet Tester and AC/DC Voltage Tester, Orange</t>
        </is>
      </c>
      <c r="E7425" s="2">
        <f>HYPERLINK("https://www.amazon.com/Receptacle-Electrical-Klein-Tools-ET45VP/dp/B08Y63ZG1B/ref=sr_1_9?keywords=Klein+Tools+NCVT3PKIT+Dual+Range+NCVT+and+AC%2FDC+Voltage+Tester+Electrical+Test+Kit&amp;qid=1694735090&amp;sr=8-9", "https://www.amazon.com/Receptacle-Electrical-Klein-Tools-ET45VP/dp/B08Y63ZG1B/ref=sr_1_9?keywords=Klein+Tools+NCVT3PKIT+Dual+Range+NCVT+and+AC%2FDC+Voltage+Tester+Electrical+Test+Kit&amp;qid=1694735090&amp;sr=8-9")</f>
        <v/>
      </c>
      <c r="F7425" t="inlineStr">
        <is>
          <t>B08Y63ZG1B</t>
        </is>
      </c>
      <c r="G7425">
        <f>_xlfn.IMAGE("https://edmondsonsupply.com/cdn/shop/products/ncvt3pkit.jpg?v=1667228452")</f>
        <v/>
      </c>
      <c r="H7425">
        <f>_xlfn.IMAGE("https://m.media-amazon.com/images/I/51g9gSN+3SL._AC_UL320_.jpg")</f>
        <v/>
      </c>
      <c r="K7425" t="inlineStr">
        <is>
          <t>34.99</t>
        </is>
      </c>
      <c r="L7425" t="n">
        <v>17.97</v>
      </c>
      <c r="M7425" s="1" t="inlineStr">
        <is>
          <t>-48.64%</t>
        </is>
      </c>
      <c r="N7425" s="7" t="n"/>
      <c r="O7425" t="n">
        <v>4.6</v>
      </c>
      <c r="P7425" t="n">
        <v>240</v>
      </c>
      <c r="R7425" t="inlineStr">
        <is>
          <t>InStock</t>
        </is>
      </c>
      <c r="S7425" t="inlineStr">
        <is>
          <t>48.52</t>
        </is>
      </c>
      <c r="T7425" t="inlineStr">
        <is>
          <t>7871488032984</t>
        </is>
      </c>
    </row>
    <row r="7426" ht="87" customHeight="1">
      <c r="A7426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426" s="2">
        <f>HYPERLINK("https://edmondsonsupply.com/products/diablo-tools-dmapl2530-1-in-x-16-in-x-18-in-sds-plus-2-cutter", "https://edmondsonsupply.com/products/diablo-tools-dmapl2530-1-in-x-16-in-x-18-in-sds-plus-2-cutter")</f>
        <v/>
      </c>
      <c r="C7426" t="inlineStr">
        <is>
          <t>Diablo Tools DMAPL2530 1 in. x 16 in. x 18 in. SDS-Plus 2-Cutter</t>
        </is>
      </c>
      <c r="D7426" t="inlineStr">
        <is>
          <t>Diablo 3/8 in. x 16 in. x 18 in. SDS-Plus 2-Cutter</t>
        </is>
      </c>
      <c r="E7426" s="2">
        <f>HYPERLINK("https://www.amazon.com/Diablo-DMAPL2250-16-SDS-Plus-2-Cutter/dp/B089KW3B6T/ref=sr_1_3?keywords=Diablo+Tools+DMAPL2530+1+in.+x+16+in.+x+18+in.+SDS-Plus+2-Cutter&amp;qid=1694735204&amp;sr=8-3", "https://www.amazon.com/Diablo-DMAPL2250-16-SDS-Plus-2-Cutter/dp/B089KW3B6T/ref=sr_1_3?keywords=Diablo+Tools+DMAPL2530+1+in.+x+16+in.+x+18+in.+SDS-Plus+2-Cutter&amp;qid=1694735204&amp;sr=8-3")</f>
        <v/>
      </c>
      <c r="F7426" t="inlineStr">
        <is>
          <t>B089KW3B6T</t>
        </is>
      </c>
      <c r="G7426">
        <f>_xlfn.IMAGE("https://edmondsonsupply.com/cdn/shop/products/DMAPL2530_Main-Image20200703.png?v=1627068300")</f>
        <v/>
      </c>
      <c r="H7426">
        <f>_xlfn.IMAGE("https://m.media-amazon.com/images/I/61JRNqT4IHL._AC_UL320_.jpg")</f>
        <v/>
      </c>
      <c r="K7426" t="inlineStr">
        <is>
          <t>38.97</t>
        </is>
      </c>
      <c r="L7426" t="n">
        <v>19.99</v>
      </c>
      <c r="M7426" s="1" t="inlineStr">
        <is>
          <t>-48.70%</t>
        </is>
      </c>
      <c r="N7426" s="7" t="n"/>
      <c r="O7426" t="n">
        <v>4.9</v>
      </c>
      <c r="P7426" t="n">
        <v>8</v>
      </c>
      <c r="R7426" t="inlineStr">
        <is>
          <t>InStock</t>
        </is>
      </c>
      <c r="S7426" t="inlineStr">
        <is>
          <t>50.56</t>
        </is>
      </c>
      <c r="T7426" t="inlineStr">
        <is>
          <t>6839623778477</t>
        </is>
      </c>
    </row>
    <row r="7427" ht="87" customHeight="1">
      <c r="A7427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427" s="2">
        <f>HYPERLINK("https://edmondsonsupply.com/products/klein-tools-32800-6-in-1-multi-nut-driver-heavy-duty", "https://edmondsonsupply.com/products/klein-tools-32800-6-in-1-multi-nut-driver-heavy-duty")</f>
        <v/>
      </c>
      <c r="C7427" t="inlineStr">
        <is>
          <t>Klein Tools 32800 6-in-1 6-in-1 Multi-Bit Nut Driver, Heavy Duty</t>
        </is>
      </c>
      <c r="D7427" t="inlineStr">
        <is>
          <t>Klein Tools 32594 Multi-Bit Screwdriver / Nut Driver, 6-in-1 Stubby Tool with Phillips, Slotted and Square Bits and 2 Nut Driver Sizes</t>
        </is>
      </c>
      <c r="E7427" s="2">
        <f>HYPERLINK("https://www.amazon.com/Ratcheting-Screwdriver-Klein-Tools-32594/dp/B01I2KTKR8/ref=sr_1_12?keywords=Klein+Tools+32800+6-in-1+6-in-1+Multi-Bit+Nut+Driver%2C+Heavy+Duty&amp;qid=1694735172&amp;sr=8-12", "https://www.amazon.com/Ratcheting-Screwdriver-Klein-Tools-32594/dp/B01I2KTKR8/ref=sr_1_12?keywords=Klein+Tools+32800+6-in-1+6-in-1+Multi-Bit+Nut+Driver%2C+Heavy+Duty&amp;qid=1694735172&amp;sr=8-12")</f>
        <v/>
      </c>
      <c r="F7427" t="inlineStr">
        <is>
          <t>B01I2KTKR8</t>
        </is>
      </c>
      <c r="G7427">
        <f>_xlfn.IMAGE("https://edmondsonsupply.com/cdn/shop/products/32800_alt2.jpg?v=1646595019")</f>
        <v/>
      </c>
      <c r="H7427">
        <f>_xlfn.IMAGE("https://m.media-amazon.com/images/I/51pkI+hcIbL._AC_UL320_.jpg")</f>
        <v/>
      </c>
      <c r="K7427" t="inlineStr">
        <is>
          <t>29.99</t>
        </is>
      </c>
      <c r="L7427" t="n">
        <v>15.36</v>
      </c>
      <c r="M7427" s="1" t="inlineStr">
        <is>
          <t>-48.78%</t>
        </is>
      </c>
      <c r="N7427" s="7" t="n"/>
      <c r="O7427" t="n">
        <v>4.8</v>
      </c>
      <c r="P7427" t="n">
        <v>550</v>
      </c>
      <c r="R7427" t="inlineStr">
        <is>
          <t>InStock</t>
        </is>
      </c>
      <c r="S7427" t="inlineStr">
        <is>
          <t>42.2</t>
        </is>
      </c>
      <c r="T7427" t="inlineStr">
        <is>
          <t>1723912519780</t>
        </is>
      </c>
    </row>
    <row r="7428" hidden="1" ht="15.75" customHeight="1">
      <c r="A7428" s="2">
        <f>HYPERLINK("https://edmondsonsupply.com/collections/electricians-tools/products/amprobe-thwd-3-relative-humidity-temperature-meter", "https://edmondsonsupply.com/collections/electricians-tools/products/amprobe-thwd-3-relative-humidity-temperature-meter")</f>
        <v/>
      </c>
      <c r="B7428" s="2">
        <f>HYPERLINK("https://edmondsonsupply.com/products/amprobe-thwd-3-relative-humidity-temperature-meter", "https://edmondsonsupply.com/products/amprobe-thwd-3-relative-humidity-temperature-meter")</f>
        <v/>
      </c>
      <c r="C7428" t="inlineStr">
        <is>
          <t>Amprobe THWD-3 Relative Humidity Temperature Meter</t>
        </is>
      </c>
      <c r="D7428" t="inlineStr">
        <is>
          <t>Amprobe - 3311871 TH-1 Compact Probe Style Relative Humidity Meter</t>
        </is>
      </c>
      <c r="E7428" s="2">
        <f>HYPERLINK("https://www.amazon.com/Amprobe-TH-1-Compact-Relative-Humidity/dp/B0029XQB9U/ref=sr_1_5?keywords=Amprobe+THWD-3+Relative+Humidity+Temperature+Meter&amp;qid=1694735184&amp;sr=8-5", "https://www.amazon.com/Amprobe-TH-1-Compact-Relative-Humidity/dp/B0029XQB9U/ref=sr_1_5?keywords=Amprobe+THWD-3+Relative+Humidity+Temperature+Meter&amp;qid=1694735184&amp;sr=8-5")</f>
        <v/>
      </c>
      <c r="F7428" t="inlineStr">
        <is>
          <t>B0029XQB9U</t>
        </is>
      </c>
      <c r="G7428">
        <f>_xludf.IMAGE("https://edmondsonsupply.com/cdn/shop/products/THWD-3.png?v=1633526329")</f>
        <v/>
      </c>
      <c r="H7428">
        <f>_xludf.IMAGE("https://m.media-amazon.com/images/I/41NOi+eIckL._AC_UL320_.jpg")</f>
        <v/>
      </c>
      <c r="K7428" t="inlineStr">
        <is>
          <t>176.36</t>
        </is>
      </c>
      <c r="L7428" t="n">
        <v>90.20999999999999</v>
      </c>
      <c r="M7428" s="1" t="inlineStr">
        <is>
          <t>-48.85%</t>
        </is>
      </c>
      <c r="N7428" s="1" t="n"/>
      <c r="O7428" t="n">
        <v>3.6</v>
      </c>
      <c r="P7428" t="n">
        <v>13</v>
      </c>
      <c r="R7428" t="inlineStr">
        <is>
          <t>InStock</t>
        </is>
      </c>
      <c r="S7428" t="inlineStr">
        <is>
          <t>195.99</t>
        </is>
      </c>
      <c r="T7428" t="inlineStr">
        <is>
          <t>6996577550509</t>
        </is>
      </c>
    </row>
    <row r="7429" ht="87" customHeight="1">
      <c r="A7429" s="2">
        <f>HYPERLINK("https://edmondsonsupply.com/collections/electricians-tools/products/klein-tools-56014-fiberglass-fish-tape-with-spiral-leader-200-foot", "https://edmondsonsupply.com/collections/electricians-tools/products/klein-tools-56014-fiberglass-fish-tape-with-spiral-leader-200-foot")</f>
        <v/>
      </c>
      <c r="B7429" s="2">
        <f>HYPERLINK("https://edmondsonsupply.com/products/klein-tools-56014-fiberglass-fish-tape-with-spiral-leader-200-foot", "https://edmondsonsupply.com/products/klein-tools-56014-fiberglass-fish-tape-with-spiral-leader-200-foot")</f>
        <v/>
      </c>
      <c r="C7429" t="inlineStr">
        <is>
          <t>Klein Tools 56014 Fiberglass Fish Tape with Spiral Leader, 200-Foot</t>
        </is>
      </c>
      <c r="D7429" t="inlineStr">
        <is>
          <t>Klein Tools 56014 Non-Conductive Electrical Fish Tape 200-Foot Long x 3/16-Inch Wide Fiberglass, Flexible for Conduit Measuring as Pull Line</t>
        </is>
      </c>
      <c r="E7429" s="2">
        <f>HYPERLINK("https://www.amazon.com/Non-Conductive-Fiberglass-Klein-Tools-56014/dp/B00BEZWIEQ/ref=sr_1_3?keywords=Klein+Tools+56014+Fiberglass+Fish+Tape+with+Spiral+Leader%2C+200-Foot&amp;qid=1694735109&amp;sr=8-3", "https://www.amazon.com/Non-Conductive-Fiberglass-Klein-Tools-56014/dp/B00BEZWIEQ/ref=sr_1_3?keywords=Klein+Tools+56014+Fiberglass+Fish+Tape+with+Spiral+Leader%2C+200-Foot&amp;qid=1694735109&amp;sr=8-3")</f>
        <v/>
      </c>
      <c r="F7429" t="inlineStr">
        <is>
          <t>B00BEZWIEQ</t>
        </is>
      </c>
      <c r="G7429">
        <f>_xlfn.IMAGE("https://edmondsonsupply.com/cdn/shop/products/56014.jpg?v=1664478500")</f>
        <v/>
      </c>
      <c r="H7429">
        <f>_xlfn.IMAGE("https://m.media-amazon.com/images/I/51-1BP0IpAL._AC_UL320_.jpg")</f>
        <v/>
      </c>
      <c r="K7429" t="inlineStr">
        <is>
          <t>353.0</t>
        </is>
      </c>
      <c r="L7429" t="n">
        <v>179.99</v>
      </c>
      <c r="M7429" s="1" t="inlineStr">
        <is>
          <t>-49.01%</t>
        </is>
      </c>
      <c r="N7429" s="7" t="n"/>
      <c r="O7429" t="n">
        <v>4.6</v>
      </c>
      <c r="P7429" t="n">
        <v>159</v>
      </c>
      <c r="R7429" t="inlineStr">
        <is>
          <t>InStock</t>
        </is>
      </c>
      <c r="S7429" t="inlineStr">
        <is>
          <t>530.26</t>
        </is>
      </c>
      <c r="T7429" t="inlineStr">
        <is>
          <t>7833833013464</t>
        </is>
      </c>
    </row>
    <row r="7430" ht="87" customHeight="1">
      <c r="A7430" s="2">
        <f>HYPERLINK("https://edmondsonsupply.com/collections/electricians-tools/products/klein-tools-ir5-dual-laser-infrared-thermometer", "https://edmondsonsupply.com/collections/electricians-tools/products/klein-tools-ir5-dual-laser-infrared-thermometer")</f>
        <v/>
      </c>
      <c r="B7430" s="2">
        <f>HYPERLINK("https://edmondsonsupply.com/products/klein-tools-ir5-dual-laser-infrared-thermometer", "https://edmondsonsupply.com/products/klein-tools-ir5-dual-laser-infrared-thermometer")</f>
        <v/>
      </c>
      <c r="C7430" t="inlineStr">
        <is>
          <t>Klein Tools IR5 Dual Laser Infrared Thermometer</t>
        </is>
      </c>
      <c r="D7430" t="inlineStr">
        <is>
          <t>Klein Tools IR1 Infrared Thermometer, Digital Laser Gun is Non-Contact Thermometer with a Temperature Range -4 to 752-Degree Fahrenheit</t>
        </is>
      </c>
      <c r="E7430" s="2">
        <f>HYPERLINK("https://www.amazon.com/Klein-Tools-IR1-Thermometer-Non-Contact/dp/B0873T6SGR/ref=sr_1_7?keywords=Klein+Tools+IR5+Dual+Laser+Infrared+Thermometer&amp;qid=1694735248&amp;sr=8-7", "https://www.amazon.com/Klein-Tools-IR1-Thermometer-Non-Contact/dp/B0873T6SGR/ref=sr_1_7?keywords=Klein+Tools+IR5+Dual+Laser+Infrared+Thermometer&amp;qid=1694735248&amp;sr=8-7")</f>
        <v/>
      </c>
      <c r="F7430" t="inlineStr">
        <is>
          <t>B0873T6SGR</t>
        </is>
      </c>
      <c r="G7430">
        <f>_xlfn.IMAGE("https://edmondsonsupply.com/cdn/shop/products/ir5.jpg?v=1587148495")</f>
        <v/>
      </c>
      <c r="H7430">
        <f>_xlfn.IMAGE("https://m.media-amazon.com/images/I/511oYbWbZxL._AC_UY218_.jpg")</f>
        <v/>
      </c>
      <c r="K7430" t="inlineStr">
        <is>
          <t>64.97</t>
        </is>
      </c>
      <c r="L7430" t="n">
        <v>32.99</v>
      </c>
      <c r="M7430" s="1" t="inlineStr">
        <is>
          <t>-49.22%</t>
        </is>
      </c>
      <c r="N7430" s="7" t="n"/>
      <c r="O7430" t="n">
        <v>4.7</v>
      </c>
      <c r="P7430" t="n">
        <v>2072</v>
      </c>
      <c r="R7430" t="inlineStr">
        <is>
          <t>InStock</t>
        </is>
      </c>
      <c r="S7430" t="inlineStr">
        <is>
          <t>80.92</t>
        </is>
      </c>
      <c r="T7430" t="inlineStr">
        <is>
          <t>4385570160740</t>
        </is>
      </c>
    </row>
    <row r="7431" ht="87" customHeight="1">
      <c r="A7431" s="2">
        <f>HYPERLINK("https://edmondsonsupply.com/collections/electricians-tools/products/klein-tools-j20017ne-heavy-duty-linemans-pliers-7-inch", "https://edmondsonsupply.com/collections/electricians-tools/products/klein-tools-j20017ne-heavy-duty-linemans-pliers-7-inch")</f>
        <v/>
      </c>
      <c r="B7431" s="2">
        <f>HYPERLINK("https://edmondsonsupply.com/products/klein-tools-j20017ne-heavy-duty-linemans-pliers-7-inch", "https://edmondsonsupply.com/products/klein-tools-j20017ne-heavy-duty-linemans-pliers-7-inch")</f>
        <v/>
      </c>
      <c r="C7431" t="inlineStr">
        <is>
          <t>Klein Tools J20017NE Heavy-Duty Lineman's Pliers, 7-Inch</t>
        </is>
      </c>
      <c r="D7431" t="inlineStr">
        <is>
          <t>Klein Tools D220-7 Pliers, Diagonal Cutting Pliers with Heavy-Duty Tapered Nose, Induction Hardened Knives, Hot-Riveted Joint , 7-Inch</t>
        </is>
      </c>
      <c r="E7431" s="2">
        <f>HYPERLINK("https://www.amazon.com/Diagonal-Cutting-Tapered-Klein-Tools-D220-7/dp/B0002RI9M2/ref=sr_1_8?keywords=Klein+Tools+J20017NE+Heavy-Duty+Lineman%27s+Pliers%2C+7-Inch&amp;qid=1694735135&amp;sr=8-8", "https://www.amazon.com/Diagonal-Cutting-Tapered-Klein-Tools-D220-7/dp/B0002RI9M2/ref=sr_1_8?keywords=Klein+Tools+J20017NE+Heavy-Duty+Lineman%27s+Pliers%2C+7-Inch&amp;qid=1694735135&amp;sr=8-8")</f>
        <v/>
      </c>
      <c r="F7431" t="inlineStr">
        <is>
          <t>B0002RI9M2</t>
        </is>
      </c>
      <c r="G7431">
        <f>_xlfn.IMAGE("https://edmondsonsupply.com/cdn/shop/products/j20017ne.jpg?v=1662669673")</f>
        <v/>
      </c>
      <c r="H7431">
        <f>_xlfn.IMAGE("https://m.media-amazon.com/images/I/51gNINm2i-L._AC_UL320_.jpg")</f>
        <v/>
      </c>
      <c r="K7431" t="inlineStr">
        <is>
          <t>54.99</t>
        </is>
      </c>
      <c r="L7431" t="n">
        <v>27.92</v>
      </c>
      <c r="M7431" s="1" t="inlineStr">
        <is>
          <t>-49.23%</t>
        </is>
      </c>
      <c r="N7431" s="7" t="n"/>
      <c r="O7431" t="n">
        <v>4.7</v>
      </c>
      <c r="P7431" t="n">
        <v>241</v>
      </c>
      <c r="R7431" t="inlineStr">
        <is>
          <t>InStock</t>
        </is>
      </c>
      <c r="S7431" t="inlineStr">
        <is>
          <t>81.8</t>
        </is>
      </c>
      <c r="T7431" t="inlineStr">
        <is>
          <t>7809426784472</t>
        </is>
      </c>
    </row>
    <row r="7432" hidden="1" ht="15.75" customHeight="1">
      <c r="A7432" s="2">
        <f>HYPERLINK("https://edmondsonsupply.com/collections/electricians-tools/products/diablo-tools-d0536x-5-3-8-in-x-36-tooth-finish-trim-saw-blade", "https://edmondsonsupply.com/collections/electricians-tools/products/diablo-tools-d0536x-5-3-8-in-x-36-tooth-finish-trim-saw-blade")</f>
        <v/>
      </c>
      <c r="B7432" s="2">
        <f>HYPERLINK("https://edmondsonsupply.com/products/diablo-tools-d0536x-5-3-8-in-x-36-tooth-finish-trim-saw-blade", "https://edmondsonsupply.com/products/diablo-tools-d0536x-5-3-8-in-x-36-tooth-finish-trim-saw-blade")</f>
        <v/>
      </c>
      <c r="C7432" t="inlineStr">
        <is>
          <t>Diablo Tools D0536X 5-3/8 in. x 36 Tooth Finish Trim Saw Blade</t>
        </is>
      </c>
      <c r="D7432" t="inlineStr">
        <is>
          <t>MIKITOK 5 1/2 inch Circular Saw Blade 36 Tooth, ATB Finishing and Trimming Saw Blade, Cordless Trim Saw Blade with 5/8-Inch Arbor for Wood, Laminate,Plywood - 1PSC</t>
        </is>
      </c>
      <c r="E7432" s="2">
        <f>HYPERLINK("https://www.amazon.com/Circular-Finishing-Trimming-Cordless-Laminate/dp/B0BMBC25XX/ref=sr_1_11?keywords=Diablo+Tools+D0536X+5-3%2F8+in.+x+36+Tooth+Finish+Trim+Saw+Blade&amp;qid=1694735017&amp;sr=8-11", "https://www.amazon.com/Circular-Finishing-Trimming-Cordless-Laminate/dp/B0BMBC25XX/ref=sr_1_11?keywords=Diablo+Tools+D0536X+5-3%2F8+in.+x+36+Tooth+Finish+Trim+Saw+Blade&amp;qid=1694735017&amp;sr=8-11")</f>
        <v/>
      </c>
      <c r="F7432" t="inlineStr">
        <is>
          <t>B0BMBC25XX</t>
        </is>
      </c>
      <c r="G7432">
        <f>_xludf.IMAGE("https://edmondsonsupply.com/cdn/shop/products/tlu1mfykudka2gxayxql.webp?v=1679326425")</f>
        <v/>
      </c>
      <c r="H7432">
        <f>_xludf.IMAGE("https://m.media-amazon.com/images/I/71txUH4PrDL._AC_UL320_.jpg")</f>
        <v/>
      </c>
      <c r="K7432" t="inlineStr">
        <is>
          <t>16.97</t>
        </is>
      </c>
      <c r="L7432" t="n">
        <v>8.59</v>
      </c>
      <c r="M7432" s="1" t="inlineStr">
        <is>
          <t>-49.38%</t>
        </is>
      </c>
      <c r="N7432" s="1" t="n"/>
      <c r="O7432" t="n">
        <v>4.7</v>
      </c>
      <c r="P7432" t="n">
        <v>137</v>
      </c>
      <c r="R7432" t="inlineStr">
        <is>
          <t>InStock</t>
        </is>
      </c>
      <c r="S7432" t="inlineStr">
        <is>
          <t>26.04</t>
        </is>
      </c>
      <c r="T7432" t="inlineStr">
        <is>
          <t>7964916482264</t>
        </is>
      </c>
    </row>
    <row r="7433" ht="87" customHeight="1">
      <c r="A7433" s="2">
        <f>HYPERLINK("https://edmondsonsupply.com/collections/electricians-tools/products/diablo-tools-dmamx1220", "https://edmondsonsupply.com/collections/electricians-tools/products/diablo-tools-dmamx1220")</f>
        <v/>
      </c>
      <c r="B7433" s="2">
        <f>HYPERLINK("https://edmondsonsupply.com/products/diablo-tools-dmamx1220", "https://edmondsonsupply.com/products/diablo-tools-dmamx1220")</f>
        <v/>
      </c>
      <c r="C7433" t="inlineStr">
        <is>
          <t>Diablo Tools DMAMX1220 1 in. x 16 in. x 21 in. Rebar Demon™ SDS-Max 4-Cutter Full Carbide Head Hammer Drill Bit</t>
        </is>
      </c>
      <c r="D7433" t="inlineStr">
        <is>
          <t>Diablo by Freud DMAPL4200 1/2 in. x 16 in. x 18 in. Rebar Demon SDS-Plus 4-Cutter Full Carbide Head Hammer Bit</t>
        </is>
      </c>
      <c r="E7433" s="2">
        <f>HYPERLINK("https://www.amazon.com/Diablo-Freud-DMAPL4200-SDS-Plus-4-Cutter/dp/B089KW2QV1/ref=sr_1_14?keywords=Diablo+Tools+DMAMX1220+1+in.+x+16+in.+x+21+in.+Rebar+Demon%E2%84%A2+SDS-Max+4-Cutter+Full+Carbide+Head+Hammer+Drill+Bit&amp;qid=1694735075&amp;sr=8-14", "https://www.amazon.com/Diablo-Freud-DMAPL4200-SDS-Plus-4-Cutter/dp/B089KW2QV1/ref=sr_1_14?keywords=Diablo+Tools+DMAMX1220+1+in.+x+16+in.+x+21+in.+Rebar+Demon%E2%84%A2+SDS-Max+4-Cutter+Full+Carbide+Head+Hammer+Drill+Bit&amp;qid=1694735075&amp;sr=8-14")</f>
        <v/>
      </c>
      <c r="F7433" t="inlineStr">
        <is>
          <t>B089KW2QV1</t>
        </is>
      </c>
      <c r="G7433">
        <f>_xlfn.IMAGE("https://edmondsonsupply.com/cdn/shop/products/immoyh7jjmbau4fzhuq6.webp?v=1670431066")</f>
        <v/>
      </c>
      <c r="H7433">
        <f>_xlfn.IMAGE("https://m.media-amazon.com/images/I/61rW+ROVmNL._AC_UL320_.jpg")</f>
        <v/>
      </c>
      <c r="K7433" t="inlineStr">
        <is>
          <t>45.69</t>
        </is>
      </c>
      <c r="L7433" t="n">
        <v>23</v>
      </c>
      <c r="M7433" s="1" t="inlineStr">
        <is>
          <t>-49.66%</t>
        </is>
      </c>
      <c r="N7433" s="7" t="n"/>
      <c r="O7433" t="n">
        <v>4.7</v>
      </c>
      <c r="P7433" t="n">
        <v>18</v>
      </c>
      <c r="R7433" t="inlineStr">
        <is>
          <t>InStock</t>
        </is>
      </c>
      <c r="S7433" t="inlineStr">
        <is>
          <t>70.58</t>
        </is>
      </c>
      <c r="T7433" t="inlineStr">
        <is>
          <t>7900195356888</t>
        </is>
      </c>
    </row>
    <row r="7434" ht="87" customHeight="1">
      <c r="A7434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434" s="2">
        <f>HYPERLINK("https://edmondsonsupply.com/products/klein-tools-32800-6-in-1-multi-nut-driver-heavy-duty", "https://edmondsonsupply.com/products/klein-tools-32800-6-in-1-multi-nut-driver-heavy-duty")</f>
        <v/>
      </c>
      <c r="C7434" t="inlineStr">
        <is>
          <t>Klein Tools 32800 6-in-1 6-in-1 Multi-Bit Nut Driver, Heavy Duty</t>
        </is>
      </c>
      <c r="D7434" t="inlineStr">
        <is>
          <t>Klein Tools 32614 Multi-bit Precision Screwdriver Set, 4-in-1 Electronics Pocket Screwdriver, Professional Phillips and Slotted Bits</t>
        </is>
      </c>
      <c r="E7434" s="2">
        <f>HYPERLINK("https://www.amazon.com/Klein-Tools-32614-Screwdriver-Electronics/dp/B07PNC5MPB/ref=sr_1_34?keywords=Klein+Tools+32800+6-in-1+6-in-1+Multi-Bit+Nut+Driver%2C+Heavy+Duty&amp;qid=1694735172&amp;sr=8-34", "https://www.amazon.com/Klein-Tools-32614-Screwdriver-Electronics/dp/B07PNC5MPB/ref=sr_1_34?keywords=Klein+Tools+32800+6-in-1+6-in-1+Multi-Bit+Nut+Driver%2C+Heavy+Duty&amp;qid=1694735172&amp;sr=8-34")</f>
        <v/>
      </c>
      <c r="F7434" t="inlineStr">
        <is>
          <t>B07PNC5MPB</t>
        </is>
      </c>
      <c r="G7434">
        <f>_xlfn.IMAGE("https://edmondsonsupply.com/cdn/shop/products/32800_alt2.jpg?v=1646595019")</f>
        <v/>
      </c>
      <c r="H7434">
        <f>_xlfn.IMAGE("https://m.media-amazon.com/images/I/412OaAua5aL._AC_UL320_.jpg")</f>
        <v/>
      </c>
      <c r="K7434" t="inlineStr">
        <is>
          <t>29.99</t>
        </is>
      </c>
      <c r="L7434" t="n">
        <v>15.03</v>
      </c>
      <c r="M7434" s="1" t="inlineStr">
        <is>
          <t>-49.88%</t>
        </is>
      </c>
      <c r="N7434" s="7" t="n"/>
      <c r="O7434" t="n">
        <v>4.7</v>
      </c>
      <c r="P7434" t="n">
        <v>9173</v>
      </c>
      <c r="R7434" t="inlineStr">
        <is>
          <t>InStock</t>
        </is>
      </c>
      <c r="S7434" t="inlineStr">
        <is>
          <t>42.2</t>
        </is>
      </c>
      <c r="T7434" t="inlineStr">
        <is>
          <t>1723912519780</t>
        </is>
      </c>
    </row>
    <row r="7435" ht="87" customHeight="1">
      <c r="A7435" s="2">
        <f>HYPERLINK("https://edmondsonsupply.com/collections/electricians-tools/products/diablo-tools-dou3bs-3-pc-universal-fit-bi-metal-oscillating-blade-set", "https://edmondsonsupply.com/collections/electricians-tools/products/diablo-tools-dou3bs-3-pc-universal-fit-bi-metal-oscillating-blade-set")</f>
        <v/>
      </c>
      <c r="B7435" s="2">
        <f>HYPERLINK("https://edmondsonsupply.com/products/diablo-tools-dou3bs-3-pc-universal-fit-bi-metal-oscillating-blade-set", "https://edmondsonsupply.com/products/diablo-tools-dou3bs-3-pc-universal-fit-bi-metal-oscillating-blade-set")</f>
        <v/>
      </c>
      <c r="C7435" t="inlineStr">
        <is>
          <t>Diablo Tools DOU3BS 3 pc Universal Fit Bi-Metal Oscillating Blade Set</t>
        </is>
      </c>
      <c r="D7435" t="inlineStr">
        <is>
          <t>Norske Tools NOTP273 1-1/4 inch Japanese Tooth Bi-Metal Oscillating Multi Tool Accessory Blades (3 Pack Set) Universal Fit for Cutting Wood and Hard Wood</t>
        </is>
      </c>
      <c r="E7435" s="2">
        <f>HYPERLINK("https://www.amazon.com/Norske-Tools-NOTP273-Oscillating-Accessory/dp/B07GB9QHBF/ref=sr_1_18?keywords=Diablo+Tools+DOU3BS+3+pc+Universal+Fit+Bi-Metal+Oscillating+Blade+Set&amp;qid=1694734992&amp;sr=8-18", "https://www.amazon.com/Norske-Tools-NOTP273-Oscillating-Accessory/dp/B07GB9QHBF/ref=sr_1_18?keywords=Diablo+Tools+DOU3BS+3+pc+Universal+Fit+Bi-Metal+Oscillating+Blade+Set&amp;qid=1694734992&amp;sr=8-18")</f>
        <v/>
      </c>
      <c r="F7435" t="inlineStr">
        <is>
          <t>B07GB9QHBF</t>
        </is>
      </c>
      <c r="G7435">
        <f>_xlfn.IMAGE("https://edmondsonsupply.com/cdn/shop/files/mhkfr9y3q3vrvammfqa0.webp?v=1685721273")</f>
        <v/>
      </c>
      <c r="H7435">
        <f>_xlfn.IMAGE("https://m.media-amazon.com/images/I/61TOLqLfwWL._AC_UL320_.jpg")</f>
        <v/>
      </c>
      <c r="K7435" t="inlineStr">
        <is>
          <t>37.97</t>
        </is>
      </c>
      <c r="L7435" t="n">
        <v>19.01</v>
      </c>
      <c r="M7435" s="1" t="inlineStr">
        <is>
          <t>-49.93%</t>
        </is>
      </c>
      <c r="N7435" s="7" t="n"/>
      <c r="O7435" t="n">
        <v>4.3</v>
      </c>
      <c r="P7435" t="n">
        <v>83</v>
      </c>
      <c r="R7435" t="inlineStr">
        <is>
          <t>InStock</t>
        </is>
      </c>
      <c r="S7435" t="inlineStr">
        <is>
          <t>64.36</t>
        </is>
      </c>
      <c r="T7435" t="inlineStr">
        <is>
          <t>7999591088344</t>
        </is>
      </c>
    </row>
    <row r="7436" ht="87" customHeight="1">
      <c r="A7436" s="2">
        <f>HYPERLINK("https://edmondsonsupply.com/collections/electricians-tools/products/diablo-tools-dmamx1090-5-8", "https://edmondsonsupply.com/collections/electricians-tools/products/diablo-tools-dmamx1090-5-8")</f>
        <v/>
      </c>
      <c r="B7436" s="2">
        <f>HYPERLINK("https://edmondsonsupply.com/products/diablo-tools-dmamx1090-5-8", "https://edmondsonsupply.com/products/diablo-tools-dmamx1090-5-8")</f>
        <v/>
      </c>
      <c r="C7436" t="inlineStr">
        <is>
          <t>Diablo Tools DMAMX1090 5/8 in. x 8 in. x 13 in. Rebar Demon SDS‑Max 4‑Cutter Full Carbide Head Hammer Bit</t>
        </is>
      </c>
      <c r="D7436" t="inlineStr">
        <is>
          <t>Diablo DMAMX1050 9/16 in. x 8 in. x 13 in. Rebar Demon™ SDS-Max 4-Cutter Full Carbide Head Hammer Bit</t>
        </is>
      </c>
      <c r="E7436" s="2">
        <f>HYPERLINK("https://www.amazon.com/Diablo-SDS-Max-4-Cutter-Carbide-Hammer/dp/B089LK4F2D/ref=sr_1_4?keywords=Diablo+Tools+DMAMX1090+5%2F8+in.+x+8+in.+x+13+in.+Rebar+Demon+SDS%E2%80%91Max+4%E2%80%91Cutter+Full+Carbide+Head+Hammer+Bit&amp;qid=1694735267&amp;sr=8-4", "https://www.amazon.com/Diablo-SDS-Max-4-Cutter-Carbide-Hammer/dp/B089LK4F2D/ref=sr_1_4?keywords=Diablo+Tools+DMAMX1090+5%2F8+in.+x+8+in.+x+13+in.+Rebar+Demon+SDS%E2%80%91Max+4%E2%80%91Cutter+Full+Carbide+Head+Hammer+Bit&amp;qid=1694735267&amp;sr=8-4")</f>
        <v/>
      </c>
      <c r="F7436" t="inlineStr">
        <is>
          <t>B089LK4F2D</t>
        </is>
      </c>
      <c r="G7436">
        <f>_xlfn.IMAGE("https://edmondsonsupply.com/cdn/shop/products/DMAMX1090_Main-Image20200701.png?v=1609799247")</f>
        <v/>
      </c>
      <c r="H7436">
        <f>_xlfn.IMAGE("https://m.media-amazon.com/images/I/61jYhd4-UbL._AC_UL320_.jpg")</f>
        <v/>
      </c>
      <c r="K7436" t="inlineStr">
        <is>
          <t>41.97</t>
        </is>
      </c>
      <c r="L7436" t="n">
        <v>20.99</v>
      </c>
      <c r="M7436" s="1" t="inlineStr">
        <is>
          <t>-49.99%</t>
        </is>
      </c>
      <c r="N7436" s="7" t="n"/>
      <c r="O7436" t="n">
        <v>5</v>
      </c>
      <c r="P7436" t="n">
        <v>1</v>
      </c>
      <c r="R7436" t="inlineStr">
        <is>
          <t>InStock</t>
        </is>
      </c>
      <c r="S7436" t="inlineStr">
        <is>
          <t>48.13</t>
        </is>
      </c>
      <c r="T7436" t="inlineStr">
        <is>
          <t>5463856447656</t>
        </is>
      </c>
    </row>
    <row r="7437" ht="87" customHeight="1">
      <c r="A7437" s="2">
        <f>HYPERLINK("https://edmondsonsupply.com/collections/electricians-tools/products/klein-tools-ktsb15-step-drill-bit-15-double-fluted-7-8-to-1-3-8-inch", "https://edmondsonsupply.com/collections/electricians-tools/products/klein-tools-ktsb15-step-drill-bit-15-double-fluted-7-8-to-1-3-8-inch")</f>
        <v/>
      </c>
      <c r="B7437" s="2">
        <f>HYPERLINK("https://edmondsonsupply.com/products/klein-tools-ktsb15-step-drill-bit-15-double-fluted-7-8-to-1-3-8-inch", "https://edmondsonsupply.com/products/klein-tools-ktsb15-step-drill-bit-15-double-fluted-7-8-to-1-3-8-inch")</f>
        <v/>
      </c>
      <c r="C7437" t="inlineStr">
        <is>
          <t>Klein Tools KTSB15 Step Drill Bit #15 Double Fluted 7/8 to 1-3/8-Inch</t>
        </is>
      </c>
      <c r="D7437" t="inlineStr">
        <is>
          <t>Klein Tools 25962 Step Drill Bit, 3/16 to 7/8-Inch, Spiral Double-Fluted, Cuts Thin Metal, Plastic, Aluminum, Wood, 1/4-Inch Hex Shank, VACO</t>
        </is>
      </c>
      <c r="E7437" s="2">
        <f>HYPERLINK("https://www.amazon.com/Klein-Tools-25962-Double-Fluted-Aluminum/dp/B0BLFLRLM4/ref=sr_1_8?keywords=Klein+Tools+KTSB15+Step+Drill+Bit+%2315+Double+Fluted+7%2F8+to+1-3%2F8-Inch&amp;qid=1694735232&amp;sr=8-8", "https://www.amazon.com/Klein-Tools-25962-Double-Fluted-Aluminum/dp/B0BLFLRLM4/ref=sr_1_8?keywords=Klein+Tools+KTSB15+Step+Drill+Bit+%2315+Double+Fluted+7%2F8+to+1-3%2F8-Inch&amp;qid=1694735232&amp;sr=8-8")</f>
        <v/>
      </c>
      <c r="F7437" t="inlineStr">
        <is>
          <t>B0BLFLRLM4</t>
        </is>
      </c>
      <c r="G7437">
        <f>_xlfn.IMAGE("https://edmondsonsupply.com/cdn/shop/products/ktsb15.jpg?v=1633030886")</f>
        <v/>
      </c>
      <c r="H7437">
        <f>_xlfn.IMAGE("https://m.media-amazon.com/images/I/41VZQQkBjLL._AC_UY218_.jpg")</f>
        <v/>
      </c>
      <c r="K7437" t="inlineStr">
        <is>
          <t>59.97</t>
        </is>
      </c>
      <c r="L7437" t="n">
        <v>29.99</v>
      </c>
      <c r="M7437" s="1" t="inlineStr">
        <is>
          <t>-49.99%</t>
        </is>
      </c>
      <c r="N7437" s="7" t="n"/>
      <c r="O7437" t="n">
        <v>4.7</v>
      </c>
      <c r="P7437" t="n">
        <v>3</v>
      </c>
      <c r="R7437" t="inlineStr">
        <is>
          <t>InStock</t>
        </is>
      </c>
      <c r="S7437" t="inlineStr">
        <is>
          <t>81.96</t>
        </is>
      </c>
      <c r="T7437" t="inlineStr">
        <is>
          <t>6217390424237</t>
        </is>
      </c>
    </row>
    <row r="7438" ht="87" customHeight="1">
      <c r="A7438" s="2">
        <f>HYPERLINK("https://edmondsonsupply.com/collections/electricians-tools/products/klein-tools-aepjs3-bluetooth%C2%AE-jobsite-speaker-with-magnet-and-hook", "https://edmondsonsupply.com/collections/electricians-tools/products/klein-tools-aepjs3-bluetooth%C2%AE-jobsite-speaker-with-magnet-and-hook")</f>
        <v/>
      </c>
      <c r="B7438" s="2">
        <f>HYPERLINK("https://edmondsonsupply.com/products/klein-tools-aepjs3-bluetooth%c2%ae-jobsite-speaker-with-magnet-and-hook", "https://edmondsonsupply.com/products/klein-tools-aepjs3-bluetooth%c2%ae-jobsite-speaker-with-magnet-and-hook")</f>
        <v/>
      </c>
      <c r="C7438" t="inlineStr">
        <is>
          <t>Klein Tools AEPJS3 Bluetooth® Jobsite Speaker with Magnet and Hook</t>
        </is>
      </c>
      <c r="D7438" t="inlineStr">
        <is>
          <t>Klein Tools AEPJS2 Bluetooth Speaker With Magnetic Strip and Hook, Rechargeable, Wireless and Aux Capable, Hands Free Capable, Smart Phone Charging, 10 Hr Run Time, IP54 Dust and Water Resistant</t>
        </is>
      </c>
      <c r="E7438" s="2">
        <f>HYPERLINK("https://www.amazon.com/Klein-AEPJS2-Bluetooth%C3%82-Speaker-Magnetic/dp/B084LL5CM8/ref=sr_1_5?keywords=Klein+Tools+AEPJS3+Bluetooth%C2%AE+Jobsite+Speaker+with+Magnet+and+Hook&amp;qid=1694735122&amp;sr=8-5", "https://www.amazon.com/Klein-AEPJS2-Bluetooth%C3%82-Speaker-Magnetic/dp/B084LL5CM8/ref=sr_1_5?keywords=Klein+Tools+AEPJS3+Bluetooth%C2%AE+Jobsite+Speaker+with+Magnet+and+Hook&amp;qid=1694735122&amp;sr=8-5")</f>
        <v/>
      </c>
      <c r="F7438" t="inlineStr">
        <is>
          <t>B084LL5CM8</t>
        </is>
      </c>
      <c r="G7438">
        <f>_xlfn.IMAGE("https://edmondsonsupply.com/cdn/shop/products/aepjs3_b.jpg?v=1663946789")</f>
        <v/>
      </c>
      <c r="H7438">
        <f>_xlfn.IMAGE("https://m.media-amazon.com/images/I/71LxxIwLvmL._AC_UY218_.jpg")</f>
        <v/>
      </c>
      <c r="K7438" t="inlineStr">
        <is>
          <t>79.97</t>
        </is>
      </c>
      <c r="L7438" t="n">
        <v>39.97</v>
      </c>
      <c r="M7438" s="1" t="inlineStr">
        <is>
          <t>-50.02%</t>
        </is>
      </c>
      <c r="N7438" s="7" t="n"/>
      <c r="O7438" t="n">
        <v>4.6</v>
      </c>
      <c r="P7438" t="n">
        <v>915</v>
      </c>
      <c r="R7438" t="inlineStr">
        <is>
          <t>InStock</t>
        </is>
      </c>
      <c r="S7438" t="inlineStr">
        <is>
          <t>111.94</t>
        </is>
      </c>
      <c r="T7438" t="inlineStr">
        <is>
          <t>7827292553432</t>
        </is>
      </c>
    </row>
    <row r="7439" hidden="1" ht="15.75" customHeight="1">
      <c r="A7439" s="2">
        <f>HYPERLINK("https://edmondsonsupply.com/collections/electricians-tools/products/fluke-st120-gfci-socket-tester-with-beeper", "https://edmondsonsupply.com/collections/electricians-tools/products/fluke-st120-gfci-socket-tester-with-beeper")</f>
        <v/>
      </c>
      <c r="B7439" s="2">
        <f>HYPERLINK("https://edmondsonsupply.com/products/fluke-st120-gfci-socket-tester-with-beeper", "https://edmondsonsupply.com/products/fluke-st120-gfci-socket-tester-with-beeper")</f>
        <v/>
      </c>
      <c r="C7439" t="inlineStr">
        <is>
          <t>Fluke ST120+ GFCI Socket Tester with Beeper</t>
        </is>
      </c>
      <c r="D7439" t="inlineStr">
        <is>
          <t>RLSOCO Carrying Case for Fluke ST120+/ST120 GFCI Socket Tester（Case Only）</t>
        </is>
      </c>
      <c r="E7439" s="2">
        <f>HYPERLINK("https://www.amazon.com/RLSOCO-Carrying-Fluke-Socket-Tester%EF%BC%88Case/dp/B0BJTZ98HX/ref=sr_1_5?keywords=Fluke+ST120%2B+GFCI+Socket+Tester+with+Beeper&amp;qid=1694735127&amp;sr=8-5", "https://www.amazon.com/RLSOCO-Carrying-Fluke-Socket-Tester%EF%BC%88Case/dp/B0BJTZ98HX/ref=sr_1_5?keywords=Fluke+ST120%2B+GFCI+Socket+Tester+with+Beeper&amp;qid=1694735127&amp;sr=8-5")</f>
        <v/>
      </c>
      <c r="F7439" t="inlineStr">
        <is>
          <t>B0BJTZ98HX</t>
        </is>
      </c>
      <c r="G7439">
        <f>_xludf.IMAGE("https://edmondsonsupply.com/cdn/shop/products/F-st120-plus_01a_w.webp?v=1662582919")</f>
        <v/>
      </c>
      <c r="H7439">
        <f>_xludf.IMAGE("https://m.media-amazon.com/images/I/71It6IXE9gL._AC_UL320_.jpg")</f>
        <v/>
      </c>
      <c r="K7439" t="inlineStr">
        <is>
          <t>19.99</t>
        </is>
      </c>
      <c r="L7439" t="n">
        <v>9.99</v>
      </c>
      <c r="M7439" s="1" t="inlineStr">
        <is>
          <t>-50.03%</t>
        </is>
      </c>
      <c r="N7439" s="1" t="n"/>
      <c r="O7439" t="n">
        <v>4.5</v>
      </c>
      <c r="P7439" t="n">
        <v>27</v>
      </c>
      <c r="R7439" t="inlineStr">
        <is>
          <t>InStock</t>
        </is>
      </c>
      <c r="S7439" t="inlineStr">
        <is>
          <t>21.99</t>
        </is>
      </c>
      <c r="T7439" t="inlineStr">
        <is>
          <t>7807652364504</t>
        </is>
      </c>
    </row>
    <row r="7440" hidden="1" ht="15.75" customHeight="1">
      <c r="A7440" s="2">
        <f>HYPERLINK("https://edmondsonsupply.com/collections/electricians-tools/products/klein-tools-32801-5-in-1-multi-bit-screwdriver-nut-driver-heavy-duty", "https://edmondsonsupply.com/collections/electricians-tools/products/klein-tools-32801-5-in-1-multi-bit-screwdriver-nut-driver-heavy-duty")</f>
        <v/>
      </c>
      <c r="B7440" s="2">
        <f>HYPERLINK("https://edmondsonsupply.com/products/klein-tools-32801-5-in-1-multi-bit-screwdriver-nut-driver-heavy-duty", "https://edmondsonsupply.com/products/klein-tools-32801-5-in-1-multi-bit-screwdriver-nut-driver-heavy-duty")</f>
        <v/>
      </c>
      <c r="C7440" t="inlineStr">
        <is>
          <t>Klein Tools 32801 5-in-1 Multi-Bit Screwdriver / Nut Driver, Heavy Duty</t>
        </is>
      </c>
      <c r="D7440" t="inlineStr">
        <is>
          <t>Klein Tools 32476 5-In-1 Multi-Bit Screwdriver / Nut Driver with 2 Slotted, 2 Philips, and 1 Nut Driver Tip</t>
        </is>
      </c>
      <c r="E7440" s="2">
        <f>HYPERLINK("https://www.amazon.com/Screwdriver-Driver-Yellow-Klein-32476/dp/B000RFPDXC/ref=sr_1_1?keywords=Klein+Tools+32801+5-in-1+Multi-Bit+Screwdriver+%2F+Nut+Driver%2C+Heavy+Duty&amp;qid=1694735265&amp;sr=8-1", "https://www.amazon.com/Screwdriver-Driver-Yellow-Klein-32476/dp/B000RFPDXC/ref=sr_1_1?keywords=Klein+Tools+32801+5-in-1+Multi-Bit+Screwdriver+%2F+Nut+Driver%2C+Heavy+Duty&amp;qid=1694735265&amp;sr=8-1")</f>
        <v/>
      </c>
      <c r="F7440" t="inlineStr">
        <is>
          <t>B000RFPDXC</t>
        </is>
      </c>
      <c r="G7440">
        <f>_xludf.IMAGE("https://edmondsonsupply.com/cdn/shop/products/32801.jpg?v=1633030677")</f>
        <v/>
      </c>
      <c r="H7440">
        <f>_xludf.IMAGE("https://m.media-amazon.com/images/I/51ZkueHIEQL._AC_UL320_.jpg")</f>
        <v/>
      </c>
      <c r="K7440" t="inlineStr">
        <is>
          <t>19.97</t>
        </is>
      </c>
      <c r="L7440" t="n">
        <v>9.98</v>
      </c>
      <c r="M7440" s="1" t="inlineStr">
        <is>
          <t>-50.03%</t>
        </is>
      </c>
      <c r="N7440" s="1" t="n"/>
      <c r="O7440" t="n">
        <v>4.8</v>
      </c>
      <c r="P7440" t="n">
        <v>1240</v>
      </c>
      <c r="R7440" t="inlineStr">
        <is>
          <t>InStock</t>
        </is>
      </c>
      <c r="S7440" t="inlineStr">
        <is>
          <t>32.18</t>
        </is>
      </c>
      <c r="T7440" t="inlineStr">
        <is>
          <t>5807274819752</t>
        </is>
      </c>
    </row>
    <row r="7441" hidden="1" ht="15.75" customHeight="1">
      <c r="A7441" s="2">
        <f>HYPERLINK("https://edmondsonsupply.com/collections/electricians-tools/products/klein-tools-661-4-ins-insulated-screwdriver-1-square-tip-4-inch-shank", "https://edmondsonsupply.com/collections/electricians-tools/products/klein-tools-661-4-ins-insulated-screwdriver-1-square-tip-4-inch-shank")</f>
        <v/>
      </c>
      <c r="B7441" s="2">
        <f>HYPERLINK("https://edmondsonsupply.com/products/klein-tools-661-4-ins-insulated-screwdriver-1-square-tip-4-inch-shank", "https://edmondsonsupply.com/products/klein-tools-661-4-ins-insulated-screwdriver-1-square-tip-4-inch-shank")</f>
        <v/>
      </c>
      <c r="C7441" t="inlineStr">
        <is>
          <t>Klein Tools 661-4-INS Insulated Screwdriver, #1 Square Tip, 4-Inch Shank</t>
        </is>
      </c>
      <c r="D7441" t="inlineStr">
        <is>
          <t>Klein Tools 661 Screwdriver, #1 Square Recess Tip with 4-Inch Round Shank</t>
        </is>
      </c>
      <c r="E7441" s="2">
        <f>HYPERLINK("https://www.amazon.com/Klein-Tools-661-Screwdriver-Square/dp/B000FT7MKW/ref=sr_1_2?keywords=Klein+Tools+661-4-INS+Insulated+Screwdriver%2C+%231+Square+Tip%2C+4-Inch+Shank&amp;qid=1694735265&amp;sr=8-2", "https://www.amazon.com/Klein-Tools-661-Screwdriver-Square/dp/B000FT7MKW/ref=sr_1_2?keywords=Klein+Tools+661-4-INS+Insulated+Screwdriver%2C+%231+Square+Tip%2C+4-Inch+Shank&amp;qid=1694735265&amp;sr=8-2")</f>
        <v/>
      </c>
      <c r="F7441" t="inlineStr">
        <is>
          <t>B000FT7MKW</t>
        </is>
      </c>
      <c r="G7441">
        <f>_xludf.IMAGE("https://edmondsonsupply.com/cdn/shop/products/661-4-ins.jpg?v=1633030622")</f>
        <v/>
      </c>
      <c r="H7441">
        <f>_xludf.IMAGE("https://m.media-amazon.com/images/I/61oCMRQGbUL._AC_UL320_.jpg")</f>
        <v/>
      </c>
      <c r="K7441" t="inlineStr">
        <is>
          <t>17.99</t>
        </is>
      </c>
      <c r="L7441" t="n">
        <v>8.99</v>
      </c>
      <c r="M7441" s="1" t="inlineStr">
        <is>
          <t>-50.03%</t>
        </is>
      </c>
      <c r="N7441" s="1" t="n"/>
      <c r="O7441" t="n">
        <v>4.8</v>
      </c>
      <c r="P7441" t="n">
        <v>1357</v>
      </c>
      <c r="R7441" t="inlineStr">
        <is>
          <t>InStock</t>
        </is>
      </c>
      <c r="S7441" t="inlineStr">
        <is>
          <t>27.24</t>
        </is>
      </c>
      <c r="T7441" t="inlineStr">
        <is>
          <t>5651594215592</t>
        </is>
      </c>
    </row>
    <row r="7442" hidden="1" ht="15.75" customHeight="1">
      <c r="A7442" s="2">
        <f>HYPERLINK("https://edmondsonsupply.com/collections/electricians-tools/products/klein-tools-32538-10-fold-screwdriver-nut-driver-fractional-hex", "https://edmondsonsupply.com/collections/electricians-tools/products/klein-tools-32538-10-fold-screwdriver-nut-driver-fractional-hex")</f>
        <v/>
      </c>
      <c r="B7442" s="2">
        <f>HYPERLINK("https://edmondsonsupply.com/products/klein-tools-32538-10-fold-screwdriver-nut-driver-fractional-hex", "https://edmondsonsupply.com/products/klein-tools-32538-10-fold-screwdriver-nut-driver-fractional-hex")</f>
        <v/>
      </c>
      <c r="C7442" t="inlineStr">
        <is>
          <t>Klein Tools 32538 10-Fold Screwdriver / Nut Driver, Fractional Hex</t>
        </is>
      </c>
      <c r="D7442" t="inlineStr">
        <is>
          <t>Klein Tools 32557 Multi-Bit Screwdriver / Nut Driver, Heavy Duty 10-in-1 with Interchangable Shafts and Ph, Sl, Sq, Hex Bits and Nut Drivers</t>
        </is>
      </c>
      <c r="E7442" s="2">
        <f>HYPERLINK("https://www.amazon.com/Klein-Tools-32557-Multi-Bit-Screwdriver/dp/B005FQDH9A/ref=sr_1_2?keywords=Klein+Tools+32538+10-Fold+Screwdriver+%2F+Nut+Driver%2C+Fractional+Hex&amp;qid=1694735172&amp;sr=8-2", "https://www.amazon.com/Klein-Tools-32557-Multi-Bit-Screwdriver/dp/B005FQDH9A/ref=sr_1_2?keywords=Klein+Tools+32538+10-Fold+Screwdriver+%2F+Nut+Driver%2C+Fractional+Hex&amp;qid=1694735172&amp;sr=8-2")</f>
        <v/>
      </c>
      <c r="F7442" t="inlineStr">
        <is>
          <t>B005FQDH9A</t>
        </is>
      </c>
      <c r="G7442">
        <f>_xludf.IMAGE("https://edmondsonsupply.com/cdn/shop/products/32538.jpg?v=1642959018")</f>
        <v/>
      </c>
      <c r="H7442">
        <f>_xludf.IMAGE("https://m.media-amazon.com/images/I/41vMDiO0rOL._AC_UL320_.jpg")</f>
        <v/>
      </c>
      <c r="K7442" t="inlineStr">
        <is>
          <t>29.99</t>
        </is>
      </c>
      <c r="L7442" t="n">
        <v>14.98</v>
      </c>
      <c r="M7442" s="1" t="inlineStr">
        <is>
          <t>-50.05%</t>
        </is>
      </c>
      <c r="N7442" s="1" t="n"/>
      <c r="O7442" t="n">
        <v>4.8</v>
      </c>
      <c r="P7442" t="n">
        <v>918</v>
      </c>
      <c r="R7442" t="inlineStr">
        <is>
          <t>InStock</t>
        </is>
      </c>
      <c r="S7442" t="inlineStr">
        <is>
          <t>45.36</t>
        </is>
      </c>
      <c r="T7442" t="inlineStr">
        <is>
          <t>7590378799320</t>
        </is>
      </c>
    </row>
    <row r="7443" hidden="1" ht="15.75" customHeight="1">
      <c r="A7443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443" s="2">
        <f>HYPERLINK("https://edmondsonsupply.com/products/klein-tools-32800-6-in-1-multi-nut-driver-heavy-duty", "https://edmondsonsupply.com/products/klein-tools-32800-6-in-1-multi-nut-driver-heavy-duty")</f>
        <v/>
      </c>
      <c r="C7443" t="inlineStr">
        <is>
          <t>Klein Tools 32800 6-in-1 6-in-1 Multi-Bit Nut Driver, Heavy Duty</t>
        </is>
      </c>
      <c r="D7443" t="inlineStr">
        <is>
          <t>Klein Tools 32557 Multi-Bit Screwdriver / Nut Driver, Heavy Duty 10-in-1 with Interchangable Shafts and Ph, Sl, Sq, Hex Bits and Nut Drivers</t>
        </is>
      </c>
      <c r="E7443" s="2">
        <f>HYPERLINK("https://www.amazon.com/Klein-Tools-32557-Multi-Bit-Screwdriver/dp/B005FQDH9A/ref=sr_1_2?keywords=Klein+Tools+32800+6-in-1+6-in-1+Multi-Bit+Nut+Driver%2C+Heavy+Duty&amp;qid=1694735172&amp;sr=8-2", "https://www.amazon.com/Klein-Tools-32557-Multi-Bit-Screwdriver/dp/B005FQDH9A/ref=sr_1_2?keywords=Klein+Tools+32800+6-in-1+6-in-1+Multi-Bit+Nut+Driver%2C+Heavy+Duty&amp;qid=1694735172&amp;sr=8-2")</f>
        <v/>
      </c>
      <c r="F7443" t="inlineStr">
        <is>
          <t>B005FQDH9A</t>
        </is>
      </c>
      <c r="G7443">
        <f>_xludf.IMAGE("https://edmondsonsupply.com/cdn/shop/products/32800_alt2.jpg?v=1646595019")</f>
        <v/>
      </c>
      <c r="H7443">
        <f>_xludf.IMAGE("https://m.media-amazon.com/images/I/41vMDiO0rOL._AC_UL320_.jpg")</f>
        <v/>
      </c>
      <c r="K7443" t="inlineStr">
        <is>
          <t>29.99</t>
        </is>
      </c>
      <c r="L7443" t="n">
        <v>14.98</v>
      </c>
      <c r="M7443" s="1" t="inlineStr">
        <is>
          <t>-50.05%</t>
        </is>
      </c>
      <c r="N7443" s="1" t="n"/>
      <c r="O7443" t="n">
        <v>4.8</v>
      </c>
      <c r="P7443" t="n">
        <v>918</v>
      </c>
      <c r="R7443" t="inlineStr">
        <is>
          <t>InStock</t>
        </is>
      </c>
      <c r="S7443" t="inlineStr">
        <is>
          <t>42.2</t>
        </is>
      </c>
      <c r="T7443" t="inlineStr">
        <is>
          <t>1723912519780</t>
        </is>
      </c>
    </row>
    <row r="7444" hidden="1" ht="15.75" customHeight="1">
      <c r="A7444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444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444" t="inlineStr">
        <is>
          <t>Klein Tools 11055RINS Insulated Klein-Kurve® Wire Stripper and Cutter</t>
        </is>
      </c>
      <c r="D7444" t="inlineStr">
        <is>
          <t>Klein Tools 1011 Multi-Purpose Wire Stripper and Cutter for 10-20 AWG Solid Wire and 12-22 AWG Stranded Wire Blue</t>
        </is>
      </c>
      <c r="E7444" s="2">
        <f>HYPERLINK("https://www.amazon.com/Multi-Purpose-Stripper-Klein-Tools-1011/dp/B0000302WM/ref=sr_1_38?keywords=Klein+Tools+11055RINS+Insulated+Klein-Kurve%C2%AE+Wire+Stripper+and+Cutter&amp;qid=1694735096&amp;sr=8-38", "https://www.amazon.com/Multi-Purpose-Stripper-Klein-Tools-1011/dp/B0000302WM/ref=sr_1_38?keywords=Klein+Tools+11055RINS+Insulated+Klein-Kurve%C2%AE+Wire+Stripper+and+Cutter&amp;qid=1694735096&amp;sr=8-38")</f>
        <v/>
      </c>
      <c r="F7444" t="inlineStr">
        <is>
          <t>B0000302WM</t>
        </is>
      </c>
      <c r="G7444">
        <f>_xludf.IMAGE("https://edmondsonsupply.com/cdn/shop/products/11055rins.jpg?v=1667236979")</f>
        <v/>
      </c>
      <c r="H7444">
        <f>_xludf.IMAGE("https://m.media-amazon.com/images/I/71A+JfSsr6L._AC_UL320_.jpg")</f>
        <v/>
      </c>
      <c r="K7444" t="inlineStr">
        <is>
          <t>29.97</t>
        </is>
      </c>
      <c r="L7444" t="n">
        <v>14.97</v>
      </c>
      <c r="M7444" s="1" t="inlineStr">
        <is>
          <t>-50.05%</t>
        </is>
      </c>
      <c r="N7444" s="1" t="n"/>
      <c r="O7444" t="n">
        <v>4.8</v>
      </c>
      <c r="P7444" t="n">
        <v>668</v>
      </c>
      <c r="R7444" t="inlineStr">
        <is>
          <t>InStock</t>
        </is>
      </c>
      <c r="S7444" t="inlineStr">
        <is>
          <t>41.98</t>
        </is>
      </c>
      <c r="T7444" t="inlineStr">
        <is>
          <t>7871527813336</t>
        </is>
      </c>
    </row>
    <row r="7445" hidden="1" ht="15.75" customHeight="1">
      <c r="A7445" s="2">
        <f>HYPERLINK("https://edmondsonsupply.com/collections/electricians-tools/products/klein-tools-32510-magnetic-screwdriver-with-32-tamperproof-bits", "https://edmondsonsupply.com/collections/electricians-tools/products/klein-tools-32510-magnetic-screwdriver-with-32-tamperproof-bits")</f>
        <v/>
      </c>
      <c r="B7445" s="2">
        <f>HYPERLINK("https://edmondsonsupply.com/products/klein-tools-32510-magnetic-screwdriver-with-32-tamperproof-bits", "https://edmondsonsupply.com/products/klein-tools-32510-magnetic-screwdriver-with-32-tamperproof-bits")</f>
        <v/>
      </c>
      <c r="C7445" t="inlineStr">
        <is>
          <t>Klein Tools 32510 Magnetic Screwdriver with 32 Tamperproof Bits</t>
        </is>
      </c>
      <c r="D7445" t="inlineStr">
        <is>
          <t>Klein Tools 32314 Electronic Screwdriver, 14-in-1 with 8 Precision Tips, Slotted, Phillips, and Tamperproof TORX Bits, 6 Precision Nut Drivers</t>
        </is>
      </c>
      <c r="E7445" s="2">
        <f>HYPERLINK("https://www.amazon.com/Klein-Tools-32314-Screwdriver-Tamperproof/dp/B08J8GGQBL/ref=sr_1_11?keywords=Klein+Tools+32510+Magnetic+Screwdriver+with+32+Tamperproof+Bits&amp;qid=1694735159&amp;sr=8-11", "https://www.amazon.com/Klein-Tools-32314-Screwdriver-Tamperproof/dp/B08J8GGQBL/ref=sr_1_11?keywords=Klein+Tools+32510+Magnetic+Screwdriver+with+32+Tamperproof+Bits&amp;qid=1694735159&amp;sr=8-11")</f>
        <v/>
      </c>
      <c r="F7445" t="inlineStr">
        <is>
          <t>B08J8GGQBL</t>
        </is>
      </c>
      <c r="G7445">
        <f>_xludf.IMAGE("https://edmondsonsupply.com/cdn/shop/products/32510_alt2.jpg?v=1653267434")</f>
        <v/>
      </c>
      <c r="H7445">
        <f>_xludf.IMAGE("https://m.media-amazon.com/images/I/51r5V2PttIL._AC_UL320_.jpg")</f>
        <v/>
      </c>
      <c r="K7445" t="inlineStr">
        <is>
          <t>29.97</t>
        </is>
      </c>
      <c r="L7445" t="n">
        <v>14.97</v>
      </c>
      <c r="M7445" s="1" t="inlineStr">
        <is>
          <t>-50.05%</t>
        </is>
      </c>
      <c r="N7445" s="1" t="n"/>
      <c r="O7445" t="n">
        <v>4.7</v>
      </c>
      <c r="P7445" t="n">
        <v>2879</v>
      </c>
      <c r="R7445" t="inlineStr">
        <is>
          <t>InStock</t>
        </is>
      </c>
      <c r="S7445" t="inlineStr">
        <is>
          <t>43.88</t>
        </is>
      </c>
      <c r="T7445" t="inlineStr">
        <is>
          <t>7696117367000</t>
        </is>
      </c>
    </row>
    <row r="7446" hidden="1" ht="15.75" customHeight="1">
      <c r="A7446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446" s="2">
        <f>HYPERLINK("https://edmondsonsupply.com/products/klein-tools-32305-15-in-1-multi-bit-ratcheting-screwdriver", "https://edmondsonsupply.com/products/klein-tools-32305-15-in-1-multi-bit-ratcheting-screwdriver")</f>
        <v/>
      </c>
      <c r="C7446" t="inlineStr">
        <is>
          <t>Klein Tools 32305 15-in-1 Multi-Bit Ratcheting Screwdriver</t>
        </is>
      </c>
      <c r="D7446" t="inlineStr">
        <is>
          <t>Klein Tools 32585 Multi-bit Precision Screwdriver Set, 4-in-1 Electronics Screwdriver with Industrial Strength Torx Bits, Spin Top</t>
        </is>
      </c>
      <c r="E7446" s="2">
        <f>HYPERLINK("https://www.amazon.com/Electronics-Screwdriver-Klein-Tools-32585/dp/B0775ZJ15F/ref=sr_1_48?keywords=Klein+Tools+32305+15-in-1+Multi-Bit+Ratcheting+Screwdriver&amp;qid=1694735163&amp;sr=8-48", "https://www.amazon.com/Electronics-Screwdriver-Klein-Tools-32585/dp/B0775ZJ15F/ref=sr_1_48?keywords=Klein+Tools+32305+15-in-1+Multi-Bit+Ratcheting+Screwdriver&amp;qid=1694735163&amp;sr=8-48")</f>
        <v/>
      </c>
      <c r="F7446" t="inlineStr">
        <is>
          <t>B0775ZJ15F</t>
        </is>
      </c>
      <c r="G7446">
        <f>_xludf.IMAGE("https://edmondsonsupply.com/cdn/shop/products/32305.jpg?v=1646965475")</f>
        <v/>
      </c>
      <c r="H7446">
        <f>_xludf.IMAGE("https://m.media-amazon.com/images/I/31zFb-nVifL._AC_UL320_.jpg")</f>
        <v/>
      </c>
      <c r="K7446" t="inlineStr">
        <is>
          <t>21.97</t>
        </is>
      </c>
      <c r="L7446" t="n">
        <v>10.97</v>
      </c>
      <c r="M7446" s="1" t="inlineStr">
        <is>
          <t>-50.07%</t>
        </is>
      </c>
      <c r="N7446" s="1" t="n"/>
      <c r="O7446" t="n">
        <v>4.7</v>
      </c>
      <c r="P7446" t="n">
        <v>568</v>
      </c>
      <c r="R7446" t="inlineStr">
        <is>
          <t>InStock</t>
        </is>
      </c>
      <c r="S7446" t="inlineStr">
        <is>
          <t>30.78</t>
        </is>
      </c>
      <c r="T7446" t="inlineStr">
        <is>
          <t>7632426598616</t>
        </is>
      </c>
    </row>
    <row r="7447" hidden="1" ht="15.75" customHeight="1">
      <c r="A7447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447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447" t="inlineStr">
        <is>
          <t>Klein Tools JTH6E17 1/2-Inch Hex Journeyman T-Handle 6-Inch</t>
        </is>
      </c>
      <c r="D7447" t="inlineStr">
        <is>
          <t>Klein Tools JTH6M3BE 3 mm Ball End Hex Key with Journeyman T-Handle, 6-Inch (Pack of 2)</t>
        </is>
      </c>
      <c r="E7447" s="2">
        <f>HYPERLINK("https://www.amazon.com/Klein-Tools-JTH6M3BE-Journeyman-T-Handle/dp/B0CGLYY7WP/ref=sr_1_6?keywords=Klein+Tools+JTH6E17+1%2F2-Inch+Hex+Journeyman+T-Handle+6-Inch&amp;qid=1694735359&amp;sr=8-6", "https://www.amazon.com/Klein-Tools-JTH6M3BE-Journeyman-T-Handle/dp/B0CGLYY7WP/ref=sr_1_6?keywords=Klein+Tools+JTH6E17+1%2F2-Inch+Hex+Journeyman+T-Handle+6-Inch&amp;qid=1694735359&amp;sr=8-6")</f>
        <v/>
      </c>
      <c r="F7447" t="inlineStr">
        <is>
          <t>B0CGLYY7WP</t>
        </is>
      </c>
      <c r="G7447">
        <f>_xludf.IMAGE("https://edmondsonsupply.com/cdn/shop/products/jth6e15_80623668-f320-404f-929d-7d7e04a8b5aa.jpg?v=1587146378")</f>
        <v/>
      </c>
      <c r="H7447">
        <f>_xludf.IMAGE("https://m.media-amazon.com/images/I/413sTNFMd7L._AC_UL320_.jpg")</f>
        <v/>
      </c>
      <c r="K7447" t="inlineStr">
        <is>
          <t>19.99</t>
        </is>
      </c>
      <c r="L7447" t="n">
        <v>9.98</v>
      </c>
      <c r="M7447" s="1" t="inlineStr">
        <is>
          <t>-50.08%</t>
        </is>
      </c>
      <c r="N7447" s="1" t="n"/>
      <c r="O7447" t="n">
        <v>4.6</v>
      </c>
      <c r="P7447" t="n">
        <v>184</v>
      </c>
      <c r="R7447" t="inlineStr">
        <is>
          <t>InStock</t>
        </is>
      </c>
      <c r="S7447" t="inlineStr">
        <is>
          <t>30.28</t>
        </is>
      </c>
      <c r="T7447" t="inlineStr">
        <is>
          <t>4431817605220</t>
        </is>
      </c>
    </row>
    <row r="7448" hidden="1" ht="15.75" customHeight="1">
      <c r="A7448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448" s="2">
        <f>HYPERLINK("https://edmondsonsupply.com/products/klein-tools-32800-6-in-1-multi-nut-driver-heavy-duty", "https://edmondsonsupply.com/products/klein-tools-32800-6-in-1-multi-nut-driver-heavy-duty")</f>
        <v/>
      </c>
      <c r="C7448" t="inlineStr">
        <is>
          <t>Klein Tools 32800 6-in-1 6-in-1 Multi-Bit Nut Driver, Heavy Duty</t>
        </is>
      </c>
      <c r="D7448" t="inlineStr">
        <is>
          <t>Klein Tools 32314 Electronic Screwdriver, 14-in-1 with 8 Precision Tips, Slotted, Phillips, and Tamperproof TORX Bits, 6 Precision Nut Drivers</t>
        </is>
      </c>
      <c r="E7448" s="2">
        <f>HYPERLINK("https://www.amazon.com/Klein-Tools-32314-Screwdriver-Tamperproof/dp/B08J8GGQBL/ref=sr_1_26?keywords=Klein+Tools+32800+6-in-1+6-in-1+Multi-Bit+Nut+Driver%2C+Heavy+Duty&amp;qid=1694735172&amp;sr=8-26", "https://www.amazon.com/Klein-Tools-32314-Screwdriver-Tamperproof/dp/B08J8GGQBL/ref=sr_1_26?keywords=Klein+Tools+32800+6-in-1+6-in-1+Multi-Bit+Nut+Driver%2C+Heavy+Duty&amp;qid=1694735172&amp;sr=8-26")</f>
        <v/>
      </c>
      <c r="F7448" t="inlineStr">
        <is>
          <t>B08J8GGQBL</t>
        </is>
      </c>
      <c r="G7448">
        <f>_xludf.IMAGE("https://edmondsonsupply.com/cdn/shop/products/32800_alt2.jpg?v=1646595019")</f>
        <v/>
      </c>
      <c r="H7448">
        <f>_xludf.IMAGE("https://m.media-amazon.com/images/I/51r5V2PttIL._AC_UL320_.jpg")</f>
        <v/>
      </c>
      <c r="K7448" t="inlineStr">
        <is>
          <t>29.99</t>
        </is>
      </c>
      <c r="L7448" t="n">
        <v>14.97</v>
      </c>
      <c r="M7448" s="1" t="inlineStr">
        <is>
          <t>-50.08%</t>
        </is>
      </c>
      <c r="N7448" s="1" t="n"/>
      <c r="O7448" t="n">
        <v>4.7</v>
      </c>
      <c r="P7448" t="n">
        <v>2879</v>
      </c>
      <c r="R7448" t="inlineStr">
        <is>
          <t>InStock</t>
        </is>
      </c>
      <c r="S7448" t="inlineStr">
        <is>
          <t>42.2</t>
        </is>
      </c>
      <c r="T7448" t="inlineStr">
        <is>
          <t>1723912519780</t>
        </is>
      </c>
    </row>
    <row r="7449" hidden="1" ht="15.75" customHeight="1">
      <c r="A7449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449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449" t="inlineStr">
        <is>
          <t>Klein Tools 605-7-INS Insulated 1/4-Inch Cabinet Tip Screwdriver, 7-Inch</t>
        </is>
      </c>
      <c r="D7449" t="inlineStr">
        <is>
          <t>Klein Tools 6866INS Insulated Screwdriver, 1000V 5/16-Inch Cabinet Tip, Screwdriver with 6-Inch Shank, Tip-Ident, Cushion-Grip Handle</t>
        </is>
      </c>
      <c r="E7449" s="2">
        <f>HYPERLINK("https://www.amazon.com/Klein-Tools-6866INS-Screwdriver-Cushion-Grip/dp/B0BF73PSWC/ref=sr_1_3?keywords=Klein+Tools+605-7-INS+Insulated+1%2F4-Inch+Cabinet+Tip+Screwdriver%2C+7-Inch&amp;qid=1694735376&amp;sr=8-3", "https://www.amazon.com/Klein-Tools-6866INS-Screwdriver-Cushion-Grip/dp/B0BF73PSWC/ref=sr_1_3?keywords=Klein+Tools+605-7-INS+Insulated+1%2F4-Inch+Cabinet+Tip+Screwdriver%2C+7-Inch&amp;qid=1694735376&amp;sr=8-3")</f>
        <v/>
      </c>
      <c r="F7449" t="inlineStr">
        <is>
          <t>B0BF73PSWC</t>
        </is>
      </c>
      <c r="G7449">
        <f>_xludf.IMAGE("https://edmondsonsupply.com/cdn/shop/products/605-7-ins.jpg?v=1587148614")</f>
        <v/>
      </c>
      <c r="H7449">
        <f>_xludf.IMAGE("https://m.media-amazon.com/images/I/41Sx5h6xG-L._AC_UL320_.jpg")</f>
        <v/>
      </c>
      <c r="K7449" t="inlineStr">
        <is>
          <t>23.99</t>
        </is>
      </c>
      <c r="L7449" t="n">
        <v>11.97</v>
      </c>
      <c r="M7449" s="1" t="inlineStr">
        <is>
          <t>-50.10%</t>
        </is>
      </c>
      <c r="N7449" s="1" t="n"/>
      <c r="O7449" t="n">
        <v>4.9</v>
      </c>
      <c r="P7449" t="n">
        <v>202</v>
      </c>
      <c r="R7449" t="inlineStr">
        <is>
          <t>InStock</t>
        </is>
      </c>
      <c r="S7449" t="inlineStr">
        <is>
          <t>32.58</t>
        </is>
      </c>
      <c r="T7449" t="inlineStr">
        <is>
          <t>4414349181028</t>
        </is>
      </c>
    </row>
    <row r="7450" hidden="1" ht="15.75" customHeight="1">
      <c r="A7450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450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450" t="inlineStr">
        <is>
          <t>Klein Tools 605-7-INS Insulated 1/4-Inch Cabinet Tip Screwdriver, 7-Inch</t>
        </is>
      </c>
      <c r="D7450" t="inlineStr">
        <is>
          <t>Klein Tools 6826INS Insulated Screwdriver, 1000V 1/4-Inch Cabinet Tip Screwdriver with 6-Inch Shank, Tip-Ident, Cushion-Grip Handle</t>
        </is>
      </c>
      <c r="E7450" s="2">
        <f>HYPERLINK("https://www.amazon.com/Klein-Tools-6826INS-Screwdriver-Cushion-Grip/dp/B0BF79W49J/ref=sr_1_29?keywords=Klein+Tools+605-7-INS+Insulated+1%2F4-Inch+Cabinet+Tip+Screwdriver%2C+7-Inch&amp;qid=1694735376&amp;sr=8-29", "https://www.amazon.com/Klein-Tools-6826INS-Screwdriver-Cushion-Grip/dp/B0BF79W49J/ref=sr_1_29?keywords=Klein+Tools+605-7-INS+Insulated+1%2F4-Inch+Cabinet+Tip+Screwdriver%2C+7-Inch&amp;qid=1694735376&amp;sr=8-29")</f>
        <v/>
      </c>
      <c r="F7450" t="inlineStr">
        <is>
          <t>B0BF79W49J</t>
        </is>
      </c>
      <c r="G7450">
        <f>_xludf.IMAGE("https://edmondsonsupply.com/cdn/shop/products/605-7-ins.jpg?v=1587148614")</f>
        <v/>
      </c>
      <c r="H7450">
        <f>_xludf.IMAGE("https://m.media-amazon.com/images/I/41dJ6lRyHyL._AC_UL320_.jpg")</f>
        <v/>
      </c>
      <c r="K7450" t="inlineStr">
        <is>
          <t>23.99</t>
        </is>
      </c>
      <c r="L7450" t="n">
        <v>11.97</v>
      </c>
      <c r="M7450" s="1" t="inlineStr">
        <is>
          <t>-50.10%</t>
        </is>
      </c>
      <c r="N7450" s="1" t="n"/>
      <c r="O7450" t="n">
        <v>4.9</v>
      </c>
      <c r="P7450" t="n">
        <v>9</v>
      </c>
      <c r="R7450" t="inlineStr">
        <is>
          <t>InStock</t>
        </is>
      </c>
      <c r="S7450" t="inlineStr">
        <is>
          <t>32.58</t>
        </is>
      </c>
      <c r="T7450" t="inlineStr">
        <is>
          <t>4414349181028</t>
        </is>
      </c>
    </row>
    <row r="7451" hidden="1" ht="15.75" customHeight="1">
      <c r="A7451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451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451" t="inlineStr">
        <is>
          <t>Klein Tools 605-7-INS Insulated 1/4-Inch Cabinet Tip Screwdriver, 7-Inch</t>
        </is>
      </c>
      <c r="D7451" t="inlineStr">
        <is>
          <t>Klein Tools 6816INS Insulated Screwdriver, 1000V 3/16-Inch Cabinet Tip Screwdriver with 6-Inch Shank, Tip-Ident, Cushion-Grip Handle</t>
        </is>
      </c>
      <c r="E7451" s="2">
        <f>HYPERLINK("https://www.amazon.com/Klein-Tools-6816INS-Screwdriver-Cushion-Grip/dp/B0BF7JHR5X/ref=sr_1_30?keywords=Klein+Tools+605-7-INS+Insulated+1%2F4-Inch+Cabinet+Tip+Screwdriver%2C+7-Inch&amp;qid=1694735376&amp;sr=8-30", "https://www.amazon.com/Klein-Tools-6816INS-Screwdriver-Cushion-Grip/dp/B0BF7JHR5X/ref=sr_1_30?keywords=Klein+Tools+605-7-INS+Insulated+1%2F4-Inch+Cabinet+Tip+Screwdriver%2C+7-Inch&amp;qid=1694735376&amp;sr=8-30")</f>
        <v/>
      </c>
      <c r="F7451" t="inlineStr">
        <is>
          <t>B0BF7JHR5X</t>
        </is>
      </c>
      <c r="G7451">
        <f>_xludf.IMAGE("https://edmondsonsupply.com/cdn/shop/products/605-7-ins.jpg?v=1587148614")</f>
        <v/>
      </c>
      <c r="H7451">
        <f>_xludf.IMAGE("https://m.media-amazon.com/images/I/31ngLMMA6xL._AC_UL320_.jpg")</f>
        <v/>
      </c>
      <c r="K7451" t="inlineStr">
        <is>
          <t>23.99</t>
        </is>
      </c>
      <c r="L7451" t="n">
        <v>11.97</v>
      </c>
      <c r="M7451" s="1" t="inlineStr">
        <is>
          <t>-50.10%</t>
        </is>
      </c>
      <c r="N7451" s="1" t="n"/>
      <c r="O7451" t="n">
        <v>4</v>
      </c>
      <c r="P7451" t="n">
        <v>6</v>
      </c>
      <c r="R7451" t="inlineStr">
        <is>
          <t>InStock</t>
        </is>
      </c>
      <c r="S7451" t="inlineStr">
        <is>
          <t>32.58</t>
        </is>
      </c>
      <c r="T7451" t="inlineStr">
        <is>
          <t>4414349181028</t>
        </is>
      </c>
    </row>
    <row r="7452" hidden="1" ht="15.75" customHeight="1">
      <c r="A7452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7452" s="2">
        <f>HYPERLINK("https://edmondsonsupply.com/products/klein-tools-32900-7-in-1-impact-flip-socket-with-handle", "https://edmondsonsupply.com/products/klein-tools-32900-7-in-1-impact-flip-socket-with-handle")</f>
        <v/>
      </c>
      <c r="C7452" t="inlineStr">
        <is>
          <t>Klein Tools 32900 7-in-1 Impact Flip Socket with Handle</t>
        </is>
      </c>
      <c r="D7452" t="inlineStr">
        <is>
          <t>Klein Tools 32768 Impact Driver, 3-in-1 Impact Flip Socket and Bit Holder, 1/4 and 5/16-Inch Hex Drivers, 3 and 5-Inch Lengths, 2-Piece Set</t>
        </is>
      </c>
      <c r="E7452" s="2">
        <f>HYPERLINK("https://www.amazon.com/16-Inch-Drivers-Klein-Tools-32768/dp/B09Q52LQ5G/ref=sr_1_19?keywords=Klein+Tools+32900+7-in-1+Impact+Flip+Socket+with+Handle&amp;qid=1694735103&amp;sr=8-19", "https://www.amazon.com/16-Inch-Drivers-Klein-Tools-32768/dp/B09Q52LQ5G/ref=sr_1_19?keywords=Klein+Tools+32900+7-in-1+Impact+Flip+Socket+with+Handle&amp;qid=1694735103&amp;sr=8-19")</f>
        <v/>
      </c>
      <c r="F7452" t="inlineStr">
        <is>
          <t>B09Q52LQ5G</t>
        </is>
      </c>
      <c r="G7452">
        <f>_xludf.IMAGE("https://edmondsonsupply.com/cdn/shop/products/32900_b.jpg?v=1666024787")</f>
        <v/>
      </c>
      <c r="H7452">
        <f>_xludf.IMAGE("https://m.media-amazon.com/images/I/51WsqEdVfRL._AC_UL320_.jpg")</f>
        <v/>
      </c>
      <c r="K7452" t="inlineStr">
        <is>
          <t>29.97</t>
        </is>
      </c>
      <c r="L7452" t="n">
        <v>14.95</v>
      </c>
      <c r="M7452" s="1" t="inlineStr">
        <is>
          <t>-50.12%</t>
        </is>
      </c>
      <c r="N7452" s="1" t="n"/>
      <c r="O7452" t="n">
        <v>4.4</v>
      </c>
      <c r="P7452" t="n">
        <v>1270</v>
      </c>
      <c r="R7452" t="inlineStr">
        <is>
          <t>InStock</t>
        </is>
      </c>
      <c r="S7452" t="inlineStr">
        <is>
          <t>45.0</t>
        </is>
      </c>
      <c r="T7452" t="inlineStr">
        <is>
          <t>7856651239640</t>
        </is>
      </c>
    </row>
    <row r="7453" hidden="1" ht="15.75" customHeight="1">
      <c r="A7453" s="2">
        <f>HYPERLINK("https://edmondsonsupply.com/collections/electricians-tools/products/klein-tools-612-4-ins-insulated-1-8-inch-slotted-screwdriver-4-inch", "https://edmondsonsupply.com/collections/electricians-tools/products/klein-tools-612-4-ins-insulated-1-8-inch-slotted-screwdriver-4-inch")</f>
        <v/>
      </c>
      <c r="B7453" s="2">
        <f>HYPERLINK("https://edmondsonsupply.com/products/klein-tools-612-4-ins-insulated-1-8-inch-slotted-screwdriver-4-inch", "https://edmondsonsupply.com/products/klein-tools-612-4-ins-insulated-1-8-inch-slotted-screwdriver-4-inch")</f>
        <v/>
      </c>
      <c r="C7453" t="inlineStr">
        <is>
          <t>Klein Tools 612-4-INS Insulated 1/8-Inch Slotted Screwdriver, 4-Inch</t>
        </is>
      </c>
      <c r="D7453" t="inlineStr">
        <is>
          <t>Klein Tools 612-4 Screwdriver, Flat Head Terminal Block Screwdriver, 1/8-Inch Cabinet Tip, 4-Inch Round Shank, TB-DIN</t>
        </is>
      </c>
      <c r="E7453" s="2">
        <f>HYPERLINK("https://www.amazon.com/Screwdriver-Terminal-Klein-Tools-612-4/dp/B0058I6VNE/ref=sr_1_2?keywords=Klein+Tools+612-4-INS+Insulated+1%2F8-Inch+Slotted+Screwdriver%2C+4-Inch&amp;qid=1694735335&amp;sr=8-2", "https://www.amazon.com/Screwdriver-Terminal-Klein-Tools-612-4/dp/B0058I6VNE/ref=sr_1_2?keywords=Klein+Tools+612-4-INS+Insulated+1%2F8-Inch+Slotted+Screwdriver%2C+4-Inch&amp;qid=1694735335&amp;sr=8-2")</f>
        <v/>
      </c>
      <c r="F7453" t="inlineStr">
        <is>
          <t>B0058I6VNE</t>
        </is>
      </c>
      <c r="G7453">
        <f>_xludf.IMAGE("https://edmondsonsupply.com/cdn/shop/products/612-4-ins.jpg?v=1587148611")</f>
        <v/>
      </c>
      <c r="H7453">
        <f>_xludf.IMAGE("https://m.media-amazon.com/images/I/51APfPlk95L._AC_UL320_.jpg")</f>
        <v/>
      </c>
      <c r="K7453" t="inlineStr">
        <is>
          <t>17.99</t>
        </is>
      </c>
      <c r="L7453" t="n">
        <v>8.970000000000001</v>
      </c>
      <c r="M7453" s="1" t="inlineStr">
        <is>
          <t>-50.14%</t>
        </is>
      </c>
      <c r="N7453" s="1" t="n"/>
      <c r="O7453" t="n">
        <v>4.8</v>
      </c>
      <c r="P7453" t="n">
        <v>1953</v>
      </c>
      <c r="R7453" t="inlineStr">
        <is>
          <t>InStock</t>
        </is>
      </c>
      <c r="S7453" t="inlineStr">
        <is>
          <t>27.26</t>
        </is>
      </c>
      <c r="T7453" t="inlineStr">
        <is>
          <t>4167520911460</t>
        </is>
      </c>
    </row>
    <row r="7454" hidden="1" ht="15.75" customHeight="1">
      <c r="A7454" s="2">
        <f>HYPERLINK("https://edmondsonsupply.com/collections/electricians-tools/products/amprobe-st-102b-receptacle-tester-with-gfci", "https://edmondsonsupply.com/collections/electricians-tools/products/amprobe-st-102b-receptacle-tester-with-gfci")</f>
        <v/>
      </c>
      <c r="B7454" s="2">
        <f>HYPERLINK("https://edmondsonsupply.com/products/amprobe-st-102b-receptacle-tester-with-gfci", "https://edmondsonsupply.com/products/amprobe-st-102b-receptacle-tester-with-gfci")</f>
        <v/>
      </c>
      <c r="C7454" t="inlineStr">
        <is>
          <t>Amprobe ST-102B Receptacle Tester with GFCI</t>
        </is>
      </c>
      <c r="D7454" t="inlineStr">
        <is>
          <t>Triplett GFCI Outlet/Receptacle Tester with 5 Visual Indicators (ET100)</t>
        </is>
      </c>
      <c r="E7454" s="2">
        <f>HYPERLINK("https://www.amazon.com/Triplett-Outlet-Receptacle-Indicators-ET100/dp/B07YT6J4NB/ref=sr_1_18?keywords=Amprobe+ST-102B+Receptacle+Tester+with+GFCI&amp;qid=1694735128&amp;sr=8-18", "https://www.amazon.com/Triplett-Outlet-Receptacle-Indicators-ET100/dp/B07YT6J4NB/ref=sr_1_18?keywords=Amprobe+ST-102B+Receptacle+Tester+with+GFCI&amp;qid=1694735128&amp;sr=8-18")</f>
        <v/>
      </c>
      <c r="F7454" t="inlineStr">
        <is>
          <t>B07YT6J4NB</t>
        </is>
      </c>
      <c r="G7454">
        <f>_xludf.IMAGE("https://edmondsonsupply.com/cdn/shop/products/PD_ST102B1.jpg?v=1662641155")</f>
        <v/>
      </c>
      <c r="H7454">
        <f>_xludf.IMAGE("https://m.media-amazon.com/images/I/71sl9FjB3NL._AC_UL320_.jpg")</f>
        <v/>
      </c>
      <c r="K7454" t="inlineStr">
        <is>
          <t>17.49</t>
        </is>
      </c>
      <c r="L7454" t="n">
        <v>8.710000000000001</v>
      </c>
      <c r="M7454" s="1" t="inlineStr">
        <is>
          <t>-50.20%</t>
        </is>
      </c>
      <c r="N7454" s="1" t="n"/>
      <c r="O7454" t="n">
        <v>4.7</v>
      </c>
      <c r="P7454" t="n">
        <v>633</v>
      </c>
      <c r="R7454" t="inlineStr">
        <is>
          <t>InStock</t>
        </is>
      </c>
      <c r="S7454" t="inlineStr">
        <is>
          <t>19.99</t>
        </is>
      </c>
      <c r="T7454" t="inlineStr">
        <is>
          <t>7808944570584</t>
        </is>
      </c>
    </row>
    <row r="7455" ht="87" customHeight="1">
      <c r="A7455" s="2">
        <f>HYPERLINK("https://edmondsonsupply.com/collections/electricians-tools/products/milwaukee-49-22-4175-hole-dozer%E2%84%A2-general-purpose-hole-saw-kit-15pc", "https://edmondsonsupply.com/collections/electricians-tools/products/milwaukee-49-22-4175-hole-dozer%E2%84%A2-general-purpose-hole-saw-kit-15pc")</f>
        <v/>
      </c>
      <c r="B7455" s="2">
        <f>HYPERLINK("https://edmondsonsupply.com/products/milwaukee-49-22-4175-hole-dozer%e2%84%a2-general-purpose-hole-saw-kit-15pc", "https://edmondsonsupply.com/products/milwaukee-49-22-4175-hole-dozer%e2%84%a2-general-purpose-hole-saw-kit-15pc")</f>
        <v/>
      </c>
      <c r="C7455" t="inlineStr">
        <is>
          <t>Milwaukee 49-22-4175 HOLE DOZER™ General-Purpose Hole Saw Kit - 15PC</t>
        </is>
      </c>
      <c r="D7455" t="inlineStr">
        <is>
          <t>Milwaukee 49-22-4025 13-Piece General Purpose Hole Dozer Hole Saw Kit</t>
        </is>
      </c>
      <c r="E7455" s="2">
        <f>HYPERLINK("https://www.amazon.com/Milwaukee-49-22-4025-13-Piece-General-Purpose/dp/B0045CSOIY/ref=sr_1_2?keywords=Milwaukee+49-22-4175+HOLE+DOZER%E2%84%A2+General-Purpose+Hole+Saw+Kit+-+15PC&amp;qid=1694735083&amp;sr=8-2", "https://www.amazon.com/Milwaukee-49-22-4025-13-Piece-General-Purpose/dp/B0045CSOIY/ref=sr_1_2?keywords=Milwaukee+49-22-4175+HOLE+DOZER%E2%84%A2+General-Purpose+Hole+Saw+Kit+-+15PC&amp;qid=1694735083&amp;sr=8-2")</f>
        <v/>
      </c>
      <c r="F7455" t="inlineStr">
        <is>
          <t>B0045CSOIY</t>
        </is>
      </c>
      <c r="G7455">
        <f>_xlfn.IMAGE("https://edmondsonsupply.com/cdn/shop/products/49-22-4175_101.webp?v=1668783398")</f>
        <v/>
      </c>
      <c r="H7455">
        <f>_xlfn.IMAGE("https://m.media-amazon.com/images/I/81+9kik30LL._AC_UL320_.jpg")</f>
        <v/>
      </c>
      <c r="K7455" t="inlineStr">
        <is>
          <t>149.97</t>
        </is>
      </c>
      <c r="L7455" t="n">
        <v>74.66</v>
      </c>
      <c r="M7455" s="1" t="inlineStr">
        <is>
          <t>-50.22%</t>
        </is>
      </c>
      <c r="N7455" s="7" t="n"/>
      <c r="O7455" t="n">
        <v>4.5</v>
      </c>
      <c r="P7455" t="n">
        <v>447</v>
      </c>
      <c r="R7455" t="inlineStr">
        <is>
          <t>InStock</t>
        </is>
      </c>
      <c r="S7455" t="inlineStr">
        <is>
          <t>292.7</t>
        </is>
      </c>
      <c r="T7455" t="inlineStr">
        <is>
          <t>7887697117400</t>
        </is>
      </c>
    </row>
    <row r="7456" hidden="1" ht="15.75" customHeight="1">
      <c r="A7456" s="2">
        <f>HYPERLINK("https://edmondsonsupply.com/collections/electricians-tools/products/diablo-tools-dou275rcgp-2-3-4-in-universal-fit-carbide-oscillating-blade-for-general-purpose-cuts", "https://edmondsonsupply.com/collections/electricians-tools/products/diablo-tools-dou275rcgp-2-3-4-in-universal-fit-carbide-oscillating-blade-for-general-purpose-cuts")</f>
        <v/>
      </c>
      <c r="B7456" s="2">
        <f>HYPERLINK("https://edmondsonsupply.com/products/diablo-tools-dou275rcgp-2-3-4-in-universal-fit-carbide-oscillating-blade-for-general-purpose-cuts", "https://edmondsonsupply.com/products/diablo-tools-dou275rcgp-2-3-4-in-universal-fit-carbide-oscillating-blade-for-general-purpose-cuts")</f>
        <v/>
      </c>
      <c r="C7456" t="inlineStr">
        <is>
          <t>Diablo Tools DOU275RCGP 2-3/4 in. Universal Fit Carbide Oscillating Blade for General Purpose Cuts</t>
        </is>
      </c>
      <c r="D7456" t="inlineStr">
        <is>
          <t>Diablo by Freud DOU125CGP 1-1/4 in. Universal Fit Carbide Oscillating Blade for General Purpose Cuts</t>
        </is>
      </c>
      <c r="E7456" s="2">
        <f>HYPERLINK("https://www.amazon.com/Diablo-Freud-DOU125CGP-Universal-Oscillating/dp/B089LGJV4X/ref=sr_1_2?keywords=Diablo+Tools+DOU275RCGP+2-3%2F4+in.+Universal+Fit+Carbide+Oscillating+Blade+for+General+Purpose+Cuts&amp;qid=1694734993&amp;sr=8-2", "https://www.amazon.com/Diablo-Freud-DOU125CGP-Universal-Oscillating/dp/B089LGJV4X/ref=sr_1_2?keywords=Diablo+Tools+DOU275RCGP+2-3%2F4+in.+Universal+Fit+Carbide+Oscillating+Blade+for+General+Purpose+Cuts&amp;qid=1694734993&amp;sr=8-2")</f>
        <v/>
      </c>
      <c r="F7456" t="inlineStr">
        <is>
          <t>B089LGJV4X</t>
        </is>
      </c>
      <c r="G7456">
        <f>_xludf.IMAGE("https://edmondsonsupply.com/cdn/shop/files/kukkli8nylq54bgtz0o5.webp?v=1685720266")</f>
        <v/>
      </c>
      <c r="H7456">
        <f>_xludf.IMAGE("https://m.media-amazon.com/images/I/71lNEMXVnHL._AC_UL320_.jpg")</f>
        <v/>
      </c>
      <c r="K7456" t="inlineStr">
        <is>
          <t>29.97</t>
        </is>
      </c>
      <c r="L7456" t="n">
        <v>14.9</v>
      </c>
      <c r="M7456" s="1" t="inlineStr">
        <is>
          <t>-50.28%</t>
        </is>
      </c>
      <c r="N7456" s="1" t="n"/>
      <c r="O7456" t="n">
        <v>4.6</v>
      </c>
      <c r="P7456" t="n">
        <v>38</v>
      </c>
      <c r="R7456" t="inlineStr">
        <is>
          <t>InStock</t>
        </is>
      </c>
      <c r="S7456" t="inlineStr">
        <is>
          <t>37.28</t>
        </is>
      </c>
      <c r="T7456" t="inlineStr">
        <is>
          <t>7999583125720</t>
        </is>
      </c>
    </row>
    <row r="7457" hidden="1" ht="15.75" customHeight="1">
      <c r="A7457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457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457" t="inlineStr">
        <is>
          <t>Diablo Tools DMAPL4140-P25 3/8 in. x 4 in. x 6 in. Rebar Demon™ SDS-Plus 4-Cutter Full Carbide Head Hammer Bit (25-Pack)</t>
        </is>
      </c>
      <c r="D7457" t="inlineStr">
        <is>
          <t>Diablo DMAMX1180 7/8 in. x 16 in. x 21 in. Rebar Demon™ SDS-Max 4-Cutter Full Carbide Head Hammer Bit</t>
        </is>
      </c>
      <c r="E7457" s="2">
        <f>HYPERLINK("https://www.amazon.com/Diablo-SDS-Max-4-Cutter-Carbide-Hammer/dp/B089KWFF8B/ref=sr_1_47?keywords=Diablo+Tools+DMAPL4140-P25+3%2F8+in.+x+4+in.+x+6+in.+Rebar+Demon%E2%84%A2+SDS-Plus+4-Cutter+Full+Carbide+Head+Hammer+Bit+%2825-Pack%29&amp;qid=1694735299&amp;sr=8-47", "https://www.amazon.com/Diablo-SDS-Max-4-Cutter-Carbide-Hammer/dp/B089KWFF8B/ref=sr_1_47?keywords=Diablo+Tools+DMAPL4140-P25+3%2F8+in.+x+4+in.+x+6+in.+Rebar+Demon%E2%84%A2+SDS-Plus+4-Cutter+Full+Carbide+Head+Hammer+Bit+%2825-Pack%29&amp;qid=1694735299&amp;sr=8-47")</f>
        <v/>
      </c>
      <c r="F7457" t="inlineStr">
        <is>
          <t>B089KWFF8B</t>
        </is>
      </c>
      <c r="G7457">
        <f>_xludf.IMAGE("https://edmondsonsupply.com/cdn/shop/products/DMAPL4140-P25.jpg?v=1633030354")</f>
        <v/>
      </c>
      <c r="H7457">
        <f>_xludf.IMAGE("https://m.media-amazon.com/images/I/611fTcYRNFL._AC_UL320_.jpg")</f>
        <v/>
      </c>
      <c r="K7457" t="inlineStr">
        <is>
          <t>105.97</t>
        </is>
      </c>
      <c r="L7457" t="n">
        <v>52.51</v>
      </c>
      <c r="M7457" s="1" t="inlineStr">
        <is>
          <t>-50.45%</t>
        </is>
      </c>
      <c r="N7457" s="1" t="n"/>
      <c r="O7457" t="n">
        <v>3.5</v>
      </c>
      <c r="P7457" t="n">
        <v>3</v>
      </c>
      <c r="R7457" t="inlineStr">
        <is>
          <t>InStock</t>
        </is>
      </c>
      <c r="S7457" t="inlineStr">
        <is>
          <t>153.56</t>
        </is>
      </c>
      <c r="T7457" t="inlineStr">
        <is>
          <t>5286131794088</t>
        </is>
      </c>
    </row>
    <row r="7458" hidden="1" ht="15.75" customHeight="1">
      <c r="A7458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7458" s="2">
        <f>HYPERLINK("https://edmondsonsupply.com/products/diablo-tools-d0660x-6-1-2-in-x-60-tooth-ultra-finish-saw-blade", "https://edmondsonsupply.com/products/diablo-tools-d0660x-6-1-2-in-x-60-tooth-ultra-finish-saw-blade")</f>
        <v/>
      </c>
      <c r="C7458" t="inlineStr">
        <is>
          <t>Diablo Tools D0660X 6-1/2 in. x 60 Tooth Ultra Finish Saw Blade</t>
        </is>
      </c>
      <c r="D7458" t="inlineStr">
        <is>
          <t>Echo Corner 6-1/2 inch Ultra Fine-Finish Circular Saw Blade for Wood Cutting, Thin-Kerf 60-Tooth Fast Framing Trimming Crosscut Hardwood SoftWood Laminate Veneered Plywood MDF</t>
        </is>
      </c>
      <c r="E7458" s="2">
        <f>HYPERLINK("https://www.amazon.com/Echo-Corner-Fine-Finish-Circular-Thin-Kerf/dp/B0BZM6J5V7/ref=sr_1_3?keywords=Diablo+Tools+D0660X+6-1%2F2+in.+x+60+Tooth+Ultra+Finish+Saw+Blade&amp;qid=1694735022&amp;sr=8-3", "https://www.amazon.com/Echo-Corner-Fine-Finish-Circular-Thin-Kerf/dp/B0BZM6J5V7/ref=sr_1_3?keywords=Diablo+Tools+D0660X+6-1%2F2+in.+x+60+Tooth+Ultra+Finish+Saw+Blade&amp;qid=1694735022&amp;sr=8-3")</f>
        <v/>
      </c>
      <c r="F7458" t="inlineStr">
        <is>
          <t>B0BZM6J5V7</t>
        </is>
      </c>
      <c r="G7458">
        <f>_xludf.IMAGE("https://edmondsonsupply.com/cdn/shop/products/ma8p1gcmhxpwwhymtiim.webp?v=1678983644")</f>
        <v/>
      </c>
      <c r="H7458">
        <f>_xludf.IMAGE("https://m.media-amazon.com/images/I/816ii0GM5bL._AC_UL320_.jpg")</f>
        <v/>
      </c>
      <c r="K7458" t="inlineStr">
        <is>
          <t>22.97</t>
        </is>
      </c>
      <c r="L7458" t="n">
        <v>11.38</v>
      </c>
      <c r="M7458" s="1" t="inlineStr">
        <is>
          <t>-50.46%</t>
        </is>
      </c>
      <c r="N7458" s="1" t="n"/>
      <c r="O7458" t="n">
        <v>4.8</v>
      </c>
      <c r="P7458" t="n">
        <v>11</v>
      </c>
      <c r="R7458" t="inlineStr">
        <is>
          <t>InStock</t>
        </is>
      </c>
      <c r="S7458" t="inlineStr">
        <is>
          <t>33.88</t>
        </is>
      </c>
      <c r="T7458" t="inlineStr">
        <is>
          <t>7962739507416</t>
        </is>
      </c>
    </row>
    <row r="7459" ht="87" customHeight="1">
      <c r="A7459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459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459" t="inlineStr">
        <is>
          <t>Milwaukee 48-11-2411 M12 REDLITHIUM™ Compact Battery Two Pack</t>
        </is>
      </c>
      <c r="D7459" t="inlineStr">
        <is>
          <t>Milwaukee Electric Tool 48-11-2430 M12 Redlithium 3.0 Compact Battery Pack</t>
        </is>
      </c>
      <c r="E7459" s="2">
        <f>HYPERLINK("https://www.amazon.com/Milwaukee-Electric-48-11-2430-Redlithium-Compact/dp/B01M4LEIPF/ref=sr_1_8?keywords=Milwaukee+48-11-2411+M12+REDLITHIUM%E2%84%A2+Compact+Battery+Two+Pack&amp;qid=1694735145&amp;sr=8-8", "https://www.amazon.com/Milwaukee-Electric-48-11-2430-Redlithium-Compact/dp/B01M4LEIPF/ref=sr_1_8?keywords=Milwaukee+48-11-2411+M12+REDLITHIUM%E2%84%A2+Compact+Battery+Two+Pack&amp;qid=1694735145&amp;sr=8-8")</f>
        <v/>
      </c>
      <c r="F7459" t="inlineStr">
        <is>
          <t>B01M4LEIPF</t>
        </is>
      </c>
      <c r="G7459">
        <f>_xlfn.IMAGE("https://edmondsonsupply.com/cdn/shop/products/65014_48-11-2411-lg.jpg?v=1655484824")</f>
        <v/>
      </c>
      <c r="H7459">
        <f>_xlfn.IMAGE("https://m.media-amazon.com/images/I/61f9ucOtdML._AC_UL320_.jpg")</f>
        <v/>
      </c>
      <c r="K7459" t="inlineStr">
        <is>
          <t>89.0</t>
        </is>
      </c>
      <c r="L7459" t="n">
        <v>43.99</v>
      </c>
      <c r="M7459" s="1" t="inlineStr">
        <is>
          <t>-50.57%</t>
        </is>
      </c>
      <c r="N7459" s="7" t="n"/>
      <c r="O7459" t="n">
        <v>4.8</v>
      </c>
      <c r="P7459" t="n">
        <v>456</v>
      </c>
      <c r="R7459" t="inlineStr">
        <is>
          <t>OutOfStock</t>
        </is>
      </c>
      <c r="S7459" t="inlineStr">
        <is>
          <t>150.0</t>
        </is>
      </c>
      <c r="T7459" t="inlineStr">
        <is>
          <t>7721456795864</t>
        </is>
      </c>
    </row>
    <row r="7460" ht="87" customHeight="1">
      <c r="A7460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7460" s="2">
        <f>HYPERLINK("https://edmondsonsupply.com/products/klein-tools-31902-bi-metal-hole-saw-kit-8-piece", "https://edmondsonsupply.com/products/klein-tools-31902-bi-metal-hole-saw-kit-8-piece")</f>
        <v/>
      </c>
      <c r="C7460" t="inlineStr">
        <is>
          <t>Klein Tools 31902 Bi-Metal Hole Saw Kit, 8-Piece</t>
        </is>
      </c>
      <c r="D7460" t="inlineStr">
        <is>
          <t>Bi-Metal Hole Saw Kit, SUNGATOR 18-Piece General Purpose 3/4" to 2-1/2" Set with Case. Durable High Speed Steel (HSS). Fast Cut Clean, Smooth and Precise Holes Through Metal, Wood, Plastic, Drywall.</t>
        </is>
      </c>
      <c r="E7460" s="2">
        <f>HYPERLINK("https://www.amazon.com/Bi-Metal-SUNGATOR-14-Piece-General-Drywall/dp/B07N1KNR4M/ref=sr_1_6?keywords=Klein+Tools+31902+Bi-Metal+Hole+Saw+Kit%2C+8-Piece&amp;qid=1694735008&amp;sr=8-6", "https://www.amazon.com/Bi-Metal-SUNGATOR-14-Piece-General-Drywall/dp/B07N1KNR4M/ref=sr_1_6?keywords=Klein+Tools+31902+Bi-Metal+Hole+Saw+Kit%2C+8-Piece&amp;qid=1694735008&amp;sr=8-6")</f>
        <v/>
      </c>
      <c r="F7460" t="inlineStr">
        <is>
          <t>B07N1KNR4M</t>
        </is>
      </c>
      <c r="G7460">
        <f>_xlfn.IMAGE("https://edmondsonsupply.com/cdn/shop/products/31902.jpg?v=1679665390")</f>
        <v/>
      </c>
      <c r="H7460">
        <f>_xlfn.IMAGE("https://m.media-amazon.com/images/I/61hKcjE+14L._AC_UL320_.jpg")</f>
        <v/>
      </c>
      <c r="K7460" t="inlineStr">
        <is>
          <t>74.99</t>
        </is>
      </c>
      <c r="L7460" t="n">
        <v>36.99</v>
      </c>
      <c r="M7460" s="1" t="inlineStr">
        <is>
          <t>-50.67%</t>
        </is>
      </c>
      <c r="N7460" s="7" t="n"/>
      <c r="O7460" t="n">
        <v>4.4</v>
      </c>
      <c r="P7460" t="n">
        <v>3395</v>
      </c>
      <c r="R7460" t="inlineStr">
        <is>
          <t>InStock</t>
        </is>
      </c>
      <c r="S7460" t="inlineStr">
        <is>
          <t>105.24</t>
        </is>
      </c>
      <c r="T7460" t="inlineStr">
        <is>
          <t>7966205673688</t>
        </is>
      </c>
    </row>
    <row r="7461" hidden="1" ht="15.75" customHeight="1">
      <c r="A7461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461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461" t="inlineStr">
        <is>
          <t>Klein Tools JTH6E17 1/2-Inch Hex Journeyman T-Handle 6-Inch</t>
        </is>
      </c>
      <c r="D7461" t="inlineStr">
        <is>
          <t>Klein Tools JTH9M6 6 mm Hex Key, Journeyman T-Handle, 9-Inch</t>
        </is>
      </c>
      <c r="E7461" s="2">
        <f>HYPERLINK("https://www.amazon.com/Journeyman-T-Handle-Klein-Tools-JTH9M6/dp/B005G3HJKU/ref=sr_1_13?keywords=Klein+Tools+JTH6E17+1%2F2-Inch+Hex+Journeyman+T-Handle+6-Inch&amp;qid=1694735359&amp;sr=8-13", "https://www.amazon.com/Journeyman-T-Handle-Klein-Tools-JTH9M6/dp/B005G3HJKU/ref=sr_1_13?keywords=Klein+Tools+JTH6E17+1%2F2-Inch+Hex+Journeyman+T-Handle+6-Inch&amp;qid=1694735359&amp;sr=8-13")</f>
        <v/>
      </c>
      <c r="F7461" t="inlineStr">
        <is>
          <t>B005G3HJKU</t>
        </is>
      </c>
      <c r="G7461">
        <f>_xludf.IMAGE("https://edmondsonsupply.com/cdn/shop/products/jth6e15_80623668-f320-404f-929d-7d7e04a8b5aa.jpg?v=1587146378")</f>
        <v/>
      </c>
      <c r="H7461">
        <f>_xludf.IMAGE("https://m.media-amazon.com/images/I/51+1x0vz9XL._AC_UL320_.jpg")</f>
        <v/>
      </c>
      <c r="K7461" t="inlineStr">
        <is>
          <t>19.99</t>
        </is>
      </c>
      <c r="L7461" t="n">
        <v>9.84</v>
      </c>
      <c r="M7461" s="1" t="inlineStr">
        <is>
          <t>-50.78%</t>
        </is>
      </c>
      <c r="N7461" s="1" t="n"/>
      <c r="O7461" t="n">
        <v>4.7</v>
      </c>
      <c r="P7461" t="n">
        <v>123</v>
      </c>
      <c r="R7461" t="inlineStr">
        <is>
          <t>InStock</t>
        </is>
      </c>
      <c r="S7461" t="inlineStr">
        <is>
          <t>30.28</t>
        </is>
      </c>
      <c r="T7461" t="inlineStr">
        <is>
          <t>4431817605220</t>
        </is>
      </c>
    </row>
    <row r="7462" ht="87" customHeight="1">
      <c r="A7462" s="2">
        <f>HYPERLINK("https://edmondsonsupply.com/collections/electricians-tools/products/greenlee-7238sb-slug-buster%C2%AE-1-2-2-knockout-kit-with-ratchet", "https://edmondsonsupply.com/collections/electricians-tools/products/greenlee-7238sb-slug-buster%C2%AE-1-2-2-knockout-kit-with-ratchet")</f>
        <v/>
      </c>
      <c r="B7462" s="2">
        <f>HYPERLINK("https://edmondsonsupply.com/products/greenlee-7238sb-slug-buster%c2%ae-1-2-2-knockout-kit-with-ratchet", "https://edmondsonsupply.com/products/greenlee-7238sb-slug-buster%c2%ae-1-2-2-knockout-kit-with-ratchet")</f>
        <v/>
      </c>
      <c r="C7462" t="inlineStr">
        <is>
          <t>Greenlee 7238SB Slug-Buster® 1/2" - 2" Knockout Kit with Ratchet</t>
        </is>
      </c>
      <c r="D7462" t="inlineStr">
        <is>
          <t>Greenlee 7235BB Slug-Buster 1/2" - 1-1/4" Manual Knockout Set for Use With KRW-1 High-Leverage Ratchet Wrench, Hole Punching Knockout Kit</t>
        </is>
      </c>
      <c r="E7462" s="2">
        <f>HYPERLINK("https://www.amazon.com/Greenlee-7235BB-Slug-Buster-Knockout-Conduit/dp/B000LDEZNO/ref=sr_1_4?keywords=Greenlee+7238SB+Slug-Buster%C2%AE+1%2F2%22+-+2%22+Knockout+Kit+with+Ratchet&amp;qid=1694735389&amp;sr=8-4", "https://www.amazon.com/Greenlee-7235BB-Slug-Buster-Knockout-Conduit/dp/B000LDEZNO/ref=sr_1_4?keywords=Greenlee+7238SB+Slug-Buster%C2%AE+1%2F2%22+-+2%22+Knockout+Kit+with+Ratchet&amp;qid=1694735389&amp;sr=8-4")</f>
        <v/>
      </c>
      <c r="F7462" t="inlineStr">
        <is>
          <t>B000LDEZNO</t>
        </is>
      </c>
      <c r="G7462">
        <f>_xlfn.IMAGE("https://edmondsonsupply.com/cdn/shop/products/7238SB-CAT1.jpg?v=1587150226")</f>
        <v/>
      </c>
      <c r="H7462">
        <f>_xlfn.IMAGE("https://m.media-amazon.com/images/I/81zBRdBM0qL._AC_UL320_.jpg")</f>
        <v/>
      </c>
      <c r="K7462" t="inlineStr">
        <is>
          <t>376.32</t>
        </is>
      </c>
      <c r="L7462" t="n">
        <v>184.99</v>
      </c>
      <c r="M7462" s="1" t="inlineStr">
        <is>
          <t>-50.84%</t>
        </is>
      </c>
      <c r="N7462" s="7" t="n"/>
      <c r="O7462" t="n">
        <v>4.6</v>
      </c>
      <c r="P7462" t="n">
        <v>167</v>
      </c>
      <c r="R7462" t="inlineStr">
        <is>
          <t>InStock</t>
        </is>
      </c>
      <c r="S7462" t="inlineStr">
        <is>
          <t>448.0</t>
        </is>
      </c>
      <c r="T7462" t="inlineStr">
        <is>
          <t>4430553743460</t>
        </is>
      </c>
    </row>
    <row r="7463" ht="87" customHeight="1">
      <c r="A7463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463" s="2">
        <f>HYPERLINK("https://edmondsonsupply.com/products/klein-tools-31900-bi-metal-hole-saw-6-3-8-inch", "https://edmondsonsupply.com/products/klein-tools-31900-bi-metal-hole-saw-6-3-8-inch")</f>
        <v/>
      </c>
      <c r="C7463" t="inlineStr">
        <is>
          <t>Klein Tools 31900 Bi-Metal Hole Saw, 6-3/8-Inch</t>
        </is>
      </c>
      <c r="D7463" t="inlineStr">
        <is>
          <t>6 Inch Bi-Metal Hole Saw, 6” Diameter Hole Saw with Heavy Duty Arbor, Perfect for Recessed &amp; Can Lights, 38mm Cutting Depth Great Metal, Wood, Drywall Saw, Smooth Cutting and Bright Red Color</t>
        </is>
      </c>
      <c r="E7463" s="2">
        <f>HYPERLINK("https://www.amazon.com/Bi-Metal-Diameter-Perfect-Recessed-Cutting/dp/B07VQ72HQK/ref=sr_1_17?keywords=Klein+Tools+31900+Bi-Metal+Hole+Saw%2C+6-3%2F8-Inch&amp;qid=1694735340&amp;sr=8-17", "https://www.amazon.com/Bi-Metal-Diameter-Perfect-Recessed-Cutting/dp/B07VQ72HQK/ref=sr_1_17?keywords=Klein+Tools+31900+Bi-Metal+Hole+Saw%2C+6-3%2F8-Inch&amp;qid=1694735340&amp;sr=8-17")</f>
        <v/>
      </c>
      <c r="F7463" t="inlineStr">
        <is>
          <t>B07VQ72HQK</t>
        </is>
      </c>
      <c r="G7463">
        <f>_xlfn.IMAGE("https://edmondsonsupply.com/cdn/shop/products/31900.jpg?v=1587149880")</f>
        <v/>
      </c>
      <c r="H7463">
        <f>_xlfn.IMAGE("https://m.media-amazon.com/images/I/71j3Plt9AyL._AC_UL320_.jpg")</f>
        <v/>
      </c>
      <c r="K7463" t="inlineStr">
        <is>
          <t>44.99</t>
        </is>
      </c>
      <c r="L7463" t="n">
        <v>21.99</v>
      </c>
      <c r="M7463" s="1" t="inlineStr">
        <is>
          <t>-51.12%</t>
        </is>
      </c>
      <c r="N7463" s="7" t="n"/>
      <c r="O7463" t="n">
        <v>4.2</v>
      </c>
      <c r="P7463" t="n">
        <v>212</v>
      </c>
      <c r="R7463" t="inlineStr">
        <is>
          <t>InStock</t>
        </is>
      </c>
      <c r="S7463" t="inlineStr">
        <is>
          <t>54.86</t>
        </is>
      </c>
      <c r="T7463" t="inlineStr">
        <is>
          <t>4508234514532</t>
        </is>
      </c>
    </row>
    <row r="7464" ht="87" customHeight="1">
      <c r="A7464" s="2">
        <f>HYPERLINK("https://edmondsonsupply.com/collections/electricians-tools/products/klein-tools-56059-multi-groove-fiberglass-fish-tape-200-foot", "https://edmondsonsupply.com/collections/electricians-tools/products/klein-tools-56059-multi-groove-fiberglass-fish-tape-200-foot")</f>
        <v/>
      </c>
      <c r="B7464" s="2">
        <f>HYPERLINK("https://edmondsonsupply.com/products/klein-tools-56059-multi-groove-fiberglass-fish-tape-200-foot", "https://edmondsonsupply.com/products/klein-tools-56059-multi-groove-fiberglass-fish-tape-200-foot")</f>
        <v/>
      </c>
      <c r="C7464" t="inlineStr">
        <is>
          <t>Klein Tools 56059 Multi-Groove Fiberglass Fish Tape 200-Foot</t>
        </is>
      </c>
      <c r="D7464" t="inlineStr">
        <is>
          <t>Klein Tools 56382 Non-Conductive Electrical Fish Tape, Multi-Groove Fiberglass Wire Puller, Optimized Housing and Handle, 50-Foot x 3/16-Inch</t>
        </is>
      </c>
      <c r="E7464" s="2">
        <f>HYPERLINK("https://www.amazon.com/Klein-Tools-56382-Multi-Groove-Fiberglass/dp/B081ZTKDLJ/ref=sr_1_6?keywords=Klein+Tools+56059+Multi-Groove+Fiberglass+Fish+Tape+200-Foot&amp;qid=1694735159&amp;sr=8-6", "https://www.amazon.com/Klein-Tools-56382-Multi-Groove-Fiberglass/dp/B081ZTKDLJ/ref=sr_1_6?keywords=Klein+Tools+56059+Multi-Groove+Fiberglass+Fish+Tape+200-Foot&amp;qid=1694735159&amp;sr=8-6")</f>
        <v/>
      </c>
      <c r="F7464" t="inlineStr">
        <is>
          <t>B081ZTKDLJ</t>
        </is>
      </c>
      <c r="G7464">
        <f>_xlfn.IMAGE("https://edmondsonsupply.com/cdn/shop/products/56059.jpg?v=1648938340")</f>
        <v/>
      </c>
      <c r="H7464">
        <f>_xlfn.IMAGE("https://m.media-amazon.com/images/I/51ObZVU2LaL._AC_UL320_.jpg")</f>
        <v/>
      </c>
      <c r="K7464" t="inlineStr">
        <is>
          <t>184.99</t>
        </is>
      </c>
      <c r="L7464" t="n">
        <v>89.98999999999999</v>
      </c>
      <c r="M7464" s="1" t="inlineStr">
        <is>
          <t>-51.35%</t>
        </is>
      </c>
      <c r="N7464" s="7" t="n"/>
      <c r="O7464" t="n">
        <v>4.4</v>
      </c>
      <c r="P7464" t="n">
        <v>100</v>
      </c>
      <c r="R7464" t="inlineStr">
        <is>
          <t>InStock</t>
        </is>
      </c>
      <c r="S7464" t="inlineStr">
        <is>
          <t>272.72</t>
        </is>
      </c>
      <c r="T7464" t="inlineStr">
        <is>
          <t>7652141531352</t>
        </is>
      </c>
    </row>
    <row r="7465" hidden="1" ht="15.75" customHeight="1">
      <c r="A7465" s="2">
        <f>HYPERLINK("https://edmondsonsupply.com/collections/electricians-tools/products/milwaukee-48-03-3010-carbide-bit-spline-to-sds-max-adapter", "https://edmondsonsupply.com/collections/electricians-tools/products/milwaukee-48-03-3010-carbide-bit-spline-to-sds-max-adapter")</f>
        <v/>
      </c>
      <c r="B7465" s="2">
        <f>HYPERLINK("https://edmondsonsupply.com/products/milwaukee-48-03-3010-carbide-bit-spline-to-sds-max-adapter", "https://edmondsonsupply.com/products/milwaukee-48-03-3010-carbide-bit-spline-to-sds-max-adapter")</f>
        <v/>
      </c>
      <c r="C7465" t="inlineStr">
        <is>
          <t>Milwaukee 48-03-3010 Spline to SDS-MAX Bit Adapter</t>
        </is>
      </c>
      <c r="D7465" t="inlineStr">
        <is>
          <t>Milwaukee 48-03-3564 12-Inch Spline Thick Core Bit Adapter for 1 1/2-Inch to 6-Inch Bits</t>
        </is>
      </c>
      <c r="E7465" s="2">
        <f>HYPERLINK("https://www.amazon.com/Milwaukee-48-03-3564-12-Inch-Spline-Adapter/dp/B0009H5R6Q/ref=sr_1_8?keywords=Milwaukee+48-03-3010+Spline+to+SDS-MAX+Bit+Adapter&amp;qid=1694735052&amp;sr=8-8", "https://www.amazon.com/Milwaukee-48-03-3564-12-Inch-Spline-Adapter/dp/B0009H5R6Q/ref=sr_1_8?keywords=Milwaukee+48-03-3010+Spline+to+SDS-MAX+Bit+Adapter&amp;qid=1694735052&amp;sr=8-8")</f>
        <v/>
      </c>
      <c r="F7465" t="inlineStr">
        <is>
          <t>B0009H5R6Q</t>
        </is>
      </c>
      <c r="G7465">
        <f>_xludf.IMAGE("https://edmondsonsupply.com/cdn/shop/products/48-03-3010.webp?v=1674075943")</f>
        <v/>
      </c>
      <c r="H7465">
        <f>_xludf.IMAGE("https://m.media-amazon.com/images/I/2157CNN6DQL._AC_UL320_.jpg")</f>
        <v/>
      </c>
      <c r="K7465" t="inlineStr">
        <is>
          <t>151.89</t>
        </is>
      </c>
      <c r="L7465" t="n">
        <v>73.88</v>
      </c>
      <c r="M7465" s="1" t="inlineStr">
        <is>
          <t>-51.36%</t>
        </is>
      </c>
      <c r="N7465" s="1" t="n"/>
      <c r="O7465" t="n">
        <v>1</v>
      </c>
      <c r="P7465" t="n">
        <v>1</v>
      </c>
      <c r="R7465" t="inlineStr">
        <is>
          <t>InStock</t>
        </is>
      </c>
      <c r="S7465" t="inlineStr">
        <is>
          <t>274.6</t>
        </is>
      </c>
      <c r="T7465" t="inlineStr">
        <is>
          <t>7926176383192</t>
        </is>
      </c>
    </row>
    <row r="7466" ht="87" customHeight="1">
      <c r="A7466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7466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7466" t="inlineStr">
        <is>
          <t>Diablo Tools DMAMX1130 3/4 in. x 8 in. x 13 in. Rebar Demon™ SDS‑Max 4‑Cutter Full Carbide Head Hammer Bit</t>
        </is>
      </c>
      <c r="D7466" t="inlineStr">
        <is>
          <t>Diablo by Freud DMAPL4230 5/8 in. x 10 in. x 12 in. Rebar Demon SDS-Plus 4-Cutter Full Carbide Head Hammer Bit</t>
        </is>
      </c>
      <c r="E7466" s="2">
        <f>HYPERLINK("https://www.amazon.com/Diablo-Freud-DMAPL4230-SDS-Plus-4-Cutter/dp/B089LCN234/ref=sr_1_23?keywords=Diablo+Tools+DMAMX1130+3%2F4+in.+x+8+in.+x+13+in.+Rebar+Demon%E2%84%A2+SDS%E2%80%91Max+4%E2%80%91Cutter+Full+Carbide+Head+Hammer+Bit&amp;qid=1694735267&amp;sr=8-23", "https://www.amazon.com/Diablo-Freud-DMAPL4230-SDS-Plus-4-Cutter/dp/B089LCN234/ref=sr_1_23?keywords=Diablo+Tools+DMAMX1130+3%2F4+in.+x+8+in.+x+13+in.+Rebar+Demon%E2%84%A2+SDS%E2%80%91Max+4%E2%80%91Cutter+Full+Carbide+Head+Hammer+Bit&amp;qid=1694735267&amp;sr=8-23")</f>
        <v/>
      </c>
      <c r="F7466" t="inlineStr">
        <is>
          <t>B089LCN234</t>
        </is>
      </c>
      <c r="G7466">
        <f>_xlfn.IMAGE("https://edmondsonsupply.com/cdn/shop/products/DMAMX1130_Main-Image20200701.png?v=1633030568")</f>
        <v/>
      </c>
      <c r="H7466">
        <f>_xlfn.IMAGE("https://m.media-amazon.com/images/I/61r649wmyhL._AC_UL320_.jpg")</f>
        <v/>
      </c>
      <c r="K7466" t="inlineStr">
        <is>
          <t>44.97</t>
        </is>
      </c>
      <c r="L7466" t="n">
        <v>21.86</v>
      </c>
      <c r="M7466" s="1" t="inlineStr">
        <is>
          <t>-51.39%</t>
        </is>
      </c>
      <c r="N7466" s="7" t="n"/>
      <c r="O7466" t="n">
        <v>4.7</v>
      </c>
      <c r="P7466" t="n">
        <v>47</v>
      </c>
      <c r="R7466" t="inlineStr">
        <is>
          <t>InStock</t>
        </is>
      </c>
      <c r="S7466" t="inlineStr">
        <is>
          <t>46.26</t>
        </is>
      </c>
      <c r="T7466" t="inlineStr">
        <is>
          <t>5463880925352</t>
        </is>
      </c>
    </row>
    <row r="7467" ht="87" customHeight="1">
      <c r="A7467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7467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7467" t="inlineStr">
        <is>
          <t>Diablo Tools DOU125JBW3 1-1/4 in. Universal Fit Bi-Metal Oscillating Blades for Clean Wood</t>
        </is>
      </c>
      <c r="D7467" t="inlineStr">
        <is>
          <t>Diablo by Freud DOU125BF3 1-1/4 in. Universal Fit Bi-Metal Oscillating Blades for Metal (3-Pack)</t>
        </is>
      </c>
      <c r="E7467" s="2">
        <f>HYPERLINK("https://www.amazon.com/Diablo-Freud-DOU125BF3-Universal-Oscillating/dp/B089KTHL1Z/ref=sr_1_6?keywords=Diablo+Tools+DOU125JBW3+1-1%2F4+in.+Universal+Fit+Bi-Metal+Oscillating+Blades+for+Clean+Wood&amp;qid=1694735211&amp;sr=8-6", "https://www.amazon.com/Diablo-Freud-DOU125BF3-Universal-Oscillating/dp/B089KTHL1Z/ref=sr_1_6?keywords=Diablo+Tools+DOU125JBW3+1-1%2F4+in.+Universal+Fit+Bi-Metal+Oscillating+Blades+for+Clean+Wood&amp;qid=1694735211&amp;sr=8-6")</f>
        <v/>
      </c>
      <c r="F7467" t="inlineStr">
        <is>
          <t>B089KTHL1Z</t>
        </is>
      </c>
      <c r="G7467">
        <f>_xlfn.IMAGE("https://edmondsonsupply.com/cdn/shop/products/DOU125JBW3_Main-Image.png?v=1633031095")</f>
        <v/>
      </c>
      <c r="H7467">
        <f>_xlfn.IMAGE("https://m.media-amazon.com/images/I/61mZfXlj-XL._AC_UL320_.jpg")</f>
        <v/>
      </c>
      <c r="K7467" t="inlineStr">
        <is>
          <t>34.97</t>
        </is>
      </c>
      <c r="L7467" t="n">
        <v>16.99</v>
      </c>
      <c r="M7467" s="1" t="inlineStr">
        <is>
          <t>-51.42%</t>
        </is>
      </c>
      <c r="N7467" s="7" t="n"/>
      <c r="O7467" t="n">
        <v>4.1</v>
      </c>
      <c r="P7467" t="n">
        <v>13</v>
      </c>
      <c r="R7467" t="inlineStr">
        <is>
          <t>InStock</t>
        </is>
      </c>
      <c r="S7467" t="inlineStr">
        <is>
          <t>43.53</t>
        </is>
      </c>
      <c r="T7467" t="inlineStr">
        <is>
          <t>6839865278637</t>
        </is>
      </c>
    </row>
    <row r="7468" ht="87" customHeight="1">
      <c r="A7468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468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468" t="inlineStr">
        <is>
          <t>Diablo Tools DOU125BF3 1-1/4 in. Universal Fit Bi-Metal Oscillating Blade for Metal (3 pack)</t>
        </is>
      </c>
      <c r="D7468" t="inlineStr">
        <is>
          <t>Diablo by Freud DOU125BF3 1-1/4 in. Universal Fit Bi-Metal Oscillating Blades for Metal (3-Pack)</t>
        </is>
      </c>
      <c r="E7468" s="2">
        <f>HYPERLINK("https://www.amazon.com/Diablo-Freud-DOU125BF3-Universal-Oscillating/dp/B089KTHL1Z/ref=sr_1_1?keywords=Diablo+Tools+DOU125BF3+1-1%2F4+in.+Universal+Fit+Bi-Metal+Oscillating+Blade+for+Metal+%283+pack%29&amp;qid=1694734993&amp;sr=8-1", "https://www.amazon.com/Diablo-Freud-DOU125BF3-Universal-Oscillating/dp/B089KTHL1Z/ref=sr_1_1?keywords=Diablo+Tools+DOU125BF3+1-1%2F4+in.+Universal+Fit+Bi-Metal+Oscillating+Blade+for+Metal+%283+pack%29&amp;qid=1694734993&amp;sr=8-1")</f>
        <v/>
      </c>
      <c r="F7468" t="inlineStr">
        <is>
          <t>B089KTHL1Z</t>
        </is>
      </c>
      <c r="G7468">
        <f>_xlfn.IMAGE("https://edmondsonsupply.com/cdn/shop/files/k1d1qiwmm4npznsdbwtg_4dc7bdf3-43a4-4863-8a1d-f71b60bc7c6d.webp?v=1685468179")</f>
        <v/>
      </c>
      <c r="H7468">
        <f>_xlfn.IMAGE("https://m.media-amazon.com/images/I/61mZfXlj-XL._AC_UL320_.jpg")</f>
        <v/>
      </c>
      <c r="K7468" t="inlineStr">
        <is>
          <t>34.97</t>
        </is>
      </c>
      <c r="L7468" t="n">
        <v>16.99</v>
      </c>
      <c r="M7468" s="1" t="inlineStr">
        <is>
          <t>-51.42%</t>
        </is>
      </c>
      <c r="N7468" s="7" t="n"/>
      <c r="O7468" t="n">
        <v>4.1</v>
      </c>
      <c r="P7468" t="n">
        <v>13</v>
      </c>
      <c r="R7468" t="inlineStr">
        <is>
          <t>InStock</t>
        </is>
      </c>
      <c r="S7468" t="inlineStr">
        <is>
          <t>43.53</t>
        </is>
      </c>
      <c r="T7468" t="inlineStr">
        <is>
          <t>7997880729816</t>
        </is>
      </c>
    </row>
    <row r="7469" ht="87" customHeight="1">
      <c r="A7469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469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469" t="inlineStr">
        <is>
          <t>Diablo Tools DOU125BF3 1-1/4 in. Universal Fit Bi-Metal Oscillating Blade for Metal (3 pack)</t>
        </is>
      </c>
      <c r="D7469" t="inlineStr">
        <is>
          <t>Diablo by Freud DOU125CF 1-1/4 in. Universal Fit Carbide Oscillating Blade for Metal</t>
        </is>
      </c>
      <c r="E7469" s="2">
        <f>HYPERLINK("https://www.amazon.com/Diablo-Universal-Carbide-Oscillating-Blade/dp/B089LHKRPN/ref=sr_1_2?keywords=Diablo+Tools+DOU125BF3+1-1%2F4+in.+Universal+Fit+Bi-Metal+Oscillating+Blade+for+Metal+%283+pack%29&amp;qid=1694734993&amp;sr=8-2", "https://www.amazon.com/Diablo-Universal-Carbide-Oscillating-Blade/dp/B089LHKRPN/ref=sr_1_2?keywords=Diablo+Tools+DOU125BF3+1-1%2F4+in.+Universal+Fit+Bi-Metal+Oscillating+Blade+for+Metal+%283+pack%29&amp;qid=1694734993&amp;sr=8-2")</f>
        <v/>
      </c>
      <c r="F7469" t="inlineStr">
        <is>
          <t>B089LHKRPN</t>
        </is>
      </c>
      <c r="G7469">
        <f>_xlfn.IMAGE("https://edmondsonsupply.com/cdn/shop/files/k1d1qiwmm4npznsdbwtg_4dc7bdf3-43a4-4863-8a1d-f71b60bc7c6d.webp?v=1685468179")</f>
        <v/>
      </c>
      <c r="H7469">
        <f>_xlfn.IMAGE("https://m.media-amazon.com/images/I/71izb0UUOkL._AC_UL320_.jpg")</f>
        <v/>
      </c>
      <c r="K7469" t="inlineStr">
        <is>
          <t>34.97</t>
        </is>
      </c>
      <c r="L7469" t="n">
        <v>16.99</v>
      </c>
      <c r="M7469" s="1" t="inlineStr">
        <is>
          <t>-51.42%</t>
        </is>
      </c>
      <c r="N7469" s="7" t="n"/>
      <c r="O7469" t="n">
        <v>4.3</v>
      </c>
      <c r="P7469" t="n">
        <v>19</v>
      </c>
      <c r="R7469" t="inlineStr">
        <is>
          <t>InStock</t>
        </is>
      </c>
      <c r="S7469" t="inlineStr">
        <is>
          <t>43.53</t>
        </is>
      </c>
      <c r="T7469" t="inlineStr">
        <is>
          <t>7997880729816</t>
        </is>
      </c>
    </row>
    <row r="7470" ht="87" customHeight="1">
      <c r="A7470" s="2">
        <f>HYPERLINK("https://edmondsonsupply.com/collections/electricians-tools/products/diablo-tools-dmarg1210-1-in-x-10-in-x-12-in-speedemon%E2%84%A2-red-granite-carbide-tipped-hammer-drill-bit", "https://edmondsonsupply.com/collections/electricians-tools/products/diablo-tools-dmarg1210-1-in-x-10-in-x-12-in-speedemon%E2%84%A2-red-granite-carbide-tipped-hammer-drill-bit")</f>
        <v/>
      </c>
      <c r="B7470" s="2">
        <f>HYPERLINK("https://edmondsonsupply.com/products/diablo-tools-dmarg1210-1-in-x-10-in-x-12-in-speedemon%e2%84%a2-red-granite-carbide-tipped-hammer-drill-bit", "https://edmondsonsupply.com/products/diablo-tools-dmarg1210-1-in-x-10-in-x-12-in-speedemon%e2%84%a2-red-granite-carbide-tipped-hammer-drill-bit")</f>
        <v/>
      </c>
      <c r="C7470" t="inlineStr">
        <is>
          <t>Diablo Tools DMARG1210 1 in. x 10 in. x 12 in. SPEEDemon™ Red Granite Carbide Tipped Hammer Drill Bit</t>
        </is>
      </c>
      <c r="D7470" t="inlineStr">
        <is>
          <t>Diablo 5/8" x 10"x12" SPEEDemon™ Red Granite Carbide Tipped Hammer Drill Bit</t>
        </is>
      </c>
      <c r="E7470" s="2">
        <f>HYPERLINK("https://www.amazon.com/Diablo-SPEEDemon-Granite-Carbide-Tipped/dp/B089LG6VXL/ref=sr_1_6?keywords=Diablo+Tools+DMARG1210+1+in.+x+10+in.+x+12+in.+SPEEDemon%E2%84%A2+Red+Granite+Carbide+Tipped+Hammer+Drill+Bit&amp;qid=1694735273&amp;sr=8-6", "https://www.amazon.com/Diablo-SPEEDemon-Granite-Carbide-Tipped/dp/B089LG6VXL/ref=sr_1_6?keywords=Diablo+Tools+DMARG1210+1+in.+x+10+in.+x+12+in.+SPEEDemon%E2%84%A2+Red+Granite+Carbide+Tipped+Hammer+Drill+Bit&amp;qid=1694735273&amp;sr=8-6")</f>
        <v/>
      </c>
      <c r="F7470" t="inlineStr">
        <is>
          <t>B089LG6VXL</t>
        </is>
      </c>
      <c r="G7470">
        <f>_xlfn.IMAGE("https://edmondsonsupply.com/cdn/shop/products/DMARG1210_Main-Image20200702.png?v=1633030511")</f>
        <v/>
      </c>
      <c r="H7470">
        <f>_xlfn.IMAGE("https://m.media-amazon.com/images/I/61oQS6tt6EL._AC_UL320_.jpg")</f>
        <v/>
      </c>
      <c r="K7470" t="inlineStr">
        <is>
          <t>31.97</t>
        </is>
      </c>
      <c r="L7470" t="n">
        <v>15.53</v>
      </c>
      <c r="M7470" s="1" t="inlineStr">
        <is>
          <t>-51.42%</t>
        </is>
      </c>
      <c r="N7470" s="7" t="n"/>
      <c r="O7470" t="n">
        <v>4.7</v>
      </c>
      <c r="P7470" t="n">
        <v>5</v>
      </c>
      <c r="R7470" t="inlineStr">
        <is>
          <t>InStock</t>
        </is>
      </c>
      <c r="S7470" t="inlineStr">
        <is>
          <t>undefined</t>
        </is>
      </c>
      <c r="T7470" t="inlineStr">
        <is>
          <t>5386558177448</t>
        </is>
      </c>
    </row>
    <row r="7471" hidden="1" ht="15.75" customHeight="1">
      <c r="A7471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471" s="2">
        <f>HYPERLINK("https://edmondsonsupply.com/products/klein-tools-32307-27-in-1-multi-bit-tamperproof-screwdriver", "https://edmondsonsupply.com/products/klein-tools-32307-27-in-1-multi-bit-tamperproof-screwdriver")</f>
        <v/>
      </c>
      <c r="C7471" t="inlineStr">
        <is>
          <t>Klein Tools 32307 27-in-1 Multi-Bit Tamperproof Screwdriver</t>
        </is>
      </c>
      <c r="D7471" t="inlineStr">
        <is>
          <t>Klein Tools 32562 Multi-Bit Screwdriver / Nut Driver, 6-in-1 Stubby Tool with Square Recess, Slotted, Phillips Bits and Nut Drivers</t>
        </is>
      </c>
      <c r="E7471" s="2">
        <f>HYPERLINK("https://www.amazon.com/Multi-Bit-Screwdriver-Klein-Tools-32562/dp/B007SF5DNE/ref=sr_1_48?keywords=Klein+Tools+32307+27-in-1+Multi-Bit+Tamperproof+Screwdriver&amp;qid=1694735165&amp;sr=8-48", "https://www.amazon.com/Multi-Bit-Screwdriver-Klein-Tools-32562/dp/B007SF5DNE/ref=sr_1_48?keywords=Klein+Tools+32307+27-in-1+Multi-Bit+Tamperproof+Screwdriver&amp;qid=1694735165&amp;sr=8-48")</f>
        <v/>
      </c>
      <c r="F7471" t="inlineStr">
        <is>
          <t>B007SF5DNE</t>
        </is>
      </c>
      <c r="G7471">
        <f>_xludf.IMAGE("https://edmondsonsupply.com/cdn/shop/products/32307.jpg?v=1647347524")</f>
        <v/>
      </c>
      <c r="H7471">
        <f>_xludf.IMAGE("https://m.media-amazon.com/images/I/515fclR4vsL._AC_UL320_.jpg")</f>
        <v/>
      </c>
      <c r="K7471" t="inlineStr">
        <is>
          <t>25.97</t>
        </is>
      </c>
      <c r="L7471" t="n">
        <v>12.6</v>
      </c>
      <c r="M7471" s="1" t="inlineStr">
        <is>
          <t>-51.48%</t>
        </is>
      </c>
      <c r="N7471" s="1" t="n"/>
      <c r="O7471" t="n">
        <v>4.7</v>
      </c>
      <c r="P7471" t="n">
        <v>480</v>
      </c>
      <c r="R7471" t="inlineStr">
        <is>
          <t>InStock</t>
        </is>
      </c>
      <c r="S7471" t="inlineStr">
        <is>
          <t>36.38</t>
        </is>
      </c>
      <c r="T7471" t="inlineStr">
        <is>
          <t>7637266366680</t>
        </is>
      </c>
    </row>
    <row r="7472" ht="87" customHeight="1">
      <c r="A7472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472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472" t="inlineStr">
        <is>
          <t>Diablo Tools DOU125BF3 1-1/4 in. Universal Fit Bi-Metal Oscillating Blade for Metal (3 pack)</t>
        </is>
      </c>
      <c r="D7472" t="inlineStr">
        <is>
          <t>Diablo 2-1/2 in. Universal Fit Bi-Metal Oscillating Blade for Nail-Embedded Wood</t>
        </is>
      </c>
      <c r="E7472" s="2">
        <f>HYPERLINK("https://www.amazon.com/Diablo-Freud-DOU250BW-Oscillating-Nail-Embedded/dp/B089KWP5Z2/ref=sr_1_17?keywords=Diablo+Tools+DOU125BF3+1-1%2F4+in.+Universal+Fit+Bi-Metal+Oscillating+Blade+for+Metal+%283+pack%29&amp;qid=1694734993&amp;sr=8-17", "https://www.amazon.com/Diablo-Freud-DOU250BW-Oscillating-Nail-Embedded/dp/B089KWP5Z2/ref=sr_1_17?keywords=Diablo+Tools+DOU125BF3+1-1%2F4+in.+Universal+Fit+Bi-Metal+Oscillating+Blade+for+Metal+%283+pack%29&amp;qid=1694734993&amp;sr=8-17")</f>
        <v/>
      </c>
      <c r="F7472" t="inlineStr">
        <is>
          <t>B089KWP5Z2</t>
        </is>
      </c>
      <c r="G7472">
        <f>_xlfn.IMAGE("https://edmondsonsupply.com/cdn/shop/files/k1d1qiwmm4npznsdbwtg_4dc7bdf3-43a4-4863-8a1d-f71b60bc7c6d.webp?v=1685468179")</f>
        <v/>
      </c>
      <c r="H7472">
        <f>_xlfn.IMAGE("https://m.media-amazon.com/images/I/71fhfiK3NaL._AC_UL320_.jpg")</f>
        <v/>
      </c>
      <c r="K7472" t="inlineStr">
        <is>
          <t>34.97</t>
        </is>
      </c>
      <c r="L7472" t="n">
        <v>16.94</v>
      </c>
      <c r="M7472" s="1" t="inlineStr">
        <is>
          <t>-51.56%</t>
        </is>
      </c>
      <c r="N7472" s="7" t="n"/>
      <c r="O7472" t="n">
        <v>4.6</v>
      </c>
      <c r="P7472" t="n">
        <v>31</v>
      </c>
      <c r="R7472" t="inlineStr">
        <is>
          <t>InStock</t>
        </is>
      </c>
      <c r="S7472" t="inlineStr">
        <is>
          <t>43.53</t>
        </is>
      </c>
      <c r="T7472" t="inlineStr">
        <is>
          <t>7997880729816</t>
        </is>
      </c>
    </row>
    <row r="7473" ht="87" customHeight="1">
      <c r="A7473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7473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7473" t="inlineStr">
        <is>
          <t>Channellock 440X 12-Inch SPEEDGRIP™ Straight Jaw Tongue &amp; Groove Pliers</t>
        </is>
      </c>
      <c r="D7473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7473" s="2">
        <f>HYPERLINK("https://www.amazon.com/Channellock-426-8-Inch-Capacity-2-Inch/dp/B00004SBCS/ref=sr_1_12?keywords=Channellock+440X+12-Inch+SPEEDGRIP%E2%84%A2+Straight+Jaw+Tongue+%26+Groove+Pliers&amp;qid=1694735165&amp;sr=8-12", "https://www.amazon.com/Channellock-426-8-Inch-Capacity-2-Inch/dp/B00004SBCS/ref=sr_1_12?keywords=Channellock+440X+12-Inch+SPEEDGRIP%E2%84%A2+Straight+Jaw+Tongue+%26+Groove+Pliers&amp;qid=1694735165&amp;sr=8-12")</f>
        <v/>
      </c>
      <c r="F7473" t="inlineStr">
        <is>
          <t>B00004SBCS</t>
        </is>
      </c>
      <c r="G7473">
        <f>_xlfn.IMAGE("https://edmondsonsupply.com/cdn/shop/products/440X.jpg?v=1647104734")</f>
        <v/>
      </c>
      <c r="H7473">
        <f>_xlfn.IMAGE("https://m.media-amazon.com/images/I/713NYKlIyoL._AC_UL320_.jpg")</f>
        <v/>
      </c>
      <c r="K7473" t="inlineStr">
        <is>
          <t>32.95</t>
        </is>
      </c>
      <c r="L7473" t="n">
        <v>15.95</v>
      </c>
      <c r="M7473" s="1" t="inlineStr">
        <is>
          <t>-51.59%</t>
        </is>
      </c>
      <c r="N7473" s="7" t="n"/>
      <c r="O7473" t="n">
        <v>4.7</v>
      </c>
      <c r="P7473" t="n">
        <v>1995</v>
      </c>
      <c r="R7473" t="inlineStr">
        <is>
          <t>InStock</t>
        </is>
      </c>
      <c r="S7473" t="inlineStr">
        <is>
          <t>45.99</t>
        </is>
      </c>
      <c r="T7473" t="inlineStr">
        <is>
          <t>7633805279448</t>
        </is>
      </c>
    </row>
    <row r="7474" ht="87" customHeight="1">
      <c r="A7474" s="2">
        <f>HYPERLINK("https://edmondsonsupply.com/collections/electricians-tools/products/channellock-440x-12-inch-speedgrip%E2%84%A2-straight-jaw-tongue-groove-pliers", "https://edmondsonsupply.com/collections/electricians-tools/products/channellock-440x-12-inch-speedgrip%E2%84%A2-straight-jaw-tongue-groove-pliers")</f>
        <v/>
      </c>
      <c r="B7474" s="2">
        <f>HYPERLINK("https://edmondsonsupply.com/products/channellock-440x-12-inch-speedgrip%e2%84%a2-straight-jaw-tongue-groove-pliers", "https://edmondsonsupply.com/products/channellock-440x-12-inch-speedgrip%e2%84%a2-straight-jaw-tongue-groove-pliers")</f>
        <v/>
      </c>
      <c r="C7474" t="inlineStr">
        <is>
          <t>Channellock 440X 12-Inch SPEEDGRIP™ Straight Jaw Tongue &amp; Groove Pliers</t>
        </is>
      </c>
      <c r="D7474" t="inlineStr">
        <is>
          <t>CHANNELLOCK 424 Straight Jaw Tongue &amp; Groove Pliers, 4.5-inch | 1/2-inch Jaw Capacity | 3 Adjustments | Forged High-Carbon U.S. Steel | 90° Teeth Grip in Both Directions | Made in USA, Polished Steel</t>
        </is>
      </c>
      <c r="E7474" s="2">
        <f>HYPERLINK("https://www.amazon.com/CHANNELLOCK-424-Adjustments-High-Carbon-Directions/dp/B00004SBCR/ref=sr_1_11?keywords=Channellock+440X+12-Inch+SPEEDGRIP%E2%84%A2+Straight+Jaw+Tongue+%26+Groove+Pliers&amp;qid=1694735165&amp;sr=8-11", "https://www.amazon.com/CHANNELLOCK-424-Adjustments-High-Carbon-Directions/dp/B00004SBCR/ref=sr_1_11?keywords=Channellock+440X+12-Inch+SPEEDGRIP%E2%84%A2+Straight+Jaw+Tongue+%26+Groove+Pliers&amp;qid=1694735165&amp;sr=8-11")</f>
        <v/>
      </c>
      <c r="F7474" t="inlineStr">
        <is>
          <t>B00004SBCR</t>
        </is>
      </c>
      <c r="G7474">
        <f>_xlfn.IMAGE("https://edmondsonsupply.com/cdn/shop/products/440X.jpg?v=1647104734")</f>
        <v/>
      </c>
      <c r="H7474">
        <f>_xlfn.IMAGE("https://m.media-amazon.com/images/I/71txViLKvZL._AC_UL320_.jpg")</f>
        <v/>
      </c>
      <c r="K7474" t="inlineStr">
        <is>
          <t>32.95</t>
        </is>
      </c>
      <c r="L7474" t="n">
        <v>15.95</v>
      </c>
      <c r="M7474" s="1" t="inlineStr">
        <is>
          <t>-51.59%</t>
        </is>
      </c>
      <c r="N7474" s="7" t="n"/>
      <c r="O7474" t="n">
        <v>4.7</v>
      </c>
      <c r="P7474" t="n">
        <v>1648</v>
      </c>
      <c r="R7474" t="inlineStr">
        <is>
          <t>InStock</t>
        </is>
      </c>
      <c r="S7474" t="inlineStr">
        <is>
          <t>45.99</t>
        </is>
      </c>
      <c r="T7474" t="inlineStr">
        <is>
          <t>7633805279448</t>
        </is>
      </c>
    </row>
    <row r="7475" hidden="1" ht="15.75" customHeight="1">
      <c r="A7475" s="2">
        <f>HYPERLINK("https://edmondsonsupply.com/collections/electricians-tools/products/greenlee-dtap10-32-drill-tap-10-32", "https://edmondsonsupply.com/collections/electricians-tools/products/greenlee-dtap10-32-drill-tap-10-32")</f>
        <v/>
      </c>
      <c r="B7475" s="2">
        <f>HYPERLINK("https://edmondsonsupply.com/products/greenlee-dtap10-32-drill-tap-10-32", "https://edmondsonsupply.com/products/greenlee-dtap10-32-drill-tap-10-32")</f>
        <v/>
      </c>
      <c r="C7475" t="inlineStr">
        <is>
          <t>Greenlee DTAP10-32 Drill/Tap, 10-32</t>
        </is>
      </c>
      <c r="D7475" t="inlineStr">
        <is>
          <t>Drill America DWT57104 10-32 High Speed Steel 2 Flute Spiral Point Tap, DWT Series</t>
        </is>
      </c>
      <c r="E7475" s="2">
        <f>HYPERLINK("https://www.amazon.com/Drill-America-DWT57104-Qualtech-High-Speed/dp/B00BD5P0J2/ref=sr_1_24?keywords=Greenlee+DTAP10-32+Drill%2FTap%2C+10-32&amp;qid=1694735404&amp;sr=8-24", "https://www.amazon.com/Drill-America-DWT57104-Qualtech-High-Speed/dp/B00BD5P0J2/ref=sr_1_24?keywords=Greenlee+DTAP10-32+Drill%2FTap%2C+10-32&amp;qid=1694735404&amp;sr=8-24")</f>
        <v/>
      </c>
      <c r="F7475" t="inlineStr">
        <is>
          <t>B00BD5P0J2</t>
        </is>
      </c>
      <c r="G7475">
        <f>_xludf.IMAGE("https://edmondsonsupply.com/cdn/shop/products/DTAP10-32.jpg?v=1633030188")</f>
        <v/>
      </c>
      <c r="H7475">
        <f>_xludf.IMAGE("https://m.media-amazon.com/images/I/61wJyK5k6FL._AC_UL320_.jpg")</f>
        <v/>
      </c>
      <c r="K7475" t="inlineStr">
        <is>
          <t>8.99</t>
        </is>
      </c>
      <c r="L7475" t="n">
        <v>4.35</v>
      </c>
      <c r="M7475" s="1" t="inlineStr">
        <is>
          <t>-51.61%</t>
        </is>
      </c>
      <c r="N7475" s="1" t="n"/>
      <c r="O7475" t="n">
        <v>4.4</v>
      </c>
      <c r="P7475" t="n">
        <v>1279</v>
      </c>
      <c r="R7475" t="inlineStr">
        <is>
          <t>InStock</t>
        </is>
      </c>
      <c r="S7475" t="inlineStr">
        <is>
          <t>9.7</t>
        </is>
      </c>
      <c r="T7475" t="inlineStr">
        <is>
          <t>4395883298916</t>
        </is>
      </c>
    </row>
    <row r="7476" hidden="1" ht="15.75" customHeight="1">
      <c r="A7476" s="2">
        <f>HYPERLINK("https://edmondsonsupply.com/collections/electricians-tools/products/channellock-317", "https://edmondsonsupply.com/collections/electricians-tools/products/channellock-317")</f>
        <v/>
      </c>
      <c r="B7476" s="2">
        <f>HYPERLINK("https://edmondsonsupply.com/products/channellock-317", "https://edmondsonsupply.com/products/channellock-317")</f>
        <v/>
      </c>
      <c r="C7476" t="inlineStr">
        <is>
          <t>Channellock 317 8-Inch Long Nose Pliers with Side Cutter</t>
        </is>
      </c>
      <c r="D7476" t="inlineStr">
        <is>
          <t>IRWIN VISE-GRIP Long Nose Pliers with Wire Cutter, 8-Inch (2078218)</t>
        </is>
      </c>
      <c r="E7476" s="2">
        <f>HYPERLINK("https://www.amazon.com/IRWIN-VISE-GRIP-Pliers-Cutter-2078218/dp/B000A0S4Y4/ref=sr_1_6?keywords=Channellock+317+8-Inch+Long+Nose+Pliers+with+Side+Cutter&amp;qid=1694735322&amp;sr=8-6", "https://www.amazon.com/IRWIN-VISE-GRIP-Pliers-Cutter-2078218/dp/B000A0S4Y4/ref=sr_1_6?keywords=Channellock+317+8-Inch+Long+Nose+Pliers+with+Side+Cutter&amp;qid=1694735322&amp;sr=8-6")</f>
        <v/>
      </c>
      <c r="F7476" t="inlineStr">
        <is>
          <t>B000A0S4Y4</t>
        </is>
      </c>
      <c r="G7476">
        <f>_xludf.IMAGE("https://edmondsonsupply.com/cdn/shop/products/317-683x1024.jpg?v=1633030326")</f>
        <v/>
      </c>
      <c r="H7476">
        <f>_xludf.IMAGE("https://m.media-amazon.com/images/I/61uUlauJ6LL._AC_UL320_.jpg")</f>
        <v/>
      </c>
      <c r="K7476" t="inlineStr">
        <is>
          <t>24.95</t>
        </is>
      </c>
      <c r="L7476" t="n">
        <v>11.99</v>
      </c>
      <c r="M7476" s="1" t="inlineStr">
        <is>
          <t>-51.94%</t>
        </is>
      </c>
      <c r="N7476" s="1" t="n"/>
      <c r="O7476" t="n">
        <v>4.8</v>
      </c>
      <c r="P7476" t="n">
        <v>1100</v>
      </c>
      <c r="R7476" t="inlineStr">
        <is>
          <t>InStock</t>
        </is>
      </c>
      <c r="S7476" t="inlineStr">
        <is>
          <t>35.15</t>
        </is>
      </c>
      <c r="T7476" t="inlineStr">
        <is>
          <t>5247343526056</t>
        </is>
      </c>
    </row>
    <row r="7477" hidden="1" ht="15.75" customHeight="1">
      <c r="A7477" s="2">
        <f>HYPERLINK("https://edmondsonsupply.com/collections/electricians-tools/products/klein-tools-blk12-l-style-ball-end-hex-key-caddy-set-12-piece", "https://edmondsonsupply.com/collections/electricians-tools/products/klein-tools-blk12-l-style-ball-end-hex-key-caddy-set-12-piece")</f>
        <v/>
      </c>
      <c r="B7477" s="2">
        <f>HYPERLINK("https://edmondsonsupply.com/products/klein-tools-blk12-l-style-ball-end-hex-key-caddy-set-12-piece", "https://edmondsonsupply.com/products/klein-tools-blk12-l-style-ball-end-hex-key-caddy-set-12-piece")</f>
        <v/>
      </c>
      <c r="C7477" t="inlineStr">
        <is>
          <t>Klein Tools BLK12 L Style Ball End Hex Key Caddy Set 12-Piece</t>
        </is>
      </c>
      <c r="D7477" t="inlineStr">
        <is>
          <t>Klein Tools LLK12 L-Style Hex Key Caddy Set 12-Piece</t>
        </is>
      </c>
      <c r="E7477" s="2">
        <f>HYPERLINK("https://www.amazon.com/L-Style-12-Piece-Klein-Tools-LLK12/dp/B0002RIA0I/ref=sr_1_3?keywords=Klein+Tools+BLK12+L+Style+Ball+End+Hex+Key+Caddy+Set+12-Piece&amp;qid=1694735258&amp;sr=8-3", "https://www.amazon.com/L-Style-12-Piece-Klein-Tools-LLK12/dp/B0002RIA0I/ref=sr_1_3?keywords=Klein+Tools+BLK12+L+Style+Ball+End+Hex+Key+Caddy+Set+12-Piece&amp;qid=1694735258&amp;sr=8-3")</f>
        <v/>
      </c>
      <c r="F7477" t="inlineStr">
        <is>
          <t>B0002RIA0I</t>
        </is>
      </c>
      <c r="G7477">
        <f>_xludf.IMAGE("https://edmondsonsupply.com/cdn/shop/products/blk12.jpg?v=1633030747")</f>
        <v/>
      </c>
      <c r="H7477">
        <f>_xludf.IMAGE("https://m.media-amazon.com/images/I/612CxDeGVTL._AC_UL320_.jpg")</f>
        <v/>
      </c>
      <c r="K7477" t="inlineStr">
        <is>
          <t>24.99</t>
        </is>
      </c>
      <c r="L7477" t="n">
        <v>11.99</v>
      </c>
      <c r="M7477" s="1" t="inlineStr">
        <is>
          <t>-52.02%</t>
        </is>
      </c>
      <c r="N7477" s="1" t="n"/>
      <c r="O7477" t="n">
        <v>4.8</v>
      </c>
      <c r="P7477" t="n">
        <v>601</v>
      </c>
      <c r="R7477" t="inlineStr">
        <is>
          <t>InStock</t>
        </is>
      </c>
      <c r="S7477" t="inlineStr">
        <is>
          <t>33.72</t>
        </is>
      </c>
      <c r="T7477" t="inlineStr">
        <is>
          <t>5885210034344</t>
        </is>
      </c>
    </row>
    <row r="7478" hidden="1" ht="15.75" customHeight="1">
      <c r="A7478" s="2">
        <f>HYPERLINK("https://edmondsonsupply.com/collections/electricians-tools/products/channellock-3017", "https://edmondsonsupply.com/collections/electricians-tools/products/channellock-3017")</f>
        <v/>
      </c>
      <c r="B7478" s="2">
        <f>HYPERLINK("https://edmondsonsupply.com/products/channellock-3017", "https://edmondsonsupply.com/products/channellock-3017")</f>
        <v/>
      </c>
      <c r="C7478" t="inlineStr">
        <is>
          <t>Channellock 3017 8-Inch Long Nose Pliers</t>
        </is>
      </c>
      <c r="D7478" t="inlineStr">
        <is>
          <t>Performance Tool W30733 8-Inch Long Nose Pliers</t>
        </is>
      </c>
      <c r="E7478" s="2">
        <f>HYPERLINK("https://www.amazon.com/Performance-Tool-W30733-Long-Pliers/dp/B000N35K04/ref=sr_1_16?keywords=Channellock+3017+8-Inch+Long+Nose+Pliers&amp;qid=1694735304&amp;sr=8-16", "https://www.amazon.com/Performance-Tool-W30733-Long-Pliers/dp/B000N35K04/ref=sr_1_16?keywords=Channellock+3017+8-Inch+Long+Nose+Pliers&amp;qid=1694735304&amp;sr=8-16")</f>
        <v/>
      </c>
      <c r="F7478" t="inlineStr">
        <is>
          <t>B000N35K04</t>
        </is>
      </c>
      <c r="G7478">
        <f>_xludf.IMAGE("https://edmondsonsupply.com/cdn/shop/products/3017-683x1024.jpg?v=1633030322")</f>
        <v/>
      </c>
      <c r="H7478">
        <f>_xludf.IMAGE("https://m.media-amazon.com/images/I/615dvtFV--L._AC_UL320_.jpg")</f>
        <v/>
      </c>
      <c r="K7478" t="inlineStr">
        <is>
          <t>19.95</t>
        </is>
      </c>
      <c r="L7478" t="n">
        <v>9.57</v>
      </c>
      <c r="M7478" s="1" t="inlineStr">
        <is>
          <t>-52.03%</t>
        </is>
      </c>
      <c r="N7478" s="1" t="n"/>
      <c r="O7478" t="n">
        <v>4.6</v>
      </c>
      <c r="P7478" t="n">
        <v>1027</v>
      </c>
      <c r="R7478" t="inlineStr">
        <is>
          <t>InStock</t>
        </is>
      </c>
      <c r="S7478" t="inlineStr">
        <is>
          <t>29.97</t>
        </is>
      </c>
      <c r="T7478" t="inlineStr">
        <is>
          <t>5245817159848</t>
        </is>
      </c>
    </row>
    <row r="7479" ht="87" customHeight="1">
      <c r="A7479" s="2">
        <f>HYPERLINK("https://edmondsonsupply.com/collections/electricians-tools/products/diablo-tools-dmamx1040", "https://edmondsonsupply.com/collections/electricians-tools/products/diablo-tools-dmamx1040")</f>
        <v/>
      </c>
      <c r="B7479" s="2">
        <f>HYPERLINK("https://edmondsonsupply.com/products/diablo-tools-dmamx1040", "https://edmondsonsupply.com/products/diablo-tools-dmamx1040")</f>
        <v/>
      </c>
      <c r="C7479" t="inlineStr">
        <is>
          <t>Diablo Tools DMAMX1040 1/2 in. x 24 in. x 29 in. Rebar Demon SDS-Max 4-Cutter Full Carbide Head Hammer Bit</t>
        </is>
      </c>
      <c r="D7479" t="inlineStr">
        <is>
          <t>Diablo by Freud DMAPL4200 1/2 in. x 16 in. x 18 in. Rebar Demon SDS-Plus 4-Cutter Full Carbide Head Hammer Bit</t>
        </is>
      </c>
      <c r="E7479" s="2">
        <f>HYPERLINK("https://www.amazon.com/Diablo-Freud-DMAPL4200-SDS-Plus-4-Cutter/dp/B089KW2QV1/ref=sr_1_19?keywords=Diablo+Tools+DMAMX1040+1%2F2+in.+x+24+in.+x+29+in.+Rebar+Demon+SDS-Max+4-Cutter+Full+Carbide+Head+Hammer+Bit&amp;qid=1694735295&amp;sr=8-19", "https://www.amazon.com/Diablo-Freud-DMAPL4200-SDS-Plus-4-Cutter/dp/B089KW2QV1/ref=sr_1_19?keywords=Diablo+Tools+DMAMX1040+1%2F2+in.+x+24+in.+x+29+in.+Rebar+Demon+SDS-Max+4-Cutter+Full+Carbide+Head+Hammer+Bit&amp;qid=1694735295&amp;sr=8-19")</f>
        <v/>
      </c>
      <c r="F7479" t="inlineStr">
        <is>
          <t>B089KW2QV1</t>
        </is>
      </c>
      <c r="G7479">
        <f>_xlfn.IMAGE("https://edmondsonsupply.com/cdn/shop/products/DMAMX1040_Main-Image20200701.png?v=1633030363")</f>
        <v/>
      </c>
      <c r="H7479">
        <f>_xlfn.IMAGE("https://m.media-amazon.com/images/I/61rW+ROVmNL._AC_UL320_.jpg")</f>
        <v/>
      </c>
      <c r="K7479" t="inlineStr">
        <is>
          <t>47.97</t>
        </is>
      </c>
      <c r="L7479" t="n">
        <v>23</v>
      </c>
      <c r="M7479" s="1" t="inlineStr">
        <is>
          <t>-52.05%</t>
        </is>
      </c>
      <c r="N7479" s="7" t="n"/>
      <c r="O7479" t="n">
        <v>4.7</v>
      </c>
      <c r="P7479" t="n">
        <v>18</v>
      </c>
      <c r="R7479" t="inlineStr">
        <is>
          <t>InStock</t>
        </is>
      </c>
      <c r="S7479" t="inlineStr">
        <is>
          <t>72.46</t>
        </is>
      </c>
      <c r="T7479" t="inlineStr">
        <is>
          <t>5289126527144</t>
        </is>
      </c>
    </row>
    <row r="7480" hidden="1" ht="15.75" customHeight="1">
      <c r="A7480" s="2">
        <f>HYPERLINK("https://edmondsonsupply.com/collections/electricians-tools/products/diablo-tools-d0660x-6-1-2-in-x-60-tooth-ultra-finish-saw-blade", "https://edmondsonsupply.com/collections/electricians-tools/products/diablo-tools-d0660x-6-1-2-in-x-60-tooth-ultra-finish-saw-blade")</f>
        <v/>
      </c>
      <c r="B7480" s="2">
        <f>HYPERLINK("https://edmondsonsupply.com/products/diablo-tools-d0660x-6-1-2-in-x-60-tooth-ultra-finish-saw-blade", "https://edmondsonsupply.com/products/diablo-tools-d0660x-6-1-2-in-x-60-tooth-ultra-finish-saw-blade")</f>
        <v/>
      </c>
      <c r="C7480" t="inlineStr">
        <is>
          <t>Diablo Tools D0660X 6-1/2 in. x 60 Tooth Ultra Finish Saw Blade</t>
        </is>
      </c>
      <c r="D7480" t="inlineStr">
        <is>
          <t>Echo Corner 6-1/2 Inch Circular Saw Blade for Wood Cutting, Ultra Fine-Finish 60-Tooth Fast Framing Trimming Crosscut Rip Hardwood Softwood Laminate Veneered Plywood MDF, 5/8" Arbor</t>
        </is>
      </c>
      <c r="E7480" s="2">
        <f>HYPERLINK("https://www.amazon.com/Echo-Corner-Ultra-Thin-Woodworking-Fine-Finish/dp/B0BPKXNG29/ref=sr_1_5?keywords=Diablo+Tools+D0660X+6-1%2F2+in.+x+60+Tooth+Ultra+Finish+Saw+Blade&amp;qid=1694735022&amp;sr=8-5", "https://www.amazon.com/Echo-Corner-Ultra-Thin-Woodworking-Fine-Finish/dp/B0BPKXNG29/ref=sr_1_5?keywords=Diablo+Tools+D0660X+6-1%2F2+in.+x+60+Tooth+Ultra+Finish+Saw+Blade&amp;qid=1694735022&amp;sr=8-5")</f>
        <v/>
      </c>
      <c r="F7480" t="inlineStr">
        <is>
          <t>B0BPKXNG29</t>
        </is>
      </c>
      <c r="G7480">
        <f>_xludf.IMAGE("https://edmondsonsupply.com/cdn/shop/products/ma8p1gcmhxpwwhymtiim.webp?v=1678983644")</f>
        <v/>
      </c>
      <c r="H7480">
        <f>_xludf.IMAGE("https://m.media-amazon.com/images/I/71-7e9mN5hL._AC_UL320_.jpg")</f>
        <v/>
      </c>
      <c r="K7480" t="inlineStr">
        <is>
          <t>22.97</t>
        </is>
      </c>
      <c r="L7480" t="n">
        <v>10.99</v>
      </c>
      <c r="M7480" s="1" t="inlineStr">
        <is>
          <t>-52.15%</t>
        </is>
      </c>
      <c r="N7480" s="1" t="n"/>
      <c r="O7480" t="n">
        <v>4.6</v>
      </c>
      <c r="P7480" t="n">
        <v>91</v>
      </c>
      <c r="R7480" t="inlineStr">
        <is>
          <t>InStock</t>
        </is>
      </c>
      <c r="S7480" t="inlineStr">
        <is>
          <t>33.88</t>
        </is>
      </c>
      <c r="T7480" t="inlineStr">
        <is>
          <t>7962739507416</t>
        </is>
      </c>
    </row>
    <row r="7481" ht="87" customHeight="1">
      <c r="A7481" s="2">
        <f>HYPERLINK("https://edmondsonsupply.com/collections/electricians-tools/products/klein-tools-56341-stainless-steel-fish-tape-1-8-inch-x-240-foot", "https://edmondsonsupply.com/collections/electricians-tools/products/klein-tools-56341-stainless-steel-fish-tape-1-8-inch-x-240-foot")</f>
        <v/>
      </c>
      <c r="B7481" s="2">
        <f>HYPERLINK("https://edmondsonsupply.com/products/klein-tools-56341-stainless-steel-fish-tape-1-8-inch-x-240-foot", "https://edmondsonsupply.com/products/klein-tools-56341-stainless-steel-fish-tape-1-8-inch-x-240-foot")</f>
        <v/>
      </c>
      <c r="C7481" t="inlineStr">
        <is>
          <t>Klein Tools 56341 Stainless Steel Fish Tape, 1/8-Inch x 240-Foot</t>
        </is>
      </c>
      <c r="D7481" t="inlineStr">
        <is>
          <t>Klein Tools 56333 Electrical Fish Tape, Steel Wire Puller with Double Loop Tip, Optimized Housing and Handle, 1/8-Inch x 120-Foot</t>
        </is>
      </c>
      <c r="E7481" s="2">
        <f>HYPERLINK("https://www.amazon.com/Klein-Tools-56333-Optimized-120-Foot/dp/B081TVVJTY/ref=sr_1_8?keywords=Klein+Tools+56341+Stainless+Steel+Fish+Tape%2C+1%2F8-Inch+x+240-Foot&amp;qid=1694735094&amp;sr=8-8", "https://www.amazon.com/Klein-Tools-56333-Optimized-120-Foot/dp/B081TVVJTY/ref=sr_1_8?keywords=Klein+Tools+56341+Stainless+Steel+Fish+Tape%2C+1%2F8-Inch+x+240-Foot&amp;qid=1694735094&amp;sr=8-8")</f>
        <v/>
      </c>
      <c r="F7481" t="inlineStr">
        <is>
          <t>B081TVVJTY</t>
        </is>
      </c>
      <c r="G7481">
        <f>_xlfn.IMAGE("https://edmondsonsupply.com/cdn/shop/products/56341.jpg?v=1666901345")</f>
        <v/>
      </c>
      <c r="H7481">
        <f>_xlfn.IMAGE("https://m.media-amazon.com/images/I/51qsQYpwj0L._AC_UL320_.jpg")</f>
        <v/>
      </c>
      <c r="K7481" t="inlineStr">
        <is>
          <t>114.99</t>
        </is>
      </c>
      <c r="L7481" t="n">
        <v>54.97</v>
      </c>
      <c r="M7481" s="1" t="inlineStr">
        <is>
          <t>-52.20%</t>
        </is>
      </c>
      <c r="N7481" s="7" t="n"/>
      <c r="O7481" t="n">
        <v>4.6</v>
      </c>
      <c r="P7481" t="n">
        <v>334</v>
      </c>
      <c r="R7481" t="inlineStr">
        <is>
          <t>InStock</t>
        </is>
      </c>
      <c r="S7481" t="inlineStr">
        <is>
          <t>168.08</t>
        </is>
      </c>
      <c r="T7481" t="inlineStr">
        <is>
          <t>7867914944728</t>
        </is>
      </c>
    </row>
    <row r="7482" hidden="1" ht="15.75" customHeight="1">
      <c r="A7482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482" s="2">
        <f>HYPERLINK("https://edmondsonsupply.com/products/klein-tools-32500mag-11-in-1-magnetic-screwdriver-nut-driver", "https://edmondsonsupply.com/products/klein-tools-32500mag-11-in-1-magnetic-screwdriver-nut-driver")</f>
        <v/>
      </c>
      <c r="C7482" t="inlineStr">
        <is>
          <t>Klein Tools 32500MAG 11-in-1 Magnetic Screwdriver / Nut Driver</t>
        </is>
      </c>
      <c r="D7482" t="inlineStr">
        <is>
          <t>GreatNeck SD11RC 11 in 1 Screwdriver and Nut Driver Set, Multi-Bit Cushion Grip, Multi Tool Screwdriver Kit, HVAC tools, Electrician Tools</t>
        </is>
      </c>
      <c r="E7482" s="2">
        <f>HYPERLINK("https://www.amazon.com/GreatNeck-SD11RC-Screwdriver-Multi-Bit-Electrician/dp/B089QTTBMT/ref=sr_1_25?keywords=Klein+Tools+32500MAG+11-in-1+Magnetic+Screwdriver+%2F+Nut+Driver&amp;qid=1694735235&amp;sr=8-25", "https://www.amazon.com/GreatNeck-SD11RC-Screwdriver-Multi-Bit-Electrician/dp/B089QTTBMT/ref=sr_1_25?keywords=Klein+Tools+32500MAG+11-in-1+Magnetic+Screwdriver+%2F+Nut+Driver&amp;qid=1694735235&amp;sr=8-25")</f>
        <v/>
      </c>
      <c r="F7482" t="inlineStr">
        <is>
          <t>B089QTTBMT</t>
        </is>
      </c>
      <c r="G7482">
        <f>_xludf.IMAGE("https://edmondsonsupply.com/cdn/shop/products/32500mag.jpg?v=1633030832")</f>
        <v/>
      </c>
      <c r="H7482">
        <f>_xludf.IMAGE("https://m.media-amazon.com/images/I/610Q+UBSIIL._AC_UL320_.jpg")</f>
        <v/>
      </c>
      <c r="K7482" t="inlineStr">
        <is>
          <t>20.97</t>
        </is>
      </c>
      <c r="L7482" t="n">
        <v>9.99</v>
      </c>
      <c r="M7482" s="1" t="inlineStr">
        <is>
          <t>-52.36%</t>
        </is>
      </c>
      <c r="N7482" s="1" t="n"/>
      <c r="O7482" t="n">
        <v>4.5</v>
      </c>
      <c r="P7482" t="n">
        <v>535</v>
      </c>
      <c r="R7482" t="inlineStr">
        <is>
          <t>InStock</t>
        </is>
      </c>
      <c r="S7482" t="inlineStr">
        <is>
          <t>29.38</t>
        </is>
      </c>
      <c r="T7482" t="inlineStr">
        <is>
          <t>6082199814317</t>
        </is>
      </c>
    </row>
    <row r="7483" hidden="1" ht="15.75" customHeight="1">
      <c r="A7483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483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483" t="inlineStr">
        <is>
          <t>Klein Tools 602-4-INS 1/4-Inch Cabinet Tip Insulated Screwdriver, 4-Inch</t>
        </is>
      </c>
      <c r="D7483" t="inlineStr">
        <is>
          <t>Klein Tools 6834INS Insulated Screwdriver, 1000V #2 Phillips Tip Screwdriver with 4-Inch Shank, Tip-Ident, Cushion-Grip Handle</t>
        </is>
      </c>
      <c r="E7483" s="2">
        <f>HYPERLINK("https://www.amazon.com/Klein-Tools-6834INS-Screwdriver-Cushion-Grip/dp/B0BF7LCHQ9/ref=sr_1_19?keywords=Klein+Tools+602-4-INS+1%2F4-Inch+Cabinet+Tip+Insulated+Screwdriver%2C+4-Inch&amp;qid=1694735209&amp;sr=8-19", "https://www.amazon.com/Klein-Tools-6834INS-Screwdriver-Cushion-Grip/dp/B0BF7LCHQ9/ref=sr_1_19?keywords=Klein+Tools+602-4-INS+1%2F4-Inch+Cabinet+Tip+Insulated+Screwdriver%2C+4-Inch&amp;qid=1694735209&amp;sr=8-19")</f>
        <v/>
      </c>
      <c r="F7483" t="inlineStr">
        <is>
          <t>B0BF7LCHQ9</t>
        </is>
      </c>
      <c r="G7483">
        <f>_xludf.IMAGE("https://edmondsonsupply.com/cdn/shop/products/602-4-ins-photo.jpg?v=1633031051")</f>
        <v/>
      </c>
      <c r="H7483">
        <f>_xludf.IMAGE("https://m.media-amazon.com/images/I/41syzbetq2L._AC_UL320_.jpg")</f>
        <v/>
      </c>
      <c r="K7483" t="inlineStr">
        <is>
          <t>20.99</t>
        </is>
      </c>
      <c r="L7483" t="n">
        <v>9.99</v>
      </c>
      <c r="M7483" s="1" t="inlineStr">
        <is>
          <t>-52.41%</t>
        </is>
      </c>
      <c r="N7483" s="1" t="n"/>
      <c r="O7483" t="n">
        <v>5</v>
      </c>
      <c r="P7483" t="n">
        <v>5</v>
      </c>
      <c r="R7483" t="inlineStr">
        <is>
          <t>InStock</t>
        </is>
      </c>
      <c r="S7483" t="inlineStr">
        <is>
          <t>31.8</t>
        </is>
      </c>
      <c r="T7483" t="inlineStr">
        <is>
          <t>6779496890541</t>
        </is>
      </c>
    </row>
    <row r="7484" hidden="1" ht="15.75" customHeight="1">
      <c r="A7484" s="2">
        <f>HYPERLINK("https://edmondsonsupply.com/collections/electricians-tools/products/uniweld-70075-ratchet-wrenches", "https://edmondsonsupply.com/collections/electricians-tools/products/uniweld-70075-ratchet-wrenches")</f>
        <v/>
      </c>
      <c r="B7484" s="2">
        <f>HYPERLINK("https://edmondsonsupply.com/products/uniweld-70075-ratchet-wrenches", "https://edmondsonsupply.com/products/uniweld-70075-ratchet-wrenches")</f>
        <v/>
      </c>
      <c r="C7484" t="inlineStr">
        <is>
          <t>Uniweld 70075 Heavy Duty Offset Ratchet Wrench+</t>
        </is>
      </c>
      <c r="D7484" t="inlineStr">
        <is>
          <t>FOCMKEAS 3/8-7/16 Inch Reversible Universal Ratcheting Wrench,Imperial Double Offset Box End， Matte Chrome Plated Cr-V Steel， Heavy-Duty，72 Tooth Ratchet Spanner Crooked for Narrow Spaces</t>
        </is>
      </c>
      <c r="E7484" s="2">
        <f>HYPERLINK("https://www.amazon.com/FOCMKEAS-8-7-16-Reversible-Heavy-Duty%EF%BC%8C72/dp/B0B6JJX8CH/ref=sr_1_4?keywords=Uniweld+70075+Heavy+Duty+Offset+Ratchet+Wrench&amp;qid=1694735141&amp;sr=8-4", "https://www.amazon.com/FOCMKEAS-8-7-16-Reversible-Heavy-Duty%EF%BC%8C72/dp/B0B6JJX8CH/ref=sr_1_4?keywords=Uniweld+70075+Heavy+Duty+Offset+Ratchet+Wrench&amp;qid=1694735141&amp;sr=8-4")</f>
        <v/>
      </c>
      <c r="F7484" t="inlineStr">
        <is>
          <t>B0B6JJX8CH</t>
        </is>
      </c>
      <c r="G7484">
        <f>_xludf.IMAGE("https://edmondsonsupply.com/cdn/shop/products/70075_pkg.jpg?v=1656078756")</f>
        <v/>
      </c>
      <c r="H7484">
        <f>_xludf.IMAGE("https://m.media-amazon.com/images/I/41cC2VWmXML._AC_UL320_.jpg")</f>
        <v/>
      </c>
      <c r="K7484" t="inlineStr">
        <is>
          <t>20.99</t>
        </is>
      </c>
      <c r="L7484" t="n">
        <v>9.99</v>
      </c>
      <c r="M7484" s="1" t="inlineStr">
        <is>
          <t>-52.41%</t>
        </is>
      </c>
      <c r="N7484" s="1" t="n"/>
      <c r="O7484" t="n">
        <v>3.9</v>
      </c>
      <c r="P7484" t="n">
        <v>12</v>
      </c>
      <c r="R7484" t="inlineStr">
        <is>
          <t>InStock</t>
        </is>
      </c>
      <c r="S7484" t="inlineStr">
        <is>
          <t>27.14</t>
        </is>
      </c>
      <c r="T7484" t="inlineStr">
        <is>
          <t>7729212063960</t>
        </is>
      </c>
    </row>
    <row r="7485" hidden="1" ht="15.75" customHeight="1">
      <c r="A7485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485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485" t="inlineStr">
        <is>
          <t>Klein Tools 602-4-INS 1/4-Inch Cabinet Tip Insulated Screwdriver, 4-Inch</t>
        </is>
      </c>
      <c r="D7485" t="inlineStr">
        <is>
          <t>Klein Tools 6824INS Insulated Screwdriver, 1000V 1/4-Inch Cabinet Tip Screwdriver with 4-Inch Shank, Tip-Ident, Cushion-Grip Handle</t>
        </is>
      </c>
      <c r="E7485" s="2">
        <f>HYPERLINK("https://www.amazon.com/Klein-Tools-6824INS-Screwdriver-Cushion-Grip/dp/B0BF78XBPX/ref=sr_1_3?keywords=Klein+Tools+602-4-INS+1%2F4-Inch+Cabinet+Tip+Insulated+Screwdriver%2C+4-Inch&amp;qid=1694735209&amp;sr=8-3", "https://www.amazon.com/Klein-Tools-6824INS-Screwdriver-Cushion-Grip/dp/B0BF78XBPX/ref=sr_1_3?keywords=Klein+Tools+602-4-INS+1%2F4-Inch+Cabinet+Tip+Insulated+Screwdriver%2C+4-Inch&amp;qid=1694735209&amp;sr=8-3")</f>
        <v/>
      </c>
      <c r="F7485" t="inlineStr">
        <is>
          <t>B0BF78XBPX</t>
        </is>
      </c>
      <c r="G7485">
        <f>_xludf.IMAGE("https://edmondsonsupply.com/cdn/shop/products/602-4-ins-photo.jpg?v=1633031051")</f>
        <v/>
      </c>
      <c r="H7485">
        <f>_xludf.IMAGE("https://m.media-amazon.com/images/I/410Gu3snLdL._AC_UL320_.jpg")</f>
        <v/>
      </c>
      <c r="K7485" t="inlineStr">
        <is>
          <t>20.99</t>
        </is>
      </c>
      <c r="L7485" t="n">
        <v>9.99</v>
      </c>
      <c r="M7485" s="1" t="inlineStr">
        <is>
          <t>-52.41%</t>
        </is>
      </c>
      <c r="N7485" s="1" t="n"/>
      <c r="O7485" t="n">
        <v>4.9</v>
      </c>
      <c r="P7485" t="n">
        <v>202</v>
      </c>
      <c r="R7485" t="inlineStr">
        <is>
          <t>InStock</t>
        </is>
      </c>
      <c r="S7485" t="inlineStr">
        <is>
          <t>31.8</t>
        </is>
      </c>
      <c r="T7485" t="inlineStr">
        <is>
          <t>6779496890541</t>
        </is>
      </c>
    </row>
    <row r="7486" hidden="1" ht="15.75" customHeight="1">
      <c r="A7486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486" s="2">
        <f>HYPERLINK("https://edmondsonsupply.com/products/klein-tools-32500mag-11-in-1-magnetic-screwdriver-nut-driver", "https://edmondsonsupply.com/products/klein-tools-32500mag-11-in-1-magnetic-screwdriver-nut-driver")</f>
        <v/>
      </c>
      <c r="C7486" t="inlineStr">
        <is>
          <t>Klein Tools 32500MAG 11-in-1 Magnetic Screwdriver / Nut Driver</t>
        </is>
      </c>
      <c r="D7486" t="inlineStr">
        <is>
          <t>Klein Tools 32476 5-In-1 Multi-Bit Screwdriver / Nut Driver with 2 Slotted, 2 Philips, and 1 Nut Driver Tip</t>
        </is>
      </c>
      <c r="E7486" s="2">
        <f>HYPERLINK("https://www.amazon.com/Screwdriver-Driver-Yellow-Klein-32476/dp/B000RFPDXC/ref=sr_1_20?keywords=Klein+Tools+32500MAG+11-in-1+Magnetic+Screwdriver+%2F+Nut+Driver&amp;qid=1694735235&amp;sr=8-20", "https://www.amazon.com/Screwdriver-Driver-Yellow-Klein-32476/dp/B000RFPDXC/ref=sr_1_20?keywords=Klein+Tools+32500MAG+11-in-1+Magnetic+Screwdriver+%2F+Nut+Driver&amp;qid=1694735235&amp;sr=8-20")</f>
        <v/>
      </c>
      <c r="F7486" t="inlineStr">
        <is>
          <t>B000RFPDXC</t>
        </is>
      </c>
      <c r="G7486">
        <f>_xludf.IMAGE("https://edmondsonsupply.com/cdn/shop/products/32500mag.jpg?v=1633030832")</f>
        <v/>
      </c>
      <c r="H7486">
        <f>_xludf.IMAGE("https://m.media-amazon.com/images/I/51ZkueHIEQL._AC_UL320_.jpg")</f>
        <v/>
      </c>
      <c r="K7486" t="inlineStr">
        <is>
          <t>20.97</t>
        </is>
      </c>
      <c r="L7486" t="n">
        <v>9.98</v>
      </c>
      <c r="M7486" s="1" t="inlineStr">
        <is>
          <t>-52.41%</t>
        </is>
      </c>
      <c r="N7486" s="1" t="n"/>
      <c r="O7486" t="n">
        <v>4.8</v>
      </c>
      <c r="P7486" t="n">
        <v>1240</v>
      </c>
      <c r="R7486" t="inlineStr">
        <is>
          <t>InStock</t>
        </is>
      </c>
      <c r="S7486" t="inlineStr">
        <is>
          <t>29.38</t>
        </is>
      </c>
      <c r="T7486" t="inlineStr">
        <is>
          <t>6082199814317</t>
        </is>
      </c>
    </row>
    <row r="7487" hidden="1" ht="15.75" customHeight="1">
      <c r="A7487" s="2">
        <f>HYPERLINK("https://edmondsonsupply.com/collections/electricians-tools/products/diablo-tools-dmarg1180", "https://edmondsonsupply.com/collections/electricians-tools/products/diablo-tools-dmarg1180")</f>
        <v/>
      </c>
      <c r="B7487" s="2">
        <f>HYPERLINK("https://edmondsonsupply.com/products/diablo-tools-dmarg1180", "https://edmondsonsupply.com/products/diablo-tools-dmarg1180")</f>
        <v/>
      </c>
      <c r="C7487" t="inlineStr">
        <is>
          <t>Diablo Tools DMARG1180 5/8 in. x 10 in. x 12 in. SPEEDemon™ Red Granite Carbide Tipped Hammer Drill Bit</t>
        </is>
      </c>
      <c r="D7487" t="inlineStr">
        <is>
          <t>Sabre Tools 5/8 Inch x 12 Inch SDS Plus Rotary Hammer Drill Bit, Carbide Tipped for Brick, Stone, and Concrete Version 2 (5/8" x 10" x 12")</t>
        </is>
      </c>
      <c r="E7487" s="2">
        <f>HYPERLINK("https://www.amazon.com/Sabre-Tools-Carbide-Concrete-Version/dp/B096NP55YT/ref=sr_1_9?keywords=Diablo+Tools+DMARG1180+5%2F8+in.+x+10+in.+x+12+in.+SPEEDemon%E2%84%A2+Red+Granite+Carbide+Tipped+Hammer+Drill+Bit&amp;qid=1694735299&amp;sr=8-9", "https://www.amazon.com/Sabre-Tools-Carbide-Concrete-Version/dp/B096NP55YT/ref=sr_1_9?keywords=Diablo+Tools+DMARG1180+5%2F8+in.+x+10+in.+x+12+in.+SPEEDemon%E2%84%A2+Red+Granite+Carbide+Tipped+Hammer+Drill+Bit&amp;qid=1694735299&amp;sr=8-9")</f>
        <v/>
      </c>
      <c r="F7487" t="inlineStr">
        <is>
          <t>B096NP55YT</t>
        </is>
      </c>
      <c r="G7487">
        <f>_xludf.IMAGE("https://edmondsonsupply.com/cdn/shop/products/DMARG1180_Main-Image.png?v=1633030424")</f>
        <v/>
      </c>
      <c r="H7487">
        <f>_xludf.IMAGE("https://m.media-amazon.com/images/I/61ud30R+yzL._AC_UL320_.jpg")</f>
        <v/>
      </c>
      <c r="K7487" t="inlineStr">
        <is>
          <t>18.97</t>
        </is>
      </c>
      <c r="L7487" t="n">
        <v>8.99</v>
      </c>
      <c r="M7487" s="1" t="inlineStr">
        <is>
          <t>-52.61%</t>
        </is>
      </c>
      <c r="N7487" s="1" t="n"/>
      <c r="O7487" t="n">
        <v>4.6</v>
      </c>
      <c r="P7487" t="n">
        <v>796</v>
      </c>
      <c r="R7487" t="inlineStr">
        <is>
          <t>InStock</t>
        </is>
      </c>
      <c r="S7487" t="inlineStr">
        <is>
          <t>undefined</t>
        </is>
      </c>
      <c r="T7487" t="inlineStr">
        <is>
          <t>5323605278888</t>
        </is>
      </c>
    </row>
    <row r="7488" hidden="1" ht="15.75" customHeight="1">
      <c r="A7488" s="2">
        <f>HYPERLINK("https://edmondsonsupply.com/collections/electricians-tools/products/diablo-tools-dmapl2410-5-8-in-x-10-in-x-12-in-sds-plus-2-cutter", "https://edmondsonsupply.com/collections/electricians-tools/products/diablo-tools-dmapl2410-5-8-in-x-10-in-x-12-in-sds-plus-2-cutter")</f>
        <v/>
      </c>
      <c r="B7488" s="2">
        <f>HYPERLINK("https://edmondsonsupply.com/products/diablo-tools-dmapl2410-5-8-in-x-10-in-x-12-in-sds-plus-2-cutter", "https://edmondsonsupply.com/products/diablo-tools-dmapl2410-5-8-in-x-10-in-x-12-in-sds-plus-2-cutter")</f>
        <v/>
      </c>
      <c r="C7488" t="inlineStr">
        <is>
          <t>Diablo Tools DMAPL2410 5/8 in. x 10 in. x 12 in. SDS‑Plus 2‑Cutter</t>
        </is>
      </c>
      <c r="D7488" t="inlineStr">
        <is>
          <t>Sabre Tools 5/8 Inch x 12 Inch SDS Plus Rotary Hammer Drill Bit, Carbide Tipped for Brick, Stone, and Concrete Version 2 (5/8" x 10" x 12")</t>
        </is>
      </c>
      <c r="E7488" s="2">
        <f>HYPERLINK("https://www.amazon.com/Sabre-Tools-Carbide-Concrete-Version/dp/B096NP55YT/ref=sr_1_11?keywords=Diablo+Tools+DMAPL2410+5%2F8+in.+x+10+in.+x+12+in.+SDS%E2%80%91Plus+2%E2%80%91Cutter&amp;qid=1694735285&amp;sr=8-11", "https://www.amazon.com/Sabre-Tools-Carbide-Concrete-Version/dp/B096NP55YT/ref=sr_1_11?keywords=Diablo+Tools+DMAPL2410+5%2F8+in.+x+10+in.+x+12+in.+SDS%E2%80%91Plus+2%E2%80%91Cutter&amp;qid=1694735285&amp;sr=8-11")</f>
        <v/>
      </c>
      <c r="F7488" t="inlineStr">
        <is>
          <t>B096NP55YT</t>
        </is>
      </c>
      <c r="G7488">
        <f>_xludf.IMAGE("https://edmondsonsupply.com/cdn/shop/products/DMAPL2410_Main-Image20200331.png?v=1633030462")</f>
        <v/>
      </c>
      <c r="H7488">
        <f>_xludf.IMAGE("https://m.media-amazon.com/images/I/61ud30R+yzL._AC_UL320_.jpg")</f>
        <v/>
      </c>
      <c r="K7488" t="inlineStr">
        <is>
          <t>18.97</t>
        </is>
      </c>
      <c r="L7488" t="n">
        <v>8.99</v>
      </c>
      <c r="M7488" s="1" t="inlineStr">
        <is>
          <t>-52.61%</t>
        </is>
      </c>
      <c r="N7488" s="1" t="n"/>
      <c r="O7488" t="n">
        <v>4.6</v>
      </c>
      <c r="P7488" t="n">
        <v>796</v>
      </c>
      <c r="R7488" t="inlineStr">
        <is>
          <t>InStock</t>
        </is>
      </c>
      <c r="S7488" t="inlineStr">
        <is>
          <t>24.49</t>
        </is>
      </c>
      <c r="T7488" t="inlineStr">
        <is>
          <t>5361975525544</t>
        </is>
      </c>
    </row>
    <row r="7489" ht="87" customHeight="1">
      <c r="A7489" s="2">
        <f>HYPERLINK("https://edmondsonsupply.com/collections/electricians-tools/products/milwaukee-2953-22-m18-fuel%E2%84%A2-1-4-hex-impact-driver-kit", "https://edmondsonsupply.com/collections/electricians-tools/products/milwaukee-2953-22-m18-fuel%E2%84%A2-1-4-hex-impact-driver-kit")</f>
        <v/>
      </c>
      <c r="B7489" s="2">
        <f>HYPERLINK("https://edmondsonsupply.com/products/milwaukee-2953-22-m18-fuel%e2%84%a2-1-4-hex-impact-driver-kit", "https://edmondsonsupply.com/products/milwaukee-2953-22-m18-fuel%e2%84%a2-1-4-hex-impact-driver-kit")</f>
        <v/>
      </c>
      <c r="C7489" t="inlineStr">
        <is>
          <t>Milwaukee 2953-22 M18 FUEL™ 1/4" Hex Impact Driver Kit</t>
        </is>
      </c>
      <c r="D7489" t="inlineStr">
        <is>
          <t>Milwaukee 3453-22 12V Fuel 1/4" Cordless Hex Impact Driver Kit with (2) 2.0Ah Lithium Ion Batteries, Charger &amp; Tool Bag</t>
        </is>
      </c>
      <c r="E7489" s="2">
        <f>HYPERLINK("https://www.amazon.com/Milwaukee-3453-22-Cordless-Lithium-Batteries/dp/B0BLT6PSKS/ref=sr_1_1?keywords=Milwaukee+2953-22+M18+FUEL%E2%84%A2+1%2F4%22+Hex+Impact+Driver+Kit&amp;qid=1694735130&amp;sr=8-1", "https://www.amazon.com/Milwaukee-3453-22-Cordless-Lithium-Batteries/dp/B0BLT6PSKS/ref=sr_1_1?keywords=Milwaukee+2953-22+M18+FUEL%E2%84%A2+1%2F4%22+Hex+Impact+Driver+Kit&amp;qid=1694735130&amp;sr=8-1")</f>
        <v/>
      </c>
      <c r="F7489" t="inlineStr">
        <is>
          <t>B0BLT6PSKS</t>
        </is>
      </c>
      <c r="G7489">
        <f>_xlfn.IMAGE("https://edmondsonsupply.com/cdn/shop/products/29532022ImageReel2.webp?v=1663599746")</f>
        <v/>
      </c>
      <c r="H7489">
        <f>_xlfn.IMAGE("https://m.media-amazon.com/images/I/71EfdWfKpQL._AC_UL320_.jpg")</f>
        <v/>
      </c>
      <c r="K7489" t="inlineStr">
        <is>
          <t>299.0</t>
        </is>
      </c>
      <c r="L7489" t="n">
        <v>140.99</v>
      </c>
      <c r="M7489" s="1" t="inlineStr">
        <is>
          <t>-52.85%</t>
        </is>
      </c>
      <c r="N7489" s="7" t="n"/>
      <c r="O7489" t="n">
        <v>4.7</v>
      </c>
      <c r="P7489" t="n">
        <v>51</v>
      </c>
      <c r="R7489" t="inlineStr">
        <is>
          <t>InStock</t>
        </is>
      </c>
      <c r="S7489" t="inlineStr">
        <is>
          <t>556.0</t>
        </is>
      </c>
      <c r="T7489" t="inlineStr">
        <is>
          <t>7822930870488</t>
        </is>
      </c>
    </row>
    <row r="7490" hidden="1" ht="15.75" customHeight="1">
      <c r="A7490" s="2">
        <f>HYPERLINK("https://edmondsonsupply.com/collections/electricians-tools/products/diablo-tools-dag1110-7-8-in-x-7-1-2-in-auger-bit", "https://edmondsonsupply.com/collections/electricians-tools/products/diablo-tools-dag1110-7-8-in-x-7-1-2-in-auger-bit")</f>
        <v/>
      </c>
      <c r="B7490" s="2">
        <f>HYPERLINK("https://edmondsonsupply.com/products/diablo-tools-dag1110-7-8-in-x-7-1-2-in-auger-bit", "https://edmondsonsupply.com/products/diablo-tools-dag1110-7-8-in-x-7-1-2-in-auger-bit")</f>
        <v/>
      </c>
      <c r="C7490" t="inlineStr">
        <is>
          <t>Diablo Tools DAG1110 7/8 in. x 7-1/2 in. Auger Bit</t>
        </is>
      </c>
      <c r="D7490" t="inlineStr">
        <is>
          <t>PHITUODA 7/8" x 8" Wood Auger Drill Bit with 1/2 Inch Hex Shank, Perfect for Soft &amp; Hard Wood, Plastic, Drywall, PVC</t>
        </is>
      </c>
      <c r="E7490" s="2">
        <f>HYPERLINK("https://www.amazon.com/PHITUODA-Auger-Perfect-Plastic-Drywall/dp/B09KXLGB4Z/ref=sr_1_44?keywords=Diablo+Tools+DAG1110+7%2F8+in.+x+7-1%2F2+in.+Auger+Bit&amp;qid=1694735001&amp;sr=8-44", "https://www.amazon.com/PHITUODA-Auger-Perfect-Plastic-Drywall/dp/B09KXLGB4Z/ref=sr_1_44?keywords=Diablo+Tools+DAG1110+7%2F8+in.+x+7-1%2F2+in.+Auger+Bit&amp;qid=1694735001&amp;sr=8-44")</f>
        <v/>
      </c>
      <c r="F7490" t="inlineStr">
        <is>
          <t>B09KXLGB4Z</t>
        </is>
      </c>
      <c r="G7490">
        <f>_xludf.IMAGE("https://edmondsonsupply.com/cdn/shop/products/yel7mbaiyy08ii0assd5.webp?v=1680187136")</f>
        <v/>
      </c>
      <c r="H7490">
        <f>_xludf.IMAGE("https://m.media-amazon.com/images/I/51bxhGqATVL._AC_UL320_.jpg")</f>
        <v/>
      </c>
      <c r="K7490" t="inlineStr">
        <is>
          <t>16.97</t>
        </is>
      </c>
      <c r="L7490" t="n">
        <v>7.99</v>
      </c>
      <c r="M7490" s="1" t="inlineStr">
        <is>
          <t>-52.92%</t>
        </is>
      </c>
      <c r="N7490" s="1" t="n"/>
      <c r="O7490" t="n">
        <v>3.8</v>
      </c>
      <c r="P7490" t="n">
        <v>47</v>
      </c>
      <c r="R7490" t="inlineStr">
        <is>
          <t>InStock</t>
        </is>
      </c>
      <c r="S7490" t="inlineStr">
        <is>
          <t>23.76</t>
        </is>
      </c>
      <c r="T7490" t="inlineStr">
        <is>
          <t>7970459549912</t>
        </is>
      </c>
    </row>
    <row r="7491" hidden="1" ht="15.75" customHeight="1">
      <c r="A7491" s="2">
        <f>HYPERLINK("https://edmondsonsupply.com/collections/electricians-tools/products/klein-tools-69191-11a-replacement-fuse", "https://edmondsonsupply.com/collections/electricians-tools/products/klein-tools-69191-11a-replacement-fuse")</f>
        <v/>
      </c>
      <c r="B7491" s="2">
        <f>HYPERLINK("https://edmondsonsupply.com/products/klein-tools-69191-11a-replacement-fuse", "https://edmondsonsupply.com/products/klein-tools-69191-11a-replacement-fuse")</f>
        <v/>
      </c>
      <c r="C7491" t="inlineStr">
        <is>
          <t>Klein Tools 69191 11A Replacement Fuse</t>
        </is>
      </c>
      <c r="D7491" t="inlineStr">
        <is>
          <t>Klein Tools 11A Replacement Fuse</t>
        </is>
      </c>
      <c r="E7491" s="2">
        <f>HYPERLINK("https://www.amazon.com/Replacement-Fuse-Klein-Tools-69191/dp/B007GSH3W2/ref=sr_1_1?keywords=Klein+Tools+69191+11A+Replacement+Fuse&amp;qid=1694735230&amp;sr=8-1", "https://www.amazon.com/Replacement-Fuse-Klein-Tools-69191/dp/B007GSH3W2/ref=sr_1_1?keywords=Klein+Tools+69191+11A+Replacement+Fuse&amp;qid=1694735230&amp;sr=8-1")</f>
        <v/>
      </c>
      <c r="F7491" t="inlineStr">
        <is>
          <t>B007GSH3W2</t>
        </is>
      </c>
      <c r="G7491">
        <f>_xludf.IMAGE("https://edmondsonsupply.com/cdn/shop/products/69191.jpg?v=1633030994")</f>
        <v/>
      </c>
      <c r="H7491">
        <f>_xludf.IMAGE("https://m.media-amazon.com/images/I/61VhhtUpssL._AC_UL320_.jpg")</f>
        <v/>
      </c>
      <c r="K7491" t="inlineStr">
        <is>
          <t>14.85</t>
        </is>
      </c>
      <c r="L7491" t="n">
        <v>6.99</v>
      </c>
      <c r="M7491" s="1" t="inlineStr">
        <is>
          <t>-52.93%</t>
        </is>
      </c>
      <c r="N7491" s="1" t="n"/>
      <c r="O7491" t="n">
        <v>4.6</v>
      </c>
      <c r="P7491" t="n">
        <v>20</v>
      </c>
      <c r="R7491" t="inlineStr">
        <is>
          <t>InStock</t>
        </is>
      </c>
      <c r="S7491" t="inlineStr">
        <is>
          <t>22.5</t>
        </is>
      </c>
      <c r="T7491" t="inlineStr">
        <is>
          <t>6679921655981</t>
        </is>
      </c>
    </row>
    <row r="7492" ht="87" customHeight="1">
      <c r="A7492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7492" s="2">
        <f>HYPERLINK("https://edmondsonsupply.com/products/klein-tools-31902-bi-metal-hole-saw-kit-8-piece", "https://edmondsonsupply.com/products/klein-tools-31902-bi-metal-hole-saw-kit-8-piece")</f>
        <v/>
      </c>
      <c r="C7492" t="inlineStr">
        <is>
          <t>Klein Tools 31902 Bi-Metal Hole Saw Kit, 8-Piece</t>
        </is>
      </c>
      <c r="D7492" t="inlineStr">
        <is>
          <t>JEFE HEX 13-Piece Hole Saw Set, Bi-Metal Hole Saw Kit, M42 Bi-metal Hole Cutter Set with 9-Pc Hole Saw-3/4",7/8",1-1/8",1-3/8",1-1/2"1-3/4",2",2-1/4" and 2-1/2" for Metal, Wood, Plywood, Drywall, PVC Board, and Plastic</t>
        </is>
      </c>
      <c r="E7492" s="2">
        <f>HYPERLINK("https://www.amazon.com/JEFE-HEX-13-Piece-Bi-Metal-Bi-metal/dp/B09MHT1SSS/ref=sr_1_8?keywords=Klein+Tools+31902+Bi-Metal+Hole+Saw+Kit%2C+8-Piece&amp;qid=1694735008&amp;sr=8-8", "https://www.amazon.com/JEFE-HEX-13-Piece-Bi-Metal-Bi-metal/dp/B09MHT1SSS/ref=sr_1_8?keywords=Klein+Tools+31902+Bi-Metal+Hole+Saw+Kit%2C+8-Piece&amp;qid=1694735008&amp;sr=8-8")</f>
        <v/>
      </c>
      <c r="F7492" t="inlineStr">
        <is>
          <t>B09MHT1SSS</t>
        </is>
      </c>
      <c r="G7492">
        <f>_xlfn.IMAGE("https://edmondsonsupply.com/cdn/shop/products/31902.jpg?v=1679665390")</f>
        <v/>
      </c>
      <c r="H7492">
        <f>_xlfn.IMAGE("https://m.media-amazon.com/images/I/61KUeQiGRKL._AC_UL320_.jpg")</f>
        <v/>
      </c>
      <c r="K7492" t="inlineStr">
        <is>
          <t>74.99</t>
        </is>
      </c>
      <c r="L7492" t="n">
        <v>35.29</v>
      </c>
      <c r="M7492" s="1" t="inlineStr">
        <is>
          <t>-52.94%</t>
        </is>
      </c>
      <c r="N7492" s="7" t="n"/>
      <c r="O7492" t="n">
        <v>4.3</v>
      </c>
      <c r="P7492" t="n">
        <v>181</v>
      </c>
      <c r="R7492" t="inlineStr">
        <is>
          <t>InStock</t>
        </is>
      </c>
      <c r="S7492" t="inlineStr">
        <is>
          <t>105.24</t>
        </is>
      </c>
      <c r="T7492" t="inlineStr">
        <is>
          <t>7966205673688</t>
        </is>
      </c>
    </row>
    <row r="7493" ht="87" customHeight="1">
      <c r="A7493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7493" s="2">
        <f>HYPERLINK("https://edmondsonsupply.com/products/klein-tools-56334-steel-fish-tape-1-8-inch-x-240-foot", "https://edmondsonsupply.com/products/klein-tools-56334-steel-fish-tape-1-8-inch-x-240-foot")</f>
        <v/>
      </c>
      <c r="C7493" t="inlineStr">
        <is>
          <t>Klein Tools 56334 Steel Fish Tape, 1/8-Inch x 240-Foot</t>
        </is>
      </c>
      <c r="D7493" t="inlineStr">
        <is>
          <t>Klein Tools 56002 Electrical Fish Tape, 65-Foot Long x 1/8-Inch Wide Steel for Heavy Duty Wire Pulls, Laser Etched for Conduit Measuring</t>
        </is>
      </c>
      <c r="E7493" s="2">
        <f>HYPERLINK("https://www.amazon.com/65-Foot-Measuring-Klein-Tools-56002/dp/B007KFRMY0/ref=sr_1_4?keywords=Klein+Tools+56334+Steel+Fish+Tape%2C+1%2F8-Inch+x+240-Foot&amp;qid=1694735385&amp;sr=8-4", "https://www.amazon.com/65-Foot-Measuring-Klein-Tools-56002/dp/B007KFRMY0/ref=sr_1_4?keywords=Klein+Tools+56334+Steel+Fish+Tape%2C+1%2F8-Inch+x+240-Foot&amp;qid=1694735385&amp;sr=8-4")</f>
        <v/>
      </c>
      <c r="F7493" t="inlineStr">
        <is>
          <t>B007KFRMY0</t>
        </is>
      </c>
      <c r="G7493">
        <f>_xlfn.IMAGE("https://edmondsonsupply.com/cdn/shop/products/56334.jpg?v=1587147767")</f>
        <v/>
      </c>
      <c r="H7493">
        <f>_xlfn.IMAGE("https://m.media-amazon.com/images/I/51JsZKupteL._AC_UL320_.jpg")</f>
        <v/>
      </c>
      <c r="K7493" t="inlineStr">
        <is>
          <t>84.97</t>
        </is>
      </c>
      <c r="L7493" t="n">
        <v>39.97</v>
      </c>
      <c r="M7493" s="1" t="inlineStr">
        <is>
          <t>-52.96%</t>
        </is>
      </c>
      <c r="N7493" s="7" t="n"/>
      <c r="O7493" t="n">
        <v>4.4</v>
      </c>
      <c r="P7493" t="n">
        <v>140</v>
      </c>
      <c r="R7493" t="inlineStr">
        <is>
          <t>InStock</t>
        </is>
      </c>
      <c r="S7493" t="inlineStr">
        <is>
          <t>115.14</t>
        </is>
      </c>
      <c r="T7493" t="inlineStr">
        <is>
          <t>4412213723236</t>
        </is>
      </c>
    </row>
    <row r="7494" ht="87" customHeight="1">
      <c r="A7494" s="2">
        <f>HYPERLINK("https://edmondsonsupply.com/collections/electricians-tools/products/copy-of-diablo-tools-d12100x-12-in-x-100-tooth-ultimate-polished-finish-saw-blade", "https://edmondsonsupply.com/collections/electricians-tools/products/copy-of-diablo-tools-d12100x-12-in-x-100-tooth-ultimate-polished-finish-saw-blade")</f>
        <v/>
      </c>
      <c r="B7494" s="2">
        <f>HYPERLINK("https://edmondsonsupply.com/products/copy-of-diablo-tools-d12100x-12-in-x-100-tooth-ultimate-polished-finish-saw-blade", "https://edmondsonsupply.com/products/copy-of-diablo-tools-d12100x-12-in-x-100-tooth-ultimate-polished-finish-saw-blade")</f>
        <v/>
      </c>
      <c r="C7494" t="inlineStr">
        <is>
          <t>Diablo Tools D1060X 10 in. x 60 Tooth Fine Finish Saw Blade</t>
        </is>
      </c>
      <c r="D7494" t="inlineStr">
        <is>
          <t>TOMAX 10-Inch 60 Tooth ATB Fine Finish Saw Blade with 5/8-Inch Arbor</t>
        </is>
      </c>
      <c r="E7494" s="2">
        <f>HYPERLINK("https://www.amazon.com/TOMAX-10-Inch-Tooth-Finish-8-Inch/dp/B01LWPUCE9/ref=sr_1_14?keywords=Diablo+Tools+D1060X+10+in.+x+60+Tooth+Fine+Finish+Saw+Blade&amp;qid=1694735313&amp;sr=8-14", "https://www.amazon.com/TOMAX-10-Inch-Tooth-Finish-8-Inch/dp/B01LWPUCE9/ref=sr_1_14?keywords=Diablo+Tools+D1060X+10+in.+x+60+Tooth+Fine+Finish+Saw+Blade&amp;qid=1694735313&amp;sr=8-14")</f>
        <v/>
      </c>
      <c r="F7494" t="inlineStr">
        <is>
          <t>B01LWPUCE9</t>
        </is>
      </c>
      <c r="G7494">
        <f>_xlfn.IMAGE("https://edmondsonsupply.com/cdn/shop/products/D1060X_Main-Image20191112.png?v=1633030277")</f>
        <v/>
      </c>
      <c r="H7494">
        <f>_xlfn.IMAGE("https://m.media-amazon.com/images/I/81QJuI3xfTL._AC_UL320_.jpg")</f>
        <v/>
      </c>
      <c r="K7494" t="inlineStr">
        <is>
          <t>38.29</t>
        </is>
      </c>
      <c r="L7494" t="n">
        <v>17.99</v>
      </c>
      <c r="M7494" s="1" t="inlineStr">
        <is>
          <t>-53.02%</t>
        </is>
      </c>
      <c r="N7494" s="7" t="n"/>
      <c r="O7494" t="n">
        <v>4.6</v>
      </c>
      <c r="P7494" t="n">
        <v>1497</v>
      </c>
      <c r="R7494" t="inlineStr">
        <is>
          <t>InStock</t>
        </is>
      </c>
      <c r="S7494" t="inlineStr">
        <is>
          <t>60.65</t>
        </is>
      </c>
      <c r="T7494" t="inlineStr">
        <is>
          <t>5238382526632</t>
        </is>
      </c>
    </row>
    <row r="7495" ht="87" customHeight="1">
      <c r="A7495" s="2">
        <f>HYPERLINK("https://edmondsonsupply.com/collections/electricians-tools/products/milwaukee-48-03-3012-sds-max-to-spline-adapter", "https://edmondsonsupply.com/collections/electricians-tools/products/milwaukee-48-03-3012-sds-max-to-spline-adapter")</f>
        <v/>
      </c>
      <c r="B7495" s="2">
        <f>HYPERLINK("https://edmondsonsupply.com/products/milwaukee-48-03-3012-sds-max-to-spline-adapter", "https://edmondsonsupply.com/products/milwaukee-48-03-3012-sds-max-to-spline-adapter")</f>
        <v/>
      </c>
      <c r="C7495" t="inlineStr">
        <is>
          <t>Milwaukee 48-03-3012 SDS-MAX to Spline Bit Adapter</t>
        </is>
      </c>
      <c r="D7495" t="inlineStr">
        <is>
          <t>Milwaukee 48-03-3565 18-Inch Spline Thick Core Bit Adapter for 1 1/2-Inch to 6-Inch Bits</t>
        </is>
      </c>
      <c r="E7495" s="2">
        <f>HYPERLINK("https://www.amazon.com/Milwaukee-48-03-3565-18-Inch-Spline-Adapter/dp/B000CSORO0/ref=sr_1_8?keywords=Milwaukee+48-03-3012+SDS-MAX+to+Spline+Bit+Adapter&amp;qid=1694735056&amp;sr=8-8", "https://www.amazon.com/Milwaukee-48-03-3565-18-Inch-Spline-Adapter/dp/B000CSORO0/ref=sr_1_8?keywords=Milwaukee+48-03-3012+SDS-MAX+to+Spline+Bit+Adapter&amp;qid=1694735056&amp;sr=8-8")</f>
        <v/>
      </c>
      <c r="F7495" t="inlineStr">
        <is>
          <t>B000CSORO0</t>
        </is>
      </c>
      <c r="G7495">
        <f>_xlfn.IMAGE("https://edmondsonsupply.com/cdn/shop/products/48-03-3012.jpg?v=1674074396")</f>
        <v/>
      </c>
      <c r="H7495">
        <f>_xlfn.IMAGE("https://m.media-amazon.com/images/I/2157CNN6DQL._AC_UL320_.jpg")</f>
        <v/>
      </c>
      <c r="K7495" t="inlineStr">
        <is>
          <t>141.88</t>
        </is>
      </c>
      <c r="L7495" t="n">
        <v>66.66</v>
      </c>
      <c r="M7495" s="1" t="inlineStr">
        <is>
          <t>-53.02%</t>
        </is>
      </c>
      <c r="N7495" s="7" t="n"/>
      <c r="O7495" t="n">
        <v>5</v>
      </c>
      <c r="P7495" t="n">
        <v>2</v>
      </c>
      <c r="R7495" t="inlineStr">
        <is>
          <t>InStock</t>
        </is>
      </c>
      <c r="S7495" t="inlineStr">
        <is>
          <t>256.6</t>
        </is>
      </c>
      <c r="T7495" t="inlineStr">
        <is>
          <t>7926127886552</t>
        </is>
      </c>
    </row>
    <row r="7496" ht="87" customHeight="1">
      <c r="A7496" s="2">
        <f>HYPERLINK("https://edmondsonsupply.com/collections/electricians-tools/products/diablo-tools-dmamx1040", "https://edmondsonsupply.com/collections/electricians-tools/products/diablo-tools-dmamx1040")</f>
        <v/>
      </c>
      <c r="B7496" s="2">
        <f>HYPERLINK("https://edmondsonsupply.com/products/diablo-tools-dmamx1040", "https://edmondsonsupply.com/products/diablo-tools-dmamx1040")</f>
        <v/>
      </c>
      <c r="C7496" t="inlineStr">
        <is>
          <t>Diablo Tools DMAMX1040 1/2 in. x 24 in. x 29 in. Rebar Demon SDS-Max 4-Cutter Full Carbide Head Hammer Bit</t>
        </is>
      </c>
      <c r="D7496" t="inlineStr">
        <is>
          <t>Diablo by Freud DMAPL4230 5/8 in. x 10 in. x 12 in. Rebar Demon SDS-Plus 4-Cutter Full Carbide Head Hammer Bit</t>
        </is>
      </c>
      <c r="E7496" s="2">
        <f>HYPERLINK("https://www.amazon.com/Diablo-Freud-DMAPL4230-SDS-Plus-4-Cutter/dp/B089LCN234/ref=sr_1_29?keywords=Diablo+Tools+DMAMX1040+1%2F2+in.+x+24+in.+x+29+in.+Rebar+Demon+SDS-Max+4-Cutter+Full+Carbide+Head+Hammer+Bit&amp;qid=1694735295&amp;sr=8-29", "https://www.amazon.com/Diablo-Freud-DMAPL4230-SDS-Plus-4-Cutter/dp/B089LCN234/ref=sr_1_29?keywords=Diablo+Tools+DMAMX1040+1%2F2+in.+x+24+in.+x+29+in.+Rebar+Demon+SDS-Max+4-Cutter+Full+Carbide+Head+Hammer+Bit&amp;qid=1694735295&amp;sr=8-29")</f>
        <v/>
      </c>
      <c r="F7496" t="inlineStr">
        <is>
          <t>B089LCN234</t>
        </is>
      </c>
      <c r="G7496">
        <f>_xlfn.IMAGE("https://edmondsonsupply.com/cdn/shop/products/DMAMX1040_Main-Image20200701.png?v=1633030363")</f>
        <v/>
      </c>
      <c r="H7496">
        <f>_xlfn.IMAGE("https://m.media-amazon.com/images/I/61r649wmyhL._AC_UL320_.jpg")</f>
        <v/>
      </c>
      <c r="K7496" t="inlineStr">
        <is>
          <t>47.97</t>
        </is>
      </c>
      <c r="L7496" t="n">
        <v>22.51</v>
      </c>
      <c r="M7496" s="1" t="inlineStr">
        <is>
          <t>-53.07%</t>
        </is>
      </c>
      <c r="N7496" s="7" t="n"/>
      <c r="O7496" t="n">
        <v>4.7</v>
      </c>
      <c r="P7496" t="n">
        <v>47</v>
      </c>
      <c r="R7496" t="inlineStr">
        <is>
          <t>InStock</t>
        </is>
      </c>
      <c r="S7496" t="inlineStr">
        <is>
          <t>72.46</t>
        </is>
      </c>
      <c r="T7496" t="inlineStr">
        <is>
          <t>5289126527144</t>
        </is>
      </c>
    </row>
    <row r="7497" ht="87" customHeight="1">
      <c r="A7497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497" s="2">
        <f>HYPERLINK("https://edmondsonsupply.com/products/klein-tools-rt310-afci-gfci-outlet-tester", "https://edmondsonsupply.com/products/klein-tools-rt310-afci-gfci-outlet-tester")</f>
        <v/>
      </c>
      <c r="C7497" t="inlineStr">
        <is>
          <t>Klein Tools RT310 AFCI / GFCI Outlet Tester</t>
        </is>
      </c>
      <c r="D7497" t="inlineStr">
        <is>
          <t>CaseSack case for Klein Tools ET310 AC Circuit Breaker Finder, Integrated GFCI Outlet Tester, RT310 Receptacle and Accessory Kit, 80016</t>
        </is>
      </c>
      <c r="E7497" s="2">
        <f>HYPERLINK("https://www.amazon.com/CaseSack-Consolidation-Integrated-Receptacle-Accessory/dp/B08TPHYW37/ref=sr_1_13?keywords=Klein+Tools+RT310+AFCI+%2F+GFCI+Outlet+Tester&amp;qid=1694734989&amp;sr=8-13", "https://www.amazon.com/CaseSack-Consolidation-Integrated-Receptacle-Accessory/dp/B08TPHYW37/ref=sr_1_13?keywords=Klein+Tools+RT310+AFCI+%2F+GFCI+Outlet+Tester&amp;qid=1694734989&amp;sr=8-13")</f>
        <v/>
      </c>
      <c r="F7497" t="inlineStr">
        <is>
          <t>B08TPHYW37</t>
        </is>
      </c>
      <c r="G7497">
        <f>_xlfn.IMAGE("https://edmondsonsupply.com/cdn/shop/products/rt310.jpg?v=1587148552")</f>
        <v/>
      </c>
      <c r="H7497">
        <f>_xlfn.IMAGE("https://m.media-amazon.com/images/I/91QJZ0WaD3L._AC_UL320_.jpg")</f>
        <v/>
      </c>
      <c r="K7497" t="inlineStr">
        <is>
          <t>39.97</t>
        </is>
      </c>
      <c r="L7497" t="n">
        <v>18.68</v>
      </c>
      <c r="M7497" s="1" t="inlineStr">
        <is>
          <t>-53.26%</t>
        </is>
      </c>
      <c r="N7497" s="7" t="n"/>
      <c r="O7497" t="n">
        <v>4.1</v>
      </c>
      <c r="P7497" t="n">
        <v>826</v>
      </c>
      <c r="R7497" t="inlineStr">
        <is>
          <t>InStock</t>
        </is>
      </c>
      <c r="S7497" t="inlineStr">
        <is>
          <t>57.9</t>
        </is>
      </c>
      <c r="T7497" t="inlineStr">
        <is>
          <t>3372527779940</t>
        </is>
      </c>
    </row>
    <row r="7498" ht="87" customHeight="1">
      <c r="A7498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7498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7498" t="inlineStr">
        <is>
          <t>Diablo Tools DMAMX1130 3/4 in. x 8 in. x 13 in. Rebar Demon™ SDS‑Max 4‑Cutter Full Carbide Head Hammer Bit</t>
        </is>
      </c>
      <c r="D7498" t="inlineStr">
        <is>
          <t>Diablo DMAMX1050 9/16 in. x 8 in. x 13 in. Rebar Demon™ SDS-Max 4-Cutter Full Carbide Head Hammer Bit</t>
        </is>
      </c>
      <c r="E7498" s="2">
        <f>HYPERLINK("https://www.amazon.com/Diablo-SDS-Max-4-Cutter-Carbide-Hammer/dp/B089LK4F2D/ref=sr_1_8?keywords=Diablo+Tools+DMAMX1130+3%2F4+in.+x+8+in.+x+13+in.+Rebar+Demon%E2%84%A2+SDS%E2%80%91Max+4%E2%80%91Cutter+Full+Carbide+Head+Hammer+Bit&amp;qid=1694735267&amp;sr=8-8", "https://www.amazon.com/Diablo-SDS-Max-4-Cutter-Carbide-Hammer/dp/B089LK4F2D/ref=sr_1_8?keywords=Diablo+Tools+DMAMX1130+3%2F4+in.+x+8+in.+x+13+in.+Rebar+Demon%E2%84%A2+SDS%E2%80%91Max+4%E2%80%91Cutter+Full+Carbide+Head+Hammer+Bit&amp;qid=1694735267&amp;sr=8-8")</f>
        <v/>
      </c>
      <c r="F7498" t="inlineStr">
        <is>
          <t>B089LK4F2D</t>
        </is>
      </c>
      <c r="G7498">
        <f>_xlfn.IMAGE("https://edmondsonsupply.com/cdn/shop/products/DMAMX1130_Main-Image20200701.png?v=1633030568")</f>
        <v/>
      </c>
      <c r="H7498">
        <f>_xlfn.IMAGE("https://m.media-amazon.com/images/I/61jYhd4-UbL._AC_UL320_.jpg")</f>
        <v/>
      </c>
      <c r="K7498" t="inlineStr">
        <is>
          <t>44.97</t>
        </is>
      </c>
      <c r="L7498" t="n">
        <v>20.99</v>
      </c>
      <c r="M7498" s="1" t="inlineStr">
        <is>
          <t>-53.32%</t>
        </is>
      </c>
      <c r="N7498" s="7" t="n"/>
      <c r="O7498" t="n">
        <v>5</v>
      </c>
      <c r="P7498" t="n">
        <v>1</v>
      </c>
      <c r="R7498" t="inlineStr">
        <is>
          <t>InStock</t>
        </is>
      </c>
      <c r="S7498" t="inlineStr">
        <is>
          <t>46.26</t>
        </is>
      </c>
      <c r="T7498" t="inlineStr">
        <is>
          <t>5463880925352</t>
        </is>
      </c>
    </row>
    <row r="7499" ht="87" customHeight="1">
      <c r="A7499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499" s="2">
        <f>HYPERLINK("https://edmondsonsupply.com/products/klein-tools-31900-bi-metal-hole-saw-6-3-8-inch", "https://edmondsonsupply.com/products/klein-tools-31900-bi-metal-hole-saw-6-3-8-inch")</f>
        <v/>
      </c>
      <c r="C7499" t="inlineStr">
        <is>
          <t>Klein Tools 31900 Bi-Metal Hole Saw, 6-3/8-Inch</t>
        </is>
      </c>
      <c r="D7499" t="inlineStr">
        <is>
          <t>Luomorgo 6 3/8 inch 162mm Hole Saw, 1 1/4 inch Cutting Depth HSS Bi-Metal Hole Cutter with Hex Shank Drill Bit Adapter for Wood Cornhole Boards Plastic Drywall Fiberboard</t>
        </is>
      </c>
      <c r="E7499" s="2">
        <f>HYPERLINK("https://www.amazon.com/ZXHAO-Cutting-Bi-Metal-Cornhole-Fiberboard/dp/B0891TQ6Y8/ref=sr_1_45?keywords=Klein+Tools+31900+Bi-Metal+Hole+Saw%2C+6-3%2F8-Inch&amp;qid=1694735340&amp;sr=8-45", "https://www.amazon.com/ZXHAO-Cutting-Bi-Metal-Cornhole-Fiberboard/dp/B0891TQ6Y8/ref=sr_1_45?keywords=Klein+Tools+31900+Bi-Metal+Hole+Saw%2C+6-3%2F8-Inch&amp;qid=1694735340&amp;sr=8-45")</f>
        <v/>
      </c>
      <c r="F7499" t="inlineStr">
        <is>
          <t>B0891TQ6Y8</t>
        </is>
      </c>
      <c r="G7499">
        <f>_xlfn.IMAGE("https://edmondsonsupply.com/cdn/shop/products/31900.jpg?v=1587149880")</f>
        <v/>
      </c>
      <c r="H7499">
        <f>_xlfn.IMAGE("https://m.media-amazon.com/images/I/61ij+kwblqL._AC_UL320_.jpg")</f>
        <v/>
      </c>
      <c r="K7499" t="inlineStr">
        <is>
          <t>44.99</t>
        </is>
      </c>
      <c r="L7499" t="n">
        <v>20.99</v>
      </c>
      <c r="M7499" s="1" t="inlineStr">
        <is>
          <t>-53.35%</t>
        </is>
      </c>
      <c r="N7499" s="7" t="n"/>
      <c r="O7499" t="n">
        <v>4.3</v>
      </c>
      <c r="P7499" t="n">
        <v>3583</v>
      </c>
      <c r="R7499" t="inlineStr">
        <is>
          <t>InStock</t>
        </is>
      </c>
      <c r="S7499" t="inlineStr">
        <is>
          <t>54.86</t>
        </is>
      </c>
      <c r="T7499" t="inlineStr">
        <is>
          <t>4508234514532</t>
        </is>
      </c>
    </row>
    <row r="7500" ht="87" customHeight="1">
      <c r="A7500" s="2">
        <f>HYPERLINK("https://edmondsonsupply.com/collections/electricians-tools/products/klein-tools-88912-pvc-and-multilayer-tubing-cutter", "https://edmondsonsupply.com/collections/electricians-tools/products/klein-tools-88912-pvc-and-multilayer-tubing-cutter")</f>
        <v/>
      </c>
      <c r="B7500" s="2">
        <f>HYPERLINK("https://edmondsonsupply.com/products/klein-tools-88912-pvc-and-multilayer-tubing-cutter", "https://edmondsonsupply.com/products/klein-tools-88912-pvc-and-multilayer-tubing-cutter")</f>
        <v/>
      </c>
      <c r="C7500" t="inlineStr">
        <is>
          <t>Klein Tools 88912 PVC and Multilayer Tubing Cutter</t>
        </is>
      </c>
      <c r="D7500" t="inlineStr">
        <is>
          <t>Klein Tools 88912 PVC and Multilayer Tubing Cutter</t>
        </is>
      </c>
      <c r="E7500" s="2">
        <f>HYPERLINK("https://www.amazon.com/Multilayer-Tubing-Klein-Tools-88912/dp/B0778QB69D/ref=sr_1_1?keywords=Klein+Tools+88912+PVC+and+Multilayer+Tubing+Cutter&amp;qid=1694735211&amp;sr=8-1", "https://www.amazon.com/Multilayer-Tubing-Klein-Tools-88912/dp/B0778QB69D/ref=sr_1_1?keywords=Klein+Tools+88912+PVC+and+Multilayer+Tubing+Cutter&amp;qid=1694735211&amp;sr=8-1")</f>
        <v/>
      </c>
      <c r="F7500" t="inlineStr">
        <is>
          <t>B0778QB69D</t>
        </is>
      </c>
      <c r="G7500">
        <f>_xlfn.IMAGE("https://edmondsonsupply.com/cdn/shop/products/88912.jpg?v=1633031020")</f>
        <v/>
      </c>
      <c r="H7500">
        <f>_xlfn.IMAGE("https://m.media-amazon.com/images/I/51pk04P2QdL._AC_UL320_.jpg")</f>
        <v/>
      </c>
      <c r="K7500" t="inlineStr">
        <is>
          <t>44.99</t>
        </is>
      </c>
      <c r="L7500" t="n">
        <v>20.99</v>
      </c>
      <c r="M7500" s="1" t="inlineStr">
        <is>
          <t>-53.35%</t>
        </is>
      </c>
      <c r="N7500" s="7" t="n"/>
      <c r="O7500" t="n">
        <v>4.2</v>
      </c>
      <c r="P7500" t="n">
        <v>39</v>
      </c>
      <c r="R7500" t="inlineStr">
        <is>
          <t>InStock</t>
        </is>
      </c>
      <c r="S7500" t="inlineStr">
        <is>
          <t>66.38</t>
        </is>
      </c>
      <c r="T7500" t="inlineStr">
        <is>
          <t>6711980294317</t>
        </is>
      </c>
    </row>
    <row r="7501" ht="87" customHeight="1">
      <c r="A7501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501" s="2">
        <f>HYPERLINK("https://edmondsonsupply.com/products/klein-tools-31900-bi-metal-hole-saw-6-3-8-inch", "https://edmondsonsupply.com/products/klein-tools-31900-bi-metal-hole-saw-6-3-8-inch")</f>
        <v/>
      </c>
      <c r="C7501" t="inlineStr">
        <is>
          <t>Klein Tools 31900 Bi-Metal Hole Saw, 6-3/8-Inch</t>
        </is>
      </c>
      <c r="D7501" t="inlineStr">
        <is>
          <t>Hordion 162mm 6 3/8 inch Hole Saw, Heavy Duty Bi-Metal Hole Saws Bit Tooth Cutting for Cornhole Boards Drywall Wood Plastic Fiberboard Soft Metal</t>
        </is>
      </c>
      <c r="E7501" s="2">
        <f>HYPERLINK("https://www.amazon.com/Hordion-Bi-Metal-Cutting-Cornhole-Fiberboard/dp/B0897M9N4B/ref=sr_1_43?keywords=Klein+Tools+31900+Bi-Metal+Hole+Saw%2C+6-3%2F8-Inch&amp;qid=1694735340&amp;sr=8-43", "https://www.amazon.com/Hordion-Bi-Metal-Cutting-Cornhole-Fiberboard/dp/B0897M9N4B/ref=sr_1_43?keywords=Klein+Tools+31900+Bi-Metal+Hole+Saw%2C+6-3%2F8-Inch&amp;qid=1694735340&amp;sr=8-43")</f>
        <v/>
      </c>
      <c r="F7501" t="inlineStr">
        <is>
          <t>B0897M9N4B</t>
        </is>
      </c>
      <c r="G7501">
        <f>_xlfn.IMAGE("https://edmondsonsupply.com/cdn/shop/products/31900.jpg?v=1587149880")</f>
        <v/>
      </c>
      <c r="H7501">
        <f>_xlfn.IMAGE("https://m.media-amazon.com/images/I/61uzGbcFQnL._AC_UL320_.jpg")</f>
        <v/>
      </c>
      <c r="K7501" t="inlineStr">
        <is>
          <t>44.99</t>
        </is>
      </c>
      <c r="L7501" t="n">
        <v>20.99</v>
      </c>
      <c r="M7501" s="1" t="inlineStr">
        <is>
          <t>-53.35%</t>
        </is>
      </c>
      <c r="N7501" s="7" t="n"/>
      <c r="O7501" t="n">
        <v>4.3</v>
      </c>
      <c r="P7501" t="n">
        <v>403</v>
      </c>
      <c r="R7501" t="inlineStr">
        <is>
          <t>InStock</t>
        </is>
      </c>
      <c r="S7501" t="inlineStr">
        <is>
          <t>54.86</t>
        </is>
      </c>
      <c r="T7501" t="inlineStr">
        <is>
          <t>4508234514532</t>
        </is>
      </c>
    </row>
    <row r="7502" hidden="1" ht="15.75" customHeight="1">
      <c r="A7502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502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502" t="inlineStr">
        <is>
          <t>Klein Tools 11055RINS Insulated Klein-Kurve® Wire Stripper and Cutter</t>
        </is>
      </c>
      <c r="D7502" t="inlineStr">
        <is>
          <t>Klein Tools 1011M Wire Stripper/Cutter Stranded Wire,Blue</t>
        </is>
      </c>
      <c r="E7502" s="2">
        <f>HYPERLINK("https://www.amazon.com/KLEIN-TOOLS-Wire-Stripper-Cutter/dp/B00AM1Z0UC/ref=sr_1_30?keywords=Klein+Tools+11055RINS+Insulated+Klein-Kurve%C2%AE+Wire+Stripper+and+Cutter&amp;qid=1694735096&amp;sr=8-30", "https://www.amazon.com/KLEIN-TOOLS-Wire-Stripper-Cutter/dp/B00AM1Z0UC/ref=sr_1_30?keywords=Klein+Tools+11055RINS+Insulated+Klein-Kurve%C2%AE+Wire+Stripper+and+Cutter&amp;qid=1694735096&amp;sr=8-30")</f>
        <v/>
      </c>
      <c r="F7502" t="inlineStr">
        <is>
          <t>B00AM1Z0UC</t>
        </is>
      </c>
      <c r="G7502">
        <f>_xludf.IMAGE("https://edmondsonsupply.com/cdn/shop/products/11055rins.jpg?v=1667236979")</f>
        <v/>
      </c>
      <c r="H7502">
        <f>_xludf.IMAGE("https://m.media-amazon.com/images/I/61x1rjoC-NL._AC_UL320_.jpg")</f>
        <v/>
      </c>
      <c r="K7502" t="inlineStr">
        <is>
          <t>29.97</t>
        </is>
      </c>
      <c r="L7502" t="n">
        <v>13.94</v>
      </c>
      <c r="M7502" s="1" t="inlineStr">
        <is>
          <t>-53.49%</t>
        </is>
      </c>
      <c r="N7502" s="1" t="n"/>
      <c r="O7502" t="n">
        <v>4.7</v>
      </c>
      <c r="P7502" t="n">
        <v>16</v>
      </c>
      <c r="R7502" t="inlineStr">
        <is>
          <t>InStock</t>
        </is>
      </c>
      <c r="S7502" t="inlineStr">
        <is>
          <t>41.98</t>
        </is>
      </c>
      <c r="T7502" t="inlineStr">
        <is>
          <t>7871527813336</t>
        </is>
      </c>
    </row>
    <row r="7503" ht="87" customHeight="1">
      <c r="A7503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503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503" t="inlineStr">
        <is>
          <t>Milwaukee 48-11-2412 M12 REDLITHIUM™ XC Battery Two Pack</t>
        </is>
      </c>
      <c r="D7503" t="inlineStr">
        <is>
          <t>Simple Plus+ 6.0 Ah 12V Replacement Battery for Milwaukee M12 2Pack 12V Lithium-ion Batteries Compatible with Milwaukee XC 48-11-2440 48-11-2402 48-11-2460 Cordless Power Tools</t>
        </is>
      </c>
      <c r="E7503" s="2">
        <f>HYPERLINK("https://www.amazon.com/Simple-Plus-Replacement-Lithium-ion-Compatible/dp/B0CC87H42Z/ref=sr_1_11?keywords=Milwaukee+48-11-2412+M12+REDLITHIUM%E2%84%A2+XC+Battery+Two+Pack&amp;qid=1694735150&amp;sr=8-11", "https://www.amazon.com/Simple-Plus-Replacement-Lithium-ion-Compatible/dp/B0CC87H42Z/ref=sr_1_11?keywords=Milwaukee+48-11-2412+M12+REDLITHIUM%E2%84%A2+XC+Battery+Two+Pack&amp;qid=1694735150&amp;sr=8-11")</f>
        <v/>
      </c>
      <c r="F7503" t="inlineStr">
        <is>
          <t>B0CC87H42Z</t>
        </is>
      </c>
      <c r="G7503">
        <f>_xlfn.IMAGE("https://edmondsonsupply.com/cdn/shop/products/48-11-2412.jpg?v=1654795924")</f>
        <v/>
      </c>
      <c r="H7503">
        <f>_xlfn.IMAGE("https://m.media-amazon.com/images/I/71UXyIHg7vL._AC_UL320_.jpg")</f>
        <v/>
      </c>
      <c r="K7503" t="inlineStr">
        <is>
          <t>129.0</t>
        </is>
      </c>
      <c r="L7503" t="n">
        <v>59.99</v>
      </c>
      <c r="M7503" s="1" t="inlineStr">
        <is>
          <t>-53.50%</t>
        </is>
      </c>
      <c r="N7503" s="7" t="n"/>
      <c r="O7503" t="n">
        <v>5</v>
      </c>
      <c r="P7503" t="n">
        <v>4</v>
      </c>
      <c r="R7503" t="inlineStr">
        <is>
          <t>InStock</t>
        </is>
      </c>
      <c r="S7503" t="inlineStr">
        <is>
          <t>217.0</t>
        </is>
      </c>
      <c r="T7503" t="inlineStr">
        <is>
          <t>7711224168664</t>
        </is>
      </c>
    </row>
    <row r="7504" hidden="1" ht="15.75" customHeight="1">
      <c r="A7504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504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504" t="inlineStr">
        <is>
          <t>Klein Tools NCVT-2P Dual Range Non-Contact Voltage Tester 12 - 1000V AC</t>
        </is>
      </c>
      <c r="D7504" t="inlineStr">
        <is>
          <t>LETONNEY Non-Contact Voltage Tester Electrical Tester with Dual Range AC 12V/48V-1000V Live/Null Wire Tester, Outlet Tester with LED Flashlight, Buzzer Alarm (Blue)</t>
        </is>
      </c>
      <c r="E7504" s="2">
        <f>HYPERLINK("https://www.amazon.com/LETONNEY-Non-Contact-Electrical-48V-1000V-Flashlight/dp/B0B76Q86Q9/ref=sr_1_26?keywords=Klein+Tools+NCVT-2P+Dual+Range+Non-Contact+Voltage+Tester+12+-+1000V+AC&amp;qid=1694735236&amp;sr=8-26", "https://www.amazon.com/LETONNEY-Non-Contact-Electrical-48V-1000V-Flashlight/dp/B0B76Q86Q9/ref=sr_1_26?keywords=Klein+Tools+NCVT-2P+Dual+Range+Non-Contact+Voltage+Tester+12+-+1000V+AC&amp;qid=1694735236&amp;sr=8-26")</f>
        <v/>
      </c>
      <c r="F7504" t="inlineStr">
        <is>
          <t>B0B76Q86Q9</t>
        </is>
      </c>
      <c r="G7504">
        <f>_xludf.IMAGE("https://edmondsonsupply.com/cdn/shop/products/ncvt2p.jpg?v=1633030824")</f>
        <v/>
      </c>
      <c r="H7504">
        <f>_xludf.IMAGE("https://m.media-amazon.com/images/I/61emxZoi+uL._AC_UL320_.jpg")</f>
        <v/>
      </c>
      <c r="K7504" t="inlineStr">
        <is>
          <t>27.97</t>
        </is>
      </c>
      <c r="L7504" t="n">
        <v>12.99</v>
      </c>
      <c r="M7504" s="1" t="inlineStr">
        <is>
          <t>-53.56%</t>
        </is>
      </c>
      <c r="N7504" s="1" t="n"/>
      <c r="O7504" t="n">
        <v>2</v>
      </c>
      <c r="P7504" t="n">
        <v>1</v>
      </c>
      <c r="R7504" t="inlineStr">
        <is>
          <t>InStock</t>
        </is>
      </c>
      <c r="S7504" t="inlineStr">
        <is>
          <t>35.76</t>
        </is>
      </c>
      <c r="T7504" t="inlineStr">
        <is>
          <t>6080875626669</t>
        </is>
      </c>
    </row>
    <row r="7505" hidden="1" ht="15.75" customHeight="1">
      <c r="A7505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505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505" t="inlineStr">
        <is>
          <t>Klein Tools NCVT-2P Dual Range Non-Contact Voltage Tester 12 - 1000V AC</t>
        </is>
      </c>
      <c r="D7505" t="inlineStr">
        <is>
          <t>ANKONG Voltage Tester, Non-Contact AC Voltage Tester Pen with Dual Range AC 12V-1000V/48V-1000V Live/Null Wire Tester Electrical Tester with LCD Display Buzzer Alarm Wire Breakpoint Finder-HT100</t>
        </is>
      </c>
      <c r="E7505" s="2">
        <f>HYPERLINK("https://www.amazon.com/Non-Contact-12V-1000V-48V-1000V-Electrical-Breakpoint/dp/B09H27DSR7/ref=sr_1_39?keywords=Klein+Tools+NCVT-2P+Dual+Range+Non-Contact+Voltage+Tester+12+-+1000V+AC&amp;qid=1694735236&amp;sr=8-39", "https://www.amazon.com/Non-Contact-12V-1000V-48V-1000V-Electrical-Breakpoint/dp/B09H27DSR7/ref=sr_1_39?keywords=Klein+Tools+NCVT-2P+Dual+Range+Non-Contact+Voltage+Tester+12+-+1000V+AC&amp;qid=1694735236&amp;sr=8-39")</f>
        <v/>
      </c>
      <c r="F7505" t="inlineStr">
        <is>
          <t>B09H27DSR7</t>
        </is>
      </c>
      <c r="G7505">
        <f>_xludf.IMAGE("https://edmondsonsupply.com/cdn/shop/products/ncvt2p.jpg?v=1633030824")</f>
        <v/>
      </c>
      <c r="H7505">
        <f>_xludf.IMAGE("https://m.media-amazon.com/images/I/61y03LGIYxL._AC_UL320_.jpg")</f>
        <v/>
      </c>
      <c r="K7505" t="inlineStr">
        <is>
          <t>27.97</t>
        </is>
      </c>
      <c r="L7505" t="n">
        <v>12.99</v>
      </c>
      <c r="M7505" s="1" t="inlineStr">
        <is>
          <t>-53.56%</t>
        </is>
      </c>
      <c r="N7505" s="1" t="n"/>
      <c r="O7505" t="n">
        <v>4.1</v>
      </c>
      <c r="P7505" t="n">
        <v>31</v>
      </c>
      <c r="R7505" t="inlineStr">
        <is>
          <t>InStock</t>
        </is>
      </c>
      <c r="S7505" t="inlineStr">
        <is>
          <t>35.76</t>
        </is>
      </c>
      <c r="T7505" t="inlineStr">
        <is>
          <t>6080875626669</t>
        </is>
      </c>
    </row>
    <row r="7506" ht="87" customHeight="1">
      <c r="A7506" s="2">
        <f>HYPERLINK("https://edmondsonsupply.com/collections/electricians-tools/products/milwaukee-2732-21hd", "https://edmondsonsupply.com/collections/electricians-tools/products/milwaukee-2732-21hd")</f>
        <v/>
      </c>
      <c r="B7506" s="2">
        <f>HYPERLINK("https://edmondsonsupply.com/products/milwaukee-2732-21hd", "https://edmondsonsupply.com/products/milwaukee-2732-21hd")</f>
        <v/>
      </c>
      <c r="C7506" t="inlineStr">
        <is>
          <t>Milwaukee 2732-21HD M18 FUEL 7-1/4" Circular Saw Kit</t>
        </is>
      </c>
      <c r="D7506" t="inlineStr">
        <is>
          <t>Milwaukee 2732-20 M18 Fuel 18 Volt Lithium-Ion 15 Amp 7-1/4 Inch Cordless Circular Saw (Tool Only) (Non-Retail Packaging)</t>
        </is>
      </c>
      <c r="E7506" s="2">
        <f>HYPERLINK("https://www.amazon.com/Milwaukee-Lithium-Ion-Cordless-Non-Retail-Packaging/dp/B07VK7ZD4X/ref=sr_1_2?keywords=Milwaukee+2732-21HD+M18+FUEL+7-1%2F4%22+Circular+Saw+Kit&amp;qid=1694735304&amp;sr=8-2", "https://www.amazon.com/Milwaukee-Lithium-Ion-Cordless-Non-Retail-Packaging/dp/B07VK7ZD4X/ref=sr_1_2?keywords=Milwaukee+2732-21HD+M18+FUEL+7-1%2F4%22+Circular+Saw+Kit&amp;qid=1694735304&amp;sr=8-2")</f>
        <v/>
      </c>
      <c r="F7506" t="inlineStr">
        <is>
          <t>B07VK7ZD4X</t>
        </is>
      </c>
      <c r="G7506">
        <f>_xlfn.IMAGE("https://edmondsonsupply.com/cdn/shop/products/2732-21HD_Kit.png?v=1591470998")</f>
        <v/>
      </c>
      <c r="H7506">
        <f>_xlfn.IMAGE("https://m.media-amazon.com/images/I/61WNFmKXfJL._AC_UL320_.jpg")</f>
        <v/>
      </c>
      <c r="K7506" t="inlineStr">
        <is>
          <t>449.0</t>
        </is>
      </c>
      <c r="L7506" t="n">
        <v>206.97</v>
      </c>
      <c r="M7506" s="1" t="inlineStr">
        <is>
          <t>-53.90%</t>
        </is>
      </c>
      <c r="N7506" s="7" t="n"/>
      <c r="O7506" t="n">
        <v>4.7</v>
      </c>
      <c r="P7506" t="n">
        <v>285</v>
      </c>
      <c r="R7506" t="inlineStr">
        <is>
          <t>InStock</t>
        </is>
      </c>
      <c r="S7506" t="inlineStr">
        <is>
          <t>790.0</t>
        </is>
      </c>
      <c r="T7506" t="inlineStr">
        <is>
          <t>5279006064808</t>
        </is>
      </c>
    </row>
    <row r="7507" ht="87" customHeight="1">
      <c r="A7507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507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507" t="inlineStr">
        <is>
          <t>Diablo Tools DMAPL9920-S7 7pc Rebar Demon™ SDS-Plus 4-Cutter Full Carbide Head Hammer Bit Set</t>
        </is>
      </c>
      <c r="D7507" t="inlineStr">
        <is>
          <t>Diablo 7/16"x10"x12" Rebar Demon™ SDS-Plus 4-Cutter Full Carbide Head Hammer Bit</t>
        </is>
      </c>
      <c r="E7507" s="2">
        <f>HYPERLINK("https://www.amazon.com/Diablo-SDS-Plus-4-Cutter-Carbide-Hammer/dp/B089LFSQTY/ref=sr_1_14?keywords=Diablo+Tools+DMAPL9920-S7+7pc+Rebar+Demon%E2%84%A2+SDS-Plus+4-Cutter+Full+Carbide+Head+Hammer+Bit+Set&amp;qid=1694735019&amp;sr=8-14", "https://www.amazon.com/Diablo-SDS-Plus-4-Cutter-Carbide-Hammer/dp/B089LFSQTY/ref=sr_1_14?keywords=Diablo+Tools+DMAPL9920-S7+7pc+Rebar+Demon%E2%84%A2+SDS-Plus+4-Cutter+Full+Carbide+Head+Hammer+Bit+Set&amp;qid=1694735019&amp;sr=8-14")</f>
        <v/>
      </c>
      <c r="F7507" t="inlineStr">
        <is>
          <t>B089LFSQTY</t>
        </is>
      </c>
      <c r="G7507">
        <f>_xlfn.IMAGE("https://edmondsonsupply.com/cdn/shop/products/vgtm2xrrra4yfevsszgf.webp?v=1679328619")</f>
        <v/>
      </c>
      <c r="H7507">
        <f>_xlfn.IMAGE("https://m.media-amazon.com/images/I/61jzOMGnS3L._AC_UL320_.jpg")</f>
        <v/>
      </c>
      <c r="K7507" t="inlineStr">
        <is>
          <t>37.97</t>
        </is>
      </c>
      <c r="L7507" t="n">
        <v>17.49</v>
      </c>
      <c r="M7507" s="1" t="inlineStr">
        <is>
          <t>-53.94%</t>
        </is>
      </c>
      <c r="N7507" s="7" t="n"/>
      <c r="O7507" t="n">
        <v>4.6</v>
      </c>
      <c r="P7507" t="n">
        <v>7</v>
      </c>
      <c r="R7507" t="inlineStr">
        <is>
          <t>InStock</t>
        </is>
      </c>
      <c r="S7507" t="inlineStr">
        <is>
          <t>55.56</t>
        </is>
      </c>
      <c r="T7507" t="inlineStr">
        <is>
          <t>7964936995032</t>
        </is>
      </c>
    </row>
    <row r="7508" ht="87" customHeight="1">
      <c r="A7508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508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508" t="inlineStr">
        <is>
          <t>Diablo Tools DMAPL4310 1 in. x 16 in. x 18 in. Rebar Demon™ SDS-Plus 4-Cutter Full Carbide Head Hammer Drill Bit</t>
        </is>
      </c>
      <c r="D7508" t="inlineStr">
        <is>
          <t>Diablo by Freud DMAPL4200 1/2 in. x 16 in. x 18 in. Rebar Demon SDS-Plus 4-Cutter Full Carbide Head Hammer Bit</t>
        </is>
      </c>
      <c r="E7508" s="2">
        <f>HYPERLINK("https://www.amazon.com/Diablo-Freud-DMAPL4200-SDS-Plus-4-Cutter/dp/B089KW2QV1/ref=sr_1_7?keywords=Diablo+Tools+DMAPL4310+1+in.+x+16+in.+x+18+in.+Rebar+Demon%E2%84%A2+SDS-Plus+4-Cutter+Full+Carbide+Head+Hammer+Drill+Bit&amp;qid=1694735204&amp;sr=8-7", "https://www.amazon.com/Diablo-Freud-DMAPL4200-SDS-Plus-4-Cutter/dp/B089KW2QV1/ref=sr_1_7?keywords=Diablo+Tools+DMAPL4310+1+in.+x+16+in.+x+18+in.+Rebar+Demon%E2%84%A2+SDS-Plus+4-Cutter+Full+Carbide+Head+Hammer+Drill+Bit&amp;qid=1694735204&amp;sr=8-7")</f>
        <v/>
      </c>
      <c r="F7508" t="inlineStr">
        <is>
          <t>B089KW2QV1</t>
        </is>
      </c>
      <c r="G7508">
        <f>_xlfn.IMAGE("https://edmondsonsupply.com/cdn/shop/products/DMAPL4310_Main-Image20200701.png?v=1633031094")</f>
        <v/>
      </c>
      <c r="H7508">
        <f>_xlfn.IMAGE("https://m.media-amazon.com/images/I/61rW+ROVmNL._AC_UL320_.jpg")</f>
        <v/>
      </c>
      <c r="K7508" t="inlineStr">
        <is>
          <t>49.97</t>
        </is>
      </c>
      <c r="L7508" t="n">
        <v>23</v>
      </c>
      <c r="M7508" s="1" t="inlineStr">
        <is>
          <t>-53.97%</t>
        </is>
      </c>
      <c r="N7508" s="7" t="n"/>
      <c r="O7508" t="n">
        <v>4.7</v>
      </c>
      <c r="P7508" t="n">
        <v>18</v>
      </c>
      <c r="R7508" t="inlineStr">
        <is>
          <t>InStock</t>
        </is>
      </c>
      <c r="S7508" t="inlineStr">
        <is>
          <t>57.56</t>
        </is>
      </c>
      <c r="T7508" t="inlineStr">
        <is>
          <t>6839830479021</t>
        </is>
      </c>
    </row>
    <row r="7509" ht="87" customHeight="1">
      <c r="A7509" s="2">
        <f>HYPERLINK("https://edmondsonsupply.com/collections/electricians-tools/products/diablo-tools-d0604dh-6-1-2-in-x-4-tooth-fiber-cement", "https://edmondsonsupply.com/collections/electricians-tools/products/diablo-tools-d0604dh-6-1-2-in-x-4-tooth-fiber-cement")</f>
        <v/>
      </c>
      <c r="B7509" s="2">
        <f>HYPERLINK("https://edmondsonsupply.com/products/diablo-tools-d0604dh-6-1-2-in-x-4-tooth-fiber-cement", "https://edmondsonsupply.com/products/diablo-tools-d0604dh-6-1-2-in-x-4-tooth-fiber-cement")</f>
        <v/>
      </c>
      <c r="C7509" t="inlineStr">
        <is>
          <t>Diablo Tools D0604DH 6-1/2 in. x 4 Tooth Fiber Cement</t>
        </is>
      </c>
      <c r="D7509" t="inlineStr">
        <is>
          <t>TOMAX PCDM61204 6-1/2 Inch 4 Tooth Polycrystalline Diamond Tipped (PCD) Hardie Fiber Cement Saw Blade with 5/8-Inch DMK Arbor</t>
        </is>
      </c>
      <c r="E7509" s="2">
        <f>HYPERLINK("https://www.amazon.com/TOMAX-PCDM61204-Polycrystalline-Diamond-Tipped/dp/B0978VYT2W/ref=sr_1_1?keywords=Diablo+Tools+D0604DH+6-1%2F2+in.+x+4+Tooth+Fiber+Cement&amp;qid=1694735029&amp;sr=8-1", "https://www.amazon.com/TOMAX-PCDM61204-Polycrystalline-Diamond-Tipped/dp/B0978VYT2W/ref=sr_1_1?keywords=Diablo+Tools+D0604DH+6-1%2F2+in.+x+4+Tooth+Fiber+Cement&amp;qid=1694735029&amp;sr=8-1")</f>
        <v/>
      </c>
      <c r="F7509" t="inlineStr">
        <is>
          <t>B0978VYT2W</t>
        </is>
      </c>
      <c r="G7509">
        <f>_xlfn.IMAGE("https://edmondsonsupply.com/cdn/shop/products/b97gznmuns4ffl0mabzf.webp?v=1679319668")</f>
        <v/>
      </c>
      <c r="H7509">
        <f>_xlfn.IMAGE("https://m.media-amazon.com/images/I/71ISlYFv-2S._AC_UL320_.jpg")</f>
        <v/>
      </c>
      <c r="K7509" t="inlineStr">
        <is>
          <t>49.97</t>
        </is>
      </c>
      <c r="L7509" t="n">
        <v>22.99</v>
      </c>
      <c r="M7509" s="1" t="inlineStr">
        <is>
          <t>-53.99%</t>
        </is>
      </c>
      <c r="N7509" s="7" t="n"/>
      <c r="O7509" t="n">
        <v>4.4</v>
      </c>
      <c r="P7509" t="n">
        <v>255</v>
      </c>
      <c r="R7509" t="inlineStr">
        <is>
          <t>InStock</t>
        </is>
      </c>
      <c r="S7509" t="inlineStr">
        <is>
          <t>76.15</t>
        </is>
      </c>
      <c r="T7509" t="inlineStr">
        <is>
          <t>7964861595864</t>
        </is>
      </c>
    </row>
    <row r="7510" ht="87" customHeight="1">
      <c r="A7510" s="2">
        <f>HYPERLINK("https://edmondsonsupply.com/collections/electricians-tools/products/diablo-tools-dmamx1220", "https://edmondsonsupply.com/collections/electricians-tools/products/diablo-tools-dmamx1220")</f>
        <v/>
      </c>
      <c r="B7510" s="2">
        <f>HYPERLINK("https://edmondsonsupply.com/products/diablo-tools-dmamx1220", "https://edmondsonsupply.com/products/diablo-tools-dmamx1220")</f>
        <v/>
      </c>
      <c r="C7510" t="inlineStr">
        <is>
          <t>Diablo Tools DMAMX1220 1 in. x 16 in. x 21 in. Rebar Demon™ SDS-Max 4-Cutter Full Carbide Head Hammer Drill Bit</t>
        </is>
      </c>
      <c r="D7510" t="inlineStr">
        <is>
          <t>Diablo DMAMX1050 9/16 in. x 8 in. x 13 in. Rebar Demon™ SDS-Max 4-Cutter Full Carbide Head Hammer Bit</t>
        </is>
      </c>
      <c r="E7510" s="2">
        <f>HYPERLINK("https://www.amazon.com/Diablo-SDS-Max-4-Cutter-Carbide-Hammer/dp/B089LK4F2D/ref=sr_1_15?keywords=Diablo+Tools+DMAMX1220+1+in.+x+16+in.+x+21+in.+Rebar+Demon%E2%84%A2+SDS-Max+4-Cutter+Full+Carbide+Head+Hammer+Drill+Bit&amp;qid=1694735075&amp;sr=8-15", "https://www.amazon.com/Diablo-SDS-Max-4-Cutter-Carbide-Hammer/dp/B089LK4F2D/ref=sr_1_15?keywords=Diablo+Tools+DMAMX1220+1+in.+x+16+in.+x+21+in.+Rebar+Demon%E2%84%A2+SDS-Max+4-Cutter+Full+Carbide+Head+Hammer+Drill+Bit&amp;qid=1694735075&amp;sr=8-15")</f>
        <v/>
      </c>
      <c r="F7510" t="inlineStr">
        <is>
          <t>B089LK4F2D</t>
        </is>
      </c>
      <c r="G7510">
        <f>_xlfn.IMAGE("https://edmondsonsupply.com/cdn/shop/products/immoyh7jjmbau4fzhuq6.webp?v=1670431066")</f>
        <v/>
      </c>
      <c r="H7510">
        <f>_xlfn.IMAGE("https://m.media-amazon.com/images/I/61jYhd4-UbL._AC_UL320_.jpg")</f>
        <v/>
      </c>
      <c r="K7510" t="inlineStr">
        <is>
          <t>45.69</t>
        </is>
      </c>
      <c r="L7510" t="n">
        <v>20.99</v>
      </c>
      <c r="M7510" s="1" t="inlineStr">
        <is>
          <t>-54.06%</t>
        </is>
      </c>
      <c r="N7510" s="7" t="n"/>
      <c r="O7510" t="n">
        <v>5</v>
      </c>
      <c r="P7510" t="n">
        <v>1</v>
      </c>
      <c r="R7510" t="inlineStr">
        <is>
          <t>InStock</t>
        </is>
      </c>
      <c r="S7510" t="inlineStr">
        <is>
          <t>70.58</t>
        </is>
      </c>
      <c r="T7510" t="inlineStr">
        <is>
          <t>7900195356888</t>
        </is>
      </c>
    </row>
    <row r="7511" hidden="1" ht="15.75" customHeight="1">
      <c r="A7511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511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511" t="inlineStr">
        <is>
          <t>Klein Tools 605-7-INS Insulated 1/4-Inch Cabinet Tip Screwdriver, 7-Inch</t>
        </is>
      </c>
      <c r="D7511" t="inlineStr">
        <is>
          <t>Klein Tools 605-8 1/4-Inch Cabinet Tip Screwdriver, Heavy Duty, with 8-Inch Shank</t>
        </is>
      </c>
      <c r="E7511" s="2">
        <f>HYPERLINK("https://www.amazon.com/Cabinet-Screwdriver-Klein-Tools-605-8/dp/B000F0GMDO/ref=sr_1_4?keywords=Klein+Tools+605-7-INS+Insulated+1%2F4-Inch+Cabinet+Tip+Screwdriver%2C+7-Inch&amp;qid=1694735376&amp;sr=8-4", "https://www.amazon.com/Cabinet-Screwdriver-Klein-Tools-605-8/dp/B000F0GMDO/ref=sr_1_4?keywords=Klein+Tools+605-7-INS+Insulated+1%2F4-Inch+Cabinet+Tip+Screwdriver%2C+7-Inch&amp;qid=1694735376&amp;sr=8-4")</f>
        <v/>
      </c>
      <c r="F7511" t="inlineStr">
        <is>
          <t>B000F0GMDO</t>
        </is>
      </c>
      <c r="G7511">
        <f>_xludf.IMAGE("https://edmondsonsupply.com/cdn/shop/products/605-7-ins.jpg?v=1587148614")</f>
        <v/>
      </c>
      <c r="H7511">
        <f>_xludf.IMAGE("https://m.media-amazon.com/images/I/41WLDr2SP+L._AC_UL320_.jpg")</f>
        <v/>
      </c>
      <c r="K7511" t="inlineStr">
        <is>
          <t>23.99</t>
        </is>
      </c>
      <c r="L7511" t="n">
        <v>10.97</v>
      </c>
      <c r="M7511" s="1" t="inlineStr">
        <is>
          <t>-54.27%</t>
        </is>
      </c>
      <c r="N7511" s="1" t="n"/>
      <c r="O7511" t="n">
        <v>4.8</v>
      </c>
      <c r="P7511" t="n">
        <v>1225</v>
      </c>
      <c r="R7511" t="inlineStr">
        <is>
          <t>InStock</t>
        </is>
      </c>
      <c r="S7511" t="inlineStr">
        <is>
          <t>32.58</t>
        </is>
      </c>
      <c r="T7511" t="inlineStr">
        <is>
          <t>4414349181028</t>
        </is>
      </c>
    </row>
    <row r="7512" hidden="1" ht="15.75" customHeight="1">
      <c r="A7512" s="2">
        <f>HYPERLINK("https://edmondsonsupply.com/collections/electricians-tools/products/milwaukee-2880-22-m18-fuel%E2%84%A2-4-1-2-5-grinder-paddle-switch-no-lock-kit", "https://edmondsonsupply.com/collections/electricians-tools/products/milwaukee-2880-22-m18-fuel%E2%84%A2-4-1-2-5-grinder-paddle-switch-no-lock-kit")</f>
        <v/>
      </c>
      <c r="B7512" s="2">
        <f>HYPERLINK("https://edmondsonsupply.com/products/milwaukee-2880-22-m18-fuel%e2%84%a2-4-1-2-5-grinder-paddle-switch-no-lock-kit", "https://edmondsonsupply.com/products/milwaukee-2880-22-m18-fuel%e2%84%a2-4-1-2-5-grinder-paddle-switch-no-lock-kit")</f>
        <v/>
      </c>
      <c r="C7512" t="inlineStr">
        <is>
          <t>Milwaukee 2880-22 M18 FUEL™ 4-1/2" / 5" Grinder Paddle Switch, No-Lock (Kit)</t>
        </is>
      </c>
      <c r="D7512" t="inlineStr">
        <is>
          <t>2880-20 M18 FUEL for Milwaukee 18 Volt 4-1/2" / 5" Grinder Paddle Switch, No-Lock (Tool Only)</t>
        </is>
      </c>
      <c r="E7512" s="2">
        <f>HYPERLINK("https://www.amazon.com/2880-20-Milwaukee-Grinder-Paddle-No-Lock/dp/B0C1BWXP7W/ref=sr_1_4?keywords=Milwaukee+2880-22+M18+FUEL%E2%84%A2+4-1%2F2%22+%2F+5%22+Grinder+Paddle+Switch%2C+No-Lock+%28Kit%29&amp;qid=1694735090&amp;sr=8-4", "https://www.amazon.com/2880-20-Milwaukee-Grinder-Paddle-No-Lock/dp/B0C1BWXP7W/ref=sr_1_4?keywords=Milwaukee+2880-22+M18+FUEL%E2%84%A2+4-1%2F2%22+%2F+5%22+Grinder+Paddle+Switch%2C+No-Lock+%28Kit%29&amp;qid=1694735090&amp;sr=8-4")</f>
        <v/>
      </c>
      <c r="F7512" t="inlineStr">
        <is>
          <t>B0C1BWXP7W</t>
        </is>
      </c>
      <c r="G7512">
        <f>_xludf.IMAGE("https://edmondsonsupply.com/cdn/shop/products/2880-22_1.png?v=1668015986")</f>
        <v/>
      </c>
      <c r="H7512">
        <f>_xludf.IMAGE("https://m.media-amazon.com/images/I/611hF2k6v8L._AC_UL320_.jpg")</f>
        <v/>
      </c>
      <c r="K7512" t="inlineStr">
        <is>
          <t>449.0</t>
        </is>
      </c>
      <c r="L7512" t="n">
        <v>205</v>
      </c>
      <c r="M7512" s="1" t="inlineStr">
        <is>
          <t>-54.34%</t>
        </is>
      </c>
      <c r="N7512" s="1" t="n"/>
      <c r="O7512" t="n">
        <v>3</v>
      </c>
      <c r="P7512" t="n">
        <v>1</v>
      </c>
      <c r="R7512" t="inlineStr">
        <is>
          <t>OutOfStock</t>
        </is>
      </c>
      <c r="S7512" t="inlineStr">
        <is>
          <t>792.0</t>
        </is>
      </c>
      <c r="T7512" t="inlineStr">
        <is>
          <t>7879707033816</t>
        </is>
      </c>
    </row>
    <row r="7513" ht="87" customHeight="1">
      <c r="A7513" s="2">
        <f>HYPERLINK("https://edmondsonsupply.com/collections/electricians-tools/products/klein-tools-56333-steel-fish-tape-1-8-inch-x-120-foot", "https://edmondsonsupply.com/collections/electricians-tools/products/klein-tools-56333-steel-fish-tape-1-8-inch-x-120-foot")</f>
        <v/>
      </c>
      <c r="B7513" s="2">
        <f>HYPERLINK("https://edmondsonsupply.com/products/klein-tools-56333-steel-fish-tape-1-8-inch-x-120-foot", "https://edmondsonsupply.com/products/klein-tools-56333-steel-fish-tape-1-8-inch-x-120-foot")</f>
        <v/>
      </c>
      <c r="C7513" t="inlineStr">
        <is>
          <t>Klein Tools 56333 Steel Fish Tape, 1/8-Inch x 120-Foot</t>
        </is>
      </c>
      <c r="D7513" t="inlineStr">
        <is>
          <t>Klein Tools 56331 Electrical Fish Tape, Steel Wire Puller with Double Loop Tip, Optimized Housing and Handle, 1/8-Inch x 50-Foot</t>
        </is>
      </c>
      <c r="E7513" s="2">
        <f>HYPERLINK("https://www.amazon.com/Klein-Tools-56331-Optimized-Housing/dp/B081TVR4N7/ref=sr_1_9?keywords=Klein+Tools+56333+Steel+Fish+Tape%2C+1%2F8-Inch+x+120-Foot&amp;qid=1694735382&amp;sr=8-9", "https://www.amazon.com/Klein-Tools-56331-Optimized-Housing/dp/B081TVR4N7/ref=sr_1_9?keywords=Klein+Tools+56333+Steel+Fish+Tape%2C+1%2F8-Inch+x+120-Foot&amp;qid=1694735382&amp;sr=8-9")</f>
        <v/>
      </c>
      <c r="F7513" t="inlineStr">
        <is>
          <t>B081TVR4N7</t>
        </is>
      </c>
      <c r="G7513">
        <f>_xlfn.IMAGE("https://edmondsonsupply.com/cdn/shop/products/56333.jpg?v=1587147770")</f>
        <v/>
      </c>
      <c r="H7513">
        <f>_xlfn.IMAGE("https://m.media-amazon.com/images/I/71Wab7hH7jS._AC_UL320_.jpg")</f>
        <v/>
      </c>
      <c r="K7513" t="inlineStr">
        <is>
          <t>54.97</t>
        </is>
      </c>
      <c r="L7513" t="n">
        <v>24.99</v>
      </c>
      <c r="M7513" s="1" t="inlineStr">
        <is>
          <t>-54.54%</t>
        </is>
      </c>
      <c r="N7513" s="7" t="n"/>
      <c r="O7513" t="n">
        <v>4.6</v>
      </c>
      <c r="P7513" t="n">
        <v>5174</v>
      </c>
      <c r="R7513" t="inlineStr">
        <is>
          <t>InStock</t>
        </is>
      </c>
      <c r="S7513" t="inlineStr">
        <is>
          <t>82.48</t>
        </is>
      </c>
      <c r="T7513" t="inlineStr">
        <is>
          <t>4412208578660</t>
        </is>
      </c>
    </row>
    <row r="7514" hidden="1" ht="15.75" customHeight="1">
      <c r="A7514" s="2">
        <f>HYPERLINK("https://edmondsonsupply.com/collections/electricians-tools/products/klein-tools-32305-15-in-1-multi-bit-ratcheting-screwdriver", "https://edmondsonsupply.com/collections/electricians-tools/products/klein-tools-32305-15-in-1-multi-bit-ratcheting-screwdriver")</f>
        <v/>
      </c>
      <c r="B7514" s="2">
        <f>HYPERLINK("https://edmondsonsupply.com/products/klein-tools-32305-15-in-1-multi-bit-ratcheting-screwdriver", "https://edmondsonsupply.com/products/klein-tools-32305-15-in-1-multi-bit-ratcheting-screwdriver")</f>
        <v/>
      </c>
      <c r="C7514" t="inlineStr">
        <is>
          <t>Klein Tools 32305 15-in-1 Multi-Bit Ratcheting Screwdriver</t>
        </is>
      </c>
      <c r="D7514" t="inlineStr">
        <is>
          <t>Klein Tools 32476 5-In-1 Multi-Bit Screwdriver / Nut Driver with 2 Slotted, 2 Philips, and 1 Nut Driver Tip</t>
        </is>
      </c>
      <c r="E7514" s="2">
        <f>HYPERLINK("https://www.amazon.com/Screwdriver-Driver-Yellow-Klein-32476/dp/B000RFPDXC/ref=sr_1_26?keywords=Klein+Tools+32305+15-in-1+Multi-Bit+Ratcheting+Screwdriver&amp;qid=1694735163&amp;sr=8-26", "https://www.amazon.com/Screwdriver-Driver-Yellow-Klein-32476/dp/B000RFPDXC/ref=sr_1_26?keywords=Klein+Tools+32305+15-in-1+Multi-Bit+Ratcheting+Screwdriver&amp;qid=1694735163&amp;sr=8-26")</f>
        <v/>
      </c>
      <c r="F7514" t="inlineStr">
        <is>
          <t>B000RFPDXC</t>
        </is>
      </c>
      <c r="G7514">
        <f>_xludf.IMAGE("https://edmondsonsupply.com/cdn/shop/products/32305.jpg?v=1646965475")</f>
        <v/>
      </c>
      <c r="H7514">
        <f>_xludf.IMAGE("https://m.media-amazon.com/images/I/51ZkueHIEQL._AC_UL320_.jpg")</f>
        <v/>
      </c>
      <c r="K7514" t="inlineStr">
        <is>
          <t>21.97</t>
        </is>
      </c>
      <c r="L7514" t="n">
        <v>9.98</v>
      </c>
      <c r="M7514" s="1" t="inlineStr">
        <is>
          <t>-54.57%</t>
        </is>
      </c>
      <c r="N7514" s="1" t="n"/>
      <c r="O7514" t="n">
        <v>4.8</v>
      </c>
      <c r="P7514" t="n">
        <v>1240</v>
      </c>
      <c r="R7514" t="inlineStr">
        <is>
          <t>InStock</t>
        </is>
      </c>
      <c r="S7514" t="inlineStr">
        <is>
          <t>30.78</t>
        </is>
      </c>
      <c r="T7514" t="inlineStr">
        <is>
          <t>7632426598616</t>
        </is>
      </c>
    </row>
    <row r="7515" ht="87" customHeight="1">
      <c r="A7515" s="2">
        <f>HYPERLINK("https://edmondsonsupply.com/collections/electricians-tools/products/klein-tools-j20017ne-heavy-duty-linemans-pliers-7-inch", "https://edmondsonsupply.com/collections/electricians-tools/products/klein-tools-j20017ne-heavy-duty-linemans-pliers-7-inch")</f>
        <v/>
      </c>
      <c r="B7515" s="2">
        <f>HYPERLINK("https://edmondsonsupply.com/products/klein-tools-j20017ne-heavy-duty-linemans-pliers-7-inch", "https://edmondsonsupply.com/products/klein-tools-j20017ne-heavy-duty-linemans-pliers-7-inch")</f>
        <v/>
      </c>
      <c r="C7515" t="inlineStr">
        <is>
          <t>Klein Tools J20017NE Heavy-Duty Lineman's Pliers, 7-Inch</t>
        </is>
      </c>
      <c r="D7515" t="inlineStr">
        <is>
          <t>Klein Tools D203-7 Needle Nose Pliers, Long Nose Side Cutters, Heavy Duty Alligator Pliers, 7-Inch</t>
        </is>
      </c>
      <c r="E7515" s="2">
        <f>HYPERLINK("https://www.amazon.com/Klein-Tools-D203-7-Side-Cutters-7-Inch/dp/B000G67F24/ref=sr_1_7?keywords=Klein+Tools+J20017NE+Heavy-Duty+Lineman%27s+Pliers%2C+7-Inch&amp;qid=1694735135&amp;sr=8-7", "https://www.amazon.com/Klein-Tools-D203-7-Side-Cutters-7-Inch/dp/B000G67F24/ref=sr_1_7?keywords=Klein+Tools+J20017NE+Heavy-Duty+Lineman%27s+Pliers%2C+7-Inch&amp;qid=1694735135&amp;sr=8-7")</f>
        <v/>
      </c>
      <c r="F7515" t="inlineStr">
        <is>
          <t>B000G67F24</t>
        </is>
      </c>
      <c r="G7515">
        <f>_xlfn.IMAGE("https://edmondsonsupply.com/cdn/shop/products/j20017ne.jpg?v=1662669673")</f>
        <v/>
      </c>
      <c r="H7515">
        <f>_xlfn.IMAGE("https://m.media-amazon.com/images/I/51DWCz6ft0L._AC_UL320_.jpg")</f>
        <v/>
      </c>
      <c r="K7515" t="inlineStr">
        <is>
          <t>54.99</t>
        </is>
      </c>
      <c r="L7515" t="n">
        <v>24.97</v>
      </c>
      <c r="M7515" s="1" t="inlineStr">
        <is>
          <t>-54.59%</t>
        </is>
      </c>
      <c r="N7515" s="7" t="n"/>
      <c r="O7515" t="n">
        <v>4.8</v>
      </c>
      <c r="P7515" t="n">
        <v>582</v>
      </c>
      <c r="R7515" t="inlineStr">
        <is>
          <t>InStock</t>
        </is>
      </c>
      <c r="S7515" t="inlineStr">
        <is>
          <t>81.8</t>
        </is>
      </c>
      <c r="T7515" t="inlineStr">
        <is>
          <t>7809426784472</t>
        </is>
      </c>
    </row>
    <row r="7516" hidden="1" ht="15.75" customHeight="1">
      <c r="A7516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516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516" t="inlineStr">
        <is>
          <t>Klein Tools 602-4-INS 1/4-Inch Cabinet Tip Insulated Screwdriver, 4-Inch</t>
        </is>
      </c>
      <c r="D7516" t="inlineStr">
        <is>
          <t>Klein Tools 602-4 1/4-Inch Keystone-Tip Screwdriver with 4-Inch Heavy-Duty Round-Shank</t>
        </is>
      </c>
      <c r="E7516" s="2">
        <f>HYPERLINK("https://www.amazon.com/Keystone-Tip-Screwdriver-Round-Shank-Klein-602-4/dp/B0000302WD/ref=sr_1_6?keywords=Klein+Tools+602-4-INS+1%2F4-Inch+Cabinet+Tip+Insulated+Screwdriver%2C+4-Inch&amp;qid=1694735209&amp;sr=8-6", "https://www.amazon.com/Keystone-Tip-Screwdriver-Round-Shank-Klein-602-4/dp/B0000302WD/ref=sr_1_6?keywords=Klein+Tools+602-4-INS+1%2F4-Inch+Cabinet+Tip+Insulated+Screwdriver%2C+4-Inch&amp;qid=1694735209&amp;sr=8-6")</f>
        <v/>
      </c>
      <c r="F7516" t="inlineStr">
        <is>
          <t>B0000302WD</t>
        </is>
      </c>
      <c r="G7516">
        <f>_xludf.IMAGE("https://edmondsonsupply.com/cdn/shop/products/602-4-ins-photo.jpg?v=1633031051")</f>
        <v/>
      </c>
      <c r="H7516">
        <f>_xludf.IMAGE("https://m.media-amazon.com/images/I/51BHg1CmntL._AC_UL320_.jpg")</f>
        <v/>
      </c>
      <c r="K7516" t="inlineStr">
        <is>
          <t>20.99</t>
        </is>
      </c>
      <c r="L7516" t="n">
        <v>9.49</v>
      </c>
      <c r="M7516" s="1" t="inlineStr">
        <is>
          <t>-54.79%</t>
        </is>
      </c>
      <c r="N7516" s="1" t="n"/>
      <c r="O7516" t="n">
        <v>4.8</v>
      </c>
      <c r="P7516" t="n">
        <v>879</v>
      </c>
      <c r="R7516" t="inlineStr">
        <is>
          <t>InStock</t>
        </is>
      </c>
      <c r="S7516" t="inlineStr">
        <is>
          <t>31.8</t>
        </is>
      </c>
      <c r="T7516" t="inlineStr">
        <is>
          <t>6779496890541</t>
        </is>
      </c>
    </row>
    <row r="7517" ht="87" customHeight="1">
      <c r="A7517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517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517" t="inlineStr">
        <is>
          <t>Diablo Tools DMAPL4310 1 in. x 16 in. x 18 in. Rebar Demon™ SDS-Plus 4-Cutter Full Carbide Head Hammer Drill Bit</t>
        </is>
      </c>
      <c r="D7517" t="inlineStr">
        <is>
          <t>Diablo by Freud DMAPL4230 5/8 in. x 10 in. x 12 in. Rebar Demon SDS-Plus 4-Cutter Full Carbide Head Hammer Bit</t>
        </is>
      </c>
      <c r="E7517" s="2">
        <f>HYPERLINK("https://www.amazon.com/Diablo-Freud-DMAPL4230-SDS-Plus-4-Cutter/dp/B089LCN234/ref=sr_1_10?keywords=Diablo+Tools+DMAPL4310+1+in.+x+16+in.+x+18+in.+Rebar+Demon%E2%84%A2+SDS-Plus+4-Cutter+Full+Carbide+Head+Hammer+Drill+Bit&amp;qid=1694735204&amp;sr=8-10", "https://www.amazon.com/Diablo-Freud-DMAPL4230-SDS-Plus-4-Cutter/dp/B089LCN234/ref=sr_1_10?keywords=Diablo+Tools+DMAPL4310+1+in.+x+16+in.+x+18+in.+Rebar+Demon%E2%84%A2+SDS-Plus+4-Cutter+Full+Carbide+Head+Hammer+Drill+Bit&amp;qid=1694735204&amp;sr=8-10")</f>
        <v/>
      </c>
      <c r="F7517" t="inlineStr">
        <is>
          <t>B089LCN234</t>
        </is>
      </c>
      <c r="G7517">
        <f>_xlfn.IMAGE("https://edmondsonsupply.com/cdn/shop/products/DMAPL4310_Main-Image20200701.png?v=1633031094")</f>
        <v/>
      </c>
      <c r="H7517">
        <f>_xlfn.IMAGE("https://m.media-amazon.com/images/I/61r649wmyhL._AC_UL320_.jpg")</f>
        <v/>
      </c>
      <c r="K7517" t="inlineStr">
        <is>
          <t>49.97</t>
        </is>
      </c>
      <c r="L7517" t="n">
        <v>22.51</v>
      </c>
      <c r="M7517" s="1" t="inlineStr">
        <is>
          <t>-54.95%</t>
        </is>
      </c>
      <c r="N7517" s="7" t="n"/>
      <c r="O7517" t="n">
        <v>4.7</v>
      </c>
      <c r="P7517" t="n">
        <v>47</v>
      </c>
      <c r="R7517" t="inlineStr">
        <is>
          <t>InStock</t>
        </is>
      </c>
      <c r="S7517" t="inlineStr">
        <is>
          <t>57.56</t>
        </is>
      </c>
      <c r="T7517" t="inlineStr">
        <is>
          <t>6839830479021</t>
        </is>
      </c>
    </row>
    <row r="7518" ht="87" customHeight="1">
      <c r="A7518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18" s="2">
        <f>HYPERLINK("https://edmondsonsupply.com/products/klein-tools-rt310-afci-gfci-outlet-tester", "https://edmondsonsupply.com/products/klein-tools-rt310-afci-gfci-outlet-tester")</f>
        <v/>
      </c>
      <c r="C7518" t="inlineStr">
        <is>
          <t>Klein Tools RT310 AFCI / GFCI Outlet Tester</t>
        </is>
      </c>
      <c r="D7518" t="inlineStr">
        <is>
          <t>Hermitshell Hard Travel Case for Klein Tools ET310 AC Circuit Breaker Finder + Integrated GFCI Outlet Tester</t>
        </is>
      </c>
      <c r="E7518" s="2">
        <f>HYPERLINK("https://www.amazon.com/Hermitshell-Travel-Circuit-Breaker-Integrated/dp/B0BR3H3R3W/ref=sr_1_32?keywords=Klein+Tools+RT310+AFCI+%2F+GFCI+Outlet+Tester&amp;qid=1694734989&amp;sr=8-32", "https://www.amazon.com/Hermitshell-Travel-Circuit-Breaker-Integrated/dp/B0BR3H3R3W/ref=sr_1_32?keywords=Klein+Tools+RT310+AFCI+%2F+GFCI+Outlet+Tester&amp;qid=1694734989&amp;sr=8-32")</f>
        <v/>
      </c>
      <c r="F7518" t="inlineStr">
        <is>
          <t>B0BR3H3R3W</t>
        </is>
      </c>
      <c r="G7518">
        <f>_xlfn.IMAGE("https://edmondsonsupply.com/cdn/shop/products/rt310.jpg?v=1587148552")</f>
        <v/>
      </c>
      <c r="H7518">
        <f>_xlfn.IMAGE("https://m.media-amazon.com/images/I/61hXAh0E1BL._AC_UL320_.jpg")</f>
        <v/>
      </c>
      <c r="K7518" t="inlineStr">
        <is>
          <t>39.97</t>
        </is>
      </c>
      <c r="L7518" t="n">
        <v>17.99</v>
      </c>
      <c r="M7518" s="1" t="inlineStr">
        <is>
          <t>-54.99%</t>
        </is>
      </c>
      <c r="N7518" s="7" t="n"/>
      <c r="O7518" t="n">
        <v>5</v>
      </c>
      <c r="P7518" t="n">
        <v>6</v>
      </c>
      <c r="R7518" t="inlineStr">
        <is>
          <t>InStock</t>
        </is>
      </c>
      <c r="S7518" t="inlineStr">
        <is>
          <t>57.9</t>
        </is>
      </c>
      <c r="T7518" t="inlineStr">
        <is>
          <t>3372527779940</t>
        </is>
      </c>
    </row>
    <row r="7519" ht="87" customHeight="1">
      <c r="A7519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19" s="2">
        <f>HYPERLINK("https://edmondsonsupply.com/products/klein-tools-rt310-afci-gfci-outlet-tester", "https://edmondsonsupply.com/products/klein-tools-rt310-afci-gfci-outlet-tester")</f>
        <v/>
      </c>
      <c r="C7519" t="inlineStr">
        <is>
          <t>Klein Tools RT310 AFCI / GFCI Outlet Tester</t>
        </is>
      </c>
      <c r="D7519" t="inlineStr">
        <is>
          <t>Case Compatible with Klein Tools ET310 AC Circuit Breaker Finder &amp; 80041 Outlet Repair Tool Kit &amp; RT250 GFCI Receptacle Tester. Electrical Tools Storage Organizer Holder Bag for Accessories (Box Only)</t>
        </is>
      </c>
      <c r="E7519" s="2">
        <f>HYPERLINK("https://www.amazon.com/Compatible-Integrated-Electrical-Organizer-Accessories/dp/B09JBWLH2B/ref=sr_1_47?keywords=Klein+Tools+RT310+AFCI+%2F+GFCI+Outlet+Tester&amp;qid=1694734989&amp;sr=8-47", "https://www.amazon.com/Compatible-Integrated-Electrical-Organizer-Accessories/dp/B09JBWLH2B/ref=sr_1_47?keywords=Klein+Tools+RT310+AFCI+%2F+GFCI+Outlet+Tester&amp;qid=1694734989&amp;sr=8-47")</f>
        <v/>
      </c>
      <c r="F7519" t="inlineStr">
        <is>
          <t>B09JBWLH2B</t>
        </is>
      </c>
      <c r="G7519">
        <f>_xlfn.IMAGE("https://edmondsonsupply.com/cdn/shop/products/rt310.jpg?v=1587148552")</f>
        <v/>
      </c>
      <c r="H7519">
        <f>_xlfn.IMAGE("https://m.media-amazon.com/images/I/81yJafHL1vL._AC_UL320_.jpg")</f>
        <v/>
      </c>
      <c r="K7519" t="inlineStr">
        <is>
          <t>39.97</t>
        </is>
      </c>
      <c r="L7519" t="n">
        <v>17.99</v>
      </c>
      <c r="M7519" s="1" t="inlineStr">
        <is>
          <t>-54.99%</t>
        </is>
      </c>
      <c r="N7519" s="7" t="n"/>
      <c r="O7519" t="n">
        <v>4.5</v>
      </c>
      <c r="P7519" t="n">
        <v>1705</v>
      </c>
      <c r="R7519" t="inlineStr">
        <is>
          <t>InStock</t>
        </is>
      </c>
      <c r="S7519" t="inlineStr">
        <is>
          <t>57.9</t>
        </is>
      </c>
      <c r="T7519" t="inlineStr">
        <is>
          <t>3372527779940</t>
        </is>
      </c>
    </row>
    <row r="7520" ht="87" customHeight="1">
      <c r="A7520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20" s="2">
        <f>HYPERLINK("https://edmondsonsupply.com/products/klein-tools-rt310-afci-gfci-outlet-tester", "https://edmondsonsupply.com/products/klein-tools-rt310-afci-gfci-outlet-tester")</f>
        <v/>
      </c>
      <c r="C7520" t="inlineStr">
        <is>
          <t>Klein Tools RT310 AFCI / GFCI Outlet Tester</t>
        </is>
      </c>
      <c r="D7520" t="inlineStr">
        <is>
          <t>Case Compatible with Klein Tools ET310 AC Circuit Breaker Finder and Integrated GFCI Outlet Tester, with Mesh Pocket Inside for Accessories (Orange)</t>
        </is>
      </c>
      <c r="E7520" s="2">
        <f>HYPERLINK("https://www.amazon.com/Compatible-Circuit-Breaker-Integrated-Accessories/dp/B09HGWM4T1/ref=sr_1_24?keywords=Klein+Tools+RT310+AFCI+%2F+GFCI+Outlet+Tester&amp;qid=1694734989&amp;sr=8-24", "https://www.amazon.com/Compatible-Circuit-Breaker-Integrated-Accessories/dp/B09HGWM4T1/ref=sr_1_24?keywords=Klein+Tools+RT310+AFCI+%2F+GFCI+Outlet+Tester&amp;qid=1694734989&amp;sr=8-24")</f>
        <v/>
      </c>
      <c r="F7520" t="inlineStr">
        <is>
          <t>B09HGWM4T1</t>
        </is>
      </c>
      <c r="G7520">
        <f>_xlfn.IMAGE("https://edmondsonsupply.com/cdn/shop/products/rt310.jpg?v=1587148552")</f>
        <v/>
      </c>
      <c r="H7520">
        <f>_xlfn.IMAGE("https://m.media-amazon.com/images/I/91k09lOVauL._AC_UL320_.jpg")</f>
        <v/>
      </c>
      <c r="K7520" t="inlineStr">
        <is>
          <t>39.97</t>
        </is>
      </c>
      <c r="L7520" t="n">
        <v>17.99</v>
      </c>
      <c r="M7520" s="1" t="inlineStr">
        <is>
          <t>-54.99%</t>
        </is>
      </c>
      <c r="N7520" s="7" t="n"/>
      <c r="O7520" t="n">
        <v>4.5</v>
      </c>
      <c r="P7520" t="n">
        <v>547</v>
      </c>
      <c r="R7520" t="inlineStr">
        <is>
          <t>InStock</t>
        </is>
      </c>
      <c r="S7520" t="inlineStr">
        <is>
          <t>57.9</t>
        </is>
      </c>
      <c r="T7520" t="inlineStr">
        <is>
          <t>3372527779940</t>
        </is>
      </c>
    </row>
    <row r="7521" ht="87" customHeight="1">
      <c r="A7521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21" s="2">
        <f>HYPERLINK("https://edmondsonsupply.com/products/klein-tools-rt310-afci-gfci-outlet-tester", "https://edmondsonsupply.com/products/klein-tools-rt310-afci-gfci-outlet-tester")</f>
        <v/>
      </c>
      <c r="C7521" t="inlineStr">
        <is>
          <t>Klein Tools RT310 AFCI / GFCI Outlet Tester</t>
        </is>
      </c>
      <c r="D7521" t="inlineStr">
        <is>
          <t>co2CREA Hard Travel Case Replacement for Klein Tools ET310 AC Circuit Breaker Finder Integrated GFCI Outlet Tester</t>
        </is>
      </c>
      <c r="E7521" s="2">
        <f>HYPERLINK("https://www.amazon.com/co2crea-Replacement-Circuit-Breaker-Integrated/dp/B087JRTB7S/ref=sr_1_37?keywords=Klein+Tools+RT310+AFCI+%2F+GFCI+Outlet+Tester&amp;qid=1694734989&amp;sr=8-37", "https://www.amazon.com/co2crea-Replacement-Circuit-Breaker-Integrated/dp/B087JRTB7S/ref=sr_1_37?keywords=Klein+Tools+RT310+AFCI+%2F+GFCI+Outlet+Tester&amp;qid=1694734989&amp;sr=8-37")</f>
        <v/>
      </c>
      <c r="F7521" t="inlineStr">
        <is>
          <t>B087JRTB7S</t>
        </is>
      </c>
      <c r="G7521">
        <f>_xlfn.IMAGE("https://edmondsonsupply.com/cdn/shop/products/rt310.jpg?v=1587148552")</f>
        <v/>
      </c>
      <c r="H7521">
        <f>_xlfn.IMAGE("https://m.media-amazon.com/images/I/91gT7GX46hL._AC_UL320_.jpg")</f>
        <v/>
      </c>
      <c r="K7521" t="inlineStr">
        <is>
          <t>39.97</t>
        </is>
      </c>
      <c r="L7521" t="n">
        <v>17.99</v>
      </c>
      <c r="M7521" s="1" t="inlineStr">
        <is>
          <t>-54.99%</t>
        </is>
      </c>
      <c r="N7521" s="7" t="n"/>
      <c r="O7521" t="n">
        <v>4.6</v>
      </c>
      <c r="P7521" t="n">
        <v>421</v>
      </c>
      <c r="R7521" t="inlineStr">
        <is>
          <t>InStock</t>
        </is>
      </c>
      <c r="S7521" t="inlineStr">
        <is>
          <t>57.9</t>
        </is>
      </c>
      <c r="T7521" t="inlineStr">
        <is>
          <t>3372527779940</t>
        </is>
      </c>
    </row>
    <row r="7522" ht="87" customHeight="1">
      <c r="A7522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7522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7522" t="inlineStr">
        <is>
          <t>Klein Tools 51605 Iron Conduit Bender Full Assembly, 1-Inch EMT with Angle Setter™</t>
        </is>
      </c>
      <c r="D7522" t="inlineStr">
        <is>
          <t>Klein Tools 51607 Aluminum Conduit Bender Full Assembly, 3/4-Inch EMT, 1/2-Inch Rigid, Wide Foot Pedal, Benchmark Symbols and Angle Setter</t>
        </is>
      </c>
      <c r="E7522" s="2">
        <f>HYPERLINK("https://www.amazon.com/Aluminum-Benchmark-Technology-Klein-Tools/dp/B08L41G5G5/ref=sr_1_4?keywords=Klein+Tools+51605+Iron+Conduit+Bender+Full+Assembly%2C+1-Inch+EMT+with+Angle+Setter%E2%84%A2&amp;qid=1694735128&amp;sr=8-4", "https://www.amazon.com/Aluminum-Benchmark-Technology-Klein-Tools/dp/B08L41G5G5/ref=sr_1_4?keywords=Klein+Tools+51605+Iron+Conduit+Bender+Full+Assembly%2C+1-Inch+EMT+with+Angle+Setter%E2%84%A2&amp;qid=1694735128&amp;sr=8-4")</f>
        <v/>
      </c>
      <c r="F7522" t="inlineStr">
        <is>
          <t>B08L41G5G5</t>
        </is>
      </c>
      <c r="G7522">
        <f>_xlfn.IMAGE("https://edmondsonsupply.com/cdn/shop/products/51605.jpg?v=1663938749")</f>
        <v/>
      </c>
      <c r="H7522">
        <f>_xlfn.IMAGE("https://m.media-amazon.com/images/I/419ZjlOD69L._AC_UL320_.jpg")</f>
        <v/>
      </c>
      <c r="K7522" t="inlineStr">
        <is>
          <t>99.97</t>
        </is>
      </c>
      <c r="L7522" t="n">
        <v>44.99</v>
      </c>
      <c r="M7522" s="1" t="inlineStr">
        <is>
          <t>-55.00%</t>
        </is>
      </c>
      <c r="N7522" s="7" t="n"/>
      <c r="O7522" t="n">
        <v>4.7</v>
      </c>
      <c r="P7522" t="n">
        <v>342</v>
      </c>
      <c r="R7522" t="inlineStr">
        <is>
          <t>InStock</t>
        </is>
      </c>
      <c r="S7522" t="inlineStr">
        <is>
          <t>149.98</t>
        </is>
      </c>
      <c r="T7522" t="inlineStr">
        <is>
          <t>7827205619928</t>
        </is>
      </c>
    </row>
    <row r="7523" ht="87" customHeight="1">
      <c r="A7523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7523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7523" t="inlineStr">
        <is>
          <t>Klein Tools 51605 Iron Conduit Bender Full Assembly, 1-Inch EMT with Angle Setter™</t>
        </is>
      </c>
      <c r="D7523" t="inlineStr">
        <is>
          <t>Klein Tools 51609 Iron Conduit Bender Head, for 3/4-Inch EMT or 1/2-Inch Rigid IMC, use with Klein Tools Angle Setter (Cat. No. 51612)</t>
        </is>
      </c>
      <c r="E7523" s="2">
        <f>HYPERLINK("https://www.amazon.com/Conduit-Bender-Klein-Tools-51609/dp/B08VYFHL9J/ref=sr_1_12?keywords=Klein+Tools+51605+Iron+Conduit+Bender+Full+Assembly%2C+1-Inch+EMT+with+Angle+Setter%E2%84%A2&amp;qid=1694735128&amp;sr=8-12", "https://www.amazon.com/Conduit-Bender-Klein-Tools-51609/dp/B08VYFHL9J/ref=sr_1_12?keywords=Klein+Tools+51605+Iron+Conduit+Bender+Full+Assembly%2C+1-Inch+EMT+with+Angle+Setter%E2%84%A2&amp;qid=1694735128&amp;sr=8-12")</f>
        <v/>
      </c>
      <c r="F7523" t="inlineStr">
        <is>
          <t>B08VYFHL9J</t>
        </is>
      </c>
      <c r="G7523">
        <f>_xlfn.IMAGE("https://edmondsonsupply.com/cdn/shop/products/51605.jpg?v=1663938749")</f>
        <v/>
      </c>
      <c r="H7523">
        <f>_xlfn.IMAGE("https://m.media-amazon.com/images/I/61KifnC2xML._AC_UL320_.jpg")</f>
        <v/>
      </c>
      <c r="K7523" t="inlineStr">
        <is>
          <t>99.97</t>
        </is>
      </c>
      <c r="L7523" t="n">
        <v>44.99</v>
      </c>
      <c r="M7523" s="1" t="inlineStr">
        <is>
          <t>-55.00%</t>
        </is>
      </c>
      <c r="N7523" s="7" t="n"/>
      <c r="O7523" t="n">
        <v>4.2</v>
      </c>
      <c r="P7523" t="n">
        <v>31</v>
      </c>
      <c r="R7523" t="inlineStr">
        <is>
          <t>InStock</t>
        </is>
      </c>
      <c r="S7523" t="inlineStr">
        <is>
          <t>149.98</t>
        </is>
      </c>
      <c r="T7523" t="inlineStr">
        <is>
          <t>7827205619928</t>
        </is>
      </c>
    </row>
    <row r="7524" ht="87" customHeight="1">
      <c r="A7524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24" s="2">
        <f>HYPERLINK("https://edmondsonsupply.com/products/klein-tools-rt310-afci-gfci-outlet-tester", "https://edmondsonsupply.com/products/klein-tools-rt310-afci-gfci-outlet-tester")</f>
        <v/>
      </c>
      <c r="C7524" t="inlineStr">
        <is>
          <t>Klein Tools RT310 AFCI / GFCI Outlet Tester</t>
        </is>
      </c>
      <c r="D7524" t="inlineStr">
        <is>
          <t>Klein Tools ET45VP Electrical Test Kit with GFCI Outlet Tester and AC/DC Voltage Tester, Orange</t>
        </is>
      </c>
      <c r="E7524" s="2">
        <f>HYPERLINK("https://www.amazon.com/Receptacle-Electrical-Klein-Tools-ET45VP/dp/B08Y63ZG1B/ref=sr_1_25?keywords=Klein+Tools+RT310+AFCI+%2F+GFCI+Outlet+Tester&amp;qid=1694734989&amp;sr=8-25", "https://www.amazon.com/Receptacle-Electrical-Klein-Tools-ET45VP/dp/B08Y63ZG1B/ref=sr_1_25?keywords=Klein+Tools+RT310+AFCI+%2F+GFCI+Outlet+Tester&amp;qid=1694734989&amp;sr=8-25")</f>
        <v/>
      </c>
      <c r="F7524" t="inlineStr">
        <is>
          <t>B08Y63ZG1B</t>
        </is>
      </c>
      <c r="G7524">
        <f>_xlfn.IMAGE("https://edmondsonsupply.com/cdn/shop/products/rt310.jpg?v=1587148552")</f>
        <v/>
      </c>
      <c r="H7524">
        <f>_xlfn.IMAGE("https://m.media-amazon.com/images/I/51g9gSN+3SL._AC_UL320_.jpg")</f>
        <v/>
      </c>
      <c r="K7524" t="inlineStr">
        <is>
          <t>39.97</t>
        </is>
      </c>
      <c r="L7524" t="n">
        <v>17.97</v>
      </c>
      <c r="M7524" s="1" t="inlineStr">
        <is>
          <t>-55.04%</t>
        </is>
      </c>
      <c r="N7524" s="7" t="n"/>
      <c r="O7524" t="n">
        <v>4.6</v>
      </c>
      <c r="P7524" t="n">
        <v>240</v>
      </c>
      <c r="R7524" t="inlineStr">
        <is>
          <t>InStock</t>
        </is>
      </c>
      <c r="S7524" t="inlineStr">
        <is>
          <t>57.9</t>
        </is>
      </c>
      <c r="T7524" t="inlineStr">
        <is>
          <t>3372527779940</t>
        </is>
      </c>
    </row>
    <row r="7525" ht="87" customHeight="1">
      <c r="A7525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25" s="2">
        <f>HYPERLINK("https://edmondsonsupply.com/products/klein-tools-rt310-afci-gfci-outlet-tester", "https://edmondsonsupply.com/products/klein-tools-rt310-afci-gfci-outlet-tester")</f>
        <v/>
      </c>
      <c r="C7525" t="inlineStr">
        <is>
          <t>Klein Tools RT310 AFCI / GFCI Outlet Tester</t>
        </is>
      </c>
      <c r="D7525" t="inlineStr">
        <is>
          <t>Aproca Hard Travel Storage Case, for Klein Tools ET310 AC Circuit Breaker Finder &amp; 80016 Circuit Breaker Finder Tool Kit &amp; RT250 GFCI Outlet Tester</t>
        </is>
      </c>
      <c r="E7525" s="2">
        <f>HYPERLINK("https://www.amazon.com/Aproca-Travel-Storage-Circuit-Breaker/dp/B0BRTSJY7T/ref=sr_1_43?keywords=Klein+Tools+RT310+AFCI+%2F+GFCI+Outlet+Tester&amp;qid=1694734989&amp;sr=8-43", "https://www.amazon.com/Aproca-Travel-Storage-Circuit-Breaker/dp/B0BRTSJY7T/ref=sr_1_43?keywords=Klein+Tools+RT310+AFCI+%2F+GFCI+Outlet+Tester&amp;qid=1694734989&amp;sr=8-43")</f>
        <v/>
      </c>
      <c r="F7525" t="inlineStr">
        <is>
          <t>B0BRTSJY7T</t>
        </is>
      </c>
      <c r="G7525">
        <f>_xlfn.IMAGE("https://edmondsonsupply.com/cdn/shop/products/rt310.jpg?v=1587148552")</f>
        <v/>
      </c>
      <c r="H7525">
        <f>_xlfn.IMAGE("https://m.media-amazon.com/images/I/81LXh0JvvPL._AC_UL320_.jpg")</f>
        <v/>
      </c>
      <c r="K7525" t="inlineStr">
        <is>
          <t>39.97</t>
        </is>
      </c>
      <c r="L7525" t="n">
        <v>17.97</v>
      </c>
      <c r="M7525" s="1" t="inlineStr">
        <is>
          <t>-55.04%</t>
        </is>
      </c>
      <c r="N7525" s="7" t="n"/>
      <c r="O7525" t="n">
        <v>4.7</v>
      </c>
      <c r="P7525" t="n">
        <v>324</v>
      </c>
      <c r="R7525" t="inlineStr">
        <is>
          <t>InStock</t>
        </is>
      </c>
      <c r="S7525" t="inlineStr">
        <is>
          <t>57.9</t>
        </is>
      </c>
      <c r="T7525" t="inlineStr">
        <is>
          <t>3372527779940</t>
        </is>
      </c>
    </row>
    <row r="7526" ht="87" customHeight="1">
      <c r="A7526" s="2">
        <f>HYPERLINK("https://edmondsonsupply.com/collections/electricians-tools/products/klein-tools-ktsb15-step-drill-bit-15-double-fluted-7-8-to-1-3-8-inch", "https://edmondsonsupply.com/collections/electricians-tools/products/klein-tools-ktsb15-step-drill-bit-15-double-fluted-7-8-to-1-3-8-inch")</f>
        <v/>
      </c>
      <c r="B7526" s="2">
        <f>HYPERLINK("https://edmondsonsupply.com/products/klein-tools-ktsb15-step-drill-bit-15-double-fluted-7-8-to-1-3-8-inch", "https://edmondsonsupply.com/products/klein-tools-ktsb15-step-drill-bit-15-double-fluted-7-8-to-1-3-8-inch")</f>
        <v/>
      </c>
      <c r="C7526" t="inlineStr">
        <is>
          <t>Klein Tools KTSB15 Step Drill Bit #15 Double Fluted 7/8 to 1-3/8-Inch</t>
        </is>
      </c>
      <c r="D7526" t="inlineStr">
        <is>
          <t>Jerax tools 1/4 to 1-3/8 Inch Step Drill Bit Straight Grooved Double Fluted, M2 High Speed Steel Drill bits for Hole Drilling in Stainless Steel, Copper, Aluminum, Wood, Plastic</t>
        </is>
      </c>
      <c r="E7526" s="2">
        <f>HYPERLINK("https://www.amazon.com/Jerax-tools-Straight-Stainless-highlighted/dp/B094VN88HK/ref=sr_1_7?keywords=Klein+Tools+KTSB15+Step+Drill+Bit+%2315+Double+Fluted+7%2F8+to+1-3%2F8-Inch&amp;qid=1694735232&amp;sr=8-7", "https://www.amazon.com/Jerax-tools-Straight-Stainless-highlighted/dp/B094VN88HK/ref=sr_1_7?keywords=Klein+Tools+KTSB15+Step+Drill+Bit+%2315+Double+Fluted+7%2F8+to+1-3%2F8-Inch&amp;qid=1694735232&amp;sr=8-7")</f>
        <v/>
      </c>
      <c r="F7526" t="inlineStr">
        <is>
          <t>B094VN88HK</t>
        </is>
      </c>
      <c r="G7526">
        <f>_xlfn.IMAGE("https://edmondsonsupply.com/cdn/shop/products/ktsb15.jpg?v=1633030886")</f>
        <v/>
      </c>
      <c r="H7526">
        <f>_xlfn.IMAGE("https://m.media-amazon.com/images/I/61uPaRTO-SL._AC_UY218_.jpg")</f>
        <v/>
      </c>
      <c r="K7526" t="inlineStr">
        <is>
          <t>59.97</t>
        </is>
      </c>
      <c r="L7526" t="n">
        <v>26.95</v>
      </c>
      <c r="M7526" s="1" t="inlineStr">
        <is>
          <t>-55.06%</t>
        </is>
      </c>
      <c r="N7526" s="7" t="n"/>
      <c r="O7526" t="n">
        <v>4.5</v>
      </c>
      <c r="P7526" t="n">
        <v>708</v>
      </c>
      <c r="R7526" t="inlineStr">
        <is>
          <t>InStock</t>
        </is>
      </c>
      <c r="S7526" t="inlineStr">
        <is>
          <t>81.96</t>
        </is>
      </c>
      <c r="T7526" t="inlineStr">
        <is>
          <t>6217390424237</t>
        </is>
      </c>
    </row>
    <row r="7527" ht="87" customHeight="1">
      <c r="A7527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27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27" t="inlineStr">
        <is>
          <t>Milwaukee 48-11-2411 M12 REDLITHIUM™ Compact Battery Two Pack</t>
        </is>
      </c>
      <c r="D7527" t="inlineStr">
        <is>
          <t>Swidan 2Packs 12V M12 6000mAh Lithium Battery Compatible with Milwaukee M12 XC 48-11-2460 48-11-2401 48-11-2411 48-11-2412 48-11-2420 48-11-2440 12-Volts Cordless Power Tools</t>
        </is>
      </c>
      <c r="E7527" s="2">
        <f>HYPERLINK("https://www.amazon.com/Swidan-Lithium-ion-48-11-2401-48-11-2410-48-11-2420/dp/B09QM573KY/ref=sr_1_34?keywords=Milwaukee+48-11-2411+M12+REDLITHIUM%E2%84%A2+Compact+Battery+Two+Pack&amp;qid=1694735145&amp;sr=8-34", "https://www.amazon.com/Swidan-Lithium-ion-48-11-2401-48-11-2410-48-11-2420/dp/B09QM573KY/ref=sr_1_34?keywords=Milwaukee+48-11-2411+M12+REDLITHIUM%E2%84%A2+Compact+Battery+Two+Pack&amp;qid=1694735145&amp;sr=8-34")</f>
        <v/>
      </c>
      <c r="F7527" t="inlineStr">
        <is>
          <t>B09QM573KY</t>
        </is>
      </c>
      <c r="G7527">
        <f>_xlfn.IMAGE("https://edmondsonsupply.com/cdn/shop/products/65014_48-11-2411-lg.jpg?v=1655484824")</f>
        <v/>
      </c>
      <c r="H7527">
        <f>_xlfn.IMAGE("https://m.media-amazon.com/images/I/61kumOnZAKL._AC_UL320_.jpg")</f>
        <v/>
      </c>
      <c r="K7527" t="inlineStr">
        <is>
          <t>89.0</t>
        </is>
      </c>
      <c r="L7527" t="n">
        <v>39.99</v>
      </c>
      <c r="M7527" s="1" t="inlineStr">
        <is>
          <t>-55.07%</t>
        </is>
      </c>
      <c r="N7527" s="7" t="n"/>
      <c r="O7527" t="n">
        <v>4.1</v>
      </c>
      <c r="P7527" t="n">
        <v>24</v>
      </c>
      <c r="R7527" t="inlineStr">
        <is>
          <t>OutOfStock</t>
        </is>
      </c>
      <c r="S7527" t="inlineStr">
        <is>
          <t>150.0</t>
        </is>
      </c>
      <c r="T7527" t="inlineStr">
        <is>
          <t>7721456795864</t>
        </is>
      </c>
    </row>
    <row r="7528" hidden="1" ht="15.75" customHeight="1">
      <c r="A7528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28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28" t="inlineStr">
        <is>
          <t>Milwaukee 48-11-2411 M12 REDLITHIUM™ Compact Battery Two Pack</t>
        </is>
      </c>
      <c r="D7528" t="inlineStr">
        <is>
          <t>Bdreer 4 Pack 3000mAh 12V Lithium Ion Replacement Battery Compatible with Milwaukee M12 Battery 48-11-2401 48-11-2402 48-11-2411 48-11-2420 12-Volt Cordless Tools</t>
        </is>
      </c>
      <c r="E7528" s="2">
        <f>HYPERLINK("https://www.amazon.com/Bdreer-Replacement-Compatible-48-11-2401-48-11-2402/dp/B0BX7QCDZC/ref=sr_1_21?keywords=Milwaukee+48-11-2411+M12+REDLITHIUM%E2%84%A2+Compact+Battery+Two+Pack&amp;qid=1694735145&amp;sr=8-21", "https://www.amazon.com/Bdreer-Replacement-Compatible-48-11-2401-48-11-2402/dp/B0BX7QCDZC/ref=sr_1_21?keywords=Milwaukee+48-11-2411+M12+REDLITHIUM%E2%84%A2+Compact+Battery+Two+Pack&amp;qid=1694735145&amp;sr=8-21")</f>
        <v/>
      </c>
      <c r="F7528" t="inlineStr">
        <is>
          <t>B0BX7QCDZC</t>
        </is>
      </c>
      <c r="G7528">
        <f>_xludf.IMAGE("https://edmondsonsupply.com/cdn/shop/products/65014_48-11-2411-lg.jpg?v=1655484824")</f>
        <v/>
      </c>
      <c r="H7528">
        <f>_xludf.IMAGE("https://m.media-amazon.com/images/I/71wdVcAhJML._AC_UL320_.jpg")</f>
        <v/>
      </c>
      <c r="K7528" t="inlineStr">
        <is>
          <t>89.0</t>
        </is>
      </c>
      <c r="L7528" t="n">
        <v>39.99</v>
      </c>
      <c r="M7528" s="1" t="inlineStr">
        <is>
          <t>-55.07%</t>
        </is>
      </c>
      <c r="N7528" s="1" t="n"/>
      <c r="O7528" t="n">
        <v>3.2</v>
      </c>
      <c r="P7528" t="n">
        <v>7</v>
      </c>
      <c r="R7528" t="inlineStr">
        <is>
          <t>OutOfStock</t>
        </is>
      </c>
      <c r="S7528" t="inlineStr">
        <is>
          <t>150.0</t>
        </is>
      </c>
      <c r="T7528" t="inlineStr">
        <is>
          <t>7721456795864</t>
        </is>
      </c>
    </row>
    <row r="7529" ht="87" customHeight="1">
      <c r="A7529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29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29" t="inlineStr">
        <is>
          <t>Milwaukee 48-11-2411 M12 REDLITHIUM™ Compact Battery Two Pack</t>
        </is>
      </c>
      <c r="D7529" t="inlineStr">
        <is>
          <t>KUNLUN 2Pack 6.5Ah 12V Lithium Battery for Milwaukee M12 12V Battery Compatible for Milwaukee 12-Volt Battery 48-11-2412 48-11-2460 48-11-2411 48-11-2420 48-11-2440 Cordless Power Tool Batteries</t>
        </is>
      </c>
      <c r="E7529" s="2">
        <f>HYPERLINK("https://www.amazon.com/KUNLUN-Replacement-48-11-2401-48-11-2460-48-11-2440/dp/B091DGVXJ1/ref=sr_1_46?keywords=Milwaukee+48-11-2411+M12+REDLITHIUM%E2%84%A2+Compact+Battery+Two+Pack&amp;qid=1694735145&amp;sr=8-46", "https://www.amazon.com/KUNLUN-Replacement-48-11-2401-48-11-2460-48-11-2440/dp/B091DGVXJ1/ref=sr_1_46?keywords=Milwaukee+48-11-2411+M12+REDLITHIUM%E2%84%A2+Compact+Battery+Two+Pack&amp;qid=1694735145&amp;sr=8-46")</f>
        <v/>
      </c>
      <c r="F7529" t="inlineStr">
        <is>
          <t>B091DGVXJ1</t>
        </is>
      </c>
      <c r="G7529">
        <f>_xlfn.IMAGE("https://edmondsonsupply.com/cdn/shop/products/65014_48-11-2411-lg.jpg?v=1655484824")</f>
        <v/>
      </c>
      <c r="H7529">
        <f>_xlfn.IMAGE("https://m.media-amazon.com/images/I/71gXSFwmmSL._AC_UL320_.jpg")</f>
        <v/>
      </c>
      <c r="K7529" t="inlineStr">
        <is>
          <t>89.0</t>
        </is>
      </c>
      <c r="L7529" t="n">
        <v>39.99</v>
      </c>
      <c r="M7529" s="1" t="inlineStr">
        <is>
          <t>-55.07%</t>
        </is>
      </c>
      <c r="N7529" s="7" t="n"/>
      <c r="O7529" t="n">
        <v>4.6</v>
      </c>
      <c r="P7529" t="n">
        <v>157</v>
      </c>
      <c r="R7529" t="inlineStr">
        <is>
          <t>OutOfStock</t>
        </is>
      </c>
      <c r="S7529" t="inlineStr">
        <is>
          <t>150.0</t>
        </is>
      </c>
      <c r="T7529" t="inlineStr">
        <is>
          <t>7721456795864</t>
        </is>
      </c>
    </row>
    <row r="7530" ht="87" customHeight="1">
      <c r="A7530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30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30" t="inlineStr">
        <is>
          <t>Milwaukee 48-11-2411 M12 REDLITHIUM™ Compact Battery Two Pack</t>
        </is>
      </c>
      <c r="D7530" t="inlineStr">
        <is>
          <t>JYJZPB 2 Pack 6.5Ah 12V Battery for Milwaukee M12 Battery 48-11-2401 48-11-2412 48-11-2411 48-11-2420 48-11-2410 12Volt Cordless Tools for Milwaukee M12 Lithium Battery</t>
        </is>
      </c>
      <c r="E7530" s="2">
        <f>HYPERLINK("https://www.amazon.com/JYJZPB-Compatible-48-11-2401-48-11-2412-48-11-2411/dp/B0995PX26X/ref=sr_1_12?keywords=Milwaukee+48-11-2411+M12+REDLITHIUM%E2%84%A2+Compact+Battery+Two+Pack&amp;qid=1694735145&amp;sr=8-12", "https://www.amazon.com/JYJZPB-Compatible-48-11-2401-48-11-2412-48-11-2411/dp/B0995PX26X/ref=sr_1_12?keywords=Milwaukee+48-11-2411+M12+REDLITHIUM%E2%84%A2+Compact+Battery+Two+Pack&amp;qid=1694735145&amp;sr=8-12")</f>
        <v/>
      </c>
      <c r="F7530" t="inlineStr">
        <is>
          <t>B0995PX26X</t>
        </is>
      </c>
      <c r="G7530">
        <f>_xlfn.IMAGE("https://edmondsonsupply.com/cdn/shop/products/65014_48-11-2411-lg.jpg?v=1655484824")</f>
        <v/>
      </c>
      <c r="H7530">
        <f>_xlfn.IMAGE("https://m.media-amazon.com/images/I/71rA1EzOOEL._AC_UL320_.jpg")</f>
        <v/>
      </c>
      <c r="K7530" t="inlineStr">
        <is>
          <t>89.0</t>
        </is>
      </c>
      <c r="L7530" t="n">
        <v>39.98</v>
      </c>
      <c r="M7530" s="1" t="inlineStr">
        <is>
          <t>-55.08%</t>
        </is>
      </c>
      <c r="N7530" s="7" t="n"/>
      <c r="O7530" t="n">
        <v>4.6</v>
      </c>
      <c r="P7530" t="n">
        <v>175</v>
      </c>
      <c r="R7530" t="inlineStr">
        <is>
          <t>OutOfStock</t>
        </is>
      </c>
      <c r="S7530" t="inlineStr">
        <is>
          <t>150.0</t>
        </is>
      </c>
      <c r="T7530" t="inlineStr">
        <is>
          <t>7721456795864</t>
        </is>
      </c>
    </row>
    <row r="7531" ht="87" customHeight="1">
      <c r="A7531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31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31" t="inlineStr">
        <is>
          <t>Milwaukee 48-11-2411 M12 REDLITHIUM™ Compact Battery Two Pack</t>
        </is>
      </c>
      <c r="D7531" t="inlineStr">
        <is>
          <t>Milwaukee 48-11-2420 M12 12V REDLITHIUM 2.0 Compact Battery Pack for M12 Tools</t>
        </is>
      </c>
      <c r="E7531" s="2">
        <f>HYPERLINK("https://www.amazon.com/Milwaukee-48-11-2420-REDLITHIUM-Compact-Battery/dp/B01ACZQRWM/ref=sr_1_3?keywords=Milwaukee+48-11-2411+M12+REDLITHIUM%E2%84%A2+Compact+Battery+Two+Pack&amp;qid=1694735145&amp;sr=8-3", "https://www.amazon.com/Milwaukee-48-11-2420-REDLITHIUM-Compact-Battery/dp/B01ACZQRWM/ref=sr_1_3?keywords=Milwaukee+48-11-2411+M12+REDLITHIUM%E2%84%A2+Compact+Battery+Two+Pack&amp;qid=1694735145&amp;sr=8-3")</f>
        <v/>
      </c>
      <c r="F7531" t="inlineStr">
        <is>
          <t>B01ACZQRWM</t>
        </is>
      </c>
      <c r="G7531">
        <f>_xlfn.IMAGE("https://edmondsonsupply.com/cdn/shop/products/65014_48-11-2411-lg.jpg?v=1655484824")</f>
        <v/>
      </c>
      <c r="H7531">
        <f>_xlfn.IMAGE("https://m.media-amazon.com/images/I/71FD2PgnPEL._AC_UL320_.jpg")</f>
        <v/>
      </c>
      <c r="K7531" t="inlineStr">
        <is>
          <t>89.0</t>
        </is>
      </c>
      <c r="L7531" t="n">
        <v>39.94</v>
      </c>
      <c r="M7531" s="1" t="inlineStr">
        <is>
          <t>-55.12%</t>
        </is>
      </c>
      <c r="N7531" s="7" t="n"/>
      <c r="O7531" t="n">
        <v>4.4</v>
      </c>
      <c r="P7531" t="n">
        <v>61</v>
      </c>
      <c r="R7531" t="inlineStr">
        <is>
          <t>OutOfStock</t>
        </is>
      </c>
      <c r="S7531" t="inlineStr">
        <is>
          <t>150.0</t>
        </is>
      </c>
      <c r="T7531" t="inlineStr">
        <is>
          <t>7721456795864</t>
        </is>
      </c>
    </row>
    <row r="7532" hidden="1" ht="15.75" customHeight="1">
      <c r="A7532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532" s="2">
        <f>HYPERLINK("https://edmondsonsupply.com/products/veto-pro-pac-tech-pac-backpack-tool-bag-1", "https://edmondsonsupply.com/products/veto-pro-pac-tech-pac-backpack-tool-bag-1")</f>
        <v/>
      </c>
      <c r="C7532" t="inlineStr">
        <is>
          <t>Veto Pro Pac TECH PAC LT Laptop Backpack Tool Bag</t>
        </is>
      </c>
      <c r="D7532" t="inlineStr">
        <is>
          <t>Klein Tools 62805BPTECH Laptop Backpack Tool Bag, Tradesman Pro Extra-Large 28-Pocket Tech Tool Backpack with Molded Bottom, Charging Port</t>
        </is>
      </c>
      <c r="E7532" s="2">
        <f>HYPERLINK("https://www.amazon.com/Klein-Tools-62805BPTECH-Tradesman-Extra-Large/dp/B0C7HMWCW6/ref=sr_1_6?keywords=Veto+Pro+Pac+TECH+PAC+LT+Laptop+Backpack+Tool+Bag&amp;qid=1694735205&amp;sr=8-6", "https://www.amazon.com/Klein-Tools-62805BPTECH-Tradesman-Extra-Large/dp/B0C7HMWCW6/ref=sr_1_6?keywords=Veto+Pro+Pac+TECH+PAC+LT+Laptop+Backpack+Tool+Bag&amp;qid=1694735205&amp;sr=8-6")</f>
        <v/>
      </c>
      <c r="F7532" t="inlineStr">
        <is>
          <t>B0C7HMWCW6</t>
        </is>
      </c>
      <c r="G7532">
        <f>_xludf.IMAGE("https://edmondsonsupply.com/cdn/shop/products/LT_1.jpg?v=1587146035")</f>
        <v/>
      </c>
      <c r="H7532">
        <f>_xludf.IMAGE("https://m.media-amazon.com/images/I/61VlhMDQGbL._AC_UL320_.jpg")</f>
        <v/>
      </c>
      <c r="K7532" t="inlineStr">
        <is>
          <t>289.99</t>
        </is>
      </c>
      <c r="L7532" t="n">
        <v>129.99</v>
      </c>
      <c r="M7532" s="1" t="inlineStr">
        <is>
          <t>-55.17%</t>
        </is>
      </c>
      <c r="N7532" s="1" t="n"/>
      <c r="O7532" t="n">
        <v>3.3</v>
      </c>
      <c r="P7532" t="n">
        <v>3</v>
      </c>
      <c r="R7532" t="inlineStr">
        <is>
          <t>InStock</t>
        </is>
      </c>
      <c r="S7532" t="inlineStr">
        <is>
          <t>undefined</t>
        </is>
      </c>
      <c r="T7532" t="inlineStr">
        <is>
          <t>3558529695844</t>
        </is>
      </c>
    </row>
    <row r="7533" ht="87" customHeight="1">
      <c r="A7533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33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33" t="inlineStr">
        <is>
          <t>Milwaukee 48-11-2411 M12 REDLITHIUM™ Compact Battery Two Pack</t>
        </is>
      </c>
      <c r="D7533" t="inlineStr">
        <is>
          <t>Sunmokite 2Pack 6.0Ah Battery Replacement for Milwaukee M12 Battery Compatible with Milwaukee 12v Battery 48-11-2425 48-11-2440 48-11-2411 48-11-2450 48-11-2420 48-11-2460 Cordless Power Tools</t>
        </is>
      </c>
      <c r="E7533" s="2">
        <f>HYPERLINK("https://www.amazon.com/Sunmokite-Replacement-Compatible-48-11-2425-48-11-2440/dp/B0C5DJR1RR/ref=sr_1_24?keywords=Milwaukee+48-11-2411+M12+REDLITHIUM%E2%84%A2+Compact+Battery+Two+Pack&amp;qid=1694735145&amp;sr=8-24", "https://www.amazon.com/Sunmokite-Replacement-Compatible-48-11-2425-48-11-2440/dp/B0C5DJR1RR/ref=sr_1_24?keywords=Milwaukee+48-11-2411+M12+REDLITHIUM%E2%84%A2+Compact+Battery+Two+Pack&amp;qid=1694735145&amp;sr=8-24")</f>
        <v/>
      </c>
      <c r="F7533" t="inlineStr">
        <is>
          <t>B0C5DJR1RR</t>
        </is>
      </c>
      <c r="G7533">
        <f>_xlfn.IMAGE("https://edmondsonsupply.com/cdn/shop/products/65014_48-11-2411-lg.jpg?v=1655484824")</f>
        <v/>
      </c>
      <c r="H7533">
        <f>_xlfn.IMAGE("https://m.media-amazon.com/images/I/61IVRlSPrCL._AC_UL320_.jpg")</f>
        <v/>
      </c>
      <c r="K7533" t="inlineStr">
        <is>
          <t>89.0</t>
        </is>
      </c>
      <c r="L7533" t="n">
        <v>39.89</v>
      </c>
      <c r="M7533" s="1" t="inlineStr">
        <is>
          <t>-55.18%</t>
        </is>
      </c>
      <c r="N7533" s="7" t="n"/>
      <c r="O7533" t="n">
        <v>4.5</v>
      </c>
      <c r="P7533" t="n">
        <v>42</v>
      </c>
      <c r="R7533" t="inlineStr">
        <is>
          <t>OutOfStock</t>
        </is>
      </c>
      <c r="S7533" t="inlineStr">
        <is>
          <t>150.0</t>
        </is>
      </c>
      <c r="T7533" t="inlineStr">
        <is>
          <t>7721456795864</t>
        </is>
      </c>
    </row>
    <row r="7534" ht="87" customHeight="1">
      <c r="A7534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534" s="2">
        <f>HYPERLINK("https://edmondsonsupply.com/products/diablo-tools-dmapl2530-1-in-x-16-in-x-18-in-sds-plus-2-cutter", "https://edmondsonsupply.com/products/diablo-tools-dmapl2530-1-in-x-16-in-x-18-in-sds-plus-2-cutter")</f>
        <v/>
      </c>
      <c r="C7534" t="inlineStr">
        <is>
          <t>Diablo Tools DMAPL2530 1 in. x 16 in. x 18 in. SDS-Plus 2-Cutter</t>
        </is>
      </c>
      <c r="D7534" t="inlineStr">
        <is>
          <t>Diablo by Freud Diablo DMAPL4190 1/2 in. x 10 in. x 12 in. Rebar Demon SDS-Plus 4-Cutter Full Carbide Head Hammer Bit</t>
        </is>
      </c>
      <c r="E7534" s="2">
        <f>HYPERLINK("https://www.amazon.com/Diablo-Freud-DMAPL4190-SDS-Plus-4-Cutter/dp/B089LJZ25M/ref=sr_1_38?keywords=Diablo+Tools+DMAPL2530+1+in.+x+16+in.+x+18+in.+SDS-Plus+2-Cutter&amp;qid=1694735204&amp;sr=8-38", "https://www.amazon.com/Diablo-Freud-DMAPL4190-SDS-Plus-4-Cutter/dp/B089LJZ25M/ref=sr_1_38?keywords=Diablo+Tools+DMAPL2530+1+in.+x+16+in.+x+18+in.+SDS-Plus+2-Cutter&amp;qid=1694735204&amp;sr=8-38")</f>
        <v/>
      </c>
      <c r="F7534" t="inlineStr">
        <is>
          <t>B089LJZ25M</t>
        </is>
      </c>
      <c r="G7534">
        <f>_xlfn.IMAGE("https://edmondsonsupply.com/cdn/shop/products/DMAPL2530_Main-Image20200703.png?v=1627068300")</f>
        <v/>
      </c>
      <c r="H7534">
        <f>_xlfn.IMAGE("https://m.media-amazon.com/images/I/61dzudnwI8L._AC_UL320_.jpg")</f>
        <v/>
      </c>
      <c r="K7534" t="inlineStr">
        <is>
          <t>38.97</t>
        </is>
      </c>
      <c r="L7534" t="n">
        <v>17.41</v>
      </c>
      <c r="M7534" s="1" t="inlineStr">
        <is>
          <t>-55.32%</t>
        </is>
      </c>
      <c r="N7534" s="7" t="n"/>
      <c r="O7534" t="n">
        <v>4.6</v>
      </c>
      <c r="P7534" t="n">
        <v>43</v>
      </c>
      <c r="R7534" t="inlineStr">
        <is>
          <t>InStock</t>
        </is>
      </c>
      <c r="S7534" t="inlineStr">
        <is>
          <t>50.56</t>
        </is>
      </c>
      <c r="T7534" t="inlineStr">
        <is>
          <t>6839623778477</t>
        </is>
      </c>
    </row>
    <row r="7535" hidden="1" ht="15.75" customHeight="1">
      <c r="A7535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7535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7535" t="inlineStr">
        <is>
          <t>Diablo Tools DMAMX1050 9/16 in. x 8 in. x 13 in. Rebar Demon™ SDS-Max 4-Cutter Full Carbide Head Hammer Drill Bit</t>
        </is>
      </c>
      <c r="D7535" t="inlineStr">
        <is>
          <t>Diablo by Freud DMAPL4160 3/8 in. x 10 in. x 12 in. Rebar Demon SDS-Plus 4-Cutter Full Carbide Head Hammer Bit</t>
        </is>
      </c>
      <c r="E7535" s="2">
        <f>HYPERLINK("https://www.amazon.com/Diablo-Freud-DMAPL4160-SDS-Plus-4-Cutter/dp/B089KX25B7/ref=sr_1_36?keywords=Diablo+Tools+DMAMX1050+9%2F16+in.+x+8+in.+x+13+in.+Rebar+Demon%E2%84%A2+SDS-Max+4-Cutter+Full+Carbide+Head+Hammer+Drill+Bit&amp;qid=1694735208&amp;sr=8-36", "https://www.amazon.com/Diablo-Freud-DMAPL4160-SDS-Plus-4-Cutter/dp/B089KX25B7/ref=sr_1_36?keywords=Diablo+Tools+DMAMX1050+9%2F16+in.+x+8+in.+x+13+in.+Rebar+Demon%E2%84%A2+SDS-Max+4-Cutter+Full+Carbide+Head+Hammer+Drill+Bit&amp;qid=1694735208&amp;sr=8-36")</f>
        <v/>
      </c>
      <c r="F7535" t="inlineStr">
        <is>
          <t>B089KX25B7</t>
        </is>
      </c>
      <c r="G7535">
        <f>_xludf.IMAGE("https://edmondsonsupply.com/cdn/shop/products/DMAMX1050_Main-Image20200701.png?v=1633031097")</f>
        <v/>
      </c>
      <c r="H7535">
        <f>_xludf.IMAGE("https://m.media-amazon.com/images/I/61MHnm3+2bL._AC_UL320_.jpg")</f>
        <v/>
      </c>
      <c r="K7535" t="inlineStr">
        <is>
          <t>29.19</t>
        </is>
      </c>
      <c r="L7535" t="n">
        <v>13.01</v>
      </c>
      <c r="M7535" s="1" t="inlineStr">
        <is>
          <t>-55.43%</t>
        </is>
      </c>
      <c r="N7535" s="1" t="n"/>
      <c r="O7535" t="n">
        <v>4.5</v>
      </c>
      <c r="P7535" t="n">
        <v>39</v>
      </c>
      <c r="R7535" t="inlineStr">
        <is>
          <t>InStock</t>
        </is>
      </c>
      <c r="S7535" t="inlineStr">
        <is>
          <t>46.05</t>
        </is>
      </c>
      <c r="T7535" t="inlineStr">
        <is>
          <t>6842367738029</t>
        </is>
      </c>
    </row>
    <row r="7536" hidden="1" ht="15.75" customHeight="1">
      <c r="A7536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7536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7536" t="inlineStr">
        <is>
          <t>Diablo Tools DMAMX1050 9/16 in. x 8 in. x 13 in. Rebar Demon™ SDS-Max 4-Cutter Full Carbide Head Hammer Drill Bit</t>
        </is>
      </c>
      <c r="D7536" t="inlineStr">
        <is>
          <t>Diablo DMAPL4120 5/16 in. x 10 in. x 12 in. Rebar Demon™ SDS-Plus 4-Cutter Full Carbide Head Hammer Bit</t>
        </is>
      </c>
      <c r="E7536" s="2">
        <f>HYPERLINK("https://www.amazon.com/Diablo-SDS-Plus-4-Cutter-Carbide-Hammer/dp/B089KTHL12/ref=sr_1_15?keywords=Diablo+Tools+DMAMX1050+9%2F16+in.+x+8+in.+x+13+in.+Rebar+Demon%E2%84%A2+SDS-Max+4-Cutter+Full+Carbide+Head+Hammer+Drill+Bit&amp;qid=1694735208&amp;sr=8-15", "https://www.amazon.com/Diablo-SDS-Plus-4-Cutter-Carbide-Hammer/dp/B089KTHL12/ref=sr_1_15?keywords=Diablo+Tools+DMAMX1050+9%2F16+in.+x+8+in.+x+13+in.+Rebar+Demon%E2%84%A2+SDS-Max+4-Cutter+Full+Carbide+Head+Hammer+Drill+Bit&amp;qid=1694735208&amp;sr=8-15")</f>
        <v/>
      </c>
      <c r="F7536" t="inlineStr">
        <is>
          <t>B089KTHL12</t>
        </is>
      </c>
      <c r="G7536">
        <f>_xludf.IMAGE("https://edmondsonsupply.com/cdn/shop/products/DMAMX1050_Main-Image20200701.png?v=1633031097")</f>
        <v/>
      </c>
      <c r="H7536">
        <f>_xludf.IMAGE("https://m.media-amazon.com/images/I/61P8b1v1TBL._AC_UL320_.jpg")</f>
        <v/>
      </c>
      <c r="K7536" t="inlineStr">
        <is>
          <t>29.19</t>
        </is>
      </c>
      <c r="L7536" t="n">
        <v>12.99</v>
      </c>
      <c r="M7536" s="1" t="inlineStr">
        <is>
          <t>-55.50%</t>
        </is>
      </c>
      <c r="N7536" s="1" t="n"/>
      <c r="O7536" t="n">
        <v>5</v>
      </c>
      <c r="P7536" t="n">
        <v>6</v>
      </c>
      <c r="R7536" t="inlineStr">
        <is>
          <t>InStock</t>
        </is>
      </c>
      <c r="S7536" t="inlineStr">
        <is>
          <t>46.05</t>
        </is>
      </c>
      <c r="T7536" t="inlineStr">
        <is>
          <t>6842367738029</t>
        </is>
      </c>
    </row>
    <row r="7537" ht="87" customHeight="1">
      <c r="A7537" s="2">
        <f>HYPERLINK("https://edmondsonsupply.com/collections/electricians-tools/products/klein-tools-9416r-1000v-insulated-tool-kit-3-piece", "https://edmondsonsupply.com/collections/electricians-tools/products/klein-tools-9416r-1000v-insulated-tool-kit-3-piece")</f>
        <v/>
      </c>
      <c r="B7537" s="2">
        <f>HYPERLINK("https://edmondsonsupply.com/products/klein-tools-9416r-1000v-insulated-tool-kit-3-piece", "https://edmondsonsupply.com/products/klein-tools-9416r-1000v-insulated-tool-kit-3-piece")</f>
        <v/>
      </c>
      <c r="C7537" t="inlineStr">
        <is>
          <t>Klein Tools 9416R 1000V Insulated Tool Kit, 3-Piece</t>
        </is>
      </c>
      <c r="D7537" t="inlineStr">
        <is>
          <t>Klein Tools 85076INS Insulated Screwdriver Set features 1000V Screwdrivers, (3) Phillips and (2) Slotted and Square Tips, 6-Piece</t>
        </is>
      </c>
      <c r="E7537" s="2">
        <f>HYPERLINK("https://www.amazon.com/Klein-Tools-85076INS-Screwdriver-Screwdrivers/dp/B0BF76JDCC/ref=sr_1_5?keywords=Klein+Tools+9416R+1000V+Insulated+Tool+Kit%2C+3-Piece&amp;qid=1694735088&amp;sr=8-5", "https://www.amazon.com/Klein-Tools-85076INS-Screwdriver-Screwdrivers/dp/B0BF76JDCC/ref=sr_1_5?keywords=Klein+Tools+9416R+1000V+Insulated+Tool+Kit%2C+3-Piece&amp;qid=1694735088&amp;sr=8-5")</f>
        <v/>
      </c>
      <c r="F7537" t="inlineStr">
        <is>
          <t>B0BF76JDCC</t>
        </is>
      </c>
      <c r="G7537">
        <f>_xlfn.IMAGE("https://edmondsonsupply.com/cdn/shop/products/9416r.jpg?v=1667327475")</f>
        <v/>
      </c>
      <c r="H7537">
        <f>_xlfn.IMAGE("https://m.media-amazon.com/images/I/51wtKAQ0TLL._AC_UL320_.jpg")</f>
        <v/>
      </c>
      <c r="K7537" t="inlineStr">
        <is>
          <t>84.99</t>
        </is>
      </c>
      <c r="L7537" t="n">
        <v>37.74</v>
      </c>
      <c r="M7537" s="1" t="inlineStr">
        <is>
          <t>-55.59%</t>
        </is>
      </c>
      <c r="N7537" s="7" t="n"/>
      <c r="O7537" t="n">
        <v>4.7</v>
      </c>
      <c r="P7537" t="n">
        <v>201</v>
      </c>
      <c r="R7537" t="inlineStr">
        <is>
          <t>InStock</t>
        </is>
      </c>
      <c r="S7537" t="inlineStr">
        <is>
          <t>127.48</t>
        </is>
      </c>
      <c r="T7537" t="inlineStr">
        <is>
          <t>7872648347864</t>
        </is>
      </c>
    </row>
    <row r="7538" hidden="1" ht="15.75" customHeight="1">
      <c r="A7538" s="2">
        <f>HYPERLINK("https://edmondsonsupply.com/collections/electricians-tools/products/diablo-tools-dmarg1210-1-in-x-10-in-x-12-in-speedemon%E2%84%A2-red-granite-carbide-tipped-hammer-drill-bit", "https://edmondsonsupply.com/collections/electricians-tools/products/diablo-tools-dmarg1210-1-in-x-10-in-x-12-in-speedemon%E2%84%A2-red-granite-carbide-tipped-hammer-drill-bit")</f>
        <v/>
      </c>
      <c r="B7538" s="2">
        <f>HYPERLINK("https://edmondsonsupply.com/products/diablo-tools-dmarg1210-1-in-x-10-in-x-12-in-speedemon%e2%84%a2-red-granite-carbide-tipped-hammer-drill-bit", "https://edmondsonsupply.com/products/diablo-tools-dmarg1210-1-in-x-10-in-x-12-in-speedemon%e2%84%a2-red-granite-carbide-tipped-hammer-drill-bit")</f>
        <v/>
      </c>
      <c r="C7538" t="inlineStr">
        <is>
          <t>Diablo Tools DMARG1210 1 in. x 10 in. x 12 in. SPEEDemon™ Red Granite Carbide Tipped Hammer Drill Bit</t>
        </is>
      </c>
      <c r="D7538" t="inlineStr">
        <is>
          <t>Diablo DMARG1130 3/8 in. x 10 in. x 12 in. SPEEDemon™ Red Granite Carbide Tipped Hammer Drill Bit</t>
        </is>
      </c>
      <c r="E7538" s="2">
        <f>HYPERLINK("https://www.amazon.com/Diablo-DMARG1130-SPEEDemon-Granite-Carbide/dp/B089LKXD73/ref=sr_1_3?keywords=Diablo+Tools+DMARG1210+1+in.+x+10+in.+x+12+in.+SPEEDemon%E2%84%A2+Red+Granite+Carbide+Tipped+Hammer+Drill+Bit&amp;qid=1694735273&amp;sr=8-3", "https://www.amazon.com/Diablo-DMARG1130-SPEEDemon-Granite-Carbide/dp/B089LKXD73/ref=sr_1_3?keywords=Diablo+Tools+DMARG1210+1+in.+x+10+in.+x+12+in.+SPEEDemon%E2%84%A2+Red+Granite+Carbide+Tipped+Hammer+Drill+Bit&amp;qid=1694735273&amp;sr=8-3")</f>
        <v/>
      </c>
      <c r="F7538" t="inlineStr">
        <is>
          <t>B089LKXD73</t>
        </is>
      </c>
      <c r="G7538">
        <f>_xludf.IMAGE("https://edmondsonsupply.com/cdn/shop/products/DMARG1210_Main-Image20200702.png?v=1633030511")</f>
        <v/>
      </c>
      <c r="H7538">
        <f>_xludf.IMAGE("https://m.media-amazon.com/images/I/61atP0vUShL._AC_UL320_.jpg")</f>
        <v/>
      </c>
      <c r="K7538" t="inlineStr">
        <is>
          <t>31.97</t>
        </is>
      </c>
      <c r="L7538" t="n">
        <v>14.19</v>
      </c>
      <c r="M7538" s="1" t="inlineStr">
        <is>
          <t>-55.61%</t>
        </is>
      </c>
      <c r="N7538" s="1" t="n"/>
      <c r="O7538" t="n">
        <v>4.8</v>
      </c>
      <c r="P7538" t="n">
        <v>11</v>
      </c>
      <c r="R7538" t="inlineStr">
        <is>
          <t>InStock</t>
        </is>
      </c>
      <c r="S7538" t="inlineStr">
        <is>
          <t>undefined</t>
        </is>
      </c>
      <c r="T7538" t="inlineStr">
        <is>
          <t>5386558177448</t>
        </is>
      </c>
    </row>
    <row r="7539" hidden="1" ht="15.75" customHeight="1">
      <c r="A7539" s="2">
        <f>HYPERLINK("https://edmondsonsupply.com/collections/electricians-tools/products/klein-tools-jth6e15-3-8-inch-hex-key-with-journeyman-t-handle-6-inch", "https://edmondsonsupply.com/collections/electricians-tools/products/klein-tools-jth6e15-3-8-inch-hex-key-with-journeyman-t-handle-6-inch")</f>
        <v/>
      </c>
      <c r="B7539" s="2">
        <f>HYPERLINK("https://edmondsonsupply.com/products/klein-tools-jth6e15-3-8-inch-hex-key-with-journeyman-t-handle-6-inch", "https://edmondsonsupply.com/products/klein-tools-jth6e15-3-8-inch-hex-key-with-journeyman-t-handle-6-inch")</f>
        <v/>
      </c>
      <c r="C7539" t="inlineStr">
        <is>
          <t>Klein Tools JTH6E15 3/8-Inch Hex Key with Journeyman T-Handle, 6-Inch</t>
        </is>
      </c>
      <c r="D7539" t="inlineStr">
        <is>
          <t>Klein Tools JTH6M3 3 mm Hex Key with Journeyman T-Handle, 6-Inch</t>
        </is>
      </c>
      <c r="E7539" s="2">
        <f>HYPERLINK("https://www.amazon.com/Journeyman-T-Handle-Klein-Tools-JTH6M3/dp/B005G394RG/ref=sr_1_9?keywords=Klein+Tools+JTH6E15+3%2F8-Inch+Hex+Key+with+Journeyman+T-Handle%2C+6-Inch&amp;qid=1694735343&amp;sr=8-9", "https://www.amazon.com/Journeyman-T-Handle-Klein-Tools-JTH6M3/dp/B005G394RG/ref=sr_1_9?keywords=Klein+Tools+JTH6E15+3%2F8-Inch+Hex+Key+with+Journeyman+T-Handle%2C+6-Inch&amp;qid=1694735343&amp;sr=8-9")</f>
        <v/>
      </c>
      <c r="F7539" t="inlineStr">
        <is>
          <t>B005G394RG</t>
        </is>
      </c>
      <c r="G7539">
        <f>_xludf.IMAGE("https://edmondsonsupply.com/cdn/shop/products/jth6e15_c4dd65ba-86a8-4743-882c-88cf44faafdc.jpg?v=1587142819")</f>
        <v/>
      </c>
      <c r="H7539">
        <f>_xludf.IMAGE("https://m.media-amazon.com/images/I/51+1x0vz9XL._AC_UL320_.jpg")</f>
        <v/>
      </c>
      <c r="K7539" t="inlineStr">
        <is>
          <t>8.99</t>
        </is>
      </c>
      <c r="L7539" t="n">
        <v>3.99</v>
      </c>
      <c r="M7539" s="1" t="inlineStr">
        <is>
          <t>-55.62%</t>
        </is>
      </c>
      <c r="N7539" s="1" t="n"/>
      <c r="O7539" t="n">
        <v>4.7</v>
      </c>
      <c r="P7539" t="n">
        <v>358</v>
      </c>
      <c r="R7539" t="inlineStr">
        <is>
          <t>InStock</t>
        </is>
      </c>
      <c r="S7539" t="inlineStr">
        <is>
          <t>13.56</t>
        </is>
      </c>
      <c r="T7539" t="inlineStr">
        <is>
          <t>4512705970276</t>
        </is>
      </c>
    </row>
    <row r="7540" hidden="1" ht="15.75" customHeight="1">
      <c r="A7540" s="2">
        <f>HYPERLINK("https://edmondsonsupply.com/collections/electricians-tools/products/klein-tools-jth6m10-10-mm-hex-key-journeyman-t-handle-6-inch", "https://edmondsonsupply.com/collections/electricians-tools/products/klein-tools-jth6m10-10-mm-hex-key-journeyman-t-handle-6-inch")</f>
        <v/>
      </c>
      <c r="B7540" s="2">
        <f>HYPERLINK("https://edmondsonsupply.com/products/klein-tools-jth6m10-10-mm-hex-key-journeyman-t-handle-6-inch", "https://edmondsonsupply.com/products/klein-tools-jth6m10-10-mm-hex-key-journeyman-t-handle-6-inch")</f>
        <v/>
      </c>
      <c r="C7540" t="inlineStr">
        <is>
          <t>Klein Tools JTH6M10 10 mm Hex Key Journeyman T-Handle 6-Inch</t>
        </is>
      </c>
      <c r="D7540" t="inlineStr">
        <is>
          <t>Klein Tools JTH6M3 3 mm Hex Key with Journeyman T-Handle, 6-Inch</t>
        </is>
      </c>
      <c r="E7540" s="2">
        <f>HYPERLINK("https://www.amazon.com/Journeyman-T-Handle-Klein-Tools-JTH6M3/dp/B005G394RG/ref=sr_1_6?keywords=Klein+Tools+JTH6M10+10+mm+Hex+Key+Journeyman+T-Handle+6-Inch&amp;qid=1694735203&amp;sr=8-6", "https://www.amazon.com/Journeyman-T-Handle-Klein-Tools-JTH6M3/dp/B005G394RG/ref=sr_1_6?keywords=Klein+Tools+JTH6M10+10+mm+Hex+Key+Journeyman+T-Handle+6-Inch&amp;qid=1694735203&amp;sr=8-6")</f>
        <v/>
      </c>
      <c r="F7540" t="inlineStr">
        <is>
          <t>B005G394RG</t>
        </is>
      </c>
      <c r="G7540">
        <f>_xludf.IMAGE("https://edmondsonsupply.com/cdn/shop/products/jth6m8_64c2c8d3-e13e-4b81-9b34-745be7fd837a.jpg?v=1627827117")</f>
        <v/>
      </c>
      <c r="H7540">
        <f>_xludf.IMAGE("https://m.media-amazon.com/images/I/51+1x0vz9XL._AC_UL320_.jpg")</f>
        <v/>
      </c>
      <c r="K7540" t="inlineStr">
        <is>
          <t>8.99</t>
        </is>
      </c>
      <c r="L7540" t="n">
        <v>3.99</v>
      </c>
      <c r="M7540" s="1" t="inlineStr">
        <is>
          <t>-55.62%</t>
        </is>
      </c>
      <c r="N7540" s="1" t="n"/>
      <c r="O7540" t="n">
        <v>4.7</v>
      </c>
      <c r="P7540" t="n">
        <v>358</v>
      </c>
      <c r="R7540" t="inlineStr">
        <is>
          <t>InStock</t>
        </is>
      </c>
      <c r="S7540" t="inlineStr">
        <is>
          <t>13.56</t>
        </is>
      </c>
      <c r="T7540" t="inlineStr">
        <is>
          <t>6852298014893</t>
        </is>
      </c>
    </row>
    <row r="7541" ht="87" customHeight="1">
      <c r="A7541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541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541" t="inlineStr">
        <is>
          <t>Diablo Tools DMAPL9920-S7 7pc Rebar Demon™ SDS-Plus 4-Cutter Full Carbide Head Hammer Bit Set</t>
        </is>
      </c>
      <c r="D7541" t="inlineStr">
        <is>
          <t>Diablo 1/4"x 16"x18" Rebar Demon™ SDS-Plus 4-Cutter Full Carbide Head Hammer Bit</t>
        </is>
      </c>
      <c r="E7541" s="2">
        <f>HYPERLINK("https://www.amazon.com/Diablo-DMAPL4100-SDS-Plus-4-Cutter-Carbide/dp/B089LG82VT/ref=sr_1_21?keywords=Diablo+Tools+DMAPL9920-S7+7pc+Rebar+Demon%E2%84%A2+SDS-Plus+4-Cutter+Full+Carbide+Head+Hammer+Bit+Set&amp;qid=1694735019&amp;sr=8-21", "https://www.amazon.com/Diablo-DMAPL4100-SDS-Plus-4-Cutter-Carbide/dp/B089LG82VT/ref=sr_1_21?keywords=Diablo+Tools+DMAPL9920-S7+7pc+Rebar+Demon%E2%84%A2+SDS-Plus+4-Cutter+Full+Carbide+Head+Hammer+Bit+Set&amp;qid=1694735019&amp;sr=8-21")</f>
        <v/>
      </c>
      <c r="F7541" t="inlineStr">
        <is>
          <t>B089LG82VT</t>
        </is>
      </c>
      <c r="G7541">
        <f>_xlfn.IMAGE("https://edmondsonsupply.com/cdn/shop/products/vgtm2xrrra4yfevsszgf.webp?v=1679328619")</f>
        <v/>
      </c>
      <c r="H7541">
        <f>_xlfn.IMAGE("https://m.media-amazon.com/images/I/61feUT5pRgL._AC_UL320_.jpg")</f>
        <v/>
      </c>
      <c r="K7541" t="inlineStr">
        <is>
          <t>37.97</t>
        </is>
      </c>
      <c r="L7541" t="n">
        <v>16.85</v>
      </c>
      <c r="M7541" s="1" t="inlineStr">
        <is>
          <t>-55.62%</t>
        </is>
      </c>
      <c r="N7541" s="7" t="n"/>
      <c r="O7541" t="n">
        <v>4.9</v>
      </c>
      <c r="P7541" t="n">
        <v>46</v>
      </c>
      <c r="R7541" t="inlineStr">
        <is>
          <t>InStock</t>
        </is>
      </c>
      <c r="S7541" t="inlineStr">
        <is>
          <t>55.56</t>
        </is>
      </c>
      <c r="T7541" t="inlineStr">
        <is>
          <t>7964936995032</t>
        </is>
      </c>
    </row>
    <row r="7542" ht="87" customHeight="1">
      <c r="A7542" s="2">
        <f>HYPERLINK("https://edmondsonsupply.com/collections/electricians-tools/products/klein-tools-vdv501-852-scout%C2%AE-pro-3-tester-with-locator-remote-kit", "https://edmondsonsupply.com/collections/electricians-tools/products/klein-tools-vdv501-852-scout%C2%AE-pro-3-tester-with-locator-remote-kit")</f>
        <v/>
      </c>
      <c r="B7542" s="2">
        <f>HYPERLINK("https://edmondsonsupply.com/products/klein-tools-vdv501-852-scout%c2%ae-pro-3-tester-with-locator-remote-kit", "https://edmondsonsupply.com/products/klein-tools-vdv501-852-scout%c2%ae-pro-3-tester-with-locator-remote-kit")</f>
        <v/>
      </c>
      <c r="C7542" t="inlineStr">
        <is>
          <t>Klein Tools VDV501-852 Scout® Pro 3 Tester with Locator Remote Kit</t>
        </is>
      </c>
      <c r="D7542" t="inlineStr">
        <is>
          <t>Klein Tools VDV501-852 Cable Tester with Remote, VDV Scout Pro 3 Test Kit Locates and Tests Voice, Data and Video Cables</t>
        </is>
      </c>
      <c r="E7542" s="2">
        <f>HYPERLINK("https://www.amazon.com/Klein-Tools-VDV501-852-Tester-Locates/dp/B08BDBB983/ref=sr_1_1?keywords=Klein+Tools+VDV501-852+Scout%C2%AE+Pro+3+Tester+with+Locator+Remote+Kit&amp;qid=1694735261&amp;sr=8-1", "https://www.amazon.com/Klein-Tools-VDV501-852-Tester-Locates/dp/B08BDBB983/ref=sr_1_1?keywords=Klein+Tools+VDV501-852+Scout%C2%AE+Pro+3+Tester+with+Locator+Remote+Kit&amp;qid=1694735261&amp;sr=8-1")</f>
        <v/>
      </c>
      <c r="F7542" t="inlineStr">
        <is>
          <t>B08BDBB983</t>
        </is>
      </c>
      <c r="G7542">
        <f>_xlfn.IMAGE("https://edmondsonsupply.com/cdn/shop/products/vdv501852_c.jpg?v=1633030670")</f>
        <v/>
      </c>
      <c r="H7542">
        <f>_xlfn.IMAGE("https://m.media-amazon.com/images/I/71gnTWvAMkL._AC_UY218_.jpg")</f>
        <v/>
      </c>
      <c r="K7542" t="inlineStr">
        <is>
          <t>184.99</t>
        </is>
      </c>
      <c r="L7542" t="n">
        <v>82</v>
      </c>
      <c r="M7542" s="1" t="inlineStr">
        <is>
          <t>-55.67%</t>
        </is>
      </c>
      <c r="N7542" s="7" t="n"/>
      <c r="O7542" t="n">
        <v>4.7</v>
      </c>
      <c r="P7542" t="n">
        <v>2175</v>
      </c>
      <c r="R7542" t="inlineStr">
        <is>
          <t>InStock</t>
        </is>
      </c>
      <c r="S7542" t="inlineStr">
        <is>
          <t>279.46</t>
        </is>
      </c>
      <c r="T7542" t="inlineStr">
        <is>
          <t>5799776157864</t>
        </is>
      </c>
    </row>
    <row r="7543" ht="87" customHeight="1">
      <c r="A7543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43" s="2">
        <f>HYPERLINK("https://edmondsonsupply.com/products/klein-tools-rt310-afci-gfci-outlet-tester", "https://edmondsonsupply.com/products/klein-tools-rt310-afci-gfci-outlet-tester")</f>
        <v/>
      </c>
      <c r="C7543" t="inlineStr">
        <is>
          <t>Klein Tools RT310 AFCI / GFCI Outlet Tester</t>
        </is>
      </c>
      <c r="D7543" t="inlineStr">
        <is>
          <t>Case Compatible with Klein ET310 Tool AC Circuit Breaker Finder and RT250, Electrical Tools Bag Storage Organizer with Zipper Mesh Pocket for Integrated GFCI Outlet Tester and Accessories (Box Only))</t>
        </is>
      </c>
      <c r="E7543" s="2">
        <f>HYPERLINK("https://www.amazon.com/Compatible-Electrical-Organizer-Integrated-Accessories/dp/B09R52V36X/ref=sr_1_34?keywords=Klein+Tools+RT310+AFCI+%2F+GFCI+Outlet+Tester&amp;qid=1694734989&amp;sr=8-34", "https://www.amazon.com/Compatible-Electrical-Organizer-Integrated-Accessories/dp/B09R52V36X/ref=sr_1_34?keywords=Klein+Tools+RT310+AFCI+%2F+GFCI+Outlet+Tester&amp;qid=1694734989&amp;sr=8-34")</f>
        <v/>
      </c>
      <c r="F7543" t="inlineStr">
        <is>
          <t>B09R52V36X</t>
        </is>
      </c>
      <c r="G7543">
        <f>_xlfn.IMAGE("https://edmondsonsupply.com/cdn/shop/products/rt310.jpg?v=1587148552")</f>
        <v/>
      </c>
      <c r="H7543">
        <f>_xlfn.IMAGE("https://m.media-amazon.com/images/I/71kPdCva37L._AC_UL320_.jpg")</f>
        <v/>
      </c>
      <c r="K7543" t="inlineStr">
        <is>
          <t>39.97</t>
        </is>
      </c>
      <c r="L7543" t="n">
        <v>17.68</v>
      </c>
      <c r="M7543" s="1" t="inlineStr">
        <is>
          <t>-55.77%</t>
        </is>
      </c>
      <c r="N7543" s="7" t="n"/>
      <c r="O7543" t="n">
        <v>4.2</v>
      </c>
      <c r="P7543" t="n">
        <v>92</v>
      </c>
      <c r="R7543" t="inlineStr">
        <is>
          <t>InStock</t>
        </is>
      </c>
      <c r="S7543" t="inlineStr">
        <is>
          <t>57.9</t>
        </is>
      </c>
      <c r="T7543" t="inlineStr">
        <is>
          <t>3372527779940</t>
        </is>
      </c>
    </row>
    <row r="7544" hidden="1" ht="15.75" customHeight="1">
      <c r="A7544" s="2">
        <f>HYPERLINK("https://edmondsonsupply.com/collections/electricians-tools/products/klein-tools-31852-carbide-hole-cutter-7-8-inch", "https://edmondsonsupply.com/collections/electricians-tools/products/klein-tools-31852-carbide-hole-cutter-7-8-inch")</f>
        <v/>
      </c>
      <c r="B7544" s="2">
        <f>HYPERLINK("https://edmondsonsupply.com/products/klein-tools-31852-carbide-hole-cutter-7-8-inch", "https://edmondsonsupply.com/products/klein-tools-31852-carbide-hole-cutter-7-8-inch")</f>
        <v/>
      </c>
      <c r="C7544" t="inlineStr">
        <is>
          <t>Klein Tools 31852 Carbide Hole Cutter, 7/8-Inch</t>
        </is>
      </c>
      <c r="D7544" t="inlineStr">
        <is>
          <t>Jerax tools Tungsten Carbide Tipped Hole Cutter, Heavey Duty Hole Saw 7/8inch for Stainless Steel, Mild Steel, Iron, Copper, Brass, Plastic</t>
        </is>
      </c>
      <c r="E7544" s="2">
        <f>HYPERLINK("https://www.amazon.com/Jerax-tools-Carbide-Stainless-Plastic/dp/B0BKPRDZ76/ref=sr_1_12?keywords=Klein+Tools+31852+Carbide+Hole+Cutter%2C+7%2F8-Inch&amp;qid=1694735225&amp;sr=8-12", "https://www.amazon.com/Jerax-tools-Carbide-Stainless-Plastic/dp/B0BKPRDZ76/ref=sr_1_12?keywords=Klein+Tools+31852+Carbide+Hole+Cutter%2C+7%2F8-Inch&amp;qid=1694735225&amp;sr=8-12")</f>
        <v/>
      </c>
      <c r="F7544" t="inlineStr">
        <is>
          <t>B0BKPRDZ76</t>
        </is>
      </c>
      <c r="G7544">
        <f>_xludf.IMAGE("https://edmondsonsupply.com/cdn/shop/products/31852.jpg?v=1633030927")</f>
        <v/>
      </c>
      <c r="H7544">
        <f>_xludf.IMAGE("https://m.media-amazon.com/images/I/51UNwTPTYTL._AC_UL320_.jpg")</f>
        <v/>
      </c>
      <c r="K7544" t="inlineStr">
        <is>
          <t>33.99</t>
        </is>
      </c>
      <c r="L7544" t="n">
        <v>14.99</v>
      </c>
      <c r="M7544" s="1" t="inlineStr">
        <is>
          <t>-55.90%</t>
        </is>
      </c>
      <c r="N7544" s="1" t="n"/>
      <c r="O7544" t="n">
        <v>5</v>
      </c>
      <c r="P7544" t="n">
        <v>1</v>
      </c>
      <c r="R7544" t="inlineStr">
        <is>
          <t>InStock</t>
        </is>
      </c>
      <c r="S7544" t="inlineStr">
        <is>
          <t>46.18</t>
        </is>
      </c>
      <c r="T7544" t="inlineStr">
        <is>
          <t>6545927274669</t>
        </is>
      </c>
    </row>
    <row r="7545" ht="87" customHeight="1">
      <c r="A7545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545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545" t="inlineStr">
        <is>
          <t>Diablo Tools DMAMX1230 1 in. x 24 in. x 29 in. Rebar Demon™ SDS-Max 4-Cutter Full Carbide Head Hammer Bit</t>
        </is>
      </c>
      <c r="D7545" t="inlineStr">
        <is>
          <t>Diablo by Freud DMAMX1040 1/2 in. x 24 in. x 29 in. Rebar Demon™ SDS-Max 4-Cutter Full Carbide Head</t>
        </is>
      </c>
      <c r="E7545" s="2">
        <f>HYPERLINK("https://www.amazon.com/Diablo-SDS-Max-4-Cutter-Carbide-Hammer/dp/B089LG76YL/ref=sr_1_2?keywords=Diablo+Tools+DMAMX1230+1+in.+x+24+in.+x+29+in.+Rebar+Demon%E2%84%A2+SDS-Max+4-Cutter+Full+Carbide+Head+Hammer+Bit&amp;qid=1694735297&amp;sr=8-2", "https://www.amazon.com/Diablo-SDS-Max-4-Cutter-Carbide-Hammer/dp/B089LG76YL/ref=sr_1_2?keywords=Diablo+Tools+DMAMX1230+1+in.+x+24+in.+x+29+in.+Rebar+Demon%E2%84%A2+SDS-Max+4-Cutter+Full+Carbide+Head+Hammer+Bit&amp;qid=1694735297&amp;sr=8-2")</f>
        <v/>
      </c>
      <c r="F7545" t="inlineStr">
        <is>
          <t>B089LG76YL</t>
        </is>
      </c>
      <c r="G7545">
        <f>_xlfn.IMAGE("https://edmondsonsupply.com/cdn/shop/products/DMAMX1230_1.jpg?v=1633030364")</f>
        <v/>
      </c>
      <c r="H7545">
        <f>_xlfn.IMAGE("https://m.media-amazon.com/images/I/61Q8G2EXOxL._AC_UL320_.jpg")</f>
        <v/>
      </c>
      <c r="K7545" t="inlineStr">
        <is>
          <t>124.97</t>
        </is>
      </c>
      <c r="L7545" t="n">
        <v>55</v>
      </c>
      <c r="M7545" s="1" t="inlineStr">
        <is>
          <t>-55.99%</t>
        </is>
      </c>
      <c r="N7545" s="7" t="n"/>
      <c r="O7545" t="n">
        <v>5</v>
      </c>
      <c r="P7545" t="n">
        <v>9</v>
      </c>
      <c r="R7545" t="inlineStr">
        <is>
          <t>InStock</t>
        </is>
      </c>
      <c r="S7545" t="inlineStr">
        <is>
          <t>152.89</t>
        </is>
      </c>
      <c r="T7545" t="inlineStr">
        <is>
          <t>5289176072360</t>
        </is>
      </c>
    </row>
    <row r="7546" ht="87" customHeight="1">
      <c r="A7546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546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546" t="inlineStr">
        <is>
          <t>Klein Tools 32288 8-in-1 Insulated Interchangeable Screwdriver Set</t>
        </is>
      </c>
      <c r="D7546" t="inlineStr">
        <is>
          <t>Klein Tools 80027 Screwdriver Set, 11-in-1 Multi-bit Screwdriver, 6-in-1 Stubby Screwdriver, Phillips, Slotted, Square, Torx Bits, 2-Piece</t>
        </is>
      </c>
      <c r="E7546" s="2">
        <f>HYPERLINK("https://www.amazon.com/Screwdriver-Multi-bit-Klein-Tools-80027/dp/B0912BW9HP/ref=sr_1_23?keywords=Klein+Tools+32288+8-in-1+Insulated+Interchangeable+Screwdriver+Set&amp;qid=1694734974&amp;sr=8-23", "https://www.amazon.com/Screwdriver-Multi-bit-Klein-Tools-80027/dp/B0912BW9HP/ref=sr_1_23?keywords=Klein+Tools+32288+8-in-1+Insulated+Interchangeable+Screwdriver+Set&amp;qid=1694734974&amp;sr=8-23")</f>
        <v/>
      </c>
      <c r="F7546" t="inlineStr">
        <is>
          <t>B0912BW9HP</t>
        </is>
      </c>
      <c r="G7546">
        <f>_xlfn.IMAGE("https://edmondsonsupply.com/cdn/shop/products/32288.jpg?v=1587146849")</f>
        <v/>
      </c>
      <c r="H7546">
        <f>_xlfn.IMAGE("https://m.media-amazon.com/images/I/51-QRUty7rL._AC_UL320_.jpg")</f>
        <v/>
      </c>
      <c r="K7546" t="inlineStr">
        <is>
          <t>49.99</t>
        </is>
      </c>
      <c r="L7546" t="n">
        <v>21.99</v>
      </c>
      <c r="M7546" s="1" t="inlineStr">
        <is>
          <t>-56.01%</t>
        </is>
      </c>
      <c r="N7546" s="7" t="n"/>
      <c r="O7546" t="n">
        <v>4.8</v>
      </c>
      <c r="P7546" t="n">
        <v>13254</v>
      </c>
      <c r="R7546" t="inlineStr">
        <is>
          <t>InStock</t>
        </is>
      </c>
      <c r="S7546" t="inlineStr">
        <is>
          <t>69.98</t>
        </is>
      </c>
      <c r="T7546" t="inlineStr">
        <is>
          <t>4094849613924</t>
        </is>
      </c>
    </row>
    <row r="7547" hidden="1" ht="15.75" customHeight="1">
      <c r="A7547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547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547" t="inlineStr">
        <is>
          <t>Klein Tools JTH9E17 1/2-Inch Hex Key with Journeyman T-Handle, 9-Inch</t>
        </is>
      </c>
      <c r="D7547" t="inlineStr">
        <is>
          <t>Klein Tools JTH6E13BE 1/4-Inch Ball End Hex Key with Journeyman T-Handle, 6-Inch</t>
        </is>
      </c>
      <c r="E7547" s="2">
        <f>HYPERLINK("https://www.amazon.com/Journeyman-T-Handle-Klein-Tools-JTH6E13BE/dp/B004QW52YW/ref=sr_1_13?keywords=Klein+Tools+JTH9E17+1%2F2-Inch+Hex+Key+with+Journeyman+T-Handle%2C+9-Inch&amp;qid=1694735337&amp;sr=8-13", "https://www.amazon.com/Journeyman-T-Handle-Klein-Tools-JTH6E13BE/dp/B004QW52YW/ref=sr_1_13?keywords=Klein+Tools+JTH9E17+1%2F2-Inch+Hex+Key+with+Journeyman+T-Handle%2C+9-Inch&amp;qid=1694735337&amp;sr=8-13")</f>
        <v/>
      </c>
      <c r="F7547" t="inlineStr">
        <is>
          <t>B004QW52YW</t>
        </is>
      </c>
      <c r="G7547">
        <f>_xludf.IMAGE("https://edmondsonsupply.com/cdn/shop/products/jth9e12_c458fab1-bd79-4a70-ae62-7e6646bd3d84.jpg?v=1587146369")</f>
        <v/>
      </c>
      <c r="H7547">
        <f>_xludf.IMAGE("https://m.media-amazon.com/images/I/51f9vBFVXgL._AC_UL320_.jpg")</f>
        <v/>
      </c>
      <c r="K7547" t="inlineStr">
        <is>
          <t>23.99</t>
        </is>
      </c>
      <c r="L7547" t="n">
        <v>10.55</v>
      </c>
      <c r="M7547" s="1" t="inlineStr">
        <is>
          <t>-56.02%</t>
        </is>
      </c>
      <c r="N7547" s="1" t="n"/>
      <c r="O7547" t="n">
        <v>4.7</v>
      </c>
      <c r="P7547" t="n">
        <v>32</v>
      </c>
      <c r="R7547" t="inlineStr">
        <is>
          <t>InStock</t>
        </is>
      </c>
      <c r="S7547" t="inlineStr">
        <is>
          <t>36.36</t>
        </is>
      </c>
      <c r="T7547" t="inlineStr">
        <is>
          <t>4505575981156</t>
        </is>
      </c>
    </row>
    <row r="7548" ht="87" customHeight="1">
      <c r="A7548" s="2">
        <f>HYPERLINK("https://edmondsonsupply.com/collections/electricians-tools/products/klein-tools-9416r-1000v-insulated-tool-kit-3-piece", "https://edmondsonsupply.com/collections/electricians-tools/products/klein-tools-9416r-1000v-insulated-tool-kit-3-piece")</f>
        <v/>
      </c>
      <c r="B7548" s="2">
        <f>HYPERLINK("https://edmondsonsupply.com/products/klein-tools-9416r-1000v-insulated-tool-kit-3-piece", "https://edmondsonsupply.com/products/klein-tools-9416r-1000v-insulated-tool-kit-3-piece")</f>
        <v/>
      </c>
      <c r="C7548" t="inlineStr">
        <is>
          <t>Klein Tools 9416R 1000V Insulated Tool Kit, 3-Piece</t>
        </is>
      </c>
      <c r="D7548" t="inlineStr">
        <is>
          <t>Klein Tools 33734INS 1000V Slim Tip Insulated Screwdriver Set, Phillips, Cabinet, Square Slim-Tip, Cushion Grip Handle, 4-Piece</t>
        </is>
      </c>
      <c r="E7548" s="2">
        <f>HYPERLINK("https://www.amazon.com/Klein-Tools-33734INS-Insulated-Screwdriver/dp/B088NQ1D2B/ref=sr_1_14?keywords=Klein+Tools+9416R+1000V+Insulated+Tool+Kit%2C+3-Piece&amp;qid=1694735088&amp;sr=8-14", "https://www.amazon.com/Klein-Tools-33734INS-Insulated-Screwdriver/dp/B088NQ1D2B/ref=sr_1_14?keywords=Klein+Tools+9416R+1000V+Insulated+Tool+Kit%2C+3-Piece&amp;qid=1694735088&amp;sr=8-14")</f>
        <v/>
      </c>
      <c r="F7548" t="inlineStr">
        <is>
          <t>B088NQ1D2B</t>
        </is>
      </c>
      <c r="G7548">
        <f>_xlfn.IMAGE("https://edmondsonsupply.com/cdn/shop/products/9416r.jpg?v=1667327475")</f>
        <v/>
      </c>
      <c r="H7548">
        <f>_xlfn.IMAGE("https://m.media-amazon.com/images/I/41+LCtq0IpL._AC_UL320_.jpg")</f>
        <v/>
      </c>
      <c r="K7548" t="inlineStr">
        <is>
          <t>84.99</t>
        </is>
      </c>
      <c r="L7548" t="n">
        <v>37.37</v>
      </c>
      <c r="M7548" s="1" t="inlineStr">
        <is>
          <t>-56.03%</t>
        </is>
      </c>
      <c r="N7548" s="7" t="n"/>
      <c r="O7548" t="n">
        <v>4.8</v>
      </c>
      <c r="P7548" t="n">
        <v>1358</v>
      </c>
      <c r="R7548" t="inlineStr">
        <is>
          <t>InStock</t>
        </is>
      </c>
      <c r="S7548" t="inlineStr">
        <is>
          <t>127.48</t>
        </is>
      </c>
      <c r="T7548" t="inlineStr">
        <is>
          <t>7872648347864</t>
        </is>
      </c>
    </row>
    <row r="7549" ht="87" customHeight="1">
      <c r="A7549" s="2">
        <f>HYPERLINK("https://edmondsonsupply.com/collections/electricians-tools/products/tajima-gs-25-7-5mbw-gs-lock%E2%84%A2-standard-metric-scale-25-ft-7-5-m-x-1-1-16-in-27mm-steel-blade-tape-measure", "https://edmondsonsupply.com/collections/electricians-tools/products/tajima-gs-25-7-5mbw-gs-lock%E2%84%A2-standard-metric-scale-25-ft-7-5-m-x-1-1-16-in-27mm-steel-blade-tape-measure")</f>
        <v/>
      </c>
      <c r="B7549" s="2">
        <f>HYPERLINK("https://edmondsonsupply.com/products/tajima-gs-25-7-5mbw-gs-lock%e2%84%a2-standard-metric-scale-25-ft-7-5-m-x-1-1-16-in-27mm-steel-blade-tape-measure", "https://edmondsonsupply.com/products/tajima-gs-25-7-5mbw-gs-lock%e2%84%a2-standard-metric-scale-25-ft-7-5-m-x-1-1-16-in-27mm-steel-blade-tape-measure")</f>
        <v/>
      </c>
      <c r="C7549" t="inlineStr">
        <is>
          <t>Tajima GS-25/7.5MBW GS Lock™ Standard &amp; Metric Scale, 25 ft/ 7.5 m x 1-1/16 in./27mm Steel Blade Tape Measure</t>
        </is>
      </c>
      <c r="D7549" t="inlineStr">
        <is>
          <t>TAJIMA Tape Measure - 25 ft / 7.5 m x 1 inch Hi-Lock Measuring Tape with Dual Metric/Standard Scale &amp; Acrylic Coated Blade - HL-25/7.5MBW</t>
        </is>
      </c>
      <c r="E7549" s="2">
        <f>HYPERLINK("https://www.amazon.com/TAJIMA-Tape-Measure-Measuring-Standard/dp/B0036ZIATE/ref=sr_1_2?keywords=Tajima+GS-25%2F7.5MBW+GS+Lock%E2%84%A2+Standard+%26+Metric+Scale%2C+25+ft%2F+7.5+m+x+1-1%2F16+in.%2F27mm+Steel+Blade+Tape+Measure&amp;qid=1694735146&amp;sr=8-2", "https://www.amazon.com/TAJIMA-Tape-Measure-Measuring-Standard/dp/B0036ZIATE/ref=sr_1_2?keywords=Tajima+GS-25%2F7.5MBW+GS+Lock%E2%84%A2+Standard+%26+Metric+Scale%2C+25+ft%2F+7.5+m+x+1-1%2F16+in.%2F27mm+Steel+Blade+Tape+Measure&amp;qid=1694735146&amp;sr=8-2")</f>
        <v/>
      </c>
      <c r="F7549" t="inlineStr">
        <is>
          <t>B0036ZIATE</t>
        </is>
      </c>
      <c r="G7549">
        <f>_xlfn.IMAGE("https://edmondsonsupply.com/cdn/shop/products/GS25-7.5MBW.jpg?v=1655830265")</f>
        <v/>
      </c>
      <c r="H7549">
        <f>_xlfn.IMAGE("https://m.media-amazon.com/images/I/8179sDJShCL._AC_UL320_.jpg")</f>
        <v/>
      </c>
      <c r="K7549" t="inlineStr">
        <is>
          <t>42.19</t>
        </is>
      </c>
      <c r="L7549" t="n">
        <v>18.55</v>
      </c>
      <c r="M7549" s="1" t="inlineStr">
        <is>
          <t>-56.03%</t>
        </is>
      </c>
      <c r="N7549" s="7" t="n"/>
      <c r="O7549" t="n">
        <v>4.7</v>
      </c>
      <c r="P7549" t="n">
        <v>137</v>
      </c>
      <c r="R7549" t="inlineStr">
        <is>
          <t>InStock</t>
        </is>
      </c>
      <c r="S7549" t="inlineStr">
        <is>
          <t>undefined</t>
        </is>
      </c>
      <c r="T7549" t="inlineStr">
        <is>
          <t>7726372552920</t>
        </is>
      </c>
    </row>
    <row r="7550" ht="87" customHeight="1">
      <c r="A7550" s="2">
        <f>HYPERLINK("https://edmondsonsupply.com/collections/electricians-tools/products/fluke-80ak-a-thermocouple-adapter-type-k", "https://edmondsonsupply.com/collections/electricians-tools/products/fluke-80ak-a-thermocouple-adapter-type-k")</f>
        <v/>
      </c>
      <c r="B7550" s="2">
        <f>HYPERLINK("https://edmondsonsupply.com/products/fluke-80ak-a-thermocouple-adapter-type-k", "https://edmondsonsupply.com/products/fluke-80ak-a-thermocouple-adapter-type-k")</f>
        <v/>
      </c>
      <c r="C7550" t="inlineStr">
        <is>
          <t>Fluke 80AK-A Thermocouple Adapter, Type K</t>
        </is>
      </c>
      <c r="D7550" t="inlineStr">
        <is>
          <t>80BK-A Type K Thermocouple, Temperature Bead Probe, Clamp - Multimeter for Fluke</t>
        </is>
      </c>
      <c r="E7550" s="2">
        <f>HYPERLINK("https://www.amazon.com/80BK-Thermocouple-Temperature-Probe-Clamp/dp/B09Q926Y72/ref=sr_1_7?keywords=Fluke+80AK-A+Thermocouple+Adapter%2C+Type+K&amp;qid=1694735126&amp;sr=8-7", "https://www.amazon.com/80BK-Thermocouple-Temperature-Probe-Clamp/dp/B09Q926Y72/ref=sr_1_7?keywords=Fluke+80AK-A+Thermocouple+Adapter%2C+Type+K&amp;qid=1694735126&amp;sr=8-7")</f>
        <v/>
      </c>
      <c r="F7550" t="inlineStr">
        <is>
          <t>B09Q926Y72</t>
        </is>
      </c>
      <c r="G7550">
        <f>_xlfn.IMAGE("https://edmondsonsupply.com/cdn/shop/products/f-80ak-a_01a_h-1500x1000.webp?v=1662642921")</f>
        <v/>
      </c>
      <c r="H7550">
        <f>_xlfn.IMAGE("https://m.media-amazon.com/images/I/61KQc8gbGxL._AC_UY218_.jpg")</f>
        <v/>
      </c>
      <c r="K7550" t="inlineStr">
        <is>
          <t>39.99</t>
        </is>
      </c>
      <c r="L7550" t="n">
        <v>17.58</v>
      </c>
      <c r="M7550" s="1" t="inlineStr">
        <is>
          <t>-56.04%</t>
        </is>
      </c>
      <c r="N7550" s="7" t="n"/>
      <c r="O7550" t="n">
        <v>4.3</v>
      </c>
      <c r="P7550" t="n">
        <v>6</v>
      </c>
      <c r="R7550" t="inlineStr">
        <is>
          <t>InStock</t>
        </is>
      </c>
      <c r="S7550" t="inlineStr">
        <is>
          <t>42.99</t>
        </is>
      </c>
      <c r="T7550" t="inlineStr">
        <is>
          <t>7808997687512</t>
        </is>
      </c>
    </row>
    <row r="7551" ht="87" customHeight="1">
      <c r="A7551" s="2">
        <f>HYPERLINK("https://edmondsonsupply.com/collections/electricians-tools/products/fluke-80ak-a-thermocouple-adapter-type-k", "https://edmondsonsupply.com/collections/electricians-tools/products/fluke-80ak-a-thermocouple-adapter-type-k")</f>
        <v/>
      </c>
      <c r="B7551" s="2">
        <f>HYPERLINK("https://edmondsonsupply.com/products/fluke-80ak-a-thermocouple-adapter-type-k", "https://edmondsonsupply.com/products/fluke-80ak-a-thermocouple-adapter-type-k")</f>
        <v/>
      </c>
      <c r="C7551" t="inlineStr">
        <is>
          <t>Fluke 80AK-A Thermocouple Adapter, Type K</t>
        </is>
      </c>
      <c r="D7551" t="inlineStr">
        <is>
          <t>80BK-A Type K Thermocouple, Temperature Bead Probe, Clamp - Multimeter Compatible with for Fluke F17B+,F116C,F87-V,F28LL,F179,F287,F289,F189</t>
        </is>
      </c>
      <c r="E7551" s="2">
        <f>HYPERLINK("https://www.amazon.com/Thermocouple-Temperature-Probe-Clamp-80BK/dp/B09P4ZY2QZ/ref=sr_1_5?keywords=Fluke+80AK-A+Thermocouple+Adapter%2C+Type+K&amp;qid=1694735126&amp;sr=8-5", "https://www.amazon.com/Thermocouple-Temperature-Probe-Clamp-80BK/dp/B09P4ZY2QZ/ref=sr_1_5?keywords=Fluke+80AK-A+Thermocouple+Adapter%2C+Type+K&amp;qid=1694735126&amp;sr=8-5")</f>
        <v/>
      </c>
      <c r="F7551" t="inlineStr">
        <is>
          <t>B09P4ZY2QZ</t>
        </is>
      </c>
      <c r="G7551">
        <f>_xlfn.IMAGE("https://edmondsonsupply.com/cdn/shop/products/f-80ak-a_01a_h-1500x1000.webp?v=1662642921")</f>
        <v/>
      </c>
      <c r="H7551">
        <f>_xlfn.IMAGE("https://m.media-amazon.com/images/I/61W04cxOQhL._AC_UY218_.jpg")</f>
        <v/>
      </c>
      <c r="K7551" t="inlineStr">
        <is>
          <t>39.99</t>
        </is>
      </c>
      <c r="L7551" t="n">
        <v>17.58</v>
      </c>
      <c r="M7551" s="1" t="inlineStr">
        <is>
          <t>-56.04%</t>
        </is>
      </c>
      <c r="N7551" s="7" t="n"/>
      <c r="O7551" t="n">
        <v>4.7</v>
      </c>
      <c r="P7551" t="n">
        <v>28</v>
      </c>
      <c r="R7551" t="inlineStr">
        <is>
          <t>InStock</t>
        </is>
      </c>
      <c r="S7551" t="inlineStr">
        <is>
          <t>42.99</t>
        </is>
      </c>
      <c r="T7551" t="inlineStr">
        <is>
          <t>7808997687512</t>
        </is>
      </c>
    </row>
    <row r="7552" ht="87" customHeight="1">
      <c r="A7552" s="2">
        <f>HYPERLINK("https://edmondsonsupply.com/collections/electricians-tools/products/fluke-80ak-a-thermocouple-adapter-type-k", "https://edmondsonsupply.com/collections/electricians-tools/products/fluke-80ak-a-thermocouple-adapter-type-k")</f>
        <v/>
      </c>
      <c r="B7552" s="2">
        <f>HYPERLINK("https://edmondsonsupply.com/products/fluke-80ak-a-thermocouple-adapter-type-k", "https://edmondsonsupply.com/products/fluke-80ak-a-thermocouple-adapter-type-k")</f>
        <v/>
      </c>
      <c r="C7552" t="inlineStr">
        <is>
          <t>Fluke 80AK-A Thermocouple Adapter, Type K</t>
        </is>
      </c>
      <c r="D7552" t="inlineStr">
        <is>
          <t>80BK-A Type K Thermocouple, Temperature Bead Probe, Clamp - Multimeter Compatible with for Fluke F17B+,F116C,F87-V,F28LL,F179,F287,F289,F189.</t>
        </is>
      </c>
      <c r="E7552" s="2">
        <f>HYPERLINK("https://www.amazon.com/Thermocouple-Temperature-Probe-Clamp-80BK/dp/B07JVYZST8/ref=sr_1_6?keywords=Fluke+80AK-A+Thermocouple+Adapter%2C+Type+K&amp;qid=1694735126&amp;sr=8-6", "https://www.amazon.com/Thermocouple-Temperature-Probe-Clamp-80BK/dp/B07JVYZST8/ref=sr_1_6?keywords=Fluke+80AK-A+Thermocouple+Adapter%2C+Type+K&amp;qid=1694735126&amp;sr=8-6")</f>
        <v/>
      </c>
      <c r="F7552" t="inlineStr">
        <is>
          <t>B07JVYZST8</t>
        </is>
      </c>
      <c r="G7552">
        <f>_xlfn.IMAGE("https://edmondsonsupply.com/cdn/shop/products/f-80ak-a_01a_h-1500x1000.webp?v=1662642921")</f>
        <v/>
      </c>
      <c r="H7552">
        <f>_xlfn.IMAGE("https://m.media-amazon.com/images/I/51hF6ZaqGWL._AC_UY218_.jpg")</f>
        <v/>
      </c>
      <c r="K7552" t="inlineStr">
        <is>
          <t>39.99</t>
        </is>
      </c>
      <c r="L7552" t="n">
        <v>17.58</v>
      </c>
      <c r="M7552" s="1" t="inlineStr">
        <is>
          <t>-56.04%</t>
        </is>
      </c>
      <c r="N7552" s="7" t="n"/>
      <c r="O7552" t="n">
        <v>4.5</v>
      </c>
      <c r="P7552" t="n">
        <v>213</v>
      </c>
      <c r="R7552" t="inlineStr">
        <is>
          <t>InStock</t>
        </is>
      </c>
      <c r="S7552" t="inlineStr">
        <is>
          <t>42.99</t>
        </is>
      </c>
      <c r="T7552" t="inlineStr">
        <is>
          <t>7808997687512</t>
        </is>
      </c>
    </row>
    <row r="7553" ht="87" customHeight="1">
      <c r="A7553" s="2">
        <f>HYPERLINK("https://edmondsonsupply.com/collections/electricians-tools/products/klein-tools-44005c-hawkbill-lockback-knife-with-clip", "https://edmondsonsupply.com/collections/electricians-tools/products/klein-tools-44005c-hawkbill-lockback-knife-with-clip")</f>
        <v/>
      </c>
      <c r="B7553" s="2">
        <f>HYPERLINK("https://edmondsonsupply.com/products/klein-tools-44005c-hawkbill-lockback-knife-with-clip", "https://edmondsonsupply.com/products/klein-tools-44005c-hawkbill-lockback-knife-with-clip")</f>
        <v/>
      </c>
      <c r="C7553" t="inlineStr">
        <is>
          <t>Klein Tools 44005C Hawkbill Lockback Knife with Clip</t>
        </is>
      </c>
      <c r="D7553" t="inlineStr">
        <is>
          <t>Klein Tools 44218 Utility Knife, Lockback Electricians Knife and Folding Knife with Hawkbill Blade for Cable Skinning, Replaceable Blade</t>
        </is>
      </c>
      <c r="E7553" s="2">
        <f>HYPERLINK("https://www.amazon.com/Replaceable-Mechanism-Klein-Tools-44218/dp/B071YR1Q2L/ref=sr_1_3?keywords=Klein+Tools+44005C+Hawkbill+Lockback+Knife+with+Clip&amp;qid=1694735105&amp;sr=8-3", "https://www.amazon.com/Replaceable-Mechanism-Klein-Tools-44218/dp/B071YR1Q2L/ref=sr_1_3?keywords=Klein+Tools+44005C+Hawkbill+Lockback+Knife+with+Clip&amp;qid=1694735105&amp;sr=8-3")</f>
        <v/>
      </c>
      <c r="F7553" t="inlineStr">
        <is>
          <t>B071YR1Q2L</t>
        </is>
      </c>
      <c r="G7553">
        <f>_xlfn.IMAGE("https://edmondsonsupply.com/cdn/shop/products/44005c.jpg?v=1664810854")</f>
        <v/>
      </c>
      <c r="H7553">
        <f>_xlfn.IMAGE("https://m.media-amazon.com/images/I/41ToQfPYPnL._AC_UL320_.jpg")</f>
        <v/>
      </c>
      <c r="K7553" t="inlineStr">
        <is>
          <t>49.99</t>
        </is>
      </c>
      <c r="L7553" t="n">
        <v>21.97</v>
      </c>
      <c r="M7553" s="1" t="inlineStr">
        <is>
          <t>-56.05%</t>
        </is>
      </c>
      <c r="N7553" s="7" t="n"/>
      <c r="O7553" t="n">
        <v>4.8</v>
      </c>
      <c r="P7553" t="n">
        <v>3343</v>
      </c>
      <c r="R7553" t="inlineStr">
        <is>
          <t>InStock</t>
        </is>
      </c>
      <c r="S7553" t="inlineStr">
        <is>
          <t>71.24</t>
        </is>
      </c>
      <c r="T7553" t="inlineStr">
        <is>
          <t>7837679616216</t>
        </is>
      </c>
    </row>
    <row r="7554" ht="87" customHeight="1">
      <c r="A7554" s="2">
        <f>HYPERLINK("https://edmondsonsupply.com/collections/electricians-tools/products/klein-tools-56056-multi-groove-fiberglass-fish-tape-200-foot", "https://edmondsonsupply.com/collections/electricians-tools/products/klein-tools-56056-multi-groove-fiberglass-fish-tape-200-foot")</f>
        <v/>
      </c>
      <c r="B7554" s="2">
        <f>HYPERLINK("https://edmondsonsupply.com/products/klein-tools-56056-multi-groove-fiberglass-fish-tape-200-foot", "https://edmondsonsupply.com/products/klein-tools-56056-multi-groove-fiberglass-fish-tape-200-foot")</f>
        <v/>
      </c>
      <c r="C7554" t="inlineStr">
        <is>
          <t>Klein Tools 56056 Multi-Groove Fiberglass Fish Tape 200-Foot</t>
        </is>
      </c>
      <c r="D7554" t="inlineStr">
        <is>
          <t>Klein Tools 56382 Non-Conductive Electrical Fish Tape, Multi-Groove Fiberglass Wire Puller, Optimized Housing and Handle, 50-Foot x 3/16-Inch</t>
        </is>
      </c>
      <c r="E7554" s="2">
        <f>HYPERLINK("https://www.amazon.com/Klein-Tools-56382-Multi-Groove-Fiberglass/dp/B081ZTKDLJ/ref=sr_1_6?keywords=Klein+Tools+56056+Multi-Groove+Fiberglass+Fish+Tape+200-Foot&amp;qid=1694735387&amp;sr=8-6", "https://www.amazon.com/Klein-Tools-56382-Multi-Groove-Fiberglass/dp/B081ZTKDLJ/ref=sr_1_6?keywords=Klein+Tools+56056+Multi-Groove+Fiberglass+Fish+Tape+200-Foot&amp;qid=1694735387&amp;sr=8-6")</f>
        <v/>
      </c>
      <c r="F7554" t="inlineStr">
        <is>
          <t>B081ZTKDLJ</t>
        </is>
      </c>
      <c r="G7554">
        <f>_xlfn.IMAGE("https://edmondsonsupply.com/cdn/shop/products/56056.jpg?v=1587149776")</f>
        <v/>
      </c>
      <c r="H7554">
        <f>_xlfn.IMAGE("https://m.media-amazon.com/images/I/51ObZVU2LaL._AC_UL320_.jpg")</f>
        <v/>
      </c>
      <c r="K7554" t="inlineStr">
        <is>
          <t>204.99</t>
        </is>
      </c>
      <c r="L7554" t="n">
        <v>89.98999999999999</v>
      </c>
      <c r="M7554" s="1" t="inlineStr">
        <is>
          <t>-56.10%</t>
        </is>
      </c>
      <c r="N7554" s="7" t="n"/>
      <c r="O7554" t="n">
        <v>4.4</v>
      </c>
      <c r="P7554" t="n">
        <v>100</v>
      </c>
      <c r="R7554" t="inlineStr">
        <is>
          <t>InStock</t>
        </is>
      </c>
      <c r="S7554" t="inlineStr">
        <is>
          <t>310.6</t>
        </is>
      </c>
      <c r="T7554" t="inlineStr">
        <is>
          <t>4411121533028</t>
        </is>
      </c>
    </row>
    <row r="7555" ht="87" customHeight="1">
      <c r="A7555" s="2">
        <f>HYPERLINK("https://edmondsonsupply.com/collections/electricians-tools/products/milwaukee-48-03-3010-carbide-bit-spline-to-sds-max-adapter", "https://edmondsonsupply.com/collections/electricians-tools/products/milwaukee-48-03-3010-carbide-bit-spline-to-sds-max-adapter")</f>
        <v/>
      </c>
      <c r="B7555" s="2">
        <f>HYPERLINK("https://edmondsonsupply.com/products/milwaukee-48-03-3010-carbide-bit-spline-to-sds-max-adapter", "https://edmondsonsupply.com/products/milwaukee-48-03-3010-carbide-bit-spline-to-sds-max-adapter")</f>
        <v/>
      </c>
      <c r="C7555" t="inlineStr">
        <is>
          <t>Milwaukee 48-03-3010 Spline to SDS-MAX Bit Adapter</t>
        </is>
      </c>
      <c r="D7555" t="inlineStr">
        <is>
          <t>Milwaukee 48-03-3565 18-Inch Spline Thick Core Bit Adapter for 1 1/2-Inch to 6-Inch Bits</t>
        </is>
      </c>
      <c r="E7555" s="2">
        <f>HYPERLINK("https://www.amazon.com/Milwaukee-48-03-3565-18-Inch-Spline-Adapter/dp/B000CSORO0/ref=sr_1_6?keywords=Milwaukee+48-03-3010+Spline+to+SDS-MAX+Bit+Adapter&amp;qid=1694735052&amp;sr=8-6", "https://www.amazon.com/Milwaukee-48-03-3565-18-Inch-Spline-Adapter/dp/B000CSORO0/ref=sr_1_6?keywords=Milwaukee+48-03-3010+Spline+to+SDS-MAX+Bit+Adapter&amp;qid=1694735052&amp;sr=8-6")</f>
        <v/>
      </c>
      <c r="F7555" t="inlineStr">
        <is>
          <t>B000CSORO0</t>
        </is>
      </c>
      <c r="G7555">
        <f>_xlfn.IMAGE("https://edmondsonsupply.com/cdn/shop/products/48-03-3010.webp?v=1674075943")</f>
        <v/>
      </c>
      <c r="H7555">
        <f>_xlfn.IMAGE("https://m.media-amazon.com/images/I/2157CNN6DQL._AC_UL320_.jpg")</f>
        <v/>
      </c>
      <c r="K7555" t="inlineStr">
        <is>
          <t>151.89</t>
        </is>
      </c>
      <c r="L7555" t="n">
        <v>66.66</v>
      </c>
      <c r="M7555" s="1" t="inlineStr">
        <is>
          <t>-56.11%</t>
        </is>
      </c>
      <c r="N7555" s="7" t="n"/>
      <c r="O7555" t="n">
        <v>5</v>
      </c>
      <c r="P7555" t="n">
        <v>2</v>
      </c>
      <c r="R7555" t="inlineStr">
        <is>
          <t>InStock</t>
        </is>
      </c>
      <c r="S7555" t="inlineStr">
        <is>
          <t>274.6</t>
        </is>
      </c>
      <c r="T7555" t="inlineStr">
        <is>
          <t>7926176383192</t>
        </is>
      </c>
    </row>
    <row r="7556" ht="87" customHeight="1">
      <c r="A7556" s="2">
        <f>HYPERLINK("https://edmondsonsupply.com/collections/electricians-tools/products/klein-tools-63060-ratcheting-cable-cutter", "https://edmondsonsupply.com/collections/electricians-tools/products/klein-tools-63060-ratcheting-cable-cutter")</f>
        <v/>
      </c>
      <c r="B7556" s="2">
        <f>HYPERLINK("https://edmondsonsupply.com/products/klein-tools-63060-ratcheting-cable-cutter", "https://edmondsonsupply.com/products/klein-tools-63060-ratcheting-cable-cutter")</f>
        <v/>
      </c>
      <c r="C7556" t="inlineStr">
        <is>
          <t>Klein Tools 63060 Ratcheting Cable Cutter</t>
        </is>
      </c>
      <c r="D7556" t="inlineStr">
        <is>
          <t>Klein Tools 13113 Replacement Moving Blade Set for 63060 (2017 Edition) Cable Cutter</t>
        </is>
      </c>
      <c r="E7556" s="2">
        <f>HYPERLINK("https://www.amazon.com/Klein-Tools-Moving-Blade-Cutter/dp/B082PKYVVZ/ref=sr_1_34?keywords=Klein+Tools+63060+Ratcheting+Cable+Cutter&amp;qid=1694735234&amp;sr=8-34", "https://www.amazon.com/Klein-Tools-Moving-Blade-Cutter/dp/B082PKYVVZ/ref=sr_1_34?keywords=Klein+Tools+63060+Ratcheting+Cable+Cutter&amp;qid=1694735234&amp;sr=8-34")</f>
        <v/>
      </c>
      <c r="F7556" t="inlineStr">
        <is>
          <t>B082PKYVVZ</t>
        </is>
      </c>
      <c r="G7556">
        <f>_xlfn.IMAGE("https://edmondsonsupply.com/cdn/shop/products/63060.jpg?v=1633030887")</f>
        <v/>
      </c>
      <c r="H7556">
        <f>_xlfn.IMAGE("https://m.media-amazon.com/images/I/61MS5vru-xL._AC_UL320_.jpg")</f>
        <v/>
      </c>
      <c r="K7556" t="inlineStr">
        <is>
          <t>199.99</t>
        </is>
      </c>
      <c r="L7556" t="n">
        <v>87.68000000000001</v>
      </c>
      <c r="M7556" s="1" t="inlineStr">
        <is>
          <t>-56.16%</t>
        </is>
      </c>
      <c r="N7556" s="7" t="n"/>
      <c r="O7556" t="n">
        <v>5</v>
      </c>
      <c r="P7556" t="n">
        <v>1</v>
      </c>
      <c r="R7556" t="inlineStr">
        <is>
          <t>InStock</t>
        </is>
      </c>
      <c r="S7556" t="inlineStr">
        <is>
          <t>349.32</t>
        </is>
      </c>
      <c r="T7556" t="inlineStr">
        <is>
          <t>6220423594157</t>
        </is>
      </c>
    </row>
    <row r="7557" ht="87" customHeight="1">
      <c r="A7557" s="2">
        <f>HYPERLINK("https://edmondsonsupply.com/collections/electricians-tools/products/diablo-tools-dmamx1040", "https://edmondsonsupply.com/collections/electricians-tools/products/diablo-tools-dmamx1040")</f>
        <v/>
      </c>
      <c r="B7557" s="2">
        <f>HYPERLINK("https://edmondsonsupply.com/products/diablo-tools-dmamx1040", "https://edmondsonsupply.com/products/diablo-tools-dmamx1040")</f>
        <v/>
      </c>
      <c r="C7557" t="inlineStr">
        <is>
          <t>Diablo Tools DMAMX1040 1/2 in. x 24 in. x 29 in. Rebar Demon SDS-Max 4-Cutter Full Carbide Head Hammer Bit</t>
        </is>
      </c>
      <c r="D7557" t="inlineStr">
        <is>
          <t>Diablo DMAMX1050 9/16 in. x 8 in. x 13 in. Rebar Demon™ SDS-Max 4-Cutter Full Carbide Head Hammer Bit</t>
        </is>
      </c>
      <c r="E7557" s="2">
        <f>HYPERLINK("https://www.amazon.com/Diablo-SDS-Max-4-Cutter-Carbide-Hammer/dp/B089LK4F2D/ref=sr_1_17?keywords=Diablo+Tools+DMAMX1040+1%2F2+in.+x+24+in.+x+29+in.+Rebar+Demon+SDS-Max+4-Cutter+Full+Carbide+Head+Hammer+Bit&amp;qid=1694735295&amp;sr=8-17", "https://www.amazon.com/Diablo-SDS-Max-4-Cutter-Carbide-Hammer/dp/B089LK4F2D/ref=sr_1_17?keywords=Diablo+Tools+DMAMX1040+1%2F2+in.+x+24+in.+x+29+in.+Rebar+Demon+SDS-Max+4-Cutter+Full+Carbide+Head+Hammer+Bit&amp;qid=1694735295&amp;sr=8-17")</f>
        <v/>
      </c>
      <c r="F7557" t="inlineStr">
        <is>
          <t>B089LK4F2D</t>
        </is>
      </c>
      <c r="G7557">
        <f>_xlfn.IMAGE("https://edmondsonsupply.com/cdn/shop/products/DMAMX1040_Main-Image20200701.png?v=1633030363")</f>
        <v/>
      </c>
      <c r="H7557">
        <f>_xlfn.IMAGE("https://m.media-amazon.com/images/I/61jYhd4-UbL._AC_UL320_.jpg")</f>
        <v/>
      </c>
      <c r="K7557" t="inlineStr">
        <is>
          <t>47.97</t>
        </is>
      </c>
      <c r="L7557" t="n">
        <v>20.99</v>
      </c>
      <c r="M7557" s="1" t="inlineStr">
        <is>
          <t>-56.24%</t>
        </is>
      </c>
      <c r="N7557" s="7" t="n"/>
      <c r="O7557" t="n">
        <v>5</v>
      </c>
      <c r="P7557" t="n">
        <v>1</v>
      </c>
      <c r="R7557" t="inlineStr">
        <is>
          <t>InStock</t>
        </is>
      </c>
      <c r="S7557" t="inlineStr">
        <is>
          <t>72.46</t>
        </is>
      </c>
      <c r="T7557" t="inlineStr">
        <is>
          <t>5289126527144</t>
        </is>
      </c>
    </row>
    <row r="7558" hidden="1" ht="15.75" customHeight="1">
      <c r="A7558" s="2">
        <f>HYPERLINK("https://edmondsonsupply.com/collections/electricians-tools/products/klein-tools-jth6e11be-3-16-inch-ball-hex-key-journeyman-t-handle-6-inch", "https://edmondsonsupply.com/collections/electricians-tools/products/klein-tools-jth6e11be-3-16-inch-ball-hex-key-journeyman-t-handle-6-inch")</f>
        <v/>
      </c>
      <c r="B7558" s="2">
        <f>HYPERLINK("https://edmondsonsupply.com/products/klein-tools-jth6e11be-3-16-inch-ball-hex-key-journeyman-t-handle-6-inch", "https://edmondsonsupply.com/products/klein-tools-jth6e11be-3-16-inch-ball-hex-key-journeyman-t-handle-6-inch")</f>
        <v/>
      </c>
      <c r="C7558" t="inlineStr">
        <is>
          <t>Klein Tools JTH6E11BE 3/16-Inch Ball Hex Key, Journeyman T-Handle 6-Inch</t>
        </is>
      </c>
      <c r="D7558" t="inlineStr">
        <is>
          <t>Klein Tools JTH6M3 3 mm Hex Key with Journeyman T-Handle, 6-Inch</t>
        </is>
      </c>
      <c r="E7558" s="2">
        <f>HYPERLINK("https://www.amazon.com/Journeyman-T-Handle-Klein-Tools-JTH6M3/dp/B005G394RG/ref=sr_1_8?keywords=Klein+Tools+JTH6E11BE+3%2F16-Inch+Ball+Hex+Key%2C+Journeyman+T-Handle+6-Inch&amp;qid=1694735233&amp;sr=8-8", "https://www.amazon.com/Journeyman-T-Handle-Klein-Tools-JTH6M3/dp/B005G394RG/ref=sr_1_8?keywords=Klein+Tools+JTH6E11BE+3%2F16-Inch+Ball+Hex+Key%2C+Journeyman+T-Handle+6-Inch&amp;qid=1694735233&amp;sr=8-8")</f>
        <v/>
      </c>
      <c r="F7558" t="inlineStr">
        <is>
          <t>B005G394RG</t>
        </is>
      </c>
      <c r="G7558">
        <f>_xludf.IMAGE("https://edmondsonsupply.com/cdn/shop/products/jth6e13be_9dba8a6a-8a07-4d76-a54f-fe57b92b3fea.jpg?v=1610659188")</f>
        <v/>
      </c>
      <c r="H7558">
        <f>_xludf.IMAGE("https://m.media-amazon.com/images/I/51+1x0vz9XL._AC_UL320_.jpg")</f>
        <v/>
      </c>
      <c r="K7558" t="inlineStr">
        <is>
          <t>9.12</t>
        </is>
      </c>
      <c r="L7558" t="n">
        <v>3.99</v>
      </c>
      <c r="M7558" s="1" t="inlineStr">
        <is>
          <t>-56.25%</t>
        </is>
      </c>
      <c r="N7558" s="1" t="n"/>
      <c r="O7558" t="n">
        <v>4.7</v>
      </c>
      <c r="P7558" t="n">
        <v>358</v>
      </c>
      <c r="R7558" t="inlineStr">
        <is>
          <t>InStock</t>
        </is>
      </c>
      <c r="S7558" t="inlineStr">
        <is>
          <t>undefined</t>
        </is>
      </c>
      <c r="T7558" t="inlineStr">
        <is>
          <t>6203917336749</t>
        </is>
      </c>
    </row>
    <row r="7559" ht="87" customHeight="1">
      <c r="A7559" s="2">
        <f>HYPERLINK("https://edmondsonsupply.com/collections/electricians-tools/products/klein-tools-2000-48-eins-diagonal-cutting-pliers-insulated-angled-head-8-inch", "https://edmondsonsupply.com/collections/electricians-tools/products/klein-tools-2000-48-eins-diagonal-cutting-pliers-insulated-angled-head-8-inch")</f>
        <v/>
      </c>
      <c r="B7559" s="2">
        <f>HYPERLINK("https://edmondsonsupply.com/products/klein-tools-2000-48-eins-diagonal-cutting-pliers-insulated-angled-head-8-inch", "https://edmondsonsupply.com/products/klein-tools-2000-48-eins-diagonal-cutting-pliers-insulated-angled-head-8-inch")</f>
        <v/>
      </c>
      <c r="C7559" t="inlineStr">
        <is>
          <t>Klein Tools 2000-48-EINS Diagonal Cutting Pliers, Insulated, Angled Head, 8-Inch</t>
        </is>
      </c>
      <c r="D7559" t="inlineStr">
        <is>
          <t>Klein Tools D248-8 Pliers, Diagonal Cutting Multi-Purpose Pliers with Angled Head, High-Leverage Design, and Short Jaw, 8-Inch</t>
        </is>
      </c>
      <c r="E7559" s="2">
        <f>HYPERLINK("https://www.amazon.com/Klein-Tools-D248-8-Leverage-Diagonal/dp/B0000302W8/ref=sr_1_7?keywords=Klein+Tools+2000-48-EINS+Diagonal+Cutting+Pliers%2C+Insulated%2C+Angled+Head%2C+8-Inch&amp;qid=1694735272&amp;sr=8-7", "https://www.amazon.com/Klein-Tools-D248-8-Leverage-Diagonal/dp/B0000302W8/ref=sr_1_7?keywords=Klein+Tools+2000-48-EINS+Diagonal+Cutting+Pliers%2C+Insulated%2C+Angled+Head%2C+8-Inch&amp;qid=1694735272&amp;sr=8-7")</f>
        <v/>
      </c>
      <c r="F7559" t="inlineStr">
        <is>
          <t>B0000302W8</t>
        </is>
      </c>
      <c r="G7559">
        <f>_xlfn.IMAGE("https://edmondsonsupply.com/cdn/shop/products/200048eins.jpg?v=1633030513")</f>
        <v/>
      </c>
      <c r="H7559">
        <f>_xlfn.IMAGE("https://m.media-amazon.com/images/I/41KAmcIzVBL._AC_UL320_.jpg")</f>
        <v/>
      </c>
      <c r="K7559" t="inlineStr">
        <is>
          <t>64.99</t>
        </is>
      </c>
      <c r="L7559" t="n">
        <v>28.42</v>
      </c>
      <c r="M7559" s="1" t="inlineStr">
        <is>
          <t>-56.27%</t>
        </is>
      </c>
      <c r="N7559" s="7" t="n"/>
      <c r="O7559" t="n">
        <v>4.8</v>
      </c>
      <c r="P7559" t="n">
        <v>2413</v>
      </c>
      <c r="R7559" t="inlineStr">
        <is>
          <t>InStock</t>
        </is>
      </c>
      <c r="S7559" t="inlineStr">
        <is>
          <t>100.92</t>
        </is>
      </c>
      <c r="T7559" t="inlineStr">
        <is>
          <t>5387314954408</t>
        </is>
      </c>
    </row>
    <row r="7560" ht="87" customHeight="1">
      <c r="A7560" s="2">
        <f>HYPERLINK("https://edmondsonsupply.com/collections/electricians-tools/products/diablo-tools-dmamx1020", "https://edmondsonsupply.com/collections/electricians-tools/products/diablo-tools-dmamx1020")</f>
        <v/>
      </c>
      <c r="B7560" s="2">
        <f>HYPERLINK("https://edmondsonsupply.com/products/diablo-tools-dmamx1020", "https://edmondsonsupply.com/products/diablo-tools-dmamx1020")</f>
        <v/>
      </c>
      <c r="C7560" t="inlineStr">
        <is>
          <t>Diablo Tools DMAMX1020 1/2 in. x 8 in. x 13 in. Rebar Demon SDS‑Max 4‑Cutter Full Carbide Head Hammer Bit</t>
        </is>
      </c>
      <c r="D7560" t="inlineStr">
        <is>
          <t>Diablo by Freud Diablo DMAPL4190 1/2 in. x 10 in. x 12 in. Rebar Demon SDS-Plus 4-Cutter Full Carbide Head Hammer Bit</t>
        </is>
      </c>
      <c r="E7560" s="2">
        <f>HYPERLINK("https://www.amazon.com/Diablo-Freud-DMAPL4190-SDS-Plus-4-Cutter/dp/B089LJZ25M/ref=sr_1_5?keywords=Diablo+Tools+DMAMX1020+1%2F2+in.+x+8+in.+x+13+in.+Rebar+Demon+SDS%E2%80%91Max+4%E2%80%91Cutter+Full+Carbide+Head+Hammer+Bit&amp;qid=1694735268&amp;sr=8-5", "https://www.amazon.com/Diablo-Freud-DMAPL4190-SDS-Plus-4-Cutter/dp/B089LJZ25M/ref=sr_1_5?keywords=Diablo+Tools+DMAMX1020+1%2F2+in.+x+8+in.+x+13+in.+Rebar+Demon+SDS%E2%80%91Max+4%E2%80%91Cutter+Full+Carbide+Head+Hammer+Bit&amp;qid=1694735268&amp;sr=8-5")</f>
        <v/>
      </c>
      <c r="F7560" t="inlineStr">
        <is>
          <t>B089LJZ25M</t>
        </is>
      </c>
      <c r="G7560">
        <f>_xlfn.IMAGE("https://edmondsonsupply.com/cdn/shop/products/DMAMX1020_Main-Image20200701.png?v=1609798895")</f>
        <v/>
      </c>
      <c r="H7560">
        <f>_xlfn.IMAGE("https://m.media-amazon.com/images/I/61dzudnwI8L._AC_UL320_.jpg")</f>
        <v/>
      </c>
      <c r="K7560" t="inlineStr">
        <is>
          <t>39.97</t>
        </is>
      </c>
      <c r="L7560" t="n">
        <v>17.41</v>
      </c>
      <c r="M7560" s="1" t="inlineStr">
        <is>
          <t>-56.44%</t>
        </is>
      </c>
      <c r="N7560" s="7" t="n"/>
      <c r="O7560" t="n">
        <v>4.6</v>
      </c>
      <c r="P7560" t="n">
        <v>43</v>
      </c>
      <c r="R7560" t="inlineStr">
        <is>
          <t>InStock</t>
        </is>
      </c>
      <c r="S7560" t="inlineStr">
        <is>
          <t>42.31</t>
        </is>
      </c>
      <c r="T7560" t="inlineStr">
        <is>
          <t>5463822598312</t>
        </is>
      </c>
    </row>
    <row r="7561" hidden="1" ht="15.75" customHeight="1">
      <c r="A7561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561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561" t="inlineStr">
        <is>
          <t>Klein Tools JTH9E17 1/2-Inch Hex Key with Journeyman T-Handle, 9-Inch</t>
        </is>
      </c>
      <c r="D7561" t="inlineStr">
        <is>
          <t>Klein Tools JTH6T15 T15 TORX Hex Key, Journeyman T-Handle, 6-Inch</t>
        </is>
      </c>
      <c r="E7561" s="2">
        <f>HYPERLINK("https://www.amazon.com/Journeyman-T-Handle-Klein-Tools-JTH6T15/dp/B005G3B43I/ref=sr_1_14?keywords=Klein+Tools+JTH9E17+1%2F2-Inch+Hex+Key+with+Journeyman+T-Handle%2C+9-Inch&amp;qid=1694735337&amp;sr=8-14", "https://www.amazon.com/Journeyman-T-Handle-Klein-Tools-JTH6T15/dp/B005G3B43I/ref=sr_1_14?keywords=Klein+Tools+JTH9E17+1%2F2-Inch+Hex+Key+with+Journeyman+T-Handle%2C+9-Inch&amp;qid=1694735337&amp;sr=8-14")</f>
        <v/>
      </c>
      <c r="F7561" t="inlineStr">
        <is>
          <t>B005G3B43I</t>
        </is>
      </c>
      <c r="G7561">
        <f>_xludf.IMAGE("https://edmondsonsupply.com/cdn/shop/products/jth9e12_c458fab1-bd79-4a70-ae62-7e6646bd3d84.jpg?v=1587146369")</f>
        <v/>
      </c>
      <c r="H7561">
        <f>_xludf.IMAGE("https://m.media-amazon.com/images/I/51Xj0Vsb-EL._AC_UL320_.jpg")</f>
        <v/>
      </c>
      <c r="K7561" t="inlineStr">
        <is>
          <t>23.99</t>
        </is>
      </c>
      <c r="L7561" t="n">
        <v>10.44</v>
      </c>
      <c r="M7561" s="1" t="inlineStr">
        <is>
          <t>-56.48%</t>
        </is>
      </c>
      <c r="N7561" s="1" t="n"/>
      <c r="O7561" t="n">
        <v>4.6</v>
      </c>
      <c r="P7561" t="n">
        <v>231</v>
      </c>
      <c r="R7561" t="inlineStr">
        <is>
          <t>InStock</t>
        </is>
      </c>
      <c r="S7561" t="inlineStr">
        <is>
          <t>36.36</t>
        </is>
      </c>
      <c r="T7561" t="inlineStr">
        <is>
          <t>4505575981156</t>
        </is>
      </c>
    </row>
    <row r="7562" hidden="1" ht="15.75" customHeight="1">
      <c r="A7562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7562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7562" t="inlineStr">
        <is>
          <t>Klein Tools NCVT-3P Dual Range Non-Contact Voltage Tester with Flashlight, 12 - 1000V AC</t>
        </is>
      </c>
      <c r="D7562" t="inlineStr">
        <is>
          <t>LETONNEY Non-Contact Voltage Tester Electrical Tester with Dual Range AC 12V/48V-1000V Live/Null Wire Tester, Outlet Tester with LED Flashlight, Buzzer Alarm (Blue)</t>
        </is>
      </c>
      <c r="E7562" s="2">
        <f>HYPERLINK("https://www.amazon.com/LETONNEY-Non-Contact-Electrical-48V-1000V-Flashlight/dp/B0B76Q86Q9/ref=sr_1_31?keywords=Klein+Tools+NCVT-3P+Dual+Range+Non-Contact+Voltage+Tester+with+Flashlight%2C+12+-+1000V+AC&amp;qid=1694735337&amp;sr=8-31", "https://www.amazon.com/LETONNEY-Non-Contact-Electrical-48V-1000V-Flashlight/dp/B0B76Q86Q9/ref=sr_1_31?keywords=Klein+Tools+NCVT-3P+Dual+Range+Non-Contact+Voltage+Tester+with+Flashlight%2C+12+-+1000V+AC&amp;qid=1694735337&amp;sr=8-31")</f>
        <v/>
      </c>
      <c r="F7562" t="inlineStr">
        <is>
          <t>B0B76Q86Q9</t>
        </is>
      </c>
      <c r="G7562">
        <f>_xludf.IMAGE("https://edmondsonsupply.com/cdn/shop/products/ncvt3p.jpg?v=1633030219")</f>
        <v/>
      </c>
      <c r="H7562">
        <f>_xludf.IMAGE("https://m.media-amazon.com/images/I/61emxZoi+uL._AC_UL320_.jpg")</f>
        <v/>
      </c>
      <c r="K7562" t="inlineStr">
        <is>
          <t>29.97</t>
        </is>
      </c>
      <c r="L7562" t="n">
        <v>12.99</v>
      </c>
      <c r="M7562" s="1" t="inlineStr">
        <is>
          <t>-56.66%</t>
        </is>
      </c>
      <c r="N7562" s="1" t="n"/>
      <c r="O7562" t="n">
        <v>2</v>
      </c>
      <c r="P7562" t="n">
        <v>1</v>
      </c>
      <c r="R7562" t="inlineStr">
        <is>
          <t>InStock</t>
        </is>
      </c>
      <c r="S7562" t="inlineStr">
        <is>
          <t>40.36</t>
        </is>
      </c>
      <c r="T7562" t="inlineStr">
        <is>
          <t>4505582174308</t>
        </is>
      </c>
    </row>
    <row r="7563" hidden="1" ht="15.75" customHeight="1">
      <c r="A7563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7563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7563" t="inlineStr">
        <is>
          <t>Klein Tools NCVT-3P Dual Range Non-Contact Voltage Tester with Flashlight, 12 - 1000V AC</t>
        </is>
      </c>
      <c r="D7563" t="inlineStr">
        <is>
          <t>ANENG Non Contact Voltage Tester with Range AC Voltage 12V-1000V,Live/Null Wire Electrical Tools with LCD Display,Flashlight,Pocket-Sized Pen Dector,Buzzer Alarm,Wire Breakpoint Finder</t>
        </is>
      </c>
      <c r="E7563" s="2">
        <f>HYPERLINK("https://www.amazon.com/ANENG-Electrical-Flashlight-Pocket-Sized-Breakpoint/dp/B0C65P2R14/ref=sr_1_48?keywords=Klein+Tools+NCVT-3P+Dual+Range+Non-Contact+Voltage+Tester+with+Flashlight%2C+12+-+1000V+AC&amp;qid=1694735337&amp;sr=8-48", "https://www.amazon.com/ANENG-Electrical-Flashlight-Pocket-Sized-Breakpoint/dp/B0C65P2R14/ref=sr_1_48?keywords=Klein+Tools+NCVT-3P+Dual+Range+Non-Contact+Voltage+Tester+with+Flashlight%2C+12+-+1000V+AC&amp;qid=1694735337&amp;sr=8-48")</f>
        <v/>
      </c>
      <c r="F7563" t="inlineStr">
        <is>
          <t>B0C65P2R14</t>
        </is>
      </c>
      <c r="G7563">
        <f>_xludf.IMAGE("https://edmondsonsupply.com/cdn/shop/products/ncvt3p.jpg?v=1633030219")</f>
        <v/>
      </c>
      <c r="H7563">
        <f>_xludf.IMAGE("https://m.media-amazon.com/images/I/6181vUS48ZL._AC_UL320_.jpg")</f>
        <v/>
      </c>
      <c r="K7563" t="inlineStr">
        <is>
          <t>29.97</t>
        </is>
      </c>
      <c r="L7563" t="n">
        <v>12.99</v>
      </c>
      <c r="M7563" s="1" t="inlineStr">
        <is>
          <t>-56.66%</t>
        </is>
      </c>
      <c r="N7563" s="1" t="n"/>
      <c r="O7563" t="n">
        <v>3.5</v>
      </c>
      <c r="P7563" t="n">
        <v>4</v>
      </c>
      <c r="R7563" t="inlineStr">
        <is>
          <t>InStock</t>
        </is>
      </c>
      <c r="S7563" t="inlineStr">
        <is>
          <t>40.36</t>
        </is>
      </c>
      <c r="T7563" t="inlineStr">
        <is>
          <t>4505582174308</t>
        </is>
      </c>
    </row>
    <row r="7564" ht="87" customHeight="1">
      <c r="A7564" s="2">
        <f>HYPERLINK("https://edmondsonsupply.com/collections/electricians-tools/products/milwaukee-2864-20-m18-fuel%E2%84%A2-w-one-key%E2%84%A2-high-torque-impact-wrench-3-4-friction-ring-bare-tool", "https://edmondsonsupply.com/collections/electricians-tools/products/milwaukee-2864-20-m18-fuel%E2%84%A2-w-one-key%E2%84%A2-high-torque-impact-wrench-3-4-friction-ring-bare-tool")</f>
        <v/>
      </c>
      <c r="B7564" s="2">
        <f>HYPERLINK("https://edmondsonsupply.com/products/milwaukee-2864-20-m18-fuel%e2%84%a2-w-one-key%e2%84%a2-high-torque-impact-wrench-3-4-friction-ring-bare-tool", "https://edmondsonsupply.com/products/milwaukee-2864-20-m18-fuel%e2%84%a2-w-one-key%e2%84%a2-high-torque-impact-wrench-3-4-friction-ring-bare-tool")</f>
        <v/>
      </c>
      <c r="C7564" t="inlineStr">
        <is>
          <t>Milwaukee 2864-20 M18 FUEL™ w/ ONE-KEY™ High Torque Impact Wrench 3/4" Friction Ring Bare Tool</t>
        </is>
      </c>
      <c r="D7564" t="inlineStr">
        <is>
          <t>Milwaukee 2663-20 M18 1/2" High Torque Impact Wrench with Friction Ring (Bare Tool)</t>
        </is>
      </c>
      <c r="E7564" s="2">
        <f>HYPERLINK("https://www.amazon.com/Milwaukee-2663-20-Torque-Impact-Friction/dp/B07G9H1FHX/ref=sr_1_14?keywords=Milwaukee+2864-20+M18+FUEL%E2%84%A2+w%2F+ONE-KEY%E2%84%A2+High+Torque+Impact+Wrench+3%2F4%22+Friction+Ring+Bare+Tool&amp;qid=1694735025&amp;sr=8-14", "https://www.amazon.com/Milwaukee-2663-20-Torque-Impact-Friction/dp/B07G9H1FHX/ref=sr_1_14?keywords=Milwaukee+2864-20+M18+FUEL%E2%84%A2+w%2F+ONE-KEY%E2%84%A2+High+Torque+Impact+Wrench+3%2F4%22+Friction+Ring+Bare+Tool&amp;qid=1694735025&amp;sr=8-14")</f>
        <v/>
      </c>
      <c r="F7564" t="inlineStr">
        <is>
          <t>B07G9H1FHX</t>
        </is>
      </c>
      <c r="G7564">
        <f>_xlfn.IMAGE("https://edmondsonsupply.com/cdn/shop/products/2864-20_3.webp?v=1678898538")</f>
        <v/>
      </c>
      <c r="H7564">
        <f>_xlfn.IMAGE("https://m.media-amazon.com/images/I/31BwKxDDZbL._AC_UL320_.jpg")</f>
        <v/>
      </c>
      <c r="K7564" t="inlineStr">
        <is>
          <t>349.0</t>
        </is>
      </c>
      <c r="L7564" t="n">
        <v>151.11</v>
      </c>
      <c r="M7564" s="1" t="inlineStr">
        <is>
          <t>-56.70%</t>
        </is>
      </c>
      <c r="N7564" s="7" t="n"/>
      <c r="O7564" t="n">
        <v>4.5</v>
      </c>
      <c r="P7564" t="n">
        <v>123</v>
      </c>
      <c r="R7564" t="inlineStr">
        <is>
          <t>InStock</t>
        </is>
      </c>
      <c r="S7564" t="inlineStr">
        <is>
          <t>583.0</t>
        </is>
      </c>
      <c r="T7564" t="inlineStr">
        <is>
          <t>7962037321944</t>
        </is>
      </c>
    </row>
    <row r="7565" ht="87" customHeight="1">
      <c r="A7565" s="2">
        <f>HYPERLINK("https://edmondsonsupply.com/collections/electricians-tools/products/klein-tools-85077-screwdriver-set-multi-application-7-piece", "https://edmondsonsupply.com/collections/electricians-tools/products/klein-tools-85077-screwdriver-set-multi-application-7-piece")</f>
        <v/>
      </c>
      <c r="B7565" s="2">
        <f>HYPERLINK("https://edmondsonsupply.com/products/klein-tools-85077-screwdriver-set-multi-application-7-piece", "https://edmondsonsupply.com/products/klein-tools-85077-screwdriver-set-multi-application-7-piece")</f>
        <v/>
      </c>
      <c r="C7565" t="inlineStr">
        <is>
          <t>Klein Tools 85077 Screwdriver Set, Multi-Application, 7-Piece</t>
        </is>
      </c>
      <c r="D7565" t="inlineStr">
        <is>
          <t>Klein Tools 80037 Screwdriver Tool Set, Multi-Bit Pocket Precision Screwdriver and Adjustable Length Stubby Screwdriver, 2-Piece</t>
        </is>
      </c>
      <c r="E7565" s="2">
        <f>HYPERLINK("https://www.amazon.com/Screwdriver-Adjustable-Klein-Tools-80037/dp/B09N59CF9M/ref=sr_1_13?keywords=Klein+Tools+85077+Screwdriver+Set%2C+Multi-Application%2C+7-Piece&amp;qid=1694735214&amp;sr=8-13", "https://www.amazon.com/Screwdriver-Adjustable-Klein-Tools-80037/dp/B09N59CF9M/ref=sr_1_13?keywords=Klein+Tools+85077+Screwdriver+Set%2C+Multi-Application%2C+7-Piece&amp;qid=1694735214&amp;sr=8-13")</f>
        <v/>
      </c>
      <c r="F7565" t="inlineStr">
        <is>
          <t>B09N59CF9M</t>
        </is>
      </c>
      <c r="G7565">
        <f>_xlfn.IMAGE("https://edmondsonsupply.com/cdn/shop/products/85077.jpg?v=1633031193")</f>
        <v/>
      </c>
      <c r="H7565">
        <f>_xlfn.IMAGE("https://m.media-amazon.com/images/I/51ZrwPGYokL._AC_UL320_.jpg")</f>
        <v/>
      </c>
      <c r="K7565" t="inlineStr">
        <is>
          <t>64.99</t>
        </is>
      </c>
      <c r="L7565" t="n">
        <v>27.99</v>
      </c>
      <c r="M7565" s="1" t="inlineStr">
        <is>
          <t>-56.93%</t>
        </is>
      </c>
      <c r="N7565" s="7" t="n"/>
      <c r="O7565" t="n">
        <v>4.8</v>
      </c>
      <c r="P7565" t="n">
        <v>13254</v>
      </c>
      <c r="R7565" t="inlineStr">
        <is>
          <t>InStock</t>
        </is>
      </c>
      <c r="S7565" t="inlineStr">
        <is>
          <t>98.46</t>
        </is>
      </c>
      <c r="T7565" t="inlineStr">
        <is>
          <t>6937808961709</t>
        </is>
      </c>
    </row>
    <row r="7566" ht="87" customHeight="1">
      <c r="A7566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566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566" t="inlineStr">
        <is>
          <t>Milwaukee 48-59-1812 M18™ &amp; M12™ Multi-Voltage Charger</t>
        </is>
      </c>
      <c r="D7566" t="inlineStr">
        <is>
          <t>ATcuji 18V 12V Multi Voltage Rapid Charger 48-59-1808 Compatible with Milwaukee M18 18V Battery Charger M12 12V 48-59-1812 48-59-1808 48-59-1810 48-59-2401 48-59-1204 Lithium Ion Battery Fast Charger</t>
        </is>
      </c>
      <c r="E7566" s="2">
        <f>HYPERLINK("https://www.amazon.com/48-59-1808-Compatible-48-59-1812-48-59-1810-48-59-2401/dp/B0C42MN95K/ref=sr_1_6?keywords=Milwaukee+48-59-1812+M18%E2%84%A2+%26+M12%E2%84%A2+Multi-Voltage+Charger&amp;qid=1694735141&amp;sr=8-6", "https://www.amazon.com/48-59-1808-Compatible-48-59-1812-48-59-1810-48-59-2401/dp/B0C42MN95K/ref=sr_1_6?keywords=Milwaukee+48-59-1812+M18%E2%84%A2+%26+M12%E2%84%A2+Multi-Voltage+Charger&amp;qid=1694735141&amp;sr=8-6")</f>
        <v/>
      </c>
      <c r="F7566" t="inlineStr">
        <is>
          <t>B0C42MN95K</t>
        </is>
      </c>
      <c r="G7566">
        <f>_xlfn.IMAGE("https://edmondsonsupply.com/cdn/shop/products/60113_48-59-1812_3-lg.webp?v=1656530513")</f>
        <v/>
      </c>
      <c r="H7566">
        <f>_xlfn.IMAGE("https://m.media-amazon.com/images/I/61oayNc6FdL._AC_UL320_.jpg")</f>
        <v/>
      </c>
      <c r="K7566" t="inlineStr">
        <is>
          <t>79.0</t>
        </is>
      </c>
      <c r="L7566" t="n">
        <v>33.99</v>
      </c>
      <c r="M7566" s="1" t="inlineStr">
        <is>
          <t>-56.97%</t>
        </is>
      </c>
      <c r="N7566" s="7" t="n"/>
      <c r="O7566" t="n">
        <v>4.5</v>
      </c>
      <c r="P7566" t="n">
        <v>21</v>
      </c>
      <c r="R7566" t="inlineStr">
        <is>
          <t>InStock</t>
        </is>
      </c>
      <c r="S7566" t="inlineStr">
        <is>
          <t>126.0</t>
        </is>
      </c>
      <c r="T7566" t="inlineStr">
        <is>
          <t>7733079343320</t>
        </is>
      </c>
    </row>
    <row r="7567" hidden="1" ht="15.75" customHeight="1">
      <c r="A7567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567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567" t="inlineStr">
        <is>
          <t>Klein Tools NCVT-2P Dual Range Non-Contact Voltage Tester 12 - 1000V AC</t>
        </is>
      </c>
      <c r="D7567" t="inlineStr">
        <is>
          <t>VENLAB Voltage Tester, Non Contact Voltage Detector, Circuit Tester Dual Range Voltage Sniffer 12V-1000V/48V-1000V, Live Wire Tester with Alarm and Flashlight, Electrical Tester with LCD Display</t>
        </is>
      </c>
      <c r="E7567" s="2">
        <f>HYPERLINK("https://www.amazon.com/VENLAB-Detector-12V-1000V-48V-1000V-Flashlight/dp/B09ZXY4HVK/ref=sr_1_28?keywords=Klein+Tools+NCVT-2P+Dual+Range+Non-Contact+Voltage+Tester+12+-+1000V+AC&amp;qid=1694735236&amp;sr=8-28", "https://www.amazon.com/VENLAB-Detector-12V-1000V-48V-1000V-Flashlight/dp/B09ZXY4HVK/ref=sr_1_28?keywords=Klein+Tools+NCVT-2P+Dual+Range+Non-Contact+Voltage+Tester+12+-+1000V+AC&amp;qid=1694735236&amp;sr=8-28")</f>
        <v/>
      </c>
      <c r="F7567" t="inlineStr">
        <is>
          <t>B09ZXY4HVK</t>
        </is>
      </c>
      <c r="G7567">
        <f>_xludf.IMAGE("https://edmondsonsupply.com/cdn/shop/products/ncvt2p.jpg?v=1633030824")</f>
        <v/>
      </c>
      <c r="H7567">
        <f>_xludf.IMAGE("https://m.media-amazon.com/images/I/71JQH9+eNtL._AC_UL320_.jpg")</f>
        <v/>
      </c>
      <c r="K7567" t="inlineStr">
        <is>
          <t>27.97</t>
        </is>
      </c>
      <c r="L7567" t="n">
        <v>11.99</v>
      </c>
      <c r="M7567" s="1" t="inlineStr">
        <is>
          <t>-57.13%</t>
        </is>
      </c>
      <c r="N7567" s="1" t="n"/>
      <c r="O7567" t="n">
        <v>4.5</v>
      </c>
      <c r="P7567" t="n">
        <v>589</v>
      </c>
      <c r="R7567" t="inlineStr">
        <is>
          <t>InStock</t>
        </is>
      </c>
      <c r="S7567" t="inlineStr">
        <is>
          <t>35.76</t>
        </is>
      </c>
      <c r="T7567" t="inlineStr">
        <is>
          <t>6080875626669</t>
        </is>
      </c>
    </row>
    <row r="7568" ht="87" customHeight="1">
      <c r="A7568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568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568" t="inlineStr">
        <is>
          <t>Diablo Tools DMAPL4070-P25 1/4 in. x 4 in. x 6 in. Rebar Demon™ SDS-Plus 4-Cutter Full Carbide Head Hammer Bit (25-Pack)</t>
        </is>
      </c>
      <c r="D7568" t="inlineStr">
        <is>
          <t>Diablo by Freud DMAPL4300 1 in. x 8 in. x 10 in. Rebar Demon™ SDS-Plus 4-Cutter Full Carbide Head Hammer Bit</t>
        </is>
      </c>
      <c r="E7568" s="2" t="n"/>
      <c r="F7568" t="inlineStr">
        <is>
          <t>B089LL8JD8</t>
        </is>
      </c>
      <c r="G7568">
        <f>_xlfn.IMAGE("https://edmondsonsupply.com/cdn/shop/products/DMAPL4070.jpg?v=1633030350")</f>
        <v/>
      </c>
      <c r="H7568">
        <f>_xlfn.IMAGE("https://m.media-amazon.com/images/I/616UiJGsK1L._AC_UL320_.jpg")</f>
        <v/>
      </c>
      <c r="K7568" t="inlineStr">
        <is>
          <t>79.47</t>
        </is>
      </c>
      <c r="L7568" t="n">
        <v>33.99</v>
      </c>
      <c r="M7568" s="1" t="inlineStr">
        <is>
          <t>-57.23%</t>
        </is>
      </c>
      <c r="N7568" s="7" t="n"/>
      <c r="O7568" t="n">
        <v>4.5</v>
      </c>
      <c r="P7568" t="n">
        <v>16</v>
      </c>
      <c r="R7568" t="inlineStr">
        <is>
          <t>InStock</t>
        </is>
      </c>
      <c r="S7568" t="inlineStr">
        <is>
          <t>106.66</t>
        </is>
      </c>
      <c r="T7568" t="inlineStr">
        <is>
          <t>5283065069736</t>
        </is>
      </c>
    </row>
    <row r="7569" ht="87" customHeight="1">
      <c r="A7569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569" s="2">
        <f>HYPERLINK("https://edmondsonsupply.com/products/veto-pro-pac-tech-pac-backpack-tool-bag-1", "https://edmondsonsupply.com/products/veto-pro-pac-tech-pac-backpack-tool-bag-1")</f>
        <v/>
      </c>
      <c r="C7569" t="inlineStr">
        <is>
          <t>Veto Pro Pac TECH PAC LT Laptop Backpack Tool Bag</t>
        </is>
      </c>
      <c r="D7569" t="inlineStr">
        <is>
          <t>Klein Tools 55456BPL Laptop Backpack / Tool Bag, Water Resistant Technician Backpack, Padded for 1-Inch Thick Laptop or Tablet, 25 Pockets</t>
        </is>
      </c>
      <c r="E7569" s="2">
        <f>HYPERLINK("https://www.amazon.com/Electrician-Tradesman-Compartment-Klein-Tools/dp/B00G0KQKLC/ref=sr_1_33?keywords=Veto+Pro+Pac+TECH+PAC+LT+Laptop+Backpack+Tool+Bag&amp;qid=1694735205&amp;sr=8-33", "https://www.amazon.com/Electrician-Tradesman-Compartment-Klein-Tools/dp/B00G0KQKLC/ref=sr_1_33?keywords=Veto+Pro+Pac+TECH+PAC+LT+Laptop+Backpack+Tool+Bag&amp;qid=1694735205&amp;sr=8-33")</f>
        <v/>
      </c>
      <c r="F7569" t="inlineStr">
        <is>
          <t>B00G0KQKLC</t>
        </is>
      </c>
      <c r="G7569">
        <f>_xlfn.IMAGE("https://edmondsonsupply.com/cdn/shop/products/LT_1.jpg?v=1587146035")</f>
        <v/>
      </c>
      <c r="H7569">
        <f>_xlfn.IMAGE("https://m.media-amazon.com/images/I/713K5Ami9CL._AC_UL320_.jpg")</f>
        <v/>
      </c>
      <c r="K7569" t="inlineStr">
        <is>
          <t>289.99</t>
        </is>
      </c>
      <c r="L7569" t="n">
        <v>124</v>
      </c>
      <c r="M7569" s="1" t="inlineStr">
        <is>
          <t>-57.24%</t>
        </is>
      </c>
      <c r="N7569" s="7" t="n"/>
      <c r="O7569" t="n">
        <v>4.7</v>
      </c>
      <c r="P7569" t="n">
        <v>710</v>
      </c>
      <c r="R7569" t="inlineStr">
        <is>
          <t>InStock</t>
        </is>
      </c>
      <c r="S7569" t="inlineStr">
        <is>
          <t>undefined</t>
        </is>
      </c>
      <c r="T7569" t="inlineStr">
        <is>
          <t>3558529695844</t>
        </is>
      </c>
    </row>
    <row r="7570" hidden="1" ht="15.75" customHeight="1">
      <c r="A7570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570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570" t="inlineStr">
        <is>
          <t>Klein Tools 602-4-INS 1/4-Inch Cabinet Tip Insulated Screwdriver, 4-Inch</t>
        </is>
      </c>
      <c r="D7570" t="inlineStr">
        <is>
          <t>Klein Tools 612-4 Screwdriver, Flat Head Terminal Block Screwdriver, 1/8-Inch Cabinet Tip, 4-Inch Round Shank, TB-DIN</t>
        </is>
      </c>
      <c r="E7570" s="2">
        <f>HYPERLINK("https://www.amazon.com/Screwdriver-Terminal-Klein-Tools-612-4/dp/B0058I6VNE/ref=sr_1_15?keywords=Klein+Tools+602-4-INS+1%2F4-Inch+Cabinet+Tip+Insulated+Screwdriver%2C+4-Inch&amp;qid=1694735209&amp;sr=8-15", "https://www.amazon.com/Screwdriver-Terminal-Klein-Tools-612-4/dp/B0058I6VNE/ref=sr_1_15?keywords=Klein+Tools+602-4-INS+1%2F4-Inch+Cabinet+Tip+Insulated+Screwdriver%2C+4-Inch&amp;qid=1694735209&amp;sr=8-15")</f>
        <v/>
      </c>
      <c r="F7570" t="inlineStr">
        <is>
          <t>B0058I6VNE</t>
        </is>
      </c>
      <c r="G7570">
        <f>_xludf.IMAGE("https://edmondsonsupply.com/cdn/shop/products/602-4-ins-photo.jpg?v=1633031051")</f>
        <v/>
      </c>
      <c r="H7570">
        <f>_xludf.IMAGE("https://m.media-amazon.com/images/I/51APfPlk95L._AC_UL320_.jpg")</f>
        <v/>
      </c>
      <c r="K7570" t="inlineStr">
        <is>
          <t>20.99</t>
        </is>
      </c>
      <c r="L7570" t="n">
        <v>8.970000000000001</v>
      </c>
      <c r="M7570" s="1" t="inlineStr">
        <is>
          <t>-57.27%</t>
        </is>
      </c>
      <c r="N7570" s="1" t="n"/>
      <c r="O7570" t="n">
        <v>4.8</v>
      </c>
      <c r="P7570" t="n">
        <v>1953</v>
      </c>
      <c r="R7570" t="inlineStr">
        <is>
          <t>InStock</t>
        </is>
      </c>
      <c r="S7570" t="inlineStr">
        <is>
          <t>31.8</t>
        </is>
      </c>
      <c r="T7570" t="inlineStr">
        <is>
          <t>6779496890541</t>
        </is>
      </c>
    </row>
    <row r="7571" hidden="1" ht="15.75" customHeight="1">
      <c r="A7571" s="2">
        <f>HYPERLINK("https://edmondsonsupply.com/collections/electricians-tools/products/klein-tools-11057-klein-kurve%C2%AE-wire-stripper-and-cutter", "https://edmondsonsupply.com/collections/electricians-tools/products/klein-tools-11057-klein-kurve%C2%AE-wire-stripper-and-cutter")</f>
        <v/>
      </c>
      <c r="B7571" s="2">
        <f>HYPERLINK("https://edmondsonsupply.com/products/klein-tools-11057-klein-kurve%c2%ae-wire-stripper-and-cutter", "https://edmondsonsupply.com/products/klein-tools-11057-klein-kurve%c2%ae-wire-stripper-and-cutter")</f>
        <v/>
      </c>
      <c r="C7571" t="inlineStr">
        <is>
          <t>Klein Tools 11057 Klein-Kurve® Wire Stripper and Cutter</t>
        </is>
      </c>
      <c r="D7571" t="inlineStr">
        <is>
          <t>Klein Tools 1003 Wire Stripper and Cutter for Solid and Stranded Wire, Compact Yellow</t>
        </is>
      </c>
      <c r="E7571" s="2">
        <f>HYPERLINK("https://www.amazon.com/Stripper-Stranded-Klein-Tools-1003/dp/B000V6W5QU/ref=sr_1_21?keywords=Klein+Tools+11057+Klein-Kurve%C2%AE+Wire+Stripper+and+Cutter&amp;qid=1694735357&amp;sr=8-21", "https://www.amazon.com/Stripper-Stranded-Klein-Tools-1003/dp/B000V6W5QU/ref=sr_1_21?keywords=Klein+Tools+11057+Klein-Kurve%C2%AE+Wire+Stripper+and+Cutter&amp;qid=1694735357&amp;sr=8-21")</f>
        <v/>
      </c>
      <c r="F7571" t="inlineStr">
        <is>
          <t>B000V6W5QU</t>
        </is>
      </c>
      <c r="G7571">
        <f>_xludf.IMAGE("https://edmondsonsupply.com/cdn/shop/products/11057.jpg?v=1587146927")</f>
        <v/>
      </c>
      <c r="H7571">
        <f>_xludf.IMAGE("https://m.media-amazon.com/images/I/41OXcwB6zvL._AC_UL320_.jpg")</f>
        <v/>
      </c>
      <c r="K7571" t="inlineStr">
        <is>
          <t>20.97</t>
        </is>
      </c>
      <c r="L7571" t="n">
        <v>8.960000000000001</v>
      </c>
      <c r="M7571" s="1" t="inlineStr">
        <is>
          <t>-57.27%</t>
        </is>
      </c>
      <c r="N7571" s="1" t="n"/>
      <c r="O7571" t="n">
        <v>4.6</v>
      </c>
      <c r="P7571" t="n">
        <v>627</v>
      </c>
      <c r="R7571" t="inlineStr">
        <is>
          <t>InStock</t>
        </is>
      </c>
      <c r="S7571" t="inlineStr">
        <is>
          <t>32.72</t>
        </is>
      </c>
      <c r="T7571" t="inlineStr">
        <is>
          <t>4455254720612</t>
        </is>
      </c>
    </row>
    <row r="7572" ht="87" customHeight="1">
      <c r="A7572" s="2">
        <f>HYPERLINK("https://edmondsonsupply.com/collections/electricians-tools/products/milwaukee-48-11-2440-m12%E2%84%A2-redlithium%E2%84%A2-xc-4-0-extended-capacity-battery-pack", "https://edmondsonsupply.com/collections/electricians-tools/products/milwaukee-48-11-2440-m12%E2%84%A2-redlithium%E2%84%A2-xc-4-0-extended-capacity-battery-pack")</f>
        <v/>
      </c>
      <c r="B7572" s="2">
        <f>HYPERLINK("https://edmondsonsupply.com/products/milwaukee-48-11-2440-m12%e2%84%a2-redlithium%e2%84%a2-xc-4-0-extended-capacity-battery-pack", "https://edmondsonsupply.com/products/milwaukee-48-11-2440-m12%e2%84%a2-redlithium%e2%84%a2-xc-4-0-extended-capacity-battery-pack")</f>
        <v/>
      </c>
      <c r="C7572" t="inlineStr">
        <is>
          <t>Milwaukee 48-11-2440 M12™ REDLITHIUM™ XC 4.0 Extended Capacity Battery Pack</t>
        </is>
      </c>
      <c r="D7572" t="inlineStr">
        <is>
          <t>Biswaye 2-Pack 12V Lithium Battery 6.0Ah Compatible with Milwaukee M-12 12V Lithium XC Extended Battery 48-11-2460 48-11-2440 48-11-2420 48-11-2411 48-11-2401 48-11-2430 48-11-2412</t>
        </is>
      </c>
      <c r="E7572" s="2">
        <f>HYPERLINK("https://www.amazon.com/Biswaye-48-11-2402-48-11-2401-48-11-2420-48-11-2411/dp/B07C7S59HN/ref=sr_1_14?keywords=Milwaukee+48-11-2440+M12%E2%84%A2+REDLITHIUM%E2%84%A2+XC+4.0+Extended+Capacity+Battery+Pack&amp;qid=1694735150&amp;sr=8-14", "https://www.amazon.com/Biswaye-48-11-2402-48-11-2401-48-11-2420-48-11-2411/dp/B07C7S59HN/ref=sr_1_14?keywords=Milwaukee+48-11-2440+M12%E2%84%A2+REDLITHIUM%E2%84%A2+XC+4.0+Extended+Capacity+Battery+Pack&amp;qid=1694735150&amp;sr=8-14")</f>
        <v/>
      </c>
      <c r="F7572" t="inlineStr">
        <is>
          <t>B07C7S59HN</t>
        </is>
      </c>
      <c r="G7572">
        <f>_xlfn.IMAGE("https://edmondsonsupply.com/cdn/shop/products/64620_48-11-2440-lg.png?v=1654801817")</f>
        <v/>
      </c>
      <c r="H7572">
        <f>_xlfn.IMAGE("https://m.media-amazon.com/images/I/61-b7UVQ5eL._AC_UL320_.jpg")</f>
        <v/>
      </c>
      <c r="K7572" t="inlineStr">
        <is>
          <t>89.0</t>
        </is>
      </c>
      <c r="L7572" t="n">
        <v>37.99</v>
      </c>
      <c r="M7572" s="1" t="inlineStr">
        <is>
          <t>-57.31%</t>
        </is>
      </c>
      <c r="N7572" s="7" t="n"/>
      <c r="O7572" t="n">
        <v>4.5</v>
      </c>
      <c r="P7572" t="n">
        <v>470</v>
      </c>
      <c r="R7572" t="inlineStr">
        <is>
          <t>OutOfStock</t>
        </is>
      </c>
      <c r="S7572" t="inlineStr">
        <is>
          <t>149.0</t>
        </is>
      </c>
      <c r="T7572" t="inlineStr">
        <is>
          <t>7711273943256</t>
        </is>
      </c>
    </row>
    <row r="7573" ht="87" customHeight="1">
      <c r="A7573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573" s="2">
        <f>HYPERLINK("https://edmondsonsupply.com/products/klein-tools-rt310-afci-gfci-outlet-tester", "https://edmondsonsupply.com/products/klein-tools-rt310-afci-gfci-outlet-tester")</f>
        <v/>
      </c>
      <c r="C7573" t="inlineStr">
        <is>
          <t>Klein Tools RT310 AFCI / GFCI Outlet Tester</t>
        </is>
      </c>
      <c r="D7573" t="inlineStr">
        <is>
          <t>RLSOCO Tools Case for Klein Tools ET310 AC Circuit Breaker Finder &amp; 80041 Outlet Repair Tool Kit &amp; RT250 for GFCI Receptacle Tester (Case Only)</t>
        </is>
      </c>
      <c r="E7573" s="2">
        <f>HYPERLINK("https://www.amazon.com/RLSOCO-Circuit-Breaker-Receptacle-Organizer/dp/B0BF91G9N7/ref=sr_1_38?keywords=Klein+Tools+RT310+AFCI+%2F+GFCI+Outlet+Tester&amp;qid=1694734989&amp;sr=8-38", "https://www.amazon.com/RLSOCO-Circuit-Breaker-Receptacle-Organizer/dp/B0BF91G9N7/ref=sr_1_38?keywords=Klein+Tools+RT310+AFCI+%2F+GFCI+Outlet+Tester&amp;qid=1694734989&amp;sr=8-38")</f>
        <v/>
      </c>
      <c r="F7573" t="inlineStr">
        <is>
          <t>B0BF91G9N7</t>
        </is>
      </c>
      <c r="G7573">
        <f>_xlfn.IMAGE("https://edmondsonsupply.com/cdn/shop/products/rt310.jpg?v=1587148552")</f>
        <v/>
      </c>
      <c r="H7573">
        <f>_xlfn.IMAGE("https://m.media-amazon.com/images/I/81VtnXaPX8L._AC_UL320_.jpg")</f>
        <v/>
      </c>
      <c r="K7573" t="inlineStr">
        <is>
          <t>39.97</t>
        </is>
      </c>
      <c r="L7573" t="n">
        <v>16.99</v>
      </c>
      <c r="M7573" s="1" t="inlineStr">
        <is>
          <t>-57.49%</t>
        </is>
      </c>
      <c r="N7573" s="7" t="n"/>
      <c r="O7573" t="n">
        <v>4.5</v>
      </c>
      <c r="P7573" t="n">
        <v>12</v>
      </c>
      <c r="R7573" t="inlineStr">
        <is>
          <t>InStock</t>
        </is>
      </c>
      <c r="S7573" t="inlineStr">
        <is>
          <t>57.9</t>
        </is>
      </c>
      <c r="T7573" t="inlineStr">
        <is>
          <t>3372527779940</t>
        </is>
      </c>
    </row>
    <row r="7574" ht="87" customHeight="1">
      <c r="A7574" s="2">
        <f>HYPERLINK("https://edmondsonsupply.com/collections/electricians-tools/products/fluke-80ak-a-thermocouple-adapter-type-k", "https://edmondsonsupply.com/collections/electricians-tools/products/fluke-80ak-a-thermocouple-adapter-type-k")</f>
        <v/>
      </c>
      <c r="B7574" s="2">
        <f>HYPERLINK("https://edmondsonsupply.com/products/fluke-80ak-a-thermocouple-adapter-type-k", "https://edmondsonsupply.com/products/fluke-80ak-a-thermocouple-adapter-type-k")</f>
        <v/>
      </c>
      <c r="C7574" t="inlineStr">
        <is>
          <t>Fluke 80AK-A Thermocouple Adapter, Type K</t>
        </is>
      </c>
      <c r="D7574" t="inlineStr">
        <is>
          <t>Thermocouple, Temperature Bead Probe, Clamp - Multimeter for Fluke 80BK-A Type K</t>
        </is>
      </c>
      <c r="E7574" s="2">
        <f>HYPERLINK("https://www.amazon.com/Thermocouple-Temperature-Probe-Clamp-80BK/dp/B09V31L5V4/ref=sr_1_9?keywords=Fluke+80AK-A+Thermocouple+Adapter%2C+Type+K&amp;qid=1694735126&amp;sr=8-9", "https://www.amazon.com/Thermocouple-Temperature-Probe-Clamp-80BK/dp/B09V31L5V4/ref=sr_1_9?keywords=Fluke+80AK-A+Thermocouple+Adapter%2C+Type+K&amp;qid=1694735126&amp;sr=8-9")</f>
        <v/>
      </c>
      <c r="F7574" t="inlineStr">
        <is>
          <t>B09V31L5V4</t>
        </is>
      </c>
      <c r="G7574">
        <f>_xlfn.IMAGE("https://edmondsonsupply.com/cdn/shop/products/f-80ak-a_01a_h-1500x1000.webp?v=1662642921")</f>
        <v/>
      </c>
      <c r="H7574">
        <f>_xlfn.IMAGE("https://m.media-amazon.com/images/I/31Hx6guC1tL._AC_UY218_.jpg")</f>
        <v/>
      </c>
      <c r="K7574" t="inlineStr">
        <is>
          <t>39.99</t>
        </is>
      </c>
      <c r="L7574" t="n">
        <v>16.99</v>
      </c>
      <c r="M7574" s="1" t="inlineStr">
        <is>
          <t>-57.51%</t>
        </is>
      </c>
      <c r="N7574" s="7" t="n"/>
      <c r="O7574" t="n">
        <v>4.3</v>
      </c>
      <c r="P7574" t="n">
        <v>5</v>
      </c>
      <c r="R7574" t="inlineStr">
        <is>
          <t>InStock</t>
        </is>
      </c>
      <c r="S7574" t="inlineStr">
        <is>
          <t>42.99</t>
        </is>
      </c>
      <c r="T7574" t="inlineStr">
        <is>
          <t>7808997687512</t>
        </is>
      </c>
    </row>
    <row r="7575" hidden="1" ht="15.75" customHeight="1">
      <c r="A7575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575" s="2">
        <f>HYPERLINK("https://edmondsonsupply.com/products/klein-tools-32307-27-in-1-multi-bit-tamperproof-screwdriver", "https://edmondsonsupply.com/products/klein-tools-32307-27-in-1-multi-bit-tamperproof-screwdriver")</f>
        <v/>
      </c>
      <c r="C7575" t="inlineStr">
        <is>
          <t>Klein Tools 32307 27-in-1 Multi-Bit Tamperproof Screwdriver</t>
        </is>
      </c>
      <c r="D7575" t="inlineStr">
        <is>
          <t>Klein Tools 32585 Multi-bit Precision Screwdriver Set, 4-in-1 Electronics Screwdriver with Industrial Strength Torx Bits, Spin Top</t>
        </is>
      </c>
      <c r="E7575" s="2">
        <f>HYPERLINK("https://www.amazon.com/Electronics-Screwdriver-Klein-Tools-32585/dp/B0775ZJ15F/ref=sr_1_14?keywords=Klein+Tools+32307+27-in-1+Multi-Bit+Tamperproof+Screwdriver&amp;qid=1694735165&amp;sr=8-14", "https://www.amazon.com/Electronics-Screwdriver-Klein-Tools-32585/dp/B0775ZJ15F/ref=sr_1_14?keywords=Klein+Tools+32307+27-in-1+Multi-Bit+Tamperproof+Screwdriver&amp;qid=1694735165&amp;sr=8-14")</f>
        <v/>
      </c>
      <c r="F7575" t="inlineStr">
        <is>
          <t>B0775ZJ15F</t>
        </is>
      </c>
      <c r="G7575">
        <f>_xludf.IMAGE("https://edmondsonsupply.com/cdn/shop/products/32307.jpg?v=1647347524")</f>
        <v/>
      </c>
      <c r="H7575">
        <f>_xludf.IMAGE("https://m.media-amazon.com/images/I/31zFb-nVifL._AC_UL320_.jpg")</f>
        <v/>
      </c>
      <c r="K7575" t="inlineStr">
        <is>
          <t>25.97</t>
        </is>
      </c>
      <c r="L7575" t="n">
        <v>10.97</v>
      </c>
      <c r="M7575" s="1" t="inlineStr">
        <is>
          <t>-57.76%</t>
        </is>
      </c>
      <c r="N7575" s="1" t="n"/>
      <c r="O7575" t="n">
        <v>4.7</v>
      </c>
      <c r="P7575" t="n">
        <v>568</v>
      </c>
      <c r="R7575" t="inlineStr">
        <is>
          <t>InStock</t>
        </is>
      </c>
      <c r="S7575" t="inlineStr">
        <is>
          <t>36.38</t>
        </is>
      </c>
      <c r="T7575" t="inlineStr">
        <is>
          <t>7637266366680</t>
        </is>
      </c>
    </row>
    <row r="7576" hidden="1" ht="15.75" customHeight="1">
      <c r="A7576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576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576" t="inlineStr">
        <is>
          <t>Diablo Tools DMAMX1230 1 in. x 24 in. x 29 in. Rebar Demon™ SDS-Max 4-Cutter Full Carbide Head Hammer Bit</t>
        </is>
      </c>
      <c r="D7576" t="inlineStr">
        <is>
          <t>Diablo DMAMX1180 7/8 in. x 16 in. x 21 in. Rebar Demon™ SDS-Max 4-Cutter Full Carbide Head Hammer Bit</t>
        </is>
      </c>
      <c r="E7576" s="2">
        <f>HYPERLINK("https://www.amazon.com/Diablo-SDS-Max-4-Cutter-Carbide-Hammer/dp/B089KWFF8B/ref=sr_1_14?keywords=Diablo+Tools+DMAMX1230+1+in.+x+24+in.+x+29+in.+Rebar+Demon%E2%84%A2+SDS-Max+4-Cutter+Full+Carbide+Head+Hammer+Bit&amp;qid=1694735297&amp;sr=8-14", "https://www.amazon.com/Diablo-SDS-Max-4-Cutter-Carbide-Hammer/dp/B089KWFF8B/ref=sr_1_14?keywords=Diablo+Tools+DMAMX1230+1+in.+x+24+in.+x+29+in.+Rebar+Demon%E2%84%A2+SDS-Max+4-Cutter+Full+Carbide+Head+Hammer+Bit&amp;qid=1694735297&amp;sr=8-14")</f>
        <v/>
      </c>
      <c r="F7576" t="inlineStr">
        <is>
          <t>B089KWFF8B</t>
        </is>
      </c>
      <c r="G7576">
        <f>_xludf.IMAGE("https://edmondsonsupply.com/cdn/shop/products/DMAMX1230_1.jpg?v=1633030364")</f>
        <v/>
      </c>
      <c r="H7576">
        <f>_xludf.IMAGE("https://m.media-amazon.com/images/I/611fTcYRNFL._AC_UL320_.jpg")</f>
        <v/>
      </c>
      <c r="K7576" t="inlineStr">
        <is>
          <t>124.97</t>
        </is>
      </c>
      <c r="L7576" t="n">
        <v>52.51</v>
      </c>
      <c r="M7576" s="1" t="inlineStr">
        <is>
          <t>-57.98%</t>
        </is>
      </c>
      <c r="N7576" s="1" t="n"/>
      <c r="O7576" t="n">
        <v>3.5</v>
      </c>
      <c r="P7576" t="n">
        <v>3</v>
      </c>
      <c r="R7576" t="inlineStr">
        <is>
          <t>InStock</t>
        </is>
      </c>
      <c r="S7576" t="inlineStr">
        <is>
          <t>152.89</t>
        </is>
      </c>
      <c r="T7576" t="inlineStr">
        <is>
          <t>5289176072360</t>
        </is>
      </c>
    </row>
    <row r="7577" hidden="1" ht="15.75" customHeight="1">
      <c r="A7577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577" s="2">
        <f>HYPERLINK("https://edmondsonsupply.com/products/klein-tools-32800-6-in-1-multi-nut-driver-heavy-duty", "https://edmondsonsupply.com/products/klein-tools-32800-6-in-1-multi-nut-driver-heavy-duty")</f>
        <v/>
      </c>
      <c r="C7577" t="inlineStr">
        <is>
          <t>Klein Tools 32800 6-in-1 6-in-1 Multi-Bit Nut Driver, Heavy Duty</t>
        </is>
      </c>
      <c r="D7577" t="inlineStr">
        <is>
          <t>Klein Tools 32562 Multi-Bit Screwdriver / Nut Driver, 6-in-1 Stubby Tool with Square Recess, Slotted, Phillips Bits and Nut Drivers</t>
        </is>
      </c>
      <c r="E7577" s="2">
        <f>HYPERLINK("https://www.amazon.com/Multi-Bit-Screwdriver-Klein-Tools-32562/dp/B007SF5DNE/ref=sr_1_7?keywords=Klein+Tools+32800+6-in-1+6-in-1+Multi-Bit+Nut+Driver%2C+Heavy+Duty&amp;qid=1694735172&amp;sr=8-7", "https://www.amazon.com/Multi-Bit-Screwdriver-Klein-Tools-32562/dp/B007SF5DNE/ref=sr_1_7?keywords=Klein+Tools+32800+6-in-1+6-in-1+Multi-Bit+Nut+Driver%2C+Heavy+Duty&amp;qid=1694735172&amp;sr=8-7")</f>
        <v/>
      </c>
      <c r="F7577" t="inlineStr">
        <is>
          <t>B007SF5DNE</t>
        </is>
      </c>
      <c r="G7577">
        <f>_xludf.IMAGE("https://edmondsonsupply.com/cdn/shop/products/32800_alt2.jpg?v=1646595019")</f>
        <v/>
      </c>
      <c r="H7577">
        <f>_xludf.IMAGE("https://m.media-amazon.com/images/I/515fclR4vsL._AC_UL320_.jpg")</f>
        <v/>
      </c>
      <c r="K7577" t="inlineStr">
        <is>
          <t>29.99</t>
        </is>
      </c>
      <c r="L7577" t="n">
        <v>12.6</v>
      </c>
      <c r="M7577" s="1" t="inlineStr">
        <is>
          <t>-57.99%</t>
        </is>
      </c>
      <c r="N7577" s="1" t="n"/>
      <c r="O7577" t="n">
        <v>4.7</v>
      </c>
      <c r="P7577" t="n">
        <v>480</v>
      </c>
      <c r="R7577" t="inlineStr">
        <is>
          <t>InStock</t>
        </is>
      </c>
      <c r="S7577" t="inlineStr">
        <is>
          <t>42.2</t>
        </is>
      </c>
      <c r="T7577" t="inlineStr">
        <is>
          <t>1723912519780</t>
        </is>
      </c>
    </row>
    <row r="7578" hidden="1" ht="15.75" customHeight="1">
      <c r="A7578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578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578" t="inlineStr">
        <is>
          <t>Klein Tools JTH9E17 1/2-Inch Hex Key with Journeyman T-Handle, 9-Inch</t>
        </is>
      </c>
      <c r="D7578" t="inlineStr">
        <is>
          <t>Klein Tools JTH9M5 5 mm Hex Key with Journeyman T-Handle, 9-Inch</t>
        </is>
      </c>
      <c r="E7578" s="2">
        <f>HYPERLINK("https://www.amazon.com/Journeyman-T-Handle-Klein-Tools-JTH9M5/dp/B005G3HJDW/ref=sr_1_5?keywords=Klein+Tools+JTH9E17+1%2F2-Inch+Hex+Key+with+Journeyman+T-Handle%2C+9-Inch&amp;qid=1694735337&amp;sr=8-5", "https://www.amazon.com/Journeyman-T-Handle-Klein-Tools-JTH9M5/dp/B005G3HJDW/ref=sr_1_5?keywords=Klein+Tools+JTH9E17+1%2F2-Inch+Hex+Key+with+Journeyman+T-Handle%2C+9-Inch&amp;qid=1694735337&amp;sr=8-5")</f>
        <v/>
      </c>
      <c r="F7578" t="inlineStr">
        <is>
          <t>B005G3HJDW</t>
        </is>
      </c>
      <c r="G7578">
        <f>_xludf.IMAGE("https://edmondsonsupply.com/cdn/shop/products/jth9e12_c458fab1-bd79-4a70-ae62-7e6646bd3d84.jpg?v=1587146369")</f>
        <v/>
      </c>
      <c r="H7578">
        <f>_xludf.IMAGE("https://m.media-amazon.com/images/I/51O91N8K8wL._AC_UL320_.jpg")</f>
        <v/>
      </c>
      <c r="K7578" t="inlineStr">
        <is>
          <t>23.99</t>
        </is>
      </c>
      <c r="L7578" t="n">
        <v>10.04</v>
      </c>
      <c r="M7578" s="1" t="inlineStr">
        <is>
          <t>-58.15%</t>
        </is>
      </c>
      <c r="N7578" s="1" t="n"/>
      <c r="O7578" t="n">
        <v>4.7</v>
      </c>
      <c r="P7578" t="n">
        <v>160</v>
      </c>
      <c r="R7578" t="inlineStr">
        <is>
          <t>InStock</t>
        </is>
      </c>
      <c r="S7578" t="inlineStr">
        <is>
          <t>36.36</t>
        </is>
      </c>
      <c r="T7578" t="inlineStr">
        <is>
          <t>4505575981156</t>
        </is>
      </c>
    </row>
    <row r="7579" ht="87" customHeight="1">
      <c r="A7579" s="2">
        <f>HYPERLINK("https://edmondsonsupply.com/collections/electricians-tools/products/copy-of-diablo-tools-dsd0500s06-1-4-in-1-2-in-impact-step-drill-bit-6-steps-1", "https://edmondsonsupply.com/collections/electricians-tools/products/copy-of-diablo-tools-dsd0500s06-1-4-in-1-2-in-impact-step-drill-bit-6-steps-1")</f>
        <v/>
      </c>
      <c r="B7579" s="2">
        <f>HYPERLINK("https://edmondsonsupply.com/products/copy-of-diablo-tools-dsd0500s06-1-4-in-1-2-in-impact-step-drill-bit-6-steps-1", "https://edmondsonsupply.com/products/copy-of-diablo-tools-dsd0500s06-1-4-in-1-2-in-impact-step-drill-bit-6-steps-1")</f>
        <v/>
      </c>
      <c r="C7579" t="inlineStr">
        <is>
          <t>Diablo Tools DSD1125S17 7/8 in. - 1-1/8 in. Impact Step Drill Bit (17 Steps)</t>
        </is>
      </c>
      <c r="D7579" t="inlineStr">
        <is>
          <t>DEWALT Step Drill Bit, Impact Ready, 1/8-Inch-1/2-Inch (DWA1783IR)</t>
        </is>
      </c>
      <c r="E7579" s="2">
        <f>HYPERLINK("https://www.amazon.com/DEWALT-DWA1783IR-8-Inch-1-2-Inch-IMPACT/dp/B0090IHBL4/ref=sr_1_7?keywords=Diablo+Tools+DSD1125S17+7%2F8+in.+-+1-1%2F8+in.+Impact+Step+Drill+Bit+%2817+Steps%29&amp;qid=1694735315&amp;sr=8-7", "https://www.amazon.com/DEWALT-DWA1783IR-8-Inch-1-2-Inch-IMPACT/dp/B0090IHBL4/ref=sr_1_7?keywords=Diablo+Tools+DSD1125S17+7%2F8+in.+-+1-1%2F8+in.+Impact+Step+Drill+Bit+%2817+Steps%29&amp;qid=1694735315&amp;sr=8-7")</f>
        <v/>
      </c>
      <c r="F7579" t="inlineStr">
        <is>
          <t>B0090IHBL4</t>
        </is>
      </c>
      <c r="G7579">
        <f>_xlfn.IMAGE("https://edmondsonsupply.com/cdn/shop/products/DSD1125S17_Main-Image.png?v=1633030270")</f>
        <v/>
      </c>
      <c r="H7579">
        <f>_xlfn.IMAGE("https://m.media-amazon.com/images/I/51NTKj7E2nL._AC_UL320_.jpg")</f>
        <v/>
      </c>
      <c r="K7579" t="inlineStr">
        <is>
          <t>64.97</t>
        </is>
      </c>
      <c r="L7579" t="n">
        <v>27.15</v>
      </c>
      <c r="M7579" s="1" t="inlineStr">
        <is>
          <t>-58.21%</t>
        </is>
      </c>
      <c r="N7579" s="7" t="n"/>
      <c r="O7579" t="n">
        <v>4.8</v>
      </c>
      <c r="P7579" t="n">
        <v>2645</v>
      </c>
      <c r="R7579" t="inlineStr">
        <is>
          <t>InStock</t>
        </is>
      </c>
      <c r="S7579" t="inlineStr">
        <is>
          <t>82.51</t>
        </is>
      </c>
      <c r="T7579" t="inlineStr">
        <is>
          <t>4683700371556</t>
        </is>
      </c>
    </row>
    <row r="7580" hidden="1" ht="15.75" customHeight="1">
      <c r="A7580" s="2">
        <f>HYPERLINK("https://edmondsonsupply.com/collections/electricians-tools/products/klein-tools-605-7-ins-insulated-1-4-inch-cabinet-tip-screwdriver-7-inch", "https://edmondsonsupply.com/collections/electricians-tools/products/klein-tools-605-7-ins-insulated-1-4-inch-cabinet-tip-screwdriver-7-inch")</f>
        <v/>
      </c>
      <c r="B7580" s="2">
        <f>HYPERLINK("https://edmondsonsupply.com/products/klein-tools-605-7-ins-insulated-1-4-inch-cabinet-tip-screwdriver-7-inch", "https://edmondsonsupply.com/products/klein-tools-605-7-ins-insulated-1-4-inch-cabinet-tip-screwdriver-7-inch")</f>
        <v/>
      </c>
      <c r="C7580" t="inlineStr">
        <is>
          <t>Klein Tools 605-7-INS Insulated 1/4-Inch Cabinet Tip Screwdriver, 7-Inch</t>
        </is>
      </c>
      <c r="D7580" t="inlineStr">
        <is>
          <t>Klein Tools 6834INS Insulated Screwdriver, 1000V #2 Phillips Tip Screwdriver with 4-Inch Shank, Tip-Ident, Cushion-Grip Handle</t>
        </is>
      </c>
      <c r="E7580" s="2">
        <f>HYPERLINK("https://www.amazon.com/Klein-Tools-6834INS-Screwdriver-Cushion-Grip/dp/B0BF7LCHQ9/ref=sr_1_25?keywords=Klein+Tools+605-7-INS+Insulated+1%2F4-Inch+Cabinet+Tip+Screwdriver%2C+7-Inch&amp;qid=1694735376&amp;sr=8-25", "https://www.amazon.com/Klein-Tools-6834INS-Screwdriver-Cushion-Grip/dp/B0BF7LCHQ9/ref=sr_1_25?keywords=Klein+Tools+605-7-INS+Insulated+1%2F4-Inch+Cabinet+Tip+Screwdriver%2C+7-Inch&amp;qid=1694735376&amp;sr=8-25")</f>
        <v/>
      </c>
      <c r="F7580" t="inlineStr">
        <is>
          <t>B0BF7LCHQ9</t>
        </is>
      </c>
      <c r="G7580">
        <f>_xludf.IMAGE("https://edmondsonsupply.com/cdn/shop/products/605-7-ins.jpg?v=1587148614")</f>
        <v/>
      </c>
      <c r="H7580">
        <f>_xludf.IMAGE("https://m.media-amazon.com/images/I/41syzbetq2L._AC_UL320_.jpg")</f>
        <v/>
      </c>
      <c r="K7580" t="inlineStr">
        <is>
          <t>23.99</t>
        </is>
      </c>
      <c r="L7580" t="n">
        <v>9.99</v>
      </c>
      <c r="M7580" s="1" t="inlineStr">
        <is>
          <t>-58.36%</t>
        </is>
      </c>
      <c r="N7580" s="1" t="n"/>
      <c r="O7580" t="n">
        <v>5</v>
      </c>
      <c r="P7580" t="n">
        <v>5</v>
      </c>
      <c r="R7580" t="inlineStr">
        <is>
          <t>InStock</t>
        </is>
      </c>
      <c r="S7580" t="inlineStr">
        <is>
          <t>32.58</t>
        </is>
      </c>
      <c r="T7580" t="inlineStr">
        <is>
          <t>4414349181028</t>
        </is>
      </c>
    </row>
    <row r="7581" ht="87" customHeight="1">
      <c r="A7581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81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81" t="inlineStr">
        <is>
          <t>Milwaukee 48-11-2411 M12 REDLITHIUM™ Compact Battery Two Pack</t>
        </is>
      </c>
      <c r="D7581" t="inlineStr">
        <is>
          <t>Rocivic Replace for Milwaukee M12 Battery 6.0Ah 2 Packs, Compatible with Milwaukee 12V 48-11-2410 48-11-2420 48-11-2411 48-11-2401 12 Volt Lithium Ion Battery</t>
        </is>
      </c>
      <c r="E7581" s="2">
        <f>HYPERLINK("https://www.amazon.com/Rocivic-Compatible-48-11-2410-48-11-2420-48-11-2411/dp/B0BV6C8SGH/ref=sr_1_22?keywords=Milwaukee+48-11-2411+M12+REDLITHIUM%E2%84%A2+Compact+Battery+Two+Pack&amp;qid=1694735145&amp;sr=8-22", "https://www.amazon.com/Rocivic-Compatible-48-11-2410-48-11-2420-48-11-2411/dp/B0BV6C8SGH/ref=sr_1_22?keywords=Milwaukee+48-11-2411+M12+REDLITHIUM%E2%84%A2+Compact+Battery+Two+Pack&amp;qid=1694735145&amp;sr=8-22")</f>
        <v/>
      </c>
      <c r="F7581" t="inlineStr">
        <is>
          <t>B0BV6C8SGH</t>
        </is>
      </c>
      <c r="G7581">
        <f>_xlfn.IMAGE("https://edmondsonsupply.com/cdn/shop/products/65014_48-11-2411-lg.jpg?v=1655484824")</f>
        <v/>
      </c>
      <c r="H7581">
        <f>_xlfn.IMAGE("https://m.media-amazon.com/images/I/61027zVfxKL._AC_UL320_.jpg")</f>
        <v/>
      </c>
      <c r="K7581" t="inlineStr">
        <is>
          <t>89.0</t>
        </is>
      </c>
      <c r="L7581" t="n">
        <v>36.98</v>
      </c>
      <c r="M7581" s="1" t="inlineStr">
        <is>
          <t>-58.45%</t>
        </is>
      </c>
      <c r="N7581" s="7" t="n"/>
      <c r="O7581" t="n">
        <v>4.5</v>
      </c>
      <c r="P7581" t="n">
        <v>195</v>
      </c>
      <c r="R7581" t="inlineStr">
        <is>
          <t>OutOfStock</t>
        </is>
      </c>
      <c r="S7581" t="inlineStr">
        <is>
          <t>150.0</t>
        </is>
      </c>
      <c r="T7581" t="inlineStr">
        <is>
          <t>7721456795864</t>
        </is>
      </c>
    </row>
    <row r="7582" hidden="1" ht="15.75" customHeight="1">
      <c r="A7582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582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582" t="inlineStr">
        <is>
          <t>Diablo Tools DMAPL9920-S7 7pc Rebar Demon™ SDS-Plus 4-Cutter Full Carbide Head Hammer Bit Set</t>
        </is>
      </c>
      <c r="D7582" t="inlineStr">
        <is>
          <t>Diablo DMAPL4055 3/16 in. x 10 in. x 12 in. Rebar Demon™ SDS-Plus 4-Cutter Full Carbide Head Hammer Bit</t>
        </is>
      </c>
      <c r="E7582" s="2">
        <f>HYPERLINK("https://www.amazon.com/Diablo-DMAPL4055-SDS-Plus-4-Cutter-Carbide/dp/B089LJCD42/ref=sr_1_8?keywords=Diablo+Tools+DMAPL9920-S7+7pc+Rebar+Demon%E2%84%A2+SDS-Plus+4-Cutter+Full+Carbide+Head+Hammer+Bit+Set&amp;qid=1694735019&amp;sr=8-8", "https://www.amazon.com/Diablo-DMAPL4055-SDS-Plus-4-Cutter-Carbide/dp/B089LJCD42/ref=sr_1_8?keywords=Diablo+Tools+DMAPL9920-S7+7pc+Rebar+Demon%E2%84%A2+SDS-Plus+4-Cutter+Full+Carbide+Head+Hammer+Bit+Set&amp;qid=1694735019&amp;sr=8-8")</f>
        <v/>
      </c>
      <c r="F7582" t="inlineStr">
        <is>
          <t>B089LJCD42</t>
        </is>
      </c>
      <c r="G7582">
        <f>_xludf.IMAGE("https://edmondsonsupply.com/cdn/shop/products/vgtm2xrrra4yfevsszgf.webp?v=1679328619")</f>
        <v/>
      </c>
      <c r="H7582">
        <f>_xludf.IMAGE("https://m.media-amazon.com/images/I/61cDOAhkb4L._AC_UL320_.jpg")</f>
        <v/>
      </c>
      <c r="K7582" t="inlineStr">
        <is>
          <t>37.97</t>
        </is>
      </c>
      <c r="L7582" t="n">
        <v>15.76</v>
      </c>
      <c r="M7582" s="1" t="inlineStr">
        <is>
          <t>-58.49%</t>
        </is>
      </c>
      <c r="N7582" s="1" t="n"/>
      <c r="O7582" t="n">
        <v>2</v>
      </c>
      <c r="P7582" t="n">
        <v>1</v>
      </c>
      <c r="R7582" t="inlineStr">
        <is>
          <t>InStock</t>
        </is>
      </c>
      <c r="S7582" t="inlineStr">
        <is>
          <t>55.56</t>
        </is>
      </c>
      <c r="T7582" t="inlineStr">
        <is>
          <t>7964936995032</t>
        </is>
      </c>
    </row>
    <row r="7583" ht="87" customHeight="1">
      <c r="A7583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583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583" t="inlineStr">
        <is>
          <t>Diablo Tools DMAPL4040-P25 3/16 in. x 4 in. x 6 in. Rebar Demon™ SDS-Plus 4-Cutter Full Carbide Head Hammer Bit (25-Pack)</t>
        </is>
      </c>
      <c r="D7583" t="inlineStr">
        <is>
          <t>Diablo by Freud DMAPL4300 1 in. x 8 in. x 10 in. Rebar Demon™ SDS-Plus 4-Cutter Full Carbide Head Hammer Bit</t>
        </is>
      </c>
      <c r="E7583" s="2" t="n"/>
      <c r="F7583" t="inlineStr">
        <is>
          <t>B089LL8JD8</t>
        </is>
      </c>
      <c r="G7583">
        <f>_xlfn.IMAGE("https://edmondsonsupply.com/cdn/shop/products/DMAPL4040-P25.jpg?v=1633030349")</f>
        <v/>
      </c>
      <c r="H7583">
        <f>_xlfn.IMAGE("https://m.media-amazon.com/images/I/616UiJGsK1L._AC_UL320_.jpg")</f>
        <v/>
      </c>
      <c r="K7583" t="inlineStr">
        <is>
          <t>81.97</t>
        </is>
      </c>
      <c r="L7583" t="n">
        <v>33.95</v>
      </c>
      <c r="M7583" s="1" t="inlineStr">
        <is>
          <t>-58.58%</t>
        </is>
      </c>
      <c r="N7583" s="7" t="n"/>
      <c r="O7583" t="n">
        <v>4.5</v>
      </c>
      <c r="P7583" t="n">
        <v>16</v>
      </c>
      <c r="R7583" t="inlineStr">
        <is>
          <t>InStock</t>
        </is>
      </c>
      <c r="S7583" t="inlineStr">
        <is>
          <t>117.4</t>
        </is>
      </c>
      <c r="T7583" t="inlineStr">
        <is>
          <t>5283055206568</t>
        </is>
      </c>
    </row>
    <row r="7584" ht="87" customHeight="1">
      <c r="A7584" s="2">
        <f>HYPERLINK("https://edmondsonsupply.com/collections/electricians-tools/products/fluke-325-true-rms-clamp-meter", "https://edmondsonsupply.com/collections/electricians-tools/products/fluke-325-true-rms-clamp-meter")</f>
        <v/>
      </c>
      <c r="B7584" s="2">
        <f>HYPERLINK("https://edmondsonsupply.com/products/fluke-325-true-rms-clamp-meter", "https://edmondsonsupply.com/products/fluke-325-true-rms-clamp-meter")</f>
        <v/>
      </c>
      <c r="C7584" t="inlineStr">
        <is>
          <t>Fluke 325 True RMS Clamp Meter</t>
        </is>
      </c>
      <c r="D7584" t="inlineStr">
        <is>
          <t>FLUKE 362 True-rms AC DC Clamp Meter</t>
        </is>
      </c>
      <c r="E7584" s="2">
        <f>HYPERLINK("https://www.amazon.com/FLUKE-362-True-rms-Clamp-Meter/dp/B00L7KZYSA/ref=sr_1_21?keywords=Fluke+325+True+RMS+Clamp+Meter&amp;qid=1694735185&amp;sr=8-21", "https://www.amazon.com/FLUKE-362-True-rms-Clamp-Meter/dp/B00L7KZYSA/ref=sr_1_21?keywords=Fluke+325+True+RMS+Clamp+Meter&amp;qid=1694735185&amp;sr=8-21")</f>
        <v/>
      </c>
      <c r="F7584" t="inlineStr">
        <is>
          <t>B00L7KZYSA</t>
        </is>
      </c>
      <c r="G7584">
        <f>_xlfn.IMAGE("https://edmondsonsupply.com/cdn/shop/products/Fluke_325_clamp_meter_1280x873px_E_NR-14655.jpg?v=1688679209")</f>
        <v/>
      </c>
      <c r="H7584">
        <f>_xlfn.IMAGE("https://m.media-amazon.com/images/I/21slynZmYNL._AC_UY218_.jpg")</f>
        <v/>
      </c>
      <c r="K7584" t="inlineStr">
        <is>
          <t>373.49</t>
        </is>
      </c>
      <c r="L7584" t="n">
        <v>154</v>
      </c>
      <c r="M7584" s="1" t="inlineStr">
        <is>
          <t>-58.77%</t>
        </is>
      </c>
      <c r="N7584" s="7" t="n"/>
      <c r="O7584" t="n">
        <v>4.5</v>
      </c>
      <c r="P7584" t="n">
        <v>141</v>
      </c>
      <c r="R7584" t="inlineStr">
        <is>
          <t>InStock</t>
        </is>
      </c>
      <c r="S7584" t="inlineStr">
        <is>
          <t>414.99</t>
        </is>
      </c>
      <c r="T7584" t="inlineStr">
        <is>
          <t>6917985468589</t>
        </is>
      </c>
    </row>
    <row r="7585" ht="87" customHeight="1">
      <c r="A7585" s="2">
        <f>HYPERLINK("https://edmondsonsupply.com/collections/electricians-tools/products/milwaukee-48-11-2402-m12%E2%84%A2-xc-high-capacity-redlithium%E2%84%A2-battery", "https://edmondsonsupply.com/collections/electricians-tools/products/milwaukee-48-11-2402-m12%E2%84%A2-xc-high-capacity-redlithium%E2%84%A2-battery")</f>
        <v/>
      </c>
      <c r="B7585" s="2">
        <f>HYPERLINK("https://edmondsonsupply.com/products/milwaukee-48-11-2402-m12%e2%84%a2-xc-high-capacity-redlithium%e2%84%a2-battery", "https://edmondsonsupply.com/products/milwaukee-48-11-2402-m12%e2%84%a2-xc-high-capacity-redlithium%e2%84%a2-battery")</f>
        <v/>
      </c>
      <c r="C7585" t="inlineStr">
        <is>
          <t>Milwaukee 48-11-2402 M12™ XC High Capacity REDLITHIUM™ Battery</t>
        </is>
      </c>
      <c r="D7585" t="inlineStr">
        <is>
          <t>Yongcell 2-Pack 12V 6.0Ah M12 Battery Replacement for Milwaukee 12-Volt M12 Lithium XC 6.0Ah Extended Capacity Cordless Power Tools Battery 48-11-2460 48-11-2440 48-11-2402 48-11-2411</t>
        </is>
      </c>
      <c r="E7585" s="2">
        <f>HYPERLINK("https://www.amazon.com/Yongcell-Replacement-48-11-2460-48-11-2440-48-11-2402/dp/B093L9ZWCS/ref=sr_1_13?keywords=Milwaukee+48-11-2402+M12%E2%84%A2+XC+High+Capacity+REDLITHIUM%E2%84%A2+Battery&amp;qid=1694735153&amp;sr=8-13", "https://www.amazon.com/Yongcell-Replacement-48-11-2460-48-11-2440-48-11-2402/dp/B093L9ZWCS/ref=sr_1_13?keywords=Milwaukee+48-11-2402+M12%E2%84%A2+XC+High+Capacity+REDLITHIUM%E2%84%A2+Battery&amp;qid=1694735153&amp;sr=8-13")</f>
        <v/>
      </c>
      <c r="F7585" t="inlineStr">
        <is>
          <t>B093L9ZWCS</t>
        </is>
      </c>
      <c r="G7585">
        <f>_xlfn.IMAGE("https://edmondsonsupply.com/cdn/shop/products/56222_48-11-2402v1-lg.webp?v=1654795509")</f>
        <v/>
      </c>
      <c r="H7585">
        <f>_xlfn.IMAGE("https://m.media-amazon.com/images/I/71BQqHmVNoS._AC_UL320_.jpg")</f>
        <v/>
      </c>
      <c r="K7585" t="inlineStr">
        <is>
          <t>79.0</t>
        </is>
      </c>
      <c r="L7585" t="n">
        <v>32.38</v>
      </c>
      <c r="M7585" s="1" t="inlineStr">
        <is>
          <t>-59.01%</t>
        </is>
      </c>
      <c r="N7585" s="7" t="n"/>
      <c r="O7585" t="n">
        <v>4.5</v>
      </c>
      <c r="P7585" t="n">
        <v>130</v>
      </c>
      <c r="R7585" t="inlineStr">
        <is>
          <t>InStock</t>
        </is>
      </c>
      <c r="S7585" t="inlineStr">
        <is>
          <t>132.0</t>
        </is>
      </c>
      <c r="T7585" t="inlineStr">
        <is>
          <t>7711220302040</t>
        </is>
      </c>
    </row>
    <row r="7586" ht="87" customHeight="1">
      <c r="A7586" s="2">
        <f>HYPERLINK("https://edmondsonsupply.com/collections/electricians-tools/products/klein-tools-5151-drawstring-bag-10-compartment", "https://edmondsonsupply.com/collections/electricians-tools/products/klein-tools-5151-drawstring-bag-10-compartment")</f>
        <v/>
      </c>
      <c r="B7586" s="2">
        <f>HYPERLINK("https://edmondsonsupply.com/products/klein-tools-5151-drawstring-bag-10-compartment", "https://edmondsonsupply.com/products/klein-tools-5151-drawstring-bag-10-compartment")</f>
        <v/>
      </c>
      <c r="C7586" t="inlineStr">
        <is>
          <t>Klein Tools 5151 Drawstring Bag, 10-Compartment</t>
        </is>
      </c>
      <c r="D7586" t="inlineStr">
        <is>
          <t>Klein Tools 5416TC Tool Bag, Top Closing Bolt Bag with 3-Inch Drawstring, Load Rated with Tunnel Connect, 5 x 10 x 9-Inch</t>
        </is>
      </c>
      <c r="E7586" s="2">
        <f>HYPERLINK("https://www.amazon.com/Closing-Bolt-Klein-Tools-5416TC/dp/B00C0Z1YVW/ref=sr_1_2?keywords=Klein+Tools+5151+Drawstring+Bag%2C+10-Compartment&amp;qid=1694735367&amp;sr=8-2", "https://www.amazon.com/Closing-Bolt-Klein-Tools-5416TC/dp/B00C0Z1YVW/ref=sr_1_2?keywords=Klein+Tools+5151+Drawstring+Bag%2C+10-Compartment&amp;qid=1694735367&amp;sr=8-2")</f>
        <v/>
      </c>
      <c r="F7586" t="inlineStr">
        <is>
          <t>B00C0Z1YVW</t>
        </is>
      </c>
      <c r="G7586">
        <f>_xlfn.IMAGE("https://edmondsonsupply.com/cdn/shop/products/5151.jpg?v=1587145508")</f>
        <v/>
      </c>
      <c r="H7586">
        <f>_xlfn.IMAGE("https://m.media-amazon.com/images/I/61aDqYITs+L._AC_UL320_.jpg")</f>
        <v/>
      </c>
      <c r="K7586" t="inlineStr">
        <is>
          <t>63.99</t>
        </is>
      </c>
      <c r="L7586" t="n">
        <v>26.22</v>
      </c>
      <c r="M7586" s="1" t="inlineStr">
        <is>
          <t>-59.02%</t>
        </is>
      </c>
      <c r="N7586" s="7" t="n"/>
      <c r="O7586" t="n">
        <v>4.7</v>
      </c>
      <c r="P7586" t="n">
        <v>324</v>
      </c>
      <c r="R7586" t="inlineStr">
        <is>
          <t>InStock</t>
        </is>
      </c>
      <c r="S7586" t="inlineStr">
        <is>
          <t>96.96</t>
        </is>
      </c>
      <c r="T7586" t="inlineStr">
        <is>
          <t>4430993555556</t>
        </is>
      </c>
    </row>
    <row r="7587" ht="87" customHeight="1">
      <c r="A7587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7587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7587" t="inlineStr">
        <is>
          <t>Klein Tools 51605 Iron Conduit Bender Full Assembly, 1-Inch EMT with Angle Setter™</t>
        </is>
      </c>
      <c r="D7587" t="inlineStr">
        <is>
          <t>Klein Tools 51608 Iron Conduit Bender Head, for 1/2-Inch EMT, Compatible with Klein Tools Angle Setter (Cat. No. 51611)</t>
        </is>
      </c>
      <c r="E7587" s="2">
        <f>HYPERLINK("https://www.amazon.com/Conduit-Compatible-Klein-Tools-51608/dp/B08VYJMT3R/ref=sr_1_11?keywords=Klein+Tools+51605+Iron+Conduit+Bender+Full+Assembly%2C+1-Inch+EMT+with+Angle+Setter%E2%84%A2&amp;qid=1694735128&amp;sr=8-11", "https://www.amazon.com/Conduit-Compatible-Klein-Tools-51608/dp/B08VYJMT3R/ref=sr_1_11?keywords=Klein+Tools+51605+Iron+Conduit+Bender+Full+Assembly%2C+1-Inch+EMT+with+Angle+Setter%E2%84%A2&amp;qid=1694735128&amp;sr=8-11")</f>
        <v/>
      </c>
      <c r="F7587" t="inlineStr">
        <is>
          <t>B08VYJMT3R</t>
        </is>
      </c>
      <c r="G7587">
        <f>_xlfn.IMAGE("https://edmondsonsupply.com/cdn/shop/products/51605.jpg?v=1663938749")</f>
        <v/>
      </c>
      <c r="H7587">
        <f>_xlfn.IMAGE("https://m.media-amazon.com/images/I/61mnVTiX18L._AC_UL320_.jpg")</f>
        <v/>
      </c>
      <c r="K7587" t="inlineStr">
        <is>
          <t>99.97</t>
        </is>
      </c>
      <c r="L7587" t="n">
        <v>40.91</v>
      </c>
      <c r="M7587" s="1" t="inlineStr">
        <is>
          <t>-59.08%</t>
        </is>
      </c>
      <c r="N7587" s="7" t="n"/>
      <c r="O7587" t="n">
        <v>4.3</v>
      </c>
      <c r="P7587" t="n">
        <v>17</v>
      </c>
      <c r="R7587" t="inlineStr">
        <is>
          <t>InStock</t>
        </is>
      </c>
      <c r="S7587" t="inlineStr">
        <is>
          <t>149.98</t>
        </is>
      </c>
      <c r="T7587" t="inlineStr">
        <is>
          <t>7827205619928</t>
        </is>
      </c>
    </row>
    <row r="7588" hidden="1" ht="15.75" customHeight="1">
      <c r="A7588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7588" s="2">
        <f>HYPERLINK("https://edmondsonsupply.com/products/diablo-tools-dmast1050-5-8-in-x-2-1-16-x-sds-plus-2-cutter", "https://edmondsonsupply.com/products/diablo-tools-dmast1050-5-8-in-x-2-1-16-x-sds-plus-2-cutter")</f>
        <v/>
      </c>
      <c r="C7588" t="inlineStr">
        <is>
          <t>Diablo Tools DMAST1050 5/8 in. x 2-1/16 SDS-Plus 2-Cutter</t>
        </is>
      </c>
      <c r="D7588" t="inlineStr">
        <is>
          <t>Diablo by Freud DMAPL4050 3/16 in. x 6 in. x 8 in. Rebar Demon SDS-Plus 4-Cutter Full Carbide Head Hammer Bit Multi, One Size</t>
        </is>
      </c>
      <c r="E7588" s="2">
        <f>HYPERLINK("https://www.amazon.com/Diablo-SDS-Plus-4-Cutter-Carbide-Hammer/dp/B089LKWR9L/ref=sr_1_47?keywords=Diablo+Tools+DMAST1050+5%2F8+in.+x+2-1%2F16+SDS-Plus+2-Cutter&amp;qid=1694735304&amp;sr=8-47", "https://www.amazon.com/Diablo-SDS-Plus-4-Cutter-Carbide-Hammer/dp/B089LKWR9L/ref=sr_1_47?keywords=Diablo+Tools+DMAST1050+5%2F8+in.+x+2-1%2F16+SDS-Plus+2-Cutter&amp;qid=1694735304&amp;sr=8-47")</f>
        <v/>
      </c>
      <c r="F7588" t="inlineStr">
        <is>
          <t>B089LKWR9L</t>
        </is>
      </c>
      <c r="G7588">
        <f>_xludf.IMAGE("https://edmondsonsupply.com/cdn/shop/products/DMAST1050_1.jpg?v=1633030363")</f>
        <v/>
      </c>
      <c r="H7588">
        <f>_xludf.IMAGE("https://m.media-amazon.com/images/I/61uukuKzJeL._AC_UL320_.jpg")</f>
        <v/>
      </c>
      <c r="K7588" t="inlineStr">
        <is>
          <t>21.97</t>
        </is>
      </c>
      <c r="L7588" t="n">
        <v>8.99</v>
      </c>
      <c r="M7588" s="1" t="inlineStr">
        <is>
          <t>-59.08%</t>
        </is>
      </c>
      <c r="N7588" s="1" t="n"/>
      <c r="O7588" t="n">
        <v>3.7</v>
      </c>
      <c r="P7588" t="n">
        <v>10</v>
      </c>
      <c r="R7588" t="inlineStr">
        <is>
          <t>InStock</t>
        </is>
      </c>
      <c r="S7588" t="inlineStr">
        <is>
          <t>29.12</t>
        </is>
      </c>
      <c r="T7588" t="inlineStr">
        <is>
          <t>5286938869928</t>
        </is>
      </c>
    </row>
    <row r="7589" hidden="1" ht="15.75" customHeight="1">
      <c r="A7589" s="2">
        <f>HYPERLINK("https://edmondsonsupply.com/collections/electricians-tools/products/diablo-tools-dmast1050-5-8-in-x-2-1-16-x-sds-plus-2-cutter", "https://edmondsonsupply.com/collections/electricians-tools/products/diablo-tools-dmast1050-5-8-in-x-2-1-16-x-sds-plus-2-cutter")</f>
        <v/>
      </c>
      <c r="B7589" s="2">
        <f>HYPERLINK("https://edmondsonsupply.com/products/diablo-tools-dmast1050-5-8-in-x-2-1-16-x-sds-plus-2-cutter", "https://edmondsonsupply.com/products/diablo-tools-dmast1050-5-8-in-x-2-1-16-x-sds-plus-2-cutter")</f>
        <v/>
      </c>
      <c r="C7589" t="inlineStr">
        <is>
          <t>Diablo Tools DMAST1050 5/8 in. x 2-1/16 SDS-Plus 2-Cutter</t>
        </is>
      </c>
      <c r="D7589" t="inlineStr">
        <is>
          <t>Sabre Tools 5/8 Inch x 12 Inch SDS Plus Rotary Hammer Drill Bit, Carbide Tipped for Brick, Stone, and Concrete Version 2 (5/8" x 10" x 12")</t>
        </is>
      </c>
      <c r="E7589" s="2">
        <f>HYPERLINK("https://www.amazon.com/Sabre-Tools-Carbide-Concrete-Version/dp/B096NP55YT/ref=sr_1_21?keywords=Diablo+Tools+DMAST1050+5%2F8+in.+x+2-1%2F16+SDS-Plus+2-Cutter&amp;qid=1694735304&amp;sr=8-21", "https://www.amazon.com/Sabre-Tools-Carbide-Concrete-Version/dp/B096NP55YT/ref=sr_1_21?keywords=Diablo+Tools+DMAST1050+5%2F8+in.+x+2-1%2F16+SDS-Plus+2-Cutter&amp;qid=1694735304&amp;sr=8-21")</f>
        <v/>
      </c>
      <c r="F7589" t="inlineStr">
        <is>
          <t>B096NP55YT</t>
        </is>
      </c>
      <c r="G7589">
        <f>_xludf.IMAGE("https://edmondsonsupply.com/cdn/shop/products/DMAST1050_1.jpg?v=1633030363")</f>
        <v/>
      </c>
      <c r="H7589">
        <f>_xludf.IMAGE("https://m.media-amazon.com/images/I/61ud30R+yzL._AC_UL320_.jpg")</f>
        <v/>
      </c>
      <c r="K7589" t="inlineStr">
        <is>
          <t>21.97</t>
        </is>
      </c>
      <c r="L7589" t="n">
        <v>8.99</v>
      </c>
      <c r="M7589" s="1" t="inlineStr">
        <is>
          <t>-59.08%</t>
        </is>
      </c>
      <c r="N7589" s="1" t="n"/>
      <c r="O7589" t="n">
        <v>4.6</v>
      </c>
      <c r="P7589" t="n">
        <v>796</v>
      </c>
      <c r="R7589" t="inlineStr">
        <is>
          <t>InStock</t>
        </is>
      </c>
      <c r="S7589" t="inlineStr">
        <is>
          <t>29.12</t>
        </is>
      </c>
      <c r="T7589" t="inlineStr">
        <is>
          <t>5286938869928</t>
        </is>
      </c>
    </row>
    <row r="7590" hidden="1" ht="15.75" customHeight="1">
      <c r="A7590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590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590" t="inlineStr">
        <is>
          <t>Klein Tools 602-4-INS 1/4-Inch Cabinet Tip Insulated Screwdriver, 4-Inch</t>
        </is>
      </c>
      <c r="D7590" t="inlineStr">
        <is>
          <t>Klein Tools 605-4 1/4-Inch Cabinet Tip Screwdriver Heavy Duty 4-Inch Round Shank</t>
        </is>
      </c>
      <c r="E7590" s="2">
        <f>HYPERLINK("https://www.amazon.com/Cabinet-Screwdriver-Klein-Tools-605-4/dp/B000BQWOO8/ref=sr_1_5?keywords=Klein+Tools+602-4-INS+1%2F4-Inch+Cabinet+Tip+Insulated+Screwdriver%2C+4-Inch&amp;qid=1694735209&amp;sr=8-5", "https://www.amazon.com/Cabinet-Screwdriver-Klein-Tools-605-4/dp/B000BQWOO8/ref=sr_1_5?keywords=Klein+Tools+602-4-INS+1%2F4-Inch+Cabinet+Tip+Insulated+Screwdriver%2C+4-Inch&amp;qid=1694735209&amp;sr=8-5")</f>
        <v/>
      </c>
      <c r="F7590" t="inlineStr">
        <is>
          <t>B000BQWOO8</t>
        </is>
      </c>
      <c r="G7590">
        <f>_xludf.IMAGE("https://edmondsonsupply.com/cdn/shop/products/602-4-ins-photo.jpg?v=1633031051")</f>
        <v/>
      </c>
      <c r="H7590">
        <f>_xludf.IMAGE("https://m.media-amazon.com/images/I/41WLDr2SP+L._AC_UL320_.jpg")</f>
        <v/>
      </c>
      <c r="K7590" t="inlineStr">
        <is>
          <t>20.99</t>
        </is>
      </c>
      <c r="L7590" t="n">
        <v>8.57</v>
      </c>
      <c r="M7590" s="1" t="inlineStr">
        <is>
          <t>-59.17%</t>
        </is>
      </c>
      <c r="N7590" s="1" t="n"/>
      <c r="O7590" t="n">
        <v>4.8</v>
      </c>
      <c r="P7590" t="n">
        <v>1225</v>
      </c>
      <c r="R7590" t="inlineStr">
        <is>
          <t>InStock</t>
        </is>
      </c>
      <c r="S7590" t="inlineStr">
        <is>
          <t>31.8</t>
        </is>
      </c>
      <c r="T7590" t="inlineStr">
        <is>
          <t>6779496890541</t>
        </is>
      </c>
    </row>
    <row r="7591" ht="87" customHeight="1">
      <c r="A7591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591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591" t="inlineStr">
        <is>
          <t>Diablo Tools DMAPL4160-P25 3/8 in. x 10 in. x 12 in. Rebar Demon™ SDS-Plus 4-Cutter Full Carbide Head Hammer Bit (25 pack)</t>
        </is>
      </c>
      <c r="D7591" t="inlineStr">
        <is>
          <t>Diablo by Freud DMAPL4040-P25 3/16 in. x 4 in. x 6 in. Rebar Demon™ SDS-Plus 4-Cutter Full Carbide Head Hammer Bit (25-Pack)</t>
        </is>
      </c>
      <c r="E7591" s="2" t="n"/>
      <c r="F7591" t="inlineStr">
        <is>
          <t>B089LKW42D</t>
        </is>
      </c>
      <c r="G7591">
        <f>_xlfn.IMAGE("https://edmondsonsupply.com/cdn/shop/products/DMAPL4160_Main-Image20200702.png?v=1633030463")</f>
        <v/>
      </c>
      <c r="H7591">
        <f>_xlfn.IMAGE("https://m.media-amazon.com/images/I/61WAyx865hL._AC_UL320_.jpg")</f>
        <v/>
      </c>
      <c r="K7591" t="inlineStr">
        <is>
          <t>195.97</t>
        </is>
      </c>
      <c r="L7591" t="n">
        <v>79.63</v>
      </c>
      <c r="M7591" s="1" t="inlineStr">
        <is>
          <t>-59.37%</t>
        </is>
      </c>
      <c r="N7591" s="7" t="n"/>
      <c r="O7591" t="n">
        <v>5</v>
      </c>
      <c r="P7591" t="n">
        <v>2</v>
      </c>
      <c r="R7591" t="inlineStr">
        <is>
          <t>InStock</t>
        </is>
      </c>
      <c r="S7591" t="inlineStr">
        <is>
          <t>283.58</t>
        </is>
      </c>
      <c r="T7591" t="inlineStr">
        <is>
          <t>5361994236072</t>
        </is>
      </c>
    </row>
    <row r="7592" ht="87" customHeight="1">
      <c r="A7592" s="2">
        <f>HYPERLINK("https://edmondsonsupply.com/collections/electricians-tools/products/klein-tools-635-4-nut-driver-set-magnetic-nut-drivers-heavy-duty-4-piece", "https://edmondsonsupply.com/collections/electricians-tools/products/klein-tools-635-4-nut-driver-set-magnetic-nut-drivers-heavy-duty-4-piece")</f>
        <v/>
      </c>
      <c r="B7592" s="2">
        <f>HYPERLINK("https://edmondsonsupply.com/products/klein-tools-635-4-nut-driver-set-magnetic-nut-drivers-heavy-duty-4-piece", "https://edmondsonsupply.com/products/klein-tools-635-4-nut-driver-set-magnetic-nut-drivers-heavy-duty-4-piece")</f>
        <v/>
      </c>
      <c r="C7592" t="inlineStr">
        <is>
          <t>Klein Tools 635-4 Nut Driver Set, Magnetic Nut Drivers, Heavy Duty, 4-Piece</t>
        </is>
      </c>
      <c r="D7592" t="inlineStr">
        <is>
          <t>Klein Tools 646M Tool Set, Magnetic Nut Drivers Sizes 1/4 and 5/16-Inch, 6-Inch Shafts, 2-Piece</t>
        </is>
      </c>
      <c r="E7592" s="2">
        <f>HYPERLINK("https://www.amazon.com/Magnetic-16-Inch-Klein-Tools-646M/dp/B000936QV0/ref=sr_1_2?keywords=Klein+Tools+635-4+Nut+Driver+Set%2C+Magnetic+Nut+Drivers%2C+Heavy+Duty%2C+4-Piece&amp;qid=1694735170&amp;sr=8-2", "https://www.amazon.com/Magnetic-16-Inch-Klein-Tools-646M/dp/B000936QV0/ref=sr_1_2?keywords=Klein+Tools+635-4+Nut+Driver+Set%2C+Magnetic+Nut+Drivers%2C+Heavy+Duty%2C+4-Piece&amp;qid=1694735170&amp;sr=8-2")</f>
        <v/>
      </c>
      <c r="F7592" t="inlineStr">
        <is>
          <t>B000936QV0</t>
        </is>
      </c>
      <c r="G7592">
        <f>_xlfn.IMAGE("https://edmondsonsupply.com/cdn/shop/products/635-4.jpg?v=1640815398")</f>
        <v/>
      </c>
      <c r="H7592">
        <f>_xlfn.IMAGE("https://m.media-amazon.com/images/I/41lkJ6KRq9L._AC_UL320_.jpg")</f>
        <v/>
      </c>
      <c r="K7592" t="inlineStr">
        <is>
          <t>54.99</t>
        </is>
      </c>
      <c r="L7592" t="n">
        <v>22.34</v>
      </c>
      <c r="M7592" s="1" t="inlineStr">
        <is>
          <t>-59.37%</t>
        </is>
      </c>
      <c r="N7592" s="7" t="n"/>
      <c r="O7592" t="n">
        <v>4.8</v>
      </c>
      <c r="P7592" t="n">
        <v>1652</v>
      </c>
      <c r="R7592" t="inlineStr">
        <is>
          <t>InStock</t>
        </is>
      </c>
      <c r="S7592" t="inlineStr">
        <is>
          <t>83.32</t>
        </is>
      </c>
      <c r="T7592" t="inlineStr">
        <is>
          <t>7559649984728</t>
        </is>
      </c>
    </row>
    <row r="7593" hidden="1" ht="15.75" customHeight="1">
      <c r="A7593" s="2">
        <f>HYPERLINK("https://edmondsonsupply.com/collections/electricians-tools/products/amprobe-thwd-3-relative-humidity-temperature-meter", "https://edmondsonsupply.com/collections/electricians-tools/products/amprobe-thwd-3-relative-humidity-temperature-meter")</f>
        <v/>
      </c>
      <c r="B7593" s="2">
        <f>HYPERLINK("https://edmondsonsupply.com/products/amprobe-thwd-3-relative-humidity-temperature-meter", "https://edmondsonsupply.com/products/amprobe-thwd-3-relative-humidity-temperature-meter")</f>
        <v/>
      </c>
      <c r="C7593" t="inlineStr">
        <is>
          <t>Amprobe THWD-3 Relative Humidity Temperature Meter</t>
        </is>
      </c>
      <c r="D7593" t="inlineStr">
        <is>
          <t>Amprobe - 3477302 TR200-A Temperature and Relative Humidity Data Logger</t>
        </is>
      </c>
      <c r="E7593" s="2">
        <f>HYPERLINK("https://www.amazon.com/Amprobe-TR200-Temperature-Relative-Humidity/dp/B004JV21AI/ref=sr_1_8?keywords=Amprobe+THWD-3+Relative+Humidity+Temperature+Meter&amp;qid=1694735184&amp;sr=8-8", "https://www.amazon.com/Amprobe-TR200-Temperature-Relative-Humidity/dp/B004JV21AI/ref=sr_1_8?keywords=Amprobe+THWD-3+Relative+Humidity+Temperature+Meter&amp;qid=1694735184&amp;sr=8-8")</f>
        <v/>
      </c>
      <c r="F7593" t="inlineStr">
        <is>
          <t>B004JV21AI</t>
        </is>
      </c>
      <c r="G7593">
        <f>_xludf.IMAGE("https://edmondsonsupply.com/cdn/shop/products/THWD-3.png?v=1633526329")</f>
        <v/>
      </c>
      <c r="H7593">
        <f>_xludf.IMAGE("https://m.media-amazon.com/images/I/81tQJVsc7CL._AC_UL320_.jpg")</f>
        <v/>
      </c>
      <c r="K7593" t="inlineStr">
        <is>
          <t>176.36</t>
        </is>
      </c>
      <c r="L7593" t="n">
        <v>71.5</v>
      </c>
      <c r="M7593" s="1" t="inlineStr">
        <is>
          <t>-59.46%</t>
        </is>
      </c>
      <c r="N7593" s="1" t="n"/>
      <c r="O7593" t="n">
        <v>1.7</v>
      </c>
      <c r="P7593" t="n">
        <v>2</v>
      </c>
      <c r="R7593" t="inlineStr">
        <is>
          <t>InStock</t>
        </is>
      </c>
      <c r="S7593" t="inlineStr">
        <is>
          <t>195.99</t>
        </is>
      </c>
      <c r="T7593" t="inlineStr">
        <is>
          <t>6996577550509</t>
        </is>
      </c>
    </row>
    <row r="7594" hidden="1" ht="15.75" customHeight="1">
      <c r="A7594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7594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7594" t="inlineStr">
        <is>
          <t>Diablo Tools DMAPL4300 1 in. x 8 in. x 10 in. Rebar Demon™ SDS‑Plus 4‑Cutter Full Carbide Head Hammer Drill Bit</t>
        </is>
      </c>
      <c r="D7594" t="inlineStr">
        <is>
          <t>Diablo DMAPL4055 3/16 in. x 10 in. x 12 in. Rebar Demon™ SDS-Plus 4-Cutter Full Carbide Head Hammer Bit</t>
        </is>
      </c>
      <c r="E7594" s="2" t="n"/>
      <c r="F7594" t="inlineStr">
        <is>
          <t>B089LJCD42</t>
        </is>
      </c>
      <c r="G7594">
        <f>_xludf.IMAGE("https://edmondsonsupply.com/cdn/shop/products/DMAPL4300_Additional-Images_0120200225.png?v=1633030652")</f>
        <v/>
      </c>
      <c r="H7594">
        <f>_xludf.IMAGE("https://m.media-amazon.com/images/I/61cDOAhkb4L._AC_UL320_.jpg")</f>
        <v/>
      </c>
      <c r="K7594" t="inlineStr">
        <is>
          <t>38.97</t>
        </is>
      </c>
      <c r="L7594" t="n">
        <v>15.76</v>
      </c>
      <c r="M7594" s="1" t="inlineStr">
        <is>
          <t>-59.56%</t>
        </is>
      </c>
      <c r="N7594" s="1" t="n"/>
      <c r="O7594" t="n">
        <v>2</v>
      </c>
      <c r="P7594" t="n">
        <v>1</v>
      </c>
      <c r="R7594" t="inlineStr">
        <is>
          <t>InStock</t>
        </is>
      </c>
      <c r="S7594" t="inlineStr">
        <is>
          <t>52.66</t>
        </is>
      </c>
      <c r="T7594" t="inlineStr">
        <is>
          <t>5740518637736</t>
        </is>
      </c>
    </row>
    <row r="7595" ht="87" customHeight="1">
      <c r="A7595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595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595" t="inlineStr">
        <is>
          <t>Milwaukee 48-11-2411 M12 REDLITHIUM™ Compact Battery Two Pack</t>
        </is>
      </c>
      <c r="D7595" t="inlineStr">
        <is>
          <t>Powerextra M12 Battery 6.0Ah, Replacement Milwaukee m12 Battery, Compatible with Milwaukee M12 Tools 48-11-2410/48-11-2420/48-11-2411/48-11-2401/48-11-2402, Replace for Milwaukee 12v Battery (2 Pack)</t>
        </is>
      </c>
      <c r="E7595" s="2">
        <f>HYPERLINK("https://www.amazon.com/Powerextra-Lithium-ion-Replacement-Compatible-48-11-2411/dp/B07H3STGQT/ref=sr_1_15?keywords=Milwaukee+48-11-2411+M12+REDLITHIUM%E2%84%A2+Compact+Battery+Two+Pack&amp;qid=1694735145&amp;sr=8-15", "https://www.amazon.com/Powerextra-Lithium-ion-Replacement-Compatible-48-11-2411/dp/B07H3STGQT/ref=sr_1_15?keywords=Milwaukee+48-11-2411+M12+REDLITHIUM%E2%84%A2+Compact+Battery+Two+Pack&amp;qid=1694735145&amp;sr=8-15")</f>
        <v/>
      </c>
      <c r="F7595" t="inlineStr">
        <is>
          <t>B07H3STGQT</t>
        </is>
      </c>
      <c r="G7595">
        <f>_xlfn.IMAGE("https://edmondsonsupply.com/cdn/shop/products/65014_48-11-2411-lg.jpg?v=1655484824")</f>
        <v/>
      </c>
      <c r="H7595">
        <f>_xlfn.IMAGE("https://m.media-amazon.com/images/I/712d2kmr6uL._AC_UL320_.jpg")</f>
        <v/>
      </c>
      <c r="K7595" t="inlineStr">
        <is>
          <t>89.0</t>
        </is>
      </c>
      <c r="L7595" t="n">
        <v>35.99</v>
      </c>
      <c r="M7595" s="1" t="inlineStr">
        <is>
          <t>-59.56%</t>
        </is>
      </c>
      <c r="N7595" s="7" t="n"/>
      <c r="O7595" t="n">
        <v>4.3</v>
      </c>
      <c r="P7595" t="n">
        <v>915</v>
      </c>
      <c r="R7595" t="inlineStr">
        <is>
          <t>OutOfStock</t>
        </is>
      </c>
      <c r="S7595" t="inlineStr">
        <is>
          <t>150.0</t>
        </is>
      </c>
      <c r="T7595" t="inlineStr">
        <is>
          <t>7721456795864</t>
        </is>
      </c>
    </row>
    <row r="7596" hidden="1" ht="15.75" customHeight="1">
      <c r="A7596" s="2">
        <f>HYPERLINK("https://edmondsonsupply.com/collections/electricians-tools/products/diablo-tools-pmapc1070-s14-avanti-pro-carbide-tipped-masonry-drill-bit-set", "https://edmondsonsupply.com/collections/electricians-tools/products/diablo-tools-pmapc1070-s14-avanti-pro-carbide-tipped-masonry-drill-bit-set")</f>
        <v/>
      </c>
      <c r="B7596" s="2">
        <f>HYPERLINK("https://edmondsonsupply.com/products/diablo-tools-pmapc1070-s14-avanti-pro-carbide-tipped-masonry-drill-bit-set", "https://edmondsonsupply.com/products/diablo-tools-pmapc1070-s14-avanti-pro-carbide-tipped-masonry-drill-bit-set")</f>
        <v/>
      </c>
      <c r="C7596" t="inlineStr">
        <is>
          <t>Diablo Tools PMAPC1070-S14 Avanti Pro Carbide Tipped Masonry Drill Bit Set</t>
        </is>
      </c>
      <c r="D7596" t="inlineStr">
        <is>
          <t>Diablo AvantiPRO Carbide Tipped Masonry Drill Bit Set (3-Pieces)</t>
        </is>
      </c>
      <c r="E7596" s="2">
        <f>HYPERLINK("https://www.amazon.com/Diablo-AvantiPRO-Carbide-Masonry-3-pieces/dp/B089KVP5RW/ref=sr_1_5?keywords=Diablo+Tools+PMAPC1070-S14+Avanti+Pro+Carbide+Tipped+Masonry+Drill+Bit+Set&amp;qid=1694735288&amp;sr=8-5", "https://www.amazon.com/Diablo-AvantiPRO-Carbide-Masonry-3-pieces/dp/B089KVP5RW/ref=sr_1_5?keywords=Diablo+Tools+PMAPC1070-S14+Avanti+Pro+Carbide+Tipped+Masonry+Drill+Bit+Set&amp;qid=1694735288&amp;sr=8-5")</f>
        <v/>
      </c>
      <c r="F7596" t="inlineStr">
        <is>
          <t>B089KVP5RW</t>
        </is>
      </c>
      <c r="G7596">
        <f>_xludf.IMAGE("https://edmondsonsupply.com/cdn/shop/products/DiabloPMAPCSAvantiProCarbideTippedMasonryDrillBitSetjpg_1280x1280_7d018642-96f9-4dac-9dd5-2403082e3f91.jpg?v=1633030511")</f>
        <v/>
      </c>
      <c r="H7596">
        <f>_xludf.IMAGE("https://m.media-amazon.com/images/I/61zhsr9WNsL._AC_UL320_.jpg")</f>
        <v/>
      </c>
      <c r="K7596" t="inlineStr">
        <is>
          <t>15.97</t>
        </is>
      </c>
      <c r="L7596" t="n">
        <v>6.45</v>
      </c>
      <c r="M7596" s="1" t="inlineStr">
        <is>
          <t>-59.61%</t>
        </is>
      </c>
      <c r="N7596" s="1" t="n"/>
      <c r="O7596" t="n">
        <v>4</v>
      </c>
      <c r="P7596" t="n">
        <v>1</v>
      </c>
      <c r="R7596" t="inlineStr">
        <is>
          <t>InStock</t>
        </is>
      </c>
      <c r="S7596" t="inlineStr">
        <is>
          <t>19.36</t>
        </is>
      </c>
      <c r="T7596" t="inlineStr">
        <is>
          <t>5386593861800</t>
        </is>
      </c>
    </row>
    <row r="7597" ht="87" customHeight="1">
      <c r="A7597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597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597" t="inlineStr">
        <is>
          <t>Milwaukee 48-11-2412 M12 REDLITHIUM™ XC Battery Two Pack</t>
        </is>
      </c>
      <c r="D7597" t="inlineStr">
        <is>
          <t>Milwaukee 48-11-2440 M12 REDLITHIUM XC 4.0 Extended Capacity Battery Pack</t>
        </is>
      </c>
      <c r="E7597" s="2">
        <f>HYPERLINK("https://www.amazon.com/Milwaukee-48-11-2440-REDLITHIUM-Extended-Capacity/dp/B00BYFO1AA/ref=sr_1_6?keywords=Milwaukee+48-11-2412+M12+REDLITHIUM%E2%84%A2+XC+Battery+Two+Pack&amp;qid=1694735150&amp;sr=8-6", "https://www.amazon.com/Milwaukee-48-11-2440-REDLITHIUM-Extended-Capacity/dp/B00BYFO1AA/ref=sr_1_6?keywords=Milwaukee+48-11-2412+M12+REDLITHIUM%E2%84%A2+XC+Battery+Two+Pack&amp;qid=1694735150&amp;sr=8-6")</f>
        <v/>
      </c>
      <c r="F7597" t="inlineStr">
        <is>
          <t>B00BYFO1AA</t>
        </is>
      </c>
      <c r="G7597">
        <f>_xlfn.IMAGE("https://edmondsonsupply.com/cdn/shop/products/48-11-2412.jpg?v=1654795924")</f>
        <v/>
      </c>
      <c r="H7597">
        <f>_xlfn.IMAGE("https://m.media-amazon.com/images/I/81RzIHvm69L._AC_UL320_.jpg")</f>
        <v/>
      </c>
      <c r="K7597" t="inlineStr">
        <is>
          <t>129.0</t>
        </is>
      </c>
      <c r="L7597" t="n">
        <v>51.99</v>
      </c>
      <c r="M7597" s="1" t="inlineStr">
        <is>
          <t>-59.70%</t>
        </is>
      </c>
      <c r="N7597" s="7" t="n"/>
      <c r="O7597" t="n">
        <v>4.8</v>
      </c>
      <c r="P7597" t="n">
        <v>2998</v>
      </c>
      <c r="R7597" t="inlineStr">
        <is>
          <t>InStock</t>
        </is>
      </c>
      <c r="S7597" t="inlineStr">
        <is>
          <t>217.0</t>
        </is>
      </c>
      <c r="T7597" t="inlineStr">
        <is>
          <t>7711224168664</t>
        </is>
      </c>
    </row>
    <row r="7598" ht="87" customHeight="1">
      <c r="A7598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598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598" t="inlineStr">
        <is>
          <t>Diablo Tools DMAMX1230 1 in. x 24 in. x 29 in. Rebar Demon™ SDS-Max 4-Cutter Full Carbide Head Hammer Bit</t>
        </is>
      </c>
      <c r="D7598" t="inlineStr">
        <is>
          <t>Diablo DMAMX1140 3/4 in. x 16 in. x 21 in. Rebar Demon™ SDS-Max 4-Cutter Full Carbide Head Hammer Bit</t>
        </is>
      </c>
      <c r="E7598" s="2">
        <f>HYPERLINK("https://www.amazon.com/Diablo-SDS-Max-4-Cutter-Carbide-Hammer/dp/B089KWP4WK/ref=sr_1_21?keywords=Diablo+Tools+DMAMX1230+1+in.+x+24+in.+x+29+in.+Rebar+Demon%E2%84%A2+SDS-Max+4-Cutter+Full+Carbide+Head+Hammer+Bit&amp;qid=1694735297&amp;sr=8-21", "https://www.amazon.com/Diablo-SDS-Max-4-Cutter-Carbide-Hammer/dp/B089KWP4WK/ref=sr_1_21?keywords=Diablo+Tools+DMAMX1230+1+in.+x+24+in.+x+29+in.+Rebar+Demon%E2%84%A2+SDS-Max+4-Cutter+Full+Carbide+Head+Hammer+Bit&amp;qid=1694735297&amp;sr=8-21")</f>
        <v/>
      </c>
      <c r="F7598" t="inlineStr">
        <is>
          <t>B089KWP4WK</t>
        </is>
      </c>
      <c r="G7598">
        <f>_xlfn.IMAGE("https://edmondsonsupply.com/cdn/shop/products/DMAMX1230_1.jpg?v=1633030364")</f>
        <v/>
      </c>
      <c r="H7598">
        <f>_xlfn.IMAGE("https://m.media-amazon.com/images/I/61yWWNP1xrL._AC_UL320_.jpg")</f>
        <v/>
      </c>
      <c r="K7598" t="inlineStr">
        <is>
          <t>124.97</t>
        </is>
      </c>
      <c r="L7598" t="n">
        <v>50.26</v>
      </c>
      <c r="M7598" s="1" t="inlineStr">
        <is>
          <t>-59.78%</t>
        </is>
      </c>
      <c r="N7598" s="7" t="n"/>
      <c r="O7598" t="n">
        <v>5</v>
      </c>
      <c r="P7598" t="n">
        <v>9</v>
      </c>
      <c r="R7598" t="inlineStr">
        <is>
          <t>InStock</t>
        </is>
      </c>
      <c r="S7598" t="inlineStr">
        <is>
          <t>152.89</t>
        </is>
      </c>
      <c r="T7598" t="inlineStr">
        <is>
          <t>5289176072360</t>
        </is>
      </c>
    </row>
    <row r="7599" hidden="1" ht="15.75" customHeight="1">
      <c r="A7599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7599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7599" t="inlineStr">
        <is>
          <t>Klein Tools NCVT-3P Dual Range Non-Contact Voltage Tester with Flashlight, 12 - 1000V AC</t>
        </is>
      </c>
      <c r="D7599" t="inlineStr">
        <is>
          <t>VENLAB Voltage Tester, Non Contact Voltage Detector, Circuit Tester Dual Range Voltage Sniffer 12V-1000V/48V-1000V, Live Wire Tester with Alarm and Flashlight, Electrical Tester with LCD Display</t>
        </is>
      </c>
      <c r="E7599" s="2">
        <f>HYPERLINK("https://www.amazon.com/VENLAB-Detector-12V-1000V-48V-1000V-Flashlight/dp/B09ZXY4HVK/ref=sr_1_19?keywords=Klein+Tools+NCVT-3P+Dual+Range+Non-Contact+Voltage+Tester+with+Flashlight%2C+12+-+1000V+AC&amp;qid=1694735337&amp;sr=8-19", "https://www.amazon.com/VENLAB-Detector-12V-1000V-48V-1000V-Flashlight/dp/B09ZXY4HVK/ref=sr_1_19?keywords=Klein+Tools+NCVT-3P+Dual+Range+Non-Contact+Voltage+Tester+with+Flashlight%2C+12+-+1000V+AC&amp;qid=1694735337&amp;sr=8-19")</f>
        <v/>
      </c>
      <c r="F7599" t="inlineStr">
        <is>
          <t>B09ZXY4HVK</t>
        </is>
      </c>
      <c r="G7599">
        <f>_xludf.IMAGE("https://edmondsonsupply.com/cdn/shop/products/ncvt3p.jpg?v=1633030219")</f>
        <v/>
      </c>
      <c r="H7599">
        <f>_xludf.IMAGE("https://m.media-amazon.com/images/I/71JQH9+eNtL._AC_UL320_.jpg")</f>
        <v/>
      </c>
      <c r="K7599" t="inlineStr">
        <is>
          <t>29.97</t>
        </is>
      </c>
      <c r="L7599" t="n">
        <v>11.99</v>
      </c>
      <c r="M7599" s="1" t="inlineStr">
        <is>
          <t>-59.99%</t>
        </is>
      </c>
      <c r="N7599" s="1" t="n"/>
      <c r="O7599" t="n">
        <v>4.5</v>
      </c>
      <c r="P7599" t="n">
        <v>589</v>
      </c>
      <c r="R7599" t="inlineStr">
        <is>
          <t>InStock</t>
        </is>
      </c>
      <c r="S7599" t="inlineStr">
        <is>
          <t>40.36</t>
        </is>
      </c>
      <c r="T7599" t="inlineStr">
        <is>
          <t>4505582174308</t>
        </is>
      </c>
    </row>
    <row r="7600" ht="87" customHeight="1">
      <c r="A7600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600" s="2">
        <f>HYPERLINK("https://edmondsonsupply.com/products/klein-tools-rt310-afci-gfci-outlet-tester", "https://edmondsonsupply.com/products/klein-tools-rt310-afci-gfci-outlet-tester")</f>
        <v/>
      </c>
      <c r="C7600" t="inlineStr">
        <is>
          <t>Klein Tools RT310 AFCI / GFCI Outlet Tester</t>
        </is>
      </c>
      <c r="D7600" t="inlineStr">
        <is>
          <t>khanka Hard Travel Case replacement for Klein Tools RT310 AFCI/GFCI Circuit Outlet Device Tester, Case Only</t>
        </is>
      </c>
      <c r="E7600" s="2">
        <f>HYPERLINK("https://www.amazon.com/khanka-Travel-Compatible-Outlet-Device/dp/B088BCQT7K/ref=sr_1_3?keywords=Klein+Tools+RT310+AFCI+%2F+GFCI+Outlet+Tester&amp;qid=1694734989&amp;sr=8-3", "https://www.amazon.com/khanka-Travel-Compatible-Outlet-Device/dp/B088BCQT7K/ref=sr_1_3?keywords=Klein+Tools+RT310+AFCI+%2F+GFCI+Outlet+Tester&amp;qid=1694734989&amp;sr=8-3")</f>
        <v/>
      </c>
      <c r="F7600" t="inlineStr">
        <is>
          <t>B088BCQT7K</t>
        </is>
      </c>
      <c r="G7600">
        <f>_xlfn.IMAGE("https://edmondsonsupply.com/cdn/shop/products/rt310.jpg?v=1587148552")</f>
        <v/>
      </c>
      <c r="H7600">
        <f>_xlfn.IMAGE("https://m.media-amazon.com/images/I/71VUKzcSJ4L._AC_UL320_.jpg")</f>
        <v/>
      </c>
      <c r="K7600" t="inlineStr">
        <is>
          <t>39.97</t>
        </is>
      </c>
      <c r="L7600" t="n">
        <v>15.99</v>
      </c>
      <c r="M7600" s="1" t="inlineStr">
        <is>
          <t>-59.99%</t>
        </is>
      </c>
      <c r="N7600" s="7" t="n"/>
      <c r="O7600" t="n">
        <v>4.6</v>
      </c>
      <c r="P7600" t="n">
        <v>32</v>
      </c>
      <c r="R7600" t="inlineStr">
        <is>
          <t>InStock</t>
        </is>
      </c>
      <c r="S7600" t="inlineStr">
        <is>
          <t>57.9</t>
        </is>
      </c>
      <c r="T7600" t="inlineStr">
        <is>
          <t>3372527779940</t>
        </is>
      </c>
    </row>
    <row r="7601" ht="87" customHeight="1">
      <c r="A7601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601" s="2">
        <f>HYPERLINK("https://edmondsonsupply.com/products/klein-tools-rt310-afci-gfci-outlet-tester", "https://edmondsonsupply.com/products/klein-tools-rt310-afci-gfci-outlet-tester")</f>
        <v/>
      </c>
      <c r="C7601" t="inlineStr">
        <is>
          <t>Klein Tools RT310 AFCI / GFCI Outlet Tester</t>
        </is>
      </c>
      <c r="D7601" t="inlineStr">
        <is>
          <t>SITHON Case Compatible with Klein Tools ET310 AC Circuit Breaker Finder, 80041 Outlet Repair Tool Kit &amp; RT250 GFCI Receptacle Tester, Hard Shell Electrical Tools Storage Organizer Bag (Case Only)</t>
        </is>
      </c>
      <c r="E7601" s="2">
        <f>HYPERLINK("https://www.amazon.com/SITHON-Compatible-Receptacle-Electrical-Organizer/dp/B0BJ6TDB8P/ref=sr_1_35?keywords=Klein+Tools+RT310+AFCI+%2F+GFCI+Outlet+Tester&amp;qid=1694734989&amp;sr=8-35", "https://www.amazon.com/SITHON-Compatible-Receptacle-Electrical-Organizer/dp/B0BJ6TDB8P/ref=sr_1_35?keywords=Klein+Tools+RT310+AFCI+%2F+GFCI+Outlet+Tester&amp;qid=1694734989&amp;sr=8-35")</f>
        <v/>
      </c>
      <c r="F7601" t="inlineStr">
        <is>
          <t>B0BJ6TDB8P</t>
        </is>
      </c>
      <c r="G7601">
        <f>_xlfn.IMAGE("https://edmondsonsupply.com/cdn/shop/products/rt310.jpg?v=1587148552")</f>
        <v/>
      </c>
      <c r="H7601">
        <f>_xlfn.IMAGE("https://m.media-amazon.com/images/I/81Awn7PmRdL._AC_UL320_.jpg")</f>
        <v/>
      </c>
      <c r="K7601" t="inlineStr">
        <is>
          <t>39.97</t>
        </is>
      </c>
      <c r="L7601" t="n">
        <v>15.99</v>
      </c>
      <c r="M7601" s="1" t="inlineStr">
        <is>
          <t>-59.99%</t>
        </is>
      </c>
      <c r="N7601" s="7" t="n"/>
      <c r="O7601" t="n">
        <v>4.9</v>
      </c>
      <c r="P7601" t="n">
        <v>14</v>
      </c>
      <c r="R7601" t="inlineStr">
        <is>
          <t>InStock</t>
        </is>
      </c>
      <c r="S7601" t="inlineStr">
        <is>
          <t>57.9</t>
        </is>
      </c>
      <c r="T7601" t="inlineStr">
        <is>
          <t>3372527779940</t>
        </is>
      </c>
    </row>
    <row r="7602" ht="87" customHeight="1">
      <c r="A7602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7602" s="2">
        <f>HYPERLINK("https://edmondsonsupply.com/products/klein-tools-vdv427-300-impact-punchdown-tool-66-110-blade", "https://edmondsonsupply.com/products/klein-tools-vdv427-300-impact-punchdown-tool-66-110-blade")</f>
        <v/>
      </c>
      <c r="C7602" t="inlineStr">
        <is>
          <t>Klein Tools VDV427-300 Impact Punchdown Tool, 66/110 Blade</t>
        </is>
      </c>
      <c r="D7602" t="inlineStr">
        <is>
          <t>Klein Tools VDV427-110 Impact Punchdown Tool Extended Reach 110 MIM Replacement Blade with Bayonet-Style, Twist-and-Lock Socket</t>
        </is>
      </c>
      <c r="E7602" s="2">
        <f>HYPERLINK("https://www.amazon.com/Klein-Tools-VDV427-110-Replacement-Bayonet-Style/dp/B088V99QGN/ref=sr_1_18?keywords=Klein+Tools+VDV427-300+Impact+Punchdown+Tool%2C+66%2F110+Blade&amp;qid=1694735168&amp;sr=8-18", "https://www.amazon.com/Klein-Tools-VDV427-110-Replacement-Bayonet-Style/dp/B088V99QGN/ref=sr_1_18?keywords=Klein+Tools+VDV427-300+Impact+Punchdown+Tool%2C+66%2F110+Blade&amp;qid=1694735168&amp;sr=8-18")</f>
        <v/>
      </c>
      <c r="F7602" t="inlineStr">
        <is>
          <t>B088V99QGN</t>
        </is>
      </c>
      <c r="G7602">
        <f>_xlfn.IMAGE("https://edmondsonsupply.com/cdn/shop/products/vdv427300.jpg?v=1646010568")</f>
        <v/>
      </c>
      <c r="H7602">
        <f>_xlfn.IMAGE("https://m.media-amazon.com/images/I/51k4tiMr31L._AC_UL320_.jpg")</f>
        <v/>
      </c>
      <c r="K7602" t="inlineStr">
        <is>
          <t>39.97</t>
        </is>
      </c>
      <c r="L7602" t="n">
        <v>15.99</v>
      </c>
      <c r="M7602" s="1" t="inlineStr">
        <is>
          <t>-59.99%</t>
        </is>
      </c>
      <c r="N7602" s="7" t="n"/>
      <c r="O7602" t="n">
        <v>4.7</v>
      </c>
      <c r="P7602" t="n">
        <v>148</v>
      </c>
      <c r="R7602" t="inlineStr">
        <is>
          <t>InStock</t>
        </is>
      </c>
      <c r="S7602" t="inlineStr">
        <is>
          <t>55.98</t>
        </is>
      </c>
      <c r="T7602" t="inlineStr">
        <is>
          <t>7620069818584</t>
        </is>
      </c>
    </row>
    <row r="7603" ht="87" customHeight="1">
      <c r="A7603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7603" s="2">
        <f>HYPERLINK("https://edmondsonsupply.com/products/klein-tools-66070-flip-impact-socket-set-7-piece", "https://edmondsonsupply.com/products/klein-tools-66070-flip-impact-socket-set-7-piece")</f>
        <v/>
      </c>
      <c r="C7603" t="inlineStr">
        <is>
          <t>Klein Tools 66070 Flip Impact Socket Set, 7-Piece</t>
        </is>
      </c>
      <c r="D7603" t="inlineStr">
        <is>
          <t>Klein Tools 32907 Impact Driver, 7-in-1 Impact Flip Socket Set, 6 Hex Driver Sizes plus a 1/4-Inch Bit Holder</t>
        </is>
      </c>
      <c r="E7603" s="2">
        <f>HYPERLINK("https://www.amazon.com/Impact-Driver-Klein-Tools-32907/dp/B09NX72765/ref=sr_1_6?keywords=Klein+Tools+66070+Flip+Impact+Socket+Set%2C+7-Piece&amp;qid=1694734974&amp;sr=8-6", "https://www.amazon.com/Impact-Driver-Klein-Tools-32907/dp/B09NX72765/ref=sr_1_6?keywords=Klein+Tools+66070+Flip+Impact+Socket+Set%2C+7-Piece&amp;qid=1694734974&amp;sr=8-6")</f>
        <v/>
      </c>
      <c r="F7603" t="inlineStr">
        <is>
          <t>B09NX72765</t>
        </is>
      </c>
      <c r="G7603">
        <f>_xlfn.IMAGE("https://edmondsonsupply.com/cdn/shop/products/66070_b.jpg?v=1663251434")</f>
        <v/>
      </c>
      <c r="H7603">
        <f>_xlfn.IMAGE("https://m.media-amazon.com/images/I/410Fk4FReRL._AC_UL320_.jpg")</f>
        <v/>
      </c>
      <c r="K7603" t="inlineStr">
        <is>
          <t>49.97</t>
        </is>
      </c>
      <c r="L7603" t="n">
        <v>19.99</v>
      </c>
      <c r="M7603" s="1" t="inlineStr">
        <is>
          <t>-60.00%</t>
        </is>
      </c>
      <c r="N7603" s="7" t="n"/>
      <c r="O7603" t="n">
        <v>4.6</v>
      </c>
      <c r="P7603" t="n">
        <v>5122</v>
      </c>
      <c r="R7603" t="inlineStr">
        <is>
          <t>InStock</t>
        </is>
      </c>
      <c r="S7603" t="inlineStr">
        <is>
          <t>69.98</t>
        </is>
      </c>
      <c r="T7603" t="inlineStr">
        <is>
          <t>7817421127896</t>
        </is>
      </c>
    </row>
    <row r="7604" ht="87" customHeight="1">
      <c r="A7604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604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604" t="inlineStr">
        <is>
          <t>Klein Tools 32288 8-in-1 Insulated Interchangeable Screwdriver Set</t>
        </is>
      </c>
      <c r="D7604" t="inlineStr">
        <is>
          <t>Klein Tools 13157 Insulated Screwdriver Blades, Interchangeable Single-End Replacement Blades for Klein Insulated Screwdrivers, 3-Pack</t>
        </is>
      </c>
      <c r="E7604" s="2">
        <f>HYPERLINK("https://www.amazon.com/Klein-Tools-13157-Interchangeable-Screwdrivers/dp/B07XQC1PVB/ref=sr_1_37?keywords=Klein+Tools+32288+8-in-1+Insulated+Interchangeable+Screwdriver+Set&amp;qid=1694734974&amp;sr=8-37", "https://www.amazon.com/Klein-Tools-13157-Interchangeable-Screwdrivers/dp/B07XQC1PVB/ref=sr_1_37?keywords=Klein+Tools+32288+8-in-1+Insulated+Interchangeable+Screwdriver+Set&amp;qid=1694734974&amp;sr=8-37")</f>
        <v/>
      </c>
      <c r="F7604" t="inlineStr">
        <is>
          <t>B07XQC1PVB</t>
        </is>
      </c>
      <c r="G7604">
        <f>_xlfn.IMAGE("https://edmondsonsupply.com/cdn/shop/products/32288.jpg?v=1587146849")</f>
        <v/>
      </c>
      <c r="H7604">
        <f>_xlfn.IMAGE("https://m.media-amazon.com/images/I/41c8L9-ZsYL._AC_UL320_.jpg")</f>
        <v/>
      </c>
      <c r="K7604" t="inlineStr">
        <is>
          <t>49.99</t>
        </is>
      </c>
      <c r="L7604" t="n">
        <v>19.99</v>
      </c>
      <c r="M7604" s="1" t="inlineStr">
        <is>
          <t>-60.01%</t>
        </is>
      </c>
      <c r="N7604" s="7" t="n"/>
      <c r="O7604" t="n">
        <v>4.8</v>
      </c>
      <c r="P7604" t="n">
        <v>958</v>
      </c>
      <c r="R7604" t="inlineStr">
        <is>
          <t>InStock</t>
        </is>
      </c>
      <c r="S7604" t="inlineStr">
        <is>
          <t>69.98</t>
        </is>
      </c>
      <c r="T7604" t="inlineStr">
        <is>
          <t>4094849613924</t>
        </is>
      </c>
    </row>
    <row r="7605" ht="87" customHeight="1">
      <c r="A7605" s="2">
        <f>HYPERLINK("https://edmondsonsupply.com/collections/electricians-tools/products/klein-tools-56350-fiberglass-fish-tape-with-spiral-steel-leader-50-foot", "https://edmondsonsupply.com/collections/electricians-tools/products/klein-tools-56350-fiberglass-fish-tape-with-spiral-steel-leader-50-foot")</f>
        <v/>
      </c>
      <c r="B7605" s="2">
        <f>HYPERLINK("https://edmondsonsupply.com/products/klein-tools-56350-fiberglass-fish-tape-with-spiral-steel-leader-50-foot", "https://edmondsonsupply.com/products/klein-tools-56350-fiberglass-fish-tape-with-spiral-steel-leader-50-foot")</f>
        <v/>
      </c>
      <c r="C7605" t="inlineStr">
        <is>
          <t>Klein Tools 56350 Fiberglass Fish Tape with Spiral Steel Leader, 50-Foot</t>
        </is>
      </c>
      <c r="D7605" t="inlineStr">
        <is>
          <t>Klein Tools 50660 Glow In The Dark Fish Tape, Fiberglass with Nylon Tip and Stainless-Steel Connector for Fish Rod Attachments, 40-Foot</t>
        </is>
      </c>
      <c r="E7605" s="2">
        <f>HYPERLINK("https://www.amazon.com/Klein-Tools-50660-Stainless-Steel-Attachments/dp/B0BVJXRH9J/ref=sr_1_6?keywords=Klein+Tools+56350+Fiberglass+Fish+Tape+with+Spiral+Steel+Leader%2C+50-Foot&amp;qid=1694735382&amp;sr=8-6", "https://www.amazon.com/Klein-Tools-50660-Stainless-Steel-Attachments/dp/B0BVJXRH9J/ref=sr_1_6?keywords=Klein+Tools+56350+Fiberglass+Fish+Tape+with+Spiral+Steel+Leader%2C+50-Foot&amp;qid=1694735382&amp;sr=8-6")</f>
        <v/>
      </c>
      <c r="F7605" t="inlineStr">
        <is>
          <t>B0BVJXRH9J</t>
        </is>
      </c>
      <c r="G7605">
        <f>_xlfn.IMAGE("https://edmondsonsupply.com/cdn/shop/products/56350.jpg?v=1587147765")</f>
        <v/>
      </c>
      <c r="H7605">
        <f>_xlfn.IMAGE("https://m.media-amazon.com/images/I/61TfZQjceGL._AC_UL320_.jpg")</f>
        <v/>
      </c>
      <c r="K7605" t="inlineStr">
        <is>
          <t>149.99</t>
        </is>
      </c>
      <c r="L7605" t="n">
        <v>59.97</v>
      </c>
      <c r="M7605" s="1" t="inlineStr">
        <is>
          <t>-60.02%</t>
        </is>
      </c>
      <c r="N7605" s="7" t="n"/>
      <c r="O7605" t="n">
        <v>4.1</v>
      </c>
      <c r="P7605" t="n">
        <v>6</v>
      </c>
      <c r="R7605" t="inlineStr">
        <is>
          <t>InStock</t>
        </is>
      </c>
      <c r="S7605" t="inlineStr">
        <is>
          <t>211.76</t>
        </is>
      </c>
      <c r="T7605" t="inlineStr">
        <is>
          <t>4412217983076</t>
        </is>
      </c>
    </row>
    <row r="7606" ht="87" customHeight="1">
      <c r="A7606" s="2">
        <f>HYPERLINK("https://edmondsonsupply.com/collections/electricians-tools/products/klein-tools-51605-iron-conduit-bender-full-assembly-1-inch-emt-with-angle-setter%E2%84%A2", "https://edmondsonsupply.com/collections/electricians-tools/products/klein-tools-51605-iron-conduit-bender-full-assembly-1-inch-emt-with-angle-setter%E2%84%A2")</f>
        <v/>
      </c>
      <c r="B7606" s="2">
        <f>HYPERLINK("https://edmondsonsupply.com/products/klein-tools-51605-iron-conduit-bender-full-assembly-1-inch-emt-with-angle-setter%e2%84%a2", "https://edmondsonsupply.com/products/klein-tools-51605-iron-conduit-bender-full-assembly-1-inch-emt-with-angle-setter%e2%84%a2")</f>
        <v/>
      </c>
      <c r="C7606" t="inlineStr">
        <is>
          <t>Klein Tools 51605 Iron Conduit Bender Full Assembly, 1-Inch EMT with Angle Setter™</t>
        </is>
      </c>
      <c r="D7606" t="inlineStr">
        <is>
          <t>Klein Tools 51606 Aluminum Conduit Bender Full Assembly, 1/2-Inch EMT, Wide Food Pedal, Benchmark Symbols and Angle Setter</t>
        </is>
      </c>
      <c r="E7606" s="2">
        <f>HYPERLINK("https://www.amazon.com/Aluminum-Benchmark-Technology-Klein-Tools/dp/B08L41DC9N/ref=sr_1_6?keywords=Klein+Tools+51605+Iron+Conduit+Bender+Full+Assembly%2C+1-Inch+EMT+with+Angle+Setter%E2%84%A2&amp;qid=1694735128&amp;sr=8-6", "https://www.amazon.com/Aluminum-Benchmark-Technology-Klein-Tools/dp/B08L41DC9N/ref=sr_1_6?keywords=Klein+Tools+51605+Iron+Conduit+Bender+Full+Assembly%2C+1-Inch+EMT+with+Angle+Setter%E2%84%A2&amp;qid=1694735128&amp;sr=8-6")</f>
        <v/>
      </c>
      <c r="F7606" t="inlineStr">
        <is>
          <t>B08L41DC9N</t>
        </is>
      </c>
      <c r="G7606">
        <f>_xlfn.IMAGE("https://edmondsonsupply.com/cdn/shop/products/51605.jpg?v=1663938749")</f>
        <v/>
      </c>
      <c r="H7606">
        <f>_xlfn.IMAGE("https://m.media-amazon.com/images/I/41JBDxEE8NL._AC_UL320_.jpg")</f>
        <v/>
      </c>
      <c r="K7606" t="inlineStr">
        <is>
          <t>99.97</t>
        </is>
      </c>
      <c r="L7606" t="n">
        <v>39.97</v>
      </c>
      <c r="M7606" s="1" t="inlineStr">
        <is>
          <t>-60.02%</t>
        </is>
      </c>
      <c r="N7606" s="7" t="n"/>
      <c r="O7606" t="n">
        <v>4.8</v>
      </c>
      <c r="P7606" t="n">
        <v>258</v>
      </c>
      <c r="R7606" t="inlineStr">
        <is>
          <t>InStock</t>
        </is>
      </c>
      <c r="S7606" t="inlineStr">
        <is>
          <t>149.98</t>
        </is>
      </c>
      <c r="T7606" t="inlineStr">
        <is>
          <t>7827205619928</t>
        </is>
      </c>
    </row>
    <row r="7607" ht="87" customHeight="1">
      <c r="A7607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7607" s="2">
        <f>HYPERLINK("https://edmondsonsupply.com/products/klein-tools-31902-bi-metal-hole-saw-kit-8-piece", "https://edmondsonsupply.com/products/klein-tools-31902-bi-metal-hole-saw-kit-8-piece")</f>
        <v/>
      </c>
      <c r="C7607" t="inlineStr">
        <is>
          <t>Klein Tools 31902 Bi-Metal Hole Saw Kit, 8-Piece</t>
        </is>
      </c>
      <c r="D7607" t="inlineStr">
        <is>
          <t>Klein Tools 31906 Hole Saw Arbor with Pins, 7/16-Inch and 31958 Bi-Metal Hole Saw, 3-5/8 Inch - Hole Saw Kit</t>
        </is>
      </c>
      <c r="E7607" s="2">
        <f>HYPERLINK("https://www.amazon.com/Klein-Tools-31906-16-Inch-Bi-Metal/dp/B0BVGZ3GN2/ref=sr_1_10?keywords=Klein+Tools+31902+Bi-Metal+Hole+Saw+Kit%2C+8-Piece&amp;qid=1694735008&amp;sr=8-10", "https://www.amazon.com/Klein-Tools-31906-16-Inch-Bi-Metal/dp/B0BVGZ3GN2/ref=sr_1_10?keywords=Klein+Tools+31902+Bi-Metal+Hole+Saw+Kit%2C+8-Piece&amp;qid=1694735008&amp;sr=8-10")</f>
        <v/>
      </c>
      <c r="F7607" t="inlineStr">
        <is>
          <t>B0BVGZ3GN2</t>
        </is>
      </c>
      <c r="G7607">
        <f>_xlfn.IMAGE("https://edmondsonsupply.com/cdn/shop/products/31902.jpg?v=1679665390")</f>
        <v/>
      </c>
      <c r="H7607">
        <f>_xlfn.IMAGE("https://m.media-amazon.com/images/I/21IcyNq4gsL._AC_UL320_.jpg")</f>
        <v/>
      </c>
      <c r="K7607" t="inlineStr">
        <is>
          <t>74.99</t>
        </is>
      </c>
      <c r="L7607" t="n">
        <v>29.98</v>
      </c>
      <c r="M7607" s="1" t="inlineStr">
        <is>
          <t>-60.02%</t>
        </is>
      </c>
      <c r="N7607" s="7" t="n"/>
      <c r="O7607" t="n">
        <v>4.6</v>
      </c>
      <c r="P7607" t="n">
        <v>406</v>
      </c>
      <c r="R7607" t="inlineStr">
        <is>
          <t>InStock</t>
        </is>
      </c>
      <c r="S7607" t="inlineStr">
        <is>
          <t>105.24</t>
        </is>
      </c>
      <c r="T7607" t="inlineStr">
        <is>
          <t>7966205673688</t>
        </is>
      </c>
    </row>
    <row r="7608" ht="87" customHeight="1">
      <c r="A7608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608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608" t="inlineStr">
        <is>
          <t>Klein Tools 32288 8-in-1 Insulated Interchangeable Screwdriver Set</t>
        </is>
      </c>
      <c r="D7608" t="inlineStr">
        <is>
          <t>Klein Tools 32293 Insulated Screwdriver, 2-in-1 Screwdriver Set with Flip Blade, #2 Phillips and1/4-Inch Slotted Tips, Double-Ended Blades</t>
        </is>
      </c>
      <c r="E7608" s="2">
        <f>HYPERLINK("https://www.amazon.com/Klein-Tools-32293-Screwdriver-Double-Ended/dp/B07WWZZQD2/ref=sr_1_12?keywords=Klein+Tools+32288+8-in-1+Insulated+Interchangeable+Screwdriver+Set&amp;qid=1694734974&amp;sr=8-12", "https://www.amazon.com/Klein-Tools-32293-Screwdriver-Double-Ended/dp/B07WWZZQD2/ref=sr_1_12?keywords=Klein+Tools+32288+8-in-1+Insulated+Interchangeable+Screwdriver+Set&amp;qid=1694734974&amp;sr=8-12")</f>
        <v/>
      </c>
      <c r="F7608" t="inlineStr">
        <is>
          <t>B07WWZZQD2</t>
        </is>
      </c>
      <c r="G7608">
        <f>_xlfn.IMAGE("https://edmondsonsupply.com/cdn/shop/products/32288.jpg?v=1587146849")</f>
        <v/>
      </c>
      <c r="H7608">
        <f>_xlfn.IMAGE("https://m.media-amazon.com/images/I/41yk4NC2BmL._AC_UL320_.jpg")</f>
        <v/>
      </c>
      <c r="K7608" t="inlineStr">
        <is>
          <t>49.99</t>
        </is>
      </c>
      <c r="L7608" t="n">
        <v>19.98</v>
      </c>
      <c r="M7608" s="1" t="inlineStr">
        <is>
          <t>-60.03%</t>
        </is>
      </c>
      <c r="N7608" s="7" t="n"/>
      <c r="O7608" t="n">
        <v>4.8</v>
      </c>
      <c r="P7608" t="n">
        <v>2774</v>
      </c>
      <c r="R7608" t="inlineStr">
        <is>
          <t>InStock</t>
        </is>
      </c>
      <c r="S7608" t="inlineStr">
        <is>
          <t>69.98</t>
        </is>
      </c>
      <c r="T7608" t="inlineStr">
        <is>
          <t>4094849613924</t>
        </is>
      </c>
    </row>
    <row r="7609" ht="87" customHeight="1">
      <c r="A7609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609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609" t="inlineStr">
        <is>
          <t>Klein Tools 32288 8-in-1 Insulated Interchangeable Screwdriver Set</t>
        </is>
      </c>
      <c r="D7609" t="inlineStr">
        <is>
          <t>Klein Tools 32286 Insulated Screwdriver, 2-in-1 Screwdriver Set with Flip Blade, #1 Phillips and 3/16-Inch Slotted Tips, Double-Ended Blades</t>
        </is>
      </c>
      <c r="E7609" s="2">
        <f>HYPERLINK("https://www.amazon.com/Klein-Tools-32286-Screwdriver-Double-Ended/dp/B07XQBZXL2/ref=sr_1_21?keywords=Klein+Tools+32288+8-in-1+Insulated+Interchangeable+Screwdriver+Set&amp;qid=1694734974&amp;sr=8-21", "https://www.amazon.com/Klein-Tools-32286-Screwdriver-Double-Ended/dp/B07XQBZXL2/ref=sr_1_21?keywords=Klein+Tools+32288+8-in-1+Insulated+Interchangeable+Screwdriver+Set&amp;qid=1694734974&amp;sr=8-21")</f>
        <v/>
      </c>
      <c r="F7609" t="inlineStr">
        <is>
          <t>B07XQBZXL2</t>
        </is>
      </c>
      <c r="G7609">
        <f>_xlfn.IMAGE("https://edmondsonsupply.com/cdn/shop/products/32288.jpg?v=1587146849")</f>
        <v/>
      </c>
      <c r="H7609">
        <f>_xlfn.IMAGE("https://m.media-amazon.com/images/I/41ujHk4Dg2L._AC_UL320_.jpg")</f>
        <v/>
      </c>
      <c r="K7609" t="inlineStr">
        <is>
          <t>49.99</t>
        </is>
      </c>
      <c r="L7609" t="n">
        <v>19.98</v>
      </c>
      <c r="M7609" s="1" t="inlineStr">
        <is>
          <t>-60.03%</t>
        </is>
      </c>
      <c r="N7609" s="7" t="n"/>
      <c r="O7609" t="n">
        <v>4.7</v>
      </c>
      <c r="P7609" t="n">
        <v>616</v>
      </c>
      <c r="R7609" t="inlineStr">
        <is>
          <t>InStock</t>
        </is>
      </c>
      <c r="S7609" t="inlineStr">
        <is>
          <t>69.98</t>
        </is>
      </c>
      <c r="T7609" t="inlineStr">
        <is>
          <t>4094849613924</t>
        </is>
      </c>
    </row>
    <row r="7610" ht="87" customHeight="1">
      <c r="A7610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610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610" t="inlineStr">
        <is>
          <t>Klein Tools 32288 8-in-1 Insulated Interchangeable Screwdriver Set</t>
        </is>
      </c>
      <c r="D7610" t="inlineStr">
        <is>
          <t>Klein Tools 85073INS Insulated Screwdriver Set features 1000V Phillips, Slotted and Square Tips, Cushion Grip Handles, 3-Piece</t>
        </is>
      </c>
      <c r="E7610" s="2">
        <f>HYPERLINK("https://www.amazon.com/Klein-Tools-85073INS-Insulated-Screwdriver/dp/B0BF79WQZX/ref=sr_1_22?keywords=Klein+Tools+32288+8-in-1+Insulated+Interchangeable+Screwdriver+Set&amp;qid=1694734974&amp;sr=8-22", "https://www.amazon.com/Klein-Tools-85073INS-Insulated-Screwdriver/dp/B0BF79WQZX/ref=sr_1_22?keywords=Klein+Tools+32288+8-in-1+Insulated+Interchangeable+Screwdriver+Set&amp;qid=1694734974&amp;sr=8-22")</f>
        <v/>
      </c>
      <c r="F7610" t="inlineStr">
        <is>
          <t>B0BF79WQZX</t>
        </is>
      </c>
      <c r="G7610">
        <f>_xlfn.IMAGE("https://edmondsonsupply.com/cdn/shop/products/32288.jpg?v=1587146849")</f>
        <v/>
      </c>
      <c r="H7610">
        <f>_xlfn.IMAGE("https://m.media-amazon.com/images/I/51dL7msUIqL._AC_UL320_.jpg")</f>
        <v/>
      </c>
      <c r="K7610" t="inlineStr">
        <is>
          <t>49.99</t>
        </is>
      </c>
      <c r="L7610" t="n">
        <v>19.97</v>
      </c>
      <c r="M7610" s="1" t="inlineStr">
        <is>
          <t>-60.05%</t>
        </is>
      </c>
      <c r="N7610" s="7" t="n"/>
      <c r="O7610" t="n">
        <v>4.9</v>
      </c>
      <c r="P7610" t="n">
        <v>202</v>
      </c>
      <c r="R7610" t="inlineStr">
        <is>
          <t>InStock</t>
        </is>
      </c>
      <c r="S7610" t="inlineStr">
        <is>
          <t>69.98</t>
        </is>
      </c>
      <c r="T7610" t="inlineStr">
        <is>
          <t>4094849613924</t>
        </is>
      </c>
    </row>
    <row r="7611" hidden="1" ht="15.75" customHeight="1">
      <c r="A7611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7611" s="2">
        <f>HYPERLINK("https://edmondsonsupply.com/products/klein-tools-32717-all-in-1-precision-screwdriver-set-with-case", "https://edmondsonsupply.com/products/klein-tools-32717-all-in-1-precision-screwdriver-set-with-case")</f>
        <v/>
      </c>
      <c r="C7611" t="inlineStr">
        <is>
          <t>Klein Tools 32717 All-in-1 Precision Screwdriver Set with Case</t>
        </is>
      </c>
      <c r="D7611" t="inlineStr">
        <is>
          <t>Klein Tools 32581 4-in-1 Electronics Screwdriver Set with Precision Machines Bits: 2 Slotted, 2 Phillips, and Cushion Grip Handles, 4-Piece</t>
        </is>
      </c>
      <c r="E7611" s="2">
        <f>HYPERLINK("https://www.amazon.com/Screwdriver-Electronics-Klein-Tools-32581/dp/B01EOY7LTA/ref=sr_1_4?keywords=Klein+Tools+32717+All-in-1+Precision+Screwdriver+Set+with+Case&amp;qid=1694735187&amp;sr=8-4", "https://www.amazon.com/Screwdriver-Electronics-Klein-Tools-32581/dp/B01EOY7LTA/ref=sr_1_4?keywords=Klein+Tools+32717+All-in-1+Precision+Screwdriver+Set+with+Case&amp;qid=1694735187&amp;sr=8-4")</f>
        <v/>
      </c>
      <c r="F7611" t="inlineStr">
        <is>
          <t>B01EOY7LTA</t>
        </is>
      </c>
      <c r="G7611">
        <f>_xludf.IMAGE("https://edmondsonsupply.com/cdn/shop/products/32717.jpg?v=1633031161")</f>
        <v/>
      </c>
      <c r="H7611">
        <f>_xludf.IMAGE("https://m.media-amazon.com/images/I/31v0ZtokP0L._AC_UL320_.jpg")</f>
        <v/>
      </c>
      <c r="K7611" t="inlineStr">
        <is>
          <t>29.97</t>
        </is>
      </c>
      <c r="L7611" t="n">
        <v>11.97</v>
      </c>
      <c r="M7611" s="1" t="inlineStr">
        <is>
          <t>-60.06%</t>
        </is>
      </c>
      <c r="N7611" s="1" t="n"/>
      <c r="O7611" t="n">
        <v>4.8</v>
      </c>
      <c r="P7611" t="n">
        <v>17683</v>
      </c>
      <c r="R7611" t="inlineStr">
        <is>
          <t>InStock</t>
        </is>
      </c>
      <c r="S7611" t="inlineStr">
        <is>
          <t>41.98</t>
        </is>
      </c>
      <c r="T7611" t="inlineStr">
        <is>
          <t>6897560453293</t>
        </is>
      </c>
    </row>
    <row r="7612" hidden="1" ht="15.75" customHeight="1">
      <c r="A7612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7612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7612" t="inlineStr">
        <is>
          <t>Diablo Tools DOU250JBW3 2-1/2 in. Universal Fit Bi-Metal Oscillating Blade for Clean Wood (3 pk)</t>
        </is>
      </c>
      <c r="D7612" t="inlineStr">
        <is>
          <t>Diablo by Freud DOU125JBW 1-1/4 in. Universal Fit Bi-Metal Oscillating Blade for Clean Wood</t>
        </is>
      </c>
      <c r="E7612" s="2">
        <f>HYPERLINK("https://www.amazon.com/Diablo-Freud-DOU125JBW-Universal-Oscillating/dp/B089KV62LL/ref=sr_1_2?keywords=Diablo+Tools+DOU250JBW3+2-1%2F2+in.+Universal+Fit+Bi-Metal+Oscillating+Blade+for+Clean+Wood+%283+pk%29&amp;qid=1694734992&amp;sr=8-2", "https://www.amazon.com/Diablo-Freud-DOU125JBW-Universal-Oscillating/dp/B089KV62LL/ref=sr_1_2?keywords=Diablo+Tools+DOU250JBW3+2-1%2F2+in.+Universal+Fit+Bi-Metal+Oscillating+Blade+for+Clean+Wood+%283+pk%29&amp;qid=1694734992&amp;sr=8-2")</f>
        <v/>
      </c>
      <c r="F7612" t="inlineStr">
        <is>
          <t>B089KV62LL</t>
        </is>
      </c>
      <c r="G7612">
        <f>_xludf.IMAGE("https://edmondsonsupply.com/cdn/shop/files/pycnap4eb1urn2hxvudq_1.webp?v=1685719587")</f>
        <v/>
      </c>
      <c r="H7612">
        <f>_xludf.IMAGE("https://m.media-amazon.com/images/I/61wFHtmEH5L._AC_UL320_.jpg")</f>
        <v/>
      </c>
      <c r="K7612" t="inlineStr">
        <is>
          <t>31.32</t>
        </is>
      </c>
      <c r="L7612" t="n">
        <v>12.49</v>
      </c>
      <c r="M7612" s="1" t="inlineStr">
        <is>
          <t>-60.12%</t>
        </is>
      </c>
      <c r="N7612" s="1" t="n"/>
      <c r="O7612" t="n">
        <v>4.8</v>
      </c>
      <c r="P7612" t="n">
        <v>12</v>
      </c>
      <c r="R7612" t="inlineStr">
        <is>
          <t>InStock</t>
        </is>
      </c>
      <c r="S7612" t="inlineStr">
        <is>
          <t>49.72</t>
        </is>
      </c>
      <c r="T7612" t="inlineStr">
        <is>
          <t>7999575654616</t>
        </is>
      </c>
    </row>
    <row r="7613" ht="87" customHeight="1">
      <c r="A7613" s="2">
        <f>HYPERLINK("https://edmondsonsupply.com/collections/electricians-tools/products/klein-tools-44033-stainless-steel-pocket-knife-2-1-4-inch-drop-point-blade", "https://edmondsonsupply.com/collections/electricians-tools/products/klein-tools-44033-stainless-steel-pocket-knife-2-1-4-inch-drop-point-blade")</f>
        <v/>
      </c>
      <c r="B7613" s="2">
        <f>HYPERLINK("https://edmondsonsupply.com/products/klein-tools-44033-stainless-steel-pocket-knife-2-1-4-inch-drop-point-blade", "https://edmondsonsupply.com/products/klein-tools-44033-stainless-steel-pocket-knife-2-1-4-inch-drop-point-blade")</f>
        <v/>
      </c>
      <c r="C7613" t="inlineStr">
        <is>
          <t>Klein Tools 44033 Stainless Steel Pocket Knife, 2-1/4-Inch Drop Point Blade</t>
        </is>
      </c>
      <c r="D7613" t="inlineStr">
        <is>
          <t>Klein Tools 44213 Pocket Knife, Folding Stainless Steel Tanto Blade with Bearing Assist Open and Frame Lock, Black</t>
        </is>
      </c>
      <c r="E7613" s="2">
        <f>HYPERLINK("https://www.amazon.com/Folding-Stainless-Klein-Tools-44213/dp/B07BXX31Y8/ref=sr_1_10?keywords=Klein+Tools+44033+Stainless+Steel+Pocket+Knife%2C+2-1%2F4-Inch+Drop+Point+Blade&amp;qid=1694735160&amp;sr=8-10", "https://www.amazon.com/Folding-Stainless-Klein-Tools-44213/dp/B07BXX31Y8/ref=sr_1_10?keywords=Klein+Tools+44033+Stainless+Steel+Pocket+Knife%2C+2-1%2F4-Inch+Drop+Point+Blade&amp;qid=1694735160&amp;sr=8-10")</f>
        <v/>
      </c>
      <c r="F7613" t="inlineStr">
        <is>
          <t>B07BXX31Y8</t>
        </is>
      </c>
      <c r="G7613">
        <f>_xlfn.IMAGE("https://edmondsonsupply.com/cdn/shop/products/44033.jpg?v=1649893400")</f>
        <v/>
      </c>
      <c r="H7613">
        <f>_xlfn.IMAGE("https://m.media-amazon.com/images/I/51jhjHRblxL._AC_UL320_.jpg")</f>
        <v/>
      </c>
      <c r="K7613" t="inlineStr">
        <is>
          <t>75.24</t>
        </is>
      </c>
      <c r="L7613" t="n">
        <v>29.97</v>
      </c>
      <c r="M7613" s="1" t="inlineStr">
        <is>
          <t>-60.17%</t>
        </is>
      </c>
      <c r="N7613" s="7" t="n"/>
      <c r="O7613" t="n">
        <v>4.5</v>
      </c>
      <c r="P7613" t="n">
        <v>110</v>
      </c>
      <c r="R7613" t="inlineStr">
        <is>
          <t>InStock</t>
        </is>
      </c>
      <c r="S7613" t="inlineStr">
        <is>
          <t>undefined</t>
        </is>
      </c>
      <c r="T7613" t="inlineStr">
        <is>
          <t>7662137835736</t>
        </is>
      </c>
    </row>
    <row r="7614" ht="87" customHeight="1">
      <c r="A7614" s="2">
        <f>HYPERLINK("https://edmondsonsupply.com/collections/electricians-tools/products/klein-tools-56014-fiberglass-fish-tape-with-spiral-leader-200-foot", "https://edmondsonsupply.com/collections/electricians-tools/products/klein-tools-56014-fiberglass-fish-tape-with-spiral-leader-200-foot")</f>
        <v/>
      </c>
      <c r="B7614" s="2">
        <f>HYPERLINK("https://edmondsonsupply.com/products/klein-tools-56014-fiberglass-fish-tape-with-spiral-leader-200-foot", "https://edmondsonsupply.com/products/klein-tools-56014-fiberglass-fish-tape-with-spiral-leader-200-foot")</f>
        <v/>
      </c>
      <c r="C7614" t="inlineStr">
        <is>
          <t>Klein Tools 56014 Fiberglass Fish Tape with Spiral Leader, 200-Foot</t>
        </is>
      </c>
      <c r="D7614" t="inlineStr">
        <is>
          <t>Klein Tools 56380 Non-Conductive Electrical Fish Tape, Multi-Groove Fiberglass Wire Puller with Steel Leader, 100-Foot x 3/16-Inch,Orange/Black</t>
        </is>
      </c>
      <c r="E7614" s="2">
        <f>HYPERLINK("https://www.amazon.com/Klein-Tools-56380-Multi-Groove-Fiberglass/dp/B0822229DW/ref=sr_1_4?keywords=Klein+Tools+56014+Fiberglass+Fish+Tape+with+Spiral+Leader%2C+200-Foot&amp;qid=1694735109&amp;sr=8-4", "https://www.amazon.com/Klein-Tools-56380-Multi-Groove-Fiberglass/dp/B0822229DW/ref=sr_1_4?keywords=Klein+Tools+56014+Fiberglass+Fish+Tape+with+Spiral+Leader%2C+200-Foot&amp;qid=1694735109&amp;sr=8-4")</f>
        <v/>
      </c>
      <c r="F7614" t="inlineStr">
        <is>
          <t>B0822229DW</t>
        </is>
      </c>
      <c r="G7614">
        <f>_xlfn.IMAGE("https://edmondsonsupply.com/cdn/shop/products/56014.jpg?v=1664478500")</f>
        <v/>
      </c>
      <c r="H7614">
        <f>_xlfn.IMAGE("https://m.media-amazon.com/images/I/51m05Po5U+L._AC_UL320_.jpg")</f>
        <v/>
      </c>
      <c r="K7614" t="inlineStr">
        <is>
          <t>353.0</t>
        </is>
      </c>
      <c r="L7614" t="n">
        <v>139.99</v>
      </c>
      <c r="M7614" s="1" t="inlineStr">
        <is>
          <t>-60.34%</t>
        </is>
      </c>
      <c r="N7614" s="7" t="n"/>
      <c r="O7614" t="n">
        <v>4.7</v>
      </c>
      <c r="P7614" t="n">
        <v>86</v>
      </c>
      <c r="R7614" t="inlineStr">
        <is>
          <t>InStock</t>
        </is>
      </c>
      <c r="S7614" t="inlineStr">
        <is>
          <t>530.26</t>
        </is>
      </c>
      <c r="T7614" t="inlineStr">
        <is>
          <t>7833833013464</t>
        </is>
      </c>
    </row>
    <row r="7615" ht="87" customHeight="1">
      <c r="A7615" s="2">
        <f>HYPERLINK("https://edmondsonsupply.com/collections/electricians-tools/products/milwaukee-2729-22-m18-fuel%E2%84%A2-deep-cut-band-saw-kit", "https://edmondsonsupply.com/collections/electricians-tools/products/milwaukee-2729-22-m18-fuel%E2%84%A2-deep-cut-band-saw-kit")</f>
        <v/>
      </c>
      <c r="B7615" s="2">
        <f>HYPERLINK("https://edmondsonsupply.com/products/milwaukee-2729-22-m18-fuel%e2%84%a2-deep-cut-band-saw-kit", "https://edmondsonsupply.com/products/milwaukee-2729-22-m18-fuel%e2%84%a2-deep-cut-band-saw-kit")</f>
        <v/>
      </c>
      <c r="C7615" t="inlineStr">
        <is>
          <t>Milwaukee 2729-22 M18 FUEL™ Deep Cut Band Saw Kit</t>
        </is>
      </c>
      <c r="D7615" t="inlineStr">
        <is>
          <t>MILWAUKEE'S 2729-20 M18 Fuel Deep Cut Band Saw Tool Only</t>
        </is>
      </c>
      <c r="E7615" s="2">
        <f>HYPERLINK("https://www.amazon.com/Milwaukee-2729-20-Fuel-Deep-Band/dp/B00LBHJ688/ref=sr_1_4?keywords=Milwaukee+2729-22+M18+FUEL%E2%84%A2+Deep+Cut+Band+Saw+Kit&amp;qid=1694735132&amp;sr=8-4", "https://www.amazon.com/Milwaukee-2729-20-Fuel-Deep-Band/dp/B00LBHJ688/ref=sr_1_4?keywords=Milwaukee+2729-22+M18+FUEL%E2%84%A2+Deep+Cut+Band+Saw+Kit&amp;qid=1694735132&amp;sr=8-4")</f>
        <v/>
      </c>
      <c r="F7615" t="inlineStr">
        <is>
          <t>B00LBHJ688</t>
        </is>
      </c>
      <c r="G7615">
        <f>_xlfn.IMAGE("https://edmondsonsupply.com/cdn/shop/products/190813alex272922XC50Kit.webp?v=1661701754")</f>
        <v/>
      </c>
      <c r="H7615">
        <f>_xlfn.IMAGE("https://m.media-amazon.com/images/I/81MBdLmrZgL._AC_UL320_.jpg")</f>
        <v/>
      </c>
      <c r="K7615" t="inlineStr">
        <is>
          <t>729.0</t>
        </is>
      </c>
      <c r="L7615" t="n">
        <v>289</v>
      </c>
      <c r="M7615" s="1" t="inlineStr">
        <is>
          <t>-60.36%</t>
        </is>
      </c>
      <c r="N7615" s="7" t="n"/>
      <c r="O7615" t="n">
        <v>4.8</v>
      </c>
      <c r="P7615" t="n">
        <v>452</v>
      </c>
      <c r="R7615" t="inlineStr">
        <is>
          <t>InStock</t>
        </is>
      </c>
      <c r="S7615" t="inlineStr">
        <is>
          <t>1178.0</t>
        </is>
      </c>
      <c r="T7615" t="inlineStr">
        <is>
          <t>7795892977880</t>
        </is>
      </c>
    </row>
    <row r="7616" hidden="1" ht="15.75" customHeight="1">
      <c r="A7616" s="2">
        <f>HYPERLINK("https://edmondsonsupply.com/collections/electricians-tools/products/klein-tools-31860-carbide-hole-cutter-1-3-8-inch", "https://edmondsonsupply.com/collections/electricians-tools/products/klein-tools-31860-carbide-hole-cutter-1-3-8-inch")</f>
        <v/>
      </c>
      <c r="B7616" s="2">
        <f>HYPERLINK("https://edmondsonsupply.com/products/klein-tools-31860-carbide-hole-cutter-1-3-8-inch", "https://edmondsonsupply.com/products/klein-tools-31860-carbide-hole-cutter-1-3-8-inch")</f>
        <v/>
      </c>
      <c r="C7616" t="inlineStr">
        <is>
          <t>Klein Tools 31860 Carbide Hole Cutter, 1-3/8-Inch</t>
        </is>
      </c>
      <c r="D7616" t="inlineStr">
        <is>
          <t>Klein Tools 31534 Bi-Metal Hole Saw, 2-1/8-Inch</t>
        </is>
      </c>
      <c r="E7616" s="2">
        <f>HYPERLINK("https://www.amazon.com/Klein-Tools-31534-Bi-Metal-8-Inch/dp/B0009OIJFA/ref=sr_1_41?keywords=Klein+Tools+31860+Carbide+Hole+Cutter%2C+1-3%2F8-Inch&amp;qid=1694735240&amp;sr=8-41", "https://www.amazon.com/Klein-Tools-31534-Bi-Metal-8-Inch/dp/B0009OIJFA/ref=sr_1_41?keywords=Klein+Tools+31860+Carbide+Hole+Cutter%2C+1-3%2F8-Inch&amp;qid=1694735240&amp;sr=8-41")</f>
        <v/>
      </c>
      <c r="F7616" t="inlineStr">
        <is>
          <t>B0009OIJFA</t>
        </is>
      </c>
      <c r="G7616">
        <f>_xludf.IMAGE("https://edmondsonsupply.com/cdn/shop/products/31860.jpg?v=1633030790")</f>
        <v/>
      </c>
      <c r="H7616">
        <f>_xludf.IMAGE("https://m.media-amazon.com/images/I/31Wk-f8wwaL._AC_UL320_.jpg")</f>
        <v/>
      </c>
      <c r="K7616" t="inlineStr">
        <is>
          <t>37.99</t>
        </is>
      </c>
      <c r="L7616" t="n">
        <v>14.99</v>
      </c>
      <c r="M7616" s="1" t="inlineStr">
        <is>
          <t>-60.54%</t>
        </is>
      </c>
      <c r="N7616" s="1" t="n"/>
      <c r="O7616" t="n">
        <v>5</v>
      </c>
      <c r="P7616" t="n">
        <v>5</v>
      </c>
      <c r="R7616" t="inlineStr">
        <is>
          <t>InStock</t>
        </is>
      </c>
      <c r="S7616" t="inlineStr">
        <is>
          <t>57.54</t>
        </is>
      </c>
      <c r="T7616" t="inlineStr">
        <is>
          <t>5987970613416</t>
        </is>
      </c>
    </row>
    <row r="7617" hidden="1" ht="15.75" customHeight="1">
      <c r="A7617" s="2">
        <f>HYPERLINK("https://edmondsonsupply.com/collections/electricians-tools/products/diablo-tools-dmamx1020", "https://edmondsonsupply.com/collections/electricians-tools/products/diablo-tools-dmamx1020")</f>
        <v/>
      </c>
      <c r="B7617" s="2">
        <f>HYPERLINK("https://edmondsonsupply.com/products/diablo-tools-dmamx1020", "https://edmondsonsupply.com/products/diablo-tools-dmamx1020")</f>
        <v/>
      </c>
      <c r="C7617" t="inlineStr">
        <is>
          <t>Diablo Tools DMAMX1020 1/2 in. x 8 in. x 13 in. Rebar Demon SDS‑Max 4‑Cutter Full Carbide Head Hammer Bit</t>
        </is>
      </c>
      <c r="D7617" t="inlineStr">
        <is>
          <t>Diablo DMAPL4055 3/16 in. x 10 in. x 12 in. Rebar Demon™ SDS-Plus 4-Cutter Full Carbide Head Hammer Bit</t>
        </is>
      </c>
      <c r="E7617" s="2">
        <f>HYPERLINK("https://www.amazon.com/Diablo-DMAPL4055-SDS-Plus-4-Cutter-Carbide/dp/B089LJCD42/ref=sr_1_46?keywords=Diablo+Tools+DMAMX1020+1%2F2+in.+x+8+in.+x+13+in.+Rebar+Demon+SDS%E2%80%91Max+4%E2%80%91Cutter+Full+Carbide+Head+Hammer+Bit&amp;qid=1694735268&amp;sr=8-46", "https://www.amazon.com/Diablo-DMAPL4055-SDS-Plus-4-Cutter-Carbide/dp/B089LJCD42/ref=sr_1_46?keywords=Diablo+Tools+DMAMX1020+1%2F2+in.+x+8+in.+x+13+in.+Rebar+Demon+SDS%E2%80%91Max+4%E2%80%91Cutter+Full+Carbide+Head+Hammer+Bit&amp;qid=1694735268&amp;sr=8-46")</f>
        <v/>
      </c>
      <c r="F7617" t="inlineStr">
        <is>
          <t>B089LJCD42</t>
        </is>
      </c>
      <c r="G7617">
        <f>_xludf.IMAGE("https://edmondsonsupply.com/cdn/shop/products/DMAMX1020_Main-Image20200701.png?v=1609798895")</f>
        <v/>
      </c>
      <c r="H7617">
        <f>_xludf.IMAGE("https://m.media-amazon.com/images/I/61cDOAhkb4L._AC_UL320_.jpg")</f>
        <v/>
      </c>
      <c r="K7617" t="inlineStr">
        <is>
          <t>39.97</t>
        </is>
      </c>
      <c r="L7617" t="n">
        <v>15.76</v>
      </c>
      <c r="M7617" s="1" t="inlineStr">
        <is>
          <t>-60.57%</t>
        </is>
      </c>
      <c r="N7617" s="1" t="n"/>
      <c r="O7617" t="n">
        <v>2</v>
      </c>
      <c r="P7617" t="n">
        <v>1</v>
      </c>
      <c r="R7617" t="inlineStr">
        <is>
          <t>InStock</t>
        </is>
      </c>
      <c r="S7617" t="inlineStr">
        <is>
          <t>42.31</t>
        </is>
      </c>
      <c r="T7617" t="inlineStr">
        <is>
          <t>5463822598312</t>
        </is>
      </c>
    </row>
    <row r="7618" ht="87" customHeight="1">
      <c r="A7618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618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618" t="inlineStr">
        <is>
          <t>Milwaukee 48-11-2411 M12 REDLITHIUM™ Compact Battery Two Pack</t>
        </is>
      </c>
      <c r="D7618" t="inlineStr">
        <is>
          <t>2 Pack ExpertPower 12-volt Lithium Battery for Milwaukee M12, 48-11-2401, 48-11-2402, 48-11-2420, 48-11-2430, 48-11-2440, 48-11-2460, 48-11-2411, 48-11-2412</t>
        </is>
      </c>
      <c r="E7618" s="2">
        <f>HYPERLINK("https://www.amazon.com/ExpertPower-REDLITHIUM-48-11-2401-48-11-2402-48-11-2420/dp/B01HIVTKR2/ref=sr_1_18?keywords=Milwaukee+48-11-2411+M12+REDLITHIUM%E2%84%A2+Compact+Battery+Two+Pack&amp;qid=1694735145&amp;sr=8-18", "https://www.amazon.com/ExpertPower-REDLITHIUM-48-11-2401-48-11-2402-48-11-2420/dp/B01HIVTKR2/ref=sr_1_18?keywords=Milwaukee+48-11-2411+M12+REDLITHIUM%E2%84%A2+Compact+Battery+Two+Pack&amp;qid=1694735145&amp;sr=8-18")</f>
        <v/>
      </c>
      <c r="F7618" t="inlineStr">
        <is>
          <t>B01HIVTKR2</t>
        </is>
      </c>
      <c r="G7618">
        <f>_xlfn.IMAGE("https://edmondsonsupply.com/cdn/shop/products/65014_48-11-2411-lg.jpg?v=1655484824")</f>
        <v/>
      </c>
      <c r="H7618">
        <f>_xlfn.IMAGE("https://m.media-amazon.com/images/I/71+ITbqEx-L._AC_UL320_.jpg")</f>
        <v/>
      </c>
      <c r="K7618" t="inlineStr">
        <is>
          <t>89.0</t>
        </is>
      </c>
      <c r="L7618" t="n">
        <v>34.99</v>
      </c>
      <c r="M7618" s="1" t="inlineStr">
        <is>
          <t>-60.69%</t>
        </is>
      </c>
      <c r="N7618" s="7" t="n"/>
      <c r="O7618" t="n">
        <v>4.2</v>
      </c>
      <c r="P7618" t="n">
        <v>186</v>
      </c>
      <c r="R7618" t="inlineStr">
        <is>
          <t>OutOfStock</t>
        </is>
      </c>
      <c r="S7618" t="inlineStr">
        <is>
          <t>150.0</t>
        </is>
      </c>
      <c r="T7618" t="inlineStr">
        <is>
          <t>7721456795864</t>
        </is>
      </c>
    </row>
    <row r="7619" hidden="1" ht="15.75" customHeight="1">
      <c r="A7619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19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19" t="inlineStr">
        <is>
          <t>Klein Tools NCVT-2P Dual Range Non-Contact Voltage Tester 12 - 1000V AC</t>
        </is>
      </c>
      <c r="D7619" t="inlineStr">
        <is>
          <t>SABER Voltage Tester/Non-Contact Voltage Tester with Dual Range AC 12V-1000V/48V-1000V, Live/Null Wire Tester, Electrical Tester with LCD Display, Buzzer Alarm, Wire Breakpoint Finder-HT100 (Red)</t>
        </is>
      </c>
      <c r="E7619" s="2">
        <f>HYPERLINK("https://www.amazon.com/SABER-Non-Contact-Electrical-Breakpoint-Finder-HT100/dp/B0C8BQFXGX/ref=sr_1_10?keywords=Klein+Tools+NCVT-2P+Dual+Range+Non-Contact+Voltage+Tester+12+-+1000V+AC&amp;qid=1694735236&amp;sr=8-10", "https://www.amazon.com/SABER-Non-Contact-Electrical-Breakpoint-Finder-HT100/dp/B0C8BQFXGX/ref=sr_1_10?keywords=Klein+Tools+NCVT-2P+Dual+Range+Non-Contact+Voltage+Tester+12+-+1000V+AC&amp;qid=1694735236&amp;sr=8-10")</f>
        <v/>
      </c>
      <c r="F7619" t="inlineStr">
        <is>
          <t>B0C8BQFXGX</t>
        </is>
      </c>
      <c r="G7619">
        <f>_xludf.IMAGE("https://edmondsonsupply.com/cdn/shop/products/ncvt2p.jpg?v=1633030824")</f>
        <v/>
      </c>
      <c r="H7619">
        <f>_xludf.IMAGE("https://m.media-amazon.com/images/I/619jCvf9qTL._AC_UL320_.jpg")</f>
        <v/>
      </c>
      <c r="K7619" t="inlineStr">
        <is>
          <t>27.97</t>
        </is>
      </c>
      <c r="L7619" t="n">
        <v>10.99</v>
      </c>
      <c r="M7619" s="1" t="inlineStr">
        <is>
          <t>-60.71%</t>
        </is>
      </c>
      <c r="N7619" s="1" t="n"/>
      <c r="O7619" t="n">
        <v>4.1</v>
      </c>
      <c r="P7619" t="n">
        <v>30</v>
      </c>
      <c r="R7619" t="inlineStr">
        <is>
          <t>InStock</t>
        </is>
      </c>
      <c r="S7619" t="inlineStr">
        <is>
          <t>35.76</t>
        </is>
      </c>
      <c r="T7619" t="inlineStr">
        <is>
          <t>6080875626669</t>
        </is>
      </c>
    </row>
    <row r="7620" hidden="1" ht="15.75" customHeight="1">
      <c r="A7620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620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620" t="inlineStr">
        <is>
          <t>Diablo Tools DMAPL4180-P25 1/2 in. x 4 in. x 6 in. Rebar Demon™ SDS-Plus 4-Cutter Full Carbide Head Hammer Bit (25 Pack)</t>
        </is>
      </c>
      <c r="D7620" t="inlineStr">
        <is>
          <t>Diablo DMAMX1180 7/8 in. x 16 in. x 21 in. Rebar Demon™ SDS-Max 4-Cutter Full Carbide Head Hammer Bit</t>
        </is>
      </c>
      <c r="E7620" s="2">
        <f>HYPERLINK("https://www.amazon.com/Diablo-SDS-Max-4-Cutter-Carbide-Hammer/dp/B089KWFF8B/ref=sr_1_47?keywords=Diablo+Tools+DMAPL4180-P25+1%2F2+in.+x+4+in.+x+6+in.+Rebar+Demon%E2%84%A2+SDS-Plus+4-Cutter+Full+Carbide+Head+Hammer+Bit+%2825+Pack%29&amp;qid=1694735263&amp;sr=8-47", "https://www.amazon.com/Diablo-SDS-Max-4-Cutter-Carbide-Hammer/dp/B089KWFF8B/ref=sr_1_47?keywords=Diablo+Tools+DMAPL4180-P25+1%2F2+in.+x+4+in.+x+6+in.+Rebar+Demon%E2%84%A2+SDS-Plus+4-Cutter+Full+Carbide+Head+Hammer+Bit+%2825+Pack%29&amp;qid=1694735263&amp;sr=8-47")</f>
        <v/>
      </c>
      <c r="F7620" t="inlineStr">
        <is>
          <t>B089KWFF8B</t>
        </is>
      </c>
      <c r="G7620">
        <f>_xludf.IMAGE("https://edmondsonsupply.com/cdn/shop/products/DMAPL4180-P25_Additional-Images_0120200331.png?v=1633030573")</f>
        <v/>
      </c>
      <c r="H7620">
        <f>_xludf.IMAGE("https://m.media-amazon.com/images/I/611fTcYRNFL._AC_UL320_.jpg")</f>
        <v/>
      </c>
      <c r="K7620" t="inlineStr">
        <is>
          <t>133.97</t>
        </is>
      </c>
      <c r="L7620" t="n">
        <v>52.51</v>
      </c>
      <c r="M7620" s="1" t="inlineStr">
        <is>
          <t>-60.80%</t>
        </is>
      </c>
      <c r="N7620" s="1" t="n"/>
      <c r="O7620" t="n">
        <v>3.5</v>
      </c>
      <c r="P7620" t="n">
        <v>3</v>
      </c>
      <c r="R7620" t="inlineStr">
        <is>
          <t>InStock</t>
        </is>
      </c>
      <c r="S7620" t="inlineStr">
        <is>
          <t>193.66</t>
        </is>
      </c>
      <c r="T7620" t="inlineStr">
        <is>
          <t>5524246659240</t>
        </is>
      </c>
    </row>
    <row r="7621" ht="87" customHeight="1">
      <c r="A7621" s="2">
        <f>HYPERLINK("https://edmondsonsupply.com/collections/electricians-tools/products/diablo-tools-d0724a-7-1-4-in-x-24-tooth-framing-saw-blade-10-pack", "https://edmondsonsupply.com/collections/electricians-tools/products/diablo-tools-d0724a-7-1-4-in-x-24-tooth-framing-saw-blade-10-pack")</f>
        <v/>
      </c>
      <c r="B7621" s="2">
        <f>HYPERLINK("https://edmondsonsupply.com/products/diablo-tools-d0724a-7-1-4-in-x-24-tooth-framing-saw-blade-10-pack", "https://edmondsonsupply.com/products/diablo-tools-d0724a-7-1-4-in-x-24-tooth-framing-saw-blade-10-pack")</f>
        <v/>
      </c>
      <c r="C7621" t="inlineStr">
        <is>
          <t>Diablo Tools D0724A 7-1/4 in. x 24 Tooth Framing Saw Blade, 10-Pack</t>
        </is>
      </c>
      <c r="D7621" t="inlineStr">
        <is>
          <t>2 Pack Diablo D0724DA 7-1/4" X 24 Tooth Framing/Deconstruction Circular Saw Blade</t>
        </is>
      </c>
      <c r="E7621" s="2">
        <f>HYPERLINK("https://www.amazon.com/Diablo-D0724DA-Framing-Deconstruction-Circular/dp/B00XT9KFVS/ref=sr_1_4?keywords=Diablo+Tools+D0724A+7-1%2F4+in.+x+24+Tooth+Framing+Saw+Blade%2C+10-Pack&amp;qid=1694735301&amp;sr=8-4", "https://www.amazon.com/Diablo-D0724DA-Framing-Deconstruction-Circular/dp/B00XT9KFVS/ref=sr_1_4?keywords=Diablo+Tools+D0724A+7-1%2F4+in.+x+24+Tooth+Framing+Saw+Blade%2C+10-Pack&amp;qid=1694735301&amp;sr=8-4")</f>
        <v/>
      </c>
      <c r="F7621" t="inlineStr">
        <is>
          <t>B00XT9KFVS</t>
        </is>
      </c>
      <c r="G7621">
        <f>_xlfn.IMAGE("https://edmondsonsupply.com/cdn/shop/products/D0724A_Main-Image20200218_7e0d9e88-4df7-4e56-9e76-84e36363ce4f.png?v=1633030327")</f>
        <v/>
      </c>
      <c r="H7621">
        <f>_xlfn.IMAGE("https://m.media-amazon.com/images/I/61NkAJf3i9L._AC_UL320_.jpg")</f>
        <v/>
      </c>
      <c r="K7621" t="inlineStr">
        <is>
          <t>94.38</t>
        </is>
      </c>
      <c r="L7621" t="n">
        <v>36.9</v>
      </c>
      <c r="M7621" s="1" t="inlineStr">
        <is>
          <t>-60.90%</t>
        </is>
      </c>
      <c r="N7621" s="7" t="n"/>
      <c r="O7621" t="n">
        <v>4.7</v>
      </c>
      <c r="P7621" t="n">
        <v>10</v>
      </c>
      <c r="R7621" t="inlineStr">
        <is>
          <t>InStock</t>
        </is>
      </c>
      <c r="S7621" t="inlineStr">
        <is>
          <t>154.5</t>
        </is>
      </c>
      <c r="T7621" t="inlineStr">
        <is>
          <t>5259913953448</t>
        </is>
      </c>
    </row>
    <row r="7622" ht="87" customHeight="1">
      <c r="A7622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622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622" t="inlineStr">
        <is>
          <t>Diablo Tools DMAMX1110 5/8 in. x 24 in. x 29 in. Rebar Demon™ SDS-Max 4-Cutter Full Carbide Head Hammer Bit</t>
        </is>
      </c>
      <c r="D7622" t="inlineStr">
        <is>
          <t>Diablo by Freud DMAMX1090 5/8 in. x 8 in. x 13 in. Rebar Demon SDS-Max 4-Cutter Full Carbide Head Hammer Bit</t>
        </is>
      </c>
      <c r="E7622" s="2">
        <f>HYPERLINK("https://www.amazon.com/Diablo-SDS-Max-4-Cutter-Carbide-Hammer/dp/B089LGB35P/ref=sr_1_7?keywords=Diablo+Tools+DMAMX1110+5%2F8+in.+x+24+in.+x+29+in.+Rebar+Demon%E2%84%A2+SDS-Max+4-Cutter+Full+Carbide+Head+Hammer+Bit&amp;qid=1694735304&amp;sr=8-7", "https://www.amazon.com/Diablo-SDS-Max-4-Cutter-Carbide-Hammer/dp/B089LGB35P/ref=sr_1_7?keywords=Diablo+Tools+DMAMX1110+5%2F8+in.+x+24+in.+x+29+in.+Rebar+Demon%E2%84%A2+SDS-Max+4-Cutter+Full+Carbide+Head+Hammer+Bit&amp;qid=1694735304&amp;sr=8-7")</f>
        <v/>
      </c>
      <c r="F7622" t="inlineStr">
        <is>
          <t>B089LGB35P</t>
        </is>
      </c>
      <c r="G7622">
        <f>_xlfn.IMAGE("https://edmondsonsupply.com/cdn/shop/products/DMAMX1110_1.jpg?v=1633030364")</f>
        <v/>
      </c>
      <c r="H7622">
        <f>_xlfn.IMAGE("https://m.media-amazon.com/images/I/61Wr1t8FMOL._AC_UL320_.jpg")</f>
        <v/>
      </c>
      <c r="K7622" t="inlineStr">
        <is>
          <t>89.97</t>
        </is>
      </c>
      <c r="L7622" t="n">
        <v>35.1</v>
      </c>
      <c r="M7622" s="1" t="inlineStr">
        <is>
          <t>-60.99%</t>
        </is>
      </c>
      <c r="N7622" s="7" t="n"/>
      <c r="O7622" t="n">
        <v>4.2</v>
      </c>
      <c r="P7622" t="n">
        <v>5</v>
      </c>
      <c r="R7622" t="inlineStr">
        <is>
          <t>InStock</t>
        </is>
      </c>
      <c r="S7622" t="inlineStr">
        <is>
          <t>115.5</t>
        </is>
      </c>
      <c r="T7622" t="inlineStr">
        <is>
          <t>5289159655592</t>
        </is>
      </c>
    </row>
    <row r="7623" ht="87" customHeight="1">
      <c r="A7623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623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623" t="inlineStr">
        <is>
          <t>Diablo Tools DMAMX1230 1 in. x 24 in. x 29 in. Rebar Demon™ SDS-Max 4-Cutter Full Carbide Head Hammer Bit</t>
        </is>
      </c>
      <c r="D7623" t="inlineStr">
        <is>
          <t>Diablo DMAPL4310 1 in. x 16 in. x 18 in. Rebar Demon™ SDS-Plus 4-Cutter Full Carbide Head Hammer Bit</t>
        </is>
      </c>
      <c r="E7623" s="2">
        <f>HYPERLINK("https://www.amazon.com/Diablo-DMAPL4310-SDS-Plus-4-Cutter-Carbide/dp/B089KX2VKR/ref=sr_1_23?keywords=Diablo+Tools+DMAMX1230+1+in.+x+24+in.+x+29+in.+Rebar+Demon%E2%84%A2+SDS-Max+4-Cutter+Full+Carbide+Head+Hammer+Bit&amp;qid=1694735297&amp;sr=8-23", "https://www.amazon.com/Diablo-DMAPL4310-SDS-Plus-4-Cutter-Carbide/dp/B089KX2VKR/ref=sr_1_23?keywords=Diablo+Tools+DMAMX1230+1+in.+x+24+in.+x+29+in.+Rebar+Demon%E2%84%A2+SDS-Max+4-Cutter+Full+Carbide+Head+Hammer+Bit&amp;qid=1694735297&amp;sr=8-23")</f>
        <v/>
      </c>
      <c r="F7623" t="inlineStr">
        <is>
          <t>B089KX2VKR</t>
        </is>
      </c>
      <c r="G7623">
        <f>_xlfn.IMAGE("https://edmondsonsupply.com/cdn/shop/products/DMAMX1230_1.jpg?v=1633030364")</f>
        <v/>
      </c>
      <c r="H7623">
        <f>_xlfn.IMAGE("https://m.media-amazon.com/images/I/61iwxfqG2VL._AC_UL320_.jpg")</f>
        <v/>
      </c>
      <c r="K7623" t="inlineStr">
        <is>
          <t>124.97</t>
        </is>
      </c>
      <c r="L7623" t="n">
        <v>48.49</v>
      </c>
      <c r="M7623" s="1" t="inlineStr">
        <is>
          <t>-61.20%</t>
        </is>
      </c>
      <c r="N7623" s="7" t="n"/>
      <c r="O7623" t="n">
        <v>4.5</v>
      </c>
      <c r="P7623" t="n">
        <v>32</v>
      </c>
      <c r="R7623" t="inlineStr">
        <is>
          <t>InStock</t>
        </is>
      </c>
      <c r="S7623" t="inlineStr">
        <is>
          <t>152.89</t>
        </is>
      </c>
      <c r="T7623" t="inlineStr">
        <is>
          <t>5289176072360</t>
        </is>
      </c>
    </row>
    <row r="7624" hidden="1" ht="15.75" customHeight="1">
      <c r="A7624" s="2">
        <f>HYPERLINK("https://edmondsonsupply.com/collections/electricians-tools/products/diablo-tools-dou250jbw3-2-1-2-in-universal-fit-bi-metal-oscillating-blade-for-clean-wood-3-pk", "https://edmondsonsupply.com/collections/electricians-tools/products/diablo-tools-dou250jbw3-2-1-2-in-universal-fit-bi-metal-oscillating-blade-for-clean-wood-3-pk")</f>
        <v/>
      </c>
      <c r="B7624" s="2">
        <f>HYPERLINK("https://edmondsonsupply.com/products/diablo-tools-dou250jbw3-2-1-2-in-universal-fit-bi-metal-oscillating-blade-for-clean-wood-3-pk", "https://edmondsonsupply.com/products/diablo-tools-dou250jbw3-2-1-2-in-universal-fit-bi-metal-oscillating-blade-for-clean-wood-3-pk")</f>
        <v/>
      </c>
      <c r="C7624" t="inlineStr">
        <is>
          <t>Diablo Tools DOU250JBW3 2-1/2 in. Universal Fit Bi-Metal Oscillating Blade for Clean Wood (3 pk)</t>
        </is>
      </c>
      <c r="D7624" t="inlineStr">
        <is>
          <t>Diablo DOU125BW 1-1/4 in. Universal Fit Bi-Metal Oscillating Blade for Nail-Embedded Wood</t>
        </is>
      </c>
      <c r="E7624" s="2">
        <f>HYPERLINK("https://www.amazon.com/Diablo-Universal-Bi-Metal-Oscillating-Nail-Embedded/dp/B089LDN2LT/ref=sr_1_10?keywords=Diablo+Tools+DOU250JBW3+2-1%2F2+in.+Universal+Fit+Bi-Metal+Oscillating+Blade+for+Clean+Wood+%283+pk%29&amp;qid=1694734992&amp;sr=8-10", "https://www.amazon.com/Diablo-Universal-Bi-Metal-Oscillating-Nail-Embedded/dp/B089LDN2LT/ref=sr_1_10?keywords=Diablo+Tools+DOU250JBW3+2-1%2F2+in.+Universal+Fit+Bi-Metal+Oscillating+Blade+for+Clean+Wood+%283+pk%29&amp;qid=1694734992&amp;sr=8-10")</f>
        <v/>
      </c>
      <c r="F7624" t="inlineStr">
        <is>
          <t>B089LDN2LT</t>
        </is>
      </c>
      <c r="G7624">
        <f>_xludf.IMAGE("https://edmondsonsupply.com/cdn/shop/files/pycnap4eb1urn2hxvudq_1.webp?v=1685719587")</f>
        <v/>
      </c>
      <c r="H7624">
        <f>_xludf.IMAGE("https://m.media-amazon.com/images/I/613ig7mNjfL._AC_UL320_.jpg")</f>
        <v/>
      </c>
      <c r="K7624" t="inlineStr">
        <is>
          <t>31.32</t>
        </is>
      </c>
      <c r="L7624" t="n">
        <v>12.14</v>
      </c>
      <c r="M7624" s="1" t="inlineStr">
        <is>
          <t>-61.24%</t>
        </is>
      </c>
      <c r="N7624" s="1" t="n"/>
      <c r="O7624" t="n">
        <v>4.8</v>
      </c>
      <c r="P7624" t="n">
        <v>12</v>
      </c>
      <c r="R7624" t="inlineStr">
        <is>
          <t>InStock</t>
        </is>
      </c>
      <c r="S7624" t="inlineStr">
        <is>
          <t>49.72</t>
        </is>
      </c>
      <c r="T7624" t="inlineStr">
        <is>
          <t>7999575654616</t>
        </is>
      </c>
    </row>
    <row r="7625" ht="87" customHeight="1">
      <c r="A7625" s="2">
        <f>HYPERLINK("https://edmondsonsupply.com/collections/electricians-tools/products/klein-tools-cl320kit-hvac-digital-clamp-meter-electrical-test-kit", "https://edmondsonsupply.com/collections/electricians-tools/products/klein-tools-cl320kit-hvac-digital-clamp-meter-electrical-test-kit")</f>
        <v/>
      </c>
      <c r="B7625" s="2">
        <f>HYPERLINK("https://edmondsonsupply.com/products/klein-tools-cl320kit-hvac-digital-clamp-meter-electrical-test-kit", "https://edmondsonsupply.com/products/klein-tools-cl320kit-hvac-digital-clamp-meter-electrical-test-kit")</f>
        <v/>
      </c>
      <c r="C7625" t="inlineStr">
        <is>
          <t>Klein Tools CL320KIT HVAC Digital Clamp Meter Electrical Test Kit</t>
        </is>
      </c>
      <c r="D7625" t="inlineStr">
        <is>
          <t>Klein Tools 69355 Digital Multimeter Premium Electrical Test Kit with Non-Contact Voltage Tester, Receptacle Tester, Test Leads</t>
        </is>
      </c>
      <c r="E7625" s="2">
        <f>HYPERLINK("https://www.amazon.com/Klein-Tools-69355-Electrical-Test/dp/B09SVQQFZX/ref=sr_1_16?keywords=Klein+Tools+CL320KIT+HVAC+Digital+Clamp+Meter+Electrical+Test+Kit&amp;qid=1694735135&amp;sr=8-16", "https://www.amazon.com/Klein-Tools-69355-Electrical-Test/dp/B09SVQQFZX/ref=sr_1_16?keywords=Klein+Tools+CL320KIT+HVAC+Digital+Clamp+Meter+Electrical+Test+Kit&amp;qid=1694735135&amp;sr=8-16")</f>
        <v/>
      </c>
      <c r="F7625" t="inlineStr">
        <is>
          <t>B09SVQQFZX</t>
        </is>
      </c>
      <c r="G7625">
        <f>_xlfn.IMAGE("https://edmondsonsupply.com/cdn/shop/products/cl320kit_photo.jpg?v=1660753251")</f>
        <v/>
      </c>
      <c r="H7625">
        <f>_xlfn.IMAGE("https://m.media-amazon.com/images/I/51heXSegywL._AC_UY218_.jpg")</f>
        <v/>
      </c>
      <c r="K7625" t="inlineStr">
        <is>
          <t>118.99</t>
        </is>
      </c>
      <c r="L7625" t="n">
        <v>46</v>
      </c>
      <c r="M7625" s="1" t="inlineStr">
        <is>
          <t>-61.34%</t>
        </is>
      </c>
      <c r="N7625" s="7" t="n"/>
      <c r="O7625" t="n">
        <v>4.7</v>
      </c>
      <c r="P7625" t="n">
        <v>403</v>
      </c>
      <c r="R7625" t="inlineStr">
        <is>
          <t>InStock</t>
        </is>
      </c>
      <c r="S7625" t="inlineStr">
        <is>
          <t>170.54</t>
        </is>
      </c>
      <c r="T7625" t="inlineStr">
        <is>
          <t>7783540949208</t>
        </is>
      </c>
    </row>
    <row r="7626" ht="87" customHeight="1">
      <c r="A7626" s="2">
        <f>HYPERLINK("https://edmondsonsupply.com/collections/electricians-tools/products/milwaukee-2732-21hd", "https://edmondsonsupply.com/collections/electricians-tools/products/milwaukee-2732-21hd")</f>
        <v/>
      </c>
      <c r="B7626" s="2">
        <f>HYPERLINK("https://edmondsonsupply.com/products/milwaukee-2732-21hd", "https://edmondsonsupply.com/products/milwaukee-2732-21hd")</f>
        <v/>
      </c>
      <c r="C7626" t="inlineStr">
        <is>
          <t>Milwaukee 2732-21HD M18 FUEL 7-1/4" Circular Saw Kit</t>
        </is>
      </c>
      <c r="D7626" t="inlineStr">
        <is>
          <t>Milwaukee 2732-20 M18 FUEL 7-1/4 in. Circular Saw</t>
        </is>
      </c>
      <c r="E7626" s="2">
        <f>HYPERLINK("https://www.amazon.com/Milwaukee-05-84-0910-0-8-20-HEX-SOC/dp/B079NPMJQ1/ref=sr_1_1?keywords=Milwaukee+2732-21HD+M18+FUEL+7-1%2F4%22+Circular+Saw+Kit&amp;qid=1694735304&amp;sr=8-1", "https://www.amazon.com/Milwaukee-05-84-0910-0-8-20-HEX-SOC/dp/B079NPMJQ1/ref=sr_1_1?keywords=Milwaukee+2732-21HD+M18+FUEL+7-1%2F4%22+Circular+Saw+Kit&amp;qid=1694735304&amp;sr=8-1")</f>
        <v/>
      </c>
      <c r="F7626" t="inlineStr">
        <is>
          <t>B079NPMJQ1</t>
        </is>
      </c>
      <c r="G7626">
        <f>_xlfn.IMAGE("https://edmondsonsupply.com/cdn/shop/products/2732-21HD_Kit.png?v=1591470998")</f>
        <v/>
      </c>
      <c r="H7626">
        <f>_xlfn.IMAGE("https://m.media-amazon.com/images/I/7105fv4fDrL._AC_UL320_.jpg")</f>
        <v/>
      </c>
      <c r="K7626" t="inlineStr">
        <is>
          <t>449.0</t>
        </is>
      </c>
      <c r="L7626" t="n">
        <v>173</v>
      </c>
      <c r="M7626" s="1" t="inlineStr">
        <is>
          <t>-61.47%</t>
        </is>
      </c>
      <c r="N7626" s="7" t="n"/>
      <c r="O7626" t="n">
        <v>4.8</v>
      </c>
      <c r="P7626" t="n">
        <v>704</v>
      </c>
      <c r="R7626" t="inlineStr">
        <is>
          <t>InStock</t>
        </is>
      </c>
      <c r="S7626" t="inlineStr">
        <is>
          <t>790.0</t>
        </is>
      </c>
      <c r="T7626" t="inlineStr">
        <is>
          <t>5279006064808</t>
        </is>
      </c>
    </row>
    <row r="7627" hidden="1" ht="15.75" customHeight="1">
      <c r="A7627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627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627" t="inlineStr">
        <is>
          <t>Klein Tools JTH6E17 1/2-Inch Hex Journeyman T-Handle 6-Inch</t>
        </is>
      </c>
      <c r="D7627" t="inlineStr">
        <is>
          <t>Klein Tools JTH4E15 3/8-Inch Hex Key with Journeyman T-Handle, 4-Inch</t>
        </is>
      </c>
      <c r="E7627" s="2">
        <f>HYPERLINK("https://www.amazon.com/Klein-Tools-JTH4E15-Journeyman-T-Handle/dp/B004LR4MO8/ref=sr_1_16?keywords=Klein+Tools+JTH6E17+1%2F2-Inch+Hex+Journeyman+T-Handle+6-Inch&amp;qid=1694735359&amp;sr=8-16", "https://www.amazon.com/Klein-Tools-JTH4E15-Journeyman-T-Handle/dp/B004LR4MO8/ref=sr_1_16?keywords=Klein+Tools+JTH6E17+1%2F2-Inch+Hex+Journeyman+T-Handle+6-Inch&amp;qid=1694735359&amp;sr=8-16")</f>
        <v/>
      </c>
      <c r="F7627" t="inlineStr">
        <is>
          <t>B004LR4MO8</t>
        </is>
      </c>
      <c r="G7627">
        <f>_xludf.IMAGE("https://edmondsonsupply.com/cdn/shop/products/jth6e15_80623668-f320-404f-929d-7d7e04a8b5aa.jpg?v=1587146378")</f>
        <v/>
      </c>
      <c r="H7627">
        <f>_xludf.IMAGE("https://m.media-amazon.com/images/I/41onH0Q9stL._AC_UL320_.jpg")</f>
        <v/>
      </c>
      <c r="K7627" t="inlineStr">
        <is>
          <t>19.99</t>
        </is>
      </c>
      <c r="L7627" t="n">
        <v>7.7</v>
      </c>
      <c r="M7627" s="1" t="inlineStr">
        <is>
          <t>-61.48%</t>
        </is>
      </c>
      <c r="N7627" s="1" t="n"/>
      <c r="O7627" t="n">
        <v>4.8</v>
      </c>
      <c r="P7627" t="n">
        <v>2477</v>
      </c>
      <c r="R7627" t="inlineStr">
        <is>
          <t>InStock</t>
        </is>
      </c>
      <c r="S7627" t="inlineStr">
        <is>
          <t>30.28</t>
        </is>
      </c>
      <c r="T7627" t="inlineStr">
        <is>
          <t>4431817605220</t>
        </is>
      </c>
    </row>
    <row r="7628" hidden="1" ht="15.75" customHeight="1">
      <c r="A7628" s="2">
        <f>HYPERLINK("https://edmondsonsupply.com/collections/electricians-tools/products/milwaukee-48-22-1521-compact-folding-knife", "https://edmondsonsupply.com/collections/electricians-tools/products/milwaukee-48-22-1521-compact-folding-knife")</f>
        <v/>
      </c>
      <c r="B7628" s="2">
        <f>HYPERLINK("https://edmondsonsupply.com/products/milwaukee-48-22-1521-compact-folding-knife", "https://edmondsonsupply.com/products/milwaukee-48-22-1521-compact-folding-knife")</f>
        <v/>
      </c>
      <c r="C7628" t="inlineStr">
        <is>
          <t>Milwaukee 48-22-1521 Compact Folding Knife</t>
        </is>
      </c>
      <c r="D7628" t="inlineStr">
        <is>
          <t>Milwaukee 48-22-1933 5-Pack of Deburred Micro Carbide Drywall Utility Knife Blades for Folding Lockback and Sliding Knives</t>
        </is>
      </c>
      <c r="E7628" s="2">
        <f>HYPERLINK("https://www.amazon.com/Milwaukee-48-22-1933-Deburred-Carbide-Lockback/dp/B00D5YLP5W/ref=sr_1_15?keywords=Milwaukee+48-22-1521+Compact+Folding+Knife&amp;qid=1694735039&amp;sr=8-15", "https://www.amazon.com/Milwaukee-48-22-1933-Deburred-Carbide-Lockback/dp/B00D5YLP5W/ref=sr_1_15?keywords=Milwaukee+48-22-1521+Compact+Folding+Knife&amp;qid=1694735039&amp;sr=8-15")</f>
        <v/>
      </c>
      <c r="F7628" t="inlineStr">
        <is>
          <t>B00D5YLP5W</t>
        </is>
      </c>
      <c r="G7628">
        <f>_xludf.IMAGE("https://edmondsonsupply.com/cdn/shop/products/48-22-1521_1.webp?v=1675359641")</f>
        <v/>
      </c>
      <c r="H7628">
        <f>_xludf.IMAGE("https://m.media-amazon.com/images/I/41vPWO+PD8L._AC_UL320_.jpg")</f>
        <v/>
      </c>
      <c r="K7628" t="inlineStr">
        <is>
          <t>12.97</t>
        </is>
      </c>
      <c r="L7628" t="n">
        <v>4.99</v>
      </c>
      <c r="M7628" s="1" t="inlineStr">
        <is>
          <t>-61.53%</t>
        </is>
      </c>
      <c r="N7628" s="1" t="n"/>
      <c r="O7628" t="n">
        <v>4.5</v>
      </c>
      <c r="P7628" t="n">
        <v>65</v>
      </c>
      <c r="R7628" t="inlineStr">
        <is>
          <t>InStock</t>
        </is>
      </c>
      <c r="S7628" t="inlineStr">
        <is>
          <t>15.5</t>
        </is>
      </c>
      <c r="T7628" t="inlineStr">
        <is>
          <t>7937891827928</t>
        </is>
      </c>
    </row>
    <row r="7629" hidden="1" ht="15.75" customHeight="1">
      <c r="A7629" s="2">
        <f>HYPERLINK("https://edmondsonsupply.com/collections/electricians-tools/products/klein-tools-32307-27-in-1-multi-bit-tamperproof-screwdriver", "https://edmondsonsupply.com/collections/electricians-tools/products/klein-tools-32307-27-in-1-multi-bit-tamperproof-screwdriver")</f>
        <v/>
      </c>
      <c r="B7629" s="2">
        <f>HYPERLINK("https://edmondsonsupply.com/products/klein-tools-32307-27-in-1-multi-bit-tamperproof-screwdriver", "https://edmondsonsupply.com/products/klein-tools-32307-27-in-1-multi-bit-tamperproof-screwdriver")</f>
        <v/>
      </c>
      <c r="C7629" t="inlineStr">
        <is>
          <t>Klein Tools 32307 27-in-1 Multi-Bit Tamperproof Screwdriver</t>
        </is>
      </c>
      <c r="D7629" t="inlineStr">
        <is>
          <t>Klein Tools 32476 5-In-1 Multi-Bit Screwdriver / Nut Driver with 2 Slotted, 2 Philips, and 1 Nut Driver Tip</t>
        </is>
      </c>
      <c r="E7629" s="2">
        <f>HYPERLINK("https://www.amazon.com/Screwdriver-Driver-Yellow-Klein-32476/dp/B000RFPDXC/ref=sr_1_37?keywords=Klein+Tools+32307+27-in-1+Multi-Bit+Tamperproof+Screwdriver&amp;qid=1694735165&amp;sr=8-37", "https://www.amazon.com/Screwdriver-Driver-Yellow-Klein-32476/dp/B000RFPDXC/ref=sr_1_37?keywords=Klein+Tools+32307+27-in-1+Multi-Bit+Tamperproof+Screwdriver&amp;qid=1694735165&amp;sr=8-37")</f>
        <v/>
      </c>
      <c r="F7629" t="inlineStr">
        <is>
          <t>B000RFPDXC</t>
        </is>
      </c>
      <c r="G7629">
        <f>_xludf.IMAGE("https://edmondsonsupply.com/cdn/shop/products/32307.jpg?v=1647347524")</f>
        <v/>
      </c>
      <c r="H7629">
        <f>_xludf.IMAGE("https://m.media-amazon.com/images/I/51ZkueHIEQL._AC_UL320_.jpg")</f>
        <v/>
      </c>
      <c r="K7629" t="inlineStr">
        <is>
          <t>25.97</t>
        </is>
      </c>
      <c r="L7629" t="n">
        <v>9.98</v>
      </c>
      <c r="M7629" s="1" t="inlineStr">
        <is>
          <t>-61.57%</t>
        </is>
      </c>
      <c r="N7629" s="1" t="n"/>
      <c r="O7629" t="n">
        <v>4.8</v>
      </c>
      <c r="P7629" t="n">
        <v>1240</v>
      </c>
      <c r="R7629" t="inlineStr">
        <is>
          <t>InStock</t>
        </is>
      </c>
      <c r="S7629" t="inlineStr">
        <is>
          <t>36.38</t>
        </is>
      </c>
      <c r="T7629" t="inlineStr">
        <is>
          <t>7637266366680</t>
        </is>
      </c>
    </row>
    <row r="7630" ht="87" customHeight="1">
      <c r="A7630" s="2">
        <f>HYPERLINK("https://edmondsonsupply.com/collections/electricians-tools/products/diablo-tools-dmapl4320-1-1-8-in-x-16-in-x-18-in-rebar-demon%E2%84%A2-sds-plus-4-cutter-full-carbide-head-hammer-bit", "https://edmondsonsupply.com/collections/electricians-tools/products/diablo-tools-dmapl4320-1-1-8-in-x-16-in-x-18-in-rebar-demon%E2%84%A2-sds-plus-4-cutter-full-carbide-head-hammer-bit")</f>
        <v/>
      </c>
      <c r="B7630" s="2">
        <f>HYPERLINK("https://edmondsonsupply.com/products/diablo-tools-dmapl4320-1-1-8-in-x-16-in-x-18-in-rebar-demon%e2%84%a2-sds-plus-4-cutter-full-carbide-head-hammer-bit", "https://edmondsonsupply.com/products/diablo-tools-dmapl4320-1-1-8-in-x-16-in-x-18-in-rebar-demon%e2%84%a2-sds-plus-4-cutter-full-carbide-head-hammer-bit")</f>
        <v/>
      </c>
      <c r="C7630" t="inlineStr">
        <is>
          <t>Diablo Tools DMAPL4320 1‑1/8 in. x 16 in. x 18 in. Rebar Demon™ SDS‑Plus 4‑Cutter Full Carbide Head Hammer Bit</t>
        </is>
      </c>
      <c r="D7630" t="inlineStr">
        <is>
          <t>Diablo by Freud DMAPL4200 1/2 in. x 16 in. x 18 in. Rebar Demon SDS-Plus 4-Cutter Full Carbide Head Hammer Bit</t>
        </is>
      </c>
      <c r="E7630" s="2" t="n"/>
      <c r="F7630" t="inlineStr">
        <is>
          <t>B089KW2QV1</t>
        </is>
      </c>
      <c r="G7630">
        <f>_xlfn.IMAGE("https://edmondsonsupply.com/cdn/shop/products/DMAPL4320_Additional-Images_01.png?v=1633030521")</f>
        <v/>
      </c>
      <c r="H7630">
        <f>_xlfn.IMAGE("https://m.media-amazon.com/images/I/61rW+ROVmNL._AC_UL320_.jpg")</f>
        <v/>
      </c>
      <c r="K7630" t="inlineStr">
        <is>
          <t>59.97</t>
        </is>
      </c>
      <c r="L7630" t="n">
        <v>23</v>
      </c>
      <c r="M7630" s="1" t="inlineStr">
        <is>
          <t>-61.65%</t>
        </is>
      </c>
      <c r="N7630" s="7" t="n"/>
      <c r="O7630" t="n">
        <v>4.7</v>
      </c>
      <c r="P7630" t="n">
        <v>18</v>
      </c>
      <c r="R7630" t="inlineStr">
        <is>
          <t>InStock</t>
        </is>
      </c>
      <c r="S7630" t="inlineStr">
        <is>
          <t>81.14</t>
        </is>
      </c>
      <c r="T7630" t="inlineStr">
        <is>
          <t>5401093406888</t>
        </is>
      </c>
    </row>
    <row r="7631" ht="87" customHeight="1">
      <c r="A7631" s="2">
        <f>HYPERLINK("https://edmondsonsupply.com/collections/electricians-tools/products/klein-tools-56014-fiberglass-fish-tape-with-spiral-leader-200-foot", "https://edmondsonsupply.com/collections/electricians-tools/products/klein-tools-56014-fiberglass-fish-tape-with-spiral-leader-200-foot")</f>
        <v/>
      </c>
      <c r="B7631" s="2">
        <f>HYPERLINK("https://edmondsonsupply.com/products/klein-tools-56014-fiberglass-fish-tape-with-spiral-leader-200-foot", "https://edmondsonsupply.com/products/klein-tools-56014-fiberglass-fish-tape-with-spiral-leader-200-foot")</f>
        <v/>
      </c>
      <c r="C7631" t="inlineStr">
        <is>
          <t>Klein Tools 56014 Fiberglass Fish Tape with Spiral Leader, 200-Foot</t>
        </is>
      </c>
      <c r="D7631" t="inlineStr">
        <is>
          <t>Klein Tools 56350 Non-Conductive Electrical Fish Tape, Fiberglass Wire Puller with Steel Leader, Optimized Housing / Handle, 50-Foot x 3/16-Inch</t>
        </is>
      </c>
      <c r="E7631" s="2">
        <f>HYPERLINK("https://www.amazon.com/Klein-Tools-56350-Fiberglass-0-182-Inch/dp/B081ZTJTB5/ref=sr_1_5?keywords=Klein+Tools+56014+Fiberglass+Fish+Tape+with+Spiral+Leader%2C+200-Foot&amp;qid=1694735109&amp;sr=8-5", "https://www.amazon.com/Klein-Tools-56350-Fiberglass-0-182-Inch/dp/B081ZTJTB5/ref=sr_1_5?keywords=Klein+Tools+56014+Fiberglass+Fish+Tape+with+Spiral+Leader%2C+200-Foot&amp;qid=1694735109&amp;sr=8-5")</f>
        <v/>
      </c>
      <c r="F7631" t="inlineStr">
        <is>
          <t>B081ZTJTB5</t>
        </is>
      </c>
      <c r="G7631">
        <f>_xlfn.IMAGE("https://edmondsonsupply.com/cdn/shop/products/56014.jpg?v=1664478500")</f>
        <v/>
      </c>
      <c r="H7631">
        <f>_xlfn.IMAGE("https://m.media-amazon.com/images/I/51tGreVpcBL._AC_UL320_.jpg")</f>
        <v/>
      </c>
      <c r="K7631" t="inlineStr">
        <is>
          <t>353.0</t>
        </is>
      </c>
      <c r="L7631" t="n">
        <v>134.95</v>
      </c>
      <c r="M7631" s="1" t="inlineStr">
        <is>
          <t>-61.77%</t>
        </is>
      </c>
      <c r="N7631" s="7" t="n"/>
      <c r="O7631" t="n">
        <v>4.9</v>
      </c>
      <c r="P7631" t="n">
        <v>14</v>
      </c>
      <c r="R7631" t="inlineStr">
        <is>
          <t>InStock</t>
        </is>
      </c>
      <c r="S7631" t="inlineStr">
        <is>
          <t>530.26</t>
        </is>
      </c>
      <c r="T7631" t="inlineStr">
        <is>
          <t>7833833013464</t>
        </is>
      </c>
    </row>
    <row r="7632" ht="87" customHeight="1">
      <c r="A7632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632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632" t="inlineStr">
        <is>
          <t>Klein Tools 32288 8-in-1 Insulated Interchangeable Screwdriver Set</t>
        </is>
      </c>
      <c r="D7632" t="inlineStr">
        <is>
          <t>Klein Tools 32378 Combination Tip Screwdriver Set with #1 and #2 Combination Tips and Cushion-Grip Handles, 2-Piece</t>
        </is>
      </c>
      <c r="E7632" s="2">
        <f>HYPERLINK("https://www.amazon.com/Combo-Driver-4-Inch-Klein-Tools/dp/B00OJQWWFC/ref=sr_1_31?keywords=Klein+Tools+32288+8-in-1+Insulated+Interchangeable+Screwdriver+Set&amp;qid=1694734974&amp;sr=8-31", "https://www.amazon.com/Combo-Driver-4-Inch-Klein-Tools/dp/B00OJQWWFC/ref=sr_1_31?keywords=Klein+Tools+32288+8-in-1+Insulated+Interchangeable+Screwdriver+Set&amp;qid=1694734974&amp;sr=8-31")</f>
        <v/>
      </c>
      <c r="F7632" t="inlineStr">
        <is>
          <t>B00OJQWWFC</t>
        </is>
      </c>
      <c r="G7632">
        <f>_xlfn.IMAGE("https://edmondsonsupply.com/cdn/shop/products/32288.jpg?v=1587146849")</f>
        <v/>
      </c>
      <c r="H7632">
        <f>_xlfn.IMAGE("https://m.media-amazon.com/images/I/51FGokJG+uL._AC_UL320_.jpg")</f>
        <v/>
      </c>
      <c r="K7632" t="inlineStr">
        <is>
          <t>49.99</t>
        </is>
      </c>
      <c r="L7632" t="n">
        <v>18.99</v>
      </c>
      <c r="M7632" s="1" t="inlineStr">
        <is>
          <t>-62.01%</t>
        </is>
      </c>
      <c r="N7632" s="7" t="n"/>
      <c r="O7632" t="n">
        <v>4.6</v>
      </c>
      <c r="P7632" t="n">
        <v>1377</v>
      </c>
      <c r="R7632" t="inlineStr">
        <is>
          <t>InStock</t>
        </is>
      </c>
      <c r="S7632" t="inlineStr">
        <is>
          <t>69.98</t>
        </is>
      </c>
      <c r="T7632" t="inlineStr">
        <is>
          <t>4094849613924</t>
        </is>
      </c>
    </row>
    <row r="7633" ht="87" customHeight="1">
      <c r="A7633" s="2">
        <f>HYPERLINK("https://edmondsonsupply.com/collections/electricians-tools/products/milwaukee-2729-22-m18-fuel%E2%84%A2-deep-cut-band-saw-kit", "https://edmondsonsupply.com/collections/electricians-tools/products/milwaukee-2729-22-m18-fuel%E2%84%A2-deep-cut-band-saw-kit")</f>
        <v/>
      </c>
      <c r="B7633" s="2">
        <f>HYPERLINK("https://edmondsonsupply.com/products/milwaukee-2729-22-m18-fuel%e2%84%a2-deep-cut-band-saw-kit", "https://edmondsonsupply.com/products/milwaukee-2729-22-m18-fuel%e2%84%a2-deep-cut-band-saw-kit")</f>
        <v/>
      </c>
      <c r="C7633" t="inlineStr">
        <is>
          <t>Milwaukee 2729-22 M18 FUEL™ Deep Cut Band Saw Kit</t>
        </is>
      </c>
      <c r="D7633" t="inlineStr">
        <is>
          <t>Milwaukee 2729-20 M18 FUEL Cordless Lithium-Ion Deep Cut Band Saw (Tool Only)</t>
        </is>
      </c>
      <c r="E7633" s="2">
        <f>HYPERLINK("https://www.amazon.com/Milwaukee-2729-20-FUEL-Deep-Model/dp/B013P2ZGK8/ref=sr_1_3?keywords=Milwaukee+2729-22+M18+FUEL%E2%84%A2+Deep+Cut+Band+Saw+Kit&amp;qid=1694735132&amp;sr=8-3", "https://www.amazon.com/Milwaukee-2729-20-FUEL-Deep-Model/dp/B013P2ZGK8/ref=sr_1_3?keywords=Milwaukee+2729-22+M18+FUEL%E2%84%A2+Deep+Cut+Band+Saw+Kit&amp;qid=1694735132&amp;sr=8-3")</f>
        <v/>
      </c>
      <c r="F7633" t="inlineStr">
        <is>
          <t>B013P2ZGK8</t>
        </is>
      </c>
      <c r="G7633">
        <f>_xlfn.IMAGE("https://edmondsonsupply.com/cdn/shop/products/190813alex272922XC50Kit.webp?v=1661701754")</f>
        <v/>
      </c>
      <c r="H7633">
        <f>_xlfn.IMAGE("https://m.media-amazon.com/images/I/51VhcKqlfwL._AC_UL320_.jpg")</f>
        <v/>
      </c>
      <c r="K7633" t="inlineStr">
        <is>
          <t>729.0</t>
        </is>
      </c>
      <c r="L7633" t="n">
        <v>276.9</v>
      </c>
      <c r="M7633" s="1" t="inlineStr">
        <is>
          <t>-62.02%</t>
        </is>
      </c>
      <c r="N7633" s="7" t="n"/>
      <c r="O7633" t="n">
        <v>4.8</v>
      </c>
      <c r="P7633" t="n">
        <v>446</v>
      </c>
      <c r="R7633" t="inlineStr">
        <is>
          <t>InStock</t>
        </is>
      </c>
      <c r="S7633" t="inlineStr">
        <is>
          <t>1178.0</t>
        </is>
      </c>
      <c r="T7633" t="inlineStr">
        <is>
          <t>7795892977880</t>
        </is>
      </c>
    </row>
    <row r="7634" hidden="1" ht="15.75" customHeight="1">
      <c r="A7634" s="2">
        <f>HYPERLINK("https://edmondsonsupply.com/collections/electricians-tools/products/copy-of-diablo-tools-dmapl2340-1-2-in-x-22-in-x-24-in-sds-plus-2-cutter", "https://edmondsonsupply.com/collections/electricians-tools/products/copy-of-diablo-tools-dmapl2340-1-2-in-x-22-in-x-24-in-sds-plus-2-cutter")</f>
        <v/>
      </c>
      <c r="B7634" s="2">
        <f>HYPERLINK("https://edmondsonsupply.com/products/copy-of-diablo-tools-dmapl2340-1-2-in-x-22-in-x-24-in-sds-plus-2-cutter", "https://edmondsonsupply.com/products/copy-of-diablo-tools-dmapl2340-1-2-in-x-22-in-x-24-in-sds-plus-2-cutter")</f>
        <v/>
      </c>
      <c r="C7634" t="inlineStr">
        <is>
          <t>Diablo Tools DMAPL2340 1/2 in. x 22 in. x 24 in. SDS‑Plus 2‑Cutter</t>
        </is>
      </c>
      <c r="D7634" t="inlineStr">
        <is>
          <t>Diablo DMAPL2240 3/8 in. x 10 in. x 12 in. SDS-Plus 2-Cutter</t>
        </is>
      </c>
      <c r="E7634" s="2">
        <f>HYPERLINK("https://www.amazon.com/Diablo-10-12-SDS-Plus-2-Cutter/dp/B089KVWDFV/ref=sr_1_10?keywords=Diablo+Tools+DMAPL2340+1%2F2+in.+x+22+in.+x+24+in.+SDS%E2%80%91Plus+2%E2%80%91Cutter&amp;qid=1694735260&amp;sr=8-10", "https://www.amazon.com/Diablo-10-12-SDS-Plus-2-Cutter/dp/B089KVWDFV/ref=sr_1_10?keywords=Diablo+Tools+DMAPL2340+1%2F2+in.+x+22+in.+x+24+in.+SDS%E2%80%91Plus+2%E2%80%91Cutter&amp;qid=1694735260&amp;sr=8-10")</f>
        <v/>
      </c>
      <c r="F7634" t="inlineStr">
        <is>
          <t>B089KVWDFV</t>
        </is>
      </c>
      <c r="G7634">
        <f>_xludf.IMAGE("https://edmondsonsupply.com/cdn/shop/products/DMAPL2340_Main-Image20200701.png?v=1633030652")</f>
        <v/>
      </c>
      <c r="H7634">
        <f>_xludf.IMAGE("https://m.media-amazon.com/images/I/61jSXDDK72L._AC_UL320_.jpg")</f>
        <v/>
      </c>
      <c r="K7634" t="inlineStr">
        <is>
          <t>28.89</t>
        </is>
      </c>
      <c r="L7634" t="n">
        <v>10.97</v>
      </c>
      <c r="M7634" s="1" t="inlineStr">
        <is>
          <t>-62.03%</t>
        </is>
      </c>
      <c r="N7634" s="1" t="n"/>
      <c r="O7634" t="n">
        <v>5</v>
      </c>
      <c r="P7634" t="n">
        <v>1</v>
      </c>
      <c r="R7634" t="inlineStr">
        <is>
          <t>InStock</t>
        </is>
      </c>
      <c r="S7634" t="inlineStr">
        <is>
          <t>41.41</t>
        </is>
      </c>
      <c r="T7634" t="inlineStr">
        <is>
          <t>5740458967208</t>
        </is>
      </c>
    </row>
    <row r="7635" ht="87" customHeight="1">
      <c r="A7635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635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635" t="inlineStr">
        <is>
          <t>Diablo Tools DMAPL4070-P25 1/4 in. x 4 in. x 6 in. Rebar Demon™ SDS-Plus 4-Cutter Full Carbide Head Hammer Bit (25-Pack)</t>
        </is>
      </c>
      <c r="D7635" t="inlineStr">
        <is>
          <t>Diablo by Freud DMAPL4270 27/32 in. x 8 in. x 10 in. Rebar Demon SDS-Plus 4-Cutter Full Carbide Head Hammer Bit</t>
        </is>
      </c>
      <c r="E7635" s="2" t="n"/>
      <c r="F7635" t="inlineStr">
        <is>
          <t>B089KXBGLM</t>
        </is>
      </c>
      <c r="G7635">
        <f>_xlfn.IMAGE("https://edmondsonsupply.com/cdn/shop/products/DMAPL4070.jpg?v=1633030350")</f>
        <v/>
      </c>
      <c r="H7635">
        <f>_xlfn.IMAGE("https://m.media-amazon.com/images/I/611A6sphG9L._AC_UL320_.jpg")</f>
        <v/>
      </c>
      <c r="K7635" t="inlineStr">
        <is>
          <t>79.47</t>
        </is>
      </c>
      <c r="L7635" t="n">
        <v>30.13</v>
      </c>
      <c r="M7635" s="1" t="inlineStr">
        <is>
          <t>-62.09%</t>
        </is>
      </c>
      <c r="N7635" s="7" t="n"/>
      <c r="O7635" t="n">
        <v>5</v>
      </c>
      <c r="P7635" t="n">
        <v>2</v>
      </c>
      <c r="R7635" t="inlineStr">
        <is>
          <t>InStock</t>
        </is>
      </c>
      <c r="S7635" t="inlineStr">
        <is>
          <t>106.66</t>
        </is>
      </c>
      <c r="T7635" t="inlineStr">
        <is>
          <t>5283065069736</t>
        </is>
      </c>
    </row>
    <row r="7636" hidden="1" ht="15.75" customHeight="1">
      <c r="A7636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7636" s="2">
        <f>HYPERLINK("https://edmondsonsupply.com/products/diablo-tools-dmapl2500-7-8-in-x-8-in-x-10-in-sds-plus-2-cutter", "https://edmondsonsupply.com/products/diablo-tools-dmapl2500-7-8-in-x-8-in-x-10-in-sds-plus-2-cutter")</f>
        <v/>
      </c>
      <c r="C7636" t="inlineStr">
        <is>
          <t>Diablo Tools DMAPL2500 7/8 in. x 8 in. x 10 in. SDS-Plus 2-Cutter</t>
        </is>
      </c>
      <c r="D7636" t="inlineStr">
        <is>
          <t>Diablo DMAPL2240 3/8 in. x 10 in. x 12 in. SDS-Plus 2-Cutter</t>
        </is>
      </c>
      <c r="E7636" s="2">
        <f>HYPERLINK("https://www.amazon.com/Diablo-10-12-SDS-Plus-2-Cutter/dp/B089KVWDFV/ref=sr_1_13?keywords=Diablo+Tools+DMAPL2500+7%2F8+in.+x+8+in.+x+10+in.+SDS-Plus+2-Cutter&amp;qid=1694735171&amp;sr=8-13", "https://www.amazon.com/Diablo-10-12-SDS-Plus-2-Cutter/dp/B089KVWDFV/ref=sr_1_13?keywords=Diablo+Tools+DMAPL2500+7%2F8+in.+x+8+in.+x+10+in.+SDS-Plus+2-Cutter&amp;qid=1694735171&amp;sr=8-13")</f>
        <v/>
      </c>
      <c r="F7636" t="inlineStr">
        <is>
          <t>B089KVWDFV</t>
        </is>
      </c>
      <c r="G7636">
        <f>_xludf.IMAGE("https://edmondsonsupply.com/cdn/shop/products/2500.webp?v=1647636219")</f>
        <v/>
      </c>
      <c r="H7636">
        <f>_xludf.IMAGE("https://m.media-amazon.com/images/I/61jSXDDK72L._AC_UL320_.jpg")</f>
        <v/>
      </c>
      <c r="K7636" t="inlineStr">
        <is>
          <t>28.97</t>
        </is>
      </c>
      <c r="L7636" t="n">
        <v>10.97</v>
      </c>
      <c r="M7636" s="1" t="inlineStr">
        <is>
          <t>-62.13%</t>
        </is>
      </c>
      <c r="N7636" s="1" t="n"/>
      <c r="O7636" t="n">
        <v>5</v>
      </c>
      <c r="P7636" t="n">
        <v>1</v>
      </c>
      <c r="R7636" t="inlineStr">
        <is>
          <t>InStock</t>
        </is>
      </c>
      <c r="S7636" t="inlineStr">
        <is>
          <t>33.98</t>
        </is>
      </c>
      <c r="T7636" t="inlineStr">
        <is>
          <t>7639201317080</t>
        </is>
      </c>
    </row>
    <row r="7637" ht="87" customHeight="1">
      <c r="A7637" s="2">
        <f>HYPERLINK("https://edmondsonsupply.com/collections/electricians-tools/products/fluke-tplus-electrical-tester", "https://edmondsonsupply.com/collections/electricians-tools/products/fluke-tplus-electrical-tester")</f>
        <v/>
      </c>
      <c r="B7637" s="2">
        <f>HYPERLINK("https://edmondsonsupply.com/products/fluke-tplus-electrical-tester", "https://edmondsonsupply.com/products/fluke-tplus-electrical-tester")</f>
        <v/>
      </c>
      <c r="C7637" t="inlineStr">
        <is>
          <t>Fluke T+ Electrical Tester</t>
        </is>
      </c>
      <c r="D7637" t="inlineStr">
        <is>
          <t>Fluke 2AC Alert Voltage Tester</t>
        </is>
      </c>
      <c r="E7637" s="2">
        <f>HYPERLINK("https://www.amazon.com/Fluke-2AC-Alert-Voltage-Tester/dp/B004I9J4DI/ref=sr_1_17?keywords=Fluke+T+Electrical+Tester&amp;qid=1694735309&amp;sr=8-17", "https://www.amazon.com/Fluke-2AC-Alert-Voltage-Tester/dp/B004I9J4DI/ref=sr_1_17?keywords=Fluke+T+Electrical+Tester&amp;qid=1694735309&amp;sr=8-17")</f>
        <v/>
      </c>
      <c r="F7637" t="inlineStr">
        <is>
          <t>B004I9J4DI</t>
        </is>
      </c>
      <c r="G7637">
        <f>_xlfn.IMAGE("https://edmondsonsupply.com/cdn/shop/products/tplus.jpg?v=1633030280")</f>
        <v/>
      </c>
      <c r="H7637">
        <f>_xlfn.IMAGE("https://m.media-amazon.com/images/I/41WcH27xItL._AC_UL320_.jpg")</f>
        <v/>
      </c>
      <c r="K7637" t="inlineStr">
        <is>
          <t>94.49</t>
        </is>
      </c>
      <c r="L7637" t="n">
        <v>35.73</v>
      </c>
      <c r="M7637" s="1" t="inlineStr">
        <is>
          <t>-62.19%</t>
        </is>
      </c>
      <c r="N7637" s="7" t="n"/>
      <c r="O7637" t="n">
        <v>4.7</v>
      </c>
      <c r="P7637" t="n">
        <v>1902</v>
      </c>
      <c r="R7637" t="inlineStr">
        <is>
          <t>InStock</t>
        </is>
      </c>
      <c r="S7637" t="inlineStr">
        <is>
          <t>104.99</t>
        </is>
      </c>
      <c r="T7637" t="inlineStr">
        <is>
          <t>5238397337768</t>
        </is>
      </c>
    </row>
    <row r="7638" ht="87" customHeight="1">
      <c r="A7638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38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38" t="inlineStr">
        <is>
          <t>Klein Tools ET310 Digital Circuit Breaker Finder with GFCI Outlet Tester</t>
        </is>
      </c>
      <c r="D7638" t="inlineStr">
        <is>
          <t>CaseSack case for Klein Tools ET310 AC Circuit Breaker Finder, Integrated GFCI Outlet Tester, RT310 Receptacle and Accessory Kit, 80016</t>
        </is>
      </c>
      <c r="E7638" s="2">
        <f>HYPERLINK("https://www.amazon.com/CaseSack-Consolidation-Integrated-Receptacle-Accessory/dp/B08TPHYW37/ref=sr_1_10?keywords=Klein+Tools+ET310+Digital+Circuit+Breaker+Finder+with+GFCI+Outlet+Tester&amp;qid=1694734974&amp;sr=8-10", "https://www.amazon.com/CaseSack-Consolidation-Integrated-Receptacle-Accessory/dp/B08TPHYW37/ref=sr_1_10?keywords=Klein+Tools+ET310+Digital+Circuit+Breaker+Finder+with+GFCI+Outlet+Tester&amp;qid=1694734974&amp;sr=8-10")</f>
        <v/>
      </c>
      <c r="F7638" t="inlineStr">
        <is>
          <t>B08TPHYW37</t>
        </is>
      </c>
      <c r="G7638">
        <f>_xlfn.IMAGE("https://edmondsonsupply.com/cdn/shop/products/et310_c.jpg?v=1646963918")</f>
        <v/>
      </c>
      <c r="H7638">
        <f>_xlfn.IMAGE("https://m.media-amazon.com/images/I/91QJZ0WaD3L._AC_UL320_.jpg")</f>
        <v/>
      </c>
      <c r="K7638" t="inlineStr">
        <is>
          <t>49.97</t>
        </is>
      </c>
      <c r="L7638" t="n">
        <v>18.88</v>
      </c>
      <c r="M7638" s="1" t="inlineStr">
        <is>
          <t>-62.22%</t>
        </is>
      </c>
      <c r="N7638" s="7" t="n"/>
      <c r="O7638" t="n">
        <v>4.1</v>
      </c>
      <c r="P7638" t="n">
        <v>826</v>
      </c>
      <c r="R7638" t="inlineStr">
        <is>
          <t>InStock</t>
        </is>
      </c>
      <c r="S7638" t="inlineStr">
        <is>
          <t>75.1</t>
        </is>
      </c>
      <c r="T7638" t="inlineStr">
        <is>
          <t>3389551280228</t>
        </is>
      </c>
    </row>
    <row r="7639" ht="87" customHeight="1">
      <c r="A7639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639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639" t="inlineStr">
        <is>
          <t>Diablo Tools DMAMX1110 5/8 in. x 24 in. x 29 in. Rebar Demon™ SDS-Max 4-Cutter Full Carbide Head Hammer Bit</t>
        </is>
      </c>
      <c r="D7639" t="inlineStr">
        <is>
          <t>Diablo by Freud DMAPL4300 1 in. x 8 in. x 10 in. Rebar Demon™ SDS-Plus 4-Cutter Full Carbide Head Hammer Bit</t>
        </is>
      </c>
      <c r="E7639" s="2">
        <f>HYPERLINK("https://www.amazon.com/Diablo-Freud-DMAPL4300-SDS-Plus-4-Cutter/dp/B089LL8JD8/ref=sr_1_24?keywords=Diablo+Tools+DMAMX1110+5%2F8+in.+x+24+in.+x+29+in.+Rebar+Demon%E2%84%A2+SDS-Max+4-Cutter+Full+Carbide+Head+Hammer+Bit&amp;qid=1694735304&amp;sr=8-24", "https://www.amazon.com/Diablo-Freud-DMAPL4300-SDS-Plus-4-Cutter/dp/B089LL8JD8/ref=sr_1_24?keywords=Diablo+Tools+DMAMX1110+5%2F8+in.+x+24+in.+x+29+in.+Rebar+Demon%E2%84%A2+SDS-Max+4-Cutter+Full+Carbide+Head+Hammer+Bit&amp;qid=1694735304&amp;sr=8-24")</f>
        <v/>
      </c>
      <c r="F7639" t="inlineStr">
        <is>
          <t>B089LL8JD8</t>
        </is>
      </c>
      <c r="G7639">
        <f>_xlfn.IMAGE("https://edmondsonsupply.com/cdn/shop/products/DMAMX1110_1.jpg?v=1633030364")</f>
        <v/>
      </c>
      <c r="H7639">
        <f>_xlfn.IMAGE("https://m.media-amazon.com/images/I/616UiJGsK1L._AC_UL320_.jpg")</f>
        <v/>
      </c>
      <c r="K7639" t="inlineStr">
        <is>
          <t>89.97</t>
        </is>
      </c>
      <c r="L7639" t="n">
        <v>33.99</v>
      </c>
      <c r="M7639" s="1" t="inlineStr">
        <is>
          <t>-62.22%</t>
        </is>
      </c>
      <c r="N7639" s="7" t="n"/>
      <c r="O7639" t="n">
        <v>4.5</v>
      </c>
      <c r="P7639" t="n">
        <v>16</v>
      </c>
      <c r="R7639" t="inlineStr">
        <is>
          <t>InStock</t>
        </is>
      </c>
      <c r="S7639" t="inlineStr">
        <is>
          <t>115.5</t>
        </is>
      </c>
      <c r="T7639" t="inlineStr">
        <is>
          <t>5289159655592</t>
        </is>
      </c>
    </row>
    <row r="7640" hidden="1" ht="15.75" customHeight="1">
      <c r="A7640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640" s="2">
        <f>HYPERLINK("https://edmondsonsupply.com/products/klein-tools-rt310-afci-gfci-outlet-tester", "https://edmondsonsupply.com/products/klein-tools-rt310-afci-gfci-outlet-tester")</f>
        <v/>
      </c>
      <c r="C7640" t="inlineStr">
        <is>
          <t>Klein Tools RT310 AFCI / GFCI Outlet Tester</t>
        </is>
      </c>
      <c r="D7640" t="inlineStr">
        <is>
          <t>Case Compatible with Klein Tools ET310 AC Circuit Breaker Finder, 80041 Outlet Repair Tool Kit &amp; RT250 GFCI Receptacle Tester, Electrical Tools Storage Organizer Holder Bag for Accessories (Box Only)</t>
        </is>
      </c>
      <c r="E7640" s="2">
        <f>HYPERLINK("https://www.amazon.com/Carrying-Organizer-Integrated-Electrical-Accessories/dp/B09K42VH1T/ref=sr_1_39?keywords=Klein+Tools+RT310+AFCI+%2F+GFCI+Outlet+Tester&amp;qid=1694734989&amp;sr=8-39", "https://www.amazon.com/Carrying-Organizer-Integrated-Electrical-Accessories/dp/B09K42VH1T/ref=sr_1_39?keywords=Klein+Tools+RT310+AFCI+%2F+GFCI+Outlet+Tester&amp;qid=1694734989&amp;sr=8-39")</f>
        <v/>
      </c>
      <c r="F7640" t="inlineStr">
        <is>
          <t>B09K42VH1T</t>
        </is>
      </c>
      <c r="G7640">
        <f>_xludf.IMAGE("https://edmondsonsupply.com/cdn/shop/products/rt310.jpg?v=1587148552")</f>
        <v/>
      </c>
      <c r="H7640">
        <f>_xludf.IMAGE("https://m.media-amazon.com/images/I/813DgUEGU6L._AC_UL320_.jpg")</f>
        <v/>
      </c>
      <c r="K7640" t="inlineStr">
        <is>
          <t>39.97</t>
        </is>
      </c>
      <c r="L7640" t="n">
        <v>14.99</v>
      </c>
      <c r="M7640" s="1" t="inlineStr">
        <is>
          <t>-62.50%</t>
        </is>
      </c>
      <c r="N7640" s="1" t="n"/>
      <c r="O7640" t="n">
        <v>4.6</v>
      </c>
      <c r="P7640" t="n">
        <v>309</v>
      </c>
      <c r="R7640" t="inlineStr">
        <is>
          <t>InStock</t>
        </is>
      </c>
      <c r="S7640" t="inlineStr">
        <is>
          <t>57.9</t>
        </is>
      </c>
      <c r="T7640" t="inlineStr">
        <is>
          <t>3372527779940</t>
        </is>
      </c>
    </row>
    <row r="7641" ht="87" customHeight="1">
      <c r="A7641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41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41" t="inlineStr">
        <is>
          <t>Klein Tools ET310 Digital Circuit Breaker Finder with GFCI Outlet Tester</t>
        </is>
      </c>
      <c r="D7641" t="inlineStr">
        <is>
          <t>getgear case for Circuit Breaker Finder/Tester, Compatible with Klein Tools ET310 AC Circuit Breaker Finder, RT310, RT250, Accessory Kit Smart organizing case,</t>
        </is>
      </c>
      <c r="E7641" s="2">
        <f>HYPERLINK("https://www.amazon.com/getgear-Circuit-Compatible-Accessory-organizing/dp/B09H3K3Q6Q/ref=sr_1_45?keywords=Klein+Tools+ET310+Digital+Circuit+Breaker+Finder+with+GFCI+Outlet+Tester&amp;qid=1694734974&amp;sr=8-45", "https://www.amazon.com/getgear-Circuit-Compatible-Accessory-organizing/dp/B09H3K3Q6Q/ref=sr_1_45?keywords=Klein+Tools+ET310+Digital+Circuit+Breaker+Finder+with+GFCI+Outlet+Tester&amp;qid=1694734974&amp;sr=8-45")</f>
        <v/>
      </c>
      <c r="F7641" t="inlineStr">
        <is>
          <t>B09H3K3Q6Q</t>
        </is>
      </c>
      <c r="G7641">
        <f>_xlfn.IMAGE("https://edmondsonsupply.com/cdn/shop/products/et310_c.jpg?v=1646963918")</f>
        <v/>
      </c>
      <c r="H7641">
        <f>_xlfn.IMAGE("https://m.media-amazon.com/images/I/81BFxfpU7oL._AC_UL320_.jpg")</f>
        <v/>
      </c>
      <c r="K7641" t="inlineStr">
        <is>
          <t>49.97</t>
        </is>
      </c>
      <c r="L7641" t="n">
        <v>18.68</v>
      </c>
      <c r="M7641" s="1" t="inlineStr">
        <is>
          <t>-62.62%</t>
        </is>
      </c>
      <c r="N7641" s="7" t="n"/>
      <c r="O7641" t="n">
        <v>4.2</v>
      </c>
      <c r="P7641" t="n">
        <v>33</v>
      </c>
      <c r="R7641" t="inlineStr">
        <is>
          <t>InStock</t>
        </is>
      </c>
      <c r="S7641" t="inlineStr">
        <is>
          <t>75.1</t>
        </is>
      </c>
      <c r="T7641" t="inlineStr">
        <is>
          <t>3389551280228</t>
        </is>
      </c>
    </row>
    <row r="7642" ht="87" customHeight="1">
      <c r="A7642" s="2">
        <f>HYPERLINK("https://edmondsonsupply.com/collections/electricians-tools/products/klein-tools-647-nut-driver-set-6-inch-shafts-7-piece", "https://edmondsonsupply.com/collections/electricians-tools/products/klein-tools-647-nut-driver-set-6-inch-shafts-7-piece")</f>
        <v/>
      </c>
      <c r="B7642" s="2">
        <f>HYPERLINK("https://edmondsonsupply.com/products/klein-tools-647-nut-driver-set-6-inch-shafts-7-piece", "https://edmondsonsupply.com/products/klein-tools-647-nut-driver-set-6-inch-shafts-7-piece")</f>
        <v/>
      </c>
      <c r="C7642" t="inlineStr">
        <is>
          <t>Klein Tools 647 Nut Driver Set, 6-Inch Shafts, 7-Piece</t>
        </is>
      </c>
      <c r="D7642" t="inlineStr">
        <is>
          <t>Klein Tools 646M Tool Set, Magnetic Nut Drivers Sizes 1/4 and 5/16-Inch, 6-Inch Shafts, 2-Piece</t>
        </is>
      </c>
      <c r="E7642" s="2">
        <f>HYPERLINK("https://www.amazon.com/Magnetic-16-Inch-Klein-Tools-646M/dp/B000936QV0/ref=sr_1_5?keywords=Klein+Tools+647+Nut+Driver+Set%2C+6-Inch+Shafts%2C+7-Piece&amp;qid=1694735405&amp;sr=8-5", "https://www.amazon.com/Magnetic-16-Inch-Klein-Tools-646M/dp/B000936QV0/ref=sr_1_5?keywords=Klein+Tools+647+Nut+Driver+Set%2C+6-Inch+Shafts%2C+7-Piece&amp;qid=1694735405&amp;sr=8-5")</f>
        <v/>
      </c>
      <c r="F7642" t="inlineStr">
        <is>
          <t>B000936QV0</t>
        </is>
      </c>
      <c r="G7642">
        <f>_xlfn.IMAGE("https://edmondsonsupply.com/cdn/shop/products/647.jpg?v=1587143213")</f>
        <v/>
      </c>
      <c r="H7642">
        <f>_xlfn.IMAGE("https://m.media-amazon.com/images/I/41lkJ6KRq9L._AC_UL320_.jpg")</f>
        <v/>
      </c>
      <c r="K7642" t="inlineStr">
        <is>
          <t>59.99</t>
        </is>
      </c>
      <c r="L7642" t="n">
        <v>22.34</v>
      </c>
      <c r="M7642" s="1" t="inlineStr">
        <is>
          <t>-62.76%</t>
        </is>
      </c>
      <c r="N7642" s="7" t="n"/>
      <c r="O7642" t="n">
        <v>4.8</v>
      </c>
      <c r="P7642" t="n">
        <v>1652</v>
      </c>
      <c r="R7642" t="inlineStr">
        <is>
          <t>InStock</t>
        </is>
      </c>
      <c r="S7642" t="inlineStr">
        <is>
          <t>91.02</t>
        </is>
      </c>
      <c r="T7642" t="inlineStr">
        <is>
          <t>4391224770660</t>
        </is>
      </c>
    </row>
    <row r="7643" hidden="1" ht="15.75" customHeight="1">
      <c r="A7643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643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643" t="inlineStr">
        <is>
          <t>Klein Tools JTH6E17 1/2-Inch Hex Journeyman T-Handle 6-Inch</t>
        </is>
      </c>
      <c r="D7643" t="inlineStr">
        <is>
          <t>Klein Tools JTH9E14 5/16-Inch Hex Key, Journeyman T-Handle, 9-Inch</t>
        </is>
      </c>
      <c r="E7643" s="2">
        <f>HYPERLINK("https://www.amazon.com/Journeyman-T-Handle-Klein-Tools-JTH9E14/dp/B004QVAH4I/ref=sr_1_12?keywords=Klein+Tools+JTH6E17+1%2F2-Inch+Hex+Journeyman+T-Handle+6-Inch&amp;qid=1694735359&amp;sr=8-12", "https://www.amazon.com/Journeyman-T-Handle-Klein-Tools-JTH9E14/dp/B004QVAH4I/ref=sr_1_12?keywords=Klein+Tools+JTH6E17+1%2F2-Inch+Hex+Journeyman+T-Handle+6-Inch&amp;qid=1694735359&amp;sr=8-12")</f>
        <v/>
      </c>
      <c r="F7643" t="inlineStr">
        <is>
          <t>B004QVAH4I</t>
        </is>
      </c>
      <c r="G7643">
        <f>_xludf.IMAGE("https://edmondsonsupply.com/cdn/shop/products/jth6e15_80623668-f320-404f-929d-7d7e04a8b5aa.jpg?v=1587146378")</f>
        <v/>
      </c>
      <c r="H7643">
        <f>_xludf.IMAGE("https://m.media-amazon.com/images/I/51Yb8h41vLL._AC_UL320_.jpg")</f>
        <v/>
      </c>
      <c r="K7643" t="inlineStr">
        <is>
          <t>19.99</t>
        </is>
      </c>
      <c r="L7643" t="n">
        <v>7.44</v>
      </c>
      <c r="M7643" s="1" t="inlineStr">
        <is>
          <t>-62.78%</t>
        </is>
      </c>
      <c r="N7643" s="1" t="n"/>
      <c r="O7643" t="n">
        <v>4.8</v>
      </c>
      <c r="P7643" t="n">
        <v>114</v>
      </c>
      <c r="R7643" t="inlineStr">
        <is>
          <t>InStock</t>
        </is>
      </c>
      <c r="S7643" t="inlineStr">
        <is>
          <t>30.28</t>
        </is>
      </c>
      <c r="T7643" t="inlineStr">
        <is>
          <t>4431817605220</t>
        </is>
      </c>
    </row>
    <row r="7644" hidden="1" ht="15.75" customHeight="1">
      <c r="A7644" s="2">
        <f>HYPERLINK("https://edmondsonsupply.com/collections/electricians-tools/products/diablo-tools-dmamx1010", "https://edmondsonsupply.com/collections/electricians-tools/products/diablo-tools-dmamx1010")</f>
        <v/>
      </c>
      <c r="B7644" s="2">
        <f>HYPERLINK("https://edmondsonsupply.com/products/diablo-tools-dmamx1010", "https://edmondsonsupply.com/products/diablo-tools-dmamx1010")</f>
        <v/>
      </c>
      <c r="C7644" t="inlineStr">
        <is>
          <t>Diablo Tools DMAMX1010 3/8 in. x 8 in. x 13 in. Rebar Demon SDS‑Max 4‑Cutter Full Carbide Head Hammer Bit</t>
        </is>
      </c>
      <c r="D7644" t="inlineStr">
        <is>
          <t>Diablo by Freud DMAPL4160 3/8 in. x 10 in. x 12 in. Rebar Demon SDS-Plus 4-Cutter Full Carbide Head Hammer Bit</t>
        </is>
      </c>
      <c r="E7644" s="2">
        <f>HYPERLINK("https://www.amazon.com/Diablo-Freud-DMAPL4160-SDS-Plus-4-Cutter/dp/B089KX25B7/ref=sr_1_9?keywords=Diablo+Tools+DMAMX1010+3%2F8+in.+x+8+in.+x+13+in.+Rebar+Demon+SDS%E2%80%91Max+4%E2%80%91Cutter+Full+Carbide+Head+Hammer+Bit&amp;qid=1694735277&amp;sr=8-9", "https://www.amazon.com/Diablo-Freud-DMAPL4160-SDS-Plus-4-Cutter/dp/B089KX25B7/ref=sr_1_9?keywords=Diablo+Tools+DMAMX1010+3%2F8+in.+x+8+in.+x+13+in.+Rebar+Demon+SDS%E2%80%91Max+4%E2%80%91Cutter+Full+Carbide+Head+Hammer+Bit&amp;qid=1694735277&amp;sr=8-9")</f>
        <v/>
      </c>
      <c r="F7644" t="inlineStr">
        <is>
          <t>B089KX25B7</t>
        </is>
      </c>
      <c r="G7644">
        <f>_xludf.IMAGE("https://edmondsonsupply.com/cdn/shop/products/DMAMX1010_Main-Image20200701.png?v=1609797900")</f>
        <v/>
      </c>
      <c r="H7644">
        <f>_xludf.IMAGE("https://m.media-amazon.com/images/I/61MHnm3+2bL._AC_UL320_.jpg")</f>
        <v/>
      </c>
      <c r="K7644" t="inlineStr">
        <is>
          <t>34.97</t>
        </is>
      </c>
      <c r="L7644" t="n">
        <v>13.01</v>
      </c>
      <c r="M7644" s="1" t="inlineStr">
        <is>
          <t>-62.80%</t>
        </is>
      </c>
      <c r="N7644" s="1" t="n"/>
      <c r="O7644" t="n">
        <v>4.5</v>
      </c>
      <c r="P7644" t="n">
        <v>39</v>
      </c>
      <c r="R7644" t="inlineStr">
        <is>
          <t>InStock</t>
        </is>
      </c>
      <c r="S7644" t="inlineStr">
        <is>
          <t>43.11</t>
        </is>
      </c>
      <c r="T7644" t="inlineStr">
        <is>
          <t>5463785701544</t>
        </is>
      </c>
    </row>
    <row r="7645" hidden="1" ht="15.75" customHeight="1">
      <c r="A7645" s="2">
        <f>HYPERLINK("https://edmondsonsupply.com/collections/electricians-tools/products/klein-tools-vdv110-261-twisted-pair-radial-stripper", "https://edmondsonsupply.com/collections/electricians-tools/products/klein-tools-vdv110-261-twisted-pair-radial-stripper")</f>
        <v/>
      </c>
      <c r="B7645" s="2">
        <f>HYPERLINK("https://edmondsonsupply.com/products/klein-tools-vdv110-261-twisted-pair-radial-stripper", "https://edmondsonsupply.com/products/klein-tools-vdv110-261-twisted-pair-radial-stripper")</f>
        <v/>
      </c>
      <c r="C7645" t="inlineStr">
        <is>
          <t>Klein Tools VDV110-261 Twisted Pair Radial Stripper</t>
        </is>
      </c>
      <c r="D7645" t="inlineStr">
        <is>
          <t>Klein Tools VDV120-005-SEN Cartridge for Twisted Pair Radial Stripper</t>
        </is>
      </c>
      <c r="E7645" s="2">
        <f>HYPERLINK("https://www.amazon.com/Klein-Tools-VDV120-005-SEN-Cartridge-Stripper/dp/B00788J864/ref=sr_1_8?keywords=Klein+Tools+VDV110-261+Twisted+Pair+Radial+Stripper&amp;qid=1694735258&amp;sr=8-8", "https://www.amazon.com/Klein-Tools-VDV120-005-SEN-Cartridge-Stripper/dp/B00788J864/ref=sr_1_8?keywords=Klein+Tools+VDV110-261+Twisted+Pair+Radial+Stripper&amp;qid=1694735258&amp;sr=8-8")</f>
        <v/>
      </c>
      <c r="F7645" t="inlineStr">
        <is>
          <t>B00788J864</t>
        </is>
      </c>
      <c r="G7645">
        <f>_xludf.IMAGE("https://edmondsonsupply.com/cdn/shop/products/vdv110261.jpg?v=1633030648")</f>
        <v/>
      </c>
      <c r="H7645">
        <f>_xludf.IMAGE("https://m.media-amazon.com/images/I/61czwao5NES._AC_UL320_.jpg")</f>
        <v/>
      </c>
      <c r="K7645" t="inlineStr">
        <is>
          <t>15.99</t>
        </is>
      </c>
      <c r="L7645" t="n">
        <v>5.91</v>
      </c>
      <c r="M7645" s="1" t="inlineStr">
        <is>
          <t>-63.04%</t>
        </is>
      </c>
      <c r="N7645" s="1" t="n"/>
      <c r="O7645" t="n">
        <v>4.8</v>
      </c>
      <c r="P7645" t="n">
        <v>13</v>
      </c>
      <c r="R7645" t="inlineStr">
        <is>
          <t>InStock</t>
        </is>
      </c>
      <c r="S7645" t="inlineStr">
        <is>
          <t>22.94</t>
        </is>
      </c>
      <c r="T7645" t="inlineStr">
        <is>
          <t>5734528057512</t>
        </is>
      </c>
    </row>
    <row r="7646" hidden="1" ht="15.75" customHeight="1">
      <c r="A7646" s="2">
        <f>HYPERLINK("https://edmondsonsupply.com/collections/electricians-tools/products/klein-tools-32717-all-in-1-precision-screwdriver-set-with-case", "https://edmondsonsupply.com/collections/electricians-tools/products/klein-tools-32717-all-in-1-precision-screwdriver-set-with-case")</f>
        <v/>
      </c>
      <c r="B7646" s="2">
        <f>HYPERLINK("https://edmondsonsupply.com/products/klein-tools-32717-all-in-1-precision-screwdriver-set-with-case", "https://edmondsonsupply.com/products/klein-tools-32717-all-in-1-precision-screwdriver-set-with-case")</f>
        <v/>
      </c>
      <c r="C7646" t="inlineStr">
        <is>
          <t>Klein Tools 32717 All-in-1 Precision Screwdriver Set with Case</t>
        </is>
      </c>
      <c r="D7646" t="inlineStr">
        <is>
          <t>Klein Tools 32585 Multi-bit Precision Screwdriver Set, 4-in-1 Electronics Screwdriver with Industrial Strength Torx Bits, Spin Top</t>
        </is>
      </c>
      <c r="E7646" s="2">
        <f>HYPERLINK("https://www.amazon.com/Electronics-Screwdriver-Klein-Tools-32585/dp/B0775ZJ15F/ref=sr_1_25?keywords=Klein+Tools+32717+All-in-1+Precision+Screwdriver+Set+with+Case&amp;qid=1694735187&amp;sr=8-25", "https://www.amazon.com/Electronics-Screwdriver-Klein-Tools-32585/dp/B0775ZJ15F/ref=sr_1_25?keywords=Klein+Tools+32717+All-in-1+Precision+Screwdriver+Set+with+Case&amp;qid=1694735187&amp;sr=8-25")</f>
        <v/>
      </c>
      <c r="F7646" t="inlineStr">
        <is>
          <t>B0775ZJ15F</t>
        </is>
      </c>
      <c r="G7646">
        <f>_xludf.IMAGE("https://edmondsonsupply.com/cdn/shop/products/32717.jpg?v=1633031161")</f>
        <v/>
      </c>
      <c r="H7646">
        <f>_xludf.IMAGE("https://m.media-amazon.com/images/I/31zFb-nVifL._AC_UL320_.jpg")</f>
        <v/>
      </c>
      <c r="K7646" t="inlineStr">
        <is>
          <t>29.97</t>
        </is>
      </c>
      <c r="L7646" t="n">
        <v>10.97</v>
      </c>
      <c r="M7646" s="1" t="inlineStr">
        <is>
          <t>-63.40%</t>
        </is>
      </c>
      <c r="N7646" s="1" t="n"/>
      <c r="O7646" t="n">
        <v>4.7</v>
      </c>
      <c r="P7646" t="n">
        <v>568</v>
      </c>
      <c r="R7646" t="inlineStr">
        <is>
          <t>InStock</t>
        </is>
      </c>
      <c r="S7646" t="inlineStr">
        <is>
          <t>41.98</t>
        </is>
      </c>
      <c r="T7646" t="inlineStr">
        <is>
          <t>6897560453293</t>
        </is>
      </c>
    </row>
    <row r="7647" hidden="1" ht="15.75" customHeight="1">
      <c r="A7647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647" s="2">
        <f>HYPERLINK("https://edmondsonsupply.com/products/klein-tools-32800-6-in-1-multi-nut-driver-heavy-duty", "https://edmondsonsupply.com/products/klein-tools-32800-6-in-1-multi-nut-driver-heavy-duty")</f>
        <v/>
      </c>
      <c r="C7647" t="inlineStr">
        <is>
          <t>Klein Tools 32800 6-in-1 6-in-1 Multi-Bit Nut Driver, Heavy Duty</t>
        </is>
      </c>
      <c r="D7647" t="inlineStr">
        <is>
          <t>Klein Tools 32561 Multi-Bit Screwdriver / Nut Driver, 6-in-1 Stubby Screwdriver with 2 Phillips, 2 Slotted Bits, 2 Nut Drivers</t>
        </is>
      </c>
      <c r="E7647" s="2">
        <f>HYPERLINK("https://www.amazon.com/Klein-Tools-32561-Screwdriver-Multi-Bit/dp/B005FQDHHC/ref=sr_1_6?keywords=Klein+Tools+32800+6-in-1+6-in-1+Multi-Bit+Nut+Driver%2C+Heavy+Duty&amp;qid=1694735172&amp;sr=8-6", "https://www.amazon.com/Klein-Tools-32561-Screwdriver-Multi-Bit/dp/B005FQDHHC/ref=sr_1_6?keywords=Klein+Tools+32800+6-in-1+6-in-1+Multi-Bit+Nut+Driver%2C+Heavy+Duty&amp;qid=1694735172&amp;sr=8-6")</f>
        <v/>
      </c>
      <c r="F7647" t="inlineStr">
        <is>
          <t>B005FQDHHC</t>
        </is>
      </c>
      <c r="G7647">
        <f>_xludf.IMAGE("https://edmondsonsupply.com/cdn/shop/products/32800_alt2.jpg?v=1646595019")</f>
        <v/>
      </c>
      <c r="H7647">
        <f>_xludf.IMAGE("https://m.media-amazon.com/images/I/61cyqZhSgsL._AC_UL320_.jpg")</f>
        <v/>
      </c>
      <c r="K7647" t="inlineStr">
        <is>
          <t>29.99</t>
        </is>
      </c>
      <c r="L7647" t="n">
        <v>10.97</v>
      </c>
      <c r="M7647" s="1" t="inlineStr">
        <is>
          <t>-63.42%</t>
        </is>
      </c>
      <c r="N7647" s="1" t="n"/>
      <c r="O7647" t="n">
        <v>4.8</v>
      </c>
      <c r="P7647" t="n">
        <v>13254</v>
      </c>
      <c r="R7647" t="inlineStr">
        <is>
          <t>InStock</t>
        </is>
      </c>
      <c r="S7647" t="inlineStr">
        <is>
          <t>42.2</t>
        </is>
      </c>
      <c r="T7647" t="inlineStr">
        <is>
          <t>1723912519780</t>
        </is>
      </c>
    </row>
    <row r="7648" hidden="1" ht="15.75" customHeight="1">
      <c r="A7648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7648" s="2">
        <f>HYPERLINK("https://edmondsonsupply.com/products/diablo-tools-dmapl2500-7-8-in-x-8-in-x-10-in-sds-plus-2-cutter", "https://edmondsonsupply.com/products/diablo-tools-dmapl2500-7-8-in-x-8-in-x-10-in-sds-plus-2-cutter")</f>
        <v/>
      </c>
      <c r="C7648" t="inlineStr">
        <is>
          <t>Diablo Tools DMAPL2500 7/8 in. x 8 in. x 10 in. SDS-Plus 2-Cutter</t>
        </is>
      </c>
      <c r="D7648" t="inlineStr">
        <is>
          <t>Diablo 7/16 in. x 10 in. x 12 in. SDS-Plus 2-Cutter</t>
        </is>
      </c>
      <c r="E7648" s="2">
        <f>HYPERLINK("https://www.amazon.com/Diablo-DMAPL2290-16-SDS-Plus-2-Cutter/dp/B089KVPSVG/ref=sr_1_8?keywords=Diablo+Tools+DMAPL2500+7%2F8+in.+x+8+in.+x+10+in.+SDS-Plus+2-Cutter&amp;qid=1694735171&amp;sr=8-8", "https://www.amazon.com/Diablo-DMAPL2290-16-SDS-Plus-2-Cutter/dp/B089KVPSVG/ref=sr_1_8?keywords=Diablo+Tools+DMAPL2500+7%2F8+in.+x+8+in.+x+10+in.+SDS-Plus+2-Cutter&amp;qid=1694735171&amp;sr=8-8")</f>
        <v/>
      </c>
      <c r="F7648" t="inlineStr">
        <is>
          <t>B089KVPSVG</t>
        </is>
      </c>
      <c r="G7648">
        <f>_xludf.IMAGE("https://edmondsonsupply.com/cdn/shop/products/2500.webp?v=1647636219")</f>
        <v/>
      </c>
      <c r="H7648">
        <f>_xludf.IMAGE("https://m.media-amazon.com/images/I/61fcva10QfL._AC_UL320_.jpg")</f>
        <v/>
      </c>
      <c r="K7648" t="inlineStr">
        <is>
          <t>28.97</t>
        </is>
      </c>
      <c r="L7648" t="n">
        <v>10.54</v>
      </c>
      <c r="M7648" s="1" t="inlineStr">
        <is>
          <t>-63.62%</t>
        </is>
      </c>
      <c r="N7648" s="1" t="n"/>
      <c r="O7648" t="n">
        <v>4.7</v>
      </c>
      <c r="P7648" t="n">
        <v>6</v>
      </c>
      <c r="R7648" t="inlineStr">
        <is>
          <t>InStock</t>
        </is>
      </c>
      <c r="S7648" t="inlineStr">
        <is>
          <t>33.98</t>
        </is>
      </c>
      <c r="T7648" t="inlineStr">
        <is>
          <t>7639201317080</t>
        </is>
      </c>
    </row>
    <row r="7649" ht="87" customHeight="1">
      <c r="A7649" s="2">
        <f>HYPERLINK("https://edmondsonsupply.com/collections/electricians-tools/products/milwaukee-48-11-2440-m12%E2%84%A2-redlithium%E2%84%A2-xc-4-0-extended-capacity-battery-pack", "https://edmondsonsupply.com/collections/electricians-tools/products/milwaukee-48-11-2440-m12%E2%84%A2-redlithium%E2%84%A2-xc-4-0-extended-capacity-battery-pack")</f>
        <v/>
      </c>
      <c r="B7649" s="2">
        <f>HYPERLINK("https://edmondsonsupply.com/products/milwaukee-48-11-2440-m12%e2%84%a2-redlithium%e2%84%a2-xc-4-0-extended-capacity-battery-pack", "https://edmondsonsupply.com/products/milwaukee-48-11-2440-m12%e2%84%a2-redlithium%e2%84%a2-xc-4-0-extended-capacity-battery-pack")</f>
        <v/>
      </c>
      <c r="C7649" t="inlineStr">
        <is>
          <t>Milwaukee 48-11-2440 M12™ REDLITHIUM™ XC 4.0 Extended Capacity Battery Pack</t>
        </is>
      </c>
      <c r="D7649" t="inlineStr">
        <is>
          <t>Yongcell 2-Pack 12V 6.0Ah M12 Battery Replacement for Milwaukee 12-Volt M12 Lithium XC 6.0Ah Extended Capacity Cordless Power Tools Battery 48-11-2460 48-11-2440 48-11-2402 48-11-2411</t>
        </is>
      </c>
      <c r="E7649" s="2">
        <f>HYPERLINK("https://www.amazon.com/Yongcell-Replacement-48-11-2460-48-11-2440-48-11-2402/dp/B093L9ZWCS/ref=sr_1_6?keywords=Milwaukee+48-11-2440+M12%E2%84%A2+REDLITHIUM%E2%84%A2+XC+4.0+Extended+Capacity+Battery+Pack&amp;qid=1694735150&amp;sr=8-6", "https://www.amazon.com/Yongcell-Replacement-48-11-2460-48-11-2440-48-11-2402/dp/B093L9ZWCS/ref=sr_1_6?keywords=Milwaukee+48-11-2440+M12%E2%84%A2+REDLITHIUM%E2%84%A2+XC+4.0+Extended+Capacity+Battery+Pack&amp;qid=1694735150&amp;sr=8-6")</f>
        <v/>
      </c>
      <c r="F7649" t="inlineStr">
        <is>
          <t>B093L9ZWCS</t>
        </is>
      </c>
      <c r="G7649">
        <f>_xlfn.IMAGE("https://edmondsonsupply.com/cdn/shop/products/64620_48-11-2440-lg.png?v=1654801817")</f>
        <v/>
      </c>
      <c r="H7649">
        <f>_xlfn.IMAGE("https://m.media-amazon.com/images/I/71BQqHmVNoS._AC_UL320_.jpg")</f>
        <v/>
      </c>
      <c r="K7649" t="inlineStr">
        <is>
          <t>89.0</t>
        </is>
      </c>
      <c r="L7649" t="n">
        <v>32.38</v>
      </c>
      <c r="M7649" s="1" t="inlineStr">
        <is>
          <t>-63.62%</t>
        </is>
      </c>
      <c r="N7649" s="7" t="n"/>
      <c r="O7649" t="n">
        <v>4.5</v>
      </c>
      <c r="P7649" t="n">
        <v>130</v>
      </c>
      <c r="R7649" t="inlineStr">
        <is>
          <t>OutOfStock</t>
        </is>
      </c>
      <c r="S7649" t="inlineStr">
        <is>
          <t>149.0</t>
        </is>
      </c>
      <c r="T7649" t="inlineStr">
        <is>
          <t>7711273943256</t>
        </is>
      </c>
    </row>
    <row r="7650" ht="87" customHeight="1">
      <c r="A7650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650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650" t="inlineStr">
        <is>
          <t>Milwaukee 48-11-2411 M12 REDLITHIUM™ Compact Battery Two Pack</t>
        </is>
      </c>
      <c r="D7650" t="inlineStr">
        <is>
          <t>Yongcell 2-Pack 12V 6.0Ah M12 Battery Replacement for Milwaukee 12-Volt M12 Lithium XC 6.0Ah Extended Capacity Cordless Power Tools Battery 48-11-2460 48-11-2440 48-11-2402 48-11-2411</t>
        </is>
      </c>
      <c r="E7650" s="2">
        <f>HYPERLINK("https://www.amazon.com/Yongcell-Replacement-48-11-2460-48-11-2440-48-11-2402/dp/B093L9ZWCS/ref=sr_1_48?keywords=Milwaukee+48-11-2411+M12+REDLITHIUM%E2%84%A2+Compact+Battery+Two+Pack&amp;qid=1694735145&amp;sr=8-48", "https://www.amazon.com/Yongcell-Replacement-48-11-2460-48-11-2440-48-11-2402/dp/B093L9ZWCS/ref=sr_1_48?keywords=Milwaukee+48-11-2411+M12+REDLITHIUM%E2%84%A2+Compact+Battery+Two+Pack&amp;qid=1694735145&amp;sr=8-48")</f>
        <v/>
      </c>
      <c r="F7650" t="inlineStr">
        <is>
          <t>B093L9ZWCS</t>
        </is>
      </c>
      <c r="G7650">
        <f>_xlfn.IMAGE("https://edmondsonsupply.com/cdn/shop/products/65014_48-11-2411-lg.jpg?v=1655484824")</f>
        <v/>
      </c>
      <c r="H7650">
        <f>_xlfn.IMAGE("https://m.media-amazon.com/images/I/71BQqHmVNoS._AC_UL320_.jpg")</f>
        <v/>
      </c>
      <c r="K7650" t="inlineStr">
        <is>
          <t>89.0</t>
        </is>
      </c>
      <c r="L7650" t="n">
        <v>32.38</v>
      </c>
      <c r="M7650" s="1" t="inlineStr">
        <is>
          <t>-63.62%</t>
        </is>
      </c>
      <c r="N7650" s="7" t="n"/>
      <c r="O7650" t="n">
        <v>4.5</v>
      </c>
      <c r="P7650" t="n">
        <v>130</v>
      </c>
      <c r="R7650" t="inlineStr">
        <is>
          <t>OutOfStock</t>
        </is>
      </c>
      <c r="S7650" t="inlineStr">
        <is>
          <t>150.0</t>
        </is>
      </c>
      <c r="T7650" t="inlineStr">
        <is>
          <t>7721456795864</t>
        </is>
      </c>
    </row>
    <row r="7651" ht="87" customHeight="1">
      <c r="A7651" s="2">
        <f>HYPERLINK("https://edmondsonsupply.com/collections/electricians-tools/products/diablo-tools-dmamx1040", "https://edmondsonsupply.com/collections/electricians-tools/products/diablo-tools-dmamx1040")</f>
        <v/>
      </c>
      <c r="B7651" s="2">
        <f>HYPERLINK("https://edmondsonsupply.com/products/diablo-tools-dmamx1040", "https://edmondsonsupply.com/products/diablo-tools-dmamx1040")</f>
        <v/>
      </c>
      <c r="C7651" t="inlineStr">
        <is>
          <t>Diablo Tools DMAMX1040 1/2 in. x 24 in. x 29 in. Rebar Demon SDS-Max 4-Cutter Full Carbide Head Hammer Bit</t>
        </is>
      </c>
      <c r="D7651" t="inlineStr">
        <is>
          <t>Diablo by Freud Diablo DMAPL4190 1/2 in. x 10 in. x 12 in. Rebar Demon SDS-Plus 4-Cutter Full Carbide Head Hammer Bit</t>
        </is>
      </c>
      <c r="E7651" s="2">
        <f>HYPERLINK("https://www.amazon.com/Diablo-Freud-DMAPL4190-SDS-Plus-4-Cutter/dp/B089LJZ25M/ref=sr_1_15?keywords=Diablo+Tools+DMAMX1040+1%2F2+in.+x+24+in.+x+29+in.+Rebar+Demon+SDS-Max+4-Cutter+Full+Carbide+Head+Hammer+Bit&amp;qid=1694735295&amp;sr=8-15", "https://www.amazon.com/Diablo-Freud-DMAPL4190-SDS-Plus-4-Cutter/dp/B089LJZ25M/ref=sr_1_15?keywords=Diablo+Tools+DMAMX1040+1%2F2+in.+x+24+in.+x+29+in.+Rebar+Demon+SDS-Max+4-Cutter+Full+Carbide+Head+Hammer+Bit&amp;qid=1694735295&amp;sr=8-15")</f>
        <v/>
      </c>
      <c r="F7651" t="inlineStr">
        <is>
          <t>B089LJZ25M</t>
        </is>
      </c>
      <c r="G7651">
        <f>_xlfn.IMAGE("https://edmondsonsupply.com/cdn/shop/products/DMAMX1040_Main-Image20200701.png?v=1633030363")</f>
        <v/>
      </c>
      <c r="H7651">
        <f>_xlfn.IMAGE("https://m.media-amazon.com/images/I/61dzudnwI8L._AC_UL320_.jpg")</f>
        <v/>
      </c>
      <c r="K7651" t="inlineStr">
        <is>
          <t>47.97</t>
        </is>
      </c>
      <c r="L7651" t="n">
        <v>17.41</v>
      </c>
      <c r="M7651" s="1" t="inlineStr">
        <is>
          <t>-63.71%</t>
        </is>
      </c>
      <c r="N7651" s="7" t="n"/>
      <c r="O7651" t="n">
        <v>4.6</v>
      </c>
      <c r="P7651" t="n">
        <v>43</v>
      </c>
      <c r="R7651" t="inlineStr">
        <is>
          <t>InStock</t>
        </is>
      </c>
      <c r="S7651" t="inlineStr">
        <is>
          <t>72.46</t>
        </is>
      </c>
      <c r="T7651" t="inlineStr">
        <is>
          <t>5289126527144</t>
        </is>
      </c>
    </row>
    <row r="7652" ht="87" customHeight="1">
      <c r="A7652" s="2">
        <f>HYPERLINK("https://edmondsonsupply.com/collections/electricians-tools/products/fluke-62-max-handheld-infrared-laser-thermometer", "https://edmondsonsupply.com/collections/electricians-tools/products/fluke-62-max-handheld-infrared-laser-thermometer")</f>
        <v/>
      </c>
      <c r="B7652" s="2">
        <f>HYPERLINK("https://edmondsonsupply.com/products/fluke-62-max-handheld-infrared-laser-thermometer", "https://edmondsonsupply.com/products/fluke-62-max-handheld-infrared-laser-thermometer")</f>
        <v/>
      </c>
      <c r="C7652" t="inlineStr">
        <is>
          <t>Fluke 62 MAX+ Handheld Infrared Laser Thermometer</t>
        </is>
      </c>
      <c r="D7652" t="inlineStr">
        <is>
          <t>Fluke 59 Mini IR Thermometer Laser Infrared Digital Display High Precision Handheld Tester Temperature Gun</t>
        </is>
      </c>
      <c r="E7652" s="2">
        <f>HYPERLINK("https://www.amazon.com/HTLNUZD-59-Thermometer-Precision-Temperature/dp/B0B82FZVVM/ref=sr_1_4?keywords=Fluke+62+MAX+Handheld+Infrared+Laser+Thermometer&amp;qid=1694735180&amp;sr=8-4", "https://www.amazon.com/HTLNUZD-59-Thermometer-Precision-Temperature/dp/B0B82FZVVM/ref=sr_1_4?keywords=Fluke+62+MAX+Handheld+Infrared+Laser+Thermometer&amp;qid=1694735180&amp;sr=8-4")</f>
        <v/>
      </c>
      <c r="F7652" t="inlineStr">
        <is>
          <t>B0B82FZVVM</t>
        </is>
      </c>
      <c r="G7652">
        <f>_xlfn.IMAGE("https://edmondsonsupply.com/cdn/shop/products/Fluke_62_MAX__back_499x1024px_E_NR-18387.jpg?v=1633031180")</f>
        <v/>
      </c>
      <c r="H7652">
        <f>_xlfn.IMAGE("https://m.media-amazon.com/images/I/51Z7Dlek9xL._AC_UY218_.jpg")</f>
        <v/>
      </c>
      <c r="K7652" t="inlineStr">
        <is>
          <t>179.99</t>
        </is>
      </c>
      <c r="L7652" t="n">
        <v>65.23</v>
      </c>
      <c r="M7652" s="1" t="inlineStr">
        <is>
          <t>-63.76%</t>
        </is>
      </c>
      <c r="N7652" s="7" t="n"/>
      <c r="O7652" t="n">
        <v>5</v>
      </c>
      <c r="P7652" t="n">
        <v>1</v>
      </c>
      <c r="R7652" t="inlineStr">
        <is>
          <t>InStock</t>
        </is>
      </c>
      <c r="S7652" t="inlineStr">
        <is>
          <t>199.99</t>
        </is>
      </c>
      <c r="T7652" t="inlineStr">
        <is>
          <t>6918056050861</t>
        </is>
      </c>
    </row>
    <row r="7653" ht="87" customHeight="1">
      <c r="A7653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3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3" t="inlineStr">
        <is>
          <t>Klein Tools ET310 Digital Circuit Breaker Finder with GFCI Outlet Tester</t>
        </is>
      </c>
      <c r="D7653" t="inlineStr">
        <is>
          <t>Case Compatible with Klein ET310 Tool AC Circuit Breaker Finder 80041 Outlet Repair Tool Kit RT250 Integrated GFCI Receptacle Tester and Accessories Electrical Tools Bag Storage Organizer</t>
        </is>
      </c>
      <c r="E7653" s="2">
        <f>HYPERLINK("https://www.amazon.com/Compatible-Electrical-Organizer-Integrated-Accessories/dp/B097QT7TN8/ref=sr_1_6?keywords=Klein+Tools+ET310+Digital+Circuit+Breaker+Finder+with+GFCI+Outlet+Tester&amp;qid=1694734974&amp;sr=8-6", "https://www.amazon.com/Compatible-Electrical-Organizer-Integrated-Accessories/dp/B097QT7TN8/ref=sr_1_6?keywords=Klein+Tools+ET310+Digital+Circuit+Breaker+Finder+with+GFCI+Outlet+Tester&amp;qid=1694734974&amp;sr=8-6")</f>
        <v/>
      </c>
      <c r="F7653" t="inlineStr">
        <is>
          <t>B097QT7TN8</t>
        </is>
      </c>
      <c r="G7653">
        <f>_xlfn.IMAGE("https://edmondsonsupply.com/cdn/shop/products/et310_c.jpg?v=1646963918")</f>
        <v/>
      </c>
      <c r="H7653">
        <f>_xlfn.IMAGE("https://m.media-amazon.com/images/I/918qW8otzjL._AC_UL320_.jpg")</f>
        <v/>
      </c>
      <c r="K7653" t="inlineStr">
        <is>
          <t>49.97</t>
        </is>
      </c>
      <c r="L7653" t="n">
        <v>17.99</v>
      </c>
      <c r="M7653" s="1" t="inlineStr">
        <is>
          <t>-64.00%</t>
        </is>
      </c>
      <c r="N7653" s="7" t="n"/>
      <c r="O7653" t="n">
        <v>4.5</v>
      </c>
      <c r="P7653" t="n">
        <v>1272</v>
      </c>
      <c r="R7653" t="inlineStr">
        <is>
          <t>InStock</t>
        </is>
      </c>
      <c r="S7653" t="inlineStr">
        <is>
          <t>75.1</t>
        </is>
      </c>
      <c r="T7653" t="inlineStr">
        <is>
          <t>3389551280228</t>
        </is>
      </c>
    </row>
    <row r="7654" ht="87" customHeight="1">
      <c r="A7654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4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4" t="inlineStr">
        <is>
          <t>Klein Tools ET310 Digital Circuit Breaker Finder with GFCI Outlet Tester</t>
        </is>
      </c>
      <c r="D7654" t="inlineStr">
        <is>
          <t>Hermitshell Hard Travel Case for Klein Tools ET310 AC Circuit Breaker Finder + Integrated GFCI Outlet Tester</t>
        </is>
      </c>
      <c r="E7654" s="2">
        <f>HYPERLINK("https://www.amazon.com/Hermitshell-Travel-Circuit-Breaker-Integrated/dp/B0BR3H3R3W/ref=sr_1_30?keywords=Klein+Tools+ET310+Digital+Circuit+Breaker+Finder+with+GFCI+Outlet+Tester&amp;qid=1694734974&amp;sr=8-30", "https://www.amazon.com/Hermitshell-Travel-Circuit-Breaker-Integrated/dp/B0BR3H3R3W/ref=sr_1_30?keywords=Klein+Tools+ET310+Digital+Circuit+Breaker+Finder+with+GFCI+Outlet+Tester&amp;qid=1694734974&amp;sr=8-30")</f>
        <v/>
      </c>
      <c r="F7654" t="inlineStr">
        <is>
          <t>B0BR3H3R3W</t>
        </is>
      </c>
      <c r="G7654">
        <f>_xlfn.IMAGE("https://edmondsonsupply.com/cdn/shop/products/et310_c.jpg?v=1646963918")</f>
        <v/>
      </c>
      <c r="H7654">
        <f>_xlfn.IMAGE("https://m.media-amazon.com/images/I/61hXAh0E1BL._AC_UL320_.jpg")</f>
        <v/>
      </c>
      <c r="K7654" t="inlineStr">
        <is>
          <t>49.97</t>
        </is>
      </c>
      <c r="L7654" t="n">
        <v>17.99</v>
      </c>
      <c r="M7654" s="1" t="inlineStr">
        <is>
          <t>-64.00%</t>
        </is>
      </c>
      <c r="N7654" s="7" t="n"/>
      <c r="O7654" t="n">
        <v>5</v>
      </c>
      <c r="P7654" t="n">
        <v>6</v>
      </c>
      <c r="R7654" t="inlineStr">
        <is>
          <t>InStock</t>
        </is>
      </c>
      <c r="S7654" t="inlineStr">
        <is>
          <t>75.1</t>
        </is>
      </c>
      <c r="T7654" t="inlineStr">
        <is>
          <t>3389551280228</t>
        </is>
      </c>
    </row>
    <row r="7655" ht="87" customHeight="1">
      <c r="A7655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5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5" t="inlineStr">
        <is>
          <t>Klein Tools ET310 Digital Circuit Breaker Finder with GFCI Outlet Tester</t>
        </is>
      </c>
      <c r="D7655" t="inlineStr">
        <is>
          <t>Case Compatible with Klein Tools ET310 AC Circuit Breaker Finder &amp; 80041 Outlet Repair Tool Kit &amp; RT250 GFCI Receptacle Tester. Electrical Tools Storage Organizer Holder Bag for Accessories (Box Only)</t>
        </is>
      </c>
      <c r="E7655" s="2">
        <f>HYPERLINK("https://www.amazon.com/Compatible-Integrated-Electrical-Organizer-Accessories/dp/B09JBWLH2B/ref=sr_1_20?keywords=Klein+Tools+ET310+Digital+Circuit+Breaker+Finder+with+GFCI+Outlet+Tester&amp;qid=1694734974&amp;sr=8-20", "https://www.amazon.com/Compatible-Integrated-Electrical-Organizer-Accessories/dp/B09JBWLH2B/ref=sr_1_20?keywords=Klein+Tools+ET310+Digital+Circuit+Breaker+Finder+with+GFCI+Outlet+Tester&amp;qid=1694734974&amp;sr=8-20")</f>
        <v/>
      </c>
      <c r="F7655" t="inlineStr">
        <is>
          <t>B09JBWLH2B</t>
        </is>
      </c>
      <c r="G7655">
        <f>_xlfn.IMAGE("https://edmondsonsupply.com/cdn/shop/products/et310_c.jpg?v=1646963918")</f>
        <v/>
      </c>
      <c r="H7655">
        <f>_xlfn.IMAGE("https://m.media-amazon.com/images/I/81yJafHL1vL._AC_UL320_.jpg")</f>
        <v/>
      </c>
      <c r="K7655" t="inlineStr">
        <is>
          <t>49.97</t>
        </is>
      </c>
      <c r="L7655" t="n">
        <v>17.99</v>
      </c>
      <c r="M7655" s="1" t="inlineStr">
        <is>
          <t>-64.00%</t>
        </is>
      </c>
      <c r="N7655" s="7" t="n"/>
      <c r="O7655" t="n">
        <v>4.5</v>
      </c>
      <c r="P7655" t="n">
        <v>1705</v>
      </c>
      <c r="R7655" t="inlineStr">
        <is>
          <t>InStock</t>
        </is>
      </c>
      <c r="S7655" t="inlineStr">
        <is>
          <t>75.1</t>
        </is>
      </c>
      <c r="T7655" t="inlineStr">
        <is>
          <t>3389551280228</t>
        </is>
      </c>
    </row>
    <row r="7656" ht="87" customHeight="1">
      <c r="A7656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6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6" t="inlineStr">
        <is>
          <t>Klein Tools ET310 Digital Circuit Breaker Finder with GFCI Outlet Tester</t>
        </is>
      </c>
      <c r="D7656" t="inlineStr">
        <is>
          <t>co2CREA Hard Travel Case Replacement for Klein Tools ET310 AC Circuit Breaker Finder Integrated GFCI Outlet Tester</t>
        </is>
      </c>
      <c r="E7656" s="2">
        <f>HYPERLINK("https://www.amazon.com/co2crea-Replacement-Circuit-Breaker-Integrated/dp/B087JRTB7S/ref=sr_1_7?keywords=Klein+Tools+ET310+Digital+Circuit+Breaker+Finder+with+GFCI+Outlet+Tester&amp;qid=1694734974&amp;sr=8-7", "https://www.amazon.com/co2crea-Replacement-Circuit-Breaker-Integrated/dp/B087JRTB7S/ref=sr_1_7?keywords=Klein+Tools+ET310+Digital+Circuit+Breaker+Finder+with+GFCI+Outlet+Tester&amp;qid=1694734974&amp;sr=8-7")</f>
        <v/>
      </c>
      <c r="F7656" t="inlineStr">
        <is>
          <t>B087JRTB7S</t>
        </is>
      </c>
      <c r="G7656">
        <f>_xlfn.IMAGE("https://edmondsonsupply.com/cdn/shop/products/et310_c.jpg?v=1646963918")</f>
        <v/>
      </c>
      <c r="H7656">
        <f>_xlfn.IMAGE("https://m.media-amazon.com/images/I/91gT7GX46hL._AC_UL320_.jpg")</f>
        <v/>
      </c>
      <c r="K7656" t="inlineStr">
        <is>
          <t>49.97</t>
        </is>
      </c>
      <c r="L7656" t="n">
        <v>17.99</v>
      </c>
      <c r="M7656" s="1" t="inlineStr">
        <is>
          <t>-64.00%</t>
        </is>
      </c>
      <c r="N7656" s="7" t="n"/>
      <c r="O7656" t="n">
        <v>4.6</v>
      </c>
      <c r="P7656" t="n">
        <v>421</v>
      </c>
      <c r="R7656" t="inlineStr">
        <is>
          <t>InStock</t>
        </is>
      </c>
      <c r="S7656" t="inlineStr">
        <is>
          <t>75.1</t>
        </is>
      </c>
      <c r="T7656" t="inlineStr">
        <is>
          <t>3389551280228</t>
        </is>
      </c>
    </row>
    <row r="7657" ht="87" customHeight="1">
      <c r="A7657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7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7" t="inlineStr">
        <is>
          <t>Klein Tools ET310 Digital Circuit Breaker Finder with GFCI Outlet Tester</t>
        </is>
      </c>
      <c r="D7657" t="inlineStr">
        <is>
          <t>Case Compatible with Klein Tools ET310 AC Circuit Breaker Finder and Integrated GFCI Outlet Tester, with Mesh Pocket Inside for Accessories (Orange)</t>
        </is>
      </c>
      <c r="E7657" s="2">
        <f>HYPERLINK("https://www.amazon.com/Compatible-Circuit-Breaker-Integrated-Accessories/dp/B09HGWM4T1/ref=sr_1_4?keywords=Klein+Tools+ET310+Digital+Circuit+Breaker+Finder+with+GFCI+Outlet+Tester&amp;qid=1694734974&amp;sr=8-4", "https://www.amazon.com/Compatible-Circuit-Breaker-Integrated-Accessories/dp/B09HGWM4T1/ref=sr_1_4?keywords=Klein+Tools+ET310+Digital+Circuit+Breaker+Finder+with+GFCI+Outlet+Tester&amp;qid=1694734974&amp;sr=8-4")</f>
        <v/>
      </c>
      <c r="F7657" t="inlineStr">
        <is>
          <t>B09HGWM4T1</t>
        </is>
      </c>
      <c r="G7657">
        <f>_xlfn.IMAGE("https://edmondsonsupply.com/cdn/shop/products/et310_c.jpg?v=1646963918")</f>
        <v/>
      </c>
      <c r="H7657">
        <f>_xlfn.IMAGE("https://m.media-amazon.com/images/I/91k09lOVauL._AC_UL320_.jpg")</f>
        <v/>
      </c>
      <c r="K7657" t="inlineStr">
        <is>
          <t>49.97</t>
        </is>
      </c>
      <c r="L7657" t="n">
        <v>17.99</v>
      </c>
      <c r="M7657" s="1" t="inlineStr">
        <is>
          <t>-64.00%</t>
        </is>
      </c>
      <c r="N7657" s="7" t="n"/>
      <c r="O7657" t="n">
        <v>4.5</v>
      </c>
      <c r="P7657" t="n">
        <v>547</v>
      </c>
      <c r="R7657" t="inlineStr">
        <is>
          <t>InStock</t>
        </is>
      </c>
      <c r="S7657" t="inlineStr">
        <is>
          <t>75.1</t>
        </is>
      </c>
      <c r="T7657" t="inlineStr">
        <is>
          <t>3389551280228</t>
        </is>
      </c>
    </row>
    <row r="7658" ht="87" customHeight="1">
      <c r="A7658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8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8" t="inlineStr">
        <is>
          <t>Klein Tools ET310 Digital Circuit Breaker Finder with GFCI Outlet Tester</t>
        </is>
      </c>
      <c r="D7658" t="inlineStr">
        <is>
          <t>Minahao Portable Case Compatible with Klein Tools ET310 AC Circuit Breaker Finder/RT250 Integrated GFCI Receptacle Tester/80041 Outlet Repair Tool Kit,with mesh Pockets for Accessories.(Case Only)</t>
        </is>
      </c>
      <c r="E7658" s="2">
        <f>HYPERLINK("https://www.amazon.com/Minahao-Compatible-Integrated-Receptacle-Accessories/dp/B09YHFLHL6/ref=sr_1_38?keywords=Klein+Tools+ET310+Digital+Circuit+Breaker+Finder+with+GFCI+Outlet+Tester&amp;qid=1694734974&amp;sr=8-38", "https://www.amazon.com/Minahao-Compatible-Integrated-Receptacle-Accessories/dp/B09YHFLHL6/ref=sr_1_38?keywords=Klein+Tools+ET310+Digital+Circuit+Breaker+Finder+with+GFCI+Outlet+Tester&amp;qid=1694734974&amp;sr=8-38")</f>
        <v/>
      </c>
      <c r="F7658" t="inlineStr">
        <is>
          <t>B09YHFLHL6</t>
        </is>
      </c>
      <c r="G7658">
        <f>_xlfn.IMAGE("https://edmondsonsupply.com/cdn/shop/products/et310_c.jpg?v=1646963918")</f>
        <v/>
      </c>
      <c r="H7658">
        <f>_xlfn.IMAGE("https://m.media-amazon.com/images/I/91lKGcrU-4L._AC_UL320_.jpg")</f>
        <v/>
      </c>
      <c r="K7658" t="inlineStr">
        <is>
          <t>49.97</t>
        </is>
      </c>
      <c r="L7658" t="n">
        <v>17.99</v>
      </c>
      <c r="M7658" s="1" t="inlineStr">
        <is>
          <t>-64.00%</t>
        </is>
      </c>
      <c r="N7658" s="7" t="n"/>
      <c r="O7658" t="n">
        <v>4.1</v>
      </c>
      <c r="P7658" t="n">
        <v>16</v>
      </c>
      <c r="R7658" t="inlineStr">
        <is>
          <t>InStock</t>
        </is>
      </c>
      <c r="S7658" t="inlineStr">
        <is>
          <t>75.1</t>
        </is>
      </c>
      <c r="T7658" t="inlineStr">
        <is>
          <t>3389551280228</t>
        </is>
      </c>
    </row>
    <row r="7659" ht="87" customHeight="1">
      <c r="A7659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59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59" t="inlineStr">
        <is>
          <t>Klein Tools ET310 Digital Circuit Breaker Finder with GFCI Outlet Tester</t>
        </is>
      </c>
      <c r="D7659" t="inlineStr">
        <is>
          <t>Aenllosi Hard Carrying Case Replacement for Klein Tools ET310 AC Circuit Breaker Finder GFCI Tester Tool Kit</t>
        </is>
      </c>
      <c r="E7659" s="2">
        <f>HYPERLINK("https://www.amazon.com/Aenllosi-Carrying-Replacement-Circuit-Breaker/dp/B0BKZDJFFB/ref=sr_1_32?keywords=Klein+Tools+ET310+Digital+Circuit+Breaker+Finder+with+GFCI+Outlet+Tester&amp;qid=1694734974&amp;sr=8-32", "https://www.amazon.com/Aenllosi-Carrying-Replacement-Circuit-Breaker/dp/B0BKZDJFFB/ref=sr_1_32?keywords=Klein+Tools+ET310+Digital+Circuit+Breaker+Finder+with+GFCI+Outlet+Tester&amp;qid=1694734974&amp;sr=8-32")</f>
        <v/>
      </c>
      <c r="F7659" t="inlineStr">
        <is>
          <t>B0BKZDJFFB</t>
        </is>
      </c>
      <c r="G7659">
        <f>_xlfn.IMAGE("https://edmondsonsupply.com/cdn/shop/products/et310_c.jpg?v=1646963918")</f>
        <v/>
      </c>
      <c r="H7659">
        <f>_xlfn.IMAGE("https://m.media-amazon.com/images/I/91ehSVRCVLL._AC_UL320_.jpg")</f>
        <v/>
      </c>
      <c r="K7659" t="inlineStr">
        <is>
          <t>49.97</t>
        </is>
      </c>
      <c r="L7659" t="n">
        <v>17.99</v>
      </c>
      <c r="M7659" s="1" t="inlineStr">
        <is>
          <t>-64.00%</t>
        </is>
      </c>
      <c r="N7659" s="7" t="n"/>
      <c r="O7659" t="n">
        <v>4.8</v>
      </c>
      <c r="P7659" t="n">
        <v>227</v>
      </c>
      <c r="R7659" t="inlineStr">
        <is>
          <t>InStock</t>
        </is>
      </c>
      <c r="S7659" t="inlineStr">
        <is>
          <t>75.1</t>
        </is>
      </c>
      <c r="T7659" t="inlineStr">
        <is>
          <t>3389551280228</t>
        </is>
      </c>
    </row>
    <row r="7660" ht="87" customHeight="1">
      <c r="A7660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60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60" t="inlineStr">
        <is>
          <t>Klein Tools ET310 Digital Circuit Breaker Finder with GFCI Outlet Tester</t>
        </is>
      </c>
      <c r="D7660" t="inlineStr">
        <is>
          <t>Aproca Hard Travel Storage Case, for Klein Tools ET310 AC Circuit Breaker Finder &amp; 80016 Circuit Breaker Finder Tool Kit &amp; RT250 GFCI Outlet Tester</t>
        </is>
      </c>
      <c r="E7660" s="2">
        <f>HYPERLINK("https://www.amazon.com/Aproca-Travel-Storage-Circuit-Breaker/dp/B0BRTSJY7T/ref=sr_1_24?keywords=Klein+Tools+ET310+Digital+Circuit+Breaker+Finder+with+GFCI+Outlet+Tester&amp;qid=1694734974&amp;sr=8-24", "https://www.amazon.com/Aproca-Travel-Storage-Circuit-Breaker/dp/B0BRTSJY7T/ref=sr_1_24?keywords=Klein+Tools+ET310+Digital+Circuit+Breaker+Finder+with+GFCI+Outlet+Tester&amp;qid=1694734974&amp;sr=8-24")</f>
        <v/>
      </c>
      <c r="F7660" t="inlineStr">
        <is>
          <t>B0BRTSJY7T</t>
        </is>
      </c>
      <c r="G7660">
        <f>_xlfn.IMAGE("https://edmondsonsupply.com/cdn/shop/products/et310_c.jpg?v=1646963918")</f>
        <v/>
      </c>
      <c r="H7660">
        <f>_xlfn.IMAGE("https://m.media-amazon.com/images/I/81LXh0JvvPL._AC_UL320_.jpg")</f>
        <v/>
      </c>
      <c r="K7660" t="inlineStr">
        <is>
          <t>49.97</t>
        </is>
      </c>
      <c r="L7660" t="n">
        <v>17.97</v>
      </c>
      <c r="M7660" s="1" t="inlineStr">
        <is>
          <t>-64.04%</t>
        </is>
      </c>
      <c r="N7660" s="7" t="n"/>
      <c r="O7660" t="n">
        <v>4.7</v>
      </c>
      <c r="P7660" t="n">
        <v>324</v>
      </c>
      <c r="R7660" t="inlineStr">
        <is>
          <t>InStock</t>
        </is>
      </c>
      <c r="S7660" t="inlineStr">
        <is>
          <t>75.1</t>
        </is>
      </c>
      <c r="T7660" t="inlineStr">
        <is>
          <t>3389551280228</t>
        </is>
      </c>
    </row>
    <row r="7661" hidden="1" ht="15.75" customHeight="1">
      <c r="A7661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61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61" t="inlineStr">
        <is>
          <t>Klein Tools NCVT-2P Dual Range Non-Contact Voltage Tester 12 - 1000V AC</t>
        </is>
      </c>
      <c r="D7661" t="inlineStr">
        <is>
          <t>LETONNEY Non-Contact Voltage Tester Electrical Tester with Dual Range AC 12V/48V-1000V Live/Null Wire Tester, Outlet Tester with LED Flashlight, Buzzer Alarm (Blue)</t>
        </is>
      </c>
      <c r="E7661" s="2">
        <f>HYPERLINK("https://www.amazon.com/LETONNEY-Non-Contact-Electrical-48V-1000V-Flashlight/dp/B09Q8JSKLQ/ref=sr_1_17?keywords=Klein+Tools+NCVT-2P+Dual+Range+Non-Contact+Voltage+Tester+12+-+1000V+AC&amp;qid=1694735236&amp;sr=8-17", "https://www.amazon.com/LETONNEY-Non-Contact-Electrical-48V-1000V-Flashlight/dp/B09Q8JSKLQ/ref=sr_1_17?keywords=Klein+Tools+NCVT-2P+Dual+Range+Non-Contact+Voltage+Tester+12+-+1000V+AC&amp;qid=1694735236&amp;sr=8-17")</f>
        <v/>
      </c>
      <c r="F7661" t="inlineStr">
        <is>
          <t>B09Q8JSKLQ</t>
        </is>
      </c>
      <c r="G7661">
        <f>_xludf.IMAGE("https://edmondsonsupply.com/cdn/shop/products/ncvt2p.jpg?v=1633030824")</f>
        <v/>
      </c>
      <c r="H7661">
        <f>_xludf.IMAGE("https://m.media-amazon.com/images/I/61ByCWo7LYL._AC_UL320_.jpg")</f>
        <v/>
      </c>
      <c r="K7661" t="inlineStr">
        <is>
          <t>27.97</t>
        </is>
      </c>
      <c r="L7661" t="n">
        <v>9.99</v>
      </c>
      <c r="M7661" s="1" t="inlineStr">
        <is>
          <t>-64.28%</t>
        </is>
      </c>
      <c r="N7661" s="1" t="n"/>
      <c r="O7661" t="n">
        <v>4.3</v>
      </c>
      <c r="P7661" t="n">
        <v>307</v>
      </c>
      <c r="R7661" t="inlineStr">
        <is>
          <t>InStock</t>
        </is>
      </c>
      <c r="S7661" t="inlineStr">
        <is>
          <t>35.76</t>
        </is>
      </c>
      <c r="T7661" t="inlineStr">
        <is>
          <t>6080875626669</t>
        </is>
      </c>
    </row>
    <row r="7662" hidden="1" ht="15.75" customHeight="1">
      <c r="A7662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62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62" t="inlineStr">
        <is>
          <t>Klein Tools NCVT-2P Dual Range Non-Contact Voltage Tester 12 - 1000V AC</t>
        </is>
      </c>
      <c r="D7662" t="inlineStr">
        <is>
          <t>MESTEK Voltage Tester, Non Contact Voltage Detector with Dual Range AC 12V-1000V/48V-1000V, Live/Null Wire Tester, Electrical Tester with Flashlight, Buzzer Alarm, Wire Breakpoint Finder, Pocket Clip</t>
        </is>
      </c>
      <c r="E7662" s="2">
        <f>HYPERLINK("https://www.amazon.com/MESTEK-12V-1000V-Electrical-Flashlight-Breakpoint/dp/B0CCJJJYZ4/ref=sr_1_20?keywords=Klein+Tools+NCVT-2P+Dual+Range+Non-Contact+Voltage+Tester+12+-+1000V+AC&amp;qid=1694735236&amp;sr=8-20", "https://www.amazon.com/MESTEK-12V-1000V-Electrical-Flashlight-Breakpoint/dp/B0CCJJJYZ4/ref=sr_1_20?keywords=Klein+Tools+NCVT-2P+Dual+Range+Non-Contact+Voltage+Tester+12+-+1000V+AC&amp;qid=1694735236&amp;sr=8-20")</f>
        <v/>
      </c>
      <c r="F7662" t="inlineStr">
        <is>
          <t>B0CCJJJYZ4</t>
        </is>
      </c>
      <c r="G7662">
        <f>_xludf.IMAGE("https://edmondsonsupply.com/cdn/shop/products/ncvt2p.jpg?v=1633030824")</f>
        <v/>
      </c>
      <c r="H7662">
        <f>_xludf.IMAGE("https://m.media-amazon.com/images/I/61L2fpYq2YL._AC_UL320_.jpg")</f>
        <v/>
      </c>
      <c r="K7662" t="inlineStr">
        <is>
          <t>27.97</t>
        </is>
      </c>
      <c r="L7662" t="n">
        <v>9.99</v>
      </c>
      <c r="M7662" s="1" t="inlineStr">
        <is>
          <t>-64.28%</t>
        </is>
      </c>
      <c r="N7662" s="1" t="n"/>
      <c r="O7662" t="n">
        <v>4.8</v>
      </c>
      <c r="P7662" t="n">
        <v>12</v>
      </c>
      <c r="R7662" t="inlineStr">
        <is>
          <t>InStock</t>
        </is>
      </c>
      <c r="S7662" t="inlineStr">
        <is>
          <t>35.76</t>
        </is>
      </c>
      <c r="T7662" t="inlineStr">
        <is>
          <t>6080875626669</t>
        </is>
      </c>
    </row>
    <row r="7663" hidden="1" ht="15.75" customHeight="1">
      <c r="A7663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63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63" t="inlineStr">
        <is>
          <t>Klein Tools NCVT-2P Dual Range Non-Contact Voltage Tester 12 - 1000V AC</t>
        </is>
      </c>
      <c r="D7663" t="inlineStr">
        <is>
          <t>Hard EVA Travel Case for Klein Tools NCVT-1 / NCVT-2 Dual Range Non-Contact Voltage Tester by Hermitshell</t>
        </is>
      </c>
      <c r="E7663" s="2">
        <f>HYPERLINK("https://www.amazon.com/Travel-NCVT-1-Non-Contact-Voltage-Hermitshell/dp/B01N5KLBBR/ref=sr_1_36?keywords=Klein+Tools+NCVT-2P+Dual+Range+Non-Contact+Voltage+Tester+12+-+1000V+AC&amp;qid=1694735236&amp;sr=8-36", "https://www.amazon.com/Travel-NCVT-1-Non-Contact-Voltage-Hermitshell/dp/B01N5KLBBR/ref=sr_1_36?keywords=Klein+Tools+NCVT-2P+Dual+Range+Non-Contact+Voltage+Tester+12+-+1000V+AC&amp;qid=1694735236&amp;sr=8-36")</f>
        <v/>
      </c>
      <c r="F7663" t="inlineStr">
        <is>
          <t>B01N5KLBBR</t>
        </is>
      </c>
      <c r="G7663">
        <f>_xludf.IMAGE("https://edmondsonsupply.com/cdn/shop/products/ncvt2p.jpg?v=1633030824")</f>
        <v/>
      </c>
      <c r="H7663">
        <f>_xludf.IMAGE("https://m.media-amazon.com/images/I/61zF8dly0GL._AC_UL320_.jpg")</f>
        <v/>
      </c>
      <c r="K7663" t="inlineStr">
        <is>
          <t>27.97</t>
        </is>
      </c>
      <c r="L7663" t="n">
        <v>9.99</v>
      </c>
      <c r="M7663" s="1" t="inlineStr">
        <is>
          <t>-64.28%</t>
        </is>
      </c>
      <c r="N7663" s="1" t="n"/>
      <c r="O7663" t="n">
        <v>5</v>
      </c>
      <c r="P7663" t="n">
        <v>6</v>
      </c>
      <c r="R7663" t="inlineStr">
        <is>
          <t>InStock</t>
        </is>
      </c>
      <c r="S7663" t="inlineStr">
        <is>
          <t>35.76</t>
        </is>
      </c>
      <c r="T7663" t="inlineStr">
        <is>
          <t>6080875626669</t>
        </is>
      </c>
    </row>
    <row r="7664" hidden="1" ht="15.75" customHeight="1">
      <c r="A7664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64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64" t="inlineStr">
        <is>
          <t>Klein Tools NCVT-2P Dual Range Non-Contact Voltage Tester 12 - 1000V AC</t>
        </is>
      </c>
      <c r="D7664" t="inlineStr">
        <is>
          <t>WGGE AC Voltage Tester/Non-Contact Voltage Tester with Dual Range AC 12V-1000V/48V-1000V, Electrical Pen with LCD Display and Flashlight Buzzer Alarm, Detect Wire Breakpoint, Live/Null Wire Tester</t>
        </is>
      </c>
      <c r="E7664" s="2">
        <f>HYPERLINK("https://www.amazon.com/WGGE-Non-Contact-Electrical-Flashlight-Breakpoint/dp/B09B4K2MYQ/ref=sr_1_18?keywords=Klein+Tools+NCVT-2P+Dual+Range+Non-Contact+Voltage+Tester+12+-+1000V+AC&amp;qid=1694735236&amp;sr=8-18", "https://www.amazon.com/WGGE-Non-Contact-Electrical-Flashlight-Breakpoint/dp/B09B4K2MYQ/ref=sr_1_18?keywords=Klein+Tools+NCVT-2P+Dual+Range+Non-Contact+Voltage+Tester+12+-+1000V+AC&amp;qid=1694735236&amp;sr=8-18")</f>
        <v/>
      </c>
      <c r="F7664" t="inlineStr">
        <is>
          <t>B09B4K2MYQ</t>
        </is>
      </c>
      <c r="G7664">
        <f>_xludf.IMAGE("https://edmondsonsupply.com/cdn/shop/products/ncvt2p.jpg?v=1633030824")</f>
        <v/>
      </c>
      <c r="H7664">
        <f>_xludf.IMAGE("https://m.media-amazon.com/images/I/61fiYa7pBIL._AC_UL320_.jpg")</f>
        <v/>
      </c>
      <c r="K7664" t="inlineStr">
        <is>
          <t>27.97</t>
        </is>
      </c>
      <c r="L7664" t="n">
        <v>9.99</v>
      </c>
      <c r="M7664" s="1" t="inlineStr">
        <is>
          <t>-64.28%</t>
        </is>
      </c>
      <c r="N7664" s="1" t="n"/>
      <c r="O7664" t="n">
        <v>4.5</v>
      </c>
      <c r="P7664" t="n">
        <v>316</v>
      </c>
      <c r="R7664" t="inlineStr">
        <is>
          <t>InStock</t>
        </is>
      </c>
      <c r="S7664" t="inlineStr">
        <is>
          <t>35.76</t>
        </is>
      </c>
      <c r="T7664" t="inlineStr">
        <is>
          <t>6080875626669</t>
        </is>
      </c>
    </row>
    <row r="7665" hidden="1" ht="15.75" customHeight="1">
      <c r="A7665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65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65" t="inlineStr">
        <is>
          <t>Klein Tools NCVT-2P Dual Range Non-Contact Voltage Tester 12 - 1000V AC</t>
        </is>
      </c>
      <c r="D7665" t="inlineStr">
        <is>
          <t>Non-Contact Voltage Tester, Voltage Detector ADWSET Voltage Tester Pen for Live/Null Wire Breakpoints Test, Dual Range AC12V-1000V/48V-1000V&amp;Buzzer Alarm&amp;LED Flashlight (Red)</t>
        </is>
      </c>
      <c r="E7665" s="2">
        <f>HYPERLINK("https://www.amazon.com/Non-Contact-ADWSET-Breakpoints-AC12V-1000V-Flashlight/dp/B0C66HSSK7/ref=sr_1_44?keywords=Klein+Tools+NCVT-2P+Dual+Range+Non-Contact+Voltage+Tester+12+-+1000V+AC&amp;qid=1694735236&amp;sr=8-44", "https://www.amazon.com/Non-Contact-ADWSET-Breakpoints-AC12V-1000V-Flashlight/dp/B0C66HSSK7/ref=sr_1_44?keywords=Klein+Tools+NCVT-2P+Dual+Range+Non-Contact+Voltage+Tester+12+-+1000V+AC&amp;qid=1694735236&amp;sr=8-44")</f>
        <v/>
      </c>
      <c r="F7665" t="inlineStr">
        <is>
          <t>B0C66HSSK7</t>
        </is>
      </c>
      <c r="G7665">
        <f>_xludf.IMAGE("https://edmondsonsupply.com/cdn/shop/products/ncvt2p.jpg?v=1633030824")</f>
        <v/>
      </c>
      <c r="H7665">
        <f>_xludf.IMAGE("https://m.media-amazon.com/images/I/61Kz4yGUw1L._AC_UL320_.jpg")</f>
        <v/>
      </c>
      <c r="K7665" t="inlineStr">
        <is>
          <t>27.97</t>
        </is>
      </c>
      <c r="L7665" t="n">
        <v>9.99</v>
      </c>
      <c r="M7665" s="1" t="inlineStr">
        <is>
          <t>-64.28%</t>
        </is>
      </c>
      <c r="N7665" s="1" t="n"/>
      <c r="O7665" t="n">
        <v>4.4</v>
      </c>
      <c r="P7665" t="n">
        <v>134</v>
      </c>
      <c r="R7665" t="inlineStr">
        <is>
          <t>InStock</t>
        </is>
      </c>
      <c r="S7665" t="inlineStr">
        <is>
          <t>35.76</t>
        </is>
      </c>
      <c r="T7665" t="inlineStr">
        <is>
          <t>6080875626669</t>
        </is>
      </c>
    </row>
    <row r="7666" hidden="1" ht="15.75" customHeight="1">
      <c r="A7666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666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666" t="inlineStr">
        <is>
          <t>Klein Tools NCVT-2P Dual Range Non-Contact Voltage Tester 12 - 1000V AC</t>
        </is>
      </c>
      <c r="D7666" t="inlineStr">
        <is>
          <t>Non-Contact Voltage Tester/ Voltage Tester with Dual Range AC 12V-1000V/48V-1000V, Live/Null Wire Tester, ENGiNDOT Electrical Tester with LCD Display &amp; Buzzer Alarm, Wire Breakpoint Finder-VT02(Black)</t>
        </is>
      </c>
      <c r="E7666" s="2">
        <f>HYPERLINK("https://www.amazon.com/Non-Contact-12V-1000V-48V-1000V-Electrical-Breakpoint/dp/B09D3715TZ/ref=sr_1_14?keywords=Klein+Tools+NCVT-2P+Dual+Range+Non-Contact+Voltage+Tester+12+-+1000V+AC&amp;qid=1694735236&amp;sr=8-14", "https://www.amazon.com/Non-Contact-12V-1000V-48V-1000V-Electrical-Breakpoint/dp/B09D3715TZ/ref=sr_1_14?keywords=Klein+Tools+NCVT-2P+Dual+Range+Non-Contact+Voltage+Tester+12+-+1000V+AC&amp;qid=1694735236&amp;sr=8-14")</f>
        <v/>
      </c>
      <c r="F7666" t="inlineStr">
        <is>
          <t>B09D3715TZ</t>
        </is>
      </c>
      <c r="G7666">
        <f>_xludf.IMAGE("https://edmondsonsupply.com/cdn/shop/products/ncvt2p.jpg?v=1633030824")</f>
        <v/>
      </c>
      <c r="H7666">
        <f>_xludf.IMAGE("https://m.media-amazon.com/images/I/61RedeDNNdL._AC_UL320_.jpg")</f>
        <v/>
      </c>
      <c r="K7666" t="inlineStr">
        <is>
          <t>27.97</t>
        </is>
      </c>
      <c r="L7666" t="n">
        <v>9.99</v>
      </c>
      <c r="M7666" s="1" t="inlineStr">
        <is>
          <t>-64.28%</t>
        </is>
      </c>
      <c r="N7666" s="1" t="n"/>
      <c r="O7666" t="n">
        <v>4.4</v>
      </c>
      <c r="P7666" t="n">
        <v>363</v>
      </c>
      <c r="R7666" t="inlineStr">
        <is>
          <t>InStock</t>
        </is>
      </c>
      <c r="S7666" t="inlineStr">
        <is>
          <t>35.76</t>
        </is>
      </c>
      <c r="T7666" t="inlineStr">
        <is>
          <t>6080875626669</t>
        </is>
      </c>
    </row>
    <row r="7667" hidden="1" ht="15.75" customHeight="1">
      <c r="A7667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667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667" t="inlineStr">
        <is>
          <t>Diablo Tools DOU125BF3 1-1/4 in. Universal Fit Bi-Metal Oscillating Blade for Metal (3 pack)</t>
        </is>
      </c>
      <c r="D7667" t="inlineStr">
        <is>
          <t>Diablo by Freud DOU125JBW 1-1/4 in. Universal Fit Bi-Metal Oscillating Blade for Clean Wood</t>
        </is>
      </c>
      <c r="E7667" s="2">
        <f>HYPERLINK("https://www.amazon.com/Diablo-Freud-DOU125JBW-Universal-Oscillating/dp/B089KV62LL/ref=sr_1_9?keywords=Diablo+Tools+DOU125BF3+1-1%2F4+in.+Universal+Fit+Bi-Metal+Oscillating+Blade+for+Metal+%283+pack%29&amp;qid=1694734993&amp;sr=8-9", "https://www.amazon.com/Diablo-Freud-DOU125JBW-Universal-Oscillating/dp/B089KV62LL/ref=sr_1_9?keywords=Diablo+Tools+DOU125BF3+1-1%2F4+in.+Universal+Fit+Bi-Metal+Oscillating+Blade+for+Metal+%283+pack%29&amp;qid=1694734993&amp;sr=8-9")</f>
        <v/>
      </c>
      <c r="F7667" t="inlineStr">
        <is>
          <t>B089KV62LL</t>
        </is>
      </c>
      <c r="G7667">
        <f>_xludf.IMAGE("https://edmondsonsupply.com/cdn/shop/files/k1d1qiwmm4npznsdbwtg_4dc7bdf3-43a4-4863-8a1d-f71b60bc7c6d.webp?v=1685468179")</f>
        <v/>
      </c>
      <c r="H7667">
        <f>_xludf.IMAGE("https://m.media-amazon.com/images/I/61wFHtmEH5L._AC_UL320_.jpg")</f>
        <v/>
      </c>
      <c r="K7667" t="inlineStr">
        <is>
          <t>34.97</t>
        </is>
      </c>
      <c r="L7667" t="n">
        <v>12.49</v>
      </c>
      <c r="M7667" s="1" t="inlineStr">
        <is>
          <t>-64.28%</t>
        </is>
      </c>
      <c r="N7667" s="1" t="n"/>
      <c r="O7667" t="n">
        <v>4.8</v>
      </c>
      <c r="P7667" t="n">
        <v>12</v>
      </c>
      <c r="R7667" t="inlineStr">
        <is>
          <t>InStock</t>
        </is>
      </c>
      <c r="S7667" t="inlineStr">
        <is>
          <t>43.53</t>
        </is>
      </c>
      <c r="T7667" t="inlineStr">
        <is>
          <t>7997880729816</t>
        </is>
      </c>
    </row>
    <row r="7668" hidden="1" ht="15.75" customHeight="1">
      <c r="A7668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7668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7668" t="inlineStr">
        <is>
          <t>Diablo Tools DOU125JBW3 1-1/4 in. Universal Fit Bi-Metal Oscillating Blades for Clean Wood</t>
        </is>
      </c>
      <c r="D7668" t="inlineStr">
        <is>
          <t>Diablo by Freud DOU125JBW 1-1/4 in. Universal Fit Bi-Metal Oscillating Blade for Clean Wood</t>
        </is>
      </c>
      <c r="E7668" s="2">
        <f>HYPERLINK("https://www.amazon.com/Diablo-Freud-DOU125JBW-Universal-Oscillating/dp/B089KV62LL/ref=sr_1_2?keywords=Diablo+Tools+DOU125JBW3+1-1%2F4+in.+Universal+Fit+Bi-Metal+Oscillating+Blades+for+Clean+Wood&amp;qid=1694735211&amp;sr=8-2", "https://www.amazon.com/Diablo-Freud-DOU125JBW-Universal-Oscillating/dp/B089KV62LL/ref=sr_1_2?keywords=Diablo+Tools+DOU125JBW3+1-1%2F4+in.+Universal+Fit+Bi-Metal+Oscillating+Blades+for+Clean+Wood&amp;qid=1694735211&amp;sr=8-2")</f>
        <v/>
      </c>
      <c r="F7668" t="inlineStr">
        <is>
          <t>B089KV62LL</t>
        </is>
      </c>
      <c r="G7668">
        <f>_xludf.IMAGE("https://edmondsonsupply.com/cdn/shop/products/DOU125JBW3_Main-Image.png?v=1633031095")</f>
        <v/>
      </c>
      <c r="H7668">
        <f>_xludf.IMAGE("https://m.media-amazon.com/images/I/61wFHtmEH5L._AC_UL320_.jpg")</f>
        <v/>
      </c>
      <c r="K7668" t="inlineStr">
        <is>
          <t>34.97</t>
        </is>
      </c>
      <c r="L7668" t="n">
        <v>12.49</v>
      </c>
      <c r="M7668" s="1" t="inlineStr">
        <is>
          <t>-64.28%</t>
        </is>
      </c>
      <c r="N7668" s="1" t="n"/>
      <c r="O7668" t="n">
        <v>4.8</v>
      </c>
      <c r="P7668" t="n">
        <v>12</v>
      </c>
      <c r="R7668" t="inlineStr">
        <is>
          <t>InStock</t>
        </is>
      </c>
      <c r="S7668" t="inlineStr">
        <is>
          <t>43.53</t>
        </is>
      </c>
      <c r="T7668" t="inlineStr">
        <is>
          <t>6839865278637</t>
        </is>
      </c>
    </row>
    <row r="7669" ht="87" customHeight="1">
      <c r="A7669" s="2">
        <f>HYPERLINK("https://edmondsonsupply.com/collections/electricians-tools/products/klein-tools-vdv500-123-probe-pro-tracing-probe", "https://edmondsonsupply.com/collections/electricians-tools/products/klein-tools-vdv500-123-probe-pro-tracing-probe")</f>
        <v/>
      </c>
      <c r="B7669" s="2">
        <f>HYPERLINK("https://edmondsonsupply.com/products/klein-tools-vdv500-123-probe-pro-tracing-probe", "https://edmondsonsupply.com/products/klein-tools-vdv500-123-probe-pro-tracing-probe")</f>
        <v/>
      </c>
      <c r="C7669" t="inlineStr">
        <is>
          <t>Klein Tools VDV500-123 Probe-PRO Tracing Probe</t>
        </is>
      </c>
      <c r="D7669" t="inlineStr">
        <is>
          <t>Hermitshell Travel Case for Klein Tools VDV500-063 Toner-Pro Tracer Tone Generator + VDV500-123 Cable Tracer Probe-Pro Tracing Probe</t>
        </is>
      </c>
      <c r="E7669" s="2">
        <f>HYPERLINK("https://www.amazon.com/Hermitshell-VDV500-063-Toner-Pro-Generator-VDV500-123/dp/B0BTVNKJSQ/ref=sr_1_3?keywords=Klein+Tools+VDV500-123+Probe-PRO+Tracing+Probe&amp;qid=1694734977&amp;sr=8-3", "https://www.amazon.com/Hermitshell-VDV500-063-Toner-Pro-Generator-VDV500-123/dp/B0BTVNKJSQ/ref=sr_1_3?keywords=Klein+Tools+VDV500-123+Probe-PRO+Tracing+Probe&amp;qid=1694734977&amp;sr=8-3")</f>
        <v/>
      </c>
      <c r="F7669" t="inlineStr">
        <is>
          <t>B0BTVNKJSQ</t>
        </is>
      </c>
      <c r="G7669">
        <f>_xlfn.IMAGE("https://edmondsonsupply.com/cdn/shop/products/vdv500123.jpg?v=1587142783")</f>
        <v/>
      </c>
      <c r="H7669">
        <f>_xlfn.IMAGE("https://m.media-amazon.com/images/I/61XSSZG2aoL._AC_UY218_.jpg")</f>
        <v/>
      </c>
      <c r="K7669" t="inlineStr">
        <is>
          <t>44.99</t>
        </is>
      </c>
      <c r="L7669" t="n">
        <v>15.99</v>
      </c>
      <c r="M7669" s="1" t="inlineStr">
        <is>
          <t>-64.46%</t>
        </is>
      </c>
      <c r="N7669" s="7" t="n"/>
      <c r="O7669" t="n">
        <v>4.8</v>
      </c>
      <c r="P7669" t="n">
        <v>14</v>
      </c>
      <c r="R7669" t="inlineStr">
        <is>
          <t>InStock</t>
        </is>
      </c>
      <c r="S7669" t="inlineStr">
        <is>
          <t>63.0</t>
        </is>
      </c>
      <c r="T7669" t="inlineStr">
        <is>
          <t>4274361466980</t>
        </is>
      </c>
    </row>
    <row r="7670" ht="87" customHeight="1">
      <c r="A7670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670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670" t="inlineStr">
        <is>
          <t>Milwaukee 48-59-1812 M18™ &amp; M12™ Multi-Voltage Charger</t>
        </is>
      </c>
      <c r="D7670" t="inlineStr">
        <is>
          <t>N12 N14 N18 Multi-Voltage Rapid Charger 48-59-1812 Compatible with Milwaukee 12V-18V Lithium Battery M12 M18 M14 48-11-1850 48-11-1852 48-11-1828 48-11-2411 48-11-2460</t>
        </is>
      </c>
      <c r="E7670" s="2">
        <f>HYPERLINK("https://www.amazon.com/Multi-Voltage-48-59-1812-Compatible-48-11-1850-48-11-1852/dp/B0BZP3Q17Q/ref=sr_1_5?keywords=Milwaukee+48-59-1812+M18%E2%84%A2+%26+M12%E2%84%A2+Multi-Voltage+Charger&amp;qid=1694735141&amp;sr=8-5", "https://www.amazon.com/Multi-Voltage-48-59-1812-Compatible-48-11-1850-48-11-1852/dp/B0BZP3Q17Q/ref=sr_1_5?keywords=Milwaukee+48-59-1812+M18%E2%84%A2+%26+M12%E2%84%A2+Multi-Voltage+Charger&amp;qid=1694735141&amp;sr=8-5")</f>
        <v/>
      </c>
      <c r="F7670" t="inlineStr">
        <is>
          <t>B0BZP3Q17Q</t>
        </is>
      </c>
      <c r="G7670">
        <f>_xlfn.IMAGE("https://edmondsonsupply.com/cdn/shop/products/60113_48-59-1812_3-lg.webp?v=1656530513")</f>
        <v/>
      </c>
      <c r="H7670">
        <f>_xlfn.IMAGE("https://m.media-amazon.com/images/I/71Uu6-RH+YL._AC_UL320_.jpg")</f>
        <v/>
      </c>
      <c r="K7670" t="inlineStr">
        <is>
          <t>79.0</t>
        </is>
      </c>
      <c r="L7670" t="n">
        <v>27.99</v>
      </c>
      <c r="M7670" s="1" t="inlineStr">
        <is>
          <t>-64.57%</t>
        </is>
      </c>
      <c r="N7670" s="7" t="n"/>
      <c r="O7670" t="n">
        <v>4.2</v>
      </c>
      <c r="P7670" t="n">
        <v>22</v>
      </c>
      <c r="R7670" t="inlineStr">
        <is>
          <t>InStock</t>
        </is>
      </c>
      <c r="S7670" t="inlineStr">
        <is>
          <t>126.0</t>
        </is>
      </c>
      <c r="T7670" t="inlineStr">
        <is>
          <t>7733079343320</t>
        </is>
      </c>
    </row>
    <row r="7671" ht="87" customHeight="1">
      <c r="A7671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71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71" t="inlineStr">
        <is>
          <t>Klein Tools ET310 Digital Circuit Breaker Finder with GFCI Outlet Tester</t>
        </is>
      </c>
      <c r="D7671" t="inlineStr">
        <is>
          <t>Case Compatible with Klein ET310 Tool AC Circuit Breaker Finder and RT250, Electrical Tools Bag Storage Organizer with Zipper Mesh Pocket for Integrated GFCI Outlet Tester and Accessories (Box Only)</t>
        </is>
      </c>
      <c r="E7671" s="2">
        <f>HYPERLINK("https://www.amazon.com/Compatible-Electrical-Organizer-Integrated-Accessories/dp/B09R5KDNYQ/ref=sr_1_25?keywords=Klein+Tools+ET310+Digital+Circuit+Breaker+Finder+with+GFCI+Outlet+Tester&amp;qid=1694734974&amp;sr=8-25", "https://www.amazon.com/Compatible-Electrical-Organizer-Integrated-Accessories/dp/B09R5KDNYQ/ref=sr_1_25?keywords=Klein+Tools+ET310+Digital+Circuit+Breaker+Finder+with+GFCI+Outlet+Tester&amp;qid=1694734974&amp;sr=8-25")</f>
        <v/>
      </c>
      <c r="F7671" t="inlineStr">
        <is>
          <t>B09R5KDNYQ</t>
        </is>
      </c>
      <c r="G7671">
        <f>_xlfn.IMAGE("https://edmondsonsupply.com/cdn/shop/products/et310_c.jpg?v=1646963918")</f>
        <v/>
      </c>
      <c r="H7671">
        <f>_xlfn.IMAGE("https://m.media-amazon.com/images/I/71l8AEOckPL._AC_UL320_.jpg")</f>
        <v/>
      </c>
      <c r="K7671" t="inlineStr">
        <is>
          <t>49.97</t>
        </is>
      </c>
      <c r="L7671" t="n">
        <v>17.68</v>
      </c>
      <c r="M7671" s="1" t="inlineStr">
        <is>
          <t>-64.62%</t>
        </is>
      </c>
      <c r="N7671" s="7" t="n"/>
      <c r="O7671" t="n">
        <v>4.2</v>
      </c>
      <c r="P7671" t="n">
        <v>92</v>
      </c>
      <c r="R7671" t="inlineStr">
        <is>
          <t>InStock</t>
        </is>
      </c>
      <c r="S7671" t="inlineStr">
        <is>
          <t>75.1</t>
        </is>
      </c>
      <c r="T7671" t="inlineStr">
        <is>
          <t>3389551280228</t>
        </is>
      </c>
    </row>
    <row r="7672" hidden="1" ht="15.75" customHeight="1">
      <c r="A7672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7672" s="2">
        <f>HYPERLINK("https://edmondsonsupply.com/products/klein-tools-31856-1-1-8-inch-carbide-hole-cutter", "https://edmondsonsupply.com/products/klein-tools-31856-1-1-8-inch-carbide-hole-cutter")</f>
        <v/>
      </c>
      <c r="C7672" t="inlineStr">
        <is>
          <t>Klein Tools 31856 1-1/8-Inch Carbide Hole Cutter</t>
        </is>
      </c>
      <c r="D7672" t="inlineStr">
        <is>
          <t>McJ Tools 1-1/8" TCT Hole Saw Long Tungsten Carbide Tipped Hole Saw Set, Hole Cutter Heavy Duty for Stainless Steel | Pilot Drill bit for Stainless Steel, Iron, Aluminum, Alloy</t>
        </is>
      </c>
      <c r="E7672" s="2">
        <f>HYPERLINK("https://www.amazon.com/McJ-Tools-Stainless-Electricians-Mechanicians/dp/B08YY412LV/ref=sr_1_23?keywords=Klein+Tools+31856+1-1%2F8-Inch+Carbide+Hole+Cutter&amp;qid=1694734994&amp;sr=8-23", "https://www.amazon.com/McJ-Tools-Stainless-Electricians-Mechanicians/dp/B08YY412LV/ref=sr_1_23?keywords=Klein+Tools+31856+1-1%2F8-Inch+Carbide+Hole+Cutter&amp;qid=1694734994&amp;sr=8-23")</f>
        <v/>
      </c>
      <c r="F7672" t="inlineStr">
        <is>
          <t>B08YY412LV</t>
        </is>
      </c>
      <c r="G7672">
        <f>_xludf.IMAGE("https://edmondsonsupply.com/cdn/shop/files/31856.jpg?v=1685712345")</f>
        <v/>
      </c>
      <c r="H7672">
        <f>_xludf.IMAGE("https://m.media-amazon.com/images/I/71JzGNAsSiL._AC_UL320_.jpg")</f>
        <v/>
      </c>
      <c r="K7672" t="inlineStr">
        <is>
          <t>35.99</t>
        </is>
      </c>
      <c r="L7672" t="n">
        <v>12.7</v>
      </c>
      <c r="M7672" s="1" t="inlineStr">
        <is>
          <t>-64.71%</t>
        </is>
      </c>
      <c r="N7672" s="1" t="n"/>
      <c r="O7672" t="n">
        <v>4.1</v>
      </c>
      <c r="P7672" t="n">
        <v>44</v>
      </c>
      <c r="R7672" t="inlineStr">
        <is>
          <t>InStock</t>
        </is>
      </c>
      <c r="S7672" t="inlineStr">
        <is>
          <t>50.38</t>
        </is>
      </c>
      <c r="T7672" t="inlineStr">
        <is>
          <t>7999529910488</t>
        </is>
      </c>
    </row>
    <row r="7673" hidden="1" ht="15.75" customHeight="1">
      <c r="A7673" s="2">
        <f>HYPERLINK("https://edmondsonsupply.com/collections/electricians-tools/products/klein-tools-51427-conduit-bender-handle-for-1-2-inch-3-4-inch-heads", "https://edmondsonsupply.com/collections/electricians-tools/products/klein-tools-51427-conduit-bender-handle-for-1-2-inch-3-4-inch-heads")</f>
        <v/>
      </c>
      <c r="B7673" s="2">
        <f>HYPERLINK("https://edmondsonsupply.com/products/klein-tools-51427-conduit-bender-handle-for-1-2-inch-3-4-inch-heads", "https://edmondsonsupply.com/products/klein-tools-51427-conduit-bender-handle-for-1-2-inch-3-4-inch-heads")</f>
        <v/>
      </c>
      <c r="C7673" t="inlineStr">
        <is>
          <t>Klein Tools 51427 Conduit Bender Handle for 1/2-Inch, 3/4-Inch Heads</t>
        </is>
      </c>
      <c r="D7673" t="inlineStr">
        <is>
          <t>Klein Tools 51612 Conduit Bender 3/4-Inch Angle Setter, For Use With Klein Tools Conduit Benders (Cat Nos. 51607 and 51604)</t>
        </is>
      </c>
      <c r="E7673" s="2">
        <f>HYPERLINK("https://www.amazon.com/Klein-Tools-51612-Conduit-Benders/dp/B08L5JZM97/ref=sr_1_19?keywords=Klein+Tools+51427+Conduit+Bender+Handle+for+1%2F2-Inch%2C+3%2F4-Inch+Heads&amp;qid=1694735122&amp;sr=8-19", "https://www.amazon.com/Klein-Tools-51612-Conduit-Benders/dp/B08L5JZM97/ref=sr_1_19?keywords=Klein+Tools+51427+Conduit+Bender+Handle+for+1%2F2-Inch%2C+3%2F4-Inch+Heads&amp;qid=1694735122&amp;sr=8-19")</f>
        <v/>
      </c>
      <c r="F7673" t="inlineStr">
        <is>
          <t>B08L5JZM97</t>
        </is>
      </c>
      <c r="G7673">
        <f>_xludf.IMAGE("https://edmondsonsupply.com/cdn/shop/products/51429.jpg?v=1663694213")</f>
        <v/>
      </c>
      <c r="H7673">
        <f>_xludf.IMAGE("https://m.media-amazon.com/images/I/51x8cPtPWrL._AC_UL320_.jpg")</f>
        <v/>
      </c>
      <c r="K7673" t="inlineStr">
        <is>
          <t>27.99</t>
        </is>
      </c>
      <c r="L7673" t="n">
        <v>9.82</v>
      </c>
      <c r="M7673" s="1" t="inlineStr">
        <is>
          <t>-64.92%</t>
        </is>
      </c>
      <c r="N7673" s="1" t="n"/>
      <c r="O7673" t="n">
        <v>4.2</v>
      </c>
      <c r="P7673" t="n">
        <v>96</v>
      </c>
      <c r="R7673" t="inlineStr">
        <is>
          <t>InStock</t>
        </is>
      </c>
      <c r="S7673" t="inlineStr">
        <is>
          <t>42.4</t>
        </is>
      </c>
      <c r="T7673" t="inlineStr">
        <is>
          <t>7823793127640</t>
        </is>
      </c>
    </row>
    <row r="7674" hidden="1" ht="15.75" customHeight="1">
      <c r="A7674" s="2">
        <f>HYPERLINK("https://edmondsonsupply.com/collections/electricians-tools/products/diablo-tools-dmamx1130-3-4-in-x-8-in-x-13-in-rebar-demon%E2%84%A2-sds-max-4-cutter-full-carbide-head-hammer-bit", "https://edmondsonsupply.com/collections/electricians-tools/products/diablo-tools-dmamx1130-3-4-in-x-8-in-x-13-in-rebar-demon%E2%84%A2-sds-max-4-cutter-full-carbide-head-hammer-bit")</f>
        <v/>
      </c>
      <c r="B7674" s="2">
        <f>HYPERLINK("https://edmondsonsupply.com/products/diablo-tools-dmamx1130-3-4-in-x-8-in-x-13-in-rebar-demon%e2%84%a2-sds-max-4-cutter-full-carbide-head-hammer-bit", "https://edmondsonsupply.com/products/diablo-tools-dmamx1130-3-4-in-x-8-in-x-13-in-rebar-demon%e2%84%a2-sds-max-4-cutter-full-carbide-head-hammer-bit")</f>
        <v/>
      </c>
      <c r="C7674" t="inlineStr">
        <is>
          <t>Diablo Tools DMAMX1130 3/4 in. x 8 in. x 13 in. Rebar Demon™ SDS‑Max 4‑Cutter Full Carbide Head Hammer Bit</t>
        </is>
      </c>
      <c r="D7674" t="inlineStr">
        <is>
          <t>Diablo DMAPL4055 3/16 in. x 10 in. x 12 in. Rebar Demon™ SDS-Plus 4-Cutter Full Carbide Head Hammer Bit</t>
        </is>
      </c>
      <c r="E7674" s="2" t="n"/>
      <c r="F7674" t="inlineStr">
        <is>
          <t>B089LJCD42</t>
        </is>
      </c>
      <c r="G7674">
        <f>_xludf.IMAGE("https://edmondsonsupply.com/cdn/shop/products/DMAMX1130_Main-Image20200701.png?v=1633030568")</f>
        <v/>
      </c>
      <c r="H7674">
        <f>_xludf.IMAGE("https://m.media-amazon.com/images/I/61cDOAhkb4L._AC_UL320_.jpg")</f>
        <v/>
      </c>
      <c r="K7674" t="inlineStr">
        <is>
          <t>44.97</t>
        </is>
      </c>
      <c r="L7674" t="n">
        <v>15.76</v>
      </c>
      <c r="M7674" s="1" t="inlineStr">
        <is>
          <t>-64.95%</t>
        </is>
      </c>
      <c r="N7674" s="1" t="n"/>
      <c r="O7674" t="n">
        <v>2</v>
      </c>
      <c r="P7674" t="n">
        <v>1</v>
      </c>
      <c r="R7674" t="inlineStr">
        <is>
          <t>InStock</t>
        </is>
      </c>
      <c r="S7674" t="inlineStr">
        <is>
          <t>46.26</t>
        </is>
      </c>
      <c r="T7674" t="inlineStr">
        <is>
          <t>5463880925352</t>
        </is>
      </c>
    </row>
    <row r="7675" hidden="1" ht="15.75" customHeight="1">
      <c r="A7675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7675" s="2">
        <f>HYPERLINK("https://edmondsonsupply.com/products/klein-tools-vdv427-300-impact-punchdown-tool-66-110-blade", "https://edmondsonsupply.com/products/klein-tools-vdv427-300-impact-punchdown-tool-66-110-blade")</f>
        <v/>
      </c>
      <c r="C7675" t="inlineStr">
        <is>
          <t>Klein Tools VDV427-300 Impact Punchdown Tool, 66/110 Blade</t>
        </is>
      </c>
      <c r="D7675" t="inlineStr">
        <is>
          <t>FBLFOBELI Hard Storage Case for Klein Tools VDV427-300 Impact Punchdown Tool 66/110 Blade, Shockproof Travel Carrying Case</t>
        </is>
      </c>
      <c r="E7675" s="2">
        <f>HYPERLINK("https://www.amazon.com/FBLFOBELI-VDV427-300-Punchdown-Shockproof-Carrying/dp/B09Q88VB6C/ref=sr_1_2?keywords=Klein+Tools+VDV427-300+Impact+Punchdown+Tool%2C+66%2F110+Blade&amp;qid=1694735168&amp;sr=8-2", "https://www.amazon.com/FBLFOBELI-VDV427-300-Punchdown-Shockproof-Carrying/dp/B09Q88VB6C/ref=sr_1_2?keywords=Klein+Tools+VDV427-300+Impact+Punchdown+Tool%2C+66%2F110+Blade&amp;qid=1694735168&amp;sr=8-2")</f>
        <v/>
      </c>
      <c r="F7675" t="inlineStr">
        <is>
          <t>B09Q88VB6C</t>
        </is>
      </c>
      <c r="G7675">
        <f>_xludf.IMAGE("https://edmondsonsupply.com/cdn/shop/products/vdv427300.jpg?v=1646010568")</f>
        <v/>
      </c>
      <c r="H7675">
        <f>_xludf.IMAGE("https://m.media-amazon.com/images/I/71K5+VIUifL._AC_UL320_.jpg")</f>
        <v/>
      </c>
      <c r="K7675" t="inlineStr">
        <is>
          <t>39.97</t>
        </is>
      </c>
      <c r="L7675" t="n">
        <v>13.99</v>
      </c>
      <c r="M7675" s="1" t="inlineStr">
        <is>
          <t>-65.00%</t>
        </is>
      </c>
      <c r="N7675" s="1" t="n"/>
      <c r="O7675" t="n">
        <v>4.8</v>
      </c>
      <c r="P7675" t="n">
        <v>7</v>
      </c>
      <c r="R7675" t="inlineStr">
        <is>
          <t>InStock</t>
        </is>
      </c>
      <c r="S7675" t="inlineStr">
        <is>
          <t>55.98</t>
        </is>
      </c>
      <c r="T7675" t="inlineStr">
        <is>
          <t>7620069818584</t>
        </is>
      </c>
    </row>
    <row r="7676" hidden="1" ht="15.75" customHeight="1">
      <c r="A7676" s="2">
        <f>HYPERLINK("https://edmondsonsupply.com/collections/electricians-tools/products/greenlee-dtap8-32-drill-tap-8-32", "https://edmondsonsupply.com/collections/electricians-tools/products/greenlee-dtap8-32-drill-tap-8-32")</f>
        <v/>
      </c>
      <c r="B7676" s="2">
        <f>HYPERLINK("https://edmondsonsupply.com/products/greenlee-dtap8-32-drill-tap-8-32", "https://edmondsonsupply.com/products/greenlee-dtap8-32-drill-tap-8-32")</f>
        <v/>
      </c>
      <c r="C7676" t="inlineStr">
        <is>
          <t>Greenlee DTAP8-32 Drill/Tap, 8-32</t>
        </is>
      </c>
      <c r="D7676" t="inlineStr">
        <is>
          <t>Drill America - DWT57085 8-32 High Speed Steel 2 Flute Spiral Point Tap, DWT Series</t>
        </is>
      </c>
      <c r="E7676" s="2">
        <f>HYPERLINK("https://www.amazon.com/Drill-America-DWT57085-Qualtech-High-Speed/dp/B00BD5P4TS/ref=sr_1_40?keywords=Greenlee+DTAP8-32+Drill%2FTap%2C+8-32&amp;qid=1694735400&amp;sr=8-40", "https://www.amazon.com/Drill-America-DWT57085-Qualtech-High-Speed/dp/B00BD5P4TS/ref=sr_1_40?keywords=Greenlee+DTAP8-32+Drill%2FTap%2C+8-32&amp;qid=1694735400&amp;sr=8-40")</f>
        <v/>
      </c>
      <c r="F7676" t="inlineStr">
        <is>
          <t>B00BD5P4TS</t>
        </is>
      </c>
      <c r="G7676">
        <f>_xludf.IMAGE("https://edmondsonsupply.com/cdn/shop/products/DTAP8-32.jpg?v=1633030185")</f>
        <v/>
      </c>
      <c r="H7676">
        <f>_xludf.IMAGE("https://m.media-amazon.com/images/I/61wJyK5k6FL._AC_UL320_.jpg")</f>
        <v/>
      </c>
      <c r="K7676" t="inlineStr">
        <is>
          <t>8.29</t>
        </is>
      </c>
      <c r="L7676" t="n">
        <v>2.89</v>
      </c>
      <c r="M7676" s="1" t="inlineStr">
        <is>
          <t>-65.14%</t>
        </is>
      </c>
      <c r="N7676" s="1" t="n"/>
      <c r="O7676" t="n">
        <v>4.4</v>
      </c>
      <c r="P7676" t="n">
        <v>1279</v>
      </c>
      <c r="R7676" t="inlineStr">
        <is>
          <t>InStock</t>
        </is>
      </c>
      <c r="S7676" t="inlineStr">
        <is>
          <t>9.7</t>
        </is>
      </c>
      <c r="T7676" t="inlineStr">
        <is>
          <t>4395862392932</t>
        </is>
      </c>
    </row>
    <row r="7677" ht="87" customHeight="1">
      <c r="A7677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677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677" t="inlineStr">
        <is>
          <t>Diablo Tools DMAPL4310 1 in. x 16 in. x 18 in. Rebar Demon™ SDS-Plus 4-Cutter Full Carbide Head Hammer Drill Bit</t>
        </is>
      </c>
      <c r="D7677" t="inlineStr">
        <is>
          <t>Diablo by Freud Diablo DMAPL4190 1/2 in. x 10 in. x 12 in. Rebar Demon SDS-Plus 4-Cutter Full Carbide Head Hammer Bit</t>
        </is>
      </c>
      <c r="E7677" s="2">
        <f>HYPERLINK("https://www.amazon.com/Diablo-Freud-DMAPL4190-SDS-Plus-4-Cutter/dp/B089LJZ25M/ref=sr_1_16?keywords=Diablo+Tools+DMAPL4310+1+in.+x+16+in.+x+18+in.+Rebar+Demon%E2%84%A2+SDS-Plus+4-Cutter+Full+Carbide+Head+Hammer+Drill+Bit&amp;qid=1694735204&amp;sr=8-16", "https://www.amazon.com/Diablo-Freud-DMAPL4190-SDS-Plus-4-Cutter/dp/B089LJZ25M/ref=sr_1_16?keywords=Diablo+Tools+DMAPL4310+1+in.+x+16+in.+x+18+in.+Rebar+Demon%E2%84%A2+SDS-Plus+4-Cutter+Full+Carbide+Head+Hammer+Drill+Bit&amp;qid=1694735204&amp;sr=8-16")</f>
        <v/>
      </c>
      <c r="F7677" t="inlineStr">
        <is>
          <t>B089LJZ25M</t>
        </is>
      </c>
      <c r="G7677">
        <f>_xlfn.IMAGE("https://edmondsonsupply.com/cdn/shop/products/DMAPL4310_Main-Image20200701.png?v=1633031094")</f>
        <v/>
      </c>
      <c r="H7677">
        <f>_xlfn.IMAGE("https://m.media-amazon.com/images/I/61dzudnwI8L._AC_UL320_.jpg")</f>
        <v/>
      </c>
      <c r="K7677" t="inlineStr">
        <is>
          <t>49.97</t>
        </is>
      </c>
      <c r="L7677" t="n">
        <v>17.41</v>
      </c>
      <c r="M7677" s="1" t="inlineStr">
        <is>
          <t>-65.16%</t>
        </is>
      </c>
      <c r="N7677" s="7" t="n"/>
      <c r="O7677" t="n">
        <v>4.6</v>
      </c>
      <c r="P7677" t="n">
        <v>43</v>
      </c>
      <c r="R7677" t="inlineStr">
        <is>
          <t>InStock</t>
        </is>
      </c>
      <c r="S7677" t="inlineStr">
        <is>
          <t>57.56</t>
        </is>
      </c>
      <c r="T7677" t="inlineStr">
        <is>
          <t>6839830479021</t>
        </is>
      </c>
    </row>
    <row r="7678" ht="87" customHeight="1">
      <c r="A7678" s="2">
        <f>HYPERLINK("https://edmondsonsupply.com/collections/electricians-tools/products/fluke-tplus-electrical-tester", "https://edmondsonsupply.com/collections/electricians-tools/products/fluke-tplus-electrical-tester")</f>
        <v/>
      </c>
      <c r="B7678" s="2">
        <f>HYPERLINK("https://edmondsonsupply.com/products/fluke-tplus-electrical-tester", "https://edmondsonsupply.com/products/fluke-tplus-electrical-tester")</f>
        <v/>
      </c>
      <c r="C7678" t="inlineStr">
        <is>
          <t>Fluke T+ Electrical Tester</t>
        </is>
      </c>
      <c r="D7678" t="inlineStr">
        <is>
          <t>KingSung Hard Case Bundle with Tester Meter Holster Replacement for Fluke T5-1000/T5-600/T6-1000/T6-600/T+PRO Voltage Continuity,3D Molded Appearance and Real Machine Custom Lining</t>
        </is>
      </c>
      <c r="E7678" s="2">
        <f>HYPERLINK("https://www.amazon.com/KingSung-Holster-Replacement-Continuity-Appearance/dp/B0BNQ8V76G/ref=sr_1_19?keywords=Fluke+T+Electrical+Tester&amp;qid=1694735309&amp;sr=8-19", "https://www.amazon.com/KingSung-Holster-Replacement-Continuity-Appearance/dp/B0BNQ8V76G/ref=sr_1_19?keywords=Fluke+T+Electrical+Tester&amp;qid=1694735309&amp;sr=8-19")</f>
        <v/>
      </c>
      <c r="F7678" t="inlineStr">
        <is>
          <t>B0BNQ8V76G</t>
        </is>
      </c>
      <c r="G7678">
        <f>_xlfn.IMAGE("https://edmondsonsupply.com/cdn/shop/products/tplus.jpg?v=1633030280")</f>
        <v/>
      </c>
      <c r="H7678">
        <f>_xlfn.IMAGE("https://m.media-amazon.com/images/I/71QPQ+CL2PL._AC_UL320_.jpg")</f>
        <v/>
      </c>
      <c r="K7678" t="inlineStr">
        <is>
          <t>94.49</t>
        </is>
      </c>
      <c r="L7678" t="n">
        <v>32.88</v>
      </c>
      <c r="M7678" s="1" t="inlineStr">
        <is>
          <t>-65.20%</t>
        </is>
      </c>
      <c r="N7678" s="7" t="n"/>
      <c r="O7678" t="n">
        <v>5</v>
      </c>
      <c r="P7678" t="n">
        <v>2</v>
      </c>
      <c r="R7678" t="inlineStr">
        <is>
          <t>InStock</t>
        </is>
      </c>
      <c r="S7678" t="inlineStr">
        <is>
          <t>104.99</t>
        </is>
      </c>
      <c r="T7678" t="inlineStr">
        <is>
          <t>5238397337768</t>
        </is>
      </c>
    </row>
    <row r="7679" ht="87" customHeight="1">
      <c r="A7679" s="2">
        <f>HYPERLINK("https://edmondsonsupply.com/collections/electricians-tools/products/klein-tools-56341-stainless-steel-fish-tape-1-8-inch-x-240-foot", "https://edmondsonsupply.com/collections/electricians-tools/products/klein-tools-56341-stainless-steel-fish-tape-1-8-inch-x-240-foot")</f>
        <v/>
      </c>
      <c r="B7679" s="2">
        <f>HYPERLINK("https://edmondsonsupply.com/products/klein-tools-56341-stainless-steel-fish-tape-1-8-inch-x-240-foot", "https://edmondsonsupply.com/products/klein-tools-56341-stainless-steel-fish-tape-1-8-inch-x-240-foot")</f>
        <v/>
      </c>
      <c r="C7679" t="inlineStr">
        <is>
          <t>Klein Tools 56341 Stainless Steel Fish Tape, 1/8-Inch x 240-Foot</t>
        </is>
      </c>
      <c r="D7679" t="inlineStr">
        <is>
          <t>Klein Tools 56002 Electrical Fish Tape, 65-Foot Long x 1/8-Inch Wide Steel for Heavy Duty Wire Pulls, Laser Etched for Conduit Measuring</t>
        </is>
      </c>
      <c r="E7679" s="2">
        <f>HYPERLINK("https://www.amazon.com/65-Foot-Measuring-Klein-Tools-56002/dp/B007KFRMY0/ref=sr_1_4?keywords=Klein+Tools+56341+Stainless+Steel+Fish+Tape%2C+1%2F8-Inch+x+240-Foot&amp;qid=1694735094&amp;sr=8-4", "https://www.amazon.com/65-Foot-Measuring-Klein-Tools-56002/dp/B007KFRMY0/ref=sr_1_4?keywords=Klein+Tools+56341+Stainless+Steel+Fish+Tape%2C+1%2F8-Inch+x+240-Foot&amp;qid=1694735094&amp;sr=8-4")</f>
        <v/>
      </c>
      <c r="F7679" t="inlineStr">
        <is>
          <t>B007KFRMY0</t>
        </is>
      </c>
      <c r="G7679">
        <f>_xlfn.IMAGE("https://edmondsonsupply.com/cdn/shop/products/56341.jpg?v=1666901345")</f>
        <v/>
      </c>
      <c r="H7679">
        <f>_xlfn.IMAGE("https://m.media-amazon.com/images/I/51JsZKupteL._AC_UL320_.jpg")</f>
        <v/>
      </c>
      <c r="K7679" t="inlineStr">
        <is>
          <t>114.99</t>
        </is>
      </c>
      <c r="L7679" t="n">
        <v>39.97</v>
      </c>
      <c r="M7679" s="1" t="inlineStr">
        <is>
          <t>-65.24%</t>
        </is>
      </c>
      <c r="N7679" s="7" t="n"/>
      <c r="O7679" t="n">
        <v>4.4</v>
      </c>
      <c r="P7679" t="n">
        <v>140</v>
      </c>
      <c r="R7679" t="inlineStr">
        <is>
          <t>InStock</t>
        </is>
      </c>
      <c r="S7679" t="inlineStr">
        <is>
          <t>168.08</t>
        </is>
      </c>
      <c r="T7679" t="inlineStr">
        <is>
          <t>7867914944728</t>
        </is>
      </c>
    </row>
    <row r="7680" hidden="1" ht="15.75" customHeight="1">
      <c r="A7680" s="2">
        <f>HYPERLINK("https://edmondsonsupply.com/collections/electricians-tools/products/klein-tools-63060-ratcheting-cable-cutter", "https://edmondsonsupply.com/collections/electricians-tools/products/klein-tools-63060-ratcheting-cable-cutter")</f>
        <v/>
      </c>
      <c r="B7680" s="2">
        <f>HYPERLINK("https://edmondsonsupply.com/products/klein-tools-63060-ratcheting-cable-cutter", "https://edmondsonsupply.com/products/klein-tools-63060-ratcheting-cable-cutter")</f>
        <v/>
      </c>
      <c r="C7680" t="inlineStr">
        <is>
          <t>Klein Tools 63060 Ratcheting Cable Cutter</t>
        </is>
      </c>
      <c r="D7680" t="inlineStr">
        <is>
          <t>Klein Tools 63365 Blade Set for Cable Cutter Pre-2017 Cat. No. 63060</t>
        </is>
      </c>
      <c r="E7680" s="2">
        <f>HYPERLINK("https://www.amazon.com/Klein-Tools-Blade-Cutter-Pre-2017/dp/B082PL82ZV/ref=sr_1_6?keywords=Klein+Tools+63060+Ratcheting+Cable+Cutter&amp;qid=1694735234&amp;sr=8-6", "https://www.amazon.com/Klein-Tools-Blade-Cutter-Pre-2017/dp/B082PL82ZV/ref=sr_1_6?keywords=Klein+Tools+63060+Ratcheting+Cable+Cutter&amp;qid=1694735234&amp;sr=8-6")</f>
        <v/>
      </c>
      <c r="F7680" t="inlineStr">
        <is>
          <t>B082PL82ZV</t>
        </is>
      </c>
      <c r="G7680">
        <f>_xludf.IMAGE("https://edmondsonsupply.com/cdn/shop/products/63060.jpg?v=1633030887")</f>
        <v/>
      </c>
      <c r="H7680">
        <f>_xludf.IMAGE("https://m.media-amazon.com/images/I/51NS17r2mKL._AC_UL320_.jpg")</f>
        <v/>
      </c>
      <c r="K7680" t="inlineStr">
        <is>
          <t>199.99</t>
        </is>
      </c>
      <c r="L7680" t="n">
        <v>69.44</v>
      </c>
      <c r="M7680" s="1" t="inlineStr">
        <is>
          <t>-65.28%</t>
        </is>
      </c>
      <c r="N7680" s="1" t="n"/>
      <c r="O7680" t="n">
        <v>3</v>
      </c>
      <c r="P7680" t="n">
        <v>1</v>
      </c>
      <c r="R7680" t="inlineStr">
        <is>
          <t>InStock</t>
        </is>
      </c>
      <c r="S7680" t="inlineStr">
        <is>
          <t>349.32</t>
        </is>
      </c>
      <c r="T7680" t="inlineStr">
        <is>
          <t>6220423594157</t>
        </is>
      </c>
    </row>
    <row r="7681" hidden="1" ht="15.75" customHeight="1">
      <c r="A7681" s="2">
        <f>HYPERLINK("https://edmondsonsupply.com/collections/electricians-tools/products/diablo-tools-dou125jbw3-1-1-4-in-universal-fit-bi-metal-oscillating-blades-for-clean-wood", "https://edmondsonsupply.com/collections/electricians-tools/products/diablo-tools-dou125jbw3-1-1-4-in-universal-fit-bi-metal-oscillating-blades-for-clean-wood")</f>
        <v/>
      </c>
      <c r="B7681" s="2">
        <f>HYPERLINK("https://edmondsonsupply.com/products/diablo-tools-dou125jbw3-1-1-4-in-universal-fit-bi-metal-oscillating-blades-for-clean-wood", "https://edmondsonsupply.com/products/diablo-tools-dou125jbw3-1-1-4-in-universal-fit-bi-metal-oscillating-blades-for-clean-wood")</f>
        <v/>
      </c>
      <c r="C7681" t="inlineStr">
        <is>
          <t>Diablo Tools DOU125JBW3 1-1/4 in. Universal Fit Bi-Metal Oscillating Blades for Clean Wood</t>
        </is>
      </c>
      <c r="D7681" t="inlineStr">
        <is>
          <t>Diablo DOU125BW 1-1/4 in. Universal Fit Bi-Metal Oscillating Blade for Nail-Embedded Wood</t>
        </is>
      </c>
      <c r="E7681" s="2">
        <f>HYPERLINK("https://www.amazon.com/Diablo-Universal-Bi-Metal-Oscillating-Nail-Embedded/dp/B089LDN2LT/ref=sr_1_3?keywords=Diablo+Tools+DOU125JBW3+1-1%2F4+in.+Universal+Fit+Bi-Metal+Oscillating+Blades+for+Clean+Wood&amp;qid=1694735211&amp;sr=8-3", "https://www.amazon.com/Diablo-Universal-Bi-Metal-Oscillating-Nail-Embedded/dp/B089LDN2LT/ref=sr_1_3?keywords=Diablo+Tools+DOU125JBW3+1-1%2F4+in.+Universal+Fit+Bi-Metal+Oscillating+Blades+for+Clean+Wood&amp;qid=1694735211&amp;sr=8-3")</f>
        <v/>
      </c>
      <c r="F7681" t="inlineStr">
        <is>
          <t>B089LDN2LT</t>
        </is>
      </c>
      <c r="G7681">
        <f>_xludf.IMAGE("https://edmondsonsupply.com/cdn/shop/products/DOU125JBW3_Main-Image.png?v=1633031095")</f>
        <v/>
      </c>
      <c r="H7681">
        <f>_xludf.IMAGE("https://m.media-amazon.com/images/I/613ig7mNjfL._AC_UL320_.jpg")</f>
        <v/>
      </c>
      <c r="K7681" t="inlineStr">
        <is>
          <t>34.97</t>
        </is>
      </c>
      <c r="L7681" t="n">
        <v>12.14</v>
      </c>
      <c r="M7681" s="1" t="inlineStr">
        <is>
          <t>-65.28%</t>
        </is>
      </c>
      <c r="N7681" s="1" t="n"/>
      <c r="O7681" t="n">
        <v>4.8</v>
      </c>
      <c r="P7681" t="n">
        <v>12</v>
      </c>
      <c r="R7681" t="inlineStr">
        <is>
          <t>InStock</t>
        </is>
      </c>
      <c r="S7681" t="inlineStr">
        <is>
          <t>43.53</t>
        </is>
      </c>
      <c r="T7681" t="inlineStr">
        <is>
          <t>6839865278637</t>
        </is>
      </c>
    </row>
    <row r="7682" hidden="1" ht="15.75" customHeight="1">
      <c r="A7682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682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682" t="inlineStr">
        <is>
          <t>Diablo Tools DOU125BF3 1-1/4 in. Universal Fit Bi-Metal Oscillating Blade for Metal (3 pack)</t>
        </is>
      </c>
      <c r="D7682" t="inlineStr">
        <is>
          <t>Diablo DOU125BW 1-1/4 in. Universal Fit Bi-Metal Oscillating Blade for Nail-Embedded Wood</t>
        </is>
      </c>
      <c r="E7682" s="2">
        <f>HYPERLINK("https://www.amazon.com/Diablo-Universal-Bi-Metal-Oscillating-Nail-Embedded/dp/B089LDN2LT/ref=sr_1_7?keywords=Diablo+Tools+DOU125BF3+1-1%2F4+in.+Universal+Fit+Bi-Metal+Oscillating+Blade+for+Metal+%283+pack%29&amp;qid=1694734993&amp;sr=8-7", "https://www.amazon.com/Diablo-Universal-Bi-Metal-Oscillating-Nail-Embedded/dp/B089LDN2LT/ref=sr_1_7?keywords=Diablo+Tools+DOU125BF3+1-1%2F4+in.+Universal+Fit+Bi-Metal+Oscillating+Blade+for+Metal+%283+pack%29&amp;qid=1694734993&amp;sr=8-7")</f>
        <v/>
      </c>
      <c r="F7682" t="inlineStr">
        <is>
          <t>B089LDN2LT</t>
        </is>
      </c>
      <c r="G7682">
        <f>_xludf.IMAGE("https://edmondsonsupply.com/cdn/shop/files/k1d1qiwmm4npznsdbwtg_4dc7bdf3-43a4-4863-8a1d-f71b60bc7c6d.webp?v=1685468179")</f>
        <v/>
      </c>
      <c r="H7682">
        <f>_xludf.IMAGE("https://m.media-amazon.com/images/I/613ig7mNjfL._AC_UL320_.jpg")</f>
        <v/>
      </c>
      <c r="K7682" t="inlineStr">
        <is>
          <t>34.97</t>
        </is>
      </c>
      <c r="L7682" t="n">
        <v>12.14</v>
      </c>
      <c r="M7682" s="1" t="inlineStr">
        <is>
          <t>-65.28%</t>
        </is>
      </c>
      <c r="N7682" s="1" t="n"/>
      <c r="O7682" t="n">
        <v>4.8</v>
      </c>
      <c r="P7682" t="n">
        <v>12</v>
      </c>
      <c r="R7682" t="inlineStr">
        <is>
          <t>InStock</t>
        </is>
      </c>
      <c r="S7682" t="inlineStr">
        <is>
          <t>43.53</t>
        </is>
      </c>
      <c r="T7682" t="inlineStr">
        <is>
          <t>7997880729816</t>
        </is>
      </c>
    </row>
    <row r="7683" hidden="1" ht="15.75" customHeight="1">
      <c r="A7683" s="2">
        <f>HYPERLINK("https://edmondsonsupply.com/collections/electricians-tools/products/diablo-tools-dos125bw3-1-1-4-in-starlock-bi-metal-oscillating-blades-for-nail-embedded-wood", "https://edmondsonsupply.com/collections/electricians-tools/products/diablo-tools-dos125bw3-1-1-4-in-starlock-bi-metal-oscillating-blades-for-nail-embedded-wood")</f>
        <v/>
      </c>
      <c r="B7683" s="2">
        <f>HYPERLINK("https://edmondsonsupply.com/products/diablo-tools-dos125bw3-1-1-4-in-starlock-bi-metal-oscillating-blades-for-nail-embedded-wood", "https://edmondsonsupply.com/products/diablo-tools-dos125bw3-1-1-4-in-starlock-bi-metal-oscillating-blades-for-nail-embedded-wood")</f>
        <v/>
      </c>
      <c r="C7683" t="inlineStr">
        <is>
          <t>Diablo Tools DOS125BW3 1-1/4 in. Starlock Bi-Metal Oscillating Blades for Nail-Embedded Wood</t>
        </is>
      </c>
      <c r="D7683" t="inlineStr">
        <is>
          <t>Diablo DOU125BW 1-1/4 in. Universal Fit Bi-Metal Oscillating Blade for Nail-Embedded Wood</t>
        </is>
      </c>
      <c r="E7683" s="2">
        <f>HYPERLINK("https://www.amazon.com/Diablo-Universal-Bi-Metal-Oscillating-Nail-Embedded/dp/B089LDN2LT/ref=sr_1_2?keywords=Diablo+Tools+DOS125BW3+1-1%2F4+in.+Starlock+Bi-Metal+Oscillating+Blades+for+Nail-Embedded+Wood&amp;qid=1694735197&amp;sr=8-2", "https://www.amazon.com/Diablo-Universal-Bi-Metal-Oscillating-Nail-Embedded/dp/B089LDN2LT/ref=sr_1_2?keywords=Diablo+Tools+DOS125BW3+1-1%2F4+in.+Starlock+Bi-Metal+Oscillating+Blades+for+Nail-Embedded+Wood&amp;qid=1694735197&amp;sr=8-2")</f>
        <v/>
      </c>
      <c r="F7683" t="inlineStr">
        <is>
          <t>B089LDN2LT</t>
        </is>
      </c>
      <c r="G7683">
        <f>_xludf.IMAGE("https://edmondsonsupply.com/cdn/shop/products/DOS125BW3_Main-Image.png?v=1633031100")</f>
        <v/>
      </c>
      <c r="H7683">
        <f>_xludf.IMAGE("https://m.media-amazon.com/images/I/613ig7mNjfL._AC_UL320_.jpg")</f>
        <v/>
      </c>
      <c r="K7683" t="inlineStr">
        <is>
          <t>34.97</t>
        </is>
      </c>
      <c r="L7683" t="n">
        <v>12.14</v>
      </c>
      <c r="M7683" s="1" t="inlineStr">
        <is>
          <t>-65.28%</t>
        </is>
      </c>
      <c r="N7683" s="1" t="n"/>
      <c r="O7683" t="n">
        <v>4.8</v>
      </c>
      <c r="P7683" t="n">
        <v>12</v>
      </c>
      <c r="R7683" t="inlineStr">
        <is>
          <t>InStock</t>
        </is>
      </c>
      <c r="S7683" t="inlineStr">
        <is>
          <t>40.25</t>
        </is>
      </c>
      <c r="T7683" t="inlineStr">
        <is>
          <t>6846091853997</t>
        </is>
      </c>
    </row>
    <row r="7684" ht="87" customHeight="1">
      <c r="A7684" s="2">
        <f>HYPERLINK("https://edmondsonsupply.com/collections/electricians-tools/products/hilmor-1839075-lhsm7pc-6-magnetic-tip-nut-driver-7-piece-set", "https://edmondsonsupply.com/collections/electricians-tools/products/hilmor-1839075-lhsm7pc-6-magnetic-tip-nut-driver-7-piece-set")</f>
        <v/>
      </c>
      <c r="B7684" s="2">
        <f>HYPERLINK("https://edmondsonsupply.com/products/hilmor-1839075-lhsm7pc-6-magnetic-tip-nut-driver-7-piece-set", "https://edmondsonsupply.com/products/hilmor-1839075-lhsm7pc-6-magnetic-tip-nut-driver-7-piece-set")</f>
        <v/>
      </c>
      <c r="C7684" t="inlineStr">
        <is>
          <t>Hilmor 1839075 LHSM7PC 6" Shaft Magnetic Nut-Drivers, 7-Piece Set</t>
        </is>
      </c>
      <c r="D7684" t="inlineStr">
        <is>
          <t>Hilmor 6" Shaft Magnetic Nut Driver 2 Piece Set, 1/4" &amp; 5/16", 1839074</t>
        </is>
      </c>
      <c r="E7684" s="2">
        <f>HYPERLINK("https://www.amazon.com/hilmor-1839074-Shaft-Magnetic-Driver/dp/B00KUUSMWI/ref=sr_1_4?keywords=Hilmor+1839075+LHSM7PC+6%22+Shaft+Magnetic+Nut-Drivers%2C+7-Piece+Set&amp;qid=1694735326&amp;sr=8-4", "https://www.amazon.com/hilmor-1839074-Shaft-Magnetic-Driver/dp/B00KUUSMWI/ref=sr_1_4?keywords=Hilmor+1839075+LHSM7PC+6%22+Shaft+Magnetic+Nut-Drivers%2C+7-Piece+Set&amp;qid=1694735326&amp;sr=8-4")</f>
        <v/>
      </c>
      <c r="F7684" t="inlineStr">
        <is>
          <t>B00KUUSMWI</t>
        </is>
      </c>
      <c r="G7684">
        <f>_xlfn.IMAGE("https://edmondsonsupply.com/cdn/shop/products/HIL_1839075_aa9ed3f7-8d07-42b9-ad60-559a99ed8e20.jpg?v=1587144133")</f>
        <v/>
      </c>
      <c r="H7684">
        <f>_xlfn.IMAGE("https://m.media-amazon.com/images/I/611FxnfrSJL._AC_UL320_.jpg")</f>
        <v/>
      </c>
      <c r="K7684" t="inlineStr">
        <is>
          <t>71.99</t>
        </is>
      </c>
      <c r="L7684" t="n">
        <v>24.99</v>
      </c>
      <c r="M7684" s="1" t="inlineStr">
        <is>
          <t>-65.29%</t>
        </is>
      </c>
      <c r="N7684" s="7" t="n"/>
      <c r="O7684" t="n">
        <v>4.1</v>
      </c>
      <c r="P7684" t="n">
        <v>52</v>
      </c>
      <c r="R7684" t="inlineStr">
        <is>
          <t>InStock</t>
        </is>
      </c>
      <c r="S7684" t="inlineStr">
        <is>
          <t>undefined</t>
        </is>
      </c>
      <c r="T7684" t="inlineStr">
        <is>
          <t>2109815980132</t>
        </is>
      </c>
    </row>
    <row r="7685" hidden="1" ht="15.75" customHeight="1">
      <c r="A7685" s="2">
        <f>HYPERLINK("https://edmondsonsupply.com/collections/electricians-tools/products/diablo-tools-dmamx1220", "https://edmondsonsupply.com/collections/electricians-tools/products/diablo-tools-dmamx1220")</f>
        <v/>
      </c>
      <c r="B7685" s="2">
        <f>HYPERLINK("https://edmondsonsupply.com/products/diablo-tools-dmamx1220", "https://edmondsonsupply.com/products/diablo-tools-dmamx1220")</f>
        <v/>
      </c>
      <c r="C7685" t="inlineStr">
        <is>
          <t>Diablo Tools DMAMX1220 1 in. x 16 in. x 21 in. Rebar Demon™ SDS-Max 4-Cutter Full Carbide Head Hammer Drill Bit</t>
        </is>
      </c>
      <c r="D7685" t="inlineStr">
        <is>
          <t>Diablo DMAPL4055 3/16 in. x 10 in. x 12 in. Rebar Demon™ SDS-Plus 4-Cutter Full Carbide Head Hammer Bit</t>
        </is>
      </c>
      <c r="E7685" s="2">
        <f>HYPERLINK("https://www.amazon.com/Diablo-DMAPL4055-SDS-Plus-4-Cutter-Carbide/dp/B089LJCD42/ref=sr_1_25?keywords=Diablo+Tools+DMAMX1220+1+in.+x+16+in.+x+21+in.+Rebar+Demon%E2%84%A2+SDS-Max+4-Cutter+Full+Carbide+Head+Hammer+Drill+Bit&amp;qid=1694735075&amp;sr=8-25", "https://www.amazon.com/Diablo-DMAPL4055-SDS-Plus-4-Cutter-Carbide/dp/B089LJCD42/ref=sr_1_25?keywords=Diablo+Tools+DMAMX1220+1+in.+x+16+in.+x+21+in.+Rebar+Demon%E2%84%A2+SDS-Max+4-Cutter+Full+Carbide+Head+Hammer+Drill+Bit&amp;qid=1694735075&amp;sr=8-25")</f>
        <v/>
      </c>
      <c r="F7685" t="inlineStr">
        <is>
          <t>B089LJCD42</t>
        </is>
      </c>
      <c r="G7685">
        <f>_xludf.IMAGE("https://edmondsonsupply.com/cdn/shop/products/immoyh7jjmbau4fzhuq6.webp?v=1670431066")</f>
        <v/>
      </c>
      <c r="H7685">
        <f>_xludf.IMAGE("https://m.media-amazon.com/images/I/61cDOAhkb4L._AC_UL320_.jpg")</f>
        <v/>
      </c>
      <c r="K7685" t="inlineStr">
        <is>
          <t>45.69</t>
        </is>
      </c>
      <c r="L7685" t="n">
        <v>15.76</v>
      </c>
      <c r="M7685" s="1" t="inlineStr">
        <is>
          <t>-65.51%</t>
        </is>
      </c>
      <c r="N7685" s="1" t="n"/>
      <c r="O7685" t="n">
        <v>2</v>
      </c>
      <c r="P7685" t="n">
        <v>1</v>
      </c>
      <c r="R7685" t="inlineStr">
        <is>
          <t>InStock</t>
        </is>
      </c>
      <c r="S7685" t="inlineStr">
        <is>
          <t>70.58</t>
        </is>
      </c>
      <c r="T7685" t="inlineStr">
        <is>
          <t>7900195356888</t>
        </is>
      </c>
    </row>
    <row r="7686" hidden="1" ht="15.75" customHeight="1">
      <c r="A7686" s="2">
        <f>HYPERLINK("https://edmondsonsupply.com/collections/electricians-tools/products/milwaukee-2745-20-m18-fuel-30-degree-framing-nailer-tool-only", "https://edmondsonsupply.com/collections/electricians-tools/products/milwaukee-2745-20-m18-fuel-30-degree-framing-nailer-tool-only")</f>
        <v/>
      </c>
      <c r="B7686" s="2">
        <f>HYPERLINK("https://edmondsonsupply.com/products/milwaukee-2745-20-m18-fuel-30-degree-framing-nailer-tool-only", "https://edmondsonsupply.com/products/milwaukee-2745-20-m18-fuel-30-degree-framing-nailer-tool-only")</f>
        <v/>
      </c>
      <c r="C7686" t="inlineStr">
        <is>
          <t>Milwaukee 2745-20 M18 FUEL 30 Degree Framing Nailer, Tool Only</t>
        </is>
      </c>
      <c r="D7686" t="inlineStr">
        <is>
          <t>Fortool 48-08-2745 30 Degree Framing Nailer Extended Capacity Magazine Fits For Milwaukee M18 Fuel 30 Degree Framing Nailer (2744-20), Black Magnesium Magazine Extension</t>
        </is>
      </c>
      <c r="E7686" s="2">
        <f>HYPERLINK("https://www.amazon.com/Fortool-48-08-2745-Milwaukee-Magnesium-Extension/dp/B09YP6L87F/ref=sr_1_2?keywords=Milwaukee+2745-20+M18+FUEL+30+Degree+Framing+Nailer%2C+Tool+Only&amp;qid=1694735231&amp;sr=8-2", "https://www.amazon.com/Fortool-48-08-2745-Milwaukee-Magnesium-Extension/dp/B09YP6L87F/ref=sr_1_2?keywords=Milwaukee+2745-20+M18+FUEL+30+Degree+Framing+Nailer%2C+Tool+Only&amp;qid=1694735231&amp;sr=8-2")</f>
        <v/>
      </c>
      <c r="F7686" t="inlineStr">
        <is>
          <t>B09YP6L87F</t>
        </is>
      </c>
      <c r="G7686">
        <f>_xludf.IMAGE("https://edmondsonsupply.com/cdn/shop/products/nail1.png?v=1633030878")</f>
        <v/>
      </c>
      <c r="H7686">
        <f>_xludf.IMAGE("https://m.media-amazon.com/images/I/71Gy7pjCzKL._AC_UL320_.jpg")</f>
        <v/>
      </c>
      <c r="K7686" t="inlineStr">
        <is>
          <t>379.0</t>
        </is>
      </c>
      <c r="L7686" t="n">
        <v>129.99</v>
      </c>
      <c r="M7686" s="1" t="inlineStr">
        <is>
          <t>-65.70%</t>
        </is>
      </c>
      <c r="N7686" s="1" t="n"/>
      <c r="O7686" t="n">
        <v>1</v>
      </c>
      <c r="P7686" t="n">
        <v>1</v>
      </c>
      <c r="R7686" t="inlineStr">
        <is>
          <t>InStock</t>
        </is>
      </c>
      <c r="S7686" t="inlineStr">
        <is>
          <t>667.0</t>
        </is>
      </c>
      <c r="T7686" t="inlineStr">
        <is>
          <t>6147150446765</t>
        </is>
      </c>
    </row>
    <row r="7687" ht="87" customHeight="1">
      <c r="A7687" s="2">
        <f>HYPERLINK("https://edmondsonsupply.com/collections/electricians-tools/products/hilmor-1839057-shsm2pc-magnetic-tip-stubby-nut-driver-set-1-4-5-16", "https://edmondsonsupply.com/collections/electricians-tools/products/hilmor-1839057-shsm2pc-magnetic-tip-stubby-nut-driver-set-1-4-5-16")</f>
        <v/>
      </c>
      <c r="B7687" s="2">
        <f>HYPERLINK("https://edmondsonsupply.com/products/hilmor-1839057-shsm2pc-magnetic-tip-stubby-nut-driver-set-1-4-5-16", "https://edmondsonsupply.com/products/hilmor-1839057-shsm2pc-magnetic-tip-stubby-nut-driver-set-1-4-5-16")</f>
        <v/>
      </c>
      <c r="C7687" t="inlineStr">
        <is>
          <t>Hilmor 1839057 1-1/2" Shaft Magnetic Stubby Nut-Driver Set - 1/4" &amp; 5/16"</t>
        </is>
      </c>
      <c r="D7687" t="inlineStr">
        <is>
          <t>NordWolf 5-Piece SAE Nut Driver Set, Impact Magnetic Nut Setters Made From S2 Steel, Imperial Sizes 1/4"-5/16"-3/8"-7/16"-1/2"</t>
        </is>
      </c>
      <c r="E7687" s="2">
        <f>HYPERLINK("https://www.amazon.com/NordWolf-5-Piece-Impact-Magnetic-Driver/dp/B09BKZHP82/ref=sr_1_11?keywords=Hilmor+1839057+1-1%2F2%22+Shaft+Magnetic+Stubby+Nut-Driver+Set+-+1%2F4%22+%26+5%2F16%22&amp;qid=1694735320&amp;sr=8-11", "https://www.amazon.com/NordWolf-5-Piece-Impact-Magnetic-Driver/dp/B09BKZHP82/ref=sr_1_11?keywords=Hilmor+1839057+1-1%2F2%22+Shaft+Magnetic+Stubby+Nut-Driver+Set+-+1%2F4%22+%26+5%2F16%22&amp;qid=1694735320&amp;sr=8-11")</f>
        <v/>
      </c>
      <c r="F7687" t="inlineStr">
        <is>
          <t>B09BKZHP82</t>
        </is>
      </c>
      <c r="G7687">
        <f>_xlfn.IMAGE("https://edmondsonsupply.com/cdn/shop/products/1839057-O1.jpg?v=1587151311")</f>
        <v/>
      </c>
      <c r="H7687">
        <f>_xlfn.IMAGE("https://m.media-amazon.com/images/I/81W9P3RPz3L._AC_UL320_.jpg")</f>
        <v/>
      </c>
      <c r="K7687" t="inlineStr">
        <is>
          <t>58.4</t>
        </is>
      </c>
      <c r="L7687" t="n">
        <v>19.99</v>
      </c>
      <c r="M7687" s="1" t="inlineStr">
        <is>
          <t>-65.77%</t>
        </is>
      </c>
      <c r="N7687" s="7" t="n"/>
      <c r="O7687" t="n">
        <v>4.6</v>
      </c>
      <c r="P7687" t="n">
        <v>58</v>
      </c>
      <c r="R7687" t="inlineStr">
        <is>
          <t>InStock</t>
        </is>
      </c>
      <c r="S7687" t="inlineStr">
        <is>
          <t>58.4</t>
        </is>
      </c>
      <c r="T7687" t="inlineStr">
        <is>
          <t>2099033768036</t>
        </is>
      </c>
    </row>
    <row r="7688" hidden="1" ht="15.75" customHeight="1">
      <c r="A7688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688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688" t="inlineStr">
        <is>
          <t>Klein Tools JTH6E17 1/2-Inch Hex Journeyman T-Handle 6-Inch</t>
        </is>
      </c>
      <c r="D7688" t="inlineStr">
        <is>
          <t>Klein Tools JTH9M25 2.5 mm Hex Key with Journeyman T-Handle, 9-Inch</t>
        </is>
      </c>
      <c r="E7688" s="2">
        <f>HYPERLINK("https://www.amazon.com/Journeyman-T-Handle-Klein-Tools-JTH9M25/dp/B005G3HIRY/ref=sr_1_10?keywords=Klein+Tools+JTH6E17+1%2F2-Inch+Hex+Journeyman+T-Handle+6-Inch&amp;qid=1694735359&amp;sr=8-10", "https://www.amazon.com/Journeyman-T-Handle-Klein-Tools-JTH9M25/dp/B005G3HIRY/ref=sr_1_10?keywords=Klein+Tools+JTH6E17+1%2F2-Inch+Hex+Journeyman+T-Handle+6-Inch&amp;qid=1694735359&amp;sr=8-10")</f>
        <v/>
      </c>
      <c r="F7688" t="inlineStr">
        <is>
          <t>B005G3HIRY</t>
        </is>
      </c>
      <c r="G7688">
        <f>_xludf.IMAGE("https://edmondsonsupply.com/cdn/shop/products/jth6e15_80623668-f320-404f-929d-7d7e04a8b5aa.jpg?v=1587146378")</f>
        <v/>
      </c>
      <c r="H7688">
        <f>_xludf.IMAGE("https://m.media-amazon.com/images/I/51+1x0vz9XL._AC_UL320_.jpg")</f>
        <v/>
      </c>
      <c r="K7688" t="inlineStr">
        <is>
          <t>19.99</t>
        </is>
      </c>
      <c r="L7688" t="n">
        <v>6.84</v>
      </c>
      <c r="M7688" s="1" t="inlineStr">
        <is>
          <t>-65.78%</t>
        </is>
      </c>
      <c r="N7688" s="1" t="n"/>
      <c r="O7688" t="n">
        <v>4.2</v>
      </c>
      <c r="P7688" t="n">
        <v>14</v>
      </c>
      <c r="R7688" t="inlineStr">
        <is>
          <t>InStock</t>
        </is>
      </c>
      <c r="S7688" t="inlineStr">
        <is>
          <t>30.28</t>
        </is>
      </c>
      <c r="T7688" t="inlineStr">
        <is>
          <t>4431817605220</t>
        </is>
      </c>
    </row>
    <row r="7689" hidden="1" ht="15.75" customHeight="1">
      <c r="A7689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689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689" t="inlineStr">
        <is>
          <t>Diablo Tools DMAPL9920-S7 7pc Rebar Demon™ SDS-Plus 4-Cutter Full Carbide Head Hammer Bit Set</t>
        </is>
      </c>
      <c r="D7689" t="inlineStr">
        <is>
          <t>Diablo DMAPL4120 5/16 in. x 10 in. x 12 in. Rebar Demon™ SDS-Plus 4-Cutter Full Carbide Head Hammer Bit</t>
        </is>
      </c>
      <c r="E7689" s="2">
        <f>HYPERLINK("https://www.amazon.com/Diablo-SDS-Plus-4-Cutter-Carbide-Hammer/dp/B089KTHL12/ref=sr_1_15?keywords=Diablo+Tools+DMAPL9920-S7+7pc+Rebar+Demon%E2%84%A2+SDS-Plus+4-Cutter+Full+Carbide+Head+Hammer+Bit+Set&amp;qid=1694735019&amp;sr=8-15", "https://www.amazon.com/Diablo-SDS-Plus-4-Cutter-Carbide-Hammer/dp/B089KTHL12/ref=sr_1_15?keywords=Diablo+Tools+DMAPL9920-S7+7pc+Rebar+Demon%E2%84%A2+SDS-Plus+4-Cutter+Full+Carbide+Head+Hammer+Bit+Set&amp;qid=1694735019&amp;sr=8-15")</f>
        <v/>
      </c>
      <c r="F7689" t="inlineStr">
        <is>
          <t>B089KTHL12</t>
        </is>
      </c>
      <c r="G7689">
        <f>_xludf.IMAGE("https://edmondsonsupply.com/cdn/shop/products/vgtm2xrrra4yfevsszgf.webp?v=1679328619")</f>
        <v/>
      </c>
      <c r="H7689">
        <f>_xludf.IMAGE("https://m.media-amazon.com/images/I/61P8b1v1TBL._AC_UL320_.jpg")</f>
        <v/>
      </c>
      <c r="K7689" t="inlineStr">
        <is>
          <t>37.97</t>
        </is>
      </c>
      <c r="L7689" t="n">
        <v>12.99</v>
      </c>
      <c r="M7689" s="1" t="inlineStr">
        <is>
          <t>-65.79%</t>
        </is>
      </c>
      <c r="N7689" s="1" t="n"/>
      <c r="O7689" t="n">
        <v>5</v>
      </c>
      <c r="P7689" t="n">
        <v>6</v>
      </c>
      <c r="R7689" t="inlineStr">
        <is>
          <t>InStock</t>
        </is>
      </c>
      <c r="S7689" t="inlineStr">
        <is>
          <t>55.56</t>
        </is>
      </c>
      <c r="T7689" t="inlineStr">
        <is>
          <t>7964936995032</t>
        </is>
      </c>
    </row>
    <row r="7690" ht="87" customHeight="1">
      <c r="A7690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690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690" t="inlineStr">
        <is>
          <t>Milwaukee 48-59-1812 M18™ &amp; M12™ Multi-Voltage Charger</t>
        </is>
      </c>
      <c r="D7690" t="inlineStr">
        <is>
          <t>Milwaukee 48-59-1812 M12 or M18 18V and 12V Multi Voltage Lithium Ion Battery Charger w/ Onboard Fuel Gauge</t>
        </is>
      </c>
      <c r="E7690" s="2">
        <f>HYPERLINK("https://www.amazon.com/Milwaukee-48-59-1812-Voltage-Lithium-Battery/dp/B007PDBHBG/ref=sr_1_1?keywords=Milwaukee+48-59-1812+M18%E2%84%A2+%26+M12%E2%84%A2+Multi-Voltage+Charger&amp;qid=1694735141&amp;sr=8-1", "https://www.amazon.com/Milwaukee-48-59-1812-Voltage-Lithium-Battery/dp/B007PDBHBG/ref=sr_1_1?keywords=Milwaukee+48-59-1812+M18%E2%84%A2+%26+M12%E2%84%A2+Multi-Voltage+Charger&amp;qid=1694735141&amp;sr=8-1")</f>
        <v/>
      </c>
      <c r="F7690" t="inlineStr">
        <is>
          <t>B007PDBHBG</t>
        </is>
      </c>
      <c r="G7690">
        <f>_xlfn.IMAGE("https://edmondsonsupply.com/cdn/shop/products/60113_48-59-1812_3-lg.webp?v=1656530513")</f>
        <v/>
      </c>
      <c r="H7690">
        <f>_xlfn.IMAGE("https://m.media-amazon.com/images/I/81NpBsEe5xL._AC_UL320_.jpg")</f>
        <v/>
      </c>
      <c r="K7690" t="inlineStr">
        <is>
          <t>79.0</t>
        </is>
      </c>
      <c r="L7690" t="n">
        <v>27</v>
      </c>
      <c r="M7690" s="1" t="inlineStr">
        <is>
          <t>-65.82%</t>
        </is>
      </c>
      <c r="N7690" s="7" t="n"/>
      <c r="O7690" t="n">
        <v>4.6</v>
      </c>
      <c r="P7690" t="n">
        <v>4803</v>
      </c>
      <c r="R7690" t="inlineStr">
        <is>
          <t>InStock</t>
        </is>
      </c>
      <c r="S7690" t="inlineStr">
        <is>
          <t>126.0</t>
        </is>
      </c>
      <c r="T7690" t="inlineStr">
        <is>
          <t>7733079343320</t>
        </is>
      </c>
    </row>
    <row r="7691" hidden="1" ht="15.75" customHeight="1">
      <c r="A7691" s="2">
        <f>HYPERLINK("https://edmondsonsupply.com/collections/electricians-tools/products/diablo-tools-dou125bf3-1-1-4-in-universal-fit-bi-metal-oscillating-blade-for-metal-3-packack", "https://edmondsonsupply.com/collections/electricians-tools/products/diablo-tools-dou125bf3-1-1-4-in-universal-fit-bi-metal-oscillating-blade-for-metal-3-packack")</f>
        <v/>
      </c>
      <c r="B7691" s="2">
        <f>HYPERLINK("https://edmondsonsupply.com/products/diablo-tools-dou125bf3-1-1-4-in-universal-fit-bi-metal-oscillating-blade-for-metal-3-packack", "https://edmondsonsupply.com/products/diablo-tools-dou125bf3-1-1-4-in-universal-fit-bi-metal-oscillating-blade-for-metal-3-packack")</f>
        <v/>
      </c>
      <c r="C7691" t="inlineStr">
        <is>
          <t>Diablo Tools DOU125BF3 1-1/4 in. Universal Fit Bi-Metal Oscillating Blade for Metal (3 pack)</t>
        </is>
      </c>
      <c r="D7691" t="inlineStr">
        <is>
          <t>Diablo - DOU125BF 1-1/4 in. Universal Fit Bi-Metal Oscillating Blade for Metal</t>
        </is>
      </c>
      <c r="E7691" s="2">
        <f>HYPERLINK("https://www.amazon.com/Diablo-Freud-DOU125BF-Universal-Oscillating/dp/B089KV143Y/ref=sr_1_3?keywords=Diablo+Tools+DOU125BF3+1-1%2F4+in.+Universal+Fit+Bi-Metal+Oscillating+Blade+for+Metal+%283+pack%29&amp;qid=1694734993&amp;sr=8-3", "https://www.amazon.com/Diablo-Freud-DOU125BF-Universal-Oscillating/dp/B089KV143Y/ref=sr_1_3?keywords=Diablo+Tools+DOU125BF3+1-1%2F4+in.+Universal+Fit+Bi-Metal+Oscillating+Blade+for+Metal+%283+pack%29&amp;qid=1694734993&amp;sr=8-3")</f>
        <v/>
      </c>
      <c r="F7691" t="inlineStr">
        <is>
          <t>B089KV143Y</t>
        </is>
      </c>
      <c r="G7691">
        <f>_xludf.IMAGE("https://edmondsonsupply.com/cdn/shop/files/k1d1qiwmm4npznsdbwtg_4dc7bdf3-43a4-4863-8a1d-f71b60bc7c6d.webp?v=1685468179")</f>
        <v/>
      </c>
      <c r="H7691">
        <f>_xludf.IMAGE("https://m.media-amazon.com/images/I/61mZfXlj-XL._AC_UL320_.jpg")</f>
        <v/>
      </c>
      <c r="K7691" t="inlineStr">
        <is>
          <t>34.97</t>
        </is>
      </c>
      <c r="L7691" t="n">
        <v>11.95</v>
      </c>
      <c r="M7691" s="1" t="inlineStr">
        <is>
          <t>-65.83%</t>
        </is>
      </c>
      <c r="N7691" s="1" t="n"/>
      <c r="O7691" t="n">
        <v>3.7</v>
      </c>
      <c r="P7691" t="n">
        <v>8</v>
      </c>
      <c r="R7691" t="inlineStr">
        <is>
          <t>InStock</t>
        </is>
      </c>
      <c r="S7691" t="inlineStr">
        <is>
          <t>43.53</t>
        </is>
      </c>
      <c r="T7691" t="inlineStr">
        <is>
          <t>7997880729816</t>
        </is>
      </c>
    </row>
    <row r="7692" ht="87" customHeight="1">
      <c r="A7692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692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692" t="inlineStr">
        <is>
          <t>Milwaukee 48-59-1812 M18™ &amp; M12™ Multi-Voltage Charger</t>
        </is>
      </c>
      <c r="D7692" t="inlineStr">
        <is>
          <t>UGLOEY M18 &amp; M12 Multi-Voltage Battery Charger 48-59-1812 Compatible with Milwaukee M12 M14 M18 Lithium Battery 12V-18V 48-11-2412 48-11-2401 48-11-2440 48-11-1862 48-11-1850 48-11-1840 48-11-1815</t>
        </is>
      </c>
      <c r="E7692" s="2">
        <f>HYPERLINK("https://www.amazon.com/UGLOEY-Multi-Voltage-48-59-1812-Compatible-48-11-2412/dp/B09955CSCX/ref=sr_1_11?keywords=Milwaukee+48-59-1812+M18%E2%84%A2+%26+M12%E2%84%A2+Multi-Voltage+Charger&amp;qid=1694735141&amp;sr=8-11", "https://www.amazon.com/UGLOEY-Multi-Voltage-48-59-1812-Compatible-48-11-2412/dp/B09955CSCX/ref=sr_1_11?keywords=Milwaukee+48-59-1812+M18%E2%84%A2+%26+M12%E2%84%A2+Multi-Voltage+Charger&amp;qid=1694735141&amp;sr=8-11")</f>
        <v/>
      </c>
      <c r="F7692" t="inlineStr">
        <is>
          <t>B09955CSCX</t>
        </is>
      </c>
      <c r="G7692">
        <f>_xlfn.IMAGE("https://edmondsonsupply.com/cdn/shop/products/60113_48-59-1812_3-lg.webp?v=1656530513")</f>
        <v/>
      </c>
      <c r="H7692">
        <f>_xlfn.IMAGE("https://m.media-amazon.com/images/I/71eWJ3B+BRL._AC_UL320_.jpg")</f>
        <v/>
      </c>
      <c r="K7692" t="inlineStr">
        <is>
          <t>79.0</t>
        </is>
      </c>
      <c r="L7692" t="n">
        <v>26.99</v>
      </c>
      <c r="M7692" s="1" t="inlineStr">
        <is>
          <t>-65.84%</t>
        </is>
      </c>
      <c r="N7692" s="7" t="n"/>
      <c r="O7692" t="n">
        <v>4.6</v>
      </c>
      <c r="P7692" t="n">
        <v>60</v>
      </c>
      <c r="R7692" t="inlineStr">
        <is>
          <t>InStock</t>
        </is>
      </c>
      <c r="S7692" t="inlineStr">
        <is>
          <t>126.0</t>
        </is>
      </c>
      <c r="T7692" t="inlineStr">
        <is>
          <t>7733079343320</t>
        </is>
      </c>
    </row>
    <row r="7693" ht="87" customHeight="1">
      <c r="A7693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693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693" t="inlineStr">
        <is>
          <t>Milwaukee 48-59-1812 M18™ &amp; M12™ Multi-Voltage Charger</t>
        </is>
      </c>
      <c r="D7693" t="inlineStr">
        <is>
          <t>M12 &amp; M18 Multi Voltage Lithium Ion Battery Charger for Milwaukee 48-59-1812 18V&amp;12V Fuel Gauge XC Battery</t>
        </is>
      </c>
      <c r="E7693" s="2">
        <f>HYPERLINK("https://www.amazon.com/Voltage-Lithium-Battery-Milwaukee-48-59-1812/dp/B07FMY32P1/ref=sr_1_2?keywords=Milwaukee+48-59-1812+M18%E2%84%A2+%26+M12%E2%84%A2+Multi-Voltage+Charger&amp;qid=1694735141&amp;sr=8-2", "https://www.amazon.com/Voltage-Lithium-Battery-Milwaukee-48-59-1812/dp/B07FMY32P1/ref=sr_1_2?keywords=Milwaukee+48-59-1812+M18%E2%84%A2+%26+M12%E2%84%A2+Multi-Voltage+Charger&amp;qid=1694735141&amp;sr=8-2")</f>
        <v/>
      </c>
      <c r="F7693" t="inlineStr">
        <is>
          <t>B07FMY32P1</t>
        </is>
      </c>
      <c r="G7693">
        <f>_xlfn.IMAGE("https://edmondsonsupply.com/cdn/shop/products/60113_48-59-1812_3-lg.webp?v=1656530513")</f>
        <v/>
      </c>
      <c r="H7693">
        <f>_xlfn.IMAGE("https://m.media-amazon.com/images/I/71SCF7elt5L._AC_UL320_.jpg")</f>
        <v/>
      </c>
      <c r="K7693" t="inlineStr">
        <is>
          <t>79.0</t>
        </is>
      </c>
      <c r="L7693" t="n">
        <v>26.98</v>
      </c>
      <c r="M7693" s="1" t="inlineStr">
        <is>
          <t>-65.85%</t>
        </is>
      </c>
      <c r="N7693" s="7" t="n"/>
      <c r="O7693" t="n">
        <v>4.6</v>
      </c>
      <c r="P7693" t="n">
        <v>1790</v>
      </c>
      <c r="R7693" t="inlineStr">
        <is>
          <t>InStock</t>
        </is>
      </c>
      <c r="S7693" t="inlineStr">
        <is>
          <t>126.0</t>
        </is>
      </c>
      <c r="T7693" t="inlineStr">
        <is>
          <t>7733079343320</t>
        </is>
      </c>
    </row>
    <row r="7694" hidden="1" ht="15.75" customHeight="1">
      <c r="A7694" s="2">
        <f>HYPERLINK("https://edmondsonsupply.com/collections/electricians-tools/products/diablo-tools-dos125bw3-1-1-4-in-starlock-bi-metal-oscillating-blades-for-nail-embedded-wood", "https://edmondsonsupply.com/collections/electricians-tools/products/diablo-tools-dos125bw3-1-1-4-in-starlock-bi-metal-oscillating-blades-for-nail-embedded-wood")</f>
        <v/>
      </c>
      <c r="B7694" s="2">
        <f>HYPERLINK("https://edmondsonsupply.com/products/diablo-tools-dos125bw3-1-1-4-in-starlock-bi-metal-oscillating-blades-for-nail-embedded-wood", "https://edmondsonsupply.com/products/diablo-tools-dos125bw3-1-1-4-in-starlock-bi-metal-oscillating-blades-for-nail-embedded-wood")</f>
        <v/>
      </c>
      <c r="C7694" t="inlineStr">
        <is>
          <t>Diablo Tools DOS125BW3 1-1/4 in. Starlock Bi-Metal Oscillating Blades for Nail-Embedded Wood</t>
        </is>
      </c>
      <c r="D7694" t="inlineStr">
        <is>
          <t>BOSCH OSL114C-2 2-Pack 1-1/4 In. Starlock Oscillating Multi Tool Metal &amp; More Carbide Plunge Cut Blades for Cutting Iron Bar, Metal, Wood with Nails, Drywall and Tile</t>
        </is>
      </c>
      <c r="E7694" s="2">
        <f>HYPERLINK("https://www.amazon.com/Bosch-OSL114C-2-Starlock-Oscillating-Carbide/dp/B01DDA7QZA/ref=sr_1_8?keywords=Diablo+Tools+DOS125BW3+1-1%2F4+in.+Starlock+Bi-Metal+Oscillating+Blades+for+Nail-Embedded+Wood&amp;qid=1694735197&amp;sr=8-8", "https://www.amazon.com/Bosch-OSL114C-2-Starlock-Oscillating-Carbide/dp/B01DDA7QZA/ref=sr_1_8?keywords=Diablo+Tools+DOS125BW3+1-1%2F4+in.+Starlock+Bi-Metal+Oscillating+Blades+for+Nail-Embedded+Wood&amp;qid=1694735197&amp;sr=8-8")</f>
        <v/>
      </c>
      <c r="F7694" t="inlineStr">
        <is>
          <t>B01DDA7QZA</t>
        </is>
      </c>
      <c r="G7694">
        <f>_xludf.IMAGE("https://edmondsonsupply.com/cdn/shop/products/DOS125BW3_Main-Image.png?v=1633031100")</f>
        <v/>
      </c>
      <c r="H7694">
        <f>_xludf.IMAGE("https://m.media-amazon.com/images/I/61p6lFst-PL._AC_UL320_.jpg")</f>
        <v/>
      </c>
      <c r="K7694" t="inlineStr">
        <is>
          <t>34.97</t>
        </is>
      </c>
      <c r="L7694" t="n">
        <v>11.91</v>
      </c>
      <c r="M7694" s="1" t="inlineStr">
        <is>
          <t>-65.94%</t>
        </is>
      </c>
      <c r="N7694" s="1" t="n"/>
      <c r="O7694" t="n">
        <v>4.7</v>
      </c>
      <c r="P7694" t="n">
        <v>1397</v>
      </c>
      <c r="R7694" t="inlineStr">
        <is>
          <t>InStock</t>
        </is>
      </c>
      <c r="S7694" t="inlineStr">
        <is>
          <t>40.25</t>
        </is>
      </c>
      <c r="T7694" t="inlineStr">
        <is>
          <t>6846091853997</t>
        </is>
      </c>
    </row>
    <row r="7695" ht="87" customHeight="1">
      <c r="A7695" s="2">
        <f>HYPERLINK("https://edmondsonsupply.com/collections/electricians-tools/products/klein-tools-50031-ratcheting-pvc-cutter", "https://edmondsonsupply.com/collections/electricians-tools/products/klein-tools-50031-ratcheting-pvc-cutter")</f>
        <v/>
      </c>
      <c r="B7695" s="2">
        <f>HYPERLINK("https://edmondsonsupply.com/products/klein-tools-50031-ratcheting-pvc-cutter", "https://edmondsonsupply.com/products/klein-tools-50031-ratcheting-pvc-cutter")</f>
        <v/>
      </c>
      <c r="C7695" t="inlineStr">
        <is>
          <t>Klein Tools 50031 Ratcheting PVC Cutter</t>
        </is>
      </c>
      <c r="D7695" t="inlineStr">
        <is>
          <t>Klein Tools 50032 Blade for Ratcheting PVC Cutter</t>
        </is>
      </c>
      <c r="E7695" s="2">
        <f>HYPERLINK("https://www.amazon.com/Blade-Ratcheting-Cutter-Klein-Tools/dp/B017LLP0TQ/ref=sr_1_2?keywords=Klein+Tools+50031+Ratcheting+PVC+Cutter&amp;qid=1694735177&amp;sr=8-2", "https://www.amazon.com/Blade-Ratcheting-Cutter-Klein-Tools/dp/B017LLP0TQ/ref=sr_1_2?keywords=Klein+Tools+50031+Ratcheting+PVC+Cutter&amp;qid=1694735177&amp;sr=8-2")</f>
        <v/>
      </c>
      <c r="F7695" t="inlineStr">
        <is>
          <t>B017LLP0TQ</t>
        </is>
      </c>
      <c r="G7695">
        <f>_xlfn.IMAGE("https://edmondsonsupply.com/cdn/shop/products/50031.jpg?v=1587145344")</f>
        <v/>
      </c>
      <c r="H7695">
        <f>_xlfn.IMAGE("https://m.media-amazon.com/images/I/51ZttBqQATL._AC_UL320_.jpg")</f>
        <v/>
      </c>
      <c r="K7695" t="inlineStr">
        <is>
          <t>94.99</t>
        </is>
      </c>
      <c r="L7695" t="n">
        <v>32.3</v>
      </c>
      <c r="M7695" s="1" t="inlineStr">
        <is>
          <t>-66.00%</t>
        </is>
      </c>
      <c r="N7695" s="7" t="n"/>
      <c r="O7695" t="n">
        <v>4.5</v>
      </c>
      <c r="P7695" t="n">
        <v>10</v>
      </c>
      <c r="R7695" t="inlineStr">
        <is>
          <t>InStock</t>
        </is>
      </c>
      <c r="S7695" t="inlineStr">
        <is>
          <t>143.9</t>
        </is>
      </c>
      <c r="T7695" t="inlineStr">
        <is>
          <t>4385929920612</t>
        </is>
      </c>
    </row>
    <row r="7696" ht="87" customHeight="1">
      <c r="A7696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96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96" t="inlineStr">
        <is>
          <t>Klein Tools ET310 Digital Circuit Breaker Finder with GFCI Outlet Tester</t>
        </is>
      </c>
      <c r="D7696" t="inlineStr">
        <is>
          <t>RLSOCO Tools Case for Klein Tools ET310 AC Circuit Breaker Finder &amp; 80041 Outlet Repair Tool Kit &amp; RT250 for GFCI Receptacle Tester (Case Only)</t>
        </is>
      </c>
      <c r="E7696" s="2">
        <f>HYPERLINK("https://www.amazon.com/RLSOCO-Circuit-Breaker-Receptacle-Organizer/dp/B0BF91G9N7/ref=sr_1_39?keywords=Klein+Tools+ET310+Digital+Circuit+Breaker+Finder+with+GFCI+Outlet+Tester&amp;qid=1694734974&amp;sr=8-39", "https://www.amazon.com/RLSOCO-Circuit-Breaker-Receptacle-Organizer/dp/B0BF91G9N7/ref=sr_1_39?keywords=Klein+Tools+ET310+Digital+Circuit+Breaker+Finder+with+GFCI+Outlet+Tester&amp;qid=1694734974&amp;sr=8-39")</f>
        <v/>
      </c>
      <c r="F7696" t="inlineStr">
        <is>
          <t>B0BF91G9N7</t>
        </is>
      </c>
      <c r="G7696">
        <f>_xlfn.IMAGE("https://edmondsonsupply.com/cdn/shop/products/et310_c.jpg?v=1646963918")</f>
        <v/>
      </c>
      <c r="H7696">
        <f>_xlfn.IMAGE("https://m.media-amazon.com/images/I/81VtnXaPX8L._AC_UL320_.jpg")</f>
        <v/>
      </c>
      <c r="K7696" t="inlineStr">
        <is>
          <t>49.97</t>
        </is>
      </c>
      <c r="L7696" t="n">
        <v>16.99</v>
      </c>
      <c r="M7696" s="1" t="inlineStr">
        <is>
          <t>-66.00%</t>
        </is>
      </c>
      <c r="N7696" s="7" t="n"/>
      <c r="O7696" t="n">
        <v>4.5</v>
      </c>
      <c r="P7696" t="n">
        <v>12</v>
      </c>
      <c r="R7696" t="inlineStr">
        <is>
          <t>InStock</t>
        </is>
      </c>
      <c r="S7696" t="inlineStr">
        <is>
          <t>75.1</t>
        </is>
      </c>
      <c r="T7696" t="inlineStr">
        <is>
          <t>3389551280228</t>
        </is>
      </c>
    </row>
    <row r="7697" hidden="1" ht="15.75" customHeight="1">
      <c r="A7697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697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697" t="inlineStr">
        <is>
          <t>Klein Tools ET310 Digital Circuit Breaker Finder with GFCI Outlet Tester</t>
        </is>
      </c>
      <c r="D7697" t="inlineStr">
        <is>
          <t>Elonbo Carrying Case for Klein Tools ET310 AC Circuit Breaker Finder &amp; 80041 Outlet Repair Tool Kit &amp; RT250 for GFCI Receptacle Tester, Electrical Tools Storage Organizer Holder Bag, Black</t>
        </is>
      </c>
      <c r="E7697" s="2">
        <f>HYPERLINK("https://www.amazon.com/Elonbo-Carrying-Receptacle-Electrical-Organizer/dp/B0BWY7MCH5/ref=sr_1_22?keywords=Klein+Tools+ET310+Digital+Circuit+Breaker+Finder+with+GFCI+Outlet+Tester&amp;qid=1694734974&amp;sr=8-22", "https://www.amazon.com/Elonbo-Carrying-Receptacle-Electrical-Organizer/dp/B0BWY7MCH5/ref=sr_1_22?keywords=Klein+Tools+ET310+Digital+Circuit+Breaker+Finder+with+GFCI+Outlet+Tester&amp;qid=1694734974&amp;sr=8-22")</f>
        <v/>
      </c>
      <c r="F7697" t="inlineStr">
        <is>
          <t>B0BWY7MCH5</t>
        </is>
      </c>
      <c r="G7697">
        <f>_xludf.IMAGE("https://edmondsonsupply.com/cdn/shop/products/et310_c.jpg?v=1646963918")</f>
        <v/>
      </c>
      <c r="H7697">
        <f>_xludf.IMAGE("https://m.media-amazon.com/images/I/81fB+GfJe3L._AC_UL320_.jpg")</f>
        <v/>
      </c>
      <c r="K7697" t="inlineStr">
        <is>
          <t>49.97</t>
        </is>
      </c>
      <c r="L7697" t="n">
        <v>16.99</v>
      </c>
      <c r="M7697" s="1" t="inlineStr">
        <is>
          <t>-66.00%</t>
        </is>
      </c>
      <c r="N7697" s="1" t="n"/>
      <c r="O7697" t="n">
        <v>4</v>
      </c>
      <c r="P7697" t="n">
        <v>11</v>
      </c>
      <c r="R7697" t="inlineStr">
        <is>
          <t>InStock</t>
        </is>
      </c>
      <c r="S7697" t="inlineStr">
        <is>
          <t>75.1</t>
        </is>
      </c>
      <c r="T7697" t="inlineStr">
        <is>
          <t>3389551280228</t>
        </is>
      </c>
    </row>
    <row r="7698" ht="87" customHeight="1">
      <c r="A7698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698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698" t="inlineStr">
        <is>
          <t>Diablo Tools DMAPL4080-P25 1/4 in. x 6 in. x 8 in. Rebar Demon™ SDS-Plus 4-Cutter Full Carbide Head Hammer Bit (25 Pack)</t>
        </is>
      </c>
      <c r="D7698" t="inlineStr">
        <is>
          <t>Diablo by Freud DMAPL4300 1 in. x 8 in. x 10 in. Rebar Demon™ SDS-Plus 4-Cutter Full Carbide Head Hammer Bit</t>
        </is>
      </c>
      <c r="E7698" s="2" t="n"/>
      <c r="F7698" t="inlineStr">
        <is>
          <t>B089LL8JD8</t>
        </is>
      </c>
      <c r="G7698">
        <f>_xlfn.IMAGE("https://edmondsonsupply.com/cdn/shop/products/DMAPL4080-P25_Main-Image20200701.png?v=1633030623")</f>
        <v/>
      </c>
      <c r="H7698">
        <f>_xlfn.IMAGE("https://m.media-amazon.com/images/I/616UiJGsK1L._AC_UL320_.jpg")</f>
        <v/>
      </c>
      <c r="K7698" t="inlineStr">
        <is>
          <t>99.97</t>
        </is>
      </c>
      <c r="L7698" t="n">
        <v>33.99</v>
      </c>
      <c r="M7698" s="1" t="inlineStr">
        <is>
          <t>-66.00%</t>
        </is>
      </c>
      <c r="N7698" s="7" t="n"/>
      <c r="O7698" t="n">
        <v>4.5</v>
      </c>
      <c r="P7698" t="n">
        <v>16</v>
      </c>
      <c r="R7698" t="inlineStr">
        <is>
          <t>InStock</t>
        </is>
      </c>
      <c r="S7698" t="inlineStr">
        <is>
          <t>144.22</t>
        </is>
      </c>
      <c r="T7698" t="inlineStr">
        <is>
          <t>5660158918824</t>
        </is>
      </c>
    </row>
    <row r="7699" ht="87" customHeight="1">
      <c r="A7699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699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699" t="inlineStr">
        <is>
          <t>Diablo Tools DMAPL4310 1 in. x 16 in. x 18 in. Rebar Demon™ SDS-Plus 4-Cutter Full Carbide Head Hammer Drill Bit</t>
        </is>
      </c>
      <c r="D7699" t="inlineStr">
        <is>
          <t>Diablo 1/4"x 16"x18" Rebar Demon™ SDS-Plus 4-Cutter Full Carbide Head Hammer Bit</t>
        </is>
      </c>
      <c r="E7699" s="2">
        <f>HYPERLINK("https://www.amazon.com/Diablo-DMAPL4100-SDS-Plus-4-Cutter-Carbide/dp/B089LG82VT/ref=sr_1_27?keywords=Diablo+Tools+DMAPL4310+1+in.+x+16+in.+x+18+in.+Rebar+Demon%E2%84%A2+SDS-Plus+4-Cutter+Full+Carbide+Head+Hammer+Drill+Bit&amp;qid=1694735204&amp;sr=8-27", "https://www.amazon.com/Diablo-DMAPL4100-SDS-Plus-4-Cutter-Carbide/dp/B089LG82VT/ref=sr_1_27?keywords=Diablo+Tools+DMAPL4310+1+in.+x+16+in.+x+18+in.+Rebar+Demon%E2%84%A2+SDS-Plus+4-Cutter+Full+Carbide+Head+Hammer+Drill+Bit&amp;qid=1694735204&amp;sr=8-27")</f>
        <v/>
      </c>
      <c r="F7699" t="inlineStr">
        <is>
          <t>B089LG82VT</t>
        </is>
      </c>
      <c r="G7699">
        <f>_xlfn.IMAGE("https://edmondsonsupply.com/cdn/shop/products/DMAPL4310_Main-Image20200701.png?v=1633031094")</f>
        <v/>
      </c>
      <c r="H7699">
        <f>_xlfn.IMAGE("https://m.media-amazon.com/images/I/61feUT5pRgL._AC_UL320_.jpg")</f>
        <v/>
      </c>
      <c r="K7699" t="inlineStr">
        <is>
          <t>49.97</t>
        </is>
      </c>
      <c r="L7699" t="n">
        <v>16.85</v>
      </c>
      <c r="M7699" s="1" t="inlineStr">
        <is>
          <t>-66.28%</t>
        </is>
      </c>
      <c r="N7699" s="7" t="n"/>
      <c r="O7699" t="n">
        <v>4.9</v>
      </c>
      <c r="P7699" t="n">
        <v>46</v>
      </c>
      <c r="R7699" t="inlineStr">
        <is>
          <t>InStock</t>
        </is>
      </c>
      <c r="S7699" t="inlineStr">
        <is>
          <t>57.56</t>
        </is>
      </c>
      <c r="T7699" t="inlineStr">
        <is>
          <t>6839830479021</t>
        </is>
      </c>
    </row>
    <row r="7700" ht="87" customHeight="1">
      <c r="A7700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7700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7700" t="inlineStr">
        <is>
          <t>Klein Tools 66050E 2-in-1 Metric Impact Socket Set, 12-Point, 5-Piece</t>
        </is>
      </c>
      <c r="D7700" t="inlineStr">
        <is>
          <t>AOBEN 1/2-Inch Drive Impact Socket Set, 29 Pieces, 6 Point, SAE/Metric, (3/8" - 1", 10mm - 24mm), Deep, Cr-V Steel, Includes 3", 5", 10" Extension bars</t>
        </is>
      </c>
      <c r="E7700" s="2">
        <f>HYPERLINK("https://www.amazon.com/AOBEN-2-Inch-Impact-Socket-Pieces/dp/B096ZH7K63/ref=sr_1_17?keywords=Klein+Tools+66050E+2-in-1+Metric+Impact+Socket+Set%2C+12-Point%2C+5-Piece&amp;qid=1694735136&amp;sr=8-17", "https://www.amazon.com/AOBEN-2-Inch-Impact-Socket-Pieces/dp/B096ZH7K63/ref=sr_1_17?keywords=Klein+Tools+66050E+2-in-1+Metric+Impact+Socket+Set%2C+12-Point%2C+5-Piece&amp;qid=1694735136&amp;sr=8-17")</f>
        <v/>
      </c>
      <c r="F7700" t="inlineStr">
        <is>
          <t>B096ZH7K63</t>
        </is>
      </c>
      <c r="G7700">
        <f>_xlfn.IMAGE("https://edmondsonsupply.com/cdn/shop/products/66050e.jpg?v=1659120052")</f>
        <v/>
      </c>
      <c r="H7700">
        <f>_xlfn.IMAGE("https://m.media-amazon.com/images/I/71gMpwiHwWL._AC_UL320_.jpg")</f>
        <v/>
      </c>
      <c r="K7700" t="inlineStr">
        <is>
          <t>149.54</t>
        </is>
      </c>
      <c r="L7700" t="n">
        <v>49.99</v>
      </c>
      <c r="M7700" s="1" t="inlineStr">
        <is>
          <t>-66.57%</t>
        </is>
      </c>
      <c r="N7700" s="7" t="n"/>
      <c r="O7700" t="n">
        <v>4.7</v>
      </c>
      <c r="P7700" t="n">
        <v>538</v>
      </c>
      <c r="R7700" t="inlineStr">
        <is>
          <t>InStock</t>
        </is>
      </c>
      <c r="S7700" t="inlineStr">
        <is>
          <t>249.24</t>
        </is>
      </c>
      <c r="T7700" t="inlineStr">
        <is>
          <t>7766623420632</t>
        </is>
      </c>
    </row>
    <row r="7701" hidden="1" ht="15.75" customHeight="1">
      <c r="A7701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7701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7701" t="inlineStr">
        <is>
          <t>Diablo Tools DMAPL4300 1 in. x 8 in. x 10 in. Rebar Demon™ SDS‑Plus 4‑Cutter Full Carbide Head Hammer Drill Bit</t>
        </is>
      </c>
      <c r="D7701" t="inlineStr">
        <is>
          <t>Diablo by Freud DMAPL4160 3/8 in. x 10 in. x 12 in. Rebar Demon SDS-Plus 4-Cutter Full Carbide Head Hammer Bit</t>
        </is>
      </c>
      <c r="E7701" s="2" t="n"/>
      <c r="F7701" t="inlineStr">
        <is>
          <t>B089KX25B7</t>
        </is>
      </c>
      <c r="G7701">
        <f>_xludf.IMAGE("https://edmondsonsupply.com/cdn/shop/products/DMAPL4300_Additional-Images_0120200225.png?v=1633030652")</f>
        <v/>
      </c>
      <c r="H7701">
        <f>_xludf.IMAGE("https://m.media-amazon.com/images/I/61MHnm3+2bL._AC_UL320_.jpg")</f>
        <v/>
      </c>
      <c r="K7701" t="inlineStr">
        <is>
          <t>38.97</t>
        </is>
      </c>
      <c r="L7701" t="n">
        <v>13.01</v>
      </c>
      <c r="M7701" s="1" t="inlineStr">
        <is>
          <t>-66.62%</t>
        </is>
      </c>
      <c r="N7701" s="1" t="n"/>
      <c r="O7701" t="n">
        <v>4.5</v>
      </c>
      <c r="P7701" t="n">
        <v>39</v>
      </c>
      <c r="R7701" t="inlineStr">
        <is>
          <t>InStock</t>
        </is>
      </c>
      <c r="S7701" t="inlineStr">
        <is>
          <t>52.66</t>
        </is>
      </c>
      <c r="T7701" t="inlineStr">
        <is>
          <t>5740518637736</t>
        </is>
      </c>
    </row>
    <row r="7702" hidden="1" ht="15.75" customHeight="1">
      <c r="A7702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7702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7702" t="inlineStr">
        <is>
          <t>Diablo Tools DMAPL4300 1 in. x 8 in. x 10 in. Rebar Demon™ SDS‑Plus 4‑Cutter Full Carbide Head Hammer Drill Bit</t>
        </is>
      </c>
      <c r="D7702" t="inlineStr">
        <is>
          <t>Diablo DMAPL4120 5/16 in. x 10 in. x 12 in. Rebar Demon™ SDS-Plus 4-Cutter Full Carbide Head Hammer Bit</t>
        </is>
      </c>
      <c r="E7702" s="2">
        <f>HYPERLINK("https://www.amazon.com/Diablo-SDS-Plus-4-Cutter-Carbide-Hammer/dp/B089KTHL12/ref=sr_1_2?keywords=Diablo+Tools+DMAPL4300+1+in.+x+8+in.+x+10+in.+Rebar+Demon%E2%84%A2+SDS%E2%80%91Plus+4%E2%80%91Cutter+Full+Carbide+Head+Hammer+Drill+Bit&amp;qid=1694735259&amp;sr=8-2", "https://www.amazon.com/Diablo-SDS-Plus-4-Cutter-Carbide-Hammer/dp/B089KTHL12/ref=sr_1_2?keywords=Diablo+Tools+DMAPL4300+1+in.+x+8+in.+x+10+in.+Rebar+Demon%E2%84%A2+SDS%E2%80%91Plus+4%E2%80%91Cutter+Full+Carbide+Head+Hammer+Drill+Bit&amp;qid=1694735259&amp;sr=8-2")</f>
        <v/>
      </c>
      <c r="F7702" t="inlineStr">
        <is>
          <t>B089KTHL12</t>
        </is>
      </c>
      <c r="G7702">
        <f>_xludf.IMAGE("https://edmondsonsupply.com/cdn/shop/products/DMAPL4300_Additional-Images_0120200225.png?v=1633030652")</f>
        <v/>
      </c>
      <c r="H7702">
        <f>_xludf.IMAGE("https://m.media-amazon.com/images/I/61P8b1v1TBL._AC_UL320_.jpg")</f>
        <v/>
      </c>
      <c r="K7702" t="inlineStr">
        <is>
          <t>38.97</t>
        </is>
      </c>
      <c r="L7702" t="n">
        <v>12.99</v>
      </c>
      <c r="M7702" s="1" t="inlineStr">
        <is>
          <t>-66.67%</t>
        </is>
      </c>
      <c r="N7702" s="1" t="n"/>
      <c r="O7702" t="n">
        <v>5</v>
      </c>
      <c r="P7702" t="n">
        <v>6</v>
      </c>
      <c r="R7702" t="inlineStr">
        <is>
          <t>InStock</t>
        </is>
      </c>
      <c r="S7702" t="inlineStr">
        <is>
          <t>52.66</t>
        </is>
      </c>
      <c r="T7702" t="inlineStr">
        <is>
          <t>5740518637736</t>
        </is>
      </c>
    </row>
    <row r="7703" hidden="1" ht="15.75" customHeight="1">
      <c r="A7703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7703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7703" t="inlineStr">
        <is>
          <t>Klein Tools NCVT-3P Dual Range Non-Contact Voltage Tester with Flashlight, 12 - 1000V AC</t>
        </is>
      </c>
      <c r="D7703" t="inlineStr">
        <is>
          <t>LETONNEY Non-Contact Voltage Tester Electrical Tester with Dual Range AC 12V/48V-1000V Live/Null Wire Tester, Outlet Tester with LED Flashlight, Buzzer Alarm (Blue)</t>
        </is>
      </c>
      <c r="E7703" s="2">
        <f>HYPERLINK("https://www.amazon.com/LETONNEY-Non-Contact-Electrical-48V-1000V-Flashlight/dp/B09Q8JSKLQ/ref=sr_1_20?keywords=Klein+Tools+NCVT-3P+Dual+Range+Non-Contact+Voltage+Tester+with+Flashlight%2C+12+-+1000V+AC&amp;qid=1694735337&amp;sr=8-20", "https://www.amazon.com/LETONNEY-Non-Contact-Electrical-48V-1000V-Flashlight/dp/B09Q8JSKLQ/ref=sr_1_20?keywords=Klein+Tools+NCVT-3P+Dual+Range+Non-Contact+Voltage+Tester+with+Flashlight%2C+12+-+1000V+AC&amp;qid=1694735337&amp;sr=8-20")</f>
        <v/>
      </c>
      <c r="F7703" t="inlineStr">
        <is>
          <t>B09Q8JSKLQ</t>
        </is>
      </c>
      <c r="G7703">
        <f>_xludf.IMAGE("https://edmondsonsupply.com/cdn/shop/products/ncvt3p.jpg?v=1633030219")</f>
        <v/>
      </c>
      <c r="H7703">
        <f>_xludf.IMAGE("https://m.media-amazon.com/images/I/61ByCWo7LYL._AC_UL320_.jpg")</f>
        <v/>
      </c>
      <c r="K7703" t="inlineStr">
        <is>
          <t>29.97</t>
        </is>
      </c>
      <c r="L7703" t="n">
        <v>9.99</v>
      </c>
      <c r="M7703" s="1" t="inlineStr">
        <is>
          <t>-66.67%</t>
        </is>
      </c>
      <c r="N7703" s="1" t="n"/>
      <c r="O7703" t="n">
        <v>4.3</v>
      </c>
      <c r="P7703" t="n">
        <v>307</v>
      </c>
      <c r="R7703" t="inlineStr">
        <is>
          <t>InStock</t>
        </is>
      </c>
      <c r="S7703" t="inlineStr">
        <is>
          <t>40.36</t>
        </is>
      </c>
      <c r="T7703" t="inlineStr">
        <is>
          <t>4505582174308</t>
        </is>
      </c>
    </row>
    <row r="7704" hidden="1" ht="15.75" customHeight="1">
      <c r="A7704" s="2">
        <f>HYPERLINK("https://edmondsonsupply.com/collections/electricians-tools/products/klein-tools-ncvt-3-non-contact-voltage-tester-1000v-with-flashlight", "https://edmondsonsupply.com/collections/electricians-tools/products/klein-tools-ncvt-3-non-contact-voltage-tester-1000v-with-flashlight")</f>
        <v/>
      </c>
      <c r="B7704" s="2">
        <f>HYPERLINK("https://edmondsonsupply.com/products/klein-tools-ncvt-3-non-contact-voltage-tester-1000v-with-flashlight", "https://edmondsonsupply.com/products/klein-tools-ncvt-3-non-contact-voltage-tester-1000v-with-flashlight")</f>
        <v/>
      </c>
      <c r="C7704" t="inlineStr">
        <is>
          <t>Klein Tools NCVT-3P Dual Range Non-Contact Voltage Tester with Flashlight, 12 - 1000V AC</t>
        </is>
      </c>
      <c r="D7704" t="inlineStr">
        <is>
          <t>MESTEK Voltage Tester, Non Contact Voltage Detector with Dual Range AC 12V-1000V/48V-1000V, Live/Null Wire Tester, Electrical Tester with Flashlight, Buzzer Alarm, Wire Breakpoint Finder, Pocket Clip</t>
        </is>
      </c>
      <c r="E7704" s="2">
        <f>HYPERLINK("https://www.amazon.com/MESTEK-12V-1000V-Electrical-Flashlight-Breakpoint/dp/B0CCJJJYZ4/ref=sr_1_29?keywords=Klein+Tools+NCVT-3P+Dual+Range+Non-Contact+Voltage+Tester+with+Flashlight%2C+12+-+1000V+AC&amp;qid=1694735337&amp;sr=8-29", "https://www.amazon.com/MESTEK-12V-1000V-Electrical-Flashlight-Breakpoint/dp/B0CCJJJYZ4/ref=sr_1_29?keywords=Klein+Tools+NCVT-3P+Dual+Range+Non-Contact+Voltage+Tester+with+Flashlight%2C+12+-+1000V+AC&amp;qid=1694735337&amp;sr=8-29")</f>
        <v/>
      </c>
      <c r="F7704" t="inlineStr">
        <is>
          <t>B0CCJJJYZ4</t>
        </is>
      </c>
      <c r="G7704">
        <f>_xludf.IMAGE("https://edmondsonsupply.com/cdn/shop/products/ncvt3p.jpg?v=1633030219")</f>
        <v/>
      </c>
      <c r="H7704">
        <f>_xludf.IMAGE("https://m.media-amazon.com/images/I/61L2fpYq2YL._AC_UL320_.jpg")</f>
        <v/>
      </c>
      <c r="K7704" t="inlineStr">
        <is>
          <t>29.97</t>
        </is>
      </c>
      <c r="L7704" t="n">
        <v>9.99</v>
      </c>
      <c r="M7704" s="1" t="inlineStr">
        <is>
          <t>-66.67%</t>
        </is>
      </c>
      <c r="N7704" s="1" t="n"/>
      <c r="O7704" t="n">
        <v>4.8</v>
      </c>
      <c r="P7704" t="n">
        <v>12</v>
      </c>
      <c r="R7704" t="inlineStr">
        <is>
          <t>InStock</t>
        </is>
      </c>
      <c r="S7704" t="inlineStr">
        <is>
          <t>40.36</t>
        </is>
      </c>
      <c r="T7704" t="inlineStr">
        <is>
          <t>4505582174308</t>
        </is>
      </c>
    </row>
    <row r="7705" ht="87" customHeight="1">
      <c r="A7705" s="2">
        <f>HYPERLINK("https://edmondsonsupply.com/collections/electricians-tools/products/klein-tools-ktsb15-step-drill-bit-15-double-fluted-7-8-to-1-3-8-inch", "https://edmondsonsupply.com/collections/electricians-tools/products/klein-tools-ktsb15-step-drill-bit-15-double-fluted-7-8-to-1-3-8-inch")</f>
        <v/>
      </c>
      <c r="B7705" s="2">
        <f>HYPERLINK("https://edmondsonsupply.com/products/klein-tools-ktsb15-step-drill-bit-15-double-fluted-7-8-to-1-3-8-inch", "https://edmondsonsupply.com/products/klein-tools-ktsb15-step-drill-bit-15-double-fluted-7-8-to-1-3-8-inch")</f>
        <v/>
      </c>
      <c r="C7705" t="inlineStr">
        <is>
          <t>Klein Tools KTSB15 Step Drill Bit #15 Double Fluted 7/8 to 1-3/8-Inch</t>
        </is>
      </c>
      <c r="D7705" t="inlineStr">
        <is>
          <t>Klein Tools 25964 Step Drill Bit, 1/8 to 1/2-Inch, Spiral Double-Fluted, Cuts Thin Metal, Plastic, Aluminum, Wood, 1/4-Inch Hex Shank, VACO</t>
        </is>
      </c>
      <c r="E7705" s="2">
        <f>HYPERLINK("https://www.amazon.com/Klein-Tools-25964-Double-Fluted-Aluminum/dp/B0BLF88BQN/ref=sr_1_10?keywords=Klein+Tools+KTSB15+Step+Drill+Bit+%2315+Double+Fluted+7%2F8+to+1-3%2F8-Inch&amp;qid=1694735232&amp;sr=8-10", "https://www.amazon.com/Klein-Tools-25964-Double-Fluted-Aluminum/dp/B0BLF88BQN/ref=sr_1_10?keywords=Klein+Tools+KTSB15+Step+Drill+Bit+%2315+Double+Fluted+7%2F8+to+1-3%2F8-Inch&amp;qid=1694735232&amp;sr=8-10")</f>
        <v/>
      </c>
      <c r="F7705" t="inlineStr">
        <is>
          <t>B0BLF88BQN</t>
        </is>
      </c>
      <c r="G7705">
        <f>_xlfn.IMAGE("https://edmondsonsupply.com/cdn/shop/products/ktsb15.jpg?v=1633030886")</f>
        <v/>
      </c>
      <c r="H7705">
        <f>_xlfn.IMAGE("https://m.media-amazon.com/images/I/41MiVuoi14L._AC_UY218_.jpg")</f>
        <v/>
      </c>
      <c r="K7705" t="inlineStr">
        <is>
          <t>59.97</t>
        </is>
      </c>
      <c r="L7705" t="n">
        <v>19.99</v>
      </c>
      <c r="M7705" s="1" t="inlineStr">
        <is>
          <t>-66.67%</t>
        </is>
      </c>
      <c r="N7705" s="7" t="n"/>
      <c r="O7705" t="n">
        <v>4.7</v>
      </c>
      <c r="P7705" t="n">
        <v>4</v>
      </c>
      <c r="R7705" t="inlineStr">
        <is>
          <t>InStock</t>
        </is>
      </c>
      <c r="S7705" t="inlineStr">
        <is>
          <t>81.96</t>
        </is>
      </c>
      <c r="T7705" t="inlineStr">
        <is>
          <t>6217390424237</t>
        </is>
      </c>
    </row>
    <row r="7706" ht="87" customHeight="1">
      <c r="A7706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706" s="2">
        <f>HYPERLINK("https://edmondsonsupply.com/products/klein-tools-57032-screwdriver-set-torque-6-piece", "https://edmondsonsupply.com/products/klein-tools-57032-screwdriver-set-torque-6-piece")</f>
        <v/>
      </c>
      <c r="C7706" t="inlineStr">
        <is>
          <t>Klein Tools 57032 Screwdriver Set, Torque, 6-Piece</t>
        </is>
      </c>
      <c r="D7706" t="inlineStr">
        <is>
          <t>Klein Tools 80021 Tool Set, Screwdriver and Nut Driver Tool Kit with Assorted Tips, Nut Drivers and Magnetizer / De-Magnetizer, 16-Piece</t>
        </is>
      </c>
      <c r="E7706" s="2">
        <f>HYPERLINK("https://www.amazon.com/Klein-Tools-80021-Screwdriver-Magnetizer/dp/B08VW4R1SX/ref=sr_1_35?keywords=Klein+Tools+57032+Screwdriver+Set%2C+Torque%2C+6-Piece&amp;qid=1694735042&amp;sr=8-35", "https://www.amazon.com/Klein-Tools-80021-Screwdriver-Magnetizer/dp/B08VW4R1SX/ref=sr_1_35?keywords=Klein+Tools+57032+Screwdriver+Set%2C+Torque%2C+6-Piece&amp;qid=1694735042&amp;sr=8-35")</f>
        <v/>
      </c>
      <c r="F7706" t="inlineStr">
        <is>
          <t>B08VW4R1SX</t>
        </is>
      </c>
      <c r="G7706">
        <f>_xlfn.IMAGE("https://edmondsonsupply.com/cdn/shop/products/57032set.jpg?v=1675348782")</f>
        <v/>
      </c>
      <c r="H7706">
        <f>_xlfn.IMAGE("https://m.media-amazon.com/images/I/61vwXKyBcML._AC_UL320_.jpg")</f>
        <v/>
      </c>
      <c r="K7706" t="inlineStr">
        <is>
          <t>299.99</t>
        </is>
      </c>
      <c r="L7706" t="n">
        <v>99.98999999999999</v>
      </c>
      <c r="M7706" s="1" t="inlineStr">
        <is>
          <t>-66.67%</t>
        </is>
      </c>
      <c r="N7706" s="7" t="n"/>
      <c r="O7706" t="n">
        <v>4.9</v>
      </c>
      <c r="P7706" t="n">
        <v>1816</v>
      </c>
      <c r="R7706" t="inlineStr">
        <is>
          <t>InStock</t>
        </is>
      </c>
      <c r="S7706" t="inlineStr">
        <is>
          <t>433.06</t>
        </is>
      </c>
      <c r="T7706" t="inlineStr">
        <is>
          <t>7937805385944</t>
        </is>
      </c>
    </row>
    <row r="7707" ht="87" customHeight="1">
      <c r="A7707" s="2">
        <f>HYPERLINK("https://edmondsonsupply.com/collections/electricians-tools/products/klein-tools-56115-fiberglass-fish-tape-repair-kit", "https://edmondsonsupply.com/collections/electricians-tools/products/klein-tools-56115-fiberglass-fish-tape-repair-kit")</f>
        <v/>
      </c>
      <c r="B7707" s="2">
        <f>HYPERLINK("https://edmondsonsupply.com/products/klein-tools-56115-fiberglass-fish-tape-repair-kit", "https://edmondsonsupply.com/products/klein-tools-56115-fiberglass-fish-tape-repair-kit")</f>
        <v/>
      </c>
      <c r="C7707" t="inlineStr">
        <is>
          <t>Klein Tools 56115 Fiberglass Fish Tape Repair Kit</t>
        </is>
      </c>
      <c r="D7707" t="inlineStr">
        <is>
          <t>Klein Tools 80050 Fish Tape, Glow Fish Tape Kit with 20-Foot Fiberglass Tape, Illuminated Fish Rod Tip and Fish Rod Attachments, 6-Piece</t>
        </is>
      </c>
      <c r="E7707" s="2">
        <f>HYPERLINK("https://www.amazon.com/Illuminated-Attachments-Klein-Tools-80050/dp/B09FRBGCZD/ref=sr_1_7?keywords=Klein+Tools+56115+Fiberglass+Fish+Tape+Repair+Kit&amp;qid=1694735098&amp;sr=8-7", "https://www.amazon.com/Illuminated-Attachments-Klein-Tools-80050/dp/B09FRBGCZD/ref=sr_1_7?keywords=Klein+Tools+56115+Fiberglass+Fish+Tape+Repair+Kit&amp;qid=1694735098&amp;sr=8-7")</f>
        <v/>
      </c>
      <c r="F7707" t="inlineStr">
        <is>
          <t>B09FRBGCZD</t>
        </is>
      </c>
      <c r="G7707">
        <f>_xlfn.IMAGE("https://edmondsonsupply.com/cdn/shop/products/56115.jpg?v=1666107209")</f>
        <v/>
      </c>
      <c r="H7707">
        <f>_xlfn.IMAGE("https://m.media-amazon.com/images/I/51K8WFeudSL._AC_UL320_.jpg")</f>
        <v/>
      </c>
      <c r="K7707" t="inlineStr">
        <is>
          <t>149.99</t>
        </is>
      </c>
      <c r="L7707" t="n">
        <v>49.99</v>
      </c>
      <c r="M7707" s="1" t="inlineStr">
        <is>
          <t>-66.67%</t>
        </is>
      </c>
      <c r="N7707" s="7" t="n"/>
      <c r="O7707" t="n">
        <v>4.3</v>
      </c>
      <c r="P7707" t="n">
        <v>22</v>
      </c>
      <c r="R7707" t="inlineStr">
        <is>
          <t>InStock</t>
        </is>
      </c>
      <c r="S7707" t="inlineStr">
        <is>
          <t>227.26</t>
        </is>
      </c>
      <c r="T7707" t="inlineStr">
        <is>
          <t>7857427185880</t>
        </is>
      </c>
    </row>
    <row r="7708" hidden="1" ht="15.75" customHeight="1">
      <c r="A7708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708" s="2">
        <f>HYPERLINK("https://edmondsonsupply.com/products/klein-tools-31900-bi-metal-hole-saw-6-3-8-inch", "https://edmondsonsupply.com/products/klein-tools-31900-bi-metal-hole-saw-6-3-8-inch")</f>
        <v/>
      </c>
      <c r="C7708" t="inlineStr">
        <is>
          <t>Klein Tools 31900 Bi-Metal Hole Saw, 6-3/8-Inch</t>
        </is>
      </c>
      <c r="D7708" t="inlineStr">
        <is>
          <t>Klein Tools 31534 Bi-Metal Hole Saw, 2-1/8-Inch</t>
        </is>
      </c>
      <c r="E7708" s="2">
        <f>HYPERLINK("https://www.amazon.com/Klein-Tools-31534-Bi-Metal-8-Inch/dp/B0009OIJFA/ref=sr_1_6?keywords=Klein+Tools+31900+Bi-Metal+Hole+Saw%2C+6-3%2F8-Inch&amp;qid=1694735340&amp;sr=8-6", "https://www.amazon.com/Klein-Tools-31534-Bi-Metal-8-Inch/dp/B0009OIJFA/ref=sr_1_6?keywords=Klein+Tools+31900+Bi-Metal+Hole+Saw%2C+6-3%2F8-Inch&amp;qid=1694735340&amp;sr=8-6")</f>
        <v/>
      </c>
      <c r="F7708" t="inlineStr">
        <is>
          <t>B0009OIJFA</t>
        </is>
      </c>
      <c r="G7708">
        <f>_xludf.IMAGE("https://edmondsonsupply.com/cdn/shop/products/31900.jpg?v=1587149880")</f>
        <v/>
      </c>
      <c r="H7708">
        <f>_xludf.IMAGE("https://m.media-amazon.com/images/I/31Wk-f8wwaL._AC_UL320_.jpg")</f>
        <v/>
      </c>
      <c r="K7708" t="inlineStr">
        <is>
          <t>44.99</t>
        </is>
      </c>
      <c r="L7708" t="n">
        <v>14.99</v>
      </c>
      <c r="M7708" s="1" t="inlineStr">
        <is>
          <t>-66.68%</t>
        </is>
      </c>
      <c r="N7708" s="1" t="n"/>
      <c r="O7708" t="n">
        <v>5</v>
      </c>
      <c r="P7708" t="n">
        <v>5</v>
      </c>
      <c r="R7708" t="inlineStr">
        <is>
          <t>InStock</t>
        </is>
      </c>
      <c r="S7708" t="inlineStr">
        <is>
          <t>54.86</t>
        </is>
      </c>
      <c r="T7708" t="inlineStr">
        <is>
          <t>4508234514532</t>
        </is>
      </c>
    </row>
    <row r="7709" hidden="1" ht="15.75" customHeight="1">
      <c r="A7709" s="2">
        <f>HYPERLINK("https://edmondsonsupply.com/collections/electricians-tools/products/klein-tools-32800-6-in-1-multi-nut-driver-heavy-duty", "https://edmondsonsupply.com/collections/electricians-tools/products/klein-tools-32800-6-in-1-multi-nut-driver-heavy-duty")</f>
        <v/>
      </c>
      <c r="B7709" s="2">
        <f>HYPERLINK("https://edmondsonsupply.com/products/klein-tools-32800-6-in-1-multi-nut-driver-heavy-duty", "https://edmondsonsupply.com/products/klein-tools-32800-6-in-1-multi-nut-driver-heavy-duty")</f>
        <v/>
      </c>
      <c r="C7709" t="inlineStr">
        <is>
          <t>Klein Tools 32800 6-in-1 6-in-1 Multi-Bit Nut Driver, Heavy Duty</t>
        </is>
      </c>
      <c r="D7709" t="inlineStr">
        <is>
          <t>Klein Tools 32476 5-In-1 Multi-Bit Screwdriver / Nut Driver with 2 Slotted, 2 Philips, and 1 Nut Driver Tip</t>
        </is>
      </c>
      <c r="E7709" s="2">
        <f>HYPERLINK("https://www.amazon.com/Screwdriver-Driver-Yellow-Klein-32476/dp/B000RFPDXC/ref=sr_1_8?keywords=Klein+Tools+32800+6-in-1+6-in-1+Multi-Bit+Nut+Driver%2C+Heavy+Duty&amp;qid=1694735172&amp;sr=8-8", "https://www.amazon.com/Screwdriver-Driver-Yellow-Klein-32476/dp/B000RFPDXC/ref=sr_1_8?keywords=Klein+Tools+32800+6-in-1+6-in-1+Multi-Bit+Nut+Driver%2C+Heavy+Duty&amp;qid=1694735172&amp;sr=8-8")</f>
        <v/>
      </c>
      <c r="F7709" t="inlineStr">
        <is>
          <t>B000RFPDXC</t>
        </is>
      </c>
      <c r="G7709">
        <f>_xludf.IMAGE("https://edmondsonsupply.com/cdn/shop/products/32800_alt2.jpg?v=1646595019")</f>
        <v/>
      </c>
      <c r="H7709">
        <f>_xludf.IMAGE("https://m.media-amazon.com/images/I/51ZkueHIEQL._AC_UL320_.jpg")</f>
        <v/>
      </c>
      <c r="K7709" t="inlineStr">
        <is>
          <t>29.99</t>
        </is>
      </c>
      <c r="L7709" t="n">
        <v>9.98</v>
      </c>
      <c r="M7709" s="1" t="inlineStr">
        <is>
          <t>-66.72%</t>
        </is>
      </c>
      <c r="N7709" s="1" t="n"/>
      <c r="O7709" t="n">
        <v>4.8</v>
      </c>
      <c r="P7709" t="n">
        <v>1240</v>
      </c>
      <c r="R7709" t="inlineStr">
        <is>
          <t>InStock</t>
        </is>
      </c>
      <c r="S7709" t="inlineStr">
        <is>
          <t>42.2</t>
        </is>
      </c>
      <c r="T7709" t="inlineStr">
        <is>
          <t>1723912519780</t>
        </is>
      </c>
    </row>
    <row r="7710" hidden="1" ht="15.75" customHeight="1">
      <c r="A7710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710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710" t="inlineStr">
        <is>
          <t>Klein Tools JTH9E17 1/2-Inch Hex Key with Journeyman T-Handle, 9-Inch</t>
        </is>
      </c>
      <c r="D7710" t="inlineStr">
        <is>
          <t>Klein Tools JTH6M25 2.5 mm Hex Key, Journeyman T-Handle, 6-Inch (Pack of 2)</t>
        </is>
      </c>
      <c r="E7710" s="2">
        <f>HYPERLINK("https://www.amazon.com/Klein-Tools-JTH6M25-Journeyman-T-Handle/dp/B0CGLZ16RL/ref=sr_1_12?keywords=Klein+Tools+JTH9E17+1%2F2-Inch+Hex+Key+with+Journeyman+T-Handle%2C+9-Inch&amp;qid=1694735337&amp;sr=8-12", "https://www.amazon.com/Klein-Tools-JTH6M25-Journeyman-T-Handle/dp/B0CGLZ16RL/ref=sr_1_12?keywords=Klein+Tools+JTH9E17+1%2F2-Inch+Hex+Key+with+Journeyman+T-Handle%2C+9-Inch&amp;qid=1694735337&amp;sr=8-12")</f>
        <v/>
      </c>
      <c r="F7710" t="inlineStr">
        <is>
          <t>B0CGLZ16RL</t>
        </is>
      </c>
      <c r="G7710">
        <f>_xludf.IMAGE("https://edmondsonsupply.com/cdn/shop/products/jth9e12_c458fab1-bd79-4a70-ae62-7e6646bd3d84.jpg?v=1587146369")</f>
        <v/>
      </c>
      <c r="H7710">
        <f>_xludf.IMAGE("https://m.media-amazon.com/images/I/41QPzTKY+AL._AC_UL320_.jpg")</f>
        <v/>
      </c>
      <c r="K7710" t="inlineStr">
        <is>
          <t>23.99</t>
        </is>
      </c>
      <c r="L7710" t="n">
        <v>7.98</v>
      </c>
      <c r="M7710" s="1" t="inlineStr">
        <is>
          <t>-66.74%</t>
        </is>
      </c>
      <c r="N7710" s="1" t="n"/>
      <c r="O7710" t="n">
        <v>4.7</v>
      </c>
      <c r="P7710" t="n">
        <v>1530</v>
      </c>
      <c r="R7710" t="inlineStr">
        <is>
          <t>InStock</t>
        </is>
      </c>
      <c r="S7710" t="inlineStr">
        <is>
          <t>36.36</t>
        </is>
      </c>
      <c r="T7710" t="inlineStr">
        <is>
          <t>4505575981156</t>
        </is>
      </c>
    </row>
    <row r="7711" ht="87" customHeight="1">
      <c r="A7711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711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711" t="inlineStr">
        <is>
          <t>Milwaukee 48-11-2411 M12 REDLITHIUM™ Compact Battery Two Pack</t>
        </is>
      </c>
      <c r="D7711" t="inlineStr">
        <is>
          <t>Milwaukee 48-11-2420 M12 REDLITHIUM 2.0 Compact Battery Pack (1-Pack)</t>
        </is>
      </c>
      <c r="E7711" s="2">
        <f>HYPERLINK("https://www.amazon.com/Milwaukee-48-11-2420-REDLITHIUM-Compact-Battery/dp/B00CHU9ZDE/ref=sr_1_1?keywords=Milwaukee+48-11-2411+M12+REDLITHIUM%E2%84%A2+Compact+Battery+Two+Pack&amp;qid=1694735145&amp;sr=8-1", "https://www.amazon.com/Milwaukee-48-11-2420-REDLITHIUM-Compact-Battery/dp/B00CHU9ZDE/ref=sr_1_1?keywords=Milwaukee+48-11-2411+M12+REDLITHIUM%E2%84%A2+Compact+Battery+Two+Pack&amp;qid=1694735145&amp;sr=8-1")</f>
        <v/>
      </c>
      <c r="F7711" t="inlineStr">
        <is>
          <t>B00CHU9ZDE</t>
        </is>
      </c>
      <c r="G7711">
        <f>_xlfn.IMAGE("https://edmondsonsupply.com/cdn/shop/products/65014_48-11-2411-lg.jpg?v=1655484824")</f>
        <v/>
      </c>
      <c r="H7711">
        <f>_xlfn.IMAGE("https://m.media-amazon.com/images/I/51pGuoAJJNL._AC_UL320_.jpg")</f>
        <v/>
      </c>
      <c r="K7711" t="inlineStr">
        <is>
          <t>89.0</t>
        </is>
      </c>
      <c r="L7711" t="n">
        <v>29.46</v>
      </c>
      <c r="M7711" s="1" t="inlineStr">
        <is>
          <t>-66.90%</t>
        </is>
      </c>
      <c r="N7711" s="7" t="n"/>
      <c r="O7711" t="n">
        <v>4.8</v>
      </c>
      <c r="P7711" t="n">
        <v>4501</v>
      </c>
      <c r="R7711" t="inlineStr">
        <is>
          <t>OutOfStock</t>
        </is>
      </c>
      <c r="S7711" t="inlineStr">
        <is>
          <t>150.0</t>
        </is>
      </c>
      <c r="T7711" t="inlineStr">
        <is>
          <t>7721456795864</t>
        </is>
      </c>
    </row>
    <row r="7712" ht="87" customHeight="1">
      <c r="A7712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712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712" t="inlineStr">
        <is>
          <t>Klein Tools 32288 8-in-1 Insulated Interchangeable Screwdriver Set</t>
        </is>
      </c>
      <c r="D7712" t="inlineStr">
        <is>
          <t>Klein Tools 13156 Insulated Screwdriver Blades, Interchangeable Single-End Replacement Blades for Klein Insulated Screwdrivers, 2-Pack</t>
        </is>
      </c>
      <c r="E7712" s="2">
        <f>HYPERLINK("https://www.amazon.com/Klein-Tools-13156-Interchangeable-Screwdrivers/dp/B07XJZ4CJN/ref=sr_1_27?keywords=Klein+Tools+32288+8-in-1+Insulated+Interchangeable+Screwdriver+Set&amp;qid=1694734974&amp;sr=8-27", "https://www.amazon.com/Klein-Tools-13156-Interchangeable-Screwdrivers/dp/B07XJZ4CJN/ref=sr_1_27?keywords=Klein+Tools+32288+8-in-1+Insulated+Interchangeable+Screwdriver+Set&amp;qid=1694734974&amp;sr=8-27")</f>
        <v/>
      </c>
      <c r="F7712" t="inlineStr">
        <is>
          <t>B07XJZ4CJN</t>
        </is>
      </c>
      <c r="G7712">
        <f>_xlfn.IMAGE("https://edmondsonsupply.com/cdn/shop/products/32288.jpg?v=1587146849")</f>
        <v/>
      </c>
      <c r="H7712">
        <f>_xlfn.IMAGE("https://m.media-amazon.com/images/I/41bES4KYVYL._AC_UL320_.jpg")</f>
        <v/>
      </c>
      <c r="K7712" t="inlineStr">
        <is>
          <t>49.99</t>
        </is>
      </c>
      <c r="L7712" t="n">
        <v>16.49</v>
      </c>
      <c r="M7712" s="1" t="inlineStr">
        <is>
          <t>-67.01%</t>
        </is>
      </c>
      <c r="N7712" s="7" t="n"/>
      <c r="O7712" t="n">
        <v>4.7</v>
      </c>
      <c r="P7712" t="n">
        <v>105</v>
      </c>
      <c r="R7712" t="inlineStr">
        <is>
          <t>InStock</t>
        </is>
      </c>
      <c r="S7712" t="inlineStr">
        <is>
          <t>69.98</t>
        </is>
      </c>
      <c r="T7712" t="inlineStr">
        <is>
          <t>4094849613924</t>
        </is>
      </c>
    </row>
    <row r="7713" ht="87" customHeight="1">
      <c r="A7713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713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713" t="inlineStr">
        <is>
          <t>Milwaukee 48-59-1812 M18™ &amp; M12™ Multi-Voltage Charger</t>
        </is>
      </c>
      <c r="D7713" t="inlineStr">
        <is>
          <t>Lilocaja M12 &amp; M18 Multi-Voltage Battery Charger Replacement for Milwaukee M18 Battery Charger 48-59-1812, Compatible with Milwaukee M12 12V and M18 18V Lithium-ion Battery 48-11-2420 48-11-2401</t>
        </is>
      </c>
      <c r="E7713" s="2">
        <f>HYPERLINK("https://www.amazon.com/Multi-Voltage-Replacement-48-59-1812-Compatible-Lithium-ion/dp/B094GWNXTK/ref=sr_1_9?keywords=Milwaukee+48-59-1812+M18%E2%84%A2+%26+M12%E2%84%A2+Multi-Voltage+Charger&amp;qid=1694735141&amp;sr=8-9", "https://www.amazon.com/Multi-Voltage-Replacement-48-59-1812-Compatible-Lithium-ion/dp/B094GWNXTK/ref=sr_1_9?keywords=Milwaukee+48-59-1812+M18%E2%84%A2+%26+M12%E2%84%A2+Multi-Voltage+Charger&amp;qid=1694735141&amp;sr=8-9")</f>
        <v/>
      </c>
      <c r="F7713" t="inlineStr">
        <is>
          <t>B094GWNXTK</t>
        </is>
      </c>
      <c r="G7713">
        <f>_xlfn.IMAGE("https://edmondsonsupply.com/cdn/shop/products/60113_48-59-1812_3-lg.webp?v=1656530513")</f>
        <v/>
      </c>
      <c r="H7713">
        <f>_xlfn.IMAGE("https://m.media-amazon.com/images/I/71e5iPPW1uS._AC_UL320_.jpg")</f>
        <v/>
      </c>
      <c r="K7713" t="inlineStr">
        <is>
          <t>79.0</t>
        </is>
      </c>
      <c r="L7713" t="n">
        <v>25.99</v>
      </c>
      <c r="M7713" s="1" t="inlineStr">
        <is>
          <t>-67.10%</t>
        </is>
      </c>
      <c r="N7713" s="7" t="n"/>
      <c r="O7713" t="n">
        <v>4.5</v>
      </c>
      <c r="P7713" t="n">
        <v>416</v>
      </c>
      <c r="R7713" t="inlineStr">
        <is>
          <t>InStock</t>
        </is>
      </c>
      <c r="S7713" t="inlineStr">
        <is>
          <t>126.0</t>
        </is>
      </c>
      <c r="T7713" t="inlineStr">
        <is>
          <t>7733079343320</t>
        </is>
      </c>
    </row>
    <row r="7714" hidden="1" ht="15.75" customHeight="1">
      <c r="A7714" s="2">
        <f>HYPERLINK("https://edmondsonsupply.com/collections/electricians-tools/products/diablo-tools-dmamx1040", "https://edmondsonsupply.com/collections/electricians-tools/products/diablo-tools-dmamx1040")</f>
        <v/>
      </c>
      <c r="B7714" s="2">
        <f>HYPERLINK("https://edmondsonsupply.com/products/diablo-tools-dmamx1040", "https://edmondsonsupply.com/products/diablo-tools-dmamx1040")</f>
        <v/>
      </c>
      <c r="C7714" t="inlineStr">
        <is>
          <t>Diablo Tools DMAMX1040 1/2 in. x 24 in. x 29 in. Rebar Demon SDS-Max 4-Cutter Full Carbide Head Hammer Bit</t>
        </is>
      </c>
      <c r="D7714" t="inlineStr">
        <is>
          <t>Diablo DMAPL4055 3/16 in. x 10 in. x 12 in. Rebar Demon™ SDS-Plus 4-Cutter Full Carbide Head Hammer Bit</t>
        </is>
      </c>
      <c r="E7714" s="2">
        <f>HYPERLINK("https://www.amazon.com/Diablo-DMAPL4055-SDS-Plus-4-Cutter-Carbide/dp/B089LJCD42/ref=sr_1_46?keywords=Diablo+Tools+DMAMX1040+1%2F2+in.+x+24+in.+x+29+in.+Rebar+Demon+SDS-Max+4-Cutter+Full+Carbide+Head+Hammer+Bit&amp;qid=1694735295&amp;sr=8-46", "https://www.amazon.com/Diablo-DMAPL4055-SDS-Plus-4-Cutter-Carbide/dp/B089LJCD42/ref=sr_1_46?keywords=Diablo+Tools+DMAMX1040+1%2F2+in.+x+24+in.+x+29+in.+Rebar+Demon+SDS-Max+4-Cutter+Full+Carbide+Head+Hammer+Bit&amp;qid=1694735295&amp;sr=8-46")</f>
        <v/>
      </c>
      <c r="F7714" t="inlineStr">
        <is>
          <t>B089LJCD42</t>
        </is>
      </c>
      <c r="G7714">
        <f>_xludf.IMAGE("https://edmondsonsupply.com/cdn/shop/products/DMAMX1040_Main-Image20200701.png?v=1633030363")</f>
        <v/>
      </c>
      <c r="H7714">
        <f>_xludf.IMAGE("https://m.media-amazon.com/images/I/61cDOAhkb4L._AC_UL320_.jpg")</f>
        <v/>
      </c>
      <c r="K7714" t="inlineStr">
        <is>
          <t>47.97</t>
        </is>
      </c>
      <c r="L7714" t="n">
        <v>15.76</v>
      </c>
      <c r="M7714" s="1" t="inlineStr">
        <is>
          <t>-67.15%</t>
        </is>
      </c>
      <c r="N7714" s="1" t="n"/>
      <c r="O7714" t="n">
        <v>2</v>
      </c>
      <c r="P7714" t="n">
        <v>1</v>
      </c>
      <c r="R7714" t="inlineStr">
        <is>
          <t>InStock</t>
        </is>
      </c>
      <c r="S7714" t="inlineStr">
        <is>
          <t>72.46</t>
        </is>
      </c>
      <c r="T7714" t="inlineStr">
        <is>
          <t>5289126527144</t>
        </is>
      </c>
    </row>
    <row r="7715" ht="87" customHeight="1">
      <c r="A7715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7715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7715" t="inlineStr">
        <is>
          <t>Klein Tools 66050E 2-in-1 Metric Impact Socket Set, 12-Point, 5-Piece</t>
        </is>
      </c>
      <c r="D7715" t="inlineStr">
        <is>
          <t>Amartisan 3/8" Drive Impact Socket Set, 6 Point, 50-Piece Standard Metric (8-22mm) and SAE (5/16-Inch to 3/4-Inch) Cr-V Steel Sockets with Adapters &amp; Ratchet Handle</t>
        </is>
      </c>
      <c r="E7715" s="2">
        <f>HYPERLINK("https://www.amazon.com/Amartisan-50-Piece-Standard-16-Inch-Adapters/dp/B0C1T8TG52/ref=sr_1_11?keywords=Klein+Tools+66050E+2-in-1+Metric+Impact+Socket+Set%2C+12-Point%2C+5-Piece&amp;qid=1694735136&amp;sr=8-11", "https://www.amazon.com/Amartisan-50-Piece-Standard-16-Inch-Adapters/dp/B0C1T8TG52/ref=sr_1_11?keywords=Klein+Tools+66050E+2-in-1+Metric+Impact+Socket+Set%2C+12-Point%2C+5-Piece&amp;qid=1694735136&amp;sr=8-11")</f>
        <v/>
      </c>
      <c r="F7715" t="inlineStr">
        <is>
          <t>B0C1T8TG52</t>
        </is>
      </c>
      <c r="G7715">
        <f>_xlfn.IMAGE("https://edmondsonsupply.com/cdn/shop/products/66050e.jpg?v=1659120052")</f>
        <v/>
      </c>
      <c r="H7715">
        <f>_xlfn.IMAGE("https://m.media-amazon.com/images/I/815F7F9YjVL._AC_UL320_.jpg")</f>
        <v/>
      </c>
      <c r="K7715" t="inlineStr">
        <is>
          <t>149.54</t>
        </is>
      </c>
      <c r="L7715" t="n">
        <v>48.99</v>
      </c>
      <c r="M7715" s="1" t="inlineStr">
        <is>
          <t>-67.24%</t>
        </is>
      </c>
      <c r="N7715" s="7" t="n"/>
      <c r="O7715" t="n">
        <v>4.7</v>
      </c>
      <c r="P7715" t="n">
        <v>11</v>
      </c>
      <c r="R7715" t="inlineStr">
        <is>
          <t>InStock</t>
        </is>
      </c>
      <c r="S7715" t="inlineStr">
        <is>
          <t>249.24</t>
        </is>
      </c>
      <c r="T7715" t="inlineStr">
        <is>
          <t>7766623420632</t>
        </is>
      </c>
    </row>
    <row r="7716" ht="87" customHeight="1">
      <c r="A7716" s="2">
        <f>HYPERLINK("https://edmondsonsupply.com/collections/electricians-tools/products/klein-tools-635-4-nut-driver-set-magnetic-nut-drivers-heavy-duty-4-piece", "https://edmondsonsupply.com/collections/electricians-tools/products/klein-tools-635-4-nut-driver-set-magnetic-nut-drivers-heavy-duty-4-piece")</f>
        <v/>
      </c>
      <c r="B7716" s="2">
        <f>HYPERLINK("https://edmondsonsupply.com/products/klein-tools-635-4-nut-driver-set-magnetic-nut-drivers-heavy-duty-4-piece", "https://edmondsonsupply.com/products/klein-tools-635-4-nut-driver-set-magnetic-nut-drivers-heavy-duty-4-piece")</f>
        <v/>
      </c>
      <c r="C7716" t="inlineStr">
        <is>
          <t>Klein Tools 635-4 Nut Driver Set, Magnetic Nut Drivers, Heavy Duty, 4-Piece</t>
        </is>
      </c>
      <c r="D7716" t="inlineStr">
        <is>
          <t>Klein Tools 610M Tool Set, Magnetic Nut Driver Set with Stubby Nut Driver Sizes 1/4 and 5/16-Inch, Full Hollow Shaft, 2-Piece</t>
        </is>
      </c>
      <c r="E7716" s="2">
        <f>HYPERLINK("https://www.amazon.com/Klein-Tools-610M-16-Inch-Magnetic/dp/B00093DZO6/ref=sr_1_10?keywords=Klein+Tools+635-4+Nut+Driver+Set%2C+Magnetic+Nut+Drivers%2C+Heavy+Duty%2C+4-Piece&amp;qid=1694735170&amp;sr=8-10", "https://www.amazon.com/Klein-Tools-610M-16-Inch-Magnetic/dp/B00093DZO6/ref=sr_1_10?keywords=Klein+Tools+635-4+Nut+Driver+Set%2C+Magnetic+Nut+Drivers%2C+Heavy+Duty%2C+4-Piece&amp;qid=1694735170&amp;sr=8-10")</f>
        <v/>
      </c>
      <c r="F7716" t="inlineStr">
        <is>
          <t>B00093DZO6</t>
        </is>
      </c>
      <c r="G7716">
        <f>_xlfn.IMAGE("https://edmondsonsupply.com/cdn/shop/products/635-4.jpg?v=1640815398")</f>
        <v/>
      </c>
      <c r="H7716">
        <f>_xlfn.IMAGE("https://m.media-amazon.com/images/I/51lgiheW64L._AC_UL320_.jpg")</f>
        <v/>
      </c>
      <c r="K7716" t="inlineStr">
        <is>
          <t>54.99</t>
        </is>
      </c>
      <c r="L7716" t="n">
        <v>17.99</v>
      </c>
      <c r="M7716" s="1" t="inlineStr">
        <is>
          <t>-67.28%</t>
        </is>
      </c>
      <c r="N7716" s="7" t="n"/>
      <c r="O7716" t="n">
        <v>4.8</v>
      </c>
      <c r="P7716" t="n">
        <v>559</v>
      </c>
      <c r="R7716" t="inlineStr">
        <is>
          <t>InStock</t>
        </is>
      </c>
      <c r="S7716" t="inlineStr">
        <is>
          <t>83.32</t>
        </is>
      </c>
      <c r="T7716" t="inlineStr">
        <is>
          <t>7559649984728</t>
        </is>
      </c>
    </row>
    <row r="7717" hidden="1" ht="15.75" customHeight="1">
      <c r="A7717" s="2">
        <f>HYPERLINK("https://edmondsonsupply.com/collections/electricians-tools/products/diablo-tools-dmamx1020", "https://edmondsonsupply.com/collections/electricians-tools/products/diablo-tools-dmamx1020")</f>
        <v/>
      </c>
      <c r="B7717" s="2">
        <f>HYPERLINK("https://edmondsonsupply.com/products/diablo-tools-dmamx1020", "https://edmondsonsupply.com/products/diablo-tools-dmamx1020")</f>
        <v/>
      </c>
      <c r="C7717" t="inlineStr">
        <is>
          <t>Diablo Tools DMAMX1020 1/2 in. x 8 in. x 13 in. Rebar Demon SDS‑Max 4‑Cutter Full Carbide Head Hammer Bit</t>
        </is>
      </c>
      <c r="D7717" t="inlineStr">
        <is>
          <t>Diablo by Freud DMAPL4160 3/8 in. x 10 in. x 12 in. Rebar Demon SDS-Plus 4-Cutter Full Carbide Head Hammer Bit</t>
        </is>
      </c>
      <c r="E7717" s="2">
        <f>HYPERLINK("https://www.amazon.com/Diablo-Freud-DMAPL4160-SDS-Plus-4-Cutter/dp/B089KX25B7/ref=sr_1_30?keywords=Diablo+Tools+DMAMX1020+1%2F2+in.+x+8+in.+x+13+in.+Rebar+Demon+SDS%E2%80%91Max+4%E2%80%91Cutter+Full+Carbide+Head+Hammer+Bit&amp;qid=1694735268&amp;sr=8-30", "https://www.amazon.com/Diablo-Freud-DMAPL4160-SDS-Plus-4-Cutter/dp/B089KX25B7/ref=sr_1_30?keywords=Diablo+Tools+DMAMX1020+1%2F2+in.+x+8+in.+x+13+in.+Rebar+Demon+SDS%E2%80%91Max+4%E2%80%91Cutter+Full+Carbide+Head+Hammer+Bit&amp;qid=1694735268&amp;sr=8-30")</f>
        <v/>
      </c>
      <c r="F7717" t="inlineStr">
        <is>
          <t>B089KX25B7</t>
        </is>
      </c>
      <c r="G7717">
        <f>_xludf.IMAGE("https://edmondsonsupply.com/cdn/shop/products/DMAMX1020_Main-Image20200701.png?v=1609798895")</f>
        <v/>
      </c>
      <c r="H7717">
        <f>_xludf.IMAGE("https://m.media-amazon.com/images/I/61MHnm3+2bL._AC_UL320_.jpg")</f>
        <v/>
      </c>
      <c r="K7717" t="inlineStr">
        <is>
          <t>39.97</t>
        </is>
      </c>
      <c r="L7717" t="n">
        <v>13.01</v>
      </c>
      <c r="M7717" s="1" t="inlineStr">
        <is>
          <t>-67.45%</t>
        </is>
      </c>
      <c r="N7717" s="1" t="n"/>
      <c r="O7717" t="n">
        <v>4.5</v>
      </c>
      <c r="P7717" t="n">
        <v>39</v>
      </c>
      <c r="R7717" t="inlineStr">
        <is>
          <t>InStock</t>
        </is>
      </c>
      <c r="S7717" t="inlineStr">
        <is>
          <t>42.31</t>
        </is>
      </c>
      <c r="T7717" t="inlineStr">
        <is>
          <t>5463822598312</t>
        </is>
      </c>
    </row>
    <row r="7718" hidden="1" ht="15.75" customHeight="1">
      <c r="A7718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718" s="2">
        <f>HYPERLINK("https://edmondsonsupply.com/products/klein-tools-rt310-afci-gfci-outlet-tester", "https://edmondsonsupply.com/products/klein-tools-rt310-afci-gfci-outlet-tester")</f>
        <v/>
      </c>
      <c r="C7718" t="inlineStr">
        <is>
          <t>Klein Tools RT310 AFCI / GFCI Outlet Tester</t>
        </is>
      </c>
      <c r="D7718" t="inlineStr">
        <is>
          <t>Klein Tools ET310TRANS ET310 Circuit Breaker Finder Replacement Transmitter, Digital Circuit Breaker Finder, Integrated GFCI Outlet Tester</t>
        </is>
      </c>
      <c r="E7718" s="2">
        <f>HYPERLINK("https://www.amazon.com/Klein-Tools-ET310TRANS-Replacement-Transmitter/dp/B0B6PZ31KW/ref=sr_1_14?keywords=Klein+Tools+RT310+AFCI+%2F+GFCI+Outlet+Tester&amp;qid=1694734989&amp;sr=8-14", "https://www.amazon.com/Klein-Tools-ET310TRANS-Replacement-Transmitter/dp/B0B6PZ31KW/ref=sr_1_14?keywords=Klein+Tools+RT310+AFCI+%2F+GFCI+Outlet+Tester&amp;qid=1694734989&amp;sr=8-14")</f>
        <v/>
      </c>
      <c r="F7718" t="inlineStr">
        <is>
          <t>B0B6PZ31KW</t>
        </is>
      </c>
      <c r="G7718">
        <f>_xludf.IMAGE("https://edmondsonsupply.com/cdn/shop/products/rt310.jpg?v=1587148552")</f>
        <v/>
      </c>
      <c r="H7718">
        <f>_xludf.IMAGE("https://m.media-amazon.com/images/I/41ZLBVj0ZYL._AC_UL320_.jpg")</f>
        <v/>
      </c>
      <c r="K7718" t="inlineStr">
        <is>
          <t>39.97</t>
        </is>
      </c>
      <c r="L7718" t="n">
        <v>12.99</v>
      </c>
      <c r="M7718" s="1" t="inlineStr">
        <is>
          <t>-67.50%</t>
        </is>
      </c>
      <c r="N7718" s="1" t="n"/>
      <c r="O7718" t="n">
        <v>4.7</v>
      </c>
      <c r="P7718" t="n">
        <v>28</v>
      </c>
      <c r="R7718" t="inlineStr">
        <is>
          <t>InStock</t>
        </is>
      </c>
      <c r="S7718" t="inlineStr">
        <is>
          <t>57.9</t>
        </is>
      </c>
      <c r="T7718" t="inlineStr">
        <is>
          <t>3372527779940</t>
        </is>
      </c>
    </row>
    <row r="7719" hidden="1" ht="15.75" customHeight="1">
      <c r="A7719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7719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7719" t="inlineStr">
        <is>
          <t>Klein Tools 66004 2-in-1 Impact Socket, 6-Point, 3/4 and 9/16-Inch</t>
        </is>
      </c>
      <c r="D7719" t="inlineStr">
        <is>
          <t>Klein Tools 66076 Impact Driver Flip Socket, 9/16- and 1/2-Inch Sizes, Use with Klein Tools Compact Impact Wrenches BAT20CW, BAT20CW1</t>
        </is>
      </c>
      <c r="E7719" s="2">
        <f>HYPERLINK("https://www.amazon.com/Klein-Tools-66076-Wrenches-BAT20CW1/dp/B0B33L1X4F/ref=sr_1_16?keywords=Klein+Tools+66004+2-in-1+Impact+Socket%2C+6-Point%2C+3%2F4+and+9%2F16-Inch&amp;qid=1694735397&amp;sr=8-16", "https://www.amazon.com/Klein-Tools-66076-Wrenches-BAT20CW1/dp/B0B33L1X4F/ref=sr_1_16?keywords=Klein+Tools+66004+2-in-1+Impact+Socket%2C+6-Point%2C+3%2F4+and+9%2F16-Inch&amp;qid=1694735397&amp;sr=8-16")</f>
        <v/>
      </c>
      <c r="F7719" t="inlineStr">
        <is>
          <t>B0B33L1X4F</t>
        </is>
      </c>
      <c r="G7719">
        <f>_xludf.IMAGE("https://edmondsonsupply.com/cdn/shop/products/66004.jpg?v=1664131249")</f>
        <v/>
      </c>
      <c r="H7719">
        <f>_xludf.IMAGE("https://m.media-amazon.com/images/I/51DlQH9Po+L._AC_UL320_.jpg")</f>
        <v/>
      </c>
      <c r="K7719" t="inlineStr">
        <is>
          <t>39.99</t>
        </is>
      </c>
      <c r="L7719" t="n">
        <v>12.99</v>
      </c>
      <c r="M7719" s="1" t="inlineStr">
        <is>
          <t>-67.52%</t>
        </is>
      </c>
      <c r="N7719" s="1" t="n"/>
      <c r="O7719" t="n">
        <v>4.8</v>
      </c>
      <c r="P7719" t="n">
        <v>15</v>
      </c>
      <c r="R7719" t="inlineStr">
        <is>
          <t>InStock</t>
        </is>
      </c>
      <c r="S7719" t="inlineStr">
        <is>
          <t>68.0</t>
        </is>
      </c>
      <c r="T7719" t="inlineStr">
        <is>
          <t>4406308110436</t>
        </is>
      </c>
    </row>
    <row r="7720" ht="87" customHeight="1">
      <c r="A7720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720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720" t="inlineStr">
        <is>
          <t>Milwaukee 48-59-1812 M18™ &amp; M12™ Multi-Voltage Charger</t>
        </is>
      </c>
      <c r="D7720" t="inlineStr">
        <is>
          <t>Biswaye M-12 M18 Multi-Voltage Rapid Charger 48-59-1812 Compatible with Milwaukee 12V-18V Lithium Battery M-12 M18 M14 48-11-1850 48-11-1852 48-11-1828 48-11-2411 48-11-2460</t>
        </is>
      </c>
      <c r="E7720" s="2">
        <f>HYPERLINK("https://www.amazon.com/Biswaye-48-59-1812-48-11-2420-48-11-2440-48-11-1820/dp/B078X9YD57/ref=sr_1_4?keywords=Milwaukee+48-59-1812+M18%E2%84%A2+%26+M12%E2%84%A2+Multi-Voltage+Charger&amp;qid=1694735141&amp;sr=8-4", "https://www.amazon.com/Biswaye-48-59-1812-48-11-2420-48-11-2440-48-11-1820/dp/B078X9YD57/ref=sr_1_4?keywords=Milwaukee+48-59-1812+M18%E2%84%A2+%26+M12%E2%84%A2+Multi-Voltage+Charger&amp;qid=1694735141&amp;sr=8-4")</f>
        <v/>
      </c>
      <c r="F7720" t="inlineStr">
        <is>
          <t>B078X9YD57</t>
        </is>
      </c>
      <c r="G7720">
        <f>_xlfn.IMAGE("https://edmondsonsupply.com/cdn/shop/products/60113_48-59-1812_3-lg.webp?v=1656530513")</f>
        <v/>
      </c>
      <c r="H7720">
        <f>_xlfn.IMAGE("https://m.media-amazon.com/images/I/61vbxmdTU-L._AC_UL320_.jpg")</f>
        <v/>
      </c>
      <c r="K7720" t="inlineStr">
        <is>
          <t>79.0</t>
        </is>
      </c>
      <c r="L7720" t="n">
        <v>25.65</v>
      </c>
      <c r="M7720" s="1" t="inlineStr">
        <is>
          <t>-67.53%</t>
        </is>
      </c>
      <c r="N7720" s="7" t="n"/>
      <c r="O7720" t="n">
        <v>4.6</v>
      </c>
      <c r="P7720" t="n">
        <v>937</v>
      </c>
      <c r="R7720" t="inlineStr">
        <is>
          <t>InStock</t>
        </is>
      </c>
      <c r="S7720" t="inlineStr">
        <is>
          <t>126.0</t>
        </is>
      </c>
      <c r="T7720" t="inlineStr">
        <is>
          <t>7733079343320</t>
        </is>
      </c>
    </row>
    <row r="7721" hidden="1" ht="15.75" customHeight="1">
      <c r="A7721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721" s="2">
        <f>HYPERLINK("https://edmondsonsupply.com/products/klein-tools-rt310-afci-gfci-outlet-tester", "https://edmondsonsupply.com/products/klein-tools-rt310-afci-gfci-outlet-tester")</f>
        <v/>
      </c>
      <c r="C7721" t="inlineStr">
        <is>
          <t>Klein Tools RT310 AFCI / GFCI Outlet Tester</t>
        </is>
      </c>
      <c r="D7721" t="inlineStr">
        <is>
          <t>Klein Tools RT210 Outlet Tester, Receptacle Tester for GFCI / Standard North American AC Electrical Outlets, Detects Common Wiring Problems, Pack of 1, Factory</t>
        </is>
      </c>
      <c r="E7721" s="2">
        <f>HYPERLINK("https://www.amazon.com/Receptacle-Tester-Klein-Tools-RT210/dp/B01AKX8L0M/ref=sr_1_11?keywords=Klein+Tools+RT310+AFCI+%2F+GFCI+Outlet+Tester&amp;qid=1694734989&amp;sr=8-11", "https://www.amazon.com/Receptacle-Tester-Klein-Tools-RT210/dp/B01AKX8L0M/ref=sr_1_11?keywords=Klein+Tools+RT310+AFCI+%2F+GFCI+Outlet+Tester&amp;qid=1694734989&amp;sr=8-11")</f>
        <v/>
      </c>
      <c r="F7721" t="inlineStr">
        <is>
          <t>B01AKX8L0M</t>
        </is>
      </c>
      <c r="G7721">
        <f>_xludf.IMAGE("https://edmondsonsupply.com/cdn/shop/products/rt310.jpg?v=1587148552")</f>
        <v/>
      </c>
      <c r="H7721">
        <f>_xludf.IMAGE("https://m.media-amazon.com/images/I/5143f577xkL._AC_UL320_.jpg")</f>
        <v/>
      </c>
      <c r="K7721" t="inlineStr">
        <is>
          <t>39.97</t>
        </is>
      </c>
      <c r="L7721" t="n">
        <v>12.97</v>
      </c>
      <c r="M7721" s="1" t="inlineStr">
        <is>
          <t>-67.55%</t>
        </is>
      </c>
      <c r="N7721" s="1" t="n"/>
      <c r="O7721" t="n">
        <v>4.8</v>
      </c>
      <c r="P7721" t="n">
        <v>7911</v>
      </c>
      <c r="R7721" t="inlineStr">
        <is>
          <t>InStock</t>
        </is>
      </c>
      <c r="S7721" t="inlineStr">
        <is>
          <t>57.9</t>
        </is>
      </c>
      <c r="T7721" t="inlineStr">
        <is>
          <t>3372527779940</t>
        </is>
      </c>
    </row>
    <row r="7722" hidden="1" ht="15.75" customHeight="1">
      <c r="A7722" s="2">
        <f>HYPERLINK("https://edmondsonsupply.com/collections/electricians-tools/products/klein-tools-rt310-afci-gfci-outlet-tester", "https://edmondsonsupply.com/collections/electricians-tools/products/klein-tools-rt310-afci-gfci-outlet-tester")</f>
        <v/>
      </c>
      <c r="B7722" s="2">
        <f>HYPERLINK("https://edmondsonsupply.com/products/klein-tools-rt310-afci-gfci-outlet-tester", "https://edmondsonsupply.com/products/klein-tools-rt310-afci-gfci-outlet-tester")</f>
        <v/>
      </c>
      <c r="C7722" t="inlineStr">
        <is>
          <t>Klein Tools RT310 AFCI / GFCI Outlet Tester</t>
        </is>
      </c>
      <c r="D7722" t="inlineStr">
        <is>
          <t>Breaker Finder Case Compatible with Klein Tools ET310 AC Circuit Breaker Finder &amp; Outlet Repair Tool Kit RT250 GFCI Receptacle Tester, Electrical Tools Storage Organizer Bag for Accessories (Box Only)</t>
        </is>
      </c>
      <c r="E7722" s="2">
        <f>HYPERLINK("https://www.amazon.com/Compatible-Receptacle-Electrical-Organizer-Accessories/dp/B0B5L3XRCD/ref=sr_1_42?keywords=Klein+Tools+RT310+AFCI+%2F+GFCI+Outlet+Tester&amp;qid=1694734989&amp;sr=8-42", "https://www.amazon.com/Compatible-Receptacle-Electrical-Organizer-Accessories/dp/B0B5L3XRCD/ref=sr_1_42?keywords=Klein+Tools+RT310+AFCI+%2F+GFCI+Outlet+Tester&amp;qid=1694734989&amp;sr=8-42")</f>
        <v/>
      </c>
      <c r="F7722" t="inlineStr">
        <is>
          <t>B0B5L3XRCD</t>
        </is>
      </c>
      <c r="G7722">
        <f>_xludf.IMAGE("https://edmondsonsupply.com/cdn/shop/products/rt310.jpg?v=1587148552")</f>
        <v/>
      </c>
      <c r="H7722">
        <f>_xludf.IMAGE("https://m.media-amazon.com/images/I/7132HbPkwGL._AC_UL320_.jpg")</f>
        <v/>
      </c>
      <c r="K7722" t="inlineStr">
        <is>
          <t>39.97</t>
        </is>
      </c>
      <c r="L7722" t="n">
        <v>12.86</v>
      </c>
      <c r="M7722" s="1" t="inlineStr">
        <is>
          <t>-67.83%</t>
        </is>
      </c>
      <c r="N7722" s="1" t="n"/>
      <c r="O7722" t="n">
        <v>3.8</v>
      </c>
      <c r="P7722" t="n">
        <v>4</v>
      </c>
      <c r="R7722" t="inlineStr">
        <is>
          <t>InStock</t>
        </is>
      </c>
      <c r="S7722" t="inlineStr">
        <is>
          <t>57.9</t>
        </is>
      </c>
      <c r="T7722" t="inlineStr">
        <is>
          <t>3372527779940</t>
        </is>
      </c>
    </row>
    <row r="7723" hidden="1" ht="15.75" customHeight="1">
      <c r="A7723" s="2">
        <f>HYPERLINK("https://edmondsonsupply.com/collections/electricians-tools/products/greenlee-dtap6-32-drill-tap-6-32", "https://edmondsonsupply.com/collections/electricians-tools/products/greenlee-dtap6-32-drill-tap-6-32")</f>
        <v/>
      </c>
      <c r="B7723" s="2">
        <f>HYPERLINK("https://edmondsonsupply.com/products/greenlee-dtap6-32-drill-tap-6-32", "https://edmondsonsupply.com/products/greenlee-dtap6-32-drill-tap-6-32")</f>
        <v/>
      </c>
      <c r="C7723" t="inlineStr">
        <is>
          <t>Greenlee DTAP6-32 Drill/Tap, 6-32</t>
        </is>
      </c>
      <c r="D7723" t="inlineStr">
        <is>
          <t>Drill America-DWT57072 6-32 High Speed Steel 2 Flute Spiral Point Tap, DWT Series</t>
        </is>
      </c>
      <c r="E7723" s="2">
        <f>HYPERLINK("https://www.amazon.com/Drill-America-DWT57072-Qualtech-High-Speed/dp/B00BD5OYG2/ref=sr_1_36?keywords=Greenlee+DTAP6-32+Drill%2FTap%2C+6-32&amp;qid=1694735395&amp;sr=8-36", "https://www.amazon.com/Drill-America-DWT57072-Qualtech-High-Speed/dp/B00BD5OYG2/ref=sr_1_36?keywords=Greenlee+DTAP6-32+Drill%2FTap%2C+6-32&amp;qid=1694735395&amp;sr=8-36")</f>
        <v/>
      </c>
      <c r="F7723" t="inlineStr">
        <is>
          <t>B00BD5OYG2</t>
        </is>
      </c>
      <c r="G7723">
        <f>_xludf.IMAGE("https://edmondsonsupply.com/cdn/shop/products/6-32.jpg?v=1587149860")</f>
        <v/>
      </c>
      <c r="H7723">
        <f>_xludf.IMAGE("https://m.media-amazon.com/images/I/61wJyK5k6FL._AC_UL320_.jpg")</f>
        <v/>
      </c>
      <c r="K7723" t="inlineStr">
        <is>
          <t>8.99</t>
        </is>
      </c>
      <c r="L7723" t="n">
        <v>2.89</v>
      </c>
      <c r="M7723" s="1" t="inlineStr">
        <is>
          <t>-67.85%</t>
        </is>
      </c>
      <c r="N7723" s="1" t="n"/>
      <c r="O7723" t="n">
        <v>4.4</v>
      </c>
      <c r="P7723" t="n">
        <v>1279</v>
      </c>
      <c r="R7723" t="inlineStr">
        <is>
          <t>OutOfStock</t>
        </is>
      </c>
      <c r="S7723" t="inlineStr">
        <is>
          <t>9.7</t>
        </is>
      </c>
      <c r="T7723" t="inlineStr">
        <is>
          <t>4395858395236</t>
        </is>
      </c>
    </row>
    <row r="7724" hidden="1" ht="15.75" customHeight="1">
      <c r="A7724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724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724" t="inlineStr">
        <is>
          <t>Klein Tools JTH9E17 1/2-Inch Hex Key with Journeyman T-Handle, 9-Inch</t>
        </is>
      </c>
      <c r="D7724" t="inlineStr">
        <is>
          <t>Klein Tools JTH4E15 3/8-Inch Hex Key with Journeyman T-Handle, 4-Inch</t>
        </is>
      </c>
      <c r="E7724" s="2">
        <f>HYPERLINK("https://www.amazon.com/Klein-Tools-JTH4E15-Journeyman-T-Handle/dp/B004LR4MO8/ref=sr_1_10?keywords=Klein+Tools+JTH9E17+1%2F2-Inch+Hex+Key+with+Journeyman+T-Handle%2C+9-Inch&amp;qid=1694735337&amp;sr=8-10", "https://www.amazon.com/Klein-Tools-JTH4E15-Journeyman-T-Handle/dp/B004LR4MO8/ref=sr_1_10?keywords=Klein+Tools+JTH9E17+1%2F2-Inch+Hex+Key+with+Journeyman+T-Handle%2C+9-Inch&amp;qid=1694735337&amp;sr=8-10")</f>
        <v/>
      </c>
      <c r="F7724" t="inlineStr">
        <is>
          <t>B004LR4MO8</t>
        </is>
      </c>
      <c r="G7724">
        <f>_xludf.IMAGE("https://edmondsonsupply.com/cdn/shop/products/jth9e12_c458fab1-bd79-4a70-ae62-7e6646bd3d84.jpg?v=1587146369")</f>
        <v/>
      </c>
      <c r="H7724">
        <f>_xludf.IMAGE("https://m.media-amazon.com/images/I/41onH0Q9stL._AC_UL320_.jpg")</f>
        <v/>
      </c>
      <c r="K7724" t="inlineStr">
        <is>
          <t>23.99</t>
        </is>
      </c>
      <c r="L7724" t="n">
        <v>7.7</v>
      </c>
      <c r="M7724" s="1" t="inlineStr">
        <is>
          <t>-67.90%</t>
        </is>
      </c>
      <c r="N7724" s="1" t="n"/>
      <c r="O7724" t="n">
        <v>4.8</v>
      </c>
      <c r="P7724" t="n">
        <v>2477</v>
      </c>
      <c r="R7724" t="inlineStr">
        <is>
          <t>InStock</t>
        </is>
      </c>
      <c r="S7724" t="inlineStr">
        <is>
          <t>36.36</t>
        </is>
      </c>
      <c r="T7724" t="inlineStr">
        <is>
          <t>4505575981156</t>
        </is>
      </c>
    </row>
    <row r="7725" hidden="1" ht="15.75" customHeight="1">
      <c r="A7725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725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725" t="inlineStr">
        <is>
          <t>Klein Tools NCVT-2P Dual Range Non-Contact Voltage Tester 12 - 1000V AC</t>
        </is>
      </c>
      <c r="D7725" t="inlineStr">
        <is>
          <t>NEIKO 40524A Electrical Tester, Non Contact Voltage Tester, AC Voltage Detector, 50/60Hz Circuits, Dual Range 12V-48V / 48V-1000V, Electric Tester Pen, Electricity Tester Tool, Audio &amp; LED Indicator</t>
        </is>
      </c>
      <c r="E7725" s="2">
        <f>HYPERLINK("https://www.amazon.com/40524A-Electrical-48V-1000V-Electricity-Indicator/dp/B0BQTQTKLW/ref=sr_1_41?keywords=Klein+Tools+NCVT-2P+Dual+Range+Non-Contact+Voltage+Tester+12+-+1000V+AC&amp;qid=1694735236&amp;sr=8-41", "https://www.amazon.com/40524A-Electrical-48V-1000V-Electricity-Indicator/dp/B0BQTQTKLW/ref=sr_1_41?keywords=Klein+Tools+NCVT-2P+Dual+Range+Non-Contact+Voltage+Tester+12+-+1000V+AC&amp;qid=1694735236&amp;sr=8-41")</f>
        <v/>
      </c>
      <c r="F7725" t="inlineStr">
        <is>
          <t>B0BQTQTKLW</t>
        </is>
      </c>
      <c r="G7725">
        <f>_xludf.IMAGE("https://edmondsonsupply.com/cdn/shop/products/ncvt2p.jpg?v=1633030824")</f>
        <v/>
      </c>
      <c r="H7725">
        <f>_xludf.IMAGE("https://m.media-amazon.com/images/I/616Cb1RXRWL._AC_UL320_.jpg")</f>
        <v/>
      </c>
      <c r="K7725" t="inlineStr">
        <is>
          <t>27.97</t>
        </is>
      </c>
      <c r="L7725" t="n">
        <v>8.970000000000001</v>
      </c>
      <c r="M7725" s="1" t="inlineStr">
        <is>
          <t>-67.93%</t>
        </is>
      </c>
      <c r="N7725" s="1" t="n"/>
      <c r="O7725" t="n">
        <v>4.6</v>
      </c>
      <c r="P7725" t="n">
        <v>868</v>
      </c>
      <c r="R7725" t="inlineStr">
        <is>
          <t>InStock</t>
        </is>
      </c>
      <c r="S7725" t="inlineStr">
        <is>
          <t>35.76</t>
        </is>
      </c>
      <c r="T7725" t="inlineStr">
        <is>
          <t>6080875626669</t>
        </is>
      </c>
    </row>
    <row r="7726" ht="87" customHeight="1">
      <c r="A7726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726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726" t="inlineStr">
        <is>
          <t>Diablo Tools DMAPL4140-P25 3/8 in. x 4 in. x 6 in. Rebar Demon™ SDS-Plus 4-Cutter Full Carbide Head Hammer Bit (25-Pack)</t>
        </is>
      </c>
      <c r="D7726" t="inlineStr">
        <is>
          <t>Diablo by Freud DMAPL4300 1 in. x 8 in. x 10 in. Rebar Demon™ SDS-Plus 4-Cutter Full Carbide Head Hammer Bit</t>
        </is>
      </c>
      <c r="E7726" s="2" t="n"/>
      <c r="F7726" t="inlineStr">
        <is>
          <t>B089LL8JD8</t>
        </is>
      </c>
      <c r="G7726">
        <f>_xlfn.IMAGE("https://edmondsonsupply.com/cdn/shop/products/DMAPL4140-P25.jpg?v=1633030354")</f>
        <v/>
      </c>
      <c r="H7726">
        <f>_xlfn.IMAGE("https://m.media-amazon.com/images/I/616UiJGsK1L._AC_UL320_.jpg")</f>
        <v/>
      </c>
      <c r="K7726" t="inlineStr">
        <is>
          <t>105.97</t>
        </is>
      </c>
      <c r="L7726" t="n">
        <v>33.95</v>
      </c>
      <c r="M7726" s="1" t="inlineStr">
        <is>
          <t>-67.96%</t>
        </is>
      </c>
      <c r="N7726" s="7" t="n"/>
      <c r="O7726" t="n">
        <v>4.5</v>
      </c>
      <c r="P7726" t="n">
        <v>16</v>
      </c>
      <c r="R7726" t="inlineStr">
        <is>
          <t>InStock</t>
        </is>
      </c>
      <c r="S7726" t="inlineStr">
        <is>
          <t>153.56</t>
        </is>
      </c>
      <c r="T7726" t="inlineStr">
        <is>
          <t>5286131794088</t>
        </is>
      </c>
    </row>
    <row r="7727" hidden="1" ht="15.75" customHeight="1">
      <c r="A7727" s="2">
        <f>HYPERLINK("https://edmondsonsupply.com/collections/electricians-tools/products/klein-tools-32900-7-in-1-impact-flip-socket-with-handle", "https://edmondsonsupply.com/collections/electricians-tools/products/klein-tools-32900-7-in-1-impact-flip-socket-with-handle")</f>
        <v/>
      </c>
      <c r="B7727" s="2">
        <f>HYPERLINK("https://edmondsonsupply.com/products/klein-tools-32900-7-in-1-impact-flip-socket-with-handle", "https://edmondsonsupply.com/products/klein-tools-32900-7-in-1-impact-flip-socket-with-handle")</f>
        <v/>
      </c>
      <c r="C7727" t="inlineStr">
        <is>
          <t>Klein Tools 32900 7-in-1 Impact Flip Socket with Handle</t>
        </is>
      </c>
      <c r="D7727" t="inlineStr">
        <is>
          <t>Klein Tools 66079 Impact Flip Socket Adapter, Small 1/4 to 1/4 -Inch Hex Adapter, Use with Klein Tools Flip Impact Socket Set 66070</t>
        </is>
      </c>
      <c r="E7727" s="2">
        <f>HYPERLINK("https://www.amazon.com/Klein-Tools-66079-Impact-Adapter/dp/B0B33WGYX5/ref=sr_1_20?keywords=Klein+Tools+32900+7-in-1+Impact+Flip+Socket+with+Handle&amp;qid=1694735103&amp;sr=8-20", "https://www.amazon.com/Klein-Tools-66079-Impact-Adapter/dp/B0B33WGYX5/ref=sr_1_20?keywords=Klein+Tools+32900+7-in-1+Impact+Flip+Socket+with+Handle&amp;qid=1694735103&amp;sr=8-20")</f>
        <v/>
      </c>
      <c r="F7727" t="inlineStr">
        <is>
          <t>B0B33WGYX5</t>
        </is>
      </c>
      <c r="G7727">
        <f>_xludf.IMAGE("https://edmondsonsupply.com/cdn/shop/products/32900_b.jpg?v=1666024787")</f>
        <v/>
      </c>
      <c r="H7727">
        <f>_xludf.IMAGE("https://m.media-amazon.com/images/I/41eZRUf3qGL._AC_UL320_.jpg")</f>
        <v/>
      </c>
      <c r="K7727" t="inlineStr">
        <is>
          <t>29.97</t>
        </is>
      </c>
      <c r="L7727" t="n">
        <v>9.6</v>
      </c>
      <c r="M7727" s="1" t="inlineStr">
        <is>
          <t>-67.97%</t>
        </is>
      </c>
      <c r="N7727" s="1" t="n"/>
      <c r="O7727" t="n">
        <v>3.8</v>
      </c>
      <c r="P7727" t="n">
        <v>5</v>
      </c>
      <c r="R7727" t="inlineStr">
        <is>
          <t>InStock</t>
        </is>
      </c>
      <c r="S7727" t="inlineStr">
        <is>
          <t>45.0</t>
        </is>
      </c>
      <c r="T7727" t="inlineStr">
        <is>
          <t>7856651239640</t>
        </is>
      </c>
    </row>
    <row r="7728" ht="87" customHeight="1">
      <c r="A7728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728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728" t="inlineStr">
        <is>
          <t>Klein Tools ET310 Digital Circuit Breaker Finder with GFCI Outlet Tester</t>
        </is>
      </c>
      <c r="D7728" t="inlineStr">
        <is>
          <t>ProCase Hard Travel Case for Klein Tools ET310 AC Circuit Breaker Finder and Integrated GFCI Outlet Tester, EVA Protective Storage Carrying Case with 2 Cable Ties and Inner Mesh Pocket -Black</t>
        </is>
      </c>
      <c r="E7728" s="2">
        <f>HYPERLINK("https://www.amazon.com/ProCase-Circuit-Integrated-Protective-Carrying/dp/B093F88FSM/ref=sr_1_13?keywords=Klein+Tools+ET310+Digital+Circuit+Breaker+Finder+with+GFCI+Outlet+Tester&amp;qid=1694734974&amp;sr=8-13", "https://www.amazon.com/ProCase-Circuit-Integrated-Protective-Carrying/dp/B093F88FSM/ref=sr_1_13?keywords=Klein+Tools+ET310+Digital+Circuit+Breaker+Finder+with+GFCI+Outlet+Tester&amp;qid=1694734974&amp;sr=8-13")</f>
        <v/>
      </c>
      <c r="F7728" t="inlineStr">
        <is>
          <t>B093F88FSM</t>
        </is>
      </c>
      <c r="G7728">
        <f>_xlfn.IMAGE("https://edmondsonsupply.com/cdn/shop/products/et310_c.jpg?v=1646963918")</f>
        <v/>
      </c>
      <c r="H7728">
        <f>_xlfn.IMAGE("https://m.media-amazon.com/images/I/81gtfQjemCS._AC_UL320_.jpg")</f>
        <v/>
      </c>
      <c r="K7728" t="inlineStr">
        <is>
          <t>49.97</t>
        </is>
      </c>
      <c r="L7728" t="n">
        <v>15.99</v>
      </c>
      <c r="M7728" s="1" t="inlineStr">
        <is>
          <t>-68.00%</t>
        </is>
      </c>
      <c r="N7728" s="7" t="n"/>
      <c r="O7728" t="n">
        <v>4.4</v>
      </c>
      <c r="P7728" t="n">
        <v>190</v>
      </c>
      <c r="R7728" t="inlineStr">
        <is>
          <t>InStock</t>
        </is>
      </c>
      <c r="S7728" t="inlineStr">
        <is>
          <t>75.1</t>
        </is>
      </c>
      <c r="T7728" t="inlineStr">
        <is>
          <t>3389551280228</t>
        </is>
      </c>
    </row>
    <row r="7729" ht="87" customHeight="1">
      <c r="A7729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729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729" t="inlineStr">
        <is>
          <t>Klein Tools ET310 Digital Circuit Breaker Finder with GFCI Outlet Tester</t>
        </is>
      </c>
      <c r="D7729" t="inlineStr">
        <is>
          <t>SITHON Case Compatible with Klein Tools ET310 AC Circuit Breaker Finder, 80041 Outlet Repair Tool Kit &amp; RT250 GFCI Receptacle Tester, Hard Shell Electrical Tools Storage Organizer Bag (Case Only)</t>
        </is>
      </c>
      <c r="E7729" s="2">
        <f>HYPERLINK("https://www.amazon.com/SITHON-Compatible-Receptacle-Electrical-Organizer/dp/B0BJ6TDB8P/ref=sr_1_28?keywords=Klein+Tools+ET310+Digital+Circuit+Breaker+Finder+with+GFCI+Outlet+Tester&amp;qid=1694734974&amp;sr=8-28", "https://www.amazon.com/SITHON-Compatible-Receptacle-Electrical-Organizer/dp/B0BJ6TDB8P/ref=sr_1_28?keywords=Klein+Tools+ET310+Digital+Circuit+Breaker+Finder+with+GFCI+Outlet+Tester&amp;qid=1694734974&amp;sr=8-28")</f>
        <v/>
      </c>
      <c r="F7729" t="inlineStr">
        <is>
          <t>B0BJ6TDB8P</t>
        </is>
      </c>
      <c r="G7729">
        <f>_xlfn.IMAGE("https://edmondsonsupply.com/cdn/shop/products/et310_c.jpg?v=1646963918")</f>
        <v/>
      </c>
      <c r="H7729">
        <f>_xlfn.IMAGE("https://m.media-amazon.com/images/I/81Awn7PmRdL._AC_UL320_.jpg")</f>
        <v/>
      </c>
      <c r="K7729" t="inlineStr">
        <is>
          <t>49.97</t>
        </is>
      </c>
      <c r="L7729" t="n">
        <v>15.99</v>
      </c>
      <c r="M7729" s="1" t="inlineStr">
        <is>
          <t>-68.00%</t>
        </is>
      </c>
      <c r="N7729" s="7" t="n"/>
      <c r="O7729" t="n">
        <v>4.9</v>
      </c>
      <c r="P7729" t="n">
        <v>14</v>
      </c>
      <c r="R7729" t="inlineStr">
        <is>
          <t>InStock</t>
        </is>
      </c>
      <c r="S7729" t="inlineStr">
        <is>
          <t>75.1</t>
        </is>
      </c>
      <c r="T7729" t="inlineStr">
        <is>
          <t>3389551280228</t>
        </is>
      </c>
    </row>
    <row r="7730" hidden="1" ht="15.75" customHeight="1">
      <c r="A7730" s="2">
        <f>HYPERLINK("https://edmondsonsupply.com/collections/electricians-tools/products/klein-tools-et920-usb-digital-meter-usb-a-and-usb-c", "https://edmondsonsupply.com/collections/electricians-tools/products/klein-tools-et920-usb-digital-meter-usb-a-and-usb-c")</f>
        <v/>
      </c>
      <c r="B7730" s="2">
        <f>HYPERLINK("https://edmondsonsupply.com/products/klein-tools-et920-usb-digital-meter-usb-a-and-usb-c", "https://edmondsonsupply.com/products/klein-tools-et920-usb-digital-meter-usb-a-and-usb-c")</f>
        <v/>
      </c>
      <c r="C7730" t="inlineStr">
        <is>
          <t>Klein Tools ET920 USB Digital Meter, USB-A and USB-C</t>
        </is>
      </c>
      <c r="D7730" t="inlineStr">
        <is>
          <t>YOJOCK USB C Tester Power Meter 4-30V 0-6.5A Digital Multimeter, Type C Voltage and Current Tester Meter, Power Bank Capacity, Working Time Ammeter Voltmeter USB Cable Charger Detector</t>
        </is>
      </c>
      <c r="E7730" s="2">
        <f>HYPERLINK("https://www.amazon.com/YOJOCK-Multimeter-Capacity-Voltmeter-Detector/dp/B0B99Z2GJK/ref=sr_1_4?keywords=Klein+Tools+ET920+USB+Digital+Meter%2C+USB-A+and+USB-C&amp;qid=1694735169&amp;sr=8-4", "https://www.amazon.com/YOJOCK-Multimeter-Capacity-Voltmeter-Detector/dp/B0B99Z2GJK/ref=sr_1_4?keywords=Klein+Tools+ET920+USB+Digital+Meter%2C+USB-A+and+USB-C&amp;qid=1694735169&amp;sr=8-4")</f>
        <v/>
      </c>
      <c r="F7730" t="inlineStr">
        <is>
          <t>B0B99Z2GJK</t>
        </is>
      </c>
      <c r="G7730">
        <f>_xludf.IMAGE("https://edmondsonsupply.com/cdn/shop/products/et920.jpg?v=1642643803")</f>
        <v/>
      </c>
      <c r="H7730">
        <f>_xludf.IMAGE("https://m.media-amazon.com/images/I/618dV4sHrLL._AC_UL320_.jpg")</f>
        <v/>
      </c>
      <c r="K7730" t="inlineStr">
        <is>
          <t>39.97</t>
        </is>
      </c>
      <c r="L7730" t="n">
        <v>12.74</v>
      </c>
      <c r="M7730" s="1" t="inlineStr">
        <is>
          <t>-68.13%</t>
        </is>
      </c>
      <c r="N7730" s="1" t="n"/>
      <c r="O7730" t="n">
        <v>4.3</v>
      </c>
      <c r="P7730" t="n">
        <v>219</v>
      </c>
      <c r="R7730" t="inlineStr">
        <is>
          <t>InStock</t>
        </is>
      </c>
      <c r="S7730" t="inlineStr">
        <is>
          <t>47.98</t>
        </is>
      </c>
      <c r="T7730" t="inlineStr">
        <is>
          <t>7584862372056</t>
        </is>
      </c>
    </row>
    <row r="7731" hidden="1" ht="15.75" customHeight="1">
      <c r="A7731" s="2">
        <f>HYPERLINK("https://edmondsonsupply.com/collections/electricians-tools/products/klein-tools-602-4-ins-1-4-inch-cabinet-tip-insulated-screwdriver-4-inch", "https://edmondsonsupply.com/collections/electricians-tools/products/klein-tools-602-4-ins-1-4-inch-cabinet-tip-insulated-screwdriver-4-inch")</f>
        <v/>
      </c>
      <c r="B7731" s="2">
        <f>HYPERLINK("https://edmondsonsupply.com/products/klein-tools-602-4-ins-1-4-inch-cabinet-tip-insulated-screwdriver-4-inch", "https://edmondsonsupply.com/products/klein-tools-602-4-ins-1-4-inch-cabinet-tip-insulated-screwdriver-4-inch")</f>
        <v/>
      </c>
      <c r="C7731" t="inlineStr">
        <is>
          <t>Klein Tools 602-4-INS 1/4-Inch Cabinet Tip Insulated Screwdriver, 4-Inch</t>
        </is>
      </c>
      <c r="D7731" t="inlineStr">
        <is>
          <t>Klein Tools A216-4 1/8-Inch Cabinet-Tip Flat Head Screwdriver with 4-Inch Round Shank and Comfordome Handle</t>
        </is>
      </c>
      <c r="E7731" s="2">
        <f>HYPERLINK("https://www.amazon.com/Cabinet-Tip-Screwdriver-Klein-Tools-A216-4/dp/B00093GC28/ref=sr_1_17?keywords=Klein+Tools+602-4-INS+1%2F4-Inch+Cabinet+Tip+Insulated+Screwdriver%2C+4-Inch&amp;qid=1694735209&amp;sr=8-17", "https://www.amazon.com/Cabinet-Tip-Screwdriver-Klein-Tools-A216-4/dp/B00093GC28/ref=sr_1_17?keywords=Klein+Tools+602-4-INS+1%2F4-Inch+Cabinet+Tip+Insulated+Screwdriver%2C+4-Inch&amp;qid=1694735209&amp;sr=8-17")</f>
        <v/>
      </c>
      <c r="F7731" t="inlineStr">
        <is>
          <t>B00093GC28</t>
        </is>
      </c>
      <c r="G7731">
        <f>_xludf.IMAGE("https://edmondsonsupply.com/cdn/shop/products/602-4-ins-photo.jpg?v=1633031051")</f>
        <v/>
      </c>
      <c r="H7731">
        <f>_xludf.IMAGE("https://m.media-amazon.com/images/I/414kKbGezfL._AC_UL320_.jpg")</f>
        <v/>
      </c>
      <c r="K7731" t="inlineStr">
        <is>
          <t>20.99</t>
        </is>
      </c>
      <c r="L7731" t="n">
        <v>6.65</v>
      </c>
      <c r="M7731" s="1" t="inlineStr">
        <is>
          <t>-68.32%</t>
        </is>
      </c>
      <c r="N7731" s="1" t="n"/>
      <c r="O7731" t="n">
        <v>4.7</v>
      </c>
      <c r="P7731" t="n">
        <v>172</v>
      </c>
      <c r="R7731" t="inlineStr">
        <is>
          <t>InStock</t>
        </is>
      </c>
      <c r="S7731" t="inlineStr">
        <is>
          <t>31.8</t>
        </is>
      </c>
      <c r="T7731" t="inlineStr">
        <is>
          <t>6779496890541</t>
        </is>
      </c>
    </row>
    <row r="7732" hidden="1" ht="15.75" customHeight="1">
      <c r="A7732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732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732" t="inlineStr">
        <is>
          <t>Diablo Tools DMAPL4310 1 in. x 16 in. x 18 in. Rebar Demon™ SDS-Plus 4-Cutter Full Carbide Head Hammer Drill Bit</t>
        </is>
      </c>
      <c r="D7732" t="inlineStr">
        <is>
          <t>Diablo DMAPL4055 3/16 in. x 10 in. x 12 in. Rebar Demon™ SDS-Plus 4-Cutter Full Carbide Head Hammer Bit</t>
        </is>
      </c>
      <c r="E7732" s="2">
        <f>HYPERLINK("https://www.amazon.com/Diablo-DMAPL4055-SDS-Plus-4-Cutter-Carbide/dp/B089LJCD42/ref=sr_1_25?keywords=Diablo+Tools+DMAPL4310+1+in.+x+16+in.+x+18+in.+Rebar+Demon%E2%84%A2+SDS-Plus+4-Cutter+Full+Carbide+Head+Hammer+Drill+Bit&amp;qid=1694735204&amp;sr=8-25", "https://www.amazon.com/Diablo-DMAPL4055-SDS-Plus-4-Cutter-Carbide/dp/B089LJCD42/ref=sr_1_25?keywords=Diablo+Tools+DMAPL4310+1+in.+x+16+in.+x+18+in.+Rebar+Demon%E2%84%A2+SDS-Plus+4-Cutter+Full+Carbide+Head+Hammer+Drill+Bit&amp;qid=1694735204&amp;sr=8-25")</f>
        <v/>
      </c>
      <c r="F7732" t="inlineStr">
        <is>
          <t>B089LJCD42</t>
        </is>
      </c>
      <c r="G7732">
        <f>_xludf.IMAGE("https://edmondsonsupply.com/cdn/shop/products/DMAPL4310_Main-Image20200701.png?v=1633031094")</f>
        <v/>
      </c>
      <c r="H7732">
        <f>_xludf.IMAGE("https://m.media-amazon.com/images/I/61cDOAhkb4L._AC_UL320_.jpg")</f>
        <v/>
      </c>
      <c r="K7732" t="inlineStr">
        <is>
          <t>49.97</t>
        </is>
      </c>
      <c r="L7732" t="n">
        <v>15.76</v>
      </c>
      <c r="M7732" s="1" t="inlineStr">
        <is>
          <t>-68.46%</t>
        </is>
      </c>
      <c r="N7732" s="1" t="n"/>
      <c r="O7732" t="n">
        <v>2</v>
      </c>
      <c r="P7732" t="n">
        <v>1</v>
      </c>
      <c r="R7732" t="inlineStr">
        <is>
          <t>InStock</t>
        </is>
      </c>
      <c r="S7732" t="inlineStr">
        <is>
          <t>57.56</t>
        </is>
      </c>
      <c r="T7732" t="inlineStr">
        <is>
          <t>6839830479021</t>
        </is>
      </c>
    </row>
    <row r="7733" hidden="1" ht="15.75" customHeight="1">
      <c r="A7733" s="2">
        <f>HYPERLINK("https://edmondsonsupply.com/collections/electricians-tools/products/diablo-tools-dmarg1210-1-in-x-10-in-x-12-in-speedemon%E2%84%A2-red-granite-carbide-tipped-hammer-drill-bit", "https://edmondsonsupply.com/collections/electricians-tools/products/diablo-tools-dmarg1210-1-in-x-10-in-x-12-in-speedemon%E2%84%A2-red-granite-carbide-tipped-hammer-drill-bit")</f>
        <v/>
      </c>
      <c r="B7733" s="2">
        <f>HYPERLINK("https://edmondsonsupply.com/products/diablo-tools-dmarg1210-1-in-x-10-in-x-12-in-speedemon%e2%84%a2-red-granite-carbide-tipped-hammer-drill-bit", "https://edmondsonsupply.com/products/diablo-tools-dmarg1210-1-in-x-10-in-x-12-in-speedemon%e2%84%a2-red-granite-carbide-tipped-hammer-drill-bit")</f>
        <v/>
      </c>
      <c r="C7733" t="inlineStr">
        <is>
          <t>Diablo Tools DMARG1210 1 in. x 10 in. x 12 in. SPEEDemon™ Red Granite Carbide Tipped Hammer Drill Bit</t>
        </is>
      </c>
      <c r="D7733" t="inlineStr">
        <is>
          <t>Diablo DMARG1110 5/16 in. x 8 in. x 10 in. SPEEDemon™ Red Granite Carbide Tipped Hammer Drill Bit</t>
        </is>
      </c>
      <c r="E7733" s="2">
        <f>HYPERLINK("https://www.amazon.com/Diablo-DMARG1110-SPEEDemon-Granite-Carbide/dp/B089LN9JJL/ref=sr_1_7?keywords=Diablo+Tools+DMARG1210+1+in.+x+10+in.+x+12+in.+SPEEDemon%E2%84%A2+Red+Granite+Carbide+Tipped+Hammer+Drill+Bit&amp;qid=1694735273&amp;sr=8-7", "https://www.amazon.com/Diablo-DMARG1110-SPEEDemon-Granite-Carbide/dp/B089LN9JJL/ref=sr_1_7?keywords=Diablo+Tools+DMARG1210+1+in.+x+10+in.+x+12+in.+SPEEDemon%E2%84%A2+Red+Granite+Carbide+Tipped+Hammer+Drill+Bit&amp;qid=1694735273&amp;sr=8-7")</f>
        <v/>
      </c>
      <c r="F7733" t="inlineStr">
        <is>
          <t>B089LN9JJL</t>
        </is>
      </c>
      <c r="G7733">
        <f>_xludf.IMAGE("https://edmondsonsupply.com/cdn/shop/products/DMARG1210_Main-Image20200702.png?v=1633030511")</f>
        <v/>
      </c>
      <c r="H7733">
        <f>_xludf.IMAGE("https://m.media-amazon.com/images/I/61Qf0cC1SJL._AC_UL320_.jpg")</f>
        <v/>
      </c>
      <c r="K7733" t="inlineStr">
        <is>
          <t>31.97</t>
        </is>
      </c>
      <c r="L7733" t="n">
        <v>10.03</v>
      </c>
      <c r="M7733" s="1" t="inlineStr">
        <is>
          <t>-68.63%</t>
        </is>
      </c>
      <c r="N7733" s="1" t="n"/>
      <c r="O7733" t="n">
        <v>4.2</v>
      </c>
      <c r="P7733" t="n">
        <v>5</v>
      </c>
      <c r="R7733" t="inlineStr">
        <is>
          <t>InStock</t>
        </is>
      </c>
      <c r="S7733" t="inlineStr">
        <is>
          <t>undefined</t>
        </is>
      </c>
      <c r="T7733" t="inlineStr">
        <is>
          <t>5386558177448</t>
        </is>
      </c>
    </row>
    <row r="7734" hidden="1" ht="15.75" customHeight="1">
      <c r="A7734" s="2">
        <f>HYPERLINK("https://edmondsonsupply.com/collections/electricians-tools/products/klein-tools-56999-conduit-locknut-wrench-1-2-and-3-4", "https://edmondsonsupply.com/collections/electricians-tools/products/klein-tools-56999-conduit-locknut-wrench-1-2-and-3-4")</f>
        <v/>
      </c>
      <c r="B7734" s="2">
        <f>HYPERLINK("https://edmondsonsupply.com/products/klein-tools-56999-conduit-locknut-wrench-1-2-and-3-4", "https://edmondsonsupply.com/products/klein-tools-56999-conduit-locknut-wrench-1-2-and-3-4")</f>
        <v/>
      </c>
      <c r="C7734" t="inlineStr">
        <is>
          <t>Klein Tools 56999 Conduit Locknut Wrench, Fits 1/2-Inch, 3/4-Inch</t>
        </is>
      </c>
      <c r="D7734" t="inlineStr">
        <is>
          <t>Klein Tools 50900R Conduit Lockout Wrench Set, Tighten and Loosen Locknuts in Tight Spaces, 1/2, 3/4 and 1-Inch, Offset Bends, 3-Piece</t>
        </is>
      </c>
      <c r="E7734" s="2">
        <f>HYPERLINK("https://www.amazon.com/Klein-Tools-Conduit-Lockout-Locknuts/dp/B0C5YSDYN1/ref=sr_1_2?keywords=Klein+Tools+56999+Conduit+Locknut+Wrench%2C+Fits+1%2F2-Inch%2C+3%2F4-Inch&amp;qid=1694735366&amp;sr=8-2", "https://www.amazon.com/Klein-Tools-Conduit-Lockout-Locknuts/dp/B0C5YSDYN1/ref=sr_1_2?keywords=Klein+Tools+56999+Conduit+Locknut+Wrench%2C+Fits+1%2F2-Inch%2C+3%2F4-Inch&amp;qid=1694735366&amp;sr=8-2")</f>
        <v/>
      </c>
      <c r="F7734" t="inlineStr">
        <is>
          <t>B0C5YSDYN1</t>
        </is>
      </c>
      <c r="G7734">
        <f>_xludf.IMAGE("https://edmondsonsupply.com/cdn/shop/products/56999_4ef0f8cb-992e-403e-9e4b-33f09f0768ac.jpg?v=1587143302")</f>
        <v/>
      </c>
      <c r="H7734">
        <f>_xludf.IMAGE("https://m.media-amazon.com/images/I/41LmUr65QhL._AC_UL320_.jpg")</f>
        <v/>
      </c>
      <c r="K7734" t="inlineStr">
        <is>
          <t>47.99</t>
        </is>
      </c>
      <c r="L7734" t="n">
        <v>14.97</v>
      </c>
      <c r="M7734" s="1" t="inlineStr">
        <is>
          <t>-68.81%</t>
        </is>
      </c>
      <c r="N7734" s="1" t="n"/>
      <c r="O7734" t="n">
        <v>4.5</v>
      </c>
      <c r="P7734" t="n">
        <v>102</v>
      </c>
      <c r="R7734" t="inlineStr">
        <is>
          <t>InStock</t>
        </is>
      </c>
      <c r="S7734" t="inlineStr">
        <is>
          <t>67.36</t>
        </is>
      </c>
      <c r="T7734" t="inlineStr">
        <is>
          <t>1778402197604</t>
        </is>
      </c>
    </row>
    <row r="7735" ht="87" customHeight="1">
      <c r="A7735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7735" s="2">
        <f>HYPERLINK("https://edmondsonsupply.com/products/klein-tools-66070-flip-impact-socket-set-7-piece", "https://edmondsonsupply.com/products/klein-tools-66070-flip-impact-socket-set-7-piece")</f>
        <v/>
      </c>
      <c r="C7735" t="inlineStr">
        <is>
          <t>Klein Tools 66070 Flip Impact Socket Set, 7-Piece</t>
        </is>
      </c>
      <c r="D7735" t="inlineStr">
        <is>
          <t>Klein Tools 66078 Impact Flip Socket Adapter, Large 1/2 to 1/2 -Inch Square Adapter, Use with Klein Tools Flip Impact Socket Set 66070</t>
        </is>
      </c>
      <c r="E7735" s="2">
        <f>HYPERLINK("https://www.amazon.com/Klein-Tools-66078-Impact-Adapter/dp/B0B33T15XS/ref=sr_1_16?keywords=Klein+Tools+66070+Flip+Impact+Socket+Set%2C+7-Piece&amp;qid=1694734974&amp;sr=8-16", "https://www.amazon.com/Klein-Tools-66078-Impact-Adapter/dp/B0B33T15XS/ref=sr_1_16?keywords=Klein+Tools+66070+Flip+Impact+Socket+Set%2C+7-Piece&amp;qid=1694734974&amp;sr=8-16")</f>
        <v/>
      </c>
      <c r="F7735" t="inlineStr">
        <is>
          <t>B0B33T15XS</t>
        </is>
      </c>
      <c r="G7735">
        <f>_xlfn.IMAGE("https://edmondsonsupply.com/cdn/shop/products/66070_b.jpg?v=1663251434")</f>
        <v/>
      </c>
      <c r="H7735">
        <f>_xlfn.IMAGE("https://m.media-amazon.com/images/I/51cFYcsM3kL._AC_UL320_.jpg")</f>
        <v/>
      </c>
      <c r="K7735" t="inlineStr">
        <is>
          <t>49.97</t>
        </is>
      </c>
      <c r="L7735" t="n">
        <v>15.58</v>
      </c>
      <c r="M7735" s="1" t="inlineStr">
        <is>
          <t>-68.82%</t>
        </is>
      </c>
      <c r="N7735" s="7" t="n"/>
      <c r="O7735" t="n">
        <v>5</v>
      </c>
      <c r="P7735" t="n">
        <v>1</v>
      </c>
      <c r="R7735" t="inlineStr">
        <is>
          <t>InStock</t>
        </is>
      </c>
      <c r="S7735" t="inlineStr">
        <is>
          <t>69.98</t>
        </is>
      </c>
      <c r="T7735" t="inlineStr">
        <is>
          <t>7817421127896</t>
        </is>
      </c>
    </row>
    <row r="7736" hidden="1" ht="15.75" customHeight="1">
      <c r="A7736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736" s="2">
        <f>HYPERLINK("https://edmondsonsupply.com/products/klein-tools-31900-bi-metal-hole-saw-6-3-8-inch", "https://edmondsonsupply.com/products/klein-tools-31900-bi-metal-hole-saw-6-3-8-inch")</f>
        <v/>
      </c>
      <c r="C7736" t="inlineStr">
        <is>
          <t>Klein Tools 31900 Bi-Metal Hole Saw, 6-3/8-Inch</t>
        </is>
      </c>
      <c r="D7736" t="inlineStr">
        <is>
          <t>Klein Tools 31948 3-Inch Bi-Metal Hole Saw for Steel Cutting, Heavy-Duty Hole Saw with Multiple Leverage, Cuts Iron, Aluminum, Wood, Plastic</t>
        </is>
      </c>
      <c r="E7736" s="2">
        <f>HYPERLINK("https://www.amazon.com/Bi-Metal-3-Inch-Klein-Tools-31948/dp/B0198751L8/ref=sr_1_5?keywords=Klein+Tools+31900+Bi-Metal+Hole+Saw%2C+6-3%2F8-Inch&amp;qid=1694735340&amp;sr=8-5", "https://www.amazon.com/Bi-Metal-3-Inch-Klein-Tools-31948/dp/B0198751L8/ref=sr_1_5?keywords=Klein+Tools+31900+Bi-Metal+Hole+Saw%2C+6-3%2F8-Inch&amp;qid=1694735340&amp;sr=8-5")</f>
        <v/>
      </c>
      <c r="F7736" t="inlineStr">
        <is>
          <t>B0198751L8</t>
        </is>
      </c>
      <c r="G7736">
        <f>_xludf.IMAGE("https://edmondsonsupply.com/cdn/shop/products/31900.jpg?v=1587149880")</f>
        <v/>
      </c>
      <c r="H7736">
        <f>_xludf.IMAGE("https://m.media-amazon.com/images/I/41htaCI9OJL._AC_UL320_.jpg")</f>
        <v/>
      </c>
      <c r="K7736" t="inlineStr">
        <is>
          <t>44.99</t>
        </is>
      </c>
      <c r="L7736" t="n">
        <v>13.99</v>
      </c>
      <c r="M7736" s="1" t="inlineStr">
        <is>
          <t>-68.90%</t>
        </is>
      </c>
      <c r="N7736" s="1" t="n"/>
      <c r="O7736" t="n">
        <v>4.6</v>
      </c>
      <c r="P7736" t="n">
        <v>406</v>
      </c>
      <c r="R7736" t="inlineStr">
        <is>
          <t>InStock</t>
        </is>
      </c>
      <c r="S7736" t="inlineStr">
        <is>
          <t>54.86</t>
        </is>
      </c>
      <c r="T7736" t="inlineStr">
        <is>
          <t>4508234514532</t>
        </is>
      </c>
    </row>
    <row r="7737" hidden="1" ht="15.75" customHeight="1">
      <c r="A7737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7737" s="2">
        <f>HYPERLINK("https://edmondsonsupply.com/products/diablo-tools-dmapl2500-7-8-in-x-8-in-x-10-in-sds-plus-2-cutter", "https://edmondsonsupply.com/products/diablo-tools-dmapl2500-7-8-in-x-8-in-x-10-in-sds-plus-2-cutter")</f>
        <v/>
      </c>
      <c r="C7737" t="inlineStr">
        <is>
          <t>Diablo Tools DMAPL2500 7/8 in. x 8 in. x 10 in. SDS-Plus 2-Cutter</t>
        </is>
      </c>
      <c r="D7737" t="inlineStr">
        <is>
          <t>Sabre Tools 7/8 Inch x 12 Inch SDS Plus Rotary Hammer Drill Bit, Carbide Tipped for Brick, Stone, and Concrete Version 2 (7/8" x 10" x 12")</t>
        </is>
      </c>
      <c r="E7737" s="2">
        <f>HYPERLINK("https://www.amazon.com/Sabre-Tools-Carbide-Concrete-Version/dp/B096NMW8BN/ref=sr_1_21?keywords=Diablo+Tools+DMAPL2500+7%2F8+in.+x+8+in.+x+10+in.+SDS-Plus+2-Cutter&amp;qid=1694735171&amp;sr=8-21", "https://www.amazon.com/Sabre-Tools-Carbide-Concrete-Version/dp/B096NMW8BN/ref=sr_1_21?keywords=Diablo+Tools+DMAPL2500+7%2F8+in.+x+8+in.+x+10+in.+SDS-Plus+2-Cutter&amp;qid=1694735171&amp;sr=8-21")</f>
        <v/>
      </c>
      <c r="F7737" t="inlineStr">
        <is>
          <t>B096NMW8BN</t>
        </is>
      </c>
      <c r="G7737">
        <f>_xludf.IMAGE("https://edmondsonsupply.com/cdn/shop/products/2500.webp?v=1647636219")</f>
        <v/>
      </c>
      <c r="H7737">
        <f>_xludf.IMAGE("https://m.media-amazon.com/images/I/61+76qtUpeL._AC_UL320_.jpg")</f>
        <v/>
      </c>
      <c r="K7737" t="inlineStr">
        <is>
          <t>28.97</t>
        </is>
      </c>
      <c r="L7737" t="n">
        <v>8.99</v>
      </c>
      <c r="M7737" s="1" t="inlineStr">
        <is>
          <t>-68.97%</t>
        </is>
      </c>
      <c r="N7737" s="1" t="n"/>
      <c r="O7737" t="n">
        <v>4.6</v>
      </c>
      <c r="P7737" t="n">
        <v>796</v>
      </c>
      <c r="R7737" t="inlineStr">
        <is>
          <t>InStock</t>
        </is>
      </c>
      <c r="S7737" t="inlineStr">
        <is>
          <t>33.98</t>
        </is>
      </c>
      <c r="T7737" t="inlineStr">
        <is>
          <t>7639201317080</t>
        </is>
      </c>
    </row>
    <row r="7738" hidden="1" ht="15.75" customHeight="1">
      <c r="A7738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738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738" t="inlineStr">
        <is>
          <t>Klein Tools JTH9E17 1/2-Inch Hex Key with Journeyman T-Handle, 9-Inch</t>
        </is>
      </c>
      <c r="D7738" t="inlineStr">
        <is>
          <t>Klein Tools JTH9E14 5/16-Inch Hex Key, Journeyman T-Handle, 9-Inch</t>
        </is>
      </c>
      <c r="E7738" s="2">
        <f>HYPERLINK("https://www.amazon.com/Journeyman-T-Handle-Klein-Tools-JTH9E14/dp/B004QVAH4I/ref=sr_1_9?keywords=Klein+Tools+JTH9E17+1%2F2-Inch+Hex+Key+with+Journeyman+T-Handle%2C+9-Inch&amp;qid=1694735337&amp;sr=8-9", "https://www.amazon.com/Journeyman-T-Handle-Klein-Tools-JTH9E14/dp/B004QVAH4I/ref=sr_1_9?keywords=Klein+Tools+JTH9E17+1%2F2-Inch+Hex+Key+with+Journeyman+T-Handle%2C+9-Inch&amp;qid=1694735337&amp;sr=8-9")</f>
        <v/>
      </c>
      <c r="F7738" t="inlineStr">
        <is>
          <t>B004QVAH4I</t>
        </is>
      </c>
      <c r="G7738">
        <f>_xludf.IMAGE("https://edmondsonsupply.com/cdn/shop/products/jth9e12_c458fab1-bd79-4a70-ae62-7e6646bd3d84.jpg?v=1587146369")</f>
        <v/>
      </c>
      <c r="H7738">
        <f>_xludf.IMAGE("https://m.media-amazon.com/images/I/51Yb8h41vLL._AC_UL320_.jpg")</f>
        <v/>
      </c>
      <c r="K7738" t="inlineStr">
        <is>
          <t>23.99</t>
        </is>
      </c>
      <c r="L7738" t="n">
        <v>7.44</v>
      </c>
      <c r="M7738" s="1" t="inlineStr">
        <is>
          <t>-68.99%</t>
        </is>
      </c>
      <c r="N7738" s="1" t="n"/>
      <c r="O7738" t="n">
        <v>4.8</v>
      </c>
      <c r="P7738" t="n">
        <v>114</v>
      </c>
      <c r="R7738" t="inlineStr">
        <is>
          <t>InStock</t>
        </is>
      </c>
      <c r="S7738" t="inlineStr">
        <is>
          <t>36.36</t>
        </is>
      </c>
      <c r="T7738" t="inlineStr">
        <is>
          <t>4505575981156</t>
        </is>
      </c>
    </row>
    <row r="7739" ht="87" customHeight="1">
      <c r="A7739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739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739" t="inlineStr">
        <is>
          <t>Milwaukee 48-11-2412 M12 REDLITHIUM™ XC Battery Two Pack</t>
        </is>
      </c>
      <c r="D7739" t="inlineStr">
        <is>
          <t>KUNLUN 2Pack 6.5Ah 12V Lithium Battery for Milwaukee M12 12V Battery Compatible for Milwaukee 12-Volt Battery 48-11-2412 48-11-2460 48-11-2411 48-11-2420 48-11-2440 Cordless Power Tool Batteries</t>
        </is>
      </c>
      <c r="E7739" s="2">
        <f>HYPERLINK("https://www.amazon.com/KUNLUN-Replacement-48-11-2401-48-11-2460-48-11-2440/dp/B091DGVXJ1/ref=sr_1_42?keywords=Milwaukee+48-11-2412+M12+REDLITHIUM%E2%84%A2+XC+Battery+Two+Pack&amp;qid=1694735150&amp;sr=8-42", "https://www.amazon.com/KUNLUN-Replacement-48-11-2401-48-11-2460-48-11-2440/dp/B091DGVXJ1/ref=sr_1_42?keywords=Milwaukee+48-11-2412+M12+REDLITHIUM%E2%84%A2+XC+Battery+Two+Pack&amp;qid=1694735150&amp;sr=8-42")</f>
        <v/>
      </c>
      <c r="F7739" t="inlineStr">
        <is>
          <t>B091DGVXJ1</t>
        </is>
      </c>
      <c r="G7739">
        <f>_xlfn.IMAGE("https://edmondsonsupply.com/cdn/shop/products/48-11-2412.jpg?v=1654795924")</f>
        <v/>
      </c>
      <c r="H7739">
        <f>_xlfn.IMAGE("https://m.media-amazon.com/images/I/71gXSFwmmSL._AC_UL320_.jpg")</f>
        <v/>
      </c>
      <c r="K7739" t="inlineStr">
        <is>
          <t>129.0</t>
        </is>
      </c>
      <c r="L7739" t="n">
        <v>39.99</v>
      </c>
      <c r="M7739" s="1" t="inlineStr">
        <is>
          <t>-69.00%</t>
        </is>
      </c>
      <c r="N7739" s="7" t="n"/>
      <c r="O7739" t="n">
        <v>4.6</v>
      </c>
      <c r="P7739" t="n">
        <v>157</v>
      </c>
      <c r="R7739" t="inlineStr">
        <is>
          <t>InStock</t>
        </is>
      </c>
      <c r="S7739" t="inlineStr">
        <is>
          <t>217.0</t>
        </is>
      </c>
      <c r="T7739" t="inlineStr">
        <is>
          <t>7711224168664</t>
        </is>
      </c>
    </row>
    <row r="7740" ht="87" customHeight="1">
      <c r="A7740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740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740" t="inlineStr">
        <is>
          <t>Milwaukee 48-11-2412 M12 REDLITHIUM™ XC Battery Two Pack</t>
        </is>
      </c>
      <c r="D7740" t="inlineStr">
        <is>
          <t>Swidan 2Packs 12V M12 6000mAh Lithium Battery Compatible with Milwaukee M12 XC 48-11-2460 48-11-2401 48-11-2411 48-11-2412 48-11-2420 48-11-2440 12-Volts Cordless Power Tools</t>
        </is>
      </c>
      <c r="E7740" s="2">
        <f>HYPERLINK("https://www.amazon.com/Swidan-Lithium-ion-48-11-2401-48-11-2410-48-11-2420/dp/B09QM573KY/ref=sr_1_28?keywords=Milwaukee+48-11-2412+M12+REDLITHIUM%E2%84%A2+XC+Battery+Two+Pack&amp;qid=1694735150&amp;sr=8-28", "https://www.amazon.com/Swidan-Lithium-ion-48-11-2401-48-11-2410-48-11-2420/dp/B09QM573KY/ref=sr_1_28?keywords=Milwaukee+48-11-2412+M12+REDLITHIUM%E2%84%A2+XC+Battery+Two+Pack&amp;qid=1694735150&amp;sr=8-28")</f>
        <v/>
      </c>
      <c r="F7740" t="inlineStr">
        <is>
          <t>B09QM573KY</t>
        </is>
      </c>
      <c r="G7740">
        <f>_xlfn.IMAGE("https://edmondsonsupply.com/cdn/shop/products/48-11-2412.jpg?v=1654795924")</f>
        <v/>
      </c>
      <c r="H7740">
        <f>_xlfn.IMAGE("https://m.media-amazon.com/images/I/61kumOnZAKL._AC_UL320_.jpg")</f>
        <v/>
      </c>
      <c r="K7740" t="inlineStr">
        <is>
          <t>129.0</t>
        </is>
      </c>
      <c r="L7740" t="n">
        <v>39.99</v>
      </c>
      <c r="M7740" s="1" t="inlineStr">
        <is>
          <t>-69.00%</t>
        </is>
      </c>
      <c r="N7740" s="7" t="n"/>
      <c r="O7740" t="n">
        <v>4.1</v>
      </c>
      <c r="P7740" t="n">
        <v>24</v>
      </c>
      <c r="R7740" t="inlineStr">
        <is>
          <t>InStock</t>
        </is>
      </c>
      <c r="S7740" t="inlineStr">
        <is>
          <t>217.0</t>
        </is>
      </c>
      <c r="T7740" t="inlineStr">
        <is>
          <t>7711224168664</t>
        </is>
      </c>
    </row>
    <row r="7741" ht="87" customHeight="1">
      <c r="A7741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741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741" t="inlineStr">
        <is>
          <t>Milwaukee 48-11-2412 M12 REDLITHIUM™ XC Battery Two Pack</t>
        </is>
      </c>
      <c r="D7741" t="inlineStr">
        <is>
          <t>Fayeey 6.5Ah M12 Replacement Battery for Milwaukee M12 Battery 2Pack 12V Lithium-ion Batteries Compatible with Milwaukee XC 48-11-2440 48-11-2402 48-11-2460 Cordless Power Tools</t>
        </is>
      </c>
      <c r="E7741" s="2">
        <f>HYPERLINK("https://www.amazon.com/Fayeey-Replacement-Lithium-ion-Compatible-48-11-2440/dp/B0B3MMKYMG/ref=sr_1_30?keywords=Milwaukee+48-11-2412+M12+REDLITHIUM%E2%84%A2+XC+Battery+Two+Pack&amp;qid=1694735150&amp;sr=8-30", "https://www.amazon.com/Fayeey-Replacement-Lithium-ion-Compatible-48-11-2440/dp/B0B3MMKYMG/ref=sr_1_30?keywords=Milwaukee+48-11-2412+M12+REDLITHIUM%E2%84%A2+XC+Battery+Two+Pack&amp;qid=1694735150&amp;sr=8-30")</f>
        <v/>
      </c>
      <c r="F7741" t="inlineStr">
        <is>
          <t>B0B3MMKYMG</t>
        </is>
      </c>
      <c r="G7741">
        <f>_xlfn.IMAGE("https://edmondsonsupply.com/cdn/shop/products/48-11-2412.jpg?v=1654795924")</f>
        <v/>
      </c>
      <c r="H7741">
        <f>_xlfn.IMAGE("https://m.media-amazon.com/images/I/71FzTkcwdwL._AC_UL320_.jpg")</f>
        <v/>
      </c>
      <c r="K7741" t="inlineStr">
        <is>
          <t>129.0</t>
        </is>
      </c>
      <c r="L7741" t="n">
        <v>39.99</v>
      </c>
      <c r="M7741" s="1" t="inlineStr">
        <is>
          <t>-69.00%</t>
        </is>
      </c>
      <c r="N7741" s="7" t="n"/>
      <c r="O7741" t="n">
        <v>4.6</v>
      </c>
      <c r="P7741" t="n">
        <v>121</v>
      </c>
      <c r="R7741" t="inlineStr">
        <is>
          <t>InStock</t>
        </is>
      </c>
      <c r="S7741" t="inlineStr">
        <is>
          <t>217.0</t>
        </is>
      </c>
      <c r="T7741" t="inlineStr">
        <is>
          <t>7711224168664</t>
        </is>
      </c>
    </row>
    <row r="7742" ht="87" customHeight="1">
      <c r="A7742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742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742" t="inlineStr">
        <is>
          <t>Milwaukee 48-11-2412 M12 REDLITHIUM™ XC Battery Two Pack</t>
        </is>
      </c>
      <c r="D7742" t="inlineStr">
        <is>
          <t>JYJZPB 2 Pack 6.5Ah 12V Battery for Milwaukee M12 Battery 48-11-2401 48-11-2412 48-11-2411 48-11-2420 48-11-2410 12Volt Cordless Tools for Milwaukee M12 Lithium Battery</t>
        </is>
      </c>
      <c r="E7742" s="2">
        <f>HYPERLINK("https://www.amazon.com/JYJZPB-Compatible-48-11-2401-48-11-2412-48-11-2411/dp/B0995PX26X/ref=sr_1_23?keywords=Milwaukee+48-11-2412+M12+REDLITHIUM%E2%84%A2+XC+Battery+Two+Pack&amp;qid=1694735150&amp;sr=8-23", "https://www.amazon.com/JYJZPB-Compatible-48-11-2401-48-11-2412-48-11-2411/dp/B0995PX26X/ref=sr_1_23?keywords=Milwaukee+48-11-2412+M12+REDLITHIUM%E2%84%A2+XC+Battery+Two+Pack&amp;qid=1694735150&amp;sr=8-23")</f>
        <v/>
      </c>
      <c r="F7742" t="inlineStr">
        <is>
          <t>B0995PX26X</t>
        </is>
      </c>
      <c r="G7742">
        <f>_xlfn.IMAGE("https://edmondsonsupply.com/cdn/shop/products/48-11-2412.jpg?v=1654795924")</f>
        <v/>
      </c>
      <c r="H7742">
        <f>_xlfn.IMAGE("https://m.media-amazon.com/images/I/71rA1EzOOEL._AC_UL320_.jpg")</f>
        <v/>
      </c>
      <c r="K7742" t="inlineStr">
        <is>
          <t>129.0</t>
        </is>
      </c>
      <c r="L7742" t="n">
        <v>39.98</v>
      </c>
      <c r="M7742" s="1" t="inlineStr">
        <is>
          <t>-69.01%</t>
        </is>
      </c>
      <c r="N7742" s="7" t="n"/>
      <c r="O7742" t="n">
        <v>4.6</v>
      </c>
      <c r="P7742" t="n">
        <v>175</v>
      </c>
      <c r="R7742" t="inlineStr">
        <is>
          <t>InStock</t>
        </is>
      </c>
      <c r="S7742" t="inlineStr">
        <is>
          <t>217.0</t>
        </is>
      </c>
      <c r="T7742" t="inlineStr">
        <is>
          <t>7711224168664</t>
        </is>
      </c>
    </row>
    <row r="7743" ht="87" customHeight="1">
      <c r="A7743" s="2">
        <f>HYPERLINK("https://edmondsonsupply.com/collections/electricians-tools/products/klein-tools-66080-2-in-1-penta-hex-flip-socket-with-adapter", "https://edmondsonsupply.com/collections/electricians-tools/products/klein-tools-66080-2-in-1-penta-hex-flip-socket-with-adapter")</f>
        <v/>
      </c>
      <c r="B7743" s="2">
        <f>HYPERLINK("https://edmondsonsupply.com/products/klein-tools-66080-2-in-1-penta-hex-flip-socket-with-adapter", "https://edmondsonsupply.com/products/klein-tools-66080-2-in-1-penta-hex-flip-socket-with-adapter")</f>
        <v/>
      </c>
      <c r="C7743" t="inlineStr">
        <is>
          <t>Klein Tools 66080 2-in-1 Penta/Hex Flip Socket with Adapter</t>
        </is>
      </c>
      <c r="D7743" t="inlineStr">
        <is>
          <t>Klein Tools 66078 Impact Flip Socket Adapter, Large 1/2 to 1/2 -Inch Square Adapter, Use with Klein Tools Flip Impact Socket Set 66070</t>
        </is>
      </c>
      <c r="E7743" s="2">
        <f>HYPERLINK("https://www.amazon.com/Klein-Tools-66078-Impact-Adapter/dp/B0B33T15XS/ref=sr_1_23?keywords=Klein+Tools+66080+2-in-1+Penta%2FHex+Flip+Socket+with+Adapter&amp;qid=1694735125&amp;sr=8-23", "https://www.amazon.com/Klein-Tools-66078-Impact-Adapter/dp/B0B33T15XS/ref=sr_1_23?keywords=Klein+Tools+66080+2-in-1+Penta%2FHex+Flip+Socket+with+Adapter&amp;qid=1694735125&amp;sr=8-23")</f>
        <v/>
      </c>
      <c r="F7743" t="inlineStr">
        <is>
          <t>B0B33T15XS</t>
        </is>
      </c>
      <c r="G7743">
        <f>_xlfn.IMAGE("https://edmondsonsupply.com/cdn/shop/products/66080.jpg?v=1663076636")</f>
        <v/>
      </c>
      <c r="H7743">
        <f>_xlfn.IMAGE("https://m.media-amazon.com/images/I/51cFYcsM3kL._AC_UL320_.jpg")</f>
        <v/>
      </c>
      <c r="K7743" t="inlineStr">
        <is>
          <t>50.4</t>
        </is>
      </c>
      <c r="L7743" t="n">
        <v>15.58</v>
      </c>
      <c r="M7743" s="1" t="inlineStr">
        <is>
          <t>-69.09%</t>
        </is>
      </c>
      <c r="N7743" s="7" t="n"/>
      <c r="O7743" t="n">
        <v>5</v>
      </c>
      <c r="P7743" t="n">
        <v>1</v>
      </c>
      <c r="R7743" t="inlineStr">
        <is>
          <t>InStock</t>
        </is>
      </c>
      <c r="S7743" t="inlineStr">
        <is>
          <t>84.0</t>
        </is>
      </c>
      <c r="T7743" t="inlineStr">
        <is>
          <t>7814022594776</t>
        </is>
      </c>
    </row>
    <row r="7744" hidden="1" ht="15.75" customHeight="1">
      <c r="A7744" s="2">
        <f>HYPERLINK("https://edmondsonsupply.com/collections/electricians-tools/products/klein-tools-50611-magnetic-wire-puller", "https://edmondsonsupply.com/collections/electricians-tools/products/klein-tools-50611-magnetic-wire-puller")</f>
        <v/>
      </c>
      <c r="B7744" s="2">
        <f>HYPERLINK("https://edmondsonsupply.com/products/klein-tools-50611-magnetic-wire-puller", "https://edmondsonsupply.com/products/klein-tools-50611-magnetic-wire-puller")</f>
        <v/>
      </c>
      <c r="C7744" t="inlineStr">
        <is>
          <t>Klein Tools 50611 Magnetic Wire Puller</t>
        </is>
      </c>
      <c r="D7744" t="inlineStr">
        <is>
          <t>Klein Tools 50611ML Wire Puller Replacement Leader, Stainless-Steel Leader with Eyelet for Easy Wire and Cable Pulling, Rare Earth Magnet,Orange</t>
        </is>
      </c>
      <c r="E7744" s="2">
        <f>HYPERLINK("https://www.amazon.com/Klein-Tools-50611ML-Replacement-Stainless-Steel/dp/B09C6RH3Z9/ref=sr_1_3?keywords=Klein+Tools+50611+Magnetic+Wire+Puller&amp;qid=1694735124&amp;sr=8-3", "https://www.amazon.com/Klein-Tools-50611ML-Replacement-Stainless-Steel/dp/B09C6RH3Z9/ref=sr_1_3?keywords=Klein+Tools+50611+Magnetic+Wire+Puller&amp;qid=1694735124&amp;sr=8-3")</f>
        <v/>
      </c>
      <c r="F7744" t="inlineStr">
        <is>
          <t>B09C6RH3Z9</t>
        </is>
      </c>
      <c r="G7744">
        <f>_xludf.IMAGE("https://edmondsonsupply.com/cdn/shop/products/50611.jpg?v=1663951524")</f>
        <v/>
      </c>
      <c r="H7744">
        <f>_xludf.IMAGE("https://m.media-amazon.com/images/I/31ni9F4mVRL._AC_UL320_.jpg")</f>
        <v/>
      </c>
      <c r="K7744" t="inlineStr">
        <is>
          <t>69.97</t>
        </is>
      </c>
      <c r="L7744" t="n">
        <v>21.61</v>
      </c>
      <c r="M7744" s="1" t="inlineStr">
        <is>
          <t>-69.12%</t>
        </is>
      </c>
      <c r="N7744" s="1" t="n"/>
      <c r="O7744" t="n">
        <v>4</v>
      </c>
      <c r="P7744" t="n">
        <v>8</v>
      </c>
      <c r="R7744" t="inlineStr">
        <is>
          <t>InStock</t>
        </is>
      </c>
      <c r="S7744" t="inlineStr">
        <is>
          <t>106.06</t>
        </is>
      </c>
      <c r="T7744" t="inlineStr">
        <is>
          <t>7827343999192</t>
        </is>
      </c>
    </row>
    <row r="7745" ht="87" customHeight="1">
      <c r="A7745" s="2">
        <f>HYPERLINK("https://edmondsonsupply.com/collections/electricians-tools/products/fluke-80pk-1-bead-probe", "https://edmondsonsupply.com/collections/electricians-tools/products/fluke-80pk-1-bead-probe")</f>
        <v/>
      </c>
      <c r="B7745" s="2">
        <f>HYPERLINK("https://edmondsonsupply.com/products/fluke-80pk-1-bead-probe", "https://edmondsonsupply.com/products/fluke-80pk-1-bead-probe")</f>
        <v/>
      </c>
      <c r="C7745" t="inlineStr">
        <is>
          <t>Fluke 80PK-1 Bead Probe</t>
        </is>
      </c>
      <c r="D7745" t="inlineStr">
        <is>
          <t>80BK-A Type K Thermocouple, Temperature Bead Probe, Clamp - Multimeter Compatible with for Fluke F17B+,F116C,F87-V,F28LL,F179,F287,F289,F189.</t>
        </is>
      </c>
      <c r="E7745" s="2">
        <f>HYPERLINK("https://www.amazon.com/Thermocouple-Temperature-Probe-Clamp-80BK/dp/B07JVYZST8/ref=sr_1_5?keywords=Fluke+80PK-1+Bead+Probe&amp;qid=1694735184&amp;sr=8-5", "https://www.amazon.com/Thermocouple-Temperature-Probe-Clamp-80BK/dp/B07JVYZST8/ref=sr_1_5?keywords=Fluke+80PK-1+Bead+Probe&amp;qid=1694735184&amp;sr=8-5")</f>
        <v/>
      </c>
      <c r="F7745" t="inlineStr">
        <is>
          <t>B07JVYZST8</t>
        </is>
      </c>
      <c r="G7745">
        <f>_xlfn.IMAGE("https://edmondsonsupply.com/cdn/shop/products/80pk-1a.png?v=1633466414")</f>
        <v/>
      </c>
      <c r="H7745">
        <f>_xlfn.IMAGE("https://m.media-amazon.com/images/I/51hF6ZaqGWL._AC_UY218_.jpg")</f>
        <v/>
      </c>
      <c r="K7745" t="inlineStr">
        <is>
          <t>56.99</t>
        </is>
      </c>
      <c r="L7745" t="n">
        <v>17.58</v>
      </c>
      <c r="M7745" s="1" t="inlineStr">
        <is>
          <t>-69.15%</t>
        </is>
      </c>
      <c r="N7745" s="7" t="n"/>
      <c r="O7745" t="n">
        <v>4.5</v>
      </c>
      <c r="P7745" t="n">
        <v>213</v>
      </c>
      <c r="R7745" t="inlineStr">
        <is>
          <t>InStock</t>
        </is>
      </c>
      <c r="S7745" t="inlineStr">
        <is>
          <t>59.99</t>
        </is>
      </c>
      <c r="T7745" t="inlineStr">
        <is>
          <t>6995087130797</t>
        </is>
      </c>
    </row>
    <row r="7746" ht="87" customHeight="1">
      <c r="A7746" s="2">
        <f>HYPERLINK("https://edmondsonsupply.com/collections/electricians-tools/products/fluke-80pk-1-bead-probe", "https://edmondsonsupply.com/collections/electricians-tools/products/fluke-80pk-1-bead-probe")</f>
        <v/>
      </c>
      <c r="B7746" s="2">
        <f>HYPERLINK("https://edmondsonsupply.com/products/fluke-80pk-1-bead-probe", "https://edmondsonsupply.com/products/fluke-80pk-1-bead-probe")</f>
        <v/>
      </c>
      <c r="C7746" t="inlineStr">
        <is>
          <t>Fluke 80PK-1 Bead Probe</t>
        </is>
      </c>
      <c r="D7746" t="inlineStr">
        <is>
          <t>80BK-A Type K Thermocouple, Temperature Bead Probe, Clamp - Multimeter Compatible with for Fluke F17B+,F116C,F87-V,F28LL,F179,F287,F289,F189</t>
        </is>
      </c>
      <c r="E7746" s="2">
        <f>HYPERLINK("https://www.amazon.com/Thermocouple-Temperature-Probe-Clamp-80BK/dp/B09P4ZY2QZ/ref=sr_1_10?keywords=Fluke+80PK-1+Bead+Probe&amp;qid=1694735184&amp;sr=8-10", "https://www.amazon.com/Thermocouple-Temperature-Probe-Clamp-80BK/dp/B09P4ZY2QZ/ref=sr_1_10?keywords=Fluke+80PK-1+Bead+Probe&amp;qid=1694735184&amp;sr=8-10")</f>
        <v/>
      </c>
      <c r="F7746" t="inlineStr">
        <is>
          <t>B09P4ZY2QZ</t>
        </is>
      </c>
      <c r="G7746">
        <f>_xlfn.IMAGE("https://edmondsonsupply.com/cdn/shop/products/80pk-1a.png?v=1633466414")</f>
        <v/>
      </c>
      <c r="H7746">
        <f>_xlfn.IMAGE("https://m.media-amazon.com/images/I/61W04cxOQhL._AC_UY218_.jpg")</f>
        <v/>
      </c>
      <c r="K7746" t="inlineStr">
        <is>
          <t>56.99</t>
        </is>
      </c>
      <c r="L7746" t="n">
        <v>17.58</v>
      </c>
      <c r="M7746" s="1" t="inlineStr">
        <is>
          <t>-69.15%</t>
        </is>
      </c>
      <c r="N7746" s="7" t="n"/>
      <c r="O7746" t="n">
        <v>4.7</v>
      </c>
      <c r="P7746" t="n">
        <v>28</v>
      </c>
      <c r="R7746" t="inlineStr">
        <is>
          <t>InStock</t>
        </is>
      </c>
      <c r="S7746" t="inlineStr">
        <is>
          <t>59.99</t>
        </is>
      </c>
      <c r="T7746" t="inlineStr">
        <is>
          <t>6995087130797</t>
        </is>
      </c>
    </row>
    <row r="7747" hidden="1" ht="15.75" customHeight="1">
      <c r="A7747" s="2">
        <f>HYPERLINK("https://edmondsonsupply.com/collections/electricians-tools/products/diablo-tools-dmamx1050-9-16-in-x-8-in-x-13-in-rebar-demon%E2%84%A2-sds-max-4-cutter-full-carbide-head-hammer-drill-bit", "https://edmondsonsupply.com/collections/electricians-tools/products/diablo-tools-dmamx1050-9-16-in-x-8-in-x-13-in-rebar-demon%E2%84%A2-sds-max-4-cutter-full-carbide-head-hammer-drill-bit")</f>
        <v/>
      </c>
      <c r="B7747" s="2">
        <f>HYPERLINK("https://edmondsonsupply.com/products/diablo-tools-dmamx1050-9-16-in-x-8-in-x-13-in-rebar-demon%e2%84%a2-sds-max-4-cutter-full-carbide-head-hammer-drill-bit", "https://edmondsonsupply.com/products/diablo-tools-dmamx1050-9-16-in-x-8-in-x-13-in-rebar-demon%e2%84%a2-sds-max-4-cutter-full-carbide-head-hammer-drill-bit")</f>
        <v/>
      </c>
      <c r="C7747" t="inlineStr">
        <is>
          <t>Diablo Tools DMAMX1050 9/16 in. x 8 in. x 13 in. Rebar Demon™ SDS-Max 4-Cutter Full Carbide Head Hammer Drill Bit</t>
        </is>
      </c>
      <c r="D7747" t="inlineStr">
        <is>
          <t>Diablo by Freud DMAPL4050 3/16 in. x 6 in. x 8 in. Rebar Demon SDS-Plus 4-Cutter Full Carbide Head Hammer Bit Multi, One Size</t>
        </is>
      </c>
      <c r="E7747" s="2">
        <f>HYPERLINK("https://www.amazon.com/Diablo-SDS-Plus-4-Cutter-Carbide-Hammer/dp/B089LKWR9L/ref=sr_1_48?keywords=Diablo+Tools+DMAMX1050+9%2F16+in.+x+8+in.+x+13+in.+Rebar+Demon%E2%84%A2+SDS-Max+4-Cutter+Full+Carbide+Head+Hammer+Drill+Bit&amp;qid=1694735208&amp;sr=8-48", "https://www.amazon.com/Diablo-SDS-Plus-4-Cutter-Carbide-Hammer/dp/B089LKWR9L/ref=sr_1_48?keywords=Diablo+Tools+DMAMX1050+9%2F16+in.+x+8+in.+x+13+in.+Rebar+Demon%E2%84%A2+SDS-Max+4-Cutter+Full+Carbide+Head+Hammer+Drill+Bit&amp;qid=1694735208&amp;sr=8-48")</f>
        <v/>
      </c>
      <c r="F7747" t="inlineStr">
        <is>
          <t>B089LKWR9L</t>
        </is>
      </c>
      <c r="G7747">
        <f>_xludf.IMAGE("https://edmondsonsupply.com/cdn/shop/products/DMAMX1050_Main-Image20200701.png?v=1633031097")</f>
        <v/>
      </c>
      <c r="H7747">
        <f>_xludf.IMAGE("https://m.media-amazon.com/images/I/61uukuKzJeL._AC_UL320_.jpg")</f>
        <v/>
      </c>
      <c r="K7747" t="inlineStr">
        <is>
          <t>29.19</t>
        </is>
      </c>
      <c r="L7747" t="n">
        <v>8.99</v>
      </c>
      <c r="M7747" s="1" t="inlineStr">
        <is>
          <t>-69.20%</t>
        </is>
      </c>
      <c r="N7747" s="1" t="n"/>
      <c r="O7747" t="n">
        <v>3.7</v>
      </c>
      <c r="P7747" t="n">
        <v>10</v>
      </c>
      <c r="R7747" t="inlineStr">
        <is>
          <t>InStock</t>
        </is>
      </c>
      <c r="S7747" t="inlineStr">
        <is>
          <t>46.05</t>
        </is>
      </c>
      <c r="T7747" t="inlineStr">
        <is>
          <t>6842367738029</t>
        </is>
      </c>
    </row>
    <row r="7748" hidden="1" ht="15.75" customHeight="1">
      <c r="A7748" s="2">
        <f>HYPERLINK("https://edmondsonsupply.com/collections/electricians-tools/products/klein-tools-jth6e17-1-2-inch-hex-key-with-journeyman-t-handle-6-inch", "https://edmondsonsupply.com/collections/electricians-tools/products/klein-tools-jth6e17-1-2-inch-hex-key-with-journeyman-t-handle-6-inch")</f>
        <v/>
      </c>
      <c r="B7748" s="2">
        <f>HYPERLINK("https://edmondsonsupply.com/products/klein-tools-jth6e17-1-2-inch-hex-key-with-journeyman-t-handle-6-inch", "https://edmondsonsupply.com/products/klein-tools-jth6e17-1-2-inch-hex-key-with-journeyman-t-handle-6-inch")</f>
        <v/>
      </c>
      <c r="C7748" t="inlineStr">
        <is>
          <t>Klein Tools JTH6E17 1/2-Inch Hex Journeyman T-Handle 6-Inch</t>
        </is>
      </c>
      <c r="D7748" t="inlineStr">
        <is>
          <t>Klein Tools JTH6E12BE 7/32-Inch Ball End Hex Key with Journeyman T-Handle,6-Inch</t>
        </is>
      </c>
      <c r="E7748" s="2">
        <f>HYPERLINK("https://www.amazon.com/Journeyman-T-Handle-Klein-Tools-JTH6E12BE/dp/B004QW74L6/ref=sr_1_5?keywords=Klein+Tools+JTH6E17+1%2F2-Inch+Hex+Journeyman+T-Handle+6-Inch&amp;qid=1694735359&amp;sr=8-5", "https://www.amazon.com/Journeyman-T-Handle-Klein-Tools-JTH6E12BE/dp/B004QW74L6/ref=sr_1_5?keywords=Klein+Tools+JTH6E17+1%2F2-Inch+Hex+Journeyman+T-Handle+6-Inch&amp;qid=1694735359&amp;sr=8-5")</f>
        <v/>
      </c>
      <c r="F7748" t="inlineStr">
        <is>
          <t>B004QW74L6</t>
        </is>
      </c>
      <c r="G7748">
        <f>_xludf.IMAGE("https://edmondsonsupply.com/cdn/shop/products/jth6e15_80623668-f320-404f-929d-7d7e04a8b5aa.jpg?v=1587146378")</f>
        <v/>
      </c>
      <c r="H7748">
        <f>_xludf.IMAGE("https://m.media-amazon.com/images/I/51f9vBFVXgL._AC_UL320_.jpg")</f>
        <v/>
      </c>
      <c r="K7748" t="inlineStr">
        <is>
          <t>19.99</t>
        </is>
      </c>
      <c r="L7748" t="n">
        <v>6.15</v>
      </c>
      <c r="M7748" s="1" t="inlineStr">
        <is>
          <t>-69.23%</t>
        </is>
      </c>
      <c r="N7748" s="1" t="n"/>
      <c r="O7748" t="n">
        <v>4.5</v>
      </c>
      <c r="P7748" t="n">
        <v>9</v>
      </c>
      <c r="R7748" t="inlineStr">
        <is>
          <t>InStock</t>
        </is>
      </c>
      <c r="S7748" t="inlineStr">
        <is>
          <t>30.28</t>
        </is>
      </c>
      <c r="T7748" t="inlineStr">
        <is>
          <t>4431817605220</t>
        </is>
      </c>
    </row>
    <row r="7749" hidden="1" ht="15.75" customHeight="1">
      <c r="A7749" s="2">
        <f>HYPERLINK("https://edmondsonsupply.com/collections/electricians-tools/products/greenlee-dtap6-32-drill-tap-6-32", "https://edmondsonsupply.com/collections/electricians-tools/products/greenlee-dtap6-32-drill-tap-6-32")</f>
        <v/>
      </c>
      <c r="B7749" s="2">
        <f>HYPERLINK("https://edmondsonsupply.com/products/greenlee-dtap6-32-drill-tap-6-32", "https://edmondsonsupply.com/products/greenlee-dtap6-32-drill-tap-6-32")</f>
        <v/>
      </c>
      <c r="C7749" t="inlineStr">
        <is>
          <t>Greenlee DTAP6-32 Drill/Tap, 6-32</t>
        </is>
      </c>
      <c r="D7749" t="inlineStr">
        <is>
          <t>Drill America - DWT54225 #6-32 UNC High Speed Steel Bottoming Tap, (Pack of 1)</t>
        </is>
      </c>
      <c r="E7749" s="2">
        <f>HYPERLINK("https://www.amazon.com/Drill-America-DWT54225-High-Speed-Threading/dp/B00DL7CLGU/ref=sr_1_29?keywords=Greenlee+DTAP6-32+Drill%2FTap%2C+6-32&amp;qid=1694735395&amp;sr=8-29", "https://www.amazon.com/Drill-America-DWT54225-High-Speed-Threading/dp/B00DL7CLGU/ref=sr_1_29?keywords=Greenlee+DTAP6-32+Drill%2FTap%2C+6-32&amp;qid=1694735395&amp;sr=8-29")</f>
        <v/>
      </c>
      <c r="F7749" t="inlineStr">
        <is>
          <t>B00DL7CLGU</t>
        </is>
      </c>
      <c r="G7749">
        <f>_xludf.IMAGE("https://edmondsonsupply.com/cdn/shop/products/6-32.jpg?v=1587149860")</f>
        <v/>
      </c>
      <c r="H7749">
        <f>_xludf.IMAGE("https://m.media-amazon.com/images/I/512vfq8r6PL._AC_UL320_.jpg")</f>
        <v/>
      </c>
      <c r="K7749" t="inlineStr">
        <is>
          <t>8.99</t>
        </is>
      </c>
      <c r="L7749" t="n">
        <v>2.75</v>
      </c>
      <c r="M7749" s="1" t="inlineStr">
        <is>
          <t>-69.41%</t>
        </is>
      </c>
      <c r="N7749" s="1" t="n"/>
      <c r="O7749" t="n">
        <v>4.6</v>
      </c>
      <c r="P7749" t="n">
        <v>1146</v>
      </c>
      <c r="R7749" t="inlineStr">
        <is>
          <t>OutOfStock</t>
        </is>
      </c>
      <c r="S7749" t="inlineStr">
        <is>
          <t>9.7</t>
        </is>
      </c>
      <c r="T7749" t="inlineStr">
        <is>
          <t>4395858395236</t>
        </is>
      </c>
    </row>
    <row r="7750" ht="87" customHeight="1">
      <c r="A7750" s="2">
        <f>HYPERLINK("https://edmondsonsupply.com/collections/electricians-tools/products/milwaukee-48-59-1812-m18%E2%84%A2-m12%E2%84%A2-multi-voltage-charger", "https://edmondsonsupply.com/collections/electricians-tools/products/milwaukee-48-59-1812-m18%E2%84%A2-m12%E2%84%A2-multi-voltage-charger")</f>
        <v/>
      </c>
      <c r="B7750" s="2">
        <f>HYPERLINK("https://edmondsonsupply.com/products/milwaukee-48-59-1812-m18%e2%84%a2-m12%e2%84%a2-multi-voltage-charger", "https://edmondsonsupply.com/products/milwaukee-48-59-1812-m18%e2%84%a2-m12%e2%84%a2-multi-voltage-charger")</f>
        <v/>
      </c>
      <c r="C7750" t="inlineStr">
        <is>
          <t>Milwaukee 48-59-1812 M18™ &amp; M12™ Multi-Voltage Charger</t>
        </is>
      </c>
      <c r="D7750" t="inlineStr">
        <is>
          <t>EICHXO M12 M18 48-59-1812 Multi Voltage Charger Replacement for Milwaukee 12V-18V M12 M14 M18 Lithium Battery 48-11-2412 48-11-2401 48-11-2440 48-11-1862 48-11-1850 48-11-1852</t>
        </is>
      </c>
      <c r="E7750" s="2">
        <f>HYPERLINK("https://www.amazon.com/Eichxo-48-59-1812-Compatible-48-11-2420-48-11-2440/dp/B089NGH7NS/ref=sr_1_8?keywords=Milwaukee+48-59-1812+M18%E2%84%A2+%26+M12%E2%84%A2+Multi-Voltage+Charger&amp;qid=1694735141&amp;sr=8-8", "https://www.amazon.com/Eichxo-48-59-1812-Compatible-48-11-2420-48-11-2440/dp/B089NGH7NS/ref=sr_1_8?keywords=Milwaukee+48-59-1812+M18%E2%84%A2+%26+M12%E2%84%A2+Multi-Voltage+Charger&amp;qid=1694735141&amp;sr=8-8")</f>
        <v/>
      </c>
      <c r="F7750" t="inlineStr">
        <is>
          <t>B089NGH7NS</t>
        </is>
      </c>
      <c r="G7750">
        <f>_xlfn.IMAGE("https://edmondsonsupply.com/cdn/shop/products/60113_48-59-1812_3-lg.webp?v=1656530513")</f>
        <v/>
      </c>
      <c r="H7750">
        <f>_xlfn.IMAGE("https://m.media-amazon.com/images/I/71V0OaVfJ8L._AC_UL320_.jpg")</f>
        <v/>
      </c>
      <c r="K7750" t="inlineStr">
        <is>
          <t>79.0</t>
        </is>
      </c>
      <c r="L7750" t="n">
        <v>23.99</v>
      </c>
      <c r="M7750" s="1" t="inlineStr">
        <is>
          <t>-69.63%</t>
        </is>
      </c>
      <c r="N7750" s="7" t="n"/>
      <c r="O7750" t="n">
        <v>4.6</v>
      </c>
      <c r="P7750" t="n">
        <v>74</v>
      </c>
      <c r="R7750" t="inlineStr">
        <is>
          <t>InStock</t>
        </is>
      </c>
      <c r="S7750" t="inlineStr">
        <is>
          <t>126.0</t>
        </is>
      </c>
      <c r="T7750" t="inlineStr">
        <is>
          <t>7733079343320</t>
        </is>
      </c>
    </row>
    <row r="7751" ht="87" customHeight="1">
      <c r="A7751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751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751" t="inlineStr">
        <is>
          <t>Milwaukee 48-11-2411 M12 REDLITHIUM™ Compact Battery Two Pack</t>
        </is>
      </c>
      <c r="D7751" t="inlineStr">
        <is>
          <t>Powerextra 2 Pack 12V 3000mAh Lithium-ion Replacement Battery Compatible with Milwaukee M12 48-11-2411 48-11-2420 48-11-2401 48-11-2402 48-11-2401 12-Volt M12 Cordless Tools</t>
        </is>
      </c>
      <c r="E7751" s="2">
        <f>HYPERLINK("https://www.amazon.com/Powerextra-Lithium-ion-Replacement-Compatible-48-11-2411/dp/B01DOXZHMU/ref=sr_1_9?keywords=Milwaukee+48-11-2411+M12+REDLITHIUM%E2%84%A2+Compact+Battery+Two+Pack&amp;qid=1694735145&amp;sr=8-9", "https://www.amazon.com/Powerextra-Lithium-ion-Replacement-Compatible-48-11-2411/dp/B01DOXZHMU/ref=sr_1_9?keywords=Milwaukee+48-11-2411+M12+REDLITHIUM%E2%84%A2+Compact+Battery+Two+Pack&amp;qid=1694735145&amp;sr=8-9")</f>
        <v/>
      </c>
      <c r="F7751" t="inlineStr">
        <is>
          <t>B01DOXZHMU</t>
        </is>
      </c>
      <c r="G7751">
        <f>_xlfn.IMAGE("https://edmondsonsupply.com/cdn/shop/products/65014_48-11-2411-lg.jpg?v=1655484824")</f>
        <v/>
      </c>
      <c r="H7751">
        <f>_xlfn.IMAGE("https://m.media-amazon.com/images/I/61PQkNQ+gQL._AC_UL320_.jpg")</f>
        <v/>
      </c>
      <c r="K7751" t="inlineStr">
        <is>
          <t>89.0</t>
        </is>
      </c>
      <c r="L7751" t="n">
        <v>26.98</v>
      </c>
      <c r="M7751" s="1" t="inlineStr">
        <is>
          <t>-69.69%</t>
        </is>
      </c>
      <c r="N7751" s="7" t="n"/>
      <c r="O7751" t="n">
        <v>4.5</v>
      </c>
      <c r="P7751" t="n">
        <v>7068</v>
      </c>
      <c r="R7751" t="inlineStr">
        <is>
          <t>OutOfStock</t>
        </is>
      </c>
      <c r="S7751" t="inlineStr">
        <is>
          <t>150.0</t>
        </is>
      </c>
      <c r="T7751" t="inlineStr">
        <is>
          <t>7721456795864</t>
        </is>
      </c>
    </row>
    <row r="7752" ht="87" customHeight="1">
      <c r="A7752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752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752" t="inlineStr">
        <is>
          <t>Diablo Tools DMAPL4080-P25 1/4 in. x 6 in. x 8 in. Rebar Demon™ SDS-Plus 4-Cutter Full Carbide Head Hammer Bit (25 Pack)</t>
        </is>
      </c>
      <c r="D7752" t="inlineStr">
        <is>
          <t>Diablo by Freud DMAPL4270 27/32 in. x 8 in. x 10 in. Rebar Demon SDS-Plus 4-Cutter Full Carbide Head Hammer Bit</t>
        </is>
      </c>
      <c r="E7752" s="2">
        <f>HYPERLINK("https://www.amazon.com/Diablo-Freud-DMAPL4270-SDS-Plus-4-Cutter/dp/B089KXBGLM/ref=sr_1_1?keywords=Diablo+Tools+DMAPL4080-P25+1%2F4+in.+x+6+in.+x+8+in.+Rebar+Demon%E2%84%A2+SDS-Plus+4-Cutter+Full+Carbide+Head+Hammer+Bit+%2825+Pack%29&amp;qid=1694735261&amp;sr=8-1", "https://www.amazon.com/Diablo-Freud-DMAPL4270-SDS-Plus-4-Cutter/dp/B089KXBGLM/ref=sr_1_1?keywords=Diablo+Tools+DMAPL4080-P25+1%2F4+in.+x+6+in.+x+8+in.+Rebar+Demon%E2%84%A2+SDS-Plus+4-Cutter+Full+Carbide+Head+Hammer+Bit+%2825+Pack%29&amp;qid=1694735261&amp;sr=8-1")</f>
        <v/>
      </c>
      <c r="F7752" t="inlineStr">
        <is>
          <t>B089KXBGLM</t>
        </is>
      </c>
      <c r="G7752">
        <f>_xlfn.IMAGE("https://edmondsonsupply.com/cdn/shop/products/DMAPL4080-P25_Main-Image20200701.png?v=1633030623")</f>
        <v/>
      </c>
      <c r="H7752">
        <f>_xlfn.IMAGE("https://m.media-amazon.com/images/I/611A6sphG9L._AC_UL320_.jpg")</f>
        <v/>
      </c>
      <c r="K7752" t="inlineStr">
        <is>
          <t>99.97</t>
        </is>
      </c>
      <c r="L7752" t="n">
        <v>30.13</v>
      </c>
      <c r="M7752" s="1" t="inlineStr">
        <is>
          <t>-69.86%</t>
        </is>
      </c>
      <c r="N7752" s="7" t="n"/>
      <c r="O7752" t="n">
        <v>5</v>
      </c>
      <c r="P7752" t="n">
        <v>2</v>
      </c>
      <c r="R7752" t="inlineStr">
        <is>
          <t>InStock</t>
        </is>
      </c>
      <c r="S7752" t="inlineStr">
        <is>
          <t>144.22</t>
        </is>
      </c>
      <c r="T7752" t="inlineStr">
        <is>
          <t>5660158918824</t>
        </is>
      </c>
    </row>
    <row r="7753" hidden="1" ht="15.75" customHeight="1">
      <c r="A7753" s="2">
        <f>HYPERLINK("https://edmondsonsupply.com/collections/electricians-tools/products/klein-tools-vdv427-300-impact-punchdown-tool-66-110-blade", "https://edmondsonsupply.com/collections/electricians-tools/products/klein-tools-vdv427-300-impact-punchdown-tool-66-110-blade")</f>
        <v/>
      </c>
      <c r="B7753" s="2">
        <f>HYPERLINK("https://edmondsonsupply.com/products/klein-tools-vdv427-300-impact-punchdown-tool-66-110-blade", "https://edmondsonsupply.com/products/klein-tools-vdv427-300-impact-punchdown-tool-66-110-blade")</f>
        <v/>
      </c>
      <c r="C7753" t="inlineStr">
        <is>
          <t>Klein Tools VDV427-300 Impact Punchdown Tool, 66/110 Blade</t>
        </is>
      </c>
      <c r="D7753" t="inlineStr">
        <is>
          <t>Klein Tools VDV427-104 Dura-Blade 66/110 Cut Punchdown Blade</t>
        </is>
      </c>
      <c r="E7753" s="2">
        <f>HYPERLINK("https://www.amazon.com/Dura-Blade-Punchdown-Klein-Tools-VDV427-104/dp/B00J496ACU/ref=sr_1_16?keywords=Klein+Tools+VDV427-300+Impact+Punchdown+Tool%2C+66%2F110+Blade&amp;qid=1694735168&amp;sr=8-16", "https://www.amazon.com/Dura-Blade-Punchdown-Klein-Tools-VDV427-104/dp/B00J496ACU/ref=sr_1_16?keywords=Klein+Tools+VDV427-300+Impact+Punchdown+Tool%2C+66%2F110+Blade&amp;qid=1694735168&amp;sr=8-16")</f>
        <v/>
      </c>
      <c r="F7753" t="inlineStr">
        <is>
          <t>B00J496ACU</t>
        </is>
      </c>
      <c r="G7753">
        <f>_xludf.IMAGE("https://edmondsonsupply.com/cdn/shop/products/vdv427300.jpg?v=1646010568")</f>
        <v/>
      </c>
      <c r="H7753">
        <f>_xludf.IMAGE("https://m.media-amazon.com/images/I/41Gkt8P38gS._AC_UL320_.jpg")</f>
        <v/>
      </c>
      <c r="K7753" t="inlineStr">
        <is>
          <t>39.97</t>
        </is>
      </c>
      <c r="L7753" t="n">
        <v>12.01</v>
      </c>
      <c r="M7753" s="1" t="inlineStr">
        <is>
          <t>-69.95%</t>
        </is>
      </c>
      <c r="N7753" s="1" t="n"/>
      <c r="O7753" t="n">
        <v>4.6</v>
      </c>
      <c r="P7753" t="n">
        <v>329</v>
      </c>
      <c r="R7753" t="inlineStr">
        <is>
          <t>InStock</t>
        </is>
      </c>
      <c r="S7753" t="inlineStr">
        <is>
          <t>55.98</t>
        </is>
      </c>
      <c r="T7753" t="inlineStr">
        <is>
          <t>7620069818584</t>
        </is>
      </c>
    </row>
    <row r="7754" ht="87" customHeight="1">
      <c r="A7754" s="2">
        <f>HYPERLINK("https://edmondsonsupply.com/collections/electricians-tools/products/klein-tools-cl390-ac-dc-digital-clamp-meter-auto-ranging-400-amp", "https://edmondsonsupply.com/collections/electricians-tools/products/klein-tools-cl390-ac-dc-digital-clamp-meter-auto-ranging-400-amp")</f>
        <v/>
      </c>
      <c r="B7754" s="2">
        <f>HYPERLINK("https://edmondsonsupply.com/products/klein-tools-cl390-ac-dc-digital-clamp-meter-auto-ranging-400-amp", "https://edmondsonsupply.com/products/klein-tools-cl390-ac-dc-digital-clamp-meter-auto-ranging-400-amp")</f>
        <v/>
      </c>
      <c r="C7754" t="inlineStr">
        <is>
          <t>Klein Tools CL390 AC/DC Digital Clamp Meter, Auto-Ranging 400 Amp</t>
        </is>
      </c>
      <c r="D7754" t="inlineStr">
        <is>
          <t>Digital Clamp Meter, True RMS 4000 Counts, Digital Electrical Tester Meter Auto-Ranging Measures AC/DC Voltage, AC/DC Current, Resistance, Capacitance, Temperature, Continuity, Diodes, Duty-Cycle</t>
        </is>
      </c>
      <c r="E7754" s="2">
        <f>HYPERLINK("https://www.amazon.com/Electrical-Auto-Ranging-Resistance-Capacitance-Temperature/dp/B09M6D5BDD/ref=sr_1_10?keywords=Klein+Tools+CL390+AC%2FDC+Digital+Clamp+Meter%2C+Auto-Ranging+400+Amp&amp;qid=1694735129&amp;sr=8-10", "https://www.amazon.com/Electrical-Auto-Ranging-Resistance-Capacitance-Temperature/dp/B09M6D5BDD/ref=sr_1_10?keywords=Klein+Tools+CL390+AC%2FDC+Digital+Clamp+Meter%2C+Auto-Ranging+400+Amp&amp;qid=1694735129&amp;sr=8-10")</f>
        <v/>
      </c>
      <c r="F7754" t="inlineStr">
        <is>
          <t>B09M6D5BDD</t>
        </is>
      </c>
      <c r="G7754">
        <f>_xlfn.IMAGE("https://edmondsonsupply.com/cdn/shop/products/cl390.jpg?v=1662670722")</f>
        <v/>
      </c>
      <c r="H7754">
        <f>_xlfn.IMAGE("https://m.media-amazon.com/images/I/71acOhnN68L._AC_UY218_.jpg")</f>
        <v/>
      </c>
      <c r="K7754" t="inlineStr">
        <is>
          <t>99.97</t>
        </is>
      </c>
      <c r="L7754" t="n">
        <v>29.99</v>
      </c>
      <c r="M7754" s="1" t="inlineStr">
        <is>
          <t>-70.00%</t>
        </is>
      </c>
      <c r="N7754" s="7" t="n"/>
      <c r="O7754" t="n">
        <v>4.5</v>
      </c>
      <c r="P7754" t="n">
        <v>243</v>
      </c>
      <c r="R7754" t="inlineStr">
        <is>
          <t>InStock</t>
        </is>
      </c>
      <c r="S7754" t="inlineStr">
        <is>
          <t>133.3</t>
        </is>
      </c>
      <c r="T7754" t="inlineStr">
        <is>
          <t>7809430585560</t>
        </is>
      </c>
    </row>
    <row r="7755" hidden="1" ht="15.75" customHeight="1">
      <c r="A7755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755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755" t="inlineStr">
        <is>
          <t>Klein Tools ET310 Digital Circuit Breaker Finder with GFCI Outlet Tester</t>
        </is>
      </c>
      <c r="D7755" t="inlineStr">
        <is>
          <t>Case Compatible with Klein Tools ET310 AC Circuit Breaker Finder, 80041 Outlet Repair Tool Kit &amp; RT250 GFCI Receptacle Tester, Electrical Tools Storage Organizer Holder Bag for Accessories (Box Only)</t>
        </is>
      </c>
      <c r="E7755" s="2">
        <f>HYPERLINK("https://www.amazon.com/Carrying-Organizer-Integrated-Electrical-Accessories/dp/B09K42VH1T/ref=sr_1_23?keywords=Klein+Tools+ET310+Digital+Circuit+Breaker+Finder+with+GFCI+Outlet+Tester&amp;qid=1694734974&amp;sr=8-23", "https://www.amazon.com/Carrying-Organizer-Integrated-Electrical-Accessories/dp/B09K42VH1T/ref=sr_1_23?keywords=Klein+Tools+ET310+Digital+Circuit+Breaker+Finder+with+GFCI+Outlet+Tester&amp;qid=1694734974&amp;sr=8-23")</f>
        <v/>
      </c>
      <c r="F7755" t="inlineStr">
        <is>
          <t>B09K42VH1T</t>
        </is>
      </c>
      <c r="G7755">
        <f>_xludf.IMAGE("https://edmondsonsupply.com/cdn/shop/products/et310_c.jpg?v=1646963918")</f>
        <v/>
      </c>
      <c r="H7755">
        <f>_xludf.IMAGE("https://m.media-amazon.com/images/I/813DgUEGU6L._AC_UL320_.jpg")</f>
        <v/>
      </c>
      <c r="K7755" t="inlineStr">
        <is>
          <t>49.97</t>
        </is>
      </c>
      <c r="L7755" t="n">
        <v>14.99</v>
      </c>
      <c r="M7755" s="1" t="inlineStr">
        <is>
          <t>-70.00%</t>
        </is>
      </c>
      <c r="N7755" s="1" t="n"/>
      <c r="O7755" t="n">
        <v>4.6</v>
      </c>
      <c r="P7755" t="n">
        <v>309</v>
      </c>
      <c r="R7755" t="inlineStr">
        <is>
          <t>InStock</t>
        </is>
      </c>
      <c r="S7755" t="inlineStr">
        <is>
          <t>75.1</t>
        </is>
      </c>
      <c r="T7755" t="inlineStr">
        <is>
          <t>3389551280228</t>
        </is>
      </c>
    </row>
    <row r="7756" hidden="1" ht="15.75" customHeight="1">
      <c r="A7756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756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756" t="inlineStr">
        <is>
          <t>Klein Tools ET310 Digital Circuit Breaker Finder with GFCI Outlet Tester</t>
        </is>
      </c>
      <c r="D7756" t="inlineStr">
        <is>
          <t>BOVKE Circuit Testers Case for Klein Tools ET310 AC Circuit Breaker Finder Integrated GFCI Outlet Tester, Extra Mesh Pockets for Battery and Small Accessories, Black</t>
        </is>
      </c>
      <c r="E7756" s="2">
        <f>HYPERLINK("https://www.amazon.com/BOVKE-Circuit-Testers-Integrated-Accessories/dp/B091YKQNC2/ref=sr_1_26?keywords=Klein+Tools+ET310+Digital+Circuit+Breaker+Finder+with+GFCI+Outlet+Tester&amp;qid=1694734974&amp;sr=8-26", "https://www.amazon.com/BOVKE-Circuit-Testers-Integrated-Accessories/dp/B091YKQNC2/ref=sr_1_26?keywords=Klein+Tools+ET310+Digital+Circuit+Breaker+Finder+with+GFCI+Outlet+Tester&amp;qid=1694734974&amp;sr=8-26")</f>
        <v/>
      </c>
      <c r="F7756" t="inlineStr">
        <is>
          <t>B091YKQNC2</t>
        </is>
      </c>
      <c r="G7756">
        <f>_xludf.IMAGE("https://edmondsonsupply.com/cdn/shop/products/et310_c.jpg?v=1646963918")</f>
        <v/>
      </c>
      <c r="H7756">
        <f>_xludf.IMAGE("https://m.media-amazon.com/images/I/71bG7fCPLpS._AC_UL320_.jpg")</f>
        <v/>
      </c>
      <c r="K7756" t="inlineStr">
        <is>
          <t>49.97</t>
        </is>
      </c>
      <c r="L7756" t="n">
        <v>14.99</v>
      </c>
      <c r="M7756" s="1" t="inlineStr">
        <is>
          <t>-70.00%</t>
        </is>
      </c>
      <c r="N7756" s="1" t="n"/>
      <c r="O7756" t="n">
        <v>4.6</v>
      </c>
      <c r="P7756" t="n">
        <v>188</v>
      </c>
      <c r="R7756" t="inlineStr">
        <is>
          <t>InStock</t>
        </is>
      </c>
      <c r="S7756" t="inlineStr">
        <is>
          <t>75.1</t>
        </is>
      </c>
      <c r="T7756" t="inlineStr">
        <is>
          <t>3389551280228</t>
        </is>
      </c>
    </row>
    <row r="7757" hidden="1" ht="15.75" customHeight="1">
      <c r="A7757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757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757" t="inlineStr">
        <is>
          <t>Klein Tools 32288 8-in-1 Insulated Interchangeable Screwdriver Set</t>
        </is>
      </c>
      <c r="D7757" t="inlineStr">
        <is>
          <t>Klein Tools 32581INS Precision Screwdriver, 2-in-1 Insulated Screwdriver with No. 0 Phillips and 1/8-Inch Slotted Bits</t>
        </is>
      </c>
      <c r="E7757" s="2">
        <f>HYPERLINK("https://www.amazon.com/Klein-Tools-32581INS-Precision-Screwdriver/dp/B0C1QDNC55/ref=sr_1_14?keywords=Klein+Tools+32288+8-in-1+Insulated+Interchangeable+Screwdriver+Set&amp;qid=1694734974&amp;sr=8-14", "https://www.amazon.com/Klein-Tools-32581INS-Precision-Screwdriver/dp/B0C1QDNC55/ref=sr_1_14?keywords=Klein+Tools+32288+8-in-1+Insulated+Interchangeable+Screwdriver+Set&amp;qid=1694734974&amp;sr=8-14")</f>
        <v/>
      </c>
      <c r="F7757" t="inlineStr">
        <is>
          <t>B0C1QDNC55</t>
        </is>
      </c>
      <c r="G7757">
        <f>_xludf.IMAGE("https://edmondsonsupply.com/cdn/shop/products/32288.jpg?v=1587146849")</f>
        <v/>
      </c>
      <c r="H7757">
        <f>_xludf.IMAGE("https://m.media-amazon.com/images/I/41yD1dTTQ8L._AC_UL320_.jpg")</f>
        <v/>
      </c>
      <c r="K7757" t="inlineStr">
        <is>
          <t>49.99</t>
        </is>
      </c>
      <c r="L7757" t="n">
        <v>14.97</v>
      </c>
      <c r="M7757" s="1" t="inlineStr">
        <is>
          <t>-70.05%</t>
        </is>
      </c>
      <c r="N7757" s="1" t="n"/>
      <c r="O7757" t="n">
        <v>4.8</v>
      </c>
      <c r="P7757" t="n">
        <v>77</v>
      </c>
      <c r="R7757" t="inlineStr">
        <is>
          <t>InStock</t>
        </is>
      </c>
      <c r="S7757" t="inlineStr">
        <is>
          <t>69.98</t>
        </is>
      </c>
      <c r="T7757" t="inlineStr">
        <is>
          <t>4094849613924</t>
        </is>
      </c>
    </row>
    <row r="7758" hidden="1" ht="15.75" customHeight="1">
      <c r="A7758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7758" s="2">
        <f>HYPERLINK("https://edmondsonsupply.com/products/klein-tools-66070-flip-impact-socket-set-7-piece", "https://edmondsonsupply.com/products/klein-tools-66070-flip-impact-socket-set-7-piece")</f>
        <v/>
      </c>
      <c r="C7758" t="inlineStr">
        <is>
          <t>Klein Tools 66070 Flip Impact Socket Set, 7-Piece</t>
        </is>
      </c>
      <c r="D7758" t="inlineStr">
        <is>
          <t>Klein Tools 32768 Impact Driver, 3-in-1 Impact Flip Socket and Bit Holder, 1/4 and 5/16-Inch Hex Drivers, 3 and 5-Inch Lengths, 2-Piece Set</t>
        </is>
      </c>
      <c r="E7758" s="2">
        <f>HYPERLINK("https://www.amazon.com/16-Inch-Drivers-Klein-Tools-32768/dp/B09Q52LQ5G/ref=sr_1_5?keywords=Klein+Tools+66070+Flip+Impact+Socket+Set%2C+7-Piece&amp;qid=1694734974&amp;sr=8-5", "https://www.amazon.com/16-Inch-Drivers-Klein-Tools-32768/dp/B09Q52LQ5G/ref=sr_1_5?keywords=Klein+Tools+66070+Flip+Impact+Socket+Set%2C+7-Piece&amp;qid=1694734974&amp;sr=8-5")</f>
        <v/>
      </c>
      <c r="F7758" t="inlineStr">
        <is>
          <t>B09Q52LQ5G</t>
        </is>
      </c>
      <c r="G7758">
        <f>_xludf.IMAGE("https://edmondsonsupply.com/cdn/shop/products/66070_b.jpg?v=1663251434")</f>
        <v/>
      </c>
      <c r="H7758">
        <f>_xludf.IMAGE("https://m.media-amazon.com/images/I/51WsqEdVfRL._AC_UL320_.jpg")</f>
        <v/>
      </c>
      <c r="K7758" t="inlineStr">
        <is>
          <t>49.97</t>
        </is>
      </c>
      <c r="L7758" t="n">
        <v>14.95</v>
      </c>
      <c r="M7758" s="1" t="inlineStr">
        <is>
          <t>-70.08%</t>
        </is>
      </c>
      <c r="N7758" s="1" t="n"/>
      <c r="O7758" t="n">
        <v>4.4</v>
      </c>
      <c r="P7758" t="n">
        <v>1270</v>
      </c>
      <c r="R7758" t="inlineStr">
        <is>
          <t>InStock</t>
        </is>
      </c>
      <c r="S7758" t="inlineStr">
        <is>
          <t>69.98</t>
        </is>
      </c>
      <c r="T7758" t="inlineStr">
        <is>
          <t>7817421127896</t>
        </is>
      </c>
    </row>
    <row r="7759" hidden="1" ht="15.75" customHeight="1">
      <c r="A7759" s="2">
        <f>HYPERLINK("https://edmondsonsupply.com/collections/electricians-tools/products/klein-tools-11055rins-insulated-klein-kurve%C2%AE-wire-stripper-and-cutter", "https://edmondsonsupply.com/collections/electricians-tools/products/klein-tools-11055rins-insulated-klein-kurve%C2%AE-wire-stripper-and-cutter")</f>
        <v/>
      </c>
      <c r="B7759" s="2">
        <f>HYPERLINK("https://edmondsonsupply.com/products/klein-tools-11055rins-insulated-klein-kurve%c2%ae-wire-stripper-and-cutter", "https://edmondsonsupply.com/products/klein-tools-11055rins-insulated-klein-kurve%c2%ae-wire-stripper-and-cutter")</f>
        <v/>
      </c>
      <c r="C7759" t="inlineStr">
        <is>
          <t>Klein Tools 11055RINS Insulated Klein-Kurve® Wire Stripper and Cutter</t>
        </is>
      </c>
      <c r="D7759" t="inlineStr">
        <is>
          <t>Klein Tools 1003 Wire Stripper and Cutter for Solid and Stranded Wire, Compact Yellow</t>
        </is>
      </c>
      <c r="E7759" s="2">
        <f>HYPERLINK("https://www.amazon.com/Stripper-Stranded-Klein-Tools-1003/dp/B000V6W5QU/ref=sr_1_16?keywords=Klein+Tools+11055RINS+Insulated+Klein-Kurve%C2%AE+Wire+Stripper+and+Cutter&amp;qid=1694735096&amp;sr=8-16", "https://www.amazon.com/Stripper-Stranded-Klein-Tools-1003/dp/B000V6W5QU/ref=sr_1_16?keywords=Klein+Tools+11055RINS+Insulated+Klein-Kurve%C2%AE+Wire+Stripper+and+Cutter&amp;qid=1694735096&amp;sr=8-16")</f>
        <v/>
      </c>
      <c r="F7759" t="inlineStr">
        <is>
          <t>B000V6W5QU</t>
        </is>
      </c>
      <c r="G7759">
        <f>_xludf.IMAGE("https://edmondsonsupply.com/cdn/shop/products/11055rins.jpg?v=1667236979")</f>
        <v/>
      </c>
      <c r="H7759">
        <f>_xludf.IMAGE("https://m.media-amazon.com/images/I/41OXcwB6zvL._AC_UL320_.jpg")</f>
        <v/>
      </c>
      <c r="K7759" t="inlineStr">
        <is>
          <t>29.97</t>
        </is>
      </c>
      <c r="L7759" t="n">
        <v>8.960000000000001</v>
      </c>
      <c r="M7759" s="1" t="inlineStr">
        <is>
          <t>-70.10%</t>
        </is>
      </c>
      <c r="N7759" s="1" t="n"/>
      <c r="O7759" t="n">
        <v>4.6</v>
      </c>
      <c r="P7759" t="n">
        <v>627</v>
      </c>
      <c r="R7759" t="inlineStr">
        <is>
          <t>InStock</t>
        </is>
      </c>
      <c r="S7759" t="inlineStr">
        <is>
          <t>41.98</t>
        </is>
      </c>
      <c r="T7759" t="inlineStr">
        <is>
          <t>7871527813336</t>
        </is>
      </c>
    </row>
    <row r="7760" hidden="1" ht="15.75" customHeight="1">
      <c r="A7760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760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760" t="inlineStr">
        <is>
          <t>Diablo Tools DMAPL9920-S7 7pc Rebar Demon™ SDS-Plus 4-Cutter Full Carbide Head Hammer Bit Set</t>
        </is>
      </c>
      <c r="D7760" t="inlineStr">
        <is>
          <t>Diablo 7/16" x 4"x6" Rebar Demon™ SDS-Plus 4-Cutter Full Carbide Head Hammer Bit</t>
        </is>
      </c>
      <c r="E7760" s="2">
        <f>HYPERLINK("https://www.amazon.com/Diablo-SDS-Plus-4-Cutter-Carbide-Hammer/dp/B089LLFMWR/ref=sr_1_31?keywords=Diablo+Tools+DMAPL9920-S7+7pc+Rebar+Demon%E2%84%A2+SDS-Plus+4-Cutter+Full+Carbide+Head+Hammer+Bit+Set&amp;qid=1694735019&amp;sr=8-31", "https://www.amazon.com/Diablo-SDS-Plus-4-Cutter-Carbide-Hammer/dp/B089LLFMWR/ref=sr_1_31?keywords=Diablo+Tools+DMAPL9920-S7+7pc+Rebar+Demon%E2%84%A2+SDS-Plus+4-Cutter+Full+Carbide+Head+Hammer+Bit+Set&amp;qid=1694735019&amp;sr=8-31")</f>
        <v/>
      </c>
      <c r="F7760" t="inlineStr">
        <is>
          <t>B089LLFMWR</t>
        </is>
      </c>
      <c r="G7760">
        <f>_xludf.IMAGE("https://edmondsonsupply.com/cdn/shop/products/vgtm2xrrra4yfevsszgf.webp?v=1679328619")</f>
        <v/>
      </c>
      <c r="H7760">
        <f>_xludf.IMAGE("https://m.media-amazon.com/images/I/61dJRePds4L._AC_UL320_.jpg")</f>
        <v/>
      </c>
      <c r="K7760" t="inlineStr">
        <is>
          <t>37.97</t>
        </is>
      </c>
      <c r="L7760" t="n">
        <v>11.21</v>
      </c>
      <c r="M7760" s="1" t="inlineStr">
        <is>
          <t>-70.48%</t>
        </is>
      </c>
      <c r="N7760" s="1" t="n"/>
      <c r="O7760" t="n">
        <v>4.5</v>
      </c>
      <c r="P7760" t="n">
        <v>8</v>
      </c>
      <c r="R7760" t="inlineStr">
        <is>
          <t>InStock</t>
        </is>
      </c>
      <c r="S7760" t="inlineStr">
        <is>
          <t>55.56</t>
        </is>
      </c>
      <c r="T7760" t="inlineStr">
        <is>
          <t>7964936995032</t>
        </is>
      </c>
    </row>
    <row r="7761" hidden="1" ht="15.75" customHeight="1">
      <c r="A7761" s="2">
        <f>HYPERLINK("https://edmondsonsupply.com/collections/electricians-tools/products/diablo-tools-dmapl4300-1-in-x-8-in-x-10-in-rebar-demon%E2%84%A2-sds-plus-4-cutter-full-carbide-head-hammer-drill-bit", "https://edmondsonsupply.com/collections/electricians-tools/products/diablo-tools-dmapl4300-1-in-x-8-in-x-10-in-rebar-demon%E2%84%A2-sds-plus-4-cutter-full-carbide-head-hammer-drill-bit")</f>
        <v/>
      </c>
      <c r="B7761" s="2">
        <f>HYPERLINK("https://edmondsonsupply.com/products/diablo-tools-dmapl4300-1-in-x-8-in-x-10-in-rebar-demon%e2%84%a2-sds-plus-4-cutter-full-carbide-head-hammer-drill-bit", "https://edmondsonsupply.com/products/diablo-tools-dmapl4300-1-in-x-8-in-x-10-in-rebar-demon%e2%84%a2-sds-plus-4-cutter-full-carbide-head-hammer-drill-bit")</f>
        <v/>
      </c>
      <c r="C7761" t="inlineStr">
        <is>
          <t>Diablo Tools DMAPL4300 1 in. x 8 in. x 10 in. Rebar Demon™ SDS‑Plus 4‑Cutter Full Carbide Head Hammer Drill Bit</t>
        </is>
      </c>
      <c r="D7761" t="inlineStr">
        <is>
          <t>Diablo by Freud Diablo DMAPL4210 5/8 in. x 4 in. x 6 in. Rebar Demon SDS-Plus 4-Cutter Full Carbide Head Hammer Bit</t>
        </is>
      </c>
      <c r="E7761" s="2" t="n"/>
      <c r="F7761" t="inlineStr">
        <is>
          <t>B089LGF2KS</t>
        </is>
      </c>
      <c r="G7761">
        <f>_xludf.IMAGE("https://edmondsonsupply.com/cdn/shop/products/DMAPL4300_Additional-Images_0120200225.png?v=1633030652")</f>
        <v/>
      </c>
      <c r="H7761">
        <f>_xludf.IMAGE("https://m.media-amazon.com/images/I/61rU9ZgmndL._AC_UL320_.jpg")</f>
        <v/>
      </c>
      <c r="K7761" t="inlineStr">
        <is>
          <t>38.97</t>
        </is>
      </c>
      <c r="L7761" t="n">
        <v>11.49</v>
      </c>
      <c r="M7761" s="1" t="inlineStr">
        <is>
          <t>-70.52%</t>
        </is>
      </c>
      <c r="N7761" s="1" t="n"/>
      <c r="O7761" t="n">
        <v>4.6</v>
      </c>
      <c r="P7761" t="n">
        <v>63</v>
      </c>
      <c r="R7761" t="inlineStr">
        <is>
          <t>InStock</t>
        </is>
      </c>
      <c r="S7761" t="inlineStr">
        <is>
          <t>52.66</t>
        </is>
      </c>
      <c r="T7761" t="inlineStr">
        <is>
          <t>5740518637736</t>
        </is>
      </c>
    </row>
    <row r="7762" ht="87" customHeight="1">
      <c r="A7762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762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762" t="inlineStr">
        <is>
          <t>Milwaukee 48-11-2412 M12 REDLITHIUM™ XC Battery Two Pack</t>
        </is>
      </c>
      <c r="D7762" t="inlineStr">
        <is>
          <t>Biswaye 2-Pack 12V Lithium Battery 6.0Ah Compatible with Milwaukee M-12 12V Lithium XC Extended Battery 48-11-2460 48-11-2440 48-11-2420 48-11-2411 48-11-2401 48-11-2430 48-11-2412</t>
        </is>
      </c>
      <c r="E7762" s="2">
        <f>HYPERLINK("https://www.amazon.com/Biswaye-48-11-2402-48-11-2401-48-11-2420-48-11-2411/dp/B07C7S59HN/ref=sr_1_2?keywords=Milwaukee+48-11-2412+M12+REDLITHIUM%E2%84%A2+XC+Battery+Two+Pack&amp;qid=1694735150&amp;sr=8-2", "https://www.amazon.com/Biswaye-48-11-2402-48-11-2401-48-11-2420-48-11-2411/dp/B07C7S59HN/ref=sr_1_2?keywords=Milwaukee+48-11-2412+M12+REDLITHIUM%E2%84%A2+XC+Battery+Two+Pack&amp;qid=1694735150&amp;sr=8-2")</f>
        <v/>
      </c>
      <c r="F7762" t="inlineStr">
        <is>
          <t>B07C7S59HN</t>
        </is>
      </c>
      <c r="G7762">
        <f>_xlfn.IMAGE("https://edmondsonsupply.com/cdn/shop/products/48-11-2412.jpg?v=1654795924")</f>
        <v/>
      </c>
      <c r="H7762">
        <f>_xlfn.IMAGE("https://m.media-amazon.com/images/I/61-b7UVQ5eL._AC_UL320_.jpg")</f>
        <v/>
      </c>
      <c r="K7762" t="inlineStr">
        <is>
          <t>129.0</t>
        </is>
      </c>
      <c r="L7762" t="n">
        <v>37.99</v>
      </c>
      <c r="M7762" s="1" t="inlineStr">
        <is>
          <t>-70.55%</t>
        </is>
      </c>
      <c r="N7762" s="7" t="n"/>
      <c r="O7762" t="n">
        <v>4.5</v>
      </c>
      <c r="P7762" t="n">
        <v>470</v>
      </c>
      <c r="R7762" t="inlineStr">
        <is>
          <t>InStock</t>
        </is>
      </c>
      <c r="S7762" t="inlineStr">
        <is>
          <t>217.0</t>
        </is>
      </c>
      <c r="T7762" t="inlineStr">
        <is>
          <t>7711224168664</t>
        </is>
      </c>
    </row>
    <row r="7763" ht="87" customHeight="1">
      <c r="A7763" s="2">
        <f>HYPERLINK("https://edmondsonsupply.com/collections/electricians-tools/products/klein-tools-56334-steel-fish-tape-1-8-inch-x-240-foot", "https://edmondsonsupply.com/collections/electricians-tools/products/klein-tools-56334-steel-fish-tape-1-8-inch-x-240-foot")</f>
        <v/>
      </c>
      <c r="B7763" s="2">
        <f>HYPERLINK("https://edmondsonsupply.com/products/klein-tools-56334-steel-fish-tape-1-8-inch-x-240-foot", "https://edmondsonsupply.com/products/klein-tools-56334-steel-fish-tape-1-8-inch-x-240-foot")</f>
        <v/>
      </c>
      <c r="C7763" t="inlineStr">
        <is>
          <t>Klein Tools 56334 Steel Fish Tape, 1/8-Inch x 240-Foot</t>
        </is>
      </c>
      <c r="D7763" t="inlineStr">
        <is>
          <t>Klein Tools 56331 Electrical Fish Tape, Steel Wire Puller with Double Loop Tip, Optimized Housing and Handle, 1/8-Inch x 50-Foot</t>
        </is>
      </c>
      <c r="E7763" s="2">
        <f>HYPERLINK("https://www.amazon.com/Klein-Tools-56331-Optimized-Housing/dp/B081TVR4N7/ref=sr_1_6?keywords=Klein+Tools+56334+Steel+Fish+Tape%2C+1%2F8-Inch+x+240-Foot&amp;qid=1694735385&amp;sr=8-6", "https://www.amazon.com/Klein-Tools-56331-Optimized-Housing/dp/B081TVR4N7/ref=sr_1_6?keywords=Klein+Tools+56334+Steel+Fish+Tape%2C+1%2F8-Inch+x+240-Foot&amp;qid=1694735385&amp;sr=8-6")</f>
        <v/>
      </c>
      <c r="F7763" t="inlineStr">
        <is>
          <t>B081TVR4N7</t>
        </is>
      </c>
      <c r="G7763">
        <f>_xlfn.IMAGE("https://edmondsonsupply.com/cdn/shop/products/56334.jpg?v=1587147767")</f>
        <v/>
      </c>
      <c r="H7763">
        <f>_xlfn.IMAGE("https://m.media-amazon.com/images/I/71Wab7hH7jS._AC_UL320_.jpg")</f>
        <v/>
      </c>
      <c r="K7763" t="inlineStr">
        <is>
          <t>84.97</t>
        </is>
      </c>
      <c r="L7763" t="n">
        <v>24.99</v>
      </c>
      <c r="M7763" s="1" t="inlineStr">
        <is>
          <t>-70.59%</t>
        </is>
      </c>
      <c r="N7763" s="7" t="n"/>
      <c r="O7763" t="n">
        <v>4.6</v>
      </c>
      <c r="P7763" t="n">
        <v>5174</v>
      </c>
      <c r="R7763" t="inlineStr">
        <is>
          <t>InStock</t>
        </is>
      </c>
      <c r="S7763" t="inlineStr">
        <is>
          <t>115.14</t>
        </is>
      </c>
      <c r="T7763" t="inlineStr">
        <is>
          <t>4412213723236</t>
        </is>
      </c>
    </row>
    <row r="7764" hidden="1" ht="15.75" customHeight="1">
      <c r="A7764" s="2">
        <f>HYPERLINK("https://edmondsonsupply.com/collections/electricians-tools/products/diablo-tools-dmamx1400-2-in-x-16-in-x-21-in-rebar-demon%E2%84%A2-sds-max-4-cutter-carbide-tipped-hammer-bit", "https://edmondsonsupply.com/collections/electricians-tools/products/diablo-tools-dmamx1400-2-in-x-16-in-x-21-in-rebar-demon%E2%84%A2-sds-max-4-cutter-carbide-tipped-hammer-bit")</f>
        <v/>
      </c>
      <c r="B7764" s="2">
        <f>HYPERLINK("https://edmondsonsupply.com/products/diablo-tools-dmamx1400-2-in-x-16-in-x-21-in-rebar-demon%e2%84%a2-sds-max-4-cutter-carbide-tipped-hammer-bit", "https://edmondsonsupply.com/products/diablo-tools-dmamx1400-2-in-x-16-in-x-21-in-rebar-demon%e2%84%a2-sds-max-4-cutter-carbide-tipped-hammer-bit")</f>
        <v/>
      </c>
      <c r="C7764" t="inlineStr">
        <is>
          <t>Diablo Tools DMAMX1400 2 in. x 16 in. x 21 in. Rebar Demon™ SDS‑Max 4‑Cutter Carbide‑Tipped Hammer Bit</t>
        </is>
      </c>
      <c r="D7764" t="inlineStr">
        <is>
          <t>Diablo DMAMX1180 7/8 in. x 16 in. x 21 in. Rebar Demon™ SDS-Max 4-Cutter Full Carbide Head Hammer Bit</t>
        </is>
      </c>
      <c r="E7764" s="2">
        <f>HYPERLINK("https://www.amazon.com/Diablo-SDS-Max-4-Cutter-Carbide-Hammer/dp/B089KWFF8B/ref=sr_1_3?keywords=Diablo+Tools+DMAMX1400+2+in.+x+16+in.+x+21+in.+Rebar+Demon%E2%84%A2+SDS%E2%80%91Max+4%E2%80%91Cutter+Carbide%E2%80%91Tipped+Hammer+Bit&amp;qid=1694735277&amp;sr=8-3", "https://www.amazon.com/Diablo-SDS-Max-4-Cutter-Carbide-Hammer/dp/B089KWFF8B/ref=sr_1_3?keywords=Diablo+Tools+DMAMX1400+2+in.+x+16+in.+x+21+in.+Rebar+Demon%E2%84%A2+SDS%E2%80%91Max+4%E2%80%91Cutter+Carbide%E2%80%91Tipped+Hammer+Bit&amp;qid=1694735277&amp;sr=8-3")</f>
        <v/>
      </c>
      <c r="F7764" t="inlineStr">
        <is>
          <t>B089KWFF8B</t>
        </is>
      </c>
      <c r="G7764">
        <f>_xludf.IMAGE("https://edmondsonsupply.com/cdn/shop/products/DMAMX1400_Main-Image20200702.png?v=1633030514")</f>
        <v/>
      </c>
      <c r="H7764">
        <f>_xludf.IMAGE("https://m.media-amazon.com/images/I/611fTcYRNFL._AC_UL320_.jpg")</f>
        <v/>
      </c>
      <c r="K7764" t="inlineStr">
        <is>
          <t>179.97</t>
        </is>
      </c>
      <c r="L7764" t="n">
        <v>52.51</v>
      </c>
      <c r="M7764" s="1" t="inlineStr">
        <is>
          <t>-70.82%</t>
        </is>
      </c>
      <c r="N7764" s="1" t="n"/>
      <c r="O7764" t="n">
        <v>3.5</v>
      </c>
      <c r="P7764" t="n">
        <v>3</v>
      </c>
      <c r="R7764" t="inlineStr">
        <is>
          <t>InStock</t>
        </is>
      </c>
      <c r="S7764" t="inlineStr">
        <is>
          <t>222.22</t>
        </is>
      </c>
      <c r="T7764" t="inlineStr">
        <is>
          <t>5395537461416</t>
        </is>
      </c>
    </row>
    <row r="7765" ht="87" customHeight="1">
      <c r="A7765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765" s="2">
        <f>HYPERLINK("https://edmondsonsupply.com/products/veto-pro-pac-tech-pac-backpack-tool-bag-1", "https://edmondsonsupply.com/products/veto-pro-pac-tech-pac-backpack-tool-bag-1")</f>
        <v/>
      </c>
      <c r="C7765" t="inlineStr">
        <is>
          <t>Veto Pro Pac TECH PAC LT Laptop Backpack Tool Bag</t>
        </is>
      </c>
      <c r="D7765" t="inlineStr">
        <is>
          <t>ToughBuilt - Professional Tool Bag and Backpack, Fits 13" -17" Laptops, Large Front Flap Provides Easy Access to all Tools, Rugged Off-Road Base, Open and Covered Internal Pockets (TB-66C)</t>
        </is>
      </c>
      <c r="E7765" s="2">
        <f>HYPERLINK("https://www.amazon.com/Toughbuilt-Professional-Backpack-Provides-Off-Road/dp/B08SCP9112/ref=sr_1_39?keywords=Veto+Pro+Pac+TECH+PAC+LT+Laptop+Backpack+Tool+Bag&amp;qid=1694735205&amp;sr=8-39", "https://www.amazon.com/Toughbuilt-Professional-Backpack-Provides-Off-Road/dp/B08SCP9112/ref=sr_1_39?keywords=Veto+Pro+Pac+TECH+PAC+LT+Laptop+Backpack+Tool+Bag&amp;qid=1694735205&amp;sr=8-39")</f>
        <v/>
      </c>
      <c r="F7765" t="inlineStr">
        <is>
          <t>B08SCP9112</t>
        </is>
      </c>
      <c r="G7765">
        <f>_xlfn.IMAGE("https://edmondsonsupply.com/cdn/shop/products/LT_1.jpg?v=1587146035")</f>
        <v/>
      </c>
      <c r="H7765">
        <f>_xlfn.IMAGE("https://m.media-amazon.com/images/I/91D6jO0SesL._AC_UL320_.jpg")</f>
        <v/>
      </c>
      <c r="K7765" t="inlineStr">
        <is>
          <t>289.99</t>
        </is>
      </c>
      <c r="L7765" t="n">
        <v>83.98999999999999</v>
      </c>
      <c r="M7765" s="1" t="inlineStr">
        <is>
          <t>-71.04%</t>
        </is>
      </c>
      <c r="N7765" s="7" t="n"/>
      <c r="O7765" t="n">
        <v>4.5</v>
      </c>
      <c r="P7765" t="n">
        <v>447</v>
      </c>
      <c r="R7765" t="inlineStr">
        <is>
          <t>InStock</t>
        </is>
      </c>
      <c r="S7765" t="inlineStr">
        <is>
          <t>undefined</t>
        </is>
      </c>
      <c r="T7765" t="inlineStr">
        <is>
          <t>3558529695844</t>
        </is>
      </c>
    </row>
    <row r="7766" ht="87" customHeight="1">
      <c r="A7766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766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766" t="inlineStr">
        <is>
          <t>Diablo Tools DMAPL4070-P25 1/4 in. x 4 in. x 6 in. Rebar Demon™ SDS-Plus 4-Cutter Full Carbide Head Hammer Bit (25-Pack)</t>
        </is>
      </c>
      <c r="D7766" t="inlineStr">
        <is>
          <t>Diablo by Freud DMAPL4200 1/2 in. x 16 in. x 18 in. Rebar Demon SDS-Plus 4-Cutter Full Carbide Head Hammer Bit</t>
        </is>
      </c>
      <c r="E7766" s="2" t="n"/>
      <c r="F7766" t="inlineStr">
        <is>
          <t>B089KW2QV1</t>
        </is>
      </c>
      <c r="G7766">
        <f>_xlfn.IMAGE("https://edmondsonsupply.com/cdn/shop/products/DMAPL4070.jpg?v=1633030350")</f>
        <v/>
      </c>
      <c r="H7766">
        <f>_xlfn.IMAGE("https://m.media-amazon.com/images/I/61rW+ROVmNL._AC_UL320_.jpg")</f>
        <v/>
      </c>
      <c r="K7766" t="inlineStr">
        <is>
          <t>79.47</t>
        </is>
      </c>
      <c r="L7766" t="n">
        <v>23</v>
      </c>
      <c r="M7766" s="1" t="inlineStr">
        <is>
          <t>-71.06%</t>
        </is>
      </c>
      <c r="N7766" s="7" t="n"/>
      <c r="O7766" t="n">
        <v>4.7</v>
      </c>
      <c r="P7766" t="n">
        <v>18</v>
      </c>
      <c r="R7766" t="inlineStr">
        <is>
          <t>InStock</t>
        </is>
      </c>
      <c r="S7766" t="inlineStr">
        <is>
          <t>106.66</t>
        </is>
      </c>
      <c r="T7766" t="inlineStr">
        <is>
          <t>5283065069736</t>
        </is>
      </c>
    </row>
    <row r="7767" hidden="1" ht="15.75" customHeight="1">
      <c r="A7767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767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767" t="inlineStr">
        <is>
          <t>Klein Tools JTH9E17 1/2-Inch Hex Key with Journeyman T-Handle, 9-Inch</t>
        </is>
      </c>
      <c r="D7767" t="inlineStr">
        <is>
          <t>Klein Tools JTH6M25BE 2.5 mm Ball End Hex Key with Journeyman T-Handle, 6-Inch</t>
        </is>
      </c>
      <c r="E7767" s="2">
        <f>HYPERLINK("https://www.amazon.com/Journeyman-T-Handle-Klein-Tools-JTH6M25BE/dp/B005G2RMPS/ref=sr_1_11?keywords=Klein+Tools+JTH9E17+1%2F2-Inch+Hex+Key+with+Journeyman+T-Handle%2C+9-Inch&amp;qid=1694735337&amp;sr=8-11", "https://www.amazon.com/Journeyman-T-Handle-Klein-Tools-JTH6M25BE/dp/B005G2RMPS/ref=sr_1_11?keywords=Klein+Tools+JTH9E17+1%2F2-Inch+Hex+Key+with+Journeyman+T-Handle%2C+9-Inch&amp;qid=1694735337&amp;sr=8-11")</f>
        <v/>
      </c>
      <c r="F7767" t="inlineStr">
        <is>
          <t>B005G2RMPS</t>
        </is>
      </c>
      <c r="G7767">
        <f>_xludf.IMAGE("https://edmondsonsupply.com/cdn/shop/products/jth9e12_c458fab1-bd79-4a70-ae62-7e6646bd3d84.jpg?v=1587146369")</f>
        <v/>
      </c>
      <c r="H7767">
        <f>_xludf.IMAGE("https://m.media-amazon.com/images/I/51huXA+ij8L._AC_UL320_.jpg")</f>
        <v/>
      </c>
      <c r="K7767" t="inlineStr">
        <is>
          <t>23.99</t>
        </is>
      </c>
      <c r="L7767" t="n">
        <v>6.91</v>
      </c>
      <c r="M7767" s="1" t="inlineStr">
        <is>
          <t>-71.20%</t>
        </is>
      </c>
      <c r="N7767" s="1" t="n"/>
      <c r="O7767" t="n">
        <v>4.8</v>
      </c>
      <c r="P7767" t="n">
        <v>985</v>
      </c>
      <c r="R7767" t="inlineStr">
        <is>
          <t>InStock</t>
        </is>
      </c>
      <c r="S7767" t="inlineStr">
        <is>
          <t>36.36</t>
        </is>
      </c>
      <c r="T7767" t="inlineStr">
        <is>
          <t>4505575981156</t>
        </is>
      </c>
    </row>
    <row r="7768" hidden="1" ht="15.75" customHeight="1">
      <c r="A7768" s="2">
        <f>HYPERLINK("https://edmondsonsupply.com/collections/electricians-tools/products/diablo-tools-dmamx1020", "https://edmondsonsupply.com/collections/electricians-tools/products/diablo-tools-dmamx1020")</f>
        <v/>
      </c>
      <c r="B7768" s="2">
        <f>HYPERLINK("https://edmondsonsupply.com/products/diablo-tools-dmamx1020", "https://edmondsonsupply.com/products/diablo-tools-dmamx1020")</f>
        <v/>
      </c>
      <c r="C7768" t="inlineStr">
        <is>
          <t>Diablo Tools DMAMX1020 1/2 in. x 8 in. x 13 in. Rebar Demon SDS‑Max 4‑Cutter Full Carbide Head Hammer Bit</t>
        </is>
      </c>
      <c r="D7768" t="inlineStr">
        <is>
          <t>Diablo by Freud Diablo DMAPL4210 5/8 in. x 4 in. x 6 in. Rebar Demon SDS-Plus 4-Cutter Full Carbide Head Hammer Bit</t>
        </is>
      </c>
      <c r="E7768" s="2">
        <f>HYPERLINK("https://www.amazon.com/Diablo-Freud-DMAPL4210-SDS-Plus-4-Cutter/dp/B089LGF2KS/ref=sr_1_37?keywords=Diablo+Tools+DMAMX1020+1%2F2+in.+x+8+in.+x+13+in.+Rebar+Demon+SDS%E2%80%91Max+4%E2%80%91Cutter+Full+Carbide+Head+Hammer+Bit&amp;qid=1694735268&amp;sr=8-37", "https://www.amazon.com/Diablo-Freud-DMAPL4210-SDS-Plus-4-Cutter/dp/B089LGF2KS/ref=sr_1_37?keywords=Diablo+Tools+DMAMX1020+1%2F2+in.+x+8+in.+x+13+in.+Rebar+Demon+SDS%E2%80%91Max+4%E2%80%91Cutter+Full+Carbide+Head+Hammer+Bit&amp;qid=1694735268&amp;sr=8-37")</f>
        <v/>
      </c>
      <c r="F7768" t="inlineStr">
        <is>
          <t>B089LGF2KS</t>
        </is>
      </c>
      <c r="G7768">
        <f>_xludf.IMAGE("https://edmondsonsupply.com/cdn/shop/products/DMAMX1020_Main-Image20200701.png?v=1609798895")</f>
        <v/>
      </c>
      <c r="H7768">
        <f>_xludf.IMAGE("https://m.media-amazon.com/images/I/61rU9ZgmndL._AC_UL320_.jpg")</f>
        <v/>
      </c>
      <c r="K7768" t="inlineStr">
        <is>
          <t>39.97</t>
        </is>
      </c>
      <c r="L7768" t="n">
        <v>11.49</v>
      </c>
      <c r="M7768" s="1" t="inlineStr">
        <is>
          <t>-71.25%</t>
        </is>
      </c>
      <c r="N7768" s="1" t="n"/>
      <c r="O7768" t="n">
        <v>4.6</v>
      </c>
      <c r="P7768" t="n">
        <v>63</v>
      </c>
      <c r="R7768" t="inlineStr">
        <is>
          <t>InStock</t>
        </is>
      </c>
      <c r="S7768" t="inlineStr">
        <is>
          <t>42.31</t>
        </is>
      </c>
      <c r="T7768" t="inlineStr">
        <is>
          <t>5463822598312</t>
        </is>
      </c>
    </row>
    <row r="7769" ht="87" customHeight="1">
      <c r="A7769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7769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7769" t="inlineStr">
        <is>
          <t>Klein Tools 66050E 2-in-1 Metric Impact Socket Set, 12-Point, 5-Piece</t>
        </is>
      </c>
      <c r="D7769" t="inlineStr">
        <is>
          <t>MIXPOWER 8-Piece 1/2-Inch Drive Deep Impact Socket Set,12 Point, Metric, CR-MO, 29,30 32 34 35,36,38,39mm, Heavy Duty Impact Socket Set</t>
        </is>
      </c>
      <c r="E7769" s="2">
        <f>HYPERLINK("https://www.amazon.com/MIXPOWER-8-Piece-2-Inch-Impact-Socket/dp/B08JTMRNDH/ref=sr_1_22?keywords=Klein+Tools+66050E+2-in-1+Metric+Impact+Socket+Set%2C+12-Point%2C+5-Piece&amp;qid=1694735136&amp;sr=8-22", "https://www.amazon.com/MIXPOWER-8-Piece-2-Inch-Impact-Socket/dp/B08JTMRNDH/ref=sr_1_22?keywords=Klein+Tools+66050E+2-in-1+Metric+Impact+Socket+Set%2C+12-Point%2C+5-Piece&amp;qid=1694735136&amp;sr=8-22")</f>
        <v/>
      </c>
      <c r="F7769" t="inlineStr">
        <is>
          <t>B08JTMRNDH</t>
        </is>
      </c>
      <c r="G7769">
        <f>_xlfn.IMAGE("https://edmondsonsupply.com/cdn/shop/products/66050e.jpg?v=1659120052")</f>
        <v/>
      </c>
      <c r="H7769">
        <f>_xlfn.IMAGE("https://m.media-amazon.com/images/I/81SaAbjUGgL._AC_UL320_.jpg")</f>
        <v/>
      </c>
      <c r="K7769" t="inlineStr">
        <is>
          <t>149.54</t>
        </is>
      </c>
      <c r="L7769" t="n">
        <v>42.97</v>
      </c>
      <c r="M7769" s="1" t="inlineStr">
        <is>
          <t>-71.27%</t>
        </is>
      </c>
      <c r="N7769" s="7" t="n"/>
      <c r="O7769" t="n">
        <v>4.7</v>
      </c>
      <c r="P7769" t="n">
        <v>501</v>
      </c>
      <c r="R7769" t="inlineStr">
        <is>
          <t>InStock</t>
        </is>
      </c>
      <c r="S7769" t="inlineStr">
        <is>
          <t>249.24</t>
        </is>
      </c>
      <c r="T7769" t="inlineStr">
        <is>
          <t>7766623420632</t>
        </is>
      </c>
    </row>
    <row r="7770" hidden="1" ht="15.75" customHeight="1">
      <c r="A7770" s="2">
        <f>HYPERLINK("https://edmondsonsupply.com/collections/electricians-tools/products/diablo-tools-dmapl2320-1-2-in-x-10-in-x-12-in-sds-plus-2-cutter", "https://edmondsonsupply.com/collections/electricians-tools/products/diablo-tools-dmapl2320-1-2-in-x-10-in-x-12-in-sds-plus-2-cutter")</f>
        <v/>
      </c>
      <c r="B7770" s="2">
        <f>HYPERLINK("https://edmondsonsupply.com/products/diablo-tools-dmapl2320-1-2-in-x-10-in-x-12-in-sds-plus-2-cutter", "https://edmondsonsupply.com/products/diablo-tools-dmapl2320-1-2-in-x-10-in-x-12-in-sds-plus-2-cutter")</f>
        <v/>
      </c>
      <c r="C7770" t="inlineStr">
        <is>
          <t>Diablo Tools DMAPL2320 1/2 in. x 10 in. x 12 in. SDS-Plus 2-Cutter</t>
        </is>
      </c>
      <c r="D7770" t="inlineStr">
        <is>
          <t>BOSCH HC2084B25 25-Pack 1/2 In. x 10 In. x 12 In. Bulldog SDS-Plus Rotary Hammer Bit</t>
        </is>
      </c>
      <c r="E7770" s="2">
        <f>HYPERLINK("https://www.amazon.com/Bosch-HC2084B25-25-Piece-SDS-plus-Bulldog/dp/B000AMS82U/ref=sr_1_40?keywords=Diablo+Tools+DMAPL2320+1%2F2+in.+x+10+in.+x+12+in.+SDS-Plus+2-Cutter&amp;qid=1694735300&amp;sr=8-40", "https://www.amazon.com/Bosch-HC2084B25-25-Piece-SDS-plus-Bulldog/dp/B000AMS82U/ref=sr_1_40?keywords=Diablo+Tools+DMAPL2320+1%2F2+in.+x+10+in.+x+12+in.+SDS-Plus+2-Cutter&amp;qid=1694735300&amp;sr=8-40")</f>
        <v/>
      </c>
      <c r="F7770" t="inlineStr">
        <is>
          <t>B000AMS82U</t>
        </is>
      </c>
      <c r="G7770">
        <f>_xludf.IMAGE("https://edmondsonsupply.com/cdn/shop/products/DMAPL2320.jpg?v=1633030356")</f>
        <v/>
      </c>
      <c r="H7770">
        <f>_xludf.IMAGE("https://m.media-amazon.com/images/I/71bKHK3zK5L._AC_UL320_.jpg")</f>
        <v/>
      </c>
      <c r="K7770" t="inlineStr">
        <is>
          <t>12.97</t>
        </is>
      </c>
      <c r="L7770" t="n">
        <v>3.7</v>
      </c>
      <c r="M7770" s="1" t="inlineStr">
        <is>
          <t>-71.47%</t>
        </is>
      </c>
      <c r="N7770" s="1" t="n"/>
      <c r="O7770" t="n">
        <v>4.7</v>
      </c>
      <c r="P7770" t="n">
        <v>9679</v>
      </c>
      <c r="R7770" t="inlineStr">
        <is>
          <t>InStock</t>
        </is>
      </c>
      <c r="S7770" t="inlineStr">
        <is>
          <t>14.25</t>
        </is>
      </c>
      <c r="T7770" t="inlineStr">
        <is>
          <t>5286282264744</t>
        </is>
      </c>
    </row>
    <row r="7771" hidden="1" ht="15.75" customHeight="1">
      <c r="A7771" s="2">
        <f>HYPERLINK("https://edmondsonsupply.com/collections/electricians-tools/products/klein-tools-jth9e17-1-2-inch-hex-key-with-journeyman-t-handle-9-inch", "https://edmondsonsupply.com/collections/electricians-tools/products/klein-tools-jth9e17-1-2-inch-hex-key-with-journeyman-t-handle-9-inch")</f>
        <v/>
      </c>
      <c r="B7771" s="2">
        <f>HYPERLINK("https://edmondsonsupply.com/products/klein-tools-jth9e17-1-2-inch-hex-key-with-journeyman-t-handle-9-inch", "https://edmondsonsupply.com/products/klein-tools-jth9e17-1-2-inch-hex-key-with-journeyman-t-handle-9-inch")</f>
        <v/>
      </c>
      <c r="C7771" t="inlineStr">
        <is>
          <t>Klein Tools JTH9E17 1/2-Inch Hex Key with Journeyman T-Handle, 9-Inch</t>
        </is>
      </c>
      <c r="D7771" t="inlineStr">
        <is>
          <t>Klein Tools JTH9M25 2.5 mm Hex Key with Journeyman T-Handle, 9-Inch</t>
        </is>
      </c>
      <c r="E7771" s="2">
        <f>HYPERLINK("https://www.amazon.com/Journeyman-T-Handle-Klein-Tools-JTH9M25/dp/B005G3HIRY/ref=sr_1_6?keywords=Klein+Tools+JTH9E17+1%2F2-Inch+Hex+Key+with+Journeyman+T-Handle%2C+9-Inch&amp;qid=1694735337&amp;sr=8-6", "https://www.amazon.com/Journeyman-T-Handle-Klein-Tools-JTH9M25/dp/B005G3HIRY/ref=sr_1_6?keywords=Klein+Tools+JTH9E17+1%2F2-Inch+Hex+Key+with+Journeyman+T-Handle%2C+9-Inch&amp;qid=1694735337&amp;sr=8-6")</f>
        <v/>
      </c>
      <c r="F7771" t="inlineStr">
        <is>
          <t>B005G3HIRY</t>
        </is>
      </c>
      <c r="G7771">
        <f>_xludf.IMAGE("https://edmondsonsupply.com/cdn/shop/products/jth9e12_c458fab1-bd79-4a70-ae62-7e6646bd3d84.jpg?v=1587146369")</f>
        <v/>
      </c>
      <c r="H7771">
        <f>_xludf.IMAGE("https://m.media-amazon.com/images/I/51+1x0vz9XL._AC_UL320_.jpg")</f>
        <v/>
      </c>
      <c r="K7771" t="inlineStr">
        <is>
          <t>23.99</t>
        </is>
      </c>
      <c r="L7771" t="n">
        <v>6.84</v>
      </c>
      <c r="M7771" s="1" t="inlineStr">
        <is>
          <t>-71.49%</t>
        </is>
      </c>
      <c r="N7771" s="1" t="n"/>
      <c r="O7771" t="n">
        <v>4.2</v>
      </c>
      <c r="P7771" t="n">
        <v>14</v>
      </c>
      <c r="R7771" t="inlineStr">
        <is>
          <t>InStock</t>
        </is>
      </c>
      <c r="S7771" t="inlineStr">
        <is>
          <t>36.36</t>
        </is>
      </c>
      <c r="T7771" t="inlineStr">
        <is>
          <t>4505575981156</t>
        </is>
      </c>
    </row>
    <row r="7772" ht="87" customHeight="1">
      <c r="A7772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772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772" t="inlineStr">
        <is>
          <t>Diablo Tools DMAPL4140-P25 3/8 in. x 4 in. x 6 in. Rebar Demon™ SDS-Plus 4-Cutter Full Carbide Head Hammer Bit (25-Pack)</t>
        </is>
      </c>
      <c r="D7772" t="inlineStr">
        <is>
          <t>Diablo by Freud DMAPL4270 27/32 in. x 8 in. x 10 in. Rebar Demon SDS-Plus 4-Cutter Full Carbide Head Hammer Bit</t>
        </is>
      </c>
      <c r="E7772" s="2" t="n"/>
      <c r="F7772" t="inlineStr">
        <is>
          <t>B089KXBGLM</t>
        </is>
      </c>
      <c r="G7772">
        <f>_xlfn.IMAGE("https://edmondsonsupply.com/cdn/shop/products/DMAPL4140-P25.jpg?v=1633030354")</f>
        <v/>
      </c>
      <c r="H7772">
        <f>_xlfn.IMAGE("https://m.media-amazon.com/images/I/611A6sphG9L._AC_UL320_.jpg")</f>
        <v/>
      </c>
      <c r="K7772" t="inlineStr">
        <is>
          <t>105.97</t>
        </is>
      </c>
      <c r="L7772" t="n">
        <v>30.13</v>
      </c>
      <c r="M7772" s="1" t="inlineStr">
        <is>
          <t>-71.57%</t>
        </is>
      </c>
      <c r="N7772" s="7" t="n"/>
      <c r="O7772" t="n">
        <v>5</v>
      </c>
      <c r="P7772" t="n">
        <v>2</v>
      </c>
      <c r="R7772" t="inlineStr">
        <is>
          <t>InStock</t>
        </is>
      </c>
      <c r="S7772" t="inlineStr">
        <is>
          <t>153.56</t>
        </is>
      </c>
      <c r="T7772" t="inlineStr">
        <is>
          <t>5286131794088</t>
        </is>
      </c>
    </row>
    <row r="7773" hidden="1" ht="15.75" customHeight="1">
      <c r="A7773" s="2">
        <f>HYPERLINK("https://edmondsonsupply.com/collections/electricians-tools/products/diablo-tools-dmamx1220", "https://edmondsonsupply.com/collections/electricians-tools/products/diablo-tools-dmamx1220")</f>
        <v/>
      </c>
      <c r="B7773" s="2">
        <f>HYPERLINK("https://edmondsonsupply.com/products/diablo-tools-dmamx1220", "https://edmondsonsupply.com/products/diablo-tools-dmamx1220")</f>
        <v/>
      </c>
      <c r="C7773" t="inlineStr">
        <is>
          <t>Diablo Tools DMAMX1220 1 in. x 16 in. x 21 in. Rebar Demon™ SDS-Max 4-Cutter Full Carbide Head Hammer Drill Bit</t>
        </is>
      </c>
      <c r="D7773" t="inlineStr">
        <is>
          <t>Diablo DMAPL4120 5/16 in. x 10 in. x 12 in. Rebar Demon™ SDS-Plus 4-Cutter Full Carbide Head Hammer Bit</t>
        </is>
      </c>
      <c r="E7773" s="2">
        <f>HYPERLINK("https://www.amazon.com/Diablo-SDS-Plus-4-Cutter-Carbide-Hammer/dp/B089KTHL12/ref=sr_1_23?keywords=Diablo+Tools+DMAMX1220+1+in.+x+16+in.+x+21+in.+Rebar+Demon%E2%84%A2+SDS-Max+4-Cutter+Full+Carbide+Head+Hammer+Drill+Bit&amp;qid=1694735075&amp;sr=8-23", "https://www.amazon.com/Diablo-SDS-Plus-4-Cutter-Carbide-Hammer/dp/B089KTHL12/ref=sr_1_23?keywords=Diablo+Tools+DMAMX1220+1+in.+x+16+in.+x+21+in.+Rebar+Demon%E2%84%A2+SDS-Max+4-Cutter+Full+Carbide+Head+Hammer+Drill+Bit&amp;qid=1694735075&amp;sr=8-23")</f>
        <v/>
      </c>
      <c r="F7773" t="inlineStr">
        <is>
          <t>B089KTHL12</t>
        </is>
      </c>
      <c r="G7773">
        <f>_xludf.IMAGE("https://edmondsonsupply.com/cdn/shop/products/immoyh7jjmbau4fzhuq6.webp?v=1670431066")</f>
        <v/>
      </c>
      <c r="H7773">
        <f>_xludf.IMAGE("https://m.media-amazon.com/images/I/61P8b1v1TBL._AC_UL320_.jpg")</f>
        <v/>
      </c>
      <c r="K7773" t="inlineStr">
        <is>
          <t>45.69</t>
        </is>
      </c>
      <c r="L7773" t="n">
        <v>12.99</v>
      </c>
      <c r="M7773" s="1" t="inlineStr">
        <is>
          <t>-71.57%</t>
        </is>
      </c>
      <c r="N7773" s="1" t="n"/>
      <c r="O7773" t="n">
        <v>5</v>
      </c>
      <c r="P7773" t="n">
        <v>6</v>
      </c>
      <c r="R7773" t="inlineStr">
        <is>
          <t>InStock</t>
        </is>
      </c>
      <c r="S7773" t="inlineStr">
        <is>
          <t>70.58</t>
        </is>
      </c>
      <c r="T7773" t="inlineStr">
        <is>
          <t>7900195356888</t>
        </is>
      </c>
    </row>
    <row r="7774" ht="87" customHeight="1">
      <c r="A7774" s="2">
        <f>HYPERLINK("https://edmondsonsupply.com/collections/electricians-tools/products/klein-tools-935dagl-digital-level-with-programmable-angles", "https://edmondsonsupply.com/collections/electricians-tools/products/klein-tools-935dagl-digital-level-with-programmable-angles")</f>
        <v/>
      </c>
      <c r="B7774" s="2">
        <f>HYPERLINK("https://edmondsonsupply.com/products/klein-tools-935dagl-digital-level-with-programmable-angles", "https://edmondsonsupply.com/products/klein-tools-935dagl-digital-level-with-programmable-angles")</f>
        <v/>
      </c>
      <c r="C7774" t="inlineStr">
        <is>
          <t>Klein Tools 935DAGL Digital Level with Programmable Angles</t>
        </is>
      </c>
      <c r="D7774" t="inlineStr">
        <is>
          <t>Aenllosi Hard Carrying Case Compatible with Klein Tools 935DAGL Digital Level (for Klein Tools 935DAGL)</t>
        </is>
      </c>
      <c r="E7774" s="2">
        <f>HYPERLINK("https://www.amazon.com/Aenllosi-Carrying-Compatible-935DAGL-Digital/dp/B092PRLB35/ref=sr_1_6?keywords=Klein+Tools+935DAGL+Digital+Level+with+Programmable+Angles&amp;qid=1694735135&amp;sr=8-6", "https://www.amazon.com/Aenllosi-Carrying-Compatible-935DAGL-Digital/dp/B092PRLB35/ref=sr_1_6?keywords=Klein+Tools+935DAGL+Digital+Level+with+Programmable+Angles&amp;qid=1694735135&amp;sr=8-6")</f>
        <v/>
      </c>
      <c r="F7774" t="inlineStr">
        <is>
          <t>B092PRLB35</t>
        </is>
      </c>
      <c r="G7774">
        <f>_xlfn.IMAGE("https://edmondsonsupply.com/cdn/shop/products/935dagl.jpg?v=1660749694")</f>
        <v/>
      </c>
      <c r="H7774">
        <f>_xlfn.IMAGE("https://m.media-amazon.com/images/I/81AX7yjEwxL._AC_UL320_.jpg")</f>
        <v/>
      </c>
      <c r="K7774" t="inlineStr">
        <is>
          <t>59.97</t>
        </is>
      </c>
      <c r="L7774" t="n">
        <v>16.99</v>
      </c>
      <c r="M7774" s="1" t="inlineStr">
        <is>
          <t>-71.67%</t>
        </is>
      </c>
      <c r="N7774" s="7" t="n"/>
      <c r="O7774" t="n">
        <v>4.6</v>
      </c>
      <c r="P7774" t="n">
        <v>531</v>
      </c>
      <c r="R7774" t="inlineStr">
        <is>
          <t>InStock</t>
        </is>
      </c>
      <c r="S7774" t="inlineStr">
        <is>
          <t>83.8</t>
        </is>
      </c>
      <c r="T7774" t="inlineStr">
        <is>
          <t>7779783606488</t>
        </is>
      </c>
    </row>
    <row r="7775" hidden="1" ht="15.75" customHeight="1">
      <c r="A7775" s="2">
        <f>HYPERLINK("https://edmondsonsupply.com/collections/electricians-tools/products/greenlee-0153-02c", "https://edmondsonsupply.com/collections/electricians-tools/products/greenlee-0153-02c")</f>
        <v/>
      </c>
      <c r="B7775" s="2">
        <f>HYPERLINK("https://edmondsonsupply.com/products/greenlee-0153-02c", "https://edmondsonsupply.com/products/greenlee-0153-02c")</f>
        <v/>
      </c>
      <c r="C7775" t="inlineStr">
        <is>
          <t>Greenlee 0153-02C Screwdriver Set, 7-Piece</t>
        </is>
      </c>
      <c r="D7775" t="inlineStr">
        <is>
          <t>Greenlee 0153-04C Stubby Screwdriver Set, 2 Piece</t>
        </is>
      </c>
      <c r="E7775" s="2">
        <f>HYPERLINK("https://www.amazon.com/Greenlee-0153-04C-Stubby-Screwdriver-Piece/dp/B003R7L19M/ref=sr_1_2?keywords=Greenlee+0153-02C+Screwdriver+Set%2C+7-Piece&amp;qid=1694735381&amp;sr=8-2", "https://www.amazon.com/Greenlee-0153-04C-Stubby-Screwdriver-Piece/dp/B003R7L19M/ref=sr_1_2?keywords=Greenlee+0153-02C+Screwdriver+Set%2C+7-Piece&amp;qid=1694735381&amp;sr=8-2")</f>
        <v/>
      </c>
      <c r="F7775" t="inlineStr">
        <is>
          <t>B003R7L19M</t>
        </is>
      </c>
      <c r="G7775">
        <f>_xludf.IMAGE("https://edmondsonsupply.com/cdn/shop/products/0153-02C.jpg?v=1587146985")</f>
        <v/>
      </c>
      <c r="H7775">
        <f>_xludf.IMAGE("https://m.media-amazon.com/images/I/71nIpslMslL._AC_UL320_.jpg")</f>
        <v/>
      </c>
      <c r="K7775" t="inlineStr">
        <is>
          <t>52.99</t>
        </is>
      </c>
      <c r="L7775" t="n">
        <v>14.99</v>
      </c>
      <c r="M7775" s="1" t="inlineStr">
        <is>
          <t>-71.71%</t>
        </is>
      </c>
      <c r="N7775" s="1" t="n"/>
      <c r="O7775" t="n">
        <v>4.7</v>
      </c>
      <c r="P7775" t="n">
        <v>118</v>
      </c>
      <c r="R7775" t="inlineStr">
        <is>
          <t>InStock</t>
        </is>
      </c>
      <c r="S7775" t="inlineStr">
        <is>
          <t>61.1</t>
        </is>
      </c>
      <c r="T7775" t="inlineStr">
        <is>
          <t>4418396455012</t>
        </is>
      </c>
    </row>
    <row r="7776" hidden="1" ht="15.75" customHeight="1">
      <c r="A7776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776" s="2">
        <f>HYPERLINK("https://edmondsonsupply.com/products/diablo-tools-dmapl2530-1-in-x-16-in-x-18-in-sds-plus-2-cutter", "https://edmondsonsupply.com/products/diablo-tools-dmapl2530-1-in-x-16-in-x-18-in-sds-plus-2-cutter")</f>
        <v/>
      </c>
      <c r="C7776" t="inlineStr">
        <is>
          <t>Diablo Tools DMAPL2530 1 in. x 16 in. x 18 in. SDS-Plus 2-Cutter</t>
        </is>
      </c>
      <c r="D7776" t="inlineStr">
        <is>
          <t>Diablo DMAPL2240 3/8 in. x 10 in. x 12 in. SDS-Plus 2-Cutter</t>
        </is>
      </c>
      <c r="E7776" s="2">
        <f>HYPERLINK("https://www.amazon.com/Diablo-10-12-SDS-Plus-2-Cutter/dp/B089KVWDFV/ref=sr_1_29?keywords=Diablo+Tools+DMAPL2530+1+in.+x+16+in.+x+18+in.+SDS-Plus+2-Cutter&amp;qid=1694735204&amp;sr=8-29", "https://www.amazon.com/Diablo-10-12-SDS-Plus-2-Cutter/dp/B089KVWDFV/ref=sr_1_29?keywords=Diablo+Tools+DMAPL2530+1+in.+x+16+in.+x+18+in.+SDS-Plus+2-Cutter&amp;qid=1694735204&amp;sr=8-29")</f>
        <v/>
      </c>
      <c r="F7776" t="inlineStr">
        <is>
          <t>B089KVWDFV</t>
        </is>
      </c>
      <c r="G7776">
        <f>_xludf.IMAGE("https://edmondsonsupply.com/cdn/shop/products/DMAPL2530_Main-Image20200703.png?v=1627068300")</f>
        <v/>
      </c>
      <c r="H7776">
        <f>_xludf.IMAGE("https://m.media-amazon.com/images/I/61jSXDDK72L._AC_UL320_.jpg")</f>
        <v/>
      </c>
      <c r="K7776" t="inlineStr">
        <is>
          <t>38.97</t>
        </is>
      </c>
      <c r="L7776" t="n">
        <v>10.97</v>
      </c>
      <c r="M7776" s="1" t="inlineStr">
        <is>
          <t>-71.85%</t>
        </is>
      </c>
      <c r="N7776" s="1" t="n"/>
      <c r="O7776" t="n">
        <v>5</v>
      </c>
      <c r="P7776" t="n">
        <v>1</v>
      </c>
      <c r="R7776" t="inlineStr">
        <is>
          <t>InStock</t>
        </is>
      </c>
      <c r="S7776" t="inlineStr">
        <is>
          <t>50.56</t>
        </is>
      </c>
      <c r="T7776" t="inlineStr">
        <is>
          <t>6839623778477</t>
        </is>
      </c>
    </row>
    <row r="7777" hidden="1" ht="15.75" customHeight="1">
      <c r="A7777" s="2">
        <f>HYPERLINK("https://edmondsonsupply.com/collections/electricians-tools/products/diablo-tools-dmarg1210-1-in-x-10-in-x-12-in-speedemon%E2%84%A2-red-granite-carbide-tipped-hammer-drill-bit", "https://edmondsonsupply.com/collections/electricians-tools/products/diablo-tools-dmarg1210-1-in-x-10-in-x-12-in-speedemon%E2%84%A2-red-granite-carbide-tipped-hammer-drill-bit")</f>
        <v/>
      </c>
      <c r="B7777" s="2">
        <f>HYPERLINK("https://edmondsonsupply.com/products/diablo-tools-dmarg1210-1-in-x-10-in-x-12-in-speedemon%e2%84%a2-red-granite-carbide-tipped-hammer-drill-bit", "https://edmondsonsupply.com/products/diablo-tools-dmarg1210-1-in-x-10-in-x-12-in-speedemon%e2%84%a2-red-granite-carbide-tipped-hammer-drill-bit")</f>
        <v/>
      </c>
      <c r="C7777" t="inlineStr">
        <is>
          <t>Diablo Tools DMARG1210 1 in. x 10 in. x 12 in. SPEEDemon™ Red Granite Carbide Tipped Hammer Drill Bit</t>
        </is>
      </c>
      <c r="D7777" t="inlineStr">
        <is>
          <t>Sabre Tools 1 Inch x 12 Inch SDS Plus Rotary Hammer Drill Bit, Carbide Tipped for Brick, Stone, and Concrete Version 2 (1" x 10" x 12")</t>
        </is>
      </c>
      <c r="E7777" s="2">
        <f>HYPERLINK("https://www.amazon.com/Sabre-Tools-Carbide-Concrete-Version/dp/B096NP41J2/ref=sr_1_10?keywords=Diablo+Tools+DMARG1210+1+in.+x+10+in.+x+12+in.+SPEEDemon%E2%84%A2+Red+Granite+Carbide+Tipped+Hammer+Drill+Bit&amp;qid=1694735273&amp;sr=8-10", "https://www.amazon.com/Sabre-Tools-Carbide-Concrete-Version/dp/B096NP41J2/ref=sr_1_10?keywords=Diablo+Tools+DMARG1210+1+in.+x+10+in.+x+12+in.+SPEEDemon%E2%84%A2+Red+Granite+Carbide+Tipped+Hammer+Drill+Bit&amp;qid=1694735273&amp;sr=8-10")</f>
        <v/>
      </c>
      <c r="F7777" t="inlineStr">
        <is>
          <t>B096NP41J2</t>
        </is>
      </c>
      <c r="G7777">
        <f>_xludf.IMAGE("https://edmondsonsupply.com/cdn/shop/products/DMARG1210_Main-Image20200702.png?v=1633030511")</f>
        <v/>
      </c>
      <c r="H7777">
        <f>_xludf.IMAGE("https://m.media-amazon.com/images/I/61HX5RHYwqL._AC_UL320_.jpg")</f>
        <v/>
      </c>
      <c r="K7777" t="inlineStr">
        <is>
          <t>31.97</t>
        </is>
      </c>
      <c r="L7777" t="n">
        <v>8.99</v>
      </c>
      <c r="M7777" s="1" t="inlineStr">
        <is>
          <t>-71.88%</t>
        </is>
      </c>
      <c r="N7777" s="1" t="n"/>
      <c r="O7777" t="n">
        <v>4.6</v>
      </c>
      <c r="P7777" t="n">
        <v>796</v>
      </c>
      <c r="R7777" t="inlineStr">
        <is>
          <t>InStock</t>
        </is>
      </c>
      <c r="S7777" t="inlineStr">
        <is>
          <t>undefined</t>
        </is>
      </c>
      <c r="T7777" t="inlineStr">
        <is>
          <t>5386558177448</t>
        </is>
      </c>
    </row>
    <row r="7778" ht="87" customHeight="1">
      <c r="A7778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778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778" t="inlineStr">
        <is>
          <t>Diablo Tools DMAMX1230 1 in. x 24 in. x 29 in. Rebar Demon™ SDS-Max 4-Cutter Full Carbide Head Hammer Bit</t>
        </is>
      </c>
      <c r="D7778" t="inlineStr">
        <is>
          <t>Diablo by Freud DMAMX1090 5/8 in. x 8 in. x 13 in. Rebar Demon SDS-Max 4-Cutter Full Carbide Head Hammer Bit</t>
        </is>
      </c>
      <c r="E7778" s="2">
        <f>HYPERLINK("https://www.amazon.com/Diablo-SDS-Max-4-Cutter-Carbide-Hammer/dp/B089LGB35P/ref=sr_1_18?keywords=Diablo+Tools+DMAMX1230+1+in.+x+24+in.+x+29+in.+Rebar+Demon%E2%84%A2+SDS-Max+4-Cutter+Full+Carbide+Head+Hammer+Bit&amp;qid=1694735297&amp;sr=8-18", "https://www.amazon.com/Diablo-SDS-Max-4-Cutter-Carbide-Hammer/dp/B089LGB35P/ref=sr_1_18?keywords=Diablo+Tools+DMAMX1230+1+in.+x+24+in.+x+29+in.+Rebar+Demon%E2%84%A2+SDS-Max+4-Cutter+Full+Carbide+Head+Hammer+Bit&amp;qid=1694735297&amp;sr=8-18")</f>
        <v/>
      </c>
      <c r="F7778" t="inlineStr">
        <is>
          <t>B089LGB35P</t>
        </is>
      </c>
      <c r="G7778">
        <f>_xlfn.IMAGE("https://edmondsonsupply.com/cdn/shop/products/DMAMX1230_1.jpg?v=1633030364")</f>
        <v/>
      </c>
      <c r="H7778">
        <f>_xlfn.IMAGE("https://m.media-amazon.com/images/I/61Wr1t8FMOL._AC_UL320_.jpg")</f>
        <v/>
      </c>
      <c r="K7778" t="inlineStr">
        <is>
          <t>124.97</t>
        </is>
      </c>
      <c r="L7778" t="n">
        <v>35.1</v>
      </c>
      <c r="M7778" s="1" t="inlineStr">
        <is>
          <t>-71.91%</t>
        </is>
      </c>
      <c r="N7778" s="7" t="n"/>
      <c r="O7778" t="n">
        <v>4.2</v>
      </c>
      <c r="P7778" t="n">
        <v>5</v>
      </c>
      <c r="R7778" t="inlineStr">
        <is>
          <t>InStock</t>
        </is>
      </c>
      <c r="S7778" t="inlineStr">
        <is>
          <t>152.89</t>
        </is>
      </c>
      <c r="T7778" t="inlineStr">
        <is>
          <t>5289176072360</t>
        </is>
      </c>
    </row>
    <row r="7779" ht="87" customHeight="1">
      <c r="A7779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779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779" t="inlineStr">
        <is>
          <t>Milwaukee 48-11-2411 M12 REDLITHIUM™ Compact Battery Two Pack</t>
        </is>
      </c>
      <c r="D7779" t="inlineStr">
        <is>
          <t>KUNLUN 2 Pack 3.0Ah 12V Battery Replace for Milwaukee M12 Battery Lithium Compatible for Milwaukee 12-Volt Battery 48-11-2411 48-11-2420 48-11-2401 48-11-2402 Cordless Tools</t>
        </is>
      </c>
      <c r="E7779" s="2">
        <f>HYPERLINK("https://www.amazon.com/KUNLUN-Replacement-Compatible-48-11-2411-48-11-2420/dp/B09JV9MMLG/ref=sr_1_11?keywords=Milwaukee+48-11-2411+M12+REDLITHIUM%E2%84%A2+Compact+Battery+Two+Pack&amp;qid=1694735145&amp;sr=8-11", "https://www.amazon.com/KUNLUN-Replacement-Compatible-48-11-2411-48-11-2420/dp/B09JV9MMLG/ref=sr_1_11?keywords=Milwaukee+48-11-2411+M12+REDLITHIUM%E2%84%A2+Compact+Battery+Two+Pack&amp;qid=1694735145&amp;sr=8-11")</f>
        <v/>
      </c>
      <c r="F7779" t="inlineStr">
        <is>
          <t>B09JV9MMLG</t>
        </is>
      </c>
      <c r="G7779">
        <f>_xlfn.IMAGE("https://edmondsonsupply.com/cdn/shop/products/65014_48-11-2411-lg.jpg?v=1655484824")</f>
        <v/>
      </c>
      <c r="H7779">
        <f>_xlfn.IMAGE("https://m.media-amazon.com/images/I/71xtZlfe1QL._AC_UL320_.jpg")</f>
        <v/>
      </c>
      <c r="K7779" t="inlineStr">
        <is>
          <t>89.0</t>
        </is>
      </c>
      <c r="L7779" t="n">
        <v>24.99</v>
      </c>
      <c r="M7779" s="1" t="inlineStr">
        <is>
          <t>-71.92%</t>
        </is>
      </c>
      <c r="N7779" s="7" t="n"/>
      <c r="O7779" t="n">
        <v>4.4</v>
      </c>
      <c r="P7779" t="n">
        <v>183</v>
      </c>
      <c r="R7779" t="inlineStr">
        <is>
          <t>OutOfStock</t>
        </is>
      </c>
      <c r="S7779" t="inlineStr">
        <is>
          <t>150.0</t>
        </is>
      </c>
      <c r="T7779" t="inlineStr">
        <is>
          <t>7721456795864</t>
        </is>
      </c>
    </row>
    <row r="7780" hidden="1" ht="15.75" customHeight="1">
      <c r="A7780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780" s="2">
        <f>HYPERLINK("https://edmondsonsupply.com/products/diablo-tools-dmapl2530-1-in-x-16-in-x-18-in-sds-plus-2-cutter", "https://edmondsonsupply.com/products/diablo-tools-dmapl2530-1-in-x-16-in-x-18-in-sds-plus-2-cutter")</f>
        <v/>
      </c>
      <c r="C7780" t="inlineStr">
        <is>
          <t>Diablo Tools DMAPL2530 1 in. x 16 in. x 18 in. SDS-Plus 2-Cutter</t>
        </is>
      </c>
      <c r="D7780" t="inlineStr">
        <is>
          <t>Diablo 1/4 in. x 16 in. x 18 in. SDS-Plus 2-Cutter</t>
        </is>
      </c>
      <c r="E7780" s="2">
        <f>HYPERLINK("https://www.amazon.com/Diablo-DMAPL2170-16-SDS-Plus-2-Cutter/dp/B089LGDL7F/ref=sr_1_2?keywords=Diablo+Tools+DMAPL2530+1+in.+x+16+in.+x+18+in.+SDS-Plus+2-Cutter&amp;qid=1694735204&amp;sr=8-2", "https://www.amazon.com/Diablo-DMAPL2170-16-SDS-Plus-2-Cutter/dp/B089LGDL7F/ref=sr_1_2?keywords=Diablo+Tools+DMAPL2530+1+in.+x+16+in.+x+18+in.+SDS-Plus+2-Cutter&amp;qid=1694735204&amp;sr=8-2")</f>
        <v/>
      </c>
      <c r="F7780" t="inlineStr">
        <is>
          <t>B089LGDL7F</t>
        </is>
      </c>
      <c r="G7780">
        <f>_xludf.IMAGE("https://edmondsonsupply.com/cdn/shop/products/DMAPL2530_Main-Image20200703.png?v=1627068300")</f>
        <v/>
      </c>
      <c r="H7780">
        <f>_xludf.IMAGE("https://m.media-amazon.com/images/I/61cUBcEwKHL._AC_UL320_.jpg")</f>
        <v/>
      </c>
      <c r="K7780" t="inlineStr">
        <is>
          <t>38.97</t>
        </is>
      </c>
      <c r="L7780" t="n">
        <v>10.94</v>
      </c>
      <c r="M7780" s="1" t="inlineStr">
        <is>
          <t>-71.93%</t>
        </is>
      </c>
      <c r="N7780" s="1" t="n"/>
      <c r="O7780" t="n">
        <v>4.7</v>
      </c>
      <c r="P7780" t="n">
        <v>15</v>
      </c>
      <c r="R7780" t="inlineStr">
        <is>
          <t>InStock</t>
        </is>
      </c>
      <c r="S7780" t="inlineStr">
        <is>
          <t>50.56</t>
        </is>
      </c>
      <c r="T7780" t="inlineStr">
        <is>
          <t>6839623778477</t>
        </is>
      </c>
    </row>
    <row r="7781" ht="87" customHeight="1">
      <c r="A7781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781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781" t="inlineStr">
        <is>
          <t>Diablo Tools DMAPL4040-P25 3/16 in. x 4 in. x 6 in. Rebar Demon™ SDS-Plus 4-Cutter Full Carbide Head Hammer Bit (25-Pack)</t>
        </is>
      </c>
      <c r="D7781" t="inlineStr">
        <is>
          <t>Diablo by Freud DMAPL4200 1/2 in. x 16 in. x 18 in. Rebar Demon SDS-Plus 4-Cutter Full Carbide Head Hammer Bit</t>
        </is>
      </c>
      <c r="E7781" s="2" t="n"/>
      <c r="F7781" t="inlineStr">
        <is>
          <t>B089KW2QV1</t>
        </is>
      </c>
      <c r="G7781">
        <f>_xlfn.IMAGE("https://edmondsonsupply.com/cdn/shop/products/DMAPL4040-P25.jpg?v=1633030349")</f>
        <v/>
      </c>
      <c r="H7781">
        <f>_xlfn.IMAGE("https://m.media-amazon.com/images/I/61rW+ROVmNL._AC_UL320_.jpg")</f>
        <v/>
      </c>
      <c r="K7781" t="inlineStr">
        <is>
          <t>81.97</t>
        </is>
      </c>
      <c r="L7781" t="n">
        <v>23</v>
      </c>
      <c r="M7781" s="1" t="inlineStr">
        <is>
          <t>-71.94%</t>
        </is>
      </c>
      <c r="N7781" s="7" t="n"/>
      <c r="O7781" t="n">
        <v>4.7</v>
      </c>
      <c r="P7781" t="n">
        <v>18</v>
      </c>
      <c r="R7781" t="inlineStr">
        <is>
          <t>InStock</t>
        </is>
      </c>
      <c r="S7781" t="inlineStr">
        <is>
          <t>117.4</t>
        </is>
      </c>
      <c r="T7781" t="inlineStr">
        <is>
          <t>5283055206568</t>
        </is>
      </c>
    </row>
    <row r="7782" hidden="1" ht="15.75" customHeight="1">
      <c r="A7782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782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782" t="inlineStr">
        <is>
          <t>Klein Tools ET310 Digital Circuit Breaker Finder with GFCI Outlet Tester</t>
        </is>
      </c>
      <c r="D7782" t="inlineStr">
        <is>
          <t>FBLFOBELI Hard Carrying Case for Klein Tools ET310 AC Circuit Breaker Finder Outlet Tester, Portable Traveling Storage Case Protector</t>
        </is>
      </c>
      <c r="E7782" s="2">
        <f>HYPERLINK("https://www.amazon.com/FBLFOBELI-Carrying-Portable-Traveling-Protector/dp/B09KLNLT3X/ref=sr_1_33?keywords=Klein+Tools+ET310+Digital+Circuit+Breaker+Finder+with+GFCI+Outlet+Tester&amp;qid=1694734974&amp;sr=8-33", "https://www.amazon.com/FBLFOBELI-Carrying-Portable-Traveling-Protector/dp/B09KLNLT3X/ref=sr_1_33?keywords=Klein+Tools+ET310+Digital+Circuit+Breaker+Finder+with+GFCI+Outlet+Tester&amp;qid=1694734974&amp;sr=8-33")</f>
        <v/>
      </c>
      <c r="F7782" t="inlineStr">
        <is>
          <t>B09KLNLT3X</t>
        </is>
      </c>
      <c r="G7782">
        <f>_xludf.IMAGE("https://edmondsonsupply.com/cdn/shop/products/et310_c.jpg?v=1646963918")</f>
        <v/>
      </c>
      <c r="H7782">
        <f>_xludf.IMAGE("https://m.media-amazon.com/images/I/71Mu7MR1aaL._AC_UL320_.jpg")</f>
        <v/>
      </c>
      <c r="K7782" t="inlineStr">
        <is>
          <t>49.97</t>
        </is>
      </c>
      <c r="L7782" t="n">
        <v>13.99</v>
      </c>
      <c r="M7782" s="1" t="inlineStr">
        <is>
          <t>-72.00%</t>
        </is>
      </c>
      <c r="N7782" s="1" t="n"/>
      <c r="O7782" t="n">
        <v>4.7</v>
      </c>
      <c r="P7782" t="n">
        <v>149</v>
      </c>
      <c r="R7782" t="inlineStr">
        <is>
          <t>InStock</t>
        </is>
      </c>
      <c r="S7782" t="inlineStr">
        <is>
          <t>75.1</t>
        </is>
      </c>
      <c r="T7782" t="inlineStr">
        <is>
          <t>3389551280228</t>
        </is>
      </c>
    </row>
    <row r="7783" ht="87" customHeight="1">
      <c r="A7783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7783" s="2">
        <f>HYPERLINK("https://edmondsonsupply.com/products/klein-tools-647m-magnetic-nut-driver-set-6-inch-shafts-7-piece", "https://edmondsonsupply.com/products/klein-tools-647m-magnetic-nut-driver-set-6-inch-shafts-7-piece")</f>
        <v/>
      </c>
      <c r="C7783" t="inlineStr">
        <is>
          <t>Klein Tools 647M Magnetic Nut Driver Set, 6-Inch Shafts, 7-Piece</t>
        </is>
      </c>
      <c r="D7783" t="inlineStr">
        <is>
          <t>Klein Tools 646M Tool Set, Magnetic Nut Drivers Sizes 1/4 and 5/16-Inch, 6-Inch Shafts, 2-Piece</t>
        </is>
      </c>
      <c r="E7783" s="2">
        <f>HYPERLINK("https://www.amazon.com/Magnetic-16-Inch-Klein-Tools-646M/dp/B000936QV0/ref=sr_1_5?keywords=Klein+Tools+647M+Magnetic+Nut+Driver+Set%2C+6-Inch+Shafts%2C+7-Piece&amp;qid=1694735271&amp;sr=8-5", "https://www.amazon.com/Magnetic-16-Inch-Klein-Tools-646M/dp/B000936QV0/ref=sr_1_5?keywords=Klein+Tools+647M+Magnetic+Nut+Driver+Set%2C+6-Inch+Shafts%2C+7-Piece&amp;qid=1694735271&amp;sr=8-5")</f>
        <v/>
      </c>
      <c r="F7783" t="inlineStr">
        <is>
          <t>B000936QV0</t>
        </is>
      </c>
      <c r="G7783">
        <f>_xlfn.IMAGE("https://edmondsonsupply.com/cdn/shop/products/647m.jpg?v=1633030530")</f>
        <v/>
      </c>
      <c r="H7783">
        <f>_xlfn.IMAGE("https://m.media-amazon.com/images/I/41lkJ6KRq9L._AC_UL320_.jpg")</f>
        <v/>
      </c>
      <c r="K7783" t="inlineStr">
        <is>
          <t>79.99</t>
        </is>
      </c>
      <c r="L7783" t="n">
        <v>22.34</v>
      </c>
      <c r="M7783" s="1" t="inlineStr">
        <is>
          <t>-72.07%</t>
        </is>
      </c>
      <c r="N7783" s="7" t="n"/>
      <c r="O7783" t="n">
        <v>4.8</v>
      </c>
      <c r="P7783" t="n">
        <v>1652</v>
      </c>
      <c r="R7783" t="inlineStr">
        <is>
          <t>InStock</t>
        </is>
      </c>
      <c r="S7783" t="inlineStr">
        <is>
          <t>117.72</t>
        </is>
      </c>
      <c r="T7783" t="inlineStr">
        <is>
          <t>5408872136872</t>
        </is>
      </c>
    </row>
    <row r="7784" ht="87" customHeight="1">
      <c r="A7784" s="2">
        <f>HYPERLINK("https://edmondsonsupply.com/collections/electricians-tools/products/klein-tools-635-6-nut-driver-set-magnetic-nut-drivers-heavy-duty-6-piece", "https://edmondsonsupply.com/collections/electricians-tools/products/klein-tools-635-6-nut-driver-set-magnetic-nut-drivers-heavy-duty-6-piece")</f>
        <v/>
      </c>
      <c r="B7784" s="2">
        <f>HYPERLINK("https://edmondsonsupply.com/products/klein-tools-635-6-nut-driver-set-magnetic-nut-drivers-heavy-duty-6-piece", "https://edmondsonsupply.com/products/klein-tools-635-6-nut-driver-set-magnetic-nut-drivers-heavy-duty-6-piece")</f>
        <v/>
      </c>
      <c r="C7784" t="inlineStr">
        <is>
          <t>Klein Tools 635-6 Nut Driver Set, Magnetic Nut Drivers, Heavy Duty, 6-Piece</t>
        </is>
      </c>
      <c r="D7784" t="inlineStr">
        <is>
          <t>Klein Tools 646M Tool Set, Magnetic Nut Drivers Sizes 1/4 and 5/16-Inch, 6-Inch Shafts, 2-Piece</t>
        </is>
      </c>
      <c r="E7784" s="2">
        <f>HYPERLINK("https://www.amazon.com/Magnetic-16-Inch-Klein-Tools-646M/dp/B000936QV0/ref=sr_1_5?keywords=Klein+Tools+635-6+Nut+Driver+Set%2C+Magnetic+Nut+Drivers%2C+Heavy+Duty%2C+6-Piece&amp;qid=1694735220&amp;sr=8-5", "https://www.amazon.com/Magnetic-16-Inch-Klein-Tools-646M/dp/B000936QV0/ref=sr_1_5?keywords=Klein+Tools+635-6+Nut+Driver+Set%2C+Magnetic+Nut+Drivers%2C+Heavy+Duty%2C+6-Piece&amp;qid=1694735220&amp;sr=8-5")</f>
        <v/>
      </c>
      <c r="F7784" t="inlineStr">
        <is>
          <t>B000936QV0</t>
        </is>
      </c>
      <c r="G7784">
        <f>_xlfn.IMAGE("https://edmondsonsupply.com/cdn/shop/products/635-6.jpg?v=1633031003")</f>
        <v/>
      </c>
      <c r="H7784">
        <f>_xlfn.IMAGE("https://m.media-amazon.com/images/I/41lkJ6KRq9L._AC_UL320_.jpg")</f>
        <v/>
      </c>
      <c r="K7784" t="inlineStr">
        <is>
          <t>79.99</t>
        </is>
      </c>
      <c r="L7784" t="n">
        <v>22.34</v>
      </c>
      <c r="M7784" s="1" t="inlineStr">
        <is>
          <t>-72.07%</t>
        </is>
      </c>
      <c r="N7784" s="7" t="n"/>
      <c r="O7784" t="n">
        <v>4.8</v>
      </c>
      <c r="P7784" t="n">
        <v>1652</v>
      </c>
      <c r="R7784" t="inlineStr">
        <is>
          <t>InStock</t>
        </is>
      </c>
      <c r="S7784" t="inlineStr">
        <is>
          <t>121.2</t>
        </is>
      </c>
      <c r="T7784" t="inlineStr">
        <is>
          <t>6690795716781</t>
        </is>
      </c>
    </row>
    <row r="7785" ht="87" customHeight="1">
      <c r="A7785" s="2">
        <f>HYPERLINK("https://edmondsonsupply.com/collections/electricians-tools/products/diablo-tools-dmamx1400-2-in-x-16-in-x-21-in-rebar-demon%E2%84%A2-sds-max-4-cutter-carbide-tipped-hammer-bit", "https://edmondsonsupply.com/collections/electricians-tools/products/diablo-tools-dmamx1400-2-in-x-16-in-x-21-in-rebar-demon%E2%84%A2-sds-max-4-cutter-carbide-tipped-hammer-bit")</f>
        <v/>
      </c>
      <c r="B7785" s="2">
        <f>HYPERLINK("https://edmondsonsupply.com/products/diablo-tools-dmamx1400-2-in-x-16-in-x-21-in-rebar-demon%e2%84%a2-sds-max-4-cutter-carbide-tipped-hammer-bit", "https://edmondsonsupply.com/products/diablo-tools-dmamx1400-2-in-x-16-in-x-21-in-rebar-demon%e2%84%a2-sds-max-4-cutter-carbide-tipped-hammer-bit")</f>
        <v/>
      </c>
      <c r="C7785" t="inlineStr">
        <is>
          <t>Diablo Tools DMAMX1400 2 in. x 16 in. x 21 in. Rebar Demon™ SDS‑Max 4‑Cutter Carbide‑Tipped Hammer Bit</t>
        </is>
      </c>
      <c r="D7785" t="inlineStr">
        <is>
          <t>Diablo DMAMX1140 3/4 in. x 16 in. x 21 in. Rebar Demon™ SDS-Max 4-Cutter Full Carbide Head Hammer Bit</t>
        </is>
      </c>
      <c r="E7785" s="2">
        <f>HYPERLINK("https://www.amazon.com/Diablo-SDS-Max-4-Cutter-Carbide-Hammer/dp/B089KWP4WK/ref=sr_1_8?keywords=Diablo+Tools+DMAMX1400+2+in.+x+16+in.+x+21+in.+Rebar+Demon%E2%84%A2+SDS%E2%80%91Max+4%E2%80%91Cutter+Carbide%E2%80%91Tipped+Hammer+Bit&amp;qid=1694735277&amp;sr=8-8", "https://www.amazon.com/Diablo-SDS-Max-4-Cutter-Carbide-Hammer/dp/B089KWP4WK/ref=sr_1_8?keywords=Diablo+Tools+DMAMX1400+2+in.+x+16+in.+x+21+in.+Rebar+Demon%E2%84%A2+SDS%E2%80%91Max+4%E2%80%91Cutter+Carbide%E2%80%91Tipped+Hammer+Bit&amp;qid=1694735277&amp;sr=8-8")</f>
        <v/>
      </c>
      <c r="F7785" t="inlineStr">
        <is>
          <t>B089KWP4WK</t>
        </is>
      </c>
      <c r="G7785">
        <f>_xlfn.IMAGE("https://edmondsonsupply.com/cdn/shop/products/DMAMX1400_Main-Image20200702.png?v=1633030514")</f>
        <v/>
      </c>
      <c r="H7785">
        <f>_xlfn.IMAGE("https://m.media-amazon.com/images/I/61yWWNP1xrL._AC_UL320_.jpg")</f>
        <v/>
      </c>
      <c r="K7785" t="inlineStr">
        <is>
          <t>179.97</t>
        </is>
      </c>
      <c r="L7785" t="n">
        <v>50.26</v>
      </c>
      <c r="M7785" s="1" t="inlineStr">
        <is>
          <t>-72.07%</t>
        </is>
      </c>
      <c r="N7785" s="7" t="n"/>
      <c r="O7785" t="n">
        <v>5</v>
      </c>
      <c r="P7785" t="n">
        <v>9</v>
      </c>
      <c r="R7785" t="inlineStr">
        <is>
          <t>InStock</t>
        </is>
      </c>
      <c r="S7785" t="inlineStr">
        <is>
          <t>222.22</t>
        </is>
      </c>
      <c r="T7785" t="inlineStr">
        <is>
          <t>5395537461416</t>
        </is>
      </c>
    </row>
    <row r="7786" ht="87" customHeight="1">
      <c r="A7786" s="2">
        <f>HYPERLINK("https://edmondsonsupply.com/collections/electricians-tools/products/diablo-tools-dmapl2150-p25-1-4-in-x-6-in-x-8-in-sds-plus-2-cutter-25-pack", "https://edmondsonsupply.com/collections/electricians-tools/products/diablo-tools-dmapl2150-p25-1-4-in-x-6-in-x-8-in-sds-plus-2-cutter-25-pack")</f>
        <v/>
      </c>
      <c r="B7786" s="2">
        <f>HYPERLINK("https://edmondsonsupply.com/products/diablo-tools-dmapl2150-p25-1-4-in-x-6-in-x-8-in-sds-plus-2-cutter-25-pack", "https://edmondsonsupply.com/products/diablo-tools-dmapl2150-p25-1-4-in-x-6-in-x-8-in-sds-plus-2-cutter-25-pack")</f>
        <v/>
      </c>
      <c r="C7786" t="inlineStr">
        <is>
          <t>Diablo Tools DMAPL2150-P25 1/4 in. x 6 in. x 8 in. SDS-Plus 2-Cutter (25-Pack)</t>
        </is>
      </c>
      <c r="D7786" t="inlineStr">
        <is>
          <t>Diablo by Freud DMAPL4200 1/2 in. x 16 in. x 18 in. Rebar Demon SDS-Plus 4-Cutter Full Carbide Head Hammer Bit</t>
        </is>
      </c>
      <c r="E7786" s="2">
        <f>HYPERLINK("https://www.amazon.com/Diablo-Freud-DMAPL4200-SDS-Plus-4-Cutter/dp/B089KW2QV1/ref=sr_1_45?keywords=Diablo+Tools+DMAPL2150-P25+1%2F4+in.+x+6+in.+x+8+in.+SDS-Plus+2-Cutter+%2825-Pack%29&amp;qid=1694735299&amp;sr=8-45", "https://www.amazon.com/Diablo-Freud-DMAPL4200-SDS-Plus-4-Cutter/dp/B089KW2QV1/ref=sr_1_45?keywords=Diablo+Tools+DMAPL2150-P25+1%2F4+in.+x+6+in.+x+8+in.+SDS-Plus+2-Cutter+%2825-Pack%29&amp;qid=1694735299&amp;sr=8-45")</f>
        <v/>
      </c>
      <c r="F7786" t="inlineStr">
        <is>
          <t>B089KW2QV1</t>
        </is>
      </c>
      <c r="G7786">
        <f>_xlfn.IMAGE("https://edmondsonsupply.com/cdn/shop/products/DMAPL2150-P25_Main-Image20200701.png?v=1633030349")</f>
        <v/>
      </c>
      <c r="H7786">
        <f>_xlfn.IMAGE("https://m.media-amazon.com/images/I/61rW+ROVmNL._AC_UL320_.jpg")</f>
        <v/>
      </c>
      <c r="K7786" t="inlineStr">
        <is>
          <t>82.6</t>
        </is>
      </c>
      <c r="L7786" t="n">
        <v>23</v>
      </c>
      <c r="M7786" s="1" t="inlineStr">
        <is>
          <t>-72.15%</t>
        </is>
      </c>
      <c r="N7786" s="7" t="n"/>
      <c r="O7786" t="n">
        <v>4.7</v>
      </c>
      <c r="P7786" t="n">
        <v>18</v>
      </c>
      <c r="R7786" t="inlineStr">
        <is>
          <t>InStock</t>
        </is>
      </c>
      <c r="S7786" t="inlineStr">
        <is>
          <t>131.12</t>
        </is>
      </c>
      <c r="T7786" t="inlineStr">
        <is>
          <t>5283037839528</t>
        </is>
      </c>
    </row>
    <row r="7787" ht="87" customHeight="1">
      <c r="A7787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787" s="2">
        <f>HYPERLINK("https://edmondsonsupply.com/products/klein-tools-nrhd4-4-in-1-square-impact-socket", "https://edmondsonsupply.com/products/klein-tools-nrhd4-4-in-1-square-impact-socket")</f>
        <v/>
      </c>
      <c r="C7787" t="inlineStr">
        <is>
          <t>Klein Tools NRHD4 4-in-1 Square Impact Socket</t>
        </is>
      </c>
      <c r="D7787" t="inlineStr">
        <is>
          <t>Klein Tools 66031 3-in-1 Slotted Impact Socket, 12-Point Deep Sockets, Coaxial Spring Loaded, 3/4 and 9/16-Inch Hex Sizes, 1/2-Inch Drive</t>
        </is>
      </c>
      <c r="E7787" s="2">
        <f>HYPERLINK("https://www.amazon.com/Klein-Tools-66031-Slotted-12-Point/dp/B08R6FL5P8/ref=sr_1_3?keywords=Klein+Tools+NRHD4+4-in-1+Square+Impact+Socket&amp;qid=1694735425&amp;sr=8-3", "https://www.amazon.com/Klein-Tools-66031-Slotted-12-Point/dp/B08R6FL5P8/ref=sr_1_3?keywords=Klein+Tools+NRHD4+4-in-1+Square+Impact+Socket&amp;qid=1694735425&amp;sr=8-3")</f>
        <v/>
      </c>
      <c r="F7787" t="inlineStr">
        <is>
          <t>B08R6FL5P8</t>
        </is>
      </c>
      <c r="G7787">
        <f>_xlfn.IMAGE("https://edmondsonsupply.com/cdn/shop/products/nrhd4.jpg?v=1587150980")</f>
        <v/>
      </c>
      <c r="H7787">
        <f>_xlfn.IMAGE("https://m.media-amazon.com/images/I/51mIf57QKuL._AC_UL320_.jpg")</f>
        <v/>
      </c>
      <c r="K7787" t="inlineStr">
        <is>
          <t>179.99</t>
        </is>
      </c>
      <c r="L7787" t="n">
        <v>49.99</v>
      </c>
      <c r="M7787" s="1" t="inlineStr">
        <is>
          <t>-72.23%</t>
        </is>
      </c>
      <c r="N7787" s="7" t="n"/>
      <c r="O7787" t="n">
        <v>4.8</v>
      </c>
      <c r="P7787" t="n">
        <v>661</v>
      </c>
      <c r="R7787" t="inlineStr">
        <is>
          <t>InStock</t>
        </is>
      </c>
      <c r="S7787" t="inlineStr">
        <is>
          <t>291.34</t>
        </is>
      </c>
      <c r="T7787" t="inlineStr">
        <is>
          <t>4396986433636</t>
        </is>
      </c>
    </row>
    <row r="7788" ht="87" customHeight="1">
      <c r="A7788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7788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7788" t="inlineStr">
        <is>
          <t>Klein Tools 66050E 2-in-1 Metric Impact Socket Set, 12-Point, 5-Piece</t>
        </is>
      </c>
      <c r="D7788" t="inlineStr">
        <is>
          <t>MIXPOWER 55 Pieces 1/4" Dr. Impact Socket Set, CR-V, 6 Point, SAE/Metric, 5/32 Inch - 9/16 Inch, 4mm - 15mm, Shallow/Deep, Including Adapter, Extension, Universal Joint</t>
        </is>
      </c>
      <c r="E7788" s="2">
        <f>HYPERLINK("https://www.amazon.com/MIXPOWER-Pieces-Impact-Socket-Metric/dp/B0BN571ZY7/ref=sr_1_38?keywords=Klein+Tools+66050E+2-in-1+Metric+Impact+Socket+Set%2C+12-Point%2C+5-Piece&amp;qid=1694735136&amp;sr=8-38", "https://www.amazon.com/MIXPOWER-Pieces-Impact-Socket-Metric/dp/B0BN571ZY7/ref=sr_1_38?keywords=Klein+Tools+66050E+2-in-1+Metric+Impact+Socket+Set%2C+12-Point%2C+5-Piece&amp;qid=1694735136&amp;sr=8-38")</f>
        <v/>
      </c>
      <c r="F7788" t="inlineStr">
        <is>
          <t>B0BN571ZY7</t>
        </is>
      </c>
      <c r="G7788">
        <f>_xlfn.IMAGE("https://edmondsonsupply.com/cdn/shop/products/66050e.jpg?v=1659120052")</f>
        <v/>
      </c>
      <c r="H7788">
        <f>_xlfn.IMAGE("https://m.media-amazon.com/images/I/71myOvicLoL._AC_UL320_.jpg")</f>
        <v/>
      </c>
      <c r="K7788" t="inlineStr">
        <is>
          <t>149.54</t>
        </is>
      </c>
      <c r="L7788" t="n">
        <v>41.37</v>
      </c>
      <c r="M7788" s="1" t="inlineStr">
        <is>
          <t>-72.34%</t>
        </is>
      </c>
      <c r="N7788" s="7" t="n"/>
      <c r="O7788" t="n">
        <v>4.7</v>
      </c>
      <c r="P7788" t="n">
        <v>1118</v>
      </c>
      <c r="R7788" t="inlineStr">
        <is>
          <t>InStock</t>
        </is>
      </c>
      <c r="S7788" t="inlineStr">
        <is>
          <t>249.24</t>
        </is>
      </c>
      <c r="T7788" t="inlineStr">
        <is>
          <t>7766623420632</t>
        </is>
      </c>
    </row>
    <row r="7789" ht="87" customHeight="1">
      <c r="A7789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789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789" t="inlineStr">
        <is>
          <t>Diablo Tools DMAPL4070-P25 1/4 in. x 4 in. x 6 in. Rebar Demon™ SDS-Plus 4-Cutter Full Carbide Head Hammer Bit (25-Pack)</t>
        </is>
      </c>
      <c r="D7789" t="inlineStr">
        <is>
          <t>Diablo by Freud DMAPL4230 5/8 in. x 10 in. x 12 in. Rebar Demon SDS-Plus 4-Cutter Full Carbide Head Hammer Bit</t>
        </is>
      </c>
      <c r="E7789" s="2" t="n"/>
      <c r="F7789" t="inlineStr">
        <is>
          <t>B089LCN234</t>
        </is>
      </c>
      <c r="G7789">
        <f>_xlfn.IMAGE("https://edmondsonsupply.com/cdn/shop/products/DMAPL4070.jpg?v=1633030350")</f>
        <v/>
      </c>
      <c r="H7789">
        <f>_xlfn.IMAGE("https://m.media-amazon.com/images/I/61r649wmyhL._AC_UL320_.jpg")</f>
        <v/>
      </c>
      <c r="K7789" t="inlineStr">
        <is>
          <t>79.47</t>
        </is>
      </c>
      <c r="L7789" t="n">
        <v>21.86</v>
      </c>
      <c r="M7789" s="1" t="inlineStr">
        <is>
          <t>-72.49%</t>
        </is>
      </c>
      <c r="N7789" s="7" t="n"/>
      <c r="O7789" t="n">
        <v>4.7</v>
      </c>
      <c r="P7789" t="n">
        <v>47</v>
      </c>
      <c r="R7789" t="inlineStr">
        <is>
          <t>InStock</t>
        </is>
      </c>
      <c r="S7789" t="inlineStr">
        <is>
          <t>106.66</t>
        </is>
      </c>
      <c r="T7789" t="inlineStr">
        <is>
          <t>5283065069736</t>
        </is>
      </c>
    </row>
    <row r="7790" hidden="1" ht="15.75" customHeight="1">
      <c r="A7790" s="2">
        <f>HYPERLINK("https://edmondsonsupply.com/collections/electricians-tools/products/diablo-tools-dmamx1090-5-8", "https://edmondsonsupply.com/collections/electricians-tools/products/diablo-tools-dmamx1090-5-8")</f>
        <v/>
      </c>
      <c r="B7790" s="2">
        <f>HYPERLINK("https://edmondsonsupply.com/products/diablo-tools-dmamx1090-5-8", "https://edmondsonsupply.com/products/diablo-tools-dmamx1090-5-8")</f>
        <v/>
      </c>
      <c r="C7790" t="inlineStr">
        <is>
          <t>Diablo Tools DMAMX1090 5/8 in. x 8 in. x 13 in. Rebar Demon SDS‑Max 4‑Cutter Full Carbide Head Hammer Bit</t>
        </is>
      </c>
      <c r="D7790" t="inlineStr">
        <is>
          <t>Diablo by Freud Diablo DMAPL4210 5/8 in. x 4 in. x 6 in. Rebar Demon SDS-Plus 4-Cutter Full Carbide Head Hammer Bit</t>
        </is>
      </c>
      <c r="E7790" s="2">
        <f>HYPERLINK("https://www.amazon.com/Diablo-Freud-DMAPL4210-SDS-Plus-4-Cutter/dp/B089LGF2KS/ref=sr_1_19?keywords=Diablo+Tools+DMAMX1090+5%2F8+in.+x+8+in.+x+13+in.+Rebar+Demon+SDS%E2%80%91Max+4%E2%80%91Cutter+Full+Carbide+Head+Hammer+Bit&amp;qid=1694735267&amp;sr=8-19", "https://www.amazon.com/Diablo-Freud-DMAPL4210-SDS-Plus-4-Cutter/dp/B089LGF2KS/ref=sr_1_19?keywords=Diablo+Tools+DMAMX1090+5%2F8+in.+x+8+in.+x+13+in.+Rebar+Demon+SDS%E2%80%91Max+4%E2%80%91Cutter+Full+Carbide+Head+Hammer+Bit&amp;qid=1694735267&amp;sr=8-19")</f>
        <v/>
      </c>
      <c r="F7790" t="inlineStr">
        <is>
          <t>B089LGF2KS</t>
        </is>
      </c>
      <c r="G7790">
        <f>_xludf.IMAGE("https://edmondsonsupply.com/cdn/shop/products/DMAMX1090_Main-Image20200701.png?v=1609799247")</f>
        <v/>
      </c>
      <c r="H7790">
        <f>_xludf.IMAGE("https://m.media-amazon.com/images/I/61rU9ZgmndL._AC_UL320_.jpg")</f>
        <v/>
      </c>
      <c r="K7790" t="inlineStr">
        <is>
          <t>41.97</t>
        </is>
      </c>
      <c r="L7790" t="n">
        <v>11.49</v>
      </c>
      <c r="M7790" s="1" t="inlineStr">
        <is>
          <t>-72.62%</t>
        </is>
      </c>
      <c r="N7790" s="1" t="n"/>
      <c r="O7790" t="n">
        <v>4.6</v>
      </c>
      <c r="P7790" t="n">
        <v>63</v>
      </c>
      <c r="R7790" t="inlineStr">
        <is>
          <t>InStock</t>
        </is>
      </c>
      <c r="S7790" t="inlineStr">
        <is>
          <t>48.13</t>
        </is>
      </c>
      <c r="T7790" t="inlineStr">
        <is>
          <t>5463856447656</t>
        </is>
      </c>
    </row>
    <row r="7791" ht="87" customHeight="1">
      <c r="A7791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791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791" t="inlineStr">
        <is>
          <t>Milwaukee 48-11-2411 M12 REDLITHIUM™ Compact Battery Two Pack</t>
        </is>
      </c>
      <c r="D7791" t="inlineStr">
        <is>
          <t>2 Pack 3000mAh M12 Replacement Battery for Milwaukee M12 Battery, Compatible with Milwaukee M12 XC Cordless Power Tools Replace for 48-11-2401, 48-11-2402, 48-11-2440, 48-11-2411</t>
        </is>
      </c>
      <c r="E7791" s="2">
        <f>HYPERLINK("https://www.amazon.com/Replacement-Compatible-48-11-2402-48-11-2440-48-11-2411/dp/B083XP6Q4T/ref=sr_1_26?keywords=Milwaukee+48-11-2411+M12+REDLITHIUM%E2%84%A2+Compact+Battery+Two+Pack&amp;qid=1694735145&amp;sr=8-26", "https://www.amazon.com/Replacement-Compatible-48-11-2402-48-11-2440-48-11-2411/dp/B083XP6Q4T/ref=sr_1_26?keywords=Milwaukee+48-11-2411+M12+REDLITHIUM%E2%84%A2+Compact+Battery+Two+Pack&amp;qid=1694735145&amp;sr=8-26")</f>
        <v/>
      </c>
      <c r="F7791" t="inlineStr">
        <is>
          <t>B083XP6Q4T</t>
        </is>
      </c>
      <c r="G7791">
        <f>_xlfn.IMAGE("https://edmondsonsupply.com/cdn/shop/products/65014_48-11-2411-lg.jpg?v=1655484824")</f>
        <v/>
      </c>
      <c r="H7791">
        <f>_xlfn.IMAGE("https://m.media-amazon.com/images/I/71LHKfDTzZL._AC_UL320_.jpg")</f>
        <v/>
      </c>
      <c r="K7791" t="inlineStr">
        <is>
          <t>89.0</t>
        </is>
      </c>
      <c r="L7791" t="n">
        <v>24.29</v>
      </c>
      <c r="M7791" s="1" t="inlineStr">
        <is>
          <t>-72.71%</t>
        </is>
      </c>
      <c r="N7791" s="7" t="n"/>
      <c r="O7791" t="n">
        <v>4.5</v>
      </c>
      <c r="P7791" t="n">
        <v>951</v>
      </c>
      <c r="R7791" t="inlineStr">
        <is>
          <t>OutOfStock</t>
        </is>
      </c>
      <c r="S7791" t="inlineStr">
        <is>
          <t>150.0</t>
        </is>
      </c>
      <c r="T7791" t="inlineStr">
        <is>
          <t>7721456795864</t>
        </is>
      </c>
    </row>
    <row r="7792" ht="87" customHeight="1">
      <c r="A7792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792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792" t="inlineStr">
        <is>
          <t>Diablo Tools DMAMX1230 1 in. x 24 in. x 29 in. Rebar Demon™ SDS-Max 4-Cutter Full Carbide Head Hammer Bit</t>
        </is>
      </c>
      <c r="D7792" t="inlineStr">
        <is>
          <t>Diablo by Freud DMAPL4300 1 in. x 8 in. x 10 in. Rebar Demon™ SDS-Plus 4-Cutter Full Carbide Head Hammer Bit</t>
        </is>
      </c>
      <c r="E7792" s="2">
        <f>HYPERLINK("https://www.amazon.com/Diablo-Freud-DMAPL4300-SDS-Plus-4-Cutter/dp/B089LL8JD8/ref=sr_1_10?keywords=Diablo+Tools+DMAMX1230+1+in.+x+24+in.+x+29+in.+Rebar+Demon%E2%84%A2+SDS-Max+4-Cutter+Full+Carbide+Head+Hammer+Bit&amp;qid=1694735297&amp;sr=8-10", "https://www.amazon.com/Diablo-Freud-DMAPL4300-SDS-Plus-4-Cutter/dp/B089LL8JD8/ref=sr_1_10?keywords=Diablo+Tools+DMAMX1230+1+in.+x+24+in.+x+29+in.+Rebar+Demon%E2%84%A2+SDS-Max+4-Cutter+Full+Carbide+Head+Hammer+Bit&amp;qid=1694735297&amp;sr=8-10")</f>
        <v/>
      </c>
      <c r="F7792" t="inlineStr">
        <is>
          <t>B089LL8JD8</t>
        </is>
      </c>
      <c r="G7792">
        <f>_xlfn.IMAGE("https://edmondsonsupply.com/cdn/shop/products/DMAMX1230_1.jpg?v=1633030364")</f>
        <v/>
      </c>
      <c r="H7792">
        <f>_xlfn.IMAGE("https://m.media-amazon.com/images/I/616UiJGsK1L._AC_UL320_.jpg")</f>
        <v/>
      </c>
      <c r="K7792" t="inlineStr">
        <is>
          <t>124.97</t>
        </is>
      </c>
      <c r="L7792" t="n">
        <v>33.99</v>
      </c>
      <c r="M7792" s="1" t="inlineStr">
        <is>
          <t>-72.80%</t>
        </is>
      </c>
      <c r="N7792" s="7" t="n"/>
      <c r="O7792" t="n">
        <v>4.5</v>
      </c>
      <c r="P7792" t="n">
        <v>16</v>
      </c>
      <c r="R7792" t="inlineStr">
        <is>
          <t>InStock</t>
        </is>
      </c>
      <c r="S7792" t="inlineStr">
        <is>
          <t>152.89</t>
        </is>
      </c>
      <c r="T7792" t="inlineStr">
        <is>
          <t>5289176072360</t>
        </is>
      </c>
    </row>
    <row r="7793" ht="87" customHeight="1">
      <c r="A7793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793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793" t="inlineStr">
        <is>
          <t>Milwaukee 48-11-2412 M12 REDLITHIUM™ XC Battery Two Pack</t>
        </is>
      </c>
      <c r="D7793" t="inlineStr">
        <is>
          <t>2 Pack ExpertPower 12-volt Lithium Battery for Milwaukee M12, 48-11-2401, 48-11-2402, 48-11-2420, 48-11-2430, 48-11-2440, 48-11-2460, 48-11-2411, 48-11-2412</t>
        </is>
      </c>
      <c r="E7793" s="2">
        <f>HYPERLINK("https://www.amazon.com/ExpertPower-REDLITHIUM-48-11-2401-48-11-2402-48-11-2420/dp/B01HIVTKR2/ref=sr_1_17?keywords=Milwaukee+48-11-2412+M12+REDLITHIUM%E2%84%A2+XC+Battery+Two+Pack&amp;qid=1694735150&amp;sr=8-17", "https://www.amazon.com/ExpertPower-REDLITHIUM-48-11-2401-48-11-2402-48-11-2420/dp/B01HIVTKR2/ref=sr_1_17?keywords=Milwaukee+48-11-2412+M12+REDLITHIUM%E2%84%A2+XC+Battery+Two+Pack&amp;qid=1694735150&amp;sr=8-17")</f>
        <v/>
      </c>
      <c r="F7793" t="inlineStr">
        <is>
          <t>B01HIVTKR2</t>
        </is>
      </c>
      <c r="G7793">
        <f>_xlfn.IMAGE("https://edmondsonsupply.com/cdn/shop/products/48-11-2412.jpg?v=1654795924")</f>
        <v/>
      </c>
      <c r="H7793">
        <f>_xlfn.IMAGE("https://m.media-amazon.com/images/I/71+ITbqEx-L._AC_UL320_.jpg")</f>
        <v/>
      </c>
      <c r="K7793" t="inlineStr">
        <is>
          <t>129.0</t>
        </is>
      </c>
      <c r="L7793" t="n">
        <v>34.99</v>
      </c>
      <c r="M7793" s="1" t="inlineStr">
        <is>
          <t>-72.88%</t>
        </is>
      </c>
      <c r="N7793" s="7" t="n"/>
      <c r="O7793" t="n">
        <v>4.2</v>
      </c>
      <c r="P7793" t="n">
        <v>186</v>
      </c>
      <c r="R7793" t="inlineStr">
        <is>
          <t>InStock</t>
        </is>
      </c>
      <c r="S7793" t="inlineStr">
        <is>
          <t>217.0</t>
        </is>
      </c>
      <c r="T7793" t="inlineStr">
        <is>
          <t>7711224168664</t>
        </is>
      </c>
    </row>
    <row r="7794" ht="87" customHeight="1">
      <c r="A7794" s="2">
        <f>HYPERLINK("https://edmondsonsupply.com/collections/electricians-tools/products/pipe-vise-apw14-14-aluminum-pipe-wrench", "https://edmondsonsupply.com/collections/electricians-tools/products/pipe-vise-apw14-14-aluminum-pipe-wrench")</f>
        <v/>
      </c>
      <c r="B7794" s="2">
        <f>HYPERLINK("https://edmondsonsupply.com/products/pipe-vise-apw14-14-aluminum-pipe-wrench", "https://edmondsonsupply.com/products/pipe-vise-apw14-14-aluminum-pipe-wrench")</f>
        <v/>
      </c>
      <c r="C7794" t="inlineStr">
        <is>
          <t>Pipe Vise APW14 14" HD Aluminum Pipe Wrench</t>
        </is>
      </c>
      <c r="D7794" t="inlineStr">
        <is>
          <t>Aluminum Pipe Wrench 14" Heavy Duty Drop Forge Plumbing Tools HD</t>
        </is>
      </c>
      <c r="E7794" s="2">
        <f>HYPERLINK("https://www.amazon.com/Aluminum-Wrench-Heavy-Forge-Plumbing/dp/B071DKXWNL/ref=sr_1_4?keywords=Pipe+Vise+APW14+14%22+HD+Aluminum+Pipe+Wrench&amp;qid=1694734997&amp;sr=8-4", "https://www.amazon.com/Aluminum-Wrench-Heavy-Forge-Plumbing/dp/B071DKXWNL/ref=sr_1_4?keywords=Pipe+Vise+APW14+14%22+HD+Aluminum+Pipe+Wrench&amp;qid=1694734997&amp;sr=8-4")</f>
        <v/>
      </c>
      <c r="F7794" t="inlineStr">
        <is>
          <t>B071DKXWNL</t>
        </is>
      </c>
      <c r="G7794">
        <f>_xlfn.IMAGE("https://edmondsonsupply.com/cdn/shop/products/APW14.png?v=1681257860")</f>
        <v/>
      </c>
      <c r="H7794">
        <f>_xlfn.IMAGE("https://m.media-amazon.com/images/I/41KV0UI8SdL._AC_UL320_.jpg")</f>
        <v/>
      </c>
      <c r="K7794" t="inlineStr">
        <is>
          <t>70.0</t>
        </is>
      </c>
      <c r="L7794" t="n">
        <v>18.95</v>
      </c>
      <c r="M7794" s="1" t="inlineStr">
        <is>
          <t>-72.93%</t>
        </is>
      </c>
      <c r="N7794" s="7" t="n"/>
      <c r="O7794" t="n">
        <v>4.4</v>
      </c>
      <c r="P7794" t="n">
        <v>76</v>
      </c>
      <c r="R7794" t="inlineStr">
        <is>
          <t>InStock</t>
        </is>
      </c>
      <c r="S7794" t="inlineStr">
        <is>
          <t>undefined</t>
        </is>
      </c>
      <c r="T7794" t="inlineStr">
        <is>
          <t>7977278406872</t>
        </is>
      </c>
    </row>
    <row r="7795" ht="87" customHeight="1">
      <c r="A7795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795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795" t="inlineStr">
        <is>
          <t>Milwaukee 48-11-2411 M12 REDLITHIUM™ Compact Battery Two Pack</t>
        </is>
      </c>
      <c r="D7795" t="inlineStr">
        <is>
          <t>energup 2Pack 12V 3Ah 48-11-2411 Battery for Milwaukee M12 48-11-2420 Lithium-ion Battery for Milwaukee 48-11-2411 48-11-2401 48-11-2402 12-Volt Milwaukee m12 Batteries</t>
        </is>
      </c>
      <c r="E7795" s="2">
        <f>HYPERLINK("https://www.amazon.com/Replacement-48-11-2410-Lithium-ion-48-11-2420-48-11-2411/dp/B0744CV97H/ref=sr_1_19?keywords=Milwaukee+48-11-2411+M12+REDLITHIUM%E2%84%A2+Compact+Battery+Two+Pack&amp;qid=1694735145&amp;sr=8-19", "https://www.amazon.com/Replacement-48-11-2410-Lithium-ion-48-11-2420-48-11-2411/dp/B0744CV97H/ref=sr_1_19?keywords=Milwaukee+48-11-2411+M12+REDLITHIUM%E2%84%A2+Compact+Battery+Two+Pack&amp;qid=1694735145&amp;sr=8-19")</f>
        <v/>
      </c>
      <c r="F7795" t="inlineStr">
        <is>
          <t>B0744CV97H</t>
        </is>
      </c>
      <c r="G7795">
        <f>_xlfn.IMAGE("https://edmondsonsupply.com/cdn/shop/products/65014_48-11-2411-lg.jpg?v=1655484824")</f>
        <v/>
      </c>
      <c r="H7795">
        <f>_xlfn.IMAGE("https://m.media-amazon.com/images/I/71MPfPXlf6L._AC_UL320_.jpg")</f>
        <v/>
      </c>
      <c r="K7795" t="inlineStr">
        <is>
          <t>89.0</t>
        </is>
      </c>
      <c r="L7795" t="n">
        <v>23.99</v>
      </c>
      <c r="M7795" s="1" t="inlineStr">
        <is>
          <t>-73.04%</t>
        </is>
      </c>
      <c r="N7795" s="7" t="n"/>
      <c r="O7795" t="n">
        <v>4.3</v>
      </c>
      <c r="P7795" t="n">
        <v>997</v>
      </c>
      <c r="R7795" t="inlineStr">
        <is>
          <t>OutOfStock</t>
        </is>
      </c>
      <c r="S7795" t="inlineStr">
        <is>
          <t>150.0</t>
        </is>
      </c>
      <c r="T7795" t="inlineStr">
        <is>
          <t>7721456795864</t>
        </is>
      </c>
    </row>
    <row r="7796" hidden="1" ht="15.75" customHeight="1">
      <c r="A7796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796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796" t="inlineStr">
        <is>
          <t>Milwaukee 48-11-2411 M12 REDLITHIUM™ Compact Battery Two Pack</t>
        </is>
      </c>
      <c r="D7796" t="inlineStr">
        <is>
          <t>Amsbat 2-Pack 3000mAh 12V Battery Replacement for Milwaukee 12V Battery Compatible with Milwaukee M12 Battery 48-11-2401 48-11-2412 48-11-2411 48-11-2420 48-11-2440</t>
        </is>
      </c>
      <c r="E7796" s="2">
        <f>HYPERLINK("https://www.amazon.com/Amsbat-Replacement-Compatible-48-11-2401-48-11-2412/dp/B0B4FS2VBH/ref=sr_1_29?keywords=Milwaukee+48-11-2411+M12+REDLITHIUM%E2%84%A2+Compact+Battery+Two+Pack&amp;qid=1694735145&amp;sr=8-29", "https://www.amazon.com/Amsbat-Replacement-Compatible-48-11-2401-48-11-2412/dp/B0B4FS2VBH/ref=sr_1_29?keywords=Milwaukee+48-11-2411+M12+REDLITHIUM%E2%84%A2+Compact+Battery+Two+Pack&amp;qid=1694735145&amp;sr=8-29")</f>
        <v/>
      </c>
      <c r="F7796" t="inlineStr">
        <is>
          <t>B0B4FS2VBH</t>
        </is>
      </c>
      <c r="G7796">
        <f>_xludf.IMAGE("https://edmondsonsupply.com/cdn/shop/products/65014_48-11-2411-lg.jpg?v=1655484824")</f>
        <v/>
      </c>
      <c r="H7796">
        <f>_xludf.IMAGE("https://m.media-amazon.com/images/I/7100PhVJQ3L._AC_UL320_.jpg")</f>
        <v/>
      </c>
      <c r="K7796" t="inlineStr">
        <is>
          <t>89.0</t>
        </is>
      </c>
      <c r="L7796" t="n">
        <v>23.99</v>
      </c>
      <c r="M7796" s="1" t="inlineStr">
        <is>
          <t>-73.04%</t>
        </is>
      </c>
      <c r="N7796" s="1" t="n"/>
      <c r="O7796" t="n">
        <v>2.8</v>
      </c>
      <c r="P7796" t="n">
        <v>18</v>
      </c>
      <c r="R7796" t="inlineStr">
        <is>
          <t>OutOfStock</t>
        </is>
      </c>
      <c r="S7796" t="inlineStr">
        <is>
          <t>150.0</t>
        </is>
      </c>
      <c r="T7796" t="inlineStr">
        <is>
          <t>7721456795864</t>
        </is>
      </c>
    </row>
    <row r="7797" ht="87" customHeight="1">
      <c r="A7797" s="2">
        <f>HYPERLINK("https://edmondsonsupply.com/collections/electricians-tools/products/klein-tools-66050e-2-in-1-metric-impact-socket-set-12-point-5-piece", "https://edmondsonsupply.com/collections/electricians-tools/products/klein-tools-66050e-2-in-1-metric-impact-socket-set-12-point-5-piece")</f>
        <v/>
      </c>
      <c r="B7797" s="2">
        <f>HYPERLINK("https://edmondsonsupply.com/products/klein-tools-66050e-2-in-1-metric-impact-socket-set-12-point-5-piece", "https://edmondsonsupply.com/products/klein-tools-66050e-2-in-1-metric-impact-socket-set-12-point-5-piece")</f>
        <v/>
      </c>
      <c r="C7797" t="inlineStr">
        <is>
          <t>Klein Tools 66050E 2-in-1 Metric Impact Socket Set, 12-Point, 5-Piece</t>
        </is>
      </c>
      <c r="D7797" t="inlineStr">
        <is>
          <t>SEKETMAN 3/8-Inch Drive Impact Socket Set,49 Pieces,SAE/Metric,Deep/Shallow,(5/16"-3/4",8mm-22mm),6 Point,CR-V Steel,Includes Extension Bar,Adapter and Universal Joint</t>
        </is>
      </c>
      <c r="E7797" s="2">
        <f>HYPERLINK("https://www.amazon.com/SEKETMAN-Shallow-8mm-22mm-Extension-Universal/dp/B09PMR1BF3/ref=sr_1_41?keywords=Klein+Tools+66050E+2-in-1+Metric+Impact+Socket+Set%2C+12-Point%2C+5-Piece&amp;qid=1694735136&amp;sr=8-41", "https://www.amazon.com/SEKETMAN-Shallow-8mm-22mm-Extension-Universal/dp/B09PMR1BF3/ref=sr_1_41?keywords=Klein+Tools+66050E+2-in-1+Metric+Impact+Socket+Set%2C+12-Point%2C+5-Piece&amp;qid=1694735136&amp;sr=8-41")</f>
        <v/>
      </c>
      <c r="F7797" t="inlineStr">
        <is>
          <t>B09PMR1BF3</t>
        </is>
      </c>
      <c r="G7797">
        <f>_xlfn.IMAGE("https://edmondsonsupply.com/cdn/shop/products/66050e.jpg?v=1659120052")</f>
        <v/>
      </c>
      <c r="H7797">
        <f>_xlfn.IMAGE("https://m.media-amazon.com/images/I/71pxva2lKUL._AC_UL320_.jpg")</f>
        <v/>
      </c>
      <c r="K7797" t="inlineStr">
        <is>
          <t>149.54</t>
        </is>
      </c>
      <c r="L7797" t="n">
        <v>39.99</v>
      </c>
      <c r="M7797" s="1" t="inlineStr">
        <is>
          <t>-73.26%</t>
        </is>
      </c>
      <c r="N7797" s="7" t="n"/>
      <c r="O7797" t="n">
        <v>4.7</v>
      </c>
      <c r="P7797" t="n">
        <v>140</v>
      </c>
      <c r="R7797" t="inlineStr">
        <is>
          <t>InStock</t>
        </is>
      </c>
      <c r="S7797" t="inlineStr">
        <is>
          <t>249.24</t>
        </is>
      </c>
      <c r="T7797" t="inlineStr">
        <is>
          <t>7766623420632</t>
        </is>
      </c>
    </row>
    <row r="7798" ht="87" customHeight="1">
      <c r="A7798" s="2">
        <f>HYPERLINK("https://edmondsonsupply.com/collections/electricians-tools/products/klein-tools-935dagl-digital-level-with-programmable-angles", "https://edmondsonsupply.com/collections/electricians-tools/products/klein-tools-935dagl-digital-level-with-programmable-angles")</f>
        <v/>
      </c>
      <c r="B7798" s="2">
        <f>HYPERLINK("https://edmondsonsupply.com/products/klein-tools-935dagl-digital-level-with-programmable-angles", "https://edmondsonsupply.com/products/klein-tools-935dagl-digital-level-with-programmable-angles")</f>
        <v/>
      </c>
      <c r="C7798" t="inlineStr">
        <is>
          <t>Klein Tools 935DAGL Digital Level with Programmable Angles</t>
        </is>
      </c>
      <c r="D7798" t="inlineStr">
        <is>
          <t>JINMEI Hard EVA Dedicated Case for Klein Tools 935DAGL Digital Level with Programmable Angles Case. (Pink)</t>
        </is>
      </c>
      <c r="E7798" s="2">
        <f>HYPERLINK("https://www.amazon.com/JINMEI-Dedicated-935DAGL-Digital-Programmable/dp/B0966X8V1X/ref=sr_1_2?keywords=Klein+Tools+935DAGL+Digital+Level+with+Programmable+Angles&amp;qid=1694735135&amp;sr=8-2", "https://www.amazon.com/JINMEI-Dedicated-935DAGL-Digital-Programmable/dp/B0966X8V1X/ref=sr_1_2?keywords=Klein+Tools+935DAGL+Digital+Level+with+Programmable+Angles&amp;qid=1694735135&amp;sr=8-2")</f>
        <v/>
      </c>
      <c r="F7798" t="inlineStr">
        <is>
          <t>B0966X8V1X</t>
        </is>
      </c>
      <c r="G7798">
        <f>_xlfn.IMAGE("https://edmondsonsupply.com/cdn/shop/products/935dagl.jpg?v=1660749694")</f>
        <v/>
      </c>
      <c r="H7798">
        <f>_xlfn.IMAGE("https://m.media-amazon.com/images/I/81qfd77AapS._AC_UL320_.jpg")</f>
        <v/>
      </c>
      <c r="K7798" t="inlineStr">
        <is>
          <t>59.97</t>
        </is>
      </c>
      <c r="L7798" t="n">
        <v>15.99</v>
      </c>
      <c r="M7798" s="1" t="inlineStr">
        <is>
          <t>-73.34%</t>
        </is>
      </c>
      <c r="N7798" s="7" t="n"/>
      <c r="O7798" t="n">
        <v>4.4</v>
      </c>
      <c r="P7798" t="n">
        <v>24</v>
      </c>
      <c r="R7798" t="inlineStr">
        <is>
          <t>InStock</t>
        </is>
      </c>
      <c r="S7798" t="inlineStr">
        <is>
          <t>83.8</t>
        </is>
      </c>
      <c r="T7798" t="inlineStr">
        <is>
          <t>7779783606488</t>
        </is>
      </c>
    </row>
    <row r="7799" ht="87" customHeight="1">
      <c r="A7799" s="2">
        <f>HYPERLINK("https://edmondsonsupply.com/collections/electricians-tools/products/diablo-tools-dou125cgp10-1-1-4-in-universal-fit-carbide-oscillating-blade-for-general-purpose-cuts", "https://edmondsonsupply.com/collections/electricians-tools/products/diablo-tools-dou125cgp10-1-1-4-in-universal-fit-carbide-oscillating-blade-for-general-purpose-cuts")</f>
        <v/>
      </c>
      <c r="B7799" s="2">
        <f>HYPERLINK("https://edmondsonsupply.com/products/diablo-tools-dou125cgp10-1-1-4-in-universal-fit-carbide-oscillating-blade-for-general-purpose-cuts", "https://edmondsonsupply.com/products/diablo-tools-dou125cgp10-1-1-4-in-universal-fit-carbide-oscillating-blade-for-general-purpose-cuts")</f>
        <v/>
      </c>
      <c r="C7799" t="inlineStr">
        <is>
          <t>Diablo Tools DOU125CGP10 1-1/4 in. Universal Fit Carbide Oscillating Blade for General Purpose Cuts (10 pk)</t>
        </is>
      </c>
      <c r="D7799" t="inlineStr">
        <is>
          <t>Diablo 1-1/4" Universal Carbide Oscillating Blades for General Purpose Cuts 3pk</t>
        </is>
      </c>
      <c r="E7799" s="2">
        <f>HYPERLINK("https://www.amazon.com/Diablo-Freud-DOU125CGP3-Universal-Oscillating/dp/B089KW6C8Q/ref=sr_1_2?keywords=Diablo+Tools+DOU125CGP10+1-1%2F4+in.+Universal+Fit+Carbide+Oscillating+Blade+for+General+Purpose+Cuts+%2810+pk%29&amp;qid=1694735032&amp;sr=8-2", "https://www.amazon.com/Diablo-Freud-DOU125CGP3-Universal-Oscillating/dp/B089KW6C8Q/ref=sr_1_2?keywords=Diablo+Tools+DOU125CGP10+1-1%2F4+in.+Universal+Fit+Carbide+Oscillating+Blade+for+General+Purpose+Cuts+%2810+pk%29&amp;qid=1694735032&amp;sr=8-2")</f>
        <v/>
      </c>
      <c r="F7799" t="inlineStr">
        <is>
          <t>B089KW6C8Q</t>
        </is>
      </c>
      <c r="G7799">
        <f>_xlfn.IMAGE("https://edmondsonsupply.com/cdn/shop/products/htobgrjt150mygkkk6to.webp?v=1677258458")</f>
        <v/>
      </c>
      <c r="H7799">
        <f>_xlfn.IMAGE("https://m.media-amazon.com/images/I/71lNEMXVnHL._AC_UL320_.jpg")</f>
        <v/>
      </c>
      <c r="K7799" t="inlineStr">
        <is>
          <t>104.99</t>
        </is>
      </c>
      <c r="L7799" t="n">
        <v>27.99</v>
      </c>
      <c r="M7799" s="1" t="inlineStr">
        <is>
          <t>-73.34%</t>
        </is>
      </c>
      <c r="N7799" s="7" t="n"/>
      <c r="O7799" t="n">
        <v>4.5</v>
      </c>
      <c r="P7799" t="n">
        <v>139</v>
      </c>
      <c r="R7799" t="inlineStr">
        <is>
          <t>OutOfStock</t>
        </is>
      </c>
      <c r="S7799" t="inlineStr">
        <is>
          <t>166.67</t>
        </is>
      </c>
      <c r="T7799" t="inlineStr">
        <is>
          <t>7950802452696</t>
        </is>
      </c>
    </row>
    <row r="7800" hidden="1" ht="15.75" customHeight="1">
      <c r="A7800" s="2">
        <f>HYPERLINK("https://edmondsonsupply.com/collections/electricians-tools/products/greenlee-7235bb-slug-buster%C2%AE-1-2-1-1-4-manual-knockout-set", "https://edmondsonsupply.com/collections/electricians-tools/products/greenlee-7235bb-slug-buster%C2%AE-1-2-1-1-4-manual-knockout-set")</f>
        <v/>
      </c>
      <c r="B7800" s="2">
        <f>HYPERLINK("https://edmondsonsupply.com/products/greenlee-7235bb-slug-buster%c2%ae-1-2-1-1-4-manual-knockout-set", "https://edmondsonsupply.com/products/greenlee-7235bb-slug-buster%c2%ae-1-2-1-1-4-manual-knockout-set")</f>
        <v/>
      </c>
      <c r="C7800" t="inlineStr">
        <is>
          <t>Greenlee 7235BB Slug-Buster® 1/2" - 1-1/4" Manual Knockout Set</t>
        </is>
      </c>
      <c r="D7800" t="inlineStr">
        <is>
          <t>Greenlee, K2BB-1/2 replaces 60246, 1/2" Conduit Size Slug-Buster Manual Knockout Set</t>
        </is>
      </c>
      <c r="E7800" s="2">
        <f>HYPERLINK("https://www.amazon.com/Greenlee-K2BB-1-2-KNOCKOUT-SET/dp/B07Y5TWM7M/ref=sr_1_5?keywords=Greenlee+7235BB+Slug-Buster%C2%AE+1%2F2%22+-+1-1%2F4%22+Manual+Knockout+Set&amp;qid=1694735371&amp;sr=8-5", "https://www.amazon.com/Greenlee-K2BB-1-2-KNOCKOUT-SET/dp/B07Y5TWM7M/ref=sr_1_5?keywords=Greenlee+7235BB+Slug-Buster%C2%AE+1%2F2%22+-+1-1%2F4%22+Manual+Knockout+Set&amp;qid=1694735371&amp;sr=8-5")</f>
        <v/>
      </c>
      <c r="F7800" t="inlineStr">
        <is>
          <t>B07Y5TWM7M</t>
        </is>
      </c>
      <c r="G7800">
        <f>_xludf.IMAGE("https://edmondsonsupply.com/cdn/shop/products/7235BB-CAT1.jpg?v=1587148010")</f>
        <v/>
      </c>
      <c r="H7800">
        <f>_xludf.IMAGE("https://m.media-amazon.com/images/I/51TtbjBnjXL._AC_UL320_.jpg")</f>
        <v/>
      </c>
      <c r="K7800" t="inlineStr">
        <is>
          <t>213.99</t>
        </is>
      </c>
      <c r="L7800" t="n">
        <v>56.97</v>
      </c>
      <c r="M7800" s="1" t="inlineStr">
        <is>
          <t>-73.38%</t>
        </is>
      </c>
      <c r="N7800" s="1" t="n"/>
      <c r="O7800" t="n">
        <v>3.7</v>
      </c>
      <c r="P7800" t="n">
        <v>6</v>
      </c>
      <c r="R7800" t="inlineStr">
        <is>
          <t>InStock</t>
        </is>
      </c>
      <c r="S7800" t="inlineStr">
        <is>
          <t>249.0</t>
        </is>
      </c>
      <c r="T7800" t="inlineStr">
        <is>
          <t>4430499610724</t>
        </is>
      </c>
    </row>
    <row r="7801" hidden="1" ht="15.75" customHeight="1">
      <c r="A7801" s="2">
        <f>HYPERLINK("https://edmondsonsupply.com/collections/electricians-tools/products/klein-tools-66004-2-in-1-impact-socket-6-point-3-4-and-9-16-inch", "https://edmondsonsupply.com/collections/electricians-tools/products/klein-tools-66004-2-in-1-impact-socket-6-point-3-4-and-9-16-inch")</f>
        <v/>
      </c>
      <c r="B7801" s="2">
        <f>HYPERLINK("https://edmondsonsupply.com/products/klein-tools-66004-2-in-1-impact-socket-6-point-3-4-and-9-16-inch", "https://edmondsonsupply.com/products/klein-tools-66004-2-in-1-impact-socket-6-point-3-4-and-9-16-inch")</f>
        <v/>
      </c>
      <c r="C7801" t="inlineStr">
        <is>
          <t>Klein Tools 66004 2-in-1 Impact Socket, 6-Point, 3/4 and 9/16-Inch</t>
        </is>
      </c>
      <c r="D7801" t="inlineStr">
        <is>
          <t>Klein Tools 66077 Impact Driver Flip Socket, 7/16- and 3/8-Inch Sizes, Use with Klein Tools Compact Impact Wrenches BAT20CW, BAT20CW1</t>
        </is>
      </c>
      <c r="E7801" s="2">
        <f>HYPERLINK("https://www.amazon.com/Klein-Tools-66077-Wrenches-BAT20CW1/dp/B0B34JMDCL/ref=sr_1_18?keywords=Klein+Tools+66004+2-in-1+Impact+Socket%2C+6-Point%2C+3%2F4+and+9%2F16-Inch&amp;qid=1694735397&amp;sr=8-18", "https://www.amazon.com/Klein-Tools-66077-Wrenches-BAT20CW1/dp/B0B34JMDCL/ref=sr_1_18?keywords=Klein+Tools+66004+2-in-1+Impact+Socket%2C+6-Point%2C+3%2F4+and+9%2F16-Inch&amp;qid=1694735397&amp;sr=8-18")</f>
        <v/>
      </c>
      <c r="F7801" t="inlineStr">
        <is>
          <t>B0B34JMDCL</t>
        </is>
      </c>
      <c r="G7801">
        <f>_xludf.IMAGE("https://edmondsonsupply.com/cdn/shop/products/66004.jpg?v=1664131249")</f>
        <v/>
      </c>
      <c r="H7801">
        <f>_xludf.IMAGE("https://m.media-amazon.com/images/I/41vtzEP3nEL._AC_UL320_.jpg")</f>
        <v/>
      </c>
      <c r="K7801" t="inlineStr">
        <is>
          <t>39.99</t>
        </is>
      </c>
      <c r="L7801" t="n">
        <v>10.43</v>
      </c>
      <c r="M7801" s="1" t="inlineStr">
        <is>
          <t>-73.92%</t>
        </is>
      </c>
      <c r="N7801" s="1" t="n"/>
      <c r="O7801" t="n">
        <v>4.8</v>
      </c>
      <c r="P7801" t="n">
        <v>5</v>
      </c>
      <c r="R7801" t="inlineStr">
        <is>
          <t>InStock</t>
        </is>
      </c>
      <c r="S7801" t="inlineStr">
        <is>
          <t>68.0</t>
        </is>
      </c>
      <c r="T7801" t="inlineStr">
        <is>
          <t>4406308110436</t>
        </is>
      </c>
    </row>
    <row r="7802" hidden="1" ht="15.75" customHeight="1">
      <c r="A7802" s="2">
        <f>HYPERLINK("https://edmondsonsupply.com/collections/electricians-tools/products/klein-tools-et310-digital-circuit-breaker-finder-with-gfci-outlet-tester", "https://edmondsonsupply.com/collections/electricians-tools/products/klein-tools-et310-digital-circuit-breaker-finder-with-gfci-outlet-tester")</f>
        <v/>
      </c>
      <c r="B7802" s="2">
        <f>HYPERLINK("https://edmondsonsupply.com/products/klein-tools-et310-digital-circuit-breaker-finder-with-gfci-outlet-tester", "https://edmondsonsupply.com/products/klein-tools-et310-digital-circuit-breaker-finder-with-gfci-outlet-tester")</f>
        <v/>
      </c>
      <c r="C7802" t="inlineStr">
        <is>
          <t>Klein Tools ET310 Digital Circuit Breaker Finder with GFCI Outlet Tester</t>
        </is>
      </c>
      <c r="D7802" t="inlineStr">
        <is>
          <t>Klein Tools ET310TRANS ET310 Circuit Breaker Finder Replacement Transmitter, Digital Circuit Breaker Finder, Integrated GFCI Outlet Tester</t>
        </is>
      </c>
      <c r="E7802" s="2">
        <f>HYPERLINK("https://www.amazon.com/Klein-Tools-ET310TRANS-Replacement-Transmitter/dp/B0B6PZ31KW/ref=sr_1_3?keywords=Klein+Tools+ET310+Digital+Circuit+Breaker+Finder+with+GFCI+Outlet+Tester&amp;qid=1694734974&amp;sr=8-3", "https://www.amazon.com/Klein-Tools-ET310TRANS-Replacement-Transmitter/dp/B0B6PZ31KW/ref=sr_1_3?keywords=Klein+Tools+ET310+Digital+Circuit+Breaker+Finder+with+GFCI+Outlet+Tester&amp;qid=1694734974&amp;sr=8-3")</f>
        <v/>
      </c>
      <c r="F7802" t="inlineStr">
        <is>
          <t>B0B6PZ31KW</t>
        </is>
      </c>
      <c r="G7802">
        <f>_xludf.IMAGE("https://edmondsonsupply.com/cdn/shop/products/et310_c.jpg?v=1646963918")</f>
        <v/>
      </c>
      <c r="H7802">
        <f>_xludf.IMAGE("https://m.media-amazon.com/images/I/41ZLBVj0ZYL._AC_UL320_.jpg")</f>
        <v/>
      </c>
      <c r="K7802" t="inlineStr">
        <is>
          <t>49.97</t>
        </is>
      </c>
      <c r="L7802" t="n">
        <v>12.99</v>
      </c>
      <c r="M7802" s="1" t="inlineStr">
        <is>
          <t>-74.00%</t>
        </is>
      </c>
      <c r="N7802" s="1" t="n"/>
      <c r="O7802" t="n">
        <v>4.7</v>
      </c>
      <c r="P7802" t="n">
        <v>28</v>
      </c>
      <c r="R7802" t="inlineStr">
        <is>
          <t>InStock</t>
        </is>
      </c>
      <c r="S7802" t="inlineStr">
        <is>
          <t>75.1</t>
        </is>
      </c>
      <c r="T7802" t="inlineStr">
        <is>
          <t>3389551280228</t>
        </is>
      </c>
    </row>
    <row r="7803" hidden="1" ht="15.75" customHeight="1">
      <c r="A7803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803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803" t="inlineStr">
        <is>
          <t>Diablo Tools DMAPL4310 1 in. x 16 in. x 18 in. Rebar Demon™ SDS-Plus 4-Cutter Full Carbide Head Hammer Drill Bit</t>
        </is>
      </c>
      <c r="D7803" t="inlineStr">
        <is>
          <t>Diablo DMAPL4120 5/16 in. x 10 in. x 12 in. Rebar Demon™ SDS-Plus 4-Cutter Full Carbide Head Hammer Bit</t>
        </is>
      </c>
      <c r="E7803" s="2">
        <f>HYPERLINK("https://www.amazon.com/Diablo-SDS-Plus-4-Cutter-Carbide-Hammer/dp/B089KTHL12/ref=sr_1_12?keywords=Diablo+Tools+DMAPL4310+1+in.+x+16+in.+x+18+in.+Rebar+Demon%E2%84%A2+SDS-Plus+4-Cutter+Full+Carbide+Head+Hammer+Drill+Bit&amp;qid=1694735204&amp;sr=8-12", "https://www.amazon.com/Diablo-SDS-Plus-4-Cutter-Carbide-Hammer/dp/B089KTHL12/ref=sr_1_12?keywords=Diablo+Tools+DMAPL4310+1+in.+x+16+in.+x+18+in.+Rebar+Demon%E2%84%A2+SDS-Plus+4-Cutter+Full+Carbide+Head+Hammer+Drill+Bit&amp;qid=1694735204&amp;sr=8-12")</f>
        <v/>
      </c>
      <c r="F7803" t="inlineStr">
        <is>
          <t>B089KTHL12</t>
        </is>
      </c>
      <c r="G7803">
        <f>_xludf.IMAGE("https://edmondsonsupply.com/cdn/shop/products/DMAPL4310_Main-Image20200701.png?v=1633031094")</f>
        <v/>
      </c>
      <c r="H7803">
        <f>_xludf.IMAGE("https://m.media-amazon.com/images/I/61P8b1v1TBL._AC_UL320_.jpg")</f>
        <v/>
      </c>
      <c r="K7803" t="inlineStr">
        <is>
          <t>49.97</t>
        </is>
      </c>
      <c r="L7803" t="n">
        <v>12.99</v>
      </c>
      <c r="M7803" s="1" t="inlineStr">
        <is>
          <t>-74.00%</t>
        </is>
      </c>
      <c r="N7803" s="1" t="n"/>
      <c r="O7803" t="n">
        <v>5</v>
      </c>
      <c r="P7803" t="n">
        <v>6</v>
      </c>
      <c r="R7803" t="inlineStr">
        <is>
          <t>InStock</t>
        </is>
      </c>
      <c r="S7803" t="inlineStr">
        <is>
          <t>57.56</t>
        </is>
      </c>
      <c r="T7803" t="inlineStr">
        <is>
          <t>6839830479021</t>
        </is>
      </c>
    </row>
    <row r="7804" hidden="1" ht="15.75" customHeight="1">
      <c r="A7804" s="2">
        <f>HYPERLINK("https://edmondsonsupply.com/collections/electricians-tools/products/diablo-tools-dmamx1010", "https://edmondsonsupply.com/collections/electricians-tools/products/diablo-tools-dmamx1010")</f>
        <v/>
      </c>
      <c r="B7804" s="2">
        <f>HYPERLINK("https://edmondsonsupply.com/products/diablo-tools-dmamx1010", "https://edmondsonsupply.com/products/diablo-tools-dmamx1010")</f>
        <v/>
      </c>
      <c r="C7804" t="inlineStr">
        <is>
          <t>Diablo Tools DMAMX1010 3/8 in. x 8 in. x 13 in. Rebar Demon SDS‑Max 4‑Cutter Full Carbide Head Hammer Bit</t>
        </is>
      </c>
      <c r="D7804" t="inlineStr">
        <is>
          <t>Diablo by Freud DMAPL4050 3/16 in. x 6 in. x 8 in. Rebar Demon SDS-Plus 4-Cutter Full Carbide Head Hammer Bit Multi, One Size</t>
        </is>
      </c>
      <c r="E7804" s="2">
        <f>HYPERLINK("https://www.amazon.com/Diablo-SDS-Plus-4-Cutter-Carbide-Hammer/dp/B089LKWR9L/ref=sr_1_41?keywords=Diablo+Tools+DMAMX1010+3%2F8+in.+x+8+in.+x+13+in.+Rebar+Demon+SDS%E2%80%91Max+4%E2%80%91Cutter+Full+Carbide+Head+Hammer+Bit&amp;qid=1694735277&amp;sr=8-41", "https://www.amazon.com/Diablo-SDS-Plus-4-Cutter-Carbide-Hammer/dp/B089LKWR9L/ref=sr_1_41?keywords=Diablo+Tools+DMAMX1010+3%2F8+in.+x+8+in.+x+13+in.+Rebar+Demon+SDS%E2%80%91Max+4%E2%80%91Cutter+Full+Carbide+Head+Hammer+Bit&amp;qid=1694735277&amp;sr=8-41")</f>
        <v/>
      </c>
      <c r="F7804" t="inlineStr">
        <is>
          <t>B089LKWR9L</t>
        </is>
      </c>
      <c r="G7804">
        <f>_xludf.IMAGE("https://edmondsonsupply.com/cdn/shop/products/DMAMX1010_Main-Image20200701.png?v=1609797900")</f>
        <v/>
      </c>
      <c r="H7804">
        <f>_xludf.IMAGE("https://m.media-amazon.com/images/I/61uukuKzJeL._AC_UL320_.jpg")</f>
        <v/>
      </c>
      <c r="K7804" t="inlineStr">
        <is>
          <t>34.97</t>
        </is>
      </c>
      <c r="L7804" t="n">
        <v>8.99</v>
      </c>
      <c r="M7804" s="1" t="inlineStr">
        <is>
          <t>-74.29%</t>
        </is>
      </c>
      <c r="N7804" s="1" t="n"/>
      <c r="O7804" t="n">
        <v>3.7</v>
      </c>
      <c r="P7804" t="n">
        <v>10</v>
      </c>
      <c r="R7804" t="inlineStr">
        <is>
          <t>InStock</t>
        </is>
      </c>
      <c r="S7804" t="inlineStr">
        <is>
          <t>43.11</t>
        </is>
      </c>
      <c r="T7804" t="inlineStr">
        <is>
          <t>5463785701544</t>
        </is>
      </c>
    </row>
    <row r="7805" ht="87" customHeight="1">
      <c r="A7805" s="2">
        <f>HYPERLINK("https://edmondsonsupply.com/collections/electricians-tools/products/milwaukee-0880-20", "https://edmondsonsupply.com/collections/electricians-tools/products/milwaukee-0880-20")</f>
        <v/>
      </c>
      <c r="B7805" s="2">
        <f>HYPERLINK("https://edmondsonsupply.com/products/milwaukee-0880-20", "https://edmondsonsupply.com/products/milwaukee-0880-20")</f>
        <v/>
      </c>
      <c r="C7805" t="inlineStr">
        <is>
          <t>Milwaukee 0880-20 M18 2-Gallon Wet/Dry Vacuum (bare tool)</t>
        </is>
      </c>
      <c r="D7805" t="inlineStr">
        <is>
          <t>Anewise 49-90-1900 Wet Dry Vacuum HEPA Filter Replacement for Milwaukee M18 2 Gallon 0880-20, M12 FUEL 1.6 Gallon 0960-20 and M18 FUEL PACKOUT 0970-20 Wet Dry Vacuums, 4 Packs</t>
        </is>
      </c>
      <c r="E7805" s="2">
        <f>HYPERLINK("https://www.amazon.com/Anewise-49-90-1900-Replacement-Milwaukee-0880-20/dp/B0C149NC9Q/ref=sr_1_8?keywords=Milwaukee+0880-20+M18+2-Gallon+Wet%2FDry+Vacuum+%28bare+tool%29&amp;qid=1694735279&amp;sr=8-8", "https://www.amazon.com/Anewise-49-90-1900-Replacement-Milwaukee-0880-20/dp/B0C149NC9Q/ref=sr_1_8?keywords=Milwaukee+0880-20+M18+2-Gallon+Wet%2FDry+Vacuum+%28bare+tool%29&amp;qid=1694735279&amp;sr=8-8")</f>
        <v/>
      </c>
      <c r="F7805" t="inlineStr">
        <is>
          <t>B0C149NC9Q</t>
        </is>
      </c>
      <c r="G7805">
        <f>_xlfn.IMAGE("https://edmondsonsupply.com/cdn/shop/products/0880-20_2.png?v=1593890228")</f>
        <v/>
      </c>
      <c r="H7805">
        <f>_xlfn.IMAGE("https://m.media-amazon.com/images/I/713gthAL4TL._AC_UL320_.jpg")</f>
        <v/>
      </c>
      <c r="K7805" t="inlineStr">
        <is>
          <t>129.0</t>
        </is>
      </c>
      <c r="L7805" t="n">
        <v>32.99</v>
      </c>
      <c r="M7805" s="1" t="inlineStr">
        <is>
          <t>-74.43%</t>
        </is>
      </c>
      <c r="N7805" s="7" t="n"/>
      <c r="O7805" t="n">
        <v>5</v>
      </c>
      <c r="P7805" t="n">
        <v>5</v>
      </c>
      <c r="R7805" t="inlineStr">
        <is>
          <t>InStock</t>
        </is>
      </c>
      <c r="S7805" t="inlineStr">
        <is>
          <t>220.0</t>
        </is>
      </c>
      <c r="T7805" t="inlineStr">
        <is>
          <t>5376375586984</t>
        </is>
      </c>
    </row>
    <row r="7806" ht="87" customHeight="1">
      <c r="A7806" s="2">
        <f>HYPERLINK("https://edmondsonsupply.com/collections/electricians-tools/products/fluke-tlk289-industrial-master-test-lead-set", "https://edmondsonsupply.com/collections/electricians-tools/products/fluke-tlk289-industrial-master-test-lead-set")</f>
        <v/>
      </c>
      <c r="B7806" s="2">
        <f>HYPERLINK("https://edmondsonsupply.com/products/fluke-tlk289-industrial-master-test-lead-set", "https://edmondsonsupply.com/products/fluke-tlk289-industrial-master-test-lead-set")</f>
        <v/>
      </c>
      <c r="C7806" t="inlineStr">
        <is>
          <t>Fluke TLK289 Industrial Master Test Lead Set</t>
        </is>
      </c>
      <c r="D7806" t="inlineStr">
        <is>
          <t>Fluke TL221 SureGrip Industrial Test Lead Set</t>
        </is>
      </c>
      <c r="E7806" s="2">
        <f>HYPERLINK("https://www.amazon.com/Fluke-TL221-Test-Extension-FLK-TL221/dp/B008FM2XPA/ref=sr_1_21?keywords=Fluke+TLK289+Industrial+Master+Test+Lead+Set&amp;qid=1694735184&amp;sr=8-21", "https://www.amazon.com/Fluke-TL221-Test-Extension-FLK-TL221/dp/B008FM2XPA/ref=sr_1_21?keywords=Fluke+TLK289+Industrial+Master+Test+Lead+Set&amp;qid=1694735184&amp;sr=8-21")</f>
        <v/>
      </c>
      <c r="F7806" t="inlineStr">
        <is>
          <t>B008FM2XPA</t>
        </is>
      </c>
      <c r="G7806">
        <f>_xlfn.IMAGE("https://edmondsonsupply.com/cdn/shop/products/TLK289_1280x841px_E_NR-23772.jpg?v=1633031191")</f>
        <v/>
      </c>
      <c r="H7806">
        <f>_xlfn.IMAGE("https://m.media-amazon.com/images/I/21cU9qMCp7L._AC_UY218_.jpg")</f>
        <v/>
      </c>
      <c r="K7806" t="inlineStr">
        <is>
          <t>189.99</t>
        </is>
      </c>
      <c r="L7806" t="n">
        <v>48.29</v>
      </c>
      <c r="M7806" s="1" t="inlineStr">
        <is>
          <t>-74.58%</t>
        </is>
      </c>
      <c r="N7806" s="7" t="n"/>
      <c r="O7806" t="n">
        <v>5</v>
      </c>
      <c r="P7806" t="n">
        <v>10</v>
      </c>
      <c r="R7806" t="inlineStr">
        <is>
          <t>InStock</t>
        </is>
      </c>
      <c r="S7806" t="inlineStr">
        <is>
          <t>209.99</t>
        </is>
      </c>
      <c r="T7806" t="inlineStr">
        <is>
          <t>6927938945197</t>
        </is>
      </c>
    </row>
    <row r="7807" ht="87" customHeight="1">
      <c r="A7807" s="2">
        <f>HYPERLINK("https://edmondsonsupply.com/collections/electricians-tools/products/fluke-tplus-electrical-tester", "https://edmondsonsupply.com/collections/electricians-tools/products/fluke-tplus-electrical-tester")</f>
        <v/>
      </c>
      <c r="B7807" s="2">
        <f>HYPERLINK("https://edmondsonsupply.com/products/fluke-tplus-electrical-tester", "https://edmondsonsupply.com/products/fluke-tplus-electrical-tester")</f>
        <v/>
      </c>
      <c r="C7807" t="inlineStr">
        <is>
          <t>Fluke T+ Electrical Tester</t>
        </is>
      </c>
      <c r="D7807" t="inlineStr">
        <is>
          <t>Aenllosi Hard Carrying Case Replacement for Fluke T+PRO Electrical Tester</t>
        </is>
      </c>
      <c r="E7807" s="2">
        <f>HYPERLINK("https://www.amazon.com/Aenllosi-Carrying-Fluke-Electrical-Tester/dp/B07WZKW2NF/ref=sr_1_3?keywords=Fluke+T+Electrical+Tester&amp;qid=1694735309&amp;sr=8-3", "https://www.amazon.com/Aenllosi-Carrying-Fluke-Electrical-Tester/dp/B07WZKW2NF/ref=sr_1_3?keywords=Fluke+T+Electrical+Tester&amp;qid=1694735309&amp;sr=8-3")</f>
        <v/>
      </c>
      <c r="F7807" t="inlineStr">
        <is>
          <t>B07WZKW2NF</t>
        </is>
      </c>
      <c r="G7807">
        <f>_xlfn.IMAGE("https://edmondsonsupply.com/cdn/shop/products/tplus.jpg?v=1633030280")</f>
        <v/>
      </c>
      <c r="H7807">
        <f>_xlfn.IMAGE("https://m.media-amazon.com/images/I/61dnRHKokTL._AC_UL320_.jpg")</f>
        <v/>
      </c>
      <c r="K7807" t="inlineStr">
        <is>
          <t>94.49</t>
        </is>
      </c>
      <c r="L7807" t="n">
        <v>23.99</v>
      </c>
      <c r="M7807" s="1" t="inlineStr">
        <is>
          <t>-74.61%</t>
        </is>
      </c>
      <c r="N7807" s="7" t="n"/>
      <c r="O7807" t="n">
        <v>4.8</v>
      </c>
      <c r="P7807" t="n">
        <v>254</v>
      </c>
      <c r="R7807" t="inlineStr">
        <is>
          <t>InStock</t>
        </is>
      </c>
      <c r="S7807" t="inlineStr">
        <is>
          <t>104.99</t>
        </is>
      </c>
      <c r="T7807" t="inlineStr">
        <is>
          <t>5238397337768</t>
        </is>
      </c>
    </row>
    <row r="7808" ht="87" customHeight="1">
      <c r="A7808" s="2">
        <f>HYPERLINK("https://edmondsonsupply.com/collections/electricians-tools/products/fluke-tplus-electrical-tester", "https://edmondsonsupply.com/collections/electricians-tools/products/fluke-tplus-electrical-tester")</f>
        <v/>
      </c>
      <c r="B7808" s="2">
        <f>HYPERLINK("https://edmondsonsupply.com/products/fluke-tplus-electrical-tester", "https://edmondsonsupply.com/products/fluke-tplus-electrical-tester")</f>
        <v/>
      </c>
      <c r="C7808" t="inlineStr">
        <is>
          <t>Fluke T+ Electrical Tester</t>
        </is>
      </c>
      <c r="D7808" t="inlineStr">
        <is>
          <t>Fluke 1AC-A1-II VoltAlert Non-Contact Voltage Tester, Pocket-Sized, Voltage Detection Range 90 V to 1000 V AC, Audible Beeper, Silent Mode, Includes Batteries And 2 Year Warranty, CAT IV 1000 V Rating</t>
        </is>
      </c>
      <c r="E7808" s="2">
        <f>HYPERLINK("https://www.amazon.com/Fluke-1AC-A1-II-VoltAlert-Non-Contact-Voltage/dp/B000EJ332O/ref=sr_1_15?keywords=Fluke+T+Electrical+Tester&amp;qid=1694735309&amp;sr=8-15", "https://www.amazon.com/Fluke-1AC-A1-II-VoltAlert-Non-Contact-Voltage/dp/B000EJ332O/ref=sr_1_15?keywords=Fluke+T+Electrical+Tester&amp;qid=1694735309&amp;sr=8-15")</f>
        <v/>
      </c>
      <c r="F7808" t="inlineStr">
        <is>
          <t>B000EJ332O</t>
        </is>
      </c>
      <c r="G7808">
        <f>_xlfn.IMAGE("https://edmondsonsupply.com/cdn/shop/products/tplus.jpg?v=1633030280")</f>
        <v/>
      </c>
      <c r="H7808">
        <f>_xlfn.IMAGE("https://m.media-amazon.com/images/I/61UvsXlpIaL._AC_UL320_.jpg")</f>
        <v/>
      </c>
      <c r="K7808" t="inlineStr">
        <is>
          <t>94.49</t>
        </is>
      </c>
      <c r="L7808" t="n">
        <v>23.99</v>
      </c>
      <c r="M7808" s="1" t="inlineStr">
        <is>
          <t>-74.61%</t>
        </is>
      </c>
      <c r="N7808" s="7" t="n"/>
      <c r="O7808" t="n">
        <v>4.7</v>
      </c>
      <c r="P7808" t="n">
        <v>12082</v>
      </c>
      <c r="R7808" t="inlineStr">
        <is>
          <t>InStock</t>
        </is>
      </c>
      <c r="S7808" t="inlineStr">
        <is>
          <t>104.99</t>
        </is>
      </c>
      <c r="T7808" t="inlineStr">
        <is>
          <t>5238397337768</t>
        </is>
      </c>
    </row>
    <row r="7809" ht="87" customHeight="1">
      <c r="A7809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809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809" t="inlineStr">
        <is>
          <t>Diablo Tools DMAPL4180-P25 1/2 in. x 4 in. x 6 in. Rebar Demon™ SDS-Plus 4-Cutter Full Carbide Head Hammer Bit (25 Pack)</t>
        </is>
      </c>
      <c r="D7809" t="inlineStr">
        <is>
          <t>Diablo by Freud DMAPL4300 1 in. x 8 in. x 10 in. Rebar Demon™ SDS-Plus 4-Cutter Full Carbide Head Hammer Bit</t>
        </is>
      </c>
      <c r="E7809" s="2" t="n"/>
      <c r="F7809" t="inlineStr">
        <is>
          <t>B089LL8JD8</t>
        </is>
      </c>
      <c r="G7809">
        <f>_xlfn.IMAGE("https://edmondsonsupply.com/cdn/shop/products/DMAPL4180-P25_Additional-Images_0120200331.png?v=1633030573")</f>
        <v/>
      </c>
      <c r="H7809">
        <f>_xlfn.IMAGE("https://m.media-amazon.com/images/I/616UiJGsK1L._AC_UL320_.jpg")</f>
        <v/>
      </c>
      <c r="K7809" t="inlineStr">
        <is>
          <t>133.97</t>
        </is>
      </c>
      <c r="L7809" t="n">
        <v>33.95</v>
      </c>
      <c r="M7809" s="1" t="inlineStr">
        <is>
          <t>-74.66%</t>
        </is>
      </c>
      <c r="N7809" s="7" t="n"/>
      <c r="O7809" t="n">
        <v>4.5</v>
      </c>
      <c r="P7809" t="n">
        <v>16</v>
      </c>
      <c r="R7809" t="inlineStr">
        <is>
          <t>InStock</t>
        </is>
      </c>
      <c r="S7809" t="inlineStr">
        <is>
          <t>193.66</t>
        </is>
      </c>
      <c r="T7809" t="inlineStr">
        <is>
          <t>5524246659240</t>
        </is>
      </c>
    </row>
    <row r="7810" ht="87" customHeight="1">
      <c r="A7810" s="2">
        <f>HYPERLINK("https://edmondsonsupply.com/collections/electricians-tools/products/diablo-tools-dmamx1080", "https://edmondsonsupply.com/collections/electricians-tools/products/diablo-tools-dmamx1080")</f>
        <v/>
      </c>
      <c r="B7810" s="2">
        <f>HYPERLINK("https://edmondsonsupply.com/products/diablo-tools-dmamx1080", "https://edmondsonsupply.com/products/diablo-tools-dmamx1080")</f>
        <v/>
      </c>
      <c r="C7810" t="inlineStr">
        <is>
          <t>Diablo Tools DMAMX1080 9/16 in. x 31 in. x 36 in. Rebar Demon SDS‑Max 4‑Cutter Full Carbide Head Hammer Bit</t>
        </is>
      </c>
      <c r="D7810" t="inlineStr">
        <is>
          <t>Diablo DMAMX1050 9/16 in. x 8 in. x 13 in. Rebar Demon™ SDS-Max 4-Cutter Full Carbide Head Hammer Bit</t>
        </is>
      </c>
      <c r="E7810" s="2">
        <f>HYPERLINK("https://www.amazon.com/Diablo-SDS-Max-4-Cutter-Carbide-Hammer/dp/B089LK4F2D/ref=sr_1_1?keywords=Diablo+Tools+DMAMX1080+9%2F16+in.+x+31+in.+x+36+in.+Rebar+Demon+SDS%E2%80%91Max+4%E2%80%91Cutter+Full+Carbide+Head+Hammer+Bit&amp;qid=1694735287&amp;sr=8-1", "https://www.amazon.com/Diablo-SDS-Max-4-Cutter-Carbide-Hammer/dp/B089LK4F2D/ref=sr_1_1?keywords=Diablo+Tools+DMAMX1080+9%2F16+in.+x+31+in.+x+36+in.+Rebar+Demon+SDS%E2%80%91Max+4%E2%80%91Cutter+Full+Carbide+Head+Hammer+Bit&amp;qid=1694735287&amp;sr=8-1")</f>
        <v/>
      </c>
      <c r="F7810" t="inlineStr">
        <is>
          <t>B089LK4F2D</t>
        </is>
      </c>
      <c r="G7810">
        <f>_xlfn.IMAGE("https://edmondsonsupply.com/cdn/shop/products/DMAMX1080_Main-Image20200701.png?v=1609799094")</f>
        <v/>
      </c>
      <c r="H7810">
        <f>_xlfn.IMAGE("https://m.media-amazon.com/images/I/61jYhd4-UbL._AC_UL320_.jpg")</f>
        <v/>
      </c>
      <c r="K7810" t="inlineStr">
        <is>
          <t>82.97</t>
        </is>
      </c>
      <c r="L7810" t="n">
        <v>20.99</v>
      </c>
      <c r="M7810" s="1" t="inlineStr">
        <is>
          <t>-74.70%</t>
        </is>
      </c>
      <c r="N7810" s="7" t="n"/>
      <c r="O7810" t="n">
        <v>5</v>
      </c>
      <c r="P7810" t="n">
        <v>1</v>
      </c>
      <c r="R7810" t="inlineStr">
        <is>
          <t>InStock</t>
        </is>
      </c>
      <c r="S7810" t="inlineStr">
        <is>
          <t>101.36</t>
        </is>
      </c>
      <c r="T7810" t="inlineStr">
        <is>
          <t>5369223053480</t>
        </is>
      </c>
    </row>
    <row r="7811" ht="87" customHeight="1">
      <c r="A7811" s="2">
        <f>HYPERLINK("https://edmondsonsupply.com/collections/electricians-tools/products/rack-a-tiers-11655-the-x-dispenser", "https://edmondsonsupply.com/collections/electricians-tools/products/rack-a-tiers-11655-the-x-dispenser")</f>
        <v/>
      </c>
      <c r="B7811" s="2">
        <f>HYPERLINK("https://edmondsonsupply.com/products/rack-a-tiers-11655-the-x-dispenser", "https://edmondsonsupply.com/products/rack-a-tiers-11655-the-x-dispenser")</f>
        <v/>
      </c>
      <c r="C7811" t="inlineStr">
        <is>
          <t>Rack-A-Tiers 11655 The X-Dispenser</t>
        </is>
      </c>
      <c r="D7811" t="inlineStr">
        <is>
          <t>Rack-A-Tiers 11555 The Stick - Stud Mounted Dispenser</t>
        </is>
      </c>
      <c r="E7811" s="2">
        <f>HYPERLINK("https://www.amazon.com/Rack-Tiers-11555-Stick-Dispenser/dp/B0137UTGVS/ref=sr_1_7?keywords=Rack-A-Tiers+11655+The+X-Dispenser&amp;qid=1694734976&amp;sr=8-7", "https://www.amazon.com/Rack-Tiers-11555-Stick-Dispenser/dp/B0137UTGVS/ref=sr_1_7?keywords=Rack-A-Tiers+11655+The+X-Dispenser&amp;qid=1694734976&amp;sr=8-7")</f>
        <v/>
      </c>
      <c r="F7811" t="inlineStr">
        <is>
          <t>B0137UTGVS</t>
        </is>
      </c>
      <c r="G7811">
        <f>_xlfn.IMAGE("https://edmondsonsupply.com/cdn/shop/products/11655-X-Dispenser-5.png?v=1633031067")</f>
        <v/>
      </c>
      <c r="H7811">
        <f>_xlfn.IMAGE("https://m.media-amazon.com/images/I/316QnRfc9XL._AC_UL320_.jpg")</f>
        <v/>
      </c>
      <c r="K7811" t="inlineStr">
        <is>
          <t>175.89</t>
        </is>
      </c>
      <c r="L7811" t="n">
        <v>44.49</v>
      </c>
      <c r="M7811" s="1" t="inlineStr">
        <is>
          <t>-74.71%</t>
        </is>
      </c>
      <c r="N7811" s="7" t="n"/>
      <c r="O7811" t="n">
        <v>4.5</v>
      </c>
      <c r="P7811" t="n">
        <v>22</v>
      </c>
      <c r="R7811" t="inlineStr">
        <is>
          <t>InStock</t>
        </is>
      </c>
      <c r="S7811" t="inlineStr">
        <is>
          <t>188.49</t>
        </is>
      </c>
      <c r="T7811" t="inlineStr">
        <is>
          <t>6825695510701</t>
        </is>
      </c>
    </row>
    <row r="7812" ht="87" customHeight="1">
      <c r="A7812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812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812" t="inlineStr">
        <is>
          <t>Milwaukee 48-11-2412 M12 REDLITHIUM™ XC Battery Two Pack</t>
        </is>
      </c>
      <c r="D7812" t="inlineStr">
        <is>
          <t>Yongcell 2-Pack 12V 6.0Ah M12 Battery Replacement for Milwaukee 12-Volt M12 Lithium XC 6.0Ah Extended Capacity Cordless Power Tools Battery 48-11-2460 48-11-2440 48-11-2402 48-11-2411</t>
        </is>
      </c>
      <c r="E7812" s="2">
        <f>HYPERLINK("https://www.amazon.com/Yongcell-Replacement-48-11-2460-48-11-2440-48-11-2402/dp/B093L9ZWCS/ref=sr_1_21?keywords=Milwaukee+48-11-2412+M12+REDLITHIUM%E2%84%A2+XC+Battery+Two+Pack&amp;qid=1694735150&amp;sr=8-21", "https://www.amazon.com/Yongcell-Replacement-48-11-2460-48-11-2440-48-11-2402/dp/B093L9ZWCS/ref=sr_1_21?keywords=Milwaukee+48-11-2412+M12+REDLITHIUM%E2%84%A2+XC+Battery+Two+Pack&amp;qid=1694735150&amp;sr=8-21")</f>
        <v/>
      </c>
      <c r="F7812" t="inlineStr">
        <is>
          <t>B093L9ZWCS</t>
        </is>
      </c>
      <c r="G7812">
        <f>_xlfn.IMAGE("https://edmondsonsupply.com/cdn/shop/products/48-11-2412.jpg?v=1654795924")</f>
        <v/>
      </c>
      <c r="H7812">
        <f>_xlfn.IMAGE("https://m.media-amazon.com/images/I/71BQqHmVNoS._AC_UL320_.jpg")</f>
        <v/>
      </c>
      <c r="K7812" t="inlineStr">
        <is>
          <t>129.0</t>
        </is>
      </c>
      <c r="L7812" t="n">
        <v>32.38</v>
      </c>
      <c r="M7812" s="1" t="inlineStr">
        <is>
          <t>-74.90%</t>
        </is>
      </c>
      <c r="N7812" s="7" t="n"/>
      <c r="O7812" t="n">
        <v>4.5</v>
      </c>
      <c r="P7812" t="n">
        <v>130</v>
      </c>
      <c r="R7812" t="inlineStr">
        <is>
          <t>InStock</t>
        </is>
      </c>
      <c r="S7812" t="inlineStr">
        <is>
          <t>217.0</t>
        </is>
      </c>
      <c r="T7812" t="inlineStr">
        <is>
          <t>7711224168664</t>
        </is>
      </c>
    </row>
    <row r="7813" hidden="1" ht="15.75" customHeight="1">
      <c r="A7813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813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813" t="inlineStr">
        <is>
          <t>Diablo Tools DMAPL9920-S7 7pc Rebar Demon™ SDS-Plus 4-Cutter Full Carbide Head Hammer Bit Set</t>
        </is>
      </c>
      <c r="D7813" t="inlineStr">
        <is>
          <t>Diablo 1/2" x 4"x6" Rebar Demon™ SDS-Plus 4-Cutter Full Carbide Head Hammer Bit</t>
        </is>
      </c>
      <c r="E7813" s="2">
        <f>HYPERLINK("https://www.amazon.com/Diablo-Freud-DMAPL4180-SDS-Plus-4-Cutter/dp/B089KW9PV4/ref=sr_1_12?keywords=Diablo+Tools+DMAPL9920-S7+7pc+Rebar+Demon%E2%84%A2+SDS-Plus+4-Cutter+Full+Carbide+Head+Hammer+Bit+Set&amp;qid=1694735019&amp;sr=8-12", "https://www.amazon.com/Diablo-Freud-DMAPL4180-SDS-Plus-4-Cutter/dp/B089KW9PV4/ref=sr_1_12?keywords=Diablo+Tools+DMAPL9920-S7+7pc+Rebar+Demon%E2%84%A2+SDS-Plus+4-Cutter+Full+Carbide+Head+Hammer+Bit+Set&amp;qid=1694735019&amp;sr=8-12")</f>
        <v/>
      </c>
      <c r="F7813" t="inlineStr">
        <is>
          <t>B089KW9PV4</t>
        </is>
      </c>
      <c r="G7813">
        <f>_xludf.IMAGE("https://edmondsonsupply.com/cdn/shop/products/vgtm2xrrra4yfevsszgf.webp?v=1679328619")</f>
        <v/>
      </c>
      <c r="H7813">
        <f>_xludf.IMAGE("https://m.media-amazon.com/images/I/61q9iw+mKpL._AC_UL320_.jpg")</f>
        <v/>
      </c>
      <c r="K7813" t="inlineStr">
        <is>
          <t>37.97</t>
        </is>
      </c>
      <c r="L7813" t="n">
        <v>9.49</v>
      </c>
      <c r="M7813" s="1" t="inlineStr">
        <is>
          <t>-75.01%</t>
        </is>
      </c>
      <c r="N7813" s="1" t="n"/>
      <c r="O7813" t="n">
        <v>4.5</v>
      </c>
      <c r="P7813" t="n">
        <v>57</v>
      </c>
      <c r="R7813" t="inlineStr">
        <is>
          <t>InStock</t>
        </is>
      </c>
      <c r="S7813" t="inlineStr">
        <is>
          <t>55.56</t>
        </is>
      </c>
      <c r="T7813" t="inlineStr">
        <is>
          <t>7964936995032</t>
        </is>
      </c>
    </row>
    <row r="7814" hidden="1" ht="15.75" customHeight="1">
      <c r="A7814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814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814" t="inlineStr">
        <is>
          <t>Klein Tools NCVT-2P Dual Range Non-Contact Voltage Tester 12 - 1000V AC</t>
        </is>
      </c>
      <c r="D7814" t="inlineStr">
        <is>
          <t>Binval Voltage Tester Non-Contact Voltage Tester with Dual Range AC 12V/48V-1000V Electrical Tester with LCD Display Wire Breakpoint Finder Live Wire Tester with Buzzer Alarm and Flashligh</t>
        </is>
      </c>
      <c r="E7814" s="2">
        <f>HYPERLINK("https://www.amazon.com/Binval-Non-Contact-48V-1000V-Electrical-Breakpoint/dp/B0B8J45S13/ref=sr_1_7?keywords=Klein+Tools+NCVT-2P+Dual+Range+Non-Contact+Voltage+Tester+12+-+1000V+AC&amp;qid=1694735236&amp;sr=8-7", "https://www.amazon.com/Binval-Non-Contact-48V-1000V-Electrical-Breakpoint/dp/B0B8J45S13/ref=sr_1_7?keywords=Klein+Tools+NCVT-2P+Dual+Range+Non-Contact+Voltage+Tester+12+-+1000V+AC&amp;qid=1694735236&amp;sr=8-7")</f>
        <v/>
      </c>
      <c r="F7814" t="inlineStr">
        <is>
          <t>B0B8J45S13</t>
        </is>
      </c>
      <c r="G7814">
        <f>_xludf.IMAGE("https://edmondsonsupply.com/cdn/shop/products/ncvt2p.jpg?v=1633030824")</f>
        <v/>
      </c>
      <c r="H7814">
        <f>_xludf.IMAGE("https://m.media-amazon.com/images/I/61hnJLfbVwL._AC_UL320_.jpg")</f>
        <v/>
      </c>
      <c r="K7814" t="inlineStr">
        <is>
          <t>27.97</t>
        </is>
      </c>
      <c r="L7814" t="n">
        <v>6.99</v>
      </c>
      <c r="M7814" s="1" t="inlineStr">
        <is>
          <t>-75.01%</t>
        </is>
      </c>
      <c r="N7814" s="1" t="n"/>
      <c r="O7814" t="n">
        <v>4.5</v>
      </c>
      <c r="P7814" t="n">
        <v>21</v>
      </c>
      <c r="R7814" t="inlineStr">
        <is>
          <t>InStock</t>
        </is>
      </c>
      <c r="S7814" t="inlineStr">
        <is>
          <t>35.76</t>
        </is>
      </c>
      <c r="T7814" t="inlineStr">
        <is>
          <t>6080875626669</t>
        </is>
      </c>
    </row>
    <row r="7815" hidden="1" ht="15.75" customHeight="1">
      <c r="A7815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7815" s="2">
        <f>HYPERLINK("https://edmondsonsupply.com/products/klein-tools-51608-1-2-inch-iron-conduit-bender-head", "https://edmondsonsupply.com/products/klein-tools-51608-1-2-inch-iron-conduit-bender-head")</f>
        <v/>
      </c>
      <c r="C7815" t="inlineStr">
        <is>
          <t>Klein Tools 51608 1/2-inch Iron Conduit Bender Head</t>
        </is>
      </c>
      <c r="D7815" t="inlineStr">
        <is>
          <t>Klein Tools 51611 Conduit Bender 1/2-Inch Angle Setter, For Use With Klein Tools Conduit Benders (Cat Nos. 51606 and 51603)</t>
        </is>
      </c>
      <c r="E7815" s="2">
        <f>HYPERLINK("https://www.amazon.com/Klein-Tools-51611-Conduit-Benders/dp/B08L5J5TRQ/ref=sr_1_4?keywords=Klein+Tools+51608+1%2F2-inch+Iron+Conduit+Bender+Head&amp;qid=1694735173&amp;sr=8-4", "https://www.amazon.com/Klein-Tools-51611-Conduit-Benders/dp/B08L5J5TRQ/ref=sr_1_4?keywords=Klein+Tools+51608+1%2F2-inch+Iron+Conduit+Bender+Head&amp;qid=1694735173&amp;sr=8-4")</f>
        <v/>
      </c>
      <c r="F7815" t="inlineStr">
        <is>
          <t>B08L5J5TRQ</t>
        </is>
      </c>
      <c r="G7815">
        <f>_xludf.IMAGE("https://edmondsonsupply.com/cdn/shop/products/51608.jpg?v=1643679335")</f>
        <v/>
      </c>
      <c r="H7815">
        <f>_xludf.IMAGE("https://m.media-amazon.com/images/I/51VnnTm4FKL._AC_UL320_.jpg")</f>
        <v/>
      </c>
      <c r="K7815" t="inlineStr">
        <is>
          <t>39.99</t>
        </is>
      </c>
      <c r="L7815" t="n">
        <v>9.970000000000001</v>
      </c>
      <c r="M7815" s="1" t="inlineStr">
        <is>
          <t>-75.07%</t>
        </is>
      </c>
      <c r="N7815" s="1" t="n"/>
      <c r="O7815" t="n">
        <v>4.4</v>
      </c>
      <c r="P7815" t="n">
        <v>67</v>
      </c>
      <c r="R7815" t="inlineStr">
        <is>
          <t>InStock</t>
        </is>
      </c>
      <c r="S7815" t="inlineStr">
        <is>
          <t>60.66</t>
        </is>
      </c>
      <c r="T7815" t="inlineStr">
        <is>
          <t>7597417693400</t>
        </is>
      </c>
    </row>
    <row r="7816" ht="87" customHeight="1">
      <c r="A7816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816" s="2">
        <f>HYPERLINK("https://edmondsonsupply.com/products/klein-tools-nrhd4-4-in-1-square-impact-socket", "https://edmondsonsupply.com/products/klein-tools-nrhd4-4-in-1-square-impact-socket")</f>
        <v/>
      </c>
      <c r="C7816" t="inlineStr">
        <is>
          <t>Klein Tools NRHD4 4-in-1 Square Impact Socket</t>
        </is>
      </c>
      <c r="D7816" t="inlineStr">
        <is>
          <t>Impact Driver, 7-in-1 Impact Flip Socket Set &amp; 14-in-1 Adjustable Screwdriver with Flip Socket, HVAC Nut Drivers and Bits, Impact Rated Klein Tools 32304</t>
        </is>
      </c>
      <c r="E7816" s="2">
        <f>HYPERLINK("https://www.amazon.com/Adjustable-Screwdriver-Drivers-Klein-Tools/dp/B09Y84RPSB/ref=sr_1_5?keywords=Klein+Tools+NRHD4+4-in-1+Square+Impact+Socket&amp;qid=1694735425&amp;sr=8-5", "https://www.amazon.com/Adjustable-Screwdriver-Drivers-Klein-Tools/dp/B09Y84RPSB/ref=sr_1_5?keywords=Klein+Tools+NRHD4+4-in-1+Square+Impact+Socket&amp;qid=1694735425&amp;sr=8-5")</f>
        <v/>
      </c>
      <c r="F7816" t="inlineStr">
        <is>
          <t>B09Y84RPSB</t>
        </is>
      </c>
      <c r="G7816">
        <f>_xlfn.IMAGE("https://edmondsonsupply.com/cdn/shop/products/nrhd4.jpg?v=1587150980")</f>
        <v/>
      </c>
      <c r="H7816">
        <f>_xlfn.IMAGE("https://m.media-amazon.com/images/I/41KTNungRUL._AC_UL320_.jpg")</f>
        <v/>
      </c>
      <c r="K7816" t="inlineStr">
        <is>
          <t>179.99</t>
        </is>
      </c>
      <c r="L7816" t="n">
        <v>44.76</v>
      </c>
      <c r="M7816" s="1" t="inlineStr">
        <is>
          <t>-75.13%</t>
        </is>
      </c>
      <c r="N7816" s="7" t="n"/>
      <c r="O7816" t="n">
        <v>4.8</v>
      </c>
      <c r="P7816" t="n">
        <v>87</v>
      </c>
      <c r="R7816" t="inlineStr">
        <is>
          <t>InStock</t>
        </is>
      </c>
      <c r="S7816" t="inlineStr">
        <is>
          <t>291.34</t>
        </is>
      </c>
      <c r="T7816" t="inlineStr">
        <is>
          <t>4396986433636</t>
        </is>
      </c>
    </row>
    <row r="7817" ht="87" customHeight="1">
      <c r="A7817" s="2">
        <f>HYPERLINK("https://edmondsonsupply.com/collections/electricians-tools/products/hilmor-1839075-lhsm7pc-6-magnetic-tip-nut-driver-7-piece-set", "https://edmondsonsupply.com/collections/electricians-tools/products/hilmor-1839075-lhsm7pc-6-magnetic-tip-nut-driver-7-piece-set")</f>
        <v/>
      </c>
      <c r="B7817" s="2">
        <f>HYPERLINK("https://edmondsonsupply.com/products/hilmor-1839075-lhsm7pc-6-magnetic-tip-nut-driver-7-piece-set", "https://edmondsonsupply.com/products/hilmor-1839075-lhsm7pc-6-magnetic-tip-nut-driver-7-piece-set")</f>
        <v/>
      </c>
      <c r="C7817" t="inlineStr">
        <is>
          <t>Hilmor 1839075 LHSM7PC 6" Shaft Magnetic Nut-Drivers, 7-Piece Set</t>
        </is>
      </c>
      <c r="D7817" t="inlineStr">
        <is>
          <t>Hilmor 1-1/2" Shaft Magnetic Nut Driver 2 Piece Set, 1/4" &amp; 5/16", 1839057</t>
        </is>
      </c>
      <c r="E7817" s="2">
        <f>HYPERLINK("https://www.amazon.com/hilmor-1839057-Shaft-Magnetic-Driver/dp/B00KUURVVG/ref=sr_1_17?keywords=Hilmor+1839075+LHSM7PC+6%22+Shaft+Magnetic+Nut-Drivers%2C+7-Piece+Set&amp;qid=1694735326&amp;sr=8-17", "https://www.amazon.com/hilmor-1839057-Shaft-Magnetic-Driver/dp/B00KUURVVG/ref=sr_1_17?keywords=Hilmor+1839075+LHSM7PC+6%22+Shaft+Magnetic+Nut-Drivers%2C+7-Piece+Set&amp;qid=1694735326&amp;sr=8-17")</f>
        <v/>
      </c>
      <c r="F7817" t="inlineStr">
        <is>
          <t>B00KUURVVG</t>
        </is>
      </c>
      <c r="G7817">
        <f>_xlfn.IMAGE("https://edmondsonsupply.com/cdn/shop/products/HIL_1839075_aa9ed3f7-8d07-42b9-ad60-559a99ed8e20.jpg?v=1587144133")</f>
        <v/>
      </c>
      <c r="H7817">
        <f>_xlfn.IMAGE("https://m.media-amazon.com/images/I/71dCfc2m6xL._AC_UL320_.jpg")</f>
        <v/>
      </c>
      <c r="K7817" t="inlineStr">
        <is>
          <t>71.99</t>
        </is>
      </c>
      <c r="L7817" t="n">
        <v>17.8</v>
      </c>
      <c r="M7817" s="1" t="inlineStr">
        <is>
          <t>-75.27%</t>
        </is>
      </c>
      <c r="N7817" s="7" t="n"/>
      <c r="O7817" t="n">
        <v>4.9</v>
      </c>
      <c r="P7817" t="n">
        <v>15</v>
      </c>
      <c r="R7817" t="inlineStr">
        <is>
          <t>InStock</t>
        </is>
      </c>
      <c r="S7817" t="inlineStr">
        <is>
          <t>undefined</t>
        </is>
      </c>
      <c r="T7817" t="inlineStr">
        <is>
          <t>2109815980132</t>
        </is>
      </c>
    </row>
    <row r="7818" ht="87" customHeight="1">
      <c r="A7818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818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818" t="inlineStr">
        <is>
          <t>Milwaukee 48-11-2411 M12 REDLITHIUM™ Compact Battery Two Pack</t>
        </is>
      </c>
      <c r="D7818" t="inlineStr">
        <is>
          <t>DTK 3.2Ah 12V Replacement Battery for Milwaukee M12 Battery 48-11-2411 48-11-2420 48-11-2401 48-11-2402 Compatible with Milwaukee M12 Cordless Tools Lithium ion Batteries 2 Pack</t>
        </is>
      </c>
      <c r="E7818" s="2">
        <f>HYPERLINK("https://www.amazon.com/DTK-Lithium-ion-Replacement-Compatible-48-11-2411/dp/B07MLZCK5S/ref=sr_1_10?keywords=Milwaukee+48-11-2411+M12+REDLITHIUM%E2%84%A2+Compact+Battery+Two+Pack&amp;qid=1694735145&amp;sr=8-10", "https://www.amazon.com/DTK-Lithium-ion-Replacement-Compatible-48-11-2411/dp/B07MLZCK5S/ref=sr_1_10?keywords=Milwaukee+48-11-2411+M12+REDLITHIUM%E2%84%A2+Compact+Battery+Two+Pack&amp;qid=1694735145&amp;sr=8-10")</f>
        <v/>
      </c>
      <c r="F7818" t="inlineStr">
        <is>
          <t>B07MLZCK5S</t>
        </is>
      </c>
      <c r="G7818">
        <f>_xlfn.IMAGE("https://edmondsonsupply.com/cdn/shop/products/65014_48-11-2411-lg.jpg?v=1655484824")</f>
        <v/>
      </c>
      <c r="H7818">
        <f>_xlfn.IMAGE("https://m.media-amazon.com/images/I/71rJx4pnk9L._AC_UL320_.jpg")</f>
        <v/>
      </c>
      <c r="K7818" t="inlineStr">
        <is>
          <t>89.0</t>
        </is>
      </c>
      <c r="L7818" t="n">
        <v>21.99</v>
      </c>
      <c r="M7818" s="1" t="inlineStr">
        <is>
          <t>-75.29%</t>
        </is>
      </c>
      <c r="N7818" s="7" t="n"/>
      <c r="O7818" t="n">
        <v>4.2</v>
      </c>
      <c r="P7818" t="n">
        <v>73</v>
      </c>
      <c r="R7818" t="inlineStr">
        <is>
          <t>OutOfStock</t>
        </is>
      </c>
      <c r="S7818" t="inlineStr">
        <is>
          <t>150.0</t>
        </is>
      </c>
      <c r="T7818" t="inlineStr">
        <is>
          <t>7721456795864</t>
        </is>
      </c>
    </row>
    <row r="7819" ht="87" customHeight="1">
      <c r="A7819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819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819" t="inlineStr">
        <is>
          <t>Milwaukee 48-11-2411 M12 REDLITHIUM™ Compact Battery Two Pack</t>
        </is>
      </c>
      <c r="D7819" t="inlineStr">
        <is>
          <t>Bdreer 2 Pack 3000mAh 12V Lithium Ion Replacement Battery Compatible with Milwaukee M12 Battery 48-11-2401 48-11-2402 48-11-2411 48-11-2420 12-Volt Cordless Tools</t>
        </is>
      </c>
      <c r="E7819" s="2">
        <f>HYPERLINK("https://www.amazon.com/Bdreer-Replacement-Compatible-48-11-2401-48-11-2402/dp/B09ZRX9WBR/ref=sr_1_20?keywords=Milwaukee+48-11-2411+M12+REDLITHIUM%E2%84%A2+Compact+Battery+Two+Pack&amp;qid=1694735145&amp;sr=8-20", "https://www.amazon.com/Bdreer-Replacement-Compatible-48-11-2401-48-11-2402/dp/B09ZRX9WBR/ref=sr_1_20?keywords=Milwaukee+48-11-2411+M12+REDLITHIUM%E2%84%A2+Compact+Battery+Two+Pack&amp;qid=1694735145&amp;sr=8-20")</f>
        <v/>
      </c>
      <c r="F7819" t="inlineStr">
        <is>
          <t>B09ZRX9WBR</t>
        </is>
      </c>
      <c r="G7819">
        <f>_xlfn.IMAGE("https://edmondsonsupply.com/cdn/shop/products/65014_48-11-2411-lg.jpg?v=1655484824")</f>
        <v/>
      </c>
      <c r="H7819">
        <f>_xlfn.IMAGE("https://m.media-amazon.com/images/I/71DGm0X+nmL._AC_UL320_.jpg")</f>
        <v/>
      </c>
      <c r="K7819" t="inlineStr">
        <is>
          <t>89.0</t>
        </is>
      </c>
      <c r="L7819" t="n">
        <v>21.99</v>
      </c>
      <c r="M7819" s="1" t="inlineStr">
        <is>
          <t>-75.29%</t>
        </is>
      </c>
      <c r="N7819" s="7" t="n"/>
      <c r="O7819" t="n">
        <v>4.6</v>
      </c>
      <c r="P7819" t="n">
        <v>648</v>
      </c>
      <c r="R7819" t="inlineStr">
        <is>
          <t>OutOfStock</t>
        </is>
      </c>
      <c r="S7819" t="inlineStr">
        <is>
          <t>150.0</t>
        </is>
      </c>
      <c r="T7819" t="inlineStr">
        <is>
          <t>7721456795864</t>
        </is>
      </c>
    </row>
    <row r="7820" hidden="1" ht="15.75" customHeight="1">
      <c r="A7820" s="2">
        <f>HYPERLINK("https://edmondsonsupply.com/collections/electricians-tools/products/diablo-tools-dmapl2380-9-16-in-x-10-in-x-12-in-sds-plus-2-cutter", "https://edmondsonsupply.com/collections/electricians-tools/products/diablo-tools-dmapl2380-9-16-in-x-10-in-x-12-in-sds-plus-2-cutter")</f>
        <v/>
      </c>
      <c r="B7820" s="2">
        <f>HYPERLINK("https://edmondsonsupply.com/products/diablo-tools-dmapl2380-9-16-in-x-10-in-x-12-in-sds-plus-2-cutter", "https://edmondsonsupply.com/products/diablo-tools-dmapl2380-9-16-in-x-10-in-x-12-in-sds-plus-2-cutter")</f>
        <v/>
      </c>
      <c r="C7820" t="inlineStr">
        <is>
          <t>Diablo Tools DMAPL2380 9/16 in. x 10 in. x 12 in. SDS-Plus 2-Cutter</t>
        </is>
      </c>
      <c r="D7820" t="inlineStr">
        <is>
          <t>BOSCH HC2094 9/16 In. x 10 In. x 12 In. Bulldog SDS-Plus Rotary Hammer Bit</t>
        </is>
      </c>
      <c r="E7820" s="2">
        <f>HYPERLINK("https://www.amazon.com/Bosch-HC2094-SDS-plus-Bulldog-Rotary/dp/B001AHOV6G/ref=sr_1_7?keywords=Diablo+Tools+DMAPL2380+9%2F16+in.+x+10+in.+x+12+in.+SDS-Plus+2-Cutter&amp;qid=1694735296&amp;sr=8-7", "https://www.amazon.com/Bosch-HC2094-SDS-plus-Bulldog-Rotary/dp/B001AHOV6G/ref=sr_1_7?keywords=Diablo+Tools+DMAPL2380+9%2F16+in.+x+10+in.+x+12+in.+SDS-Plus+2-Cutter&amp;qid=1694735296&amp;sr=8-7")</f>
        <v/>
      </c>
      <c r="F7820" t="inlineStr">
        <is>
          <t>B001AHOV6G</t>
        </is>
      </c>
      <c r="G7820">
        <f>_xludf.IMAGE("https://edmondsonsupply.com/cdn/shop/products/pn8n58bx2f87ihetrrnf.webp?v=1670435143")</f>
        <v/>
      </c>
      <c r="H7820">
        <f>_xludf.IMAGE("https://m.media-amazon.com/images/I/61z+KaAB+XL._AC_UL320_.jpg")</f>
        <v/>
      </c>
      <c r="K7820" t="inlineStr">
        <is>
          <t>14.99</t>
        </is>
      </c>
      <c r="L7820" t="n">
        <v>3.7</v>
      </c>
      <c r="M7820" s="1" t="inlineStr">
        <is>
          <t>-75.32%</t>
        </is>
      </c>
      <c r="N7820" s="1" t="n"/>
      <c r="O7820" t="n">
        <v>4.7</v>
      </c>
      <c r="P7820" t="n">
        <v>9679</v>
      </c>
      <c r="R7820" t="inlineStr">
        <is>
          <t>InStock</t>
        </is>
      </c>
      <c r="S7820" t="inlineStr">
        <is>
          <t>21.48</t>
        </is>
      </c>
      <c r="T7820" t="inlineStr">
        <is>
          <t>5286298222760</t>
        </is>
      </c>
    </row>
    <row r="7821" hidden="1" ht="15.75" customHeight="1">
      <c r="A7821" s="2">
        <f>HYPERLINK("https://edmondsonsupply.com/collections/electricians-tools/products/klein-tools-ncvt-2p-dual-range-non-contact-voltage-tester-12-1000v-ac", "https://edmondsonsupply.com/collections/electricians-tools/products/klein-tools-ncvt-2p-dual-range-non-contact-voltage-tester-12-1000v-ac")</f>
        <v/>
      </c>
      <c r="B7821" s="2">
        <f>HYPERLINK("https://edmondsonsupply.com/products/klein-tools-ncvt-2p-dual-range-non-contact-voltage-tester-12-1000v-ac", "https://edmondsonsupply.com/products/klein-tools-ncvt-2p-dual-range-non-contact-voltage-tester-12-1000v-ac")</f>
        <v/>
      </c>
      <c r="C7821" t="inlineStr">
        <is>
          <t>Klein Tools NCVT-2P Dual Range Non-Contact Voltage Tester 12 - 1000V AC</t>
        </is>
      </c>
      <c r="D7821" t="inlineStr">
        <is>
          <t>Non-Contact Voltage Tester, Dual Range AC Voltage Tester 12V/48V-1000V with Flashlight &amp; Buzzer Alarm, Electrical Tester for Live/Null Wire Judgment &amp; Breakpoint Finder</t>
        </is>
      </c>
      <c r="E7821" s="2">
        <f>HYPERLINK("https://www.amazon.com/Non-Contact-48V-1000V-Flashlight-Electrical-Breakpoint/dp/B0B2JG9C9B/ref=sr_1_25?keywords=Klein+Tools+NCVT-2P+Dual+Range+Non-Contact+Voltage+Tester+12+-+1000V+AC&amp;qid=1694735236&amp;sr=8-25", "https://www.amazon.com/Non-Contact-48V-1000V-Flashlight-Electrical-Breakpoint/dp/B0B2JG9C9B/ref=sr_1_25?keywords=Klein+Tools+NCVT-2P+Dual+Range+Non-Contact+Voltage+Tester+12+-+1000V+AC&amp;qid=1694735236&amp;sr=8-25")</f>
        <v/>
      </c>
      <c r="F7821" t="inlineStr">
        <is>
          <t>B0B2JG9C9B</t>
        </is>
      </c>
      <c r="G7821">
        <f>_xludf.IMAGE("https://edmondsonsupply.com/cdn/shop/products/ncvt2p.jpg?v=1633030824")</f>
        <v/>
      </c>
      <c r="H7821">
        <f>_xludf.IMAGE("https://m.media-amazon.com/images/I/61rgAeF5R8L._AC_UL320_.jpg")</f>
        <v/>
      </c>
      <c r="K7821" t="inlineStr">
        <is>
          <t>27.97</t>
        </is>
      </c>
      <c r="L7821" t="n">
        <v>6.9</v>
      </c>
      <c r="M7821" s="1" t="inlineStr">
        <is>
          <t>-75.33%</t>
        </is>
      </c>
      <c r="N7821" s="1" t="n"/>
      <c r="O7821" t="n">
        <v>2.7</v>
      </c>
      <c r="P7821" t="n">
        <v>26</v>
      </c>
      <c r="R7821" t="inlineStr">
        <is>
          <t>InStock</t>
        </is>
      </c>
      <c r="S7821" t="inlineStr">
        <is>
          <t>35.76</t>
        </is>
      </c>
      <c r="T7821" t="inlineStr">
        <is>
          <t>6080875626669</t>
        </is>
      </c>
    </row>
    <row r="7822" hidden="1" ht="15.75" customHeight="1">
      <c r="A7822" s="2">
        <f>HYPERLINK("https://edmondsonsupply.com/collections/electricians-tools/products/klein-tools-51608-1-2-inch-iron-conduit-bender-head", "https://edmondsonsupply.com/collections/electricians-tools/products/klein-tools-51608-1-2-inch-iron-conduit-bender-head")</f>
        <v/>
      </c>
      <c r="B7822" s="2">
        <f>HYPERLINK("https://edmondsonsupply.com/products/klein-tools-51608-1-2-inch-iron-conduit-bender-head", "https://edmondsonsupply.com/products/klein-tools-51608-1-2-inch-iron-conduit-bender-head")</f>
        <v/>
      </c>
      <c r="C7822" t="inlineStr">
        <is>
          <t>Klein Tools 51608 1/2-inch Iron Conduit Bender Head</t>
        </is>
      </c>
      <c r="D7822" t="inlineStr">
        <is>
          <t>Klein Tools 51612 Conduit Bender 3/4-Inch Angle Setter, For Use With Klein Tools Conduit Benders (Cat Nos. 51607 and 51604)</t>
        </is>
      </c>
      <c r="E7822" s="2">
        <f>HYPERLINK("https://www.amazon.com/Klein-Tools-51612-Conduit-Benders/dp/B08L5JZM97/ref=sr_1_18?keywords=Klein+Tools+51608+1%2F2-inch+Iron+Conduit+Bender+Head&amp;qid=1694735173&amp;sr=8-18", "https://www.amazon.com/Klein-Tools-51612-Conduit-Benders/dp/B08L5JZM97/ref=sr_1_18?keywords=Klein+Tools+51608+1%2F2-inch+Iron+Conduit+Bender+Head&amp;qid=1694735173&amp;sr=8-18")</f>
        <v/>
      </c>
      <c r="F7822" t="inlineStr">
        <is>
          <t>B08L5JZM97</t>
        </is>
      </c>
      <c r="G7822">
        <f>_xludf.IMAGE("https://edmondsonsupply.com/cdn/shop/products/51608.jpg?v=1643679335")</f>
        <v/>
      </c>
      <c r="H7822">
        <f>_xludf.IMAGE("https://m.media-amazon.com/images/I/51x8cPtPWrL._AC_UL320_.jpg")</f>
        <v/>
      </c>
      <c r="K7822" t="inlineStr">
        <is>
          <t>39.99</t>
        </is>
      </c>
      <c r="L7822" t="n">
        <v>9.82</v>
      </c>
      <c r="M7822" s="1" t="inlineStr">
        <is>
          <t>-75.44%</t>
        </is>
      </c>
      <c r="N7822" s="1" t="n"/>
      <c r="O7822" t="n">
        <v>4.2</v>
      </c>
      <c r="P7822" t="n">
        <v>96</v>
      </c>
      <c r="R7822" t="inlineStr">
        <is>
          <t>InStock</t>
        </is>
      </c>
      <c r="S7822" t="inlineStr">
        <is>
          <t>60.66</t>
        </is>
      </c>
      <c r="T7822" t="inlineStr">
        <is>
          <t>7597417693400</t>
        </is>
      </c>
    </row>
    <row r="7823" ht="87" customHeight="1">
      <c r="A7823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823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823" t="inlineStr">
        <is>
          <t>Diablo Tools DMAMX1360 1-1/2 in. x 16 in. x 21 in. Rebar Demon™ SDS-Max 4-Cutter Carbide-Tipped Hammer Drill Bit</t>
        </is>
      </c>
      <c r="D7823" t="inlineStr">
        <is>
          <t>Diablo by Freud DMAPL4200 1/2 in. x 16 in. x 18 in. Rebar Demon SDS-Plus 4-Cutter Full Carbide Head Hammer Bit</t>
        </is>
      </c>
      <c r="E7823" s="2">
        <f>HYPERLINK("https://www.amazon.com/Diablo-Freud-DMAPL4200-SDS-Plus-4-Cutter/dp/B089KW2QV1/ref=sr_1_17?keywords=Diablo+Tools+DMAMX1360+1-1%2F2+in.+x+16+in.+x+21+in.+Rebar+Demon%E2%84%A2+SDS-Max+4-Cutter+Carbide-Tipped+Hammer+Drill+Bit&amp;qid=1694735042&amp;sr=8-17", "https://www.amazon.com/Diablo-Freud-DMAPL4200-SDS-Plus-4-Cutter/dp/B089KW2QV1/ref=sr_1_17?keywords=Diablo+Tools+DMAMX1360+1-1%2F2+in.+x+16+in.+x+21+in.+Rebar+Demon%E2%84%A2+SDS-Max+4-Cutter+Carbide-Tipped+Hammer+Drill+Bit&amp;qid=1694735042&amp;sr=8-17")</f>
        <v/>
      </c>
      <c r="F7823" t="inlineStr">
        <is>
          <t>B089KW2QV1</t>
        </is>
      </c>
      <c r="G7823">
        <f>_xlfn.IMAGE("https://edmondsonsupply.com/cdn/shop/products/z2umcsdaj3y4uvsfnxoh.webp?v=1677257156")</f>
        <v/>
      </c>
      <c r="H7823">
        <f>_xlfn.IMAGE("https://m.media-amazon.com/images/I/61rW+ROVmNL._AC_UL320_.jpg")</f>
        <v/>
      </c>
      <c r="K7823" t="inlineStr">
        <is>
          <t>93.87</t>
        </is>
      </c>
      <c r="L7823" t="n">
        <v>23</v>
      </c>
      <c r="M7823" s="1" t="inlineStr">
        <is>
          <t>-75.50%</t>
        </is>
      </c>
      <c r="N7823" s="7" t="n"/>
      <c r="O7823" t="n">
        <v>4.7</v>
      </c>
      <c r="P7823" t="n">
        <v>18</v>
      </c>
      <c r="R7823" t="inlineStr">
        <is>
          <t>InStock</t>
        </is>
      </c>
      <c r="S7823" t="inlineStr">
        <is>
          <t>149.01</t>
        </is>
      </c>
      <c r="T7823" t="inlineStr">
        <is>
          <t>7950786855128</t>
        </is>
      </c>
    </row>
    <row r="7824" hidden="1" ht="15.75" customHeight="1">
      <c r="A7824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824" s="2">
        <f>HYPERLINK("https://edmondsonsupply.com/products/diablo-tools-dmapl2530-1-in-x-16-in-x-18-in-sds-plus-2-cutter", "https://edmondsonsupply.com/products/diablo-tools-dmapl2530-1-in-x-16-in-x-18-in-sds-plus-2-cutter")</f>
        <v/>
      </c>
      <c r="C7824" t="inlineStr">
        <is>
          <t>Diablo Tools DMAPL2530 1 in. x 16 in. x 18 in. SDS-Plus 2-Cutter</t>
        </is>
      </c>
      <c r="D7824" t="inlineStr">
        <is>
          <t>Diablo by Freud DMAPL4010 5/32 in. x 2 in. x 4 in. Rebar Demon SDS-Plus 4-Cutter Full Carbide Head Hammer Bit</t>
        </is>
      </c>
      <c r="E7824" s="2">
        <f>HYPERLINK("https://www.amazon.com/Diablo-SDS-Plus-4-Cutter-Carbide-Hammer/dp/B089KWVTD3/ref=sr_1_41?keywords=Diablo+Tools+DMAPL2530+1+in.+x+16+in.+x+18+in.+SDS-Plus+2-Cutter&amp;qid=1694735204&amp;sr=8-41", "https://www.amazon.com/Diablo-SDS-Plus-4-Cutter-Carbide-Hammer/dp/B089KWVTD3/ref=sr_1_41?keywords=Diablo+Tools+DMAPL2530+1+in.+x+16+in.+x+18+in.+SDS-Plus+2-Cutter&amp;qid=1694735204&amp;sr=8-41")</f>
        <v/>
      </c>
      <c r="F7824" t="inlineStr">
        <is>
          <t>B089KWVTD3</t>
        </is>
      </c>
      <c r="G7824">
        <f>_xludf.IMAGE("https://edmondsonsupply.com/cdn/shop/products/DMAPL2530_Main-Image20200703.png?v=1627068300")</f>
        <v/>
      </c>
      <c r="H7824">
        <f>_xludf.IMAGE("https://m.media-amazon.com/images/I/61IkB-DVS1L._AC_UL320_.jpg")</f>
        <v/>
      </c>
      <c r="K7824" t="inlineStr">
        <is>
          <t>38.97</t>
        </is>
      </c>
      <c r="L7824" t="n">
        <v>9.5</v>
      </c>
      <c r="M7824" s="1" t="inlineStr">
        <is>
          <t>-75.62%</t>
        </is>
      </c>
      <c r="N7824" s="1" t="n"/>
      <c r="O7824" t="n">
        <v>4.7</v>
      </c>
      <c r="P7824" t="n">
        <v>4</v>
      </c>
      <c r="R7824" t="inlineStr">
        <is>
          <t>InStock</t>
        </is>
      </c>
      <c r="S7824" t="inlineStr">
        <is>
          <t>50.56</t>
        </is>
      </c>
      <c r="T7824" t="inlineStr">
        <is>
          <t>6839623778477</t>
        </is>
      </c>
    </row>
    <row r="7825" ht="87" customHeight="1">
      <c r="A7825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825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825" t="inlineStr">
        <is>
          <t>Diablo Tools DMAMX1110 5/8 in. x 24 in. x 29 in. Rebar Demon™ SDS-Max 4-Cutter Full Carbide Head Hammer Bit</t>
        </is>
      </c>
      <c r="D7825" t="inlineStr">
        <is>
          <t>Diablo by Freud DMAPL4230 5/8 in. x 10 in. x 12 in. Rebar Demon SDS-Plus 4-Cutter Full Carbide Head Hammer Bit</t>
        </is>
      </c>
      <c r="E7825" s="2">
        <f>HYPERLINK("https://www.amazon.com/Diablo-Freud-DMAPL4230-SDS-Plus-4-Cutter/dp/B089LCN234/ref=sr_1_12?keywords=Diablo+Tools+DMAMX1110+5%2F8+in.+x+24+in.+x+29+in.+Rebar+Demon%E2%84%A2+SDS-Max+4-Cutter+Full+Carbide+Head+Hammer+Bit&amp;qid=1694735304&amp;sr=8-12", "https://www.amazon.com/Diablo-Freud-DMAPL4230-SDS-Plus-4-Cutter/dp/B089LCN234/ref=sr_1_12?keywords=Diablo+Tools+DMAMX1110+5%2F8+in.+x+24+in.+x+29+in.+Rebar+Demon%E2%84%A2+SDS-Max+4-Cutter+Full+Carbide+Head+Hammer+Bit&amp;qid=1694735304&amp;sr=8-12")</f>
        <v/>
      </c>
      <c r="F7825" t="inlineStr">
        <is>
          <t>B089LCN234</t>
        </is>
      </c>
      <c r="G7825">
        <f>_xlfn.IMAGE("https://edmondsonsupply.com/cdn/shop/products/DMAMX1110_1.jpg?v=1633030364")</f>
        <v/>
      </c>
      <c r="H7825">
        <f>_xlfn.IMAGE("https://m.media-amazon.com/images/I/61r649wmyhL._AC_UL320_.jpg")</f>
        <v/>
      </c>
      <c r="K7825" t="inlineStr">
        <is>
          <t>89.97</t>
        </is>
      </c>
      <c r="L7825" t="n">
        <v>21.86</v>
      </c>
      <c r="M7825" s="1" t="inlineStr">
        <is>
          <t>-75.70%</t>
        </is>
      </c>
      <c r="N7825" s="7" t="n"/>
      <c r="O7825" t="n">
        <v>4.7</v>
      </c>
      <c r="P7825" t="n">
        <v>47</v>
      </c>
      <c r="R7825" t="inlineStr">
        <is>
          <t>InStock</t>
        </is>
      </c>
      <c r="S7825" t="inlineStr">
        <is>
          <t>115.5</t>
        </is>
      </c>
      <c r="T7825" t="inlineStr">
        <is>
          <t>5289159655592</t>
        </is>
      </c>
    </row>
    <row r="7826" hidden="1" ht="15.75" customHeight="1">
      <c r="A7826" s="2">
        <f>HYPERLINK("https://edmondsonsupply.com/collections/electricians-tools/products/milwaukee-2872-20-m18%E2%84%A2-brushless-threaded-rod-cutter-tool-only", "https://edmondsonsupply.com/collections/electricians-tools/products/milwaukee-2872-20-m18%E2%84%A2-brushless-threaded-rod-cutter-tool-only")</f>
        <v/>
      </c>
      <c r="B7826" s="2">
        <f>HYPERLINK("https://edmondsonsupply.com/products/milwaukee-2872-20-m18%e2%84%a2-brushless-threaded-rod-cutter-tool-only", "https://edmondsonsupply.com/products/milwaukee-2872-20-m18%e2%84%a2-brushless-threaded-rod-cutter-tool-only")</f>
        <v/>
      </c>
      <c r="C7826" t="inlineStr">
        <is>
          <t>Milwaukee 2872-20 M18™ Brushless Threaded Rod Cutter (Tool Only)</t>
        </is>
      </c>
      <c r="D7826" t="inlineStr">
        <is>
          <t>48-44-2872 1/4", 3/8", 1/2" Replacement Cutting Die Set Fits For Milwaukee 2872-20, 2872-21 M18 Brushless Threaded Rod Cutter, With 4-Sided Rotatable Cutter &amp; Size Markings</t>
        </is>
      </c>
      <c r="E7826" s="2">
        <f>HYPERLINK("https://www.amazon.com/48-44-2872-Replacement-Milwaukee-Brushless-Rotatable/dp/B0BQNCBGBR/ref=sr_1_8?keywords=Milwaukee+2872-20+M18%E2%84%A2+Brushless+Threaded+Rod+Cutter+%28Tool+Only%29&amp;qid=1694735097&amp;sr=8-8", "https://www.amazon.com/48-44-2872-Replacement-Milwaukee-Brushless-Rotatable/dp/B0BQNCBGBR/ref=sr_1_8?keywords=Milwaukee+2872-20+M18%E2%84%A2+Brushless+Threaded+Rod+Cutter+%28Tool+Only%29&amp;qid=1694735097&amp;sr=8-8")</f>
        <v/>
      </c>
      <c r="F7826" t="inlineStr">
        <is>
          <t>B0BQNCBGBR</t>
        </is>
      </c>
      <c r="G7826">
        <f>_xludf.IMAGE("https://edmondsonsupply.com/cdn/shop/products/2872-20_2.webp?v=1668024311")</f>
        <v/>
      </c>
      <c r="H7826">
        <f>_xludf.IMAGE("https://m.media-amazon.com/images/I/41l4Zl2dPPL._AC_UL320_.jpg")</f>
        <v/>
      </c>
      <c r="K7826" t="inlineStr">
        <is>
          <t>349.99</t>
        </is>
      </c>
      <c r="L7826" t="n">
        <v>85</v>
      </c>
      <c r="M7826" s="1" t="inlineStr">
        <is>
          <t>-75.71%</t>
        </is>
      </c>
      <c r="N7826" s="1" t="n"/>
      <c r="O7826" t="n">
        <v>3.6</v>
      </c>
      <c r="P7826" t="n">
        <v>3</v>
      </c>
      <c r="R7826" t="inlineStr">
        <is>
          <t>InStock</t>
        </is>
      </c>
      <c r="S7826" t="inlineStr">
        <is>
          <t>651.0</t>
        </is>
      </c>
      <c r="T7826" t="inlineStr">
        <is>
          <t>7879783842008</t>
        </is>
      </c>
    </row>
    <row r="7827" hidden="1" ht="15.75" customHeight="1">
      <c r="A7827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7827" s="2">
        <f>HYPERLINK("https://edmondsonsupply.com/products/klein-tools-31856-1-1-8-inch-carbide-hole-cutter", "https://edmondsonsupply.com/products/klein-tools-31856-1-1-8-inch-carbide-hole-cutter")</f>
        <v/>
      </c>
      <c r="C7827" t="inlineStr">
        <is>
          <t>Klein Tools 31856 1-1/8-Inch Carbide Hole Cutter</t>
        </is>
      </c>
      <c r="D7827" t="inlineStr">
        <is>
          <t>Klein Tools 89551 Hole Cutter Replacement Bit for Klein Tools Hole Cutter Cat. No. 89552 Cuts 2 to 12-Inch</t>
        </is>
      </c>
      <c r="E7827" s="2">
        <f>HYPERLINK("https://www.amazon.com/Klein-Tools-89551-Replacement-12-Inch/dp/B07DLRWFCG/ref=sr_1_18?keywords=Klein+Tools+31856+1-1%2F8-Inch+Carbide+Hole+Cutter&amp;qid=1694734994&amp;sr=8-18", "https://www.amazon.com/Klein-Tools-89551-Replacement-12-Inch/dp/B07DLRWFCG/ref=sr_1_18?keywords=Klein+Tools+31856+1-1%2F8-Inch+Carbide+Hole+Cutter&amp;qid=1694734994&amp;sr=8-18")</f>
        <v/>
      </c>
      <c r="F7827" t="inlineStr">
        <is>
          <t>B07DLRWFCG</t>
        </is>
      </c>
      <c r="G7827">
        <f>_xludf.IMAGE("https://edmondsonsupply.com/cdn/shop/files/31856.jpg?v=1685712345")</f>
        <v/>
      </c>
      <c r="H7827">
        <f>_xludf.IMAGE("https://m.media-amazon.com/images/I/411kCYe-NnL._AC_UL320_.jpg")</f>
        <v/>
      </c>
      <c r="K7827" t="inlineStr">
        <is>
          <t>35.99</t>
        </is>
      </c>
      <c r="L7827" t="n">
        <v>8.69</v>
      </c>
      <c r="M7827" s="1" t="inlineStr">
        <is>
          <t>-75.85%</t>
        </is>
      </c>
      <c r="N7827" s="1" t="n"/>
      <c r="O7827" t="n">
        <v>4.2</v>
      </c>
      <c r="P7827" t="n">
        <v>184</v>
      </c>
      <c r="R7827" t="inlineStr">
        <is>
          <t>InStock</t>
        </is>
      </c>
      <c r="S7827" t="inlineStr">
        <is>
          <t>50.38</t>
        </is>
      </c>
      <c r="T7827" t="inlineStr">
        <is>
          <t>7999529910488</t>
        </is>
      </c>
    </row>
    <row r="7828" ht="87" customHeight="1">
      <c r="A7828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828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828" t="inlineStr">
        <is>
          <t>Diablo Tools DMAMX1230 1 in. x 24 in. x 29 in. Rebar Demon™ SDS-Max 4-Cutter Full Carbide Head Hammer Bit</t>
        </is>
      </c>
      <c r="D7828" t="inlineStr">
        <is>
          <t>Diablo by Freud DMAPL4270 27/32 in. x 8 in. x 10 in. Rebar Demon SDS-Plus 4-Cutter Full Carbide Head Hammer Bit</t>
        </is>
      </c>
      <c r="E7828" s="2">
        <f>HYPERLINK("https://www.amazon.com/Diablo-Freud-DMAPL4270-SDS-Plus-4-Cutter/dp/B089KXBGLM/ref=sr_1_44?keywords=Diablo+Tools+DMAMX1230+1+in.+x+24+in.+x+29+in.+Rebar+Demon%E2%84%A2+SDS-Max+4-Cutter+Full+Carbide+Head+Hammer+Bit&amp;qid=1694735297&amp;sr=8-44", "https://www.amazon.com/Diablo-Freud-DMAPL4270-SDS-Plus-4-Cutter/dp/B089KXBGLM/ref=sr_1_44?keywords=Diablo+Tools+DMAMX1230+1+in.+x+24+in.+x+29+in.+Rebar+Demon%E2%84%A2+SDS-Max+4-Cutter+Full+Carbide+Head+Hammer+Bit&amp;qid=1694735297&amp;sr=8-44")</f>
        <v/>
      </c>
      <c r="F7828" t="inlineStr">
        <is>
          <t>B089KXBGLM</t>
        </is>
      </c>
      <c r="G7828">
        <f>_xlfn.IMAGE("https://edmondsonsupply.com/cdn/shop/products/DMAMX1230_1.jpg?v=1633030364")</f>
        <v/>
      </c>
      <c r="H7828">
        <f>_xlfn.IMAGE("https://m.media-amazon.com/images/I/611A6sphG9L._AC_UL320_.jpg")</f>
        <v/>
      </c>
      <c r="K7828" t="inlineStr">
        <is>
          <t>124.97</t>
        </is>
      </c>
      <c r="L7828" t="n">
        <v>30.13</v>
      </c>
      <c r="M7828" s="1" t="inlineStr">
        <is>
          <t>-75.89%</t>
        </is>
      </c>
      <c r="N7828" s="7" t="n"/>
      <c r="O7828" t="n">
        <v>5</v>
      </c>
      <c r="P7828" t="n">
        <v>2</v>
      </c>
      <c r="R7828" t="inlineStr">
        <is>
          <t>InStock</t>
        </is>
      </c>
      <c r="S7828" t="inlineStr">
        <is>
          <t>152.89</t>
        </is>
      </c>
      <c r="T7828" t="inlineStr">
        <is>
          <t>5289176072360</t>
        </is>
      </c>
    </row>
    <row r="7829" ht="87" customHeight="1">
      <c r="A7829" s="2">
        <f>HYPERLINK("https://edmondsonsupply.com/collections/electricians-tools/products/milwaukee-0880-20", "https://edmondsonsupply.com/collections/electricians-tools/products/milwaukee-0880-20")</f>
        <v/>
      </c>
      <c r="B7829" s="2">
        <f>HYPERLINK("https://edmondsonsupply.com/products/milwaukee-0880-20", "https://edmondsonsupply.com/products/milwaukee-0880-20")</f>
        <v/>
      </c>
      <c r="C7829" t="inlineStr">
        <is>
          <t>Milwaukee 0880-20 M18 2-Gallon Wet/Dry Vacuum (bare tool)</t>
        </is>
      </c>
      <c r="D7829" t="inlineStr">
        <is>
          <t>14-37-0105 18v/28v Wet/Dry Vac Hose Assembly with Universal Attachments Adapter Kit Compatible with Milwaukee M18 Vacuum 0880-20 0970-20 (Internal Storage), Use to Pick Up Dust and Debris</t>
        </is>
      </c>
      <c r="E7829" s="2">
        <f>HYPERLINK("https://www.amazon.com/14-37-0105-Universal-Attachments-Compatible-Milwaukee/dp/B0C5QC4W1H/ref=sr_1_2?keywords=Milwaukee+0880-20+M18+2-Gallon+Wet%2FDry+Vacuum+%28bare+tool%29&amp;qid=1694735279&amp;sr=8-2", "https://www.amazon.com/14-37-0105-Universal-Attachments-Compatible-Milwaukee/dp/B0C5QC4W1H/ref=sr_1_2?keywords=Milwaukee+0880-20+M18+2-Gallon+Wet%2FDry+Vacuum+%28bare+tool%29&amp;qid=1694735279&amp;sr=8-2")</f>
        <v/>
      </c>
      <c r="F7829" t="inlineStr">
        <is>
          <t>B0C5QC4W1H</t>
        </is>
      </c>
      <c r="G7829">
        <f>_xlfn.IMAGE("https://edmondsonsupply.com/cdn/shop/products/0880-20_2.png?v=1593890228")</f>
        <v/>
      </c>
      <c r="H7829">
        <f>_xlfn.IMAGE("https://m.media-amazon.com/images/I/61NKgC0kerL._AC_UL320_.jpg")</f>
        <v/>
      </c>
      <c r="K7829" t="inlineStr">
        <is>
          <t>129.0</t>
        </is>
      </c>
      <c r="L7829" t="n">
        <v>30.99</v>
      </c>
      <c r="M7829" s="1" t="inlineStr">
        <is>
          <t>-75.98%</t>
        </is>
      </c>
      <c r="N7829" s="7" t="n"/>
      <c r="O7829" t="n">
        <v>5</v>
      </c>
      <c r="P7829" t="n">
        <v>2</v>
      </c>
      <c r="R7829" t="inlineStr">
        <is>
          <t>InStock</t>
        </is>
      </c>
      <c r="S7829" t="inlineStr">
        <is>
          <t>220.0</t>
        </is>
      </c>
      <c r="T7829" t="inlineStr">
        <is>
          <t>5376375586984</t>
        </is>
      </c>
    </row>
    <row r="7830" ht="87" customHeight="1">
      <c r="A7830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830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830" t="inlineStr">
        <is>
          <t>Milwaukee 48-11-2412 M12 REDLITHIUM™ XC Battery Two Pack</t>
        </is>
      </c>
      <c r="D7830" t="inlineStr">
        <is>
          <t>Fayeey 3.5Ah M12 Replacement Battery for Milwaukee M12 Battery 2Pack 12V Lithium-ion Batteries Compatible with Milwaukee XC 48-11-2440 48-11-2402 48-11-2460 Cordless Power Tools</t>
        </is>
      </c>
      <c r="E7830" s="2">
        <f>HYPERLINK("https://www.amazon.com/Fayeey-M12-Replacement-Lithium-ion-Compatible/dp/B0BXKWN531/ref=sr_1_18?keywords=Milwaukee+48-11-2412+M12+REDLITHIUM%E2%84%A2+XC+Battery+Two+Pack&amp;qid=1694735150&amp;sr=8-18", "https://www.amazon.com/Fayeey-M12-Replacement-Lithium-ion-Compatible/dp/B0BXKWN531/ref=sr_1_18?keywords=Milwaukee+48-11-2412+M12+REDLITHIUM%E2%84%A2+XC+Battery+Two+Pack&amp;qid=1694735150&amp;sr=8-18")</f>
        <v/>
      </c>
      <c r="F7830" t="inlineStr">
        <is>
          <t>B0BXKWN531</t>
        </is>
      </c>
      <c r="G7830">
        <f>_xlfn.IMAGE("https://edmondsonsupply.com/cdn/shop/products/48-11-2412.jpg?v=1654795924")</f>
        <v/>
      </c>
      <c r="H7830">
        <f>_xlfn.IMAGE("https://m.media-amazon.com/images/I/71yPUPzH7yL._AC_UL320_.jpg")</f>
        <v/>
      </c>
      <c r="K7830" t="inlineStr">
        <is>
          <t>129.0</t>
        </is>
      </c>
      <c r="L7830" t="n">
        <v>30.99</v>
      </c>
      <c r="M7830" s="1" t="inlineStr">
        <is>
          <t>-75.98%</t>
        </is>
      </c>
      <c r="N7830" s="7" t="n"/>
      <c r="O7830" t="n">
        <v>4.7</v>
      </c>
      <c r="P7830" t="n">
        <v>88</v>
      </c>
      <c r="R7830" t="inlineStr">
        <is>
          <t>InStock</t>
        </is>
      </c>
      <c r="S7830" t="inlineStr">
        <is>
          <t>217.0</t>
        </is>
      </c>
      <c r="T7830" t="inlineStr">
        <is>
          <t>7711224168664</t>
        </is>
      </c>
    </row>
    <row r="7831" ht="87" customHeight="1">
      <c r="A7831" s="2">
        <f>HYPERLINK("https://edmondsonsupply.com/collections/electricians-tools/products/klein-tools-631m-magnetic-nut-driver-set-3-inch-shaft-7-piece", "https://edmondsonsupply.com/collections/electricians-tools/products/klein-tools-631m-magnetic-nut-driver-set-3-inch-shaft-7-piece")</f>
        <v/>
      </c>
      <c r="B7831" s="2">
        <f>HYPERLINK("https://edmondsonsupply.com/products/klein-tools-631m-magnetic-nut-driver-set-3-inch-shaft-7-piece", "https://edmondsonsupply.com/products/klein-tools-631m-magnetic-nut-driver-set-3-inch-shaft-7-piece")</f>
        <v/>
      </c>
      <c r="C7831" t="inlineStr">
        <is>
          <t>Klein Tools 631M Magnetic Nut Driver Set 3-Inch Shaft, 7 Piece</t>
        </is>
      </c>
      <c r="D7831" t="inlineStr">
        <is>
          <t>Klein Tools 610M Tool Set, Magnetic Nut Driver Set with Stubby Nut Driver Sizes 1/4 and 5/16-Inch, Full Hollow Shaft, 2-Piece</t>
        </is>
      </c>
      <c r="E7831" s="2">
        <f>HYPERLINK("https://www.amazon.com/Klein-Tools-610M-16-Inch-Magnetic/dp/B00093DZO6/ref=sr_1_12?keywords=Klein+Tools+631M+Magnetic+Nut+Driver+Set+3-Inch+Shaft%2C+7+Piece&amp;qid=1694735377&amp;sr=8-12", "https://www.amazon.com/Klein-Tools-610M-16-Inch-Magnetic/dp/B00093DZO6/ref=sr_1_12?keywords=Klein+Tools+631M+Magnetic+Nut+Driver+Set+3-Inch+Shaft%2C+7+Piece&amp;qid=1694735377&amp;sr=8-12")</f>
        <v/>
      </c>
      <c r="F7831" t="inlineStr">
        <is>
          <t>B00093DZO6</t>
        </is>
      </c>
      <c r="G7831">
        <f>_xlfn.IMAGE("https://edmondsonsupply.com/cdn/shop/products/631m.jpg?v=1587147726")</f>
        <v/>
      </c>
      <c r="H7831">
        <f>_xlfn.IMAGE("https://m.media-amazon.com/images/I/51lgiheW64L._AC_UL320_.jpg")</f>
        <v/>
      </c>
      <c r="K7831" t="inlineStr">
        <is>
          <t>74.99</t>
        </is>
      </c>
      <c r="L7831" t="n">
        <v>17.99</v>
      </c>
      <c r="M7831" s="1" t="inlineStr">
        <is>
          <t>-76.01%</t>
        </is>
      </c>
      <c r="N7831" s="7" t="n"/>
      <c r="O7831" t="n">
        <v>4.8</v>
      </c>
      <c r="P7831" t="n">
        <v>559</v>
      </c>
      <c r="R7831" t="inlineStr">
        <is>
          <t>InStock</t>
        </is>
      </c>
      <c r="S7831" t="inlineStr">
        <is>
          <t>112.12</t>
        </is>
      </c>
      <c r="T7831" t="inlineStr">
        <is>
          <t>4414357078116</t>
        </is>
      </c>
    </row>
    <row r="7832" hidden="1" ht="15.75" customHeight="1">
      <c r="A7832" s="2">
        <f>HYPERLINK("https://edmondsonsupply.com/collections/electricians-tools/products/klein-tools-31866-carbide-hole-cutter-1-3-4-inch", "https://edmondsonsupply.com/collections/electricians-tools/products/klein-tools-31866-carbide-hole-cutter-1-3-4-inch")</f>
        <v/>
      </c>
      <c r="B7832" s="2">
        <f>HYPERLINK("https://edmondsonsupply.com/products/klein-tools-31866-carbide-hole-cutter-1-3-4-inch", "https://edmondsonsupply.com/products/klein-tools-31866-carbide-hole-cutter-1-3-4-inch")</f>
        <v/>
      </c>
      <c r="C7832" t="inlineStr">
        <is>
          <t>Klein Tools 31866 Carbide Hole Cutter, 1-3/4-Inch</t>
        </is>
      </c>
      <c r="D7832" t="inlineStr">
        <is>
          <t>Klein Tools 31528 Bi-Metal Hole Saw, 1-3/4-Inch</t>
        </is>
      </c>
      <c r="E7832" s="2">
        <f>HYPERLINK("https://www.amazon.com/Klein-Tools-31528-Bi-Metal-4-Inch/dp/B0009OODBE/ref=sr_1_8?keywords=Klein+Tools+31866+Carbide+Hole+Cutter%2C+1-3%2F4-Inch&amp;qid=1694735334&amp;sr=8-8", "https://www.amazon.com/Klein-Tools-31528-Bi-Metal-4-Inch/dp/B0009OODBE/ref=sr_1_8?keywords=Klein+Tools+31866+Carbide+Hole+Cutter%2C+1-3%2F4-Inch&amp;qid=1694735334&amp;sr=8-8")</f>
        <v/>
      </c>
      <c r="F7832" t="inlineStr">
        <is>
          <t>B0009OODBE</t>
        </is>
      </c>
      <c r="G7832">
        <f>_xludf.IMAGE("https://edmondsonsupply.com/cdn/shop/products/31866_alt3.jpg?v=1587143976")</f>
        <v/>
      </c>
      <c r="H7832">
        <f>_xludf.IMAGE("https://m.media-amazon.com/images/I/31wkk5lLKQL._AC_UL320_.jpg")</f>
        <v/>
      </c>
      <c r="K7832" t="inlineStr">
        <is>
          <t>49.99</t>
        </is>
      </c>
      <c r="L7832" t="n">
        <v>11.99</v>
      </c>
      <c r="M7832" s="1" t="inlineStr">
        <is>
          <t>-76.02%</t>
        </is>
      </c>
      <c r="N7832" s="1" t="n"/>
      <c r="O7832" t="n">
        <v>5</v>
      </c>
      <c r="P7832" t="n">
        <v>5</v>
      </c>
      <c r="R7832" t="inlineStr">
        <is>
          <t>InStock</t>
        </is>
      </c>
      <c r="S7832" t="inlineStr">
        <is>
          <t>70.84</t>
        </is>
      </c>
      <c r="T7832" t="inlineStr">
        <is>
          <t>4512241582180</t>
        </is>
      </c>
    </row>
    <row r="7833" hidden="1" ht="15.75" customHeight="1">
      <c r="A7833" s="2">
        <f>HYPERLINK("https://edmondsonsupply.com/collections/electricians-tools/products/diablo-tools-dmamx1040", "https://edmondsonsupply.com/collections/electricians-tools/products/diablo-tools-dmamx1040")</f>
        <v/>
      </c>
      <c r="B7833" s="2">
        <f>HYPERLINK("https://edmondsonsupply.com/products/diablo-tools-dmamx1040", "https://edmondsonsupply.com/products/diablo-tools-dmamx1040")</f>
        <v/>
      </c>
      <c r="C7833" t="inlineStr">
        <is>
          <t>Diablo Tools DMAMX1040 1/2 in. x 24 in. x 29 in. Rebar Demon SDS-Max 4-Cutter Full Carbide Head Hammer Bit</t>
        </is>
      </c>
      <c r="D7833" t="inlineStr">
        <is>
          <t>Diablo by Freud Diablo DMAPL4210 5/8 in. x 4 in. x 6 in. Rebar Demon SDS-Plus 4-Cutter Full Carbide Head Hammer Bit</t>
        </is>
      </c>
      <c r="E7833" s="2">
        <f>HYPERLINK("https://www.amazon.com/Diablo-Freud-DMAPL4210-SDS-Plus-4-Cutter/dp/B089LGF2KS/ref=sr_1_40?keywords=Diablo+Tools+DMAMX1040+1%2F2+in.+x+24+in.+x+29+in.+Rebar+Demon+SDS-Max+4-Cutter+Full+Carbide+Head+Hammer+Bit&amp;qid=1694735295&amp;sr=8-40", "https://www.amazon.com/Diablo-Freud-DMAPL4210-SDS-Plus-4-Cutter/dp/B089LGF2KS/ref=sr_1_40?keywords=Diablo+Tools+DMAMX1040+1%2F2+in.+x+24+in.+x+29+in.+Rebar+Demon+SDS-Max+4-Cutter+Full+Carbide+Head+Hammer+Bit&amp;qid=1694735295&amp;sr=8-40")</f>
        <v/>
      </c>
      <c r="F7833" t="inlineStr">
        <is>
          <t>B089LGF2KS</t>
        </is>
      </c>
      <c r="G7833">
        <f>_xludf.IMAGE("https://edmondsonsupply.com/cdn/shop/products/DMAMX1040_Main-Image20200701.png?v=1633030363")</f>
        <v/>
      </c>
      <c r="H7833">
        <f>_xludf.IMAGE("https://m.media-amazon.com/images/I/61rU9ZgmndL._AC_UL320_.jpg")</f>
        <v/>
      </c>
      <c r="K7833" t="inlineStr">
        <is>
          <t>47.97</t>
        </is>
      </c>
      <c r="L7833" t="n">
        <v>11.49</v>
      </c>
      <c r="M7833" s="1" t="inlineStr">
        <is>
          <t>-76.05%</t>
        </is>
      </c>
      <c r="N7833" s="1" t="n"/>
      <c r="O7833" t="n">
        <v>4.6</v>
      </c>
      <c r="P7833" t="n">
        <v>63</v>
      </c>
      <c r="R7833" t="inlineStr">
        <is>
          <t>InStock</t>
        </is>
      </c>
      <c r="S7833" t="inlineStr">
        <is>
          <t>72.46</t>
        </is>
      </c>
      <c r="T7833" t="inlineStr">
        <is>
          <t>5289126527144</t>
        </is>
      </c>
    </row>
    <row r="7834" hidden="1" ht="15.75" customHeight="1">
      <c r="A7834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834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834" t="inlineStr">
        <is>
          <t>Klein Tools 32288 8-in-1 Insulated Interchangeable Screwdriver Set</t>
        </is>
      </c>
      <c r="D7834" t="inlineStr">
        <is>
          <t>Klein Tools 6826INS Insulated Screwdriver, 1000V 1/4-Inch Cabinet Tip Screwdriver with 6-Inch Shank, Tip-Ident, Cushion-Grip Handle</t>
        </is>
      </c>
      <c r="E7834" s="2">
        <f>HYPERLINK("https://www.amazon.com/Klein-Tools-6826INS-Screwdriver-Cushion-Grip/dp/B0BF79W49J/ref=sr_1_35?keywords=Klein+Tools+32288+8-in-1+Insulated+Interchangeable+Screwdriver+Set&amp;qid=1694734974&amp;sr=8-35", "https://www.amazon.com/Klein-Tools-6826INS-Screwdriver-Cushion-Grip/dp/B0BF79W49J/ref=sr_1_35?keywords=Klein+Tools+32288+8-in-1+Insulated+Interchangeable+Screwdriver+Set&amp;qid=1694734974&amp;sr=8-35")</f>
        <v/>
      </c>
      <c r="F7834" t="inlineStr">
        <is>
          <t>B0BF79W49J</t>
        </is>
      </c>
      <c r="G7834">
        <f>_xludf.IMAGE("https://edmondsonsupply.com/cdn/shop/products/32288.jpg?v=1587146849")</f>
        <v/>
      </c>
      <c r="H7834">
        <f>_xludf.IMAGE("https://m.media-amazon.com/images/I/41dJ6lRyHyL._AC_UL320_.jpg")</f>
        <v/>
      </c>
      <c r="K7834" t="inlineStr">
        <is>
          <t>49.99</t>
        </is>
      </c>
      <c r="L7834" t="n">
        <v>11.97</v>
      </c>
      <c r="M7834" s="1" t="inlineStr">
        <is>
          <t>-76.06%</t>
        </is>
      </c>
      <c r="N7834" s="1" t="n"/>
      <c r="O7834" t="n">
        <v>4.9</v>
      </c>
      <c r="P7834" t="n">
        <v>9</v>
      </c>
      <c r="R7834" t="inlineStr">
        <is>
          <t>InStock</t>
        </is>
      </c>
      <c r="S7834" t="inlineStr">
        <is>
          <t>69.98</t>
        </is>
      </c>
      <c r="T7834" t="inlineStr">
        <is>
          <t>4094849613924</t>
        </is>
      </c>
    </row>
    <row r="7835" hidden="1" ht="15.75" customHeight="1">
      <c r="A7835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835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835" t="inlineStr">
        <is>
          <t>Klein Tools 32288 8-in-1 Insulated Interchangeable Screwdriver Set</t>
        </is>
      </c>
      <c r="D7835" t="inlineStr">
        <is>
          <t>Klein Tools 32581 4-in-1 Electronics Screwdriver Set with Precision Machines Bits: 2 Slotted, 2 Phillips, and Cushion Grip Handles, 4-Piece</t>
        </is>
      </c>
      <c r="E7835" s="2">
        <f>HYPERLINK("https://www.amazon.com/Screwdriver-Electronics-Klein-Tools-32581/dp/B01EOY7LTA/ref=sr_1_28?keywords=Klein+Tools+32288+8-in-1+Insulated+Interchangeable+Screwdriver+Set&amp;qid=1694734974&amp;sr=8-28", "https://www.amazon.com/Screwdriver-Electronics-Klein-Tools-32581/dp/B01EOY7LTA/ref=sr_1_28?keywords=Klein+Tools+32288+8-in-1+Insulated+Interchangeable+Screwdriver+Set&amp;qid=1694734974&amp;sr=8-28")</f>
        <v/>
      </c>
      <c r="F7835" t="inlineStr">
        <is>
          <t>B01EOY7LTA</t>
        </is>
      </c>
      <c r="G7835">
        <f>_xludf.IMAGE("https://edmondsonsupply.com/cdn/shop/products/32288.jpg?v=1587146849")</f>
        <v/>
      </c>
      <c r="H7835">
        <f>_xludf.IMAGE("https://m.media-amazon.com/images/I/31v0ZtokP0L._AC_UL320_.jpg")</f>
        <v/>
      </c>
      <c r="K7835" t="inlineStr">
        <is>
          <t>49.99</t>
        </is>
      </c>
      <c r="L7835" t="n">
        <v>11.97</v>
      </c>
      <c r="M7835" s="1" t="inlineStr">
        <is>
          <t>-76.06%</t>
        </is>
      </c>
      <c r="N7835" s="1" t="n"/>
      <c r="O7835" t="n">
        <v>4.8</v>
      </c>
      <c r="P7835" t="n">
        <v>17683</v>
      </c>
      <c r="R7835" t="inlineStr">
        <is>
          <t>InStock</t>
        </is>
      </c>
      <c r="S7835" t="inlineStr">
        <is>
          <t>69.98</t>
        </is>
      </c>
      <c r="T7835" t="inlineStr">
        <is>
          <t>4094849613924</t>
        </is>
      </c>
    </row>
    <row r="7836" hidden="1" ht="15.75" customHeight="1">
      <c r="A7836" s="2">
        <f>HYPERLINK("https://edmondsonsupply.com/collections/electricians-tools/products/klein-tools-32500mag-11-in-1-magnetic-screwdriver-nut-driver", "https://edmondsonsupply.com/collections/electricians-tools/products/klein-tools-32500mag-11-in-1-magnetic-screwdriver-nut-driver")</f>
        <v/>
      </c>
      <c r="B7836" s="2">
        <f>HYPERLINK("https://edmondsonsupply.com/products/klein-tools-32500mag-11-in-1-magnetic-screwdriver-nut-driver", "https://edmondsonsupply.com/products/klein-tools-32500mag-11-in-1-magnetic-screwdriver-nut-driver")</f>
        <v/>
      </c>
      <c r="C7836" t="inlineStr">
        <is>
          <t>Klein Tools 32500MAG 11-in-1 Magnetic Screwdriver / Nut Driver</t>
        </is>
      </c>
      <c r="D7836" t="inlineStr">
        <is>
          <t>Klein Tools 32483 Bit for 11-in-1 and 10-in-1 Klein Screwdriver Nut Driver, #2 Phillips, 1/4-Inch Slotted</t>
        </is>
      </c>
      <c r="E7836" s="2">
        <f>HYPERLINK("https://www.amazon.com/Klein-Tools-32483-Screwdriver-Phillips/dp/B000936PUC/ref=sr_1_4?keywords=Klein+Tools+32500MAG+11-in-1+Magnetic+Screwdriver+%2F+Nut+Driver&amp;qid=1694735235&amp;sr=8-4", "https://www.amazon.com/Klein-Tools-32483-Screwdriver-Phillips/dp/B000936PUC/ref=sr_1_4?keywords=Klein+Tools+32500MAG+11-in-1+Magnetic+Screwdriver+%2F+Nut+Driver&amp;qid=1694735235&amp;sr=8-4")</f>
        <v/>
      </c>
      <c r="F7836" t="inlineStr">
        <is>
          <t>B000936PUC</t>
        </is>
      </c>
      <c r="G7836">
        <f>_xludf.IMAGE("https://edmondsonsupply.com/cdn/shop/products/32500mag.jpg?v=1633030832")</f>
        <v/>
      </c>
      <c r="H7836">
        <f>_xludf.IMAGE("https://m.media-amazon.com/images/I/51KFiDupheL._AC_UL320_.jpg")</f>
        <v/>
      </c>
      <c r="K7836" t="inlineStr">
        <is>
          <t>20.97</t>
        </is>
      </c>
      <c r="L7836" t="n">
        <v>4.99</v>
      </c>
      <c r="M7836" s="1" t="inlineStr">
        <is>
          <t>-76.20%</t>
        </is>
      </c>
      <c r="N7836" s="1" t="n"/>
      <c r="O7836" t="n">
        <v>4.7</v>
      </c>
      <c r="P7836" t="n">
        <v>4262</v>
      </c>
      <c r="R7836" t="inlineStr">
        <is>
          <t>InStock</t>
        </is>
      </c>
      <c r="S7836" t="inlineStr">
        <is>
          <t>29.38</t>
        </is>
      </c>
      <c r="T7836" t="inlineStr">
        <is>
          <t>6082199814317</t>
        </is>
      </c>
    </row>
    <row r="7837" hidden="1" ht="15.75" customHeight="1">
      <c r="A7837" s="2">
        <f>HYPERLINK("https://edmondsonsupply.com/collections/electricians-tools/products/klein-tools-31860-carbide-hole-cutter-1-3-8-inch", "https://edmondsonsupply.com/collections/electricians-tools/products/klein-tools-31860-carbide-hole-cutter-1-3-8-inch")</f>
        <v/>
      </c>
      <c r="B7837" s="2">
        <f>HYPERLINK("https://edmondsonsupply.com/products/klein-tools-31860-carbide-hole-cutter-1-3-8-inch", "https://edmondsonsupply.com/products/klein-tools-31860-carbide-hole-cutter-1-3-8-inch")</f>
        <v/>
      </c>
      <c r="C7837" t="inlineStr">
        <is>
          <t>Klein Tools 31860 Carbide Hole Cutter, 1-3/8-Inch</t>
        </is>
      </c>
      <c r="D7837" t="inlineStr">
        <is>
          <t>Klein Tools 31922 Bi-Metal Hole Saw, 1-3/8-Inch</t>
        </is>
      </c>
      <c r="E7837" s="2">
        <f>HYPERLINK("https://www.amazon.com/Bi-Metal-8-Inch-Klein-Tools-31922/dp/B019874Q0K/ref=sr_1_4?keywords=Klein+Tools+31860+Carbide+Hole+Cutter%2C+1-3%2F8-Inch&amp;qid=1694735240&amp;sr=8-4", "https://www.amazon.com/Bi-Metal-8-Inch-Klein-Tools-31922/dp/B019874Q0K/ref=sr_1_4?keywords=Klein+Tools+31860+Carbide+Hole+Cutter%2C+1-3%2F8-Inch&amp;qid=1694735240&amp;sr=8-4")</f>
        <v/>
      </c>
      <c r="F7837" t="inlineStr">
        <is>
          <t>B019874Q0K</t>
        </is>
      </c>
      <c r="G7837">
        <f>_xludf.IMAGE("https://edmondsonsupply.com/cdn/shop/products/31860.jpg?v=1633030790")</f>
        <v/>
      </c>
      <c r="H7837">
        <f>_xludf.IMAGE("https://m.media-amazon.com/images/I/41GAmyLoB4L._AC_UL320_.jpg")</f>
        <v/>
      </c>
      <c r="K7837" t="inlineStr">
        <is>
          <t>37.99</t>
        </is>
      </c>
      <c r="L7837" t="n">
        <v>8.99</v>
      </c>
      <c r="M7837" s="1" t="inlineStr">
        <is>
          <t>-76.34%</t>
        </is>
      </c>
      <c r="N7837" s="1" t="n"/>
      <c r="O7837" t="n">
        <v>4.5</v>
      </c>
      <c r="P7837" t="n">
        <v>365</v>
      </c>
      <c r="R7837" t="inlineStr">
        <is>
          <t>InStock</t>
        </is>
      </c>
      <c r="S7837" t="inlineStr">
        <is>
          <t>57.54</t>
        </is>
      </c>
      <c r="T7837" t="inlineStr">
        <is>
          <t>5987970613416</t>
        </is>
      </c>
    </row>
    <row r="7838" ht="87" customHeight="1">
      <c r="A7838" s="2">
        <f>HYPERLINK("https://edmondsonsupply.com/collections/electricians-tools/products/klein-tools-9416r-1000v-insulated-tool-kit-3-piece", "https://edmondsonsupply.com/collections/electricians-tools/products/klein-tools-9416r-1000v-insulated-tool-kit-3-piece")</f>
        <v/>
      </c>
      <c r="B7838" s="2">
        <f>HYPERLINK("https://edmondsonsupply.com/products/klein-tools-9416r-1000v-insulated-tool-kit-3-piece", "https://edmondsonsupply.com/products/klein-tools-9416r-1000v-insulated-tool-kit-3-piece")</f>
        <v/>
      </c>
      <c r="C7838" t="inlineStr">
        <is>
          <t>Klein Tools 9416R 1000V Insulated Tool Kit, 3-Piece</t>
        </is>
      </c>
      <c r="D7838" t="inlineStr">
        <is>
          <t>Klein Tools 85073INS Insulated Screwdriver Set features 1000V Phillips, Slotted and Square Tips, Cushion Grip Handles, 3-Piece</t>
        </is>
      </c>
      <c r="E7838" s="2">
        <f>HYPERLINK("https://www.amazon.com/Klein-Tools-85073INS-Insulated-Screwdriver/dp/B0BF79WQZX/ref=sr_1_4?keywords=Klein+Tools+9416R+1000V+Insulated+Tool+Kit%2C+3-Piece&amp;qid=1694735088&amp;sr=8-4", "https://www.amazon.com/Klein-Tools-85073INS-Insulated-Screwdriver/dp/B0BF79WQZX/ref=sr_1_4?keywords=Klein+Tools+9416R+1000V+Insulated+Tool+Kit%2C+3-Piece&amp;qid=1694735088&amp;sr=8-4")</f>
        <v/>
      </c>
      <c r="F7838" t="inlineStr">
        <is>
          <t>B0BF79WQZX</t>
        </is>
      </c>
      <c r="G7838">
        <f>_xlfn.IMAGE("https://edmondsonsupply.com/cdn/shop/products/9416r.jpg?v=1667327475")</f>
        <v/>
      </c>
      <c r="H7838">
        <f>_xlfn.IMAGE("https://m.media-amazon.com/images/I/51dL7msUIqL._AC_UL320_.jpg")</f>
        <v/>
      </c>
      <c r="K7838" t="inlineStr">
        <is>
          <t>84.99</t>
        </is>
      </c>
      <c r="L7838" t="n">
        <v>19.97</v>
      </c>
      <c r="M7838" s="1" t="inlineStr">
        <is>
          <t>-76.50%</t>
        </is>
      </c>
      <c r="N7838" s="7" t="n"/>
      <c r="O7838" t="n">
        <v>4.9</v>
      </c>
      <c r="P7838" t="n">
        <v>202</v>
      </c>
      <c r="R7838" t="inlineStr">
        <is>
          <t>InStock</t>
        </is>
      </c>
      <c r="S7838" t="inlineStr">
        <is>
          <t>127.48</t>
        </is>
      </c>
      <c r="T7838" t="inlineStr">
        <is>
          <t>7872648347864</t>
        </is>
      </c>
    </row>
    <row r="7839" ht="87" customHeight="1">
      <c r="A7839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839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839" t="inlineStr">
        <is>
          <t>Diablo Tools DMAMX1110 5/8 in. x 24 in. x 29 in. Rebar Demon™ SDS-Max 4-Cutter Full Carbide Head Hammer Bit</t>
        </is>
      </c>
      <c r="D7839" t="inlineStr">
        <is>
          <t>Diablo DMAMX1050 9/16 in. x 8 in. x 13 in. Rebar Demon™ SDS-Max 4-Cutter Full Carbide Head Hammer Bit</t>
        </is>
      </c>
      <c r="E7839" s="2">
        <f>HYPERLINK("https://www.amazon.com/Diablo-SDS-Max-4-Cutter-Carbide-Hammer/dp/B089LK4F2D/ref=sr_1_10?keywords=Diablo+Tools+DMAMX1110+5%2F8+in.+x+24+in.+x+29+in.+Rebar+Demon%E2%84%A2+SDS-Max+4-Cutter+Full+Carbide+Head+Hammer+Bit&amp;qid=1694735304&amp;sr=8-10", "https://www.amazon.com/Diablo-SDS-Max-4-Cutter-Carbide-Hammer/dp/B089LK4F2D/ref=sr_1_10?keywords=Diablo+Tools+DMAMX1110+5%2F8+in.+x+24+in.+x+29+in.+Rebar+Demon%E2%84%A2+SDS-Max+4-Cutter+Full+Carbide+Head+Hammer+Bit&amp;qid=1694735304&amp;sr=8-10")</f>
        <v/>
      </c>
      <c r="F7839" t="inlineStr">
        <is>
          <t>B089LK4F2D</t>
        </is>
      </c>
      <c r="G7839">
        <f>_xlfn.IMAGE("https://edmondsonsupply.com/cdn/shop/products/DMAMX1110_1.jpg?v=1633030364")</f>
        <v/>
      </c>
      <c r="H7839">
        <f>_xlfn.IMAGE("https://m.media-amazon.com/images/I/61jYhd4-UbL._AC_UL320_.jpg")</f>
        <v/>
      </c>
      <c r="K7839" t="inlineStr">
        <is>
          <t>89.97</t>
        </is>
      </c>
      <c r="L7839" t="n">
        <v>20.99</v>
      </c>
      <c r="M7839" s="1" t="inlineStr">
        <is>
          <t>-76.67%</t>
        </is>
      </c>
      <c r="N7839" s="7" t="n"/>
      <c r="O7839" t="n">
        <v>5</v>
      </c>
      <c r="P7839" t="n">
        <v>1</v>
      </c>
      <c r="R7839" t="inlineStr">
        <is>
          <t>InStock</t>
        </is>
      </c>
      <c r="S7839" t="inlineStr">
        <is>
          <t>115.5</t>
        </is>
      </c>
      <c r="T7839" t="inlineStr">
        <is>
          <t>5289159655592</t>
        </is>
      </c>
    </row>
    <row r="7840" ht="87" customHeight="1">
      <c r="A7840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840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840" t="inlineStr">
        <is>
          <t>Diablo Tools DMAPL4080-P25 1/4 in. x 6 in. x 8 in. Rebar Demon™ SDS-Plus 4-Cutter Full Carbide Head Hammer Bit (25 Pack)</t>
        </is>
      </c>
      <c r="D7840" t="inlineStr">
        <is>
          <t>Diablo by Freud DMAPL4200 1/2 in. x 16 in. x 18 in. Rebar Demon SDS-Plus 4-Cutter Full Carbide Head Hammer Bit</t>
        </is>
      </c>
      <c r="E7840" s="2" t="n"/>
      <c r="F7840" t="inlineStr">
        <is>
          <t>B089KW2QV1</t>
        </is>
      </c>
      <c r="G7840">
        <f>_xlfn.IMAGE("https://edmondsonsupply.com/cdn/shop/products/DMAPL4080-P25_Main-Image20200701.png?v=1633030623")</f>
        <v/>
      </c>
      <c r="H7840">
        <f>_xlfn.IMAGE("https://m.media-amazon.com/images/I/61rW+ROVmNL._AC_UL320_.jpg")</f>
        <v/>
      </c>
      <c r="K7840" t="inlineStr">
        <is>
          <t>99.97</t>
        </is>
      </c>
      <c r="L7840" t="n">
        <v>23</v>
      </c>
      <c r="M7840" s="1" t="inlineStr">
        <is>
          <t>-76.99%</t>
        </is>
      </c>
      <c r="N7840" s="7" t="n"/>
      <c r="O7840" t="n">
        <v>4.7</v>
      </c>
      <c r="P7840" t="n">
        <v>18</v>
      </c>
      <c r="R7840" t="inlineStr">
        <is>
          <t>InStock</t>
        </is>
      </c>
      <c r="S7840" t="inlineStr">
        <is>
          <t>144.22</t>
        </is>
      </c>
      <c r="T7840" t="inlineStr">
        <is>
          <t>5660158918824</t>
        </is>
      </c>
    </row>
    <row r="7841" hidden="1" ht="15.75" customHeight="1">
      <c r="A7841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841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841" t="inlineStr">
        <is>
          <t>Diablo Tools DMAPL4310 1 in. x 16 in. x 18 in. Rebar Demon™ SDS-Plus 4-Cutter Full Carbide Head Hammer Drill Bit</t>
        </is>
      </c>
      <c r="D7841" t="inlineStr">
        <is>
          <t>Diablo by Freud Diablo DMAPL4210 5/8 in. x 4 in. x 6 in. Rebar Demon SDS-Plus 4-Cutter Full Carbide Head Hammer Bit</t>
        </is>
      </c>
      <c r="E7841" s="2">
        <f>HYPERLINK("https://www.amazon.com/Diablo-Freud-DMAPL4210-SDS-Plus-4-Cutter/dp/B089LGF2KS/ref=sr_1_30?keywords=Diablo+Tools+DMAPL4310+1+in.+x+16+in.+x+18+in.+Rebar+Demon%E2%84%A2+SDS-Plus+4-Cutter+Full+Carbide+Head+Hammer+Drill+Bit&amp;qid=1694735204&amp;sr=8-30", "https://www.amazon.com/Diablo-Freud-DMAPL4210-SDS-Plus-4-Cutter/dp/B089LGF2KS/ref=sr_1_30?keywords=Diablo+Tools+DMAPL4310+1+in.+x+16+in.+x+18+in.+Rebar+Demon%E2%84%A2+SDS-Plus+4-Cutter+Full+Carbide+Head+Hammer+Drill+Bit&amp;qid=1694735204&amp;sr=8-30")</f>
        <v/>
      </c>
      <c r="F7841" t="inlineStr">
        <is>
          <t>B089LGF2KS</t>
        </is>
      </c>
      <c r="G7841">
        <f>_xludf.IMAGE("https://edmondsonsupply.com/cdn/shop/products/DMAPL4310_Main-Image20200701.png?v=1633031094")</f>
        <v/>
      </c>
      <c r="H7841">
        <f>_xludf.IMAGE("https://m.media-amazon.com/images/I/61rU9ZgmndL._AC_UL320_.jpg")</f>
        <v/>
      </c>
      <c r="K7841" t="inlineStr">
        <is>
          <t>49.97</t>
        </is>
      </c>
      <c r="L7841" t="n">
        <v>11.49</v>
      </c>
      <c r="M7841" s="1" t="inlineStr">
        <is>
          <t>-77.01%</t>
        </is>
      </c>
      <c r="N7841" s="1" t="n"/>
      <c r="O7841" t="n">
        <v>4.6</v>
      </c>
      <c r="P7841" t="n">
        <v>63</v>
      </c>
      <c r="R7841" t="inlineStr">
        <is>
          <t>InStock</t>
        </is>
      </c>
      <c r="S7841" t="inlineStr">
        <is>
          <t>57.56</t>
        </is>
      </c>
      <c r="T7841" t="inlineStr">
        <is>
          <t>6839830479021</t>
        </is>
      </c>
    </row>
    <row r="7842" hidden="1" ht="15.75" customHeight="1">
      <c r="A7842" s="2">
        <f>HYPERLINK("https://edmondsonsupply.com/collections/electricians-tools/products/diablo-tools-dmamx1020", "https://edmondsonsupply.com/collections/electricians-tools/products/diablo-tools-dmamx1020")</f>
        <v/>
      </c>
      <c r="B7842" s="2">
        <f>HYPERLINK("https://edmondsonsupply.com/products/diablo-tools-dmamx1020", "https://edmondsonsupply.com/products/diablo-tools-dmamx1020")</f>
        <v/>
      </c>
      <c r="C7842" t="inlineStr">
        <is>
          <t>Diablo Tools DMAMX1020 1/2 in. x 8 in. x 13 in. Rebar Demon SDS‑Max 4‑Cutter Full Carbide Head Hammer Bit</t>
        </is>
      </c>
      <c r="D7842" t="inlineStr">
        <is>
          <t>Diablo by Freud DMAPL4050 3/16 in. x 6 in. x 8 in. Rebar Demon SDS-Plus 4-Cutter Full Carbide Head Hammer Bit Multi, One Size</t>
        </is>
      </c>
      <c r="E7842" s="2">
        <f>HYPERLINK("https://www.amazon.com/Diablo-SDS-Plus-4-Cutter-Carbide-Hammer/dp/B089LKWR9L/ref=sr_1_43?keywords=Diablo+Tools+DMAMX1020+1%2F2+in.+x+8+in.+x+13+in.+Rebar+Demon+SDS%E2%80%91Max+4%E2%80%91Cutter+Full+Carbide+Head+Hammer+Bit&amp;qid=1694735268&amp;sr=8-43", "https://www.amazon.com/Diablo-SDS-Plus-4-Cutter-Carbide-Hammer/dp/B089LKWR9L/ref=sr_1_43?keywords=Diablo+Tools+DMAMX1020+1%2F2+in.+x+8+in.+x+13+in.+Rebar+Demon+SDS%E2%80%91Max+4%E2%80%91Cutter+Full+Carbide+Head+Hammer+Bit&amp;qid=1694735268&amp;sr=8-43")</f>
        <v/>
      </c>
      <c r="F7842" t="inlineStr">
        <is>
          <t>B089LKWR9L</t>
        </is>
      </c>
      <c r="G7842">
        <f>_xludf.IMAGE("https://edmondsonsupply.com/cdn/shop/products/DMAMX1020_Main-Image20200701.png?v=1609798895")</f>
        <v/>
      </c>
      <c r="H7842">
        <f>_xludf.IMAGE("https://m.media-amazon.com/images/I/61uukuKzJeL._AC_UL320_.jpg")</f>
        <v/>
      </c>
      <c r="K7842" t="inlineStr">
        <is>
          <t>39.97</t>
        </is>
      </c>
      <c r="L7842" t="n">
        <v>8.99</v>
      </c>
      <c r="M7842" s="1" t="inlineStr">
        <is>
          <t>-77.51%</t>
        </is>
      </c>
      <c r="N7842" s="1" t="n"/>
      <c r="O7842" t="n">
        <v>3.7</v>
      </c>
      <c r="P7842" t="n">
        <v>10</v>
      </c>
      <c r="R7842" t="inlineStr">
        <is>
          <t>InStock</t>
        </is>
      </c>
      <c r="S7842" t="inlineStr">
        <is>
          <t>42.31</t>
        </is>
      </c>
      <c r="T7842" t="inlineStr">
        <is>
          <t>5463822598312</t>
        </is>
      </c>
    </row>
    <row r="7843" ht="87" customHeight="1">
      <c r="A7843" s="2">
        <f>HYPERLINK("https://edmondsonsupply.com/collections/electricians-tools/products/klein-tools-647m-magnetic-nut-driver-set-6-inch-shafts-7-piece", "https://edmondsonsupply.com/collections/electricians-tools/products/klein-tools-647m-magnetic-nut-driver-set-6-inch-shafts-7-piece")</f>
        <v/>
      </c>
      <c r="B7843" s="2">
        <f>HYPERLINK("https://edmondsonsupply.com/products/klein-tools-647m-magnetic-nut-driver-set-6-inch-shafts-7-piece", "https://edmondsonsupply.com/products/klein-tools-647m-magnetic-nut-driver-set-6-inch-shafts-7-piece")</f>
        <v/>
      </c>
      <c r="C7843" t="inlineStr">
        <is>
          <t>Klein Tools 647M Magnetic Nut Driver Set, 6-Inch Shafts, 7-Piece</t>
        </is>
      </c>
      <c r="D7843" t="inlineStr">
        <is>
          <t>Klein Tools 610M Tool Set, Magnetic Nut Driver Set with Stubby Nut Driver Sizes 1/4 and 5/16-Inch, Full Hollow Shaft, 2-Piece</t>
        </is>
      </c>
      <c r="E7843" s="2">
        <f>HYPERLINK("https://www.amazon.com/Klein-Tools-610M-16-Inch-Magnetic/dp/B00093DZO6/ref=sr_1_13?keywords=Klein+Tools+647M+Magnetic+Nut+Driver+Set%2C+6-Inch+Shafts%2C+7-Piece&amp;qid=1694735271&amp;sr=8-13", "https://www.amazon.com/Klein-Tools-610M-16-Inch-Magnetic/dp/B00093DZO6/ref=sr_1_13?keywords=Klein+Tools+647M+Magnetic+Nut+Driver+Set%2C+6-Inch+Shafts%2C+7-Piece&amp;qid=1694735271&amp;sr=8-13")</f>
        <v/>
      </c>
      <c r="F7843" t="inlineStr">
        <is>
          <t>B00093DZO6</t>
        </is>
      </c>
      <c r="G7843">
        <f>_xlfn.IMAGE("https://edmondsonsupply.com/cdn/shop/products/647m.jpg?v=1633030530")</f>
        <v/>
      </c>
      <c r="H7843">
        <f>_xlfn.IMAGE("https://m.media-amazon.com/images/I/51lgiheW64L._AC_UL320_.jpg")</f>
        <v/>
      </c>
      <c r="K7843" t="inlineStr">
        <is>
          <t>79.99</t>
        </is>
      </c>
      <c r="L7843" t="n">
        <v>17.99</v>
      </c>
      <c r="M7843" s="1" t="inlineStr">
        <is>
          <t>-77.51%</t>
        </is>
      </c>
      <c r="N7843" s="7" t="n"/>
      <c r="O7843" t="n">
        <v>4.8</v>
      </c>
      <c r="P7843" t="n">
        <v>559</v>
      </c>
      <c r="R7843" t="inlineStr">
        <is>
          <t>InStock</t>
        </is>
      </c>
      <c r="S7843" t="inlineStr">
        <is>
          <t>117.72</t>
        </is>
      </c>
      <c r="T7843" t="inlineStr">
        <is>
          <t>5408872136872</t>
        </is>
      </c>
    </row>
    <row r="7844" ht="87" customHeight="1">
      <c r="A7844" s="2">
        <f>HYPERLINK("https://edmondsonsupply.com/collections/electricians-tools/products/klein-tools-635-6-nut-driver-set-magnetic-nut-drivers-heavy-duty-6-piece", "https://edmondsonsupply.com/collections/electricians-tools/products/klein-tools-635-6-nut-driver-set-magnetic-nut-drivers-heavy-duty-6-piece")</f>
        <v/>
      </c>
      <c r="B7844" s="2">
        <f>HYPERLINK("https://edmondsonsupply.com/products/klein-tools-635-6-nut-driver-set-magnetic-nut-drivers-heavy-duty-6-piece", "https://edmondsonsupply.com/products/klein-tools-635-6-nut-driver-set-magnetic-nut-drivers-heavy-duty-6-piece")</f>
        <v/>
      </c>
      <c r="C7844" t="inlineStr">
        <is>
          <t>Klein Tools 635-6 Nut Driver Set, Magnetic Nut Drivers, Heavy Duty, 6-Piece</t>
        </is>
      </c>
      <c r="D7844" t="inlineStr">
        <is>
          <t>Klein Tools 610M Tool Set, Magnetic Nut Driver Set with Stubby Nut Driver Sizes 1/4 and 5/16-Inch, Full Hollow Shaft, 2-Piece</t>
        </is>
      </c>
      <c r="E7844" s="2">
        <f>HYPERLINK("https://www.amazon.com/Klein-Tools-610M-16-Inch-Magnetic/dp/B00093DZO6/ref=sr_1_13?keywords=Klein+Tools+635-6+Nut+Driver+Set%2C+Magnetic+Nut+Drivers%2C+Heavy+Duty%2C+6-Piece&amp;qid=1694735220&amp;sr=8-13", "https://www.amazon.com/Klein-Tools-610M-16-Inch-Magnetic/dp/B00093DZO6/ref=sr_1_13?keywords=Klein+Tools+635-6+Nut+Driver+Set%2C+Magnetic+Nut+Drivers%2C+Heavy+Duty%2C+6-Piece&amp;qid=1694735220&amp;sr=8-13")</f>
        <v/>
      </c>
      <c r="F7844" t="inlineStr">
        <is>
          <t>B00093DZO6</t>
        </is>
      </c>
      <c r="G7844">
        <f>_xlfn.IMAGE("https://edmondsonsupply.com/cdn/shop/products/635-6.jpg?v=1633031003")</f>
        <v/>
      </c>
      <c r="H7844">
        <f>_xlfn.IMAGE("https://m.media-amazon.com/images/I/51lgiheW64L._AC_UL320_.jpg")</f>
        <v/>
      </c>
      <c r="K7844" t="inlineStr">
        <is>
          <t>79.99</t>
        </is>
      </c>
      <c r="L7844" t="n">
        <v>17.99</v>
      </c>
      <c r="M7844" s="1" t="inlineStr">
        <is>
          <t>-77.51%</t>
        </is>
      </c>
      <c r="N7844" s="7" t="n"/>
      <c r="O7844" t="n">
        <v>4.8</v>
      </c>
      <c r="P7844" t="n">
        <v>559</v>
      </c>
      <c r="R7844" t="inlineStr">
        <is>
          <t>InStock</t>
        </is>
      </c>
      <c r="S7844" t="inlineStr">
        <is>
          <t>121.2</t>
        </is>
      </c>
      <c r="T7844" t="inlineStr">
        <is>
          <t>6690795716781</t>
        </is>
      </c>
    </row>
    <row r="7845" ht="87" customHeight="1">
      <c r="A7845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845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845" t="inlineStr">
        <is>
          <t>Diablo Tools DMAPL4180-P25 1/2 in. x 4 in. x 6 in. Rebar Demon™ SDS-Plus 4-Cutter Full Carbide Head Hammer Bit (25 Pack)</t>
        </is>
      </c>
      <c r="D7845" t="inlineStr">
        <is>
          <t>Diablo by Freud DMAPL4270 27/32 in. x 8 in. x 10 in. Rebar Demon SDS-Plus 4-Cutter Full Carbide Head Hammer Bit</t>
        </is>
      </c>
      <c r="E7845" s="2" t="n"/>
      <c r="F7845" t="inlineStr">
        <is>
          <t>B089KXBGLM</t>
        </is>
      </c>
      <c r="G7845">
        <f>_xlfn.IMAGE("https://edmondsonsupply.com/cdn/shop/products/DMAPL4180-P25_Additional-Images_0120200331.png?v=1633030573")</f>
        <v/>
      </c>
      <c r="H7845">
        <f>_xlfn.IMAGE("https://m.media-amazon.com/images/I/611A6sphG9L._AC_UL320_.jpg")</f>
        <v/>
      </c>
      <c r="K7845" t="inlineStr">
        <is>
          <t>133.97</t>
        </is>
      </c>
      <c r="L7845" t="n">
        <v>30.13</v>
      </c>
      <c r="M7845" s="1" t="inlineStr">
        <is>
          <t>-77.51%</t>
        </is>
      </c>
      <c r="N7845" s="7" t="n"/>
      <c r="O7845" t="n">
        <v>5</v>
      </c>
      <c r="P7845" t="n">
        <v>2</v>
      </c>
      <c r="R7845" t="inlineStr">
        <is>
          <t>InStock</t>
        </is>
      </c>
      <c r="S7845" t="inlineStr">
        <is>
          <t>193.66</t>
        </is>
      </c>
      <c r="T7845" t="inlineStr">
        <is>
          <t>5524246659240</t>
        </is>
      </c>
    </row>
    <row r="7846" ht="87" customHeight="1">
      <c r="A7846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846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846" t="inlineStr">
        <is>
          <t>Diablo Tools DMAMX1360 1-1/2 in. x 16 in. x 21 in. Rebar Demon™ SDS-Max 4-Cutter Carbide-Tipped Hammer Drill Bit</t>
        </is>
      </c>
      <c r="D7846" t="inlineStr">
        <is>
          <t>Diablo DMAMX1050 9/16 in. x 8 in. x 13 in. Rebar Demon™ SDS-Max 4-Cutter Full Carbide Head Hammer Bit</t>
        </is>
      </c>
      <c r="E7846" s="2">
        <f>HYPERLINK("https://www.amazon.com/Diablo-SDS-Max-4-Cutter-Carbide-Hammer/dp/B089LK4F2D/ref=sr_1_26?keywords=Diablo+Tools+DMAMX1360+1-1%2F2+in.+x+16+in.+x+21+in.+Rebar+Demon%E2%84%A2+SDS-Max+4-Cutter+Carbide-Tipped+Hammer+Drill+Bit&amp;qid=1694735042&amp;sr=8-26", "https://www.amazon.com/Diablo-SDS-Max-4-Cutter-Carbide-Hammer/dp/B089LK4F2D/ref=sr_1_26?keywords=Diablo+Tools+DMAMX1360+1-1%2F2+in.+x+16+in.+x+21+in.+Rebar+Demon%E2%84%A2+SDS-Max+4-Cutter+Carbide-Tipped+Hammer+Drill+Bit&amp;qid=1694735042&amp;sr=8-26")</f>
        <v/>
      </c>
      <c r="F7846" t="inlineStr">
        <is>
          <t>B089LK4F2D</t>
        </is>
      </c>
      <c r="G7846">
        <f>_xlfn.IMAGE("https://edmondsonsupply.com/cdn/shop/products/z2umcsdaj3y4uvsfnxoh.webp?v=1677257156")</f>
        <v/>
      </c>
      <c r="H7846">
        <f>_xlfn.IMAGE("https://m.media-amazon.com/images/I/61jYhd4-UbL._AC_UL320_.jpg")</f>
        <v/>
      </c>
      <c r="K7846" t="inlineStr">
        <is>
          <t>93.87</t>
        </is>
      </c>
      <c r="L7846" t="n">
        <v>20.99</v>
      </c>
      <c r="M7846" s="1" t="inlineStr">
        <is>
          <t>-77.64%</t>
        </is>
      </c>
      <c r="N7846" s="7" t="n"/>
      <c r="O7846" t="n">
        <v>5</v>
      </c>
      <c r="P7846" t="n">
        <v>1</v>
      </c>
      <c r="R7846" t="inlineStr">
        <is>
          <t>InStock</t>
        </is>
      </c>
      <c r="S7846" t="inlineStr">
        <is>
          <t>149.01</t>
        </is>
      </c>
      <c r="T7846" t="inlineStr">
        <is>
          <t>7950786855128</t>
        </is>
      </c>
    </row>
    <row r="7847" ht="87" customHeight="1">
      <c r="A7847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847" s="2">
        <f>HYPERLINK("https://edmondsonsupply.com/products/klein-tools-nrhd4-4-in-1-square-impact-socket", "https://edmondsonsupply.com/products/klein-tools-nrhd4-4-in-1-square-impact-socket")</f>
        <v/>
      </c>
      <c r="C7847" t="inlineStr">
        <is>
          <t>Klein Tools NRHD4 4-in-1 Square Impact Socket</t>
        </is>
      </c>
      <c r="D7847" t="inlineStr">
        <is>
          <t>Klein Tools 66001 2-in-1 Impact Socket, Socket Wrench Sizes 3/4-Inch and 9/16-Inch Hex, 12-Point Deep Socket with 1/2-Inch Drive</t>
        </is>
      </c>
      <c r="E7847" s="2">
        <f>HYPERLINK("https://www.amazon.com/Klein-Tools-66001-12-Point-16-Inch/dp/B078NHVXWK/ref=sr_1_6?keywords=Klein+Tools+NRHD4+4-in-1+Square+Impact+Socket&amp;qid=1694735425&amp;sr=8-6", "https://www.amazon.com/Klein-Tools-66001-12-Point-16-Inch/dp/B078NHVXWK/ref=sr_1_6?keywords=Klein+Tools+NRHD4+4-in-1+Square+Impact+Socket&amp;qid=1694735425&amp;sr=8-6")</f>
        <v/>
      </c>
      <c r="F7847" t="inlineStr">
        <is>
          <t>B078NHVXWK</t>
        </is>
      </c>
      <c r="G7847">
        <f>_xlfn.IMAGE("https://edmondsonsupply.com/cdn/shop/products/nrhd4.jpg?v=1587150980")</f>
        <v/>
      </c>
      <c r="H7847">
        <f>_xlfn.IMAGE("https://m.media-amazon.com/images/I/31AlECG12iL._AC_UL320_.jpg")</f>
        <v/>
      </c>
      <c r="K7847" t="inlineStr">
        <is>
          <t>179.99</t>
        </is>
      </c>
      <c r="L7847" t="n">
        <v>39.99</v>
      </c>
      <c r="M7847" s="1" t="inlineStr">
        <is>
          <t>-77.78%</t>
        </is>
      </c>
      <c r="N7847" s="7" t="n"/>
      <c r="O7847" t="n">
        <v>4.8</v>
      </c>
      <c r="P7847" t="n">
        <v>753</v>
      </c>
      <c r="R7847" t="inlineStr">
        <is>
          <t>InStock</t>
        </is>
      </c>
      <c r="S7847" t="inlineStr">
        <is>
          <t>291.34</t>
        </is>
      </c>
      <c r="T7847" t="inlineStr">
        <is>
          <t>4396986433636</t>
        </is>
      </c>
    </row>
    <row r="7848" hidden="1" ht="15.75" customHeight="1">
      <c r="A7848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7848" s="2">
        <f>HYPERLINK("https://edmondsonsupply.com/products/klein-tools-31856-1-1-8-inch-carbide-hole-cutter", "https://edmondsonsupply.com/products/klein-tools-31856-1-1-8-inch-carbide-hole-cutter")</f>
        <v/>
      </c>
      <c r="C7848" t="inlineStr">
        <is>
          <t>Klein Tools 31856 1-1/8-Inch Carbide Hole Cutter</t>
        </is>
      </c>
      <c r="D7848" t="inlineStr">
        <is>
          <t>Klein Tools 31874 Replacement Hole Cutter Pilot Bit</t>
        </is>
      </c>
      <c r="E7848" s="2">
        <f>HYPERLINK("https://www.amazon.com/Replacement-Cutter-Klein-Tools-31874/dp/B005ZU4F7E/ref=sr_1_14?keywords=Klein+Tools+31856+1-1%2F8-Inch+Carbide+Hole+Cutter&amp;qid=1694734994&amp;sr=8-14", "https://www.amazon.com/Replacement-Cutter-Klein-Tools-31874/dp/B005ZU4F7E/ref=sr_1_14?keywords=Klein+Tools+31856+1-1%2F8-Inch+Carbide+Hole+Cutter&amp;qid=1694734994&amp;sr=8-14")</f>
        <v/>
      </c>
      <c r="F7848" t="inlineStr">
        <is>
          <t>B005ZU4F7E</t>
        </is>
      </c>
      <c r="G7848">
        <f>_xludf.IMAGE("https://edmondsonsupply.com/cdn/shop/files/31856.jpg?v=1685712345")</f>
        <v/>
      </c>
      <c r="H7848">
        <f>_xludf.IMAGE("https://m.media-amazon.com/images/I/41gCuWi05EL._AC_UL320_.jpg")</f>
        <v/>
      </c>
      <c r="K7848" t="inlineStr">
        <is>
          <t>35.99</t>
        </is>
      </c>
      <c r="L7848" t="n">
        <v>7.99</v>
      </c>
      <c r="M7848" s="1" t="inlineStr">
        <is>
          <t>-77.80%</t>
        </is>
      </c>
      <c r="N7848" s="1" t="n"/>
      <c r="O7848" t="n">
        <v>4.7</v>
      </c>
      <c r="P7848" t="n">
        <v>561</v>
      </c>
      <c r="R7848" t="inlineStr">
        <is>
          <t>InStock</t>
        </is>
      </c>
      <c r="S7848" t="inlineStr">
        <is>
          <t>50.38</t>
        </is>
      </c>
      <c r="T7848" t="inlineStr">
        <is>
          <t>7999529910488</t>
        </is>
      </c>
    </row>
    <row r="7849" hidden="1" ht="15.75" customHeight="1">
      <c r="A7849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7849" s="2">
        <f>HYPERLINK("https://edmondsonsupply.com/products/klein-tools-31856-1-1-8-inch-carbide-hole-cutter", "https://edmondsonsupply.com/products/klein-tools-31856-1-1-8-inch-carbide-hole-cutter")</f>
        <v/>
      </c>
      <c r="C7849" t="inlineStr">
        <is>
          <t>Klein Tools 31856 1-1/8-Inch Carbide Hole Cutter</t>
        </is>
      </c>
      <c r="D7849" t="inlineStr">
        <is>
          <t>ASNOMY Tungsten Carbide Tipped Hole Saw Drill Bit for Hard Metal, 1-1/8 Inch T.C.T Hole Saw Cutter with 2pcs Titanium-Plated Pilot Drill bit for Metal, Steel, Iron, Wood, Plastic</t>
        </is>
      </c>
      <c r="E7849" s="2">
        <f>HYPERLINK("https://www.amazon.com/ASNOMY-Tungsten-Carbide-Titanium-Plated-Plastic/dp/B096FNS45K/ref=sr_1_19?keywords=Klein+Tools+31856+1-1%2F8-Inch+Carbide+Hole+Cutter&amp;qid=1694734994&amp;sr=8-19", "https://www.amazon.com/ASNOMY-Tungsten-Carbide-Titanium-Plated-Plastic/dp/B096FNS45K/ref=sr_1_19?keywords=Klein+Tools+31856+1-1%2F8-Inch+Carbide+Hole+Cutter&amp;qid=1694734994&amp;sr=8-19")</f>
        <v/>
      </c>
      <c r="F7849" t="inlineStr">
        <is>
          <t>B096FNS45K</t>
        </is>
      </c>
      <c r="G7849">
        <f>_xludf.IMAGE("https://edmondsonsupply.com/cdn/shop/files/31856.jpg?v=1685712345")</f>
        <v/>
      </c>
      <c r="H7849">
        <f>_xludf.IMAGE("https://m.media-amazon.com/images/I/51dDMdgdtSS._AC_UL320_.jpg")</f>
        <v/>
      </c>
      <c r="K7849" t="inlineStr">
        <is>
          <t>35.99</t>
        </is>
      </c>
      <c r="L7849" t="n">
        <v>7.99</v>
      </c>
      <c r="M7849" s="1" t="inlineStr">
        <is>
          <t>-77.80%</t>
        </is>
      </c>
      <c r="N7849" s="1" t="n"/>
      <c r="O7849" t="n">
        <v>4.3</v>
      </c>
      <c r="P7849" t="n">
        <v>891</v>
      </c>
      <c r="R7849" t="inlineStr">
        <is>
          <t>InStock</t>
        </is>
      </c>
      <c r="S7849" t="inlineStr">
        <is>
          <t>50.38</t>
        </is>
      </c>
      <c r="T7849" t="inlineStr">
        <is>
          <t>7999529910488</t>
        </is>
      </c>
    </row>
    <row r="7850" hidden="1" ht="15.75" customHeight="1">
      <c r="A7850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850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850" t="inlineStr">
        <is>
          <t>Klein Tools 32288 8-in-1 Insulated Interchangeable Screwdriver Set</t>
        </is>
      </c>
      <c r="D7850" t="inlineStr">
        <is>
          <t>Klein Tools 32585 Multi-bit Precision Screwdriver Set, 4-in-1 Electronics Screwdriver with Industrial Strength Torx Bits, Spin Top</t>
        </is>
      </c>
      <c r="E7850" s="2">
        <f>HYPERLINK("https://www.amazon.com/Electronics-Screwdriver-Klein-Tools-32585/dp/B0775ZJ15F/ref=sr_1_38?keywords=Klein+Tools+32288+8-in-1+Insulated+Interchangeable+Screwdriver+Set&amp;qid=1694734974&amp;sr=8-38", "https://www.amazon.com/Electronics-Screwdriver-Klein-Tools-32585/dp/B0775ZJ15F/ref=sr_1_38?keywords=Klein+Tools+32288+8-in-1+Insulated+Interchangeable+Screwdriver+Set&amp;qid=1694734974&amp;sr=8-38")</f>
        <v/>
      </c>
      <c r="F7850" t="inlineStr">
        <is>
          <t>B0775ZJ15F</t>
        </is>
      </c>
      <c r="G7850">
        <f>_xludf.IMAGE("https://edmondsonsupply.com/cdn/shop/products/32288.jpg?v=1587146849")</f>
        <v/>
      </c>
      <c r="H7850">
        <f>_xludf.IMAGE("https://m.media-amazon.com/images/I/31zFb-nVifL._AC_UL320_.jpg")</f>
        <v/>
      </c>
      <c r="K7850" t="inlineStr">
        <is>
          <t>49.99</t>
        </is>
      </c>
      <c r="L7850" t="n">
        <v>10.97</v>
      </c>
      <c r="M7850" s="1" t="inlineStr">
        <is>
          <t>-78.06%</t>
        </is>
      </c>
      <c r="N7850" s="1" t="n"/>
      <c r="O7850" t="n">
        <v>4.7</v>
      </c>
      <c r="P7850" t="n">
        <v>568</v>
      </c>
      <c r="R7850" t="inlineStr">
        <is>
          <t>InStock</t>
        </is>
      </c>
      <c r="S7850" t="inlineStr">
        <is>
          <t>69.98</t>
        </is>
      </c>
      <c r="T7850" t="inlineStr">
        <is>
          <t>4094849613924</t>
        </is>
      </c>
    </row>
    <row r="7851" ht="87" customHeight="1">
      <c r="A7851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851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851" t="inlineStr">
        <is>
          <t>Diablo Tools DMAPL4070-P25 1/4 in. x 4 in. x 6 in. Rebar Demon™ SDS-Plus 4-Cutter Full Carbide Head Hammer Bit (25-Pack)</t>
        </is>
      </c>
      <c r="D7851" t="inlineStr">
        <is>
          <t>Diablo by Freud Diablo DMAPL4190 1/2 in. x 10 in. x 12 in. Rebar Demon SDS-Plus 4-Cutter Full Carbide Head Hammer Bit</t>
        </is>
      </c>
      <c r="E7851" s="2" t="n"/>
      <c r="F7851" t="inlineStr">
        <is>
          <t>B089LJZ25M</t>
        </is>
      </c>
      <c r="G7851">
        <f>_xlfn.IMAGE("https://edmondsonsupply.com/cdn/shop/products/DMAPL4070.jpg?v=1633030350")</f>
        <v/>
      </c>
      <c r="H7851">
        <f>_xlfn.IMAGE("https://m.media-amazon.com/images/I/61dzudnwI8L._AC_UL320_.jpg")</f>
        <v/>
      </c>
      <c r="K7851" t="inlineStr">
        <is>
          <t>79.47</t>
        </is>
      </c>
      <c r="L7851" t="n">
        <v>17.41</v>
      </c>
      <c r="M7851" s="1" t="inlineStr">
        <is>
          <t>-78.09%</t>
        </is>
      </c>
      <c r="N7851" s="7" t="n"/>
      <c r="O7851" t="n">
        <v>4.6</v>
      </c>
      <c r="P7851" t="n">
        <v>43</v>
      </c>
      <c r="R7851" t="inlineStr">
        <is>
          <t>InStock</t>
        </is>
      </c>
      <c r="S7851" t="inlineStr">
        <is>
          <t>106.66</t>
        </is>
      </c>
      <c r="T7851" t="inlineStr">
        <is>
          <t>5283065069736</t>
        </is>
      </c>
    </row>
    <row r="7852" ht="87" customHeight="1">
      <c r="A7852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852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852" t="inlineStr">
        <is>
          <t>Diablo Tools DMAPL4080-P25 1/4 in. x 6 in. x 8 in. Rebar Demon™ SDS-Plus 4-Cutter Full Carbide Head Hammer Bit (25 Pack)</t>
        </is>
      </c>
      <c r="D7852" t="inlineStr">
        <is>
          <t>Diablo by Freud DMAPL4230 5/8 in. x 10 in. x 12 in. Rebar Demon SDS-Plus 4-Cutter Full Carbide Head Hammer Bit</t>
        </is>
      </c>
      <c r="E7852" s="2" t="n"/>
      <c r="F7852" t="inlineStr">
        <is>
          <t>B089LCN234</t>
        </is>
      </c>
      <c r="G7852">
        <f>_xlfn.IMAGE("https://edmondsonsupply.com/cdn/shop/products/DMAPL4080-P25_Main-Image20200701.png?v=1633030623")</f>
        <v/>
      </c>
      <c r="H7852">
        <f>_xlfn.IMAGE("https://m.media-amazon.com/images/I/61r649wmyhL._AC_UL320_.jpg")</f>
        <v/>
      </c>
      <c r="K7852" t="inlineStr">
        <is>
          <t>99.97</t>
        </is>
      </c>
      <c r="L7852" t="n">
        <v>21.86</v>
      </c>
      <c r="M7852" s="1" t="inlineStr">
        <is>
          <t>-78.13%</t>
        </is>
      </c>
      <c r="N7852" s="7" t="n"/>
      <c r="O7852" t="n">
        <v>4.7</v>
      </c>
      <c r="P7852" t="n">
        <v>47</v>
      </c>
      <c r="R7852" t="inlineStr">
        <is>
          <t>InStock</t>
        </is>
      </c>
      <c r="S7852" t="inlineStr">
        <is>
          <t>144.22</t>
        </is>
      </c>
      <c r="T7852" t="inlineStr">
        <is>
          <t>5660158918824</t>
        </is>
      </c>
    </row>
    <row r="7853" ht="87" customHeight="1">
      <c r="A7853" s="2">
        <f>HYPERLINK("https://edmondsonsupply.com/collections/electricians-tools/products/klein-tools-56341-stainless-steel-fish-tape-1-8-inch-x-240-foot", "https://edmondsonsupply.com/collections/electricians-tools/products/klein-tools-56341-stainless-steel-fish-tape-1-8-inch-x-240-foot")</f>
        <v/>
      </c>
      <c r="B7853" s="2">
        <f>HYPERLINK("https://edmondsonsupply.com/products/klein-tools-56341-stainless-steel-fish-tape-1-8-inch-x-240-foot", "https://edmondsonsupply.com/products/klein-tools-56341-stainless-steel-fish-tape-1-8-inch-x-240-foot")</f>
        <v/>
      </c>
      <c r="C7853" t="inlineStr">
        <is>
          <t>Klein Tools 56341 Stainless Steel Fish Tape, 1/8-Inch x 240-Foot</t>
        </is>
      </c>
      <c r="D7853" t="inlineStr">
        <is>
          <t>Klein Tools 56331 Electrical Fish Tape, Steel Wire Puller with Double Loop Tip, Optimized Housing and Handle, 1/8-Inch x 50-Foot</t>
        </is>
      </c>
      <c r="E7853" s="2">
        <f>HYPERLINK("https://www.amazon.com/Klein-Tools-56331-Optimized-Housing/dp/B081TVR4N7/ref=sr_1_6?keywords=Klein+Tools+56341+Stainless+Steel+Fish+Tape%2C+1%2F8-Inch+x+240-Foot&amp;qid=1694735094&amp;sr=8-6", "https://www.amazon.com/Klein-Tools-56331-Optimized-Housing/dp/B081TVR4N7/ref=sr_1_6?keywords=Klein+Tools+56341+Stainless+Steel+Fish+Tape%2C+1%2F8-Inch+x+240-Foot&amp;qid=1694735094&amp;sr=8-6")</f>
        <v/>
      </c>
      <c r="F7853" t="inlineStr">
        <is>
          <t>B081TVR4N7</t>
        </is>
      </c>
      <c r="G7853">
        <f>_xlfn.IMAGE("https://edmondsonsupply.com/cdn/shop/products/56341.jpg?v=1666901345")</f>
        <v/>
      </c>
      <c r="H7853">
        <f>_xlfn.IMAGE("https://m.media-amazon.com/images/I/71Wab7hH7jS._AC_UL320_.jpg")</f>
        <v/>
      </c>
      <c r="K7853" t="inlineStr">
        <is>
          <t>114.99</t>
        </is>
      </c>
      <c r="L7853" t="n">
        <v>24.99</v>
      </c>
      <c r="M7853" s="1" t="inlineStr">
        <is>
          <t>-78.27%</t>
        </is>
      </c>
      <c r="N7853" s="7" t="n"/>
      <c r="O7853" t="n">
        <v>4.6</v>
      </c>
      <c r="P7853" t="n">
        <v>5174</v>
      </c>
      <c r="R7853" t="inlineStr">
        <is>
          <t>InStock</t>
        </is>
      </c>
      <c r="S7853" t="inlineStr">
        <is>
          <t>168.08</t>
        </is>
      </c>
      <c r="T7853" t="inlineStr">
        <is>
          <t>7867914944728</t>
        </is>
      </c>
    </row>
    <row r="7854" ht="87" customHeight="1">
      <c r="A7854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854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854" t="inlineStr">
        <is>
          <t>Diablo Tools DMAPL4140-P25 3/8 in. x 4 in. x 6 in. Rebar Demon™ SDS-Plus 4-Cutter Full Carbide Head Hammer Bit (25-Pack)</t>
        </is>
      </c>
      <c r="D7854" t="inlineStr">
        <is>
          <t>Diablo by Freud DMAPL4200 1/2 in. x 16 in. x 18 in. Rebar Demon SDS-Plus 4-Cutter Full Carbide Head Hammer Bit</t>
        </is>
      </c>
      <c r="E7854" s="2" t="n"/>
      <c r="F7854" t="inlineStr">
        <is>
          <t>B089KW2QV1</t>
        </is>
      </c>
      <c r="G7854">
        <f>_xlfn.IMAGE("https://edmondsonsupply.com/cdn/shop/products/DMAPL4140-P25.jpg?v=1633030354")</f>
        <v/>
      </c>
      <c r="H7854">
        <f>_xlfn.IMAGE("https://m.media-amazon.com/images/I/61rW+ROVmNL._AC_UL320_.jpg")</f>
        <v/>
      </c>
      <c r="K7854" t="inlineStr">
        <is>
          <t>105.97</t>
        </is>
      </c>
      <c r="L7854" t="n">
        <v>23</v>
      </c>
      <c r="M7854" s="1" t="inlineStr">
        <is>
          <t>-78.30%</t>
        </is>
      </c>
      <c r="N7854" s="7" t="n"/>
      <c r="O7854" t="n">
        <v>4.7</v>
      </c>
      <c r="P7854" t="n">
        <v>18</v>
      </c>
      <c r="R7854" t="inlineStr">
        <is>
          <t>InStock</t>
        </is>
      </c>
      <c r="S7854" t="inlineStr">
        <is>
          <t>153.56</t>
        </is>
      </c>
      <c r="T7854" t="inlineStr">
        <is>
          <t>5286131794088</t>
        </is>
      </c>
    </row>
    <row r="7855" hidden="1" ht="15.75" customHeight="1">
      <c r="A7855" s="2">
        <f>HYPERLINK("https://edmondsonsupply.com/collections/electricians-tools/products/diablo-tools-dmamx1090-5-8", "https://edmondsonsupply.com/collections/electricians-tools/products/diablo-tools-dmamx1090-5-8")</f>
        <v/>
      </c>
      <c r="B7855" s="2">
        <f>HYPERLINK("https://edmondsonsupply.com/products/diablo-tools-dmamx1090-5-8", "https://edmondsonsupply.com/products/diablo-tools-dmamx1090-5-8")</f>
        <v/>
      </c>
      <c r="C7855" t="inlineStr">
        <is>
          <t>Diablo Tools DMAMX1090 5/8 in. x 8 in. x 13 in. Rebar Demon SDS‑Max 4‑Cutter Full Carbide Head Hammer Bit</t>
        </is>
      </c>
      <c r="D7855" t="inlineStr">
        <is>
          <t>Diablo by Freud DMAPL4050 3/16 in. x 6 in. x 8 in. Rebar Demon SDS-Plus 4-Cutter Full Carbide Head Hammer Bit Multi, One Size</t>
        </is>
      </c>
      <c r="E7855" s="2">
        <f>HYPERLINK("https://www.amazon.com/Diablo-SDS-Plus-4-Cutter-Carbide-Hammer/dp/B089LKWR9L/ref=sr_1_42?keywords=Diablo+Tools+DMAMX1090+5%2F8+in.+x+8+in.+x+13+in.+Rebar+Demon+SDS%E2%80%91Max+4%E2%80%91Cutter+Full+Carbide+Head+Hammer+Bit&amp;qid=1694735267&amp;sr=8-42", "https://www.amazon.com/Diablo-SDS-Plus-4-Cutter-Carbide-Hammer/dp/B089LKWR9L/ref=sr_1_42?keywords=Diablo+Tools+DMAMX1090+5%2F8+in.+x+8+in.+x+13+in.+Rebar+Demon+SDS%E2%80%91Max+4%E2%80%91Cutter+Full+Carbide+Head+Hammer+Bit&amp;qid=1694735267&amp;sr=8-42")</f>
        <v/>
      </c>
      <c r="F7855" t="inlineStr">
        <is>
          <t>B089LKWR9L</t>
        </is>
      </c>
      <c r="G7855">
        <f>_xludf.IMAGE("https://edmondsonsupply.com/cdn/shop/products/DMAMX1090_Main-Image20200701.png?v=1609799247")</f>
        <v/>
      </c>
      <c r="H7855">
        <f>_xludf.IMAGE("https://m.media-amazon.com/images/I/61uukuKzJeL._AC_UL320_.jpg")</f>
        <v/>
      </c>
      <c r="K7855" t="inlineStr">
        <is>
          <t>41.97</t>
        </is>
      </c>
      <c r="L7855" t="n">
        <v>8.99</v>
      </c>
      <c r="M7855" s="1" t="inlineStr">
        <is>
          <t>-78.58%</t>
        </is>
      </c>
      <c r="N7855" s="1" t="n"/>
      <c r="O7855" t="n">
        <v>3.7</v>
      </c>
      <c r="P7855" t="n">
        <v>10</v>
      </c>
      <c r="R7855" t="inlineStr">
        <is>
          <t>InStock</t>
        </is>
      </c>
      <c r="S7855" t="inlineStr">
        <is>
          <t>48.13</t>
        </is>
      </c>
      <c r="T7855" t="inlineStr">
        <is>
          <t>5463856447656</t>
        </is>
      </c>
    </row>
    <row r="7856" ht="87" customHeight="1">
      <c r="A7856" s="2">
        <f>HYPERLINK("https://edmondsonsupply.com/collections/electricians-tools/products/milwaukee-48-11-2411-m12-redlithium%E2%84%A2-compact-battery-two-pack", "https://edmondsonsupply.com/collections/electricians-tools/products/milwaukee-48-11-2411-m12-redlithium%E2%84%A2-compact-battery-two-pack")</f>
        <v/>
      </c>
      <c r="B7856" s="2">
        <f>HYPERLINK("https://edmondsonsupply.com/products/milwaukee-48-11-2411-m12-redlithium%e2%84%a2-compact-battery-two-pack", "https://edmondsonsupply.com/products/milwaukee-48-11-2411-m12-redlithium%e2%84%a2-compact-battery-two-pack")</f>
        <v/>
      </c>
      <c r="C7856" t="inlineStr">
        <is>
          <t>Milwaukee 48-11-2411 M12 REDLITHIUM™ Compact Battery Two Pack</t>
        </is>
      </c>
      <c r="D7856" t="inlineStr">
        <is>
          <t>KINGTIANLE 2 Pack M12 3.0Ah Replacement Battery for Milwaukee 12V M12 Lithium Ion Battery Xc 48-11-2420 48-11-2440 48-11-2402 48-11-2411 48-11-2412 Cordlees Power Tools</t>
        </is>
      </c>
      <c r="E7856" s="2">
        <f>HYPERLINK("https://www.amazon.com/Replacement-48-11-2420-48-11-2440-48-11-2402-48-11-2411/dp/B08H5F4FDF/ref=sr_1_27?keywords=Milwaukee+48-11-2411+M12+REDLITHIUM%E2%84%A2+Compact+Battery+Two+Pack&amp;qid=1694735145&amp;sr=8-27", "https://www.amazon.com/Replacement-48-11-2420-48-11-2440-48-11-2402-48-11-2411/dp/B08H5F4FDF/ref=sr_1_27?keywords=Milwaukee+48-11-2411+M12+REDLITHIUM%E2%84%A2+Compact+Battery+Two+Pack&amp;qid=1694735145&amp;sr=8-27")</f>
        <v/>
      </c>
      <c r="F7856" t="inlineStr">
        <is>
          <t>B08H5F4FDF</t>
        </is>
      </c>
      <c r="G7856">
        <f>_xlfn.IMAGE("https://edmondsonsupply.com/cdn/shop/products/65014_48-11-2411-lg.jpg?v=1655484824")</f>
        <v/>
      </c>
      <c r="H7856">
        <f>_xlfn.IMAGE("https://m.media-amazon.com/images/I/71cGUkJ7ZzL._AC_UL320_.jpg")</f>
        <v/>
      </c>
      <c r="K7856" t="inlineStr">
        <is>
          <t>89.0</t>
        </is>
      </c>
      <c r="L7856" t="n">
        <v>18.99</v>
      </c>
      <c r="M7856" s="1" t="inlineStr">
        <is>
          <t>-78.66%</t>
        </is>
      </c>
      <c r="N7856" s="7" t="n"/>
      <c r="O7856" t="n">
        <v>4.2</v>
      </c>
      <c r="P7856" t="n">
        <v>530</v>
      </c>
      <c r="R7856" t="inlineStr">
        <is>
          <t>OutOfStock</t>
        </is>
      </c>
      <c r="S7856" t="inlineStr">
        <is>
          <t>150.0</t>
        </is>
      </c>
      <c r="T7856" t="inlineStr">
        <is>
          <t>7721456795864</t>
        </is>
      </c>
    </row>
    <row r="7857" hidden="1" ht="15.75" customHeight="1">
      <c r="A7857" s="2">
        <f>HYPERLINK("https://edmondsonsupply.com/collections/electricians-tools/products/diablo-tools-dmapl9920-s7-7pc-rebar-demon%E2%84%A2-sds-plus-4-cutter-full-carbide-head-hammer-bit-set", "https://edmondsonsupply.com/collections/electricians-tools/products/diablo-tools-dmapl9920-s7-7pc-rebar-demon%E2%84%A2-sds-plus-4-cutter-full-carbide-head-hammer-bit-set")</f>
        <v/>
      </c>
      <c r="B7857" s="2">
        <f>HYPERLINK("https://edmondsonsupply.com/products/diablo-tools-dmapl9920-s7-7pc-rebar-demon%e2%84%a2-sds-plus-4-cutter-full-carbide-head-hammer-bit-set", "https://edmondsonsupply.com/products/diablo-tools-dmapl9920-s7-7pc-rebar-demon%e2%84%a2-sds-plus-4-cutter-full-carbide-head-hammer-bit-set")</f>
        <v/>
      </c>
      <c r="C7857" t="inlineStr">
        <is>
          <t>Diablo Tools DMAPL9920-S7 7pc Rebar Demon™ SDS-Plus 4-Cutter Full Carbide Head Hammer Bit Set</t>
        </is>
      </c>
      <c r="D7857" t="inlineStr">
        <is>
          <t>Diablo 3/16" x 4"x6" Rebar Demon™ SDS-Plus 4-Cutter Full Carbide Head Hammer Bit</t>
        </is>
      </c>
      <c r="E7857" s="2">
        <f>HYPERLINK("https://www.amazon.com/Diablo-Freud-DMAPL4040-SDS-Plus-4-Cutter/dp/B089L9LMZX/ref=sr_1_10?keywords=Diablo+Tools+DMAPL9920-S7+7pc+Rebar+Demon%E2%84%A2+SDS-Plus+4-Cutter+Full+Carbide+Head+Hammer+Bit+Set&amp;qid=1694735019&amp;sr=8-10", "https://www.amazon.com/Diablo-Freud-DMAPL4040-SDS-Plus-4-Cutter/dp/B089L9LMZX/ref=sr_1_10?keywords=Diablo+Tools+DMAPL9920-S7+7pc+Rebar+Demon%E2%84%A2+SDS-Plus+4-Cutter+Full+Carbide+Head+Hammer+Bit+Set&amp;qid=1694735019&amp;sr=8-10")</f>
        <v/>
      </c>
      <c r="F7857" t="inlineStr">
        <is>
          <t>B089L9LMZX</t>
        </is>
      </c>
      <c r="G7857">
        <f>_xludf.IMAGE("https://edmondsonsupply.com/cdn/shop/products/vgtm2xrrra4yfevsszgf.webp?v=1679328619")</f>
        <v/>
      </c>
      <c r="H7857">
        <f>_xludf.IMAGE("https://m.media-amazon.com/images/I/61WAyx865hL._AC_UL320_.jpg")</f>
        <v/>
      </c>
      <c r="K7857" t="inlineStr">
        <is>
          <t>37.97</t>
        </is>
      </c>
      <c r="L7857" t="n">
        <v>8.08</v>
      </c>
      <c r="M7857" s="1" t="inlineStr">
        <is>
          <t>-78.72%</t>
        </is>
      </c>
      <c r="N7857" s="1" t="n"/>
      <c r="O7857" t="n">
        <v>4.6</v>
      </c>
      <c r="P7857" t="n">
        <v>58</v>
      </c>
      <c r="R7857" t="inlineStr">
        <is>
          <t>InStock</t>
        </is>
      </c>
      <c r="S7857" t="inlineStr">
        <is>
          <t>55.56</t>
        </is>
      </c>
      <c r="T7857" t="inlineStr">
        <is>
          <t>7964936995032</t>
        </is>
      </c>
    </row>
    <row r="7858" ht="87" customHeight="1">
      <c r="A7858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858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858" t="inlineStr">
        <is>
          <t>Diablo Tools DMAPL4140-P25 3/8 in. x 4 in. x 6 in. Rebar Demon™ SDS-Plus 4-Cutter Full Carbide Head Hammer Bit (25-Pack)</t>
        </is>
      </c>
      <c r="D7858" t="inlineStr">
        <is>
          <t>Diablo by Freud DMAPL4230 5/8 in. x 10 in. x 12 in. Rebar Demon SDS-Plus 4-Cutter Full Carbide Head Hammer Bit</t>
        </is>
      </c>
      <c r="E7858" s="2" t="n"/>
      <c r="F7858" t="inlineStr">
        <is>
          <t>B089LCN234</t>
        </is>
      </c>
      <c r="G7858">
        <f>_xlfn.IMAGE("https://edmondsonsupply.com/cdn/shop/products/DMAPL4140-P25.jpg?v=1633030354")</f>
        <v/>
      </c>
      <c r="H7858">
        <f>_xlfn.IMAGE("https://m.media-amazon.com/images/I/61r649wmyhL._AC_UL320_.jpg")</f>
        <v/>
      </c>
      <c r="K7858" t="inlineStr">
        <is>
          <t>105.97</t>
        </is>
      </c>
      <c r="L7858" t="n">
        <v>22.51</v>
      </c>
      <c r="M7858" s="1" t="inlineStr">
        <is>
          <t>-78.76%</t>
        </is>
      </c>
      <c r="N7858" s="7" t="n"/>
      <c r="O7858" t="n">
        <v>4.7</v>
      </c>
      <c r="P7858" t="n">
        <v>47</v>
      </c>
      <c r="R7858" t="inlineStr">
        <is>
          <t>InStock</t>
        </is>
      </c>
      <c r="S7858" t="inlineStr">
        <is>
          <t>153.56</t>
        </is>
      </c>
      <c r="T7858" t="inlineStr">
        <is>
          <t>5286131794088</t>
        </is>
      </c>
    </row>
    <row r="7859" ht="87" customHeight="1">
      <c r="A7859" s="2">
        <f>HYPERLINK("https://edmondsonsupply.com/collections/electricians-tools/products/fluke-tplus-electrical-tester", "https://edmondsonsupply.com/collections/electricians-tools/products/fluke-tplus-electrical-tester")</f>
        <v/>
      </c>
      <c r="B7859" s="2">
        <f>HYPERLINK("https://edmondsonsupply.com/products/fluke-tplus-electrical-tester", "https://edmondsonsupply.com/products/fluke-tplus-electrical-tester")</f>
        <v/>
      </c>
      <c r="C7859" t="inlineStr">
        <is>
          <t>Fluke T+ Electrical Tester</t>
        </is>
      </c>
      <c r="D7859" t="inlineStr">
        <is>
          <t>Hard Case Replacement for Fluke T5-1000/T5-600/T6-1000/T6-600 Electrical Voltage, Continuity and Current Tester by Aenllosi</t>
        </is>
      </c>
      <c r="E7859" s="2">
        <f>HYPERLINK("https://www.amazon.com/Aenllosi-T5-1000-Electrical-Voltage-Continuity/dp/B07LFQVCZ2/ref=sr_1_18?keywords=Fluke+T+Electrical+Tester&amp;qid=1694735309&amp;sr=8-18", "https://www.amazon.com/Aenllosi-T5-1000-Electrical-Voltage-Continuity/dp/B07LFQVCZ2/ref=sr_1_18?keywords=Fluke+T+Electrical+Tester&amp;qid=1694735309&amp;sr=8-18")</f>
        <v/>
      </c>
      <c r="F7859" t="inlineStr">
        <is>
          <t>B07LFQVCZ2</t>
        </is>
      </c>
      <c r="G7859">
        <f>_xlfn.IMAGE("https://edmondsonsupply.com/cdn/shop/products/tplus.jpg?v=1633030280")</f>
        <v/>
      </c>
      <c r="H7859">
        <f>_xlfn.IMAGE("https://m.media-amazon.com/images/I/61OaRs4xThL._AC_UL320_.jpg")</f>
        <v/>
      </c>
      <c r="K7859" t="inlineStr">
        <is>
          <t>94.49</t>
        </is>
      </c>
      <c r="L7859" t="n">
        <v>19.99</v>
      </c>
      <c r="M7859" s="1" t="inlineStr">
        <is>
          <t>-78.84%</t>
        </is>
      </c>
      <c r="N7859" s="7" t="n"/>
      <c r="O7859" t="n">
        <v>4.8</v>
      </c>
      <c r="P7859" t="n">
        <v>1979</v>
      </c>
      <c r="R7859" t="inlineStr">
        <is>
          <t>InStock</t>
        </is>
      </c>
      <c r="S7859" t="inlineStr">
        <is>
          <t>104.99</t>
        </is>
      </c>
      <c r="T7859" t="inlineStr">
        <is>
          <t>5238397337768</t>
        </is>
      </c>
    </row>
    <row r="7860" ht="87" customHeight="1">
      <c r="A7860" s="2">
        <f>HYPERLINK("https://edmondsonsupply.com/collections/electricians-tools/products/fluke-iksc7", "https://edmondsonsupply.com/collections/electricians-tools/products/fluke-iksc7")</f>
        <v/>
      </c>
      <c r="B7860" s="2">
        <f>HYPERLINK("https://edmondsonsupply.com/products/fluke-iksc7", "https://edmondsonsupply.com/products/fluke-iksc7")</f>
        <v/>
      </c>
      <c r="C7860" t="inlineStr">
        <is>
          <t>Fluke IKSC7 7 Piece Insulated Screwdriver Kit</t>
        </is>
      </c>
      <c r="D7860" t="inlineStr">
        <is>
          <t>7 Pieces 1000V Insulated Screwdriver Set All-in-One Premium Professional CR-V Magnetic Tip Electrician Tools Kit with Phillips Slotted Bits</t>
        </is>
      </c>
      <c r="E7860" s="2">
        <f>HYPERLINK("https://www.amazon.com/Insulated-Screwdriver-Professional-Magnetic-Electrician/dp/B0B7WXCPSX/ref=sr_1_4?keywords=Fluke+IKSC7+7+Piece+Insulated+Screwdriver+Kit&amp;qid=1694735316&amp;sr=8-4", "https://www.amazon.com/Insulated-Screwdriver-Professional-Magnetic-Electrician/dp/B0B7WXCPSX/ref=sr_1_4?keywords=Fluke+IKSC7+7+Piece+Insulated+Screwdriver+Kit&amp;qid=1694735316&amp;sr=8-4")</f>
        <v/>
      </c>
      <c r="F7860" t="inlineStr">
        <is>
          <t>B0B7WXCPSX</t>
        </is>
      </c>
      <c r="G7860">
        <f>_xlfn.IMAGE("https://edmondsonsupply.com/cdn/shop/products/iksc7-1.jpg?v=1589307381")</f>
        <v/>
      </c>
      <c r="H7860">
        <f>_xlfn.IMAGE("https://m.media-amazon.com/images/I/61MEGc4sJGL._AC_UL320_.jpg")</f>
        <v/>
      </c>
      <c r="K7860" t="inlineStr">
        <is>
          <t>143.99</t>
        </is>
      </c>
      <c r="L7860" t="n">
        <v>29.99</v>
      </c>
      <c r="M7860" s="1" t="inlineStr">
        <is>
          <t>-79.17%</t>
        </is>
      </c>
      <c r="N7860" s="7" t="n"/>
      <c r="O7860" t="n">
        <v>5</v>
      </c>
      <c r="P7860" t="n">
        <v>2</v>
      </c>
      <c r="R7860" t="inlineStr">
        <is>
          <t>OutOfStock</t>
        </is>
      </c>
      <c r="S7860" t="inlineStr">
        <is>
          <t>159.99</t>
        </is>
      </c>
      <c r="T7860" t="inlineStr">
        <is>
          <t>4650546888804</t>
        </is>
      </c>
    </row>
    <row r="7861" ht="87" customHeight="1">
      <c r="A7861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861" s="2">
        <f>HYPERLINK("https://edmondsonsupply.com/products/veto-pro-pac-tech-pac-backpack-tool-bag-1", "https://edmondsonsupply.com/products/veto-pro-pac-tech-pac-backpack-tool-bag-1")</f>
        <v/>
      </c>
      <c r="C7861" t="inlineStr">
        <is>
          <t>Veto Pro Pac TECH PAC LT Laptop Backpack Tool Bag</t>
        </is>
      </c>
      <c r="D7861" t="inlineStr">
        <is>
          <t>Veto Pro Pac PB4, Small Tool Bags and Tool Tote 4 Pack. Tool Bag Made of Durable Nylon Mesh Fabric and Zipper Access. Perfect Tool Kit and Tool Storage For Small HVAC Tools. Tool Backpack Storage Tote</t>
        </is>
      </c>
      <c r="E7861" s="2">
        <f>HYPERLINK("https://www.amazon.com/PB4-Durable-Access-Perfect-Backpack/dp/B0146QVSN6/ref=sr_1_34?keywords=Veto+Pro+Pac+TECH+PAC+LT+Laptop+Backpack+Tool+Bag&amp;qid=1694735205&amp;sr=8-34", "https://www.amazon.com/PB4-Durable-Access-Perfect-Backpack/dp/B0146QVSN6/ref=sr_1_34?keywords=Veto+Pro+Pac+TECH+PAC+LT+Laptop+Backpack+Tool+Bag&amp;qid=1694735205&amp;sr=8-34")</f>
        <v/>
      </c>
      <c r="F7861" t="inlineStr">
        <is>
          <t>B0146QVSN6</t>
        </is>
      </c>
      <c r="G7861">
        <f>_xlfn.IMAGE("https://edmondsonsupply.com/cdn/shop/products/LT_1.jpg?v=1587146035")</f>
        <v/>
      </c>
      <c r="H7861">
        <f>_xlfn.IMAGE("https://m.media-amazon.com/images/I/51CMBYDtOXL._AC_UL320_.jpg")</f>
        <v/>
      </c>
      <c r="K7861" t="inlineStr">
        <is>
          <t>289.99</t>
        </is>
      </c>
      <c r="L7861" t="n">
        <v>59.95</v>
      </c>
      <c r="M7861" s="1" t="inlineStr">
        <is>
          <t>-79.33%</t>
        </is>
      </c>
      <c r="N7861" s="7" t="n"/>
      <c r="O7861" t="n">
        <v>4.7</v>
      </c>
      <c r="P7861" t="n">
        <v>209</v>
      </c>
      <c r="R7861" t="inlineStr">
        <is>
          <t>InStock</t>
        </is>
      </c>
      <c r="S7861" t="inlineStr">
        <is>
          <t>undefined</t>
        </is>
      </c>
      <c r="T7861" t="inlineStr">
        <is>
          <t>3558529695844</t>
        </is>
      </c>
    </row>
    <row r="7862" ht="87" customHeight="1">
      <c r="A7862" s="2">
        <f>HYPERLINK("https://edmondsonsupply.com/collections/electricians-tools/products/fluke-tplus-electrical-tester", "https://edmondsonsupply.com/collections/electricians-tools/products/fluke-tplus-electrical-tester")</f>
        <v/>
      </c>
      <c r="B7862" s="2">
        <f>HYPERLINK("https://edmondsonsupply.com/products/fluke-tplus-electrical-tester", "https://edmondsonsupply.com/products/fluke-tplus-electrical-tester")</f>
        <v/>
      </c>
      <c r="C7862" t="inlineStr">
        <is>
          <t>Fluke T+ Electrical Tester</t>
        </is>
      </c>
      <c r="D7862" t="inlineStr">
        <is>
          <t>TestHelper TH-T5-Kit Tester Accessory Starter Kit Use for Clamp Meter Electrical Tester FLUKE T5-600 T5-1000 T6-600 T6-1000 Alligator and Test Probe and Soft Case</t>
        </is>
      </c>
      <c r="E7862" s="2">
        <f>HYPERLINK("https://www.amazon.com/TestHelper-TH-T5-Kit-Accessory-Electrical-Alligator/dp/B08GCFN183/ref=sr_1_12?keywords=Fluke+T+Electrical+Tester&amp;qid=1694735309&amp;sr=8-12", "https://www.amazon.com/TestHelper-TH-T5-Kit-Accessory-Electrical-Alligator/dp/B08GCFN183/ref=sr_1_12?keywords=Fluke+T+Electrical+Tester&amp;qid=1694735309&amp;sr=8-12")</f>
        <v/>
      </c>
      <c r="F7862" t="inlineStr">
        <is>
          <t>B08GCFN183</t>
        </is>
      </c>
      <c r="G7862">
        <f>_xlfn.IMAGE("https://edmondsonsupply.com/cdn/shop/products/tplus.jpg?v=1633030280")</f>
        <v/>
      </c>
      <c r="H7862">
        <f>_xlfn.IMAGE("https://m.media-amazon.com/images/I/81nL30j2WjL._AC_UL320_.jpg")</f>
        <v/>
      </c>
      <c r="K7862" t="inlineStr">
        <is>
          <t>94.49</t>
        </is>
      </c>
      <c r="L7862" t="n">
        <v>18.99</v>
      </c>
      <c r="M7862" s="1" t="inlineStr">
        <is>
          <t>-79.90%</t>
        </is>
      </c>
      <c r="N7862" s="7" t="n"/>
      <c r="O7862" t="n">
        <v>4.5</v>
      </c>
      <c r="P7862" t="n">
        <v>41</v>
      </c>
      <c r="R7862" t="inlineStr">
        <is>
          <t>InStock</t>
        </is>
      </c>
      <c r="S7862" t="inlineStr">
        <is>
          <t>104.99</t>
        </is>
      </c>
      <c r="T7862" t="inlineStr">
        <is>
          <t>5238397337768</t>
        </is>
      </c>
    </row>
    <row r="7863" hidden="1" ht="15.75" customHeight="1">
      <c r="A7863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863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863" t="inlineStr">
        <is>
          <t>Diablo Tools DMAPL4070-P25 1/4 in. x 4 in. x 6 in. Rebar Demon™ SDS-Plus 4-Cutter Full Carbide Head Hammer Bit (25-Pack)</t>
        </is>
      </c>
      <c r="D7863" t="inlineStr">
        <is>
          <t>Diablo DMAPL4055 3/16 in. x 10 in. x 12 in. Rebar Demon™ SDS-Plus 4-Cutter Full Carbide Head Hammer Bit</t>
        </is>
      </c>
      <c r="E7863" s="2" t="n"/>
      <c r="F7863" t="inlineStr">
        <is>
          <t>B089LJCD42</t>
        </is>
      </c>
      <c r="G7863">
        <f>_xludf.IMAGE("https://edmondsonsupply.com/cdn/shop/products/DMAPL4070.jpg?v=1633030350")</f>
        <v/>
      </c>
      <c r="H7863">
        <f>_xludf.IMAGE("https://m.media-amazon.com/images/I/61cDOAhkb4L._AC_UL320_.jpg")</f>
        <v/>
      </c>
      <c r="K7863" t="inlineStr">
        <is>
          <t>79.47</t>
        </is>
      </c>
      <c r="L7863" t="n">
        <v>15.93</v>
      </c>
      <c r="M7863" s="1" t="inlineStr">
        <is>
          <t>-79.95%</t>
        </is>
      </c>
      <c r="N7863" s="1" t="n"/>
      <c r="O7863" t="n">
        <v>2</v>
      </c>
      <c r="P7863" t="n">
        <v>1</v>
      </c>
      <c r="R7863" t="inlineStr">
        <is>
          <t>InStock</t>
        </is>
      </c>
      <c r="S7863" t="inlineStr">
        <is>
          <t>106.66</t>
        </is>
      </c>
      <c r="T7863" t="inlineStr">
        <is>
          <t>5283065069736</t>
        </is>
      </c>
    </row>
    <row r="7864" hidden="1" ht="15.75" customHeight="1">
      <c r="A7864" s="2">
        <f>HYPERLINK("https://edmondsonsupply.com/collections/electricians-tools/products/copy-of-diablo-tools-d0724a-7-1-4-in-x-24-tooth-framing-saw-blade", "https://edmondsonsupply.com/collections/electricians-tools/products/copy-of-diablo-tools-d0724a-7-1-4-in-x-24-tooth-framing-saw-blade")</f>
        <v/>
      </c>
      <c r="B7864" s="2">
        <f>HYPERLINK("https://edmondsonsupply.com/products/copy-of-diablo-tools-d0724a-7-1-4-in-x-24-tooth-framing-saw-blade", "https://edmondsonsupply.com/products/copy-of-diablo-tools-d0724a-7-1-4-in-x-24-tooth-framing-saw-blade")</f>
        <v/>
      </c>
      <c r="C7864" t="inlineStr">
        <is>
          <t>Diablo Tools D1280X 12 in. x 80 Tooth Fine Finish Saw Blade</t>
        </is>
      </c>
      <c r="D7864" t="inlineStr">
        <is>
          <t>TOMAX 12-Inch 80 Tooth ATB Fine Finish Saw Blade with 1-Inch Arbor</t>
        </is>
      </c>
      <c r="E7864" s="2">
        <f>HYPERLINK("https://www.amazon.com/TOMAX-12-Inch-Tooth-Finish-1-Inch/dp/B01M1VMH45/ref=sr_1_12?keywords=Diablo+Tools+D1280X+12+in.+x+80+Tooth+Fine+Finish+Saw+Blade&amp;qid=1694735310&amp;sr=8-12", "https://www.amazon.com/TOMAX-12-Inch-Tooth-Finish-1-Inch/dp/B01M1VMH45/ref=sr_1_12?keywords=Diablo+Tools+D1280X+12+in.+x+80+Tooth+Fine+Finish+Saw+Blade&amp;qid=1694735310&amp;sr=8-12")</f>
        <v/>
      </c>
      <c r="F7864" t="inlineStr">
        <is>
          <t>B01M1VMH45</t>
        </is>
      </c>
      <c r="G7864">
        <f>_xludf.IMAGE("https://edmondsonsupply.com/cdn/shop/products/D1280X_Main-Image.png?v=1633030268")</f>
        <v/>
      </c>
      <c r="H7864">
        <f>_xludf.IMAGE("https://m.media-amazon.com/images/I/71voLpm+0SL._AC_UL320_.jpg")</f>
        <v/>
      </c>
      <c r="K7864" t="inlineStr">
        <is>
          <t>54.97</t>
        </is>
      </c>
      <c r="L7864" t="n">
        <v>10.99</v>
      </c>
      <c r="M7864" s="1" t="inlineStr">
        <is>
          <t>-80.01%</t>
        </is>
      </c>
      <c r="N7864" s="1" t="n"/>
      <c r="O7864" t="n">
        <v>4.6</v>
      </c>
      <c r="P7864" t="n">
        <v>1497</v>
      </c>
      <c r="R7864" t="inlineStr">
        <is>
          <t>InStock</t>
        </is>
      </c>
      <c r="S7864" t="inlineStr">
        <is>
          <t>85.5</t>
        </is>
      </c>
      <c r="T7864" t="inlineStr">
        <is>
          <t>4679290224740</t>
        </is>
      </c>
    </row>
    <row r="7865" hidden="1" ht="15.75" customHeight="1">
      <c r="A7865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7865" s="2">
        <f>HYPERLINK("https://edmondsonsupply.com/products/klein-tools-31902-bi-metal-hole-saw-kit-8-piece", "https://edmondsonsupply.com/products/klein-tools-31902-bi-metal-hole-saw-kit-8-piece")</f>
        <v/>
      </c>
      <c r="C7865" t="inlineStr">
        <is>
          <t>Klein Tools 31902 Bi-Metal Hole Saw Kit, 8-Piece</t>
        </is>
      </c>
      <c r="D7865" t="inlineStr">
        <is>
          <t>Klein Tools 31534 Bi-Metal Hole Saw, 2-1/8-Inch</t>
        </is>
      </c>
      <c r="E7865" s="2">
        <f>HYPERLINK("https://www.amazon.com/Klein-Tools-31534-Bi-Metal-8-Inch/dp/B0009OIJFA/ref=sr_1_15?keywords=Klein+Tools+31902+Bi-Metal+Hole+Saw+Kit%2C+8-Piece&amp;qid=1694735008&amp;sr=8-15", "https://www.amazon.com/Klein-Tools-31534-Bi-Metal-8-Inch/dp/B0009OIJFA/ref=sr_1_15?keywords=Klein+Tools+31902+Bi-Metal+Hole+Saw+Kit%2C+8-Piece&amp;qid=1694735008&amp;sr=8-15")</f>
        <v/>
      </c>
      <c r="F7865" t="inlineStr">
        <is>
          <t>B0009OIJFA</t>
        </is>
      </c>
      <c r="G7865">
        <f>_xludf.IMAGE("https://edmondsonsupply.com/cdn/shop/products/31902.jpg?v=1679665390")</f>
        <v/>
      </c>
      <c r="H7865">
        <f>_xludf.IMAGE("https://m.media-amazon.com/images/I/31Wk-f8wwaL._AC_UL320_.jpg")</f>
        <v/>
      </c>
      <c r="K7865" t="inlineStr">
        <is>
          <t>74.99</t>
        </is>
      </c>
      <c r="L7865" t="n">
        <v>14.99</v>
      </c>
      <c r="M7865" s="1" t="inlineStr">
        <is>
          <t>-80.01%</t>
        </is>
      </c>
      <c r="N7865" s="1" t="n"/>
      <c r="O7865" t="n">
        <v>5</v>
      </c>
      <c r="P7865" t="n">
        <v>5</v>
      </c>
      <c r="R7865" t="inlineStr">
        <is>
          <t>InStock</t>
        </is>
      </c>
      <c r="S7865" t="inlineStr">
        <is>
          <t>105.24</t>
        </is>
      </c>
      <c r="T7865" t="inlineStr">
        <is>
          <t>7966205673688</t>
        </is>
      </c>
    </row>
    <row r="7866" hidden="1" ht="15.75" customHeight="1">
      <c r="A7866" s="2">
        <f>HYPERLINK("https://edmondsonsupply.com/collections/electricians-tools/products/klein-tools-32288-8-in-1-insulated-interchangeable-screwdriver-set", "https://edmondsonsupply.com/collections/electricians-tools/products/klein-tools-32288-8-in-1-insulated-interchangeable-screwdriver-set")</f>
        <v/>
      </c>
      <c r="B7866" s="2">
        <f>HYPERLINK("https://edmondsonsupply.com/products/klein-tools-32288-8-in-1-insulated-interchangeable-screwdriver-set", "https://edmondsonsupply.com/products/klein-tools-32288-8-in-1-insulated-interchangeable-screwdriver-set")</f>
        <v/>
      </c>
      <c r="C7866" t="inlineStr">
        <is>
          <t>Klein Tools 32288 8-in-1 Insulated Interchangeable Screwdriver Set</t>
        </is>
      </c>
      <c r="D7866" t="inlineStr">
        <is>
          <t>Klein Tools 6834INS Insulated Screwdriver, 1000V #2 Phillips Tip Screwdriver with 4-Inch Shank, Tip-Ident, Cushion-Grip Handle</t>
        </is>
      </c>
      <c r="E7866" s="2">
        <f>HYPERLINK("https://www.amazon.com/Klein-Tools-6834INS-Screwdriver-Cushion-Grip/dp/B0BF7LCHQ9/ref=sr_1_43?keywords=Klein+Tools+32288+8-in-1+Insulated+Interchangeable+Screwdriver+Set&amp;qid=1694734974&amp;sr=8-43", "https://www.amazon.com/Klein-Tools-6834INS-Screwdriver-Cushion-Grip/dp/B0BF7LCHQ9/ref=sr_1_43?keywords=Klein+Tools+32288+8-in-1+Insulated+Interchangeable+Screwdriver+Set&amp;qid=1694734974&amp;sr=8-43")</f>
        <v/>
      </c>
      <c r="F7866" t="inlineStr">
        <is>
          <t>B0BF7LCHQ9</t>
        </is>
      </c>
      <c r="G7866">
        <f>_xludf.IMAGE("https://edmondsonsupply.com/cdn/shop/products/32288.jpg?v=1587146849")</f>
        <v/>
      </c>
      <c r="H7866">
        <f>_xludf.IMAGE("https://m.media-amazon.com/images/I/41syzbetq2L._AC_UL320_.jpg")</f>
        <v/>
      </c>
      <c r="K7866" t="inlineStr">
        <is>
          <t>49.99</t>
        </is>
      </c>
      <c r="L7866" t="n">
        <v>9.99</v>
      </c>
      <c r="M7866" s="1" t="inlineStr">
        <is>
          <t>-80.02%</t>
        </is>
      </c>
      <c r="N7866" s="1" t="n"/>
      <c r="O7866" t="n">
        <v>5</v>
      </c>
      <c r="P7866" t="n">
        <v>5</v>
      </c>
      <c r="R7866" t="inlineStr">
        <is>
          <t>InStock</t>
        </is>
      </c>
      <c r="S7866" t="inlineStr">
        <is>
          <t>69.98</t>
        </is>
      </c>
      <c r="T7866" t="inlineStr">
        <is>
          <t>4094849613924</t>
        </is>
      </c>
    </row>
    <row r="7867" hidden="1" ht="15.75" customHeight="1">
      <c r="A7867" s="2">
        <f>HYPERLINK("https://edmondsonsupply.com/collections/electricians-tools/products/klein-tools-31866-carbide-hole-cutter-1-3-4-inch", "https://edmondsonsupply.com/collections/electricians-tools/products/klein-tools-31866-carbide-hole-cutter-1-3-4-inch")</f>
        <v/>
      </c>
      <c r="B7867" s="2">
        <f>HYPERLINK("https://edmondsonsupply.com/products/klein-tools-31866-carbide-hole-cutter-1-3-4-inch", "https://edmondsonsupply.com/products/klein-tools-31866-carbide-hole-cutter-1-3-4-inch")</f>
        <v/>
      </c>
      <c r="C7867" t="inlineStr">
        <is>
          <t>Klein Tools 31866 Carbide Hole Cutter, 1-3/4-Inch</t>
        </is>
      </c>
      <c r="D7867" t="inlineStr">
        <is>
          <t>Klein Tools 31928 Bi-Metal Hole Saw, 1-3/4-Inch</t>
        </is>
      </c>
      <c r="E7867" s="2">
        <f>HYPERLINK("https://www.amazon.com/Bi-Metal-4-Inch-Klein-Tools-31928/dp/B019874QX2/ref=sr_1_10?keywords=Klein+Tools+31866+Carbide+Hole+Cutter%2C+1-3%2F4-Inch&amp;qid=1694735334&amp;sr=8-10", "https://www.amazon.com/Bi-Metal-4-Inch-Klein-Tools-31928/dp/B019874QX2/ref=sr_1_10?keywords=Klein+Tools+31866+Carbide+Hole+Cutter%2C+1-3%2F4-Inch&amp;qid=1694735334&amp;sr=8-10")</f>
        <v/>
      </c>
      <c r="F7867" t="inlineStr">
        <is>
          <t>B019874QX2</t>
        </is>
      </c>
      <c r="G7867">
        <f>_xludf.IMAGE("https://edmondsonsupply.com/cdn/shop/products/31866_alt3.jpg?v=1587143976")</f>
        <v/>
      </c>
      <c r="H7867">
        <f>_xludf.IMAGE("https://m.media-amazon.com/images/I/51gUBEk4TuL._AC_UL320_.jpg")</f>
        <v/>
      </c>
      <c r="K7867" t="inlineStr">
        <is>
          <t>49.99</t>
        </is>
      </c>
      <c r="L7867" t="n">
        <v>9.99</v>
      </c>
      <c r="M7867" s="1" t="inlineStr">
        <is>
          <t>-80.02%</t>
        </is>
      </c>
      <c r="N7867" s="1" t="n"/>
      <c r="O7867" t="n">
        <v>4.5</v>
      </c>
      <c r="P7867" t="n">
        <v>365</v>
      </c>
      <c r="R7867" t="inlineStr">
        <is>
          <t>InStock</t>
        </is>
      </c>
      <c r="S7867" t="inlineStr">
        <is>
          <t>70.84</t>
        </is>
      </c>
      <c r="T7867" t="inlineStr">
        <is>
          <t>4512241582180</t>
        </is>
      </c>
    </row>
    <row r="7868" hidden="1" ht="15.75" customHeight="1">
      <c r="A7868" s="2">
        <f>HYPERLINK("https://edmondsonsupply.com/collections/electricians-tools/products/klein-tools-31900-bi-metal-hole-saw-6-3-8-inch", "https://edmondsonsupply.com/collections/electricians-tools/products/klein-tools-31900-bi-metal-hole-saw-6-3-8-inch")</f>
        <v/>
      </c>
      <c r="B7868" s="2">
        <f>HYPERLINK("https://edmondsonsupply.com/products/klein-tools-31900-bi-metal-hole-saw-6-3-8-inch", "https://edmondsonsupply.com/products/klein-tools-31900-bi-metal-hole-saw-6-3-8-inch")</f>
        <v/>
      </c>
      <c r="C7868" t="inlineStr">
        <is>
          <t>Klein Tools 31900 Bi-Metal Hole Saw, 6-3/8-Inch</t>
        </is>
      </c>
      <c r="D7868" t="inlineStr">
        <is>
          <t>Klein Tools 31922 Bi-Metal Hole Saw, 1-3/8-Inch</t>
        </is>
      </c>
      <c r="E7868" s="2">
        <f>HYPERLINK("https://www.amazon.com/Bi-Metal-8-Inch-Klein-Tools-31922/dp/B019874Q0K/ref=sr_1_3?keywords=Klein+Tools+31900+Bi-Metal+Hole+Saw%2C+6-3%2F8-Inch&amp;qid=1694735340&amp;sr=8-3", "https://www.amazon.com/Bi-Metal-8-Inch-Klein-Tools-31922/dp/B019874Q0K/ref=sr_1_3?keywords=Klein+Tools+31900+Bi-Metal+Hole+Saw%2C+6-3%2F8-Inch&amp;qid=1694735340&amp;sr=8-3")</f>
        <v/>
      </c>
      <c r="F7868" t="inlineStr">
        <is>
          <t>B019874Q0K</t>
        </is>
      </c>
      <c r="G7868">
        <f>_xludf.IMAGE("https://edmondsonsupply.com/cdn/shop/products/31900.jpg?v=1587149880")</f>
        <v/>
      </c>
      <c r="H7868">
        <f>_xludf.IMAGE("https://m.media-amazon.com/images/I/41GAmyLoB4L._AC_UL320_.jpg")</f>
        <v/>
      </c>
      <c r="K7868" t="inlineStr">
        <is>
          <t>44.99</t>
        </is>
      </c>
      <c r="L7868" t="n">
        <v>8.99</v>
      </c>
      <c r="M7868" s="1" t="inlineStr">
        <is>
          <t>-80.02%</t>
        </is>
      </c>
      <c r="N7868" s="1" t="n"/>
      <c r="O7868" t="n">
        <v>4.5</v>
      </c>
      <c r="P7868" t="n">
        <v>365</v>
      </c>
      <c r="R7868" t="inlineStr">
        <is>
          <t>InStock</t>
        </is>
      </c>
      <c r="S7868" t="inlineStr">
        <is>
          <t>54.86</t>
        </is>
      </c>
      <c r="T7868" t="inlineStr">
        <is>
          <t>4508234514532</t>
        </is>
      </c>
    </row>
    <row r="7869" hidden="1" ht="15.75" customHeight="1">
      <c r="A7869" s="2">
        <f>HYPERLINK("https://edmondsonsupply.com/collections/electricians-tools/products/klein-tools-635-4-nut-driver-set-magnetic-nut-drivers-heavy-duty-4-piece", "https://edmondsonsupply.com/collections/electricians-tools/products/klein-tools-635-4-nut-driver-set-magnetic-nut-drivers-heavy-duty-4-piece")</f>
        <v/>
      </c>
      <c r="B7869" s="2">
        <f>HYPERLINK("https://edmondsonsupply.com/products/klein-tools-635-4-nut-driver-set-magnetic-nut-drivers-heavy-duty-4-piece", "https://edmondsonsupply.com/products/klein-tools-635-4-nut-driver-set-magnetic-nut-drivers-heavy-duty-4-piece")</f>
        <v/>
      </c>
      <c r="C7869" t="inlineStr">
        <is>
          <t>Klein Tools 635-4 Nut Driver Set, Magnetic Nut Drivers, Heavy Duty, 4-Piece</t>
        </is>
      </c>
      <c r="D7869" t="inlineStr">
        <is>
          <t>Klein Tools 635-1/4 1/4-Inch Heavy Duty Nut Driver with Magnetic Tip, 4-Inch Hollow Shaft, Cushion Grip Handle</t>
        </is>
      </c>
      <c r="E7869" s="2">
        <f>HYPERLINK("https://www.amazon.com/4-Inch-Magnetic-Cushion-Klein-Tools/dp/B01D6DZRFA/ref=sr_1_3?keywords=Klein+Tools+635-4+Nut+Driver+Set%2C+Magnetic+Nut+Drivers%2C+Heavy+Duty%2C+4-Piece&amp;qid=1694735170&amp;sr=8-3", "https://www.amazon.com/4-Inch-Magnetic-Cushion-Klein-Tools/dp/B01D6DZRFA/ref=sr_1_3?keywords=Klein+Tools+635-4+Nut+Driver+Set%2C+Magnetic+Nut+Drivers%2C+Heavy+Duty%2C+4-Piece&amp;qid=1694735170&amp;sr=8-3")</f>
        <v/>
      </c>
      <c r="F7869" t="inlineStr">
        <is>
          <t>B01D6DZRFA</t>
        </is>
      </c>
      <c r="G7869">
        <f>_xludf.IMAGE("https://edmondsonsupply.com/cdn/shop/products/635-4.jpg?v=1640815398")</f>
        <v/>
      </c>
      <c r="H7869">
        <f>_xludf.IMAGE("https://m.media-amazon.com/images/I/41DrStZKvjL._AC_UL320_.jpg")</f>
        <v/>
      </c>
      <c r="K7869" t="inlineStr">
        <is>
          <t>54.99</t>
        </is>
      </c>
      <c r="L7869" t="n">
        <v>10.91</v>
      </c>
      <c r="M7869" s="1" t="inlineStr">
        <is>
          <t>-80.16%</t>
        </is>
      </c>
      <c r="N7869" s="1" t="n"/>
      <c r="O7869" t="n">
        <v>4.7</v>
      </c>
      <c r="P7869" t="n">
        <v>999</v>
      </c>
      <c r="R7869" t="inlineStr">
        <is>
          <t>InStock</t>
        </is>
      </c>
      <c r="S7869" t="inlineStr">
        <is>
          <t>83.32</t>
        </is>
      </c>
      <c r="T7869" t="inlineStr">
        <is>
          <t>7559649984728</t>
        </is>
      </c>
    </row>
    <row r="7870" hidden="1" ht="15.75" customHeight="1">
      <c r="A7870" s="2">
        <f>HYPERLINK("https://edmondsonsupply.com/collections/electricians-tools/products/klein-tools-vdv526-200-lan-scout-%C2%AE-jr-2-cable-tester", "https://edmondsonsupply.com/collections/electricians-tools/products/klein-tools-vdv526-200-lan-scout-%C2%AE-jr-2-cable-tester")</f>
        <v/>
      </c>
      <c r="B7870" s="2">
        <f>HYPERLINK("https://edmondsonsupply.com/products/klein-tools-vdv526-200-lan-scout-%c2%ae-jr-2-cable-tester", "https://edmondsonsupply.com/products/klein-tools-vdv526-200-lan-scout-%c2%ae-jr-2-cable-tester")</f>
        <v/>
      </c>
      <c r="C7870" t="inlineStr">
        <is>
          <t>Klein Tools VDV526-200 LAN Scout ® Jr. 2 Cable Tester</t>
        </is>
      </c>
      <c r="D7870" t="inlineStr">
        <is>
          <t>Klein Tools VDV999-200 Replacement Remote for LAN Scout Jr. 2 Network Cable Tester/Continuity Tester (Cat. No. VDV526-200) Tests RJ45 Cable</t>
        </is>
      </c>
      <c r="E7870" s="2">
        <f>HYPERLINK("https://www.amazon.com/Klein-Tools-VDV999-200-Replacement-Continuity/dp/B092XBPPXV/ref=sr_1_2?keywords=Klein+Tools+VDV526-200+LAN+Scout+%C2%AE+Jr.+2+Cable+Tester&amp;qid=1694735126&amp;sr=8-2", "https://www.amazon.com/Klein-Tools-VDV999-200-Replacement-Continuity/dp/B092XBPPXV/ref=sr_1_2?keywords=Klein+Tools+VDV526-200+LAN+Scout+%C2%AE+Jr.+2+Cable+Tester&amp;qid=1694735126&amp;sr=8-2")</f>
        <v/>
      </c>
      <c r="F7870" t="inlineStr">
        <is>
          <t>B092XBPPXV</t>
        </is>
      </c>
      <c r="G7870">
        <f>_xludf.IMAGE("https://edmondsonsupply.com/cdn/shop/products/vdv526200.jpg?v=1663689949")</f>
        <v/>
      </c>
      <c r="H7870">
        <f>_xludf.IMAGE("https://m.media-amazon.com/images/I/41g0sTAqWKS._AC_UY218_.jpg")</f>
        <v/>
      </c>
      <c r="K7870" t="inlineStr">
        <is>
          <t>54.97</t>
        </is>
      </c>
      <c r="L7870" t="n">
        <v>10.89</v>
      </c>
      <c r="M7870" s="1" t="inlineStr">
        <is>
          <t>-80.19%</t>
        </is>
      </c>
      <c r="N7870" s="1" t="n"/>
      <c r="O7870" t="n">
        <v>4.3</v>
      </c>
      <c r="P7870" t="n">
        <v>27</v>
      </c>
      <c r="R7870" t="inlineStr">
        <is>
          <t>InStock</t>
        </is>
      </c>
      <c r="S7870" t="inlineStr">
        <is>
          <t>82.5</t>
        </is>
      </c>
      <c r="T7870" t="inlineStr">
        <is>
          <t>7823726182616</t>
        </is>
      </c>
    </row>
    <row r="7871" hidden="1" ht="15.75" customHeight="1">
      <c r="A7871" s="2">
        <f>HYPERLINK("https://edmondsonsupply.com/collections/electricians-tools/products/diablo-tools-dmamx1040", "https://edmondsonsupply.com/collections/electricians-tools/products/diablo-tools-dmamx1040")</f>
        <v/>
      </c>
      <c r="B7871" s="2">
        <f>HYPERLINK("https://edmondsonsupply.com/products/diablo-tools-dmamx1040", "https://edmondsonsupply.com/products/diablo-tools-dmamx1040")</f>
        <v/>
      </c>
      <c r="C7871" t="inlineStr">
        <is>
          <t>Diablo Tools DMAMX1040 1/2 in. x 24 in. x 29 in. Rebar Demon SDS-Max 4-Cutter Full Carbide Head Hammer Bit</t>
        </is>
      </c>
      <c r="D7871" t="inlineStr">
        <is>
          <t>Diablo by Freud DMAPL4010 5/32 in. x 2 in. x 4 in. Rebar Demon SDS-Plus 4-Cutter Full Carbide Head Hammer Bit</t>
        </is>
      </c>
      <c r="E7871" s="2">
        <f>HYPERLINK("https://www.amazon.com/Diablo-SDS-Plus-4-Cutter-Carbide-Hammer/dp/B089KWVTD3/ref=sr_1_45?keywords=Diablo+Tools+DMAMX1040+1%2F2+in.+x+24+in.+x+29+in.+Rebar+Demon+SDS-Max+4-Cutter+Full+Carbide+Head+Hammer+Bit&amp;qid=1694735295&amp;sr=8-45", "https://www.amazon.com/Diablo-SDS-Plus-4-Cutter-Carbide-Hammer/dp/B089KWVTD3/ref=sr_1_45?keywords=Diablo+Tools+DMAMX1040+1%2F2+in.+x+24+in.+x+29+in.+Rebar+Demon+SDS-Max+4-Cutter+Full+Carbide+Head+Hammer+Bit&amp;qid=1694735295&amp;sr=8-45")</f>
        <v/>
      </c>
      <c r="F7871" t="inlineStr">
        <is>
          <t>B089KWVTD3</t>
        </is>
      </c>
      <c r="G7871">
        <f>_xludf.IMAGE("https://edmondsonsupply.com/cdn/shop/products/DMAMX1040_Main-Image20200701.png?v=1633030363")</f>
        <v/>
      </c>
      <c r="H7871">
        <f>_xludf.IMAGE("https://m.media-amazon.com/images/I/61IkB-DVS1L._AC_UL320_.jpg")</f>
        <v/>
      </c>
      <c r="K7871" t="inlineStr">
        <is>
          <t>47.97</t>
        </is>
      </c>
      <c r="L7871" t="n">
        <v>9.5</v>
      </c>
      <c r="M7871" s="1" t="inlineStr">
        <is>
          <t>-80.20%</t>
        </is>
      </c>
      <c r="N7871" s="1" t="n"/>
      <c r="O7871" t="n">
        <v>4.7</v>
      </c>
      <c r="P7871" t="n">
        <v>4</v>
      </c>
      <c r="R7871" t="inlineStr">
        <is>
          <t>InStock</t>
        </is>
      </c>
      <c r="S7871" t="inlineStr">
        <is>
          <t>72.46</t>
        </is>
      </c>
      <c r="T7871" t="inlineStr">
        <is>
          <t>5289126527144</t>
        </is>
      </c>
    </row>
    <row r="7872" hidden="1" ht="15.75" customHeight="1">
      <c r="A7872" s="2">
        <f>HYPERLINK("https://edmondsonsupply.com/collections/electricians-tools/products/diablo-tools-dmamx1220", "https://edmondsonsupply.com/collections/electricians-tools/products/diablo-tools-dmamx1220")</f>
        <v/>
      </c>
      <c r="B7872" s="2">
        <f>HYPERLINK("https://edmondsonsupply.com/products/diablo-tools-dmamx1220", "https://edmondsonsupply.com/products/diablo-tools-dmamx1220")</f>
        <v/>
      </c>
      <c r="C7872" t="inlineStr">
        <is>
          <t>Diablo Tools DMAMX1220 1 in. x 16 in. x 21 in. Rebar Demon™ SDS-Max 4-Cutter Full Carbide Head Hammer Drill Bit</t>
        </is>
      </c>
      <c r="D7872" t="inlineStr">
        <is>
          <t>Diablo by Freud DMAPL4050 3/16 in. x 6 in. x 8 in. Rebar Demon SDS-Plus 4-Cutter Full Carbide Head Hammer Bit Multi, One Size</t>
        </is>
      </c>
      <c r="E7872" s="2">
        <f>HYPERLINK("https://www.amazon.com/Diablo-SDS-Plus-4-Cutter-Carbide-Hammer/dp/B089LKWR9L/ref=sr_1_46?keywords=Diablo+Tools+DMAMX1220+1+in.+x+16+in.+x+21+in.+Rebar+Demon%E2%84%A2+SDS-Max+4-Cutter+Full+Carbide+Head+Hammer+Drill+Bit&amp;qid=1694735075&amp;sr=8-46", "https://www.amazon.com/Diablo-SDS-Plus-4-Cutter-Carbide-Hammer/dp/B089LKWR9L/ref=sr_1_46?keywords=Diablo+Tools+DMAMX1220+1+in.+x+16+in.+x+21+in.+Rebar+Demon%E2%84%A2+SDS-Max+4-Cutter+Full+Carbide+Head+Hammer+Drill+Bit&amp;qid=1694735075&amp;sr=8-46")</f>
        <v/>
      </c>
      <c r="F7872" t="inlineStr">
        <is>
          <t>B089LKWR9L</t>
        </is>
      </c>
      <c r="G7872">
        <f>_xludf.IMAGE("https://edmondsonsupply.com/cdn/shop/products/immoyh7jjmbau4fzhuq6.webp?v=1670431066")</f>
        <v/>
      </c>
      <c r="H7872">
        <f>_xludf.IMAGE("https://m.media-amazon.com/images/I/61uukuKzJeL._AC_UL320_.jpg")</f>
        <v/>
      </c>
      <c r="K7872" t="inlineStr">
        <is>
          <t>45.69</t>
        </is>
      </c>
      <c r="L7872" t="n">
        <v>8.99</v>
      </c>
      <c r="M7872" s="1" t="inlineStr">
        <is>
          <t>-80.32%</t>
        </is>
      </c>
      <c r="N7872" s="1" t="n"/>
      <c r="O7872" t="n">
        <v>3.7</v>
      </c>
      <c r="P7872" t="n">
        <v>10</v>
      </c>
      <c r="R7872" t="inlineStr">
        <is>
          <t>InStock</t>
        </is>
      </c>
      <c r="S7872" t="inlineStr">
        <is>
          <t>70.58</t>
        </is>
      </c>
      <c r="T7872" t="inlineStr">
        <is>
          <t>7900195356888</t>
        </is>
      </c>
    </row>
    <row r="7873" hidden="1" ht="15.75" customHeight="1">
      <c r="A7873" s="2">
        <f>HYPERLINK("https://edmondsonsupply.com/collections/electricians-tools/products/diablo-tools-dos125bw3-1-1-4-in-starlock-bi-metal-oscillating-blades-for-nail-embedded-wood", "https://edmondsonsupply.com/collections/electricians-tools/products/diablo-tools-dos125bw3-1-1-4-in-starlock-bi-metal-oscillating-blades-for-nail-embedded-wood")</f>
        <v/>
      </c>
      <c r="B7873" s="2">
        <f>HYPERLINK("https://edmondsonsupply.com/products/diablo-tools-dos125bw3-1-1-4-in-starlock-bi-metal-oscillating-blades-for-nail-embedded-wood", "https://edmondsonsupply.com/products/diablo-tools-dos125bw3-1-1-4-in-starlock-bi-metal-oscillating-blades-for-nail-embedded-wood")</f>
        <v/>
      </c>
      <c r="C7873" t="inlineStr">
        <is>
          <t>Diablo Tools DOS125BW3 1-1/4 in. Starlock Bi-Metal Oscillating Blades for Nail-Embedded Wood</t>
        </is>
      </c>
      <c r="D7873" t="inlineStr">
        <is>
          <t>BOSCH OSL114F-3 3-Pack 1-1/4 In. Starlock Oscillating Multi Tool All Purpose Bi-Metal Plunge Cut Blades for Applications in Wood, Wood with Nails, Drywall, PVC, Metal (Nails and Staples)</t>
        </is>
      </c>
      <c r="E7873" s="2">
        <f>HYPERLINK("https://www.amazon.com/Bosch-OSL114F-3-Starlock-Oscillating-Bi-Metal/dp/B01DDA7VU0/ref=sr_1_6?keywords=Diablo+Tools+DOS125BW3+1-1%2F4+in.+Starlock+Bi-Metal+Oscillating+Blades+for+Nail-Embedded+Wood&amp;qid=1694735197&amp;sr=8-6", "https://www.amazon.com/Bosch-OSL114F-3-Starlock-Oscillating-Bi-Metal/dp/B01DDA7VU0/ref=sr_1_6?keywords=Diablo+Tools+DOS125BW3+1-1%2F4+in.+Starlock+Bi-Metal+Oscillating+Blades+for+Nail-Embedded+Wood&amp;qid=1694735197&amp;sr=8-6")</f>
        <v/>
      </c>
      <c r="F7873" t="inlineStr">
        <is>
          <t>B01DDA7VU0</t>
        </is>
      </c>
      <c r="G7873">
        <f>_xludf.IMAGE("https://edmondsonsupply.com/cdn/shop/products/DOS125BW3_Main-Image.png?v=1633031100")</f>
        <v/>
      </c>
      <c r="H7873">
        <f>_xludf.IMAGE("https://m.media-amazon.com/images/I/71tfMS58-jL._AC_UL320_.jpg")</f>
        <v/>
      </c>
      <c r="K7873" t="inlineStr">
        <is>
          <t>34.97</t>
        </is>
      </c>
      <c r="L7873" t="n">
        <v>6.82</v>
      </c>
      <c r="M7873" s="1" t="inlineStr">
        <is>
          <t>-80.50%</t>
        </is>
      </c>
      <c r="N7873" s="1" t="n"/>
      <c r="O7873" t="n">
        <v>4.7</v>
      </c>
      <c r="P7873" t="n">
        <v>770</v>
      </c>
      <c r="R7873" t="inlineStr">
        <is>
          <t>InStock</t>
        </is>
      </c>
      <c r="S7873" t="inlineStr">
        <is>
          <t>40.25</t>
        </is>
      </c>
      <c r="T7873" t="inlineStr">
        <is>
          <t>6846091853997</t>
        </is>
      </c>
    </row>
    <row r="7874" ht="87" customHeight="1">
      <c r="A7874" s="2">
        <f>HYPERLINK("https://edmondsonsupply.com/collections/electricians-tools/products/milwaukee-0880-20", "https://edmondsonsupply.com/collections/electricians-tools/products/milwaukee-0880-20")</f>
        <v/>
      </c>
      <c r="B7874" s="2">
        <f>HYPERLINK("https://edmondsonsupply.com/products/milwaukee-0880-20", "https://edmondsonsupply.com/products/milwaukee-0880-20")</f>
        <v/>
      </c>
      <c r="C7874" t="inlineStr">
        <is>
          <t>Milwaukee 0880-20 M18 2-Gallon Wet/Dry Vacuum (bare tool)</t>
        </is>
      </c>
      <c r="D7874" t="inlineStr">
        <is>
          <t>49-90-2016 Fleece Dust Bags for Milwaukee 0960-20 M12 FUEL 1.6 Gallon Wet/Dry Vacuum &amp;0970-20 M18 FUEL PACKOUT 2.5 Gallon Wet/Dry Vacuum|for Milwaukee Vacuum Accessories</t>
        </is>
      </c>
      <c r="E7874" s="2">
        <f>HYPERLINK("https://www.amazon.com/49-90-2016-Milwaukee-0960-20-0970-20-Accessories/dp/B0CB8X1CTW/ref=sr_1_9?keywords=Milwaukee+0880-20+M18+2-Gallon+Wet%2FDry+Vacuum+%28bare+tool%29&amp;qid=1694735279&amp;sr=8-9", "https://www.amazon.com/49-90-2016-Milwaukee-0960-20-0970-20-Accessories/dp/B0CB8X1CTW/ref=sr_1_9?keywords=Milwaukee+0880-20+M18+2-Gallon+Wet%2FDry+Vacuum+%28bare+tool%29&amp;qid=1694735279&amp;sr=8-9")</f>
        <v/>
      </c>
      <c r="F7874" t="inlineStr">
        <is>
          <t>B0CB8X1CTW</t>
        </is>
      </c>
      <c r="G7874">
        <f>_xlfn.IMAGE("https://edmondsonsupply.com/cdn/shop/products/0880-20_2.png?v=1593890228")</f>
        <v/>
      </c>
      <c r="H7874">
        <f>_xlfn.IMAGE("https://m.media-amazon.com/images/I/516K-p8fSCL._AC_UL320_.jpg")</f>
        <v/>
      </c>
      <c r="K7874" t="inlineStr">
        <is>
          <t>129.0</t>
        </is>
      </c>
      <c r="L7874" t="n">
        <v>24.99</v>
      </c>
      <c r="M7874" s="1" t="inlineStr">
        <is>
          <t>-80.63%</t>
        </is>
      </c>
      <c r="N7874" s="7" t="n"/>
      <c r="O7874" t="n">
        <v>4.5</v>
      </c>
      <c r="P7874" t="n">
        <v>4</v>
      </c>
      <c r="R7874" t="inlineStr">
        <is>
          <t>InStock</t>
        </is>
      </c>
      <c r="S7874" t="inlineStr">
        <is>
          <t>220.0</t>
        </is>
      </c>
      <c r="T7874" t="inlineStr">
        <is>
          <t>5376375586984</t>
        </is>
      </c>
    </row>
    <row r="7875" hidden="1" ht="15.75" customHeight="1">
      <c r="A7875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875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875" t="inlineStr">
        <is>
          <t>Diablo Tools DMAPL4040-P25 3/16 in. x 4 in. x 6 in. Rebar Demon™ SDS-Plus 4-Cutter Full Carbide Head Hammer Bit (25-Pack)</t>
        </is>
      </c>
      <c r="D7875" t="inlineStr">
        <is>
          <t>Diablo DMAPL4055 3/16 in. x 10 in. x 12 in. Rebar Demon™ SDS-Plus 4-Cutter Full Carbide Head Hammer Bit</t>
        </is>
      </c>
      <c r="E7875" s="2" t="n"/>
      <c r="F7875" t="inlineStr">
        <is>
          <t>B089LJCD42</t>
        </is>
      </c>
      <c r="G7875">
        <f>_xludf.IMAGE("https://edmondsonsupply.com/cdn/shop/products/DMAPL4040-P25.jpg?v=1633030349")</f>
        <v/>
      </c>
      <c r="H7875">
        <f>_xludf.IMAGE("https://m.media-amazon.com/images/I/61cDOAhkb4L._AC_UL320_.jpg")</f>
        <v/>
      </c>
      <c r="K7875" t="inlineStr">
        <is>
          <t>81.97</t>
        </is>
      </c>
      <c r="L7875" t="n">
        <v>15.76</v>
      </c>
      <c r="M7875" s="1" t="inlineStr">
        <is>
          <t>-80.77%</t>
        </is>
      </c>
      <c r="N7875" s="1" t="n"/>
      <c r="O7875" t="n">
        <v>2</v>
      </c>
      <c r="P7875" t="n">
        <v>1</v>
      </c>
      <c r="R7875" t="inlineStr">
        <is>
          <t>InStock</t>
        </is>
      </c>
      <c r="S7875" t="inlineStr">
        <is>
          <t>117.4</t>
        </is>
      </c>
      <c r="T7875" t="inlineStr">
        <is>
          <t>5283055206568</t>
        </is>
      </c>
    </row>
    <row r="7876" hidden="1" ht="15.75" customHeight="1">
      <c r="A7876" s="2">
        <f>HYPERLINK("https://edmondsonsupply.com/collections/electricians-tools/products/klein-tools-66070-flip-impact-socket-set-7-piece", "https://edmondsonsupply.com/collections/electricians-tools/products/klein-tools-66070-flip-impact-socket-set-7-piece")</f>
        <v/>
      </c>
      <c r="B7876" s="2">
        <f>HYPERLINK("https://edmondsonsupply.com/products/klein-tools-66070-flip-impact-socket-set-7-piece", "https://edmondsonsupply.com/products/klein-tools-66070-flip-impact-socket-set-7-piece")</f>
        <v/>
      </c>
      <c r="C7876" t="inlineStr">
        <is>
          <t>Klein Tools 66070 Flip Impact Socket Set, 7-Piece</t>
        </is>
      </c>
      <c r="D7876" t="inlineStr">
        <is>
          <t>Klein Tools 66079 Impact Flip Socket Adapter, Small 1/4 to 1/4 -Inch Hex Adapter, Use with Klein Tools Flip Impact Socket Set 66070</t>
        </is>
      </c>
      <c r="E7876" s="2">
        <f>HYPERLINK("https://www.amazon.com/Klein-Tools-66079-Impact-Adapter/dp/B0B33WGYX5/ref=sr_1_4?keywords=Klein+Tools+66070+Flip+Impact+Socket+Set%2C+7-Piece&amp;qid=1694734974&amp;sr=8-4", "https://www.amazon.com/Klein-Tools-66079-Impact-Adapter/dp/B0B33WGYX5/ref=sr_1_4?keywords=Klein+Tools+66070+Flip+Impact+Socket+Set%2C+7-Piece&amp;qid=1694734974&amp;sr=8-4")</f>
        <v/>
      </c>
      <c r="F7876" t="inlineStr">
        <is>
          <t>B0B33WGYX5</t>
        </is>
      </c>
      <c r="G7876">
        <f>_xludf.IMAGE("https://edmondsonsupply.com/cdn/shop/products/66070_b.jpg?v=1663251434")</f>
        <v/>
      </c>
      <c r="H7876">
        <f>_xludf.IMAGE("https://m.media-amazon.com/images/I/41eZRUf3qGL._AC_UL320_.jpg")</f>
        <v/>
      </c>
      <c r="K7876" t="inlineStr">
        <is>
          <t>49.97</t>
        </is>
      </c>
      <c r="L7876" t="n">
        <v>9.6</v>
      </c>
      <c r="M7876" s="1" t="inlineStr">
        <is>
          <t>-80.79%</t>
        </is>
      </c>
      <c r="N7876" s="1" t="n"/>
      <c r="O7876" t="n">
        <v>3.8</v>
      </c>
      <c r="P7876" t="n">
        <v>5</v>
      </c>
      <c r="R7876" t="inlineStr">
        <is>
          <t>InStock</t>
        </is>
      </c>
      <c r="S7876" t="inlineStr">
        <is>
          <t>69.98</t>
        </is>
      </c>
      <c r="T7876" t="inlineStr">
        <is>
          <t>7817421127896</t>
        </is>
      </c>
    </row>
    <row r="7877" hidden="1" ht="15.75" customHeight="1">
      <c r="A7877" s="2">
        <f>HYPERLINK("https://edmondsonsupply.com/collections/electricians-tools/products/klein-tools-66080-2-in-1-penta-hex-flip-socket-with-adapter", "https://edmondsonsupply.com/collections/electricians-tools/products/klein-tools-66080-2-in-1-penta-hex-flip-socket-with-adapter")</f>
        <v/>
      </c>
      <c r="B7877" s="2">
        <f>HYPERLINK("https://edmondsonsupply.com/products/klein-tools-66080-2-in-1-penta-hex-flip-socket-with-adapter", "https://edmondsonsupply.com/products/klein-tools-66080-2-in-1-penta-hex-flip-socket-with-adapter")</f>
        <v/>
      </c>
      <c r="C7877" t="inlineStr">
        <is>
          <t>Klein Tools 66080 2-in-1 Penta/Hex Flip Socket with Adapter</t>
        </is>
      </c>
      <c r="D7877" t="inlineStr">
        <is>
          <t>Klein Tools 66079 Impact Flip Socket Adapter, Small 1/4 to 1/4 -Inch Hex Adapter, Use with Klein Tools Flip Impact Socket Set 66070</t>
        </is>
      </c>
      <c r="E7877" s="2">
        <f>HYPERLINK("https://www.amazon.com/Klein-Tools-66079-Impact-Adapter/dp/B0B33WGYX5/ref=sr_1_1?keywords=Klein+Tools+66080+2-in-1+Penta%2FHex+Flip+Socket+with+Adapter&amp;qid=1694735125&amp;sr=8-1", "https://www.amazon.com/Klein-Tools-66079-Impact-Adapter/dp/B0B33WGYX5/ref=sr_1_1?keywords=Klein+Tools+66080+2-in-1+Penta%2FHex+Flip+Socket+with+Adapter&amp;qid=1694735125&amp;sr=8-1")</f>
        <v/>
      </c>
      <c r="F7877" t="inlineStr">
        <is>
          <t>B0B33WGYX5</t>
        </is>
      </c>
      <c r="G7877">
        <f>_xludf.IMAGE("https://edmondsonsupply.com/cdn/shop/products/66080.jpg?v=1663076636")</f>
        <v/>
      </c>
      <c r="H7877">
        <f>_xludf.IMAGE("https://m.media-amazon.com/images/I/41eZRUf3qGL._AC_UL320_.jpg")</f>
        <v/>
      </c>
      <c r="K7877" t="inlineStr">
        <is>
          <t>50.4</t>
        </is>
      </c>
      <c r="L7877" t="n">
        <v>9.6</v>
      </c>
      <c r="M7877" s="1" t="inlineStr">
        <is>
          <t>-80.95%</t>
        </is>
      </c>
      <c r="N7877" s="1" t="n"/>
      <c r="O7877" t="n">
        <v>3.8</v>
      </c>
      <c r="P7877" t="n">
        <v>5</v>
      </c>
      <c r="R7877" t="inlineStr">
        <is>
          <t>InStock</t>
        </is>
      </c>
      <c r="S7877" t="inlineStr">
        <is>
          <t>84.0</t>
        </is>
      </c>
      <c r="T7877" t="inlineStr">
        <is>
          <t>7814022594776</t>
        </is>
      </c>
    </row>
    <row r="7878" hidden="1" ht="15.75" customHeight="1">
      <c r="A7878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878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878" t="inlineStr">
        <is>
          <t>Diablo Tools DMAPL4310 1 in. x 16 in. x 18 in. Rebar Demon™ SDS-Plus 4-Cutter Full Carbide Head Hammer Drill Bit</t>
        </is>
      </c>
      <c r="D7878" t="inlineStr">
        <is>
          <t>Diablo by Freud DMAPL4010 5/32 in. x 2 in. x 4 in. Rebar Demon SDS-Plus 4-Cutter Full Carbide Head Hammer Bit</t>
        </is>
      </c>
      <c r="E7878" s="2">
        <f>HYPERLINK("https://www.amazon.com/Diablo-SDS-Plus-4-Cutter-Carbide-Hammer/dp/B089KWVTD3/ref=sr_1_29?keywords=Diablo+Tools+DMAPL4310+1+in.+x+16+in.+x+18+in.+Rebar+Demon%E2%84%A2+SDS-Plus+4-Cutter+Full+Carbide+Head+Hammer+Drill+Bit&amp;qid=1694735204&amp;sr=8-29", "https://www.amazon.com/Diablo-SDS-Plus-4-Cutter-Carbide-Hammer/dp/B089KWVTD3/ref=sr_1_29?keywords=Diablo+Tools+DMAPL4310+1+in.+x+16+in.+x+18+in.+Rebar+Demon%E2%84%A2+SDS-Plus+4-Cutter+Full+Carbide+Head+Hammer+Drill+Bit&amp;qid=1694735204&amp;sr=8-29")</f>
        <v/>
      </c>
      <c r="F7878" t="inlineStr">
        <is>
          <t>B089KWVTD3</t>
        </is>
      </c>
      <c r="G7878">
        <f>_xludf.IMAGE("https://edmondsonsupply.com/cdn/shop/products/DMAPL4310_Main-Image20200701.png?v=1633031094")</f>
        <v/>
      </c>
      <c r="H7878">
        <f>_xludf.IMAGE("https://m.media-amazon.com/images/I/61IkB-DVS1L._AC_UL320_.jpg")</f>
        <v/>
      </c>
      <c r="K7878" t="inlineStr">
        <is>
          <t>49.97</t>
        </is>
      </c>
      <c r="L7878" t="n">
        <v>9.5</v>
      </c>
      <c r="M7878" s="1" t="inlineStr">
        <is>
          <t>-80.99%</t>
        </is>
      </c>
      <c r="N7878" s="1" t="n"/>
      <c r="O7878" t="n">
        <v>4.7</v>
      </c>
      <c r="P7878" t="n">
        <v>4</v>
      </c>
      <c r="R7878" t="inlineStr">
        <is>
          <t>InStock</t>
        </is>
      </c>
      <c r="S7878" t="inlineStr">
        <is>
          <t>57.56</t>
        </is>
      </c>
      <c r="T7878" t="inlineStr">
        <is>
          <t>6839830479021</t>
        </is>
      </c>
    </row>
    <row r="7879" ht="87" customHeight="1">
      <c r="A7879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879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879" t="inlineStr">
        <is>
          <t>Milwaukee 48-11-2412 M12 REDLITHIUM™ XC Battery Two Pack</t>
        </is>
      </c>
      <c r="D7879" t="inlineStr">
        <is>
          <t>2 Pack 3000mAh M12 Replacement Battery for Milwaukee M12 Battery, Compatible with Milwaukee M12 XC Cordless Power Tools Replace for 48-11-2401, 48-11-2402, 48-11-2440, 48-11-2411</t>
        </is>
      </c>
      <c r="E7879" s="2">
        <f>HYPERLINK("https://www.amazon.com/Replacement-Compatible-48-11-2402-48-11-2440-48-11-2411/dp/B083XP6Q4T/ref=sr_1_16?keywords=Milwaukee+48-11-2412+M12+REDLITHIUM%E2%84%A2+XC+Battery+Two+Pack&amp;qid=1694735150&amp;sr=8-16", "https://www.amazon.com/Replacement-Compatible-48-11-2402-48-11-2440-48-11-2411/dp/B083XP6Q4T/ref=sr_1_16?keywords=Milwaukee+48-11-2412+M12+REDLITHIUM%E2%84%A2+XC+Battery+Two+Pack&amp;qid=1694735150&amp;sr=8-16")</f>
        <v/>
      </c>
      <c r="F7879" t="inlineStr">
        <is>
          <t>B083XP6Q4T</t>
        </is>
      </c>
      <c r="G7879">
        <f>_xlfn.IMAGE("https://edmondsonsupply.com/cdn/shop/products/48-11-2412.jpg?v=1654795924")</f>
        <v/>
      </c>
      <c r="H7879">
        <f>_xlfn.IMAGE("https://m.media-amazon.com/images/I/71LHKfDTzZL._AC_UL320_.jpg")</f>
        <v/>
      </c>
      <c r="K7879" t="inlineStr">
        <is>
          <t>129.0</t>
        </is>
      </c>
      <c r="L7879" t="n">
        <v>24.29</v>
      </c>
      <c r="M7879" s="1" t="inlineStr">
        <is>
          <t>-81.17%</t>
        </is>
      </c>
      <c r="N7879" s="7" t="n"/>
      <c r="O7879" t="n">
        <v>4.5</v>
      </c>
      <c r="P7879" t="n">
        <v>951</v>
      </c>
      <c r="R7879" t="inlineStr">
        <is>
          <t>InStock</t>
        </is>
      </c>
      <c r="S7879" t="inlineStr">
        <is>
          <t>217.0</t>
        </is>
      </c>
      <c r="T7879" t="inlineStr">
        <is>
          <t>7711224168664</t>
        </is>
      </c>
    </row>
    <row r="7880" hidden="1" ht="15.75" customHeight="1">
      <c r="A7880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7880" s="2">
        <f>HYPERLINK("https://edmondsonsupply.com/products/klein-tools-31870-carbide-hole-cutter-2-1-2-inch", "https://edmondsonsupply.com/products/klein-tools-31870-carbide-hole-cutter-2-1-2-inch")</f>
        <v/>
      </c>
      <c r="C7880" t="inlineStr">
        <is>
          <t>Klein Tools 31870 Carbide Hole Cutter, 2-1/2-Inch</t>
        </is>
      </c>
      <c r="D7880" t="inlineStr">
        <is>
          <t>Klein Tools 31534 Bi-Metal Hole Saw, 2-1/8-Inch</t>
        </is>
      </c>
      <c r="E7880" s="2">
        <f>HYPERLINK("https://www.amazon.com/Klein-Tools-31534-Bi-Metal-8-Inch/dp/B0009OIJFA/ref=sr_1_42?keywords=Klein+Tools+31870+Carbide+Hole+Cutter%2C+2-1%2F2-Inch&amp;qid=1694735218&amp;sr=8-42", "https://www.amazon.com/Klein-Tools-31534-Bi-Metal-8-Inch/dp/B0009OIJFA/ref=sr_1_42?keywords=Klein+Tools+31870+Carbide+Hole+Cutter%2C+2-1%2F2-Inch&amp;qid=1694735218&amp;sr=8-42")</f>
        <v/>
      </c>
      <c r="F7880" t="inlineStr">
        <is>
          <t>B0009OIJFA</t>
        </is>
      </c>
      <c r="G7880">
        <f>_xludf.IMAGE("https://edmondsonsupply.com/cdn/shop/products/31870_alt1.jpg?v=1633030999")</f>
        <v/>
      </c>
      <c r="H7880">
        <f>_xludf.IMAGE("https://m.media-amazon.com/images/I/31Wk-f8wwaL._AC_UL320_.jpg")</f>
        <v/>
      </c>
      <c r="K7880" t="inlineStr">
        <is>
          <t>79.99</t>
        </is>
      </c>
      <c r="L7880" t="n">
        <v>14.99</v>
      </c>
      <c r="M7880" s="1" t="inlineStr">
        <is>
          <t>-81.26%</t>
        </is>
      </c>
      <c r="N7880" s="1" t="n"/>
      <c r="O7880" t="n">
        <v>5</v>
      </c>
      <c r="P7880" t="n">
        <v>5</v>
      </c>
      <c r="R7880" t="inlineStr">
        <is>
          <t>InStock</t>
        </is>
      </c>
      <c r="S7880" t="inlineStr">
        <is>
          <t>121.2</t>
        </is>
      </c>
      <c r="T7880" t="inlineStr">
        <is>
          <t>6680619974829</t>
        </is>
      </c>
    </row>
    <row r="7881" hidden="1" ht="15.75" customHeight="1">
      <c r="A7881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881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881" t="inlineStr">
        <is>
          <t>Milwaukee 48-11-2412 M12 REDLITHIUM™ XC Battery Two Pack</t>
        </is>
      </c>
      <c r="D7881" t="inlineStr">
        <is>
          <t>Amsbat 2-Pack 3000mAh 12V Battery Replacement for Milwaukee 12V Battery Compatible with Milwaukee M12 Battery 48-11-2401 48-11-2412 48-11-2411 48-11-2420 48-11-2440</t>
        </is>
      </c>
      <c r="E7881" s="2">
        <f>HYPERLINK("https://www.amazon.com/Amsbat-Replacement-Compatible-48-11-2401-48-11-2412/dp/B0B4FS2VBH/ref=sr_1_14?keywords=Milwaukee+48-11-2412+M12+REDLITHIUM%E2%84%A2+XC+Battery+Two+Pack&amp;qid=1694735150&amp;sr=8-14", "https://www.amazon.com/Amsbat-Replacement-Compatible-48-11-2401-48-11-2412/dp/B0B4FS2VBH/ref=sr_1_14?keywords=Milwaukee+48-11-2412+M12+REDLITHIUM%E2%84%A2+XC+Battery+Two+Pack&amp;qid=1694735150&amp;sr=8-14")</f>
        <v/>
      </c>
      <c r="F7881" t="inlineStr">
        <is>
          <t>B0B4FS2VBH</t>
        </is>
      </c>
      <c r="G7881">
        <f>_xludf.IMAGE("https://edmondsonsupply.com/cdn/shop/products/48-11-2412.jpg?v=1654795924")</f>
        <v/>
      </c>
      <c r="H7881">
        <f>_xludf.IMAGE("https://m.media-amazon.com/images/I/7100PhVJQ3L._AC_UL320_.jpg")</f>
        <v/>
      </c>
      <c r="K7881" t="inlineStr">
        <is>
          <t>129.0</t>
        </is>
      </c>
      <c r="L7881" t="n">
        <v>23.99</v>
      </c>
      <c r="M7881" s="1" t="inlineStr">
        <is>
          <t>-81.40%</t>
        </is>
      </c>
      <c r="N7881" s="1" t="n"/>
      <c r="O7881" t="n">
        <v>2.8</v>
      </c>
      <c r="P7881" t="n">
        <v>18</v>
      </c>
      <c r="R7881" t="inlineStr">
        <is>
          <t>InStock</t>
        </is>
      </c>
      <c r="S7881" t="inlineStr">
        <is>
          <t>217.0</t>
        </is>
      </c>
      <c r="T7881" t="inlineStr">
        <is>
          <t>7711224168664</t>
        </is>
      </c>
    </row>
    <row r="7882" ht="87" customHeight="1">
      <c r="A7882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882" s="2">
        <f>HYPERLINK("https://edmondsonsupply.com/products/klein-tools-57032-screwdriver-set-torque-6-piece", "https://edmondsonsupply.com/products/klein-tools-57032-screwdriver-set-torque-6-piece")</f>
        <v/>
      </c>
      <c r="C7882" t="inlineStr">
        <is>
          <t>Klein Tools 57032 Screwdriver Set, Torque, 6-Piece</t>
        </is>
      </c>
      <c r="D7882" t="inlineStr">
        <is>
          <t>Klein Tools 85614 Precision Screwdriver Set, Electronics Slotted and Phillips Screwdrivers with Rotating Caps and Color-Coded Rings, 5-Piece</t>
        </is>
      </c>
      <c r="E7882" s="2">
        <f>HYPERLINK("https://www.amazon.com/Klein-Tools-85614-Electronic-Screwdriver/dp/B0076RWZMQ/ref=sr_1_29?keywords=Klein+Tools+57032+Screwdriver+Set%2C+Torque%2C+6-Piece&amp;qid=1694735042&amp;sr=8-29", "https://www.amazon.com/Klein-Tools-85614-Electronic-Screwdriver/dp/B0076RWZMQ/ref=sr_1_29?keywords=Klein+Tools+57032+Screwdriver+Set%2C+Torque%2C+6-Piece&amp;qid=1694735042&amp;sr=8-29")</f>
        <v/>
      </c>
      <c r="F7882" t="inlineStr">
        <is>
          <t>B0076RWZMQ</t>
        </is>
      </c>
      <c r="G7882">
        <f>_xlfn.IMAGE("https://edmondsonsupply.com/cdn/shop/products/57032set.jpg?v=1675348782")</f>
        <v/>
      </c>
      <c r="H7882">
        <f>_xlfn.IMAGE("https://m.media-amazon.com/images/I/510TMeDdIiL._AC_UL320_.jpg")</f>
        <v/>
      </c>
      <c r="K7882" t="inlineStr">
        <is>
          <t>299.99</t>
        </is>
      </c>
      <c r="L7882" t="n">
        <v>55.67</v>
      </c>
      <c r="M7882" s="1" t="inlineStr">
        <is>
          <t>-81.44%</t>
        </is>
      </c>
      <c r="N7882" s="7" t="n"/>
      <c r="O7882" t="n">
        <v>4.8</v>
      </c>
      <c r="P7882" t="n">
        <v>590</v>
      </c>
      <c r="R7882" t="inlineStr">
        <is>
          <t>InStock</t>
        </is>
      </c>
      <c r="S7882" t="inlineStr">
        <is>
          <t>433.06</t>
        </is>
      </c>
      <c r="T7882" t="inlineStr">
        <is>
          <t>7937805385944</t>
        </is>
      </c>
    </row>
    <row r="7883" hidden="1" ht="15.75" customHeight="1">
      <c r="A7883" s="2">
        <f>HYPERLINK("https://edmondsonsupply.com/collections/electricians-tools/products/diablo-tools-dmamx1040", "https://edmondsonsupply.com/collections/electricians-tools/products/diablo-tools-dmamx1040")</f>
        <v/>
      </c>
      <c r="B7883" s="2">
        <f>HYPERLINK("https://edmondsonsupply.com/products/diablo-tools-dmamx1040", "https://edmondsonsupply.com/products/diablo-tools-dmamx1040")</f>
        <v/>
      </c>
      <c r="C7883" t="inlineStr">
        <is>
          <t>Diablo Tools DMAMX1040 1/2 in. x 24 in. x 29 in. Rebar Demon SDS-Max 4-Cutter Full Carbide Head Hammer Bit</t>
        </is>
      </c>
      <c r="D7883" t="inlineStr">
        <is>
          <t>Diablo by Freud Diablo DMAPL4070 1/4 in. x 4 in. x 6 in. Rebar Demon SDS-Plus 4-Cutter Full Carbide Head Hammer Bit</t>
        </is>
      </c>
      <c r="E7883" s="2">
        <f>HYPERLINK("https://www.amazon.com/Diablo-Freud-DMAPL4070-SDS-Plus-4-Cutter/dp/B089KVLDML/ref=sr_1_38?keywords=Diablo+Tools+DMAMX1040+1%2F2+in.+x+24+in.+x+29+in.+Rebar+Demon+SDS-Max+4-Cutter+Full+Carbide+Head+Hammer+Bit&amp;qid=1694735295&amp;sr=8-38", "https://www.amazon.com/Diablo-Freud-DMAPL4070-SDS-Plus-4-Cutter/dp/B089KVLDML/ref=sr_1_38?keywords=Diablo+Tools+DMAMX1040+1%2F2+in.+x+24+in.+x+29+in.+Rebar+Demon+SDS-Max+4-Cutter+Full+Carbide+Head+Hammer+Bit&amp;qid=1694735295&amp;sr=8-38")</f>
        <v/>
      </c>
      <c r="F7883" t="inlineStr">
        <is>
          <t>B089KVLDML</t>
        </is>
      </c>
      <c r="G7883">
        <f>_xludf.IMAGE("https://edmondsonsupply.com/cdn/shop/products/DMAMX1040_Main-Image20200701.png?v=1633030363")</f>
        <v/>
      </c>
      <c r="H7883">
        <f>_xludf.IMAGE("https://m.media-amazon.com/images/I/61fLLQz5xPL._AC_UL320_.jpg")</f>
        <v/>
      </c>
      <c r="K7883" t="inlineStr">
        <is>
          <t>47.97</t>
        </is>
      </c>
      <c r="L7883" t="n">
        <v>8.84</v>
      </c>
      <c r="M7883" s="1" t="inlineStr">
        <is>
          <t>-81.57%</t>
        </is>
      </c>
      <c r="N7883" s="1" t="n"/>
      <c r="O7883" t="n">
        <v>4.4</v>
      </c>
      <c r="P7883" t="n">
        <v>28</v>
      </c>
      <c r="R7883" t="inlineStr">
        <is>
          <t>InStock</t>
        </is>
      </c>
      <c r="S7883" t="inlineStr">
        <is>
          <t>72.46</t>
        </is>
      </c>
      <c r="T7883" t="inlineStr">
        <is>
          <t>5289126527144</t>
        </is>
      </c>
    </row>
    <row r="7884" ht="87" customHeight="1">
      <c r="A7884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884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884" t="inlineStr">
        <is>
          <t>Diablo Tools DMAMX1230 1 in. x 24 in. x 29 in. Rebar Demon™ SDS-Max 4-Cutter Full Carbide Head Hammer Bit</t>
        </is>
      </c>
      <c r="D7884" t="inlineStr">
        <is>
          <t>Diablo by Freud DMAPL4200 1/2 in. x 16 in. x 18 in. Rebar Demon SDS-Plus 4-Cutter Full Carbide Head Hammer Bit</t>
        </is>
      </c>
      <c r="E7884" s="2">
        <f>HYPERLINK("https://www.amazon.com/Diablo-Freud-DMAPL4200-SDS-Plus-4-Cutter/dp/B089KW2QV1/ref=sr_1_29?keywords=Diablo+Tools+DMAMX1230+1+in.+x+24+in.+x+29+in.+Rebar+Demon%E2%84%A2+SDS-Max+4-Cutter+Full+Carbide+Head+Hammer+Bit&amp;qid=1694735297&amp;sr=8-29", "https://www.amazon.com/Diablo-Freud-DMAPL4200-SDS-Plus-4-Cutter/dp/B089KW2QV1/ref=sr_1_29?keywords=Diablo+Tools+DMAMX1230+1+in.+x+24+in.+x+29+in.+Rebar+Demon%E2%84%A2+SDS-Max+4-Cutter+Full+Carbide+Head+Hammer+Bit&amp;qid=1694735297&amp;sr=8-29")</f>
        <v/>
      </c>
      <c r="F7884" t="inlineStr">
        <is>
          <t>B089KW2QV1</t>
        </is>
      </c>
      <c r="G7884">
        <f>_xlfn.IMAGE("https://edmondsonsupply.com/cdn/shop/products/DMAMX1230_1.jpg?v=1633030364")</f>
        <v/>
      </c>
      <c r="H7884">
        <f>_xlfn.IMAGE("https://m.media-amazon.com/images/I/61rW+ROVmNL._AC_UL320_.jpg")</f>
        <v/>
      </c>
      <c r="K7884" t="inlineStr">
        <is>
          <t>124.97</t>
        </is>
      </c>
      <c r="L7884" t="n">
        <v>23</v>
      </c>
      <c r="M7884" s="1" t="inlineStr">
        <is>
          <t>-81.60%</t>
        </is>
      </c>
      <c r="N7884" s="7" t="n"/>
      <c r="O7884" t="n">
        <v>4.7</v>
      </c>
      <c r="P7884" t="n">
        <v>18</v>
      </c>
      <c r="R7884" t="inlineStr">
        <is>
          <t>InStock</t>
        </is>
      </c>
      <c r="S7884" t="inlineStr">
        <is>
          <t>152.89</t>
        </is>
      </c>
      <c r="T7884" t="inlineStr">
        <is>
          <t>5289176072360</t>
        </is>
      </c>
    </row>
    <row r="7885" hidden="1" ht="15.75" customHeight="1">
      <c r="A7885" s="2">
        <f>HYPERLINK("https://edmondsonsupply.com/collections/electricians-tools/products/klein-tools-vdv526-052-cable-tester-lan-scout%C2%AE-jr-continuity-tester", "https://edmondsonsupply.com/collections/electricians-tools/products/klein-tools-vdv526-052-cable-tester-lan-scout%C2%AE-jr-continuity-tester")</f>
        <v/>
      </c>
      <c r="B7885" s="2">
        <f>HYPERLINK("https://edmondsonsupply.com/products/klein-tools-vdv526-052-cable-tester-lan-scout%c2%ae-jr-continuity-tester", "https://edmondsonsupply.com/products/klein-tools-vdv526-052-cable-tester-lan-scout%c2%ae-jr-continuity-tester")</f>
        <v/>
      </c>
      <c r="C7885" t="inlineStr">
        <is>
          <t>Klein Tools VDV526-052 Cable Tester, LAN Scout® Jr. Continuity Tester</t>
        </is>
      </c>
      <c r="D7885" t="inlineStr">
        <is>
          <t>Klein Tools VDV999-200 Replacement Remote for LAN Scout Jr. 2 Network Cable Tester/Continuity Tester (Cat. No. VDV526-200) Tests RJ45 Cable</t>
        </is>
      </c>
      <c r="E7885" s="2">
        <f>HYPERLINK("https://www.amazon.com/Klein-Tools-VDV999-200-Replacement-Continuity/dp/B092XBPPXV/ref=sr_1_1?keywords=Klein+Tools+VDV526-052+Cable+Tester%2C+LAN+Scout%C2%AE+Jr.+Continuity+Tester&amp;qid=1694734999&amp;sr=8-1", "https://www.amazon.com/Klein-Tools-VDV999-200-Replacement-Continuity/dp/B092XBPPXV/ref=sr_1_1?keywords=Klein+Tools+VDV526-052+Cable+Tester%2C+LAN+Scout%C2%AE+Jr.+Continuity+Tester&amp;qid=1694734999&amp;sr=8-1")</f>
        <v/>
      </c>
      <c r="F7885" t="inlineStr">
        <is>
          <t>B092XBPPXV</t>
        </is>
      </c>
      <c r="G7885">
        <f>_xludf.IMAGE("https://edmondsonsupply.com/cdn/shop/files/vdv526-052.jpg?v=1685032494")</f>
        <v/>
      </c>
      <c r="H7885">
        <f>_xludf.IMAGE("https://m.media-amazon.com/images/I/41g0sTAqWKS._AC_UY218_.jpg")</f>
        <v/>
      </c>
      <c r="K7885" t="inlineStr">
        <is>
          <t>59.97</t>
        </is>
      </c>
      <c r="L7885" t="n">
        <v>10.89</v>
      </c>
      <c r="M7885" s="1" t="inlineStr">
        <is>
          <t>-81.84%</t>
        </is>
      </c>
      <c r="N7885" s="1" t="n"/>
      <c r="O7885" t="n">
        <v>4.3</v>
      </c>
      <c r="P7885" t="n">
        <v>27</v>
      </c>
      <c r="R7885" t="inlineStr">
        <is>
          <t>InStock</t>
        </is>
      </c>
      <c r="S7885" t="inlineStr">
        <is>
          <t>96.68</t>
        </is>
      </c>
      <c r="T7885" t="inlineStr">
        <is>
          <t>7995835678936</t>
        </is>
      </c>
    </row>
    <row r="7886" hidden="1" ht="15.75" customHeight="1">
      <c r="A7886" s="2">
        <f>HYPERLINK("https://edmondsonsupply.com/collections/electricians-tools/products/diablo-tools-dmapl4310-1-in-x-16-in-x-18-in-rebar-demon%E2%84%A2-sds-plus-4-cutter-full-carbide-head-hammer-drill-bit", "https://edmondsonsupply.com/collections/electricians-tools/products/diablo-tools-dmapl4310-1-in-x-16-in-x-18-in-rebar-demon%E2%84%A2-sds-plus-4-cutter-full-carbide-head-hammer-drill-bit")</f>
        <v/>
      </c>
      <c r="B7886" s="2">
        <f>HYPERLINK("https://edmondsonsupply.com/products/diablo-tools-dmapl4310-1-in-x-16-in-x-18-in-rebar-demon%e2%84%a2-sds-plus-4-cutter-full-carbide-head-hammer-drill-bit", "https://edmondsonsupply.com/products/diablo-tools-dmapl4310-1-in-x-16-in-x-18-in-rebar-demon%e2%84%a2-sds-plus-4-cutter-full-carbide-head-hammer-drill-bit")</f>
        <v/>
      </c>
      <c r="C7886" t="inlineStr">
        <is>
          <t>Diablo Tools DMAPL4310 1 in. x 16 in. x 18 in. Rebar Demon™ SDS-Plus 4-Cutter Full Carbide Head Hammer Drill Bit</t>
        </is>
      </c>
      <c r="D7886" t="inlineStr">
        <is>
          <t>Diablo by Freud DMAPL4050 3/16 in. x 6 in. x 8 in. Rebar Demon SDS-Plus 4-Cutter Full Carbide Head Hammer Bit Multi, One Size</t>
        </is>
      </c>
      <c r="E7886" s="2">
        <f>HYPERLINK("https://www.amazon.com/Diablo-SDS-Plus-4-Cutter-Carbide-Hammer/dp/B089LKWR9L/ref=sr_1_32?keywords=Diablo+Tools+DMAPL4310+1+in.+x+16+in.+x+18+in.+Rebar+Demon%E2%84%A2+SDS-Plus+4-Cutter+Full+Carbide+Head+Hammer+Drill+Bit&amp;qid=1694735204&amp;sr=8-32", "https://www.amazon.com/Diablo-SDS-Plus-4-Cutter-Carbide-Hammer/dp/B089LKWR9L/ref=sr_1_32?keywords=Diablo+Tools+DMAPL4310+1+in.+x+16+in.+x+18+in.+Rebar+Demon%E2%84%A2+SDS-Plus+4-Cutter+Full+Carbide+Head+Hammer+Drill+Bit&amp;qid=1694735204&amp;sr=8-32")</f>
        <v/>
      </c>
      <c r="F7886" t="inlineStr">
        <is>
          <t>B089LKWR9L</t>
        </is>
      </c>
      <c r="G7886">
        <f>_xludf.IMAGE("https://edmondsonsupply.com/cdn/shop/products/DMAPL4310_Main-Image20200701.png?v=1633031094")</f>
        <v/>
      </c>
      <c r="H7886">
        <f>_xludf.IMAGE("https://m.media-amazon.com/images/I/61uukuKzJeL._AC_UL320_.jpg")</f>
        <v/>
      </c>
      <c r="K7886" t="inlineStr">
        <is>
          <t>49.97</t>
        </is>
      </c>
      <c r="L7886" t="n">
        <v>8.99</v>
      </c>
      <c r="M7886" s="1" t="inlineStr">
        <is>
          <t>-82.01%</t>
        </is>
      </c>
      <c r="N7886" s="1" t="n"/>
      <c r="O7886" t="n">
        <v>3.7</v>
      </c>
      <c r="P7886" t="n">
        <v>10</v>
      </c>
      <c r="R7886" t="inlineStr">
        <is>
          <t>InStock</t>
        </is>
      </c>
      <c r="S7886" t="inlineStr">
        <is>
          <t>57.56</t>
        </is>
      </c>
      <c r="T7886" t="inlineStr">
        <is>
          <t>6839830479021</t>
        </is>
      </c>
    </row>
    <row r="7887" ht="87" customHeight="1">
      <c r="A7887" s="2">
        <f>HYPERLINK("https://edmondsonsupply.com/collections/electricians-tools/products/milwaukee-0880-20", "https://edmondsonsupply.com/collections/electricians-tools/products/milwaukee-0880-20")</f>
        <v/>
      </c>
      <c r="B7887" s="2">
        <f>HYPERLINK("https://edmondsonsupply.com/products/milwaukee-0880-20", "https://edmondsonsupply.com/products/milwaukee-0880-20")</f>
        <v/>
      </c>
      <c r="C7887" t="inlineStr">
        <is>
          <t>Milwaukee 0880-20 M18 2-Gallon Wet/Dry Vacuum (bare tool)</t>
        </is>
      </c>
      <c r="D7887" t="inlineStr">
        <is>
          <t>Fette Filter-HEPA Wet Dry Vacuum Filter Compatible with Milwaukee 49-90-1900. Designed for M18 2 Gallon Wet/Dry Vacuum Model # 0880-20 (Pack of 2)</t>
        </is>
      </c>
      <c r="E7887" s="2">
        <f>HYPERLINK("https://www.amazon.com/Fette-Filter-HEPA-Filter-Compatible-49-90-1900/dp/B08296S2BV/ref=sr_1_11?keywords=Milwaukee+0880-20+M18+2-Gallon+Wet%2FDry+Vacuum+%28bare+tool%29&amp;qid=1694735279&amp;sr=8-11", "https://www.amazon.com/Fette-Filter-HEPA-Filter-Compatible-49-90-1900/dp/B08296S2BV/ref=sr_1_11?keywords=Milwaukee+0880-20+M18+2-Gallon+Wet%2FDry+Vacuum+%28bare+tool%29&amp;qid=1694735279&amp;sr=8-11")</f>
        <v/>
      </c>
      <c r="F7887" t="inlineStr">
        <is>
          <t>B08296S2BV</t>
        </is>
      </c>
      <c r="G7887">
        <f>_xlfn.IMAGE("https://edmondsonsupply.com/cdn/shop/products/0880-20_2.png?v=1593890228")</f>
        <v/>
      </c>
      <c r="H7887">
        <f>_xlfn.IMAGE("https://m.media-amazon.com/images/I/71uu1wHS00L._AC_UL320_.jpg")</f>
        <v/>
      </c>
      <c r="K7887" t="inlineStr">
        <is>
          <t>129.0</t>
        </is>
      </c>
      <c r="L7887" t="n">
        <v>22.99</v>
      </c>
      <c r="M7887" s="1" t="inlineStr">
        <is>
          <t>-82.18%</t>
        </is>
      </c>
      <c r="N7887" s="7" t="n"/>
      <c r="O7887" t="n">
        <v>4.7</v>
      </c>
      <c r="P7887" t="n">
        <v>149</v>
      </c>
      <c r="R7887" t="inlineStr">
        <is>
          <t>InStock</t>
        </is>
      </c>
      <c r="S7887" t="inlineStr">
        <is>
          <t>220.0</t>
        </is>
      </c>
      <c r="T7887" t="inlineStr">
        <is>
          <t>5376375586984</t>
        </is>
      </c>
    </row>
    <row r="7888" hidden="1" ht="15.75" customHeight="1">
      <c r="A7888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888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888" t="inlineStr">
        <is>
          <t>Diablo Tools DMAMX1110 5/8 in. x 24 in. x 29 in. Rebar Demon™ SDS-Max 4-Cutter Full Carbide Head Hammer Bit</t>
        </is>
      </c>
      <c r="D7888" t="inlineStr">
        <is>
          <t>Diablo DMAPL4055 3/16 in. x 10 in. x 12 in. Rebar Demon™ SDS-Plus 4-Cutter Full Carbide Head Hammer Bit</t>
        </is>
      </c>
      <c r="E7888" s="2">
        <f>HYPERLINK("https://www.amazon.com/Diablo-DMAPL4055-SDS-Plus-4-Cutter-Carbide/dp/B089LJCD42/ref=sr_1_32?keywords=Diablo+Tools+DMAMX1110+5%2F8+in.+x+24+in.+x+29+in.+Rebar+Demon%E2%84%A2+SDS-Max+4-Cutter+Full+Carbide+Head+Hammer+Bit&amp;qid=1694735304&amp;sr=8-32", "https://www.amazon.com/Diablo-DMAPL4055-SDS-Plus-4-Cutter-Carbide/dp/B089LJCD42/ref=sr_1_32?keywords=Diablo+Tools+DMAMX1110+5%2F8+in.+x+24+in.+x+29+in.+Rebar+Demon%E2%84%A2+SDS-Max+4-Cutter+Full+Carbide+Head+Hammer+Bit&amp;qid=1694735304&amp;sr=8-32")</f>
        <v/>
      </c>
      <c r="F7888" t="inlineStr">
        <is>
          <t>B089LJCD42</t>
        </is>
      </c>
      <c r="G7888">
        <f>_xludf.IMAGE("https://edmondsonsupply.com/cdn/shop/products/DMAMX1110_1.jpg?v=1633030364")</f>
        <v/>
      </c>
      <c r="H7888">
        <f>_xludf.IMAGE("https://m.media-amazon.com/images/I/61cDOAhkb4L._AC_UL320_.jpg")</f>
        <v/>
      </c>
      <c r="K7888" t="inlineStr">
        <is>
          <t>89.97</t>
        </is>
      </c>
      <c r="L7888" t="n">
        <v>15.76</v>
      </c>
      <c r="M7888" s="1" t="inlineStr">
        <is>
          <t>-82.48%</t>
        </is>
      </c>
      <c r="N7888" s="1" t="n"/>
      <c r="O7888" t="n">
        <v>2</v>
      </c>
      <c r="P7888" t="n">
        <v>1</v>
      </c>
      <c r="R7888" t="inlineStr">
        <is>
          <t>InStock</t>
        </is>
      </c>
      <c r="S7888" t="inlineStr">
        <is>
          <t>115.5</t>
        </is>
      </c>
      <c r="T7888" t="inlineStr">
        <is>
          <t>5289159655592</t>
        </is>
      </c>
    </row>
    <row r="7889" ht="87" customHeight="1">
      <c r="A7889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889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889" t="inlineStr">
        <is>
          <t>Diablo Tools DMAMX1230 1 in. x 24 in. x 29 in. Rebar Demon™ SDS-Max 4-Cutter Full Carbide Head Hammer Bit</t>
        </is>
      </c>
      <c r="D7889" t="inlineStr">
        <is>
          <t>Diablo by Freud DMAPL4230 5/8 in. x 10 in. x 12 in. Rebar Demon SDS-Plus 4-Cutter Full Carbide Head Hammer Bit</t>
        </is>
      </c>
      <c r="E7889" s="2">
        <f>HYPERLINK("https://www.amazon.com/Diablo-Freud-DMAPL4230-SDS-Plus-4-Cutter/dp/B089LCN234/ref=sr_1_30?keywords=Diablo+Tools+DMAMX1230+1+in.+x+24+in.+x+29+in.+Rebar+Demon%E2%84%A2+SDS-Max+4-Cutter+Full+Carbide+Head+Hammer+Bit&amp;qid=1694735297&amp;sr=8-30", "https://www.amazon.com/Diablo-Freud-DMAPL4230-SDS-Plus-4-Cutter/dp/B089LCN234/ref=sr_1_30?keywords=Diablo+Tools+DMAMX1230+1+in.+x+24+in.+x+29+in.+Rebar+Demon%E2%84%A2+SDS-Max+4-Cutter+Full+Carbide+Head+Hammer+Bit&amp;qid=1694735297&amp;sr=8-30")</f>
        <v/>
      </c>
      <c r="F7889" t="inlineStr">
        <is>
          <t>B089LCN234</t>
        </is>
      </c>
      <c r="G7889">
        <f>_xlfn.IMAGE("https://edmondsonsupply.com/cdn/shop/products/DMAMX1230_1.jpg?v=1633030364")</f>
        <v/>
      </c>
      <c r="H7889">
        <f>_xlfn.IMAGE("https://m.media-amazon.com/images/I/61r649wmyhL._AC_UL320_.jpg")</f>
        <v/>
      </c>
      <c r="K7889" t="inlineStr">
        <is>
          <t>124.97</t>
        </is>
      </c>
      <c r="L7889" t="n">
        <v>21.86</v>
      </c>
      <c r="M7889" s="1" t="inlineStr">
        <is>
          <t>-82.51%</t>
        </is>
      </c>
      <c r="N7889" s="7" t="n"/>
      <c r="O7889" t="n">
        <v>4.7</v>
      </c>
      <c r="P7889" t="n">
        <v>47</v>
      </c>
      <c r="R7889" t="inlineStr">
        <is>
          <t>InStock</t>
        </is>
      </c>
      <c r="S7889" t="inlineStr">
        <is>
          <t>152.89</t>
        </is>
      </c>
      <c r="T7889" t="inlineStr">
        <is>
          <t>5289176072360</t>
        </is>
      </c>
    </row>
    <row r="7890" ht="87" customHeight="1">
      <c r="A7890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890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890" t="inlineStr">
        <is>
          <t>Diablo Tools DMAPL4160-P25 3/8 in. x 10 in. x 12 in. Rebar Demon™ SDS-Plus 4-Cutter Full Carbide Head Hammer Bit (25 pack)</t>
        </is>
      </c>
      <c r="D7890" t="inlineStr">
        <is>
          <t>Diablo by Freud DMAPL4300 1 in. x 8 in. x 10 in. Rebar Demon™ SDS-Plus 4-Cutter Full Carbide Head Hammer Bit</t>
        </is>
      </c>
      <c r="E7890" s="2" t="n"/>
      <c r="F7890" t="inlineStr">
        <is>
          <t>B089LL8JD8</t>
        </is>
      </c>
      <c r="G7890">
        <f>_xlfn.IMAGE("https://edmondsonsupply.com/cdn/shop/products/DMAPL4160_Main-Image20200702.png?v=1633030463")</f>
        <v/>
      </c>
      <c r="H7890">
        <f>_xlfn.IMAGE("https://m.media-amazon.com/images/I/616UiJGsK1L._AC_UL320_.jpg")</f>
        <v/>
      </c>
      <c r="K7890" t="inlineStr">
        <is>
          <t>195.97</t>
        </is>
      </c>
      <c r="L7890" t="n">
        <v>33.95</v>
      </c>
      <c r="M7890" s="1" t="inlineStr">
        <is>
          <t>-82.68%</t>
        </is>
      </c>
      <c r="N7890" s="7" t="n"/>
      <c r="O7890" t="n">
        <v>4.5</v>
      </c>
      <c r="P7890" t="n">
        <v>16</v>
      </c>
      <c r="R7890" t="inlineStr">
        <is>
          <t>InStock</t>
        </is>
      </c>
      <c r="S7890" t="inlineStr">
        <is>
          <t>283.58</t>
        </is>
      </c>
      <c r="T7890" t="inlineStr">
        <is>
          <t>5361994236072</t>
        </is>
      </c>
    </row>
    <row r="7891" ht="87" customHeight="1">
      <c r="A7891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891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891" t="inlineStr">
        <is>
          <t>Diablo Tools DMAPL4180-P25 1/2 in. x 4 in. x 6 in. Rebar Demon™ SDS-Plus 4-Cutter Full Carbide Head Hammer Bit (25 Pack)</t>
        </is>
      </c>
      <c r="D7891" t="inlineStr">
        <is>
          <t>Diablo by Freud DMAPL4200 1/2 in. x 16 in. x 18 in. Rebar Demon SDS-Plus 4-Cutter Full Carbide Head Hammer Bit</t>
        </is>
      </c>
      <c r="E7891" s="2">
        <f>HYPERLINK("https://www.amazon.com/Diablo-Freud-DMAPL4200-SDS-Plus-4-Cutter/dp/B089KW2QV1/ref=sr_1_5?keywords=Diablo+Tools+DMAPL4180-P25+1%2F2+in.+x+4+in.+x+6+in.+Rebar+Demon%E2%84%A2+SDS-Plus+4-Cutter+Full+Carbide+Head+Hammer+Bit+%2825+Pack%29&amp;qid=1694735263&amp;sr=8-5", "https://www.amazon.com/Diablo-Freud-DMAPL4200-SDS-Plus-4-Cutter/dp/B089KW2QV1/ref=sr_1_5?keywords=Diablo+Tools+DMAPL4180-P25+1%2F2+in.+x+4+in.+x+6+in.+Rebar+Demon%E2%84%A2+SDS-Plus+4-Cutter+Full+Carbide+Head+Hammer+Bit+%2825+Pack%29&amp;qid=1694735263&amp;sr=8-5")</f>
        <v/>
      </c>
      <c r="F7891" t="inlineStr">
        <is>
          <t>B089KW2QV1</t>
        </is>
      </c>
      <c r="G7891">
        <f>_xlfn.IMAGE("https://edmondsonsupply.com/cdn/shop/products/DMAPL4180-P25_Additional-Images_0120200331.png?v=1633030573")</f>
        <v/>
      </c>
      <c r="H7891">
        <f>_xlfn.IMAGE("https://m.media-amazon.com/images/I/61rW+ROVmNL._AC_UL320_.jpg")</f>
        <v/>
      </c>
      <c r="K7891" t="inlineStr">
        <is>
          <t>133.97</t>
        </is>
      </c>
      <c r="L7891" t="n">
        <v>23</v>
      </c>
      <c r="M7891" s="1" t="inlineStr">
        <is>
          <t>-82.83%</t>
        </is>
      </c>
      <c r="N7891" s="7" t="n"/>
      <c r="O7891" t="n">
        <v>4.7</v>
      </c>
      <c r="P7891" t="n">
        <v>18</v>
      </c>
      <c r="R7891" t="inlineStr">
        <is>
          <t>InStock</t>
        </is>
      </c>
      <c r="S7891" t="inlineStr">
        <is>
          <t>193.66</t>
        </is>
      </c>
      <c r="T7891" t="inlineStr">
        <is>
          <t>5524246659240</t>
        </is>
      </c>
    </row>
    <row r="7892" ht="87" customHeight="1">
      <c r="A7892" s="2">
        <f>HYPERLINK("https://edmondsonsupply.com/collections/electricians-tools/products/fluke-tplus-electrical-tester", "https://edmondsonsupply.com/collections/electricians-tools/products/fluke-tplus-electrical-tester")</f>
        <v/>
      </c>
      <c r="B7892" s="2">
        <f>HYPERLINK("https://edmondsonsupply.com/products/fluke-tplus-electrical-tester", "https://edmondsonsupply.com/products/fluke-tplus-electrical-tester")</f>
        <v/>
      </c>
      <c r="C7892" t="inlineStr">
        <is>
          <t>Fluke T+ Electrical Tester</t>
        </is>
      </c>
      <c r="D7892" t="inlineStr">
        <is>
          <t>RAIACE Hard Carrying Case for Fluke T5-1000/T5-600/T6-1000/T6-600 Electrical Voltage, Continuity and Current Tester - Black</t>
        </is>
      </c>
      <c r="E7892" s="2">
        <f>HYPERLINK("https://www.amazon.com/RAIACE-Carrying-T5-1000-Electrical-Continuity/dp/B093298FWB/ref=sr_1_33?keywords=Fluke+T+Electrical+Tester&amp;qid=1694735309&amp;sr=8-33", "https://www.amazon.com/RAIACE-Carrying-T5-1000-Electrical-Continuity/dp/B093298FWB/ref=sr_1_33?keywords=Fluke+T+Electrical+Tester&amp;qid=1694735309&amp;sr=8-33")</f>
        <v/>
      </c>
      <c r="F7892" t="inlineStr">
        <is>
          <t>B093298FWB</t>
        </is>
      </c>
      <c r="G7892">
        <f>_xlfn.IMAGE("https://edmondsonsupply.com/cdn/shop/products/tplus.jpg?v=1633030280")</f>
        <v/>
      </c>
      <c r="H7892">
        <f>_xlfn.IMAGE("https://m.media-amazon.com/images/I/61LRw3CWgES._AC_UL320_.jpg")</f>
        <v/>
      </c>
      <c r="K7892" t="inlineStr">
        <is>
          <t>94.49</t>
        </is>
      </c>
      <c r="L7892" t="n">
        <v>15.95</v>
      </c>
      <c r="M7892" s="1" t="inlineStr">
        <is>
          <t>-83.12%</t>
        </is>
      </c>
      <c r="N7892" s="7" t="n"/>
      <c r="O7892" t="n">
        <v>4.8</v>
      </c>
      <c r="P7892" t="n">
        <v>149</v>
      </c>
      <c r="R7892" t="inlineStr">
        <is>
          <t>InStock</t>
        </is>
      </c>
      <c r="S7892" t="inlineStr">
        <is>
          <t>104.99</t>
        </is>
      </c>
      <c r="T7892" t="inlineStr">
        <is>
          <t>5238397337768</t>
        </is>
      </c>
    </row>
    <row r="7893" hidden="1" ht="15.75" customHeight="1">
      <c r="A7893" s="2">
        <f>HYPERLINK("https://edmondsonsupply.com/collections/electricians-tools/products/diablo-tools-dmamx1360-1-1-2-in-x-16-in-x-21-in-rebar-demon%E2%84%A2-sds-max-4-cutter-carbide-tipped-hammer-drill-bit", "https://edmondsonsupply.com/collections/electricians-tools/products/diablo-tools-dmamx1360-1-1-2-in-x-16-in-x-21-in-rebar-demon%E2%84%A2-sds-max-4-cutter-carbide-tipped-hammer-drill-bit")</f>
        <v/>
      </c>
      <c r="B7893" s="2">
        <f>HYPERLINK("https://edmondsonsupply.com/products/diablo-tools-dmamx1360-1-1-2-in-x-16-in-x-21-in-rebar-demon%e2%84%a2-sds-max-4-cutter-carbide-tipped-hammer-drill-bit", "https://edmondsonsupply.com/products/diablo-tools-dmamx1360-1-1-2-in-x-16-in-x-21-in-rebar-demon%e2%84%a2-sds-max-4-cutter-carbide-tipped-hammer-drill-bit")</f>
        <v/>
      </c>
      <c r="C7893" t="inlineStr">
        <is>
          <t>Diablo Tools DMAMX1360 1-1/2 in. x 16 in. x 21 in. Rebar Demon™ SDS-Max 4-Cutter Carbide-Tipped Hammer Drill Bit</t>
        </is>
      </c>
      <c r="D7893" t="inlineStr">
        <is>
          <t>Diablo DMAPL4055 3/16 in. x 10 in. x 12 in. Rebar Demon™ SDS-Plus 4-Cutter Full Carbide Head Hammer Bit</t>
        </is>
      </c>
      <c r="E7893" s="2">
        <f>HYPERLINK("https://www.amazon.com/Diablo-DMAPL4055-SDS-Plus-4-Cutter-Carbide/dp/B089LJCD42/ref=sr_1_43?keywords=Diablo+Tools+DMAMX1360+1-1%2F2+in.+x+16+in.+x+21+in.+Rebar+Demon%E2%84%A2+SDS-Max+4-Cutter+Carbide-Tipped+Hammer+Drill+Bit&amp;qid=1694735042&amp;sr=8-43", "https://www.amazon.com/Diablo-DMAPL4055-SDS-Plus-4-Cutter-Carbide/dp/B089LJCD42/ref=sr_1_43?keywords=Diablo+Tools+DMAMX1360+1-1%2F2+in.+x+16+in.+x+21+in.+Rebar+Demon%E2%84%A2+SDS-Max+4-Cutter+Carbide-Tipped+Hammer+Drill+Bit&amp;qid=1694735042&amp;sr=8-43")</f>
        <v/>
      </c>
      <c r="F7893" t="inlineStr">
        <is>
          <t>B089LJCD42</t>
        </is>
      </c>
      <c r="G7893">
        <f>_xludf.IMAGE("https://edmondsonsupply.com/cdn/shop/products/z2umcsdaj3y4uvsfnxoh.webp?v=1677257156")</f>
        <v/>
      </c>
      <c r="H7893">
        <f>_xludf.IMAGE("https://m.media-amazon.com/images/I/61cDOAhkb4L._AC_UL320_.jpg")</f>
        <v/>
      </c>
      <c r="K7893" t="inlineStr">
        <is>
          <t>93.87</t>
        </is>
      </c>
      <c r="L7893" t="n">
        <v>15.76</v>
      </c>
      <c r="M7893" s="1" t="inlineStr">
        <is>
          <t>-83.21%</t>
        </is>
      </c>
      <c r="N7893" s="1" t="n"/>
      <c r="O7893" t="n">
        <v>2</v>
      </c>
      <c r="P7893" t="n">
        <v>1</v>
      </c>
      <c r="R7893" t="inlineStr">
        <is>
          <t>InStock</t>
        </is>
      </c>
      <c r="S7893" t="inlineStr">
        <is>
          <t>149.01</t>
        </is>
      </c>
      <c r="T7893" t="inlineStr">
        <is>
          <t>7950786855128</t>
        </is>
      </c>
    </row>
    <row r="7894" ht="87" customHeight="1">
      <c r="A7894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894" s="2">
        <f>HYPERLINK("https://edmondsonsupply.com/products/klein-tools-57032-screwdriver-set-torque-6-piece", "https://edmondsonsupply.com/products/klein-tools-57032-screwdriver-set-torque-6-piece")</f>
        <v/>
      </c>
      <c r="C7894" t="inlineStr">
        <is>
          <t>Klein Tools 57032 Screwdriver Set, Torque, 6-Piece</t>
        </is>
      </c>
      <c r="D7894" t="inlineStr">
        <is>
          <t>Klein Tools 33736INS Insulated Screwdriver Set, 1000V Slim-Tip Driver with Phillips, Cabinet and Square Bits and a Magnetizer, 6-Piece</t>
        </is>
      </c>
      <c r="E7894" s="2">
        <f>HYPERLINK("https://www.amazon.com/Klein-Tools-33736INS-Screwdriver-Magnetizer/dp/B09GPZPMTD/ref=sr_1_9?keywords=Klein+Tools+57032+Screwdriver+Set%2C+Torque%2C+6-Piece&amp;qid=1694735042&amp;sr=8-9", "https://www.amazon.com/Klein-Tools-33736INS-Screwdriver-Magnetizer/dp/B09GPZPMTD/ref=sr_1_9?keywords=Klein+Tools+57032+Screwdriver+Set%2C+Torque%2C+6-Piece&amp;qid=1694735042&amp;sr=8-9")</f>
        <v/>
      </c>
      <c r="F7894" t="inlineStr">
        <is>
          <t>B09GPZPMTD</t>
        </is>
      </c>
      <c r="G7894">
        <f>_xlfn.IMAGE("https://edmondsonsupply.com/cdn/shop/products/57032set.jpg?v=1675348782")</f>
        <v/>
      </c>
      <c r="H7894">
        <f>_xlfn.IMAGE("https://m.media-amazon.com/images/I/51W2DUA3c7L._AC_UL320_.jpg")</f>
        <v/>
      </c>
      <c r="K7894" t="inlineStr">
        <is>
          <t>299.99</t>
        </is>
      </c>
      <c r="L7894" t="n">
        <v>49.99</v>
      </c>
      <c r="M7894" s="1" t="inlineStr">
        <is>
          <t>-83.34%</t>
        </is>
      </c>
      <c r="N7894" s="7" t="n"/>
      <c r="O7894" t="n">
        <v>4.8</v>
      </c>
      <c r="P7894" t="n">
        <v>414</v>
      </c>
      <c r="R7894" t="inlineStr">
        <is>
          <t>InStock</t>
        </is>
      </c>
      <c r="S7894" t="inlineStr">
        <is>
          <t>433.06</t>
        </is>
      </c>
      <c r="T7894" t="inlineStr">
        <is>
          <t>7937805385944</t>
        </is>
      </c>
    </row>
    <row r="7895" ht="87" customHeight="1">
      <c r="A7895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895" s="2">
        <f>HYPERLINK("https://edmondsonsupply.com/products/klein-tools-nrhd4-4-in-1-square-impact-socket", "https://edmondsonsupply.com/products/klein-tools-nrhd4-4-in-1-square-impact-socket")</f>
        <v/>
      </c>
      <c r="C7895" t="inlineStr">
        <is>
          <t>Klein Tools NRHD4 4-in-1 Square Impact Socket</t>
        </is>
      </c>
      <c r="D7895" t="inlineStr">
        <is>
          <t>Klein Tools 32900 Impact Driver, 7-in-1 Impact Flip Socket Set with Handle, 6 Hex Driver Sizes plus a 1/4-Inch Bit Holder</t>
        </is>
      </c>
      <c r="E7895" s="2">
        <f>HYPERLINK("https://www.amazon.com/Klein-Tools-32900-Impact-Driver/dp/B09PZG4F8X/ref=sr_1_8?keywords=Klein+Tools+NRHD4+4-in-1+Square+Impact+Socket&amp;qid=1694735425&amp;sr=8-8", "https://www.amazon.com/Klein-Tools-32900-Impact-Driver/dp/B09PZG4F8X/ref=sr_1_8?keywords=Klein+Tools+NRHD4+4-in-1+Square+Impact+Socket&amp;qid=1694735425&amp;sr=8-8")</f>
        <v/>
      </c>
      <c r="F7895" t="inlineStr">
        <is>
          <t>B09PZG4F8X</t>
        </is>
      </c>
      <c r="G7895">
        <f>_xlfn.IMAGE("https://edmondsonsupply.com/cdn/shop/products/nrhd4.jpg?v=1587150980")</f>
        <v/>
      </c>
      <c r="H7895">
        <f>_xlfn.IMAGE("https://m.media-amazon.com/images/I/51qL2uXqcTL._AC_UL320_.jpg")</f>
        <v/>
      </c>
      <c r="K7895" t="inlineStr">
        <is>
          <t>179.99</t>
        </is>
      </c>
      <c r="L7895" t="n">
        <v>29.97</v>
      </c>
      <c r="M7895" s="1" t="inlineStr">
        <is>
          <t>-83.35%</t>
        </is>
      </c>
      <c r="N7895" s="7" t="n"/>
      <c r="O7895" t="n">
        <v>4.7</v>
      </c>
      <c r="P7895" t="n">
        <v>2468</v>
      </c>
      <c r="R7895" t="inlineStr">
        <is>
          <t>InStock</t>
        </is>
      </c>
      <c r="S7895" t="inlineStr">
        <is>
          <t>291.34</t>
        </is>
      </c>
      <c r="T7895" t="inlineStr">
        <is>
          <t>4396986433636</t>
        </is>
      </c>
    </row>
    <row r="7896" hidden="1" ht="15.75" customHeight="1">
      <c r="A7896" s="2">
        <f>HYPERLINK("https://edmondsonsupply.com/collections/electricians-tools/products/klein-tools-31856-1-1-8-inch-carbide-hole-cutter", "https://edmondsonsupply.com/collections/electricians-tools/products/klein-tools-31856-1-1-8-inch-carbide-hole-cutter")</f>
        <v/>
      </c>
      <c r="B7896" s="2">
        <f>HYPERLINK("https://edmondsonsupply.com/products/klein-tools-31856-1-1-8-inch-carbide-hole-cutter", "https://edmondsonsupply.com/products/klein-tools-31856-1-1-8-inch-carbide-hole-cutter")</f>
        <v/>
      </c>
      <c r="C7896" t="inlineStr">
        <is>
          <t>Klein Tools 31856 1-1/8-Inch Carbide Hole Cutter</t>
        </is>
      </c>
      <c r="D7896" t="inlineStr">
        <is>
          <t>AOKAIMIAR 1-1/8 Inch Carbide Hole Saw with Titanium Plated Center Drill Bit, Heavy Duty TCT Hole Saw Metal Hole Cutter for Stainless Steel Iron Copper Brass Aluminum Alloy</t>
        </is>
      </c>
      <c r="E7896" s="2">
        <f>HYPERLINK("https://www.amazon.com/AOKAIMIAR-Carbide-Titanium-Stainless-Aluminum/dp/B0C49JFVFK/ref=sr_1_26?keywords=Klein+Tools+31856+1-1%2F8-Inch+Carbide+Hole+Cutter&amp;qid=1694734994&amp;sr=8-26", "https://www.amazon.com/AOKAIMIAR-Carbide-Titanium-Stainless-Aluminum/dp/B0C49JFVFK/ref=sr_1_26?keywords=Klein+Tools+31856+1-1%2F8-Inch+Carbide+Hole+Cutter&amp;qid=1694734994&amp;sr=8-26")</f>
        <v/>
      </c>
      <c r="F7896" t="inlineStr">
        <is>
          <t>B0C49JFVFK</t>
        </is>
      </c>
      <c r="G7896">
        <f>_xludf.IMAGE("https://edmondsonsupply.com/cdn/shop/files/31856.jpg?v=1685712345")</f>
        <v/>
      </c>
      <c r="H7896">
        <f>_xludf.IMAGE("https://m.media-amazon.com/images/I/71ZRhEflQyL._AC_UL320_.jpg")</f>
        <v/>
      </c>
      <c r="K7896" t="inlineStr">
        <is>
          <t>35.99</t>
        </is>
      </c>
      <c r="L7896" t="n">
        <v>5.99</v>
      </c>
      <c r="M7896" s="1" t="inlineStr">
        <is>
          <t>-83.36%</t>
        </is>
      </c>
      <c r="N7896" s="1" t="n"/>
      <c r="O7896" t="n">
        <v>4.5</v>
      </c>
      <c r="P7896" t="n">
        <v>21</v>
      </c>
      <c r="R7896" t="inlineStr">
        <is>
          <t>InStock</t>
        </is>
      </c>
      <c r="S7896" t="inlineStr">
        <is>
          <t>50.38</t>
        </is>
      </c>
      <c r="T7896" t="inlineStr">
        <is>
          <t>7999529910488</t>
        </is>
      </c>
    </row>
    <row r="7897" hidden="1" ht="15.75" customHeight="1">
      <c r="A7897" s="2">
        <f>HYPERLINK("https://edmondsonsupply.com/collections/electricians-tools/products/klein-tools-51609-3-4-inch-iron-conduit-bender-head", "https://edmondsonsupply.com/collections/electricians-tools/products/klein-tools-51609-3-4-inch-iron-conduit-bender-head")</f>
        <v/>
      </c>
      <c r="B7897" s="2">
        <f>HYPERLINK("https://edmondsonsupply.com/products/klein-tools-51609-3-4-inch-iron-conduit-bender-head", "https://edmondsonsupply.com/products/klein-tools-51609-3-4-inch-iron-conduit-bender-head")</f>
        <v/>
      </c>
      <c r="C7897" t="inlineStr">
        <is>
          <t>Klein Tools 51609 3/4-Inch Iron Conduit Bender Head</t>
        </is>
      </c>
      <c r="D7897" t="inlineStr">
        <is>
          <t>Klein Tools 51612 Conduit Bender 3/4-Inch Angle Setter, For Use With Klein Tools Conduit Benders (Cat Nos. 51607 and 51604)</t>
        </is>
      </c>
      <c r="E7897" s="2">
        <f>HYPERLINK("https://www.amazon.com/Klein-Tools-51612-Conduit-Benders/dp/B08L5JZM97/ref=sr_1_11?keywords=Klein+Tools+51609+3%2F4-Inch+Iron+Conduit+Bender+Head&amp;qid=1694735132&amp;sr=8-11", "https://www.amazon.com/Klein-Tools-51612-Conduit-Benders/dp/B08L5JZM97/ref=sr_1_11?keywords=Klein+Tools+51609+3%2F4-Inch+Iron+Conduit+Bender+Head&amp;qid=1694735132&amp;sr=8-11")</f>
        <v/>
      </c>
      <c r="F7897" t="inlineStr">
        <is>
          <t>B08L5JZM97</t>
        </is>
      </c>
      <c r="G7897">
        <f>_xludf.IMAGE("https://edmondsonsupply.com/cdn/shop/products/51609.jpg?v=1661867147")</f>
        <v/>
      </c>
      <c r="H7897">
        <f>_xludf.IMAGE("https://m.media-amazon.com/images/I/51x8cPtPWrL._AC_UL320_.jpg")</f>
        <v/>
      </c>
      <c r="K7897" t="inlineStr">
        <is>
          <t>59.99</t>
        </is>
      </c>
      <c r="L7897" t="n">
        <v>9.82</v>
      </c>
      <c r="M7897" s="1" t="inlineStr">
        <is>
          <t>-83.63%</t>
        </is>
      </c>
      <c r="N7897" s="1" t="n"/>
      <c r="O7897" t="n">
        <v>4.2</v>
      </c>
      <c r="P7897" t="n">
        <v>96</v>
      </c>
      <c r="R7897" t="inlineStr">
        <is>
          <t>InStock</t>
        </is>
      </c>
      <c r="S7897" t="inlineStr">
        <is>
          <t>90.22</t>
        </is>
      </c>
      <c r="T7897" t="inlineStr">
        <is>
          <t>7797415837912</t>
        </is>
      </c>
    </row>
    <row r="7898" hidden="1" ht="15.75" customHeight="1">
      <c r="A7898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898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898" t="inlineStr">
        <is>
          <t>Diablo Tools DMAPL4070-P25 1/4 in. x 4 in. x 6 in. Rebar Demon™ SDS-Plus 4-Cutter Full Carbide Head Hammer Bit (25-Pack)</t>
        </is>
      </c>
      <c r="D7898" t="inlineStr">
        <is>
          <t>Diablo DMAPL4120 5/16 in. x 10 in. x 12 in. Rebar Demon™ SDS-Plus 4-Cutter Full Carbide Head Hammer Bit</t>
        </is>
      </c>
      <c r="E7898" s="2">
        <f>HYPERLINK("https://www.amazon.com/Diablo-SDS-Plus-4-Cutter-Carbide-Hammer/dp/B089KTHL12/ref=sr_1_19?keywords=Diablo+Tools+DMAPL4070-P25+1%2F4+in.+x+4+in.+x+6+in.+Rebar+Demon%E2%84%A2+SDS-Plus+4-Cutter+Full+Carbide+Head+Hammer+Bit+%2825-Pack%29&amp;qid=1694735305&amp;sr=8-19", "https://www.amazon.com/Diablo-SDS-Plus-4-Cutter-Carbide-Hammer/dp/B089KTHL12/ref=sr_1_19?keywords=Diablo+Tools+DMAPL4070-P25+1%2F4+in.+x+4+in.+x+6+in.+Rebar+Demon%E2%84%A2+SDS-Plus+4-Cutter+Full+Carbide+Head+Hammer+Bit+%2825-Pack%29&amp;qid=1694735305&amp;sr=8-19")</f>
        <v/>
      </c>
      <c r="F7898" t="inlineStr">
        <is>
          <t>B089KTHL12</t>
        </is>
      </c>
      <c r="G7898">
        <f>_xludf.IMAGE("https://edmondsonsupply.com/cdn/shop/products/DMAPL4070.jpg?v=1633030350")</f>
        <v/>
      </c>
      <c r="H7898">
        <f>_xludf.IMAGE("https://m.media-amazon.com/images/I/61P8b1v1TBL._AC_UL320_.jpg")</f>
        <v/>
      </c>
      <c r="K7898" t="inlineStr">
        <is>
          <t>79.47</t>
        </is>
      </c>
      <c r="L7898" t="n">
        <v>12.99</v>
      </c>
      <c r="M7898" s="1" t="inlineStr">
        <is>
          <t>-83.65%</t>
        </is>
      </c>
      <c r="N7898" s="1" t="n"/>
      <c r="O7898" t="n">
        <v>5</v>
      </c>
      <c r="P7898" t="n">
        <v>6</v>
      </c>
      <c r="R7898" t="inlineStr">
        <is>
          <t>InStock</t>
        </is>
      </c>
      <c r="S7898" t="inlineStr">
        <is>
          <t>106.66</t>
        </is>
      </c>
      <c r="T7898" t="inlineStr">
        <is>
          <t>5283065069736</t>
        </is>
      </c>
    </row>
    <row r="7899" ht="87" customHeight="1">
      <c r="A7899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899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899" t="inlineStr">
        <is>
          <t>Diablo Tools DMAPL4180-P25 1/2 in. x 4 in. x 6 in. Rebar Demon™ SDS-Plus 4-Cutter Full Carbide Head Hammer Bit (25 Pack)</t>
        </is>
      </c>
      <c r="D7899" t="inlineStr">
        <is>
          <t>Diablo by Freud DMAPL4230 5/8 in. x 10 in. x 12 in. Rebar Demon SDS-Plus 4-Cutter Full Carbide Head Hammer Bit</t>
        </is>
      </c>
      <c r="E7899" s="2" t="n"/>
      <c r="F7899" t="inlineStr">
        <is>
          <t>B089LCN234</t>
        </is>
      </c>
      <c r="G7899">
        <f>_xlfn.IMAGE("https://edmondsonsupply.com/cdn/shop/products/DMAPL4180-P25_Additional-Images_0120200331.png?v=1633030573")</f>
        <v/>
      </c>
      <c r="H7899">
        <f>_xlfn.IMAGE("https://m.media-amazon.com/images/I/61r649wmyhL._AC_UL320_.jpg")</f>
        <v/>
      </c>
      <c r="K7899" t="inlineStr">
        <is>
          <t>133.97</t>
        </is>
      </c>
      <c r="L7899" t="n">
        <v>21.86</v>
      </c>
      <c r="M7899" s="1" t="inlineStr">
        <is>
          <t>-83.68%</t>
        </is>
      </c>
      <c r="N7899" s="7" t="n"/>
      <c r="O7899" t="n">
        <v>4.7</v>
      </c>
      <c r="P7899" t="n">
        <v>47</v>
      </c>
      <c r="R7899" t="inlineStr">
        <is>
          <t>InStock</t>
        </is>
      </c>
      <c r="S7899" t="inlineStr">
        <is>
          <t>193.66</t>
        </is>
      </c>
      <c r="T7899" t="inlineStr">
        <is>
          <t>5524246659240</t>
        </is>
      </c>
    </row>
    <row r="7900" hidden="1" ht="15.75" customHeight="1">
      <c r="A7900" s="2">
        <f>HYPERLINK("https://edmondsonsupply.com/collections/electricians-tools/products/klein-tools-935dagl-digital-level-with-programmable-angles", "https://edmondsonsupply.com/collections/electricians-tools/products/klein-tools-935dagl-digital-level-with-programmable-angles")</f>
        <v/>
      </c>
      <c r="B7900" s="2">
        <f>HYPERLINK("https://edmondsonsupply.com/products/klein-tools-935dagl-digital-level-with-programmable-angles", "https://edmondsonsupply.com/products/klein-tools-935dagl-digital-level-with-programmable-angles")</f>
        <v/>
      </c>
      <c r="C7900" t="inlineStr">
        <is>
          <t>Klein Tools 935DAGL Digital Level with Programmable Angles</t>
        </is>
      </c>
      <c r="D7900" t="inlineStr">
        <is>
          <t>Klein Tools 69346 Plumber's Kit, Use with Digital Angle Gauges and Levels Cat. Nos. 935DAGL and 935DAG, Contains Metal Plate and 2 Straps</t>
        </is>
      </c>
      <c r="E7900" s="2">
        <f>HYPERLINK("https://www.amazon.com/Klein-Tools-69346-Plumbers-935DAGL/dp/B08ZT2R999/ref=sr_1_3?keywords=Klein+Tools+935DAGL+Digital+Level+with+Programmable+Angles&amp;qid=1694735135&amp;sr=8-3", "https://www.amazon.com/Klein-Tools-69346-Plumbers-935DAGL/dp/B08ZT2R999/ref=sr_1_3?keywords=Klein+Tools+935DAGL+Digital+Level+with+Programmable+Angles&amp;qid=1694735135&amp;sr=8-3")</f>
        <v/>
      </c>
      <c r="F7900" t="inlineStr">
        <is>
          <t>B08ZT2R999</t>
        </is>
      </c>
      <c r="G7900">
        <f>_xludf.IMAGE("https://edmondsonsupply.com/cdn/shop/products/935dagl.jpg?v=1660749694")</f>
        <v/>
      </c>
      <c r="H7900">
        <f>_xludf.IMAGE("https://m.media-amazon.com/images/I/51jUEHY1GwL._AC_UL320_.jpg")</f>
        <v/>
      </c>
      <c r="K7900" t="inlineStr">
        <is>
          <t>59.97</t>
        </is>
      </c>
      <c r="L7900" t="n">
        <v>9.630000000000001</v>
      </c>
      <c r="M7900" s="1" t="inlineStr">
        <is>
          <t>-83.94%</t>
        </is>
      </c>
      <c r="N7900" s="1" t="n"/>
      <c r="O7900" t="n">
        <v>4.2</v>
      </c>
      <c r="P7900" t="n">
        <v>279</v>
      </c>
      <c r="R7900" t="inlineStr">
        <is>
          <t>InStock</t>
        </is>
      </c>
      <c r="S7900" t="inlineStr">
        <is>
          <t>83.8</t>
        </is>
      </c>
      <c r="T7900" t="inlineStr">
        <is>
          <t>7779783606488</t>
        </is>
      </c>
    </row>
    <row r="7901" ht="87" customHeight="1">
      <c r="A7901" s="2">
        <f>HYPERLINK("https://edmondsonsupply.com/collections/electricians-tools/products/fluke-iksc7", "https://edmondsonsupply.com/collections/electricians-tools/products/fluke-iksc7")</f>
        <v/>
      </c>
      <c r="B7901" s="2">
        <f>HYPERLINK("https://edmondsonsupply.com/products/fluke-iksc7", "https://edmondsonsupply.com/products/fluke-iksc7")</f>
        <v/>
      </c>
      <c r="C7901" t="inlineStr">
        <is>
          <t>Fluke IKSC7 7 Piece Insulated Screwdriver Kit</t>
        </is>
      </c>
      <c r="D7901" t="inlineStr">
        <is>
          <t>7 Pieces 1000V Insulated Screwdriver Set CR-V Magnetic Tip Electrician Tools Kit with Phillips Slotted Bits TPR Handle for Home Repair Improvement Craft</t>
        </is>
      </c>
      <c r="E7901" s="2">
        <f>HYPERLINK("https://www.amazon.com/Insulated-Screwdriver-Magnetic-Electrician-Improvement/dp/B0B6MNYRXG/ref=sr_1_5?keywords=Fluke+IKSC7+7+Piece+Insulated+Screwdriver+Kit&amp;qid=1694735316&amp;sr=8-5", "https://www.amazon.com/Insulated-Screwdriver-Magnetic-Electrician-Improvement/dp/B0B6MNYRXG/ref=sr_1_5?keywords=Fluke+IKSC7+7+Piece+Insulated+Screwdriver+Kit&amp;qid=1694735316&amp;sr=8-5")</f>
        <v/>
      </c>
      <c r="F7901" t="inlineStr">
        <is>
          <t>B0B6MNYRXG</t>
        </is>
      </c>
      <c r="G7901">
        <f>_xlfn.IMAGE("https://edmondsonsupply.com/cdn/shop/products/iksc7-1.jpg?v=1589307381")</f>
        <v/>
      </c>
      <c r="H7901">
        <f>_xlfn.IMAGE("https://m.media-amazon.com/images/I/614hofWFTpL._AC_UL320_.jpg")</f>
        <v/>
      </c>
      <c r="K7901" t="inlineStr">
        <is>
          <t>143.99</t>
        </is>
      </c>
      <c r="L7901" t="n">
        <v>22.89</v>
      </c>
      <c r="M7901" s="1" t="inlineStr">
        <is>
          <t>-84.10%</t>
        </is>
      </c>
      <c r="N7901" s="7" t="n"/>
      <c r="O7901" t="n">
        <v>5</v>
      </c>
      <c r="P7901" t="n">
        <v>1</v>
      </c>
      <c r="R7901" t="inlineStr">
        <is>
          <t>OutOfStock</t>
        </is>
      </c>
      <c r="S7901" t="inlineStr">
        <is>
          <t>159.99</t>
        </is>
      </c>
      <c r="T7901" t="inlineStr">
        <is>
          <t>4650546888804</t>
        </is>
      </c>
    </row>
    <row r="7902" hidden="1" ht="15.75" customHeight="1">
      <c r="A7902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902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902" t="inlineStr">
        <is>
          <t>Diablo Tools DMAPL4040-P25 3/16 in. x 4 in. x 6 in. Rebar Demon™ SDS-Plus 4-Cutter Full Carbide Head Hammer Bit (25-Pack)</t>
        </is>
      </c>
      <c r="D7902" t="inlineStr">
        <is>
          <t>Diablo by Freud DMAPL4160 3/8 in. x 10 in. x 12 in. Rebar Demon SDS-Plus 4-Cutter Full Carbide Head Hammer Bit</t>
        </is>
      </c>
      <c r="E7902" s="2" t="n"/>
      <c r="F7902" t="inlineStr">
        <is>
          <t>B089KX25B7</t>
        </is>
      </c>
      <c r="G7902">
        <f>_xludf.IMAGE("https://edmondsonsupply.com/cdn/shop/products/DMAPL4040-P25.jpg?v=1633030349")</f>
        <v/>
      </c>
      <c r="H7902">
        <f>_xludf.IMAGE("https://m.media-amazon.com/images/I/61MHnm3+2bL._AC_UL320_.jpg")</f>
        <v/>
      </c>
      <c r="K7902" t="inlineStr">
        <is>
          <t>81.97</t>
        </is>
      </c>
      <c r="L7902" t="n">
        <v>13.01</v>
      </c>
      <c r="M7902" s="1" t="inlineStr">
        <is>
          <t>-84.13%</t>
        </is>
      </c>
      <c r="N7902" s="1" t="n"/>
      <c r="O7902" t="n">
        <v>4.5</v>
      </c>
      <c r="P7902" t="n">
        <v>39</v>
      </c>
      <c r="R7902" t="inlineStr">
        <is>
          <t>InStock</t>
        </is>
      </c>
      <c r="S7902" t="inlineStr">
        <is>
          <t>117.4</t>
        </is>
      </c>
      <c r="T7902" t="inlineStr">
        <is>
          <t>5283055206568</t>
        </is>
      </c>
    </row>
    <row r="7903" ht="87" customHeight="1">
      <c r="A7903" s="2">
        <f>HYPERLINK("https://edmondsonsupply.com/collections/electricians-tools/products/milwaukee-0880-20", "https://edmondsonsupply.com/collections/electricians-tools/products/milwaukee-0880-20")</f>
        <v/>
      </c>
      <c r="B7903" s="2">
        <f>HYPERLINK("https://edmondsonsupply.com/products/milwaukee-0880-20", "https://edmondsonsupply.com/products/milwaukee-0880-20")</f>
        <v/>
      </c>
      <c r="C7903" t="inlineStr">
        <is>
          <t>Milwaukee 0880-20 M18 2-Gallon Wet/Dry Vacuum (bare tool)</t>
        </is>
      </c>
      <c r="D7903" t="inlineStr">
        <is>
          <t>Funmit 49-90-1900 HEPA Wet Dry Vacuum Filter Replacement for Milwaukee Cordless M18 Vacuum 0780-20 0880-20 (2 Pack)</t>
        </is>
      </c>
      <c r="E7903" s="2">
        <f>HYPERLINK("https://www.amazon.com/Funmit-49-90-1900-Replacement-Milwaukee-Cordless/dp/B08QMJWVP1/ref=sr_1_12?keywords=Milwaukee+0880-20+M18+2-Gallon+Wet%2FDry+Vacuum+%28bare+tool%29&amp;qid=1694735279&amp;sr=8-12", "https://www.amazon.com/Funmit-49-90-1900-Replacement-Milwaukee-Cordless/dp/B08QMJWVP1/ref=sr_1_12?keywords=Milwaukee+0880-20+M18+2-Gallon+Wet%2FDry+Vacuum+%28bare+tool%29&amp;qid=1694735279&amp;sr=8-12")</f>
        <v/>
      </c>
      <c r="F7903" t="inlineStr">
        <is>
          <t>B08QMJWVP1</t>
        </is>
      </c>
      <c r="G7903">
        <f>_xlfn.IMAGE("https://edmondsonsupply.com/cdn/shop/products/0880-20_2.png?v=1593890228")</f>
        <v/>
      </c>
      <c r="H7903">
        <f>_xlfn.IMAGE("https://m.media-amazon.com/images/I/718M0N1GX-L._AC_UL320_.jpg")</f>
        <v/>
      </c>
      <c r="K7903" t="inlineStr">
        <is>
          <t>129.0</t>
        </is>
      </c>
      <c r="L7903" t="n">
        <v>20.47</v>
      </c>
      <c r="M7903" s="1" t="inlineStr">
        <is>
          <t>-84.13%</t>
        </is>
      </c>
      <c r="N7903" s="7" t="n"/>
      <c r="O7903" t="n">
        <v>4.5</v>
      </c>
      <c r="P7903" t="n">
        <v>172</v>
      </c>
      <c r="R7903" t="inlineStr">
        <is>
          <t>InStock</t>
        </is>
      </c>
      <c r="S7903" t="inlineStr">
        <is>
          <t>220.0</t>
        </is>
      </c>
      <c r="T7903" t="inlineStr">
        <is>
          <t>5376375586984</t>
        </is>
      </c>
    </row>
    <row r="7904" hidden="1" ht="15.75" customHeight="1">
      <c r="A7904" s="2">
        <f>HYPERLINK("https://edmondsonsupply.com/collections/electricians-tools/products/fluke-tplus-electrical-tester", "https://edmondsonsupply.com/collections/electricians-tools/products/fluke-tplus-electrical-tester")</f>
        <v/>
      </c>
      <c r="B7904" s="2">
        <f>HYPERLINK("https://edmondsonsupply.com/products/fluke-tplus-electrical-tester", "https://edmondsonsupply.com/products/fluke-tplus-electrical-tester")</f>
        <v/>
      </c>
      <c r="C7904" t="inlineStr">
        <is>
          <t>Fluke T+ Electrical Tester</t>
        </is>
      </c>
      <c r="D7904" t="inlineStr">
        <is>
          <t>Case Compatible with Fluke T5-1000/ T5-600/ T6-1000/ T6-600/ T+PRO Electrical Voltage, Continuity and Current Tester Multimeter Kit Storage Organizer Holder (Box Only) - Yellow</t>
        </is>
      </c>
      <c r="E7904" s="2">
        <f>HYPERLINK("https://www.amazon.com/Compatible-Electrical-Continuity-Multimeter-Organizer/dp/B0B21CRMNV/ref=sr_1_4?keywords=Fluke+T+Electrical+Tester&amp;qid=1694735309&amp;sr=8-4", "https://www.amazon.com/Compatible-Electrical-Continuity-Multimeter-Organizer/dp/B0B21CRMNV/ref=sr_1_4?keywords=Fluke+T+Electrical+Tester&amp;qid=1694735309&amp;sr=8-4")</f>
        <v/>
      </c>
      <c r="F7904" t="inlineStr">
        <is>
          <t>B0B21CRMNV</t>
        </is>
      </c>
      <c r="G7904">
        <f>_xludf.IMAGE("https://edmondsonsupply.com/cdn/shop/products/tplus.jpg?v=1633030280")</f>
        <v/>
      </c>
      <c r="H7904">
        <f>_xludf.IMAGE("https://m.media-amazon.com/images/I/819ejAcUKmL._AC_UL320_.jpg")</f>
        <v/>
      </c>
      <c r="K7904" t="inlineStr">
        <is>
          <t>94.49</t>
        </is>
      </c>
      <c r="L7904" t="n">
        <v>14.99</v>
      </c>
      <c r="M7904" s="1" t="inlineStr">
        <is>
          <t>-84.14%</t>
        </is>
      </c>
      <c r="N7904" s="1" t="n"/>
      <c r="O7904" t="n">
        <v>4.5</v>
      </c>
      <c r="P7904" t="n">
        <v>67</v>
      </c>
      <c r="R7904" t="inlineStr">
        <is>
          <t>InStock</t>
        </is>
      </c>
      <c r="S7904" t="inlineStr">
        <is>
          <t>104.99</t>
        </is>
      </c>
      <c r="T7904" t="inlineStr">
        <is>
          <t>5238397337768</t>
        </is>
      </c>
    </row>
    <row r="7905" hidden="1" ht="15.75" customHeight="1">
      <c r="A7905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905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905" t="inlineStr">
        <is>
          <t>Diablo Tools DMAPL4040-P25 3/16 in. x 4 in. x 6 in. Rebar Demon™ SDS-Plus 4-Cutter Full Carbide Head Hammer Bit (25-Pack)</t>
        </is>
      </c>
      <c r="D7905" t="inlineStr">
        <is>
          <t>Diablo DMAPL4120 5/16 in. x 10 in. x 12 in. Rebar Demon™ SDS-Plus 4-Cutter Full Carbide Head Hammer Bit</t>
        </is>
      </c>
      <c r="E7905" s="2" t="n"/>
      <c r="F7905" t="inlineStr">
        <is>
          <t>B089KTHL12</t>
        </is>
      </c>
      <c r="G7905">
        <f>_xludf.IMAGE("https://edmondsonsupply.com/cdn/shop/products/DMAPL4040-P25.jpg?v=1633030349")</f>
        <v/>
      </c>
      <c r="H7905">
        <f>_xludf.IMAGE("https://m.media-amazon.com/images/I/61P8b1v1TBL._AC_UL320_.jpg")</f>
        <v/>
      </c>
      <c r="K7905" t="inlineStr">
        <is>
          <t>81.97</t>
        </is>
      </c>
      <c r="L7905" t="n">
        <v>12.99</v>
      </c>
      <c r="M7905" s="1" t="inlineStr">
        <is>
          <t>-84.15%</t>
        </is>
      </c>
      <c r="N7905" s="1" t="n"/>
      <c r="O7905" t="n">
        <v>5</v>
      </c>
      <c r="P7905" t="n">
        <v>6</v>
      </c>
      <c r="R7905" t="inlineStr">
        <is>
          <t>InStock</t>
        </is>
      </c>
      <c r="S7905" t="inlineStr">
        <is>
          <t>117.4</t>
        </is>
      </c>
      <c r="T7905" t="inlineStr">
        <is>
          <t>5283055206568</t>
        </is>
      </c>
    </row>
    <row r="7906" hidden="1" ht="15.75" customHeight="1">
      <c r="A7906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906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906" t="inlineStr">
        <is>
          <t>Diablo Tools DMAPL4080-P25 1/4 in. x 6 in. x 8 in. Rebar Demon™ SDS-Plus 4-Cutter Full Carbide Head Hammer Bit (25 Pack)</t>
        </is>
      </c>
      <c r="D7906" t="inlineStr">
        <is>
          <t>Diablo DMAPL4055 3/16 in. x 10 in. x 12 in. Rebar Demon™ SDS-Plus 4-Cutter Full Carbide Head Hammer Bit</t>
        </is>
      </c>
      <c r="E7906" s="2" t="n"/>
      <c r="F7906" t="inlineStr">
        <is>
          <t>B089LJCD42</t>
        </is>
      </c>
      <c r="G7906">
        <f>_xludf.IMAGE("https://edmondsonsupply.com/cdn/shop/products/DMAPL4080-P25_Main-Image20200701.png?v=1633030623")</f>
        <v/>
      </c>
      <c r="H7906">
        <f>_xludf.IMAGE("https://m.media-amazon.com/images/I/61cDOAhkb4L._AC_UL320_.jpg")</f>
        <v/>
      </c>
      <c r="K7906" t="inlineStr">
        <is>
          <t>99.97</t>
        </is>
      </c>
      <c r="L7906" t="n">
        <v>15.76</v>
      </c>
      <c r="M7906" s="1" t="inlineStr">
        <is>
          <t>-84.24%</t>
        </is>
      </c>
      <c r="N7906" s="1" t="n"/>
      <c r="O7906" t="n">
        <v>2</v>
      </c>
      <c r="P7906" t="n">
        <v>1</v>
      </c>
      <c r="R7906" t="inlineStr">
        <is>
          <t>InStock</t>
        </is>
      </c>
      <c r="S7906" t="inlineStr">
        <is>
          <t>144.22</t>
        </is>
      </c>
      <c r="T7906" t="inlineStr">
        <is>
          <t>5660158918824</t>
        </is>
      </c>
    </row>
    <row r="7907" hidden="1" ht="15.75" customHeight="1">
      <c r="A7907" s="2">
        <f>HYPERLINK("https://edmondsonsupply.com/collections/electricians-tools/products/klein-tools-31866-carbide-hole-cutter-1-3-4-inch", "https://edmondsonsupply.com/collections/electricians-tools/products/klein-tools-31866-carbide-hole-cutter-1-3-4-inch")</f>
        <v/>
      </c>
      <c r="B7907" s="2">
        <f>HYPERLINK("https://edmondsonsupply.com/products/klein-tools-31866-carbide-hole-cutter-1-3-4-inch", "https://edmondsonsupply.com/products/klein-tools-31866-carbide-hole-cutter-1-3-4-inch")</f>
        <v/>
      </c>
      <c r="C7907" t="inlineStr">
        <is>
          <t>Klein Tools 31866 Carbide Hole Cutter, 1-3/4-Inch</t>
        </is>
      </c>
      <c r="D7907" t="inlineStr">
        <is>
          <t>MIKMAYTOO Carbide Hole Cutter, 14mm Hole Saw Metal, 9/16 inch Drill Hole Cutter for Thick Metal, Stainless Steel, Iron Pipes and Hard Material, Shank 3/8 inch Depth 1 inch</t>
        </is>
      </c>
      <c r="E7907" s="2" t="n"/>
      <c r="F7907" t="inlineStr">
        <is>
          <t>B092HLDNLV</t>
        </is>
      </c>
      <c r="G7907">
        <f>_xludf.IMAGE("https://edmondsonsupply.com/cdn/shop/products/31866_alt3.jpg?v=1587143976")</f>
        <v/>
      </c>
      <c r="H7907">
        <f>_xludf.IMAGE("https://m.media-amazon.com/images/I/51D053QcBcS._AC_UL320_.jpg")</f>
        <v/>
      </c>
      <c r="K7907" t="inlineStr">
        <is>
          <t>49.99</t>
        </is>
      </c>
      <c r="L7907" t="n">
        <v>7.88</v>
      </c>
      <c r="M7907" s="1" t="inlineStr">
        <is>
          <t>-84.24%</t>
        </is>
      </c>
      <c r="N7907" s="1" t="n"/>
      <c r="O7907" t="n">
        <v>4</v>
      </c>
      <c r="P7907" t="n">
        <v>132</v>
      </c>
      <c r="R7907" t="inlineStr">
        <is>
          <t>InStock</t>
        </is>
      </c>
      <c r="S7907" t="inlineStr">
        <is>
          <t>70.84</t>
        </is>
      </c>
      <c r="T7907" t="inlineStr">
        <is>
          <t>4512241582180</t>
        </is>
      </c>
    </row>
    <row r="7908" hidden="1" ht="15.75" customHeight="1">
      <c r="A7908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7908" s="2">
        <f>HYPERLINK("https://edmondsonsupply.com/products/klein-tools-31870-carbide-hole-cutter-2-1-2-inch", "https://edmondsonsupply.com/products/klein-tools-31870-carbide-hole-cutter-2-1-2-inch")</f>
        <v/>
      </c>
      <c r="C7908" t="inlineStr">
        <is>
          <t>Klein Tools 31870 Carbide Hole Cutter, 2-1/2-Inch</t>
        </is>
      </c>
      <c r="D7908" t="inlineStr">
        <is>
          <t>Klein Tools 31940 Bi-Metal Hole Saw for Steel Cutting, Heavy-Duty 2 1/2-Inch Hole Saw</t>
        </is>
      </c>
      <c r="E7908" s="2">
        <f>HYPERLINK("https://www.amazon.com/Bi-Metal-2-Inch-Klein-Tools-31940/dp/B0171X0J7W/ref=sr_1_3?keywords=Klein+Tools+31870+Carbide+Hole+Cutter%2C+2-1%2F2-Inch&amp;qid=1694735218&amp;sr=8-3", "https://www.amazon.com/Bi-Metal-2-Inch-Klein-Tools-31940/dp/B0171X0J7W/ref=sr_1_3?keywords=Klein+Tools+31870+Carbide+Hole+Cutter%2C+2-1%2F2-Inch&amp;qid=1694735218&amp;sr=8-3")</f>
        <v/>
      </c>
      <c r="F7908" t="inlineStr">
        <is>
          <t>B0171X0J7W</t>
        </is>
      </c>
      <c r="G7908">
        <f>_xludf.IMAGE("https://edmondsonsupply.com/cdn/shop/products/31870_alt1.jpg?v=1633030999")</f>
        <v/>
      </c>
      <c r="H7908">
        <f>_xludf.IMAGE("https://m.media-amazon.com/images/I/41Jwj0FSz4L._AC_UL320_.jpg")</f>
        <v/>
      </c>
      <c r="K7908" t="inlineStr">
        <is>
          <t>79.99</t>
        </is>
      </c>
      <c r="L7908" t="n">
        <v>12.42</v>
      </c>
      <c r="M7908" s="1" t="inlineStr">
        <is>
          <t>-84.47%</t>
        </is>
      </c>
      <c r="N7908" s="1" t="n"/>
      <c r="O7908" t="n">
        <v>4.6</v>
      </c>
      <c r="P7908" t="n">
        <v>406</v>
      </c>
      <c r="R7908" t="inlineStr">
        <is>
          <t>InStock</t>
        </is>
      </c>
      <c r="S7908" t="inlineStr">
        <is>
          <t>121.2</t>
        </is>
      </c>
      <c r="T7908" t="inlineStr">
        <is>
          <t>6680619974829</t>
        </is>
      </c>
    </row>
    <row r="7909" hidden="1" ht="15.75" customHeight="1">
      <c r="A7909" s="2">
        <f>HYPERLINK("https://edmondsonsupply.com/collections/electricians-tools/products/klein-tools-63060-ratcheting-cable-cutter", "https://edmondsonsupply.com/collections/electricians-tools/products/klein-tools-63060-ratcheting-cable-cutter")</f>
        <v/>
      </c>
      <c r="B7909" s="2">
        <f>HYPERLINK("https://edmondsonsupply.com/products/klein-tools-63060-ratcheting-cable-cutter", "https://edmondsonsupply.com/products/klein-tools-63060-ratcheting-cable-cutter")</f>
        <v/>
      </c>
      <c r="C7909" t="inlineStr">
        <is>
          <t>Klein Tools 63060 Ratcheting Cable Cutter</t>
        </is>
      </c>
      <c r="D7909" t="inlineStr">
        <is>
          <t>Klein Tools 63615 Replacement Red Handle Grips for 63600 Ratcheting Cable Cutter</t>
        </is>
      </c>
      <c r="E7909" s="2">
        <f>HYPERLINK("https://www.amazon.com/Klein-Tools-63615-Replacement-Ratcheting/dp/B007GNV0O4/ref=sr_1_47?keywords=Klein+Tools+63060+Ratcheting+Cable+Cutter&amp;qid=1694735234&amp;sr=8-47", "https://www.amazon.com/Klein-Tools-63615-Replacement-Ratcheting/dp/B007GNV0O4/ref=sr_1_47?keywords=Klein+Tools+63060+Ratcheting+Cable+Cutter&amp;qid=1694735234&amp;sr=8-47")</f>
        <v/>
      </c>
      <c r="F7909" t="inlineStr">
        <is>
          <t>B007GNV0O4</t>
        </is>
      </c>
      <c r="G7909">
        <f>_xludf.IMAGE("https://edmondsonsupply.com/cdn/shop/products/63060.jpg?v=1633030887")</f>
        <v/>
      </c>
      <c r="H7909">
        <f>_xludf.IMAGE("https://m.media-amazon.com/images/I/517zo3hpimL._AC_UL320_.jpg")</f>
        <v/>
      </c>
      <c r="K7909" t="inlineStr">
        <is>
          <t>199.99</t>
        </is>
      </c>
      <c r="L7909" t="n">
        <v>30.88</v>
      </c>
      <c r="M7909" s="1" t="inlineStr">
        <is>
          <t>-84.56%</t>
        </is>
      </c>
      <c r="N7909" s="1" t="n"/>
      <c r="O7909" t="n">
        <v>2</v>
      </c>
      <c r="P7909" t="n">
        <v>1</v>
      </c>
      <c r="R7909" t="inlineStr">
        <is>
          <t>InStock</t>
        </is>
      </c>
      <c r="S7909" t="inlineStr">
        <is>
          <t>349.32</t>
        </is>
      </c>
      <c r="T7909" t="inlineStr">
        <is>
          <t>6220423594157</t>
        </is>
      </c>
    </row>
    <row r="7910" ht="87" customHeight="1">
      <c r="A7910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910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910" t="inlineStr">
        <is>
          <t>Milwaukee 48-11-2412 M12 REDLITHIUM™ XC Battery Two Pack</t>
        </is>
      </c>
      <c r="D7910" t="inlineStr">
        <is>
          <t>BOTKK 2 Pack 3500mAh 12V Battery Replacement for Milwaukee 12V Battery Compatible with Milwaukee M12 Battery 12 Volt Cordless Tools 48-11-2401 48-11-2412 48-11-2411 48-11-2420 48-11-2440</t>
        </is>
      </c>
      <c r="E7910" s="2">
        <f>HYPERLINK("https://www.amazon.com/BOTKK-Replacement-Compatible-48-11-2401-48-11-2402/dp/B09NHS922G/ref=sr_1_35?keywords=Milwaukee+48-11-2412+M12+REDLITHIUM%E2%84%A2+XC+Battery+Two+Pack&amp;qid=1694735150&amp;sr=8-35", "https://www.amazon.com/BOTKK-Replacement-Compatible-48-11-2401-48-11-2402/dp/B09NHS922G/ref=sr_1_35?keywords=Milwaukee+48-11-2412+M12+REDLITHIUM%E2%84%A2+XC+Battery+Two+Pack&amp;qid=1694735150&amp;sr=8-35")</f>
        <v/>
      </c>
      <c r="F7910" t="inlineStr">
        <is>
          <t>B09NHS922G</t>
        </is>
      </c>
      <c r="G7910">
        <f>_xlfn.IMAGE("https://edmondsonsupply.com/cdn/shop/products/48-11-2412.jpg?v=1654795924")</f>
        <v/>
      </c>
      <c r="H7910">
        <f>_xlfn.IMAGE("https://m.media-amazon.com/images/I/71S2Zq9jkTL._AC_UL320_.jpg")</f>
        <v/>
      </c>
      <c r="K7910" t="inlineStr">
        <is>
          <t>129.0</t>
        </is>
      </c>
      <c r="L7910" t="n">
        <v>19.9</v>
      </c>
      <c r="M7910" s="1" t="inlineStr">
        <is>
          <t>-84.57%</t>
        </is>
      </c>
      <c r="N7910" s="7" t="n"/>
      <c r="O7910" t="n">
        <v>4.2</v>
      </c>
      <c r="P7910" t="n">
        <v>66</v>
      </c>
      <c r="R7910" t="inlineStr">
        <is>
          <t>InStock</t>
        </is>
      </c>
      <c r="S7910" t="inlineStr">
        <is>
          <t>217.0</t>
        </is>
      </c>
      <c r="T7910" t="inlineStr">
        <is>
          <t>7711224168664</t>
        </is>
      </c>
    </row>
    <row r="7911" ht="87" customHeight="1">
      <c r="A7911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911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911" t="inlineStr">
        <is>
          <t>Diablo Tools DMAPL4160-P25 3/8 in. x 10 in. x 12 in. Rebar Demon™ SDS-Plus 4-Cutter Full Carbide Head Hammer Bit (25 pack)</t>
        </is>
      </c>
      <c r="D7911" t="inlineStr">
        <is>
          <t>Diablo by Freud DMAPL4270 27/32 in. x 8 in. x 10 in. Rebar Demon SDS-Plus 4-Cutter Full Carbide Head Hammer Bit</t>
        </is>
      </c>
      <c r="E7911" s="2" t="n"/>
      <c r="F7911" t="inlineStr">
        <is>
          <t>B089KXBGLM</t>
        </is>
      </c>
      <c r="G7911">
        <f>_xlfn.IMAGE("https://edmondsonsupply.com/cdn/shop/products/DMAPL4160_Main-Image20200702.png?v=1633030463")</f>
        <v/>
      </c>
      <c r="H7911">
        <f>_xlfn.IMAGE("https://m.media-amazon.com/images/I/611A6sphG9L._AC_UL320_.jpg")</f>
        <v/>
      </c>
      <c r="K7911" t="inlineStr">
        <is>
          <t>195.97</t>
        </is>
      </c>
      <c r="L7911" t="n">
        <v>30.13</v>
      </c>
      <c r="M7911" s="1" t="inlineStr">
        <is>
          <t>-84.63%</t>
        </is>
      </c>
      <c r="N7911" s="7" t="n"/>
      <c r="O7911" t="n">
        <v>5</v>
      </c>
      <c r="P7911" t="n">
        <v>2</v>
      </c>
      <c r="R7911" t="inlineStr">
        <is>
          <t>InStock</t>
        </is>
      </c>
      <c r="S7911" t="inlineStr">
        <is>
          <t>283.58</t>
        </is>
      </c>
      <c r="T7911" t="inlineStr">
        <is>
          <t>5361994236072</t>
        </is>
      </c>
    </row>
    <row r="7912" ht="87" customHeight="1">
      <c r="A7912" s="2">
        <f>HYPERLINK("https://edmondsonsupply.com/collections/electricians-tools/products/klein-tools-et600-insulation-resistance-tester", "https://edmondsonsupply.com/collections/electricians-tools/products/klein-tools-et600-insulation-resistance-tester")</f>
        <v/>
      </c>
      <c r="B7912" s="2">
        <f>HYPERLINK("https://edmondsonsupply.com/products/klein-tools-et600-insulation-resistance-tester", "https://edmondsonsupply.com/products/klein-tools-et600-insulation-resistance-tester")</f>
        <v/>
      </c>
      <c r="C7912" t="inlineStr">
        <is>
          <t>Klein Tools ET600 Insulation Resistance Tester</t>
        </is>
      </c>
      <c r="D7912" t="inlineStr">
        <is>
          <t>RLSOCO Hard Case for Klein Tools ET600 Multimeter, Megohmmeter Insulation Tester(Case Only)</t>
        </is>
      </c>
      <c r="E7912" s="2">
        <f>HYPERLINK("https://www.amazon.com/RLSOCO-Klein-Multimeter-Megohmmeter-Insulation-Tester/dp/B0BYH8S16J/ref=sr_1_8?keywords=Klein+Tools+ET600+Insulation+Resistance+Tester&amp;qid=1694734978&amp;sr=8-8", "https://www.amazon.com/RLSOCO-Klein-Multimeter-Megohmmeter-Insulation-Tester/dp/B0BYH8S16J/ref=sr_1_8?keywords=Klein+Tools+ET600+Insulation+Resistance+Tester&amp;qid=1694734978&amp;sr=8-8")</f>
        <v/>
      </c>
      <c r="F7912" t="inlineStr">
        <is>
          <t>B0BYH8S16J</t>
        </is>
      </c>
      <c r="G7912">
        <f>_xlfn.IMAGE("https://edmondsonsupply.com/cdn/shop/products/et600_accessories_b.jpg?v=1677685603")</f>
        <v/>
      </c>
      <c r="H7912">
        <f>_xlfn.IMAGE("https://m.media-amazon.com/images/I/81KLTELWY+L._AC_UY218_.jpg")</f>
        <v/>
      </c>
      <c r="K7912" t="inlineStr">
        <is>
          <t>164.99</t>
        </is>
      </c>
      <c r="L7912" t="n">
        <v>24.99</v>
      </c>
      <c r="M7912" s="1" t="inlineStr">
        <is>
          <t>-84.85%</t>
        </is>
      </c>
      <c r="N7912" s="7" t="n"/>
      <c r="O7912" t="n">
        <v>4.4</v>
      </c>
      <c r="P7912" t="n">
        <v>3</v>
      </c>
      <c r="R7912" t="inlineStr">
        <is>
          <t>InStock</t>
        </is>
      </c>
      <c r="S7912" t="inlineStr">
        <is>
          <t>231.0</t>
        </is>
      </c>
      <c r="T7912" t="inlineStr">
        <is>
          <t>4411568095332</t>
        </is>
      </c>
    </row>
    <row r="7913" hidden="1" ht="15.75" customHeight="1">
      <c r="A7913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913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913" t="inlineStr">
        <is>
          <t>Diablo Tools DMAPL4140-P25 3/8 in. x 4 in. x 6 in. Rebar Demon™ SDS-Plus 4-Cutter Full Carbide Head Hammer Bit (25-Pack)</t>
        </is>
      </c>
      <c r="D7913" t="inlineStr">
        <is>
          <t>Diablo DMAPL4055 3/16 in. x 10 in. x 12 in. Rebar Demon™ SDS-Plus 4-Cutter Full Carbide Head Hammer Bit</t>
        </is>
      </c>
      <c r="E7913" s="2" t="n"/>
      <c r="F7913" t="inlineStr">
        <is>
          <t>B089LJCD42</t>
        </is>
      </c>
      <c r="G7913">
        <f>_xludf.IMAGE("https://edmondsonsupply.com/cdn/shop/products/DMAPL4140-P25.jpg?v=1633030354")</f>
        <v/>
      </c>
      <c r="H7913">
        <f>_xludf.IMAGE("https://m.media-amazon.com/images/I/61cDOAhkb4L._AC_UL320_.jpg")</f>
        <v/>
      </c>
      <c r="K7913" t="inlineStr">
        <is>
          <t>105.97</t>
        </is>
      </c>
      <c r="L7913" t="n">
        <v>15.76</v>
      </c>
      <c r="M7913" s="1" t="inlineStr">
        <is>
          <t>-85.13%</t>
        </is>
      </c>
      <c r="N7913" s="1" t="n"/>
      <c r="O7913" t="n">
        <v>2</v>
      </c>
      <c r="P7913" t="n">
        <v>1</v>
      </c>
      <c r="R7913" t="inlineStr">
        <is>
          <t>InStock</t>
        </is>
      </c>
      <c r="S7913" t="inlineStr">
        <is>
          <t>153.56</t>
        </is>
      </c>
      <c r="T7913" t="inlineStr">
        <is>
          <t>5286131794088</t>
        </is>
      </c>
    </row>
    <row r="7914" ht="87" customHeight="1">
      <c r="A7914" s="2">
        <f>HYPERLINK("https://edmondsonsupply.com/collections/electricians-tools/products/veto-pro-pac-tech-pac-backpack-tool-bag-1", "https://edmondsonsupply.com/collections/electricians-tools/products/veto-pro-pac-tech-pac-backpack-tool-bag-1")</f>
        <v/>
      </c>
      <c r="B7914" s="2">
        <f>HYPERLINK("https://edmondsonsupply.com/products/veto-pro-pac-tech-pac-backpack-tool-bag-1", "https://edmondsonsupply.com/products/veto-pro-pac-tech-pac-backpack-tool-bag-1")</f>
        <v/>
      </c>
      <c r="C7914" t="inlineStr">
        <is>
          <t>Veto Pro Pac TECH PAC LT Laptop Backpack Tool Bag</t>
        </is>
      </c>
      <c r="D7914" t="inlineStr">
        <is>
          <t>FASTECH Tool Bag Backpack, Electrician Tool Bag, Laptop Compartment With Plastic Bottom, Backpack, Waterproof Tool Bag, Black</t>
        </is>
      </c>
      <c r="E7914" s="2">
        <f>HYPERLINK("https://www.amazon.com/FASTECH-Backpack-Electrician-Compartment-Reflective/dp/B08WX86XBM/ref=sr_1_47?keywords=Veto+Pro+Pac+TECH+PAC+LT+Laptop+Backpack+Tool+Bag&amp;qid=1694735205&amp;sr=8-47", "https://www.amazon.com/FASTECH-Backpack-Electrician-Compartment-Reflective/dp/B08WX86XBM/ref=sr_1_47?keywords=Veto+Pro+Pac+TECH+PAC+LT+Laptop+Backpack+Tool+Bag&amp;qid=1694735205&amp;sr=8-47")</f>
        <v/>
      </c>
      <c r="F7914" t="inlineStr">
        <is>
          <t>B08WX86XBM</t>
        </is>
      </c>
      <c r="G7914">
        <f>_xlfn.IMAGE("https://edmondsonsupply.com/cdn/shop/products/LT_1.jpg?v=1587146035")</f>
        <v/>
      </c>
      <c r="H7914">
        <f>_xlfn.IMAGE("https://m.media-amazon.com/images/I/719SwxtbWdL._AC_UL320_.jpg")</f>
        <v/>
      </c>
      <c r="K7914" t="inlineStr">
        <is>
          <t>289.99</t>
        </is>
      </c>
      <c r="L7914" t="n">
        <v>42.99</v>
      </c>
      <c r="M7914" s="1" t="inlineStr">
        <is>
          <t>-85.18%</t>
        </is>
      </c>
      <c r="N7914" s="7" t="n"/>
      <c r="O7914" t="n">
        <v>4.1</v>
      </c>
      <c r="P7914" t="n">
        <v>162</v>
      </c>
      <c r="R7914" t="inlineStr">
        <is>
          <t>InStock</t>
        </is>
      </c>
      <c r="S7914" t="inlineStr">
        <is>
          <t>undefined</t>
        </is>
      </c>
      <c r="T7914" t="inlineStr">
        <is>
          <t>3558529695844</t>
        </is>
      </c>
    </row>
    <row r="7915" hidden="1" ht="15.75" customHeight="1">
      <c r="A7915" s="2">
        <f>HYPERLINK("https://edmondsonsupply.com/collections/electricians-tools/products/fluke-tplus-electrical-tester", "https://edmondsonsupply.com/collections/electricians-tools/products/fluke-tplus-electrical-tester")</f>
        <v/>
      </c>
      <c r="B7915" s="2">
        <f>HYPERLINK("https://edmondsonsupply.com/products/fluke-tplus-electrical-tester", "https://edmondsonsupply.com/products/fluke-tplus-electrical-tester")</f>
        <v/>
      </c>
      <c r="C7915" t="inlineStr">
        <is>
          <t>Fluke T+ Electrical Tester</t>
        </is>
      </c>
      <c r="D7915" t="inlineStr">
        <is>
          <t>KingSung 10Pcs Universal Multimeter Hanging Loop Strap Magnet Hanger Kit for Fluke Meters and Klein Tool Testers, 4 Straps, 5 Clips and Magnetic Hanger</t>
        </is>
      </c>
      <c r="E7915" s="2">
        <f>HYPERLINK("https://www.amazon.com/KingSung-Universal-Multimeter-Hanging-Magnetic/dp/B0BQ7668P3/ref=sr_1_28?keywords=Fluke+T+Electrical+Tester&amp;qid=1694735309&amp;sr=8-28", "https://www.amazon.com/KingSung-Universal-Multimeter-Hanging-Magnetic/dp/B0BQ7668P3/ref=sr_1_28?keywords=Fluke+T+Electrical+Tester&amp;qid=1694735309&amp;sr=8-28")</f>
        <v/>
      </c>
      <c r="F7915" t="inlineStr">
        <is>
          <t>B0BQ7668P3</t>
        </is>
      </c>
      <c r="G7915">
        <f>_xludf.IMAGE("https://edmondsonsupply.com/cdn/shop/products/tplus.jpg?v=1633030280")</f>
        <v/>
      </c>
      <c r="H7915">
        <f>_xludf.IMAGE("https://m.media-amazon.com/images/I/71Y+an4982L._AC_UL320_.jpg")</f>
        <v/>
      </c>
      <c r="K7915" t="inlineStr">
        <is>
          <t>94.49</t>
        </is>
      </c>
      <c r="L7915" t="n">
        <v>13.99</v>
      </c>
      <c r="M7915" s="1" t="inlineStr">
        <is>
          <t>-85.19%</t>
        </is>
      </c>
      <c r="N7915" s="1" t="n"/>
      <c r="O7915" t="n">
        <v>3.7</v>
      </c>
      <c r="P7915" t="n">
        <v>35</v>
      </c>
      <c r="R7915" t="inlineStr">
        <is>
          <t>InStock</t>
        </is>
      </c>
      <c r="S7915" t="inlineStr">
        <is>
          <t>104.99</t>
        </is>
      </c>
      <c r="T7915" t="inlineStr">
        <is>
          <t>5238397337768</t>
        </is>
      </c>
    </row>
    <row r="7916" hidden="1" ht="15.75" customHeight="1">
      <c r="A7916" s="2">
        <f>HYPERLINK("https://edmondsonsupply.com/collections/electricians-tools/products/fluke-tplus-electrical-tester", "https://edmondsonsupply.com/collections/electricians-tools/products/fluke-tplus-electrical-tester")</f>
        <v/>
      </c>
      <c r="B7916" s="2">
        <f>HYPERLINK("https://edmondsonsupply.com/products/fluke-tplus-electrical-tester", "https://edmondsonsupply.com/products/fluke-tplus-electrical-tester")</f>
        <v/>
      </c>
      <c r="C7916" t="inlineStr">
        <is>
          <t>Fluke T+ Electrical Tester</t>
        </is>
      </c>
      <c r="D7916" t="inlineStr">
        <is>
          <t>Fluke ST120+ GFCI Socket Tester with Audible Beeper</t>
        </is>
      </c>
      <c r="E7916" s="2">
        <f>HYPERLINK("https://www.amazon.com/Fluke-ST120-Socket-Tester-Audible/dp/B0B3VCZ4XK/ref=sr_1_13?keywords=Fluke+T+Electrical+Tester&amp;qid=1694735309&amp;sr=8-13", "https://www.amazon.com/Fluke-ST120-Socket-Tester-Audible/dp/B0B3VCZ4XK/ref=sr_1_13?keywords=Fluke+T+Electrical+Tester&amp;qid=1694735309&amp;sr=8-13")</f>
        <v/>
      </c>
      <c r="F7916" t="inlineStr">
        <is>
          <t>B0B3VCZ4XK</t>
        </is>
      </c>
      <c r="G7916">
        <f>_xludf.IMAGE("https://edmondsonsupply.com/cdn/shop/products/tplus.jpg?v=1633030280")</f>
        <v/>
      </c>
      <c r="H7916">
        <f>_xludf.IMAGE("https://m.media-amazon.com/images/I/816n049-GKL._AC_UL320_.jpg")</f>
        <v/>
      </c>
      <c r="K7916" t="inlineStr">
        <is>
          <t>94.49</t>
        </is>
      </c>
      <c r="L7916" t="n">
        <v>13.97</v>
      </c>
      <c r="M7916" s="1" t="inlineStr">
        <is>
          <t>-85.22%</t>
        </is>
      </c>
      <c r="N7916" s="1" t="n"/>
      <c r="O7916" t="n">
        <v>4.8</v>
      </c>
      <c r="P7916" t="n">
        <v>632</v>
      </c>
      <c r="R7916" t="inlineStr">
        <is>
          <t>InStock</t>
        </is>
      </c>
      <c r="S7916" t="inlineStr">
        <is>
          <t>104.99</t>
        </is>
      </c>
      <c r="T7916" t="inlineStr">
        <is>
          <t>5238397337768</t>
        </is>
      </c>
    </row>
    <row r="7917" hidden="1" ht="15.75" customHeight="1">
      <c r="A7917" s="2">
        <f>HYPERLINK("https://edmondsonsupply.com/collections/electricians-tools/products/fluke-tplus-electrical-tester", "https://edmondsonsupply.com/collections/electricians-tools/products/fluke-tplus-electrical-tester")</f>
        <v/>
      </c>
      <c r="B7917" s="2">
        <f>HYPERLINK("https://edmondsonsupply.com/products/fluke-tplus-electrical-tester", "https://edmondsonsupply.com/products/fluke-tplus-electrical-tester")</f>
        <v/>
      </c>
      <c r="C7917" t="inlineStr">
        <is>
          <t>Fluke T+ Electrical Tester</t>
        </is>
      </c>
      <c r="D7917" t="inlineStr">
        <is>
          <t>Fluke ST120 GFCI Socket Tester Without Beeper</t>
        </is>
      </c>
      <c r="E7917" s="2">
        <f>HYPERLINK("https://www.amazon.com/Fluke-Socket-Tester-Without-Beeper/dp/B0B3VC2W6X/ref=sr_1_16?keywords=Fluke+T+Electrical+Tester&amp;qid=1694735309&amp;sr=8-16", "https://www.amazon.com/Fluke-Socket-Tester-Without-Beeper/dp/B0B3VC2W6X/ref=sr_1_16?keywords=Fluke+T+Electrical+Tester&amp;qid=1694735309&amp;sr=8-16")</f>
        <v/>
      </c>
      <c r="F7917" t="inlineStr">
        <is>
          <t>B0B3VC2W6X</t>
        </is>
      </c>
      <c r="G7917">
        <f>_xludf.IMAGE("https://edmondsonsupply.com/cdn/shop/products/tplus.jpg?v=1633030280")</f>
        <v/>
      </c>
      <c r="H7917">
        <f>_xludf.IMAGE("https://m.media-amazon.com/images/I/81hERZs6wNL._AC_UL320_.jpg")</f>
        <v/>
      </c>
      <c r="K7917" t="inlineStr">
        <is>
          <t>94.49</t>
        </is>
      </c>
      <c r="L7917" t="n">
        <v>13.97</v>
      </c>
      <c r="M7917" s="1" t="inlineStr">
        <is>
          <t>-85.22%</t>
        </is>
      </c>
      <c r="N7917" s="1" t="n"/>
      <c r="O7917" t="n">
        <v>4.8</v>
      </c>
      <c r="P7917" t="n">
        <v>116</v>
      </c>
      <c r="R7917" t="inlineStr">
        <is>
          <t>InStock</t>
        </is>
      </c>
      <c r="S7917" t="inlineStr">
        <is>
          <t>104.99</t>
        </is>
      </c>
      <c r="T7917" t="inlineStr">
        <is>
          <t>5238397337768</t>
        </is>
      </c>
    </row>
    <row r="7918" ht="87" customHeight="1">
      <c r="A7918" s="2">
        <f>HYPERLINK("https://edmondsonsupply.com/collections/electricians-tools/products/milwaukee-0880-20", "https://edmondsonsupply.com/collections/electricians-tools/products/milwaukee-0880-20")</f>
        <v/>
      </c>
      <c r="B7918" s="2">
        <f>HYPERLINK("https://edmondsonsupply.com/products/milwaukee-0880-20", "https://edmondsonsupply.com/products/milwaukee-0880-20")</f>
        <v/>
      </c>
      <c r="C7918" t="inlineStr">
        <is>
          <t>Milwaukee 0880-20 M18 2-Gallon Wet/Dry Vacuum (bare tool)</t>
        </is>
      </c>
      <c r="D7918" t="inlineStr">
        <is>
          <t>Aryavos 2 Pack Wet Dry Vacuum HEPA Filter Replacement 49-90-1900 Compatible with Milwaukee Cordless Vacuum M18 Fuel Packout 0970-20 / M18 2 Gallon 0880-20 / M12 Fuel 1.6 Gallon 0960-20</t>
        </is>
      </c>
      <c r="E7918" s="2">
        <f>HYPERLINK("https://www.amazon.com/Aryavos-Replacement-49-90-1900-Compatible-Milwaukee/dp/B0B7M6DM8K/ref=sr_1_7?keywords=Milwaukee+0880-20+M18+2-Gallon+Wet%2FDry+Vacuum+%28bare+tool%29&amp;qid=1694735279&amp;sr=8-7", "https://www.amazon.com/Aryavos-Replacement-49-90-1900-Compatible-Milwaukee/dp/B0B7M6DM8K/ref=sr_1_7?keywords=Milwaukee+0880-20+M18+2-Gallon+Wet%2FDry+Vacuum+%28bare+tool%29&amp;qid=1694735279&amp;sr=8-7")</f>
        <v/>
      </c>
      <c r="F7918" t="inlineStr">
        <is>
          <t>B0B7M6DM8K</t>
        </is>
      </c>
      <c r="G7918">
        <f>_xlfn.IMAGE("https://edmondsonsupply.com/cdn/shop/products/0880-20_2.png?v=1593890228")</f>
        <v/>
      </c>
      <c r="H7918">
        <f>_xlfn.IMAGE("https://m.media-amazon.com/images/I/61qFe9bSfoL._AC_UL320_.jpg")</f>
        <v/>
      </c>
      <c r="K7918" t="inlineStr">
        <is>
          <t>129.0</t>
        </is>
      </c>
      <c r="L7918" t="n">
        <v>18.99</v>
      </c>
      <c r="M7918" s="1" t="inlineStr">
        <is>
          <t>-85.28%</t>
        </is>
      </c>
      <c r="N7918" s="7" t="n"/>
      <c r="O7918" t="n">
        <v>4.4</v>
      </c>
      <c r="P7918" t="n">
        <v>17</v>
      </c>
      <c r="R7918" t="inlineStr">
        <is>
          <t>InStock</t>
        </is>
      </c>
      <c r="S7918" t="inlineStr">
        <is>
          <t>220.0</t>
        </is>
      </c>
      <c r="T7918" t="inlineStr">
        <is>
          <t>5376375586984</t>
        </is>
      </c>
    </row>
    <row r="7919" ht="87" customHeight="1">
      <c r="A7919" s="2">
        <f>HYPERLINK("https://edmondsonsupply.com/collections/electricians-tools/products/milwaukee-48-11-2412-m12-redlithium%E2%84%A2-xc-battery-two-pack", "https://edmondsonsupply.com/collections/electricians-tools/products/milwaukee-48-11-2412-m12-redlithium%E2%84%A2-xc-battery-two-pack")</f>
        <v/>
      </c>
      <c r="B7919" s="2">
        <f>HYPERLINK("https://edmondsonsupply.com/products/milwaukee-48-11-2412-m12-redlithium%e2%84%a2-xc-battery-two-pack", "https://edmondsonsupply.com/products/milwaukee-48-11-2412-m12-redlithium%e2%84%a2-xc-battery-two-pack")</f>
        <v/>
      </c>
      <c r="C7919" t="inlineStr">
        <is>
          <t>Milwaukee 48-11-2412 M12 REDLITHIUM™ XC Battery Two Pack</t>
        </is>
      </c>
      <c r="D7919" t="inlineStr">
        <is>
          <t>KINGTIANLE 2 Pack M12 3.0Ah Replacement Battery for Milwaukee 12V M12 Lithium Ion Battery Xc 48-11-2420 48-11-2440 48-11-2402 48-11-2411 48-11-2412 Cordlees Power Tools</t>
        </is>
      </c>
      <c r="E7919" s="2">
        <f>HYPERLINK("https://www.amazon.com/Replacement-48-11-2420-48-11-2440-48-11-2402-48-11-2411/dp/B08H5F4FDF/ref=sr_1_1?keywords=Milwaukee+48-11-2412+M12+REDLITHIUM%E2%84%A2+XC+Battery+Two+Pack&amp;qid=1694735150&amp;sr=8-1", "https://www.amazon.com/Replacement-48-11-2420-48-11-2440-48-11-2402-48-11-2411/dp/B08H5F4FDF/ref=sr_1_1?keywords=Milwaukee+48-11-2412+M12+REDLITHIUM%E2%84%A2+XC+Battery+Two+Pack&amp;qid=1694735150&amp;sr=8-1")</f>
        <v/>
      </c>
      <c r="F7919" t="inlineStr">
        <is>
          <t>B08H5F4FDF</t>
        </is>
      </c>
      <c r="G7919">
        <f>_xlfn.IMAGE("https://edmondsonsupply.com/cdn/shop/products/48-11-2412.jpg?v=1654795924")</f>
        <v/>
      </c>
      <c r="H7919">
        <f>_xlfn.IMAGE("https://m.media-amazon.com/images/I/71cGUkJ7ZzL._AC_UL320_.jpg")</f>
        <v/>
      </c>
      <c r="K7919" t="inlineStr">
        <is>
          <t>129.0</t>
        </is>
      </c>
      <c r="L7919" t="n">
        <v>18.99</v>
      </c>
      <c r="M7919" s="1" t="inlineStr">
        <is>
          <t>-85.28%</t>
        </is>
      </c>
      <c r="N7919" s="7" t="n"/>
      <c r="O7919" t="n">
        <v>4.2</v>
      </c>
      <c r="P7919" t="n">
        <v>530</v>
      </c>
      <c r="R7919" t="inlineStr">
        <is>
          <t>InStock</t>
        </is>
      </c>
      <c r="S7919" t="inlineStr">
        <is>
          <t>217.0</t>
        </is>
      </c>
      <c r="T7919" t="inlineStr">
        <is>
          <t>7711224168664</t>
        </is>
      </c>
    </row>
    <row r="7920" hidden="1" ht="15.75" customHeight="1">
      <c r="A7920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920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920" t="inlineStr">
        <is>
          <t>Diablo Tools DMAPL4070-P25 1/4 in. x 4 in. x 6 in. Rebar Demon™ SDS-Plus 4-Cutter Full Carbide Head Hammer Bit (25-Pack)</t>
        </is>
      </c>
      <c r="D7920" t="inlineStr">
        <is>
          <t>Diablo by Freud Diablo DMAPL4210 5/8 in. x 4 in. x 6 in. Rebar Demon SDS-Plus 4-Cutter Full Carbide Head Hammer Bit</t>
        </is>
      </c>
      <c r="E7920" s="2">
        <f>HYPERLINK("https://www.amazon.com/Diablo-Freud-DMAPL4210-SDS-Plus-4-Cutter/dp/B089LGF2KS/ref=sr_1_9?keywords=Diablo+Tools+DMAPL4070-P25+1%2F4+in.+x+4+in.+x+6+in.+Rebar+Demon%E2%84%A2+SDS-Plus+4-Cutter+Full+Carbide+Head+Hammer+Bit+%2825-Pack%29&amp;qid=1694735305&amp;sr=8-9", "https://www.amazon.com/Diablo-Freud-DMAPL4210-SDS-Plus-4-Cutter/dp/B089LGF2KS/ref=sr_1_9?keywords=Diablo+Tools+DMAPL4070-P25+1%2F4+in.+x+4+in.+x+6+in.+Rebar+Demon%E2%84%A2+SDS-Plus+4-Cutter+Full+Carbide+Head+Hammer+Bit+%2825-Pack%29&amp;qid=1694735305&amp;sr=8-9")</f>
        <v/>
      </c>
      <c r="F7920" t="inlineStr">
        <is>
          <t>B089LGF2KS</t>
        </is>
      </c>
      <c r="G7920">
        <f>_xludf.IMAGE("https://edmondsonsupply.com/cdn/shop/products/DMAPL4070.jpg?v=1633030350")</f>
        <v/>
      </c>
      <c r="H7920">
        <f>_xludf.IMAGE("https://m.media-amazon.com/images/I/61rU9ZgmndL._AC_UL320_.jpg")</f>
        <v/>
      </c>
      <c r="K7920" t="inlineStr">
        <is>
          <t>79.47</t>
        </is>
      </c>
      <c r="L7920" t="n">
        <v>11.49</v>
      </c>
      <c r="M7920" s="1" t="inlineStr">
        <is>
          <t>-85.54%</t>
        </is>
      </c>
      <c r="N7920" s="1" t="n"/>
      <c r="O7920" t="n">
        <v>4.6</v>
      </c>
      <c r="P7920" t="n">
        <v>63</v>
      </c>
      <c r="R7920" t="inlineStr">
        <is>
          <t>InStock</t>
        </is>
      </c>
      <c r="S7920" t="inlineStr">
        <is>
          <t>106.66</t>
        </is>
      </c>
      <c r="T7920" t="inlineStr">
        <is>
          <t>5283065069736</t>
        </is>
      </c>
    </row>
    <row r="7921" hidden="1" ht="15.75" customHeight="1">
      <c r="A7921" s="2">
        <f>HYPERLINK("https://edmondsonsupply.com/collections/electricians-tools/products/diablo-tools-dou125cgp10-1-1-4-in-universal-fit-carbide-oscillating-blade-for-general-purpose-cuts", "https://edmondsonsupply.com/collections/electricians-tools/products/diablo-tools-dou125cgp10-1-1-4-in-universal-fit-carbide-oscillating-blade-for-general-purpose-cuts")</f>
        <v/>
      </c>
      <c r="B7921" s="2">
        <f>HYPERLINK("https://edmondsonsupply.com/products/diablo-tools-dou125cgp10-1-1-4-in-universal-fit-carbide-oscillating-blade-for-general-purpose-cuts", "https://edmondsonsupply.com/products/diablo-tools-dou125cgp10-1-1-4-in-universal-fit-carbide-oscillating-blade-for-general-purpose-cuts")</f>
        <v/>
      </c>
      <c r="C7921" t="inlineStr">
        <is>
          <t>Diablo Tools DOU125CGP10 1-1/4 in. Universal Fit Carbide Oscillating Blade for General Purpose Cuts (10 pk)</t>
        </is>
      </c>
      <c r="D7921" t="inlineStr">
        <is>
          <t>Diablo by Freud DOU125CGP 1-1/4 in. Universal Fit Carbide Oscillating Blade for General Purpose Cuts</t>
        </is>
      </c>
      <c r="E7921" s="2">
        <f>HYPERLINK("https://www.amazon.com/Diablo-Freud-DOU125CGP-Universal-Oscillating/dp/B089LGJV4X/ref=sr_1_1?keywords=Diablo+Tools+DOU125CGP10+1-1%2F4+in.+Universal+Fit+Carbide+Oscillating+Blade+for+General+Purpose+Cuts+%2810+pk%29&amp;qid=1694735032&amp;sr=8-1", "https://www.amazon.com/Diablo-Freud-DOU125CGP-Universal-Oscillating/dp/B089LGJV4X/ref=sr_1_1?keywords=Diablo+Tools+DOU125CGP10+1-1%2F4+in.+Universal+Fit+Carbide+Oscillating+Blade+for+General+Purpose+Cuts+%2810+pk%29&amp;qid=1694735032&amp;sr=8-1")</f>
        <v/>
      </c>
      <c r="F7921" t="inlineStr">
        <is>
          <t>B089LGJV4X</t>
        </is>
      </c>
      <c r="G7921">
        <f>_xludf.IMAGE("https://edmondsonsupply.com/cdn/shop/products/htobgrjt150mygkkk6to.webp?v=1677258458")</f>
        <v/>
      </c>
      <c r="H7921">
        <f>_xludf.IMAGE("https://m.media-amazon.com/images/I/71lNEMXVnHL._AC_UL320_.jpg")</f>
        <v/>
      </c>
      <c r="K7921" t="inlineStr">
        <is>
          <t>104.99</t>
        </is>
      </c>
      <c r="L7921" t="n">
        <v>14.9</v>
      </c>
      <c r="M7921" s="1" t="inlineStr">
        <is>
          <t>-85.81%</t>
        </is>
      </c>
      <c r="N7921" s="1" t="n"/>
      <c r="O7921" t="n">
        <v>4.6</v>
      </c>
      <c r="P7921" t="n">
        <v>38</v>
      </c>
      <c r="R7921" t="inlineStr">
        <is>
          <t>OutOfStock</t>
        </is>
      </c>
      <c r="S7921" t="inlineStr">
        <is>
          <t>166.67</t>
        </is>
      </c>
      <c r="T7921" t="inlineStr">
        <is>
          <t>7950802452696</t>
        </is>
      </c>
    </row>
    <row r="7922" ht="87" customHeight="1">
      <c r="A7922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922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922" t="inlineStr">
        <is>
          <t>Diablo Tools DMAMX1230 1 in. x 24 in. x 29 in. Rebar Demon™ SDS-Max 4-Cutter Full Carbide Head Hammer Bit</t>
        </is>
      </c>
      <c r="D7922" t="inlineStr">
        <is>
          <t>Diablo by Freud Diablo DMAPL4190 1/2 in. x 10 in. x 12 in. Rebar Demon SDS-Plus 4-Cutter Full Carbide Head Hammer Bit</t>
        </is>
      </c>
      <c r="E7922" s="2">
        <f>HYPERLINK("https://www.amazon.com/Diablo-Freud-DMAPL4190-SDS-Plus-4-Cutter/dp/B089LJZ25M/ref=sr_1_28?keywords=Diablo+Tools+DMAMX1230+1+in.+x+24+in.+x+29+in.+Rebar+Demon%E2%84%A2+SDS-Max+4-Cutter+Full+Carbide+Head+Hammer+Bit&amp;qid=1694735297&amp;sr=8-28", "https://www.amazon.com/Diablo-Freud-DMAPL4190-SDS-Plus-4-Cutter/dp/B089LJZ25M/ref=sr_1_28?keywords=Diablo+Tools+DMAMX1230+1+in.+x+24+in.+x+29+in.+Rebar+Demon%E2%84%A2+SDS-Max+4-Cutter+Full+Carbide+Head+Hammer+Bit&amp;qid=1694735297&amp;sr=8-28")</f>
        <v/>
      </c>
      <c r="F7922" t="inlineStr">
        <is>
          <t>B089LJZ25M</t>
        </is>
      </c>
      <c r="G7922">
        <f>_xlfn.IMAGE("https://edmondsonsupply.com/cdn/shop/products/DMAMX1230_1.jpg?v=1633030364")</f>
        <v/>
      </c>
      <c r="H7922">
        <f>_xlfn.IMAGE("https://m.media-amazon.com/images/I/61dzudnwI8L._AC_UL320_.jpg")</f>
        <v/>
      </c>
      <c r="K7922" t="inlineStr">
        <is>
          <t>124.97</t>
        </is>
      </c>
      <c r="L7922" t="n">
        <v>17.41</v>
      </c>
      <c r="M7922" s="1" t="inlineStr">
        <is>
          <t>-86.07%</t>
        </is>
      </c>
      <c r="N7922" s="7" t="n"/>
      <c r="O7922" t="n">
        <v>4.6</v>
      </c>
      <c r="P7922" t="n">
        <v>43</v>
      </c>
      <c r="R7922" t="inlineStr">
        <is>
          <t>InStock</t>
        </is>
      </c>
      <c r="S7922" t="inlineStr">
        <is>
          <t>152.89</t>
        </is>
      </c>
      <c r="T7922" t="inlineStr">
        <is>
          <t>5289176072360</t>
        </is>
      </c>
    </row>
    <row r="7923" ht="87" customHeight="1">
      <c r="A7923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923" s="2">
        <f>HYPERLINK("https://edmondsonsupply.com/products/klein-tools-nrhd4-4-in-1-square-impact-socket", "https://edmondsonsupply.com/products/klein-tools-nrhd4-4-in-1-square-impact-socket")</f>
        <v/>
      </c>
      <c r="C7923" t="inlineStr">
        <is>
          <t>Klein Tools NRHD4 4-in-1 Square Impact Socket</t>
        </is>
      </c>
      <c r="D7923" t="inlineStr">
        <is>
          <t>Klein Tools 32304 Screwdriver, 14-in-1 Adjustable Screwdriver with Flip Socket, HVAC Nut Drivers and Bits, Impact Rated</t>
        </is>
      </c>
      <c r="E7923" s="2">
        <f>HYPERLINK("https://www.amazon.com/Screwdriver-Adjustable-Klein-Tools-32304/dp/B09Q4H5STD/ref=sr_1_16?keywords=Klein+Tools+NRHD4+4-in-1+Square+Impact+Socket&amp;qid=1694735425&amp;sr=8-16", "https://www.amazon.com/Screwdriver-Adjustable-Klein-Tools-32304/dp/B09Q4H5STD/ref=sr_1_16?keywords=Klein+Tools+NRHD4+4-in-1+Square+Impact+Socket&amp;qid=1694735425&amp;sr=8-16")</f>
        <v/>
      </c>
      <c r="F7923" t="inlineStr">
        <is>
          <t>B09Q4H5STD</t>
        </is>
      </c>
      <c r="G7923">
        <f>_xlfn.IMAGE("https://edmondsonsupply.com/cdn/shop/products/nrhd4.jpg?v=1587150980")</f>
        <v/>
      </c>
      <c r="H7923">
        <f>_xlfn.IMAGE("https://m.media-amazon.com/images/I/51OyfXQXJkL._AC_UL320_.jpg")</f>
        <v/>
      </c>
      <c r="K7923" t="inlineStr">
        <is>
          <t>179.99</t>
        </is>
      </c>
      <c r="L7923" t="n">
        <v>24.77</v>
      </c>
      <c r="M7923" s="1" t="inlineStr">
        <is>
          <t>-86.24%</t>
        </is>
      </c>
      <c r="N7923" s="7" t="n"/>
      <c r="O7923" t="n">
        <v>4.6</v>
      </c>
      <c r="P7923" t="n">
        <v>2618</v>
      </c>
      <c r="R7923" t="inlineStr">
        <is>
          <t>InStock</t>
        </is>
      </c>
      <c r="S7923" t="inlineStr">
        <is>
          <t>291.34</t>
        </is>
      </c>
      <c r="T7923" t="inlineStr">
        <is>
          <t>4396986433636</t>
        </is>
      </c>
    </row>
    <row r="7924" hidden="1" ht="15.75" customHeight="1">
      <c r="A7924" s="2">
        <f>HYPERLINK("https://edmondsonsupply.com/collections/electricians-tools/products/klein-tools-635-6-nut-driver-set-magnetic-nut-drivers-heavy-duty-6-piece", "https://edmondsonsupply.com/collections/electricians-tools/products/klein-tools-635-6-nut-driver-set-magnetic-nut-drivers-heavy-duty-6-piece")</f>
        <v/>
      </c>
      <c r="B7924" s="2">
        <f>HYPERLINK("https://edmondsonsupply.com/products/klein-tools-635-6-nut-driver-set-magnetic-nut-drivers-heavy-duty-6-piece", "https://edmondsonsupply.com/products/klein-tools-635-6-nut-driver-set-magnetic-nut-drivers-heavy-duty-6-piece")</f>
        <v/>
      </c>
      <c r="C7924" t="inlineStr">
        <is>
          <t>Klein Tools 635-6 Nut Driver Set, Magnetic Nut Drivers, Heavy Duty, 6-Piece</t>
        </is>
      </c>
      <c r="D7924" t="inlineStr">
        <is>
          <t>Klein Tools 635-1/4 1/4-Inch Heavy Duty Nut Driver with Magnetic Tip, 4-Inch Hollow Shaft, Cushion Grip Handle</t>
        </is>
      </c>
      <c r="E7924" s="2">
        <f>HYPERLINK("https://www.amazon.com/4-Inch-Magnetic-Cushion-Klein-Tools/dp/B01D6DZRFA/ref=sr_1_14?keywords=Klein+Tools+635-6+Nut+Driver+Set%2C+Magnetic+Nut+Drivers%2C+Heavy+Duty%2C+6-Piece&amp;qid=1694735220&amp;sr=8-14", "https://www.amazon.com/4-Inch-Magnetic-Cushion-Klein-Tools/dp/B01D6DZRFA/ref=sr_1_14?keywords=Klein+Tools+635-6+Nut+Driver+Set%2C+Magnetic+Nut+Drivers%2C+Heavy+Duty%2C+6-Piece&amp;qid=1694735220&amp;sr=8-14")</f>
        <v/>
      </c>
      <c r="F7924" t="inlineStr">
        <is>
          <t>B01D6DZRFA</t>
        </is>
      </c>
      <c r="G7924">
        <f>_xludf.IMAGE("https://edmondsonsupply.com/cdn/shop/products/635-6.jpg?v=1633031003")</f>
        <v/>
      </c>
      <c r="H7924">
        <f>_xludf.IMAGE("https://m.media-amazon.com/images/I/41DrStZKvjL._AC_UL320_.jpg")</f>
        <v/>
      </c>
      <c r="K7924" t="inlineStr">
        <is>
          <t>79.99</t>
        </is>
      </c>
      <c r="L7924" t="n">
        <v>10.91</v>
      </c>
      <c r="M7924" s="1" t="inlineStr">
        <is>
          <t>-86.36%</t>
        </is>
      </c>
      <c r="N7924" s="1" t="n"/>
      <c r="O7924" t="n">
        <v>4.7</v>
      </c>
      <c r="P7924" t="n">
        <v>999</v>
      </c>
      <c r="R7924" t="inlineStr">
        <is>
          <t>InStock</t>
        </is>
      </c>
      <c r="S7924" t="inlineStr">
        <is>
          <t>121.2</t>
        </is>
      </c>
      <c r="T7924" t="inlineStr">
        <is>
          <t>6690795716781</t>
        </is>
      </c>
    </row>
    <row r="7925" hidden="1" ht="15.75" customHeight="1">
      <c r="A7925" s="2">
        <f>HYPERLINK("https://edmondsonsupply.com/collections/electricians-tools/products/klein-tools-et180-digital-differential-manometer", "https://edmondsonsupply.com/collections/electricians-tools/products/klein-tools-et180-digital-differential-manometer")</f>
        <v/>
      </c>
      <c r="B7925" s="2">
        <f>HYPERLINK("https://edmondsonsupply.com/products/klein-tools-et180-digital-differential-manometer", "https://edmondsonsupply.com/products/klein-tools-et180-digital-differential-manometer")</f>
        <v/>
      </c>
      <c r="C7925" t="inlineStr">
        <is>
          <t>Klein Tools ET180 Digital Differential Manometer</t>
        </is>
      </c>
      <c r="D7925" t="inlineStr">
        <is>
          <t>WERJIA Hard Carrying Case for Klein Tools ET180 Digital Manometer</t>
        </is>
      </c>
      <c r="E7925" s="2">
        <f>HYPERLINK("https://www.amazon.com/WERJIA-Carrying-Hti-Xintai-Manometer-Pressure/dp/B08ZS965RN/ref=sr_1_3?keywords=Klein+Tools+ET180+Digital+Differential+Manometer&amp;qid=1694734974&amp;sr=8-3", "https://www.amazon.com/WERJIA-Carrying-Hti-Xintai-Manometer-Pressure/dp/B08ZS965RN/ref=sr_1_3?keywords=Klein+Tools+ET180+Digital+Differential+Manometer&amp;qid=1694734974&amp;sr=8-3")</f>
        <v/>
      </c>
      <c r="F7925" t="inlineStr">
        <is>
          <t>B08ZS965RN</t>
        </is>
      </c>
      <c r="G7925">
        <f>_xludf.IMAGE("https://edmondsonsupply.com/cdn/shop/products/et180.jpg?v=1664390112")</f>
        <v/>
      </c>
      <c r="H7925">
        <f>_xludf.IMAGE("https://m.media-amazon.com/images/I/71DmA+J3E-L._AC_UY218_.jpg")</f>
        <v/>
      </c>
      <c r="K7925" t="inlineStr">
        <is>
          <t>109.99</t>
        </is>
      </c>
      <c r="L7925" t="n">
        <v>14.99</v>
      </c>
      <c r="M7925" s="1" t="inlineStr">
        <is>
          <t>-86.37%</t>
        </is>
      </c>
      <c r="N7925" s="1" t="n"/>
      <c r="O7925" t="n">
        <v>4.5</v>
      </c>
      <c r="P7925" t="n">
        <v>6</v>
      </c>
      <c r="R7925" t="inlineStr">
        <is>
          <t>InStock</t>
        </is>
      </c>
      <c r="S7925" t="inlineStr">
        <is>
          <t>151.98</t>
        </is>
      </c>
      <c r="T7925" t="inlineStr">
        <is>
          <t>7832184094936</t>
        </is>
      </c>
    </row>
    <row r="7926" ht="87" customHeight="1">
      <c r="A7926" s="2">
        <f>HYPERLINK("https://edmondsonsupply.com/collections/electricians-tools/products/klein-tools-56115-fiberglass-fish-tape-repair-kit", "https://edmondsonsupply.com/collections/electricians-tools/products/klein-tools-56115-fiberglass-fish-tape-repair-kit")</f>
        <v/>
      </c>
      <c r="B7926" s="2">
        <f>HYPERLINK("https://edmondsonsupply.com/products/klein-tools-56115-fiberglass-fish-tape-repair-kit", "https://edmondsonsupply.com/products/klein-tools-56115-fiberglass-fish-tape-repair-kit")</f>
        <v/>
      </c>
      <c r="C7926" t="inlineStr">
        <is>
          <t>Klein Tools 56115 Fiberglass Fish Tape Repair Kit</t>
        </is>
      </c>
      <c r="D7926" t="inlineStr">
        <is>
          <t>Klein Tools 56025 Non-conductive Fish Tape Repair Kit</t>
        </is>
      </c>
      <c r="E7926" s="2">
        <f>HYPERLINK("https://www.amazon.com/Klein-Tools-56025-Non-conductive-Repair/dp/B00HAN9204/ref=sr_1_2?keywords=Klein+Tools+56115+Fiberglass+Fish+Tape+Repair+Kit&amp;qid=1694735098&amp;sr=8-2", "https://www.amazon.com/Klein-Tools-56025-Non-conductive-Repair/dp/B00HAN9204/ref=sr_1_2?keywords=Klein+Tools+56115+Fiberglass+Fish+Tape+Repair+Kit&amp;qid=1694735098&amp;sr=8-2")</f>
        <v/>
      </c>
      <c r="F7926" t="inlineStr">
        <is>
          <t>B00HAN9204</t>
        </is>
      </c>
      <c r="G7926">
        <f>_xlfn.IMAGE("https://edmondsonsupply.com/cdn/shop/products/56115.jpg?v=1666107209")</f>
        <v/>
      </c>
      <c r="H7926">
        <f>_xlfn.IMAGE("https://m.media-amazon.com/images/I/61oANbkd41L._AC_UL320_.jpg")</f>
        <v/>
      </c>
      <c r="K7926" t="inlineStr">
        <is>
          <t>149.99</t>
        </is>
      </c>
      <c r="L7926" t="n">
        <v>19.99</v>
      </c>
      <c r="M7926" s="1" t="inlineStr">
        <is>
          <t>-86.67%</t>
        </is>
      </c>
      <c r="N7926" s="7" t="n"/>
      <c r="O7926" t="n">
        <v>4.5</v>
      </c>
      <c r="P7926" t="n">
        <v>194</v>
      </c>
      <c r="R7926" t="inlineStr">
        <is>
          <t>InStock</t>
        </is>
      </c>
      <c r="S7926" t="inlineStr">
        <is>
          <t>227.26</t>
        </is>
      </c>
      <c r="T7926" t="inlineStr">
        <is>
          <t>7857427185880</t>
        </is>
      </c>
    </row>
    <row r="7927" hidden="1" ht="15.75" customHeight="1">
      <c r="A7927" s="2">
        <f>HYPERLINK("https://edmondsonsupply.com/collections/electricians-tools/products/diablo-tools-dmapl2220-p25-3-8-in-x-4-in-x-6-in-sds-plus-2-cutter", "https://edmondsonsupply.com/collections/electricians-tools/products/diablo-tools-dmapl2220-p25-3-8-in-x-4-in-x-6-in-sds-plus-2-cutter")</f>
        <v/>
      </c>
      <c r="B7927" s="2">
        <f>HYPERLINK("https://edmondsonsupply.com/products/diablo-tools-dmapl2220-p25-3-8-in-x-4-in-x-6-in-sds-plus-2-cutter", "https://edmondsonsupply.com/products/diablo-tools-dmapl2220-p25-3-8-in-x-4-in-x-6-in-sds-plus-2-cutter")</f>
        <v/>
      </c>
      <c r="C7927" t="inlineStr">
        <is>
          <t>Diablo Tools DMAPL2220-P25 3/8 in. x 4 in. x 6 in. SDS-Plus 2-Cutter (25 pack)</t>
        </is>
      </c>
      <c r="D7927" t="inlineStr">
        <is>
          <t>Diablo by Freud DMAPL4160 3/8 in. x 10 in. x 12 in. Rebar Demon SDS-Plus 4-Cutter Full Carbide Head Hammer Bit</t>
        </is>
      </c>
      <c r="E7927" s="2">
        <f>HYPERLINK("https://www.amazon.com/Diablo-Freud-DMAPL4160-SDS-Plus-4-Cutter/dp/B089KX25B7/ref=sr_1_19?keywords=Diablo+Tools+DMAPL2220-P25+3%2F8+in.+x+4+in.+x+6+in.+SDS-Plus+2-Cutter+%2825+pack%29&amp;qid=1694735313&amp;sr=8-19", "https://www.amazon.com/Diablo-Freud-DMAPL4160-SDS-Plus-4-Cutter/dp/B089KX25B7/ref=sr_1_19?keywords=Diablo+Tools+DMAPL2220-P25+3%2F8+in.+x+4+in.+x+6+in.+SDS-Plus+2-Cutter+%2825+pack%29&amp;qid=1694735313&amp;sr=8-19")</f>
        <v/>
      </c>
      <c r="F7927" t="inlineStr">
        <is>
          <t>B089KX25B7</t>
        </is>
      </c>
      <c r="G7927">
        <f>_xludf.IMAGE("https://edmondsonsupply.com/cdn/shop/products/DMAPL2220.jpg?v=1633030349")</f>
        <v/>
      </c>
      <c r="H7927">
        <f>_xludf.IMAGE("https://m.media-amazon.com/images/I/61MHnm3+2bL._AC_UL320_.jpg")</f>
        <v/>
      </c>
      <c r="K7927" t="inlineStr">
        <is>
          <t>97.97</t>
        </is>
      </c>
      <c r="L7927" t="n">
        <v>13.01</v>
      </c>
      <c r="M7927" s="1" t="inlineStr">
        <is>
          <t>-86.72%</t>
        </is>
      </c>
      <c r="N7927" s="1" t="n"/>
      <c r="O7927" t="n">
        <v>4.5</v>
      </c>
      <c r="P7927" t="n">
        <v>39</v>
      </c>
      <c r="R7927" t="inlineStr">
        <is>
          <t>InStock</t>
        </is>
      </c>
      <c r="S7927" t="inlineStr">
        <is>
          <t>140.84</t>
        </is>
      </c>
      <c r="T7927" t="inlineStr">
        <is>
          <t>5283050061992</t>
        </is>
      </c>
    </row>
    <row r="7928" hidden="1" ht="15.75" customHeight="1">
      <c r="A7928" s="2">
        <f>HYPERLINK("https://edmondsonsupply.com/collections/electricians-tools/products/diablo-tools-dmapl2150-p25-1-4-in-x-6-in-x-8-in-sds-plus-2-cutter-25-pack", "https://edmondsonsupply.com/collections/electricians-tools/products/diablo-tools-dmapl2150-p25-1-4-in-x-6-in-x-8-in-sds-plus-2-cutter-25-pack")</f>
        <v/>
      </c>
      <c r="B7928" s="2">
        <f>HYPERLINK("https://edmondsonsupply.com/products/diablo-tools-dmapl2150-p25-1-4-in-x-6-in-x-8-in-sds-plus-2-cutter-25-pack", "https://edmondsonsupply.com/products/diablo-tools-dmapl2150-p25-1-4-in-x-6-in-x-8-in-sds-plus-2-cutter-25-pack")</f>
        <v/>
      </c>
      <c r="C7928" t="inlineStr">
        <is>
          <t>Diablo Tools DMAPL2150-P25 1/4 in. x 6 in. x 8 in. SDS-Plus 2-Cutter (25-Pack)</t>
        </is>
      </c>
      <c r="D7928" t="inlineStr">
        <is>
          <t>Diablo 1/4 in. x 16 in. x 18 in. SDS-Plus 2-Cutter</t>
        </is>
      </c>
      <c r="E7928" s="2">
        <f>HYPERLINK("https://www.amazon.com/Diablo-DMAPL2170-16-SDS-Plus-2-Cutter/dp/B089LGDL7F/ref=sr_1_9?keywords=Diablo+Tools+DMAPL2150-P25+1%2F4+in.+x+6+in.+x+8+in.+SDS-Plus+2-Cutter+%2825-Pack%29&amp;qid=1694735299&amp;sr=8-9", "https://www.amazon.com/Diablo-DMAPL2170-16-SDS-Plus-2-Cutter/dp/B089LGDL7F/ref=sr_1_9?keywords=Diablo+Tools+DMAPL2150-P25+1%2F4+in.+x+6+in.+x+8+in.+SDS-Plus+2-Cutter+%2825-Pack%29&amp;qid=1694735299&amp;sr=8-9")</f>
        <v/>
      </c>
      <c r="F7928" t="inlineStr">
        <is>
          <t>B089LGDL7F</t>
        </is>
      </c>
      <c r="G7928">
        <f>_xludf.IMAGE("https://edmondsonsupply.com/cdn/shop/products/DMAPL2150-P25_Main-Image20200701.png?v=1633030349")</f>
        <v/>
      </c>
      <c r="H7928">
        <f>_xludf.IMAGE("https://m.media-amazon.com/images/I/61cUBcEwKHL._AC_UL320_.jpg")</f>
        <v/>
      </c>
      <c r="K7928" t="inlineStr">
        <is>
          <t>82.6</t>
        </is>
      </c>
      <c r="L7928" t="n">
        <v>10.94</v>
      </c>
      <c r="M7928" s="1" t="inlineStr">
        <is>
          <t>-86.76%</t>
        </is>
      </c>
      <c r="N7928" s="1" t="n"/>
      <c r="O7928" t="n">
        <v>4.7</v>
      </c>
      <c r="P7928" t="n">
        <v>15</v>
      </c>
      <c r="R7928" t="inlineStr">
        <is>
          <t>InStock</t>
        </is>
      </c>
      <c r="S7928" t="inlineStr">
        <is>
          <t>131.12</t>
        </is>
      </c>
      <c r="T7928" t="inlineStr">
        <is>
          <t>5283037839528</t>
        </is>
      </c>
    </row>
    <row r="7929" hidden="1" ht="15.75" customHeight="1">
      <c r="A7929" s="2">
        <f>HYPERLINK("https://edmondsonsupply.com/collections/electricians-tools/products/klein-tools-88904-professional-tubing-cutter", "https://edmondsonsupply.com/collections/electricians-tools/products/klein-tools-88904-professional-tubing-cutter")</f>
        <v/>
      </c>
      <c r="B7929" s="2">
        <f>HYPERLINK("https://edmondsonsupply.com/products/klein-tools-88904-professional-tubing-cutter", "https://edmondsonsupply.com/products/klein-tools-88904-professional-tubing-cutter")</f>
        <v/>
      </c>
      <c r="C7929" t="inlineStr">
        <is>
          <t>Klein Tools 88904 Professional Tube Cutter</t>
        </is>
      </c>
      <c r="D7929" t="inlineStr">
        <is>
          <t>Klein Tools 88905 Replacement Wheel for Professional Tube Cutter Cat. No. 88904</t>
        </is>
      </c>
      <c r="E7929" s="2">
        <f>HYPERLINK("https://www.amazon.com/Klein-Tools-88905-Replacement-Professional/dp/B007G8ECRG/ref=sr_1_2?keywords=Klein+Tools+88904+Professional+Tube+Cutter&amp;qid=1694735401&amp;sr=8-2", "https://www.amazon.com/Klein-Tools-88905-Replacement-Professional/dp/B007G8ECRG/ref=sr_1_2?keywords=Klein+Tools+88904+Professional+Tube+Cutter&amp;qid=1694735401&amp;sr=8-2")</f>
        <v/>
      </c>
      <c r="F7929" t="inlineStr">
        <is>
          <t>B007G8ECRG</t>
        </is>
      </c>
      <c r="G7929">
        <f>_xludf.IMAGE("https://edmondsonsupply.com/cdn/shop/products/88904.jpg?v=1587147687")</f>
        <v/>
      </c>
      <c r="H7929">
        <f>_xludf.IMAGE("https://m.media-amazon.com/images/I/51PRXEBtc0L._AC_UL320_.jpg")</f>
        <v/>
      </c>
      <c r="K7929" t="inlineStr">
        <is>
          <t>41.99</t>
        </is>
      </c>
      <c r="L7929" t="n">
        <v>5.49</v>
      </c>
      <c r="M7929" s="1" t="inlineStr">
        <is>
          <t>-86.93%</t>
        </is>
      </c>
      <c r="N7929" s="1" t="n"/>
      <c r="O7929" t="n">
        <v>4.5</v>
      </c>
      <c r="P7929" t="n">
        <v>103</v>
      </c>
      <c r="R7929" t="inlineStr">
        <is>
          <t>InStock</t>
        </is>
      </c>
      <c r="S7929" t="inlineStr">
        <is>
          <t>62.74</t>
        </is>
      </c>
      <c r="T7929" t="inlineStr">
        <is>
          <t>3728177594468</t>
        </is>
      </c>
    </row>
    <row r="7930" hidden="1" ht="15.75" customHeight="1">
      <c r="A7930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930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930" t="inlineStr">
        <is>
          <t>Diablo Tools DMAPL4080-P25 1/4 in. x 6 in. x 8 in. Rebar Demon™ SDS-Plus 4-Cutter Full Carbide Head Hammer Bit (25 Pack)</t>
        </is>
      </c>
      <c r="D7930" t="inlineStr">
        <is>
          <t>Diablo by Freud DMAPL4160 3/8 in. x 10 in. x 12 in. Rebar Demon SDS-Plus 4-Cutter Full Carbide Head Hammer Bit</t>
        </is>
      </c>
      <c r="E7930" s="2" t="n"/>
      <c r="F7930" t="inlineStr">
        <is>
          <t>B089KX25B7</t>
        </is>
      </c>
      <c r="G7930">
        <f>_xludf.IMAGE("https://edmondsonsupply.com/cdn/shop/products/DMAPL4080-P25_Main-Image20200701.png?v=1633030623")</f>
        <v/>
      </c>
      <c r="H7930">
        <f>_xludf.IMAGE("https://m.media-amazon.com/images/I/61MHnm3+2bL._AC_UL320_.jpg")</f>
        <v/>
      </c>
      <c r="K7930" t="inlineStr">
        <is>
          <t>99.97</t>
        </is>
      </c>
      <c r="L7930" t="n">
        <v>13.01</v>
      </c>
      <c r="M7930" s="1" t="inlineStr">
        <is>
          <t>-86.99%</t>
        </is>
      </c>
      <c r="N7930" s="1" t="n"/>
      <c r="O7930" t="n">
        <v>4.5</v>
      </c>
      <c r="P7930" t="n">
        <v>39</v>
      </c>
      <c r="R7930" t="inlineStr">
        <is>
          <t>InStock</t>
        </is>
      </c>
      <c r="S7930" t="inlineStr">
        <is>
          <t>144.22</t>
        </is>
      </c>
      <c r="T7930" t="inlineStr">
        <is>
          <t>5660158918824</t>
        </is>
      </c>
    </row>
    <row r="7931" ht="87" customHeight="1">
      <c r="A7931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31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31" t="inlineStr">
        <is>
          <t>Diablo Tools DMAPL4180-P25 1/2 in. x 4 in. x 6 in. Rebar Demon™ SDS-Plus 4-Cutter Full Carbide Head Hammer Bit (25 Pack)</t>
        </is>
      </c>
      <c r="D7931" t="inlineStr">
        <is>
          <t>Diablo by Freud Diablo DMAPL4190 1/2 in. x 10 in. x 12 in. Rebar Demon SDS-Plus 4-Cutter Full Carbide Head Hammer Bit</t>
        </is>
      </c>
      <c r="E7931" s="2">
        <f>HYPERLINK("https://www.amazon.com/Diablo-Freud-DMAPL4190-SDS-Plus-4-Cutter/dp/B089LJZ25M/ref=sr_1_3?keywords=Diablo+Tools+DMAPL4180-P25+1%2F2+in.+x+4+in.+x+6+in.+Rebar+Demon%E2%84%A2+SDS-Plus+4-Cutter+Full+Carbide+Head+Hammer+Bit+%2825+Pack%29&amp;qid=1694735263&amp;sr=8-3", "https://www.amazon.com/Diablo-Freud-DMAPL4190-SDS-Plus-4-Cutter/dp/B089LJZ25M/ref=sr_1_3?keywords=Diablo+Tools+DMAPL4180-P25+1%2F2+in.+x+4+in.+x+6+in.+Rebar+Demon%E2%84%A2+SDS-Plus+4-Cutter+Full+Carbide+Head+Hammer+Bit+%2825+Pack%29&amp;qid=1694735263&amp;sr=8-3")</f>
        <v/>
      </c>
      <c r="F7931" t="inlineStr">
        <is>
          <t>B089LJZ25M</t>
        </is>
      </c>
      <c r="G7931">
        <f>_xlfn.IMAGE("https://edmondsonsupply.com/cdn/shop/products/DMAPL4180-P25_Additional-Images_0120200331.png?v=1633030573")</f>
        <v/>
      </c>
      <c r="H7931">
        <f>_xlfn.IMAGE("https://m.media-amazon.com/images/I/61dzudnwI8L._AC_UL320_.jpg")</f>
        <v/>
      </c>
      <c r="K7931" t="inlineStr">
        <is>
          <t>133.97</t>
        </is>
      </c>
      <c r="L7931" t="n">
        <v>17.41</v>
      </c>
      <c r="M7931" s="1" t="inlineStr">
        <is>
          <t>-87.00%</t>
        </is>
      </c>
      <c r="N7931" s="7" t="n"/>
      <c r="O7931" t="n">
        <v>4.6</v>
      </c>
      <c r="P7931" t="n">
        <v>43</v>
      </c>
      <c r="R7931" t="inlineStr">
        <is>
          <t>InStock</t>
        </is>
      </c>
      <c r="S7931" t="inlineStr">
        <is>
          <t>193.66</t>
        </is>
      </c>
      <c r="T7931" t="inlineStr">
        <is>
          <t>5524246659240</t>
        </is>
      </c>
    </row>
    <row r="7932" hidden="1" ht="15.75" customHeight="1">
      <c r="A7932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932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932" t="inlineStr">
        <is>
          <t>Diablo Tools DMAPL4080-P25 1/4 in. x 6 in. x 8 in. Rebar Demon™ SDS-Plus 4-Cutter Full Carbide Head Hammer Bit (25 Pack)</t>
        </is>
      </c>
      <c r="D7932" t="inlineStr">
        <is>
          <t>Diablo DMAPL4120 5/16 in. x 10 in. x 12 in. Rebar Demon™ SDS-Plus 4-Cutter Full Carbide Head Hammer Bit</t>
        </is>
      </c>
      <c r="E7932" s="2">
        <f>HYPERLINK("https://www.amazon.com/Diablo-SDS-Plus-4-Cutter-Carbide-Hammer/dp/B089KTHL12/ref=sr_1_9?keywords=Diablo+Tools+DMAPL4080-P25+1%2F4+in.+x+6+in.+x+8+in.+Rebar+Demon%E2%84%A2+SDS-Plus+4-Cutter+Full+Carbide+Head+Hammer+Bit+%2825+Pack%29&amp;qid=1694735261&amp;sr=8-9", "https://www.amazon.com/Diablo-SDS-Plus-4-Cutter-Carbide-Hammer/dp/B089KTHL12/ref=sr_1_9?keywords=Diablo+Tools+DMAPL4080-P25+1%2F4+in.+x+6+in.+x+8+in.+Rebar+Demon%E2%84%A2+SDS-Plus+4-Cutter+Full+Carbide+Head+Hammer+Bit+%2825+Pack%29&amp;qid=1694735261&amp;sr=8-9")</f>
        <v/>
      </c>
      <c r="F7932" t="inlineStr">
        <is>
          <t>B089KTHL12</t>
        </is>
      </c>
      <c r="G7932">
        <f>_xludf.IMAGE("https://edmondsonsupply.com/cdn/shop/products/DMAPL4080-P25_Main-Image20200701.png?v=1633030623")</f>
        <v/>
      </c>
      <c r="H7932">
        <f>_xludf.IMAGE("https://m.media-amazon.com/images/I/61P8b1v1TBL._AC_UL320_.jpg")</f>
        <v/>
      </c>
      <c r="K7932" t="inlineStr">
        <is>
          <t>99.97</t>
        </is>
      </c>
      <c r="L7932" t="n">
        <v>12.99</v>
      </c>
      <c r="M7932" s="1" t="inlineStr">
        <is>
          <t>-87.01%</t>
        </is>
      </c>
      <c r="N7932" s="1" t="n"/>
      <c r="O7932" t="n">
        <v>5</v>
      </c>
      <c r="P7932" t="n">
        <v>6</v>
      </c>
      <c r="R7932" t="inlineStr">
        <is>
          <t>InStock</t>
        </is>
      </c>
      <c r="S7932" t="inlineStr">
        <is>
          <t>144.22</t>
        </is>
      </c>
      <c r="T7932" t="inlineStr">
        <is>
          <t>5660158918824</t>
        </is>
      </c>
    </row>
    <row r="7933" hidden="1" ht="15.75" customHeight="1">
      <c r="A7933" s="2">
        <f>HYPERLINK("https://edmondsonsupply.com/collections/electricians-tools/products/diablo-tools-dmapl2500-7-8-in-x-8-in-x-10-in-sds-plus-2-cutter", "https://edmondsonsupply.com/collections/electricians-tools/products/diablo-tools-dmapl2500-7-8-in-x-8-in-x-10-in-sds-plus-2-cutter")</f>
        <v/>
      </c>
      <c r="B7933" s="2">
        <f>HYPERLINK("https://edmondsonsupply.com/products/diablo-tools-dmapl2500-7-8-in-x-8-in-x-10-in-sds-plus-2-cutter", "https://edmondsonsupply.com/products/diablo-tools-dmapl2500-7-8-in-x-8-in-x-10-in-sds-plus-2-cutter")</f>
        <v/>
      </c>
      <c r="C7933" t="inlineStr">
        <is>
          <t>Diablo Tools DMAPL2500 7/8 in. x 8 in. x 10 in. SDS-Plus 2-Cutter</t>
        </is>
      </c>
      <c r="D7933" t="inlineStr">
        <is>
          <t>BOSCH HC2146 7/8 In. x 8 In. x 10 In. Bulldog SDS-Plus Rotary Hammer Bit</t>
        </is>
      </c>
      <c r="E7933" s="2">
        <f>HYPERLINK("https://www.amazon.com/Bosch-HC2146-SDS-plus-Bulldog-Rotary/dp/B00B4T1GYK/ref=sr_1_18?keywords=Diablo+Tools+DMAPL2500+7%2F8+in.+x+8+in.+x+10+in.+SDS-Plus+2-Cutter&amp;qid=1694735171&amp;sr=8-18", "https://www.amazon.com/Bosch-HC2146-SDS-plus-Bulldog-Rotary/dp/B00B4T1GYK/ref=sr_1_18?keywords=Diablo+Tools+DMAPL2500+7%2F8+in.+x+8+in.+x+10+in.+SDS-Plus+2-Cutter&amp;qid=1694735171&amp;sr=8-18")</f>
        <v/>
      </c>
      <c r="F7933" t="inlineStr">
        <is>
          <t>B00B4T1GYK</t>
        </is>
      </c>
      <c r="G7933">
        <f>_xludf.IMAGE("https://edmondsonsupply.com/cdn/shop/products/2500.webp?v=1647636219")</f>
        <v/>
      </c>
      <c r="H7933">
        <f>_xludf.IMAGE("https://m.media-amazon.com/images/I/61sMJmyrbqL._AC_UL320_.jpg")</f>
        <v/>
      </c>
      <c r="K7933" t="inlineStr">
        <is>
          <t>28.97</t>
        </is>
      </c>
      <c r="L7933" t="n">
        <v>3.7</v>
      </c>
      <c r="M7933" s="1" t="inlineStr">
        <is>
          <t>-87.23%</t>
        </is>
      </c>
      <c r="N7933" s="1" t="n"/>
      <c r="O7933" t="n">
        <v>4.7</v>
      </c>
      <c r="P7933" t="n">
        <v>9679</v>
      </c>
      <c r="R7933" t="inlineStr">
        <is>
          <t>InStock</t>
        </is>
      </c>
      <c r="S7933" t="inlineStr">
        <is>
          <t>33.98</t>
        </is>
      </c>
      <c r="T7933" t="inlineStr">
        <is>
          <t>7639201317080</t>
        </is>
      </c>
    </row>
    <row r="7934" hidden="1" ht="15.75" customHeight="1">
      <c r="A7934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934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934" t="inlineStr">
        <is>
          <t>Diablo Tools DMAMX1110 5/8 in. x 24 in. x 29 in. Rebar Demon™ SDS-Max 4-Cutter Full Carbide Head Hammer Bit</t>
        </is>
      </c>
      <c r="D7934" t="inlineStr">
        <is>
          <t>Diablo by Freud Diablo DMAPL4210 5/8 in. x 4 in. x 6 in. Rebar Demon SDS-Plus 4-Cutter Full Carbide Head Hammer Bit</t>
        </is>
      </c>
      <c r="E7934" s="2">
        <f>HYPERLINK("https://www.amazon.com/Diablo-Freud-DMAPL4210-SDS-Plus-4-Cutter/dp/B089LGF2KS/ref=sr_1_11?keywords=Diablo+Tools+DMAMX1110+5%2F8+in.+x+24+in.+x+29+in.+Rebar+Demon%E2%84%A2+SDS-Max+4-Cutter+Full+Carbide+Head+Hammer+Bit&amp;qid=1694735304&amp;sr=8-11", "https://www.amazon.com/Diablo-Freud-DMAPL4210-SDS-Plus-4-Cutter/dp/B089LGF2KS/ref=sr_1_11?keywords=Diablo+Tools+DMAMX1110+5%2F8+in.+x+24+in.+x+29+in.+Rebar+Demon%E2%84%A2+SDS-Max+4-Cutter+Full+Carbide+Head+Hammer+Bit&amp;qid=1694735304&amp;sr=8-11")</f>
        <v/>
      </c>
      <c r="F7934" t="inlineStr">
        <is>
          <t>B089LGF2KS</t>
        </is>
      </c>
      <c r="G7934">
        <f>_xludf.IMAGE("https://edmondsonsupply.com/cdn/shop/products/DMAMX1110_1.jpg?v=1633030364")</f>
        <v/>
      </c>
      <c r="H7934">
        <f>_xludf.IMAGE("https://m.media-amazon.com/images/I/61rU9ZgmndL._AC_UL320_.jpg")</f>
        <v/>
      </c>
      <c r="K7934" t="inlineStr">
        <is>
          <t>89.97</t>
        </is>
      </c>
      <c r="L7934" t="n">
        <v>11.49</v>
      </c>
      <c r="M7934" s="1" t="inlineStr">
        <is>
          <t>-87.23%</t>
        </is>
      </c>
      <c r="N7934" s="1" t="n"/>
      <c r="O7934" t="n">
        <v>4.6</v>
      </c>
      <c r="P7934" t="n">
        <v>63</v>
      </c>
      <c r="R7934" t="inlineStr">
        <is>
          <t>InStock</t>
        </is>
      </c>
      <c r="S7934" t="inlineStr">
        <is>
          <t>115.5</t>
        </is>
      </c>
      <c r="T7934" t="inlineStr">
        <is>
          <t>5289159655592</t>
        </is>
      </c>
    </row>
    <row r="7935" hidden="1" ht="15.75" customHeight="1">
      <c r="A7935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935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935" t="inlineStr">
        <is>
          <t>Diablo Tools DMAMX1230 1 in. x 24 in. x 29 in. Rebar Demon™ SDS-Max 4-Cutter Full Carbide Head Hammer Bit</t>
        </is>
      </c>
      <c r="D7935" t="inlineStr">
        <is>
          <t>Diablo DMAPL4055 3/16 in. x 10 in. x 12 in. Rebar Demon™ SDS-Plus 4-Cutter Full Carbide Head Hammer Bit</t>
        </is>
      </c>
      <c r="E7935" s="2">
        <f>HYPERLINK("https://www.amazon.com/Diablo-DMAPL4055-SDS-Plus-4-Cutter-Carbide/dp/B089LJCD42/ref=sr_1_39?keywords=Diablo+Tools+DMAMX1230+1+in.+x+24+in.+x+29+in.+Rebar+Demon%E2%84%A2+SDS-Max+4-Cutter+Full+Carbide+Head+Hammer+Bit&amp;qid=1694735297&amp;sr=8-39", "https://www.amazon.com/Diablo-DMAPL4055-SDS-Plus-4-Cutter-Carbide/dp/B089LJCD42/ref=sr_1_39?keywords=Diablo+Tools+DMAMX1230+1+in.+x+24+in.+x+29+in.+Rebar+Demon%E2%84%A2+SDS-Max+4-Cutter+Full+Carbide+Head+Hammer+Bit&amp;qid=1694735297&amp;sr=8-39")</f>
        <v/>
      </c>
      <c r="F7935" t="inlineStr">
        <is>
          <t>B089LJCD42</t>
        </is>
      </c>
      <c r="G7935">
        <f>_xludf.IMAGE("https://edmondsonsupply.com/cdn/shop/products/DMAMX1230_1.jpg?v=1633030364")</f>
        <v/>
      </c>
      <c r="H7935">
        <f>_xludf.IMAGE("https://m.media-amazon.com/images/I/61cDOAhkb4L._AC_UL320_.jpg")</f>
        <v/>
      </c>
      <c r="K7935" t="inlineStr">
        <is>
          <t>124.97</t>
        </is>
      </c>
      <c r="L7935" t="n">
        <v>15.76</v>
      </c>
      <c r="M7935" s="1" t="inlineStr">
        <is>
          <t>-87.39%</t>
        </is>
      </c>
      <c r="N7935" s="1" t="n"/>
      <c r="O7935" t="n">
        <v>2</v>
      </c>
      <c r="P7935" t="n">
        <v>1</v>
      </c>
      <c r="R7935" t="inlineStr">
        <is>
          <t>InStock</t>
        </is>
      </c>
      <c r="S7935" t="inlineStr">
        <is>
          <t>152.89</t>
        </is>
      </c>
      <c r="T7935" t="inlineStr">
        <is>
          <t>5289176072360</t>
        </is>
      </c>
    </row>
    <row r="7936" hidden="1" ht="15.75" customHeight="1">
      <c r="A7936" s="2">
        <f>HYPERLINK("https://edmondsonsupply.com/collections/electricians-tools/products/fluke-tplus-electrical-tester", "https://edmondsonsupply.com/collections/electricians-tools/products/fluke-tplus-electrical-tester")</f>
        <v/>
      </c>
      <c r="B7936" s="2">
        <f>HYPERLINK("https://edmondsonsupply.com/products/fluke-tplus-electrical-tester", "https://edmondsonsupply.com/products/fluke-tplus-electrical-tester")</f>
        <v/>
      </c>
      <c r="C7936" t="inlineStr">
        <is>
          <t>Fluke T+ Electrical Tester</t>
        </is>
      </c>
      <c r="D7936" t="inlineStr">
        <is>
          <t>KingSung Hard Case Replacement for Fluke T5600/T5-1000/T5-600/T6-1000/T6-600/T+PRO Voltage Continuity and Current Tester Kit, Real Machine Custom Lining and with Smooth Double Zipper,Yellow</t>
        </is>
      </c>
      <c r="E7936" s="2">
        <f>HYPERLINK("https://www.amazon.com/KingSung-Replacement-T5-1000-T6-1000-Continuity/dp/B0BB2M22Z9/ref=sr_1_7?keywords=Fluke+T+Electrical+Tester&amp;qid=1694735309&amp;sr=8-7", "https://www.amazon.com/KingSung-Replacement-T5-1000-T6-1000-Continuity/dp/B0BB2M22Z9/ref=sr_1_7?keywords=Fluke+T+Electrical+Tester&amp;qid=1694735309&amp;sr=8-7")</f>
        <v/>
      </c>
      <c r="F7936" t="inlineStr">
        <is>
          <t>B0BB2M22Z9</t>
        </is>
      </c>
      <c r="G7936">
        <f>_xludf.IMAGE("https://edmondsonsupply.com/cdn/shop/products/tplus.jpg?v=1633030280")</f>
        <v/>
      </c>
      <c r="H7936">
        <f>_xludf.IMAGE("https://m.media-amazon.com/images/I/81Q+9Q0NsoL._AC_UL320_.jpg")</f>
        <v/>
      </c>
      <c r="K7936" t="inlineStr">
        <is>
          <t>94.49</t>
        </is>
      </c>
      <c r="L7936" t="n">
        <v>11.89</v>
      </c>
      <c r="M7936" s="1" t="inlineStr">
        <is>
          <t>-87.42%</t>
        </is>
      </c>
      <c r="N7936" s="1" t="n"/>
      <c r="O7936" t="n">
        <v>4.6</v>
      </c>
      <c r="P7936" t="n">
        <v>52</v>
      </c>
      <c r="R7936" t="inlineStr">
        <is>
          <t>InStock</t>
        </is>
      </c>
      <c r="S7936" t="inlineStr">
        <is>
          <t>104.99</t>
        </is>
      </c>
      <c r="T7936" t="inlineStr">
        <is>
          <t>5238397337768</t>
        </is>
      </c>
    </row>
    <row r="7937" hidden="1" ht="15.75" customHeight="1">
      <c r="A7937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937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937" t="inlineStr">
        <is>
          <t>Diablo Tools DMAPL4140-P25 3/8 in. x 4 in. x 6 in. Rebar Demon™ SDS-Plus 4-Cutter Full Carbide Head Hammer Bit (25-Pack)</t>
        </is>
      </c>
      <c r="D7937" t="inlineStr">
        <is>
          <t>Diablo by Freud DMAPL4160 3/8 in. x 10 in. x 12 in. Rebar Demon SDS-Plus 4-Cutter Full Carbide Head Hammer Bit</t>
        </is>
      </c>
      <c r="E7937" s="2">
        <f>HYPERLINK("https://www.amazon.com/Diablo-Freud-DMAPL4160-SDS-Plus-4-Cutter/dp/B089KX25B7/ref=sr_1_7?keywords=Diablo+Tools+DMAPL4140-P25+3%2F8+in.+x+4+in.+x+6+in.+Rebar+Demon%E2%84%A2+SDS-Plus+4-Cutter+Full+Carbide+Head+Hammer+Bit+%2825-Pack%29&amp;qid=1694735299&amp;sr=8-7", "https://www.amazon.com/Diablo-Freud-DMAPL4160-SDS-Plus-4-Cutter/dp/B089KX25B7/ref=sr_1_7?keywords=Diablo+Tools+DMAPL4140-P25+3%2F8+in.+x+4+in.+x+6+in.+Rebar+Demon%E2%84%A2+SDS-Plus+4-Cutter+Full+Carbide+Head+Hammer+Bit+%2825-Pack%29&amp;qid=1694735299&amp;sr=8-7")</f>
        <v/>
      </c>
      <c r="F7937" t="inlineStr">
        <is>
          <t>B089KX25B7</t>
        </is>
      </c>
      <c r="G7937">
        <f>_xludf.IMAGE("https://edmondsonsupply.com/cdn/shop/products/DMAPL4140-P25.jpg?v=1633030354")</f>
        <v/>
      </c>
      <c r="H7937">
        <f>_xludf.IMAGE("https://m.media-amazon.com/images/I/61MHnm3+2bL._AC_UL320_.jpg")</f>
        <v/>
      </c>
      <c r="K7937" t="inlineStr">
        <is>
          <t>105.97</t>
        </is>
      </c>
      <c r="L7937" t="n">
        <v>13.01</v>
      </c>
      <c r="M7937" s="1" t="inlineStr">
        <is>
          <t>-87.72%</t>
        </is>
      </c>
      <c r="N7937" s="1" t="n"/>
      <c r="O7937" t="n">
        <v>4.5</v>
      </c>
      <c r="P7937" t="n">
        <v>39</v>
      </c>
      <c r="R7937" t="inlineStr">
        <is>
          <t>InStock</t>
        </is>
      </c>
      <c r="S7937" t="inlineStr">
        <is>
          <t>153.56</t>
        </is>
      </c>
      <c r="T7937" t="inlineStr">
        <is>
          <t>5286131794088</t>
        </is>
      </c>
    </row>
    <row r="7938" hidden="1" ht="15.75" customHeight="1">
      <c r="A7938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938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938" t="inlineStr">
        <is>
          <t>Diablo Tools DMAPL4140-P25 3/8 in. x 4 in. x 6 in. Rebar Demon™ SDS-Plus 4-Cutter Full Carbide Head Hammer Bit (25-Pack)</t>
        </is>
      </c>
      <c r="D7938" t="inlineStr">
        <is>
          <t>Diablo DMAPL4120 5/16 in. x 10 in. x 12 in. Rebar Demon™ SDS-Plus 4-Cutter Full Carbide Head Hammer Bit</t>
        </is>
      </c>
      <c r="E7938" s="2">
        <f>HYPERLINK("https://www.amazon.com/Diablo-SDS-Plus-4-Cutter-Carbide-Hammer/dp/B089KTHL12/ref=sr_1_26?keywords=Diablo+Tools+DMAPL4140-P25+3%2F8+in.+x+4+in.+x+6+in.+Rebar+Demon%E2%84%A2+SDS-Plus+4-Cutter+Full+Carbide+Head+Hammer+Bit+%2825-Pack%29&amp;qid=1694735299&amp;sr=8-26", "https://www.amazon.com/Diablo-SDS-Plus-4-Cutter-Carbide-Hammer/dp/B089KTHL12/ref=sr_1_26?keywords=Diablo+Tools+DMAPL4140-P25+3%2F8+in.+x+4+in.+x+6+in.+Rebar+Demon%E2%84%A2+SDS-Plus+4-Cutter+Full+Carbide+Head+Hammer+Bit+%2825-Pack%29&amp;qid=1694735299&amp;sr=8-26")</f>
        <v/>
      </c>
      <c r="F7938" t="inlineStr">
        <is>
          <t>B089KTHL12</t>
        </is>
      </c>
      <c r="G7938">
        <f>_xludf.IMAGE("https://edmondsonsupply.com/cdn/shop/products/DMAPL4140-P25.jpg?v=1633030354")</f>
        <v/>
      </c>
      <c r="H7938">
        <f>_xludf.IMAGE("https://m.media-amazon.com/images/I/61P8b1v1TBL._AC_UL320_.jpg")</f>
        <v/>
      </c>
      <c r="K7938" t="inlineStr">
        <is>
          <t>105.97</t>
        </is>
      </c>
      <c r="L7938" t="n">
        <v>12.99</v>
      </c>
      <c r="M7938" s="1" t="inlineStr">
        <is>
          <t>-87.74%</t>
        </is>
      </c>
      <c r="N7938" s="1" t="n"/>
      <c r="O7938" t="n">
        <v>5</v>
      </c>
      <c r="P7938" t="n">
        <v>6</v>
      </c>
      <c r="R7938" t="inlineStr">
        <is>
          <t>InStock</t>
        </is>
      </c>
      <c r="S7938" t="inlineStr">
        <is>
          <t>153.56</t>
        </is>
      </c>
      <c r="T7938" t="inlineStr">
        <is>
          <t>5286131794088</t>
        </is>
      </c>
    </row>
    <row r="7939" hidden="1" ht="15.75" customHeight="1">
      <c r="A7939" s="2">
        <f>HYPERLINK("https://edmondsonsupply.com/collections/electricians-tools/products/klein-tools-31902-bi-metal-hole-saw-kit-8-piece", "https://edmondsonsupply.com/collections/electricians-tools/products/klein-tools-31902-bi-metal-hole-saw-kit-8-piece")</f>
        <v/>
      </c>
      <c r="B7939" s="2">
        <f>HYPERLINK("https://edmondsonsupply.com/products/klein-tools-31902-bi-metal-hole-saw-kit-8-piece", "https://edmondsonsupply.com/products/klein-tools-31902-bi-metal-hole-saw-kit-8-piece")</f>
        <v/>
      </c>
      <c r="C7939" t="inlineStr">
        <is>
          <t>Klein Tools 31902 Bi-Metal Hole Saw Kit, 8-Piece</t>
        </is>
      </c>
      <c r="D7939" t="inlineStr">
        <is>
          <t>Klein Tools 31922 Bi-Metal Hole Saw, 1-3/8-Inch</t>
        </is>
      </c>
      <c r="E7939" s="2">
        <f>HYPERLINK("https://www.amazon.com/Bi-Metal-8-Inch-Klein-Tools-31922/dp/B019874Q0K/ref=sr_1_9?keywords=Klein+Tools+31902+Bi-Metal+Hole+Saw+Kit%2C+8-Piece&amp;qid=1694735008&amp;sr=8-9", "https://www.amazon.com/Bi-Metal-8-Inch-Klein-Tools-31922/dp/B019874Q0K/ref=sr_1_9?keywords=Klein+Tools+31902+Bi-Metal+Hole+Saw+Kit%2C+8-Piece&amp;qid=1694735008&amp;sr=8-9")</f>
        <v/>
      </c>
      <c r="F7939" t="inlineStr">
        <is>
          <t>B019874Q0K</t>
        </is>
      </c>
      <c r="G7939">
        <f>_xludf.IMAGE("https://edmondsonsupply.com/cdn/shop/products/31902.jpg?v=1679665390")</f>
        <v/>
      </c>
      <c r="H7939">
        <f>_xludf.IMAGE("https://m.media-amazon.com/images/I/41GAmyLoB4L._AC_UL320_.jpg")</f>
        <v/>
      </c>
      <c r="K7939" t="inlineStr">
        <is>
          <t>74.99</t>
        </is>
      </c>
      <c r="L7939" t="n">
        <v>8.99</v>
      </c>
      <c r="M7939" s="1" t="inlineStr">
        <is>
          <t>-88.01%</t>
        </is>
      </c>
      <c r="N7939" s="1" t="n"/>
      <c r="O7939" t="n">
        <v>4.5</v>
      </c>
      <c r="P7939" t="n">
        <v>365</v>
      </c>
      <c r="R7939" t="inlineStr">
        <is>
          <t>InStock</t>
        </is>
      </c>
      <c r="S7939" t="inlineStr">
        <is>
          <t>105.24</t>
        </is>
      </c>
      <c r="T7939" t="inlineStr">
        <is>
          <t>7966205673688</t>
        </is>
      </c>
    </row>
    <row r="7940" hidden="1" ht="15.75" customHeight="1">
      <c r="A7940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940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940" t="inlineStr">
        <is>
          <t>Diablo Tools DMAPL4070-P25 1/4 in. x 4 in. x 6 in. Rebar Demon™ SDS-Plus 4-Cutter Full Carbide Head Hammer Bit (25-Pack)</t>
        </is>
      </c>
      <c r="D7940" t="inlineStr">
        <is>
          <t>Diablo by Freud DMAPL4010 5/32 in. x 2 in. x 4 in. Rebar Demon SDS-Plus 4-Cutter Full Carbide Head Hammer Bit</t>
        </is>
      </c>
      <c r="E7940" s="2">
        <f>HYPERLINK("https://www.amazon.com/Diablo-SDS-Plus-4-Cutter-Carbide-Hammer/dp/B089KWVTD3/ref=sr_1_11?keywords=Diablo+Tools+DMAPL4070-P25+1%2F4+in.+x+4+in.+x+6+in.+Rebar+Demon%E2%84%A2+SDS-Plus+4-Cutter+Full+Carbide+Head+Hammer+Bit+%2825-Pack%29&amp;qid=1694735305&amp;sr=8-11", "https://www.amazon.com/Diablo-SDS-Plus-4-Cutter-Carbide-Hammer/dp/B089KWVTD3/ref=sr_1_11?keywords=Diablo+Tools+DMAPL4070-P25+1%2F4+in.+x+4+in.+x+6+in.+Rebar+Demon%E2%84%A2+SDS-Plus+4-Cutter+Full+Carbide+Head+Hammer+Bit+%2825-Pack%29&amp;qid=1694735305&amp;sr=8-11")</f>
        <v/>
      </c>
      <c r="F7940" t="inlineStr">
        <is>
          <t>B089KWVTD3</t>
        </is>
      </c>
      <c r="G7940">
        <f>_xludf.IMAGE("https://edmondsonsupply.com/cdn/shop/products/DMAPL4070.jpg?v=1633030350")</f>
        <v/>
      </c>
      <c r="H7940">
        <f>_xludf.IMAGE("https://m.media-amazon.com/images/I/61IkB-DVS1L._AC_UL320_.jpg")</f>
        <v/>
      </c>
      <c r="K7940" t="inlineStr">
        <is>
          <t>79.47</t>
        </is>
      </c>
      <c r="L7940" t="n">
        <v>9.5</v>
      </c>
      <c r="M7940" s="1" t="inlineStr">
        <is>
          <t>-88.05%</t>
        </is>
      </c>
      <c r="N7940" s="1" t="n"/>
      <c r="O7940" t="n">
        <v>4.7</v>
      </c>
      <c r="P7940" t="n">
        <v>4</v>
      </c>
      <c r="R7940" t="inlineStr">
        <is>
          <t>InStock</t>
        </is>
      </c>
      <c r="S7940" t="inlineStr">
        <is>
          <t>106.66</t>
        </is>
      </c>
      <c r="T7940" t="inlineStr">
        <is>
          <t>5283065069736</t>
        </is>
      </c>
    </row>
    <row r="7941" hidden="1" ht="15.75" customHeight="1">
      <c r="A7941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41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41" t="inlineStr">
        <is>
          <t>Diablo Tools DMAPL4180-P25 1/2 in. x 4 in. x 6 in. Rebar Demon™ SDS-Plus 4-Cutter Full Carbide Head Hammer Bit (25 Pack)</t>
        </is>
      </c>
      <c r="D7941" t="inlineStr">
        <is>
          <t>Diablo DMAPL4055 3/16 in. x 10 in. x 12 in. Rebar Demon™ SDS-Plus 4-Cutter Full Carbide Head Hammer Bit</t>
        </is>
      </c>
      <c r="E7941" s="2" t="n"/>
      <c r="F7941" t="inlineStr">
        <is>
          <t>B089LJCD42</t>
        </is>
      </c>
      <c r="G7941">
        <f>_xludf.IMAGE("https://edmondsonsupply.com/cdn/shop/products/DMAPL4180-P25_Additional-Images_0120200331.png?v=1633030573")</f>
        <v/>
      </c>
      <c r="H7941">
        <f>_xludf.IMAGE("https://m.media-amazon.com/images/I/61cDOAhkb4L._AC_UL320_.jpg")</f>
        <v/>
      </c>
      <c r="K7941" t="inlineStr">
        <is>
          <t>133.97</t>
        </is>
      </c>
      <c r="L7941" t="n">
        <v>15.76</v>
      </c>
      <c r="M7941" s="1" t="inlineStr">
        <is>
          <t>-88.24%</t>
        </is>
      </c>
      <c r="N7941" s="1" t="n"/>
      <c r="O7941" t="n">
        <v>2</v>
      </c>
      <c r="P7941" t="n">
        <v>1</v>
      </c>
      <c r="R7941" t="inlineStr">
        <is>
          <t>InStock</t>
        </is>
      </c>
      <c r="S7941" t="inlineStr">
        <is>
          <t>193.66</t>
        </is>
      </c>
      <c r="T7941" t="inlineStr">
        <is>
          <t>5524246659240</t>
        </is>
      </c>
    </row>
    <row r="7942" ht="87" customHeight="1">
      <c r="A7942" s="2">
        <f>HYPERLINK("https://edmondsonsupply.com/collections/electricians-tools/products/milwaukee-2554-20-m12-fuel%E2%84%A2-3-8-stubby-impact-wrench-tool-only", "https://edmondsonsupply.com/collections/electricians-tools/products/milwaukee-2554-20-m12-fuel%E2%84%A2-3-8-stubby-impact-wrench-tool-only")</f>
        <v/>
      </c>
      <c r="B7942" s="2">
        <f>HYPERLINK("https://edmondsonsupply.com/products/milwaukee-2554-20-m12-fuel%e2%84%a2-3-8-stubby-impact-wrench-tool-only", "https://edmondsonsupply.com/products/milwaukee-2554-20-m12-fuel%e2%84%a2-3-8-stubby-impact-wrench-tool-only")</f>
        <v/>
      </c>
      <c r="C7942" t="inlineStr">
        <is>
          <t>Milwaukee 2554-20 M12 FUEL™ 3/8" Stubby Impact Wrench (Tool Only)</t>
        </is>
      </c>
      <c r="D7942" t="inlineStr">
        <is>
          <t>khanka Hard Storage Case Replacement for Milwaukee 2554-20 M12 Fuel Stubby 3/8" Impact Wrench, Case Only</t>
        </is>
      </c>
      <c r="E7942" s="2">
        <f>HYPERLINK("https://www.amazon.com/Khanka-Storage-Replacement-Milwaukee-2554-20/dp/B09Y1XBLTR/ref=sr_1_2?keywords=Milwaukee+2554-20+M12+FUEL%E2%84%A2+3%2F8%22+Stubby+Impact+Wrench+%28Tool+Only%29&amp;qid=1694735055&amp;sr=8-2", "https://www.amazon.com/Khanka-Storage-Replacement-Milwaukee-2554-20/dp/B09Y1XBLTR/ref=sr_1_2?keywords=Milwaukee+2554-20+M12+FUEL%E2%84%A2+3%2F8%22+Stubby+Impact+Wrench+%28Tool+Only%29&amp;qid=1694735055&amp;sr=8-2")</f>
        <v/>
      </c>
      <c r="F7942" t="inlineStr">
        <is>
          <t>B09Y1XBLTR</t>
        </is>
      </c>
      <c r="G7942">
        <f>_xlfn.IMAGE("https://edmondsonsupply.com/cdn/shop/products/2554-20_1.webp?v=1671646494")</f>
        <v/>
      </c>
      <c r="H7942">
        <f>_xlfn.IMAGE("https://m.media-amazon.com/images/I/81IKdaIxH0L._AC_UL320_.jpg")</f>
        <v/>
      </c>
      <c r="K7942" t="inlineStr">
        <is>
          <t>199.0</t>
        </is>
      </c>
      <c r="L7942" t="n">
        <v>22.99</v>
      </c>
      <c r="M7942" s="1" t="inlineStr">
        <is>
          <t>-88.45%</t>
        </is>
      </c>
      <c r="N7942" s="7" t="n"/>
      <c r="O7942" t="n">
        <v>4.8</v>
      </c>
      <c r="P7942" t="n">
        <v>94</v>
      </c>
      <c r="R7942" t="inlineStr">
        <is>
          <t>InStock</t>
        </is>
      </c>
      <c r="S7942" t="inlineStr">
        <is>
          <t>326.0</t>
        </is>
      </c>
      <c r="T7942" t="inlineStr">
        <is>
          <t>7909856575704</t>
        </is>
      </c>
    </row>
    <row r="7943" hidden="1" ht="15.75" customHeight="1">
      <c r="A7943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943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943" t="inlineStr">
        <is>
          <t>Diablo Tools DMAPL4080-P25 1/4 in. x 6 in. x 8 in. Rebar Demon™ SDS-Plus 4-Cutter Full Carbide Head Hammer Bit (25 Pack)</t>
        </is>
      </c>
      <c r="D7943" t="inlineStr">
        <is>
          <t>Diablo by Freud Diablo DMAPL4210 5/8 in. x 4 in. x 6 in. Rebar Demon SDS-Plus 4-Cutter Full Carbide Head Hammer Bit</t>
        </is>
      </c>
      <c r="E7943" s="2" t="n"/>
      <c r="F7943" t="inlineStr">
        <is>
          <t>B089LGF2KS</t>
        </is>
      </c>
      <c r="G7943">
        <f>_xludf.IMAGE("https://edmondsonsupply.com/cdn/shop/products/DMAPL4080-P25_Main-Image20200701.png?v=1633030623")</f>
        <v/>
      </c>
      <c r="H7943">
        <f>_xludf.IMAGE("https://m.media-amazon.com/images/I/61rU9ZgmndL._AC_UL320_.jpg")</f>
        <v/>
      </c>
      <c r="K7943" t="inlineStr">
        <is>
          <t>99.97</t>
        </is>
      </c>
      <c r="L7943" t="n">
        <v>11.49</v>
      </c>
      <c r="M7943" s="1" t="inlineStr">
        <is>
          <t>-88.51%</t>
        </is>
      </c>
      <c r="N7943" s="1" t="n"/>
      <c r="O7943" t="n">
        <v>4.6</v>
      </c>
      <c r="P7943" t="n">
        <v>63</v>
      </c>
      <c r="R7943" t="inlineStr">
        <is>
          <t>InStock</t>
        </is>
      </c>
      <c r="S7943" t="inlineStr">
        <is>
          <t>144.22</t>
        </is>
      </c>
      <c r="T7943" t="inlineStr">
        <is>
          <t>5660158918824</t>
        </is>
      </c>
    </row>
    <row r="7944" hidden="1" ht="15.75" customHeight="1">
      <c r="A7944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944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944" t="inlineStr">
        <is>
          <t>Diablo Tools DMAPL4070-P25 1/4 in. x 4 in. x 6 in. Rebar Demon™ SDS-Plus 4-Cutter Full Carbide Head Hammer Bit (25-Pack)</t>
        </is>
      </c>
      <c r="D7944" t="inlineStr">
        <is>
          <t>Diablo by Freud DMAPL4050 3/16 in. x 6 in. x 8 in. Rebar Demon SDS-Plus 4-Cutter Full Carbide Head Hammer Bit Multi, One Size</t>
        </is>
      </c>
      <c r="E7944" s="2">
        <f>HYPERLINK("https://www.amazon.com/Diablo-SDS-Plus-4-Cutter-Carbide-Hammer/dp/B089LKWR9L/ref=sr_1_31?keywords=Diablo+Tools+DMAPL4070-P25+1%2F4+in.+x+4+in.+x+6+in.+Rebar+Demon%E2%84%A2+SDS-Plus+4-Cutter+Full+Carbide+Head+Hammer+Bit+%2825-Pack%29&amp;qid=1694735305&amp;sr=8-31", "https://www.amazon.com/Diablo-SDS-Plus-4-Cutter-Carbide-Hammer/dp/B089LKWR9L/ref=sr_1_31?keywords=Diablo+Tools+DMAPL4070-P25+1%2F4+in.+x+4+in.+x+6+in.+Rebar+Demon%E2%84%A2+SDS-Plus+4-Cutter+Full+Carbide+Head+Hammer+Bit+%2825-Pack%29&amp;qid=1694735305&amp;sr=8-31")</f>
        <v/>
      </c>
      <c r="F7944" t="inlineStr">
        <is>
          <t>B089LKWR9L</t>
        </is>
      </c>
      <c r="G7944">
        <f>_xludf.IMAGE("https://edmondsonsupply.com/cdn/shop/products/DMAPL4070.jpg?v=1633030350")</f>
        <v/>
      </c>
      <c r="H7944">
        <f>_xludf.IMAGE("https://m.media-amazon.com/images/I/61uukuKzJeL._AC_UL320_.jpg")</f>
        <v/>
      </c>
      <c r="K7944" t="inlineStr">
        <is>
          <t>79.47</t>
        </is>
      </c>
      <c r="L7944" t="n">
        <v>8.99</v>
      </c>
      <c r="M7944" s="1" t="inlineStr">
        <is>
          <t>-88.69%</t>
        </is>
      </c>
      <c r="N7944" s="1" t="n"/>
      <c r="O7944" t="n">
        <v>3.7</v>
      </c>
      <c r="P7944" t="n">
        <v>10</v>
      </c>
      <c r="R7944" t="inlineStr">
        <is>
          <t>InStock</t>
        </is>
      </c>
      <c r="S7944" t="inlineStr">
        <is>
          <t>106.66</t>
        </is>
      </c>
      <c r="T7944" t="inlineStr">
        <is>
          <t>5283065069736</t>
        </is>
      </c>
    </row>
    <row r="7945" ht="87" customHeight="1">
      <c r="A7945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945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945" t="inlineStr">
        <is>
          <t>Diablo Tools DMAPL4160-P25 3/8 in. x 10 in. x 12 in. Rebar Demon™ SDS-Plus 4-Cutter Full Carbide Head Hammer Bit (25 pack)</t>
        </is>
      </c>
      <c r="D7945" t="inlineStr">
        <is>
          <t>Diablo by Freud DMAPL4230 5/8 in. x 10 in. x 12 in. Rebar Demon SDS-Plus 4-Cutter Full Carbide Head Hammer Bit</t>
        </is>
      </c>
      <c r="E7945" s="2" t="n"/>
      <c r="F7945" t="inlineStr">
        <is>
          <t>B089LCN234</t>
        </is>
      </c>
      <c r="G7945">
        <f>_xlfn.IMAGE("https://edmondsonsupply.com/cdn/shop/products/DMAPL4160_Main-Image20200702.png?v=1633030463")</f>
        <v/>
      </c>
      <c r="H7945">
        <f>_xlfn.IMAGE("https://m.media-amazon.com/images/I/61r649wmyhL._AC_UL320_.jpg")</f>
        <v/>
      </c>
      <c r="K7945" t="inlineStr">
        <is>
          <t>195.97</t>
        </is>
      </c>
      <c r="L7945" t="n">
        <v>21.86</v>
      </c>
      <c r="M7945" s="1" t="inlineStr">
        <is>
          <t>-88.85%</t>
        </is>
      </c>
      <c r="N7945" s="7" t="n"/>
      <c r="O7945" t="n">
        <v>4.7</v>
      </c>
      <c r="P7945" t="n">
        <v>47</v>
      </c>
      <c r="R7945" t="inlineStr">
        <is>
          <t>InStock</t>
        </is>
      </c>
      <c r="S7945" t="inlineStr">
        <is>
          <t>283.58</t>
        </is>
      </c>
      <c r="T7945" t="inlineStr">
        <is>
          <t>5361994236072</t>
        </is>
      </c>
    </row>
    <row r="7946" hidden="1" ht="15.75" customHeight="1">
      <c r="A7946" s="2">
        <f>HYPERLINK("https://edmondsonsupply.com/collections/electricians-tools/products/diablo-tools-dmapl4070-p25-1-4-in-x-4-in-x-6-in-rebar-demon%E2%84%A2-sds-plus-4-cutter-full-carbide-head-hammer-bit-25-pack", "https://edmondsonsupply.com/collections/electricians-tools/products/diablo-tools-dmapl4070-p25-1-4-in-x-4-in-x-6-in-rebar-demon%E2%84%A2-sds-plus-4-cutter-full-carbide-head-hammer-bit-25-pack")</f>
        <v/>
      </c>
      <c r="B7946" s="2">
        <f>HYPERLINK("https://edmondsonsupply.com/products/diablo-tools-dmapl4070-p25-1-4-in-x-4-in-x-6-in-rebar-demon%e2%84%a2-sds-plus-4-cutter-full-carbide-head-hammer-bit-25-pack", "https://edmondsonsupply.com/products/diablo-tools-dmapl4070-p25-1-4-in-x-4-in-x-6-in-rebar-demon%e2%84%a2-sds-plus-4-cutter-full-carbide-head-hammer-bit-25-pack")</f>
        <v/>
      </c>
      <c r="C7946" t="inlineStr">
        <is>
          <t>Diablo Tools DMAPL4070-P25 1/4 in. x 4 in. x 6 in. Rebar Demon™ SDS-Plus 4-Cutter Full Carbide Head Hammer Bit (25-Pack)</t>
        </is>
      </c>
      <c r="D7946" t="inlineStr">
        <is>
          <t>Diablo by Freud Diablo DMAPL4070 1/4 in. x 4 in. x 6 in. Rebar Demon SDS-Plus 4-Cutter Full Carbide Head Hammer Bit</t>
        </is>
      </c>
      <c r="E7946" s="2">
        <f>HYPERLINK("https://www.amazon.com/Diablo-Freud-DMAPL4070-SDS-Plus-4-Cutter/dp/B089KVLDML/ref=sr_1_1?keywords=Diablo+Tools+DMAPL4070-P25+1%2F4+in.+x+4+in.+x+6+in.+Rebar+Demon%E2%84%A2+SDS-Plus+4-Cutter+Full+Carbide+Head+Hammer+Bit+%2825-Pack%29&amp;qid=1694735305&amp;sr=8-1", "https://www.amazon.com/Diablo-Freud-DMAPL4070-SDS-Plus-4-Cutter/dp/B089KVLDML/ref=sr_1_1?keywords=Diablo+Tools+DMAPL4070-P25+1%2F4+in.+x+4+in.+x+6+in.+Rebar+Demon%E2%84%A2+SDS-Plus+4-Cutter+Full+Carbide+Head+Hammer+Bit+%2825-Pack%29&amp;qid=1694735305&amp;sr=8-1")</f>
        <v/>
      </c>
      <c r="F7946" t="inlineStr">
        <is>
          <t>B089KVLDML</t>
        </is>
      </c>
      <c r="G7946">
        <f>_xludf.IMAGE("https://edmondsonsupply.com/cdn/shop/products/DMAPL4070.jpg?v=1633030350")</f>
        <v/>
      </c>
      <c r="H7946">
        <f>_xludf.IMAGE("https://m.media-amazon.com/images/I/61fLLQz5xPL._AC_UL320_.jpg")</f>
        <v/>
      </c>
      <c r="K7946" t="inlineStr">
        <is>
          <t>79.47</t>
        </is>
      </c>
      <c r="L7946" t="n">
        <v>8.84</v>
      </c>
      <c r="M7946" s="1" t="inlineStr">
        <is>
          <t>-88.88%</t>
        </is>
      </c>
      <c r="N7946" s="1" t="n"/>
      <c r="O7946" t="n">
        <v>4.4</v>
      </c>
      <c r="P7946" t="n">
        <v>28</v>
      </c>
      <c r="R7946" t="inlineStr">
        <is>
          <t>InStock</t>
        </is>
      </c>
      <c r="S7946" t="inlineStr">
        <is>
          <t>106.66</t>
        </is>
      </c>
      <c r="T7946" t="inlineStr">
        <is>
          <t>5283065069736</t>
        </is>
      </c>
    </row>
    <row r="7947" ht="87" customHeight="1">
      <c r="A7947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947" s="2">
        <f>HYPERLINK("https://edmondsonsupply.com/products/klein-tools-nrhd4-4-in-1-square-impact-socket", "https://edmondsonsupply.com/products/klein-tools-nrhd4-4-in-1-square-impact-socket")</f>
        <v/>
      </c>
      <c r="C7947" t="inlineStr">
        <is>
          <t>Klein Tools NRHD4 4-in-1 Square Impact Socket</t>
        </is>
      </c>
      <c r="D7947" t="inlineStr">
        <is>
          <t>Klein Tools 32303 Multi-Bit Screwdriver / Nut Driver, Impact Rated 14-in-1 Magnetic Screwdriver Set Phillips, Slotted, Square, Combo, Torx</t>
        </is>
      </c>
      <c r="E7947" s="2">
        <f>HYPERLINK("https://www.amazon.com/Klein-Tools-Multi-bit-Screwdriver-Adjustable/dp/B08KFM8833/ref=sr_1_14?keywords=Klein+Tools+NRHD4+4-in-1+Square+Impact+Socket&amp;qid=1694735425&amp;sr=8-14", "https://www.amazon.com/Klein-Tools-Multi-bit-Screwdriver-Adjustable/dp/B08KFM8833/ref=sr_1_14?keywords=Klein+Tools+NRHD4+4-in-1+Square+Impact+Socket&amp;qid=1694735425&amp;sr=8-14")</f>
        <v/>
      </c>
      <c r="F7947" t="inlineStr">
        <is>
          <t>B08KFM8833</t>
        </is>
      </c>
      <c r="G7947">
        <f>_xlfn.IMAGE("https://edmondsonsupply.com/cdn/shop/products/nrhd4.jpg?v=1587150980")</f>
        <v/>
      </c>
      <c r="H7947">
        <f>_xlfn.IMAGE("https://m.media-amazon.com/images/I/51MWPRqx3sL._AC_UL320_.jpg")</f>
        <v/>
      </c>
      <c r="K7947" t="inlineStr">
        <is>
          <t>179.99</t>
        </is>
      </c>
      <c r="L7947" t="n">
        <v>19.97</v>
      </c>
      <c r="M7947" s="1" t="inlineStr">
        <is>
          <t>-88.90%</t>
        </is>
      </c>
      <c r="N7947" s="7" t="n"/>
      <c r="O7947" t="n">
        <v>4.6</v>
      </c>
      <c r="P7947" t="n">
        <v>2694</v>
      </c>
      <c r="R7947" t="inlineStr">
        <is>
          <t>InStock</t>
        </is>
      </c>
      <c r="S7947" t="inlineStr">
        <is>
          <t>291.34</t>
        </is>
      </c>
      <c r="T7947" t="inlineStr">
        <is>
          <t>4396986433636</t>
        </is>
      </c>
    </row>
    <row r="7948" hidden="1" ht="15.75" customHeight="1">
      <c r="A7948" s="2">
        <f>HYPERLINK("https://edmondsonsupply.com/collections/electricians-tools/products/diablo-tools-dmapl4040-p25-3-16-in-x-4-in-x-6-in-rebar-demon%E2%84%A2-sds-plus-4-cutter-full-carbide-head-hammer-bit-25-pack", "https://edmondsonsupply.com/collections/electricians-tools/products/diablo-tools-dmapl4040-p25-3-16-in-x-4-in-x-6-in-rebar-demon%E2%84%A2-sds-plus-4-cutter-full-carbide-head-hammer-bit-25-pack")</f>
        <v/>
      </c>
      <c r="B7948" s="2">
        <f>HYPERLINK("https://edmondsonsupply.com/products/diablo-tools-dmapl4040-p25-3-16-in-x-4-in-x-6-in-rebar-demon%e2%84%a2-sds-plus-4-cutter-full-carbide-head-hammer-bit-25-pack", "https://edmondsonsupply.com/products/diablo-tools-dmapl4040-p25-3-16-in-x-4-in-x-6-in-rebar-demon%e2%84%a2-sds-plus-4-cutter-full-carbide-head-hammer-bit-25-pack")</f>
        <v/>
      </c>
      <c r="C7948" t="inlineStr">
        <is>
          <t>Diablo Tools DMAPL4040-P25 3/16 in. x 4 in. x 6 in. Rebar Demon™ SDS-Plus 4-Cutter Full Carbide Head Hammer Bit (25-Pack)</t>
        </is>
      </c>
      <c r="D7948" t="inlineStr">
        <is>
          <t>Diablo by Freud DMAPL4050 3/16 in. x 6 in. x 8 in. Rebar Demon SDS-Plus 4-Cutter Full Carbide Head Hammer Bit Multi, One Size</t>
        </is>
      </c>
      <c r="E7948" s="2">
        <f>HYPERLINK("https://www.amazon.com/Diablo-SDS-Plus-4-Cutter-Carbide-Hammer/dp/B089LKWR9L/ref=sr_1_6?keywords=Diablo+Tools+DMAPL4040-P25+3%2F16+in.+x+4+in.+x+6+in.+Rebar+Demon%E2%84%A2+SDS-Plus+4-Cutter+Full+Carbide+Head+Hammer+Bit+%2825-Pack%29&amp;qid=1694735299&amp;sr=8-6", "https://www.amazon.com/Diablo-SDS-Plus-4-Cutter-Carbide-Hammer/dp/B089LKWR9L/ref=sr_1_6?keywords=Diablo+Tools+DMAPL4040-P25+3%2F16+in.+x+4+in.+x+6+in.+Rebar+Demon%E2%84%A2+SDS-Plus+4-Cutter+Full+Carbide+Head+Hammer+Bit+%2825-Pack%29&amp;qid=1694735299&amp;sr=8-6")</f>
        <v/>
      </c>
      <c r="F7948" t="inlineStr">
        <is>
          <t>B089LKWR9L</t>
        </is>
      </c>
      <c r="G7948">
        <f>_xludf.IMAGE("https://edmondsonsupply.com/cdn/shop/products/DMAPL4040-P25.jpg?v=1633030349")</f>
        <v/>
      </c>
      <c r="H7948">
        <f>_xludf.IMAGE("https://m.media-amazon.com/images/I/61uukuKzJeL._AC_UL320_.jpg")</f>
        <v/>
      </c>
      <c r="K7948" t="inlineStr">
        <is>
          <t>81.97</t>
        </is>
      </c>
      <c r="L7948" t="n">
        <v>8.99</v>
      </c>
      <c r="M7948" s="1" t="inlineStr">
        <is>
          <t>-89.03%</t>
        </is>
      </c>
      <c r="N7948" s="1" t="n"/>
      <c r="O7948" t="n">
        <v>3.7</v>
      </c>
      <c r="P7948" t="n">
        <v>10</v>
      </c>
      <c r="R7948" t="inlineStr">
        <is>
          <t>InStock</t>
        </is>
      </c>
      <c r="S7948" t="inlineStr">
        <is>
          <t>117.4</t>
        </is>
      </c>
      <c r="T7948" t="inlineStr">
        <is>
          <t>5283055206568</t>
        </is>
      </c>
    </row>
    <row r="7949" hidden="1" ht="15.75" customHeight="1">
      <c r="A7949" s="2">
        <f>HYPERLINK("https://edmondsonsupply.com/collections/electricians-tools/products/klein-tools-31870-carbide-hole-cutter-2-1-2-inch", "https://edmondsonsupply.com/collections/electricians-tools/products/klein-tools-31870-carbide-hole-cutter-2-1-2-inch")</f>
        <v/>
      </c>
      <c r="B7949" s="2">
        <f>HYPERLINK("https://edmondsonsupply.com/products/klein-tools-31870-carbide-hole-cutter-2-1-2-inch", "https://edmondsonsupply.com/products/klein-tools-31870-carbide-hole-cutter-2-1-2-inch")</f>
        <v/>
      </c>
      <c r="C7949" t="inlineStr">
        <is>
          <t>Klein Tools 31870 Carbide Hole Cutter, 2-1/2-Inch</t>
        </is>
      </c>
      <c r="D7949" t="inlineStr">
        <is>
          <t>Klein Tools 89551 Hole Cutter Replacement Bit for Klein Tools Hole Cutter Cat. No. 89552 Cuts 2 to 12-Inch</t>
        </is>
      </c>
      <c r="E7949" s="2">
        <f>HYPERLINK("https://www.amazon.com/Klein-Tools-89551-Replacement-12-Inch/dp/B07DLRWFCG/ref=sr_1_12?keywords=Klein+Tools+31870+Carbide+Hole+Cutter%2C+2-1%2F2-Inch&amp;qid=1694735218&amp;sr=8-12", "https://www.amazon.com/Klein-Tools-89551-Replacement-12-Inch/dp/B07DLRWFCG/ref=sr_1_12?keywords=Klein+Tools+31870+Carbide+Hole+Cutter%2C+2-1%2F2-Inch&amp;qid=1694735218&amp;sr=8-12")</f>
        <v/>
      </c>
      <c r="F7949" t="inlineStr">
        <is>
          <t>B07DLRWFCG</t>
        </is>
      </c>
      <c r="G7949">
        <f>_xludf.IMAGE("https://edmondsonsupply.com/cdn/shop/products/31870_alt1.jpg?v=1633030999")</f>
        <v/>
      </c>
      <c r="H7949">
        <f>_xludf.IMAGE("https://m.media-amazon.com/images/I/411kCYe-NnL._AC_UL320_.jpg")</f>
        <v/>
      </c>
      <c r="K7949" t="inlineStr">
        <is>
          <t>79.99</t>
        </is>
      </c>
      <c r="L7949" t="n">
        <v>8.69</v>
      </c>
      <c r="M7949" s="1" t="inlineStr">
        <is>
          <t>-89.14%</t>
        </is>
      </c>
      <c r="N7949" s="1" t="n"/>
      <c r="O7949" t="n">
        <v>4.2</v>
      </c>
      <c r="P7949" t="n">
        <v>184</v>
      </c>
      <c r="R7949" t="inlineStr">
        <is>
          <t>InStock</t>
        </is>
      </c>
      <c r="S7949" t="inlineStr">
        <is>
          <t>121.2</t>
        </is>
      </c>
      <c r="T7949" t="inlineStr">
        <is>
          <t>6680619974829</t>
        </is>
      </c>
    </row>
    <row r="7950" ht="87" customHeight="1">
      <c r="A7950" s="2">
        <f>HYPERLINK("https://edmondsonsupply.com/collections/electricians-tools/products/milwaukee-2872-20-m18%E2%84%A2-brushless-threaded-rod-cutter-tool-only", "https://edmondsonsupply.com/collections/electricians-tools/products/milwaukee-2872-20-m18%E2%84%A2-brushless-threaded-rod-cutter-tool-only")</f>
        <v/>
      </c>
      <c r="B7950" s="2">
        <f>HYPERLINK("https://edmondsonsupply.com/products/milwaukee-2872-20-m18%e2%84%a2-brushless-threaded-rod-cutter-tool-only", "https://edmondsonsupply.com/products/milwaukee-2872-20-m18%e2%84%a2-brushless-threaded-rod-cutter-tool-only")</f>
        <v/>
      </c>
      <c r="C7950" t="inlineStr">
        <is>
          <t>Milwaukee 2872-20 M18™ Brushless Threaded Rod Cutter (Tool Only)</t>
        </is>
      </c>
      <c r="D7950" t="inlineStr">
        <is>
          <t>48-44-2872 Brushless Threaded Rod Cutter for Milwaukee 2872-20, 2872-21 M18, With 4-Sided Rotatable Cutter &amp; Size Markings，1/4 Inch - 3/8 Inch -1/2 Inch Mutli-Size Replacement Cutting Die Set</t>
        </is>
      </c>
      <c r="E7950" s="2">
        <f>HYPERLINK("https://www.amazon.com/48-44-2872-Brushless-Milwaukee-Rotatable-Markings%EF%BC%8C1/dp/B0C1FVXFHM/ref=sr_1_7?keywords=Milwaukee+2872-20+M18%E2%84%A2+Brushless+Threaded+Rod+Cutter+%28Tool+Only%29&amp;qid=1694735097&amp;sr=8-7", "https://www.amazon.com/48-44-2872-Brushless-Milwaukee-Rotatable-Markings%EF%BC%8C1/dp/B0C1FVXFHM/ref=sr_1_7?keywords=Milwaukee+2872-20+M18%E2%84%A2+Brushless+Threaded+Rod+Cutter+%28Tool+Only%29&amp;qid=1694735097&amp;sr=8-7")</f>
        <v/>
      </c>
      <c r="F7950" t="inlineStr">
        <is>
          <t>B0C1FVXFHM</t>
        </is>
      </c>
      <c r="G7950">
        <f>_xlfn.IMAGE("https://edmondsonsupply.com/cdn/shop/products/2872-20_2.webp?v=1668024311")</f>
        <v/>
      </c>
      <c r="H7950">
        <f>_xlfn.IMAGE("https://m.media-amazon.com/images/I/51KlpQmcnDL._AC_UL320_.jpg")</f>
        <v/>
      </c>
      <c r="K7950" t="inlineStr">
        <is>
          <t>349.99</t>
        </is>
      </c>
      <c r="L7950" t="n">
        <v>37.99</v>
      </c>
      <c r="M7950" s="1" t="inlineStr">
        <is>
          <t>-89.15%</t>
        </is>
      </c>
      <c r="N7950" s="7" t="n"/>
      <c r="O7950" t="n">
        <v>4.2</v>
      </c>
      <c r="P7950" t="n">
        <v>4</v>
      </c>
      <c r="R7950" t="inlineStr">
        <is>
          <t>InStock</t>
        </is>
      </c>
      <c r="S7950" t="inlineStr">
        <is>
          <t>651.0</t>
        </is>
      </c>
      <c r="T7950" t="inlineStr">
        <is>
          <t>7879783842008</t>
        </is>
      </c>
    </row>
    <row r="7951" ht="87" customHeight="1">
      <c r="A7951" s="2">
        <f>HYPERLINK("https://edmondsonsupply.com/collections/electricians-tools/products/milwaukee-2872-20-m18%E2%84%A2-brushless-threaded-rod-cutter-tool-only", "https://edmondsonsupply.com/collections/electricians-tools/products/milwaukee-2872-20-m18%E2%84%A2-brushless-threaded-rod-cutter-tool-only")</f>
        <v/>
      </c>
      <c r="B7951" s="2">
        <f>HYPERLINK("https://edmondsonsupply.com/products/milwaukee-2872-20-m18%e2%84%a2-brushless-threaded-rod-cutter-tool-only", "https://edmondsonsupply.com/products/milwaukee-2872-20-m18%e2%84%a2-brushless-threaded-rod-cutter-tool-only")</f>
        <v/>
      </c>
      <c r="C7951" t="inlineStr">
        <is>
          <t>Milwaukee 2872-20 M18™ Brushless Threaded Rod Cutter (Tool Only)</t>
        </is>
      </c>
      <c r="D7951" t="inlineStr">
        <is>
          <t>Fortool 48-44-2872 1/4", 3/8", 1/2" Replacement Cutting Die Set Fits For Milwaukee 2872-20, 2872-21 M18 Brushless Threaded Rod Cutter, With 4-Sided Rotatable Cutter &amp; Size Markings</t>
        </is>
      </c>
      <c r="E7951" s="2">
        <f>HYPERLINK("https://www.amazon.com/Fortool-48-44-2872-Replacement-Milwaukee-Brushless/dp/B0B15BFYP1/ref=sr_1_3?keywords=Milwaukee+2872-20+M18%E2%84%A2+Brushless+Threaded+Rod+Cutter+%28Tool+Only%29&amp;qid=1694735097&amp;sr=8-3", "https://www.amazon.com/Fortool-48-44-2872-Replacement-Milwaukee-Brushless/dp/B0B15BFYP1/ref=sr_1_3?keywords=Milwaukee+2872-20+M18%E2%84%A2+Brushless+Threaded+Rod+Cutter+%28Tool+Only%29&amp;qid=1694735097&amp;sr=8-3")</f>
        <v/>
      </c>
      <c r="F7951" t="inlineStr">
        <is>
          <t>B0B15BFYP1</t>
        </is>
      </c>
      <c r="G7951">
        <f>_xlfn.IMAGE("https://edmondsonsupply.com/cdn/shop/products/2872-20_2.webp?v=1668024311")</f>
        <v/>
      </c>
      <c r="H7951">
        <f>_xlfn.IMAGE("https://m.media-amazon.com/images/I/81-M-iQ0pSL._AC_UL320_.jpg")</f>
        <v/>
      </c>
      <c r="K7951" t="inlineStr">
        <is>
          <t>349.99</t>
        </is>
      </c>
      <c r="L7951" t="n">
        <v>37.95</v>
      </c>
      <c r="M7951" s="1" t="inlineStr">
        <is>
          <t>-89.16%</t>
        </is>
      </c>
      <c r="N7951" s="7" t="n"/>
      <c r="O7951" t="n">
        <v>5</v>
      </c>
      <c r="P7951" t="n">
        <v>8</v>
      </c>
      <c r="R7951" t="inlineStr">
        <is>
          <t>InStock</t>
        </is>
      </c>
      <c r="S7951" t="inlineStr">
        <is>
          <t>651.0</t>
        </is>
      </c>
      <c r="T7951" t="inlineStr">
        <is>
          <t>7879783842008</t>
        </is>
      </c>
    </row>
    <row r="7952" hidden="1" ht="15.75" customHeight="1">
      <c r="A7952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952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952" t="inlineStr">
        <is>
          <t>Diablo Tools DMAPL4140-P25 3/8 in. x 4 in. x 6 in. Rebar Demon™ SDS-Plus 4-Cutter Full Carbide Head Hammer Bit (25-Pack)</t>
        </is>
      </c>
      <c r="D7952" t="inlineStr">
        <is>
          <t>Diablo by Freud Diablo DMAPL4210 5/8 in. x 4 in. x 6 in. Rebar Demon SDS-Plus 4-Cutter Full Carbide Head Hammer Bit</t>
        </is>
      </c>
      <c r="E7952" s="2" t="n"/>
      <c r="F7952" t="inlineStr">
        <is>
          <t>B089LGF2KS</t>
        </is>
      </c>
      <c r="G7952">
        <f>_xludf.IMAGE("https://edmondsonsupply.com/cdn/shop/products/DMAPL4140-P25.jpg?v=1633030354")</f>
        <v/>
      </c>
      <c r="H7952">
        <f>_xludf.IMAGE("https://m.media-amazon.com/images/I/61rU9ZgmndL._AC_UL320_.jpg")</f>
        <v/>
      </c>
      <c r="K7952" t="inlineStr">
        <is>
          <t>105.97</t>
        </is>
      </c>
      <c r="L7952" t="n">
        <v>11.49</v>
      </c>
      <c r="M7952" s="1" t="inlineStr">
        <is>
          <t>-89.16%</t>
        </is>
      </c>
      <c r="N7952" s="1" t="n"/>
      <c r="O7952" t="n">
        <v>4.6</v>
      </c>
      <c r="P7952" t="n">
        <v>63</v>
      </c>
      <c r="R7952" t="inlineStr">
        <is>
          <t>InStock</t>
        </is>
      </c>
      <c r="S7952" t="inlineStr">
        <is>
          <t>153.56</t>
        </is>
      </c>
      <c r="T7952" t="inlineStr">
        <is>
          <t>5286131794088</t>
        </is>
      </c>
    </row>
    <row r="7953" ht="87" customHeight="1">
      <c r="A7953" s="2">
        <f>HYPERLINK("https://edmondsonsupply.com/collections/electricians-tools/products/diablo-tools-dmapl2240-p25-3-8-in-x-10-in-x-12-in-sds-plus-2-cutter-25-pack", "https://edmondsonsupply.com/collections/electricians-tools/products/diablo-tools-dmapl2240-p25-3-8-in-x-10-in-x-12-in-sds-plus-2-cutter-25-pack")</f>
        <v/>
      </c>
      <c r="B7953" s="2">
        <f>HYPERLINK("https://edmondsonsupply.com/products/diablo-tools-dmapl2240-p25-3-8-in-x-10-in-x-12-in-sds-plus-2-cutter-25-pack", "https://edmondsonsupply.com/products/diablo-tools-dmapl2240-p25-3-8-in-x-10-in-x-12-in-sds-plus-2-cutter-25-pack")</f>
        <v/>
      </c>
      <c r="C7953" t="inlineStr">
        <is>
          <t>Diablo Tools DMAPL2240-P25 3/8 in. x 10 in. x 12 in. SDS-Plus 2-Cutter (25 Pack)</t>
        </is>
      </c>
      <c r="D7953" t="inlineStr">
        <is>
          <t>Diablo DMAPLRC1010 3/8 in. x 12 in. SDS-Plus Rebar Cutter</t>
        </is>
      </c>
      <c r="E7953" s="2">
        <f>HYPERLINK("https://www.amazon.com/Diablo-DMAPLRC1010-SDS-Plus-Rebar-Cutter/dp/B089LHKHQM/ref=sr_1_17?keywords=Diablo+Tools+DMAPL2240-P25+3%2F8+in.+x+10+in.+x+12+in.+SDS-Plus+2-Cutter+%2825+Pack%29&amp;qid=1694735272&amp;sr=8-17", "https://www.amazon.com/Diablo-DMAPLRC1010-SDS-Plus-Rebar-Cutter/dp/B089LHKHQM/ref=sr_1_17?keywords=Diablo+Tools+DMAPL2240-P25+3%2F8+in.+x+10+in.+x+12+in.+SDS-Plus+2-Cutter+%2825+Pack%29&amp;qid=1694735272&amp;sr=8-17")</f>
        <v/>
      </c>
      <c r="F7953" t="inlineStr">
        <is>
          <t>B089LHKHQM</t>
        </is>
      </c>
      <c r="G7953">
        <f>_xlfn.IMAGE("https://edmondsonsupply.com/cdn/shop/products/DMAPL2240-P25_Additional-Images_0120200331.png?v=1633030515")</f>
        <v/>
      </c>
      <c r="H7953">
        <f>_xlfn.IMAGE("https://m.media-amazon.com/images/I/61k3fU39jvL._AC_UL320_.jpg")</f>
        <v/>
      </c>
      <c r="K7953" t="inlineStr">
        <is>
          <t>184.97</t>
        </is>
      </c>
      <c r="L7953" t="n">
        <v>19.99</v>
      </c>
      <c r="M7953" s="1" t="inlineStr">
        <is>
          <t>-89.19%</t>
        </is>
      </c>
      <c r="N7953" s="7" t="n"/>
      <c r="O7953" t="n">
        <v>5</v>
      </c>
      <c r="P7953" t="n">
        <v>1</v>
      </c>
      <c r="R7953" t="inlineStr">
        <is>
          <t>InStock</t>
        </is>
      </c>
      <c r="S7953" t="inlineStr">
        <is>
          <t>257.8</t>
        </is>
      </c>
      <c r="T7953" t="inlineStr">
        <is>
          <t>5395598442664</t>
        </is>
      </c>
    </row>
    <row r="7954" hidden="1" ht="15.75" customHeight="1">
      <c r="A7954" s="2">
        <f>HYPERLINK("https://edmondsonsupply.com/collections/electricians-tools/products/milwaukee-2872-20-m18%E2%84%A2-brushless-threaded-rod-cutter-tool-only", "https://edmondsonsupply.com/collections/electricians-tools/products/milwaukee-2872-20-m18%E2%84%A2-brushless-threaded-rod-cutter-tool-only")</f>
        <v/>
      </c>
      <c r="B7954" s="2">
        <f>HYPERLINK("https://edmondsonsupply.com/products/milwaukee-2872-20-m18%e2%84%a2-brushless-threaded-rod-cutter-tool-only", "https://edmondsonsupply.com/products/milwaukee-2872-20-m18%e2%84%a2-brushless-threaded-rod-cutter-tool-only")</f>
        <v/>
      </c>
      <c r="C7954" t="inlineStr">
        <is>
          <t>Milwaukee 2872-20 M18™ Brushless Threaded Rod Cutter (Tool Only)</t>
        </is>
      </c>
      <c r="D7954" t="inlineStr">
        <is>
          <t>48-44-2872 Cutting Die Set Replacement for Milwaukee 2872-20, 2872-21 M18 Brushless Threaded Rod Cutter, Replacement 1/4", 3/8", 1/2" Cutting Die Set With 4-Sided Rotatable Cutter &amp; Size Markings</t>
        </is>
      </c>
      <c r="E7954" s="2">
        <f>HYPERLINK("https://www.amazon.com/48-44-2872-Replacement-Milwaukee-Brushless-Rotatable/dp/B0C1BLM5YH/ref=sr_1_1?keywords=Milwaukee+2872-20+M18%E2%84%A2+Brushless+Threaded+Rod+Cutter+%28Tool+Only%29&amp;qid=1694735097&amp;sr=8-1", "https://www.amazon.com/48-44-2872-Replacement-Milwaukee-Brushless-Rotatable/dp/B0C1BLM5YH/ref=sr_1_1?keywords=Milwaukee+2872-20+M18%E2%84%A2+Brushless+Threaded+Rod+Cutter+%28Tool+Only%29&amp;qid=1694735097&amp;sr=8-1")</f>
        <v/>
      </c>
      <c r="F7954" t="inlineStr">
        <is>
          <t>B0C1BLM5YH</t>
        </is>
      </c>
      <c r="G7954">
        <f>_xludf.IMAGE("https://edmondsonsupply.com/cdn/shop/products/2872-20_2.webp?v=1668024311")</f>
        <v/>
      </c>
      <c r="H7954">
        <f>_xludf.IMAGE("https://m.media-amazon.com/images/I/61MNql9nzLL._AC_UL320_.jpg")</f>
        <v/>
      </c>
      <c r="K7954" t="inlineStr">
        <is>
          <t>349.99</t>
        </is>
      </c>
      <c r="L7954" t="n">
        <v>37.19</v>
      </c>
      <c r="M7954" s="1" t="inlineStr">
        <is>
          <t>-89.37%</t>
        </is>
      </c>
      <c r="N7954" s="1" t="n"/>
      <c r="O7954" t="n">
        <v>1</v>
      </c>
      <c r="P7954" t="n">
        <v>1</v>
      </c>
      <c r="R7954" t="inlineStr">
        <is>
          <t>InStock</t>
        </is>
      </c>
      <c r="S7954" t="inlineStr">
        <is>
          <t>651.0</t>
        </is>
      </c>
      <c r="T7954" t="inlineStr">
        <is>
          <t>7879783842008</t>
        </is>
      </c>
    </row>
    <row r="7955" hidden="1" ht="15.75" customHeight="1">
      <c r="A7955" s="2">
        <f>HYPERLINK("https://edmondsonsupply.com/collections/electricians-tools/products/milwaukee-2872-20-m18%E2%84%A2-brushless-threaded-rod-cutter-tool-only", "https://edmondsonsupply.com/collections/electricians-tools/products/milwaukee-2872-20-m18%E2%84%A2-brushless-threaded-rod-cutter-tool-only")</f>
        <v/>
      </c>
      <c r="B7955" s="2">
        <f>HYPERLINK("https://edmondsonsupply.com/products/milwaukee-2872-20-m18%e2%84%a2-brushless-threaded-rod-cutter-tool-only", "https://edmondsonsupply.com/products/milwaukee-2872-20-m18%e2%84%a2-brushless-threaded-rod-cutter-tool-only")</f>
        <v/>
      </c>
      <c r="C7955" t="inlineStr">
        <is>
          <t>Milwaukee 2872-20 M18™ Brushless Threaded Rod Cutter (Tool Only)</t>
        </is>
      </c>
      <c r="D7955" t="inlineStr">
        <is>
          <t>48-44-2872 1/4", 3/8", 1/2" Replacement Cutting Die Set Compatible With Milwaukee 2872-20, 2872-21 M18 Brushless Threaded Rod Cutter,Includes Upper &amp; Lower Cutting Dies XTPTFABS</t>
        </is>
      </c>
      <c r="E7955" s="2">
        <f>HYPERLINK("https://www.amazon.com/48-44-2872-Replacement-2872-20-2872-21-XTPTFABS/dp/B0BV6P4JZT/ref=sr_1_5?keywords=Milwaukee+2872-20+M18%E2%84%A2+Brushless+Threaded+Rod+Cutter+%28Tool+Only%29&amp;qid=1694735097&amp;sr=8-5", "https://www.amazon.com/48-44-2872-Replacement-2872-20-2872-21-XTPTFABS/dp/B0BV6P4JZT/ref=sr_1_5?keywords=Milwaukee+2872-20+M18%E2%84%A2+Brushless+Threaded+Rod+Cutter+%28Tool+Only%29&amp;qid=1694735097&amp;sr=8-5")</f>
        <v/>
      </c>
      <c r="F7955" t="inlineStr">
        <is>
          <t>B0BV6P4JZT</t>
        </is>
      </c>
      <c r="G7955">
        <f>_xludf.IMAGE("https://edmondsonsupply.com/cdn/shop/products/2872-20_2.webp?v=1668024311")</f>
        <v/>
      </c>
      <c r="H7955">
        <f>_xludf.IMAGE("https://m.media-amazon.com/images/I/512Dj4yfDVL._AC_UL320_.jpg")</f>
        <v/>
      </c>
      <c r="K7955" t="inlineStr">
        <is>
          <t>349.99</t>
        </is>
      </c>
      <c r="L7955" t="n">
        <v>37.11</v>
      </c>
      <c r="M7955" s="1" t="inlineStr">
        <is>
          <t>-89.40%</t>
        </is>
      </c>
      <c r="N7955" s="1" t="n"/>
      <c r="O7955" t="n">
        <v>3</v>
      </c>
      <c r="P7955" t="n">
        <v>4</v>
      </c>
      <c r="R7955" t="inlineStr">
        <is>
          <t>InStock</t>
        </is>
      </c>
      <c r="S7955" t="inlineStr">
        <is>
          <t>651.0</t>
        </is>
      </c>
      <c r="T7955" t="inlineStr">
        <is>
          <t>7879783842008</t>
        </is>
      </c>
    </row>
    <row r="7956" hidden="1" ht="15.75" customHeight="1">
      <c r="A7956" s="2">
        <f>HYPERLINK("https://edmondsonsupply.com/collections/electricians-tools/products/fluke-tplus-electrical-tester", "https://edmondsonsupply.com/collections/electricians-tools/products/fluke-tplus-electrical-tester")</f>
        <v/>
      </c>
      <c r="B7956" s="2">
        <f>HYPERLINK("https://edmondsonsupply.com/products/fluke-tplus-electrical-tester", "https://edmondsonsupply.com/products/fluke-tplus-electrical-tester")</f>
        <v/>
      </c>
      <c r="C7956" t="inlineStr">
        <is>
          <t>Fluke T+ Electrical Tester</t>
        </is>
      </c>
      <c r="D7956" t="inlineStr">
        <is>
          <t>RLSOCO Hard Case for Fluke T5-1000/ T5-600/ T6-600/ T6-1000 Electrical Voltage, Continuity and Current Tester</t>
        </is>
      </c>
      <c r="E7956" s="2">
        <f>HYPERLINK("https://www.amazon.com/RLSOCO-Carrying-T5-1000-Electrical-Continuity/dp/B07R8D78PS/ref=sr_1_46?keywords=Fluke+T+Electrical+Tester&amp;qid=1694735309&amp;sr=8-46", "https://www.amazon.com/RLSOCO-Carrying-T5-1000-Electrical-Continuity/dp/B07R8D78PS/ref=sr_1_46?keywords=Fluke+T+Electrical+Tester&amp;qid=1694735309&amp;sr=8-46")</f>
        <v/>
      </c>
      <c r="F7956" t="inlineStr">
        <is>
          <t>B07R8D78PS</t>
        </is>
      </c>
      <c r="G7956">
        <f>_xludf.IMAGE("https://edmondsonsupply.com/cdn/shop/products/tplus.jpg?v=1633030280")</f>
        <v/>
      </c>
      <c r="H7956">
        <f>_xludf.IMAGE("https://m.media-amazon.com/images/I/61jXoSEJRTL._AC_UL320_.jpg")</f>
        <v/>
      </c>
      <c r="K7956" t="inlineStr">
        <is>
          <t>94.49</t>
        </is>
      </c>
      <c r="L7956" t="n">
        <v>9.99</v>
      </c>
      <c r="M7956" s="1" t="inlineStr">
        <is>
          <t>-89.43%</t>
        </is>
      </c>
      <c r="N7956" s="1" t="n"/>
      <c r="O7956" t="n">
        <v>4.7</v>
      </c>
      <c r="P7956" t="n">
        <v>472</v>
      </c>
      <c r="R7956" t="inlineStr">
        <is>
          <t>InStock</t>
        </is>
      </c>
      <c r="S7956" t="inlineStr">
        <is>
          <t>104.99</t>
        </is>
      </c>
      <c r="T7956" t="inlineStr">
        <is>
          <t>5238397337768</t>
        </is>
      </c>
    </row>
    <row r="7957" ht="87" customHeight="1">
      <c r="A7957" s="2">
        <f>HYPERLINK("https://edmondsonsupply.com/collections/electricians-tools/products/klein-tools-66060-2-in-1-impact-socket-set-6-point-6-piece", "https://edmondsonsupply.com/collections/electricians-tools/products/klein-tools-66060-2-in-1-impact-socket-set-6-point-6-piece")</f>
        <v/>
      </c>
      <c r="B7957" s="2">
        <f>HYPERLINK("https://edmondsonsupply.com/products/klein-tools-66060-2-in-1-impact-socket-set-6-point-6-piece", "https://edmondsonsupply.com/products/klein-tools-66060-2-in-1-impact-socket-set-6-point-6-piece")</f>
        <v/>
      </c>
      <c r="C7957" t="inlineStr">
        <is>
          <t>Klein Tools 66060 2-in-1 Impact Socket Set, 6-Point, 6-Piece</t>
        </is>
      </c>
      <c r="D7957" t="inlineStr">
        <is>
          <t>Klein Tools 32907 Impact Driver, 7-in-1 Impact Flip Socket Set, 6 Hex Driver Sizes plus a 1/4-Inch Bit Holder</t>
        </is>
      </c>
      <c r="E7957" s="2">
        <f>HYPERLINK("https://www.amazon.com/Impact-Driver-Klein-Tools-32907/dp/B09NX72765/ref=sr_1_5?keywords=Klein+Tools+66060+2-in-1+Impact+Socket+Set%2C+6-Point%2C+6-Piece&amp;qid=1694735105&amp;sr=8-5", "https://www.amazon.com/Impact-Driver-Klein-Tools-32907/dp/B09NX72765/ref=sr_1_5?keywords=Klein+Tools+66060+2-in-1+Impact+Socket+Set%2C+6-Point%2C+6-Piece&amp;qid=1694735105&amp;sr=8-5")</f>
        <v/>
      </c>
      <c r="F7957" t="inlineStr">
        <is>
          <t>B09NX72765</t>
        </is>
      </c>
      <c r="G7957">
        <f>_xlfn.IMAGE("https://edmondsonsupply.com/cdn/shop/products/66060.jpg?v=1665592747")</f>
        <v/>
      </c>
      <c r="H7957">
        <f>_xlfn.IMAGE("https://m.media-amazon.com/images/I/410Fk4FReRL._AC_UL320_.jpg")</f>
        <v/>
      </c>
      <c r="K7957" t="inlineStr">
        <is>
          <t>199.99</t>
        </is>
      </c>
      <c r="L7957" t="n">
        <v>19.99</v>
      </c>
      <c r="M7957" s="1" t="inlineStr">
        <is>
          <t>-90.00%</t>
        </is>
      </c>
      <c r="N7957" s="7" t="n"/>
      <c r="O7957" t="n">
        <v>4.6</v>
      </c>
      <c r="P7957" t="n">
        <v>5122</v>
      </c>
      <c r="R7957" t="inlineStr">
        <is>
          <t>InStock</t>
        </is>
      </c>
      <c r="S7957" t="inlineStr">
        <is>
          <t>344.76</t>
        </is>
      </c>
      <c r="T7957" t="inlineStr">
        <is>
          <t>7850034561240</t>
        </is>
      </c>
    </row>
    <row r="7958" hidden="1" ht="15.75" customHeight="1">
      <c r="A7958" s="2">
        <f>HYPERLINK("https://edmondsonsupply.com/collections/electricians-tools/products/diablo-tools-dmamx1110-5-8-in-x-24-in-x-29-in-rebar-demon%E2%84%A2-sds-max-4-cutter-full-carbide-head-hammer-bit", "https://edmondsonsupply.com/collections/electricians-tools/products/diablo-tools-dmamx1110-5-8-in-x-24-in-x-29-in-rebar-demon%E2%84%A2-sds-max-4-cutter-full-carbide-head-hammer-bit")</f>
        <v/>
      </c>
      <c r="B7958" s="2">
        <f>HYPERLINK("https://edmondsonsupply.com/products/diablo-tools-dmamx1110-5-8-in-x-24-in-x-29-in-rebar-demon%e2%84%a2-sds-max-4-cutter-full-carbide-head-hammer-bit", "https://edmondsonsupply.com/products/diablo-tools-dmamx1110-5-8-in-x-24-in-x-29-in-rebar-demon%e2%84%a2-sds-max-4-cutter-full-carbide-head-hammer-bit")</f>
        <v/>
      </c>
      <c r="C7958" t="inlineStr">
        <is>
          <t>Diablo Tools DMAMX1110 5/8 in. x 24 in. x 29 in. Rebar Demon™ SDS-Max 4-Cutter Full Carbide Head Hammer Bit</t>
        </is>
      </c>
      <c r="D7958" t="inlineStr">
        <is>
          <t>Diablo by Freud DMAPL4050 3/16 in. x 6 in. x 8 in. Rebar Demon SDS-Plus 4-Cutter Full Carbide Head Hammer Bit Multi, One Size</t>
        </is>
      </c>
      <c r="E7958" s="2">
        <f>HYPERLINK("https://www.amazon.com/Diablo-SDS-Plus-4-Cutter-Carbide-Hammer/dp/B089LKWR9L/ref=sr_1_43?keywords=Diablo+Tools+DMAMX1110+5%2F8+in.+x+24+in.+x+29+in.+Rebar+Demon%E2%84%A2+SDS-Max+4-Cutter+Full+Carbide+Head+Hammer+Bit&amp;qid=1694735304&amp;sr=8-43", "https://www.amazon.com/Diablo-SDS-Plus-4-Cutter-Carbide-Hammer/dp/B089LKWR9L/ref=sr_1_43?keywords=Diablo+Tools+DMAMX1110+5%2F8+in.+x+24+in.+x+29+in.+Rebar+Demon%E2%84%A2+SDS-Max+4-Cutter+Full+Carbide+Head+Hammer+Bit&amp;qid=1694735304&amp;sr=8-43")</f>
        <v/>
      </c>
      <c r="F7958" t="inlineStr">
        <is>
          <t>B089LKWR9L</t>
        </is>
      </c>
      <c r="G7958">
        <f>_xludf.IMAGE("https://edmondsonsupply.com/cdn/shop/products/DMAMX1110_1.jpg?v=1633030364")</f>
        <v/>
      </c>
      <c r="H7958">
        <f>_xludf.IMAGE("https://m.media-amazon.com/images/I/61uukuKzJeL._AC_UL320_.jpg")</f>
        <v/>
      </c>
      <c r="K7958" t="inlineStr">
        <is>
          <t>89.97</t>
        </is>
      </c>
      <c r="L7958" t="n">
        <v>8.99</v>
      </c>
      <c r="M7958" s="1" t="inlineStr">
        <is>
          <t>-90.01%</t>
        </is>
      </c>
      <c r="N7958" s="1" t="n"/>
      <c r="O7958" t="n">
        <v>3.7</v>
      </c>
      <c r="P7958" t="n">
        <v>10</v>
      </c>
      <c r="R7958" t="inlineStr">
        <is>
          <t>InStock</t>
        </is>
      </c>
      <c r="S7958" t="inlineStr">
        <is>
          <t>115.5</t>
        </is>
      </c>
      <c r="T7958" t="inlineStr">
        <is>
          <t>5289159655592</t>
        </is>
      </c>
    </row>
    <row r="7959" hidden="1" ht="15.75" customHeight="1">
      <c r="A7959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59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59" t="inlineStr">
        <is>
          <t>Diablo Tools DMAPL4180-P25 1/2 in. x 4 in. x 6 in. Rebar Demon™ SDS-Plus 4-Cutter Full Carbide Head Hammer Bit (25 Pack)</t>
        </is>
      </c>
      <c r="D7959" t="inlineStr">
        <is>
          <t>Diablo by Freud DMAPL4160 3/8 in. x 10 in. x 12 in. Rebar Demon SDS-Plus 4-Cutter Full Carbide Head Hammer Bit</t>
        </is>
      </c>
      <c r="E7959" s="2" t="n"/>
      <c r="F7959" t="inlineStr">
        <is>
          <t>B089KX25B7</t>
        </is>
      </c>
      <c r="G7959">
        <f>_xludf.IMAGE("https://edmondsonsupply.com/cdn/shop/products/DMAPL4180-P25_Additional-Images_0120200331.png?v=1633030573")</f>
        <v/>
      </c>
      <c r="H7959">
        <f>_xludf.IMAGE("https://m.media-amazon.com/images/I/61MHnm3+2bL._AC_UL320_.jpg")</f>
        <v/>
      </c>
      <c r="K7959" t="inlineStr">
        <is>
          <t>133.97</t>
        </is>
      </c>
      <c r="L7959" t="n">
        <v>13.01</v>
      </c>
      <c r="M7959" s="1" t="inlineStr">
        <is>
          <t>-90.29%</t>
        </is>
      </c>
      <c r="N7959" s="1" t="n"/>
      <c r="O7959" t="n">
        <v>4.5</v>
      </c>
      <c r="P7959" t="n">
        <v>39</v>
      </c>
      <c r="R7959" t="inlineStr">
        <is>
          <t>InStock</t>
        </is>
      </c>
      <c r="S7959" t="inlineStr">
        <is>
          <t>193.66</t>
        </is>
      </c>
      <c r="T7959" t="inlineStr">
        <is>
          <t>5524246659240</t>
        </is>
      </c>
    </row>
    <row r="7960" hidden="1" ht="15.75" customHeight="1">
      <c r="A7960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60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60" t="inlineStr">
        <is>
          <t>Diablo Tools DMAPL4180-P25 1/2 in. x 4 in. x 6 in. Rebar Demon™ SDS-Plus 4-Cutter Full Carbide Head Hammer Bit (25 Pack)</t>
        </is>
      </c>
      <c r="D7960" t="inlineStr">
        <is>
          <t>Diablo DMAPL4120 5/16 in. x 10 in. x 12 in. Rebar Demon™ SDS-Plus 4-Cutter Full Carbide Head Hammer Bit</t>
        </is>
      </c>
      <c r="E7960" s="2">
        <f>HYPERLINK("https://www.amazon.com/Diablo-SDS-Plus-4-Cutter-Carbide-Hammer/dp/B089KTHL12/ref=sr_1_16?keywords=Diablo+Tools+DMAPL4180-P25+1%2F2+in.+x+4+in.+x+6+in.+Rebar+Demon%E2%84%A2+SDS-Plus+4-Cutter+Full+Carbide+Head+Hammer+Bit+%2825+Pack%29&amp;qid=1694735263&amp;sr=8-16", "https://www.amazon.com/Diablo-SDS-Plus-4-Cutter-Carbide-Hammer/dp/B089KTHL12/ref=sr_1_16?keywords=Diablo+Tools+DMAPL4180-P25+1%2F2+in.+x+4+in.+x+6+in.+Rebar+Demon%E2%84%A2+SDS-Plus+4-Cutter+Full+Carbide+Head+Hammer+Bit+%2825+Pack%29&amp;qid=1694735263&amp;sr=8-16")</f>
        <v/>
      </c>
      <c r="F7960" t="inlineStr">
        <is>
          <t>B089KTHL12</t>
        </is>
      </c>
      <c r="G7960">
        <f>_xludf.IMAGE("https://edmondsonsupply.com/cdn/shop/products/DMAPL4180-P25_Additional-Images_0120200331.png?v=1633030573")</f>
        <v/>
      </c>
      <c r="H7960">
        <f>_xludf.IMAGE("https://m.media-amazon.com/images/I/61P8b1v1TBL._AC_UL320_.jpg")</f>
        <v/>
      </c>
      <c r="K7960" t="inlineStr">
        <is>
          <t>133.97</t>
        </is>
      </c>
      <c r="L7960" t="n">
        <v>12.99</v>
      </c>
      <c r="M7960" s="1" t="inlineStr">
        <is>
          <t>-90.30%</t>
        </is>
      </c>
      <c r="N7960" s="1" t="n"/>
      <c r="O7960" t="n">
        <v>5</v>
      </c>
      <c r="P7960" t="n">
        <v>6</v>
      </c>
      <c r="R7960" t="inlineStr">
        <is>
          <t>InStock</t>
        </is>
      </c>
      <c r="S7960" t="inlineStr">
        <is>
          <t>193.66</t>
        </is>
      </c>
      <c r="T7960" t="inlineStr">
        <is>
          <t>5524246659240</t>
        </is>
      </c>
    </row>
    <row r="7961" hidden="1" ht="15.75" customHeight="1">
      <c r="A7961" s="2">
        <f>HYPERLINK("https://edmondsonsupply.com/collections/electricians-tools/products/diablo-tools-dmapl2530-1-in-x-16-in-x-18-in-sds-plus-2-cutter", "https://edmondsonsupply.com/collections/electricians-tools/products/diablo-tools-dmapl2530-1-in-x-16-in-x-18-in-sds-plus-2-cutter")</f>
        <v/>
      </c>
      <c r="B7961" s="2">
        <f>HYPERLINK("https://edmondsonsupply.com/products/diablo-tools-dmapl2530-1-in-x-16-in-x-18-in-sds-plus-2-cutter", "https://edmondsonsupply.com/products/diablo-tools-dmapl2530-1-in-x-16-in-x-18-in-sds-plus-2-cutter")</f>
        <v/>
      </c>
      <c r="C7961" t="inlineStr">
        <is>
          <t>Diablo Tools DMAPL2530 1 in. x 16 in. x 18 in. SDS-Plus 2-Cutter</t>
        </is>
      </c>
      <c r="D7961" t="inlineStr">
        <is>
          <t>BOSCH HC2167 1 in. x 16 in. x 18 in. Bulldog SDS-Plus Rotary Hammer Bit</t>
        </is>
      </c>
      <c r="E7961" s="2">
        <f>HYPERLINK("https://www.amazon.com/BOSCH-HC2167-Bulldog-SDS-Plus-Rotary/dp/B0009H5P5Y/ref=sr_1_19?keywords=Diablo+Tools+DMAPL2530+1+in.+x+16+in.+x+18+in.+SDS-Plus+2-Cutter&amp;qid=1694735204&amp;sr=8-19", "https://www.amazon.com/BOSCH-HC2167-Bulldog-SDS-Plus-Rotary/dp/B0009H5P5Y/ref=sr_1_19?keywords=Diablo+Tools+DMAPL2530+1+in.+x+16+in.+x+18+in.+SDS-Plus+2-Cutter&amp;qid=1694735204&amp;sr=8-19")</f>
        <v/>
      </c>
      <c r="F7961" t="inlineStr">
        <is>
          <t>B0009H5P5Y</t>
        </is>
      </c>
      <c r="G7961">
        <f>_xludf.IMAGE("https://edmondsonsupply.com/cdn/shop/products/DMAPL2530_Main-Image20200703.png?v=1627068300")</f>
        <v/>
      </c>
      <c r="H7961">
        <f>_xludf.IMAGE("https://m.media-amazon.com/images/I/61l76i+a2wL._AC_UL320_.jpg")</f>
        <v/>
      </c>
      <c r="K7961" t="inlineStr">
        <is>
          <t>38.97</t>
        </is>
      </c>
      <c r="L7961" t="n">
        <v>3.7</v>
      </c>
      <c r="M7961" s="1" t="inlineStr">
        <is>
          <t>-90.51%</t>
        </is>
      </c>
      <c r="N7961" s="1" t="n"/>
      <c r="O7961" t="n">
        <v>4.7</v>
      </c>
      <c r="P7961" t="n">
        <v>9679</v>
      </c>
      <c r="R7961" t="inlineStr">
        <is>
          <t>InStock</t>
        </is>
      </c>
      <c r="S7961" t="inlineStr">
        <is>
          <t>50.56</t>
        </is>
      </c>
      <c r="T7961" t="inlineStr">
        <is>
          <t>6839623778477</t>
        </is>
      </c>
    </row>
    <row r="7962" ht="87" customHeight="1">
      <c r="A7962" s="2">
        <f>HYPERLINK("https://edmondsonsupply.com/collections/electricians-tools/products/fluke-62-max-handheld-infrared-laser-thermometer", "https://edmondsonsupply.com/collections/electricians-tools/products/fluke-62-max-handheld-infrared-laser-thermometer")</f>
        <v/>
      </c>
      <c r="B7962" s="2">
        <f>HYPERLINK("https://edmondsonsupply.com/products/fluke-62-max-handheld-infrared-laser-thermometer", "https://edmondsonsupply.com/products/fluke-62-max-handheld-infrared-laser-thermometer")</f>
        <v/>
      </c>
      <c r="C7962" t="inlineStr">
        <is>
          <t>Fluke 62 MAX+ Handheld Infrared Laser Thermometer</t>
        </is>
      </c>
      <c r="D7962" t="inlineStr">
        <is>
          <t>Aproca Hard Storage Travel Case, for Fluke 62 Max Infrared Thermometer</t>
        </is>
      </c>
      <c r="E7962" s="2">
        <f>HYPERLINK("https://www.amazon.com/Aproca-Storage-Travel-Fluke-Thermometer/dp/B07WMQ8G1Q/ref=sr_1_10?keywords=Fluke+62+MAX+Handheld+Infrared+Laser+Thermometer&amp;qid=1694735180&amp;sr=8-10", "https://www.amazon.com/Aproca-Storage-Travel-Fluke-Thermometer/dp/B07WMQ8G1Q/ref=sr_1_10?keywords=Fluke+62+MAX+Handheld+Infrared+Laser+Thermometer&amp;qid=1694735180&amp;sr=8-10")</f>
        <v/>
      </c>
      <c r="F7962" t="inlineStr">
        <is>
          <t>B07WMQ8G1Q</t>
        </is>
      </c>
      <c r="G7962">
        <f>_xlfn.IMAGE("https://edmondsonsupply.com/cdn/shop/products/Fluke_62_MAX__back_499x1024px_E_NR-18387.jpg?v=1633031180")</f>
        <v/>
      </c>
      <c r="H7962">
        <f>_xlfn.IMAGE("https://m.media-amazon.com/images/I/81nOJJ+KQaL._AC_UY218_.jpg")</f>
        <v/>
      </c>
      <c r="K7962" t="inlineStr">
        <is>
          <t>179.99</t>
        </is>
      </c>
      <c r="L7962" t="n">
        <v>16.99</v>
      </c>
      <c r="M7962" s="1" t="inlineStr">
        <is>
          <t>-90.56%</t>
        </is>
      </c>
      <c r="N7962" s="7" t="n"/>
      <c r="O7962" t="n">
        <v>4.7</v>
      </c>
      <c r="P7962" t="n">
        <v>58</v>
      </c>
      <c r="R7962" t="inlineStr">
        <is>
          <t>InStock</t>
        </is>
      </c>
      <c r="S7962" t="inlineStr">
        <is>
          <t>199.99</t>
        </is>
      </c>
      <c r="T7962" t="inlineStr">
        <is>
          <t>6918056050861</t>
        </is>
      </c>
    </row>
    <row r="7963" ht="87" customHeight="1">
      <c r="A7963" s="2">
        <f>HYPERLINK("https://edmondsonsupply.com/collections/electricians-tools/products/fluke-87v", "https://edmondsonsupply.com/collections/electricians-tools/products/fluke-87v")</f>
        <v/>
      </c>
      <c r="B7963" s="2">
        <f>HYPERLINK("https://edmondsonsupply.com/products/fluke-87v", "https://edmondsonsupply.com/products/fluke-87v")</f>
        <v/>
      </c>
      <c r="C7963" t="inlineStr">
        <is>
          <t>Fluke 87V Industrial Multimeter</t>
        </is>
      </c>
      <c r="D7963" t="inlineStr">
        <is>
          <t>Fluke 101 Basic Digital Multimeter Pocket Portable Meter Equipment Industrial (Original Version)</t>
        </is>
      </c>
      <c r="E7963" s="2">
        <f>HYPERLINK("https://www.amazon.com/Fluke-101-Multimeter-Equipment-Industrial/dp/B01IB9S6WK/ref=sr_1_14?keywords=Fluke+87V+Industrial+Multimeter&amp;qid=1694735314&amp;sr=8-14", "https://www.amazon.com/Fluke-101-Multimeter-Equipment-Industrial/dp/B01IB9S6WK/ref=sr_1_14?keywords=Fluke+87V+Industrial+Multimeter&amp;qid=1694735314&amp;sr=8-14")</f>
        <v/>
      </c>
      <c r="F7963" t="inlineStr">
        <is>
          <t>B01IB9S6WK</t>
        </is>
      </c>
      <c r="G7963">
        <f>_xlfn.IMAGE("https://edmondsonsupply.com/cdn/shop/products/875.jpg?v=1633030274")</f>
        <v/>
      </c>
      <c r="H7963">
        <f>_xlfn.IMAGE("https://m.media-amazon.com/images/I/51KLEoI75FL._AC_UL320_.jpg")</f>
        <v/>
      </c>
      <c r="K7963" t="inlineStr">
        <is>
          <t>459.89</t>
        </is>
      </c>
      <c r="L7963" t="n">
        <v>42.8</v>
      </c>
      <c r="M7963" s="1" t="inlineStr">
        <is>
          <t>-90.69%</t>
        </is>
      </c>
      <c r="N7963" s="7" t="n"/>
      <c r="O7963" t="n">
        <v>4.7</v>
      </c>
      <c r="P7963" t="n">
        <v>1422</v>
      </c>
      <c r="R7963" t="inlineStr">
        <is>
          <t>InStock</t>
        </is>
      </c>
      <c r="S7963" t="inlineStr">
        <is>
          <t>521.99</t>
        </is>
      </c>
      <c r="T7963" t="inlineStr">
        <is>
          <t>5238369452200</t>
        </is>
      </c>
    </row>
    <row r="7964" ht="87" customHeight="1">
      <c r="A7964" s="2">
        <f>HYPERLINK("https://edmondsonsupply.com/collections/electricians-tools/products/milwaukee-0910-20-m18-fuel%E2%84%A2-6-gallon-wet-dry-vacuum", "https://edmondsonsupply.com/collections/electricians-tools/products/milwaukee-0910-20-m18-fuel%E2%84%A2-6-gallon-wet-dry-vacuum")</f>
        <v/>
      </c>
      <c r="B7964" s="2">
        <f>HYPERLINK("https://edmondsonsupply.com/products/milwaukee-0910-20-m18-fuel%e2%84%a2-6-gallon-wet-dry-vacuum", "https://edmondsonsupply.com/products/milwaukee-0910-20-m18-fuel%e2%84%a2-6-gallon-wet-dry-vacuum")</f>
        <v/>
      </c>
      <c r="C7964" t="inlineStr">
        <is>
          <t>Milwaukee 0910-20 M18 FUEL™ 6 Gallon Wet/Dry Vacuum</t>
        </is>
      </c>
      <c r="D7964" t="inlineStr">
        <is>
          <t>Fette Filter-HEPA Wet Dry Vacuum Filter Compatible with Milwaukee 49-90-1900. Designed for M18 2 Gallon Wet/Dry Vacuum Model # 0880-20 (Pack of 2)</t>
        </is>
      </c>
      <c r="E7964" s="2">
        <f>HYPERLINK("https://www.amazon.com/Fette-Filter-HEPA-Filter-Compatible-49-90-1900/dp/B08296S2BV/ref=sr_1_10?keywords=Milwaukee+0910-20+M18+FUEL%E2%84%A2+6+Gallon+Wet%2FDry+Vacuum&amp;qid=1694735121&amp;sr=8-10", "https://www.amazon.com/Fette-Filter-HEPA-Filter-Compatible-49-90-1900/dp/B08296S2BV/ref=sr_1_10?keywords=Milwaukee+0910-20+M18+FUEL%E2%84%A2+6+Gallon+Wet%2FDry+Vacuum&amp;qid=1694735121&amp;sr=8-10")</f>
        <v/>
      </c>
      <c r="F7964" t="inlineStr">
        <is>
          <t>B08296S2BV</t>
        </is>
      </c>
      <c r="G7964">
        <f>_xlfn.IMAGE("https://edmondsonsupply.com/cdn/shop/products/0910-20_2.webp?v=1663607323")</f>
        <v/>
      </c>
      <c r="H7964">
        <f>_xlfn.IMAGE("https://m.media-amazon.com/images/I/71uu1wHS00L._AC_UL320_.jpg")</f>
        <v/>
      </c>
      <c r="K7964" t="inlineStr">
        <is>
          <t>249.0</t>
        </is>
      </c>
      <c r="L7964" t="n">
        <v>22.99</v>
      </c>
      <c r="M7964" s="1" t="inlineStr">
        <is>
          <t>-90.77%</t>
        </is>
      </c>
      <c r="N7964" s="7" t="n"/>
      <c r="O7964" t="n">
        <v>4.7</v>
      </c>
      <c r="P7964" t="n">
        <v>149</v>
      </c>
      <c r="R7964" t="inlineStr">
        <is>
          <t>OutOfStock</t>
        </is>
      </c>
      <c r="S7964" t="inlineStr">
        <is>
          <t>428.0</t>
        </is>
      </c>
      <c r="T7964" t="inlineStr">
        <is>
          <t>7822984904920</t>
        </is>
      </c>
    </row>
    <row r="7965" hidden="1" ht="15.75" customHeight="1">
      <c r="A7965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965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965" t="inlineStr">
        <is>
          <t>Diablo Tools DMAPL4080-P25 1/4 in. x 6 in. x 8 in. Rebar Demon™ SDS-Plus 4-Cutter Full Carbide Head Hammer Bit (25 Pack)</t>
        </is>
      </c>
      <c r="D7965" t="inlineStr">
        <is>
          <t>Diablo by Freud DMAPL4050 3/16 in. x 6 in. x 8 in. Rebar Demon SDS-Plus 4-Cutter Full Carbide Head Hammer Bit Multi, One Size</t>
        </is>
      </c>
      <c r="E7965" s="2">
        <f>HYPERLINK("https://www.amazon.com/Diablo-SDS-Plus-4-Cutter-Carbide-Hammer/dp/B089LKWR9L/ref=sr_1_5?keywords=Diablo+Tools+DMAPL4080-P25+1%2F4+in.+x+6+in.+x+8+in.+Rebar+Demon%E2%84%A2+SDS-Plus+4-Cutter+Full+Carbide+Head+Hammer+Bit+%2825+Pack%29&amp;qid=1694735261&amp;sr=8-5", "https://www.amazon.com/Diablo-SDS-Plus-4-Cutter-Carbide-Hammer/dp/B089LKWR9L/ref=sr_1_5?keywords=Diablo+Tools+DMAPL4080-P25+1%2F4+in.+x+6+in.+x+8+in.+Rebar+Demon%E2%84%A2+SDS-Plus+4-Cutter+Full+Carbide+Head+Hammer+Bit+%2825+Pack%29&amp;qid=1694735261&amp;sr=8-5")</f>
        <v/>
      </c>
      <c r="F7965" t="inlineStr">
        <is>
          <t>B089LKWR9L</t>
        </is>
      </c>
      <c r="G7965">
        <f>_xludf.IMAGE("https://edmondsonsupply.com/cdn/shop/products/DMAPL4080-P25_Main-Image20200701.png?v=1633030623")</f>
        <v/>
      </c>
      <c r="H7965">
        <f>_xludf.IMAGE("https://m.media-amazon.com/images/I/61uukuKzJeL._AC_UL320_.jpg")</f>
        <v/>
      </c>
      <c r="K7965" t="inlineStr">
        <is>
          <t>99.97</t>
        </is>
      </c>
      <c r="L7965" t="n">
        <v>8.99</v>
      </c>
      <c r="M7965" s="1" t="inlineStr">
        <is>
          <t>-91.01%</t>
        </is>
      </c>
      <c r="N7965" s="1" t="n"/>
      <c r="O7965" t="n">
        <v>3.7</v>
      </c>
      <c r="P7965" t="n">
        <v>10</v>
      </c>
      <c r="R7965" t="inlineStr">
        <is>
          <t>InStock</t>
        </is>
      </c>
      <c r="S7965" t="inlineStr">
        <is>
          <t>144.22</t>
        </is>
      </c>
      <c r="T7965" t="inlineStr">
        <is>
          <t>5660158918824</t>
        </is>
      </c>
    </row>
    <row r="7966" hidden="1" ht="15.75" customHeight="1">
      <c r="A7966" s="2">
        <f>HYPERLINK("https://edmondsonsupply.com/collections/electricians-tools/products/diablo-tools-dmapl4080-p25-1-4-in-x-6-in-x-8-in-rebar-demon%E2%84%A2-sds-plus-4-cutter-full-carbide-head-hammer-bit-25-pack", "https://edmondsonsupply.com/collections/electricians-tools/products/diablo-tools-dmapl4080-p25-1-4-in-x-6-in-x-8-in-rebar-demon%E2%84%A2-sds-plus-4-cutter-full-carbide-head-hammer-bit-25-pack")</f>
        <v/>
      </c>
      <c r="B7966" s="2">
        <f>HYPERLINK("https://edmondsonsupply.com/products/diablo-tools-dmapl4080-p25-1-4-in-x-6-in-x-8-in-rebar-demon%e2%84%a2-sds-plus-4-cutter-full-carbide-head-hammer-bit-25-pack", "https://edmondsonsupply.com/products/diablo-tools-dmapl4080-p25-1-4-in-x-6-in-x-8-in-rebar-demon%e2%84%a2-sds-plus-4-cutter-full-carbide-head-hammer-bit-25-pack")</f>
        <v/>
      </c>
      <c r="C7966" t="inlineStr">
        <is>
          <t>Diablo Tools DMAPL4080-P25 1/4 in. x 6 in. x 8 in. Rebar Demon™ SDS-Plus 4-Cutter Full Carbide Head Hammer Bit (25 Pack)</t>
        </is>
      </c>
      <c r="D7966" t="inlineStr">
        <is>
          <t>Diablo by Freud Diablo DMAPL4070 1/4 in. x 4 in. x 6 in. Rebar Demon SDS-Plus 4-Cutter Full Carbide Head Hammer Bit</t>
        </is>
      </c>
      <c r="E7966" s="2">
        <f>HYPERLINK("https://www.amazon.com/Diablo-Freud-DMAPL4070-SDS-Plus-4-Cutter/dp/B089KVLDML/ref=sr_1_7?keywords=Diablo+Tools+DMAPL4080-P25+1%2F4+in.+x+6+in.+x+8+in.+Rebar+Demon%E2%84%A2+SDS-Plus+4-Cutter+Full+Carbide+Head+Hammer+Bit+%2825+Pack%29&amp;qid=1694735261&amp;sr=8-7", "https://www.amazon.com/Diablo-Freud-DMAPL4070-SDS-Plus-4-Cutter/dp/B089KVLDML/ref=sr_1_7?keywords=Diablo+Tools+DMAPL4080-P25+1%2F4+in.+x+6+in.+x+8+in.+Rebar+Demon%E2%84%A2+SDS-Plus+4-Cutter+Full+Carbide+Head+Hammer+Bit+%2825+Pack%29&amp;qid=1694735261&amp;sr=8-7")</f>
        <v/>
      </c>
      <c r="F7966" t="inlineStr">
        <is>
          <t>B089KVLDML</t>
        </is>
      </c>
      <c r="G7966">
        <f>_xludf.IMAGE("https://edmondsonsupply.com/cdn/shop/products/DMAPL4080-P25_Main-Image20200701.png?v=1633030623")</f>
        <v/>
      </c>
      <c r="H7966">
        <f>_xludf.IMAGE("https://m.media-amazon.com/images/I/61fLLQz5xPL._AC_UL320_.jpg")</f>
        <v/>
      </c>
      <c r="K7966" t="inlineStr">
        <is>
          <t>99.97</t>
        </is>
      </c>
      <c r="L7966" t="n">
        <v>8.84</v>
      </c>
      <c r="M7966" s="1" t="inlineStr">
        <is>
          <t>-91.16%</t>
        </is>
      </c>
      <c r="N7966" s="1" t="n"/>
      <c r="O7966" t="n">
        <v>4.4</v>
      </c>
      <c r="P7966" t="n">
        <v>28</v>
      </c>
      <c r="R7966" t="inlineStr">
        <is>
          <t>InStock</t>
        </is>
      </c>
      <c r="S7966" t="inlineStr">
        <is>
          <t>144.22</t>
        </is>
      </c>
      <c r="T7966" t="inlineStr">
        <is>
          <t>5660158918824</t>
        </is>
      </c>
    </row>
    <row r="7967" hidden="1" ht="15.75" customHeight="1">
      <c r="A7967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67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67" t="inlineStr">
        <is>
          <t>Diablo Tools DMAPL4180-P25 1/2 in. x 4 in. x 6 in. Rebar Demon™ SDS-Plus 4-Cutter Full Carbide Head Hammer Bit (25 Pack)</t>
        </is>
      </c>
      <c r="D7967" t="inlineStr">
        <is>
          <t>Diablo by Freud Diablo DMAPL4210 5/8 in. x 4 in. x 6 in. Rebar Demon SDS-Plus 4-Cutter Full Carbide Head Hammer Bit</t>
        </is>
      </c>
      <c r="E7967" s="2">
        <f>HYPERLINK("https://www.amazon.com/Diablo-Freud-DMAPL4210-SDS-Plus-4-Cutter/dp/B089LGF2KS/ref=sr_1_6?keywords=Diablo+Tools+DMAPL4180-P25+1%2F2+in.+x+4+in.+x+6+in.+Rebar+Demon%E2%84%A2+SDS-Plus+4-Cutter+Full+Carbide+Head+Hammer+Bit+%2825+Pack%29&amp;qid=1694735263&amp;sr=8-6", "https://www.amazon.com/Diablo-Freud-DMAPL4210-SDS-Plus-4-Cutter/dp/B089LGF2KS/ref=sr_1_6?keywords=Diablo+Tools+DMAPL4180-P25+1%2F2+in.+x+4+in.+x+6+in.+Rebar+Demon%E2%84%A2+SDS-Plus+4-Cutter+Full+Carbide+Head+Hammer+Bit+%2825+Pack%29&amp;qid=1694735263&amp;sr=8-6")</f>
        <v/>
      </c>
      <c r="F7967" t="inlineStr">
        <is>
          <t>B089LGF2KS</t>
        </is>
      </c>
      <c r="G7967">
        <f>_xludf.IMAGE("https://edmondsonsupply.com/cdn/shop/products/DMAPL4180-P25_Additional-Images_0120200331.png?v=1633030573")</f>
        <v/>
      </c>
      <c r="H7967">
        <f>_xludf.IMAGE("https://m.media-amazon.com/images/I/61rU9ZgmndL._AC_UL320_.jpg")</f>
        <v/>
      </c>
      <c r="K7967" t="inlineStr">
        <is>
          <t>133.97</t>
        </is>
      </c>
      <c r="L7967" t="n">
        <v>11.49</v>
      </c>
      <c r="M7967" s="1" t="inlineStr">
        <is>
          <t>-91.42%</t>
        </is>
      </c>
      <c r="N7967" s="1" t="n"/>
      <c r="O7967" t="n">
        <v>4.6</v>
      </c>
      <c r="P7967" t="n">
        <v>63</v>
      </c>
      <c r="R7967" t="inlineStr">
        <is>
          <t>InStock</t>
        </is>
      </c>
      <c r="S7967" t="inlineStr">
        <is>
          <t>193.66</t>
        </is>
      </c>
      <c r="T7967" t="inlineStr">
        <is>
          <t>5524246659240</t>
        </is>
      </c>
    </row>
    <row r="7968" hidden="1" ht="15.75" customHeight="1">
      <c r="A7968" s="2">
        <f>HYPERLINK("https://edmondsonsupply.com/collections/electricians-tools/products/diablo-tools-dmapl4140-p25-3-8-in-x-4-in-x-6-in-rebar-demon%E2%84%A2-sds-plus-4-cutter-full-carbide-head-hammer-bit-25-pack", "https://edmondsonsupply.com/collections/electricians-tools/products/diablo-tools-dmapl4140-p25-3-8-in-x-4-in-x-6-in-rebar-demon%E2%84%A2-sds-plus-4-cutter-full-carbide-head-hammer-bit-25-pack")</f>
        <v/>
      </c>
      <c r="B7968" s="2">
        <f>HYPERLINK("https://edmondsonsupply.com/products/diablo-tools-dmapl4140-p25-3-8-in-x-4-in-x-6-in-rebar-demon%e2%84%a2-sds-plus-4-cutter-full-carbide-head-hammer-bit-25-pack", "https://edmondsonsupply.com/products/diablo-tools-dmapl4140-p25-3-8-in-x-4-in-x-6-in-rebar-demon%e2%84%a2-sds-plus-4-cutter-full-carbide-head-hammer-bit-25-pack")</f>
        <v/>
      </c>
      <c r="C7968" t="inlineStr">
        <is>
          <t>Diablo Tools DMAPL4140-P25 3/8 in. x 4 in. x 6 in. Rebar Demon™ SDS-Plus 4-Cutter Full Carbide Head Hammer Bit (25-Pack)</t>
        </is>
      </c>
      <c r="D7968" t="inlineStr">
        <is>
          <t>Diablo by Freud DMAPL4050 3/16 in. x 6 in. x 8 in. Rebar Demon SDS-Plus 4-Cutter Full Carbide Head Hammer Bit Multi, One Size</t>
        </is>
      </c>
      <c r="E7968" s="2">
        <f>HYPERLINK("https://www.amazon.com/Diablo-SDS-Plus-4-Cutter-Carbide-Hammer/dp/B089LKWR9L/ref=sr_1_31?keywords=Diablo+Tools+DMAPL4140-P25+3%2F8+in.+x+4+in.+x+6+in.+Rebar+Demon%E2%84%A2+SDS-Plus+4-Cutter+Full+Carbide+Head+Hammer+Bit+%2825-Pack%29&amp;qid=1694735299&amp;sr=8-31", "https://www.amazon.com/Diablo-SDS-Plus-4-Cutter-Carbide-Hammer/dp/B089LKWR9L/ref=sr_1_31?keywords=Diablo+Tools+DMAPL4140-P25+3%2F8+in.+x+4+in.+x+6+in.+Rebar+Demon%E2%84%A2+SDS-Plus+4-Cutter+Full+Carbide+Head+Hammer+Bit+%2825-Pack%29&amp;qid=1694735299&amp;sr=8-31")</f>
        <v/>
      </c>
      <c r="F7968" t="inlineStr">
        <is>
          <t>B089LKWR9L</t>
        </is>
      </c>
      <c r="G7968">
        <f>_xludf.IMAGE("https://edmondsonsupply.com/cdn/shop/products/DMAPL4140-P25.jpg?v=1633030354")</f>
        <v/>
      </c>
      <c r="H7968">
        <f>_xludf.IMAGE("https://m.media-amazon.com/images/I/61uukuKzJeL._AC_UL320_.jpg")</f>
        <v/>
      </c>
      <c r="K7968" t="inlineStr">
        <is>
          <t>105.97</t>
        </is>
      </c>
      <c r="L7968" t="n">
        <v>8.99</v>
      </c>
      <c r="M7968" s="1" t="inlineStr">
        <is>
          <t>-91.52%</t>
        </is>
      </c>
      <c r="N7968" s="1" t="n"/>
      <c r="O7968" t="n">
        <v>3.7</v>
      </c>
      <c r="P7968" t="n">
        <v>10</v>
      </c>
      <c r="R7968" t="inlineStr">
        <is>
          <t>InStock</t>
        </is>
      </c>
      <c r="S7968" t="inlineStr">
        <is>
          <t>153.56</t>
        </is>
      </c>
      <c r="T7968" t="inlineStr">
        <is>
          <t>5286131794088</t>
        </is>
      </c>
    </row>
    <row r="7969" hidden="1" ht="15.75" customHeight="1">
      <c r="A7969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969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969" t="inlineStr">
        <is>
          <t>Diablo Tools DMAPL4160-P25 3/8 in. x 10 in. x 12 in. Rebar Demon™ SDS-Plus 4-Cutter Full Carbide Head Hammer Bit (25 pack)</t>
        </is>
      </c>
      <c r="D7969" t="inlineStr">
        <is>
          <t>Diablo DMAPL4055 3/16 in. x 10 in. x 12 in. Rebar Demon™ SDS-Plus 4-Cutter Full Carbide Head Hammer Bit</t>
        </is>
      </c>
      <c r="E7969" s="2" t="n"/>
      <c r="F7969" t="inlineStr">
        <is>
          <t>B089LJCD42</t>
        </is>
      </c>
      <c r="G7969">
        <f>_xludf.IMAGE("https://edmondsonsupply.com/cdn/shop/products/DMAPL4160_Main-Image20200702.png?v=1633030463")</f>
        <v/>
      </c>
      <c r="H7969">
        <f>_xludf.IMAGE("https://m.media-amazon.com/images/I/61cDOAhkb4L._AC_UL320_.jpg")</f>
        <v/>
      </c>
      <c r="K7969" t="inlineStr">
        <is>
          <t>195.97</t>
        </is>
      </c>
      <c r="L7969" t="n">
        <v>15.76</v>
      </c>
      <c r="M7969" s="1" t="inlineStr">
        <is>
          <t>-91.96%</t>
        </is>
      </c>
      <c r="N7969" s="1" t="n"/>
      <c r="O7969" t="n">
        <v>2</v>
      </c>
      <c r="P7969" t="n">
        <v>1</v>
      </c>
      <c r="R7969" t="inlineStr">
        <is>
          <t>InStock</t>
        </is>
      </c>
      <c r="S7969" t="inlineStr">
        <is>
          <t>283.58</t>
        </is>
      </c>
      <c r="T7969" t="inlineStr">
        <is>
          <t>5361994236072</t>
        </is>
      </c>
    </row>
    <row r="7970" ht="87" customHeight="1">
      <c r="A7970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970" s="2">
        <f>HYPERLINK("https://edmondsonsupply.com/products/klein-tools-57032-screwdriver-set-torque-6-piece", "https://edmondsonsupply.com/products/klein-tools-57032-screwdriver-set-torque-6-piece")</f>
        <v/>
      </c>
      <c r="C7970" t="inlineStr">
        <is>
          <t>Klein Tools 57032 Screwdriver Set, Torque, 6-Piece</t>
        </is>
      </c>
      <c r="D7970" t="inlineStr">
        <is>
          <t>Klein Tools 85153K Slotted Screw-Holding Screwdriver Set, 3/16-Inch, 1/4-Inch Split-Blade Flat Head Driver, Positive Gripping Action, 2-Piece</t>
        </is>
      </c>
      <c r="E7970" s="2">
        <f>HYPERLINK("https://www.amazon.com/Klein-Tools-85153K-Screw-Holding-Screwdriver/dp/B0CFRP1K3L/ref=sr_1_13?keywords=Klein+Tools+57032+Screwdriver+Set%2C+Torque%2C+6-Piece&amp;qid=1694735042&amp;sr=8-13", "https://www.amazon.com/Klein-Tools-85153K-Screw-Holding-Screwdriver/dp/B0CFRP1K3L/ref=sr_1_13?keywords=Klein+Tools+57032+Screwdriver+Set%2C+Torque%2C+6-Piece&amp;qid=1694735042&amp;sr=8-13")</f>
        <v/>
      </c>
      <c r="F7970" t="inlineStr">
        <is>
          <t>B0CFRP1K3L</t>
        </is>
      </c>
      <c r="G7970">
        <f>_xlfn.IMAGE("https://edmondsonsupply.com/cdn/shop/products/57032set.jpg?v=1675348782")</f>
        <v/>
      </c>
      <c r="H7970">
        <f>_xlfn.IMAGE("https://m.media-amazon.com/images/I/41KoRmOkBpL._AC_UL320_.jpg")</f>
        <v/>
      </c>
      <c r="K7970" t="inlineStr">
        <is>
          <t>299.99</t>
        </is>
      </c>
      <c r="L7970" t="n">
        <v>23.97</v>
      </c>
      <c r="M7970" s="1" t="inlineStr">
        <is>
          <t>-92.01%</t>
        </is>
      </c>
      <c r="N7970" s="7" t="n"/>
      <c r="O7970" t="n">
        <v>5</v>
      </c>
      <c r="P7970" t="n">
        <v>1</v>
      </c>
      <c r="R7970" t="inlineStr">
        <is>
          <t>InStock</t>
        </is>
      </c>
      <c r="S7970" t="inlineStr">
        <is>
          <t>433.06</t>
        </is>
      </c>
      <c r="T7970" t="inlineStr">
        <is>
          <t>7937805385944</t>
        </is>
      </c>
    </row>
    <row r="7971" hidden="1" ht="15.75" customHeight="1">
      <c r="A7971" s="2">
        <f>HYPERLINK("https://edmondsonsupply.com/collections/electricians-tools/products/diablo-tools-dmamx1230-1-in-x-24-in-x-29-in-rebar-demon%E2%84%A2-sds-max-4-cutter-full-carbide-head-hammer-bit", "https://edmondsonsupply.com/collections/electricians-tools/products/diablo-tools-dmamx1230-1-in-x-24-in-x-29-in-rebar-demon%E2%84%A2-sds-max-4-cutter-full-carbide-head-hammer-bit")</f>
        <v/>
      </c>
      <c r="B7971" s="2">
        <f>HYPERLINK("https://edmondsonsupply.com/products/diablo-tools-dmamx1230-1-in-x-24-in-x-29-in-rebar-demon%e2%84%a2-sds-max-4-cutter-full-carbide-head-hammer-bit", "https://edmondsonsupply.com/products/diablo-tools-dmamx1230-1-in-x-24-in-x-29-in-rebar-demon%e2%84%a2-sds-max-4-cutter-full-carbide-head-hammer-bit")</f>
        <v/>
      </c>
      <c r="C7971" t="inlineStr">
        <is>
          <t>Diablo Tools DMAMX1230 1 in. x 24 in. x 29 in. Rebar Demon™ SDS-Max 4-Cutter Full Carbide Head Hammer Bit</t>
        </is>
      </c>
      <c r="D7971" t="inlineStr">
        <is>
          <t>Diablo by Freud DMAPL4010 5/32 in. x 2 in. x 4 in. Rebar Demon SDS-Plus 4-Cutter Full Carbide Head Hammer Bit</t>
        </is>
      </c>
      <c r="E7971" s="2">
        <f>HYPERLINK("https://www.amazon.com/Diablo-SDS-Plus-4-Cutter-Carbide-Hammer/dp/B089KWVTD3/ref=sr_1_36?keywords=Diablo+Tools+DMAMX1230+1+in.+x+24+in.+x+29+in.+Rebar+Demon%E2%84%A2+SDS-Max+4-Cutter+Full+Carbide+Head+Hammer+Bit&amp;qid=1694735297&amp;sr=8-36", "https://www.amazon.com/Diablo-SDS-Plus-4-Cutter-Carbide-Hammer/dp/B089KWVTD3/ref=sr_1_36?keywords=Diablo+Tools+DMAMX1230+1+in.+x+24+in.+x+29+in.+Rebar+Demon%E2%84%A2+SDS-Max+4-Cutter+Full+Carbide+Head+Hammer+Bit&amp;qid=1694735297&amp;sr=8-36")</f>
        <v/>
      </c>
      <c r="F7971" t="inlineStr">
        <is>
          <t>B089KWVTD3</t>
        </is>
      </c>
      <c r="G7971">
        <f>_xludf.IMAGE("https://edmondsonsupply.com/cdn/shop/products/DMAMX1230_1.jpg?v=1633030364")</f>
        <v/>
      </c>
      <c r="H7971">
        <f>_xludf.IMAGE("https://m.media-amazon.com/images/I/61IkB-DVS1L._AC_UL320_.jpg")</f>
        <v/>
      </c>
      <c r="K7971" t="inlineStr">
        <is>
          <t>124.97</t>
        </is>
      </c>
      <c r="L7971" t="n">
        <v>9.5</v>
      </c>
      <c r="M7971" s="1" t="inlineStr">
        <is>
          <t>-92.40%</t>
        </is>
      </c>
      <c r="N7971" s="1" t="n"/>
      <c r="O7971" t="n">
        <v>4.7</v>
      </c>
      <c r="P7971" t="n">
        <v>4</v>
      </c>
      <c r="R7971" t="inlineStr">
        <is>
          <t>InStock</t>
        </is>
      </c>
      <c r="S7971" t="inlineStr">
        <is>
          <t>152.89</t>
        </is>
      </c>
      <c r="T7971" t="inlineStr">
        <is>
          <t>5289176072360</t>
        </is>
      </c>
    </row>
    <row r="7972" ht="87" customHeight="1">
      <c r="A7972" s="2">
        <f>HYPERLINK("https://edmondsonsupply.com/collections/electricians-tools/products/fluke-902", "https://edmondsonsupply.com/collections/electricians-tools/products/fluke-902")</f>
        <v/>
      </c>
      <c r="B7972" s="2">
        <f>HYPERLINK("https://edmondsonsupply.com/products/fluke-902", "https://edmondsonsupply.com/products/fluke-902")</f>
        <v/>
      </c>
      <c r="C7972" t="inlineStr">
        <is>
          <t>Fluke 902 FC True-RMS HVAC Clamp Meter</t>
        </is>
      </c>
      <c r="D7972" t="inlineStr">
        <is>
          <t>RLSOCO Carrying Case for Fluke 374/375/376FC/376/902/902 FC True-RMS Clamp Meter &amp; Works with KAIWEETS Digital Clamp Meter HT208A/HT208D</t>
        </is>
      </c>
      <c r="E7972" s="2">
        <f>HYPERLINK("https://www.amazon.com/RLSOCO-Carrying-Fluke-True-RMS-Clamp/dp/B08LR6F9LD/ref=sr_1_8?keywords=Fluke+902+FC+True-RMS+HVAC+Clamp+Meter&amp;qid=1694735309&amp;sr=8-8", "https://www.amazon.com/RLSOCO-Carrying-Fluke-True-RMS-Clamp/dp/B08LR6F9LD/ref=sr_1_8?keywords=Fluke+902+FC+True-RMS+HVAC+Clamp+Meter&amp;qid=1694735309&amp;sr=8-8")</f>
        <v/>
      </c>
      <c r="F7972" t="inlineStr">
        <is>
          <t>B08LR6F9LD</t>
        </is>
      </c>
      <c r="G7972">
        <f>_xlfn.IMAGE("https://edmondsonsupply.com/cdn/shop/products/902fc.png?v=1633030276")</f>
        <v/>
      </c>
      <c r="H7972">
        <f>_xlfn.IMAGE("https://m.media-amazon.com/images/I/71b67LJD0GS._AC_UY218_.jpg")</f>
        <v/>
      </c>
      <c r="K7972" t="inlineStr">
        <is>
          <t>325.09</t>
        </is>
      </c>
      <c r="L7972" t="n">
        <v>23.99</v>
      </c>
      <c r="M7972" s="1" t="inlineStr">
        <is>
          <t>-92.62%</t>
        </is>
      </c>
      <c r="N7972" s="7" t="n"/>
      <c r="O7972" t="n">
        <v>4.7</v>
      </c>
      <c r="P7972" t="n">
        <v>163</v>
      </c>
      <c r="R7972" t="inlineStr">
        <is>
          <t>InStock</t>
        </is>
      </c>
      <c r="S7972" t="inlineStr">
        <is>
          <t>358.99</t>
        </is>
      </c>
      <c r="T7972" t="inlineStr">
        <is>
          <t>5238372991144</t>
        </is>
      </c>
    </row>
    <row r="7973" ht="87" customHeight="1">
      <c r="A7973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973" s="2">
        <f>HYPERLINK("https://edmondsonsupply.com/products/klein-tools-57032-screwdriver-set-torque-6-piece", "https://edmondsonsupply.com/products/klein-tools-57032-screwdriver-set-torque-6-piece")</f>
        <v/>
      </c>
      <c r="C7973" t="inlineStr">
        <is>
          <t>Klein Tools 57032 Screwdriver Set, Torque, 6-Piece</t>
        </is>
      </c>
      <c r="D7973" t="inlineStr">
        <is>
          <t>Klein Tools 80027 Screwdriver Set, 11-in-1 Multi-bit Screwdriver, 6-in-1 Stubby Screwdriver, Phillips, Slotted, Square, Torx Bits, 2-Piece</t>
        </is>
      </c>
      <c r="E7973" s="2">
        <f>HYPERLINK("https://www.amazon.com/Screwdriver-Multi-bit-Klein-Tools-80027/dp/B0912BW9HP/ref=sr_1_7?keywords=Klein+Tools+57032+Screwdriver+Set%2C+Torque%2C+6-Piece&amp;qid=1694735042&amp;sr=8-7", "https://www.amazon.com/Screwdriver-Multi-bit-Klein-Tools-80027/dp/B0912BW9HP/ref=sr_1_7?keywords=Klein+Tools+57032+Screwdriver+Set%2C+Torque%2C+6-Piece&amp;qid=1694735042&amp;sr=8-7")</f>
        <v/>
      </c>
      <c r="F7973" t="inlineStr">
        <is>
          <t>B0912BW9HP</t>
        </is>
      </c>
      <c r="G7973">
        <f>_xlfn.IMAGE("https://edmondsonsupply.com/cdn/shop/products/57032set.jpg?v=1675348782")</f>
        <v/>
      </c>
      <c r="H7973">
        <f>_xlfn.IMAGE("https://m.media-amazon.com/images/I/51-QRUty7rL._AC_UL320_.jpg")</f>
        <v/>
      </c>
      <c r="K7973" t="inlineStr">
        <is>
          <t>299.99</t>
        </is>
      </c>
      <c r="L7973" t="n">
        <v>21.99</v>
      </c>
      <c r="M7973" s="1" t="inlineStr">
        <is>
          <t>-92.67%</t>
        </is>
      </c>
      <c r="N7973" s="7" t="n"/>
      <c r="O7973" t="n">
        <v>4.8</v>
      </c>
      <c r="P7973" t="n">
        <v>13254</v>
      </c>
      <c r="R7973" t="inlineStr">
        <is>
          <t>InStock</t>
        </is>
      </c>
      <c r="S7973" t="inlineStr">
        <is>
          <t>433.06</t>
        </is>
      </c>
      <c r="T7973" t="inlineStr">
        <is>
          <t>7937805385944</t>
        </is>
      </c>
    </row>
    <row r="7974" hidden="1" ht="15.75" customHeight="1">
      <c r="A7974" s="2">
        <f>HYPERLINK("https://edmondsonsupply.com/collections/electricians-tools/products/fluke-62-max-handheld-infrared-laser-thermometer", "https://edmondsonsupply.com/collections/electricians-tools/products/fluke-62-max-handheld-infrared-laser-thermometer")</f>
        <v/>
      </c>
      <c r="B7974" s="2">
        <f>HYPERLINK("https://edmondsonsupply.com/products/fluke-62-max-handheld-infrared-laser-thermometer", "https://edmondsonsupply.com/products/fluke-62-max-handheld-infrared-laser-thermometer")</f>
        <v/>
      </c>
      <c r="C7974" t="inlineStr">
        <is>
          <t>Fluke 62 MAX+ Handheld Infrared Laser Thermometer</t>
        </is>
      </c>
      <c r="D7974" t="inlineStr">
        <is>
          <t>Aicevoos G600A Infrared Thermometer Gun Laser IR Temp Gauge, Handheld Heat Temperature Gun with Adjustable Emissivity &amp; Max Measure for Cooking, Grill &amp; Engine | -58F to 1112F | NOT for Humans</t>
        </is>
      </c>
      <c r="E7974" s="2">
        <f>HYPERLINK("https://www.amazon.com/Aicevoos-G600A-Thermometer-Temperature-Adjustable/dp/B09WDN9GS1/ref=sr_1_14?keywords=Fluke+62+MAX+Handheld+Infrared+Laser+Thermometer&amp;qid=1694735180&amp;sr=8-14", "https://www.amazon.com/Aicevoos-G600A-Thermometer-Temperature-Adjustable/dp/B09WDN9GS1/ref=sr_1_14?keywords=Fluke+62+MAX+Handheld+Infrared+Laser+Thermometer&amp;qid=1694735180&amp;sr=8-14")</f>
        <v/>
      </c>
      <c r="F7974" t="inlineStr">
        <is>
          <t>B09WDN9GS1</t>
        </is>
      </c>
      <c r="G7974">
        <f>_xludf.IMAGE("https://edmondsonsupply.com/cdn/shop/products/Fluke_62_MAX__back_499x1024px_E_NR-18387.jpg?v=1633031180")</f>
        <v/>
      </c>
      <c r="H7974">
        <f>_xludf.IMAGE("https://m.media-amazon.com/images/I/61EDErQGgzL._AC_UY218_.jpg")</f>
        <v/>
      </c>
      <c r="K7974" t="inlineStr">
        <is>
          <t>179.99</t>
        </is>
      </c>
      <c r="L7974" t="n">
        <v>12.99</v>
      </c>
      <c r="M7974" s="1" t="inlineStr">
        <is>
          <t>-92.78%</t>
        </is>
      </c>
      <c r="N7974" s="1" t="n"/>
      <c r="O7974" t="n">
        <v>4.5</v>
      </c>
      <c r="P7974" t="n">
        <v>165</v>
      </c>
      <c r="R7974" t="inlineStr">
        <is>
          <t>InStock</t>
        </is>
      </c>
      <c r="S7974" t="inlineStr">
        <is>
          <t>199.99</t>
        </is>
      </c>
      <c r="T7974" t="inlineStr">
        <is>
          <t>6918056050861</t>
        </is>
      </c>
    </row>
    <row r="7975" hidden="1" ht="15.75" customHeight="1">
      <c r="A7975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75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75" t="inlineStr">
        <is>
          <t>Diablo Tools DMAPL4180-P25 1/2 in. x 4 in. x 6 in. Rebar Demon™ SDS-Plus 4-Cutter Full Carbide Head Hammer Bit (25 Pack)</t>
        </is>
      </c>
      <c r="D7975" t="inlineStr">
        <is>
          <t>Diablo by Freud DMAPL4010 5/32 in. x 2 in. x 4 in. Rebar Demon SDS-Plus 4-Cutter Full Carbide Head Hammer Bit</t>
        </is>
      </c>
      <c r="E7975" s="2">
        <f>HYPERLINK("https://www.amazon.com/Diablo-SDS-Plus-4-Cutter-Carbide-Hammer/dp/B089KWVTD3/ref=sr_1_20?keywords=Diablo+Tools+DMAPL4180-P25+1%2F2+in.+x+4+in.+x+6+in.+Rebar+Demon%E2%84%A2+SDS-Plus+4-Cutter+Full+Carbide+Head+Hammer+Bit+%2825+Pack%29&amp;qid=1694735263&amp;sr=8-20", "https://www.amazon.com/Diablo-SDS-Plus-4-Cutter-Carbide-Hammer/dp/B089KWVTD3/ref=sr_1_20?keywords=Diablo+Tools+DMAPL4180-P25+1%2F2+in.+x+4+in.+x+6+in.+Rebar+Demon%E2%84%A2+SDS-Plus+4-Cutter+Full+Carbide+Head+Hammer+Bit+%2825+Pack%29&amp;qid=1694735263&amp;sr=8-20")</f>
        <v/>
      </c>
      <c r="F7975" t="inlineStr">
        <is>
          <t>B089KWVTD3</t>
        </is>
      </c>
      <c r="G7975">
        <f>_xludf.IMAGE("https://edmondsonsupply.com/cdn/shop/products/DMAPL4180-P25_Additional-Images_0120200331.png?v=1633030573")</f>
        <v/>
      </c>
      <c r="H7975">
        <f>_xludf.IMAGE("https://m.media-amazon.com/images/I/61IkB-DVS1L._AC_UL320_.jpg")</f>
        <v/>
      </c>
      <c r="K7975" t="inlineStr">
        <is>
          <t>133.97</t>
        </is>
      </c>
      <c r="L7975" t="n">
        <v>9.5</v>
      </c>
      <c r="M7975" s="1" t="inlineStr">
        <is>
          <t>-92.91%</t>
        </is>
      </c>
      <c r="N7975" s="1" t="n"/>
      <c r="O7975" t="n">
        <v>4.7</v>
      </c>
      <c r="P7975" t="n">
        <v>4</v>
      </c>
      <c r="R7975" t="inlineStr">
        <is>
          <t>InStock</t>
        </is>
      </c>
      <c r="S7975" t="inlineStr">
        <is>
          <t>193.66</t>
        </is>
      </c>
      <c r="T7975" t="inlineStr">
        <is>
          <t>5524246659240</t>
        </is>
      </c>
    </row>
    <row r="7976" hidden="1" ht="15.75" customHeight="1">
      <c r="A7976" s="2">
        <f>HYPERLINK("https://edmondsonsupply.com/collections/electricians-tools/products/diablo-tools-dmapl2240-p25-3-8-in-x-10-in-x-12-in-sds-plus-2-cutter-25-pack", "https://edmondsonsupply.com/collections/electricians-tools/products/diablo-tools-dmapl2240-p25-3-8-in-x-10-in-x-12-in-sds-plus-2-cutter-25-pack")</f>
        <v/>
      </c>
      <c r="B7976" s="2">
        <f>HYPERLINK("https://edmondsonsupply.com/products/diablo-tools-dmapl2240-p25-3-8-in-x-10-in-x-12-in-sds-plus-2-cutter-25-pack", "https://edmondsonsupply.com/products/diablo-tools-dmapl2240-p25-3-8-in-x-10-in-x-12-in-sds-plus-2-cutter-25-pack")</f>
        <v/>
      </c>
      <c r="C7976" t="inlineStr">
        <is>
          <t>Diablo Tools DMAPL2240-P25 3/8 in. x 10 in. x 12 in. SDS-Plus 2-Cutter (25 Pack)</t>
        </is>
      </c>
      <c r="D7976" t="inlineStr">
        <is>
          <t>Diablo by Freud DMAPL4160 3/8 in. x 10 in. x 12 in. Rebar Demon SDS-Plus 4-Cutter Full Carbide Head Hammer Bit</t>
        </is>
      </c>
      <c r="E7976" s="2">
        <f>HYPERLINK("https://www.amazon.com/Diablo-Freud-DMAPL4160-SDS-Plus-4-Cutter/dp/B089KX25B7/ref=sr_1_5?keywords=Diablo+Tools+DMAPL2240-P25+3%2F8+in.+x+10+in.+x+12+in.+SDS-Plus+2-Cutter+%2825+Pack%29&amp;qid=1694735272&amp;sr=8-5", "https://www.amazon.com/Diablo-Freud-DMAPL4160-SDS-Plus-4-Cutter/dp/B089KX25B7/ref=sr_1_5?keywords=Diablo+Tools+DMAPL2240-P25+3%2F8+in.+x+10+in.+x+12+in.+SDS-Plus+2-Cutter+%2825+Pack%29&amp;qid=1694735272&amp;sr=8-5")</f>
        <v/>
      </c>
      <c r="F7976" t="inlineStr">
        <is>
          <t>B089KX25B7</t>
        </is>
      </c>
      <c r="G7976">
        <f>_xludf.IMAGE("https://edmondsonsupply.com/cdn/shop/products/DMAPL2240-P25_Additional-Images_0120200331.png?v=1633030515")</f>
        <v/>
      </c>
      <c r="H7976">
        <f>_xludf.IMAGE("https://m.media-amazon.com/images/I/61MHnm3+2bL._AC_UL320_.jpg")</f>
        <v/>
      </c>
      <c r="K7976" t="inlineStr">
        <is>
          <t>184.97</t>
        </is>
      </c>
      <c r="L7976" t="n">
        <v>13.01</v>
      </c>
      <c r="M7976" s="1" t="inlineStr">
        <is>
          <t>-92.97%</t>
        </is>
      </c>
      <c r="N7976" s="1" t="n"/>
      <c r="O7976" t="n">
        <v>4.5</v>
      </c>
      <c r="P7976" t="n">
        <v>39</v>
      </c>
      <c r="R7976" t="inlineStr">
        <is>
          <t>InStock</t>
        </is>
      </c>
      <c r="S7976" t="inlineStr">
        <is>
          <t>257.8</t>
        </is>
      </c>
      <c r="T7976" t="inlineStr">
        <is>
          <t>5395598442664</t>
        </is>
      </c>
    </row>
    <row r="7977" hidden="1" ht="15.75" customHeight="1">
      <c r="A7977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77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77" t="inlineStr">
        <is>
          <t>Diablo Tools DMAPL4180-P25 1/2 in. x 4 in. x 6 in. Rebar Demon™ SDS-Plus 4-Cutter Full Carbide Head Hammer Bit (25 Pack)</t>
        </is>
      </c>
      <c r="D7977" t="inlineStr">
        <is>
          <t>Diablo by Freud DMAPL4050 3/16 in. x 6 in. x 8 in. Rebar Demon SDS-Plus 4-Cutter Full Carbide Head Hammer Bit Multi, One Size</t>
        </is>
      </c>
      <c r="E7977" s="2">
        <f>HYPERLINK("https://www.amazon.com/Diablo-SDS-Plus-4-Cutter-Carbide-Hammer/dp/B089LKWR9L/ref=sr_1_31?keywords=Diablo+Tools+DMAPL4180-P25+1%2F2+in.+x+4+in.+x+6+in.+Rebar+Demon%E2%84%A2+SDS-Plus+4-Cutter+Full+Carbide+Head+Hammer+Bit+%2825+Pack%29&amp;qid=1694735263&amp;sr=8-31", "https://www.amazon.com/Diablo-SDS-Plus-4-Cutter-Carbide-Hammer/dp/B089LKWR9L/ref=sr_1_31?keywords=Diablo+Tools+DMAPL4180-P25+1%2F2+in.+x+4+in.+x+6+in.+Rebar+Demon%E2%84%A2+SDS-Plus+4-Cutter+Full+Carbide+Head+Hammer+Bit+%2825+Pack%29&amp;qid=1694735263&amp;sr=8-31")</f>
        <v/>
      </c>
      <c r="F7977" t="inlineStr">
        <is>
          <t>B089LKWR9L</t>
        </is>
      </c>
      <c r="G7977">
        <f>_xludf.IMAGE("https://edmondsonsupply.com/cdn/shop/products/DMAPL4180-P25_Additional-Images_0120200331.png?v=1633030573")</f>
        <v/>
      </c>
      <c r="H7977">
        <f>_xludf.IMAGE("https://m.media-amazon.com/images/I/61uukuKzJeL._AC_UL320_.jpg")</f>
        <v/>
      </c>
      <c r="K7977" t="inlineStr">
        <is>
          <t>133.97</t>
        </is>
      </c>
      <c r="L7977" t="n">
        <v>8.99</v>
      </c>
      <c r="M7977" s="1" t="inlineStr">
        <is>
          <t>-93.29%</t>
        </is>
      </c>
      <c r="N7977" s="1" t="n"/>
      <c r="O7977" t="n">
        <v>3.7</v>
      </c>
      <c r="P7977" t="n">
        <v>10</v>
      </c>
      <c r="R7977" t="inlineStr">
        <is>
          <t>InStock</t>
        </is>
      </c>
      <c r="S7977" t="inlineStr">
        <is>
          <t>193.66</t>
        </is>
      </c>
      <c r="T7977" t="inlineStr">
        <is>
          <t>5524246659240</t>
        </is>
      </c>
    </row>
    <row r="7978" ht="87" customHeight="1">
      <c r="A7978" s="2">
        <f>HYPERLINK("https://edmondsonsupply.com/collections/electricians-tools/products/fluke-64-max-ir-thermometer", "https://edmondsonsupply.com/collections/electricians-tools/products/fluke-64-max-ir-thermometer")</f>
        <v/>
      </c>
      <c r="B7978" s="2">
        <f>HYPERLINK("https://edmondsonsupply.com/products/fluke-64-max-ir-thermometer", "https://edmondsonsupply.com/products/fluke-64-max-ir-thermometer")</f>
        <v/>
      </c>
      <c r="C7978" t="inlineStr">
        <is>
          <t>Fluke 64 MAX IR Thermometer</t>
        </is>
      </c>
      <c r="D7978" t="inlineStr">
        <is>
          <t>co2CREA Hard Travel Case Replacement for Fluke 62 Max+ / 62 Max / 64 Max / 59 Max+ / 59 Max / 59 Mini Infrared IR Thermometer (Yellow Case)</t>
        </is>
      </c>
      <c r="E7978" s="2">
        <f>HYPERLINK("https://www.amazon.com/co2crea-Travel-Infrared-Thermometer-Yellow/dp/B08FHPGX3X/ref=sr_1_2?keywords=Fluke+64+MAX+IR+Thermometer&amp;qid=1694735085&amp;sr=8-2", "https://www.amazon.com/co2crea-Travel-Infrared-Thermometer-Yellow/dp/B08FHPGX3X/ref=sr_1_2?keywords=Fluke+64+MAX+IR+Thermometer&amp;qid=1694735085&amp;sr=8-2")</f>
        <v/>
      </c>
      <c r="F7978" t="inlineStr">
        <is>
          <t>B08FHPGX3X</t>
        </is>
      </c>
      <c r="G7978">
        <f>_xlfn.IMAGE("https://edmondsonsupply.com/cdn/shop/products/fluke_64max_portrait_1500x1000_dcb53742-d539-4285-8994-6293320d293a.webp?v=1668107951")</f>
        <v/>
      </c>
      <c r="H7978">
        <f>_xlfn.IMAGE("https://m.media-amazon.com/images/I/819lhKmR58L._AC_UY218_.jpg")</f>
        <v/>
      </c>
      <c r="K7978" t="inlineStr">
        <is>
          <t>254.99</t>
        </is>
      </c>
      <c r="L7978" t="n">
        <v>16.99</v>
      </c>
      <c r="M7978" s="1" t="inlineStr">
        <is>
          <t>-93.34%</t>
        </is>
      </c>
      <c r="N7978" s="7" t="n"/>
      <c r="O7978" t="n">
        <v>4.6</v>
      </c>
      <c r="P7978" t="n">
        <v>519</v>
      </c>
      <c r="R7978" t="inlineStr">
        <is>
          <t>OutOfStock</t>
        </is>
      </c>
      <c r="S7978" t="inlineStr">
        <is>
          <t>269.99</t>
        </is>
      </c>
      <c r="T7978" t="inlineStr">
        <is>
          <t>7880837398744</t>
        </is>
      </c>
    </row>
    <row r="7979" hidden="1" ht="15.75" customHeight="1">
      <c r="A7979" s="2">
        <f>HYPERLINK("https://edmondsonsupply.com/collections/electricians-tools/products/fluke-62-max-handheld-infrared-laser-thermometer", "https://edmondsonsupply.com/collections/electricians-tools/products/fluke-62-max-handheld-infrared-laser-thermometer")</f>
        <v/>
      </c>
      <c r="B7979" s="2">
        <f>HYPERLINK("https://edmondsonsupply.com/products/fluke-62-max-handheld-infrared-laser-thermometer", "https://edmondsonsupply.com/products/fluke-62-max-handheld-infrared-laser-thermometer")</f>
        <v/>
      </c>
      <c r="C7979" t="inlineStr">
        <is>
          <t>Fluke 62 MAX+ Handheld Infrared Laser Thermometer</t>
        </is>
      </c>
      <c r="D7979" t="inlineStr">
        <is>
          <t>KingSung Hard Case for Fluke 62 Max/59 Max+/64 MAX Plus Infrared IR Thermometer,Real Machine Custom Lined with YKK Smooth Zipper, Black</t>
        </is>
      </c>
      <c r="E7979" s="2">
        <f>HYPERLINK("https://www.amazon.com/KingSung-Infrared-Thermometer-Machine-Custom/dp/B0BJ1LSL7B/ref=sr_1_8?keywords=Fluke+62+MAX+Handheld+Infrared+Laser+Thermometer&amp;qid=1694735180&amp;sr=8-8", "https://www.amazon.com/KingSung-Infrared-Thermometer-Machine-Custom/dp/B0BJ1LSL7B/ref=sr_1_8?keywords=Fluke+62+MAX+Handheld+Infrared+Laser+Thermometer&amp;qid=1694735180&amp;sr=8-8")</f>
        <v/>
      </c>
      <c r="F7979" t="inlineStr">
        <is>
          <t>B0BJ1LSL7B</t>
        </is>
      </c>
      <c r="G7979">
        <f>_xludf.IMAGE("https://edmondsonsupply.com/cdn/shop/products/Fluke_62_MAX__back_499x1024px_E_NR-18387.jpg?v=1633031180")</f>
        <v/>
      </c>
      <c r="H7979">
        <f>_xludf.IMAGE("https://m.media-amazon.com/images/I/81ERcsqPVvL._AC_UY218_.jpg")</f>
        <v/>
      </c>
      <c r="K7979" t="inlineStr">
        <is>
          <t>179.99</t>
        </is>
      </c>
      <c r="L7979" t="n">
        <v>11.99</v>
      </c>
      <c r="M7979" s="1" t="inlineStr">
        <is>
          <t>-93.34%</t>
        </is>
      </c>
      <c r="N7979" s="1" t="n"/>
      <c r="O7979" t="n">
        <v>4.7</v>
      </c>
      <c r="P7979" t="n">
        <v>15</v>
      </c>
      <c r="R7979" t="inlineStr">
        <is>
          <t>InStock</t>
        </is>
      </c>
      <c r="S7979" t="inlineStr">
        <is>
          <t>199.99</t>
        </is>
      </c>
      <c r="T7979" t="inlineStr">
        <is>
          <t>6918056050861</t>
        </is>
      </c>
    </row>
    <row r="7980" ht="87" customHeight="1">
      <c r="A7980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980" s="2">
        <f>HYPERLINK("https://edmondsonsupply.com/products/klein-tools-57032-screwdriver-set-torque-6-piece", "https://edmondsonsupply.com/products/klein-tools-57032-screwdriver-set-torque-6-piece")</f>
        <v/>
      </c>
      <c r="C7980" t="inlineStr">
        <is>
          <t>Klein Tools 57032 Screwdriver Set, Torque, 6-Piece</t>
        </is>
      </c>
      <c r="D7980" t="inlineStr">
        <is>
          <t>Klein Tools 85615 Mini Precision Screwdriver Set, 4-Piece Phillips and Flat Head Set Ideal for Electronics and Small Home Appliances</t>
        </is>
      </c>
      <c r="E7980" s="2">
        <f>HYPERLINK("https://www.amazon.com/Klein-Tools-85615-Screwdriver-Electronics/dp/B0C1QBJGVD/ref=sr_1_4?keywords=Klein+Tools+57032+Screwdriver+Set%2C+Torque%2C+6-Piece&amp;qid=1694735042&amp;sr=8-4", "https://www.amazon.com/Klein-Tools-85615-Screwdriver-Electronics/dp/B0C1QBJGVD/ref=sr_1_4?keywords=Klein+Tools+57032+Screwdriver+Set%2C+Torque%2C+6-Piece&amp;qid=1694735042&amp;sr=8-4")</f>
        <v/>
      </c>
      <c r="F7980" t="inlineStr">
        <is>
          <t>B0C1QBJGVD</t>
        </is>
      </c>
      <c r="G7980">
        <f>_xlfn.IMAGE("https://edmondsonsupply.com/cdn/shop/products/57032set.jpg?v=1675348782")</f>
        <v/>
      </c>
      <c r="H7980">
        <f>_xlfn.IMAGE("https://m.media-amazon.com/images/I/51YOOIPbR9L._AC_UL320_.jpg")</f>
        <v/>
      </c>
      <c r="K7980" t="inlineStr">
        <is>
          <t>299.99</t>
        </is>
      </c>
      <c r="L7980" t="n">
        <v>19.97</v>
      </c>
      <c r="M7980" s="1" t="inlineStr">
        <is>
          <t>-93.34%</t>
        </is>
      </c>
      <c r="N7980" s="7" t="n"/>
      <c r="O7980" t="n">
        <v>4.6</v>
      </c>
      <c r="P7980" t="n">
        <v>13</v>
      </c>
      <c r="R7980" t="inlineStr">
        <is>
          <t>InStock</t>
        </is>
      </c>
      <c r="S7980" t="inlineStr">
        <is>
          <t>433.06</t>
        </is>
      </c>
      <c r="T7980" t="inlineStr">
        <is>
          <t>7937805385944</t>
        </is>
      </c>
    </row>
    <row r="7981" hidden="1" ht="15.75" customHeight="1">
      <c r="A7981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981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981" t="inlineStr">
        <is>
          <t>Diablo Tools DMAPL4160-P25 3/8 in. x 10 in. x 12 in. Rebar Demon™ SDS-Plus 4-Cutter Full Carbide Head Hammer Bit (25 pack)</t>
        </is>
      </c>
      <c r="D7981" t="inlineStr">
        <is>
          <t>Diablo by Freud DMAPL4160 3/8 in. x 10 in. x 12 in. Rebar Demon SDS-Plus 4-Cutter Full Carbide Head Hammer Bit</t>
        </is>
      </c>
      <c r="E7981" s="2" t="n"/>
      <c r="F7981" t="inlineStr">
        <is>
          <t>B089KX25B7</t>
        </is>
      </c>
      <c r="G7981">
        <f>_xludf.IMAGE("https://edmondsonsupply.com/cdn/shop/products/DMAPL4160_Main-Image20200702.png?v=1633030463")</f>
        <v/>
      </c>
      <c r="H7981">
        <f>_xludf.IMAGE("https://m.media-amazon.com/images/I/61MHnm3+2bL._AC_UL320_.jpg")</f>
        <v/>
      </c>
      <c r="K7981" t="inlineStr">
        <is>
          <t>195.97</t>
        </is>
      </c>
      <c r="L7981" t="n">
        <v>13.01</v>
      </c>
      <c r="M7981" s="1" t="inlineStr">
        <is>
          <t>-93.36%</t>
        </is>
      </c>
      <c r="N7981" s="1" t="n"/>
      <c r="O7981" t="n">
        <v>4.5</v>
      </c>
      <c r="P7981" t="n">
        <v>39</v>
      </c>
      <c r="R7981" t="inlineStr">
        <is>
          <t>InStock</t>
        </is>
      </c>
      <c r="S7981" t="inlineStr">
        <is>
          <t>283.58</t>
        </is>
      </c>
      <c r="T7981" t="inlineStr">
        <is>
          <t>5361994236072</t>
        </is>
      </c>
    </row>
    <row r="7982" hidden="1" ht="15.75" customHeight="1">
      <c r="A7982" s="2">
        <f>HYPERLINK("https://edmondsonsupply.com/collections/electricians-tools/products/diablo-tools-dmapl4160-p25-3-8-in-x-10-in-x-12-in-rebar-demon%E2%84%A2-sds-plus-4-cutter-full-carbide-head-hammer-bit-25-pack", "https://edmondsonsupply.com/collections/electricians-tools/products/diablo-tools-dmapl4160-p25-3-8-in-x-10-in-x-12-in-rebar-demon%E2%84%A2-sds-plus-4-cutter-full-carbide-head-hammer-bit-25-pack")</f>
        <v/>
      </c>
      <c r="B7982" s="2">
        <f>HYPERLINK("https://edmondsonsupply.com/products/diablo-tools-dmapl4160-p25-3-8-in-x-10-in-x-12-in-rebar-demon%e2%84%a2-sds-plus-4-cutter-full-carbide-head-hammer-bit-25-pack", "https://edmondsonsupply.com/products/diablo-tools-dmapl4160-p25-3-8-in-x-10-in-x-12-in-rebar-demon%e2%84%a2-sds-plus-4-cutter-full-carbide-head-hammer-bit-25-pack")</f>
        <v/>
      </c>
      <c r="C7982" t="inlineStr">
        <is>
          <t>Diablo Tools DMAPL4160-P25 3/8 in. x 10 in. x 12 in. Rebar Demon™ SDS-Plus 4-Cutter Full Carbide Head Hammer Bit (25 pack)</t>
        </is>
      </c>
      <c r="D7982" t="inlineStr">
        <is>
          <t>Diablo DMAPL4120 5/16 in. x 10 in. x 12 in. Rebar Demon™ SDS-Plus 4-Cutter Full Carbide Head Hammer Bit</t>
        </is>
      </c>
      <c r="E7982" s="2">
        <f>HYPERLINK("https://www.amazon.com/Diablo-SDS-Plus-4-Cutter-Carbide-Hammer/dp/B089KTHL12/ref=sr_1_6?keywords=Diablo+Tools+DMAPL4160-P25+3%2F8+in.+x+10+in.+x+12+in.+Rebar+Demon%E2%84%A2+SDS-Plus+4-Cutter+Full+Carbide+Head+Hammer+Bit+%2825+pack%29&amp;qid=1694735286&amp;sr=8-6", "https://www.amazon.com/Diablo-SDS-Plus-4-Cutter-Carbide-Hammer/dp/B089KTHL12/ref=sr_1_6?keywords=Diablo+Tools+DMAPL4160-P25+3%2F8+in.+x+10+in.+x+12+in.+Rebar+Demon%E2%84%A2+SDS-Plus+4-Cutter+Full+Carbide+Head+Hammer+Bit+%2825+pack%29&amp;qid=1694735286&amp;sr=8-6")</f>
        <v/>
      </c>
      <c r="F7982" t="inlineStr">
        <is>
          <t>B089KTHL12</t>
        </is>
      </c>
      <c r="G7982">
        <f>_xludf.IMAGE("https://edmondsonsupply.com/cdn/shop/products/DMAPL4160_Main-Image20200702.png?v=1633030463")</f>
        <v/>
      </c>
      <c r="H7982">
        <f>_xludf.IMAGE("https://m.media-amazon.com/images/I/61P8b1v1TBL._AC_UL320_.jpg")</f>
        <v/>
      </c>
      <c r="K7982" t="inlineStr">
        <is>
          <t>195.97</t>
        </is>
      </c>
      <c r="L7982" t="n">
        <v>12.99</v>
      </c>
      <c r="M7982" s="1" t="inlineStr">
        <is>
          <t>-93.37%</t>
        </is>
      </c>
      <c r="N7982" s="1" t="n"/>
      <c r="O7982" t="n">
        <v>5</v>
      </c>
      <c r="P7982" t="n">
        <v>6</v>
      </c>
      <c r="R7982" t="inlineStr">
        <is>
          <t>InStock</t>
        </is>
      </c>
      <c r="S7982" t="inlineStr">
        <is>
          <t>283.58</t>
        </is>
      </c>
      <c r="T7982" t="inlineStr">
        <is>
          <t>5361994236072</t>
        </is>
      </c>
    </row>
    <row r="7983" hidden="1" ht="15.75" customHeight="1">
      <c r="A7983" s="2">
        <f>HYPERLINK("https://edmondsonsupply.com/collections/electricians-tools/products/diablo-tools-dmapl4180-p25-1-2-in-x-4-in-x-6-in-rebar-demon%E2%84%A2-sds-plus-4-cutter-full-carbide-head-hammer-bit-25-pack", "https://edmondsonsupply.com/collections/electricians-tools/products/diablo-tools-dmapl4180-p25-1-2-in-x-4-in-x-6-in-rebar-demon%E2%84%A2-sds-plus-4-cutter-full-carbide-head-hammer-bit-25-pack")</f>
        <v/>
      </c>
      <c r="B7983" s="2">
        <f>HYPERLINK("https://edmondsonsupply.com/products/diablo-tools-dmapl4180-p25-1-2-in-x-4-in-x-6-in-rebar-demon%e2%84%a2-sds-plus-4-cutter-full-carbide-head-hammer-bit-25-pack", "https://edmondsonsupply.com/products/diablo-tools-dmapl4180-p25-1-2-in-x-4-in-x-6-in-rebar-demon%e2%84%a2-sds-plus-4-cutter-full-carbide-head-hammer-bit-25-pack")</f>
        <v/>
      </c>
      <c r="C7983" t="inlineStr">
        <is>
          <t>Diablo Tools DMAPL4180-P25 1/2 in. x 4 in. x 6 in. Rebar Demon™ SDS-Plus 4-Cutter Full Carbide Head Hammer Bit (25 Pack)</t>
        </is>
      </c>
      <c r="D7983" t="inlineStr">
        <is>
          <t>Diablo by Freud Diablo DMAPL4070 1/4 in. x 4 in. x 6 in. Rebar Demon SDS-Plus 4-Cutter Full Carbide Head Hammer Bit</t>
        </is>
      </c>
      <c r="E7983" s="2">
        <f>HYPERLINK("https://www.amazon.com/Diablo-Freud-DMAPL4070-SDS-Plus-4-Cutter/dp/B089KVLDML/ref=sr_1_4?keywords=Diablo+Tools+DMAPL4180-P25+1%2F2+in.+x+4+in.+x+6+in.+Rebar+Demon%E2%84%A2+SDS-Plus+4-Cutter+Full+Carbide+Head+Hammer+Bit+%2825+Pack%29&amp;qid=1694735263&amp;sr=8-4", "https://www.amazon.com/Diablo-Freud-DMAPL4070-SDS-Plus-4-Cutter/dp/B089KVLDML/ref=sr_1_4?keywords=Diablo+Tools+DMAPL4180-P25+1%2F2+in.+x+4+in.+x+6+in.+Rebar+Demon%E2%84%A2+SDS-Plus+4-Cutter+Full+Carbide+Head+Hammer+Bit+%2825+Pack%29&amp;qid=1694735263&amp;sr=8-4")</f>
        <v/>
      </c>
      <c r="F7983" t="inlineStr">
        <is>
          <t>B089KVLDML</t>
        </is>
      </c>
      <c r="G7983">
        <f>_xludf.IMAGE("https://edmondsonsupply.com/cdn/shop/products/DMAPL4180-P25_Additional-Images_0120200331.png?v=1633030573")</f>
        <v/>
      </c>
      <c r="H7983">
        <f>_xludf.IMAGE("https://m.media-amazon.com/images/I/61fLLQz5xPL._AC_UL320_.jpg")</f>
        <v/>
      </c>
      <c r="K7983" t="inlineStr">
        <is>
          <t>133.97</t>
        </is>
      </c>
      <c r="L7983" t="n">
        <v>8.84</v>
      </c>
      <c r="M7983" s="1" t="inlineStr">
        <is>
          <t>-93.40%</t>
        </is>
      </c>
      <c r="N7983" s="1" t="n"/>
      <c r="O7983" t="n">
        <v>4.4</v>
      </c>
      <c r="P7983" t="n">
        <v>28</v>
      </c>
      <c r="R7983" t="inlineStr">
        <is>
          <t>InStock</t>
        </is>
      </c>
      <c r="S7983" t="inlineStr">
        <is>
          <t>193.66</t>
        </is>
      </c>
      <c r="T7983" t="inlineStr">
        <is>
          <t>5524246659240</t>
        </is>
      </c>
    </row>
    <row r="7984" ht="87" customHeight="1">
      <c r="A7984" s="2">
        <f>HYPERLINK("https://edmondsonsupply.com/collections/electricians-tools/products/fluke-971-temperature-humidity-meter", "https://edmondsonsupply.com/collections/electricians-tools/products/fluke-971-temperature-humidity-meter")</f>
        <v/>
      </c>
      <c r="B7984" s="2">
        <f>HYPERLINK("https://edmondsonsupply.com/products/fluke-971-temperature-humidity-meter", "https://edmondsonsupply.com/products/fluke-971-temperature-humidity-meter")</f>
        <v/>
      </c>
      <c r="C7984" t="inlineStr">
        <is>
          <t>Fluke 971 Temperature Humidity Meter</t>
        </is>
      </c>
      <c r="D7984" t="inlineStr">
        <is>
          <t>co2CREA Hard Travel Case Replacement for Fluke 971 Temperature Humidity Meter</t>
        </is>
      </c>
      <c r="E7984" s="2">
        <f>HYPERLINK("https://www.amazon.com/Co2Crea-Travel-Fluke-Temperature-Humidity/dp/B07PWK6C9S/ref=sr_1_2?keywords=Fluke+971+Temperature+Humidity+Meter&amp;qid=1694735224&amp;sr=8-2", "https://www.amazon.com/Co2Crea-Travel-Fluke-Temperature-Humidity/dp/B07PWK6C9S/ref=sr_1_2?keywords=Fluke+971+Temperature+Humidity+Meter&amp;qid=1694735224&amp;sr=8-2")</f>
        <v/>
      </c>
      <c r="F7984" t="inlineStr">
        <is>
          <t>B07PWK6C9S</t>
        </is>
      </c>
      <c r="G7984">
        <f>_xlfn.IMAGE("https://edmondsonsupply.com/cdn/shop/products/971_72dpi_495x1024px_E_NR-9830.jpg?v=1633030933")</f>
        <v/>
      </c>
      <c r="H7984">
        <f>_xlfn.IMAGE("https://m.media-amazon.com/images/I/71r9OtdekbL._AC_UL320_.jpg")</f>
        <v/>
      </c>
      <c r="K7984" t="inlineStr">
        <is>
          <t>429.78</t>
        </is>
      </c>
      <c r="L7984" t="n">
        <v>26.99</v>
      </c>
      <c r="M7984" s="1" t="inlineStr">
        <is>
          <t>-93.72%</t>
        </is>
      </c>
      <c r="N7984" s="7" t="n"/>
      <c r="O7984" t="n">
        <v>4.7</v>
      </c>
      <c r="P7984" t="n">
        <v>58</v>
      </c>
      <c r="R7984" t="inlineStr">
        <is>
          <t>InStock</t>
        </is>
      </c>
      <c r="S7984" t="inlineStr">
        <is>
          <t>470.99</t>
        </is>
      </c>
      <c r="T7984" t="inlineStr">
        <is>
          <t>6560300728493</t>
        </is>
      </c>
    </row>
    <row r="7985" hidden="1" ht="15.75" customHeight="1">
      <c r="A7985" s="2">
        <f>HYPERLINK("https://edmondsonsupply.com/collections/electricians-tools/products/diablo-tools-dmapl2240-p25-3-8-in-x-10-in-x-12-in-sds-plus-2-cutter-25-pack", "https://edmondsonsupply.com/collections/electricians-tools/products/diablo-tools-dmapl2240-p25-3-8-in-x-10-in-x-12-in-sds-plus-2-cutter-25-pack")</f>
        <v/>
      </c>
      <c r="B7985" s="2">
        <f>HYPERLINK("https://edmondsonsupply.com/products/diablo-tools-dmapl2240-p25-3-8-in-x-10-in-x-12-in-sds-plus-2-cutter-25-pack", "https://edmondsonsupply.com/products/diablo-tools-dmapl2240-p25-3-8-in-x-10-in-x-12-in-sds-plus-2-cutter-25-pack")</f>
        <v/>
      </c>
      <c r="C7985" t="inlineStr">
        <is>
          <t>Diablo Tools DMAPL2240-P25 3/8 in. x 10 in. x 12 in. SDS-Plus 2-Cutter (25 Pack)</t>
        </is>
      </c>
      <c r="D7985" t="inlineStr">
        <is>
          <t>Diablo DMAPL2240 3/8 in. x 10 in. x 12 in. SDS-Plus 2-Cutter</t>
        </is>
      </c>
      <c r="E7985" s="2">
        <f>HYPERLINK("https://www.amazon.com/Diablo-10-12-SDS-Plus-2-Cutter/dp/B089KVWDFV/ref=sr_1_2?keywords=Diablo+Tools+DMAPL2240-P25+3%2F8+in.+x+10+in.+x+12+in.+SDS-Plus+2-Cutter+%2825+Pack%29&amp;qid=1694735272&amp;sr=8-2", "https://www.amazon.com/Diablo-10-12-SDS-Plus-2-Cutter/dp/B089KVWDFV/ref=sr_1_2?keywords=Diablo+Tools+DMAPL2240-P25+3%2F8+in.+x+10+in.+x+12+in.+SDS-Plus+2-Cutter+%2825+Pack%29&amp;qid=1694735272&amp;sr=8-2")</f>
        <v/>
      </c>
      <c r="F7985" t="inlineStr">
        <is>
          <t>B089KVWDFV</t>
        </is>
      </c>
      <c r="G7985">
        <f>_xludf.IMAGE("https://edmondsonsupply.com/cdn/shop/products/DMAPL2240-P25_Additional-Images_0120200331.png?v=1633030515")</f>
        <v/>
      </c>
      <c r="H7985">
        <f>_xludf.IMAGE("https://m.media-amazon.com/images/I/61jSXDDK72L._AC_UL320_.jpg")</f>
        <v/>
      </c>
      <c r="K7985" t="inlineStr">
        <is>
          <t>184.97</t>
        </is>
      </c>
      <c r="L7985" t="n">
        <v>10.97</v>
      </c>
      <c r="M7985" s="1" t="inlineStr">
        <is>
          <t>-94.07%</t>
        </is>
      </c>
      <c r="N7985" s="1" t="n"/>
      <c r="O7985" t="n">
        <v>5</v>
      </c>
      <c r="P7985" t="n">
        <v>1</v>
      </c>
      <c r="R7985" t="inlineStr">
        <is>
          <t>InStock</t>
        </is>
      </c>
      <c r="S7985" t="inlineStr">
        <is>
          <t>257.8</t>
        </is>
      </c>
      <c r="T7985" t="inlineStr">
        <is>
          <t>5395598442664</t>
        </is>
      </c>
    </row>
    <row r="7986" ht="87" customHeight="1">
      <c r="A7986" s="2">
        <f>HYPERLINK("https://edmondsonsupply.com/collections/electricians-tools/products/fluke-87v", "https://edmondsonsupply.com/collections/electricians-tools/products/fluke-87v")</f>
        <v/>
      </c>
      <c r="B7986" s="2">
        <f>HYPERLINK("https://edmondsonsupply.com/products/fluke-87v", "https://edmondsonsupply.com/products/fluke-87v")</f>
        <v/>
      </c>
      <c r="C7986" t="inlineStr">
        <is>
          <t>Fluke 87V Industrial Multimeter</t>
        </is>
      </c>
      <c r="D7986" t="inlineStr">
        <is>
          <t>RLSOCO Hard Case for Fluke 87V MAX Digital Multimeter/Fluke 87V/E2 Industrial Electrician Combo Kit</t>
        </is>
      </c>
      <c r="E7986" s="2">
        <f>HYPERLINK("https://www.amazon.com/RLSOCO-Digital-Multimeter-Industrial-Electrician/dp/B0BVVVF8S6/ref=sr_1_6?keywords=Fluke+87V+Industrial+Multimeter&amp;qid=1694735314&amp;sr=8-6", "https://www.amazon.com/RLSOCO-Digital-Multimeter-Industrial-Electrician/dp/B0BVVVF8S6/ref=sr_1_6?keywords=Fluke+87V+Industrial+Multimeter&amp;qid=1694735314&amp;sr=8-6")</f>
        <v/>
      </c>
      <c r="F7986" t="inlineStr">
        <is>
          <t>B0BVVVF8S6</t>
        </is>
      </c>
      <c r="G7986">
        <f>_xlfn.IMAGE("https://edmondsonsupply.com/cdn/shop/products/875.jpg?v=1633030274")</f>
        <v/>
      </c>
      <c r="H7986">
        <f>_xlfn.IMAGE("https://m.media-amazon.com/images/I/81kHqGKfD6L._AC_UL320_.jpg")</f>
        <v/>
      </c>
      <c r="K7986" t="inlineStr">
        <is>
          <t>459.89</t>
        </is>
      </c>
      <c r="L7986" t="n">
        <v>26.99</v>
      </c>
      <c r="M7986" s="1" t="inlineStr">
        <is>
          <t>-94.13%</t>
        </is>
      </c>
      <c r="N7986" s="7" t="n"/>
      <c r="O7986" t="n">
        <v>4.5</v>
      </c>
      <c r="P7986" t="n">
        <v>38</v>
      </c>
      <c r="R7986" t="inlineStr">
        <is>
          <t>InStock</t>
        </is>
      </c>
      <c r="S7986" t="inlineStr">
        <is>
          <t>521.99</t>
        </is>
      </c>
      <c r="T7986" t="inlineStr">
        <is>
          <t>5238369452200</t>
        </is>
      </c>
    </row>
    <row r="7987" hidden="1" ht="15.75" customHeight="1">
      <c r="A7987" s="2">
        <f>HYPERLINK("https://edmondsonsupply.com/collections/electricians-tools/products/milwaukee-2746-20-m18-fuel%E2%84%A2-18-gauge-brad-nailer-tool-only", "https://edmondsonsupply.com/collections/electricians-tools/products/milwaukee-2746-20-m18-fuel%E2%84%A2-18-gauge-brad-nailer-tool-only")</f>
        <v/>
      </c>
      <c r="B7987" s="2">
        <f>HYPERLINK("https://edmondsonsupply.com/products/milwaukee-2746-20-m18-fuel%e2%84%a2-18-gauge-brad-nailer-tool-only", "https://edmondsonsupply.com/products/milwaukee-2746-20-m18-fuel%e2%84%a2-18-gauge-brad-nailer-tool-only")</f>
        <v/>
      </c>
      <c r="C7987" t="inlineStr">
        <is>
          <t>Milwaukee 2746-20 M18 FUEL™ 18 Gauge Brad Nailer (TOOL ONLY)</t>
        </is>
      </c>
      <c r="D7987" t="inlineStr">
        <is>
          <t>42-38-0017 No Mar Tip Kit For Milwaukee M18 2746-20 Nailer No-Mar Pad Kit, 18 Gauge Brad Nailer Tips Set Of 3 (No Mar Tip Kit（4pack）)</t>
        </is>
      </c>
      <c r="E7987" s="2">
        <f>HYPERLINK("https://www.amazon.com/42-38-0017-Milwaukee-2746-20-Nailer-Kit%EF%BC%884pack%EF%BC%89/dp/B0C9R2W6VB/ref=sr_1_4?keywords=Milwaukee+2746-20+M18+FUEL%E2%84%A2+18+Gauge+Brad+Nailer+%28TOOL+ONLY%29&amp;qid=1694735058&amp;sr=8-4", "https://www.amazon.com/42-38-0017-Milwaukee-2746-20-Nailer-Kit%EF%BC%884pack%EF%BC%89/dp/B0C9R2W6VB/ref=sr_1_4?keywords=Milwaukee+2746-20+M18+FUEL%E2%84%A2+18+Gauge+Brad+Nailer+%28TOOL+ONLY%29&amp;qid=1694735058&amp;sr=8-4")</f>
        <v/>
      </c>
      <c r="F7987" t="inlineStr">
        <is>
          <t>B0C9R2W6VB</t>
        </is>
      </c>
      <c r="G7987">
        <f>_xludf.IMAGE("https://edmondsonsupply.com/cdn/shop/products/2746-20_1.png?v=1672864388")</f>
        <v/>
      </c>
      <c r="H7987">
        <f>_xludf.IMAGE("https://m.media-amazon.com/images/I/61IIHif55dL._AC_UL320_.jpg")</f>
        <v/>
      </c>
      <c r="K7987" t="inlineStr">
        <is>
          <t>299.0</t>
        </is>
      </c>
      <c r="L7987" t="n">
        <v>15.99</v>
      </c>
      <c r="M7987" s="1" t="inlineStr">
        <is>
          <t>-94.65%</t>
        </is>
      </c>
      <c r="N7987" s="1" t="n"/>
      <c r="O7987" t="n">
        <v>1</v>
      </c>
      <c r="P7987" t="n">
        <v>3</v>
      </c>
      <c r="R7987" t="inlineStr">
        <is>
          <t>InStock</t>
        </is>
      </c>
      <c r="S7987" t="inlineStr">
        <is>
          <t>526.0</t>
        </is>
      </c>
      <c r="T7987" t="inlineStr">
        <is>
          <t>7916440748248</t>
        </is>
      </c>
    </row>
    <row r="7988" hidden="1" ht="15.75" customHeight="1">
      <c r="A7988" s="2">
        <f>HYPERLINK("https://edmondsonsupply.com/collections/electricians-tools/products/klein-tools-nrhd4-4-in-1-square-impact-socket", "https://edmondsonsupply.com/collections/electricians-tools/products/klein-tools-nrhd4-4-in-1-square-impact-socket")</f>
        <v/>
      </c>
      <c r="B7988" s="2">
        <f>HYPERLINK("https://edmondsonsupply.com/products/klein-tools-nrhd4-4-in-1-square-impact-socket", "https://edmondsonsupply.com/products/klein-tools-nrhd4-4-in-1-square-impact-socket")</f>
        <v/>
      </c>
      <c r="C7988" t="inlineStr">
        <is>
          <t>Klein Tools NRHD4 4-in-1 Square Impact Socket</t>
        </is>
      </c>
      <c r="D7988" t="inlineStr">
        <is>
          <t>Klein Tools 66079 Impact Flip Socket Adapter, Small 1/4 to 1/4 -Inch Hex Adapter, Use with Klein Tools Flip Impact Socket Set 66070</t>
        </is>
      </c>
      <c r="E7988" s="2">
        <f>HYPERLINK("https://www.amazon.com/Klein-Tools-66079-Impact-Adapter/dp/B0B33WGYX5/ref=sr_1_11?keywords=Klein+Tools+NRHD4+4-in-1+Square+Impact+Socket&amp;qid=1694735425&amp;sr=8-11", "https://www.amazon.com/Klein-Tools-66079-Impact-Adapter/dp/B0B33WGYX5/ref=sr_1_11?keywords=Klein+Tools+NRHD4+4-in-1+Square+Impact+Socket&amp;qid=1694735425&amp;sr=8-11")</f>
        <v/>
      </c>
      <c r="F7988" t="inlineStr">
        <is>
          <t>B0B33WGYX5</t>
        </is>
      </c>
      <c r="G7988">
        <f>_xludf.IMAGE("https://edmondsonsupply.com/cdn/shop/products/nrhd4.jpg?v=1587150980")</f>
        <v/>
      </c>
      <c r="H7988">
        <f>_xludf.IMAGE("https://m.media-amazon.com/images/I/41eZRUf3qGL._AC_UL320_.jpg")</f>
        <v/>
      </c>
      <c r="K7988" t="inlineStr">
        <is>
          <t>179.99</t>
        </is>
      </c>
      <c r="L7988" t="n">
        <v>9.6</v>
      </c>
      <c r="M7988" s="1" t="inlineStr">
        <is>
          <t>-94.67%</t>
        </is>
      </c>
      <c r="N7988" s="1" t="n"/>
      <c r="O7988" t="n">
        <v>3.8</v>
      </c>
      <c r="P7988" t="n">
        <v>5</v>
      </c>
      <c r="R7988" t="inlineStr">
        <is>
          <t>InStock</t>
        </is>
      </c>
      <c r="S7988" t="inlineStr">
        <is>
          <t>291.34</t>
        </is>
      </c>
      <c r="T7988" t="inlineStr">
        <is>
          <t>4396986433636</t>
        </is>
      </c>
    </row>
    <row r="7989" hidden="1" ht="15.75" customHeight="1">
      <c r="A7989" s="2">
        <f>HYPERLINK("https://edmondsonsupply.com/collections/electricians-tools/products/fluke-64-max-ir-thermometer", "https://edmondsonsupply.com/collections/electricians-tools/products/fluke-64-max-ir-thermometer")</f>
        <v/>
      </c>
      <c r="B7989" s="2">
        <f>HYPERLINK("https://edmondsonsupply.com/products/fluke-64-max-ir-thermometer", "https://edmondsonsupply.com/products/fluke-64-max-ir-thermometer")</f>
        <v/>
      </c>
      <c r="C7989" t="inlineStr">
        <is>
          <t>Fluke 64 MAX IR Thermometer</t>
        </is>
      </c>
      <c r="D7989" t="inlineStr">
        <is>
          <t>LTGEM Case for Fluke 62 Max/Fluke 64/Fluke 59 Max+ Infrared IR Thermometer (Case Only)</t>
        </is>
      </c>
      <c r="E7989" s="2">
        <f>HYPERLINK("https://www.amazon.com/LTGEM-Case-Fluke-Infrared-Thermometer-Black/dp/B06XX5Z4K1/ref=sr_1_3?keywords=Fluke+64+MAX+IR+Thermometer&amp;qid=1694735085&amp;sr=8-3", "https://www.amazon.com/LTGEM-Case-Fluke-Infrared-Thermometer-Black/dp/B06XX5Z4K1/ref=sr_1_3?keywords=Fluke+64+MAX+IR+Thermometer&amp;qid=1694735085&amp;sr=8-3")</f>
        <v/>
      </c>
      <c r="F7989" t="inlineStr">
        <is>
          <t>B06XX5Z4K1</t>
        </is>
      </c>
      <c r="G7989">
        <f>_xludf.IMAGE("https://edmondsonsupply.com/cdn/shop/products/fluke_64max_portrait_1500x1000_dcb53742-d539-4285-8994-6293320d293a.webp?v=1668107951")</f>
        <v/>
      </c>
      <c r="H7989">
        <f>_xludf.IMAGE("https://m.media-amazon.com/images/I/81zfVObJ5ZL._AC_UY218_.jpg")</f>
        <v/>
      </c>
      <c r="K7989" t="inlineStr">
        <is>
          <t>254.99</t>
        </is>
      </c>
      <c r="L7989" t="n">
        <v>11.99</v>
      </c>
      <c r="M7989" s="1" t="inlineStr">
        <is>
          <t>-95.30%</t>
        </is>
      </c>
      <c r="N7989" s="1" t="n"/>
      <c r="O7989" t="n">
        <v>4.6</v>
      </c>
      <c r="P7989" t="n">
        <v>379</v>
      </c>
      <c r="R7989" t="inlineStr">
        <is>
          <t>OutOfStock</t>
        </is>
      </c>
      <c r="S7989" t="inlineStr">
        <is>
          <t>269.99</t>
        </is>
      </c>
      <c r="T7989" t="inlineStr">
        <is>
          <t>7880837398744</t>
        </is>
      </c>
    </row>
    <row r="7990" hidden="1" ht="15.75" customHeight="1">
      <c r="A7990" s="2">
        <f>HYPERLINK("https://edmondsonsupply.com/collections/electricians-tools/products/fluke-64-max-ir-thermometer", "https://edmondsonsupply.com/collections/electricians-tools/products/fluke-64-max-ir-thermometer")</f>
        <v/>
      </c>
      <c r="B7990" s="2">
        <f>HYPERLINK("https://edmondsonsupply.com/products/fluke-64-max-ir-thermometer", "https://edmondsonsupply.com/products/fluke-64-max-ir-thermometer")</f>
        <v/>
      </c>
      <c r="C7990" t="inlineStr">
        <is>
          <t>Fluke 64 MAX IR Thermometer</t>
        </is>
      </c>
      <c r="D7990" t="inlineStr">
        <is>
          <t>KingSung Infrared Thermometer Hard Carrying Case for Fluke 62 Max/59 Max+/64 MAX/Etekcity 1080/774/800 ThermoPro TP30 /TP450 , Built-in Soft Fleece and EVA Strong Drop-Resistant Shell,Yellow</t>
        </is>
      </c>
      <c r="E7990" s="2">
        <f>HYPERLINK("https://www.amazon.com/KingSung-Infrared-Thermometer-ThermoPro-Drop-Resistant/dp/B0BJ1M2PB5/ref=sr_1_9?keywords=Fluke+64+MAX+IR+Thermometer&amp;qid=1694735085&amp;sr=8-9", "https://www.amazon.com/KingSung-Infrared-Thermometer-ThermoPro-Drop-Resistant/dp/B0BJ1M2PB5/ref=sr_1_9?keywords=Fluke+64+MAX+IR+Thermometer&amp;qid=1694735085&amp;sr=8-9")</f>
        <v/>
      </c>
      <c r="F7990" t="inlineStr">
        <is>
          <t>B0BJ1M2PB5</t>
        </is>
      </c>
      <c r="G7990">
        <f>_xludf.IMAGE("https://edmondsonsupply.com/cdn/shop/products/fluke_64max_portrait_1500x1000_dcb53742-d539-4285-8994-6293320d293a.webp?v=1668107951")</f>
        <v/>
      </c>
      <c r="H7990">
        <f>_xludf.IMAGE("https://m.media-amazon.com/images/I/81SowGSP+eL._AC_UY218_.jpg")</f>
        <v/>
      </c>
      <c r="K7990" t="inlineStr">
        <is>
          <t>254.99</t>
        </is>
      </c>
      <c r="L7990" t="n">
        <v>11.99</v>
      </c>
      <c r="M7990" s="1" t="inlineStr">
        <is>
          <t>-95.30%</t>
        </is>
      </c>
      <c r="N7990" s="1" t="n"/>
      <c r="O7990" t="n">
        <v>4.7</v>
      </c>
      <c r="P7990" t="n">
        <v>15</v>
      </c>
      <c r="R7990" t="inlineStr">
        <is>
          <t>OutOfStock</t>
        </is>
      </c>
      <c r="S7990" t="inlineStr">
        <is>
          <t>269.99</t>
        </is>
      </c>
      <c r="T7990" t="inlineStr">
        <is>
          <t>7880837398744</t>
        </is>
      </c>
    </row>
    <row r="7991" hidden="1" ht="15.75" customHeight="1">
      <c r="A7991" s="2">
        <f>HYPERLINK("https://edmondsonsupply.com/collections/electricians-tools/products/klein-tools-57032-screwdriver-set-torque-6-piece", "https://edmondsonsupply.com/collections/electricians-tools/products/klein-tools-57032-screwdriver-set-torque-6-piece")</f>
        <v/>
      </c>
      <c r="B7991" s="2">
        <f>HYPERLINK("https://edmondsonsupply.com/products/klein-tools-57032-screwdriver-set-torque-6-piece", "https://edmondsonsupply.com/products/klein-tools-57032-screwdriver-set-torque-6-piece")</f>
        <v/>
      </c>
      <c r="C7991" t="inlineStr">
        <is>
          <t>Klein Tools 57032 Screwdriver Set, Torque, 6-Piece</t>
        </is>
      </c>
      <c r="D7991" t="inlineStr">
        <is>
          <t>Klein Tools 85742 Screwdriver Set, 3/16 Cabinet and 2 Phillips Precision Machined Tips, Cushion-Grip Handles, Round Shank, 2-Piece</t>
        </is>
      </c>
      <c r="E7991" s="2">
        <f>HYPERLINK("https://www.amazon.com/Screwdriver-Cushion-Grip-Klein-Tools-85742/dp/B0917X34P6/ref=sr_1_6?keywords=Klein+Tools+57032+Screwdriver+Set%2C+Torque%2C+6-Piece&amp;qid=1694735042&amp;sr=8-6", "https://www.amazon.com/Screwdriver-Cushion-Grip-Klein-Tools-85742/dp/B0917X34P6/ref=sr_1_6?keywords=Klein+Tools+57032+Screwdriver+Set%2C+Torque%2C+6-Piece&amp;qid=1694735042&amp;sr=8-6")</f>
        <v/>
      </c>
      <c r="F7991" t="inlineStr">
        <is>
          <t>B0917X34P6</t>
        </is>
      </c>
      <c r="G7991">
        <f>_xludf.IMAGE("https://edmondsonsupply.com/cdn/shop/products/57032set.jpg?v=1675348782")</f>
        <v/>
      </c>
      <c r="H7991">
        <f>_xludf.IMAGE("https://m.media-amazon.com/images/I/51oASlfAJbS._AC_UL320_.jpg")</f>
        <v/>
      </c>
      <c r="K7991" t="inlineStr">
        <is>
          <t>299.99</t>
        </is>
      </c>
      <c r="L7991" t="n">
        <v>12.76</v>
      </c>
      <c r="M7991" s="1" t="inlineStr">
        <is>
          <t>-95.75%</t>
        </is>
      </c>
      <c r="N7991" s="1" t="n"/>
      <c r="O7991" t="n">
        <v>4.7</v>
      </c>
      <c r="P7991" t="n">
        <v>89</v>
      </c>
      <c r="R7991" t="inlineStr">
        <is>
          <t>InStock</t>
        </is>
      </c>
      <c r="S7991" t="inlineStr">
        <is>
          <t>433.06</t>
        </is>
      </c>
      <c r="T7991" t="inlineStr">
        <is>
          <t>7937805385944</t>
        </is>
      </c>
    </row>
    <row r="7992" hidden="1" ht="15.75" customHeight="1">
      <c r="A7992" s="2">
        <f>HYPERLINK("https://edmondsonsupply.com/collections/electricians-tools/products/milwaukee-2746-21ct-m18-fuel%E2%84%A2-18-gauge-brad-nailer-kit", "https://edmondsonsupply.com/collections/electricians-tools/products/milwaukee-2746-21ct-m18-fuel%E2%84%A2-18-gauge-brad-nailer-kit")</f>
        <v/>
      </c>
      <c r="B7992" s="2">
        <f>HYPERLINK("https://edmondsonsupply.com/products/milwaukee-2746-21ct-m18-fuel%e2%84%a2-18-gauge-brad-nailer-kit", "https://edmondsonsupply.com/products/milwaukee-2746-21ct-m18-fuel%e2%84%a2-18-gauge-brad-nailer-kit")</f>
        <v/>
      </c>
      <c r="C7992" t="inlineStr">
        <is>
          <t>Milwaukee 2746-21CT M18 FUEL™ 18 Gauge Brad Nailer Kit</t>
        </is>
      </c>
      <c r="D7992" t="inlineStr">
        <is>
          <t>42-38-0017 No Mar Tip Kit For Milwaukee M18 2746-20 Nailer No-Mar Pad Kit, 18 Gauge Brad Nailer Tips Set Of 3 (No Mar Tip Kit（4pack）)</t>
        </is>
      </c>
      <c r="E7992" s="2">
        <f>HYPERLINK("https://www.amazon.com/42-38-0017-Milwaukee-2746-20-Nailer-Kit%EF%BC%884pack%EF%BC%89/dp/B0C9R2W6VB/ref=sr_1_4?keywords=Milwaukee+2746-21CT+M18+FUEL%E2%84%A2+18+Gauge+Brad+Nailer+Kit&amp;qid=1694735067&amp;sr=8-4", "https://www.amazon.com/42-38-0017-Milwaukee-2746-20-Nailer-Kit%EF%BC%884pack%EF%BC%89/dp/B0C9R2W6VB/ref=sr_1_4?keywords=Milwaukee+2746-21CT+M18+FUEL%E2%84%A2+18+Gauge+Brad+Nailer+Kit&amp;qid=1694735067&amp;sr=8-4")</f>
        <v/>
      </c>
      <c r="F7992" t="inlineStr">
        <is>
          <t>B0C9R2W6VB</t>
        </is>
      </c>
      <c r="G7992">
        <f>_xludf.IMAGE("https://edmondsonsupply.com/cdn/shop/products/2746-21CT_KIT.webp?v=1671649531")</f>
        <v/>
      </c>
      <c r="H7992">
        <f>_xludf.IMAGE("https://m.media-amazon.com/images/I/61IIHif55dL._AC_UL320_.jpg")</f>
        <v/>
      </c>
      <c r="K7992" t="inlineStr">
        <is>
          <t>399.0</t>
        </is>
      </c>
      <c r="L7992" t="n">
        <v>15.99</v>
      </c>
      <c r="M7992" s="1" t="inlineStr">
        <is>
          <t>-95.99%</t>
        </is>
      </c>
      <c r="N7992" s="1" t="n"/>
      <c r="O7992" t="n">
        <v>1</v>
      </c>
      <c r="P7992" t="n">
        <v>3</v>
      </c>
      <c r="R7992" t="inlineStr">
        <is>
          <t>InStock</t>
        </is>
      </c>
      <c r="S7992" t="inlineStr">
        <is>
          <t>702.0</t>
        </is>
      </c>
      <c r="T7992" t="inlineStr">
        <is>
          <t>7909883773144</t>
        </is>
      </c>
    </row>
    <row r="7993" hidden="1" ht="15.75" customHeight="1">
      <c r="A7993" s="2">
        <f>HYPERLINK("https://edmondsonsupply.com/collections/electricians-tools/products/fluke-179-true-rms-digital-multimeter", "https://edmondsonsupply.com/collections/electricians-tools/products/fluke-179-true-rms-digital-multimeter")</f>
        <v/>
      </c>
      <c r="B7993" s="2">
        <f>HYPERLINK("https://edmondsonsupply.com/products/fluke-179-true-rms-digital-multimeter", "https://edmondsonsupply.com/products/fluke-179-true-rms-digital-multimeter")</f>
        <v/>
      </c>
      <c r="C7993" t="inlineStr">
        <is>
          <t>Fluke 179 True-RMS Digital Multimeter</t>
        </is>
      </c>
      <c r="D7993" t="inlineStr">
        <is>
          <t>Hard Case for Fluke 117/115/116 Electricians True RMS Digital Multimeter, Protective Carrying Storage Bag with Accessories Mesh Pocket, by COMECASE</t>
        </is>
      </c>
      <c r="E7993" s="2">
        <f>HYPERLINK("https://www.amazon.com/Electricians-Multimeter-Protective-Carrying-Accessories/dp/B07YWK7XSS/ref=sr_1_40?keywords=Fluke+179+True-RMS+Digital+Multimeter&amp;qid=1694735225&amp;sr=8-40", "https://www.amazon.com/Electricians-Multimeter-Protective-Carrying-Accessories/dp/B07YWK7XSS/ref=sr_1_40?keywords=Fluke+179+True-RMS+Digital+Multimeter&amp;qid=1694735225&amp;sr=8-40")</f>
        <v/>
      </c>
      <c r="F7993" t="inlineStr">
        <is>
          <t>B07YWK7XSS</t>
        </is>
      </c>
      <c r="G7993">
        <f>_xludf.IMAGE("https://edmondsonsupply.com/cdn/shop/products/e0021116_431x600_31fa1fdc-90ee-45e4-8560-4be681a24cfe.jpg?v=1633030926")</f>
        <v/>
      </c>
      <c r="H7993">
        <f>_xludf.IMAGE("https://m.media-amazon.com/images/I/81KTCEMSu5L._AC_UL320_.jpg")</f>
        <v/>
      </c>
      <c r="K7993" t="inlineStr">
        <is>
          <t>394.19</t>
        </is>
      </c>
      <c r="L7993" t="n">
        <v>13.99</v>
      </c>
      <c r="M7993" s="1" t="inlineStr">
        <is>
          <t>-96.45%</t>
        </is>
      </c>
      <c r="N7993" s="1" t="n"/>
      <c r="O7993" t="n">
        <v>4.5</v>
      </c>
      <c r="P7993" t="n">
        <v>717</v>
      </c>
      <c r="R7993" t="inlineStr">
        <is>
          <t>OutOfStock</t>
        </is>
      </c>
      <c r="S7993" t="inlineStr">
        <is>
          <t>437.99</t>
        </is>
      </c>
      <c r="T7993" t="inlineStr">
        <is>
          <t>6544506060973</t>
        </is>
      </c>
    </row>
    <row r="7994" ht="87" customHeight="1">
      <c r="A7994" s="2">
        <f>HYPERLINK("https://edmondsonsupply.com/collections/electricians-tools/products/fluke-87v", "https://edmondsonsupply.com/collections/electricians-tools/products/fluke-87v")</f>
        <v/>
      </c>
      <c r="B7994" s="2">
        <f>HYPERLINK("https://edmondsonsupply.com/products/fluke-87v", "https://edmondsonsupply.com/products/fluke-87v")</f>
        <v/>
      </c>
      <c r="C7994" t="inlineStr">
        <is>
          <t>Fluke 87V Industrial Multimeter</t>
        </is>
      </c>
      <c r="D7994" t="inlineStr">
        <is>
          <t>COMECASE Hard Carrying Case for Fluke 87-V/ 87V Max/ 88V Digital Multimeter, Protective Travel Storage Bag.</t>
        </is>
      </c>
      <c r="E7994" s="2">
        <f>HYPERLINK("https://www.amazon.com/COMECASE-Carrying-Digital-Multimeter-Protective/dp/B07VPMK96C/ref=sr_1_19?keywords=Fluke+87V+Industrial+Multimeter&amp;qid=1694735314&amp;sr=8-19", "https://www.amazon.com/COMECASE-Carrying-Digital-Multimeter-Protective/dp/B07VPMK96C/ref=sr_1_19?keywords=Fluke+87V+Industrial+Multimeter&amp;qid=1694735314&amp;sr=8-19")</f>
        <v/>
      </c>
      <c r="F7994" t="inlineStr">
        <is>
          <t>B07VPMK96C</t>
        </is>
      </c>
      <c r="G7994">
        <f>_xlfn.IMAGE("https://edmondsonsupply.com/cdn/shop/products/875.jpg?v=1633030274")</f>
        <v/>
      </c>
      <c r="H7994">
        <f>_xlfn.IMAGE("https://m.media-amazon.com/images/I/71KpkzAMBZL._AC_UL320_.jpg")</f>
        <v/>
      </c>
      <c r="K7994" t="inlineStr">
        <is>
          <t>459.89</t>
        </is>
      </c>
      <c r="L7994" t="n">
        <v>15.99</v>
      </c>
      <c r="M7994" s="1" t="inlineStr">
        <is>
          <t>-96.52%</t>
        </is>
      </c>
      <c r="N7994" s="7" t="n"/>
      <c r="O7994" t="n">
        <v>4.8</v>
      </c>
      <c r="P7994" t="n">
        <v>978</v>
      </c>
      <c r="R7994" t="inlineStr">
        <is>
          <t>InStock</t>
        </is>
      </c>
      <c r="S7994" t="inlineStr">
        <is>
          <t>521.99</t>
        </is>
      </c>
      <c r="T7994" t="inlineStr">
        <is>
          <t>5238369452200</t>
        </is>
      </c>
    </row>
    <row r="7995" hidden="1" ht="15.75" customHeight="1">
      <c r="A7995" s="2">
        <f>HYPERLINK("https://edmondsonsupply.com/collections/electricians-tools/products/klein-tools-ti290-rechargeable-pro-thermal-imager", "https://edmondsonsupply.com/collections/electricians-tools/products/klein-tools-ti290-rechargeable-pro-thermal-imager")</f>
        <v/>
      </c>
      <c r="B7995" s="2">
        <f>HYPERLINK("https://edmondsonsupply.com/products/klein-tools-ti290-rechargeable-pro-thermal-imager", "https://edmondsonsupply.com/products/klein-tools-ti290-rechargeable-pro-thermal-imager")</f>
        <v/>
      </c>
      <c r="C7995" t="inlineStr">
        <is>
          <t>Klein Tools TI290 Rechargeable Pro Thermal Imager</t>
        </is>
      </c>
      <c r="D7995" t="inlineStr">
        <is>
          <t>USA GEAR Neoprene Thermal Imager Carrying Case – Belt Loop and Pocket – Compatible with FLIR One Gen 3, Seek Thermal CompactPro, FLIR C-Series, Seek Thermal RevealPRO, Klein Tools TI250, and More</t>
        </is>
      </c>
      <c r="E7995" s="2">
        <f>HYPERLINK("https://www.amazon.com/USA-Neoprene-Thermal-Imager-Carrying/dp/B09P1WGCJG/ref=sr_1_11?keywords=Klein+Tools+TI290+Rechargeable+Pro+Thermal+Imager&amp;qid=1694735039&amp;sr=8-11", "https://www.amazon.com/USA-Neoprene-Thermal-Imager-Carrying/dp/B09P1WGCJG/ref=sr_1_11?keywords=Klein+Tools+TI290+Rechargeable+Pro+Thermal+Imager&amp;qid=1694735039&amp;sr=8-11")</f>
        <v/>
      </c>
      <c r="F7995" t="inlineStr">
        <is>
          <t>B09P1WGCJG</t>
        </is>
      </c>
      <c r="G7995">
        <f>_xludf.IMAGE("https://edmondsonsupply.com/cdn/shop/products/ti290_family.jpg?v=1677681932")</f>
        <v/>
      </c>
      <c r="H7995">
        <f>_xludf.IMAGE("https://m.media-amazon.com/images/I/71oo0hC6x+L._AC_UY218_.jpg")</f>
        <v/>
      </c>
      <c r="K7995" t="inlineStr">
        <is>
          <t>499.99</t>
        </is>
      </c>
      <c r="L7995" t="n">
        <v>12.99</v>
      </c>
      <c r="M7995" s="1" t="inlineStr">
        <is>
          <t>-97.40%</t>
        </is>
      </c>
      <c r="N7995" s="1" t="n"/>
      <c r="O7995" t="n">
        <v>3</v>
      </c>
      <c r="P7995" t="n">
        <v>1</v>
      </c>
      <c r="R7995" t="inlineStr">
        <is>
          <t>InStock</t>
        </is>
      </c>
      <c r="S7995" t="inlineStr">
        <is>
          <t>778.0</t>
        </is>
      </c>
      <c r="T7995" t="inlineStr">
        <is>
          <t>7953955717336</t>
        </is>
      </c>
    </row>
    <row r="7996" hidden="1" ht="15.75" customHeight="1">
      <c r="A7996" s="2">
        <f>HYPERLINK("https://edmondsonsupply.com/collections/electricians-tools/products/milwaukee-2746-21ct-m18-fuel%E2%84%A2-18-gauge-brad-nailer-kit", "https://edmondsonsupply.com/collections/electricians-tools/products/milwaukee-2746-21ct-m18-fuel%E2%84%A2-18-gauge-brad-nailer-kit")</f>
        <v/>
      </c>
      <c r="B7996" s="2">
        <f>HYPERLINK("https://edmondsonsupply.com/products/milwaukee-2746-21ct-m18-fuel%e2%84%a2-18-gauge-brad-nailer-kit", "https://edmondsonsupply.com/products/milwaukee-2746-21ct-m18-fuel%e2%84%a2-18-gauge-brad-nailer-kit")</f>
        <v/>
      </c>
      <c r="C7996" t="inlineStr">
        <is>
          <t>Milwaukee 2746-21CT M18 FUEL™ 18 Gauge Brad Nailer Kit</t>
        </is>
      </c>
      <c r="D7996" t="inlineStr">
        <is>
          <t>Follde 42-38-0017 No Mar Tip For Milwaukee M18 2746-20 Brad Nailer, 18ga Nailer No-mar Pad Kit For Milwaukee Nailers Bit (Set Of 3)</t>
        </is>
      </c>
      <c r="E7996" s="2">
        <f>HYPERLINK("https://www.amazon.com/Follde-42-38-0017-Milwaukee-2746-20-Nailers/dp/B0BYFTJMYT/ref=sr_1_6?keywords=Milwaukee+2746-21CT+M18+FUEL%E2%84%A2+18+Gauge+Brad+Nailer+Kit&amp;qid=1694735067&amp;sr=8-6", "https://www.amazon.com/Follde-42-38-0017-Milwaukee-2746-20-Nailers/dp/B0BYFTJMYT/ref=sr_1_6?keywords=Milwaukee+2746-21CT+M18+FUEL%E2%84%A2+18+Gauge+Brad+Nailer+Kit&amp;qid=1694735067&amp;sr=8-6")</f>
        <v/>
      </c>
      <c r="F7996" t="inlineStr">
        <is>
          <t>B0BYFTJMYT</t>
        </is>
      </c>
      <c r="G7996">
        <f>_xludf.IMAGE("https://edmondsonsupply.com/cdn/shop/products/2746-21CT_KIT.webp?v=1671649531")</f>
        <v/>
      </c>
      <c r="H7996">
        <f>_xludf.IMAGE("https://m.media-amazon.com/images/I/51t1hcWDSQL._AC_UL320_.jpg")</f>
        <v/>
      </c>
      <c r="K7996" t="inlineStr">
        <is>
          <t>399.0</t>
        </is>
      </c>
      <c r="L7996" t="n">
        <v>8.289999999999999</v>
      </c>
      <c r="M7996" s="1" t="inlineStr">
        <is>
          <t>-97.92%</t>
        </is>
      </c>
      <c r="N7996" s="1" t="n"/>
      <c r="O7996" t="n">
        <v>2.8</v>
      </c>
      <c r="P7996" t="n">
        <v>13</v>
      </c>
      <c r="R7996" t="inlineStr">
        <is>
          <t>InStock</t>
        </is>
      </c>
      <c r="S7996" t="inlineStr">
        <is>
          <t>702.0</t>
        </is>
      </c>
      <c r="T7996" t="inlineStr">
        <is>
          <t>7909883773144</t>
        </is>
      </c>
    </row>
    <row r="7997" hidden="1" ht="15.75" customHeight="1">
      <c r="A7997" s="2">
        <f>HYPERLINK("https://edmondsonsupply.com/collections/electricians-tools/products/milwaukee-2729-22-m18-fuel%E2%84%A2-deep-cut-band-saw-kit", "https://edmondsonsupply.com/collections/electricians-tools/products/milwaukee-2729-22-m18-fuel%E2%84%A2-deep-cut-band-saw-kit")</f>
        <v/>
      </c>
      <c r="B7997" s="2">
        <f>HYPERLINK("https://edmondsonsupply.com/products/milwaukee-2729-22-m18-fuel%e2%84%a2-deep-cut-band-saw-kit", "https://edmondsonsupply.com/products/milwaukee-2729-22-m18-fuel%e2%84%a2-deep-cut-band-saw-kit")</f>
        <v/>
      </c>
      <c r="C7997" t="inlineStr">
        <is>
          <t>Milwaukee 2729-22 M18 FUEL™ Deep Cut Band Saw Kit</t>
        </is>
      </c>
      <c r="D7997" t="inlineStr">
        <is>
          <t>45-69-0010 Blade Pulley Tire fits Milwaukee Band Saw Deep Cut 6225 6227 6230 6232 6232-6 6238-20 2729-20 - 2 Pack</t>
        </is>
      </c>
      <c r="E7997" s="2">
        <f>HYPERLINK("https://www.amazon.com/45-69-0010-Pulley-Milwaukee-6238-20-2729-20/dp/B0C8658L9Q/ref=sr_1_7?keywords=Milwaukee+2729-22+M18+FUEL%E2%84%A2+Deep+Cut+Band+Saw+Kit&amp;qid=1694735132&amp;sr=8-7", "https://www.amazon.com/45-69-0010-Pulley-Milwaukee-6238-20-2729-20/dp/B0C8658L9Q/ref=sr_1_7?keywords=Milwaukee+2729-22+M18+FUEL%E2%84%A2+Deep+Cut+Band+Saw+Kit&amp;qid=1694735132&amp;sr=8-7")</f>
        <v/>
      </c>
      <c r="F7997" t="inlineStr">
        <is>
          <t>B0C8658L9Q</t>
        </is>
      </c>
      <c r="G7997">
        <f>_xludf.IMAGE("https://edmondsonsupply.com/cdn/shop/products/190813alex272922XC50Kit.webp?v=1661701754")</f>
        <v/>
      </c>
      <c r="H7997">
        <f>_xludf.IMAGE("https://m.media-amazon.com/images/I/61y72sdqEvL._AC_UL320_.jpg")</f>
        <v/>
      </c>
      <c r="K7997" t="inlineStr">
        <is>
          <t>729.0</t>
        </is>
      </c>
      <c r="L7997" t="n">
        <v>9.99</v>
      </c>
      <c r="M7997" s="1" t="inlineStr">
        <is>
          <t>-98.63%</t>
        </is>
      </c>
      <c r="N7997" s="1" t="n"/>
      <c r="O7997" t="n">
        <v>5</v>
      </c>
      <c r="P7997" t="n">
        <v>3</v>
      </c>
      <c r="R7997" t="inlineStr">
        <is>
          <t>InStock</t>
        </is>
      </c>
      <c r="S7997" t="inlineStr">
        <is>
          <t>1178.0</t>
        </is>
      </c>
      <c r="T7997" t="inlineStr">
        <is>
          <t>7795892977880</t>
        </is>
      </c>
    </row>
    <row r="7998" ht="87" customHeight="1">
      <c r="A7998" s="2">
        <f>HYPERLINK("https://edmondsonsupply.com/collections/electricians-tools/products/milwaukee-48-22-1905-5-pc-general-purpose-utility-blades", "https://edmondsonsupply.com/collections/electricians-tools/products/milwaukee-48-22-1905-5-pc-general-purpose-utility-blades")</f>
        <v/>
      </c>
      <c r="B7998" s="2">
        <f>HYPERLINK("https://edmondsonsupply.com/products/milwaukee-48-22-1905-5-pc-general-purpose-utility-blades", "https://edmondsonsupply.com/products/milwaukee-48-22-1905-5-pc-general-purpose-utility-blades")</f>
        <v/>
      </c>
      <c r="C7998" t="inlineStr">
        <is>
          <t>Milwaukee 48-22-1905 5 PC General Purpose Utility Blades</t>
        </is>
      </c>
      <c r="D7998" t="inlineStr">
        <is>
          <t>Milwaukee 48-22-1952 50 PC Hook Utility Knife Blades w/ Dispenser 6 Pack</t>
        </is>
      </c>
      <c r="E7998" s="2">
        <f>HYPERLINK("https://www.amazon.com/Milwaukee-48-22-1952-Utility-Blades-Dispenser/dp/B00V775870/ref=sr_1_45?keywords=Milwaukee+48-22-1905+5+PC+General+Purpose+Utility+Blades&amp;qid=1694735432&amp;sr=8-45", "https://www.amazon.com/Milwaukee-48-22-1952-Utility-Blades-Dispenser/dp/B00V775870/ref=sr_1_45?keywords=Milwaukee+48-22-1905+5+PC+General+Purpose+Utility+Blades&amp;qid=1694735432&amp;sr=8-45")</f>
        <v/>
      </c>
      <c r="F7998" t="inlineStr">
        <is>
          <t>B00V775870</t>
        </is>
      </c>
      <c r="G7998">
        <f>_xlfn.IMAGE("https://edmondsonsupply.com/cdn/shop/products/48-22-1905_1.png?v=1661014086")</f>
        <v/>
      </c>
      <c r="H7998">
        <f>_xlfn.IMAGE("https://m.media-amazon.com/images/I/71zukg+cnyL._AC_UL320_.jpg")</f>
        <v/>
      </c>
      <c r="K7998" t="inlineStr">
        <is>
          <t>1.25</t>
        </is>
      </c>
      <c r="L7998" t="n">
        <v>270</v>
      </c>
      <c r="M7998" s="1" t="inlineStr">
        <is>
          <t>21,500.00%</t>
        </is>
      </c>
      <c r="N7998" s="7" t="n"/>
      <c r="O7998" t="n">
        <v>4.9</v>
      </c>
      <c r="P7998" t="n">
        <v>61</v>
      </c>
      <c r="R7998" t="inlineStr">
        <is>
          <t>InStock</t>
        </is>
      </c>
      <c r="S7998" t="inlineStr">
        <is>
          <t>1.9</t>
        </is>
      </c>
      <c r="T7998" t="inlineStr">
        <is>
          <t>4387855040612</t>
        </is>
      </c>
    </row>
    <row r="7999" ht="87" customHeight="1">
      <c r="A7999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7999" s="2">
        <f>HYPERLINK("https://edmondsonsupply.com/products/klein-tools-63050-high-leverage-cable-cutter", "https://edmondsonsupply.com/products/klein-tools-63050-high-leverage-cable-cutter")</f>
        <v/>
      </c>
      <c r="C7999" t="inlineStr">
        <is>
          <t>Klein Tools 63050 Cable Cutter</t>
        </is>
      </c>
      <c r="D7999" t="inlineStr">
        <is>
          <t>Klein Tools BAT20GD10 Cable Cutter, Gear Cable Cutter Battery Operated Kit With Dewalt 20 Volt 2 Ah Battery for Copper and Aluminum</t>
        </is>
      </c>
      <c r="E7999" s="2">
        <f>HYPERLINK("https://www.amazon.com/Klein-Tools-BAT20GD10-Operated-Aluminum/dp/B07VD4MDP9/ref=sr_1_35?keywords=Klein+Tools+63050+Cable+Cutter&amp;qid=1694735444&amp;sr=8-35", "https://www.amazon.com/Klein-Tools-BAT20GD10-Operated-Aluminum/dp/B07VD4MDP9/ref=sr_1_35?keywords=Klein+Tools+63050+Cable+Cutter&amp;qid=1694735444&amp;sr=8-35")</f>
        <v/>
      </c>
      <c r="F7999" t="inlineStr">
        <is>
          <t>B07VD4MDP9</t>
        </is>
      </c>
      <c r="G7999">
        <f>_xlfn.IMAGE("https://edmondsonsupply.com/cdn/shop/products/63050.jpg?v=1587143239")</f>
        <v/>
      </c>
      <c r="H7999">
        <f>_xlfn.IMAGE("https://m.media-amazon.com/images/I/51r83NLY9nL._AC_UL320_.jpg")</f>
        <v/>
      </c>
      <c r="K7999" t="inlineStr">
        <is>
          <t>32.99</t>
        </is>
      </c>
      <c r="L7999" t="n">
        <v>1341.46</v>
      </c>
      <c r="M7999" s="1" t="inlineStr">
        <is>
          <t>3,966.26%</t>
        </is>
      </c>
      <c r="N7999" s="7" t="n"/>
      <c r="O7999" t="n">
        <v>5</v>
      </c>
      <c r="P7999" t="n">
        <v>1</v>
      </c>
      <c r="R7999" t="inlineStr">
        <is>
          <t>InStock</t>
        </is>
      </c>
      <c r="S7999" t="inlineStr">
        <is>
          <t>47.96</t>
        </is>
      </c>
      <c r="T7999" t="inlineStr">
        <is>
          <t>4289689124964</t>
        </is>
      </c>
    </row>
    <row r="8000" ht="87" customHeight="1">
      <c r="A8000" s="2">
        <f>HYPERLINK("https://edmondsonsupply.com/collections/electricians-tools/products/milwaukee-48-22-1905-5-pc-general-purpose-utility-blades", "https://edmondsonsupply.com/collections/electricians-tools/products/milwaukee-48-22-1905-5-pc-general-purpose-utility-blades")</f>
        <v/>
      </c>
      <c r="B8000" s="2">
        <f>HYPERLINK("https://edmondsonsupply.com/products/milwaukee-48-22-1905-5-pc-general-purpose-utility-blades", "https://edmondsonsupply.com/products/milwaukee-48-22-1905-5-pc-general-purpose-utility-blades")</f>
        <v/>
      </c>
      <c r="C8000" t="inlineStr">
        <is>
          <t>Milwaukee 48-22-1905 5 PC General Purpose Utility Blades</t>
        </is>
      </c>
      <c r="D8000" t="inlineStr">
        <is>
          <t>Milwaukee 48-22-1902 Fastback Flip Utility Knife and 48-22-1950 General Purpose Utility Blades with Dispenser (50-Blades Included)</t>
        </is>
      </c>
      <c r="E8000" s="2">
        <f>HYPERLINK("https://www.amazon.com/Milwaukee-48-22-1902-48-22-1950-Dispenser-50-Blades/dp/B06XWJJQN2/ref=sr_1_5?keywords=Milwaukee+48-22-1905+5+PC+General+Purpose+Utility+Blades&amp;qid=1694735432&amp;sr=8-5", "https://www.amazon.com/Milwaukee-48-22-1902-48-22-1950-Dispenser-50-Blades/dp/B06XWJJQN2/ref=sr_1_5?keywords=Milwaukee+48-22-1905+5+PC+General+Purpose+Utility+Blades&amp;qid=1694735432&amp;sr=8-5")</f>
        <v/>
      </c>
      <c r="F8000" t="inlineStr">
        <is>
          <t>B06XWJJQN2</t>
        </is>
      </c>
      <c r="G8000">
        <f>_xlfn.IMAGE("https://edmondsonsupply.com/cdn/shop/products/48-22-1905_1.png?v=1661014086")</f>
        <v/>
      </c>
      <c r="H8000">
        <f>_xlfn.IMAGE("https://m.media-amazon.com/images/I/61aj6yTNXYL._AC_UL320_.jpg")</f>
        <v/>
      </c>
      <c r="K8000" t="inlineStr">
        <is>
          <t>1.25</t>
        </is>
      </c>
      <c r="L8000" t="n">
        <v>34.09</v>
      </c>
      <c r="M8000" s="1" t="inlineStr">
        <is>
          <t>2,627.20%</t>
        </is>
      </c>
      <c r="N8000" s="7" t="n"/>
      <c r="O8000" t="n">
        <v>4.4</v>
      </c>
      <c r="P8000" t="n">
        <v>29</v>
      </c>
      <c r="R8000" t="inlineStr">
        <is>
          <t>InStock</t>
        </is>
      </c>
      <c r="S8000" t="inlineStr">
        <is>
          <t>1.9</t>
        </is>
      </c>
      <c r="T8000" t="inlineStr">
        <is>
          <t>4387855040612</t>
        </is>
      </c>
    </row>
    <row r="8001" ht="87" customHeight="1">
      <c r="A8001" s="2">
        <f>HYPERLINK("https://edmondsonsupply.com/collections/electricians-tools/products/milwaukee-48-22-1905-5-pc-general-purpose-utility-blades", "https://edmondsonsupply.com/collections/electricians-tools/products/milwaukee-48-22-1905-5-pc-general-purpose-utility-blades")</f>
        <v/>
      </c>
      <c r="B8001" s="2">
        <f>HYPERLINK("https://edmondsonsupply.com/products/milwaukee-48-22-1905-5-pc-general-purpose-utility-blades", "https://edmondsonsupply.com/products/milwaukee-48-22-1905-5-pc-general-purpose-utility-blades")</f>
        <v/>
      </c>
      <c r="C8001" t="inlineStr">
        <is>
          <t>Milwaukee 48-22-1905 5 PC General Purpose Utility Blades</t>
        </is>
      </c>
      <c r="D8001" t="inlineStr">
        <is>
          <t>Milwaukee Tool 48-22-1975T (2 Pack) of 75 General Purpose Utility Blades - 150 Total</t>
        </is>
      </c>
      <c r="E8001" s="2">
        <f>HYPERLINK("https://www.amazon.com/Milwaukee-Tool-48-22-1975T-General-Purpose/dp/B097WGNC78/ref=sr_1_6?keywords=Milwaukee+48-22-1905+5+PC+General+Purpose+Utility+Blades&amp;qid=1694735432&amp;sr=8-6", "https://www.amazon.com/Milwaukee-Tool-48-22-1975T-General-Purpose/dp/B097WGNC78/ref=sr_1_6?keywords=Milwaukee+48-22-1905+5+PC+General+Purpose+Utility+Blades&amp;qid=1694735432&amp;sr=8-6")</f>
        <v/>
      </c>
      <c r="F8001" t="inlineStr">
        <is>
          <t>B097WGNC78</t>
        </is>
      </c>
      <c r="G8001">
        <f>_xlfn.IMAGE("https://edmondsonsupply.com/cdn/shop/products/48-22-1905_1.png?v=1661014086")</f>
        <v/>
      </c>
      <c r="H8001">
        <f>_xlfn.IMAGE("https://m.media-amazon.com/images/I/719pWn2XAgS._AC_UL320_.jpg")</f>
        <v/>
      </c>
      <c r="K8001" t="inlineStr">
        <is>
          <t>1.25</t>
        </is>
      </c>
      <c r="L8001" t="n">
        <v>31.71</v>
      </c>
      <c r="M8001" s="1" t="inlineStr">
        <is>
          <t>2,436.80%</t>
        </is>
      </c>
      <c r="N8001" s="7" t="n"/>
      <c r="O8001" t="n">
        <v>4.9</v>
      </c>
      <c r="P8001" t="n">
        <v>16</v>
      </c>
      <c r="R8001" t="inlineStr">
        <is>
          <t>InStock</t>
        </is>
      </c>
      <c r="S8001" t="inlineStr">
        <is>
          <t>1.9</t>
        </is>
      </c>
      <c r="T8001" t="inlineStr">
        <is>
          <t>4387855040612</t>
        </is>
      </c>
    </row>
    <row r="8002" ht="87" customHeight="1">
      <c r="A8002" s="2">
        <f>HYPERLINK("https://edmondsonsupply.com/collections/electricians-tools/products/milwaukee-48-22-1905-5-pc-general-purpose-utility-blades", "https://edmondsonsupply.com/collections/electricians-tools/products/milwaukee-48-22-1905-5-pc-general-purpose-utility-blades")</f>
        <v/>
      </c>
      <c r="B8002" s="2">
        <f>HYPERLINK("https://edmondsonsupply.com/products/milwaukee-48-22-1905-5-pc-general-purpose-utility-blades", "https://edmondsonsupply.com/products/milwaukee-48-22-1905-5-pc-general-purpose-utility-blades")</f>
        <v/>
      </c>
      <c r="C8002" t="inlineStr">
        <is>
          <t>Milwaukee 48-22-1905 5 PC General Purpose Utility Blades</t>
        </is>
      </c>
      <c r="D8002" t="inlineStr">
        <is>
          <t>Milwaukee 48-22-1975 75-Piece General Purpose Utility Blades</t>
        </is>
      </c>
      <c r="E8002" s="2">
        <f>HYPERLINK("https://www.amazon.com/Milwaukee-48-22-1975-75-Piece-General-Purpose/dp/B00D5YLMDW/ref=sr_1_1?keywords=Milwaukee+48-22-1905+5+PC+General+Purpose+Utility+Blades&amp;qid=1694735432&amp;sr=8-1", "https://www.amazon.com/Milwaukee-48-22-1975-75-Piece-General-Purpose/dp/B00D5YLMDW/ref=sr_1_1?keywords=Milwaukee+48-22-1905+5+PC+General+Purpose+Utility+Blades&amp;qid=1694735432&amp;sr=8-1")</f>
        <v/>
      </c>
      <c r="F8002" t="inlineStr">
        <is>
          <t>B00D5YLMDW</t>
        </is>
      </c>
      <c r="G8002">
        <f>_xlfn.IMAGE("https://edmondsonsupply.com/cdn/shop/products/48-22-1905_1.png?v=1661014086")</f>
        <v/>
      </c>
      <c r="H8002">
        <f>_xlfn.IMAGE("https://m.media-amazon.com/images/I/51d9inTfrwL._AC_UL320_.jpg")</f>
        <v/>
      </c>
      <c r="K8002" t="inlineStr">
        <is>
          <t>1.25</t>
        </is>
      </c>
      <c r="L8002" t="n">
        <v>19.99</v>
      </c>
      <c r="M8002" s="1" t="inlineStr">
        <is>
          <t>1,499.20%</t>
        </is>
      </c>
      <c r="N8002" s="7" t="n"/>
      <c r="O8002" t="n">
        <v>4.6</v>
      </c>
      <c r="P8002" t="n">
        <v>148</v>
      </c>
      <c r="R8002" t="inlineStr">
        <is>
          <t>InStock</t>
        </is>
      </c>
      <c r="S8002" t="inlineStr">
        <is>
          <t>1.9</t>
        </is>
      </c>
      <c r="T8002" t="inlineStr">
        <is>
          <t>4387855040612</t>
        </is>
      </c>
    </row>
    <row r="8003" ht="87" customHeight="1">
      <c r="A8003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003" s="2">
        <f>HYPERLINK("https://edmondsonsupply.com/products/klein-tools-et140-pinless-moisture-meter", "https://edmondsonsupply.com/products/klein-tools-et140-pinless-moisture-meter")</f>
        <v/>
      </c>
      <c r="C8003" t="inlineStr">
        <is>
          <t>Klein Tools ET140 Pinless Moisture Meter</t>
        </is>
      </c>
      <c r="D8003" t="inlineStr">
        <is>
          <t>FLIR C3-X Compact Thermal Camera, Inspection Tool &amp; Klein Tools ET140 Pinless Moisture Meter for Non-Destructive Moisture Detection in Drywall, Wood, and Masonry; Detects up to 3/4-Inch Below Surface</t>
        </is>
      </c>
      <c r="E8003" s="2">
        <f>HYPERLINK("https://www.amazon.com/FLIR-Inspection-Moisture-Non-Destructive-Detection/dp/B09P83WC6Q/ref=sr_1_10?keywords=Klein+Tools+ET140+Pinless+Moisture+Meter&amp;qid=1694735470&amp;sr=8-10", "https://www.amazon.com/FLIR-Inspection-Moisture-Non-Destructive-Detection/dp/B09P83WC6Q/ref=sr_1_10?keywords=Klein+Tools+ET140+Pinless+Moisture+Meter&amp;qid=1694735470&amp;sr=8-10")</f>
        <v/>
      </c>
      <c r="F8003" t="inlineStr">
        <is>
          <t>B09P83WC6Q</t>
        </is>
      </c>
      <c r="G8003">
        <f>_xlfn.IMAGE("https://edmondsonsupply.com/cdn/shop/products/et140_beauty_r.jpg?v=1587143172")</f>
        <v/>
      </c>
      <c r="H8003">
        <f>_xlfn.IMAGE("https://m.media-amazon.com/images/I/51x2LLJHJTL._AC_UL320_.jpg")</f>
        <v/>
      </c>
      <c r="K8003" t="inlineStr">
        <is>
          <t>41.97</t>
        </is>
      </c>
      <c r="L8003" t="n">
        <v>630.96</v>
      </c>
      <c r="M8003" s="1" t="inlineStr">
        <is>
          <t>1,403.36%</t>
        </is>
      </c>
      <c r="N8003" s="7" t="n"/>
      <c r="O8003" t="n">
        <v>4.5</v>
      </c>
      <c r="P8003" t="n">
        <v>6</v>
      </c>
      <c r="R8003" t="inlineStr">
        <is>
          <t>InStock</t>
        </is>
      </c>
      <c r="S8003" t="inlineStr">
        <is>
          <t>59.44</t>
        </is>
      </c>
      <c r="T8003" t="inlineStr">
        <is>
          <t>3693529071716</t>
        </is>
      </c>
    </row>
    <row r="8004" ht="87" customHeight="1">
      <c r="A8004" s="2">
        <f>HYPERLINK("https://edmondsonsupply.com/collections/electricians-tools/products/klein-tools-50506sen-3-4-pvc-pipe-cutter-50506", "https://edmondsonsupply.com/collections/electricians-tools/products/klein-tools-50506sen-3-4-pvc-pipe-cutter-50506")</f>
        <v/>
      </c>
      <c r="B8004" s="2">
        <f>HYPERLINK("https://edmondsonsupply.com/products/klein-tools-50506sen-3-4-pvc-pipe-cutter-50506", "https://edmondsonsupply.com/products/klein-tools-50506sen-3-4-pvc-pipe-cutter-50506")</f>
        <v/>
      </c>
      <c r="C8004" t="inlineStr">
        <is>
          <t>Klein Tools 50506SEN 3/4-Inch PVC Cutter</t>
        </is>
      </c>
      <c r="D8004" t="inlineStr">
        <is>
          <t>Klein Tools 50034 Large Capacity Ratcheting PVC Cutter</t>
        </is>
      </c>
      <c r="E8004" s="2">
        <f>HYPERLINK("https://www.amazon.com/Capacity-Ratcheting-Klein-Tools-50034/dp/B019875KC8/ref=sr_1_3?keywords=Klein+Tools+50506SEN+3%2F4-Inch+PVC+Cutter&amp;qid=1694735468&amp;sr=8-3", "https://www.amazon.com/Capacity-Ratcheting-Klein-Tools-50034/dp/B019875KC8/ref=sr_1_3?keywords=Klein+Tools+50506SEN+3%2F4-Inch+PVC+Cutter&amp;qid=1694735468&amp;sr=8-3")</f>
        <v/>
      </c>
      <c r="F8004" t="inlineStr">
        <is>
          <t>B019875KC8</t>
        </is>
      </c>
      <c r="G8004">
        <f>_xlfn.IMAGE("https://edmondsonsupply.com/cdn/shop/products/50506.jpg?v=1587149803")</f>
        <v/>
      </c>
      <c r="H8004">
        <f>_xlfn.IMAGE("https://m.media-amazon.com/images/I/51bEAgYDRXL._AC_UL320_.jpg")</f>
        <v/>
      </c>
      <c r="K8004" t="inlineStr">
        <is>
          <t>14.99</t>
        </is>
      </c>
      <c r="L8004" t="n">
        <v>199.21</v>
      </c>
      <c r="M8004" s="1" t="inlineStr">
        <is>
          <t>1,228.95%</t>
        </is>
      </c>
      <c r="N8004" s="7" t="n"/>
      <c r="O8004" t="n">
        <v>5</v>
      </c>
      <c r="P8004" t="n">
        <v>10</v>
      </c>
      <c r="R8004" t="inlineStr">
        <is>
          <t>InStock</t>
        </is>
      </c>
      <c r="S8004" t="inlineStr">
        <is>
          <t>22.68</t>
        </is>
      </c>
      <c r="T8004" t="inlineStr">
        <is>
          <t>2766847213668</t>
        </is>
      </c>
    </row>
    <row r="8005" ht="87" customHeight="1">
      <c r="A8005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05" s="2">
        <f>HYPERLINK("https://edmondsonsupply.com/products/klein-tools-69411-circuit-breaker-finder-accessory-kit", "https://edmondsonsupply.com/products/klein-tools-69411-circuit-breaker-finder-accessory-kit")</f>
        <v/>
      </c>
      <c r="C8005" t="inlineStr">
        <is>
          <t>Klein Tools 69411 Circuit Breaker Finder Accessory Kit</t>
        </is>
      </c>
      <c r="D8005" t="inlineStr">
        <is>
          <t>Klein Tools ET450 Advanced Circuit Breaker Finder and Wire Tracer Kit &amp; 69411 Circuit Breaker Finder Accessory Kit, Circuit Breaker Leads, Circuit Breaker Adapters</t>
        </is>
      </c>
      <c r="E8005" s="2">
        <f>HYPERLINK("https://www.amazon.com/Klein-Tools-Advanced-Accessory-Adapters/dp/B0BS37WZN4/ref=sr_1_8?keywords=Klein+Tools+69411+Circuit+Breaker+Finder+Accessory+Kit&amp;qid=1694735452&amp;sr=8-8", "https://www.amazon.com/Klein-Tools-Advanced-Accessory-Adapters/dp/B0BS37WZN4/ref=sr_1_8?keywords=Klein+Tools+69411+Circuit+Breaker+Finder+Accessory+Kit&amp;qid=1694735452&amp;sr=8-8")</f>
        <v/>
      </c>
      <c r="F8005" t="inlineStr">
        <is>
          <t>B0BS37WZN4</t>
        </is>
      </c>
      <c r="G8005">
        <f>_xlfn.IMAGE("https://edmondsonsupply.com/cdn/shop/products/69411.jpg?v=1587143386")</f>
        <v/>
      </c>
      <c r="H8005">
        <f>_xlfn.IMAGE("https://m.media-amazon.com/images/I/51EGZMmBZPL._AC_UL320_.jpg")</f>
        <v/>
      </c>
      <c r="K8005" t="inlineStr">
        <is>
          <t>19.97</t>
        </is>
      </c>
      <c r="L8005" t="n">
        <v>259.96</v>
      </c>
      <c r="M8005" s="1" t="inlineStr">
        <is>
          <t>1,201.75%</t>
        </is>
      </c>
      <c r="N8005" s="7" t="n"/>
      <c r="O8005" t="n">
        <v>5</v>
      </c>
      <c r="P8005" t="n">
        <v>3</v>
      </c>
      <c r="R8005" t="inlineStr">
        <is>
          <t>InStock</t>
        </is>
      </c>
      <c r="S8005" t="inlineStr">
        <is>
          <t>27.96</t>
        </is>
      </c>
      <c r="T8005" t="inlineStr">
        <is>
          <t>4166896255076</t>
        </is>
      </c>
    </row>
    <row r="8006" ht="87" customHeight="1">
      <c r="A8006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06" s="2">
        <f>HYPERLINK("https://edmondsonsupply.com/products/klein-tools-69411-circuit-breaker-finder-accessory-kit", "https://edmondsonsupply.com/products/klein-tools-69411-circuit-breaker-finder-accessory-kit")</f>
        <v/>
      </c>
      <c r="C8006" t="inlineStr">
        <is>
          <t>Klein Tools 69411 Circuit Breaker Finder Accessory Kit</t>
        </is>
      </c>
      <c r="D8006" t="inlineStr">
        <is>
          <t>Klein Tools ET450 Advanced Circuit Breaker Finder and Wire Tracer Kit for Energized and Non-Energized Breakers, Fuses, and Wires</t>
        </is>
      </c>
      <c r="E8006" s="2">
        <f>HYPERLINK("https://www.amazon.com/Klein-Tools-ET450-Energized-Non-Energized/dp/B09XG38XLP/ref=sr_1_21?keywords=Klein+Tools+69411+Circuit+Breaker+Finder+Accessory+Kit&amp;qid=1694735452&amp;sr=8-21", "https://www.amazon.com/Klein-Tools-ET450-Energized-Non-Energized/dp/B09XG38XLP/ref=sr_1_21?keywords=Klein+Tools+69411+Circuit+Breaker+Finder+Accessory+Kit&amp;qid=1694735452&amp;sr=8-21")</f>
        <v/>
      </c>
      <c r="F8006" t="inlineStr">
        <is>
          <t>B09XG38XLP</t>
        </is>
      </c>
      <c r="G8006">
        <f>_xlfn.IMAGE("https://edmondsonsupply.com/cdn/shop/products/69411.jpg?v=1587143386")</f>
        <v/>
      </c>
      <c r="H8006">
        <f>_xlfn.IMAGE("https://m.media-amazon.com/images/I/71DaXgIbaFL._AC_UL320_.jpg")</f>
        <v/>
      </c>
      <c r="K8006" t="inlineStr">
        <is>
          <t>19.97</t>
        </is>
      </c>
      <c r="L8006" t="n">
        <v>239.99</v>
      </c>
      <c r="M8006" s="1" t="inlineStr">
        <is>
          <t>1,101.75%</t>
        </is>
      </c>
      <c r="N8006" s="7" t="n"/>
      <c r="O8006" t="n">
        <v>4.7</v>
      </c>
      <c r="P8006" t="n">
        <v>477</v>
      </c>
      <c r="R8006" t="inlineStr">
        <is>
          <t>InStock</t>
        </is>
      </c>
      <c r="S8006" t="inlineStr">
        <is>
          <t>27.96</t>
        </is>
      </c>
      <c r="T8006" t="inlineStr">
        <is>
          <t>4166896255076</t>
        </is>
      </c>
    </row>
    <row r="8007" hidden="1" ht="15.75" customHeight="1">
      <c r="A8007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007" s="2">
        <f>HYPERLINK("https://edmondsonsupply.com/products/klein-tools-et140-pinless-moisture-meter", "https://edmondsonsupply.com/products/klein-tools-et140-pinless-moisture-meter")</f>
        <v/>
      </c>
      <c r="C8007" t="inlineStr">
        <is>
          <t>Klein Tools ET140 Pinless Moisture Meter</t>
        </is>
      </c>
      <c r="D8007" t="inlineStr">
        <is>
          <t>FLIR ONE Pro - iOS - Professional Grade Thermal Camera for Smartphones &amp; Klein Tools ET140 Pinless Moisture Meter for Non-Destructive Moisture Detection in Drywall, Wood, and Masonry</t>
        </is>
      </c>
      <c r="E8007" s="2">
        <f>HYPERLINK("https://www.amazon.com/FLIR-ONE-Pro-Professional-Non-Destructive/dp/B0BFXPHKZ4/ref=sr_1_40?keywords=Klein+Tools+ET140+Pinless+Moisture+Meter&amp;qid=1694735470&amp;sr=8-40", "https://www.amazon.com/FLIR-ONE-Pro-Professional-Non-Destructive/dp/B0BFXPHKZ4/ref=sr_1_40?keywords=Klein+Tools+ET140+Pinless+Moisture+Meter&amp;qid=1694735470&amp;sr=8-40")</f>
        <v/>
      </c>
      <c r="F8007" t="inlineStr">
        <is>
          <t>B0BFXPHKZ4</t>
        </is>
      </c>
      <c r="G8007">
        <f>_xludf.IMAGE("https://edmondsonsupply.com/cdn/shop/products/et140_beauty_r.jpg?v=1587143172")</f>
        <v/>
      </c>
      <c r="H8007">
        <f>_xludf.IMAGE("https://m.media-amazon.com/images/I/41R536rsZqL._AC_UL320_.jpg")</f>
        <v/>
      </c>
      <c r="K8007" t="inlineStr">
        <is>
          <t>41.97</t>
        </is>
      </c>
      <c r="L8007" t="n">
        <v>491.35</v>
      </c>
      <c r="M8007" s="1" t="inlineStr">
        <is>
          <t>1,070.72%</t>
        </is>
      </c>
      <c r="N8007" s="1" t="n"/>
      <c r="O8007" t="n">
        <v>2</v>
      </c>
      <c r="P8007" t="n">
        <v>1</v>
      </c>
      <c r="R8007" t="inlineStr">
        <is>
          <t>InStock</t>
        </is>
      </c>
      <c r="S8007" t="inlineStr">
        <is>
          <t>59.44</t>
        </is>
      </c>
      <c r="T8007" t="inlineStr">
        <is>
          <t>3693529071716</t>
        </is>
      </c>
    </row>
    <row r="8008" ht="87" customHeight="1">
      <c r="A8008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008" s="2">
        <f>HYPERLINK("https://edmondsonsupply.com/products/klein-tools-et140-pinless-moisture-meter", "https://edmondsonsupply.com/products/klein-tools-et140-pinless-moisture-meter")</f>
        <v/>
      </c>
      <c r="C8008" t="inlineStr">
        <is>
          <t>Klein Tools ET140 Pinless Moisture Meter</t>
        </is>
      </c>
      <c r="D8008" t="inlineStr">
        <is>
          <t>FLIR TG165-X Thermal Camera imaging tool &amp; Klein Tools ET140 Pinless Moisture Meter for Non-Destructive Moisture Detection in Drywall, Wood, and Masonry; Detects up to 3/4-Inch Below Surface</t>
        </is>
      </c>
      <c r="E8008" s="2">
        <f>HYPERLINK("https://www.amazon.com/FLIR-TG165-X-Moisture-Non-Destructive-Detection/dp/B09P847TSL/ref=sr_1_33?keywords=Klein+Tools+ET140+Pinless+Moisture+Meter&amp;qid=1694735470&amp;sr=8-33", "https://www.amazon.com/FLIR-TG165-X-Moisture-Non-Destructive-Detection/dp/B09P847TSL/ref=sr_1_33?keywords=Klein+Tools+ET140+Pinless+Moisture+Meter&amp;qid=1694735470&amp;sr=8-33")</f>
        <v/>
      </c>
      <c r="F8008" t="inlineStr">
        <is>
          <t>B09P847TSL</t>
        </is>
      </c>
      <c r="G8008">
        <f>_xlfn.IMAGE("https://edmondsonsupply.com/cdn/shop/products/et140_beauty_r.jpg?v=1587143172")</f>
        <v/>
      </c>
      <c r="H8008">
        <f>_xlfn.IMAGE("https://m.media-amazon.com/images/I/41HT6UNXHZL._AC_UL320_.jpg")</f>
        <v/>
      </c>
      <c r="K8008" t="inlineStr">
        <is>
          <t>41.97</t>
        </is>
      </c>
      <c r="L8008" t="n">
        <v>471.92</v>
      </c>
      <c r="M8008" s="1" t="inlineStr">
        <is>
          <t>1,024.42%</t>
        </is>
      </c>
      <c r="N8008" s="7" t="n"/>
      <c r="O8008" t="n">
        <v>5</v>
      </c>
      <c r="P8008" t="n">
        <v>1</v>
      </c>
      <c r="R8008" t="inlineStr">
        <is>
          <t>InStock</t>
        </is>
      </c>
      <c r="S8008" t="inlineStr">
        <is>
          <t>59.44</t>
        </is>
      </c>
      <c r="T8008" t="inlineStr">
        <is>
          <t>3693529071716</t>
        </is>
      </c>
    </row>
    <row r="8009" ht="87" customHeight="1">
      <c r="A8009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009" s="2">
        <f>HYPERLINK("https://edmondsonsupply.com/products/klein-tools-5139-canvas-zipper-bag", "https://edmondsonsupply.com/products/klein-tools-5139-canvas-zipper-bag")</f>
        <v/>
      </c>
      <c r="C8009" t="inlineStr">
        <is>
          <t>Klein Tools 5139 Zipper Bag, Canvas Tool Pouch 12.5 x 7 x 4.25-Inch</t>
        </is>
      </c>
      <c r="D8009" t="inlineStr">
        <is>
          <t>Klein Tools 510218SPBLK Tool Bag, Large 18-Inch Deluxe Canvas Tool Bag and Organizer, Black &amp; 5139 Zipper Bag, Canvas Tool Pouch 12.5 x 7 x 4.25-Inch with Heavy Duty Brass Zipper Close, Natural</t>
        </is>
      </c>
      <c r="E8009" s="2">
        <f>HYPERLINK("https://www.amazon.com/Klein-Tools-510218SPBLK-Organizer-4-25-Inch/dp/B09Z91BR7W/ref=sr_1_6?keywords=Klein+Tools+5139+Zipper+Bag%2C+Canvas+Tool+Pouch+12.5+x+7+x+4.25-Inch&amp;qid=1694735450&amp;sr=8-6", "https://www.amazon.com/Klein-Tools-510218SPBLK-Organizer-4-25-Inch/dp/B09Z91BR7W/ref=sr_1_6?keywords=Klein+Tools+5139+Zipper+Bag%2C+Canvas+Tool+Pouch+12.5+x+7+x+4.25-Inch&amp;qid=1694735450&amp;sr=8-6")</f>
        <v/>
      </c>
      <c r="F8009" t="inlineStr">
        <is>
          <t>B09Z91BR7W</t>
        </is>
      </c>
      <c r="G8009">
        <f>_xlfn.IMAGE("https://edmondsonsupply.com/cdn/shop/products/5139.jpg?v=1587150181")</f>
        <v/>
      </c>
      <c r="H8009">
        <f>_xlfn.IMAGE("https://m.media-amazon.com/images/I/51u6nrWozqL._AC_UL320_.jpg")</f>
        <v/>
      </c>
      <c r="K8009" t="inlineStr">
        <is>
          <t>10.97</t>
        </is>
      </c>
      <c r="L8009" t="n">
        <v>109.99</v>
      </c>
      <c r="M8009" s="1" t="inlineStr">
        <is>
          <t>902.64%</t>
        </is>
      </c>
      <c r="N8009" s="7" t="n"/>
      <c r="O8009" t="n">
        <v>5</v>
      </c>
      <c r="P8009" t="n">
        <v>2</v>
      </c>
      <c r="R8009" t="inlineStr">
        <is>
          <t>InStock</t>
        </is>
      </c>
      <c r="S8009" t="inlineStr">
        <is>
          <t>17.12</t>
        </is>
      </c>
      <c r="T8009" t="inlineStr">
        <is>
          <t>2378629185636</t>
        </is>
      </c>
    </row>
    <row r="8010" ht="87" customHeight="1">
      <c r="A8010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10" s="2">
        <f>HYPERLINK("https://edmondsonsupply.com/products/klein-tools-rt210-gfci-receptacle-tester", "https://edmondsonsupply.com/products/klein-tools-rt210-gfci-receptacle-tester")</f>
        <v/>
      </c>
      <c r="C8010" t="inlineStr">
        <is>
          <t>Klein Tools RT210 GFCI Outlet Tester</t>
        </is>
      </c>
      <c r="D8010" t="inlineStr">
        <is>
          <t>Klein Tools CL120VP Electrical Voltage Test Kit with Clamp Meter, Three Testers, Test Leads, Pouch and Batteries &amp; ET310 AC Circuit Breaker Finder with Integrated GFCI Outlet Tester</t>
        </is>
      </c>
      <c r="E8010" s="2">
        <f>HYPERLINK("https://www.amazon.com/Klein-Tools-Electrical-Batteries-Integrated/dp/B09P843VNV/ref=sr_1_7?keywords=Klein+Tools+RT210+GFCI+Outlet+Tester&amp;qid=1694735460&amp;sr=8-7", "https://www.amazon.com/Klein-Tools-Electrical-Batteries-Integrated/dp/B09P843VNV/ref=sr_1_7?keywords=Klein+Tools+RT210+GFCI+Outlet+Tester&amp;qid=1694735460&amp;sr=8-7")</f>
        <v/>
      </c>
      <c r="F8010" t="inlineStr">
        <is>
          <t>B09P843VNV</t>
        </is>
      </c>
      <c r="G8010">
        <f>_xlfn.IMAGE("https://edmondsonsupply.com/cdn/shop/products/rt210.jpg?v=1587146495")</f>
        <v/>
      </c>
      <c r="H8010">
        <f>_xlfn.IMAGE("https://m.media-amazon.com/images/I/51-jSPYFu4L._AC_UL320_.jpg")</f>
        <v/>
      </c>
      <c r="K8010" t="inlineStr">
        <is>
          <t>12.97</t>
        </is>
      </c>
      <c r="L8010" t="n">
        <v>129.7</v>
      </c>
      <c r="M8010" s="1" t="inlineStr">
        <is>
          <t>900.00%</t>
        </is>
      </c>
      <c r="N8010" s="7" t="n"/>
      <c r="O8010" t="n">
        <v>4.9</v>
      </c>
      <c r="P8010" t="n">
        <v>11</v>
      </c>
      <c r="R8010" t="inlineStr">
        <is>
          <t>InStock</t>
        </is>
      </c>
      <c r="S8010" t="inlineStr">
        <is>
          <t>17.12</t>
        </is>
      </c>
      <c r="T8010" t="inlineStr">
        <is>
          <t>3711963988068</t>
        </is>
      </c>
    </row>
    <row r="8011" ht="87" customHeight="1">
      <c r="A8011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11" s="2">
        <f>HYPERLINK("https://edmondsonsupply.com/products/klein-tools-rt210-gfci-receptacle-tester", "https://edmondsonsupply.com/products/klein-tools-rt210-gfci-receptacle-tester")</f>
        <v/>
      </c>
      <c r="C8011" t="inlineStr">
        <is>
          <t>Klein Tools RT210 GFCI Outlet Tester</t>
        </is>
      </c>
      <c r="D8011" t="inlineStr">
        <is>
          <t>Klein Tools CL800 Digital Clamp Meter &amp; RT210 Outlet Tester, Receptacle Tester for GFCI/Standard North American AC Electrical Outlets, Detects Common Wiring Problems</t>
        </is>
      </c>
      <c r="E8011" s="2">
        <f>HYPERLINK("https://www.amazon.com/Klein-Tools-Receptacle-Standard-Electrical/dp/B08MFYWN5F/ref=sr_1_10?keywords=Klein+Tools+RT210+GFCI+Outlet+Tester&amp;qid=1694735460&amp;sr=8-10", "https://www.amazon.com/Klein-Tools-Receptacle-Standard-Electrical/dp/B08MFYWN5F/ref=sr_1_10?keywords=Klein+Tools+RT210+GFCI+Outlet+Tester&amp;qid=1694735460&amp;sr=8-10")</f>
        <v/>
      </c>
      <c r="F8011" t="inlineStr">
        <is>
          <t>B08MFYWN5F</t>
        </is>
      </c>
      <c r="G8011">
        <f>_xlfn.IMAGE("https://edmondsonsupply.com/cdn/shop/products/rt210.jpg?v=1587146495")</f>
        <v/>
      </c>
      <c r="H8011">
        <f>_xlfn.IMAGE("https://m.media-amazon.com/images/I/51q1zGUPfmL._AC_UL320_.jpg")</f>
        <v/>
      </c>
      <c r="K8011" t="inlineStr">
        <is>
          <t>12.97</t>
        </is>
      </c>
      <c r="L8011" t="n">
        <v>127.18</v>
      </c>
      <c r="M8011" s="1" t="inlineStr">
        <is>
          <t>880.57%</t>
        </is>
      </c>
      <c r="N8011" s="7" t="n"/>
      <c r="O8011" t="n">
        <v>5</v>
      </c>
      <c r="P8011" t="n">
        <v>6</v>
      </c>
      <c r="R8011" t="inlineStr">
        <is>
          <t>InStock</t>
        </is>
      </c>
      <c r="S8011" t="inlineStr">
        <is>
          <t>17.12</t>
        </is>
      </c>
      <c r="T8011" t="inlineStr">
        <is>
          <t>3711963988068</t>
        </is>
      </c>
    </row>
    <row r="8012" ht="87" customHeight="1">
      <c r="A8012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012" s="2">
        <f>HYPERLINK("https://edmondsonsupply.com/products/klein-tools-646-3-8-3-8-inch-nut-driver-6-inch-hollow-shaft", "https://edmondsonsupply.com/products/klein-tools-646-3-8-3-8-inch-nut-driver-6-inch-hollow-shaft")</f>
        <v/>
      </c>
      <c r="C8012" t="inlineStr">
        <is>
          <t>Klein Tools 646-3/8 3/8-Inch Nut Driver, 6-Inch Hollow Shaft</t>
        </is>
      </c>
      <c r="D8012" t="inlineStr">
        <is>
          <t>Klein Tools 647M Tool Set, Magnetic Nut Drivers Sizes 3/16, 1/4, 5/16, 11/32, 3/8, 7/16, 1/2-Inch, 6-Inch Hollow Shafts, 7-Piece</t>
        </is>
      </c>
      <c r="E8012" s="2">
        <f>HYPERLINK("https://www.amazon.com/Klein-Tools-647M-Magnetic-7-Piece/dp/B000MKIUYQ/ref=sr_1_13?keywords=Klein+Tools+646-3%2F8+3%2F8-Inch+Nut+Driver%2C+6-Inch+Hollow+Shaft&amp;qid=1694735435&amp;sr=8-13", "https://www.amazon.com/Klein-Tools-647M-Magnetic-7-Piece/dp/B000MKIUYQ/ref=sr_1_13?keywords=Klein+Tools+646-3%2F8+3%2F8-Inch+Nut+Driver%2C+6-Inch+Hollow+Shaft&amp;qid=1694735435&amp;sr=8-13")</f>
        <v/>
      </c>
      <c r="F8012" t="inlineStr">
        <is>
          <t>B000MKIUYQ</t>
        </is>
      </c>
      <c r="G8012">
        <f>_xlfn.IMAGE("https://edmondsonsupply.com/cdn/shop/products/646-1-2.jpg?v=1587143221")</f>
        <v/>
      </c>
      <c r="H8012">
        <f>_xlfn.IMAGE("https://m.media-amazon.com/images/I/61PNUE211uL._AC_UL320_.jpg")</f>
        <v/>
      </c>
      <c r="K8012" t="inlineStr">
        <is>
          <t>8.99</t>
        </is>
      </c>
      <c r="L8012" t="n">
        <v>79.98999999999999</v>
      </c>
      <c r="M8012" s="1" t="inlineStr">
        <is>
          <t>789.77%</t>
        </is>
      </c>
      <c r="N8012" s="7" t="n"/>
      <c r="O8012" t="n">
        <v>4.8</v>
      </c>
      <c r="P8012" t="n">
        <v>985</v>
      </c>
      <c r="R8012" t="inlineStr">
        <is>
          <t>InStock</t>
        </is>
      </c>
      <c r="S8012" t="inlineStr">
        <is>
          <t>13.58</t>
        </is>
      </c>
      <c r="T8012" t="inlineStr">
        <is>
          <t>4341100609636</t>
        </is>
      </c>
    </row>
    <row r="8013" ht="87" customHeight="1">
      <c r="A8013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013" s="2">
        <f>HYPERLINK("https://edmondsonsupply.com/products/klein-tools-646-3-8-3-8-inch-nut-driver-6-inch-hollow-shaft", "https://edmondsonsupply.com/products/klein-tools-646-3-8-3-8-inch-nut-driver-6-inch-hollow-shaft")</f>
        <v/>
      </c>
      <c r="C8013" t="inlineStr">
        <is>
          <t>Klein Tools 646-3/8 3/8-Inch Nut Driver, 6-Inch Hollow Shaft</t>
        </is>
      </c>
      <c r="D8013" t="inlineStr">
        <is>
          <t>Klein Tools 635-6 Tool Set, Heavy Duty Magnetic Nut Drivers SAE Sizes 1/4, 5/16, 3/8, 7/16, 1/2, and 9/16-Inch Hex, 6-Inch, 6-Piece</t>
        </is>
      </c>
      <c r="E8013" s="2">
        <f>HYPERLINK("https://www.amazon.com/Heavy-Duty-Driver-6-Piece-Klein-Tools/dp/B01DKNDHGM/ref=sr_1_10?keywords=Klein+Tools+646-3%2F8+3%2F8-Inch+Nut+Driver%2C+6-Inch+Hollow+Shaft&amp;qid=1694735435&amp;sr=8-10", "https://www.amazon.com/Heavy-Duty-Driver-6-Piece-Klein-Tools/dp/B01DKNDHGM/ref=sr_1_10?keywords=Klein+Tools+646-3%2F8+3%2F8-Inch+Nut+Driver%2C+6-Inch+Hollow+Shaft&amp;qid=1694735435&amp;sr=8-10")</f>
        <v/>
      </c>
      <c r="F8013" t="inlineStr">
        <is>
          <t>B01DKNDHGM</t>
        </is>
      </c>
      <c r="G8013">
        <f>_xlfn.IMAGE("https://edmondsonsupply.com/cdn/shop/products/646-1-2.jpg?v=1587143221")</f>
        <v/>
      </c>
      <c r="H8013">
        <f>_xlfn.IMAGE("https://m.media-amazon.com/images/I/61eypCy1RLL._AC_UL320_.jpg")</f>
        <v/>
      </c>
      <c r="K8013" t="inlineStr">
        <is>
          <t>8.99</t>
        </is>
      </c>
      <c r="L8013" t="n">
        <v>79.98999999999999</v>
      </c>
      <c r="M8013" s="1" t="inlineStr">
        <is>
          <t>789.77%</t>
        </is>
      </c>
      <c r="N8013" s="7" t="n"/>
      <c r="O8013" t="n">
        <v>4.7</v>
      </c>
      <c r="P8013" t="n">
        <v>943</v>
      </c>
      <c r="R8013" t="inlineStr">
        <is>
          <t>InStock</t>
        </is>
      </c>
      <c r="S8013" t="inlineStr">
        <is>
          <t>13.58</t>
        </is>
      </c>
      <c r="T8013" t="inlineStr">
        <is>
          <t>4341100609636</t>
        </is>
      </c>
    </row>
    <row r="8014" ht="87" customHeight="1">
      <c r="A8014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14" s="2">
        <f>HYPERLINK("https://edmondsonsupply.com/products/klein-tools-rt210-gfci-receptacle-tester", "https://edmondsonsupply.com/products/klein-tools-rt210-gfci-receptacle-tester")</f>
        <v/>
      </c>
      <c r="C8014" t="inlineStr">
        <is>
          <t>Klein Tools RT210 GFCI Outlet Tester</t>
        </is>
      </c>
      <c r="D8014" t="inlineStr">
        <is>
          <t>Daniel Woodhead - 840-1760 Woodhead 1760 Receptacle Tension Tester with Carrying Case &amp; Klein Tools RT210 Outlet Tester, Receptacle Tester for GFCI/Standard North American</t>
        </is>
      </c>
      <c r="E8014" s="2">
        <f>HYPERLINK("https://www.amazon.com/Daniel-Woodhead-840-1760-Receptacle-Carrying/dp/B0BXJC842B/ref=sr_1_3?keywords=Klein+Tools+RT210+GFCI+Outlet+Tester&amp;qid=1694735460&amp;sr=8-3", "https://www.amazon.com/Daniel-Woodhead-840-1760-Receptacle-Carrying/dp/B0BXJC842B/ref=sr_1_3?keywords=Klein+Tools+RT210+GFCI+Outlet+Tester&amp;qid=1694735460&amp;sr=8-3")</f>
        <v/>
      </c>
      <c r="F8014" t="inlineStr">
        <is>
          <t>B0BXJC842B</t>
        </is>
      </c>
      <c r="G8014">
        <f>_xlfn.IMAGE("https://edmondsonsupply.com/cdn/shop/products/rt210.jpg?v=1587146495")</f>
        <v/>
      </c>
      <c r="H8014">
        <f>_xlfn.IMAGE("https://m.media-amazon.com/images/I/41UMsY307pL._AC_UL320_.jpg")</f>
        <v/>
      </c>
      <c r="K8014" t="inlineStr">
        <is>
          <t>12.97</t>
        </is>
      </c>
      <c r="L8014" t="n">
        <v>114.37</v>
      </c>
      <c r="M8014" s="1" t="inlineStr">
        <is>
          <t>781.80%</t>
        </is>
      </c>
      <c r="N8014" s="7" t="n"/>
      <c r="O8014" t="n">
        <v>4.5</v>
      </c>
      <c r="P8014" t="n">
        <v>111</v>
      </c>
      <c r="R8014" t="inlineStr">
        <is>
          <t>InStock</t>
        </is>
      </c>
      <c r="S8014" t="inlineStr">
        <is>
          <t>17.12</t>
        </is>
      </c>
      <c r="T8014" t="inlineStr">
        <is>
          <t>3711963988068</t>
        </is>
      </c>
    </row>
    <row r="8015" hidden="1" ht="15.75" customHeight="1">
      <c r="A8015" s="2">
        <f>HYPERLINK("https://edmondsonsupply.com/collections/electricians-tools/products/milwaukee-48-22-1905-5-pc-general-purpose-utility-blades", "https://edmondsonsupply.com/collections/electricians-tools/products/milwaukee-48-22-1905-5-pc-general-purpose-utility-blades")</f>
        <v/>
      </c>
      <c r="B8015" s="2">
        <f>HYPERLINK("https://edmondsonsupply.com/products/milwaukee-48-22-1905-5-pc-general-purpose-utility-blades", "https://edmondsonsupply.com/products/milwaukee-48-22-1905-5-pc-general-purpose-utility-blades")</f>
        <v/>
      </c>
      <c r="C8015" t="inlineStr">
        <is>
          <t>Milwaukee 48-22-1905 5 PC General Purpose Utility Blades</t>
        </is>
      </c>
      <c r="D8015" t="inlineStr">
        <is>
          <t>48-22-1950 Milwaukee, 50Piece, General Purpose Utility Blade</t>
        </is>
      </c>
      <c r="E8015" s="2">
        <f>HYPERLINK("https://www.amazon.com/Milwaukee-48-22-1950-50-Piece-General-Purpose/dp/B00D5YLLNI/ref=sr_1_3?keywords=Milwaukee+48-22-1905+5+PC+General+Purpose+Utility+Blades&amp;qid=1694735432&amp;sr=8-3", "https://www.amazon.com/Milwaukee-48-22-1950-50-Piece-General-Purpose/dp/B00D5YLLNI/ref=sr_1_3?keywords=Milwaukee+48-22-1905+5+PC+General+Purpose+Utility+Blades&amp;qid=1694735432&amp;sr=8-3")</f>
        <v/>
      </c>
      <c r="F8015" t="inlineStr">
        <is>
          <t>B00D5YLLNI</t>
        </is>
      </c>
      <c r="G8015">
        <f>_xludf.IMAGE("https://edmondsonsupply.com/cdn/shop/products/48-22-1905_1.png?v=1661014086")</f>
        <v/>
      </c>
      <c r="H8015">
        <f>_xludf.IMAGE("https://m.media-amazon.com/images/I/61RfjkughZL._AC_UL320_.jpg")</f>
        <v/>
      </c>
      <c r="K8015" t="inlineStr">
        <is>
          <t>1.25</t>
        </is>
      </c>
      <c r="L8015" t="n">
        <v>10.97</v>
      </c>
      <c r="M8015" s="1" t="inlineStr">
        <is>
          <t>777.60%</t>
        </is>
      </c>
      <c r="N8015" s="1" t="n"/>
      <c r="O8015" t="n">
        <v>4.6</v>
      </c>
      <c r="P8015" t="n">
        <v>230</v>
      </c>
      <c r="R8015" t="inlineStr">
        <is>
          <t>InStock</t>
        </is>
      </c>
      <c r="S8015" t="inlineStr">
        <is>
          <t>1.9</t>
        </is>
      </c>
      <c r="T8015" t="inlineStr">
        <is>
          <t>4387855040612</t>
        </is>
      </c>
    </row>
    <row r="8016" ht="87" customHeight="1">
      <c r="A8016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16" s="2">
        <f>HYPERLINK("https://edmondsonsupply.com/products/klein-tools-69411-circuit-breaker-finder-accessory-kit", "https://edmondsonsupply.com/products/klein-tools-69411-circuit-breaker-finder-accessory-kit")</f>
        <v/>
      </c>
      <c r="C8016" t="inlineStr">
        <is>
          <t>Klein Tools 69411 Circuit Breaker Finder Accessory Kit</t>
        </is>
      </c>
      <c r="D8016" t="inlineStr">
        <is>
          <t>Klein Tools RT390 Circuit Analyzer with Large LCD, Identifies Wiring Faults, GFCI and AFCI Tester &amp; 69411 Circuit Breaker Finder Accessory Kit, Circuit Breaker Leads</t>
        </is>
      </c>
      <c r="E8016" s="2">
        <f>HYPERLINK("https://www.amazon.com/Klein-Tools-Analyzer-Identifies-Accessory/dp/B0CF2D62SS/ref=sr_1_9?keywords=Klein+Tools+69411+Circuit+Breaker+Finder+Accessory+Kit&amp;qid=1694735452&amp;sr=8-9", "https://www.amazon.com/Klein-Tools-Analyzer-Identifies-Accessory/dp/B0CF2D62SS/ref=sr_1_9?keywords=Klein+Tools+69411+Circuit+Breaker+Finder+Accessory+Kit&amp;qid=1694735452&amp;sr=8-9")</f>
        <v/>
      </c>
      <c r="F8016" t="inlineStr">
        <is>
          <t>B0CF2D62SS</t>
        </is>
      </c>
      <c r="G8016">
        <f>_xlfn.IMAGE("https://edmondsonsupply.com/cdn/shop/products/69411.jpg?v=1587143386")</f>
        <v/>
      </c>
      <c r="H8016">
        <f>_xlfn.IMAGE("https://m.media-amazon.com/images/I/51KjyECD68L._AC_UL320_.jpg")</f>
        <v/>
      </c>
      <c r="K8016" t="inlineStr">
        <is>
          <t>19.97</t>
        </is>
      </c>
      <c r="L8016" t="n">
        <v>169.96</v>
      </c>
      <c r="M8016" s="1" t="inlineStr">
        <is>
          <t>751.08%</t>
        </is>
      </c>
      <c r="N8016" s="7" t="n"/>
      <c r="O8016" t="n">
        <v>4.7</v>
      </c>
      <c r="P8016" t="n">
        <v>1603</v>
      </c>
      <c r="R8016" t="inlineStr">
        <is>
          <t>InStock</t>
        </is>
      </c>
      <c r="S8016" t="inlineStr">
        <is>
          <t>27.96</t>
        </is>
      </c>
      <c r="T8016" t="inlineStr">
        <is>
          <t>4166896255076</t>
        </is>
      </c>
    </row>
    <row r="8017" ht="87" customHeight="1">
      <c r="A8017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017" s="2">
        <f>HYPERLINK("https://edmondsonsupply.com/products/klein-tools-et140-pinless-moisture-meter", "https://edmondsonsupply.com/products/klein-tools-et140-pinless-moisture-meter")</f>
        <v/>
      </c>
      <c r="C8017" t="inlineStr">
        <is>
          <t>Klein Tools ET140 Pinless Moisture Meter</t>
        </is>
      </c>
      <c r="D8017" t="inlineStr">
        <is>
          <t>FLIR ONE Pro LT - Android (USB-C) - Pro-Grade Thermal Camera for Smartphones &amp; Klein Tools ET140 Pinless Moisture Meter, Detects up to 3/4-Inch Below Surface</t>
        </is>
      </c>
      <c r="E8017" s="2">
        <f>HYPERLINK("https://www.amazon.com/FLIR-ONE-Pro-Pro-Grade-Smartphones/dp/B09Q63PNHJ/ref=sr_1_42?keywords=Klein+Tools+ET140+Pinless+Moisture+Meter&amp;qid=1694735470&amp;sr=8-42", "https://www.amazon.com/FLIR-ONE-Pro-Pro-Grade-Smartphones/dp/B09Q63PNHJ/ref=sr_1_42?keywords=Klein+Tools+ET140+Pinless+Moisture+Meter&amp;qid=1694735470&amp;sr=8-42")</f>
        <v/>
      </c>
      <c r="F8017" t="inlineStr">
        <is>
          <t>B09Q63PNHJ</t>
        </is>
      </c>
      <c r="G8017">
        <f>_xlfn.IMAGE("https://edmondsonsupply.com/cdn/shop/products/et140_beauty_r.jpg?v=1587143172")</f>
        <v/>
      </c>
      <c r="H8017">
        <f>_xlfn.IMAGE("https://m.media-amazon.com/images/I/41thaBOYQuL._AC_UL320_.jpg")</f>
        <v/>
      </c>
      <c r="K8017" t="inlineStr">
        <is>
          <t>41.97</t>
        </is>
      </c>
      <c r="L8017" t="n">
        <v>341.96</v>
      </c>
      <c r="M8017" s="1" t="inlineStr">
        <is>
          <t>714.77%</t>
        </is>
      </c>
      <c r="N8017" s="7" t="n"/>
      <c r="O8017" t="n">
        <v>4.6</v>
      </c>
      <c r="P8017" t="n">
        <v>3</v>
      </c>
      <c r="R8017" t="inlineStr">
        <is>
          <t>InStock</t>
        </is>
      </c>
      <c r="S8017" t="inlineStr">
        <is>
          <t>59.44</t>
        </is>
      </c>
      <c r="T8017" t="inlineStr">
        <is>
          <t>3693529071716</t>
        </is>
      </c>
    </row>
    <row r="8018" ht="87" customHeight="1">
      <c r="A8018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018" s="2">
        <f>HYPERLINK("https://edmondsonsupply.com/products/klein-tools-et140-pinless-moisture-meter", "https://edmondsonsupply.com/products/klein-tools-et140-pinless-moisture-meter")</f>
        <v/>
      </c>
      <c r="C8018" t="inlineStr">
        <is>
          <t>Klein Tools ET140 Pinless Moisture Meter</t>
        </is>
      </c>
      <c r="D8018" t="inlineStr">
        <is>
          <t>FLIR One Pro LT iOS Pro-Grade Thermal Camera &amp; Klein Tools ET140 Pinless Moisture Meter for Non-Destructive Moisture Detection in Drywall, Wood, and Masonry; Detects up to 3/4-Inch Below Surface</t>
        </is>
      </c>
      <c r="E8018" s="2">
        <f>HYPERLINK("https://www.amazon.com/FLIR-Pro-Grade-Moisture-Non-Destructive-Detection/dp/B09Q655WY7/ref=sr_1_28?keywords=Klein+Tools+ET140+Pinless+Moisture+Meter&amp;qid=1694735470&amp;sr=8-28", "https://www.amazon.com/FLIR-Pro-Grade-Moisture-Non-Destructive-Detection/dp/B09Q655WY7/ref=sr_1_28?keywords=Klein+Tools+ET140+Pinless+Moisture+Meter&amp;qid=1694735470&amp;sr=8-28")</f>
        <v/>
      </c>
      <c r="F8018" t="inlineStr">
        <is>
          <t>B09Q655WY7</t>
        </is>
      </c>
      <c r="G8018">
        <f>_xlfn.IMAGE("https://edmondsonsupply.com/cdn/shop/products/et140_beauty_r.jpg?v=1587143172")</f>
        <v/>
      </c>
      <c r="H8018">
        <f>_xlfn.IMAGE("https://m.media-amazon.com/images/I/41x6jDJEIlL._AC_UL320_.jpg")</f>
        <v/>
      </c>
      <c r="K8018" t="inlineStr">
        <is>
          <t>41.97</t>
        </is>
      </c>
      <c r="L8018" t="n">
        <v>340.97</v>
      </c>
      <c r="M8018" s="1" t="inlineStr">
        <is>
          <t>712.41%</t>
        </is>
      </c>
      <c r="N8018" s="7" t="n"/>
      <c r="O8018" t="n">
        <v>4.5</v>
      </c>
      <c r="P8018" t="n">
        <v>11</v>
      </c>
      <c r="R8018" t="inlineStr">
        <is>
          <t>InStock</t>
        </is>
      </c>
      <c r="S8018" t="inlineStr">
        <is>
          <t>59.44</t>
        </is>
      </c>
      <c r="T8018" t="inlineStr">
        <is>
          <t>3693529071716</t>
        </is>
      </c>
    </row>
    <row r="8019" ht="87" customHeight="1">
      <c r="A8019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19" s="2">
        <f>HYPERLINK("https://edmondsonsupply.com/products/klein-tools-63050-high-leverage-cable-cutter", "https://edmondsonsupply.com/products/klein-tools-63050-high-leverage-cable-cutter")</f>
        <v/>
      </c>
      <c r="C8019" t="inlineStr">
        <is>
          <t>Klein Tools 63050 Cable Cutter</t>
        </is>
      </c>
      <c r="D8019" t="inlineStr">
        <is>
          <t>Crimping tool 8-1 AWG &amp; Klein Tools 63050 Cable Cutter, Heavy Duty Cutter for Aluminum, Copper, and Communications Cable</t>
        </is>
      </c>
      <c r="E8019" s="2">
        <f>HYPERLINK("https://www.amazon.com/Crimping-Cutter-Aluminum-Copper-Communications/dp/B0BM3LPHK8/ref=sr_1_19?keywords=Klein+Tools+63050+Cable+Cutter&amp;qid=1694735444&amp;sr=8-19", "https://www.amazon.com/Crimping-Cutter-Aluminum-Copper-Communications/dp/B0BM3LPHK8/ref=sr_1_19?keywords=Klein+Tools+63050+Cable+Cutter&amp;qid=1694735444&amp;sr=8-19")</f>
        <v/>
      </c>
      <c r="F8019" t="inlineStr">
        <is>
          <t>B0BM3LPHK8</t>
        </is>
      </c>
      <c r="G8019">
        <f>_xlfn.IMAGE("https://edmondsonsupply.com/cdn/shop/products/63050.jpg?v=1587143239")</f>
        <v/>
      </c>
      <c r="H8019">
        <f>_xlfn.IMAGE("https://m.media-amazon.com/images/I/41PEZmV25TL._AC_UL320_.jpg")</f>
        <v/>
      </c>
      <c r="K8019" t="inlineStr">
        <is>
          <t>32.99</t>
        </is>
      </c>
      <c r="L8019" t="n">
        <v>267.11</v>
      </c>
      <c r="M8019" s="1" t="inlineStr">
        <is>
          <t>709.67%</t>
        </is>
      </c>
      <c r="N8019" s="7" t="n"/>
      <c r="O8019" t="n">
        <v>4.6</v>
      </c>
      <c r="P8019" t="n">
        <v>84</v>
      </c>
      <c r="R8019" t="inlineStr">
        <is>
          <t>InStock</t>
        </is>
      </c>
      <c r="S8019" t="inlineStr">
        <is>
          <t>47.96</t>
        </is>
      </c>
      <c r="T8019" t="inlineStr">
        <is>
          <t>4289689124964</t>
        </is>
      </c>
    </row>
    <row r="8020" ht="87" customHeight="1">
      <c r="A8020" s="2">
        <f>HYPERLINK("https://edmondsonsupply.com/collections/electricians-tools/products/klein-tools-88905-replacement-wheel-for-tube-cutter-88904", "https://edmondsonsupply.com/collections/electricians-tools/products/klein-tools-88905-replacement-wheel-for-tube-cutter-88904")</f>
        <v/>
      </c>
      <c r="B8020" s="2">
        <f>HYPERLINK("https://edmondsonsupply.com/products/klein-tools-88905-replacement-wheel-for-tube-cutter-88904", "https://edmondsonsupply.com/products/klein-tools-88905-replacement-wheel-for-tube-cutter-88904")</f>
        <v/>
      </c>
      <c r="C8020" t="inlineStr">
        <is>
          <t>Klein Tools 88905 Replacement Wheel for Tube Cutter 88904</t>
        </is>
      </c>
      <c r="D8020" t="inlineStr">
        <is>
          <t>Klein Tools 88904 Professional Tube Cutter &amp; Klein Tools 88905 Replacement Wheel for Professional Tube Cutter Cat. No. 88904</t>
        </is>
      </c>
      <c r="E8020" s="2">
        <f>HYPERLINK("https://www.amazon.com/Klein-Tools-Professional-Cutter-Replacement/dp/B0BHVMMBMY/ref=sr_1_2?keywords=Klein+Tools+88905+Replacement+Wheel+for+Tube+Cutter+88904&amp;qid=1694735438&amp;sr=8-2", "https://www.amazon.com/Klein-Tools-Professional-Cutter-Replacement/dp/B0BHVMMBMY/ref=sr_1_2?keywords=Klein+Tools+88905+Replacement+Wheel+for+Tube+Cutter+88904&amp;qid=1694735438&amp;sr=8-2")</f>
        <v/>
      </c>
      <c r="F8020" t="inlineStr">
        <is>
          <t>B0BHVMMBMY</t>
        </is>
      </c>
      <c r="G8020">
        <f>_xlfn.IMAGE("https://edmondsonsupply.com/cdn/shop/products/88905.jpg?v=1587146547")</f>
        <v/>
      </c>
      <c r="H8020">
        <f>_xlfn.IMAGE("https://m.media-amazon.com/images/I/41mhEWwMY4L._AC_UL320_.jpg")</f>
        <v/>
      </c>
      <c r="K8020" t="inlineStr">
        <is>
          <t>5.49</t>
        </is>
      </c>
      <c r="L8020" t="n">
        <v>44.09</v>
      </c>
      <c r="M8020" s="1" t="inlineStr">
        <is>
          <t>703.10%</t>
        </is>
      </c>
      <c r="N8020" s="7" t="n"/>
      <c r="O8020" t="n">
        <v>5</v>
      </c>
      <c r="P8020" t="n">
        <v>2</v>
      </c>
      <c r="R8020" t="inlineStr">
        <is>
          <t>InStock</t>
        </is>
      </c>
      <c r="S8020" t="inlineStr">
        <is>
          <t>7.26</t>
        </is>
      </c>
      <c r="T8020" t="inlineStr">
        <is>
          <t>4330842095716</t>
        </is>
      </c>
    </row>
    <row r="8021" ht="87" customHeight="1">
      <c r="A8021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021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021" t="inlineStr">
        <is>
          <t>Klein Tools 11055 Klein Kurve® Solid and Stranded Copper Wire Stripper &amp; Cutter</t>
        </is>
      </c>
      <c r="D8021" t="inlineStr">
        <is>
          <t>Wiha 32985 7 Piece Insulated Industrial Pliers/Cutters/Drivers Belt Set &amp; Klein Tools 11055 Wire Cutter and Wire Stripper, Stranded Wire Cutter, Solid Wire Cutter, Cuts Copper Wire</t>
        </is>
      </c>
      <c r="E8021" s="2">
        <f>HYPERLINK("https://www.amazon.com/Wiha-Insulated-Industrial-Tools-Stripper/dp/B0BD4123CH/ref=sr_1_34?keywords=Klein+Tools+11055+Klein+Kurve%C2%AE+Solid+and+Stranded+Copper+Wire+Stripper+%26+Cutter&amp;qid=1694735472&amp;sr=8-34", "https://www.amazon.com/Wiha-Insulated-Industrial-Tools-Stripper/dp/B0BD4123CH/ref=sr_1_34?keywords=Klein+Tools+11055+Klein+Kurve%C2%AE+Solid+and+Stranded+Copper+Wire+Stripper+%26+Cutter&amp;qid=1694735472&amp;sr=8-34")</f>
        <v/>
      </c>
      <c r="F8021" t="inlineStr">
        <is>
          <t>B0BD4123CH</t>
        </is>
      </c>
      <c r="G8021">
        <f>_xlfn.IMAGE("https://edmondsonsupply.com/cdn/shop/products/11055ep.jpg?v=1670949748")</f>
        <v/>
      </c>
      <c r="H8021">
        <f>_xlfn.IMAGE("https://m.media-amazon.com/images/I/416yEROVyDL._AC_UL320_.jpg")</f>
        <v/>
      </c>
      <c r="K8021" t="inlineStr">
        <is>
          <t>19.99</t>
        </is>
      </c>
      <c r="L8021" t="n">
        <v>160.16</v>
      </c>
      <c r="M8021" s="1" t="inlineStr">
        <is>
          <t>701.20%</t>
        </is>
      </c>
      <c r="N8021" s="7" t="n"/>
      <c r="O8021" t="n">
        <v>5</v>
      </c>
      <c r="P8021" t="n">
        <v>1</v>
      </c>
      <c r="R8021" t="inlineStr">
        <is>
          <t>InStock</t>
        </is>
      </c>
      <c r="S8021" t="inlineStr">
        <is>
          <t>29.82</t>
        </is>
      </c>
      <c r="T8021" t="inlineStr">
        <is>
          <t>1780558135396</t>
        </is>
      </c>
    </row>
    <row r="8022" ht="87" customHeight="1">
      <c r="A802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22" s="2">
        <f>HYPERLINK("https://edmondsonsupply.com/products/klein-tools-rt210-gfci-receptacle-tester", "https://edmondsonsupply.com/products/klein-tools-rt210-gfci-receptacle-tester")</f>
        <v/>
      </c>
      <c r="C8022" t="inlineStr">
        <is>
          <t>Klein Tools RT210 GFCI Outlet Tester</t>
        </is>
      </c>
      <c r="D8022" t="inlineStr">
        <is>
          <t>Klein Tools CL120VP Electrical Voltage Test Kit &amp; RT250 GFCI Receptacle Tester with LCD Display, for Standard 3-Wire 120V Electrical Outlets</t>
        </is>
      </c>
      <c r="E8022" s="2">
        <f>HYPERLINK("https://www.amazon.com/Klein-Tools-Electrical-Receptacle-Standard/dp/B0B68HFMSW/ref=sr_1_9?keywords=Klein+Tools+RT210+GFCI+Outlet+Tester&amp;qid=1694735460&amp;sr=8-9", "https://www.amazon.com/Klein-Tools-Electrical-Receptacle-Standard/dp/B0B68HFMSW/ref=sr_1_9?keywords=Klein+Tools+RT210+GFCI+Outlet+Tester&amp;qid=1694735460&amp;sr=8-9")</f>
        <v/>
      </c>
      <c r="F8022" t="inlineStr">
        <is>
          <t>B0B68HFMSW</t>
        </is>
      </c>
      <c r="G8022">
        <f>_xlfn.IMAGE("https://edmondsonsupply.com/cdn/shop/products/rt210.jpg?v=1587146495")</f>
        <v/>
      </c>
      <c r="H8022">
        <f>_xlfn.IMAGE("https://m.media-amazon.com/images/I/510t4K9B6XL._AC_UL320_.jpg")</f>
        <v/>
      </c>
      <c r="K8022" t="inlineStr">
        <is>
          <t>12.97</t>
        </is>
      </c>
      <c r="L8022" t="n">
        <v>101.95</v>
      </c>
      <c r="M8022" s="1" t="inlineStr">
        <is>
          <t>686.04%</t>
        </is>
      </c>
      <c r="N8022" s="7" t="n"/>
      <c r="O8022" t="n">
        <v>4.9</v>
      </c>
      <c r="P8022" t="n">
        <v>22</v>
      </c>
      <c r="R8022" t="inlineStr">
        <is>
          <t>InStock</t>
        </is>
      </c>
      <c r="S8022" t="inlineStr">
        <is>
          <t>17.12</t>
        </is>
      </c>
      <c r="T8022" t="inlineStr">
        <is>
          <t>3711963988068</t>
        </is>
      </c>
    </row>
    <row r="8023" ht="87" customHeight="1">
      <c r="A8023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23" s="2">
        <f>HYPERLINK("https://edmondsonsupply.com/products/klein-tools-rt210-gfci-receptacle-tester", "https://edmondsonsupply.com/products/klein-tools-rt210-gfci-receptacle-tester")</f>
        <v/>
      </c>
      <c r="C8023" t="inlineStr">
        <is>
          <t>Klein Tools RT210 GFCI Outlet Tester</t>
        </is>
      </c>
      <c r="D8023" t="inlineStr">
        <is>
          <t>Extech MA445 True RMS 400A AC/DC Clamp Meter with NCV, Green &amp; Klein Tools RT210 Outlet Tester, Receptacle Tester for GFCI/Standard North American AC Electrical Outlets</t>
        </is>
      </c>
      <c r="E8023" s="2">
        <f>HYPERLINK("https://www.amazon.com/Extech-Receptacle-Standard-American-Electrical/dp/B0C3B9PG98/ref=sr_1_48?keywords=Klein+Tools+RT210+GFCI+Outlet+Tester&amp;qid=1694735460&amp;sr=8-48", "https://www.amazon.com/Extech-Receptacle-Standard-American-Electrical/dp/B0C3B9PG98/ref=sr_1_48?keywords=Klein+Tools+RT210+GFCI+Outlet+Tester&amp;qid=1694735460&amp;sr=8-48")</f>
        <v/>
      </c>
      <c r="F8023" t="inlineStr">
        <is>
          <t>B0C3B9PG98</t>
        </is>
      </c>
      <c r="G8023">
        <f>_xlfn.IMAGE("https://edmondsonsupply.com/cdn/shop/products/rt210.jpg?v=1587146495")</f>
        <v/>
      </c>
      <c r="H8023">
        <f>_xlfn.IMAGE("https://m.media-amazon.com/images/I/51iK0bxwHVL._AC_UL320_.jpg")</f>
        <v/>
      </c>
      <c r="K8023" t="inlineStr">
        <is>
          <t>12.97</t>
        </is>
      </c>
      <c r="L8023" t="n">
        <v>101.76</v>
      </c>
      <c r="M8023" s="1" t="inlineStr">
        <is>
          <t>684.58%</t>
        </is>
      </c>
      <c r="N8023" s="7" t="n"/>
      <c r="O8023" t="n">
        <v>4.4</v>
      </c>
      <c r="P8023" t="n">
        <v>451</v>
      </c>
      <c r="R8023" t="inlineStr">
        <is>
          <t>InStock</t>
        </is>
      </c>
      <c r="S8023" t="inlineStr">
        <is>
          <t>17.12</t>
        </is>
      </c>
      <c r="T8023" t="inlineStr">
        <is>
          <t>3711963988068</t>
        </is>
      </c>
    </row>
    <row r="8024" ht="87" customHeight="1">
      <c r="A8024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24" s="2">
        <f>HYPERLINK("https://edmondsonsupply.com/products/klein-tools-69411-circuit-breaker-finder-accessory-kit", "https://edmondsonsupply.com/products/klein-tools-69411-circuit-breaker-finder-accessory-kit")</f>
        <v/>
      </c>
      <c r="C8024" t="inlineStr">
        <is>
          <t>Klein Tools 69411 Circuit Breaker Finder Accessory Kit</t>
        </is>
      </c>
      <c r="D8024" t="inlineStr">
        <is>
          <t>Klein Tools MM700 Multimeter, 1000V &amp; 80016 Circuit Breaker Finder Tool Kit with Accessories, 2-Piece Set, Includes Cat. No. ET310 and Cat. No. 69411</t>
        </is>
      </c>
      <c r="E8024" s="2">
        <f>HYPERLINK("https://www.amazon.com/Klein-Tools-Multimeter-Circuit-Accessories/dp/B0BD4339PQ/ref=sr_1_38?keywords=Klein+Tools+69411+Circuit+Breaker+Finder+Accessory+Kit&amp;qid=1694735452&amp;sr=8-38", "https://www.amazon.com/Klein-Tools-Multimeter-Circuit-Accessories/dp/B0BD4339PQ/ref=sr_1_38?keywords=Klein+Tools+69411+Circuit+Breaker+Finder+Accessory+Kit&amp;qid=1694735452&amp;sr=8-38")</f>
        <v/>
      </c>
      <c r="F8024" t="inlineStr">
        <is>
          <t>B0BD4339PQ</t>
        </is>
      </c>
      <c r="G8024">
        <f>_xlfn.IMAGE("https://edmondsonsupply.com/cdn/shop/products/69411.jpg?v=1587143386")</f>
        <v/>
      </c>
      <c r="H8024">
        <f>_xlfn.IMAGE("https://m.media-amazon.com/images/I/51t3FjybW5L._AC_UL320_.jpg")</f>
        <v/>
      </c>
      <c r="K8024" t="inlineStr">
        <is>
          <t>19.97</t>
        </is>
      </c>
      <c r="L8024" t="n">
        <v>154.96</v>
      </c>
      <c r="M8024" s="1" t="inlineStr">
        <is>
          <t>675.96%</t>
        </is>
      </c>
      <c r="N8024" s="7" t="n"/>
      <c r="O8024" t="n">
        <v>4.8</v>
      </c>
      <c r="P8024" t="n">
        <v>5</v>
      </c>
      <c r="R8024" t="inlineStr">
        <is>
          <t>InStock</t>
        </is>
      </c>
      <c r="S8024" t="inlineStr">
        <is>
          <t>27.96</t>
        </is>
      </c>
      <c r="T8024" t="inlineStr">
        <is>
          <t>4166896255076</t>
        </is>
      </c>
    </row>
    <row r="8025" ht="87" customHeight="1">
      <c r="A8025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025" s="2">
        <f>HYPERLINK("https://edmondsonsupply.com/products/klein-tools-69401-multimeter-carrying-case", "https://edmondsonsupply.com/products/klein-tools-69401-multimeter-carrying-case")</f>
        <v/>
      </c>
      <c r="C8025" t="inlineStr">
        <is>
          <t>Klein Tools 69401 Multimeter Carrying Case</t>
        </is>
      </c>
      <c r="D8025" t="inlineStr">
        <is>
          <t>Klein Tools CL800 Digital Clamp Meter, Autoranging TRMS, AC/DC Volt/Current, LoZ, Continuity, Frequency, Capacitance, NCVT, Temp, More 1000V &amp; 69401 Multimeter Carrying Case</t>
        </is>
      </c>
      <c r="E8025" s="2">
        <f>HYPERLINK("https://www.amazon.com/Klein-Tools-Electrical-Auto-Ranging-Resistance/dp/B08ZPXQTRB/ref=sr_1_4?keywords=Klein+Tools+69401+Multimeter+Carrying+Case&amp;qid=1694735435&amp;sr=8-4", "https://www.amazon.com/Klein-Tools-Electrical-Auto-Ranging-Resistance/dp/B08ZPXQTRB/ref=sr_1_4?keywords=Klein+Tools+69401+Multimeter+Carrying+Case&amp;qid=1694735435&amp;sr=8-4")</f>
        <v/>
      </c>
      <c r="F8025" t="inlineStr">
        <is>
          <t>B08ZPXQTRB</t>
        </is>
      </c>
      <c r="G8025">
        <f>_xlfn.IMAGE("https://edmondsonsupply.com/cdn/shop/products/69401.jpg?v=1587151194")</f>
        <v/>
      </c>
      <c r="H8025">
        <f>_xlfn.IMAGE("https://m.media-amazon.com/images/I/61ODFVWkF5L._AC_UL320_.jpg")</f>
        <v/>
      </c>
      <c r="K8025" t="inlineStr">
        <is>
          <t>16.97</t>
        </is>
      </c>
      <c r="L8025" t="n">
        <v>130.21</v>
      </c>
      <c r="M8025" s="1" t="inlineStr">
        <is>
          <t>667.30%</t>
        </is>
      </c>
      <c r="N8025" s="7" t="n"/>
      <c r="O8025" t="n">
        <v>4.6</v>
      </c>
      <c r="P8025" t="n">
        <v>19</v>
      </c>
      <c r="R8025" t="inlineStr">
        <is>
          <t>InStock</t>
        </is>
      </c>
      <c r="S8025" t="inlineStr">
        <is>
          <t>23.84</t>
        </is>
      </c>
      <c r="T8025" t="inlineStr">
        <is>
          <t>4348577710180</t>
        </is>
      </c>
    </row>
    <row r="8026" ht="87" customHeight="1">
      <c r="A8026" s="2">
        <f>HYPERLINK("https://edmondsonsupply.com/collections/electricians-tools/products/klein-tools-86601-5-16-inch-magnetic-hex-drivers-3-pack", "https://edmondsonsupply.com/collections/electricians-tools/products/klein-tools-86601-5-16-inch-magnetic-hex-drivers-3-pack")</f>
        <v/>
      </c>
      <c r="B8026" s="2">
        <f>HYPERLINK("https://edmondsonsupply.com/products/klein-tools-86601-5-16-inch-magnetic-hex-drivers-3-pack", "https://edmondsonsupply.com/products/klein-tools-86601-5-16-inch-magnetic-hex-drivers-3-pack")</f>
        <v/>
      </c>
      <c r="C8026" t="inlineStr">
        <is>
          <t>Klein Tools 86601 5/16-Inch Magnetic Hex Drivers, 3-Pack</t>
        </is>
      </c>
      <c r="D8026" t="inlineStr">
        <is>
          <t>Klein Tools 635-4 Tool Set, Heavy Duty Magnetic Nut Drivers Hex Sizes 1/4, 5/16, 3/8, 7/16-Inch, Full Hollow Shafts w/Color Coding, 4-Piece</t>
        </is>
      </c>
      <c r="E8026" s="2">
        <f>HYPERLINK("https://www.amazon.com/Klein-Tools-Heavy-Duty-Driver-4-Piece/dp/B01D6D08UO/ref=sr_1_47?keywords=Klein+Tools+86601+5%2F16-Inch+Magnetic+Hex+Drivers%2C+3-Pack&amp;qid=1694735450&amp;sr=8-47", "https://www.amazon.com/Klein-Tools-Heavy-Duty-Driver-4-Piece/dp/B01D6D08UO/ref=sr_1_47?keywords=Klein+Tools+86601+5%2F16-Inch+Magnetic+Hex+Drivers%2C+3-Pack&amp;qid=1694735450&amp;sr=8-47")</f>
        <v/>
      </c>
      <c r="F8026" t="inlineStr">
        <is>
          <t>B01D6D08UO</t>
        </is>
      </c>
      <c r="G8026">
        <f>_xlfn.IMAGE("https://edmondsonsupply.com/cdn/shop/products/86601.jpg?v=1587143139")</f>
        <v/>
      </c>
      <c r="H8026">
        <f>_xlfn.IMAGE("https://m.media-amazon.com/images/I/51svRJU945L._AC_UL320_.jpg")</f>
        <v/>
      </c>
      <c r="K8026" t="inlineStr">
        <is>
          <t>6.99</t>
        </is>
      </c>
      <c r="L8026" t="n">
        <v>53.13</v>
      </c>
      <c r="M8026" s="1" t="inlineStr">
        <is>
          <t>660.09%</t>
        </is>
      </c>
      <c r="N8026" s="7" t="n"/>
      <c r="O8026" t="n">
        <v>4.7</v>
      </c>
      <c r="P8026" t="n">
        <v>943</v>
      </c>
      <c r="R8026" t="inlineStr">
        <is>
          <t>InStock</t>
        </is>
      </c>
      <c r="S8026" t="inlineStr">
        <is>
          <t>10.1</t>
        </is>
      </c>
      <c r="T8026" t="inlineStr">
        <is>
          <t>4274616434788</t>
        </is>
      </c>
    </row>
    <row r="8027" ht="87" customHeight="1">
      <c r="A8027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027" s="2">
        <f>HYPERLINK("https://edmondsonsupply.com/products/klein-tools-aepjs1-wireless-jobsite-speaker-bluetooth", "https://edmondsonsupply.com/products/klein-tools-aepjs1-wireless-jobsite-speaker-bluetooth")</f>
        <v/>
      </c>
      <c r="C8027" t="inlineStr">
        <is>
          <t>Klein Tools AEPJS1 Wireless Jobsite Speaker</t>
        </is>
      </c>
      <c r="D8027" t="inlineStr">
        <is>
          <t>Klein Tools 55473RTB Rolling Tool Bag &amp; AEPJS1 Bluetooth Speaker, Wireless Portable Jobsite Speaker Plays Audio and Answers Calls Hands Free, IPX5, Worksite Ready</t>
        </is>
      </c>
      <c r="E8027" s="2">
        <f>HYPERLINK("https://www.amazon.com/Klein-Tools-55473RTB-Bluetooth-Wireless/dp/B0BC822LH7/ref=sr_1_6?keywords=Klein+Tools+AEPJS1+Wireless+Jobsite+Speaker&amp;qid=1694735448&amp;sr=8-6", "https://www.amazon.com/Klein-Tools-55473RTB-Bluetooth-Wireless/dp/B0BC822LH7/ref=sr_1_6?keywords=Klein+Tools+AEPJS1+Wireless+Jobsite+Speaker&amp;qid=1694735448&amp;sr=8-6")</f>
        <v/>
      </c>
      <c r="F8027" t="inlineStr">
        <is>
          <t>B0BC822LH7</t>
        </is>
      </c>
      <c r="G8027">
        <f>_xlfn.IMAGE("https://edmondsonsupply.com/cdn/shop/products/aepjs1.jpg?v=1587145015")</f>
        <v/>
      </c>
      <c r="H8027">
        <f>_xlfn.IMAGE("https://m.media-amazon.com/images/I/51sjV6SC55L._AC_UY218_.jpg")</f>
        <v/>
      </c>
      <c r="K8027" t="inlineStr">
        <is>
          <t>39.97</t>
        </is>
      </c>
      <c r="L8027" t="n">
        <v>298.97</v>
      </c>
      <c r="M8027" s="1" t="inlineStr">
        <is>
          <t>647.99%</t>
        </is>
      </c>
      <c r="N8027" s="7" t="n"/>
      <c r="O8027" t="n">
        <v>5</v>
      </c>
      <c r="P8027" t="n">
        <v>1</v>
      </c>
      <c r="R8027" t="inlineStr">
        <is>
          <t>InStock</t>
        </is>
      </c>
      <c r="S8027" t="inlineStr">
        <is>
          <t>56.0</t>
        </is>
      </c>
      <c r="T8027" t="inlineStr">
        <is>
          <t>1779629424740</t>
        </is>
      </c>
    </row>
    <row r="8028" hidden="1" ht="15.75" customHeight="1">
      <c r="A8028" s="2">
        <f>HYPERLINK("https://edmondsonsupply.com/collections/electricians-tools/products/klein-tools-vdv226-107-compact-ratcheting-modular-crimper", "https://edmondsonsupply.com/collections/electricians-tools/products/klein-tools-vdv226-107-compact-ratcheting-modular-crimper")</f>
        <v/>
      </c>
      <c r="B8028" s="2">
        <f>HYPERLINK("https://edmondsonsupply.com/products/klein-tools-vdv226-107-compact-ratcheting-modular-crimper", "https://edmondsonsupply.com/products/klein-tools-vdv226-107-compact-ratcheting-modular-crimper")</f>
        <v/>
      </c>
      <c r="C8028" t="inlineStr">
        <is>
          <t>Klein Tools VDV226-107 Ratcheting Data Cable Crimper / Stripper / Cutter, Compact</t>
        </is>
      </c>
      <c r="D8028" t="inlineStr">
        <is>
          <t>Klein Tools VDV001819 Tool Set, Cable Installation Test Set, Case, 6-Piece &amp; VDV226-110 Ratcheting Modular Data Cable Crimper/Wire Stripper/Wire Cutter for RJ11/RJ12 Standard</t>
        </is>
      </c>
      <c r="E8028" s="2">
        <f>HYPERLINK("https://www.amazon.com/Klein-Tools-Installation-VDV226-110-Ratcheting/dp/B0BC84DPDW/ref=sr_1_9?keywords=Klein+Tools+VDV226-107+Ratcheting+Data+Cable+Crimper+%2F+Stripper+%2F+Cutter%2C+Compact&amp;qid=1694735446&amp;sr=8-9", "https://www.amazon.com/Klein-Tools-Installation-VDV226-110-Ratcheting/dp/B0BC84DPDW/ref=sr_1_9?keywords=Klein+Tools+VDV226-107+Ratcheting+Data+Cable+Crimper+%2F+Stripper+%2F+Cutter%2C+Compact&amp;qid=1694735446&amp;sr=8-9")</f>
        <v/>
      </c>
      <c r="F8028" t="inlineStr">
        <is>
          <t>B0BC84DPDW</t>
        </is>
      </c>
      <c r="G8028">
        <f>_xludf.IMAGE("https://edmondsonsupply.com/cdn/shop/products/vdv226-107.jpg?v=1587150662")</f>
        <v/>
      </c>
      <c r="H8028">
        <f>_xludf.IMAGE("https://m.media-amazon.com/images/I/51HCIxudDhL._AC_UL320_.jpg")</f>
        <v/>
      </c>
      <c r="K8028" t="inlineStr">
        <is>
          <t>34.99</t>
        </is>
      </c>
      <c r="L8028" t="n">
        <v>260.96</v>
      </c>
      <c r="M8028" s="1" t="inlineStr">
        <is>
          <t>645.81%</t>
        </is>
      </c>
      <c r="N8028" s="1" t="n"/>
      <c r="O8028" t="n">
        <v>4</v>
      </c>
      <c r="P8028" t="n">
        <v>4</v>
      </c>
      <c r="R8028" t="inlineStr">
        <is>
          <t>InStock</t>
        </is>
      </c>
      <c r="S8028" t="inlineStr">
        <is>
          <t>51.5</t>
        </is>
      </c>
      <c r="T8028" t="inlineStr">
        <is>
          <t>4172359630948</t>
        </is>
      </c>
    </row>
    <row r="8029" ht="87" customHeight="1">
      <c r="A8029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029" s="2">
        <f>HYPERLINK("https://edmondsonsupply.com/products/klein-tools-646-3-8-3-8-inch-nut-driver-6-inch-hollow-shaft", "https://edmondsonsupply.com/products/klein-tools-646-3-8-3-8-inch-nut-driver-6-inch-hollow-shaft")</f>
        <v/>
      </c>
      <c r="C8029" t="inlineStr">
        <is>
          <t>Klein Tools 646-3/8 3/8-Inch Nut Driver, 6-Inch Hollow Shaft</t>
        </is>
      </c>
      <c r="D8029" t="inlineStr">
        <is>
          <t>Klein Tools 89904 Tool Set, Nut Drivers Sizes 3/16, 1/4, 5/16, 11/32, 3/8, 7/16, 1/2-Inch, 6-Inch Shafts, 7-Piece</t>
        </is>
      </c>
      <c r="E8029" s="2">
        <f>HYPERLINK("https://www.amazon.com/Klein-Tools-Nut-Driver-89904/dp/B000MB1JMU/ref=sr_1_24?keywords=Klein+Tools+646-3%2F8+3%2F8-Inch+Nut+Driver%2C+6-Inch+Hollow+Shaft&amp;qid=1694735435&amp;sr=8-24", "https://www.amazon.com/Klein-Tools-Nut-Driver-89904/dp/B000MB1JMU/ref=sr_1_24?keywords=Klein+Tools+646-3%2F8+3%2F8-Inch+Nut+Driver%2C+6-Inch+Hollow+Shaft&amp;qid=1694735435&amp;sr=8-24")</f>
        <v/>
      </c>
      <c r="F8029" t="inlineStr">
        <is>
          <t>B000MB1JMU</t>
        </is>
      </c>
      <c r="G8029">
        <f>_xlfn.IMAGE("https://edmondsonsupply.com/cdn/shop/products/646-1-2.jpg?v=1587143221")</f>
        <v/>
      </c>
      <c r="H8029">
        <f>_xlfn.IMAGE("https://m.media-amazon.com/images/I/61cXQ4v0vvL._AC_UL320_.jpg")</f>
        <v/>
      </c>
      <c r="K8029" t="inlineStr">
        <is>
          <t>8.99</t>
        </is>
      </c>
      <c r="L8029" t="n">
        <v>66.23</v>
      </c>
      <c r="M8029" s="1" t="inlineStr">
        <is>
          <t>636.71%</t>
        </is>
      </c>
      <c r="N8029" s="7" t="n"/>
      <c r="O8029" t="n">
        <v>4.5</v>
      </c>
      <c r="P8029" t="n">
        <v>33</v>
      </c>
      <c r="R8029" t="inlineStr">
        <is>
          <t>InStock</t>
        </is>
      </c>
      <c r="S8029" t="inlineStr">
        <is>
          <t>13.58</t>
        </is>
      </c>
      <c r="T8029" t="inlineStr">
        <is>
          <t>4341100609636</t>
        </is>
      </c>
    </row>
    <row r="8030" ht="87" customHeight="1">
      <c r="A8030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30" s="2">
        <f>HYPERLINK("https://edmondsonsupply.com/products/klein-tools-rt210-gfci-receptacle-tester", "https://edmondsonsupply.com/products/klein-tools-rt210-gfci-receptacle-tester")</f>
        <v/>
      </c>
      <c r="C8030" t="inlineStr">
        <is>
          <t>Klein Tools RT210 GFCI Outlet Tester</t>
        </is>
      </c>
      <c r="D8030" t="inlineStr">
        <is>
          <t>Klein Tools 80016 Circuit Breaker Finder Tool Kit &amp; RT310 Receptacle Tester, AFCI and GFCI Outlet and Device Tester for North American AC Electrical Outlet Receptacles</t>
        </is>
      </c>
      <c r="E8030" s="2">
        <f>HYPERLINK("https://www.amazon.com/Klein-Tools-Receptacle-Electrical-Receptacles/dp/B09P84542L/ref=sr_1_25?keywords=Klein+Tools+RT210+GFCI+Outlet+Tester&amp;qid=1694735460&amp;sr=8-25", "https://www.amazon.com/Klein-Tools-Receptacle-Electrical-Receptacles/dp/B09P84542L/ref=sr_1_25?keywords=Klein+Tools+RT210+GFCI+Outlet+Tester&amp;qid=1694735460&amp;sr=8-25")</f>
        <v/>
      </c>
      <c r="F8030" t="inlineStr">
        <is>
          <t>B09P84542L</t>
        </is>
      </c>
      <c r="G8030">
        <f>_xlfn.IMAGE("https://edmondsonsupply.com/cdn/shop/products/rt210.jpg?v=1587146495")</f>
        <v/>
      </c>
      <c r="H8030">
        <f>_xlfn.IMAGE("https://m.media-amazon.com/images/I/51JAT1Kr0DL._AC_UL320_.jpg")</f>
        <v/>
      </c>
      <c r="K8030" t="inlineStr">
        <is>
          <t>12.97</t>
        </is>
      </c>
      <c r="L8030" t="n">
        <v>94.95999999999999</v>
      </c>
      <c r="M8030" s="1" t="inlineStr">
        <is>
          <t>632.15%</t>
        </is>
      </c>
      <c r="N8030" s="7" t="n"/>
      <c r="O8030" t="n">
        <v>4.7</v>
      </c>
      <c r="P8030" t="n">
        <v>499</v>
      </c>
      <c r="R8030" t="inlineStr">
        <is>
          <t>InStock</t>
        </is>
      </c>
      <c r="S8030" t="inlineStr">
        <is>
          <t>17.12</t>
        </is>
      </c>
      <c r="T8030" t="inlineStr">
        <is>
          <t>3711963988068</t>
        </is>
      </c>
    </row>
    <row r="8031" ht="87" customHeight="1">
      <c r="A8031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31" s="2">
        <f>HYPERLINK("https://edmondsonsupply.com/products/klein-tools-rt210-gfci-receptacle-tester", "https://edmondsonsupply.com/products/klein-tools-rt210-gfci-receptacle-tester")</f>
        <v/>
      </c>
      <c r="C8031" t="inlineStr">
        <is>
          <t>Klein Tools RT210 GFCI Outlet Tester</t>
        </is>
      </c>
      <c r="D8031" t="inlineStr">
        <is>
          <t>Klein Tools ET310 AC Circuit Breaker Finder, Electric Tester with Integrated GFCI Outlet Tester &amp; RT250 GFCI Outlet Tester with LCD Display &amp; Klein Tools 69411 Circuit Breaker Finder Accessory Kit</t>
        </is>
      </c>
      <c r="E8031" s="2">
        <f>HYPERLINK("https://www.amazon.com/Klein-Tools-Electric-Integrated-Accessory/dp/B0C9999Y7J/ref=sr_1_18?keywords=Klein+Tools+RT210+GFCI+Outlet+Tester&amp;qid=1694735460&amp;sr=8-18", "https://www.amazon.com/Klein-Tools-Electric-Integrated-Accessory/dp/B0C9999Y7J/ref=sr_1_18?keywords=Klein+Tools+RT210+GFCI+Outlet+Tester&amp;qid=1694735460&amp;sr=8-18")</f>
        <v/>
      </c>
      <c r="F8031" t="inlineStr">
        <is>
          <t>B0C9999Y7J</t>
        </is>
      </c>
      <c r="G8031">
        <f>_xlfn.IMAGE("https://edmondsonsupply.com/cdn/shop/products/rt210.jpg?v=1587146495")</f>
        <v/>
      </c>
      <c r="H8031">
        <f>_xlfn.IMAGE("https://m.media-amazon.com/images/I/612+A-jAqtL._AC_UL320_.jpg")</f>
        <v/>
      </c>
      <c r="K8031" t="inlineStr">
        <is>
          <t>12.97</t>
        </is>
      </c>
      <c r="L8031" t="n">
        <v>91.66</v>
      </c>
      <c r="M8031" s="1" t="inlineStr">
        <is>
          <t>606.71%</t>
        </is>
      </c>
      <c r="N8031" s="7" t="n"/>
      <c r="O8031" t="n">
        <v>4.8</v>
      </c>
      <c r="P8031" t="n">
        <v>6</v>
      </c>
      <c r="R8031" t="inlineStr">
        <is>
          <t>InStock</t>
        </is>
      </c>
      <c r="S8031" t="inlineStr">
        <is>
          <t>17.12</t>
        </is>
      </c>
      <c r="T8031" t="inlineStr">
        <is>
          <t>3711963988068</t>
        </is>
      </c>
    </row>
    <row r="8032" hidden="1" ht="15.75" customHeight="1">
      <c r="A8032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32" s="2">
        <f>HYPERLINK("https://edmondsonsupply.com/products/klein-tools-63050-high-leverage-cable-cutter", "https://edmondsonsupply.com/products/klein-tools-63050-high-leverage-cable-cutter")</f>
        <v/>
      </c>
      <c r="C8032" t="inlineStr">
        <is>
          <t>Klein Tools 63050 Cable Cutter</t>
        </is>
      </c>
      <c r="D8032" t="inlineStr">
        <is>
          <t>Klein Tools 63060 Cable Cutters, Ratcheting Heavy Duty Cutters for Up to 750 MCM, Great for Cable Preparation &amp; 63050 Cable Cutter, Heavy Duty Cutter for Aluminum, Copper, and Communications Cable</t>
        </is>
      </c>
      <c r="E8032" s="2">
        <f>HYPERLINK("https://www.amazon.com/Klein-Tools-Ratcheting-Preparation-Communications/dp/B0BD3WBCP4/ref=sr_1_41?keywords=Klein+Tools+63050+Cable+Cutter&amp;qid=1694735444&amp;sr=8-41", "https://www.amazon.com/Klein-Tools-Ratcheting-Preparation-Communications/dp/B0BD3WBCP4/ref=sr_1_41?keywords=Klein+Tools+63050+Cable+Cutter&amp;qid=1694735444&amp;sr=8-41")</f>
        <v/>
      </c>
      <c r="F8032" t="inlineStr">
        <is>
          <t>B0BD3WBCP4</t>
        </is>
      </c>
      <c r="G8032">
        <f>_xludf.IMAGE("https://edmondsonsupply.com/cdn/shop/products/63050.jpg?v=1587143239")</f>
        <v/>
      </c>
      <c r="H8032">
        <f>_xludf.IMAGE("https://m.media-amazon.com/images/I/41pHBunxlJL._AC_UL320_.jpg")</f>
        <v/>
      </c>
      <c r="K8032" t="inlineStr">
        <is>
          <t>32.99</t>
        </is>
      </c>
      <c r="L8032" t="n">
        <v>232.98</v>
      </c>
      <c r="M8032" s="1" t="inlineStr">
        <is>
          <t>606.21%</t>
        </is>
      </c>
      <c r="N8032" s="1" t="n"/>
      <c r="O8032" t="n">
        <v>3.6</v>
      </c>
      <c r="P8032" t="n">
        <v>4</v>
      </c>
      <c r="R8032" t="inlineStr">
        <is>
          <t>InStock</t>
        </is>
      </c>
      <c r="S8032" t="inlineStr">
        <is>
          <t>47.96</t>
        </is>
      </c>
      <c r="T8032" t="inlineStr">
        <is>
          <t>4289689124964</t>
        </is>
      </c>
    </row>
    <row r="8033" ht="87" customHeight="1">
      <c r="A8033" s="2">
        <f>HYPERLINK("https://edmondsonsupply.com/collections/electricians-tools/products/klein-tools-88905-replacement-wheel-for-tube-cutter-88904", "https://edmondsonsupply.com/collections/electricians-tools/products/klein-tools-88905-replacement-wheel-for-tube-cutter-88904")</f>
        <v/>
      </c>
      <c r="B8033" s="2">
        <f>HYPERLINK("https://edmondsonsupply.com/products/klein-tools-88905-replacement-wheel-for-tube-cutter-88904", "https://edmondsonsupply.com/products/klein-tools-88905-replacement-wheel-for-tube-cutter-88904")</f>
        <v/>
      </c>
      <c r="C8033" t="inlineStr">
        <is>
          <t>Klein Tools 88905 Replacement Wheel for Tube Cutter 88904</t>
        </is>
      </c>
      <c r="D8033" t="inlineStr">
        <is>
          <t>Klein Tools 88904 Professional Tube Cutter, 4-Roller Tracking System, Accurate Cutting for HVAC, Reaming Tool, Includes Extra Cutting Wheel</t>
        </is>
      </c>
      <c r="E8033" s="2">
        <f>HYPERLINK("https://www.amazon.com/Professional-Cutter-Klein-Tools-88904/dp/B0040YMJ7Y/ref=sr_1_3?keywords=Klein+Tools+88905+Replacement+Wheel+for+Tube+Cutter+88904&amp;qid=1694735438&amp;sr=8-3", "https://www.amazon.com/Professional-Cutter-Klein-Tools-88904/dp/B0040YMJ7Y/ref=sr_1_3?keywords=Klein+Tools+88905+Replacement+Wheel+for+Tube+Cutter+88904&amp;qid=1694735438&amp;sr=8-3")</f>
        <v/>
      </c>
      <c r="F8033" t="inlineStr">
        <is>
          <t>B0040YMJ7Y</t>
        </is>
      </c>
      <c r="G8033">
        <f>_xlfn.IMAGE("https://edmondsonsupply.com/cdn/shop/products/88905.jpg?v=1587146547")</f>
        <v/>
      </c>
      <c r="H8033">
        <f>_xlfn.IMAGE("https://m.media-amazon.com/images/I/51svAU4OwLL._AC_UL320_.jpg")</f>
        <v/>
      </c>
      <c r="K8033" t="inlineStr">
        <is>
          <t>5.49</t>
        </is>
      </c>
      <c r="L8033" t="n">
        <v>38.6</v>
      </c>
      <c r="M8033" s="1" t="inlineStr">
        <is>
          <t>603.10%</t>
        </is>
      </c>
      <c r="N8033" s="7" t="n"/>
      <c r="O8033" t="n">
        <v>4.8</v>
      </c>
      <c r="P8033" t="n">
        <v>885</v>
      </c>
      <c r="R8033" t="inlineStr">
        <is>
          <t>InStock</t>
        </is>
      </c>
      <c r="S8033" t="inlineStr">
        <is>
          <t>7.26</t>
        </is>
      </c>
      <c r="T8033" t="inlineStr">
        <is>
          <t>4330842095716</t>
        </is>
      </c>
    </row>
    <row r="8034" ht="87" customHeight="1">
      <c r="A8034" s="2">
        <f>HYPERLINK("https://edmondsonsupply.com/collections/electricians-tools/products/klein-tools-21050-large-cable-stripper-750-350-mcm", "https://edmondsonsupply.com/collections/electricians-tools/products/klein-tools-21050-large-cable-stripper-750-350-mcm")</f>
        <v/>
      </c>
      <c r="B8034" s="2">
        <f>HYPERLINK("https://edmondsonsupply.com/products/klein-tools-21050-large-cable-stripper-750-350-mcm", "https://edmondsonsupply.com/products/klein-tools-21050-large-cable-stripper-750-350-mcm")</f>
        <v/>
      </c>
      <c r="C8034" t="inlineStr">
        <is>
          <t>Klein Tools 21050 Large Cable Stripper (750 - 350 MCM)</t>
        </is>
      </c>
      <c r="D8034" t="inlineStr">
        <is>
          <t>DEWALT 20V MAX XR Cable Stripper, Cordless Kit (DCE151TD1) &amp; Klein Tools 21050 Large Cable Stripper (750-350 MCM)</t>
        </is>
      </c>
      <c r="E8034" s="2">
        <f>HYPERLINK("https://www.amazon.com/DEWALT-Stripper-Cordless-DCE151TD1-750-350/dp/B0BFXQMTRR/ref=sr_1_2?keywords=Klein+Tools+21050+Large+Cable+Stripper+%28750+-+350+MCM%29&amp;qid=1694735465&amp;sr=8-2", "https://www.amazon.com/DEWALT-Stripper-Cordless-DCE151TD1-750-350/dp/B0BFXQMTRR/ref=sr_1_2?keywords=Klein+Tools+21050+Large+Cable+Stripper+%28750+-+350+MCM%29&amp;qid=1694735465&amp;sr=8-2")</f>
        <v/>
      </c>
      <c r="F8034" t="inlineStr">
        <is>
          <t>B0BFXQMTRR</t>
        </is>
      </c>
      <c r="G8034">
        <f>_xlfn.IMAGE("https://edmondsonsupply.com/cdn/shop/products/21050.jpg?v=1587146906")</f>
        <v/>
      </c>
      <c r="H8034">
        <f>_xlfn.IMAGE("https://m.media-amazon.com/images/I/51hd7kMs56L._AC_UL320_.jpg")</f>
        <v/>
      </c>
      <c r="K8034" t="inlineStr">
        <is>
          <t>64.99</t>
        </is>
      </c>
      <c r="L8034" t="n">
        <v>451.66</v>
      </c>
      <c r="M8034" s="1" t="inlineStr">
        <is>
          <t>594.97%</t>
        </is>
      </c>
      <c r="N8034" s="7" t="n"/>
      <c r="O8034" t="n">
        <v>4.5</v>
      </c>
      <c r="P8034" t="n">
        <v>332</v>
      </c>
      <c r="R8034" t="inlineStr">
        <is>
          <t>InStock</t>
        </is>
      </c>
      <c r="S8034" t="inlineStr">
        <is>
          <t>91.18</t>
        </is>
      </c>
      <c r="T8034" t="inlineStr">
        <is>
          <t>1723414577252</t>
        </is>
      </c>
    </row>
    <row r="8035" ht="87" customHeight="1">
      <c r="A8035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35" s="2">
        <f>HYPERLINK("https://edmondsonsupply.com/products/klein-tools-rt210-gfci-receptacle-tester", "https://edmondsonsupply.com/products/klein-tools-rt210-gfci-receptacle-tester")</f>
        <v/>
      </c>
      <c r="C8035" t="inlineStr">
        <is>
          <t>Klein Tools RT210 GFCI Outlet Tester</t>
        </is>
      </c>
      <c r="D8035" t="inlineStr">
        <is>
          <t>Klein Tools ET310 AC Circuit Breaker Finder, Electric Tester With Integrated GFCI Outlet Tester &amp; RT310 Outlet Tester, AFCI and GFCI Receptacle Tester for North American AC Electrical Outlets</t>
        </is>
      </c>
      <c r="E8035" s="2">
        <f>HYPERLINK("https://www.amazon.com/Klein-Tools-American-Electrical-Receptacles/dp/B08MFYB28G/ref=sr_1_47?keywords=Klein+Tools+RT210+GFCI+Outlet+Tester&amp;qid=1694735460&amp;sr=8-47", "https://www.amazon.com/Klein-Tools-American-Electrical-Receptacles/dp/B08MFYB28G/ref=sr_1_47?keywords=Klein+Tools+RT210+GFCI+Outlet+Tester&amp;qid=1694735460&amp;sr=8-47")</f>
        <v/>
      </c>
      <c r="F8035" t="inlineStr">
        <is>
          <t>B08MFYB28G</t>
        </is>
      </c>
      <c r="G8035">
        <f>_xlfn.IMAGE("https://edmondsonsupply.com/cdn/shop/products/rt210.jpg?v=1587146495")</f>
        <v/>
      </c>
      <c r="H8035">
        <f>_xlfn.IMAGE("https://m.media-amazon.com/images/I/5196xTz0FYL._AC_UL320_.jpg")</f>
        <v/>
      </c>
      <c r="K8035" t="inlineStr">
        <is>
          <t>12.97</t>
        </is>
      </c>
      <c r="L8035" t="n">
        <v>89.69</v>
      </c>
      <c r="M8035" s="1" t="inlineStr">
        <is>
          <t>591.52%</t>
        </is>
      </c>
      <c r="N8035" s="7" t="n"/>
      <c r="O8035" t="n">
        <v>4.5</v>
      </c>
      <c r="P8035" t="n">
        <v>48</v>
      </c>
      <c r="R8035" t="inlineStr">
        <is>
          <t>InStock</t>
        </is>
      </c>
      <c r="S8035" t="inlineStr">
        <is>
          <t>17.12</t>
        </is>
      </c>
      <c r="T8035" t="inlineStr">
        <is>
          <t>3711963988068</t>
        </is>
      </c>
    </row>
    <row r="8036" ht="87" customHeight="1">
      <c r="A8036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36" s="2">
        <f>HYPERLINK("https://edmondsonsupply.com/products/klein-tools-63050-high-leverage-cable-cutter", "https://edmondsonsupply.com/products/klein-tools-63050-high-leverage-cable-cutter")</f>
        <v/>
      </c>
      <c r="C8036" t="inlineStr">
        <is>
          <t>Klein Tools 63050 Cable Cutter</t>
        </is>
      </c>
      <c r="D8036" t="inlineStr">
        <is>
          <t>Ratcheting Cable Cut &amp; Klein Tools 63050 Cable Cutter, Heavy Duty Cutter for Aluminum, Copper, and Communications Cable</t>
        </is>
      </c>
      <c r="E8036" s="2">
        <f>HYPERLINK("https://www.amazon.com/Ratcheting-Cutter-Aluminum-Copper-Communications/dp/B0C3BC48V6/ref=sr_1_4?keywords=Klein+Tools+63050+Cable+Cutter&amp;qid=1694735444&amp;sr=8-4", "https://www.amazon.com/Ratcheting-Cutter-Aluminum-Copper-Communications/dp/B0C3BC48V6/ref=sr_1_4?keywords=Klein+Tools+63050+Cable+Cutter&amp;qid=1694735444&amp;sr=8-4")</f>
        <v/>
      </c>
      <c r="F8036" t="inlineStr">
        <is>
          <t>B0C3BC48V6</t>
        </is>
      </c>
      <c r="G8036">
        <f>_xlfn.IMAGE("https://edmondsonsupply.com/cdn/shop/products/63050.jpg?v=1587143239")</f>
        <v/>
      </c>
      <c r="H8036">
        <f>_xlfn.IMAGE("https://m.media-amazon.com/images/I/41ZRgMrBt6L._AC_UL320_.jpg")</f>
        <v/>
      </c>
      <c r="K8036" t="inlineStr">
        <is>
          <t>32.99</t>
        </is>
      </c>
      <c r="L8036" t="n">
        <v>226.01</v>
      </c>
      <c r="M8036" s="1" t="inlineStr">
        <is>
          <t>585.09%</t>
        </is>
      </c>
      <c r="N8036" s="7" t="n"/>
      <c r="O8036" t="n">
        <v>4.8</v>
      </c>
      <c r="P8036" t="n">
        <v>188</v>
      </c>
      <c r="R8036" t="inlineStr">
        <is>
          <t>InStock</t>
        </is>
      </c>
      <c r="S8036" t="inlineStr">
        <is>
          <t>47.96</t>
        </is>
      </c>
      <c r="T8036" t="inlineStr">
        <is>
          <t>4289689124964</t>
        </is>
      </c>
    </row>
    <row r="8037" ht="87" customHeight="1">
      <c r="A8037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37" s="2">
        <f>HYPERLINK("https://edmondsonsupply.com/products/klein-tools-69411-circuit-breaker-finder-accessory-kit", "https://edmondsonsupply.com/products/klein-tools-69411-circuit-breaker-finder-accessory-kit")</f>
        <v/>
      </c>
      <c r="C8037" t="inlineStr">
        <is>
          <t>Klein Tools 69411 Circuit Breaker Finder Accessory Kit</t>
        </is>
      </c>
      <c r="D8037" t="inlineStr">
        <is>
          <t>Klein Tools VDV500-820 Cable Tracer with Probe Tone Pro Kit &amp; 80016 Circuit Breaker Finder Tool Kit with Accessories, 2-Piece Set, Includes Cat. No. ET310 and Cat. No. 69411</t>
        </is>
      </c>
      <c r="E8037" s="2">
        <f>HYPERLINK("https://www.amazon.com/Klein-Tools-VDV500-820-Circuit-Accessories/dp/B0BXK8N2GP/ref=sr_1_43?keywords=Klein+Tools+69411+Circuit+Breaker+Finder+Accessory+Kit&amp;qid=1694735452&amp;sr=8-43", "https://www.amazon.com/Klein-Tools-VDV500-820-Circuit-Accessories/dp/B0BXK8N2GP/ref=sr_1_43?keywords=Klein+Tools+69411+Circuit+Breaker+Finder+Accessory+Kit&amp;qid=1694735452&amp;sr=8-43")</f>
        <v/>
      </c>
      <c r="F8037" t="inlineStr">
        <is>
          <t>B0BXK8N2GP</t>
        </is>
      </c>
      <c r="G8037">
        <f>_xlfn.IMAGE("https://edmondsonsupply.com/cdn/shop/products/69411.jpg?v=1587143386")</f>
        <v/>
      </c>
      <c r="H8037">
        <f>_xlfn.IMAGE("https://m.media-amazon.com/images/I/51ARmG8WaXL._AC_UL320_.jpg")</f>
        <v/>
      </c>
      <c r="K8037" t="inlineStr">
        <is>
          <t>19.97</t>
        </is>
      </c>
      <c r="L8037" t="n">
        <v>134.96</v>
      </c>
      <c r="M8037" s="1" t="inlineStr">
        <is>
          <t>575.81%</t>
        </is>
      </c>
      <c r="N8037" s="7" t="n"/>
      <c r="O8037" t="n">
        <v>4.6</v>
      </c>
      <c r="P8037" t="n">
        <v>3</v>
      </c>
      <c r="R8037" t="inlineStr">
        <is>
          <t>InStock</t>
        </is>
      </c>
      <c r="S8037" t="inlineStr">
        <is>
          <t>27.96</t>
        </is>
      </c>
      <c r="T8037" t="inlineStr">
        <is>
          <t>4166896255076</t>
        </is>
      </c>
    </row>
    <row r="8038" ht="87" customHeight="1">
      <c r="A8038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38" s="2">
        <f>HYPERLINK("https://edmondsonsupply.com/products/klein-tools-69411-circuit-breaker-finder-accessory-kit", "https://edmondsonsupply.com/products/klein-tools-69411-circuit-breaker-finder-accessory-kit")</f>
        <v/>
      </c>
      <c r="C8038" t="inlineStr">
        <is>
          <t>Klein Tools 69411 Circuit Breaker Finder Accessory Kit</t>
        </is>
      </c>
      <c r="D8038" t="inlineStr">
        <is>
          <t>Klein Tools CL600 Electrical Tester, Digital Clamp Meter &amp; 80016 Circuit Breaker Finder Tool Kit with Accessories, 2-Piece Set, Includes Cat. No. ET310 and Cat. No. 69411</t>
        </is>
      </c>
      <c r="E8038" s="2">
        <f>HYPERLINK("https://www.amazon.com/Klein-Tools-Electrical-Digital-Accessories/dp/B0BNL7KB4S/ref=sr_1_14?keywords=Klein+Tools+69411+Circuit+Breaker+Finder+Accessory+Kit&amp;qid=1694735452&amp;sr=8-14", "https://www.amazon.com/Klein-Tools-Electrical-Digital-Accessories/dp/B0BNL7KB4S/ref=sr_1_14?keywords=Klein+Tools+69411+Circuit+Breaker+Finder+Accessory+Kit&amp;qid=1694735452&amp;sr=8-14")</f>
        <v/>
      </c>
      <c r="F8038" t="inlineStr">
        <is>
          <t>B0BNL7KB4S</t>
        </is>
      </c>
      <c r="G8038">
        <f>_xlfn.IMAGE("https://edmondsonsupply.com/cdn/shop/products/69411.jpg?v=1587143386")</f>
        <v/>
      </c>
      <c r="H8038">
        <f>_xlfn.IMAGE("https://m.media-amazon.com/images/I/51qczX90GxL._AC_UL320_.jpg")</f>
        <v/>
      </c>
      <c r="K8038" t="inlineStr">
        <is>
          <t>19.97</t>
        </is>
      </c>
      <c r="L8038" t="n">
        <v>134.96</v>
      </c>
      <c r="M8038" s="1" t="inlineStr">
        <is>
          <t>575.81%</t>
        </is>
      </c>
      <c r="N8038" s="7" t="n"/>
      <c r="O8038" t="n">
        <v>5</v>
      </c>
      <c r="P8038" t="n">
        <v>2</v>
      </c>
      <c r="R8038" t="inlineStr">
        <is>
          <t>InStock</t>
        </is>
      </c>
      <c r="S8038" t="inlineStr">
        <is>
          <t>27.96</t>
        </is>
      </c>
      <c r="T8038" t="inlineStr">
        <is>
          <t>4166896255076</t>
        </is>
      </c>
    </row>
    <row r="8039" ht="87" customHeight="1">
      <c r="A8039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039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039" t="inlineStr">
        <is>
          <t>Klein Tools 630-9/16 9/16-Inch Hollow Shaft Nut Driver 4-Inch Shaft</t>
        </is>
      </c>
      <c r="D8039" t="inlineStr">
        <is>
          <t>Klein Tools 635-6 Tool Set, Heavy Duty Magnetic Nut Drivers SAE Sizes 1/4, 5/16, 3/8, 7/16, 1/2, and 9/16-Inch Hex, 6-Inch, 6-Piece</t>
        </is>
      </c>
      <c r="E8039" s="2">
        <f>HYPERLINK("https://www.amazon.com/Heavy-Duty-Driver-6-Piece-Klein-Tools/dp/B01DKNDHGM/ref=sr_1_10?keywords=Klein+Tools+630-9%2F16+9%2F16-Inch+Hollow+Shaft+Nut+Driver+4-Inch+Shaft&amp;qid=1694735442&amp;sr=8-10", "https://www.amazon.com/Heavy-Duty-Driver-6-Piece-Klein-Tools/dp/B01DKNDHGM/ref=sr_1_10?keywords=Klein+Tools+630-9%2F16+9%2F16-Inch+Hollow+Shaft+Nut+Driver+4-Inch+Shaft&amp;qid=1694735442&amp;sr=8-10")</f>
        <v/>
      </c>
      <c r="F8039" t="inlineStr">
        <is>
          <t>B01DKNDHGM</t>
        </is>
      </c>
      <c r="G8039">
        <f>_xlfn.IMAGE("https://edmondsonsupply.com/cdn/shop/products/630-1-2_f4e6e615-6377-4eae-87c2-03b0329a1140.jpg?v=1587145137")</f>
        <v/>
      </c>
      <c r="H8039">
        <f>_xlfn.IMAGE("https://m.media-amazon.com/images/I/61eypCy1RLL._AC_UL320_.jpg")</f>
        <v/>
      </c>
      <c r="K8039" t="inlineStr">
        <is>
          <t>11.99</t>
        </is>
      </c>
      <c r="L8039" t="n">
        <v>79.98999999999999</v>
      </c>
      <c r="M8039" s="1" t="inlineStr">
        <is>
          <t>567.14%</t>
        </is>
      </c>
      <c r="N8039" s="7" t="n"/>
      <c r="O8039" t="n">
        <v>4.7</v>
      </c>
      <c r="P8039" t="n">
        <v>943</v>
      </c>
      <c r="R8039" t="inlineStr">
        <is>
          <t>InStock</t>
        </is>
      </c>
      <c r="S8039" t="inlineStr">
        <is>
          <t>18.14</t>
        </is>
      </c>
      <c r="T8039" t="inlineStr">
        <is>
          <t>4259221897316</t>
        </is>
      </c>
    </row>
    <row r="8040" ht="87" customHeight="1">
      <c r="A8040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040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040" t="inlineStr">
        <is>
          <t>Klein Tools 630-9/16 9/16-Inch Hollow Shaft Nut Driver 4-Inch Shaft</t>
        </is>
      </c>
      <c r="D8040" t="inlineStr">
        <is>
          <t>Klein Tools 647M Tool Set, Magnetic Nut Drivers Sizes 3/16, 1/4, 5/16, 11/32, 3/8, 7/16, 1/2-Inch, 6-Inch Hollow Shafts, 7-Piece</t>
        </is>
      </c>
      <c r="E8040" s="2">
        <f>HYPERLINK("https://www.amazon.com/Klein-Tools-647M-Magnetic-7-Piece/dp/B000MKIUYQ/ref=sr_1_22?keywords=Klein+Tools+630-9%2F16+9%2F16-Inch+Hollow+Shaft+Nut+Driver+4-Inch+Shaft&amp;qid=1694735442&amp;sr=8-22", "https://www.amazon.com/Klein-Tools-647M-Magnetic-7-Piece/dp/B000MKIUYQ/ref=sr_1_22?keywords=Klein+Tools+630-9%2F16+9%2F16-Inch+Hollow+Shaft+Nut+Driver+4-Inch+Shaft&amp;qid=1694735442&amp;sr=8-22")</f>
        <v/>
      </c>
      <c r="F8040" t="inlineStr">
        <is>
          <t>B000MKIUYQ</t>
        </is>
      </c>
      <c r="G8040">
        <f>_xlfn.IMAGE("https://edmondsonsupply.com/cdn/shop/products/630-1-2_f4e6e615-6377-4eae-87c2-03b0329a1140.jpg?v=1587145137")</f>
        <v/>
      </c>
      <c r="H8040">
        <f>_xlfn.IMAGE("https://m.media-amazon.com/images/I/61PNUE211uL._AC_UL320_.jpg")</f>
        <v/>
      </c>
      <c r="K8040" t="inlineStr">
        <is>
          <t>11.99</t>
        </is>
      </c>
      <c r="L8040" t="n">
        <v>79.98999999999999</v>
      </c>
      <c r="M8040" s="1" t="inlineStr">
        <is>
          <t>567.14%</t>
        </is>
      </c>
      <c r="N8040" s="7" t="n"/>
      <c r="O8040" t="n">
        <v>4.8</v>
      </c>
      <c r="P8040" t="n">
        <v>985</v>
      </c>
      <c r="R8040" t="inlineStr">
        <is>
          <t>InStock</t>
        </is>
      </c>
      <c r="S8040" t="inlineStr">
        <is>
          <t>18.14</t>
        </is>
      </c>
      <c r="T8040" t="inlineStr">
        <is>
          <t>4259221897316</t>
        </is>
      </c>
    </row>
    <row r="8041" ht="87" customHeight="1">
      <c r="A8041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041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041" t="inlineStr">
        <is>
          <t>Klein Tools 630-9/16 9/16-Inch Hollow Shaft Nut Driver 4-Inch Shaft</t>
        </is>
      </c>
      <c r="D8041" t="inlineStr">
        <is>
          <t>Klein Tools 631M Tool Set, Magnetic Nut Drivers Sizes 3/16, 1/4, 5/16, 11/32, 3/8, 7/16 and 1/2-Inch on 3-Inch Full Hollow Shaft, 7-Piece</t>
        </is>
      </c>
      <c r="E8041" s="2">
        <f>HYPERLINK("https://www.amazon.com/Driver-Magnetic-3-Inch-Hollow-Klein/dp/B001BQ0DNG/ref=sr_1_20?keywords=Klein+Tools+630-9%2F16+9%2F16-Inch+Hollow+Shaft+Nut+Driver+4-Inch+Shaft&amp;qid=1694735442&amp;sr=8-20", "https://www.amazon.com/Driver-Magnetic-3-Inch-Hollow-Klein/dp/B001BQ0DNG/ref=sr_1_20?keywords=Klein+Tools+630-9%2F16+9%2F16-Inch+Hollow+Shaft+Nut+Driver+4-Inch+Shaft&amp;qid=1694735442&amp;sr=8-20")</f>
        <v/>
      </c>
      <c r="F8041" t="inlineStr">
        <is>
          <t>B001BQ0DNG</t>
        </is>
      </c>
      <c r="G8041">
        <f>_xlfn.IMAGE("https://edmondsonsupply.com/cdn/shop/products/630-1-2_f4e6e615-6377-4eae-87c2-03b0329a1140.jpg?v=1587145137")</f>
        <v/>
      </c>
      <c r="H8041">
        <f>_xlfn.IMAGE("https://m.media-amazon.com/images/I/61pMsoh2smL._AC_UL320_.jpg")</f>
        <v/>
      </c>
      <c r="K8041" t="inlineStr">
        <is>
          <t>11.99</t>
        </is>
      </c>
      <c r="L8041" t="n">
        <v>74.98999999999999</v>
      </c>
      <c r="M8041" s="1" t="inlineStr">
        <is>
          <t>525.44%</t>
        </is>
      </c>
      <c r="N8041" s="7" t="n"/>
      <c r="O8041" t="n">
        <v>4.8</v>
      </c>
      <c r="P8041" t="n">
        <v>1145</v>
      </c>
      <c r="R8041" t="inlineStr">
        <is>
          <t>InStock</t>
        </is>
      </c>
      <c r="S8041" t="inlineStr">
        <is>
          <t>18.14</t>
        </is>
      </c>
      <c r="T8041" t="inlineStr">
        <is>
          <t>4259221897316</t>
        </is>
      </c>
    </row>
    <row r="8042" ht="87" customHeight="1">
      <c r="A804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42" s="2">
        <f>HYPERLINK("https://edmondsonsupply.com/products/klein-tools-rt210-gfci-receptacle-tester", "https://edmondsonsupply.com/products/klein-tools-rt210-gfci-receptacle-tester")</f>
        <v/>
      </c>
      <c r="C8042" t="inlineStr">
        <is>
          <t>Klein Tools RT210 GFCI Outlet Tester</t>
        </is>
      </c>
      <c r="D8042" t="inlineStr">
        <is>
          <t>Klein Tools 80101 Home Tester Kit, GFCI Outlet and Receptacle Testers, Multimeter, NCVT, Circuit Breaker Finder, Leads, 6-Piece, Black</t>
        </is>
      </c>
      <c r="E8042" s="2">
        <f>HYPERLINK("https://www.amazon.com/Klein-Tools-Receptacle-Testers-Multimeter/dp/B0B7817ZG5/ref=sr_1_21?keywords=Klein+Tools+RT210+GFCI+Outlet+Tester&amp;qid=1694735460&amp;sr=8-21", "https://www.amazon.com/Klein-Tools-Receptacle-Testers-Multimeter/dp/B0B7817ZG5/ref=sr_1_21?keywords=Klein+Tools+RT210+GFCI+Outlet+Tester&amp;qid=1694735460&amp;sr=8-21")</f>
        <v/>
      </c>
      <c r="F8042" t="inlineStr">
        <is>
          <t>B0B7817ZG5</t>
        </is>
      </c>
      <c r="G8042">
        <f>_xlfn.IMAGE("https://edmondsonsupply.com/cdn/shop/products/rt210.jpg?v=1587146495")</f>
        <v/>
      </c>
      <c r="H8042">
        <f>_xlfn.IMAGE("https://m.media-amazon.com/images/I/61wZRMpKAcL._AC_UL320_.jpg")</f>
        <v/>
      </c>
      <c r="K8042" t="inlineStr">
        <is>
          <t>12.97</t>
        </is>
      </c>
      <c r="L8042" t="n">
        <v>79.98999999999999</v>
      </c>
      <c r="M8042" s="1" t="inlineStr">
        <is>
          <t>516.73%</t>
        </is>
      </c>
      <c r="N8042" s="7" t="n"/>
      <c r="O8042" t="n">
        <v>4.7</v>
      </c>
      <c r="P8042" t="n">
        <v>403</v>
      </c>
      <c r="R8042" t="inlineStr">
        <is>
          <t>InStock</t>
        </is>
      </c>
      <c r="S8042" t="inlineStr">
        <is>
          <t>17.12</t>
        </is>
      </c>
      <c r="T8042" t="inlineStr">
        <is>
          <t>3711963988068</t>
        </is>
      </c>
    </row>
    <row r="8043" ht="87" customHeight="1">
      <c r="A8043" s="2">
        <f>HYPERLINK("https://edmondsonsupply.com/collections/electricians-tools/products/klein-tools-70-replacement-handles-for-7-inch-pliers", "https://edmondsonsupply.com/collections/electricians-tools/products/klein-tools-70-replacement-handles-for-7-inch-pliers")</f>
        <v/>
      </c>
      <c r="B8043" s="2">
        <f>HYPERLINK("https://edmondsonsupply.com/products/klein-tools-70-replacement-handles-for-7-inch-pliers", "https://edmondsonsupply.com/products/klein-tools-70-replacement-handles-for-7-inch-pliers")</f>
        <v/>
      </c>
      <c r="C8043" t="inlineStr">
        <is>
          <t>Klein Tools 70 Replacement Handles for 7-Inch Pliers</t>
        </is>
      </c>
      <c r="D8043" t="inlineStr">
        <is>
          <t>Klein Tools J20017NE Heavy Duty Lineman's Pliers with High leverage Design, Heavy Duty Comfortable Handles and Knurled Jaws, 7-Inch</t>
        </is>
      </c>
      <c r="E8043" s="2">
        <f>HYPERLINK("https://www.amazon.com/Klein-Tools-J20017NE-Heavy-Duty-Linemans/dp/B002LPWQFO/ref=sr_1_9?keywords=Klein+Tools+70+Replacement+Handles+for+7-Inch+Pliers&amp;qid=1694735448&amp;sr=8-9", "https://www.amazon.com/Klein-Tools-J20017NE-Heavy-Duty-Linemans/dp/B002LPWQFO/ref=sr_1_9?keywords=Klein+Tools+70+Replacement+Handles+for+7-Inch+Pliers&amp;qid=1694735448&amp;sr=8-9")</f>
        <v/>
      </c>
      <c r="F8043" t="inlineStr">
        <is>
          <t>B002LPWQFO</t>
        </is>
      </c>
      <c r="G8043">
        <f>_xlfn.IMAGE("https://edmondsonsupply.com/cdn/shop/products/70.jpg?v=1587143383")</f>
        <v/>
      </c>
      <c r="H8043">
        <f>_xlfn.IMAGE("https://m.media-amazon.com/images/I/513Qfm1M5dL._AC_UL320_.jpg")</f>
        <v/>
      </c>
      <c r="K8043" t="inlineStr">
        <is>
          <t>8.99</t>
        </is>
      </c>
      <c r="L8043" t="n">
        <v>54.99</v>
      </c>
      <c r="M8043" s="1" t="inlineStr">
        <is>
          <t>511.68%</t>
        </is>
      </c>
      <c r="N8043" s="7" t="n"/>
      <c r="O8043" t="n">
        <v>4.2</v>
      </c>
      <c r="P8043" t="n">
        <v>22</v>
      </c>
      <c r="R8043" t="inlineStr">
        <is>
          <t>InStock</t>
        </is>
      </c>
      <c r="S8043" t="inlineStr">
        <is>
          <t>13.64</t>
        </is>
      </c>
      <c r="T8043" t="inlineStr">
        <is>
          <t>4169392619620</t>
        </is>
      </c>
    </row>
    <row r="8044" ht="87" customHeight="1">
      <c r="A8044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44" s="2">
        <f>HYPERLINK("https://edmondsonsupply.com/products/klein-tools-63050-high-leverage-cable-cutter", "https://edmondsonsupply.com/products/klein-tools-63050-high-leverage-cable-cutter")</f>
        <v/>
      </c>
      <c r="C8044" t="inlineStr">
        <is>
          <t>Klein Tools 63050 Cable Cutter</t>
        </is>
      </c>
      <c r="D8044" t="inlineStr">
        <is>
          <t>Klein Tools 63060 Cable Cutters, Ratcheting Heavy Duty Cutters for Up to 750 MCM, Great for Cable Preparation</t>
        </is>
      </c>
      <c r="E8044" s="2">
        <f>HYPERLINK("https://www.amazon.com/Ratcheting-Preparation-Klein-Tools-63060/dp/B001BPYJO6/ref=sr_1_10?keywords=Klein+Tools+63050+Cable+Cutter&amp;qid=1694735444&amp;sr=8-10", "https://www.amazon.com/Ratcheting-Preparation-Klein-Tools-63060/dp/B001BPYJO6/ref=sr_1_10?keywords=Klein+Tools+63050+Cable+Cutter&amp;qid=1694735444&amp;sr=8-10")</f>
        <v/>
      </c>
      <c r="F8044" t="inlineStr">
        <is>
          <t>B001BPYJO6</t>
        </is>
      </c>
      <c r="G8044">
        <f>_xlfn.IMAGE("https://edmondsonsupply.com/cdn/shop/products/63050.jpg?v=1587143239")</f>
        <v/>
      </c>
      <c r="H8044">
        <f>_xlfn.IMAGE("https://m.media-amazon.com/images/I/416+PgFPpyL._AC_UL320_.jpg")</f>
        <v/>
      </c>
      <c r="K8044" t="inlineStr">
        <is>
          <t>32.99</t>
        </is>
      </c>
      <c r="L8044" t="n">
        <v>199.99</v>
      </c>
      <c r="M8044" s="1" t="inlineStr">
        <is>
          <t>506.21%</t>
        </is>
      </c>
      <c r="N8044" s="7" t="n"/>
      <c r="O8044" t="n">
        <v>4.6</v>
      </c>
      <c r="P8044" t="n">
        <v>342</v>
      </c>
      <c r="R8044" t="inlineStr">
        <is>
          <t>InStock</t>
        </is>
      </c>
      <c r="S8044" t="inlineStr">
        <is>
          <t>47.96</t>
        </is>
      </c>
      <c r="T8044" t="inlineStr">
        <is>
          <t>4289689124964</t>
        </is>
      </c>
    </row>
    <row r="8045" ht="87" customHeight="1">
      <c r="A8045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045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045" t="inlineStr">
        <is>
          <t>Klein Tools JTH6E09 9/64-Inch Hex Key, Journeyman T-Handle, 6-Inch</t>
        </is>
      </c>
      <c r="D8045" t="inlineStr">
        <is>
          <t>Klein Tools JTH9E17 1/2-Inch Hex Key, Journeyman T-Handle, 9-Inch</t>
        </is>
      </c>
      <c r="E8045" s="2">
        <f>HYPERLINK("https://www.amazon.com/Journeyman-T-Handle-Klein-Tools-JTH9E17/dp/B004QV6NL4/ref=sr_1_10?keywords=Klein+Tools+JTH6E09+9%2F64-Inch+Hex+Key%2C+Journeyman+T-Handle%2C+6-Inch&amp;qid=1694735431&amp;sr=8-10", "https://www.amazon.com/Journeyman-T-Handle-Klein-Tools-JTH9E17/dp/B004QV6NL4/ref=sr_1_10?keywords=Klein+Tools+JTH6E09+9%2F64-Inch+Hex+Key%2C+Journeyman+T-Handle%2C+6-Inch&amp;qid=1694735431&amp;sr=8-10")</f>
        <v/>
      </c>
      <c r="F8045" t="inlineStr">
        <is>
          <t>B004QV6NL4</t>
        </is>
      </c>
      <c r="G8045">
        <f>_xlfn.IMAGE("https://edmondsonsupply.com/cdn/shop/products/jth6e15_bef890d0-fa69-4c40-acf7-922fc3acaacb.jpg?v=1587142823")</f>
        <v/>
      </c>
      <c r="H8045">
        <f>_xlfn.IMAGE("https://m.media-amazon.com/images/I/51Yb8h41vLL._AC_UL320_.jpg")</f>
        <v/>
      </c>
      <c r="K8045" t="inlineStr">
        <is>
          <t>3.99</t>
        </is>
      </c>
      <c r="L8045" t="n">
        <v>23.99</v>
      </c>
      <c r="M8045" s="1" t="inlineStr">
        <is>
          <t>501.25%</t>
        </is>
      </c>
      <c r="N8045" s="7" t="n"/>
      <c r="O8045" t="n">
        <v>4.8</v>
      </c>
      <c r="P8045" t="n">
        <v>193</v>
      </c>
      <c r="R8045" t="inlineStr">
        <is>
          <t>InStock</t>
        </is>
      </c>
      <c r="S8045" t="inlineStr">
        <is>
          <t>6.04</t>
        </is>
      </c>
      <c r="T8045" t="inlineStr">
        <is>
          <t>4339809386596</t>
        </is>
      </c>
    </row>
    <row r="8046" ht="87" customHeight="1">
      <c r="A8046" s="2">
        <f>HYPERLINK("https://edmondsonsupply.com/collections/electricians-tools/products/klein-tools-630-7-16-7-16-inch-hollow-nut-driver-3-inch-cushion-grip", "https://edmondsonsupply.com/collections/electricians-tools/products/klein-tools-630-7-16-7-16-inch-hollow-nut-driver-3-inch-cushion-grip")</f>
        <v/>
      </c>
      <c r="B8046" s="2">
        <f>HYPERLINK("https://edmondsonsupply.com/products/klein-tools-630-7-16-7-16-inch-hollow-nut-driver-3-inch-cushion-grip", "https://edmondsonsupply.com/products/klein-tools-630-7-16-7-16-inch-hollow-nut-driver-3-inch-cushion-grip")</f>
        <v/>
      </c>
      <c r="C8046" t="inlineStr">
        <is>
          <t>Klein Tools 630-7/16 7/16-Inch Hollow Nut Driver, 3-Inch, Cushion-Grip</t>
        </is>
      </c>
      <c r="D8046" t="inlineStr">
        <is>
          <t>Klein Tools 647 Tool Set, Nut Drivers Sizes 3/16, 1/4, 5/16, 11/32, 3/8, 7/16, 1/2-Inch, Chrome-Plated 6-Inch Shafts, Cushion Grip, 7-Piece</t>
        </is>
      </c>
      <c r="E8046" s="2">
        <f>HYPERLINK("https://www.amazon.com/Driver-6-Inch-Klein-Tools-647/dp/B0014KRVXO/ref=sr_1_10?keywords=Klein+Tools+630-7%2F16+7%2F16-Inch+Hollow+Nut+Driver%2C+3-Inch%2C+Cushion-Grip&amp;qid=1694735436&amp;sr=8-10", "https://www.amazon.com/Driver-6-Inch-Klein-Tools-647/dp/B0014KRVXO/ref=sr_1_10?keywords=Klein+Tools+630-7%2F16+7%2F16-Inch+Hollow+Nut+Driver%2C+3-Inch%2C+Cushion-Grip&amp;qid=1694735436&amp;sr=8-10")</f>
        <v/>
      </c>
      <c r="F8046" t="inlineStr">
        <is>
          <t>B0014KRVXO</t>
        </is>
      </c>
      <c r="G8046">
        <f>_xlfn.IMAGE("https://edmondsonsupply.com/cdn/shop/products/630-1-2_283c4d8f-caf5-4128-859e-9d2803dc7f78.jpg?v=1587147728")</f>
        <v/>
      </c>
      <c r="H8046">
        <f>_xlfn.IMAGE("https://m.media-amazon.com/images/I/51usUk-EpGL._AC_UL320_.jpg")</f>
        <v/>
      </c>
      <c r="K8046" t="inlineStr">
        <is>
          <t>9.99</t>
        </is>
      </c>
      <c r="L8046" t="n">
        <v>57.99</v>
      </c>
      <c r="M8046" s="1" t="inlineStr">
        <is>
          <t>480.48%</t>
        </is>
      </c>
      <c r="N8046" s="7" t="n"/>
      <c r="O8046" t="n">
        <v>4.8</v>
      </c>
      <c r="P8046" t="n">
        <v>734</v>
      </c>
      <c r="R8046" t="inlineStr">
        <is>
          <t>InStock</t>
        </is>
      </c>
      <c r="S8046" t="inlineStr">
        <is>
          <t>12.84</t>
        </is>
      </c>
      <c r="T8046" t="inlineStr">
        <is>
          <t>4333058293860</t>
        </is>
      </c>
    </row>
    <row r="8047" ht="87" customHeight="1">
      <c r="A8047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047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047" t="inlineStr">
        <is>
          <t>Klein Tools JTH6M25 2.5 mm Hex Key with Journeyman T-Handle, 6-Inch</t>
        </is>
      </c>
      <c r="D8047" t="inlineStr">
        <is>
          <t>Klein Tools JTH6E17BE 1/2-Inch Ball End Hex Key with Journeyman T-Handle, 6-Inch</t>
        </is>
      </c>
      <c r="E8047" s="2">
        <f>HYPERLINK("https://www.amazon.com/Journeyman-T-Handle-Klein-Tools-JTH6E17BE/dp/B004QW58Q4/ref=sr_1_7?keywords=Klein+Tools+JTH6M25+2.5+mm+Hex+Key+with+Journeyman+T-Handle%2C+6-Inch&amp;qid=1694735465&amp;sr=8-7", "https://www.amazon.com/Journeyman-T-Handle-Klein-Tools-JTH6E17BE/dp/B004QW58Q4/ref=sr_1_7?keywords=Klein+Tools+JTH6M25+2.5+mm+Hex+Key+with+Journeyman+T-Handle%2C+6-Inch&amp;qid=1694735465&amp;sr=8-7")</f>
        <v/>
      </c>
      <c r="F8047" t="inlineStr">
        <is>
          <t>B004QW58Q4</t>
        </is>
      </c>
      <c r="G8047">
        <f>_xlfn.IMAGE("https://edmondsonsupply.com/cdn/shop/products/jth6m8_418cc1b7-11e8-4105-a13a-5501c6e11940.jpg?v=1587148486")</f>
        <v/>
      </c>
      <c r="H8047">
        <f>_xlfn.IMAGE("https://m.media-amazon.com/images/I/51f9vBFVXgL._AC_UL320_.jpg")</f>
        <v/>
      </c>
      <c r="K8047" t="inlineStr">
        <is>
          <t>3.99</t>
        </is>
      </c>
      <c r="L8047" t="n">
        <v>22.72</v>
      </c>
      <c r="M8047" s="1" t="inlineStr">
        <is>
          <t>469.42%</t>
        </is>
      </c>
      <c r="N8047" s="7" t="n"/>
      <c r="O8047" t="n">
        <v>4.8</v>
      </c>
      <c r="P8047" t="n">
        <v>454</v>
      </c>
      <c r="R8047" t="inlineStr">
        <is>
          <t>InStock</t>
        </is>
      </c>
      <c r="S8047" t="inlineStr">
        <is>
          <t>5.76</t>
        </is>
      </c>
      <c r="T8047" t="inlineStr">
        <is>
          <t>3694858567780</t>
        </is>
      </c>
    </row>
    <row r="8048" ht="87" customHeight="1">
      <c r="A8048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48" s="2">
        <f>HYPERLINK("https://edmondsonsupply.com/products/klein-tools-rt210-gfci-receptacle-tester", "https://edmondsonsupply.com/products/klein-tools-rt210-gfci-receptacle-tester")</f>
        <v/>
      </c>
      <c r="C8048" t="inlineStr">
        <is>
          <t>Klein Tools RT210 GFCI Outlet Tester</t>
        </is>
      </c>
      <c r="D8048" t="inlineStr">
        <is>
          <t>Klein Tools ET310 AC Circuit Breaker Finder with Integrated GFCI Outlet Tester &amp; RT250 GFCI Receptacle Tester with LCD Display, for Standard 3-Wire 120V Electrical Outlets</t>
        </is>
      </c>
      <c r="E8048" s="2">
        <f>HYPERLINK("https://www.amazon.com/Klein-Tools-Integrated-Receptacle-Electrical/dp/B09P85276K/ref=sr_1_26?keywords=Klein+Tools+RT210+GFCI+Outlet+Tester&amp;qid=1694735460&amp;sr=8-26", "https://www.amazon.com/Klein-Tools-Integrated-Receptacle-Electrical/dp/B09P85276K/ref=sr_1_26?keywords=Klein+Tools+RT210+GFCI+Outlet+Tester&amp;qid=1694735460&amp;sr=8-26")</f>
        <v/>
      </c>
      <c r="F8048" t="inlineStr">
        <is>
          <t>B09P85276K</t>
        </is>
      </c>
      <c r="G8048">
        <f>_xlfn.IMAGE("https://edmondsonsupply.com/cdn/shop/products/rt210.jpg?v=1587146495")</f>
        <v/>
      </c>
      <c r="H8048">
        <f>_xlfn.IMAGE("https://m.media-amazon.com/images/I/51AwhghGlRL._AC_UL320_.jpg")</f>
        <v/>
      </c>
      <c r="K8048" t="inlineStr">
        <is>
          <t>12.97</t>
        </is>
      </c>
      <c r="L8048" t="n">
        <v>71.94</v>
      </c>
      <c r="M8048" s="1" t="inlineStr">
        <is>
          <t>454.66%</t>
        </is>
      </c>
      <c r="N8048" s="7" t="n"/>
      <c r="O8048" t="n">
        <v>4.8</v>
      </c>
      <c r="P8048" t="n">
        <v>233</v>
      </c>
      <c r="R8048" t="inlineStr">
        <is>
          <t>InStock</t>
        </is>
      </c>
      <c r="S8048" t="inlineStr">
        <is>
          <t>17.12</t>
        </is>
      </c>
      <c r="T8048" t="inlineStr">
        <is>
          <t>3711963988068</t>
        </is>
      </c>
    </row>
    <row r="8049" ht="87" customHeight="1">
      <c r="A8049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049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049" t="inlineStr">
        <is>
          <t>Klein Tools 630-9/16 9/16-Inch Hollow Shaft Nut Driver 4-Inch Shaft</t>
        </is>
      </c>
      <c r="D8049" t="inlineStr">
        <is>
          <t>Klein Tools 89904 Tool Set, Nut Drivers Sizes 3/16, 1/4, 5/16, 11/32, 3/8, 7/16, 1/2-Inch, 6-Inch Shafts, 7-Piece</t>
        </is>
      </c>
      <c r="E8049" s="2">
        <f>HYPERLINK("https://www.amazon.com/Klein-Tools-Nut-Driver-89904/dp/B000MB1JMU/ref=sr_1_29?keywords=Klein+Tools+630-9%2F16+9%2F16-Inch+Hollow+Shaft+Nut+Driver+4-Inch+Shaft&amp;qid=1694735442&amp;sr=8-29", "https://www.amazon.com/Klein-Tools-Nut-Driver-89904/dp/B000MB1JMU/ref=sr_1_29?keywords=Klein+Tools+630-9%2F16+9%2F16-Inch+Hollow+Shaft+Nut+Driver+4-Inch+Shaft&amp;qid=1694735442&amp;sr=8-29")</f>
        <v/>
      </c>
      <c r="F8049" t="inlineStr">
        <is>
          <t>B000MB1JMU</t>
        </is>
      </c>
      <c r="G8049">
        <f>_xlfn.IMAGE("https://edmondsonsupply.com/cdn/shop/products/630-1-2_f4e6e615-6377-4eae-87c2-03b0329a1140.jpg?v=1587145137")</f>
        <v/>
      </c>
      <c r="H8049">
        <f>_xlfn.IMAGE("https://m.media-amazon.com/images/I/61cXQ4v0vvL._AC_UL320_.jpg")</f>
        <v/>
      </c>
      <c r="K8049" t="inlineStr">
        <is>
          <t>11.99</t>
        </is>
      </c>
      <c r="L8049" t="n">
        <v>66.23</v>
      </c>
      <c r="M8049" s="1" t="inlineStr">
        <is>
          <t>452.38%</t>
        </is>
      </c>
      <c r="N8049" s="7" t="n"/>
      <c r="O8049" t="n">
        <v>4.5</v>
      </c>
      <c r="P8049" t="n">
        <v>33</v>
      </c>
      <c r="R8049" t="inlineStr">
        <is>
          <t>InStock</t>
        </is>
      </c>
      <c r="S8049" t="inlineStr">
        <is>
          <t>18.14</t>
        </is>
      </c>
      <c r="T8049" t="inlineStr">
        <is>
          <t>4259221897316</t>
        </is>
      </c>
    </row>
    <row r="8050" ht="87" customHeight="1">
      <c r="A8050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50" s="2">
        <f>HYPERLINK("https://edmondsonsupply.com/products/klein-tools-rt210-gfci-receptacle-tester", "https://edmondsonsupply.com/products/klein-tools-rt210-gfci-receptacle-tester")</f>
        <v/>
      </c>
      <c r="C8050" t="inlineStr">
        <is>
          <t>Klein Tools RT210 GFCI Outlet Tester</t>
        </is>
      </c>
      <c r="D8050" t="inlineStr">
        <is>
          <t>Klein Tools Digital Circuit Breaker Finder with GFCI Outlet Tester ET310 &amp; Circuit Breaker Finder Accessory Kit, Circuit Breaker Leads, Circuit Breaker Adapters 69411</t>
        </is>
      </c>
      <c r="E8050" s="2">
        <f>HYPERLINK("https://www.amazon.com/Klein-Tools-Digital-Accessory-Adapters/dp/B08MG1LZJS/ref=sr_1_36?keywords=Klein+Tools+RT210+GFCI+Outlet+Tester&amp;qid=1694735460&amp;sr=8-36", "https://www.amazon.com/Klein-Tools-Digital-Accessory-Adapters/dp/B08MG1LZJS/ref=sr_1_36?keywords=Klein+Tools+RT210+GFCI+Outlet+Tester&amp;qid=1694735460&amp;sr=8-36")</f>
        <v/>
      </c>
      <c r="F8050" t="inlineStr">
        <is>
          <t>B08MG1LZJS</t>
        </is>
      </c>
      <c r="G8050">
        <f>_xlfn.IMAGE("https://edmondsonsupply.com/cdn/shop/products/rt210.jpg?v=1587146495")</f>
        <v/>
      </c>
      <c r="H8050">
        <f>_xlfn.IMAGE("https://m.media-amazon.com/images/I/51MAo0prl5L._AC_UL320_.jpg")</f>
        <v/>
      </c>
      <c r="K8050" t="inlineStr">
        <is>
          <t>12.97</t>
        </is>
      </c>
      <c r="L8050" t="n">
        <v>69.94</v>
      </c>
      <c r="M8050" s="1" t="inlineStr">
        <is>
          <t>439.24%</t>
        </is>
      </c>
      <c r="N8050" s="7" t="n"/>
      <c r="O8050" t="n">
        <v>4.7</v>
      </c>
      <c r="P8050" t="n">
        <v>2054</v>
      </c>
      <c r="R8050" t="inlineStr">
        <is>
          <t>InStock</t>
        </is>
      </c>
      <c r="S8050" t="inlineStr">
        <is>
          <t>17.12</t>
        </is>
      </c>
      <c r="T8050" t="inlineStr">
        <is>
          <t>3711963988068</t>
        </is>
      </c>
    </row>
    <row r="8051" ht="87" customHeight="1">
      <c r="A8051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51" s="2">
        <f>HYPERLINK("https://edmondsonsupply.com/products/klein-tools-rt210-gfci-receptacle-tester", "https://edmondsonsupply.com/products/klein-tools-rt210-gfci-receptacle-tester")</f>
        <v/>
      </c>
      <c r="C8051" t="inlineStr">
        <is>
          <t>Klein Tools RT210 GFCI Outlet Tester</t>
        </is>
      </c>
      <c r="D8051" t="inlineStr">
        <is>
          <t>Klein Tools ET310 AC Circuit Breaker Finder with Integrated GFCI Outlet Tester &amp; NCVT1P Voltage Tester, Non-Contact Voltage Detector Pen, 50V to 1000V AC, Audible and Flashing LED Alarms, Pocket Clip</t>
        </is>
      </c>
      <c r="E8051" s="2">
        <f>HYPERLINK("https://www.amazon.com/Klein-Tools-Integrated-Non-Contact-Detector/dp/B0BC84182C/ref=sr_1_28?keywords=Klein+Tools+RT210+GFCI+Outlet+Tester&amp;qid=1694735460&amp;sr=8-28", "https://www.amazon.com/Klein-Tools-Integrated-Non-Contact-Detector/dp/B0BC84182C/ref=sr_1_28?keywords=Klein+Tools+RT210+GFCI+Outlet+Tester&amp;qid=1694735460&amp;sr=8-28")</f>
        <v/>
      </c>
      <c r="F8051" t="inlineStr">
        <is>
          <t>B0BC84182C</t>
        </is>
      </c>
      <c r="G8051">
        <f>_xlfn.IMAGE("https://edmondsonsupply.com/cdn/shop/products/rt210.jpg?v=1587146495")</f>
        <v/>
      </c>
      <c r="H8051">
        <f>_xlfn.IMAGE("https://m.media-amazon.com/images/I/51TuoTYTlvL._AC_UL320_.jpg")</f>
        <v/>
      </c>
      <c r="K8051" t="inlineStr">
        <is>
          <t>12.97</t>
        </is>
      </c>
      <c r="L8051" t="n">
        <v>69.69</v>
      </c>
      <c r="M8051" s="1" t="inlineStr">
        <is>
          <t>437.32%</t>
        </is>
      </c>
      <c r="N8051" s="7" t="n"/>
      <c r="O8051" t="n">
        <v>4.4</v>
      </c>
      <c r="P8051" t="n">
        <v>7</v>
      </c>
      <c r="R8051" t="inlineStr">
        <is>
          <t>InStock</t>
        </is>
      </c>
      <c r="S8051" t="inlineStr">
        <is>
          <t>17.12</t>
        </is>
      </c>
      <c r="T8051" t="inlineStr">
        <is>
          <t>3711963988068</t>
        </is>
      </c>
    </row>
    <row r="8052" ht="87" customHeight="1">
      <c r="A8052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052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052" t="inlineStr">
        <is>
          <t>Klein Tools 11055 Klein Kurve® Solid and Stranded Copper Wire Stripper &amp; Cutter</t>
        </is>
      </c>
      <c r="D8052" t="inlineStr">
        <is>
          <t>Wiha 32981 Insulated Industrial Pliers/Cutters Set, 3-Piece &amp; Klein Tools 11055 Wire Cutter and Wire Stripper, Stranded Wire Cutter, Solid Wire Cutter, Cuts Copper Wire</t>
        </is>
      </c>
      <c r="E8052" s="2">
        <f>HYPERLINK("https://www.amazon.com/Wiha-Insulated-Industrial-Stripper-Stranded/dp/B0BGJ4VZ83/ref=sr_1_9?keywords=Klein+Tools+11055+Klein+Kurve%C2%AE+Solid+and+Stranded+Copper+Wire+Stripper+%26+Cutter&amp;qid=1694735472&amp;sr=8-9", "https://www.amazon.com/Wiha-Insulated-Industrial-Stripper-Stranded/dp/B0BGJ4VZ83/ref=sr_1_9?keywords=Klein+Tools+11055+Klein+Kurve%C2%AE+Solid+and+Stranded+Copper+Wire+Stripper+%26+Cutter&amp;qid=1694735472&amp;sr=8-9")</f>
        <v/>
      </c>
      <c r="F8052" t="inlineStr">
        <is>
          <t>B0BGJ4VZ83</t>
        </is>
      </c>
      <c r="G8052">
        <f>_xlfn.IMAGE("https://edmondsonsupply.com/cdn/shop/products/11055ep.jpg?v=1670949748")</f>
        <v/>
      </c>
      <c r="H8052">
        <f>_xlfn.IMAGE("https://m.media-amazon.com/images/I/51HCkexCh5L._AC_UL320_.jpg")</f>
        <v/>
      </c>
      <c r="K8052" t="inlineStr">
        <is>
          <t>19.99</t>
        </is>
      </c>
      <c r="L8052" t="n">
        <v>106.98</v>
      </c>
      <c r="M8052" s="1" t="inlineStr">
        <is>
          <t>435.17%</t>
        </is>
      </c>
      <c r="N8052" s="7" t="n"/>
      <c r="O8052" t="n">
        <v>4.7</v>
      </c>
      <c r="P8052" t="n">
        <v>398</v>
      </c>
      <c r="R8052" t="inlineStr">
        <is>
          <t>InStock</t>
        </is>
      </c>
      <c r="S8052" t="inlineStr">
        <is>
          <t>29.82</t>
        </is>
      </c>
      <c r="T8052" t="inlineStr">
        <is>
          <t>1780558135396</t>
        </is>
      </c>
    </row>
    <row r="8053" ht="87" customHeight="1">
      <c r="A8053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53" s="2">
        <f>HYPERLINK("https://edmondsonsupply.com/products/klein-tools-63050-high-leverage-cable-cutter", "https://edmondsonsupply.com/products/klein-tools-63050-high-leverage-cable-cutter")</f>
        <v/>
      </c>
      <c r="C8053" t="inlineStr">
        <is>
          <t>Klein Tools 63050 Cable Cutter</t>
        </is>
      </c>
      <c r="D8053" t="inlineStr">
        <is>
          <t>Klein Tools 63045 Standard Cable Cutter, 32-Inch</t>
        </is>
      </c>
      <c r="E8053" s="2">
        <f>HYPERLINK("https://www.amazon.com/Klein-Tools-63045-Standard-32-Inch/dp/B00093D6RW/ref=sr_1_12?keywords=Klein+Tools+63050+Cable+Cutter&amp;qid=1694735444&amp;sr=8-12", "https://www.amazon.com/Klein-Tools-63045-Standard-32-Inch/dp/B00093D6RW/ref=sr_1_12?keywords=Klein+Tools+63050+Cable+Cutter&amp;qid=1694735444&amp;sr=8-12")</f>
        <v/>
      </c>
      <c r="F8053" t="inlineStr">
        <is>
          <t>B00093D6RW</t>
        </is>
      </c>
      <c r="G8053">
        <f>_xlfn.IMAGE("https://edmondsonsupply.com/cdn/shop/products/63050.jpg?v=1587143239")</f>
        <v/>
      </c>
      <c r="H8053">
        <f>_xlfn.IMAGE("https://m.media-amazon.com/images/I/51QY6CpO4cL._AC_UL320_.jpg")</f>
        <v/>
      </c>
      <c r="K8053" t="inlineStr">
        <is>
          <t>32.99</t>
        </is>
      </c>
      <c r="L8053" t="n">
        <v>170.28</v>
      </c>
      <c r="M8053" s="1" t="inlineStr">
        <is>
          <t>416.16%</t>
        </is>
      </c>
      <c r="N8053" s="7" t="n"/>
      <c r="O8053" t="n">
        <v>4.6</v>
      </c>
      <c r="P8053" t="n">
        <v>53</v>
      </c>
      <c r="R8053" t="inlineStr">
        <is>
          <t>InStock</t>
        </is>
      </c>
      <c r="S8053" t="inlineStr">
        <is>
          <t>47.96</t>
        </is>
      </c>
      <c r="T8053" t="inlineStr">
        <is>
          <t>4289689124964</t>
        </is>
      </c>
    </row>
    <row r="8054" ht="87" customHeight="1">
      <c r="A8054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054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054" t="inlineStr">
        <is>
          <t>Klein Tools 646-5/16M 5/16-Inch Magnetic Nut Driver Cushion-Grip</t>
        </is>
      </c>
      <c r="D8054" t="inlineStr">
        <is>
          <t>Klein Tools 647 Tool Set, Nut Drivers Sizes 3/16, 1/4, 5/16, 11/32, 3/8, 7/16, 1/2-Inch, Chrome-Plated 6-Inch Shafts, Cushion Grip, 7-Piece</t>
        </is>
      </c>
      <c r="E8054" s="2">
        <f>HYPERLINK("https://www.amazon.com/Driver-6-Inch-Klein-Tools-647/dp/B0014KRVXO/ref=sr_1_14?keywords=Klein+Tools+646-5%2F16M+5%2F16-Inch+Magnetic+Nut+Driver+Cushion-Grip&amp;qid=1694735459&amp;sr=8-14", "https://www.amazon.com/Driver-6-Inch-Klein-Tools-647/dp/B0014KRVXO/ref=sr_1_14?keywords=Klein+Tools+646-5%2F16M+5%2F16-Inch+Magnetic+Nut+Driver+Cushion-Grip&amp;qid=1694735459&amp;sr=8-14")</f>
        <v/>
      </c>
      <c r="F8054" t="inlineStr">
        <is>
          <t>B0014KRVXO</t>
        </is>
      </c>
      <c r="G8054">
        <f>_xlfn.IMAGE("https://edmondsonsupply.com/cdn/shop/products/646-5-16m.jpg?v=1587147720")</f>
        <v/>
      </c>
      <c r="H8054">
        <f>_xlfn.IMAGE("https://m.media-amazon.com/images/I/51usUk-EpGL._AC_UL320_.jpg")</f>
        <v/>
      </c>
      <c r="K8054" t="inlineStr">
        <is>
          <t>11.49</t>
        </is>
      </c>
      <c r="L8054" t="n">
        <v>57.99</v>
      </c>
      <c r="M8054" s="1" t="inlineStr">
        <is>
          <t>404.70%</t>
        </is>
      </c>
      <c r="N8054" s="7" t="n"/>
      <c r="O8054" t="n">
        <v>4.8</v>
      </c>
      <c r="P8054" t="n">
        <v>734</v>
      </c>
      <c r="R8054" t="inlineStr">
        <is>
          <t>InStock</t>
        </is>
      </c>
      <c r="S8054" t="inlineStr">
        <is>
          <t>17.4</t>
        </is>
      </c>
      <c r="T8054" t="inlineStr">
        <is>
          <t>3707846557796</t>
        </is>
      </c>
    </row>
    <row r="8055" ht="87" customHeight="1">
      <c r="A8055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55" s="2">
        <f>HYPERLINK("https://edmondsonsupply.com/products/klein-tools-69411-circuit-breaker-finder-accessory-kit", "https://edmondsonsupply.com/products/klein-tools-69411-circuit-breaker-finder-accessory-kit")</f>
        <v/>
      </c>
      <c r="C8055" t="inlineStr">
        <is>
          <t>Klein Tools 69411 Circuit Breaker Finder Accessory Kit</t>
        </is>
      </c>
      <c r="D8055" t="inlineStr">
        <is>
          <t>Klein ToolsKlein Tools 80101 Home Tester Kit, 6-Piece, Black &amp; 69411 Circuit Breaker Finder Accessory Kit, Circuit Breaker Leads, Circuit Breaker AdaptersKlein Tools</t>
        </is>
      </c>
      <c r="E8055" s="2">
        <f>HYPERLINK("https://www.amazon.com/Klein-ToolsKlein-Tools-Accessory-AdaptersKlein/dp/B0BXK8CJ6Z/ref=sr_1_4?keywords=Klein+Tools+69411+Circuit+Breaker+Finder+Accessory+Kit&amp;qid=1694735452&amp;sr=8-4", "https://www.amazon.com/Klein-ToolsKlein-Tools-Accessory-AdaptersKlein/dp/B0BXK8CJ6Z/ref=sr_1_4?keywords=Klein+Tools+69411+Circuit+Breaker+Finder+Accessory+Kit&amp;qid=1694735452&amp;sr=8-4")</f>
        <v/>
      </c>
      <c r="F8055" t="inlineStr">
        <is>
          <t>B0BXK8CJ6Z</t>
        </is>
      </c>
      <c r="G8055">
        <f>_xlfn.IMAGE("https://edmondsonsupply.com/cdn/shop/products/69411.jpg?v=1587143386")</f>
        <v/>
      </c>
      <c r="H8055">
        <f>_xlfn.IMAGE("https://m.media-amazon.com/images/I/51ttQyFZeEL._AC_UL320_.jpg")</f>
        <v/>
      </c>
      <c r="K8055" t="inlineStr">
        <is>
          <t>19.97</t>
        </is>
      </c>
      <c r="L8055" t="n">
        <v>99.95999999999999</v>
      </c>
      <c r="M8055" s="1" t="inlineStr">
        <is>
          <t>400.55%</t>
        </is>
      </c>
      <c r="N8055" s="7" t="n"/>
      <c r="O8055" t="n">
        <v>4.7</v>
      </c>
      <c r="P8055" t="n">
        <v>403</v>
      </c>
      <c r="R8055" t="inlineStr">
        <is>
          <t>InStock</t>
        </is>
      </c>
      <c r="S8055" t="inlineStr">
        <is>
          <t>27.96</t>
        </is>
      </c>
      <c r="T8055" t="inlineStr">
        <is>
          <t>4166896255076</t>
        </is>
      </c>
    </row>
    <row r="8056" ht="87" customHeight="1">
      <c r="A8056" s="2">
        <f>HYPERLINK("https://edmondsonsupply.com/collections/electricians-tools/products/klein-tools-630-5-16-5-16-nut-driver-cushion-grip-3-shaft", "https://edmondsonsupply.com/collections/electricians-tools/products/klein-tools-630-5-16-5-16-nut-driver-cushion-grip-3-shaft")</f>
        <v/>
      </c>
      <c r="B8056" s="2">
        <f>HYPERLINK("https://edmondsonsupply.com/products/klein-tools-630-5-16-5-16-nut-driver-cushion-grip-3-shaft", "https://edmondsonsupply.com/products/klein-tools-630-5-16-5-16-nut-driver-cushion-grip-3-shaft")</f>
        <v/>
      </c>
      <c r="C8056" t="inlineStr">
        <is>
          <t>Klein Tools 630-5/16 5/16'' Nut Driver Cushion-Grip 3'' Shaft</t>
        </is>
      </c>
      <c r="D8056" t="inlineStr">
        <is>
          <t>Klein Tools 633 Tool Set, Nut Driver Set with Driver Sizes 1/4, 5/16, 3/8, 9/16-Inch on 3-Inch Full Hollow Shaft, w/Cushion Grips, 4-Piece</t>
        </is>
      </c>
      <c r="E8056" s="2">
        <f>HYPERLINK("https://www.amazon.com/Cushion-4-Piece-Klein-Tools-633/dp/B00508QS5I/ref=sr_1_12?keywords=Klein+Tools+630-5%2F16+5%2F16%27%27+Nut+Driver+Cushion-Grip+3%27%27+Shaft&amp;qid=1694735460&amp;sr=8-12", "https://www.amazon.com/Cushion-4-Piece-Klein-Tools-633/dp/B00508QS5I/ref=sr_1_12?keywords=Klein+Tools+630-5%2F16+5%2F16%27%27+Nut+Driver+Cushion-Grip+3%27%27+Shaft&amp;qid=1694735460&amp;sr=8-12")</f>
        <v/>
      </c>
      <c r="F8056" t="inlineStr">
        <is>
          <t>B00508QS5I</t>
        </is>
      </c>
      <c r="G8056">
        <f>_xlfn.IMAGE("https://edmondsonsupply.com/cdn/shop/products/630-1-2.jpg?v=1587143244")</f>
        <v/>
      </c>
      <c r="H8056">
        <f>_xlfn.IMAGE("https://m.media-amazon.com/images/I/61yug3exhUS._AC_UL320_.jpg")</f>
        <v/>
      </c>
      <c r="K8056" t="inlineStr">
        <is>
          <t>8.99</t>
        </is>
      </c>
      <c r="L8056" t="n">
        <v>44.05</v>
      </c>
      <c r="M8056" s="1" t="inlineStr">
        <is>
          <t>389.99%</t>
        </is>
      </c>
      <c r="N8056" s="7" t="n"/>
      <c r="O8056" t="n">
        <v>4.8</v>
      </c>
      <c r="P8056" t="n">
        <v>734</v>
      </c>
      <c r="R8056" t="inlineStr">
        <is>
          <t>InStock</t>
        </is>
      </c>
      <c r="S8056" t="inlineStr">
        <is>
          <t>11.74</t>
        </is>
      </c>
      <c r="T8056" t="inlineStr">
        <is>
          <t>4159420989540</t>
        </is>
      </c>
    </row>
    <row r="8057" ht="87" customHeight="1">
      <c r="A8057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057" s="2">
        <f>HYPERLINK("https://edmondsonsupply.com/products/klein-tools-646-3-8-3-8-inch-nut-driver-6-inch-hollow-shaft", "https://edmondsonsupply.com/products/klein-tools-646-3-8-3-8-inch-nut-driver-6-inch-hollow-shaft")</f>
        <v/>
      </c>
      <c r="C8057" t="inlineStr">
        <is>
          <t>Klein Tools 646-3/8 3/8-Inch Nut Driver, 6-Inch Hollow Shaft</t>
        </is>
      </c>
      <c r="D8057" t="inlineStr">
        <is>
          <t>Klein Tools 633 Tool Set, Nut Driver Set with Driver Sizes 1/4, 5/16, 3/8, 9/16-Inch on 3-Inch Full Hollow Shaft, w/Cushion Grips, 4-Piece</t>
        </is>
      </c>
      <c r="E8057" s="2">
        <f>HYPERLINK("https://www.amazon.com/Cushion-4-Piece-Klein-Tools-633/dp/B00508QS5I/ref=sr_1_18?keywords=Klein+Tools+646-3%2F8+3%2F8-Inch+Nut+Driver%2C+6-Inch+Hollow+Shaft&amp;qid=1694735435&amp;sr=8-18", "https://www.amazon.com/Cushion-4-Piece-Klein-Tools-633/dp/B00508QS5I/ref=sr_1_18?keywords=Klein+Tools+646-3%2F8+3%2F8-Inch+Nut+Driver%2C+6-Inch+Hollow+Shaft&amp;qid=1694735435&amp;sr=8-18")</f>
        <v/>
      </c>
      <c r="F8057" t="inlineStr">
        <is>
          <t>B00508QS5I</t>
        </is>
      </c>
      <c r="G8057">
        <f>_xlfn.IMAGE("https://edmondsonsupply.com/cdn/shop/products/646-1-2.jpg?v=1587143221")</f>
        <v/>
      </c>
      <c r="H8057">
        <f>_xlfn.IMAGE("https://m.media-amazon.com/images/I/61yug3exhUS._AC_UL320_.jpg")</f>
        <v/>
      </c>
      <c r="K8057" t="inlineStr">
        <is>
          <t>8.99</t>
        </is>
      </c>
      <c r="L8057" t="n">
        <v>44.05</v>
      </c>
      <c r="M8057" s="1" t="inlineStr">
        <is>
          <t>389.99%</t>
        </is>
      </c>
      <c r="N8057" s="7" t="n"/>
      <c r="O8057" t="n">
        <v>4.8</v>
      </c>
      <c r="P8057" t="n">
        <v>734</v>
      </c>
      <c r="R8057" t="inlineStr">
        <is>
          <t>InStock</t>
        </is>
      </c>
      <c r="S8057" t="inlineStr">
        <is>
          <t>13.58</t>
        </is>
      </c>
      <c r="T8057" t="inlineStr">
        <is>
          <t>4341100609636</t>
        </is>
      </c>
    </row>
    <row r="8058" ht="87" customHeight="1">
      <c r="A8058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58" s="2">
        <f>HYPERLINK("https://edmondsonsupply.com/products/klein-tools-rt210-gfci-receptacle-tester", "https://edmondsonsupply.com/products/klein-tools-rt210-gfci-receptacle-tester")</f>
        <v/>
      </c>
      <c r="C8058" t="inlineStr">
        <is>
          <t>Klein Tools RT210 GFCI Outlet Tester</t>
        </is>
      </c>
      <c r="D8058" t="inlineStr">
        <is>
          <t>Klein Tools ET310 AC Circuit Breaker Finder &amp; Tools RT210 Outlet Tester, Receptacle Tester for GFCI/Standard North American AC Electrical Outlets, Detects Common Wiring Problems</t>
        </is>
      </c>
      <c r="E8058" s="2">
        <f>HYPERLINK("https://www.amazon.com/Klein-Tools-Receptacle-Standard-Electrical/dp/B08V632VSP/ref=sr_1_5?keywords=Klein+Tools+RT210+GFCI+Outlet+Tester&amp;qid=1694735460&amp;sr=8-5", "https://www.amazon.com/Klein-Tools-Receptacle-Standard-Electrical/dp/B08V632VSP/ref=sr_1_5?keywords=Klein+Tools+RT210+GFCI+Outlet+Tester&amp;qid=1694735460&amp;sr=8-5")</f>
        <v/>
      </c>
      <c r="F8058" t="inlineStr">
        <is>
          <t>B08V632VSP</t>
        </is>
      </c>
      <c r="G8058">
        <f>_xlfn.IMAGE("https://edmondsonsupply.com/cdn/shop/products/rt210.jpg?v=1587146495")</f>
        <v/>
      </c>
      <c r="H8058">
        <f>_xlfn.IMAGE("https://m.media-amazon.com/images/I/51PA7348ecL._AC_UL320_.jpg")</f>
        <v/>
      </c>
      <c r="K8058" t="inlineStr">
        <is>
          <t>12.97</t>
        </is>
      </c>
      <c r="L8058" t="n">
        <v>62.94</v>
      </c>
      <c r="M8058" s="1" t="inlineStr">
        <is>
          <t>385.27%</t>
        </is>
      </c>
      <c r="N8058" s="7" t="n"/>
      <c r="O8058" t="n">
        <v>4.8</v>
      </c>
      <c r="P8058" t="n">
        <v>16</v>
      </c>
      <c r="R8058" t="inlineStr">
        <is>
          <t>InStock</t>
        </is>
      </c>
      <c r="S8058" t="inlineStr">
        <is>
          <t>17.12</t>
        </is>
      </c>
      <c r="T8058" t="inlineStr">
        <is>
          <t>3711963988068</t>
        </is>
      </c>
    </row>
    <row r="8059" ht="87" customHeight="1">
      <c r="A8059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59" s="2">
        <f>HYPERLINK("https://edmondsonsupply.com/products/klein-tools-63050-high-leverage-cable-cutter", "https://edmondsonsupply.com/products/klein-tools-63050-high-leverage-cable-cutter")</f>
        <v/>
      </c>
      <c r="C8059" t="inlineStr">
        <is>
          <t>Klein Tools 63050 Cable Cutter</t>
        </is>
      </c>
      <c r="D8059" t="inlineStr">
        <is>
          <t>Southwire - 59556240 Tools &amp; Equipment CCPR400S Ratcheting Cable Cutters With Comfort Grip Handles &amp; Klein Tools 63050 Cable Cutter, Heavy Duty Cutter for Aluminum, Copper, and Communications Cable</t>
        </is>
      </c>
      <c r="E8059" s="2">
        <f>HYPERLINK("https://www.amazon.com/Southwire-59556240-Equipment-Ratcheting-Communications/dp/B0BGJ5FPB9/ref=sr_1_28?keywords=Klein+Tools+63050+Cable+Cutter&amp;qid=1694735444&amp;sr=8-28", "https://www.amazon.com/Southwire-59556240-Equipment-Ratcheting-Communications/dp/B0BGJ5FPB9/ref=sr_1_28?keywords=Klein+Tools+63050+Cable+Cutter&amp;qid=1694735444&amp;sr=8-28")</f>
        <v/>
      </c>
      <c r="F8059" t="inlineStr">
        <is>
          <t>B0BGJ5FPB9</t>
        </is>
      </c>
      <c r="G8059">
        <f>_xlfn.IMAGE("https://edmondsonsupply.com/cdn/shop/products/63050.jpg?v=1587143239")</f>
        <v/>
      </c>
      <c r="H8059">
        <f>_xlfn.IMAGE("https://m.media-amazon.com/images/I/61E6ewJivhL._AC_UL320_.jpg")</f>
        <v/>
      </c>
      <c r="K8059" t="inlineStr">
        <is>
          <t>32.99</t>
        </is>
      </c>
      <c r="L8059" t="n">
        <v>158.77</v>
      </c>
      <c r="M8059" s="1" t="inlineStr">
        <is>
          <t>381.27%</t>
        </is>
      </c>
      <c r="N8059" s="7" t="n"/>
      <c r="O8059" t="n">
        <v>5</v>
      </c>
      <c r="P8059" t="n">
        <v>1</v>
      </c>
      <c r="R8059" t="inlineStr">
        <is>
          <t>InStock</t>
        </is>
      </c>
      <c r="S8059" t="inlineStr">
        <is>
          <t>47.96</t>
        </is>
      </c>
      <c r="T8059" t="inlineStr">
        <is>
          <t>4289689124964</t>
        </is>
      </c>
    </row>
    <row r="8060" ht="87" customHeight="1">
      <c r="A8060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060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060" t="inlineStr">
        <is>
          <t>Klein Tools JTH6E08BE 1/8-Inch Ball Hex Key, Journeyman T-Handle, 6-Inch</t>
        </is>
      </c>
      <c r="D8060" t="inlineStr">
        <is>
          <t>Klein Tools JTH9E17 1/2-Inch Hex Key, Journeyman T-Handle, 9-Inch</t>
        </is>
      </c>
      <c r="E8060" s="2">
        <f>HYPERLINK("https://www.amazon.com/Journeyman-T-Handle-Klein-Tools-JTH9E17/dp/B004QV6NL4/ref=sr_1_15?keywords=Klein+Tools+JTH6E08BE+1%2F8-Inch+Ball+Hex+Key%2C+Journeyman+T-Handle%2C+6-Inch&amp;qid=1694735452&amp;sr=8-15", "https://www.amazon.com/Journeyman-T-Handle-Klein-Tools-JTH9E17/dp/B004QV6NL4/ref=sr_1_15?keywords=Klein+Tools+JTH6E08BE+1%2F8-Inch+Ball+Hex+Key%2C+Journeyman+T-Handle%2C+6-Inch&amp;qid=1694735452&amp;sr=8-15")</f>
        <v/>
      </c>
      <c r="F8060" t="inlineStr">
        <is>
          <t>B004QV6NL4</t>
        </is>
      </c>
      <c r="G8060">
        <f>_xlfn.IMAGE("https://edmondsonsupply.com/cdn/shop/products/jth6e13be.jpg?v=1587150101")</f>
        <v/>
      </c>
      <c r="H8060">
        <f>_xlfn.IMAGE("https://m.media-amazon.com/images/I/51Yb8h41vLL._AC_UL320_.jpg")</f>
        <v/>
      </c>
      <c r="K8060" t="inlineStr">
        <is>
          <t>4.99</t>
        </is>
      </c>
      <c r="L8060" t="n">
        <v>23.99</v>
      </c>
      <c r="M8060" s="1" t="inlineStr">
        <is>
          <t>380.76%</t>
        </is>
      </c>
      <c r="N8060" s="7" t="n"/>
      <c r="O8060" t="n">
        <v>4.8</v>
      </c>
      <c r="P8060" t="n">
        <v>193</v>
      </c>
      <c r="R8060" t="inlineStr">
        <is>
          <t>InStock</t>
        </is>
      </c>
      <c r="S8060" t="inlineStr">
        <is>
          <t>7.54</t>
        </is>
      </c>
      <c r="T8060" t="inlineStr">
        <is>
          <t>4174483193956</t>
        </is>
      </c>
    </row>
    <row r="8061" ht="87" customHeight="1">
      <c r="A8061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61" s="2">
        <f>HYPERLINK("https://edmondsonsupply.com/products/klein-tools-rt210-gfci-receptacle-tester", "https://edmondsonsupply.com/products/klein-tools-rt210-gfci-receptacle-tester")</f>
        <v/>
      </c>
      <c r="C8061" t="inlineStr">
        <is>
          <t>Klein Tools RT210 GFCI Outlet Tester</t>
        </is>
      </c>
      <c r="D8061" t="inlineStr">
        <is>
          <t>Klein Tools 80023P Tool Set, Home Inspector Tool Kit with Digital Moisture Meter, Non-Contact Voltage Tester, GFCI Outlet Tester, 3-Piece</t>
        </is>
      </c>
      <c r="E8061" s="2">
        <f>HYPERLINK("https://www.amazon.com/Klein-Tools-80023P-Inspector-Non-Contact/dp/B09KSXJN7D/ref=sr_1_27?keywords=Klein+Tools+RT210+GFCI+Outlet+Tester&amp;qid=1694735460&amp;sr=8-27", "https://www.amazon.com/Klein-Tools-80023P-Inspector-Non-Contact/dp/B09KSXJN7D/ref=sr_1_27?keywords=Klein+Tools+RT210+GFCI+Outlet+Tester&amp;qid=1694735460&amp;sr=8-27")</f>
        <v/>
      </c>
      <c r="F8061" t="inlineStr">
        <is>
          <t>B09KSXJN7D</t>
        </is>
      </c>
      <c r="G8061">
        <f>_xlfn.IMAGE("https://edmondsonsupply.com/cdn/shop/products/rt210.jpg?v=1587146495")</f>
        <v/>
      </c>
      <c r="H8061">
        <f>_xlfn.IMAGE("https://m.media-amazon.com/images/I/61jYq4FYr5L._AC_UL320_.jpg")</f>
        <v/>
      </c>
      <c r="K8061" t="inlineStr">
        <is>
          <t>12.97</t>
        </is>
      </c>
      <c r="L8061" t="n">
        <v>61.99</v>
      </c>
      <c r="M8061" s="1" t="inlineStr">
        <is>
          <t>377.95%</t>
        </is>
      </c>
      <c r="N8061" s="7" t="n"/>
      <c r="O8061" t="n">
        <v>4.5</v>
      </c>
      <c r="P8061" t="n">
        <v>4388</v>
      </c>
      <c r="R8061" t="inlineStr">
        <is>
          <t>InStock</t>
        </is>
      </c>
      <c r="S8061" t="inlineStr">
        <is>
          <t>17.12</t>
        </is>
      </c>
      <c r="T8061" t="inlineStr">
        <is>
          <t>3711963988068</t>
        </is>
      </c>
    </row>
    <row r="8062" ht="87" customHeight="1">
      <c r="A8062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62" s="2">
        <f>HYPERLINK("https://edmondsonsupply.com/products/klein-tools-69411-circuit-breaker-finder-accessory-kit", "https://edmondsonsupply.com/products/klein-tools-69411-circuit-breaker-finder-accessory-kit")</f>
        <v/>
      </c>
      <c r="C8062" t="inlineStr">
        <is>
          <t>Klein Tools 69411 Circuit Breaker Finder Accessory Kit</t>
        </is>
      </c>
      <c r="D8062" t="inlineStr">
        <is>
          <t>Klein Tools RT250KIT Non-Contact Voltage Tester and GFCI Receptacle Tester &amp; 80016 Circuit Breaker Finder Tool Kit with Accessories, 2-Piece Set, Includes Cat. No. ET310 and Cat. No. 69411</t>
        </is>
      </c>
      <c r="E8062" s="2">
        <f>HYPERLINK("https://www.amazon.com/Klein-Tools-Non-Contact-Receptacle-Accessories/dp/B0BC86DZ9N/ref=sr_1_13?keywords=Klein+Tools+69411+Circuit+Breaker+Finder+Accessory+Kit&amp;qid=1694735452&amp;sr=8-13", "https://www.amazon.com/Klein-Tools-Non-Contact-Receptacle-Accessories/dp/B0BC86DZ9N/ref=sr_1_13?keywords=Klein+Tools+69411+Circuit+Breaker+Finder+Accessory+Kit&amp;qid=1694735452&amp;sr=8-13")</f>
        <v/>
      </c>
      <c r="F8062" t="inlineStr">
        <is>
          <t>B0BC86DZ9N</t>
        </is>
      </c>
      <c r="G8062">
        <f>_xlfn.IMAGE("https://edmondsonsupply.com/cdn/shop/products/69411.jpg?v=1587143386")</f>
        <v/>
      </c>
      <c r="H8062">
        <f>_xlfn.IMAGE("https://m.media-amazon.com/images/I/516iLL0IaEL._AC_UL320_.jpg")</f>
        <v/>
      </c>
      <c r="K8062" t="inlineStr">
        <is>
          <t>19.97</t>
        </is>
      </c>
      <c r="L8062" t="n">
        <v>94.98</v>
      </c>
      <c r="M8062" s="1" t="inlineStr">
        <is>
          <t>375.61%</t>
        </is>
      </c>
      <c r="N8062" s="7" t="n"/>
      <c r="O8062" t="n">
        <v>4.7</v>
      </c>
      <c r="P8062" t="n">
        <v>32</v>
      </c>
      <c r="R8062" t="inlineStr">
        <is>
          <t>InStock</t>
        </is>
      </c>
      <c r="S8062" t="inlineStr">
        <is>
          <t>27.96</t>
        </is>
      </c>
      <c r="T8062" t="inlineStr">
        <is>
          <t>4166896255076</t>
        </is>
      </c>
    </row>
    <row r="8063" ht="87" customHeight="1">
      <c r="A8063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63" s="2">
        <f>HYPERLINK("https://edmondsonsupply.com/products/klein-tools-rt210-gfci-receptacle-tester", "https://edmondsonsupply.com/products/klein-tools-rt210-gfci-receptacle-tester")</f>
        <v/>
      </c>
      <c r="C8063" t="inlineStr">
        <is>
          <t>Klein Tools RT210 GFCI Outlet Tester</t>
        </is>
      </c>
      <c r="D8063" t="inlineStr">
        <is>
          <t>Klein Tools Digital Multimeter, Auto-Ranging, 600V MM400 &amp; RT210 Outlet Tester, Receptacle Tester for GFCI/Standard North American AC Electrical Outlets, Detects Common Wiring Problems</t>
        </is>
      </c>
      <c r="E8063" s="2">
        <f>HYPERLINK("https://www.amazon.com/Klein-Tools-Multimeter-Auto-Ranging-Receptacle/dp/B095S4PH8F/ref=sr_1_4?keywords=Klein+Tools+RT210+GFCI+Outlet+Tester&amp;qid=1694735460&amp;sr=8-4", "https://www.amazon.com/Klein-Tools-Multimeter-Auto-Ranging-Receptacle/dp/B095S4PH8F/ref=sr_1_4?keywords=Klein+Tools+RT210+GFCI+Outlet+Tester&amp;qid=1694735460&amp;sr=8-4")</f>
        <v/>
      </c>
      <c r="F8063" t="inlineStr">
        <is>
          <t>B095S4PH8F</t>
        </is>
      </c>
      <c r="G8063">
        <f>_xlfn.IMAGE("https://edmondsonsupply.com/cdn/shop/products/rt210.jpg?v=1587146495")</f>
        <v/>
      </c>
      <c r="H8063">
        <f>_xlfn.IMAGE("https://m.media-amazon.com/images/I/51Pfpc7VabS._AC_UL320_.jpg")</f>
        <v/>
      </c>
      <c r="K8063" t="inlineStr">
        <is>
          <t>12.97</t>
        </is>
      </c>
      <c r="L8063" t="n">
        <v>59.87</v>
      </c>
      <c r="M8063" s="1" t="inlineStr">
        <is>
          <t>361.60%</t>
        </is>
      </c>
      <c r="N8063" s="7" t="n"/>
      <c r="O8063" t="n">
        <v>4.8</v>
      </c>
      <c r="P8063" t="n">
        <v>37</v>
      </c>
      <c r="R8063" t="inlineStr">
        <is>
          <t>InStock</t>
        </is>
      </c>
      <c r="S8063" t="inlineStr">
        <is>
          <t>17.12</t>
        </is>
      </c>
      <c r="T8063" t="inlineStr">
        <is>
          <t>3711963988068</t>
        </is>
      </c>
    </row>
    <row r="8064" ht="87" customHeight="1">
      <c r="A8064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64" s="2">
        <f>HYPERLINK("https://edmondsonsupply.com/products/klein-tools-69411-circuit-breaker-finder-accessory-kit", "https://edmondsonsupply.com/products/klein-tools-69411-circuit-breaker-finder-accessory-kit")</f>
        <v/>
      </c>
      <c r="C8064" t="inlineStr">
        <is>
          <t>Klein Tools 69411 Circuit Breaker Finder Accessory Kit</t>
        </is>
      </c>
      <c r="D8064" t="inlineStr">
        <is>
          <t>Klein Tools ET310 AC Circuit Breaker Finder, Electric Tester with Integrated GFCI Outlet Tester &amp; RT250 GFCI Outlet Tester with LCD Display &amp; Klein Tools 69411 Circuit Breaker Finder Accessory Kit</t>
        </is>
      </c>
      <c r="E8064" s="2">
        <f>HYPERLINK("https://www.amazon.com/Klein-Tools-Electric-Integrated-Accessory/dp/B0C9999Y7J/ref=sr_1_3?keywords=Klein+Tools+69411+Circuit+Breaker+Finder+Accessory+Kit&amp;qid=1694735452&amp;sr=8-3", "https://www.amazon.com/Klein-Tools-Electric-Integrated-Accessory/dp/B0C9999Y7J/ref=sr_1_3?keywords=Klein+Tools+69411+Circuit+Breaker+Finder+Accessory+Kit&amp;qid=1694735452&amp;sr=8-3")</f>
        <v/>
      </c>
      <c r="F8064" t="inlineStr">
        <is>
          <t>B0C9999Y7J</t>
        </is>
      </c>
      <c r="G8064">
        <f>_xlfn.IMAGE("https://edmondsonsupply.com/cdn/shop/products/69411.jpg?v=1587143386")</f>
        <v/>
      </c>
      <c r="H8064">
        <f>_xlfn.IMAGE("https://m.media-amazon.com/images/I/612+A-jAqtL._AC_UL320_.jpg")</f>
        <v/>
      </c>
      <c r="K8064" t="inlineStr">
        <is>
          <t>19.97</t>
        </is>
      </c>
      <c r="L8064" t="n">
        <v>91.66</v>
      </c>
      <c r="M8064" s="1" t="inlineStr">
        <is>
          <t>358.99%</t>
        </is>
      </c>
      <c r="N8064" s="7" t="n"/>
      <c r="O8064" t="n">
        <v>4.8</v>
      </c>
      <c r="P8064" t="n">
        <v>6</v>
      </c>
      <c r="R8064" t="inlineStr">
        <is>
          <t>InStock</t>
        </is>
      </c>
      <c r="S8064" t="inlineStr">
        <is>
          <t>27.96</t>
        </is>
      </c>
      <c r="T8064" t="inlineStr">
        <is>
          <t>4166896255076</t>
        </is>
      </c>
    </row>
    <row r="8065" hidden="1" ht="15.75" customHeight="1">
      <c r="A8065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065" s="2">
        <f>HYPERLINK("https://edmondsonsupply.com/products/klein-tools-21051-large-cable-stripper-250-mcm-2-0", "https://edmondsonsupply.com/products/klein-tools-21051-large-cable-stripper-250-mcm-2-0")</f>
        <v/>
      </c>
      <c r="C8065" t="inlineStr">
        <is>
          <t>Klein Tools 21051 Large Cable Stripper (2/0-250 MCM)</t>
        </is>
      </c>
      <c r="D8065" t="inlineStr">
        <is>
          <t>Klein Tools 63060 Cable Cutters, Ratcheting Heavy Duty Cutters for Up to 750 MCM, Great for Cable Preparation &amp; 21051 Large Cable Stripper (2/0-250 MCM)</t>
        </is>
      </c>
      <c r="E8065" s="2">
        <f>HYPERLINK("https://www.amazon.com/Klein-Tools-Ratcheting-Preparation-Stripper/dp/B0BD431C5B/ref=sr_1_6?keywords=Klein+Tools+21051+Large+Cable+Stripper+%282%2F0-250+MCM%29&amp;qid=1694735474&amp;sr=8-6", "https://www.amazon.com/Klein-Tools-Ratcheting-Preparation-Stripper/dp/B0BD431C5B/ref=sr_1_6?keywords=Klein+Tools+21051+Large+Cable+Stripper+%282%2F0-250+MCM%29&amp;qid=1694735474&amp;sr=8-6")</f>
        <v/>
      </c>
      <c r="F8065" t="inlineStr">
        <is>
          <t>B0BD431C5B</t>
        </is>
      </c>
      <c r="G8065">
        <f>_xludf.IMAGE("https://edmondsonsupply.com/cdn/shop/products/21051.jpg?v=1587145554")</f>
        <v/>
      </c>
      <c r="H8065">
        <f>_xludf.IMAGE("https://m.media-amazon.com/images/I/518sX-KFIZL._AC_UL320_.jpg")</f>
        <v/>
      </c>
      <c r="K8065" t="inlineStr">
        <is>
          <t>54.99</t>
        </is>
      </c>
      <c r="L8065" t="n">
        <v>249.96</v>
      </c>
      <c r="M8065" s="1" t="inlineStr">
        <is>
          <t>354.56%</t>
        </is>
      </c>
      <c r="N8065" s="1" t="n"/>
      <c r="O8065" t="n">
        <v>3.6</v>
      </c>
      <c r="P8065" t="n">
        <v>4</v>
      </c>
      <c r="R8065" t="inlineStr">
        <is>
          <t>InStock</t>
        </is>
      </c>
      <c r="S8065" t="inlineStr">
        <is>
          <t>85.38</t>
        </is>
      </c>
      <c r="T8065" t="inlineStr">
        <is>
          <t>1779877806180</t>
        </is>
      </c>
    </row>
    <row r="8066" ht="87" customHeight="1">
      <c r="A8066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66" s="2">
        <f>HYPERLINK("https://edmondsonsupply.com/products/klein-tools-63050-high-leverage-cable-cutter", "https://edmondsonsupply.com/products/klein-tools-63050-high-leverage-cable-cutter")</f>
        <v/>
      </c>
      <c r="C8066" t="inlineStr">
        <is>
          <t>Klein Tools 63050 Cable Cutter</t>
        </is>
      </c>
      <c r="D8066" t="inlineStr">
        <is>
          <t>Klein Tools 63090 Replacement Cable Cutter Head for 63045 Standard Cable Cutters</t>
        </is>
      </c>
      <c r="E8066" s="2">
        <f>HYPERLINK("https://www.amazon.com/Klein-Tools-63090-Replacement-Standard/dp/B000936QO2/ref=sr_1_31?keywords=Klein+Tools+63050+Cable+Cutter&amp;qid=1694735444&amp;sr=8-31", "https://www.amazon.com/Klein-Tools-63090-Replacement-Standard/dp/B000936QO2/ref=sr_1_31?keywords=Klein+Tools+63050+Cable+Cutter&amp;qid=1694735444&amp;sr=8-31")</f>
        <v/>
      </c>
      <c r="F8066" t="inlineStr">
        <is>
          <t>B000936QO2</t>
        </is>
      </c>
      <c r="G8066">
        <f>_xlfn.IMAGE("https://edmondsonsupply.com/cdn/shop/products/63050.jpg?v=1587143239")</f>
        <v/>
      </c>
      <c r="H8066">
        <f>_xlfn.IMAGE("https://m.media-amazon.com/images/I/612EbodBi1L._AC_UL320_.jpg")</f>
        <v/>
      </c>
      <c r="K8066" t="inlineStr">
        <is>
          <t>32.99</t>
        </is>
      </c>
      <c r="L8066" t="n">
        <v>148.72</v>
      </c>
      <c r="M8066" s="1" t="inlineStr">
        <is>
          <t>350.80%</t>
        </is>
      </c>
      <c r="N8066" s="7" t="n"/>
      <c r="O8066" t="n">
        <v>5</v>
      </c>
      <c r="P8066" t="n">
        <v>3</v>
      </c>
      <c r="R8066" t="inlineStr">
        <is>
          <t>InStock</t>
        </is>
      </c>
      <c r="S8066" t="inlineStr">
        <is>
          <t>47.96</t>
        </is>
      </c>
      <c r="T8066" t="inlineStr">
        <is>
          <t>4289689124964</t>
        </is>
      </c>
    </row>
    <row r="8067" ht="87" customHeight="1">
      <c r="A8067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67" s="2">
        <f>HYPERLINK("https://edmondsonsupply.com/products/klein-tools-69411-circuit-breaker-finder-accessory-kit", "https://edmondsonsupply.com/products/klein-tools-69411-circuit-breaker-finder-accessory-kit")</f>
        <v/>
      </c>
      <c r="C8067" t="inlineStr">
        <is>
          <t>Klein Tools 69411 Circuit Breaker Finder Accessory Kit</t>
        </is>
      </c>
      <c r="D8067" t="inlineStr">
        <is>
          <t>Klein Tools 69149P Electrical Test Kit with Digital Multimeter &amp; ET310 AC Circuit Breaker Finder, Electric Tester with Integrated GFCI Outlet Tester</t>
        </is>
      </c>
      <c r="E8067" s="2">
        <f>HYPERLINK("https://www.amazon.com/Klein-Tools-Electrical-Multimeter-Integrated/dp/B0BXK9J5KD/ref=sr_1_45?keywords=Klein+Tools+69411+Circuit+Breaker+Finder+Accessory+Kit&amp;qid=1694735452&amp;sr=8-45", "https://www.amazon.com/Klein-Tools-Electrical-Multimeter-Integrated/dp/B0BXK9J5KD/ref=sr_1_45?keywords=Klein+Tools+69411+Circuit+Breaker+Finder+Accessory+Kit&amp;qid=1694735452&amp;sr=8-45")</f>
        <v/>
      </c>
      <c r="F8067" t="inlineStr">
        <is>
          <t>B0BXK9J5KD</t>
        </is>
      </c>
      <c r="G8067">
        <f>_xlfn.IMAGE("https://edmondsonsupply.com/cdn/shop/products/69411.jpg?v=1587143386")</f>
        <v/>
      </c>
      <c r="H8067">
        <f>_xlfn.IMAGE("https://m.media-amazon.com/images/I/519RU+M3-AL._AC_UL320_.jpg")</f>
        <v/>
      </c>
      <c r="K8067" t="inlineStr">
        <is>
          <t>19.97</t>
        </is>
      </c>
      <c r="L8067" t="n">
        <v>89.94</v>
      </c>
      <c r="M8067" s="1" t="inlineStr">
        <is>
          <t>350.38%</t>
        </is>
      </c>
      <c r="N8067" s="7" t="n"/>
      <c r="O8067" t="n">
        <v>5</v>
      </c>
      <c r="P8067" t="n">
        <v>3</v>
      </c>
      <c r="R8067" t="inlineStr">
        <is>
          <t>InStock</t>
        </is>
      </c>
      <c r="S8067" t="inlineStr">
        <is>
          <t>27.96</t>
        </is>
      </c>
      <c r="T8067" t="inlineStr">
        <is>
          <t>4166896255076</t>
        </is>
      </c>
    </row>
    <row r="8068" ht="87" customHeight="1">
      <c r="A8068" s="2">
        <f>HYPERLINK("https://edmondsonsupply.com/collections/electricians-tools/products/klein-tools-610m-magnetic-stubby-nut-driver-set-1-1-2-inch-shafts-2-piece", "https://edmondsonsupply.com/collections/electricians-tools/products/klein-tools-610m-magnetic-stubby-nut-driver-set-1-1-2-inch-shafts-2-piece")</f>
        <v/>
      </c>
      <c r="B8068" s="2">
        <f>HYPERLINK("https://edmondsonsupply.com/products/klein-tools-610m-magnetic-stubby-nut-driver-set-1-1-2-inch-shafts-2-piece", "https://edmondsonsupply.com/products/klein-tools-610m-magnetic-stubby-nut-driver-set-1-1-2-inch-shafts-2-piece")</f>
        <v/>
      </c>
      <c r="C8068" t="inlineStr">
        <is>
          <t>Klein Tools 610M Magnetic Stubby Nut Driver Set, 1-1/2-Inch Shafts, 2-Piece</t>
        </is>
      </c>
      <c r="D8068" t="inlineStr">
        <is>
          <t>Klein Tools 647M Tool Set, Magnetic Nut Drivers Sizes 3/16, 1/4, 5/16, 11/32, 3/8, 7/16, 1/2-Inch, 6-Inch Hollow Shafts, 7-Piece</t>
        </is>
      </c>
      <c r="E8068" s="2">
        <f>HYPERLINK("https://www.amazon.com/Klein-Tools-647M-Magnetic-7-Piece/dp/B000MKIUYQ/ref=sr_1_17?keywords=Klein+Tools+610M+Magnetic+Stubby+Nut+Driver+Set%2C+1-1%2F2-Inch+Shafts%2C+2-Piece&amp;qid=1694735459&amp;sr=8-17", "https://www.amazon.com/Klein-Tools-647M-Magnetic-7-Piece/dp/B000MKIUYQ/ref=sr_1_17?keywords=Klein+Tools+610M+Magnetic+Stubby+Nut+Driver+Set%2C+1-1%2F2-Inch+Shafts%2C+2-Piece&amp;qid=1694735459&amp;sr=8-17")</f>
        <v/>
      </c>
      <c r="F8068" t="inlineStr">
        <is>
          <t>B000MKIUYQ</t>
        </is>
      </c>
      <c r="G8068">
        <f>_xlfn.IMAGE("https://edmondsonsupply.com/cdn/shop/products/610m.jpg?v=1587148614")</f>
        <v/>
      </c>
      <c r="H8068">
        <f>_xlfn.IMAGE("https://m.media-amazon.com/images/I/61PNUE211uL._AC_UL320_.jpg")</f>
        <v/>
      </c>
      <c r="K8068" t="inlineStr">
        <is>
          <t>17.99</t>
        </is>
      </c>
      <c r="L8068" t="n">
        <v>79.98999999999999</v>
      </c>
      <c r="M8068" s="1" t="inlineStr">
        <is>
          <t>344.64%</t>
        </is>
      </c>
      <c r="N8068" s="7" t="n"/>
      <c r="O8068" t="n">
        <v>4.8</v>
      </c>
      <c r="P8068" t="n">
        <v>985</v>
      </c>
      <c r="R8068" t="inlineStr">
        <is>
          <t>InStock</t>
        </is>
      </c>
      <c r="S8068" t="inlineStr">
        <is>
          <t>27.26</t>
        </is>
      </c>
      <c r="T8068" t="inlineStr">
        <is>
          <t>4258876031076</t>
        </is>
      </c>
    </row>
    <row r="8069" ht="87" customHeight="1">
      <c r="A8069" s="2">
        <f>HYPERLINK("https://edmondsonsupply.com/collections/electricians-tools/products/klein-tools-610m-magnetic-stubby-nut-driver-set-1-1-2-inch-shafts-2-piece", "https://edmondsonsupply.com/collections/electricians-tools/products/klein-tools-610m-magnetic-stubby-nut-driver-set-1-1-2-inch-shafts-2-piece")</f>
        <v/>
      </c>
      <c r="B8069" s="2">
        <f>HYPERLINK("https://edmondsonsupply.com/products/klein-tools-610m-magnetic-stubby-nut-driver-set-1-1-2-inch-shafts-2-piece", "https://edmondsonsupply.com/products/klein-tools-610m-magnetic-stubby-nut-driver-set-1-1-2-inch-shafts-2-piece")</f>
        <v/>
      </c>
      <c r="C8069" t="inlineStr">
        <is>
          <t>Klein Tools 610M Magnetic Stubby Nut Driver Set, 1-1/2-Inch Shafts, 2-Piece</t>
        </is>
      </c>
      <c r="D8069" t="inlineStr">
        <is>
          <t>Klein Tools 635-6 Tool Set, Heavy Duty Magnetic Nut Drivers SAE Sizes 1/4, 5/16, 3/8, 7/16, 1/2, and 9/16-Inch Hex, 6-Inch, 6-Piece</t>
        </is>
      </c>
      <c r="E8069" s="2">
        <f>HYPERLINK("https://www.amazon.com/Heavy-Duty-Driver-6-Piece-Klein-Tools/dp/B01DKNDHGM/ref=sr_1_15?keywords=Klein+Tools+610M+Magnetic+Stubby+Nut+Driver+Set%2C+1-1%2F2-Inch+Shafts%2C+2-Piece&amp;qid=1694735459&amp;sr=8-15", "https://www.amazon.com/Heavy-Duty-Driver-6-Piece-Klein-Tools/dp/B01DKNDHGM/ref=sr_1_15?keywords=Klein+Tools+610M+Magnetic+Stubby+Nut+Driver+Set%2C+1-1%2F2-Inch+Shafts%2C+2-Piece&amp;qid=1694735459&amp;sr=8-15")</f>
        <v/>
      </c>
      <c r="F8069" t="inlineStr">
        <is>
          <t>B01DKNDHGM</t>
        </is>
      </c>
      <c r="G8069">
        <f>_xlfn.IMAGE("https://edmondsonsupply.com/cdn/shop/products/610m.jpg?v=1587148614")</f>
        <v/>
      </c>
      <c r="H8069">
        <f>_xlfn.IMAGE("https://m.media-amazon.com/images/I/61eypCy1RLL._AC_UL320_.jpg")</f>
        <v/>
      </c>
      <c r="K8069" t="inlineStr">
        <is>
          <t>17.99</t>
        </is>
      </c>
      <c r="L8069" t="n">
        <v>79.98999999999999</v>
      </c>
      <c r="M8069" s="1" t="inlineStr">
        <is>
          <t>344.64%</t>
        </is>
      </c>
      <c r="N8069" s="7" t="n"/>
      <c r="O8069" t="n">
        <v>4.7</v>
      </c>
      <c r="P8069" t="n">
        <v>943</v>
      </c>
      <c r="R8069" t="inlineStr">
        <is>
          <t>InStock</t>
        </is>
      </c>
      <c r="S8069" t="inlineStr">
        <is>
          <t>27.26</t>
        </is>
      </c>
      <c r="T8069" t="inlineStr">
        <is>
          <t>4258876031076</t>
        </is>
      </c>
    </row>
    <row r="8070" ht="87" customHeight="1">
      <c r="A8070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070" s="2">
        <f>HYPERLINK("https://edmondsonsupply.com/products/klein-tools-21051-large-cable-stripper-250-mcm-2-0", "https://edmondsonsupply.com/products/klein-tools-21051-large-cable-stripper-250-mcm-2-0")</f>
        <v/>
      </c>
      <c r="C8070" t="inlineStr">
        <is>
          <t>Klein Tools 21051 Large Cable Stripper (2/0-250 MCM)</t>
        </is>
      </c>
      <c r="D8070" t="inlineStr">
        <is>
          <t>Ratcheting Cable Cut &amp; Klein Tools 21051 Large Cable Stripper (2/0-250 MCM)</t>
        </is>
      </c>
      <c r="E8070" s="2">
        <f>HYPERLINK("https://www.amazon.com/Ratcheting-Cable-Klein-Tools-Stripper/dp/B0BGJ6ZYBJ/ref=sr_1_2?keywords=Klein+Tools+21051+Large+Cable+Stripper+%282%2F0-250+MCM%29&amp;qid=1694735474&amp;sr=8-2", "https://www.amazon.com/Ratcheting-Cable-Klein-Tools-Stripper/dp/B0BGJ6ZYBJ/ref=sr_1_2?keywords=Klein+Tools+21051+Large+Cable+Stripper+%282%2F0-250+MCM%29&amp;qid=1694735474&amp;sr=8-2")</f>
        <v/>
      </c>
      <c r="F8070" t="inlineStr">
        <is>
          <t>B0BGJ6ZYBJ</t>
        </is>
      </c>
      <c r="G8070">
        <f>_xlfn.IMAGE("https://edmondsonsupply.com/cdn/shop/products/21051.jpg?v=1587145554")</f>
        <v/>
      </c>
      <c r="H8070">
        <f>_xlfn.IMAGE("https://m.media-amazon.com/images/I/51Cactosp9L._AC_UL320_.jpg")</f>
        <v/>
      </c>
      <c r="K8070" t="inlineStr">
        <is>
          <t>54.99</t>
        </is>
      </c>
      <c r="L8070" t="n">
        <v>242.99</v>
      </c>
      <c r="M8070" s="1" t="inlineStr">
        <is>
          <t>341.88%</t>
        </is>
      </c>
      <c r="N8070" s="7" t="n"/>
      <c r="O8070" t="n">
        <v>4.8</v>
      </c>
      <c r="P8070" t="n">
        <v>188</v>
      </c>
      <c r="R8070" t="inlineStr">
        <is>
          <t>InStock</t>
        </is>
      </c>
      <c r="S8070" t="inlineStr">
        <is>
          <t>85.38</t>
        </is>
      </c>
      <c r="T8070" t="inlineStr">
        <is>
          <t>1779877806180</t>
        </is>
      </c>
    </row>
    <row r="8071" ht="87" customHeight="1">
      <c r="A8071" s="2">
        <f>HYPERLINK("https://edmondsonsupply.com/collections/electricians-tools/products/klein-tools-44200-cable-splicers-knife-6-1-2-inch", "https://edmondsonsupply.com/collections/electricians-tools/products/klein-tools-44200-cable-splicers-knife-6-1-2-inch")</f>
        <v/>
      </c>
      <c r="B8071" s="2">
        <f>HYPERLINK("https://edmondsonsupply.com/products/klein-tools-44200-cable-splicers-knife-6-1-2-inch", "https://edmondsonsupply.com/products/klein-tools-44200-cable-splicers-knife-6-1-2-inch")</f>
        <v/>
      </c>
      <c r="C8071" t="inlineStr">
        <is>
          <t>Klein Tools 44200 Cable Splicer's Knife, 6-1/4-Inch</t>
        </is>
      </c>
      <c r="D8071" t="inlineStr">
        <is>
          <t>Dismantling Knife-1000V Insulated &amp; Klein Tools 46039 Cable Splicer's Kit with Cable Splicer Electricians Knife and Free-Fall Snip</t>
        </is>
      </c>
      <c r="E8071" s="2">
        <f>HYPERLINK("https://www.amazon.com/Dismantling-Knife-1000V-Insulated-Electricians-Free-Fall/dp/B0BM2ZZM12/ref=sr_1_7?keywords=Klein+Tools+44200+Cable+Splicer%27s+Knife%2C+6-1%2F4-Inch&amp;qid=1694735456&amp;sr=8-7", "https://www.amazon.com/Dismantling-Knife-1000V-Insulated-Electricians-Free-Fall/dp/B0BM2ZZM12/ref=sr_1_7?keywords=Klein+Tools+44200+Cable+Splicer%27s+Knife%2C+6-1%2F4-Inch&amp;qid=1694735456&amp;sr=8-7")</f>
        <v/>
      </c>
      <c r="F8071" t="inlineStr">
        <is>
          <t>B0BM2ZZM12</t>
        </is>
      </c>
      <c r="G8071">
        <f>_xlfn.IMAGE("https://edmondsonsupply.com/cdn/shop/products/44200.jpg?v=1679663195")</f>
        <v/>
      </c>
      <c r="H8071">
        <f>_xlfn.IMAGE("https://m.media-amazon.com/images/I/41uZ3RjcrvL._AC_UL320_.jpg")</f>
        <v/>
      </c>
      <c r="K8071" t="inlineStr">
        <is>
          <t>21.99</t>
        </is>
      </c>
      <c r="L8071" t="n">
        <v>94.92</v>
      </c>
      <c r="M8071" s="1" t="inlineStr">
        <is>
          <t>331.65%</t>
        </is>
      </c>
      <c r="N8071" s="7" t="n"/>
      <c r="O8071" t="n">
        <v>4.8</v>
      </c>
      <c r="P8071" t="n">
        <v>793</v>
      </c>
      <c r="R8071" t="inlineStr">
        <is>
          <t>InStock</t>
        </is>
      </c>
      <c r="S8071" t="inlineStr">
        <is>
          <t>33.44</t>
        </is>
      </c>
      <c r="T8071" t="inlineStr">
        <is>
          <t>4096592019556</t>
        </is>
      </c>
    </row>
    <row r="8072" hidden="1" ht="15.75" customHeight="1">
      <c r="A807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72" s="2">
        <f>HYPERLINK("https://edmondsonsupply.com/products/klein-tools-rt210-gfci-receptacle-tester", "https://edmondsonsupply.com/products/klein-tools-rt210-gfci-receptacle-tester")</f>
        <v/>
      </c>
      <c r="C8072" t="inlineStr">
        <is>
          <t>Klein Tools RT210 GFCI Outlet Tester</t>
        </is>
      </c>
      <c r="D8072" t="inlineStr">
        <is>
          <t>Klein Tools RT310 Outlet Tester, AFCI and GFCI Receptacle Tester for North American AC Electrical Outlets &amp; Klein Tools 69401 Multimeter Carrying Case</t>
        </is>
      </c>
      <c r="E8072" s="2">
        <f>HYPERLINK("https://www.amazon.com/Klein-Tools-Receptacle-Electrical-Multimeter/dp/B0BNL4NYN9/ref=sr_1_42?keywords=Klein+Tools+RT210+GFCI+Outlet+Tester&amp;qid=1694735460&amp;sr=8-42", "https://www.amazon.com/Klein-Tools-Receptacle-Electrical-Multimeter/dp/B0BNL4NYN9/ref=sr_1_42?keywords=Klein+Tools+RT210+GFCI+Outlet+Tester&amp;qid=1694735460&amp;sr=8-42")</f>
        <v/>
      </c>
      <c r="F8072" t="inlineStr">
        <is>
          <t>B0BNL4NYN9</t>
        </is>
      </c>
      <c r="G8072">
        <f>_xludf.IMAGE("https://edmondsonsupply.com/cdn/shop/products/rt210.jpg?v=1587146495")</f>
        <v/>
      </c>
      <c r="H8072">
        <f>_xludf.IMAGE("https://m.media-amazon.com/images/I/51rZF3lboNL._AC_UL320_.jpg")</f>
        <v/>
      </c>
      <c r="K8072" t="inlineStr">
        <is>
          <t>12.97</t>
        </is>
      </c>
      <c r="L8072" t="n">
        <v>55.97</v>
      </c>
      <c r="M8072" s="1" t="inlineStr">
        <is>
          <t>331.53%</t>
        </is>
      </c>
      <c r="N8072" s="1" t="n"/>
      <c r="O8072" t="n">
        <v>2.9</v>
      </c>
      <c r="P8072" t="n">
        <v>2</v>
      </c>
      <c r="R8072" t="inlineStr">
        <is>
          <t>InStock</t>
        </is>
      </c>
      <c r="S8072" t="inlineStr">
        <is>
          <t>17.12</t>
        </is>
      </c>
      <c r="T8072" t="inlineStr">
        <is>
          <t>3711963988068</t>
        </is>
      </c>
    </row>
    <row r="8073" ht="87" customHeight="1">
      <c r="A8073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73" s="2">
        <f>HYPERLINK("https://edmondsonsupply.com/products/klein-tools-rt210-gfci-receptacle-tester", "https://edmondsonsupply.com/products/klein-tools-rt210-gfci-receptacle-tester")</f>
        <v/>
      </c>
      <c r="C8073" t="inlineStr">
        <is>
          <t>Klein Tools RT210 GFCI Outlet Tester</t>
        </is>
      </c>
      <c r="D8073" t="inlineStr">
        <is>
          <t>Klein Tools ET140 Pinless Moisture Meter &amp; RT210 Outlet Tester, Receptacle Tester for GFCI/Standard North American AC Electrical Outlets, Detects Common Wiring Problems</t>
        </is>
      </c>
      <c r="E8073" s="2">
        <f>HYPERLINK("https://www.amazon.com/Klein-Tools-Moisture-Receptacle-Electrical/dp/B08KGGZJL6/ref=sr_1_40?keywords=Klein+Tools+RT210+GFCI+Outlet+Tester&amp;qid=1694735460&amp;sr=8-40", "https://www.amazon.com/Klein-Tools-Moisture-Receptacle-Electrical/dp/B08KGGZJL6/ref=sr_1_40?keywords=Klein+Tools+RT210+GFCI+Outlet+Tester&amp;qid=1694735460&amp;sr=8-40")</f>
        <v/>
      </c>
      <c r="F8073" t="inlineStr">
        <is>
          <t>B08KGGZJL6</t>
        </is>
      </c>
      <c r="G8073">
        <f>_xlfn.IMAGE("https://edmondsonsupply.com/cdn/shop/products/rt210.jpg?v=1587146495")</f>
        <v/>
      </c>
      <c r="H8073">
        <f>_xlfn.IMAGE("https://m.media-amazon.com/images/I/41wEwYPhT+L._AC_UL320_.jpg")</f>
        <v/>
      </c>
      <c r="K8073" t="inlineStr">
        <is>
          <t>12.97</t>
        </is>
      </c>
      <c r="L8073" t="n">
        <v>54.94</v>
      </c>
      <c r="M8073" s="1" t="inlineStr">
        <is>
          <t>323.59%</t>
        </is>
      </c>
      <c r="N8073" s="7" t="n"/>
      <c r="O8073" t="n">
        <v>5</v>
      </c>
      <c r="P8073" t="n">
        <v>3</v>
      </c>
      <c r="R8073" t="inlineStr">
        <is>
          <t>InStock</t>
        </is>
      </c>
      <c r="S8073" t="inlineStr">
        <is>
          <t>17.12</t>
        </is>
      </c>
      <c r="T8073" t="inlineStr">
        <is>
          <t>3711963988068</t>
        </is>
      </c>
    </row>
    <row r="8074" ht="87" customHeight="1">
      <c r="A8074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074" s="2">
        <f>HYPERLINK("https://edmondsonsupply.com/products/klein-tools-69401-multimeter-carrying-case", "https://edmondsonsupply.com/products/klein-tools-69401-multimeter-carrying-case")</f>
        <v/>
      </c>
      <c r="C8074" t="inlineStr">
        <is>
          <t>Klein Tools 69401 Multimeter Carrying Case</t>
        </is>
      </c>
      <c r="D8074" t="inlineStr">
        <is>
          <t>Klein Tools 80016 Circuit Breaker Finder Tool Kit with Accessories, 2-Piece Set, Includes Cat. No. ET310 and Cat. No. 69411 &amp; 69401 Multimeter Carrying Case</t>
        </is>
      </c>
      <c r="E8074" s="2">
        <f>HYPERLINK("https://www.amazon.com/Klein-Tools-Accessories-Multimeter-Carrying/dp/B09P843VP6/ref=sr_1_18?keywords=Klein+Tools+69401+Multimeter+Carrying+Case&amp;qid=1694735435&amp;sr=8-18", "https://www.amazon.com/Klein-Tools-Accessories-Multimeter-Carrying/dp/B09P843VP6/ref=sr_1_18?keywords=Klein+Tools+69401+Multimeter+Carrying+Case&amp;qid=1694735435&amp;sr=8-18")</f>
        <v/>
      </c>
      <c r="F8074" t="inlineStr">
        <is>
          <t>B09P843VP6</t>
        </is>
      </c>
      <c r="G8074">
        <f>_xlfn.IMAGE("https://edmondsonsupply.com/cdn/shop/products/69401.jpg?v=1587151194")</f>
        <v/>
      </c>
      <c r="H8074">
        <f>_xlfn.IMAGE("https://m.media-amazon.com/images/I/61YFC2fB77L._AC_UL320_.jpg")</f>
        <v/>
      </c>
      <c r="K8074" t="inlineStr">
        <is>
          <t>16.97</t>
        </is>
      </c>
      <c r="L8074" t="n">
        <v>70.98999999999999</v>
      </c>
      <c r="M8074" s="1" t="inlineStr">
        <is>
          <t>318.33%</t>
        </is>
      </c>
      <c r="N8074" s="7" t="n"/>
      <c r="O8074" t="n">
        <v>4.7</v>
      </c>
      <c r="P8074" t="n">
        <v>499</v>
      </c>
      <c r="R8074" t="inlineStr">
        <is>
          <t>InStock</t>
        </is>
      </c>
      <c r="S8074" t="inlineStr">
        <is>
          <t>23.84</t>
        </is>
      </c>
      <c r="T8074" t="inlineStr">
        <is>
          <t>4348577710180</t>
        </is>
      </c>
    </row>
    <row r="8075" ht="87" customHeight="1">
      <c r="A8075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75" s="2">
        <f>HYPERLINK("https://edmondsonsupply.com/products/klein-tools-63050-high-leverage-cable-cutter", "https://edmondsonsupply.com/products/klein-tools-63050-high-leverage-cable-cutter")</f>
        <v/>
      </c>
      <c r="C8075" t="inlineStr">
        <is>
          <t>Klein Tools 63050 Cable Cutter</t>
        </is>
      </c>
      <c r="D8075" t="inlineStr">
        <is>
          <t>Klein Tools 63041 Standard Cable Cutter, 25-Inch</t>
        </is>
      </c>
      <c r="E8075" s="2">
        <f>HYPERLINK("https://www.amazon.com/Standard-25-Inch-Klein-Tools-63041/dp/B0002RI79M/ref=sr_1_11?keywords=Klein+Tools+63050+Cable+Cutter&amp;qid=1694735444&amp;sr=8-11", "https://www.amazon.com/Standard-25-Inch-Klein-Tools-63041/dp/B0002RI79M/ref=sr_1_11?keywords=Klein+Tools+63050+Cable+Cutter&amp;qid=1694735444&amp;sr=8-11")</f>
        <v/>
      </c>
      <c r="F8075" t="inlineStr">
        <is>
          <t>B0002RI79M</t>
        </is>
      </c>
      <c r="G8075">
        <f>_xlfn.IMAGE("https://edmondsonsupply.com/cdn/shop/products/63050.jpg?v=1587143239")</f>
        <v/>
      </c>
      <c r="H8075">
        <f>_xlfn.IMAGE("https://m.media-amazon.com/images/I/51sbYptn6lL._AC_UL320_.jpg")</f>
        <v/>
      </c>
      <c r="K8075" t="inlineStr">
        <is>
          <t>32.99</t>
        </is>
      </c>
      <c r="L8075" t="n">
        <v>136.53</v>
      </c>
      <c r="M8075" s="1" t="inlineStr">
        <is>
          <t>313.85%</t>
        </is>
      </c>
      <c r="N8075" s="7" t="n"/>
      <c r="O8075" t="n">
        <v>4.8</v>
      </c>
      <c r="P8075" t="n">
        <v>109</v>
      </c>
      <c r="R8075" t="inlineStr">
        <is>
          <t>InStock</t>
        </is>
      </c>
      <c r="S8075" t="inlineStr">
        <is>
          <t>47.96</t>
        </is>
      </c>
      <c r="T8075" t="inlineStr">
        <is>
          <t>4289689124964</t>
        </is>
      </c>
    </row>
    <row r="8076" ht="87" customHeight="1">
      <c r="A8076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076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076" t="inlineStr">
        <is>
          <t>Klein Tools JTH6M25 2.5 mm Hex Key with Journeyman T-Handle, 6-Inch</t>
        </is>
      </c>
      <c r="D8076" t="inlineStr">
        <is>
          <t>Klein Tools JTH9M8 8 mm Hex Key with Journeyman T-Handle, 9-Inch</t>
        </is>
      </c>
      <c r="E8076" s="2">
        <f>HYPERLINK("https://www.amazon.com/Journeyman-T-Handle-Klein-Tools-JTH9M8/dp/B005G3HJSC/ref=sr_1_17?keywords=Klein+Tools+JTH6M25+2.5+mm+Hex+Key+with+Journeyman+T-Handle%2C+6-Inch&amp;qid=1694735465&amp;sr=8-17", "https://www.amazon.com/Journeyman-T-Handle-Klein-Tools-JTH9M8/dp/B005G3HJSC/ref=sr_1_17?keywords=Klein+Tools+JTH6M25+2.5+mm+Hex+Key+with+Journeyman+T-Handle%2C+6-Inch&amp;qid=1694735465&amp;sr=8-17")</f>
        <v/>
      </c>
      <c r="F8076" t="inlineStr">
        <is>
          <t>B005G3HJSC</t>
        </is>
      </c>
      <c r="G8076">
        <f>_xlfn.IMAGE("https://edmondsonsupply.com/cdn/shop/products/jth6m8_418cc1b7-11e8-4105-a13a-5501c6e11940.jpg?v=1587148486")</f>
        <v/>
      </c>
      <c r="H8076">
        <f>_xlfn.IMAGE("https://m.media-amazon.com/images/I/51+1x0vz9XL._AC_UL320_.jpg")</f>
        <v/>
      </c>
      <c r="K8076" t="inlineStr">
        <is>
          <t>3.99</t>
        </is>
      </c>
      <c r="L8076" t="n">
        <v>16.27</v>
      </c>
      <c r="M8076" s="1" t="inlineStr">
        <is>
          <t>307.77%</t>
        </is>
      </c>
      <c r="N8076" s="7" t="n"/>
      <c r="O8076" t="n">
        <v>5</v>
      </c>
      <c r="P8076" t="n">
        <v>4</v>
      </c>
      <c r="R8076" t="inlineStr">
        <is>
          <t>InStock</t>
        </is>
      </c>
      <c r="S8076" t="inlineStr">
        <is>
          <t>5.76</t>
        </is>
      </c>
      <c r="T8076" t="inlineStr">
        <is>
          <t>3694858567780</t>
        </is>
      </c>
    </row>
    <row r="8077" ht="87" customHeight="1">
      <c r="A8077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77" s="2">
        <f>HYPERLINK("https://edmondsonsupply.com/products/klein-tools-69411-circuit-breaker-finder-accessory-kit", "https://edmondsonsupply.com/products/klein-tools-69411-circuit-breaker-finder-accessory-kit")</f>
        <v/>
      </c>
      <c r="C8077" t="inlineStr">
        <is>
          <t>Klein Tools 69411 Circuit Breaker Finder Accessory Kit</t>
        </is>
      </c>
      <c r="D8077" t="inlineStr">
        <is>
          <t>Klein Tools 80064 AC Circuit Breaker Kit, 3-Piece &amp; 69411 Circuit Breaker Finder Accessory Kit, Circuit Breaker Leads, Circuit Breaker Adapters</t>
        </is>
      </c>
      <c r="E8077" s="2">
        <f>HYPERLINK("https://www.amazon.com/Klein-Tools-Circuit-Accessory-Adapters/dp/B0BS31CKRD/ref=sr_1_10?keywords=Klein+Tools+69411+Circuit+Breaker+Finder+Accessory+Kit&amp;qid=1694735452&amp;sr=8-10", "https://www.amazon.com/Klein-Tools-Circuit-Accessory-Adapters/dp/B0BS31CKRD/ref=sr_1_10?keywords=Klein+Tools+69411+Circuit+Breaker+Finder+Accessory+Kit&amp;qid=1694735452&amp;sr=8-10")</f>
        <v/>
      </c>
      <c r="F8077" t="inlineStr">
        <is>
          <t>B0BS31CKRD</t>
        </is>
      </c>
      <c r="G8077">
        <f>_xlfn.IMAGE("https://edmondsonsupply.com/cdn/shop/products/69411.jpg?v=1587143386")</f>
        <v/>
      </c>
      <c r="H8077">
        <f>_xlfn.IMAGE("https://m.media-amazon.com/images/I/51vH+bPUxBL._AC_UL320_.jpg")</f>
        <v/>
      </c>
      <c r="K8077" t="inlineStr">
        <is>
          <t>19.97</t>
        </is>
      </c>
      <c r="L8077" t="n">
        <v>79.95999999999999</v>
      </c>
      <c r="M8077" s="1" t="inlineStr">
        <is>
          <t>300.40%</t>
        </is>
      </c>
      <c r="N8077" s="7" t="n"/>
      <c r="O8077" t="n">
        <v>5</v>
      </c>
      <c r="P8077" t="n">
        <v>6</v>
      </c>
      <c r="R8077" t="inlineStr">
        <is>
          <t>InStock</t>
        </is>
      </c>
      <c r="S8077" t="inlineStr">
        <is>
          <t>27.96</t>
        </is>
      </c>
      <c r="T8077" t="inlineStr">
        <is>
          <t>4166896255076</t>
        </is>
      </c>
    </row>
    <row r="8078" ht="87" customHeight="1">
      <c r="A8078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078" s="2">
        <f>HYPERLINK("https://edmondsonsupply.com/products/klein-tools-69401-multimeter-carrying-case", "https://edmondsonsupply.com/products/klein-tools-69401-multimeter-carrying-case")</f>
        <v/>
      </c>
      <c r="C8078" t="inlineStr">
        <is>
          <t>Klein Tools 69401 Multimeter Carrying Case</t>
        </is>
      </c>
      <c r="D8078" t="inlineStr">
        <is>
          <t>Klein Tools Digital Circuit Breaker Finder with GFCI Outlet Tester ET310 &amp; Tools 69401 Multimeter Carrying Case</t>
        </is>
      </c>
      <c r="E8078" s="2">
        <f>HYPERLINK("https://www.amazon.com/Klein-Tools-Digital-Multimeter-Carrying/dp/B08MG1HXLJ/ref=sr_1_39?keywords=Klein+Tools+69401+Multimeter+Carrying+Case&amp;qid=1694735435&amp;sr=8-39", "https://www.amazon.com/Klein-Tools-Digital-Multimeter-Carrying/dp/B08MG1HXLJ/ref=sr_1_39?keywords=Klein+Tools+69401+Multimeter+Carrying+Case&amp;qid=1694735435&amp;sr=8-39")</f>
        <v/>
      </c>
      <c r="F8078" t="inlineStr">
        <is>
          <t>B08MG1HXLJ</t>
        </is>
      </c>
      <c r="G8078">
        <f>_xlfn.IMAGE("https://edmondsonsupply.com/cdn/shop/products/69401.jpg?v=1587151194")</f>
        <v/>
      </c>
      <c r="H8078">
        <f>_xlfn.IMAGE("https://m.media-amazon.com/images/I/61ZZ2BSEYbL._AC_UL320_.jpg")</f>
        <v/>
      </c>
      <c r="K8078" t="inlineStr">
        <is>
          <t>16.97</t>
        </is>
      </c>
      <c r="L8078" t="n">
        <v>65.97</v>
      </c>
      <c r="M8078" s="1" t="inlineStr">
        <is>
          <t>288.74%</t>
        </is>
      </c>
      <c r="N8078" s="7" t="n"/>
      <c r="O8078" t="n">
        <v>4.8</v>
      </c>
      <c r="P8078" t="n">
        <v>137</v>
      </c>
      <c r="R8078" t="inlineStr">
        <is>
          <t>InStock</t>
        </is>
      </c>
      <c r="S8078" t="inlineStr">
        <is>
          <t>23.84</t>
        </is>
      </c>
      <c r="T8078" t="inlineStr">
        <is>
          <t>4348577710180</t>
        </is>
      </c>
    </row>
    <row r="8079" ht="87" customHeight="1">
      <c r="A8079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79" s="2">
        <f>HYPERLINK("https://edmondsonsupply.com/products/klein-tools-rt210-gfci-receptacle-tester", "https://edmondsonsupply.com/products/klein-tools-rt210-gfci-receptacle-tester")</f>
        <v/>
      </c>
      <c r="C8079" t="inlineStr">
        <is>
          <t>Klein Tools RT210 GFCI Outlet Tester</t>
        </is>
      </c>
      <c r="D8079" t="inlineStr">
        <is>
          <t>Klein Tools ET310 AC Circuit Breaker Finder, Electric Tester With Integrated GFCI Outlet Tester</t>
        </is>
      </c>
      <c r="E8079" s="2">
        <f>HYPERLINK("https://www.amazon.com/Klein-Tools-ET310-Circuit-Integrated/dp/B07QNMCVWP/ref=sr_1_17?keywords=Klein+Tools+RT210+GFCI+Outlet+Tester&amp;qid=1694735460&amp;sr=8-17", "https://www.amazon.com/Klein-Tools-ET310-Circuit-Integrated/dp/B07QNMCVWP/ref=sr_1_17?keywords=Klein+Tools+RT210+GFCI+Outlet+Tester&amp;qid=1694735460&amp;sr=8-17")</f>
        <v/>
      </c>
      <c r="F8079" t="inlineStr">
        <is>
          <t>B07QNMCVWP</t>
        </is>
      </c>
      <c r="G8079">
        <f>_xlfn.IMAGE("https://edmondsonsupply.com/cdn/shop/products/rt210.jpg?v=1587146495")</f>
        <v/>
      </c>
      <c r="H8079">
        <f>_xlfn.IMAGE("https://m.media-amazon.com/images/I/61pw8oA02AL._AC_UL320_.jpg")</f>
        <v/>
      </c>
      <c r="K8079" t="inlineStr">
        <is>
          <t>12.97</t>
        </is>
      </c>
      <c r="L8079" t="n">
        <v>49.97</v>
      </c>
      <c r="M8079" s="1" t="inlineStr">
        <is>
          <t>285.27%</t>
        </is>
      </c>
      <c r="N8079" s="7" t="n"/>
      <c r="O8079" t="n">
        <v>4.7</v>
      </c>
      <c r="P8079" t="n">
        <v>19527</v>
      </c>
      <c r="R8079" t="inlineStr">
        <is>
          <t>InStock</t>
        </is>
      </c>
      <c r="S8079" t="inlineStr">
        <is>
          <t>17.12</t>
        </is>
      </c>
      <c r="T8079" t="inlineStr">
        <is>
          <t>3711963988068</t>
        </is>
      </c>
    </row>
    <row r="8080" ht="87" customHeight="1">
      <c r="A8080" s="2">
        <f>HYPERLINK("https://edmondsonsupply.com/collections/electricians-tools/products/klein-tools-vdv226-107-compact-ratcheting-modular-crimper", "https://edmondsonsupply.com/collections/electricians-tools/products/klein-tools-vdv226-107-compact-ratcheting-modular-crimper")</f>
        <v/>
      </c>
      <c r="B8080" s="2">
        <f>HYPERLINK("https://edmondsonsupply.com/products/klein-tools-vdv226-107-compact-ratcheting-modular-crimper", "https://edmondsonsupply.com/products/klein-tools-vdv226-107-compact-ratcheting-modular-crimper")</f>
        <v/>
      </c>
      <c r="C8080" t="inlineStr">
        <is>
          <t>Klein Tools VDV226-107 Ratcheting Data Cable Crimper / Stripper / Cutter, Compact</t>
        </is>
      </c>
      <c r="D8080" t="inlineStr">
        <is>
          <t>Klein Tools VDV501-851 Cable Tester Kit &amp; VDV226-110 Ratcheting Modular Cable Crimper/Wire Stripper/Wire Cutter, for RJ11/RJ12 Standard and RJ45 Pass-Thru Connectors</t>
        </is>
      </c>
      <c r="E8080" s="2">
        <f>HYPERLINK("https://www.amazon.com/Klein-Tools-VDV501-851-VDV226-110-Ratcheting/dp/B09C279SYP/ref=sr_1_7?keywords=Klein+Tools+VDV226-107+Ratcheting+Data+Cable+Crimper+%2F+Stripper+%2F+Cutter%2C+Compact&amp;qid=1694735446&amp;sr=8-7", "https://www.amazon.com/Klein-Tools-VDV501-851-VDV226-110-Ratcheting/dp/B09C279SYP/ref=sr_1_7?keywords=Klein+Tools+VDV226-107+Ratcheting+Data+Cable+Crimper+%2F+Stripper+%2F+Cutter%2C+Compact&amp;qid=1694735446&amp;sr=8-7")</f>
        <v/>
      </c>
      <c r="F8080" t="inlineStr">
        <is>
          <t>B09C279SYP</t>
        </is>
      </c>
      <c r="G8080">
        <f>_xlfn.IMAGE("https://edmondsonsupply.com/cdn/shop/products/vdv226-107.jpg?v=1587150662")</f>
        <v/>
      </c>
      <c r="H8080">
        <f>_xlfn.IMAGE("https://m.media-amazon.com/images/I/51nN+WsDROL._AC_UL320_.jpg")</f>
        <v/>
      </c>
      <c r="K8080" t="inlineStr">
        <is>
          <t>34.99</t>
        </is>
      </c>
      <c r="L8080" t="n">
        <v>132.86</v>
      </c>
      <c r="M8080" s="1" t="inlineStr">
        <is>
          <t>279.71%</t>
        </is>
      </c>
      <c r="N8080" s="7" t="n"/>
      <c r="O8080" t="n">
        <v>4.8</v>
      </c>
      <c r="P8080" t="n">
        <v>74</v>
      </c>
      <c r="R8080" t="inlineStr">
        <is>
          <t>InStock</t>
        </is>
      </c>
      <c r="S8080" t="inlineStr">
        <is>
          <t>51.5</t>
        </is>
      </c>
      <c r="T8080" t="inlineStr">
        <is>
          <t>4172359630948</t>
        </is>
      </c>
    </row>
    <row r="8081" ht="87" customHeight="1">
      <c r="A8081" s="2">
        <f>HYPERLINK("https://edmondsonsupply.com/collections/electricians-tools/products/klein-tools-jth6t15-t15-torx%C2%AE-hex-key-with-journeyman-t-handle-6-inch", "https://edmondsonsupply.com/collections/electricians-tools/products/klein-tools-jth6t15-t15-torx%C2%AE-hex-key-with-journeyman-t-handle-6-inch")</f>
        <v/>
      </c>
      <c r="B8081" s="2">
        <f>HYPERLINK("https://edmondsonsupply.com/products/klein-tools-jth6t15-t15-torx%c2%ae-hex-key-with-journeyman-t-handle-6-inch", "https://edmondsonsupply.com/products/klein-tools-jth6t15-t15-torx%c2%ae-hex-key-with-journeyman-t-handle-6-inch")</f>
        <v/>
      </c>
      <c r="C8081" t="inlineStr">
        <is>
          <t>Klein Tools JTH6T15 T15 Torx® Hex Key with Journeyman T-Handle, 6-Inch</t>
        </is>
      </c>
      <c r="D8081" t="inlineStr">
        <is>
          <t>Klein Tools JTH6E17BE 1/2-Inch Ball End Hex Key with Journeyman T-Handle, 6-Inch</t>
        </is>
      </c>
      <c r="E8081" s="2">
        <f>HYPERLINK("https://www.amazon.com/Journeyman-T-Handle-Klein-Tools-JTH6E17BE/dp/B004QW58Q4/ref=sr_1_3?keywords=Klein+Tools+JTH6T15+T15+Torx%C2%AE+Hex+Key+with+Journeyman+T-Handle%2C+6-Inch&amp;qid=1694735438&amp;sr=8-3", "https://www.amazon.com/Journeyman-T-Handle-Klein-Tools-JTH6E17BE/dp/B004QW58Q4/ref=sr_1_3?keywords=Klein+Tools+JTH6T15+T15+Torx%C2%AE+Hex+Key+with+Journeyman+T-Handle%2C+6-Inch&amp;qid=1694735438&amp;sr=8-3")</f>
        <v/>
      </c>
      <c r="F8081" t="inlineStr">
        <is>
          <t>B004QW58Q4</t>
        </is>
      </c>
      <c r="G8081">
        <f>_xlfn.IMAGE("https://edmondsonsupply.com/cdn/shop/products/jth6t40.jpg?v=1587144821")</f>
        <v/>
      </c>
      <c r="H8081">
        <f>_xlfn.IMAGE("https://m.media-amazon.com/images/I/51f9vBFVXgL._AC_UL320_.jpg")</f>
        <v/>
      </c>
      <c r="K8081" t="inlineStr">
        <is>
          <t>5.99</t>
        </is>
      </c>
      <c r="L8081" t="n">
        <v>22.72</v>
      </c>
      <c r="M8081" s="1" t="inlineStr">
        <is>
          <t>279.30%</t>
        </is>
      </c>
      <c r="N8081" s="7" t="n"/>
      <c r="O8081" t="n">
        <v>4.8</v>
      </c>
      <c r="P8081" t="n">
        <v>454</v>
      </c>
      <c r="R8081" t="inlineStr">
        <is>
          <t>InStock</t>
        </is>
      </c>
      <c r="S8081" t="inlineStr">
        <is>
          <t>9.06</t>
        </is>
      </c>
      <c r="T8081" t="inlineStr">
        <is>
          <t>4379253964900</t>
        </is>
      </c>
    </row>
    <row r="8082" ht="87" customHeight="1">
      <c r="A8082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082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082" t="inlineStr">
        <is>
          <t>Klein Tools 11055 Klein Kurve® Solid and Stranded Copper Wire Stripper &amp; Cutter</t>
        </is>
      </c>
      <c r="D8082" t="inlineStr">
        <is>
          <t>Automatic Wire Stripper 10-24 AWG &amp; Klein Tools 11055 Wire Cutter and Wire Stripper, Stranded Wire Cutter, Solid Wire Cutter, Cuts Copper Wire</t>
        </is>
      </c>
      <c r="E8082" s="2">
        <f>HYPERLINK("https://www.amazon.com/Automatic-Stripper-Cutter-Stranded-Copper/dp/B0BM3Q6G4M/ref=sr_1_5?keywords=Klein+Tools+11055+Klein+Kurve%C2%AE+Solid+and+Stranded+Copper+Wire+Stripper+%26+Cutter&amp;qid=1694735472&amp;sr=8-5", "https://www.amazon.com/Automatic-Stripper-Cutter-Stranded-Copper/dp/B0BM3Q6G4M/ref=sr_1_5?keywords=Klein+Tools+11055+Klein+Kurve%C2%AE+Solid+and+Stranded+Copper+Wire+Stripper+%26+Cutter&amp;qid=1694735472&amp;sr=8-5")</f>
        <v/>
      </c>
      <c r="F8082" t="inlineStr">
        <is>
          <t>B0BM3Q6G4M</t>
        </is>
      </c>
      <c r="G8082">
        <f>_xlfn.IMAGE("https://edmondsonsupply.com/cdn/shop/products/11055ep.jpg?v=1670949748")</f>
        <v/>
      </c>
      <c r="H8082">
        <f>_xlfn.IMAGE("https://m.media-amazon.com/images/I/41Ce0j7w0gL._AC_UL320_.jpg")</f>
        <v/>
      </c>
      <c r="K8082" t="inlineStr">
        <is>
          <t>19.99</t>
        </is>
      </c>
      <c r="L8082" t="n">
        <v>75</v>
      </c>
      <c r="M8082" s="1" t="inlineStr">
        <is>
          <t>275.19%</t>
        </is>
      </c>
      <c r="N8082" s="7" t="n"/>
      <c r="O8082" t="n">
        <v>4.6</v>
      </c>
      <c r="P8082" t="n">
        <v>1240</v>
      </c>
      <c r="R8082" t="inlineStr">
        <is>
          <t>InStock</t>
        </is>
      </c>
      <c r="S8082" t="inlineStr">
        <is>
          <t>29.82</t>
        </is>
      </c>
      <c r="T8082" t="inlineStr">
        <is>
          <t>1780558135396</t>
        </is>
      </c>
    </row>
    <row r="8083" ht="87" customHeight="1">
      <c r="A8083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083" s="2">
        <f>HYPERLINK("https://edmondsonsupply.com/products/klein-tools-69401-multimeter-carrying-case", "https://edmondsonsupply.com/products/klein-tools-69401-multimeter-carrying-case")</f>
        <v/>
      </c>
      <c r="C8083" t="inlineStr">
        <is>
          <t>Klein Tools 69401 Multimeter Carrying Case</t>
        </is>
      </c>
      <c r="D8083" t="inlineStr">
        <is>
          <t>Klein Tools MM400 Multimeter, Digital Auto Ranging, AC/DC Voltage, Current, Capacitance, Frequency, Duty-Cycle, Diode, Continuity, Temp 600V &amp; 69401 Multimeter Carrying Case</t>
        </is>
      </c>
      <c r="E8083" s="2">
        <f>HYPERLINK("https://www.amazon.com/Klein-Tools-Multimeter-Auto-Ranging-Carrying/dp/B095RKHS31/ref=sr_1_3?keywords=Klein+Tools+69401+Multimeter+Carrying+Case&amp;qid=1694735435&amp;sr=8-3", "https://www.amazon.com/Klein-Tools-Multimeter-Auto-Ranging-Carrying/dp/B095RKHS31/ref=sr_1_3?keywords=Klein+Tools+69401+Multimeter+Carrying+Case&amp;qid=1694735435&amp;sr=8-3")</f>
        <v/>
      </c>
      <c r="F8083" t="inlineStr">
        <is>
          <t>B095RKHS31</t>
        </is>
      </c>
      <c r="G8083">
        <f>_xlfn.IMAGE("https://edmondsonsupply.com/cdn/shop/products/69401.jpg?v=1587151194")</f>
        <v/>
      </c>
      <c r="H8083">
        <f>_xlfn.IMAGE("https://m.media-amazon.com/images/I/610Vdaj8dmS._AC_UL320_.jpg")</f>
        <v/>
      </c>
      <c r="K8083" t="inlineStr">
        <is>
          <t>16.97</t>
        </is>
      </c>
      <c r="L8083" t="n">
        <v>62.9</v>
      </c>
      <c r="M8083" s="1" t="inlineStr">
        <is>
          <t>270.65%</t>
        </is>
      </c>
      <c r="N8083" s="7" t="n"/>
      <c r="O8083" t="n">
        <v>4.8</v>
      </c>
      <c r="P8083" t="n">
        <v>37</v>
      </c>
      <c r="R8083" t="inlineStr">
        <is>
          <t>InStock</t>
        </is>
      </c>
      <c r="S8083" t="inlineStr">
        <is>
          <t>23.84</t>
        </is>
      </c>
      <c r="T8083" t="inlineStr">
        <is>
          <t>4348577710180</t>
        </is>
      </c>
    </row>
    <row r="8084" ht="87" customHeight="1">
      <c r="A8084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084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084" t="inlineStr">
        <is>
          <t>Klein Tools 630-9/16 9/16-Inch Hollow Shaft Nut Driver 4-Inch Shaft</t>
        </is>
      </c>
      <c r="D8084" t="inlineStr">
        <is>
          <t>Klein Tools 633 Tool Set, Nut Driver Set with Driver Sizes 1/4, 5/16, 3/8, 9/16-Inch on 3-Inch Full Hollow Shaft, w/Cushion Grips, 4-Piece</t>
        </is>
      </c>
      <c r="E8084" s="2">
        <f>HYPERLINK("https://www.amazon.com/Cushion-4-Piece-Klein-Tools-633/dp/B00508QS5I/ref=sr_1_8?keywords=Klein+Tools+630-9%2F16+9%2F16-Inch+Hollow+Shaft+Nut+Driver+4-Inch+Shaft&amp;qid=1694735442&amp;sr=8-8", "https://www.amazon.com/Cushion-4-Piece-Klein-Tools-633/dp/B00508QS5I/ref=sr_1_8?keywords=Klein+Tools+630-9%2F16+9%2F16-Inch+Hollow+Shaft+Nut+Driver+4-Inch+Shaft&amp;qid=1694735442&amp;sr=8-8")</f>
        <v/>
      </c>
      <c r="F8084" t="inlineStr">
        <is>
          <t>B00508QS5I</t>
        </is>
      </c>
      <c r="G8084">
        <f>_xlfn.IMAGE("https://edmondsonsupply.com/cdn/shop/products/630-1-2_f4e6e615-6377-4eae-87c2-03b0329a1140.jpg?v=1587145137")</f>
        <v/>
      </c>
      <c r="H8084">
        <f>_xlfn.IMAGE("https://m.media-amazon.com/images/I/61yug3exhUS._AC_UL320_.jpg")</f>
        <v/>
      </c>
      <c r="K8084" t="inlineStr">
        <is>
          <t>11.99</t>
        </is>
      </c>
      <c r="L8084" t="n">
        <v>44.05</v>
      </c>
      <c r="M8084" s="1" t="inlineStr">
        <is>
          <t>267.39%</t>
        </is>
      </c>
      <c r="N8084" s="7" t="n"/>
      <c r="O8084" t="n">
        <v>4.8</v>
      </c>
      <c r="P8084" t="n">
        <v>734</v>
      </c>
      <c r="R8084" t="inlineStr">
        <is>
          <t>InStock</t>
        </is>
      </c>
      <c r="S8084" t="inlineStr">
        <is>
          <t>18.14</t>
        </is>
      </c>
      <c r="T8084" t="inlineStr">
        <is>
          <t>4259221897316</t>
        </is>
      </c>
    </row>
    <row r="8085" ht="87" customHeight="1">
      <c r="A8085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085" s="2">
        <f>HYPERLINK("https://edmondsonsupply.com/products/klein-tools-63050-high-leverage-cable-cutter", "https://edmondsonsupply.com/products/klein-tools-63050-high-leverage-cable-cutter")</f>
        <v/>
      </c>
      <c r="C8085" t="inlineStr">
        <is>
          <t>Klein Tools 63050 Cable Cutter</t>
        </is>
      </c>
      <c r="D8085" t="inlineStr">
        <is>
          <t>Klein Tools 63081 Replacement Cable Cutter Head for Cat. No. 63041</t>
        </is>
      </c>
      <c r="E8085" s="2">
        <f>HYPERLINK("https://www.amazon.com/Replacement-Cutter-Klein-Tools-63081/dp/B00093DZPA/ref=sr_1_38?keywords=Klein+Tools+63050+Cable+Cutter&amp;qid=1694735444&amp;sr=8-38", "https://www.amazon.com/Replacement-Cutter-Klein-Tools-63081/dp/B00093DZPA/ref=sr_1_38?keywords=Klein+Tools+63050+Cable+Cutter&amp;qid=1694735444&amp;sr=8-38")</f>
        <v/>
      </c>
      <c r="F8085" t="inlineStr">
        <is>
          <t>B00093DZPA</t>
        </is>
      </c>
      <c r="G8085">
        <f>_xlfn.IMAGE("https://edmondsonsupply.com/cdn/shop/products/63050.jpg?v=1587143239")</f>
        <v/>
      </c>
      <c r="H8085">
        <f>_xlfn.IMAGE("https://m.media-amazon.com/images/I/71dI3vDLW4L._AC_UL320_.jpg")</f>
        <v/>
      </c>
      <c r="K8085" t="inlineStr">
        <is>
          <t>32.99</t>
        </is>
      </c>
      <c r="L8085" t="n">
        <v>121.09</v>
      </c>
      <c r="M8085" s="1" t="inlineStr">
        <is>
          <t>267.05%</t>
        </is>
      </c>
      <c r="N8085" s="7" t="n"/>
      <c r="O8085" t="n">
        <v>5</v>
      </c>
      <c r="P8085" t="n">
        <v>3</v>
      </c>
      <c r="R8085" t="inlineStr">
        <is>
          <t>InStock</t>
        </is>
      </c>
      <c r="S8085" t="inlineStr">
        <is>
          <t>47.96</t>
        </is>
      </c>
      <c r="T8085" t="inlineStr">
        <is>
          <t>4289689124964</t>
        </is>
      </c>
    </row>
    <row r="8086" ht="87" customHeight="1">
      <c r="A8086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086" s="2">
        <f>HYPERLINK("https://edmondsonsupply.com/products/klein-tools-et140-pinless-moisture-meter", "https://edmondsonsupply.com/products/klein-tools-et140-pinless-moisture-meter")</f>
        <v/>
      </c>
      <c r="C8086" t="inlineStr">
        <is>
          <t>Klein Tools ET140 Pinless Moisture Meter</t>
        </is>
      </c>
      <c r="D8086" t="inlineStr">
        <is>
          <t>General Tools 4-in-1 Pin/Pinless Combo Moisture Meter &amp; Audible Alarm &amp; Klein Tools ET140 Pinless Moisture Meter for Non-Destructive Moisture Detection</t>
        </is>
      </c>
      <c r="E8086" s="2">
        <f>HYPERLINK("https://www.amazon.com/General-Tools-Moisture-Non-Destructive-Detection/dp/B0BC86HMX7/ref=sr_1_15?keywords=Klein+Tools+ET140+Pinless+Moisture+Meter&amp;qid=1694735470&amp;sr=8-15", "https://www.amazon.com/General-Tools-Moisture-Non-Destructive-Detection/dp/B0BC86HMX7/ref=sr_1_15?keywords=Klein+Tools+ET140+Pinless+Moisture+Meter&amp;qid=1694735470&amp;sr=8-15")</f>
        <v/>
      </c>
      <c r="F8086" t="inlineStr">
        <is>
          <t>B0BC86HMX7</t>
        </is>
      </c>
      <c r="G8086">
        <f>_xlfn.IMAGE("https://edmondsonsupply.com/cdn/shop/products/et140_beauty_r.jpg?v=1587143172")</f>
        <v/>
      </c>
      <c r="H8086">
        <f>_xlfn.IMAGE("https://m.media-amazon.com/images/I/51k0N-UKnJL._AC_UL320_.jpg")</f>
        <v/>
      </c>
      <c r="K8086" t="inlineStr">
        <is>
          <t>41.97</t>
        </is>
      </c>
      <c r="L8086" t="n">
        <v>153.96</v>
      </c>
      <c r="M8086" s="1" t="inlineStr">
        <is>
          <t>266.83%</t>
        </is>
      </c>
      <c r="N8086" s="7" t="n"/>
      <c r="O8086" t="n">
        <v>4.3</v>
      </c>
      <c r="P8086" t="n">
        <v>511</v>
      </c>
      <c r="R8086" t="inlineStr">
        <is>
          <t>InStock</t>
        </is>
      </c>
      <c r="S8086" t="inlineStr">
        <is>
          <t>59.44</t>
        </is>
      </c>
      <c r="T8086" t="inlineStr">
        <is>
          <t>3693529071716</t>
        </is>
      </c>
    </row>
    <row r="8087" ht="87" customHeight="1">
      <c r="A8087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087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087" t="inlineStr">
        <is>
          <t>Klein Tools 11055 Klein Kurve® Solid and Stranded Copper Wire Stripper &amp; Cutter</t>
        </is>
      </c>
      <c r="D8087" t="inlineStr">
        <is>
          <t>Wiha 32092 Slotted And Phillips Insulated Screwdriver Set, 1000 Volt &amp; Klein Tools 11055 Wire Cutter and Wire Stripper, Stranded Wire Cutter, Solid Wire Cutter, Cuts Copper Wire</t>
        </is>
      </c>
      <c r="E8087" s="2">
        <f>HYPERLINK("https://www.amazon.com/Wiha-Phillips-Insulated-Screwdriver-Stripper/dp/B0BD41J29K/ref=sr_1_3?keywords=Klein+Tools+11055+Klein+Kurve%C2%AE+Solid+and+Stranded+Copper+Wire+Stripper+%26+Cutter&amp;qid=1694735472&amp;sr=8-3", "https://www.amazon.com/Wiha-Phillips-Insulated-Screwdriver-Stripper/dp/B0BD41J29K/ref=sr_1_3?keywords=Klein+Tools+11055+Klein+Kurve%C2%AE+Solid+and+Stranded+Copper+Wire+Stripper+%26+Cutter&amp;qid=1694735472&amp;sr=8-3")</f>
        <v/>
      </c>
      <c r="F8087" t="inlineStr">
        <is>
          <t>B0BD41J29K</t>
        </is>
      </c>
      <c r="G8087">
        <f>_xlfn.IMAGE("https://edmondsonsupply.com/cdn/shop/products/11055ep.jpg?v=1670949748")</f>
        <v/>
      </c>
      <c r="H8087">
        <f>_xlfn.IMAGE("https://m.media-amazon.com/images/I/51OuMneQ71L._AC_UL320_.jpg")</f>
        <v/>
      </c>
      <c r="K8087" t="inlineStr">
        <is>
          <t>19.99</t>
        </is>
      </c>
      <c r="L8087" t="n">
        <v>72.78</v>
      </c>
      <c r="M8087" s="1" t="inlineStr">
        <is>
          <t>264.08%</t>
        </is>
      </c>
      <c r="N8087" s="7" t="n"/>
      <c r="O8087" t="n">
        <v>4.9</v>
      </c>
      <c r="P8087" t="n">
        <v>1975</v>
      </c>
      <c r="R8087" t="inlineStr">
        <is>
          <t>InStock</t>
        </is>
      </c>
      <c r="S8087" t="inlineStr">
        <is>
          <t>29.82</t>
        </is>
      </c>
      <c r="T8087" t="inlineStr">
        <is>
          <t>1780558135396</t>
        </is>
      </c>
    </row>
    <row r="8088" ht="87" customHeight="1">
      <c r="A8088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088" s="2">
        <f>HYPERLINK("https://edmondsonsupply.com/products/klein-tools-5139-canvas-zipper-bag", "https://edmondsonsupply.com/products/klein-tools-5139-canvas-zipper-bag")</f>
        <v/>
      </c>
      <c r="C8088" t="inlineStr">
        <is>
          <t>Klein Tools 5139 Zipper Bag, Canvas Tool Pouch 12.5 x 7 x 4.25-Inch</t>
        </is>
      </c>
      <c r="D8088" t="inlineStr">
        <is>
          <t>Klein Tools 5141 Canvas Zipper Bag, Tool Pouch, Tool Bag, 12.5 x 7-Inch, Brown/Black/Gray/Red 4-Pack &amp; 5139 Zipper Bag, Canvas Tool Pouch 12.5 x 7 x 4.25-Inch with Heavy Duty Brass Zipper Close</t>
        </is>
      </c>
      <c r="E8088" s="2">
        <f>HYPERLINK("https://www.amazon.com/Klein-Tools-Canvas-Zipper-4-25-Inch/dp/B09Z91GLFK/ref=sr_1_4?keywords=Klein+Tools+5139+Zipper+Bag%2C+Canvas+Tool+Pouch+12.5+x+7+x+4.25-Inch&amp;qid=1694735450&amp;sr=8-4", "https://www.amazon.com/Klein-Tools-Canvas-Zipper-4-25-Inch/dp/B09Z91GLFK/ref=sr_1_4?keywords=Klein+Tools+5139+Zipper+Bag%2C+Canvas+Tool+Pouch+12.5+x+7+x+4.25-Inch&amp;qid=1694735450&amp;sr=8-4")</f>
        <v/>
      </c>
      <c r="F8088" t="inlineStr">
        <is>
          <t>B09Z91GLFK</t>
        </is>
      </c>
      <c r="G8088">
        <f>_xlfn.IMAGE("https://edmondsonsupply.com/cdn/shop/products/5139.jpg?v=1587150181")</f>
        <v/>
      </c>
      <c r="H8088">
        <f>_xlfn.IMAGE("https://m.media-amazon.com/images/I/51OmVOlxWvL._AC_UL320_.jpg")</f>
        <v/>
      </c>
      <c r="K8088" t="inlineStr">
        <is>
          <t>10.97</t>
        </is>
      </c>
      <c r="L8088" t="n">
        <v>39</v>
      </c>
      <c r="M8088" s="1" t="inlineStr">
        <is>
          <t>255.52%</t>
        </is>
      </c>
      <c r="N8088" s="7" t="n"/>
      <c r="O8088" t="n">
        <v>4.9</v>
      </c>
      <c r="P8088" t="n">
        <v>15</v>
      </c>
      <c r="R8088" t="inlineStr">
        <is>
          <t>InStock</t>
        </is>
      </c>
      <c r="S8088" t="inlineStr">
        <is>
          <t>17.12</t>
        </is>
      </c>
      <c r="T8088" t="inlineStr">
        <is>
          <t>2378629185636</t>
        </is>
      </c>
    </row>
    <row r="8089" ht="87" customHeight="1">
      <c r="A8089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089" s="2">
        <f>HYPERLINK("https://edmondsonsupply.com/products/klein-tools-5139-canvas-zipper-bag", "https://edmondsonsupply.com/products/klein-tools-5139-canvas-zipper-bag")</f>
        <v/>
      </c>
      <c r="C8089" t="inlineStr">
        <is>
          <t>Klein Tools 5139 Zipper Bag, Canvas Tool Pouch 12.5 x 7 x 4.25-Inch</t>
        </is>
      </c>
      <c r="D8089" t="inlineStr">
        <is>
          <t>Klein Tools 5141 Zipper Tool Bag, Canvas Tool Pouch / Utility Bag, Bank Deposit Bag, 12.5 x 7-Inch, Brown/Black/Gray/Red 4-Pack</t>
        </is>
      </c>
      <c r="E8089" s="2">
        <f>HYPERLINK("https://www.amazon.com/Utility-Zipper-12-5-Inch-Klein-Tools/dp/B007V8RXVI/ref=sr_1_10?keywords=Klein+Tools+5139+Zipper+Bag%2C+Canvas+Tool+Pouch+12.5+x+7+x+4.25-Inch&amp;qid=1694735450&amp;sr=8-10", "https://www.amazon.com/Utility-Zipper-12-5-Inch-Klein-Tools/dp/B007V8RXVI/ref=sr_1_10?keywords=Klein+Tools+5139+Zipper+Bag%2C+Canvas+Tool+Pouch+12.5+x+7+x+4.25-Inch&amp;qid=1694735450&amp;sr=8-10")</f>
        <v/>
      </c>
      <c r="F8089" t="inlineStr">
        <is>
          <t>B007V8RXVI</t>
        </is>
      </c>
      <c r="G8089">
        <f>_xlfn.IMAGE("https://edmondsonsupply.com/cdn/shop/products/5139.jpg?v=1587150181")</f>
        <v/>
      </c>
      <c r="H8089">
        <f>_xlfn.IMAGE("https://m.media-amazon.com/images/I/61K2xaMr+oL._AC_UL320_.jpg")</f>
        <v/>
      </c>
      <c r="K8089" t="inlineStr">
        <is>
          <t>10.97</t>
        </is>
      </c>
      <c r="L8089" t="n">
        <v>39</v>
      </c>
      <c r="M8089" s="1" t="inlineStr">
        <is>
          <t>255.52%</t>
        </is>
      </c>
      <c r="N8089" s="7" t="n"/>
      <c r="O8089" t="n">
        <v>4.8</v>
      </c>
      <c r="P8089" t="n">
        <v>4463</v>
      </c>
      <c r="R8089" t="inlineStr">
        <is>
          <t>InStock</t>
        </is>
      </c>
      <c r="S8089" t="inlineStr">
        <is>
          <t>17.12</t>
        </is>
      </c>
      <c r="T8089" t="inlineStr">
        <is>
          <t>2378629185636</t>
        </is>
      </c>
    </row>
    <row r="8090" ht="87" customHeight="1">
      <c r="A8090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90" s="2">
        <f>HYPERLINK("https://edmondsonsupply.com/products/klein-tools-69411-circuit-breaker-finder-accessory-kit", "https://edmondsonsupply.com/products/klein-tools-69411-circuit-breaker-finder-accessory-kit")</f>
        <v/>
      </c>
      <c r="C8090" t="inlineStr">
        <is>
          <t>Klein Tools 69411 Circuit Breaker Finder Accessory Kit</t>
        </is>
      </c>
      <c r="D8090" t="inlineStr">
        <is>
          <t>Klein Tools 80016 Circuit Breaker Finder Tool Kit with Accessories, 2-Piece Set, Includes Cat. No. ET310 and Cat. No. 69411 &amp; 69401 Multimeter Carrying Case</t>
        </is>
      </c>
      <c r="E8090" s="2">
        <f>HYPERLINK("https://www.amazon.com/Klein-Tools-Accessories-Multimeter-Carrying/dp/B09P843VP6/ref=sr_1_5?keywords=Klein+Tools+69411+Circuit+Breaker+Finder+Accessory+Kit&amp;qid=1694735452&amp;sr=8-5", "https://www.amazon.com/Klein-Tools-Accessories-Multimeter-Carrying/dp/B09P843VP6/ref=sr_1_5?keywords=Klein+Tools+69411+Circuit+Breaker+Finder+Accessory+Kit&amp;qid=1694735452&amp;sr=8-5")</f>
        <v/>
      </c>
      <c r="F8090" t="inlineStr">
        <is>
          <t>B09P843VP6</t>
        </is>
      </c>
      <c r="G8090">
        <f>_xlfn.IMAGE("https://edmondsonsupply.com/cdn/shop/products/69411.jpg?v=1587143386")</f>
        <v/>
      </c>
      <c r="H8090">
        <f>_xlfn.IMAGE("https://m.media-amazon.com/images/I/61YFC2fB77L._AC_UL320_.jpg")</f>
        <v/>
      </c>
      <c r="K8090" t="inlineStr">
        <is>
          <t>19.97</t>
        </is>
      </c>
      <c r="L8090" t="n">
        <v>70.98999999999999</v>
      </c>
      <c r="M8090" s="1" t="inlineStr">
        <is>
          <t>255.48%</t>
        </is>
      </c>
      <c r="N8090" s="7" t="n"/>
      <c r="O8090" t="n">
        <v>4.7</v>
      </c>
      <c r="P8090" t="n">
        <v>499</v>
      </c>
      <c r="R8090" t="inlineStr">
        <is>
          <t>InStock</t>
        </is>
      </c>
      <c r="S8090" t="inlineStr">
        <is>
          <t>27.96</t>
        </is>
      </c>
      <c r="T8090" t="inlineStr">
        <is>
          <t>4166896255076</t>
        </is>
      </c>
    </row>
    <row r="8091" ht="87" customHeight="1">
      <c r="A8091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091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091" t="inlineStr">
        <is>
          <t>Klein Tools 32561 Multi-Bit Screwdriver / Nut Driver, 6-in-1, Stubby, Ph, Sl Bits</t>
        </is>
      </c>
      <c r="D8091" t="inlineStr">
        <is>
          <t>Klein Tools 32596 Multi-Bit Screwdriver/Nut Driver, 8-in-1 HVAC Slide Drive Tool with Magnetic Hex, Phillips, Schrader Bits.</t>
        </is>
      </c>
      <c r="E8091" s="2">
        <f>HYPERLINK("https://www.amazon.com/Screwdriver-Driver-Klein-Tools-32596/dp/B073R7RT1V/ref=sr_1_25?keywords=Klein+Tools+32561+Multi-Bit+Screwdriver+%2F+Nut+Driver%2C+6-in-1%2C+Stubby%2C+Ph%2C+Sl+Bits&amp;qid=1694735473&amp;sr=8-25", "https://www.amazon.com/Screwdriver-Driver-Klein-Tools-32596/dp/B073R7RT1V/ref=sr_1_25?keywords=Klein+Tools+32561+Multi-Bit+Screwdriver+%2F+Nut+Driver%2C+6-in-1%2C+Stubby%2C+Ph%2C+Sl+Bits&amp;qid=1694735473&amp;sr=8-25")</f>
        <v/>
      </c>
      <c r="F8091" t="inlineStr">
        <is>
          <t>B073R7RT1V</t>
        </is>
      </c>
      <c r="G8091">
        <f>_xlfn.IMAGE("https://edmondsonsupply.com/cdn/shop/products/32561_beauty_r.jpg?v=1604436217")</f>
        <v/>
      </c>
      <c r="H8091">
        <f>_xlfn.IMAGE("https://m.media-amazon.com/images/I/51mrDa5uZYL._AC_UL320_.jpg")</f>
        <v/>
      </c>
      <c r="K8091" t="inlineStr">
        <is>
          <t>10.97</t>
        </is>
      </c>
      <c r="L8091" t="n">
        <v>38.96</v>
      </c>
      <c r="M8091" s="1" t="inlineStr">
        <is>
          <t>255.15%</t>
        </is>
      </c>
      <c r="N8091" s="7" t="n"/>
      <c r="O8091" t="n">
        <v>4.8</v>
      </c>
      <c r="P8091" t="n">
        <v>2259</v>
      </c>
      <c r="R8091" t="inlineStr">
        <is>
          <t>InStock</t>
        </is>
      </c>
      <c r="S8091" t="inlineStr">
        <is>
          <t>16.94</t>
        </is>
      </c>
      <c r="T8091" t="inlineStr">
        <is>
          <t>3671725998180</t>
        </is>
      </c>
    </row>
    <row r="8092" ht="87" customHeight="1">
      <c r="A809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092" s="2">
        <f>HYPERLINK("https://edmondsonsupply.com/products/klein-tools-rt210-gfci-receptacle-tester", "https://edmondsonsupply.com/products/klein-tools-rt210-gfci-receptacle-tester")</f>
        <v/>
      </c>
      <c r="C8092" t="inlineStr">
        <is>
          <t>Klein Tools RT210 GFCI Outlet Tester</t>
        </is>
      </c>
      <c r="D8092" t="inlineStr">
        <is>
          <t>Klein Tools IR1 Infrared Thermometer &amp; RT210 Outlet Tester, Receptacle Tester for GFCI/Standard North American AC Electrical Outlets, Detects Common Wiring Problems</t>
        </is>
      </c>
      <c r="E8092" s="2">
        <f>HYPERLINK("https://www.amazon.com/Klein-Tools-Thermometer-Receptacle-Electrical/dp/B0B68MBB7W/ref=sr_1_8?keywords=Klein+Tools+RT210+GFCI+Outlet+Tester&amp;qid=1694735460&amp;sr=8-8", "https://www.amazon.com/Klein-Tools-Thermometer-Receptacle-Electrical/dp/B0B68MBB7W/ref=sr_1_8?keywords=Klein+Tools+RT210+GFCI+Outlet+Tester&amp;qid=1694735460&amp;sr=8-8")</f>
        <v/>
      </c>
      <c r="F8092" t="inlineStr">
        <is>
          <t>B0B68MBB7W</t>
        </is>
      </c>
      <c r="G8092">
        <f>_xlfn.IMAGE("https://edmondsonsupply.com/cdn/shop/products/rt210.jpg?v=1587146495")</f>
        <v/>
      </c>
      <c r="H8092">
        <f>_xlfn.IMAGE("https://m.media-amazon.com/images/I/41IQbbdXXTL._AC_UL320_.jpg")</f>
        <v/>
      </c>
      <c r="K8092" t="inlineStr">
        <is>
          <t>12.97</t>
        </is>
      </c>
      <c r="L8092" t="n">
        <v>45.96</v>
      </c>
      <c r="M8092" s="1" t="inlineStr">
        <is>
          <t>254.36%</t>
        </is>
      </c>
      <c r="N8092" s="7" t="n"/>
      <c r="O8092" t="n">
        <v>4.7</v>
      </c>
      <c r="P8092" t="n">
        <v>16</v>
      </c>
      <c r="R8092" t="inlineStr">
        <is>
          <t>InStock</t>
        </is>
      </c>
      <c r="S8092" t="inlineStr">
        <is>
          <t>17.12</t>
        </is>
      </c>
      <c r="T8092" t="inlineStr">
        <is>
          <t>3711963988068</t>
        </is>
      </c>
    </row>
    <row r="8093" ht="87" customHeight="1">
      <c r="A8093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093" s="2">
        <f>HYPERLINK("https://edmondsonsupply.com/products/klein-tools-11061-self-adjusting-wire-stripper-cutter", "https://edmondsonsupply.com/products/klein-tools-11061-self-adjusting-wire-stripper-cutter")</f>
        <v/>
      </c>
      <c r="C8093" t="inlineStr">
        <is>
          <t>Klein Tools 11061 Wire Stripper and Cutter, Self-Adjusting</t>
        </is>
      </c>
      <c r="D8093" t="inlineStr">
        <is>
          <t>Automatic Wire Stripper 10-24 AWG &amp; Klein Tools 11061 Wire Stripper/Wire Cutter for Solid and Stranded AWG Wire, Heavy Duty Kleins are Self Adjusting</t>
        </is>
      </c>
      <c r="E8093" s="2">
        <f>HYPERLINK("https://www.amazon.com/Automatic-Stripper-Cutter-Stranded-Adjusting/dp/B0BNL4YBKY/ref=sr_1_4?keywords=Klein+Tools+11061+Wire+Stripper+and+Cutter%2C+Self-Adjusting&amp;qid=1694735488&amp;sr=8-4", "https://www.amazon.com/Automatic-Stripper-Cutter-Stranded-Adjusting/dp/B0BNL4YBKY/ref=sr_1_4?keywords=Klein+Tools+11061+Wire+Stripper+and+Cutter%2C+Self-Adjusting&amp;qid=1694735488&amp;sr=8-4")</f>
        <v/>
      </c>
      <c r="F8093" t="inlineStr">
        <is>
          <t>B0BNL4YBKY</t>
        </is>
      </c>
      <c r="G8093">
        <f>_xlfn.IMAGE("https://edmondsonsupply.com/cdn/shop/products/11061.jpg?v=1587148772")</f>
        <v/>
      </c>
      <c r="H8093">
        <f>_xlfn.IMAGE("https://m.media-amazon.com/images/I/51AW--vtfjL._AC_UL320_.jpg")</f>
        <v/>
      </c>
      <c r="K8093" t="inlineStr">
        <is>
          <t>21.97</t>
        </is>
      </c>
      <c r="L8093" t="n">
        <v>76.98</v>
      </c>
      <c r="M8093" s="1" t="inlineStr">
        <is>
          <t>250.39%</t>
        </is>
      </c>
      <c r="N8093" s="7" t="n"/>
      <c r="O8093" t="n">
        <v>4.6</v>
      </c>
      <c r="P8093" t="n">
        <v>1240</v>
      </c>
      <c r="R8093" t="inlineStr">
        <is>
          <t>InStock</t>
        </is>
      </c>
      <c r="S8093" t="inlineStr">
        <is>
          <t>37.14</t>
        </is>
      </c>
      <c r="T8093" t="inlineStr">
        <is>
          <t>3688611020900</t>
        </is>
      </c>
    </row>
    <row r="8094" ht="87" customHeight="1">
      <c r="A8094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094" s="2">
        <f>HYPERLINK("https://edmondsonsupply.com/products/klein-tools-69411-circuit-breaker-finder-accessory-kit", "https://edmondsonsupply.com/products/klein-tools-69411-circuit-breaker-finder-accessory-kit")</f>
        <v/>
      </c>
      <c r="C8094" t="inlineStr">
        <is>
          <t>Klein Tools 69411 Circuit Breaker Finder Accessory Kit</t>
        </is>
      </c>
      <c r="D8094" t="inlineStr">
        <is>
          <t>Klein Tools Digital Circuit Breaker Finder with GFCI Outlet Tester ET310 &amp; Circuit Breaker Finder Accessory Kit, Circuit Breaker Leads, Circuit Breaker Adapters 69411</t>
        </is>
      </c>
      <c r="E8094" s="2">
        <f>HYPERLINK("https://www.amazon.com/Klein-Tools-Digital-Accessory-Adapters/dp/B08MG1LZJS/ref=sr_1_6?keywords=Klein+Tools+69411+Circuit+Breaker+Finder+Accessory+Kit&amp;qid=1694735452&amp;sr=8-6", "https://www.amazon.com/Klein-Tools-Digital-Accessory-Adapters/dp/B08MG1LZJS/ref=sr_1_6?keywords=Klein+Tools+69411+Circuit+Breaker+Finder+Accessory+Kit&amp;qid=1694735452&amp;sr=8-6")</f>
        <v/>
      </c>
      <c r="F8094" t="inlineStr">
        <is>
          <t>B08MG1LZJS</t>
        </is>
      </c>
      <c r="G8094">
        <f>_xlfn.IMAGE("https://edmondsonsupply.com/cdn/shop/products/69411.jpg?v=1587143386")</f>
        <v/>
      </c>
      <c r="H8094">
        <f>_xlfn.IMAGE("https://m.media-amazon.com/images/I/51MAo0prl5L._AC_UL320_.jpg")</f>
        <v/>
      </c>
      <c r="K8094" t="inlineStr">
        <is>
          <t>19.97</t>
        </is>
      </c>
      <c r="L8094" t="n">
        <v>69.94</v>
      </c>
      <c r="M8094" s="1" t="inlineStr">
        <is>
          <t>250.23%</t>
        </is>
      </c>
      <c r="N8094" s="7" t="n"/>
      <c r="O8094" t="n">
        <v>4.7</v>
      </c>
      <c r="P8094" t="n">
        <v>2054</v>
      </c>
      <c r="R8094" t="inlineStr">
        <is>
          <t>InStock</t>
        </is>
      </c>
      <c r="S8094" t="inlineStr">
        <is>
          <t>27.96</t>
        </is>
      </c>
      <c r="T8094" t="inlineStr">
        <is>
          <t>4166896255076</t>
        </is>
      </c>
    </row>
    <row r="8095" ht="87" customHeight="1">
      <c r="A8095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095" s="2">
        <f>HYPERLINK("https://edmondsonsupply.com/products/klein-tools-600-4-1-4-inch-screwdriver-heavy-duty-square-shank", "https://edmondsonsupply.com/products/klein-tools-600-4-1-4-inch-screwdriver-heavy-duty-square-shank")</f>
        <v/>
      </c>
      <c r="C8095" t="inlineStr">
        <is>
          <t>Klein Tools 600-4 1/4-Inch Keystone Cushion-Grip Screwdriver</t>
        </is>
      </c>
      <c r="D8095" t="inlineStr">
        <is>
          <t>Klein Tools 85105 Screwdriver Set, Slotted and Phillips Screwdrivers with Cushion-Grip Handles and Tip-Ident, 4-Piece</t>
        </is>
      </c>
      <c r="E8095" s="2">
        <f>HYPERLINK("https://www.amazon.com/Precision-Screwdriver-Klein-Tools-85105/dp/B00508QSNK/ref=sr_1_48?keywords=Klein+Tools+600-4+1%2F4-Inch+Keystone+Cushion-Grip+Screwdriver&amp;qid=1694735465&amp;sr=8-48", "https://www.amazon.com/Precision-Screwdriver-Klein-Tools-85105/dp/B00508QSNK/ref=sr_1_48?keywords=Klein+Tools+600-4+1%2F4-Inch+Keystone+Cushion-Grip+Screwdriver&amp;qid=1694735465&amp;sr=8-48")</f>
        <v/>
      </c>
      <c r="F8095" t="inlineStr">
        <is>
          <t>B00508QSNK</t>
        </is>
      </c>
      <c r="G8095">
        <f>_xlfn.IMAGE("https://edmondsonsupply.com/cdn/shop/products/600-4.jpg?v=1587145175")</f>
        <v/>
      </c>
      <c r="H8095">
        <f>_xlfn.IMAGE("https://m.media-amazon.com/images/I/51Jo0eitsAL._AC_UL320_.jpg")</f>
        <v/>
      </c>
      <c r="K8095" t="inlineStr">
        <is>
          <t>11.49</t>
        </is>
      </c>
      <c r="L8095" t="n">
        <v>39.97</v>
      </c>
      <c r="M8095" s="1" t="inlineStr">
        <is>
          <t>247.87%</t>
        </is>
      </c>
      <c r="N8095" s="7" t="n"/>
      <c r="O8095" t="n">
        <v>4.8</v>
      </c>
      <c r="P8095" t="n">
        <v>375</v>
      </c>
      <c r="R8095" t="inlineStr">
        <is>
          <t>InStock</t>
        </is>
      </c>
      <c r="S8095" t="inlineStr">
        <is>
          <t>15.08</t>
        </is>
      </c>
      <c r="T8095" t="inlineStr">
        <is>
          <t>3700353073252</t>
        </is>
      </c>
    </row>
    <row r="8096" ht="87" customHeight="1">
      <c r="A8096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096" s="2">
        <f>HYPERLINK("https://edmondsonsupply.com/products/klein-tools-11061-self-adjusting-wire-stripper-cutter", "https://edmondsonsupply.com/products/klein-tools-11061-self-adjusting-wire-stripper-cutter")</f>
        <v/>
      </c>
      <c r="C8096" t="inlineStr">
        <is>
          <t>Klein Tools 11061 Wire Stripper and Cutter, Self-Adjusting</t>
        </is>
      </c>
      <c r="D8096" t="inlineStr">
        <is>
          <t>Digital Multimeter Electrical Test Kit &amp; 11061 Wire Stripper/Wire Cutter for Solid and Stranded AWG Wire, Heavy Duty Kleins are Self Adjusting</t>
        </is>
      </c>
      <c r="E8096" s="2">
        <f>HYPERLINK("https://www.amazon.com/Multimeter-Electrical-Stripper-Stranded-Adjusting/dp/B09T6WRTY5/ref=sr_1_12?keywords=Klein+Tools+11061+Wire+Stripper+and+Cutter%2C+Self-Adjusting&amp;qid=1694735488&amp;sr=8-12", "https://www.amazon.com/Multimeter-Electrical-Stripper-Stranded-Adjusting/dp/B09T6WRTY5/ref=sr_1_12?keywords=Klein+Tools+11061+Wire+Stripper+and+Cutter%2C+Self-Adjusting&amp;qid=1694735488&amp;sr=8-12")</f>
        <v/>
      </c>
      <c r="F8096" t="inlineStr">
        <is>
          <t>B09T6WRTY5</t>
        </is>
      </c>
      <c r="G8096">
        <f>_xlfn.IMAGE("https://edmondsonsupply.com/cdn/shop/products/11061.jpg?v=1587148772")</f>
        <v/>
      </c>
      <c r="H8096">
        <f>_xlfn.IMAGE("https://m.media-amazon.com/images/I/51wCPRGlceL._AC_UL320_.jpg")</f>
        <v/>
      </c>
      <c r="K8096" t="inlineStr">
        <is>
          <t>21.97</t>
        </is>
      </c>
      <c r="L8096" t="n">
        <v>74.45999999999999</v>
      </c>
      <c r="M8096" s="1" t="inlineStr">
        <is>
          <t>238.92%</t>
        </is>
      </c>
      <c r="N8096" s="7" t="n"/>
      <c r="O8096" t="n">
        <v>5</v>
      </c>
      <c r="P8096" t="n">
        <v>2</v>
      </c>
      <c r="R8096" t="inlineStr">
        <is>
          <t>InStock</t>
        </is>
      </c>
      <c r="S8096" t="inlineStr">
        <is>
          <t>37.14</t>
        </is>
      </c>
      <c r="T8096" t="inlineStr">
        <is>
          <t>3688611020900</t>
        </is>
      </c>
    </row>
    <row r="8097" ht="87" customHeight="1">
      <c r="A8097" s="2">
        <f>HYPERLINK("https://edmondsonsupply.com/collections/electricians-tools/products/klein-tools-935-torpedo-level", "https://edmondsonsupply.com/collections/electricians-tools/products/klein-tools-935-torpedo-level")</f>
        <v/>
      </c>
      <c r="B8097" s="2">
        <f>HYPERLINK("https://edmondsonsupply.com/products/klein-tools-935-torpedo-level", "https://edmondsonsupply.com/products/klein-tools-935-torpedo-level")</f>
        <v/>
      </c>
      <c r="C8097" t="inlineStr">
        <is>
          <t>Klein Tools 935 Torpedo Level, 3 Vial, 9-Inch</t>
        </is>
      </c>
      <c r="D8097" t="inlineStr">
        <is>
          <t>Klein Tools 935RB Level, 8-Inch Torpedo Level &amp; 935AB4V Level, 6.25-Inch Magnetic Torpedo Level is a Conduit Level with 4 Vials, V-Groove and Magnet Track, High Viz Orange</t>
        </is>
      </c>
      <c r="E8097" s="2">
        <f>HYPERLINK("https://www.amazon.com/Klein-Tools-6-25-Inch-Magnetic-V-Groove/dp/B0BD3X2F19/ref=sr_1_34?keywords=Klein+Tools+935+Torpedo+Level%2C+3+Vial%2C+9-Inch&amp;qid=1694735440&amp;sr=8-34", "https://www.amazon.com/Klein-Tools-6-25-Inch-Magnetic-V-Groove/dp/B0BD3X2F19/ref=sr_1_34?keywords=Klein+Tools+935+Torpedo+Level%2C+3+Vial%2C+9-Inch&amp;qid=1694735440&amp;sr=8-34")</f>
        <v/>
      </c>
      <c r="F8097" t="inlineStr">
        <is>
          <t>B0BD3X2F19</t>
        </is>
      </c>
      <c r="G8097">
        <f>_xlfn.IMAGE("https://edmondsonsupply.com/cdn/shop/products/935_b.jpg?v=1679425556")</f>
        <v/>
      </c>
      <c r="H8097">
        <f>_xlfn.IMAGE("https://m.media-amazon.com/images/I/51MKgQEUjgL._AC_UL320_.jpg")</f>
        <v/>
      </c>
      <c r="K8097" t="inlineStr">
        <is>
          <t>17.97</t>
        </is>
      </c>
      <c r="L8097" t="n">
        <v>59.94</v>
      </c>
      <c r="M8097" s="1" t="inlineStr">
        <is>
          <t>233.56%</t>
        </is>
      </c>
      <c r="N8097" s="7" t="n"/>
      <c r="O8097" t="n">
        <v>5</v>
      </c>
      <c r="P8097" t="n">
        <v>9</v>
      </c>
      <c r="R8097" t="inlineStr">
        <is>
          <t>InStock</t>
        </is>
      </c>
      <c r="S8097" t="inlineStr">
        <is>
          <t>25.22</t>
        </is>
      </c>
      <c r="T8097" t="inlineStr">
        <is>
          <t>4310094086244</t>
        </is>
      </c>
    </row>
    <row r="8098" ht="87" customHeight="1">
      <c r="A8098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098" s="2">
        <f>HYPERLINK("https://edmondsonsupply.com/products/klein-tools-646-3-8-3-8-inch-nut-driver-6-inch-hollow-shaft", "https://edmondsonsupply.com/products/klein-tools-646-3-8-3-8-inch-nut-driver-6-inch-hollow-shaft")</f>
        <v/>
      </c>
      <c r="C8098" t="inlineStr">
        <is>
          <t>Klein Tools 646-3/8 3/8-Inch Nut Driver, 6-Inch Hollow Shaft</t>
        </is>
      </c>
      <c r="D8098" t="inlineStr">
        <is>
          <t>Klein Tools 32807MAG 7-in-1 Nut Driver, Magnetic Driver has SAE Hex Nut Sizes 1/4 to 9/16-Inch, Cushion Grip Handle for Added Torque</t>
        </is>
      </c>
      <c r="E8098" s="2">
        <f>HYPERLINK("https://www.amazon.com/Driver-Magnetic-Klein-Tools-32807MAG/dp/B07D4M51DQ/ref=sr_1_17?keywords=Klein+Tools+646-3%2F8+3%2F8-Inch+Nut+Driver%2C+6-Inch+Hollow+Shaft&amp;qid=1694735435&amp;sr=8-17", "https://www.amazon.com/Driver-Magnetic-Klein-Tools-32807MAG/dp/B07D4M51DQ/ref=sr_1_17?keywords=Klein+Tools+646-3%2F8+3%2F8-Inch+Nut+Driver%2C+6-Inch+Hollow+Shaft&amp;qid=1694735435&amp;sr=8-17")</f>
        <v/>
      </c>
      <c r="F8098" t="inlineStr">
        <is>
          <t>B07D4M51DQ</t>
        </is>
      </c>
      <c r="G8098">
        <f>_xlfn.IMAGE("https://edmondsonsupply.com/cdn/shop/products/646-1-2.jpg?v=1587143221")</f>
        <v/>
      </c>
      <c r="H8098">
        <f>_xlfn.IMAGE("https://m.media-amazon.com/images/I/61gwAJBzDAL._AC_UL320_.jpg")</f>
        <v/>
      </c>
      <c r="K8098" t="inlineStr">
        <is>
          <t>8.99</t>
        </is>
      </c>
      <c r="L8098" t="n">
        <v>29.97</v>
      </c>
      <c r="M8098" s="1" t="inlineStr">
        <is>
          <t>233.37%</t>
        </is>
      </c>
      <c r="N8098" s="7" t="n"/>
      <c r="O8098" t="n">
        <v>4.7</v>
      </c>
      <c r="P8098" t="n">
        <v>9145</v>
      </c>
      <c r="R8098" t="inlineStr">
        <is>
          <t>InStock</t>
        </is>
      </c>
      <c r="S8098" t="inlineStr">
        <is>
          <t>13.58</t>
        </is>
      </c>
      <c r="T8098" t="inlineStr">
        <is>
          <t>4341100609636</t>
        </is>
      </c>
    </row>
    <row r="8099" ht="87" customHeight="1">
      <c r="A8099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099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099" t="inlineStr">
        <is>
          <t>Klein Tools 11055 Klein Kurve® Solid and Stranded Copper Wire Stripper &amp; Cutter</t>
        </is>
      </c>
      <c r="D8099" t="inlineStr">
        <is>
          <t>Wiha 26199 Slotted and Phillips Screwdriver Set in Rugged Canvas Pouch, 8 Piece &amp; Klein Tools 11055 Wire Cutter and Wire Stripper, Stranded Wire Cutter, Solid Wire Cutter, Cuts Copper Wire</t>
        </is>
      </c>
      <c r="E8099" s="2">
        <f>HYPERLINK("https://www.amazon.com/Wiha-Phillips-Screwdriver-Stripper-Stranded/dp/B0BGJ5Q4ZG/ref=sr_1_8?keywords=Klein+Tools+11055+Klein+Kurve%C2%AE+Solid+and+Stranded+Copper+Wire+Stripper+%26+Cutter&amp;qid=1694735472&amp;sr=8-8", "https://www.amazon.com/Wiha-Phillips-Screwdriver-Stripper-Stranded/dp/B0BGJ5Q4ZG/ref=sr_1_8?keywords=Klein+Tools+11055+Klein+Kurve%C2%AE+Solid+and+Stranded+Copper+Wire+Stripper+%26+Cutter&amp;qid=1694735472&amp;sr=8-8")</f>
        <v/>
      </c>
      <c r="F8099" t="inlineStr">
        <is>
          <t>B0BGJ5Q4ZG</t>
        </is>
      </c>
      <c r="G8099">
        <f>_xlfn.IMAGE("https://edmondsonsupply.com/cdn/shop/products/11055ep.jpg?v=1670949748")</f>
        <v/>
      </c>
      <c r="H8099">
        <f>_xlfn.IMAGE("https://m.media-amazon.com/images/I/41EBINrWEiL._AC_UL320_.jpg")</f>
        <v/>
      </c>
      <c r="K8099" t="inlineStr">
        <is>
          <t>19.99</t>
        </is>
      </c>
      <c r="L8099" t="n">
        <v>66.08</v>
      </c>
      <c r="M8099" s="1" t="inlineStr">
        <is>
          <t>230.57%</t>
        </is>
      </c>
      <c r="N8099" s="7" t="n"/>
      <c r="O8099" t="n">
        <v>4.7</v>
      </c>
      <c r="P8099" t="n">
        <v>631</v>
      </c>
      <c r="R8099" t="inlineStr">
        <is>
          <t>InStock</t>
        </is>
      </c>
      <c r="S8099" t="inlineStr">
        <is>
          <t>29.82</t>
        </is>
      </c>
      <c r="T8099" t="inlineStr">
        <is>
          <t>1780558135396</t>
        </is>
      </c>
    </row>
    <row r="8100" hidden="1" ht="15.75" customHeight="1">
      <c r="A8100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100" s="2">
        <f>HYPERLINK("https://edmondsonsupply.com/products/klein-tools-69401-multimeter-carrying-case", "https://edmondsonsupply.com/products/klein-tools-69401-multimeter-carrying-case")</f>
        <v/>
      </c>
      <c r="C8100" t="inlineStr">
        <is>
          <t>Klein Tools 69401 Multimeter Carrying Case</t>
        </is>
      </c>
      <c r="D8100" t="inlineStr">
        <is>
          <t>Klein Tools RT310 Outlet Tester, AFCI and GFCI Receptacle Tester for North American AC Electrical Outlets &amp; Klein Tools 69401 Multimeter Carrying Case</t>
        </is>
      </c>
      <c r="E8100" s="2">
        <f>HYPERLINK("https://www.amazon.com/Klein-Tools-Receptacle-Electrical-Multimeter/dp/B0BNL4NYN9/ref=sr_1_2?keywords=Klein+Tools+69401+Multimeter+Carrying+Case&amp;qid=1694735435&amp;sr=8-2", "https://www.amazon.com/Klein-Tools-Receptacle-Electrical-Multimeter/dp/B0BNL4NYN9/ref=sr_1_2?keywords=Klein+Tools+69401+Multimeter+Carrying+Case&amp;qid=1694735435&amp;sr=8-2")</f>
        <v/>
      </c>
      <c r="F8100" t="inlineStr">
        <is>
          <t>B0BNL4NYN9</t>
        </is>
      </c>
      <c r="G8100">
        <f>_xludf.IMAGE("https://edmondsonsupply.com/cdn/shop/products/69401.jpg?v=1587151194")</f>
        <v/>
      </c>
      <c r="H8100">
        <f>_xludf.IMAGE("https://m.media-amazon.com/images/I/51rZF3lboNL._AC_UL320_.jpg")</f>
        <v/>
      </c>
      <c r="K8100" t="inlineStr">
        <is>
          <t>16.97</t>
        </is>
      </c>
      <c r="L8100" t="n">
        <v>55.97</v>
      </c>
      <c r="M8100" s="1" t="inlineStr">
        <is>
          <t>229.82%</t>
        </is>
      </c>
      <c r="N8100" s="1" t="n"/>
      <c r="O8100" t="n">
        <v>2.9</v>
      </c>
      <c r="P8100" t="n">
        <v>2</v>
      </c>
      <c r="R8100" t="inlineStr">
        <is>
          <t>InStock</t>
        </is>
      </c>
      <c r="S8100" t="inlineStr">
        <is>
          <t>23.84</t>
        </is>
      </c>
      <c r="T8100" t="inlineStr">
        <is>
          <t>4348577710180</t>
        </is>
      </c>
    </row>
    <row r="8101" ht="87" customHeight="1">
      <c r="A8101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101" s="2">
        <f>HYPERLINK("https://edmondsonsupply.com/products/klein-tools-69401-multimeter-carrying-case", "https://edmondsonsupply.com/products/klein-tools-69401-multimeter-carrying-case")</f>
        <v/>
      </c>
      <c r="C8101" t="inlineStr">
        <is>
          <t>Klein Tools 69401 Multimeter Carrying Case</t>
        </is>
      </c>
      <c r="D8101" t="inlineStr">
        <is>
          <t>Klein Tools 69149P Multimeter Test Kit, Klein Digital Multimeter, Noncontact Voltage Tester and Outlet Tester, Leads and Batteries Included &amp; 69401 Multimeter Carrying Case</t>
        </is>
      </c>
      <c r="E8101" s="2">
        <f>HYPERLINK("https://www.amazon.com/Klein-Tools-Multimeter-Noncontact-Batteries/dp/B0BC819G7C/ref=sr_1_17?keywords=Klein+Tools+69401+Multimeter+Carrying+Case&amp;qid=1694735435&amp;sr=8-17", "https://www.amazon.com/Klein-Tools-Multimeter-Noncontact-Batteries/dp/B0BC819G7C/ref=sr_1_17?keywords=Klein+Tools+69401+Multimeter+Carrying+Case&amp;qid=1694735435&amp;sr=8-17")</f>
        <v/>
      </c>
      <c r="F8101" t="inlineStr">
        <is>
          <t>B0BC819G7C</t>
        </is>
      </c>
      <c r="G8101">
        <f>_xlfn.IMAGE("https://edmondsonsupply.com/cdn/shop/products/69401.jpg?v=1587151194")</f>
        <v/>
      </c>
      <c r="H8101">
        <f>_xlfn.IMAGE("https://m.media-amazon.com/images/I/61-QuyRIr7L._AC_UL320_.jpg")</f>
        <v/>
      </c>
      <c r="K8101" t="inlineStr">
        <is>
          <t>16.97</t>
        </is>
      </c>
      <c r="L8101" t="n">
        <v>55.97</v>
      </c>
      <c r="M8101" s="1" t="inlineStr">
        <is>
          <t>229.82%</t>
        </is>
      </c>
      <c r="N8101" s="7" t="n"/>
      <c r="O8101" t="n">
        <v>5</v>
      </c>
      <c r="P8101" t="n">
        <v>2</v>
      </c>
      <c r="R8101" t="inlineStr">
        <is>
          <t>InStock</t>
        </is>
      </c>
      <c r="S8101" t="inlineStr">
        <is>
          <t>23.84</t>
        </is>
      </c>
      <c r="T8101" t="inlineStr">
        <is>
          <t>4348577710180</t>
        </is>
      </c>
    </row>
    <row r="8102" ht="87" customHeight="1">
      <c r="A8102" s="2">
        <f>HYPERLINK("https://edmondsonsupply.com/collections/electricians-tools/products/milwaukee-48-22-6601-10ft-3m-keychain-tape-measure-with-led", "https://edmondsonsupply.com/collections/electricians-tools/products/milwaukee-48-22-6601-10ft-3m-keychain-tape-measure-with-led")</f>
        <v/>
      </c>
      <c r="B8102" s="2">
        <f>HYPERLINK("https://edmondsonsupply.com/products/milwaukee-48-22-6601-10ft-3m-keychain-tape-measure-with-led", "https://edmondsonsupply.com/products/milwaukee-48-22-6601-10ft-3m-keychain-tape-measure-with-led")</f>
        <v/>
      </c>
      <c r="C8102" t="inlineStr">
        <is>
          <t>Milwaukee 48-22-6601 10ft / 3m Keychain Tape Measure with LED</t>
        </is>
      </c>
      <c r="D8102" t="inlineStr">
        <is>
          <t>Milwaukee 48226602 LED Tape Measure 3m/10ft (Width 12mm), Red</t>
        </is>
      </c>
      <c r="E8102" s="2">
        <f>HYPERLINK("https://www.amazon.com/Milwaukee-48226602-Tape-Measure-Width/dp/B07R7J57XF/ref=sr_1_2?keywords=Milwaukee+48-22-6601+10ft+%2F+3m+Keychain+Tape+Measure+with+LED&amp;qid=1694735431&amp;sr=8-2", "https://www.amazon.com/Milwaukee-48226602-Tape-Measure-Width/dp/B07R7J57XF/ref=sr_1_2?keywords=Milwaukee+48-22-6601+10ft+%2F+3m+Keychain+Tape+Measure+with+LED&amp;qid=1694735431&amp;sr=8-2")</f>
        <v/>
      </c>
      <c r="F8102" t="inlineStr">
        <is>
          <t>B07R7J57XF</t>
        </is>
      </c>
      <c r="G8102">
        <f>_xlfn.IMAGE("https://edmondsonsupply.com/cdn/shop/products/48-22-6601_1.png?v=1587147520")</f>
        <v/>
      </c>
      <c r="H8102">
        <f>_xlfn.IMAGE("https://m.media-amazon.com/images/I/6142gJt7hGL._AC_UL320_.jpg")</f>
        <v/>
      </c>
      <c r="K8102" t="inlineStr">
        <is>
          <t>10.59</t>
        </is>
      </c>
      <c r="L8102" t="n">
        <v>34.9</v>
      </c>
      <c r="M8102" s="1" t="inlineStr">
        <is>
          <t>229.56%</t>
        </is>
      </c>
      <c r="N8102" s="7" t="n"/>
      <c r="O8102" t="n">
        <v>4.5</v>
      </c>
      <c r="P8102" t="n">
        <v>81</v>
      </c>
      <c r="R8102" t="inlineStr">
        <is>
          <t>InStock</t>
        </is>
      </c>
      <c r="S8102" t="inlineStr">
        <is>
          <t>16.9</t>
        </is>
      </c>
      <c r="T8102" t="inlineStr">
        <is>
          <t>4343260741732</t>
        </is>
      </c>
    </row>
    <row r="8103" ht="87" customHeight="1">
      <c r="A8103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103" s="2">
        <f>HYPERLINK("https://edmondsonsupply.com/products/klein-tools-rt210-gfci-receptacle-tester", "https://edmondsonsupply.com/products/klein-tools-rt210-gfci-receptacle-tester")</f>
        <v/>
      </c>
      <c r="C8103" t="inlineStr">
        <is>
          <t>Klein Tools RT210 GFCI Outlet Tester</t>
        </is>
      </c>
      <c r="D8103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8103" s="2">
        <f>HYPERLINK("https://www.amazon.com/Klein-Tools-Receptacle-Electrical-Accessory/dp/B09P83VQDK/ref=sr_1_29?keywords=Klein+Tools+RT210+GFCI+Outlet+Tester&amp;qid=1694735460&amp;sr=8-29", "https://www.amazon.com/Klein-Tools-Receptacle-Electrical-Accessory/dp/B09P83VQDK/ref=sr_1_29?keywords=Klein+Tools+RT210+GFCI+Outlet+Tester&amp;qid=1694735460&amp;sr=8-29")</f>
        <v/>
      </c>
      <c r="F8103" t="inlineStr">
        <is>
          <t>B09P83VQDK</t>
        </is>
      </c>
      <c r="G8103">
        <f>_xlfn.IMAGE("https://edmondsonsupply.com/cdn/shop/products/rt210.jpg?v=1587146495")</f>
        <v/>
      </c>
      <c r="H8103">
        <f>_xlfn.IMAGE("https://m.media-amazon.com/images/I/51Y6EmT5N-L._AC_UL320_.jpg")</f>
        <v/>
      </c>
      <c r="K8103" t="inlineStr">
        <is>
          <t>12.97</t>
        </is>
      </c>
      <c r="L8103" t="n">
        <v>41.94</v>
      </c>
      <c r="M8103" s="1" t="inlineStr">
        <is>
          <t>223.36%</t>
        </is>
      </c>
      <c r="N8103" s="7" t="n"/>
      <c r="O8103" t="n">
        <v>4.9</v>
      </c>
      <c r="P8103" t="n">
        <v>20</v>
      </c>
      <c r="R8103" t="inlineStr">
        <is>
          <t>InStock</t>
        </is>
      </c>
      <c r="S8103" t="inlineStr">
        <is>
          <t>17.12</t>
        </is>
      </c>
      <c r="T8103" t="inlineStr">
        <is>
          <t>3711963988068</t>
        </is>
      </c>
    </row>
    <row r="8104" ht="87" customHeight="1">
      <c r="A8104" s="2">
        <f>HYPERLINK("https://edmondsonsupply.com/collections/electricians-tools/products/klein-tools-610m-magnetic-stubby-nut-driver-set-1-1-2-inch-shafts-2-piece", "https://edmondsonsupply.com/collections/electricians-tools/products/klein-tools-610m-magnetic-stubby-nut-driver-set-1-1-2-inch-shafts-2-piece")</f>
        <v/>
      </c>
      <c r="B8104" s="2">
        <f>HYPERLINK("https://edmondsonsupply.com/products/klein-tools-610m-magnetic-stubby-nut-driver-set-1-1-2-inch-shafts-2-piece", "https://edmondsonsupply.com/products/klein-tools-610m-magnetic-stubby-nut-driver-set-1-1-2-inch-shafts-2-piece")</f>
        <v/>
      </c>
      <c r="C8104" t="inlineStr">
        <is>
          <t>Klein Tools 610M Magnetic Stubby Nut Driver Set, 1-1/2-Inch Shafts, 2-Piece</t>
        </is>
      </c>
      <c r="D8104" t="inlineStr">
        <is>
          <t>Klein Tools 647 Tool Set, Nut Drivers Sizes 3/16, 1/4, 5/16, 11/32, 3/8, 7/16, 1/2-Inch, Chrome-Plated 6-Inch Shafts, Cushion Grip, 7-Piece</t>
        </is>
      </c>
      <c r="E8104" s="2">
        <f>HYPERLINK("https://www.amazon.com/Driver-6-Inch-Klein-Tools-647/dp/B0014KRVXO/ref=sr_1_13?keywords=Klein+Tools+610M+Magnetic+Stubby+Nut+Driver+Set%2C+1-1%2F2-Inch+Shafts%2C+2-Piece&amp;qid=1694735459&amp;sr=8-13", "https://www.amazon.com/Driver-6-Inch-Klein-Tools-647/dp/B0014KRVXO/ref=sr_1_13?keywords=Klein+Tools+610M+Magnetic+Stubby+Nut+Driver+Set%2C+1-1%2F2-Inch+Shafts%2C+2-Piece&amp;qid=1694735459&amp;sr=8-13")</f>
        <v/>
      </c>
      <c r="F8104" t="inlineStr">
        <is>
          <t>B0014KRVXO</t>
        </is>
      </c>
      <c r="G8104">
        <f>_xlfn.IMAGE("https://edmondsonsupply.com/cdn/shop/products/610m.jpg?v=1587148614")</f>
        <v/>
      </c>
      <c r="H8104">
        <f>_xlfn.IMAGE("https://m.media-amazon.com/images/I/51usUk-EpGL._AC_UL320_.jpg")</f>
        <v/>
      </c>
      <c r="K8104" t="inlineStr">
        <is>
          <t>17.99</t>
        </is>
      </c>
      <c r="L8104" t="n">
        <v>57.99</v>
      </c>
      <c r="M8104" s="1" t="inlineStr">
        <is>
          <t>222.35%</t>
        </is>
      </c>
      <c r="N8104" s="7" t="n"/>
      <c r="O8104" t="n">
        <v>4.8</v>
      </c>
      <c r="P8104" t="n">
        <v>734</v>
      </c>
      <c r="R8104" t="inlineStr">
        <is>
          <t>InStock</t>
        </is>
      </c>
      <c r="S8104" t="inlineStr">
        <is>
          <t>27.26</t>
        </is>
      </c>
      <c r="T8104" t="inlineStr">
        <is>
          <t>4258876031076</t>
        </is>
      </c>
    </row>
    <row r="8105" ht="87" customHeight="1">
      <c r="A8105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105" s="2">
        <f>HYPERLINK("https://edmondsonsupply.com/products/klein-tools-600-1-5-16-inch-cabinet-tip-screwdriver-1-1-2-inch", "https://edmondsonsupply.com/products/klein-tools-600-1-5-16-inch-cabinet-tip-screwdriver-1-1-2-inch")</f>
        <v/>
      </c>
      <c r="C8105" t="inlineStr">
        <is>
          <t>Klein Tools 600-1 5/16-Inch Cabinet Tip Screwdriver 1-1/2-Inch</t>
        </is>
      </c>
      <c r="D8105" t="inlineStr">
        <is>
          <t>Klein Tools 85153K Slotted Screw-Holding Screwdriver Set, 3/16-Inch, 1/4-Inch Split-Blade Flat Head Driver, Positive Gripping Action, 2-Piece</t>
        </is>
      </c>
      <c r="E8105" s="2">
        <f>HYPERLINK("https://www.amazon.com/Klein-Tools-85153K-Screw-Holding-Screwdriver/dp/B0CFRP1K3L/ref=sr_1_15?keywords=Klein+Tools+600-1+5%2F16-Inch+Cabinet+Tip+Screwdriver+1-1%2F2-Inch&amp;qid=1694735453&amp;sr=8-15", "https://www.amazon.com/Klein-Tools-85153K-Screw-Holding-Screwdriver/dp/B0CFRP1K3L/ref=sr_1_15?keywords=Klein+Tools+600-1+5%2F16-Inch+Cabinet+Tip+Screwdriver+1-1%2F2-Inch&amp;qid=1694735453&amp;sr=8-15")</f>
        <v/>
      </c>
      <c r="F8105" t="inlineStr">
        <is>
          <t>B0CFRP1K3L</t>
        </is>
      </c>
      <c r="G8105">
        <f>_xlfn.IMAGE("https://edmondsonsupply.com/cdn/shop/products/600-1.jpg?v=1587147752")</f>
        <v/>
      </c>
      <c r="H8105">
        <f>_xlfn.IMAGE("https://m.media-amazon.com/images/I/41KoRmOkBpL._AC_UL320_.jpg")</f>
        <v/>
      </c>
      <c r="K8105" t="inlineStr">
        <is>
          <t>7.49</t>
        </is>
      </c>
      <c r="L8105" t="n">
        <v>23.97</v>
      </c>
      <c r="M8105" s="1" t="inlineStr">
        <is>
          <t>220.03%</t>
        </is>
      </c>
      <c r="N8105" s="7" t="n"/>
      <c r="O8105" t="n">
        <v>5</v>
      </c>
      <c r="P8105" t="n">
        <v>1</v>
      </c>
      <c r="R8105" t="inlineStr">
        <is>
          <t>InStock</t>
        </is>
      </c>
      <c r="S8105" t="inlineStr">
        <is>
          <t>11.22</t>
        </is>
      </c>
      <c r="T8105" t="inlineStr">
        <is>
          <t>4171360403556</t>
        </is>
      </c>
    </row>
    <row r="8106" ht="87" customHeight="1">
      <c r="A8106" s="2">
        <f>HYPERLINK("https://edmondsonsupply.com/collections/electricians-tools/products/klein-tools-32293-2-in-1-insulated-flip-blade-screwdriver-2-ph-1-4-inch-sl", "https://edmondsonsupply.com/collections/electricians-tools/products/klein-tools-32293-2-in-1-insulated-flip-blade-screwdriver-2-ph-1-4-inch-sl")</f>
        <v/>
      </c>
      <c r="B8106" s="2">
        <f>HYPERLINK("https://edmondsonsupply.com/products/klein-tools-32293-2-in-1-insulated-flip-blade-screwdriver-2-ph-1-4-inch-sl", "https://edmondsonsupply.com/products/klein-tools-32293-2-in-1-insulated-flip-blade-screwdriver-2-ph-1-4-inch-sl")</f>
        <v/>
      </c>
      <c r="C8106" t="inlineStr">
        <is>
          <t>Klein Tools 32293 Flip-Blade Insulated Screwdriver, 2-in1, Ph Bit #2, Sl Bit 1/4-Inch</t>
        </is>
      </c>
      <c r="D8106" t="inlineStr">
        <is>
          <t>Klein Tools 32288 Insulated Screwdriver, 8-in-1 Screwdriver Set &amp; 32293 Insulated Screwdriver, 2-in-1 Screwdriver Set with Flip Blade, 2 Phillips and1/4-Inch Slotted Tips, Double-Ended Blades</t>
        </is>
      </c>
      <c r="E8106" s="2">
        <f>HYPERLINK("https://www.amazon.com/Klein-Tools-Insulated-Screwdriver-Double-Ended/dp/B08ZNQFGYR/ref=sr_1_6?keywords=Klein+Tools+32293+Flip-Blade+Insulated+Screwdriver%2C+2-in1%2C+Ph+Bit&amp;qid=1694735456&amp;sr=8-6", "https://www.amazon.com/Klein-Tools-Insulated-Screwdriver-Double-Ended/dp/B08ZNQFGYR/ref=sr_1_6?keywords=Klein+Tools+32293+Flip-Blade+Insulated+Screwdriver%2C+2-in1%2C+Ph+Bit&amp;qid=1694735456&amp;sr=8-6")</f>
        <v/>
      </c>
      <c r="F8106" t="inlineStr">
        <is>
          <t>B08ZNQFGYR</t>
        </is>
      </c>
      <c r="G8106">
        <f>_xlfn.IMAGE("https://edmondsonsupply.com/cdn/shop/products/32293.jpg?v=1587145454")</f>
        <v/>
      </c>
      <c r="H8106">
        <f>_xlfn.IMAGE("https://m.media-amazon.com/images/I/51PAxTnXGXS._AC_UL320_.jpg")</f>
        <v/>
      </c>
      <c r="K8106" t="inlineStr">
        <is>
          <t>21.97</t>
        </is>
      </c>
      <c r="L8106" t="n">
        <v>69.97</v>
      </c>
      <c r="M8106" s="1" t="inlineStr">
        <is>
          <t>218.48%</t>
        </is>
      </c>
      <c r="N8106" s="7" t="n"/>
      <c r="O8106" t="n">
        <v>5</v>
      </c>
      <c r="P8106" t="n">
        <v>7</v>
      </c>
      <c r="R8106" t="inlineStr">
        <is>
          <t>InStock</t>
        </is>
      </c>
      <c r="S8106" t="inlineStr">
        <is>
          <t>30.76</t>
        </is>
      </c>
      <c r="T8106" t="inlineStr">
        <is>
          <t>4096466944100</t>
        </is>
      </c>
    </row>
    <row r="8107" ht="87" customHeight="1">
      <c r="A8107" s="2">
        <f>HYPERLINK("https://edmondsonsupply.com/collections/electricians-tools/products/klein-tools-70-replacement-handles-for-7-inch-pliers", "https://edmondsonsupply.com/collections/electricians-tools/products/klein-tools-70-replacement-handles-for-7-inch-pliers")</f>
        <v/>
      </c>
      <c r="B8107" s="2">
        <f>HYPERLINK("https://edmondsonsupply.com/products/klein-tools-70-replacement-handles-for-7-inch-pliers", "https://edmondsonsupply.com/products/klein-tools-70-replacement-handles-for-7-inch-pliers")</f>
        <v/>
      </c>
      <c r="C8107" t="inlineStr">
        <is>
          <t>Klein Tools 70 Replacement Handles for 7-Inch Pliers</t>
        </is>
      </c>
      <c r="D8107" t="inlineStr">
        <is>
          <t>Klein Tools D203-7C Long Nose All-Purpose Spring Loaded Pliers, Forged Steel with Dual Material Journeyman Handles, 7-Inch</t>
        </is>
      </c>
      <c r="E8107" s="2">
        <f>HYPERLINK("https://www.amazon.com/Klein-Tools-D203-7C-Pliers-Side-Cutters/dp/B002UKQH82/ref=sr_1_4?keywords=Klein+Tools+70+Replacement+Handles+for+7-Inch+Pliers&amp;qid=1694735448&amp;sr=8-4", "https://www.amazon.com/Klein-Tools-D203-7C-Pliers-Side-Cutters/dp/B002UKQH82/ref=sr_1_4?keywords=Klein+Tools+70+Replacement+Handles+for+7-Inch+Pliers&amp;qid=1694735448&amp;sr=8-4")</f>
        <v/>
      </c>
      <c r="F8107" t="inlineStr">
        <is>
          <t>B002UKQH82</t>
        </is>
      </c>
      <c r="G8107">
        <f>_xlfn.IMAGE("https://edmondsonsupply.com/cdn/shop/products/70.jpg?v=1587143383")</f>
        <v/>
      </c>
      <c r="H8107">
        <f>_xlfn.IMAGE("https://m.media-amazon.com/images/I/51CS1E9cJJL._AC_UL320_.jpg")</f>
        <v/>
      </c>
      <c r="K8107" t="inlineStr">
        <is>
          <t>8.99</t>
        </is>
      </c>
      <c r="L8107" t="n">
        <v>27.99</v>
      </c>
      <c r="M8107" s="1" t="inlineStr">
        <is>
          <t>211.35%</t>
        </is>
      </c>
      <c r="N8107" s="7" t="n"/>
      <c r="O8107" t="n">
        <v>4.7</v>
      </c>
      <c r="P8107" t="n">
        <v>187</v>
      </c>
      <c r="R8107" t="inlineStr">
        <is>
          <t>InStock</t>
        </is>
      </c>
      <c r="S8107" t="inlineStr">
        <is>
          <t>13.64</t>
        </is>
      </c>
      <c r="T8107" t="inlineStr">
        <is>
          <t>4169392619620</t>
        </is>
      </c>
    </row>
    <row r="8108" ht="87" customHeight="1">
      <c r="A8108" s="2">
        <f>HYPERLINK("https://edmondsonsupply.com/collections/electricians-tools/products/klein-tools-602-7dd-5-16-inch-keystone-demolition-driver-7-inch-shank", "https://edmondsonsupply.com/collections/electricians-tools/products/klein-tools-602-7dd-5-16-inch-keystone-demolition-driver-7-inch-shank")</f>
        <v/>
      </c>
      <c r="B8108" s="2">
        <f>HYPERLINK("https://edmondsonsupply.com/products/klein-tools-602-7dd-5-16-inch-keystone-demolition-driver-7-inch-shank", "https://edmondsonsupply.com/products/klein-tools-602-7dd-5-16-inch-keystone-demolition-driver-7-inch-shank")</f>
        <v/>
      </c>
      <c r="C8108" t="inlineStr">
        <is>
          <t>Klein Tools 602-7DD 5/16-Inch Keystone Demolition Driver, 7-Inch Shank</t>
        </is>
      </c>
      <c r="D8108" t="inlineStr">
        <is>
          <t>Klein Tools KT223X4-INS Lineman's Insulating 4-in-1 Box Wrench &amp; Klein Tools 602-7DD 5/16-Inch Keystone Demolition Driver, 7-Inch Shank</t>
        </is>
      </c>
      <c r="E8108" s="2">
        <f>HYPERLINK("https://www.amazon.com/Klein-Tools-KT223X4-INS-Insulating-Demolition/dp/B0BM3PXVD3/ref=sr_1_6?keywords=Klein+Tools+602-7DD+5%2F16-Inch+Keystone+Demolition+Driver%2C+7-Inch+Shank&amp;qid=1694735454&amp;sr=8-6", "https://www.amazon.com/Klein-Tools-KT223X4-INS-Insulating-Demolition/dp/B0BM3PXVD3/ref=sr_1_6?keywords=Klein+Tools+602-7DD+5%2F16-Inch+Keystone+Demolition+Driver%2C+7-Inch+Shank&amp;qid=1694735454&amp;sr=8-6")</f>
        <v/>
      </c>
      <c r="F8108" t="inlineStr">
        <is>
          <t>B0BM3PXVD3</t>
        </is>
      </c>
      <c r="G8108">
        <f>_xlfn.IMAGE("https://edmondsonsupply.com/cdn/shop/products/602-7dd.jpg?v=1587143287")</f>
        <v/>
      </c>
      <c r="H8108">
        <f>_xlfn.IMAGE("https://m.media-amazon.com/images/I/41yfZlgKAXL._AC_UL320_.jpg")</f>
        <v/>
      </c>
      <c r="K8108" t="inlineStr">
        <is>
          <t>19.99</t>
        </is>
      </c>
      <c r="L8108" t="n">
        <v>61.87</v>
      </c>
      <c r="M8108" s="1" t="inlineStr">
        <is>
          <t>209.50%</t>
        </is>
      </c>
      <c r="N8108" s="7" t="n"/>
      <c r="O8108" t="n">
        <v>5</v>
      </c>
      <c r="P8108" t="n">
        <v>1</v>
      </c>
      <c r="R8108" t="inlineStr">
        <is>
          <t>InStock</t>
        </is>
      </c>
      <c r="S8108" t="inlineStr">
        <is>
          <t>30.3</t>
        </is>
      </c>
      <c r="T8108" t="inlineStr">
        <is>
          <t>4167515930724</t>
        </is>
      </c>
    </row>
    <row r="8109" ht="87" customHeight="1">
      <c r="A8109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109" s="2">
        <f>HYPERLINK("https://edmondsonsupply.com/products/klein-tools-69401-multimeter-carrying-case", "https://edmondsonsupply.com/products/klein-tools-69401-multimeter-carrying-case")</f>
        <v/>
      </c>
      <c r="C8109" t="inlineStr">
        <is>
          <t>Klein Tools 69401 Multimeter Carrying Case</t>
        </is>
      </c>
      <c r="D8109" t="inlineStr">
        <is>
          <t>Digital Multimeter Electrical Test Kit, Non-Contact Voltage Tester, Receptacle Tester, Carrying Case and Batteries Klein Tools MM320KIT &amp; 69417 Rare-Earth Magnetic Hanger, with Strap</t>
        </is>
      </c>
      <c r="E8109" s="2">
        <f>HYPERLINK("https://www.amazon.com/Multimeter-Electrical-Non-Contact-Klein-Tools/dp/B0CF2CFS1D/ref=sr_1_26?keywords=Klein+Tools+69401+Multimeter+Carrying+Case&amp;qid=1694735435&amp;sr=8-26", "https://www.amazon.com/Multimeter-Electrical-Non-Contact-Klein-Tools/dp/B0CF2CFS1D/ref=sr_1_26?keywords=Klein+Tools+69401+Multimeter+Carrying+Case&amp;qid=1694735435&amp;sr=8-26")</f>
        <v/>
      </c>
      <c r="F8109" t="inlineStr">
        <is>
          <t>B0CF2CFS1D</t>
        </is>
      </c>
      <c r="G8109">
        <f>_xlfn.IMAGE("https://edmondsonsupply.com/cdn/shop/products/69401.jpg?v=1587151194")</f>
        <v/>
      </c>
      <c r="H8109">
        <f>_xlfn.IMAGE("https://m.media-amazon.com/images/I/5182bo0BHaL._AC_UL320_.jpg")</f>
        <v/>
      </c>
      <c r="K8109" t="inlineStr">
        <is>
          <t>16.97</t>
        </is>
      </c>
      <c r="L8109" t="n">
        <v>52.49</v>
      </c>
      <c r="M8109" s="1" t="inlineStr">
        <is>
          <t>209.31%</t>
        </is>
      </c>
      <c r="N8109" s="7" t="n"/>
      <c r="O8109" t="n">
        <v>4.8</v>
      </c>
      <c r="P8109" t="n">
        <v>1447</v>
      </c>
      <c r="R8109" t="inlineStr">
        <is>
          <t>InStock</t>
        </is>
      </c>
      <c r="S8109" t="inlineStr">
        <is>
          <t>23.84</t>
        </is>
      </c>
      <c r="T8109" t="inlineStr">
        <is>
          <t>4348577710180</t>
        </is>
      </c>
    </row>
    <row r="8110" ht="87" customHeight="1">
      <c r="A8110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110" s="2">
        <f>HYPERLINK("https://edmondsonsupply.com/products/klein-tools-rt210-gfci-receptacle-tester", "https://edmondsonsupply.com/products/klein-tools-rt210-gfci-receptacle-tester")</f>
        <v/>
      </c>
      <c r="C8110" t="inlineStr">
        <is>
          <t>Klein Tools RT210 GFCI Outlet Tester</t>
        </is>
      </c>
      <c r="D8110" t="inlineStr">
        <is>
          <t>Klein Tools RT310 Outlet Tester, AFCI and GFCI Receptacle Tester for North American AC Electrical Outlets</t>
        </is>
      </c>
      <c r="E8110" s="2">
        <f>HYPERLINK("https://www.amazon.com/Klein-Tools-RT310-Electrical-Receptacles/dp/B07PMDRHXB/ref=sr_1_12?keywords=Klein+Tools+RT210+GFCI+Outlet+Tester&amp;qid=1694735460&amp;sr=8-12", "https://www.amazon.com/Klein-Tools-RT310-Electrical-Receptacles/dp/B07PMDRHXB/ref=sr_1_12?keywords=Klein+Tools+RT210+GFCI+Outlet+Tester&amp;qid=1694735460&amp;sr=8-12")</f>
        <v/>
      </c>
      <c r="F8110" t="inlineStr">
        <is>
          <t>B07PMDRHXB</t>
        </is>
      </c>
      <c r="G8110">
        <f>_xlfn.IMAGE("https://edmondsonsupply.com/cdn/shop/products/rt210.jpg?v=1587146495")</f>
        <v/>
      </c>
      <c r="H8110">
        <f>_xlfn.IMAGE("https://m.media-amazon.com/images/I/51C46-kDFFL._AC_UL320_.jpg")</f>
        <v/>
      </c>
      <c r="K8110" t="inlineStr">
        <is>
          <t>12.97</t>
        </is>
      </c>
      <c r="L8110" t="n">
        <v>39.97</v>
      </c>
      <c r="M8110" s="1" t="inlineStr">
        <is>
          <t>208.17%</t>
        </is>
      </c>
      <c r="N8110" s="7" t="n"/>
      <c r="O8110" t="n">
        <v>4.7</v>
      </c>
      <c r="P8110" t="n">
        <v>1603</v>
      </c>
      <c r="R8110" t="inlineStr">
        <is>
          <t>InStock</t>
        </is>
      </c>
      <c r="S8110" t="inlineStr">
        <is>
          <t>17.12</t>
        </is>
      </c>
      <c r="T8110" t="inlineStr">
        <is>
          <t>3711963988068</t>
        </is>
      </c>
    </row>
    <row r="8111" ht="87" customHeight="1">
      <c r="A8111" s="2">
        <f>HYPERLINK("https://edmondsonsupply.com/collections/electricians-tools/products/klein-tools-d507-6-adjustable-wrench-extra-capacity-6-1-2-inch", "https://edmondsonsupply.com/collections/electricians-tools/products/klein-tools-d507-6-adjustable-wrench-extra-capacity-6-1-2-inch")</f>
        <v/>
      </c>
      <c r="B8111" s="2">
        <f>HYPERLINK("https://edmondsonsupply.com/products/klein-tools-d507-6-adjustable-wrench-extra-capacity-6-1-2-inch", "https://edmondsonsupply.com/products/klein-tools-d507-6-adjustable-wrench-extra-capacity-6-1-2-inch")</f>
        <v/>
      </c>
      <c r="C8111" t="inlineStr">
        <is>
          <t>Klein Tools D507-6 Adjustable Wrench Extra Capacity, 6-1/2-Inch</t>
        </is>
      </c>
      <c r="D8111" t="inlineStr">
        <is>
          <t>Klein Tools 3239 Adjustable Spud Wrench, 16-Inch Length, 1-5/8 Wrench Opening, Fits Heavy Nuts and Bolts up to 1-Inch, Tethering</t>
        </is>
      </c>
      <c r="E8111" s="2">
        <f>HYPERLINK("https://www.amazon.com/Adjustable-Construction-Klein-Tools-3239/dp/B0000302W7/ref=sr_1_28?keywords=Klein+Tools+D507-6+Adjustable+Wrench+Extra+Capacity%2C+6-1%2F2-Inch&amp;qid=1694735470&amp;sr=8-28", "https://www.amazon.com/Adjustable-Construction-Klein-Tools-3239/dp/B0000302W7/ref=sr_1_28?keywords=Klein+Tools+D507-6+Adjustable+Wrench+Extra+Capacity%2C+6-1%2F2-Inch&amp;qid=1694735470&amp;sr=8-28")</f>
        <v/>
      </c>
      <c r="F8111" t="inlineStr">
        <is>
          <t>B0000302W7</t>
        </is>
      </c>
      <c r="G8111">
        <f>_xlfn.IMAGE("https://edmondsonsupply.com/cdn/shop/products/d507-6.jpg?v=1587147606")</f>
        <v/>
      </c>
      <c r="H8111">
        <f>_xlfn.IMAGE("https://m.media-amazon.com/images/I/31mSIOiJHzL._AC_UL320_.jpg")</f>
        <v/>
      </c>
      <c r="K8111" t="inlineStr">
        <is>
          <t>25.99</t>
        </is>
      </c>
      <c r="L8111" t="n">
        <v>79.98999999999999</v>
      </c>
      <c r="M8111" s="1" t="inlineStr">
        <is>
          <t>207.77%</t>
        </is>
      </c>
      <c r="N8111" s="7" t="n"/>
      <c r="O8111" t="n">
        <v>4.8</v>
      </c>
      <c r="P8111" t="n">
        <v>423</v>
      </c>
      <c r="R8111" t="inlineStr">
        <is>
          <t>InStock</t>
        </is>
      </c>
      <c r="S8111" t="inlineStr">
        <is>
          <t>39.3</t>
        </is>
      </c>
      <c r="T8111" t="inlineStr">
        <is>
          <t>3694818099300</t>
        </is>
      </c>
    </row>
    <row r="8112" ht="87" customHeight="1">
      <c r="A8112" s="2">
        <f>HYPERLINK("https://edmondsonsupply.com/collections/electricians-tools/products/klein-tools-5139c-camouflage-zipper-bag", "https://edmondsonsupply.com/collections/electricians-tools/products/klein-tools-5139c-camouflage-zipper-bag")</f>
        <v/>
      </c>
      <c r="B8112" s="2">
        <f>HYPERLINK("https://edmondsonsupply.com/products/klein-tools-5139c-camouflage-zipper-bag", "https://edmondsonsupply.com/products/klein-tools-5139c-camouflage-zipper-bag")</f>
        <v/>
      </c>
      <c r="C8112" t="inlineStr">
        <is>
          <t>Klein Tools 5139C Zipper Bag, Camouflage Cordura Nylon Tool Pouch, 12-1/2-Inch</t>
        </is>
      </c>
      <c r="D8112" t="inlineStr">
        <is>
          <t>Klein Tools 5141 Canvas Zipper Bag, Tool Pouch, Tool Bag, 12.5 x 7-Inch, Brown/Black/Gray/Red 4-Pack &amp; 5139 Zipper Bag, Canvas Tool Pouch 12.5 x 7 x 4.25-Inch with Heavy Duty Brass Zipper Close</t>
        </is>
      </c>
      <c r="E8112" s="2">
        <f>HYPERLINK("https://www.amazon.com/Klein-Tools-Canvas-Zipper-4-25-Inch/dp/B09Z91GLFK/ref=sr_1_29?keywords=Klein+Tools+5139C+Zipper+Bag%2C+Camouflage+Cordura+Nylon+Tool+Pouch%2C+12-1%2F2-Inch&amp;qid=1694735441&amp;sr=8-29", "https://www.amazon.com/Klein-Tools-Canvas-Zipper-4-25-Inch/dp/B09Z91GLFK/ref=sr_1_29?keywords=Klein+Tools+5139C+Zipper+Bag%2C+Camouflage+Cordura+Nylon+Tool+Pouch%2C+12-1%2F2-Inch&amp;qid=1694735441&amp;sr=8-29")</f>
        <v/>
      </c>
      <c r="F8112" t="inlineStr">
        <is>
          <t>B09Z91GLFK</t>
        </is>
      </c>
      <c r="G8112">
        <f>_xlfn.IMAGE("https://edmondsonsupply.com/cdn/shop/products/5139c.jpg?v=1587143515")</f>
        <v/>
      </c>
      <c r="H8112">
        <f>_xlfn.IMAGE("https://m.media-amazon.com/images/I/51OmVOlxWvL._AC_UL320_.jpg")</f>
        <v/>
      </c>
      <c r="K8112" t="inlineStr">
        <is>
          <t>12.97</t>
        </is>
      </c>
      <c r="L8112" t="n">
        <v>39</v>
      </c>
      <c r="M8112" s="1" t="inlineStr">
        <is>
          <t>200.69%</t>
        </is>
      </c>
      <c r="N8112" s="7" t="n"/>
      <c r="O8112" t="n">
        <v>4.9</v>
      </c>
      <c r="P8112" t="n">
        <v>15</v>
      </c>
      <c r="R8112" t="inlineStr">
        <is>
          <t>InStock</t>
        </is>
      </c>
      <c r="S8112" t="inlineStr">
        <is>
          <t>19.62</t>
        </is>
      </c>
      <c r="T8112" t="inlineStr">
        <is>
          <t>4292200136804</t>
        </is>
      </c>
    </row>
    <row r="8113" ht="87" customHeight="1">
      <c r="A8113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113" s="2">
        <f>HYPERLINK("https://edmondsonsupply.com/products/klein-tools-600-1-5-16-inch-cabinet-tip-screwdriver-1-1-2-inch", "https://edmondsonsupply.com/products/klein-tools-600-1-5-16-inch-cabinet-tip-screwdriver-1-1-2-inch")</f>
        <v/>
      </c>
      <c r="C8113" t="inlineStr">
        <is>
          <t>Klein Tools 600-1 5/16-Inch Cabinet Tip Screwdriver 1-1/2-Inch</t>
        </is>
      </c>
      <c r="D8113" t="inlineStr">
        <is>
          <t>Klein Tools 602-7-INS Flathead Screwdriver, 5/16-Inch Cabinet Tip, Insulated, 7-Inch Shank</t>
        </is>
      </c>
      <c r="E8113" s="2">
        <f>HYPERLINK("https://www.amazon.com/Screwdriver-Insulated-Klein-Tools-602-7-INS/dp/B00CQL8UM6/ref=sr_1_27?keywords=Klein+Tools+600-1+5%2F16-Inch+Cabinet+Tip+Screwdriver+1-1%2F2-Inch&amp;qid=1694735453&amp;sr=8-27", "https://www.amazon.com/Screwdriver-Insulated-Klein-Tools-602-7-INS/dp/B00CQL8UM6/ref=sr_1_27?keywords=Klein+Tools+600-1+5%2F16-Inch+Cabinet+Tip+Screwdriver+1-1%2F2-Inch&amp;qid=1694735453&amp;sr=8-27")</f>
        <v/>
      </c>
      <c r="F8113" t="inlineStr">
        <is>
          <t>B00CQL8UM6</t>
        </is>
      </c>
      <c r="G8113">
        <f>_xlfn.IMAGE("https://edmondsonsupply.com/cdn/shop/products/600-1.jpg?v=1587147752")</f>
        <v/>
      </c>
      <c r="H8113">
        <f>_xlfn.IMAGE("https://m.media-amazon.com/images/I/51yWIQxCstL._AC_UL320_.jpg")</f>
        <v/>
      </c>
      <c r="K8113" t="inlineStr">
        <is>
          <t>7.49</t>
        </is>
      </c>
      <c r="L8113" t="n">
        <v>22.46</v>
      </c>
      <c r="M8113" s="1" t="inlineStr">
        <is>
          <t>199.87%</t>
        </is>
      </c>
      <c r="N8113" s="7" t="n"/>
      <c r="O8113" t="n">
        <v>4.8</v>
      </c>
      <c r="P8113" t="n">
        <v>1068</v>
      </c>
      <c r="R8113" t="inlineStr">
        <is>
          <t>InStock</t>
        </is>
      </c>
      <c r="S8113" t="inlineStr">
        <is>
          <t>11.22</t>
        </is>
      </c>
      <c r="T8113" t="inlineStr">
        <is>
          <t>4171360403556</t>
        </is>
      </c>
    </row>
    <row r="8114" ht="87" customHeight="1">
      <c r="A8114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114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114" t="inlineStr">
        <is>
          <t>Klein Tools 11055 Klein Kurve® Solid and Stranded Copper Wire Stripper &amp; Cutter</t>
        </is>
      </c>
      <c r="D8114" t="inlineStr">
        <is>
          <t>Channellock GLS-3 Tongue and Groove Plier Set, Dipped, 3Pcs. Blue, 6.5", 9.5", 12.5" &amp; Klein Tools 11055 Wire Cutter and Wire Stripper, Stranded Wire Cutter, Solid Wire Cutter, Cuts Copper Wire</t>
        </is>
      </c>
      <c r="E8114" s="2">
        <f>HYPERLINK("https://www.amazon.com/Channellock-Tongue-Groove-Stripper-Stranded/dp/B0BHVNSRJW/ref=sr_1_26?keywords=Klein+Tools+11055+Klein+Kurve%C2%AE+Solid+and+Stranded+Copper+Wire+Stripper+%26+Cutter&amp;qid=1694735472&amp;sr=8-26", "https://www.amazon.com/Channellock-Tongue-Groove-Stripper-Stranded/dp/B0BHVNSRJW/ref=sr_1_26?keywords=Klein+Tools+11055+Klein+Kurve%C2%AE+Solid+and+Stranded+Copper+Wire+Stripper+%26+Cutter&amp;qid=1694735472&amp;sr=8-26")</f>
        <v/>
      </c>
      <c r="F8114" t="inlineStr">
        <is>
          <t>B0BHVNSRJW</t>
        </is>
      </c>
      <c r="G8114">
        <f>_xlfn.IMAGE("https://edmondsonsupply.com/cdn/shop/products/11055ep.jpg?v=1670949748")</f>
        <v/>
      </c>
      <c r="H8114">
        <f>_xlfn.IMAGE("https://m.media-amazon.com/images/I/519WQZz4QJL._AC_UL320_.jpg")</f>
        <v/>
      </c>
      <c r="K8114" t="inlineStr">
        <is>
          <t>19.99</t>
        </is>
      </c>
      <c r="L8114" t="n">
        <v>59.94</v>
      </c>
      <c r="M8114" s="1" t="inlineStr">
        <is>
          <t>199.85%</t>
        </is>
      </c>
      <c r="N8114" s="7" t="n"/>
      <c r="O8114" t="n">
        <v>5</v>
      </c>
      <c r="P8114" t="n">
        <v>2</v>
      </c>
      <c r="R8114" t="inlineStr">
        <is>
          <t>InStock</t>
        </is>
      </c>
      <c r="S8114" t="inlineStr">
        <is>
          <t>29.82</t>
        </is>
      </c>
      <c r="T8114" t="inlineStr">
        <is>
          <t>1780558135396</t>
        </is>
      </c>
    </row>
    <row r="8115" hidden="1" ht="15.75" customHeight="1">
      <c r="A8115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115" s="2">
        <f>HYPERLINK("https://edmondsonsupply.com/products/klein-tools-et140-pinless-moisture-meter", "https://edmondsonsupply.com/products/klein-tools-et140-pinless-moisture-meter")</f>
        <v/>
      </c>
      <c r="C8115" t="inlineStr">
        <is>
          <t>Klein Tools ET140 Pinless Moisture Meter</t>
        </is>
      </c>
      <c r="D8115" t="inlineStr">
        <is>
          <t>Calculated Industries 7445 AccuMASTER Duo Pro Pin &amp; Pinless Moisture Meter Detects Hidden Leaks and Moisture &amp; Klein Tools ET140 Pinless Moisture Meter</t>
        </is>
      </c>
      <c r="E8115" s="2">
        <f>HYPERLINK("https://www.amazon.com/Calculated-Industries-AccuMASTER-Pinless-Moisture/dp/B0BNL3WHJS/ref=sr_1_37?keywords=Klein+Tools+ET140+Pinless+Moisture+Meter&amp;qid=1694735470&amp;sr=8-37", "https://www.amazon.com/Calculated-Industries-AccuMASTER-Pinless-Moisture/dp/B0BNL3WHJS/ref=sr_1_37?keywords=Klein+Tools+ET140+Pinless+Moisture+Meter&amp;qid=1694735470&amp;sr=8-37")</f>
        <v/>
      </c>
      <c r="F8115" t="inlineStr">
        <is>
          <t>B0BNL3WHJS</t>
        </is>
      </c>
      <c r="G8115">
        <f>_xludf.IMAGE("https://edmondsonsupply.com/cdn/shop/products/et140_beauty_r.jpg?v=1587143172")</f>
        <v/>
      </c>
      <c r="H8115">
        <f>_xludf.IMAGE("https://m.media-amazon.com/images/I/4144pD2fDZL._AC_UL320_.jpg")</f>
        <v/>
      </c>
      <c r="K8115" t="inlineStr">
        <is>
          <t>41.97</t>
        </is>
      </c>
      <c r="L8115" t="n">
        <v>122.54</v>
      </c>
      <c r="M8115" s="1" t="inlineStr">
        <is>
          <t>191.97%</t>
        </is>
      </c>
      <c r="N8115" s="1" t="n"/>
      <c r="O8115" t="n">
        <v>1</v>
      </c>
      <c r="P8115" t="n">
        <v>1</v>
      </c>
      <c r="R8115" t="inlineStr">
        <is>
          <t>InStock</t>
        </is>
      </c>
      <c r="S8115" t="inlineStr">
        <is>
          <t>59.44</t>
        </is>
      </c>
      <c r="T8115" t="inlineStr">
        <is>
          <t>3693529071716</t>
        </is>
      </c>
    </row>
    <row r="8116" ht="87" customHeight="1">
      <c r="A8116" s="2">
        <f>HYPERLINK("https://edmondsonsupply.com/collections/electricians-tools/products/klein-tools-srs56037-magnetic-wire-pulling-system", "https://edmondsonsupply.com/collections/electricians-tools/products/klein-tools-srs56037-magnetic-wire-pulling-system")</f>
        <v/>
      </c>
      <c r="B8116" s="2">
        <f>HYPERLINK("https://edmondsonsupply.com/products/klein-tools-srs56037-magnetic-wire-pulling-system", "https://edmondsonsupply.com/products/klein-tools-srs56037-magnetic-wire-pulling-system")</f>
        <v/>
      </c>
      <c r="C8116" t="inlineStr">
        <is>
          <t>Klein Tools SRS56037 Magnetic Wire Pulling System</t>
        </is>
      </c>
      <c r="D8116" t="inlineStr">
        <is>
          <t>Wire Puller Kit with 30-Foot Glow Fish Rod and Magnetic Wire Puller, 2 Piece Klein Tools 80051 &amp; SRS56037 Magnetic Wire Pulling System</t>
        </is>
      </c>
      <c r="E8116" s="2">
        <f>HYPERLINK("https://www.amazon.com/30-Foot-Magnetic-Klein-Tools-SRS56037/dp/B0BGJ662K2/ref=sr_1_3?keywords=Klein+Tools+SRS56037+Magnetic+Wire+Pulling+System&amp;qid=1694735481&amp;sr=8-3", "https://www.amazon.com/30-Foot-Magnetic-Klein-Tools-SRS56037/dp/B0BGJ662K2/ref=sr_1_3?keywords=Klein+Tools+SRS56037+Magnetic+Wire+Pulling+System&amp;qid=1694735481&amp;sr=8-3")</f>
        <v/>
      </c>
      <c r="F8116" t="inlineStr">
        <is>
          <t>B0BGJ662K2</t>
        </is>
      </c>
      <c r="G8116">
        <f>_xlfn.IMAGE("https://edmondsonsupply.com/cdn/shop/products/srs56037.jpg?v=1587146490")</f>
        <v/>
      </c>
      <c r="H8116">
        <f>_xlfn.IMAGE("https://m.media-amazon.com/images/I/51b3+RIFa6L._AC_UL320_.jpg")</f>
        <v/>
      </c>
      <c r="K8116" t="inlineStr">
        <is>
          <t>49.97</t>
        </is>
      </c>
      <c r="L8116" t="n">
        <v>145.6</v>
      </c>
      <c r="M8116" s="1" t="inlineStr">
        <is>
          <t>191.37%</t>
        </is>
      </c>
      <c r="N8116" s="7" t="n"/>
      <c r="O8116" t="n">
        <v>5</v>
      </c>
      <c r="P8116" t="n">
        <v>2</v>
      </c>
      <c r="R8116" t="inlineStr">
        <is>
          <t>InStock</t>
        </is>
      </c>
      <c r="S8116" t="inlineStr">
        <is>
          <t>72.96</t>
        </is>
      </c>
      <c r="T8116" t="inlineStr">
        <is>
          <t>3698740035684</t>
        </is>
      </c>
    </row>
    <row r="8117" ht="87" customHeight="1">
      <c r="A8117" s="2">
        <f>HYPERLINK("https://edmondsonsupply.com/collections/electricians-tools/products/klein-tools-203-8-eins-long-nose-side-cutter-pliers-8-in-slim-insulated", "https://edmondsonsupply.com/collections/electricians-tools/products/klein-tools-203-8-eins-long-nose-side-cutter-pliers-8-in-slim-insulated")</f>
        <v/>
      </c>
      <c r="B8117" s="2">
        <f>HYPERLINK("https://edmondsonsupply.com/products/klein-tools-203-8-eins-long-nose-side-cutter-pliers-8-in-slim-insulated", "https://edmondsonsupply.com/products/klein-tools-203-8-eins-long-nose-side-cutter-pliers-8-in-slim-insulated")</f>
        <v/>
      </c>
      <c r="C8117" t="inlineStr">
        <is>
          <t>Klein Tools 2038EINS Long Nose Side Cutter Pliers, 8-In Slim Insulated (203-8-EINS)</t>
        </is>
      </c>
      <c r="D8117" t="inlineStr">
        <is>
          <t>Klein Tools 94130 1000V Insulated Screwdriver Tool Set &amp; 2038EINS Long Nose Side Cutter Insulated Pliers with Slim Induction Hardened Cutting Knives for Long Life, 8-Inch</t>
        </is>
      </c>
      <c r="E8117" s="2">
        <f>HYPERLINK("https://www.amazon.com/Klein-Tools-Insulated-Screwdriver-Induction/dp/B0B56XS25D/ref=sr_1_2?keywords=Klein+Tools+2038EINS+Long+Nose+Side+Cutter+Pliers%2C+8-In+Slim+Insulated+%28203-8-EINS%29&amp;qid=1694735458&amp;sr=8-2", "https://www.amazon.com/Klein-Tools-Insulated-Screwdriver-Induction/dp/B0B56XS25D/ref=sr_1_2?keywords=Klein+Tools+2038EINS+Long+Nose+Side+Cutter+Pliers%2C+8-In+Slim+Insulated+%28203-8-EINS%29&amp;qid=1694735458&amp;sr=8-2")</f>
        <v/>
      </c>
      <c r="F8117" t="inlineStr">
        <is>
          <t>B0B56XS25D</t>
        </is>
      </c>
      <c r="G8117">
        <f>_xlfn.IMAGE("https://edmondsonsupply.com/cdn/shop/products/2038eins.jpg?v=1587145565")</f>
        <v/>
      </c>
      <c r="H8117">
        <f>_xlfn.IMAGE("https://m.media-amazon.com/images/I/51WnIkIfzdL._AC_UL320_.jpg")</f>
        <v/>
      </c>
      <c r="K8117" t="inlineStr">
        <is>
          <t>55.99</t>
        </is>
      </c>
      <c r="L8117" t="n">
        <v>162.96</v>
      </c>
      <c r="M8117" s="1" t="inlineStr">
        <is>
          <t>191.05%</t>
        </is>
      </c>
      <c r="N8117" s="7" t="n"/>
      <c r="O8117" t="n">
        <v>4.9</v>
      </c>
      <c r="P8117" t="n">
        <v>11</v>
      </c>
      <c r="R8117" t="inlineStr">
        <is>
          <t>InStock</t>
        </is>
      </c>
      <c r="S8117" t="inlineStr">
        <is>
          <t>93.2</t>
        </is>
      </c>
      <c r="T8117" t="inlineStr">
        <is>
          <t>3712695009380</t>
        </is>
      </c>
    </row>
    <row r="8118" hidden="1" ht="15.75" customHeight="1">
      <c r="A8118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118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118" t="inlineStr">
        <is>
          <t>Klein Tools JTH6M6 6 mm Hex Key, Journeyman T-Handle, 6-Inch</t>
        </is>
      </c>
      <c r="D8118" t="inlineStr">
        <is>
          <t>Klein Tools JTH6E09BE 9/64-Inch Ball-End Hex Key with Journeyman T-Handle, 6-Inch (Pack of 2)</t>
        </is>
      </c>
      <c r="E8118" s="2">
        <f>HYPERLINK("https://www.amazon.com/Klein-Tools-JTH6E09BE-Ball-End-Journeyman/dp/B0CGLVC75M/ref=sr_1_13?keywords=Klein+Tools+JTH6M6+6+mm+Hex+Key%2C+Journeyman+T-Handle%2C+6-Inch&amp;qid=1694735472&amp;sr=8-13", "https://www.amazon.com/Klein-Tools-JTH6E09BE-Ball-End-Journeyman/dp/B0CGLVC75M/ref=sr_1_13?keywords=Klein+Tools+JTH6M6+6+mm+Hex+Key%2C+Journeyman+T-Handle%2C+6-Inch&amp;qid=1694735472&amp;sr=8-13")</f>
        <v/>
      </c>
      <c r="F8118" t="inlineStr">
        <is>
          <t>B0CGLVC75M</t>
        </is>
      </c>
      <c r="G8118">
        <f>_xludf.IMAGE("https://edmondsonsupply.com/cdn/shop/products/jth6m8_f0088b53-c3db-4dc3-9272-8f65ecc1b648.jpg?v=1587147556")</f>
        <v/>
      </c>
      <c r="H8118">
        <f>_xludf.IMAGE("https://m.media-amazon.com/images/I/41bN+I19ReL._AC_UL320_.jpg")</f>
        <v/>
      </c>
      <c r="K8118" t="inlineStr">
        <is>
          <t>4.99</t>
        </is>
      </c>
      <c r="L8118" t="n">
        <v>14.36</v>
      </c>
      <c r="M8118" s="1" t="inlineStr">
        <is>
          <t>187.78%</t>
        </is>
      </c>
      <c r="N8118" s="1" t="n"/>
      <c r="O8118" t="n">
        <v>4.9</v>
      </c>
      <c r="P8118" t="n">
        <v>65</v>
      </c>
      <c r="R8118" t="inlineStr">
        <is>
          <t>InStock</t>
        </is>
      </c>
      <c r="S8118" t="inlineStr">
        <is>
          <t>7.56</t>
        </is>
      </c>
      <c r="T8118" t="inlineStr">
        <is>
          <t>3694875246692</t>
        </is>
      </c>
    </row>
    <row r="8119" ht="87" customHeight="1">
      <c r="A8119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119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119" t="inlineStr">
        <is>
          <t>Klein Tools 1019 Klein-Kurve® Wire Stripper / Crimper / Cutter Multi Tool</t>
        </is>
      </c>
      <c r="D8119" t="inlineStr">
        <is>
          <t>Klein Tools 3005CR Wire Crimper Tool &amp; 11063W Wire Cutter/Wire Stripper, Heavy Duty Wire Stripper Tool for 8-20 AWG Solid and 10-22 AWG Stranded Electrical Wire</t>
        </is>
      </c>
      <c r="E8119" s="2">
        <f>HYPERLINK("https://www.amazon.com/Klein-Tools-Stripper-Stranded-Electrical/dp/B08XKMZF55/ref=sr_1_26?keywords=Klein+Tools+1019+Klein-Kurve%C2%AE+Wire+Stripper+%2F+Crimper+%2F+Cutter+Multi+Tool&amp;qid=1694735475&amp;sr=8-26", "https://www.amazon.com/Klein-Tools-Stripper-Stranded-Electrical/dp/B08XKMZF55/ref=sr_1_26?keywords=Klein+Tools+1019+Klein-Kurve%C2%AE+Wire+Stripper+%2F+Crimper+%2F+Cutter+Multi+Tool&amp;qid=1694735475&amp;sr=8-26")</f>
        <v/>
      </c>
      <c r="F8119" t="inlineStr">
        <is>
          <t>B08XKMZF55</t>
        </is>
      </c>
      <c r="G8119">
        <f>_xlfn.IMAGE("https://edmondsonsupply.com/cdn/shop/products/1019.jpg?v=1587148776")</f>
        <v/>
      </c>
      <c r="H8119">
        <f>_xlfn.IMAGE("https://m.media-amazon.com/images/I/410rkxkOErL._AC_UL320_.jpg")</f>
        <v/>
      </c>
      <c r="K8119" t="inlineStr">
        <is>
          <t>20.97</t>
        </is>
      </c>
      <c r="L8119" t="n">
        <v>59.94</v>
      </c>
      <c r="M8119" s="1" t="inlineStr">
        <is>
          <t>185.84%</t>
        </is>
      </c>
      <c r="N8119" s="7" t="n"/>
      <c r="O8119" t="n">
        <v>4.9</v>
      </c>
      <c r="P8119" t="n">
        <v>14</v>
      </c>
      <c r="R8119" t="inlineStr">
        <is>
          <t>InStock</t>
        </is>
      </c>
      <c r="S8119" t="inlineStr">
        <is>
          <t>30.04</t>
        </is>
      </c>
      <c r="T8119" t="inlineStr">
        <is>
          <t>1780412481636</t>
        </is>
      </c>
    </row>
    <row r="8120" ht="87" customHeight="1">
      <c r="A8120" s="2">
        <f>HYPERLINK("https://edmondsonsupply.com/collections/electricians-tools/products/milwaukee-48-22-1901-fastback%E2%84%A2-flip-utility-knife", "https://edmondsonsupply.com/collections/electricians-tools/products/milwaukee-48-22-1901-fastback%E2%84%A2-flip-utility-knife")</f>
        <v/>
      </c>
      <c r="B8120" s="2">
        <f>HYPERLINK("https://edmondsonsupply.com/products/milwaukee-48-22-1901-fastback%e2%84%a2-flip-utility-knife", "https://edmondsonsupply.com/products/milwaukee-48-22-1901-fastback%e2%84%a2-flip-utility-knife")</f>
        <v/>
      </c>
      <c r="C8120" t="inlineStr">
        <is>
          <t>Milwaukee 48-22-1901 FASTBACK™ Compact Folding Utility Knife</t>
        </is>
      </c>
      <c r="D8120" t="inlineStr">
        <is>
          <t>For Milwaukee Tool 48-22-1505 Fastback™ 6In1 Folding Utility Knife</t>
        </is>
      </c>
      <c r="E8120" s="2">
        <f>HYPERLINK("https://www.amazon.com/Milwaukee-48-22-1505-FastbackTM-Folding-Utility/dp/B0C69TGH9K/ref=sr_1_5?keywords=Milwaukee+48-22-1901+FASTBACK%E2%84%A2+Compact+Folding+Utility+Knife&amp;qid=1694735431&amp;sr=8-5", "https://www.amazon.com/Milwaukee-48-22-1505-FastbackTM-Folding-Utility/dp/B0C69TGH9K/ref=sr_1_5?keywords=Milwaukee+48-22-1901+FASTBACK%E2%84%A2+Compact+Folding+Utility+Knife&amp;qid=1694735431&amp;sr=8-5")</f>
        <v/>
      </c>
      <c r="F8120" t="inlineStr">
        <is>
          <t>B0C69TGH9K</t>
        </is>
      </c>
      <c r="G8120">
        <f>_xlfn.IMAGE("https://edmondsonsupply.com/cdn/shop/products/48-22-1901_1.png?v=1649163012")</f>
        <v/>
      </c>
      <c r="H8120">
        <f>_xlfn.IMAGE("https://m.media-amazon.com/images/I/41ZUsUsHByL._AC_UL320_.jpg")</f>
        <v/>
      </c>
      <c r="K8120" t="inlineStr">
        <is>
          <t>11.29</t>
        </is>
      </c>
      <c r="L8120" t="n">
        <v>32.19</v>
      </c>
      <c r="M8120" s="1" t="inlineStr">
        <is>
          <t>185.12%</t>
        </is>
      </c>
      <c r="N8120" s="7" t="n"/>
      <c r="O8120" t="n">
        <v>4.5</v>
      </c>
      <c r="P8120" t="n">
        <v>2</v>
      </c>
      <c r="R8120" t="inlineStr">
        <is>
          <t>InStock</t>
        </is>
      </c>
      <c r="S8120" t="inlineStr">
        <is>
          <t>19.9</t>
        </is>
      </c>
      <c r="T8120" t="inlineStr">
        <is>
          <t>4342639460452</t>
        </is>
      </c>
    </row>
    <row r="8121" ht="87" customHeight="1">
      <c r="A8121" s="2">
        <f>HYPERLINK("https://edmondsonsupply.com/collections/electricians-tools/products/klein-tools-86601-5-16-inch-magnetic-hex-drivers-3-pack", "https://edmondsonsupply.com/collections/electricians-tools/products/klein-tools-86601-5-16-inch-magnetic-hex-drivers-3-pack")</f>
        <v/>
      </c>
      <c r="B8121" s="2">
        <f>HYPERLINK("https://edmondsonsupply.com/products/klein-tools-86601-5-16-inch-magnetic-hex-drivers-3-pack", "https://edmondsonsupply.com/products/klein-tools-86601-5-16-inch-magnetic-hex-drivers-3-pack")</f>
        <v/>
      </c>
      <c r="C8121" t="inlineStr">
        <is>
          <t>Klein Tools 86601 5/16-Inch Magnetic Hex Drivers, 3-Pack</t>
        </is>
      </c>
      <c r="D8121" t="inlineStr">
        <is>
          <t>Klein Tools 32767 Impact Driver, 3-in-1 Impact Flip Socket and Bit Holder, 1/4-Inch and 5/16-Inch Hex Drivers, 5-Inch Length (Pack of 2)</t>
        </is>
      </c>
      <c r="E8121" s="2">
        <f>HYPERLINK("https://www.amazon.com/Klein-Tools-32767-16-Inch-Drivers/dp/B0CDQKP7LM/ref=sr_1_9?keywords=Klein+Tools+86601+5%2F16-Inch+Magnetic+Hex+Drivers%2C+3-Pack&amp;qid=1694735450&amp;sr=8-9", "https://www.amazon.com/Klein-Tools-32767-16-Inch-Drivers/dp/B0CDQKP7LM/ref=sr_1_9?keywords=Klein+Tools+86601+5%2F16-Inch+Magnetic+Hex+Drivers%2C+3-Pack&amp;qid=1694735450&amp;sr=8-9")</f>
        <v/>
      </c>
      <c r="F8121" t="inlineStr">
        <is>
          <t>B0CDQKP7LM</t>
        </is>
      </c>
      <c r="G8121">
        <f>_xlfn.IMAGE("https://edmondsonsupply.com/cdn/shop/products/86601.jpg?v=1587143139")</f>
        <v/>
      </c>
      <c r="H8121">
        <f>_xlfn.IMAGE("https://m.media-amazon.com/images/I/41Z456wDYpL._AC_UL320_.jpg")</f>
        <v/>
      </c>
      <c r="K8121" t="inlineStr">
        <is>
          <t>6.99</t>
        </is>
      </c>
      <c r="L8121" t="n">
        <v>19.77</v>
      </c>
      <c r="M8121" s="1" t="inlineStr">
        <is>
          <t>182.83%</t>
        </is>
      </c>
      <c r="N8121" s="7" t="n"/>
      <c r="O8121" t="n">
        <v>4.3</v>
      </c>
      <c r="P8121" t="n">
        <v>799</v>
      </c>
      <c r="R8121" t="inlineStr">
        <is>
          <t>InStock</t>
        </is>
      </c>
      <c r="S8121" t="inlineStr">
        <is>
          <t>10.1</t>
        </is>
      </c>
      <c r="T8121" t="inlineStr">
        <is>
          <t>4274616434788</t>
        </is>
      </c>
    </row>
    <row r="8122" ht="87" customHeight="1">
      <c r="A8122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122" s="2">
        <f>HYPERLINK("https://edmondsonsupply.com/products/klein-tools-11061-self-adjusting-wire-stripper-cutter", "https://edmondsonsupply.com/products/klein-tools-11061-self-adjusting-wire-stripper-cutter")</f>
        <v/>
      </c>
      <c r="C8122" t="inlineStr">
        <is>
          <t>Klein Tools 11061 Wire Stripper and Cutter, Self-Adjusting</t>
        </is>
      </c>
      <c r="D8122" t="inlineStr">
        <is>
          <t>Klein Tools 69149P Multimeter Test Kit &amp; 11061 Wire Stripper/Wire Cutter for Solid and Stranded AWG Wire, Heavy Duty Kleins are Self Adjusting</t>
        </is>
      </c>
      <c r="E8122" s="2">
        <f>HYPERLINK("https://www.amazon.com/Klein-Tools-Multimeter-Stripper-Adjusting/dp/B0BC88NXSV/ref=sr_1_6?keywords=Klein+Tools+11061+Wire+Stripper+and+Cutter%2C+Self-Adjusting&amp;qid=1694735488&amp;sr=8-6", "https://www.amazon.com/Klein-Tools-Multimeter-Stripper-Adjusting/dp/B0BC88NXSV/ref=sr_1_6?keywords=Klein+Tools+11061+Wire+Stripper+and+Cutter%2C+Self-Adjusting&amp;qid=1694735488&amp;sr=8-6")</f>
        <v/>
      </c>
      <c r="F8122" t="inlineStr">
        <is>
          <t>B0BC88NXSV</t>
        </is>
      </c>
      <c r="G8122">
        <f>_xlfn.IMAGE("https://edmondsonsupply.com/cdn/shop/products/11061.jpg?v=1587148772")</f>
        <v/>
      </c>
      <c r="H8122">
        <f>_xlfn.IMAGE("https://m.media-amazon.com/images/I/51Q9dNzn8WL._AC_UL320_.jpg")</f>
        <v/>
      </c>
      <c r="K8122" t="inlineStr">
        <is>
          <t>21.97</t>
        </is>
      </c>
      <c r="L8122" t="n">
        <v>61.94</v>
      </c>
      <c r="M8122" s="1" t="inlineStr">
        <is>
          <t>181.93%</t>
        </is>
      </c>
      <c r="N8122" s="7" t="n"/>
      <c r="O8122" t="n">
        <v>5</v>
      </c>
      <c r="P8122" t="n">
        <v>1</v>
      </c>
      <c r="R8122" t="inlineStr">
        <is>
          <t>InStock</t>
        </is>
      </c>
      <c r="S8122" t="inlineStr">
        <is>
          <t>37.14</t>
        </is>
      </c>
      <c r="T8122" t="inlineStr">
        <is>
          <t>3688611020900</t>
        </is>
      </c>
    </row>
    <row r="8123" ht="87" customHeight="1">
      <c r="A8123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123" s="2">
        <f>HYPERLINK("https://edmondsonsupply.com/products/klein-tools-600-1-5-16-inch-cabinet-tip-screwdriver-1-1-2-inch", "https://edmondsonsupply.com/products/klein-tools-600-1-5-16-inch-cabinet-tip-screwdriver-1-1-2-inch")</f>
        <v/>
      </c>
      <c r="C8123" t="inlineStr">
        <is>
          <t>Klein Tools 600-1 5/16-Inch Cabinet Tip Screwdriver 1-1/2-Inch</t>
        </is>
      </c>
      <c r="D8123" t="inlineStr">
        <is>
          <t>Klein Tools 32751 Screwdriver with Adjustable Length 4 to 8-Inch, #2 Phillips Tip and 1/4-Inch Slotted Tip</t>
        </is>
      </c>
      <c r="E8123" s="2">
        <f>HYPERLINK("https://www.amazon.com/Klein-Tools-32751-Screwdriver-Adjustable/dp/B010TNZDHW/ref=sr_1_33?keywords=Klein+Tools+600-1+5%2F16-Inch+Cabinet+Tip+Screwdriver+1-1%2F2-Inch&amp;qid=1694735453&amp;sr=8-33", "https://www.amazon.com/Klein-Tools-32751-Screwdriver-Adjustable/dp/B010TNZDHW/ref=sr_1_33?keywords=Klein+Tools+600-1+5%2F16-Inch+Cabinet+Tip+Screwdriver+1-1%2F2-Inch&amp;qid=1694735453&amp;sr=8-33")</f>
        <v/>
      </c>
      <c r="F8123" t="inlineStr">
        <is>
          <t>B010TNZDHW</t>
        </is>
      </c>
      <c r="G8123">
        <f>_xlfn.IMAGE("https://edmondsonsupply.com/cdn/shop/products/600-1.jpg?v=1587147752")</f>
        <v/>
      </c>
      <c r="H8123">
        <f>_xlfn.IMAGE("https://m.media-amazon.com/images/I/415jqxJt+CL._AC_UL320_.jpg")</f>
        <v/>
      </c>
      <c r="K8123" t="inlineStr">
        <is>
          <t>7.49</t>
        </is>
      </c>
      <c r="L8123" t="n">
        <v>20.99</v>
      </c>
      <c r="M8123" s="1" t="inlineStr">
        <is>
          <t>180.24%</t>
        </is>
      </c>
      <c r="N8123" s="7" t="n"/>
      <c r="O8123" t="n">
        <v>4.7</v>
      </c>
      <c r="P8123" t="n">
        <v>1726</v>
      </c>
      <c r="R8123" t="inlineStr">
        <is>
          <t>InStock</t>
        </is>
      </c>
      <c r="S8123" t="inlineStr">
        <is>
          <t>11.22</t>
        </is>
      </c>
      <c r="T8123" t="inlineStr">
        <is>
          <t>4171360403556</t>
        </is>
      </c>
    </row>
    <row r="8124" ht="87" customHeight="1">
      <c r="A8124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124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124" t="inlineStr">
        <is>
          <t>Klein Tools 11055 Klein Kurve® Solid and Stranded Copper Wire Stripper &amp; Cutter</t>
        </is>
      </c>
      <c r="D8124" t="inlineStr">
        <is>
          <t>Wiha 32091 5-Piece 1000-Volt Slotted and Phillips Insulated Screwdriver Set &amp; Klein Tools 11055 Wire Cutter and Wire Stripper, Stranded Wire Cutter, Solid Wire Cutter, Cuts Copper Wire</t>
        </is>
      </c>
      <c r="E8124" s="2">
        <f>HYPERLINK("https://www.amazon.com/Wiha-1000-Volt-Phillips-Insulated-Screwdriver/dp/B0BGJ9MZ8H/ref=sr_1_4?keywords=Klein+Tools+11055+Klein+Kurve%C2%AE+Solid+and+Stranded+Copper+Wire+Stripper+%26+Cutter&amp;qid=1694735472&amp;sr=8-4", "https://www.amazon.com/Wiha-1000-Volt-Phillips-Insulated-Screwdriver/dp/B0BGJ9MZ8H/ref=sr_1_4?keywords=Klein+Tools+11055+Klein+Kurve%C2%AE+Solid+and+Stranded+Copper+Wire+Stripper+%26+Cutter&amp;qid=1694735472&amp;sr=8-4")</f>
        <v/>
      </c>
      <c r="F8124" t="inlineStr">
        <is>
          <t>B0BGJ9MZ8H</t>
        </is>
      </c>
      <c r="G8124">
        <f>_xlfn.IMAGE("https://edmondsonsupply.com/cdn/shop/products/11055ep.jpg?v=1670949748")</f>
        <v/>
      </c>
      <c r="H8124">
        <f>_xlfn.IMAGE("https://m.media-amazon.com/images/I/41pl+qq8yVL._AC_UL320_.jpg")</f>
        <v/>
      </c>
      <c r="K8124" t="inlineStr">
        <is>
          <t>19.99</t>
        </is>
      </c>
      <c r="L8124" t="n">
        <v>55.63</v>
      </c>
      <c r="M8124" s="1" t="inlineStr">
        <is>
          <t>178.29%</t>
        </is>
      </c>
      <c r="N8124" s="7" t="n"/>
      <c r="O8124" t="n">
        <v>4.8</v>
      </c>
      <c r="P8124" t="n">
        <v>878</v>
      </c>
      <c r="R8124" t="inlineStr">
        <is>
          <t>InStock</t>
        </is>
      </c>
      <c r="S8124" t="inlineStr">
        <is>
          <t>29.82</t>
        </is>
      </c>
      <c r="T8124" t="inlineStr">
        <is>
          <t>1780558135396</t>
        </is>
      </c>
    </row>
    <row r="8125" ht="87" customHeight="1">
      <c r="A8125" s="2">
        <f>HYPERLINK("https://edmondsonsupply.com/collections/electricians-tools/products/klein-tools-935-torpedo-level", "https://edmondsonsupply.com/collections/electricians-tools/products/klein-tools-935-torpedo-level")</f>
        <v/>
      </c>
      <c r="B8125" s="2">
        <f>HYPERLINK("https://edmondsonsupply.com/products/klein-tools-935-torpedo-level", "https://edmondsonsupply.com/products/klein-tools-935-torpedo-level")</f>
        <v/>
      </c>
      <c r="C8125" t="inlineStr">
        <is>
          <t>Klein Tools 935 Torpedo Level, 3 Vial, 9-Inch</t>
        </is>
      </c>
      <c r="D8125" t="inlineStr">
        <is>
          <t>Klein Tools 935L Level, 24-Inch Magnetic Bubble Level with Adjustable Vial and Top V-Groove, High Viz Orange</t>
        </is>
      </c>
      <c r="E8125" s="2">
        <f>HYPERLINK("https://www.amazon.com/Magnetic-Adjustable-Klein-Tools-935L/dp/B07G2DLXKL/ref=sr_1_14?keywords=Klein+Tools+935+Torpedo+Level%2C+3+Vial%2C+9-Inch&amp;qid=1694735440&amp;sr=8-14", "https://www.amazon.com/Magnetic-Adjustable-Klein-Tools-935L/dp/B07G2DLXKL/ref=sr_1_14?keywords=Klein+Tools+935+Torpedo+Level%2C+3+Vial%2C+9-Inch&amp;qid=1694735440&amp;sr=8-14")</f>
        <v/>
      </c>
      <c r="F8125" t="inlineStr">
        <is>
          <t>B07G2DLXKL</t>
        </is>
      </c>
      <c r="G8125">
        <f>_xlfn.IMAGE("https://edmondsonsupply.com/cdn/shop/products/935_b.jpg?v=1679425556")</f>
        <v/>
      </c>
      <c r="H8125">
        <f>_xlfn.IMAGE("https://m.media-amazon.com/images/I/51dhBnwf8JL._AC_UL320_.jpg")</f>
        <v/>
      </c>
      <c r="K8125" t="inlineStr">
        <is>
          <t>17.97</t>
        </is>
      </c>
      <c r="L8125" t="n">
        <v>49.99</v>
      </c>
      <c r="M8125" s="1" t="inlineStr">
        <is>
          <t>178.19%</t>
        </is>
      </c>
      <c r="N8125" s="7" t="n"/>
      <c r="O8125" t="n">
        <v>4.8</v>
      </c>
      <c r="P8125" t="n">
        <v>434</v>
      </c>
      <c r="R8125" t="inlineStr">
        <is>
          <t>InStock</t>
        </is>
      </c>
      <c r="S8125" t="inlineStr">
        <is>
          <t>25.22</t>
        </is>
      </c>
      <c r="T8125" t="inlineStr">
        <is>
          <t>4310094086244</t>
        </is>
      </c>
    </row>
    <row r="8126" ht="87" customHeight="1">
      <c r="A8126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126" s="2">
        <f>HYPERLINK("https://edmondsonsupply.com/products/klein-tools-601-4-3-16-cabinet-tip-screwdriver-4-round-shank", "https://edmondsonsupply.com/products/klein-tools-601-4-3-16-cabinet-tip-screwdriver-4-round-shank")</f>
        <v/>
      </c>
      <c r="C8126" t="inlineStr">
        <is>
          <t>Klein Tools 601-4 3/16-Inch Cabinet Tip Screwdriver 4-Inch</t>
        </is>
      </c>
      <c r="D8126" t="inlineStr">
        <is>
          <t>Klein Tools 614-4 Flat Screwdriver, Precision Electronics Screwdriver, 1/8-Inch Cabinet Tip, 4-Inch Shank (Pack of 2)</t>
        </is>
      </c>
      <c r="E8126" s="2">
        <f>HYPERLINK("https://www.amazon.com/Klein-Tools-Screwdriver-Precision-Electronics/dp/B0CDQJLP83/ref=sr_1_19?keywords=Klein+Tools+601-4+3%2F16-Inch+Cabinet+Tip+Screwdriver+4-Inch&amp;qid=1694735471&amp;sr=8-19", "https://www.amazon.com/Klein-Tools-Screwdriver-Precision-Electronics/dp/B0CDQJLP83/ref=sr_1_19?keywords=Klein+Tools+601-4+3%2F16-Inch+Cabinet+Tip+Screwdriver+4-Inch&amp;qid=1694735471&amp;sr=8-19")</f>
        <v/>
      </c>
      <c r="F8126" t="inlineStr">
        <is>
          <t>B0CDQJLP83</t>
        </is>
      </c>
      <c r="G8126">
        <f>_xlfn.IMAGE("https://edmondsonsupply.com/cdn/shop/products/601-4.jpg?v=1587147829")</f>
        <v/>
      </c>
      <c r="H8126">
        <f>_xlfn.IMAGE("https://m.media-amazon.com/images/I/31h2+ShYAnL._AC_UL320_.jpg")</f>
        <v/>
      </c>
      <c r="K8126" t="inlineStr">
        <is>
          <t>8.98</t>
        </is>
      </c>
      <c r="L8126" t="n">
        <v>24.84</v>
      </c>
      <c r="M8126" s="1" t="inlineStr">
        <is>
          <t>176.61%</t>
        </is>
      </c>
      <c r="N8126" s="7" t="n"/>
      <c r="O8126" t="n">
        <v>4.7</v>
      </c>
      <c r="P8126" t="n">
        <v>332</v>
      </c>
      <c r="R8126" t="inlineStr">
        <is>
          <t>InStock</t>
        </is>
      </c>
      <c r="S8126" t="inlineStr">
        <is>
          <t>11.52</t>
        </is>
      </c>
      <c r="T8126" t="inlineStr">
        <is>
          <t>2767048900708</t>
        </is>
      </c>
    </row>
    <row r="8127" ht="87" customHeight="1">
      <c r="A8127" s="2">
        <f>HYPERLINK("https://edmondsonsupply.com/collections/electricians-tools/products/klein-tools-44200-cable-splicers-knife-6-1-2-inch", "https://edmondsonsupply.com/collections/electricians-tools/products/klein-tools-44200-cable-splicers-knife-6-1-2-inch")</f>
        <v/>
      </c>
      <c r="B8127" s="2">
        <f>HYPERLINK("https://edmondsonsupply.com/products/klein-tools-44200-cable-splicers-knife-6-1-2-inch", "https://edmondsonsupply.com/products/klein-tools-44200-cable-splicers-knife-6-1-2-inch")</f>
        <v/>
      </c>
      <c r="C8127" t="inlineStr">
        <is>
          <t>Klein Tools 44200 Cable Splicer's Knife, 6-1/4-Inch</t>
        </is>
      </c>
      <c r="D8127" t="inlineStr">
        <is>
          <t>Klein Tools 46039 Cable Splicer's Kit with Cable Splicer Electricians Knife and Free-Fall Snip &amp; Jonard JIC-186 Kevlar Ergonomic Fiber Optic Cutter, 6" Length</t>
        </is>
      </c>
      <c r="E8127" s="2">
        <f>HYPERLINK("https://www.amazon.com/Klein-Tools-Electricians-Free-Fall-Ergonomic/dp/B0BM2ZZLXQ/ref=sr_1_12?keywords=Klein+Tools+44200+Cable+Splicer%27s+Knife%2C+6-1%2F4-Inch&amp;qid=1694735456&amp;sr=8-12", "https://www.amazon.com/Klein-Tools-Electricians-Free-Fall-Ergonomic/dp/B0BM2ZZLXQ/ref=sr_1_12?keywords=Klein+Tools+44200+Cable+Splicer%27s+Knife%2C+6-1%2F4-Inch&amp;qid=1694735456&amp;sr=8-12")</f>
        <v/>
      </c>
      <c r="F8127" t="inlineStr">
        <is>
          <t>B0BM2ZZLXQ</t>
        </is>
      </c>
      <c r="G8127">
        <f>_xlfn.IMAGE("https://edmondsonsupply.com/cdn/shop/products/44200.jpg?v=1679663195")</f>
        <v/>
      </c>
      <c r="H8127">
        <f>_xlfn.IMAGE("https://m.media-amazon.com/images/I/41HxtrGOXEL._AC_UL320_.jpg")</f>
        <v/>
      </c>
      <c r="K8127" t="inlineStr">
        <is>
          <t>21.99</t>
        </is>
      </c>
      <c r="L8127" t="n">
        <v>60.66</v>
      </c>
      <c r="M8127" s="1" t="inlineStr">
        <is>
          <t>175.85%</t>
        </is>
      </c>
      <c r="N8127" s="7" t="n"/>
      <c r="O8127" t="n">
        <v>5</v>
      </c>
      <c r="P8127" t="n">
        <v>1</v>
      </c>
      <c r="R8127" t="inlineStr">
        <is>
          <t>InStock</t>
        </is>
      </c>
      <c r="S8127" t="inlineStr">
        <is>
          <t>33.44</t>
        </is>
      </c>
      <c r="T8127" t="inlineStr">
        <is>
          <t>4096592019556</t>
        </is>
      </c>
    </row>
    <row r="8128" ht="87" customHeight="1">
      <c r="A8128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128" s="2">
        <f>HYPERLINK("https://edmondsonsupply.com/products/klein-tools-69411-circuit-breaker-finder-accessory-kit", "https://edmondsonsupply.com/products/klein-tools-69411-circuit-breaker-finder-accessory-kit")</f>
        <v/>
      </c>
      <c r="C8128" t="inlineStr">
        <is>
          <t>Klein Tools 69411 Circuit Breaker Finder Accessory Kit</t>
        </is>
      </c>
      <c r="D8128" t="inlineStr">
        <is>
          <t>Klein Tools 80016 Circuit Breaker Finder Tool Kit with Accessories, 2-Piece Set, Includes Cat. No. ET310 and Cat. No. 69411</t>
        </is>
      </c>
      <c r="E8128" s="2">
        <f>HYPERLINK("https://www.amazon.com/Klein-Tools-80016-Circuit-Accessories/dp/B08VWCSG7G/ref=sr_1_2?keywords=Klein+Tools+69411+Circuit+Breaker+Finder+Accessory+Kit&amp;qid=1694735452&amp;sr=8-2", "https://www.amazon.com/Klein-Tools-80016-Circuit-Accessories/dp/B08VWCSG7G/ref=sr_1_2?keywords=Klein+Tools+69411+Circuit+Breaker+Finder+Accessory+Kit&amp;qid=1694735452&amp;sr=8-2")</f>
        <v/>
      </c>
      <c r="F8128" t="inlineStr">
        <is>
          <t>B08VWCSG7G</t>
        </is>
      </c>
      <c r="G8128">
        <f>_xlfn.IMAGE("https://edmondsonsupply.com/cdn/shop/products/69411.jpg?v=1587143386")</f>
        <v/>
      </c>
      <c r="H8128">
        <f>_xlfn.IMAGE("https://m.media-amazon.com/images/I/61nUGm7CuJL._AC_UL320_.jpg")</f>
        <v/>
      </c>
      <c r="K8128" t="inlineStr">
        <is>
          <t>19.97</t>
        </is>
      </c>
      <c r="L8128" t="n">
        <v>54.99</v>
      </c>
      <c r="M8128" s="1" t="inlineStr">
        <is>
          <t>175.36%</t>
        </is>
      </c>
      <c r="N8128" s="7" t="n"/>
      <c r="O8128" t="n">
        <v>4.7</v>
      </c>
      <c r="P8128" t="n">
        <v>5562</v>
      </c>
      <c r="R8128" t="inlineStr">
        <is>
          <t>InStock</t>
        </is>
      </c>
      <c r="S8128" t="inlineStr">
        <is>
          <t>27.96</t>
        </is>
      </c>
      <c r="T8128" t="inlineStr">
        <is>
          <t>4166896255076</t>
        </is>
      </c>
    </row>
    <row r="8129" ht="87" customHeight="1">
      <c r="A8129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129" s="2">
        <f>HYPERLINK("https://edmondsonsupply.com/products/klein-tools-rt210-gfci-receptacle-tester", "https://edmondsonsupply.com/products/klein-tools-rt210-gfci-receptacle-tester")</f>
        <v/>
      </c>
      <c r="C8129" t="inlineStr">
        <is>
          <t>Klein Tools RT210 GFCI Outlet Tester</t>
        </is>
      </c>
      <c r="D8129" t="inlineStr">
        <is>
          <t>Klein Tools RT250 GFCI Receptacle Tester &amp; RT210 Outlet Tester, Receptacle Tester for GFCI/Standard North American AC Electrical Outlets, Detects Common Wiring Problems</t>
        </is>
      </c>
      <c r="E8129" s="2">
        <f>HYPERLINK("https://www.amazon.com/Klein-Tools-Receptacle-Standard-Electrical/dp/B0B7NKSRX4/ref=sr_1_2?keywords=Klein+Tools+RT210+GFCI+Outlet+Tester&amp;qid=1694735460&amp;sr=8-2", "https://www.amazon.com/Klein-Tools-Receptacle-Standard-Electrical/dp/B0B7NKSRX4/ref=sr_1_2?keywords=Klein+Tools+RT210+GFCI+Outlet+Tester&amp;qid=1694735460&amp;sr=8-2")</f>
        <v/>
      </c>
      <c r="F8129" t="inlineStr">
        <is>
          <t>B0B7NKSRX4</t>
        </is>
      </c>
      <c r="G8129">
        <f>_xlfn.IMAGE("https://edmondsonsupply.com/cdn/shop/products/rt210.jpg?v=1587146495")</f>
        <v/>
      </c>
      <c r="H8129">
        <f>_xlfn.IMAGE("https://m.media-amazon.com/images/I/51lEi5BWv7L._AC_UL320_.jpg")</f>
        <v/>
      </c>
      <c r="K8129" t="inlineStr">
        <is>
          <t>12.97</t>
        </is>
      </c>
      <c r="L8129" t="n">
        <v>34.94</v>
      </c>
      <c r="M8129" s="1" t="inlineStr">
        <is>
          <t>169.39%</t>
        </is>
      </c>
      <c r="N8129" s="7" t="n"/>
      <c r="O8129" t="n">
        <v>5</v>
      </c>
      <c r="P8129" t="n">
        <v>7</v>
      </c>
      <c r="R8129" t="inlineStr">
        <is>
          <t>InStock</t>
        </is>
      </c>
      <c r="S8129" t="inlineStr">
        <is>
          <t>17.12</t>
        </is>
      </c>
      <c r="T8129" t="inlineStr">
        <is>
          <t>3711963988068</t>
        </is>
      </c>
    </row>
    <row r="8130" ht="87" customHeight="1">
      <c r="A8130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130" s="2">
        <f>HYPERLINK("https://edmondsonsupply.com/products/klein-tools-69401-multimeter-carrying-case", "https://edmondsonsupply.com/products/klein-tools-69401-multimeter-carrying-case")</f>
        <v/>
      </c>
      <c r="C8130" t="inlineStr">
        <is>
          <t>Klein Tools 69401 Multimeter Carrying Case</t>
        </is>
      </c>
      <c r="D8130" t="inlineStr">
        <is>
          <t>Klein Tools 80101 Home Tester Kit, GFCI Outlet and Receptacle Testers, Multimeter, NCVT, Circuit Breaker Finder, Leads, 6-Piece, Black &amp; 69401 Multimeter Carrying Case</t>
        </is>
      </c>
      <c r="E8130" s="2">
        <f>HYPERLINK("https://www.amazon.com/Klein-Tools-Receptacle-Multimeter-Carrying/dp/B0BXK96944/ref=sr_1_14?keywords=Klein+Tools+69401+Multimeter+Carrying+Case&amp;qid=1694735435&amp;sr=8-14", "https://www.amazon.com/Klein-Tools-Receptacle-Multimeter-Carrying/dp/B0BXK96944/ref=sr_1_14?keywords=Klein+Tools+69401+Multimeter+Carrying+Case&amp;qid=1694735435&amp;sr=8-14")</f>
        <v/>
      </c>
      <c r="F8130" t="inlineStr">
        <is>
          <t>B0BXK96944</t>
        </is>
      </c>
      <c r="G8130">
        <f>_xlfn.IMAGE("https://edmondsonsupply.com/cdn/shop/products/69401.jpg?v=1587151194")</f>
        <v/>
      </c>
      <c r="H8130">
        <f>_xlfn.IMAGE("https://m.media-amazon.com/images/I/61NUsCQ91wL._AC_UL320_.jpg")</f>
        <v/>
      </c>
      <c r="K8130" t="inlineStr">
        <is>
          <t>16.97</t>
        </is>
      </c>
      <c r="L8130" t="n">
        <v>45.5</v>
      </c>
      <c r="M8130" s="1" t="inlineStr">
        <is>
          <t>168.12%</t>
        </is>
      </c>
      <c r="N8130" s="7" t="n"/>
      <c r="O8130" t="n">
        <v>4.7</v>
      </c>
      <c r="P8130" t="n">
        <v>403</v>
      </c>
      <c r="R8130" t="inlineStr">
        <is>
          <t>InStock</t>
        </is>
      </c>
      <c r="S8130" t="inlineStr">
        <is>
          <t>23.84</t>
        </is>
      </c>
      <c r="T8130" t="inlineStr">
        <is>
          <t>4348577710180</t>
        </is>
      </c>
    </row>
    <row r="8131" ht="87" customHeight="1">
      <c r="A8131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131" s="2">
        <f>HYPERLINK("https://edmondsonsupply.com/products/klein-tools-601-4-3-16-cabinet-tip-screwdriver-4-round-shank", "https://edmondsonsupply.com/products/klein-tools-601-4-3-16-cabinet-tip-screwdriver-4-round-shank")</f>
        <v/>
      </c>
      <c r="C8131" t="inlineStr">
        <is>
          <t>Klein Tools 601-4 3/16-Inch Cabinet Tip Screwdriver 4-Inch</t>
        </is>
      </c>
      <c r="D8131" t="inlineStr">
        <is>
          <t>Klein Tools 85153K Slotted Screw-Holding Screwdriver Set, 3/16-Inch, 1/4-Inch Split-Blade Flat Head Driver, Positive Gripping Action, 2-Piece</t>
        </is>
      </c>
      <c r="E8131" s="2">
        <f>HYPERLINK("https://www.amazon.com/Klein-Tools-85153K-Screw-Holding-Screwdriver/dp/B0CFRP1K3L/ref=sr_1_21?keywords=Klein+Tools+601-4+3%2F16-Inch+Cabinet+Tip+Screwdriver+4-Inch&amp;qid=1694735471&amp;sr=8-21", "https://www.amazon.com/Klein-Tools-85153K-Screw-Holding-Screwdriver/dp/B0CFRP1K3L/ref=sr_1_21?keywords=Klein+Tools+601-4+3%2F16-Inch+Cabinet+Tip+Screwdriver+4-Inch&amp;qid=1694735471&amp;sr=8-21")</f>
        <v/>
      </c>
      <c r="F8131" t="inlineStr">
        <is>
          <t>B0CFRP1K3L</t>
        </is>
      </c>
      <c r="G8131">
        <f>_xlfn.IMAGE("https://edmondsonsupply.com/cdn/shop/products/601-4.jpg?v=1587147829")</f>
        <v/>
      </c>
      <c r="H8131">
        <f>_xlfn.IMAGE("https://m.media-amazon.com/images/I/41KoRmOkBpL._AC_UL320_.jpg")</f>
        <v/>
      </c>
      <c r="K8131" t="inlineStr">
        <is>
          <t>8.98</t>
        </is>
      </c>
      <c r="L8131" t="n">
        <v>23.97</v>
      </c>
      <c r="M8131" s="1" t="inlineStr">
        <is>
          <t>166.93%</t>
        </is>
      </c>
      <c r="N8131" s="7" t="n"/>
      <c r="O8131" t="n">
        <v>5</v>
      </c>
      <c r="P8131" t="n">
        <v>1</v>
      </c>
      <c r="R8131" t="inlineStr">
        <is>
          <t>InStock</t>
        </is>
      </c>
      <c r="S8131" t="inlineStr">
        <is>
          <t>11.52</t>
        </is>
      </c>
      <c r="T8131" t="inlineStr">
        <is>
          <t>2767048900708</t>
        </is>
      </c>
    </row>
    <row r="8132" ht="87" customHeight="1">
      <c r="A8132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132" s="2">
        <f>HYPERLINK("https://edmondsonsupply.com/products/klein-tools-600-1-5-16-inch-cabinet-tip-screwdriver-1-1-2-inch", "https://edmondsonsupply.com/products/klein-tools-600-1-5-16-inch-cabinet-tip-screwdriver-1-1-2-inch")</f>
        <v/>
      </c>
      <c r="C8132" t="inlineStr">
        <is>
          <t>Klein Tools 600-1 5/16-Inch Cabinet Tip Screwdriver 1-1/2-Inch</t>
        </is>
      </c>
      <c r="D8132" t="inlineStr">
        <is>
          <t>Klein Tools 602-7DD 5/16-Inch Keystone Demolition Driver, 7-Inch Shank</t>
        </is>
      </c>
      <c r="E8132" s="2">
        <f>HYPERLINK("https://www.amazon.com/16-Inch-Keystone-Demolition-Klein-Tools/dp/B00B9HIBYA/ref=sr_1_23?keywords=Klein+Tools+600-1+5%2F16-Inch+Cabinet+Tip+Screwdriver+1-1%2F2-Inch&amp;qid=1694735453&amp;sr=8-23", "https://www.amazon.com/16-Inch-Keystone-Demolition-Klein-Tools/dp/B00B9HIBYA/ref=sr_1_23?keywords=Klein+Tools+600-1+5%2F16-Inch+Cabinet+Tip+Screwdriver+1-1%2F2-Inch&amp;qid=1694735453&amp;sr=8-23")</f>
        <v/>
      </c>
      <c r="F8132" t="inlineStr">
        <is>
          <t>B00B9HIBYA</t>
        </is>
      </c>
      <c r="G8132">
        <f>_xlfn.IMAGE("https://edmondsonsupply.com/cdn/shop/products/600-1.jpg?v=1587147752")</f>
        <v/>
      </c>
      <c r="H8132">
        <f>_xlfn.IMAGE("https://m.media-amazon.com/images/I/41sh3Q2vVYL._AC_UL320_.jpg")</f>
        <v/>
      </c>
      <c r="K8132" t="inlineStr">
        <is>
          <t>7.49</t>
        </is>
      </c>
      <c r="L8132" t="n">
        <v>19.99</v>
      </c>
      <c r="M8132" s="1" t="inlineStr">
        <is>
          <t>166.89%</t>
        </is>
      </c>
      <c r="N8132" s="7" t="n"/>
      <c r="O8132" t="n">
        <v>4.8</v>
      </c>
      <c r="P8132" t="n">
        <v>1374</v>
      </c>
      <c r="R8132" t="inlineStr">
        <is>
          <t>InStock</t>
        </is>
      </c>
      <c r="S8132" t="inlineStr">
        <is>
          <t>11.22</t>
        </is>
      </c>
      <c r="T8132" t="inlineStr">
        <is>
          <t>4171360403556</t>
        </is>
      </c>
    </row>
    <row r="8133" hidden="1" ht="15.75" customHeight="1">
      <c r="A8133" s="2">
        <f>HYPERLINK("https://edmondsonsupply.com/collections/electricians-tools/products/klein-32807mag", "https://edmondsonsupply.com/collections/electricians-tools/products/klein-32807mag")</f>
        <v/>
      </c>
      <c r="B8133" s="2">
        <f>HYPERLINK("https://edmondsonsupply.com/products/klein-32807mag", "https://edmondsonsupply.com/products/klein-32807mag")</f>
        <v/>
      </c>
      <c r="C8133" t="inlineStr">
        <is>
          <t>Klein Tools 32807MAG 7-in-1 Multi-Bit Screwdriver / Nut Driver, Magnetic</t>
        </is>
      </c>
      <c r="D8133" t="inlineStr">
        <is>
          <t>Klein Tools 80073 Reaming Driver Kit with Conduit Reamer &amp; 32807MAG 7-in-1 Nut Driver, Magnetic Driver has SAE Hex Nut Sizes 1/4 to 9/16-Inch, Cushion Grip Handle for Added Torque</t>
        </is>
      </c>
      <c r="E8133" s="2">
        <f>HYPERLINK("https://www.amazon.com/Klein-Tools-Reaming-32807MAG-Magnetic/dp/B0BGJ4VZC3/ref=sr_1_42?keywords=Klein+Tools+32807MAG+7-in-1+Multi-Bit+Screwdriver+%2F+Nut+Driver%2C+Magnetic&amp;qid=1694735441&amp;sr=8-42", "https://www.amazon.com/Klein-Tools-Reaming-32807MAG-Magnetic/dp/B0BGJ4VZC3/ref=sr_1_42?keywords=Klein+Tools+32807MAG+7-in-1+Multi-Bit+Screwdriver+%2F+Nut+Driver%2C+Magnetic&amp;qid=1694735441&amp;sr=8-42")</f>
        <v/>
      </c>
      <c r="F8133" t="inlineStr">
        <is>
          <t>B0BGJ4VZC3</t>
        </is>
      </c>
      <c r="G8133">
        <f>_xludf.IMAGE("https://edmondsonsupply.com/cdn/shop/products/32807mag_beauty_l.jpg?v=1604873791")</f>
        <v/>
      </c>
      <c r="H8133">
        <f>_xludf.IMAGE("https://m.media-amazon.com/images/I/41UeevettrL._AC_UL320_.jpg")</f>
        <v/>
      </c>
      <c r="K8133" t="inlineStr">
        <is>
          <t>29.97</t>
        </is>
      </c>
      <c r="L8133" t="n">
        <v>79.95999999999999</v>
      </c>
      <c r="M8133" s="1" t="inlineStr">
        <is>
          <t>166.80%</t>
        </is>
      </c>
      <c r="N8133" s="1" t="n"/>
      <c r="O8133" t="n">
        <v>3.3</v>
      </c>
      <c r="P8133" t="n">
        <v>3</v>
      </c>
      <c r="R8133" t="inlineStr">
        <is>
          <t>InStock</t>
        </is>
      </c>
      <c r="S8133" t="inlineStr">
        <is>
          <t>44.5</t>
        </is>
      </c>
      <c r="T8133" t="inlineStr">
        <is>
          <t>1493034008676</t>
        </is>
      </c>
    </row>
    <row r="8134" ht="87" customHeight="1">
      <c r="A8134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134" s="2">
        <f>HYPERLINK("https://edmondsonsupply.com/products/klein-tools-600-1-5-16-inch-cabinet-tip-screwdriver-1-1-2-inch", "https://edmondsonsupply.com/products/klein-tools-600-1-5-16-inch-cabinet-tip-screwdriver-1-1-2-inch")</f>
        <v/>
      </c>
      <c r="C8134" t="inlineStr">
        <is>
          <t>Klein Tools 600-1 5/16-Inch Cabinet Tip Screwdriver 1-1/2-Inch</t>
        </is>
      </c>
      <c r="D8134" t="inlineStr">
        <is>
          <t>Klein Tools 32293 Insulated Screwdriver, 2-in-1 Screwdriver Set with Flip Blade, #2 Phillips and1/4-Inch Slotted Tips, Double-Ended Blades</t>
        </is>
      </c>
      <c r="E8134" s="2">
        <f>HYPERLINK("https://www.amazon.com/Klein-Tools-32293-Screwdriver-Double-Ended/dp/B07WWZZQD2/ref=sr_1_24?keywords=Klein+Tools+600-1+5%2F16-Inch+Cabinet+Tip+Screwdriver+1-1%2F2-Inch&amp;qid=1694735453&amp;sr=8-24", "https://www.amazon.com/Klein-Tools-32293-Screwdriver-Double-Ended/dp/B07WWZZQD2/ref=sr_1_24?keywords=Klein+Tools+600-1+5%2F16-Inch+Cabinet+Tip+Screwdriver+1-1%2F2-Inch&amp;qid=1694735453&amp;sr=8-24")</f>
        <v/>
      </c>
      <c r="F8134" t="inlineStr">
        <is>
          <t>B07WWZZQD2</t>
        </is>
      </c>
      <c r="G8134">
        <f>_xlfn.IMAGE("https://edmondsonsupply.com/cdn/shop/products/600-1.jpg?v=1587147752")</f>
        <v/>
      </c>
      <c r="H8134">
        <f>_xlfn.IMAGE("https://m.media-amazon.com/images/I/41yk4NC2BmL._AC_UL320_.jpg")</f>
        <v/>
      </c>
      <c r="K8134" t="inlineStr">
        <is>
          <t>7.49</t>
        </is>
      </c>
      <c r="L8134" t="n">
        <v>19.98</v>
      </c>
      <c r="M8134" s="1" t="inlineStr">
        <is>
          <t>166.76%</t>
        </is>
      </c>
      <c r="N8134" s="7" t="n"/>
      <c r="O8134" t="n">
        <v>4.8</v>
      </c>
      <c r="P8134" t="n">
        <v>2774</v>
      </c>
      <c r="R8134" t="inlineStr">
        <is>
          <t>InStock</t>
        </is>
      </c>
      <c r="S8134" t="inlineStr">
        <is>
          <t>11.22</t>
        </is>
      </c>
      <c r="T8134" t="inlineStr">
        <is>
          <t>4171360403556</t>
        </is>
      </c>
    </row>
    <row r="8135" ht="87" customHeight="1">
      <c r="A8135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135" s="2">
        <f>HYPERLINK("https://edmondsonsupply.com/products/klein-tools-601-6-3-16-inch-cabinet-tip-screwdriver-6-inch", "https://edmondsonsupply.com/products/klein-tools-601-6-3-16-inch-cabinet-tip-screwdriver-6-inch")</f>
        <v/>
      </c>
      <c r="C8135" t="inlineStr">
        <is>
          <t>Klein Tools 601-6 3/16-Inch Cabinet Tip Screwdriver 6-Inch</t>
        </is>
      </c>
      <c r="D8135" t="inlineStr">
        <is>
          <t>Klein Tools 85153K Slotted Screw-Holding Screwdriver Set, 3/16-Inch, 1/4-Inch Split-Blade Flat Head Driver, Positive Gripping Action, 2-Piece</t>
        </is>
      </c>
      <c r="E8135" s="2">
        <f>HYPERLINK("https://www.amazon.com/Klein-Tools-85153K-Screw-Holding-Screwdriver/dp/B0CFRP1K3L/ref=sr_1_14?keywords=Klein+Tools+601-6+3%2F16-Inch+Cabinet+Tip+Screwdriver+6-Inch&amp;qid=1694735470&amp;sr=8-14", "https://www.amazon.com/Klein-Tools-85153K-Screw-Holding-Screwdriver/dp/B0CFRP1K3L/ref=sr_1_14?keywords=Klein+Tools+601-6+3%2F16-Inch+Cabinet+Tip+Screwdriver+6-Inch&amp;qid=1694735470&amp;sr=8-14")</f>
        <v/>
      </c>
      <c r="F8135" t="inlineStr">
        <is>
          <t>B0CFRP1K3L</t>
        </is>
      </c>
      <c r="G8135">
        <f>_xlfn.IMAGE("https://edmondsonsupply.com/cdn/shop/products/601-6.jpg?v=1587148683")</f>
        <v/>
      </c>
      <c r="H8135">
        <f>_xlfn.IMAGE("https://m.media-amazon.com/images/I/41KoRmOkBpL._AC_UL320_.jpg")</f>
        <v/>
      </c>
      <c r="K8135" t="inlineStr">
        <is>
          <t>8.99</t>
        </is>
      </c>
      <c r="L8135" t="n">
        <v>23.97</v>
      </c>
      <c r="M8135" s="1" t="inlineStr">
        <is>
          <t>166.63%</t>
        </is>
      </c>
      <c r="N8135" s="7" t="n"/>
      <c r="O8135" t="n">
        <v>5</v>
      </c>
      <c r="P8135" t="n">
        <v>1</v>
      </c>
      <c r="R8135" t="inlineStr">
        <is>
          <t>InStock</t>
        </is>
      </c>
      <c r="S8135" t="inlineStr">
        <is>
          <t>11.96</t>
        </is>
      </c>
      <c r="T8135" t="inlineStr">
        <is>
          <t>3689898016868</t>
        </is>
      </c>
    </row>
    <row r="8136" ht="87" customHeight="1">
      <c r="A8136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136" s="2">
        <f>HYPERLINK("https://edmondsonsupply.com/products/klein-tools-21051-large-cable-stripper-250-mcm-2-0", "https://edmondsonsupply.com/products/klein-tools-21051-large-cable-stripper-250-mcm-2-0")</f>
        <v/>
      </c>
      <c r="C8136" t="inlineStr">
        <is>
          <t>Klein Tools 21051 Large Cable Stripper (2/0-250 MCM)</t>
        </is>
      </c>
      <c r="D8136" t="inlineStr">
        <is>
          <t>Greenlee 1903 Pocket Cable Stripper &amp; Klein Tools 21051 Large Cable Stripper (2/0-250 MCM)</t>
        </is>
      </c>
      <c r="E8136" s="2">
        <f>HYPERLINK("https://www.amazon.com/Greenlee-Pocket-Cable-Stripper-Klein/dp/B0C5TLH4K9/ref=sr_1_3?keywords=Klein+Tools+21051+Large+Cable+Stripper+%282%2F0-250+MCM%29&amp;qid=1694735474&amp;sr=8-3", "https://www.amazon.com/Greenlee-Pocket-Cable-Stripper-Klein/dp/B0C5TLH4K9/ref=sr_1_3?keywords=Klein+Tools+21051+Large+Cable+Stripper+%282%2F0-250+MCM%29&amp;qid=1694735474&amp;sr=8-3")</f>
        <v/>
      </c>
      <c r="F8136" t="inlineStr">
        <is>
          <t>B0C5TLH4K9</t>
        </is>
      </c>
      <c r="G8136">
        <f>_xlfn.IMAGE("https://edmondsonsupply.com/cdn/shop/products/21051.jpg?v=1587145554")</f>
        <v/>
      </c>
      <c r="H8136">
        <f>_xlfn.IMAGE("https://m.media-amazon.com/images/I/51D1CKNNtUL._AC_UL320_.jpg")</f>
        <v/>
      </c>
      <c r="K8136" t="inlineStr">
        <is>
          <t>54.99</t>
        </is>
      </c>
      <c r="L8136" t="n">
        <v>145.42</v>
      </c>
      <c r="M8136" s="1" t="inlineStr">
        <is>
          <t>164.45%</t>
        </is>
      </c>
      <c r="N8136" s="7" t="n"/>
      <c r="O8136" t="n">
        <v>4.2</v>
      </c>
      <c r="P8136" t="n">
        <v>252</v>
      </c>
      <c r="R8136" t="inlineStr">
        <is>
          <t>InStock</t>
        </is>
      </c>
      <c r="S8136" t="inlineStr">
        <is>
          <t>85.38</t>
        </is>
      </c>
      <c r="T8136" t="inlineStr">
        <is>
          <t>1779877806180</t>
        </is>
      </c>
    </row>
    <row r="8137" hidden="1" ht="15.75" customHeight="1">
      <c r="A8137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137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137" t="inlineStr">
        <is>
          <t>Klein Tools JTH6M25 2.5 mm Hex Key with Journeyman T-Handle, 6-Inch</t>
        </is>
      </c>
      <c r="D8137" t="inlineStr">
        <is>
          <t>Klein Tools JTH6E13BE 1/4-Inch Ball End Hex Key with Journeyman T-Handle, 6-Inch</t>
        </is>
      </c>
      <c r="E8137" s="2">
        <f>HYPERLINK("https://www.amazon.com/Journeyman-T-Handle-Klein-Tools-JTH6E13BE/dp/B004QW52YW/ref=sr_1_5?keywords=Klein+Tools+JTH6M25+2.5+mm+Hex+Key+with+Journeyman+T-Handle%2C+6-Inch&amp;qid=1694735465&amp;sr=8-5", "https://www.amazon.com/Journeyman-T-Handle-Klein-Tools-JTH6E13BE/dp/B004QW52YW/ref=sr_1_5?keywords=Klein+Tools+JTH6M25+2.5+mm+Hex+Key+with+Journeyman+T-Handle%2C+6-Inch&amp;qid=1694735465&amp;sr=8-5")</f>
        <v/>
      </c>
      <c r="F8137" t="inlineStr">
        <is>
          <t>B004QW52YW</t>
        </is>
      </c>
      <c r="G8137">
        <f>_xludf.IMAGE("https://edmondsonsupply.com/cdn/shop/products/jth6m8_418cc1b7-11e8-4105-a13a-5501c6e11940.jpg?v=1587148486")</f>
        <v/>
      </c>
      <c r="H8137">
        <f>_xludf.IMAGE("https://m.media-amazon.com/images/I/51f9vBFVXgL._AC_UL320_.jpg")</f>
        <v/>
      </c>
      <c r="K8137" t="inlineStr">
        <is>
          <t>3.99</t>
        </is>
      </c>
      <c r="L8137" t="n">
        <v>10.55</v>
      </c>
      <c r="M8137" s="1" t="inlineStr">
        <is>
          <t>164.41%</t>
        </is>
      </c>
      <c r="N8137" s="1" t="n"/>
      <c r="O8137" t="n">
        <v>4.7</v>
      </c>
      <c r="P8137" t="n">
        <v>32</v>
      </c>
      <c r="R8137" t="inlineStr">
        <is>
          <t>InStock</t>
        </is>
      </c>
      <c r="S8137" t="inlineStr">
        <is>
          <t>5.76</t>
        </is>
      </c>
      <c r="T8137" t="inlineStr">
        <is>
          <t>3694858567780</t>
        </is>
      </c>
    </row>
    <row r="8138" ht="87" customHeight="1">
      <c r="A8138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138" s="2">
        <f>HYPERLINK("https://edmondsonsupply.com/products/klein-tools-aepjs1-wireless-jobsite-speaker-bluetooth", "https://edmondsonsupply.com/products/klein-tools-aepjs1-wireless-jobsite-speaker-bluetooth")</f>
        <v/>
      </c>
      <c r="C8138" t="inlineStr">
        <is>
          <t>Klein Tools AEPJS1 Wireless Jobsite Speaker</t>
        </is>
      </c>
      <c r="D8138" t="inlineStr">
        <is>
          <t>Klein Tools 55600 Work Cooler, 17-Quart Lunch Box Holds 18 Cans, Keeps Cool 30 Hours, Seats 300 Lb, Tradesman Pro Tough Box &amp; AEPJS1 Wireless Speaker, Portable Jobsite Speaker Plays Audio</t>
        </is>
      </c>
      <c r="E8138" s="2">
        <f>HYPERLINK("https://www.amazon.com/Klein-Tools-17-Quart-Tradesman-Wireless/dp/B08DY5C5QH/ref=sr_1_8?keywords=Klein+Tools+AEPJS1+Wireless+Jobsite+Speaker&amp;qid=1694735448&amp;sr=8-8", "https://www.amazon.com/Klein-Tools-17-Quart-Tradesman-Wireless/dp/B08DY5C5QH/ref=sr_1_8?keywords=Klein+Tools+AEPJS1+Wireless+Jobsite+Speaker&amp;qid=1694735448&amp;sr=8-8")</f>
        <v/>
      </c>
      <c r="F8138" t="inlineStr">
        <is>
          <t>B08DY5C5QH</t>
        </is>
      </c>
      <c r="G8138">
        <f>_xlfn.IMAGE("https://edmondsonsupply.com/cdn/shop/products/aepjs1.jpg?v=1587145015")</f>
        <v/>
      </c>
      <c r="H8138">
        <f>_xlfn.IMAGE("https://m.media-amazon.com/images/I/51xuAx+hRJL._AC_UY218_.jpg")</f>
        <v/>
      </c>
      <c r="K8138" t="inlineStr">
        <is>
          <t>39.97</t>
        </is>
      </c>
      <c r="L8138" t="n">
        <v>104.94</v>
      </c>
      <c r="M8138" s="1" t="inlineStr">
        <is>
          <t>162.55%</t>
        </is>
      </c>
      <c r="N8138" s="7" t="n"/>
      <c r="O8138" t="n">
        <v>4.8</v>
      </c>
      <c r="P8138" t="n">
        <v>47</v>
      </c>
      <c r="R8138" t="inlineStr">
        <is>
          <t>InStock</t>
        </is>
      </c>
      <c r="S8138" t="inlineStr">
        <is>
          <t>56.0</t>
        </is>
      </c>
      <c r="T8138" t="inlineStr">
        <is>
          <t>1779629424740</t>
        </is>
      </c>
    </row>
    <row r="8139" hidden="1" ht="15.75" customHeight="1">
      <c r="A8139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139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139" t="inlineStr">
        <is>
          <t>Klein Tools 11055 Klein Kurve® Solid and Stranded Copper Wire Stripper &amp; Cutter</t>
        </is>
      </c>
      <c r="D8139" t="inlineStr">
        <is>
          <t>Klein Tools K12035 Klein-Kurve Wire Cutters, Heavy Duty Wire Stripping Tool &amp; 11055 Wire Cutter and Wire Stripper, Stranded Wire Cutter, Solid Wire Cutter, Cuts Copper Wire</t>
        </is>
      </c>
      <c r="E8139" s="2">
        <f>HYPERLINK("https://www.amazon.com/Klein-Tools-Klein-Kurve-Stripping-Stripper/dp/B0C3B9MFJ1/ref=sr_1_7?keywords=Klein+Tools+11055+Klein+Kurve%C2%AE+Solid+and+Stranded+Copper+Wire+Stripper+%26+Cutter&amp;qid=1694735472&amp;sr=8-7", "https://www.amazon.com/Klein-Tools-Klein-Kurve-Stripping-Stripper/dp/B0C3B9MFJ1/ref=sr_1_7?keywords=Klein+Tools+11055+Klein+Kurve%C2%AE+Solid+and+Stranded+Copper+Wire+Stripper+%26+Cutter&amp;qid=1694735472&amp;sr=8-7")</f>
        <v/>
      </c>
      <c r="F8139" t="inlineStr">
        <is>
          <t>B0C3B9MFJ1</t>
        </is>
      </c>
      <c r="G8139">
        <f>_xludf.IMAGE("https://edmondsonsupply.com/cdn/shop/products/11055ep.jpg?v=1670949748")</f>
        <v/>
      </c>
      <c r="H8139">
        <f>_xludf.IMAGE("https://m.media-amazon.com/images/I/41vZFrWer0L._AC_UL320_.jpg")</f>
        <v/>
      </c>
      <c r="K8139" t="inlineStr">
        <is>
          <t>19.99</t>
        </is>
      </c>
      <c r="L8139" t="n">
        <v>52.31</v>
      </c>
      <c r="M8139" s="1" t="inlineStr">
        <is>
          <t>161.68%</t>
        </is>
      </c>
      <c r="N8139" s="1" t="n"/>
      <c r="O8139" t="n">
        <v>4</v>
      </c>
      <c r="P8139" t="n">
        <v>1</v>
      </c>
      <c r="R8139" t="inlineStr">
        <is>
          <t>InStock</t>
        </is>
      </c>
      <c r="S8139" t="inlineStr">
        <is>
          <t>29.82</t>
        </is>
      </c>
      <c r="T8139" t="inlineStr">
        <is>
          <t>1780558135396</t>
        </is>
      </c>
    </row>
    <row r="8140" ht="87" customHeight="1">
      <c r="A8140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140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140" t="inlineStr">
        <is>
          <t>Klein Tools 11055 Klein Kurve® Solid and Stranded Copper Wire Stripper &amp; Cutter</t>
        </is>
      </c>
      <c r="D8140" t="inlineStr">
        <is>
          <t>Klein Tools 11063W Wire Cutter/Wire Stripper, Heavy Duty Wire Stripper Tool &amp; 11061 Wire Stripper/Wire Cutter for Solid and Stranded AWG Wire, Heavy Duty Kleins are Self Adjusting</t>
        </is>
      </c>
      <c r="E8140" s="2">
        <f>HYPERLINK("https://www.amazon.com/Klein-Tools-Stripper-Stranded-Adjusting/dp/B08ZPWWTN2/ref=sr_1_40?keywords=Klein+Tools+11055+Klein+Kurve%C2%AE+Solid+and+Stranded+Copper+Wire+Stripper+%26+Cutter&amp;qid=1694735472&amp;sr=8-40", "https://www.amazon.com/Klein-Tools-Stripper-Stranded-Adjusting/dp/B08ZPWWTN2/ref=sr_1_40?keywords=Klein+Tools+11055+Klein+Kurve%C2%AE+Solid+and+Stranded+Copper+Wire+Stripper+%26+Cutter&amp;qid=1694735472&amp;sr=8-40")</f>
        <v/>
      </c>
      <c r="F8140" t="inlineStr">
        <is>
          <t>B08ZPWWTN2</t>
        </is>
      </c>
      <c r="G8140">
        <f>_xlfn.IMAGE("https://edmondsonsupply.com/cdn/shop/products/11055ep.jpg?v=1670949748")</f>
        <v/>
      </c>
      <c r="H8140">
        <f>_xlfn.IMAGE("https://m.media-amazon.com/images/I/41+WzGiz14L._AC_UL320_.jpg")</f>
        <v/>
      </c>
      <c r="K8140" t="inlineStr">
        <is>
          <t>19.99</t>
        </is>
      </c>
      <c r="L8140" t="n">
        <v>51.94</v>
      </c>
      <c r="M8140" s="1" t="inlineStr">
        <is>
          <t>159.83%</t>
        </is>
      </c>
      <c r="N8140" s="7" t="n"/>
      <c r="O8140" t="n">
        <v>4.8</v>
      </c>
      <c r="P8140" t="n">
        <v>84</v>
      </c>
      <c r="R8140" t="inlineStr">
        <is>
          <t>InStock</t>
        </is>
      </c>
      <c r="S8140" t="inlineStr">
        <is>
          <t>29.82</t>
        </is>
      </c>
      <c r="T8140" t="inlineStr">
        <is>
          <t>1780558135396</t>
        </is>
      </c>
    </row>
    <row r="8141" ht="87" customHeight="1">
      <c r="A8141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141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141" t="inlineStr">
        <is>
          <t>Klein Tools 630-9/16 9/16-Inch Hollow Shaft Nut Driver 4-Inch Shaft</t>
        </is>
      </c>
      <c r="D8141" t="inlineStr">
        <is>
          <t>Klein Tools 646-9/16-INS Insulated Nut Driver, 9/16-Inch Hex with 6-Inch Hollow Shaft and Cushion Grip Handle</t>
        </is>
      </c>
      <c r="E8141" s="2">
        <f>HYPERLINK("https://www.amazon.com/Insulated-Klein-Tools-646-9-16-INS/dp/B000MKH63C/ref=sr_1_6?keywords=Klein+Tools+630-9%2F16+9%2F16-Inch+Hollow+Shaft+Nut+Driver+4-Inch+Shaft&amp;qid=1694735442&amp;sr=8-6", "https://www.amazon.com/Insulated-Klein-Tools-646-9-16-INS/dp/B000MKH63C/ref=sr_1_6?keywords=Klein+Tools+630-9%2F16+9%2F16-Inch+Hollow+Shaft+Nut+Driver+4-Inch+Shaft&amp;qid=1694735442&amp;sr=8-6")</f>
        <v/>
      </c>
      <c r="F8141" t="inlineStr">
        <is>
          <t>B000MKH63C</t>
        </is>
      </c>
      <c r="G8141">
        <f>_xlfn.IMAGE("https://edmondsonsupply.com/cdn/shop/products/630-1-2_f4e6e615-6377-4eae-87c2-03b0329a1140.jpg?v=1587145137")</f>
        <v/>
      </c>
      <c r="H8141">
        <f>_xlfn.IMAGE("https://m.media-amazon.com/images/I/41Z--sNKhML._AC_UL320_.jpg")</f>
        <v/>
      </c>
      <c r="K8141" t="inlineStr">
        <is>
          <t>11.99</t>
        </is>
      </c>
      <c r="L8141" t="n">
        <v>30.99</v>
      </c>
      <c r="M8141" s="1" t="inlineStr">
        <is>
          <t>158.47%</t>
        </is>
      </c>
      <c r="N8141" s="7" t="n"/>
      <c r="O8141" t="n">
        <v>4.7</v>
      </c>
      <c r="P8141" t="n">
        <v>272</v>
      </c>
      <c r="R8141" t="inlineStr">
        <is>
          <t>InStock</t>
        </is>
      </c>
      <c r="S8141" t="inlineStr">
        <is>
          <t>18.14</t>
        </is>
      </c>
      <c r="T8141" t="inlineStr">
        <is>
          <t>4259221897316</t>
        </is>
      </c>
    </row>
    <row r="8142" ht="87" customHeight="1">
      <c r="A8142" s="2">
        <f>HYPERLINK("https://edmondsonsupply.com/collections/electricians-tools/products/klein-tools-5139pad-padded-zipper-tool-bag", "https://edmondsonsupply.com/collections/electricians-tools/products/klein-tools-5139pad-padded-zipper-tool-bag")</f>
        <v/>
      </c>
      <c r="B8142" s="2">
        <f>HYPERLINK("https://edmondsonsupply.com/products/klein-tools-5139pad-padded-zipper-tool-bag", "https://edmondsonsupply.com/products/klein-tools-5139pad-padded-zipper-tool-bag")</f>
        <v/>
      </c>
      <c r="C8142" t="inlineStr">
        <is>
          <t>Klein Tools 5139PAD Zipper Bag, Cordura Nylon Tool Pouch with Padding, 12-1/2-Inch</t>
        </is>
      </c>
      <c r="D8142" t="inlineStr">
        <is>
          <t>Klein Tools 5139L Zipper Bag, Top-Grain Leather Tool Pouch with Strong Zipper Close, 12-1/2-Inch, Brown</t>
        </is>
      </c>
      <c r="E8142" s="2">
        <f>HYPERLINK("https://www.amazon.com/Klein-Tools-5139L-Top-Grain-Leather/dp/B0002RI64S/ref=sr_1_11?keywords=Klein+Tools+5139PAD+Zipper+Bag%2C+Cordura+Nylon+Tool+Pouch+with+Padding%2C+12-1%2F2-Inch&amp;qid=1694735474&amp;sr=8-11", "https://www.amazon.com/Klein-Tools-5139L-Top-Grain-Leather/dp/B0002RI64S/ref=sr_1_11?keywords=Klein+Tools+5139PAD+Zipper+Bag%2C+Cordura+Nylon+Tool+Pouch+with+Padding%2C+12-1%2F2-Inch&amp;qid=1694735474&amp;sr=8-11")</f>
        <v/>
      </c>
      <c r="F8142" t="inlineStr">
        <is>
          <t>B0002RI64S</t>
        </is>
      </c>
      <c r="G8142">
        <f>_xlfn.IMAGE("https://edmondsonsupply.com/cdn/shop/products/5139pad.jpg?v=1587143515")</f>
        <v/>
      </c>
      <c r="H8142">
        <f>_xlfn.IMAGE("https://m.media-amazon.com/images/I/718WrC-aDGL._AC_UL320_.jpg")</f>
        <v/>
      </c>
      <c r="K8142" t="inlineStr">
        <is>
          <t>13.99</t>
        </is>
      </c>
      <c r="L8142" t="n">
        <v>36</v>
      </c>
      <c r="M8142" s="1" t="inlineStr">
        <is>
          <t>157.33%</t>
        </is>
      </c>
      <c r="N8142" s="7" t="n"/>
      <c r="O8142" t="n">
        <v>4.7</v>
      </c>
      <c r="P8142" t="n">
        <v>361</v>
      </c>
      <c r="R8142" t="inlineStr">
        <is>
          <t>InStock</t>
        </is>
      </c>
      <c r="S8142" t="inlineStr">
        <is>
          <t>21.2</t>
        </is>
      </c>
      <c r="T8142" t="inlineStr">
        <is>
          <t>3671682383972</t>
        </is>
      </c>
    </row>
    <row r="8143" ht="87" customHeight="1">
      <c r="A8143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143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143" t="inlineStr">
        <is>
          <t>Klein Tools 11063W Katapult® Wire Stripper and Cutter for Solid and Stranded Wire</t>
        </is>
      </c>
      <c r="D8143" t="inlineStr">
        <is>
          <t>Klein Tools MM400 Multimeter &amp; 11063W Wire Cutter/Wire Stripper, Heavy Duty Automatic Wire Stripper Tool for 8-20 AWG Solid and 10-22 AWG Stranded Electrical Wire</t>
        </is>
      </c>
      <c r="E8143" s="2">
        <f>HYPERLINK("https://www.amazon.com/Klein-Tools-Multimeter-Automatic-Electrical/dp/B09Q65S4CK/ref=sr_1_4?keywords=Klein+Tools+11063W+Katapult%C2%AE+Wire+Stripper+and+Cutter+for+Solid+and+Stranded+Wire&amp;qid=1694735440&amp;sr=8-4", "https://www.amazon.com/Klein-Tools-Multimeter-Automatic-Electrical/dp/B09Q65S4CK/ref=sr_1_4?keywords=Klein+Tools+11063W+Katapult%C2%AE+Wire+Stripper+and+Cutter+for+Solid+and+Stranded+Wire&amp;qid=1694735440&amp;sr=8-4")</f>
        <v/>
      </c>
      <c r="F8143" t="inlineStr">
        <is>
          <t>B09Q65S4CK</t>
        </is>
      </c>
      <c r="G8143">
        <f>_xlfn.IMAGE("https://edmondsonsupply.com/cdn/shop/products/11063w.jpg?v=1587151004")</f>
        <v/>
      </c>
      <c r="H8143">
        <f>_xlfn.IMAGE("https://m.media-amazon.com/images/I/51rZ1Ek46nL._AC_UL320_.jpg")</f>
        <v/>
      </c>
      <c r="K8143" t="inlineStr">
        <is>
          <t>29.97</t>
        </is>
      </c>
      <c r="L8143" t="n">
        <v>76.87</v>
      </c>
      <c r="M8143" s="1" t="inlineStr">
        <is>
          <t>156.49%</t>
        </is>
      </c>
      <c r="N8143" s="7" t="n"/>
      <c r="O8143" t="n">
        <v>5</v>
      </c>
      <c r="P8143" t="n">
        <v>2</v>
      </c>
      <c r="R8143" t="inlineStr">
        <is>
          <t>InStock</t>
        </is>
      </c>
      <c r="S8143" t="inlineStr">
        <is>
          <t>44.7</t>
        </is>
      </c>
      <c r="T8143" t="inlineStr">
        <is>
          <t>4334180827236</t>
        </is>
      </c>
    </row>
    <row r="8144" ht="87" customHeight="1">
      <c r="A8144" s="2">
        <f>HYPERLINK("https://edmondsonsupply.com/collections/electricians-tools/products/klein-tools-630-7-16-7-16-inch-hollow-nut-driver-3-inch-cushion-grip", "https://edmondsonsupply.com/collections/electricians-tools/products/klein-tools-630-7-16-7-16-inch-hollow-nut-driver-3-inch-cushion-grip")</f>
        <v/>
      </c>
      <c r="B8144" s="2">
        <f>HYPERLINK("https://edmondsonsupply.com/products/klein-tools-630-7-16-7-16-inch-hollow-nut-driver-3-inch-cushion-grip", "https://edmondsonsupply.com/products/klein-tools-630-7-16-7-16-inch-hollow-nut-driver-3-inch-cushion-grip")</f>
        <v/>
      </c>
      <c r="C8144" t="inlineStr">
        <is>
          <t>Klein Tools 630-7/16 7/16-Inch Hollow Nut Driver, 3-Inch, Cushion-Grip</t>
        </is>
      </c>
      <c r="D8144" t="inlineStr">
        <is>
          <t>Klein Tools 646-7/16-INS Insulated Nut Driver, 7/16-Inch, 6-Inch Hollow Shaft, Cushion Grip Handle</t>
        </is>
      </c>
      <c r="E8144" s="2">
        <f>HYPERLINK("https://www.amazon.com/Insulated-Klein-Tools-646-7-16-INS/dp/B000MKIUWS/ref=sr_1_2?keywords=Klein+Tools+630-7%2F16+7%2F16-Inch+Hollow+Nut+Driver%2C+3-Inch%2C+Cushion-Grip&amp;qid=1694735436&amp;sr=8-2", "https://www.amazon.com/Insulated-Klein-Tools-646-7-16-INS/dp/B000MKIUWS/ref=sr_1_2?keywords=Klein+Tools+630-7%2F16+7%2F16-Inch+Hollow+Nut+Driver%2C+3-Inch%2C+Cushion-Grip&amp;qid=1694735436&amp;sr=8-2")</f>
        <v/>
      </c>
      <c r="F8144" t="inlineStr">
        <is>
          <t>B000MKIUWS</t>
        </is>
      </c>
      <c r="G8144">
        <f>_xlfn.IMAGE("https://edmondsonsupply.com/cdn/shop/products/630-1-2_283c4d8f-caf5-4128-859e-9d2803dc7f78.jpg?v=1587147728")</f>
        <v/>
      </c>
      <c r="H8144">
        <f>_xlfn.IMAGE("https://m.media-amazon.com/images/I/41qYaTzmnDL._AC_UL320_.jpg")</f>
        <v/>
      </c>
      <c r="K8144" t="inlineStr">
        <is>
          <t>9.99</t>
        </is>
      </c>
      <c r="L8144" t="n">
        <v>25.61</v>
      </c>
      <c r="M8144" s="1" t="inlineStr">
        <is>
          <t>156.36%</t>
        </is>
      </c>
      <c r="N8144" s="7" t="n"/>
      <c r="O8144" t="n">
        <v>4.7</v>
      </c>
      <c r="P8144" t="n">
        <v>272</v>
      </c>
      <c r="R8144" t="inlineStr">
        <is>
          <t>InStock</t>
        </is>
      </c>
      <c r="S8144" t="inlineStr">
        <is>
          <t>12.84</t>
        </is>
      </c>
      <c r="T8144" t="inlineStr">
        <is>
          <t>4333058293860</t>
        </is>
      </c>
    </row>
    <row r="8145" ht="87" customHeight="1">
      <c r="A8145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145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145" t="inlineStr">
        <is>
          <t>Klein Tools 11063W Katapult® Wire Stripper and Cutter for Solid and Stranded Wire</t>
        </is>
      </c>
      <c r="D8145" t="inlineStr">
        <is>
          <t>Jonard Tools Round Cable Stripper, 3/16" to 1 1/8" Diameter &amp; Klein Tools Wire Cutter/Wire Stripper, Heavy Duty Automatic Wire Stripper Tool for 8-20 AWG Solid and 10-22 AWG Stranded Electrical Wire</t>
        </is>
      </c>
      <c r="E8145" s="2">
        <f>HYPERLINK("https://www.amazon.com/Stripper-Diameter-Automatic-Stranded-Electrical/dp/B0BF5LQRQW/ref=sr_1_26?keywords=Klein+Tools+11063W+Katapult%C2%AE+Wire+Stripper+and+Cutter+for+Solid+and+Stranded+Wire&amp;qid=1694735440&amp;sr=8-26", "https://www.amazon.com/Stripper-Diameter-Automatic-Stranded-Electrical/dp/B0BF5LQRQW/ref=sr_1_26?keywords=Klein+Tools+11063W+Katapult%C2%AE+Wire+Stripper+and+Cutter+for+Solid+and+Stranded+Wire&amp;qid=1694735440&amp;sr=8-26")</f>
        <v/>
      </c>
      <c r="F8145" t="inlineStr">
        <is>
          <t>B0BF5LQRQW</t>
        </is>
      </c>
      <c r="G8145">
        <f>_xlfn.IMAGE("https://edmondsonsupply.com/cdn/shop/products/11063w.jpg?v=1587151004")</f>
        <v/>
      </c>
      <c r="H8145">
        <f>_xlfn.IMAGE("https://m.media-amazon.com/images/I/41p0xcsvEuL._AC_UL320_.jpg")</f>
        <v/>
      </c>
      <c r="K8145" t="inlineStr">
        <is>
          <t>29.97</t>
        </is>
      </c>
      <c r="L8145" t="n">
        <v>76.53</v>
      </c>
      <c r="M8145" s="1" t="inlineStr">
        <is>
          <t>155.36%</t>
        </is>
      </c>
      <c r="N8145" s="7" t="n"/>
      <c r="O8145" t="n">
        <v>4.5</v>
      </c>
      <c r="P8145" t="n">
        <v>1753</v>
      </c>
      <c r="R8145" t="inlineStr">
        <is>
          <t>InStock</t>
        </is>
      </c>
      <c r="S8145" t="inlineStr">
        <is>
          <t>44.7</t>
        </is>
      </c>
      <c r="T8145" t="inlineStr">
        <is>
          <t>4334180827236</t>
        </is>
      </c>
    </row>
    <row r="8146" ht="87" customHeight="1">
      <c r="A8146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146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146" t="inlineStr">
        <is>
          <t>Klein Tools 32561 Multi-Bit Screwdriver / Nut Driver, 6-in-1, Stubby, Ph, Sl Bits</t>
        </is>
      </c>
      <c r="D8146" t="inlineStr">
        <is>
          <t>Klein Tools 32308 Multi-bit Stubby Screwdriver &amp; 32561 Multi-Bit Screwdriver/Nut Driver, 6-in-1 Stubby Screwdriver with 2 Phillips, 2 Slotted Bits, 2 Nut Drivers</t>
        </is>
      </c>
      <c r="E8146" s="2">
        <f>HYPERLINK("https://www.amazon.com/Klein-Tools-Multi-bit-Screwdriver-Multi-Bit/dp/B0B7N8RXDY/ref=sr_1_18?keywords=Klein+Tools+32561+Multi-Bit+Screwdriver+%2F+Nut+Driver%2C+6-in-1%2C+Stubby%2C+Ph%2C+Sl+Bits&amp;qid=1694735473&amp;sr=8-18", "https://www.amazon.com/Klein-Tools-Multi-bit-Screwdriver-Multi-Bit/dp/B0B7N8RXDY/ref=sr_1_18?keywords=Klein+Tools+32561+Multi-Bit+Screwdriver+%2F+Nut+Driver%2C+6-in-1%2C+Stubby%2C+Ph%2C+Sl+Bits&amp;qid=1694735473&amp;sr=8-18")</f>
        <v/>
      </c>
      <c r="F8146" t="inlineStr">
        <is>
          <t>B0B7N8RXDY</t>
        </is>
      </c>
      <c r="G8146">
        <f>_xlfn.IMAGE("https://edmondsonsupply.com/cdn/shop/products/32561_beauty_r.jpg?v=1604436217")</f>
        <v/>
      </c>
      <c r="H8146">
        <f>_xlfn.IMAGE("https://m.media-amazon.com/images/I/514uFlHpM3L._AC_UL320_.jpg")</f>
        <v/>
      </c>
      <c r="K8146" t="inlineStr">
        <is>
          <t>10.97</t>
        </is>
      </c>
      <c r="L8146" t="n">
        <v>27.94</v>
      </c>
      <c r="M8146" s="1" t="inlineStr">
        <is>
          <t>154.69%</t>
        </is>
      </c>
      <c r="N8146" s="7" t="n"/>
      <c r="O8146" t="n">
        <v>5</v>
      </c>
      <c r="P8146" t="n">
        <v>3</v>
      </c>
      <c r="R8146" t="inlineStr">
        <is>
          <t>InStock</t>
        </is>
      </c>
      <c r="S8146" t="inlineStr">
        <is>
          <t>16.94</t>
        </is>
      </c>
      <c r="T8146" t="inlineStr">
        <is>
          <t>3671725998180</t>
        </is>
      </c>
    </row>
    <row r="8147" ht="87" customHeight="1">
      <c r="A8147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147" s="2">
        <f>HYPERLINK("https://edmondsonsupply.com/products/klein-tools-rt210-gfci-receptacle-tester", "https://edmondsonsupply.com/products/klein-tools-rt210-gfci-receptacle-tester")</f>
        <v/>
      </c>
      <c r="C8147" t="inlineStr">
        <is>
          <t>Klein Tools RT210 GFCI Outlet Tester</t>
        </is>
      </c>
      <c r="D8147" t="inlineStr">
        <is>
          <t>Klein Tools NCVT1P Voltage Tester, Non-Contact Voltage Detector Pen &amp; RT210 Outlet Tester, Receptacle Tester for GFCI/Standard North American AC Electrical Outlets, Detects Common Wiring Problems</t>
        </is>
      </c>
      <c r="E8147" s="2">
        <f>HYPERLINK("https://www.amazon.com/Klein-Tools-Non-Contact-Receptacle-Electrical/dp/B09Y88M899/ref=sr_1_6?keywords=Klein+Tools+RT210+GFCI+Outlet+Tester&amp;qid=1694735460&amp;sr=8-6", "https://www.amazon.com/Klein-Tools-Non-Contact-Receptacle-Electrical/dp/B09Y88M899/ref=sr_1_6?keywords=Klein+Tools+RT210+GFCI+Outlet+Tester&amp;qid=1694735460&amp;sr=8-6")</f>
        <v/>
      </c>
      <c r="F8147" t="inlineStr">
        <is>
          <t>B09Y88M899</t>
        </is>
      </c>
      <c r="G8147">
        <f>_xlfn.IMAGE("https://edmondsonsupply.com/cdn/shop/products/rt210.jpg?v=1587146495")</f>
        <v/>
      </c>
      <c r="H8147">
        <f>_xlfn.IMAGE("https://m.media-amazon.com/images/I/41WRVSLp-pL._AC_UL320_.jpg")</f>
        <v/>
      </c>
      <c r="K8147" t="inlineStr">
        <is>
          <t>12.97</t>
        </is>
      </c>
      <c r="L8147" t="n">
        <v>32.94</v>
      </c>
      <c r="M8147" s="1" t="inlineStr">
        <is>
          <t>153.97%</t>
        </is>
      </c>
      <c r="N8147" s="7" t="n"/>
      <c r="O8147" t="n">
        <v>4.7</v>
      </c>
      <c r="P8147" t="n">
        <v>8</v>
      </c>
      <c r="R8147" t="inlineStr">
        <is>
          <t>InStock</t>
        </is>
      </c>
      <c r="S8147" t="inlineStr">
        <is>
          <t>17.12</t>
        </is>
      </c>
      <c r="T8147" t="inlineStr">
        <is>
          <t>3711963988068</t>
        </is>
      </c>
    </row>
    <row r="8148" ht="87" customHeight="1">
      <c r="A8148" s="2">
        <f>HYPERLINK("https://edmondsonsupply.com/collections/electricians-tools/products/rack-a-tiers-51000-exploding-garbage-can-classic", "https://edmondsonsupply.com/collections/electricians-tools/products/rack-a-tiers-51000-exploding-garbage-can-classic")</f>
        <v/>
      </c>
      <c r="B8148" s="2">
        <f>HYPERLINK("https://edmondsonsupply.com/products/rack-a-tiers-51000-exploding-garbage-can-classic", "https://edmondsonsupply.com/products/rack-a-tiers-51000-exploding-garbage-can-classic")</f>
        <v/>
      </c>
      <c r="C8148" t="inlineStr">
        <is>
          <t>Rack-A-Tiers 51000 Exploding Garbage Can - Classic</t>
        </is>
      </c>
      <c r="D8148" t="inlineStr">
        <is>
          <t>Rack-A-Tiers 51020 Exploding Garbage CAN Ultra</t>
        </is>
      </c>
      <c r="E8148" s="2">
        <f>HYPERLINK("https://www.amazon.com/Rack-Tiers-51020-Exploding-Garbage/dp/B07NLLQPTV/ref=sr_1_2?keywords=Rack-A-Tiers+51000+Exploding+Garbage+Can+-+Classic&amp;qid=1694735436&amp;sr=8-2", "https://www.amazon.com/Rack-Tiers-51020-Exploding-Garbage/dp/B07NLLQPTV/ref=sr_1_2?keywords=Rack-A-Tiers+51000+Exploding+Garbage+Can+-+Classic&amp;qid=1694735436&amp;sr=8-2")</f>
        <v/>
      </c>
      <c r="F8148" t="inlineStr">
        <is>
          <t>B07NLLQPTV</t>
        </is>
      </c>
      <c r="G8148">
        <f>_xlfn.IMAGE("https://edmondsonsupply.com/cdn/shop/products/51000-Exploding-Garbage-Can-1.png?v=1587150767")</f>
        <v/>
      </c>
      <c r="H8148">
        <f>_xlfn.IMAGE("https://m.media-amazon.com/images/I/51e-1yeZ4VL._AC_UY218_.jpg")</f>
        <v/>
      </c>
      <c r="K8148" t="inlineStr">
        <is>
          <t>23.49</t>
        </is>
      </c>
      <c r="L8148" t="n">
        <v>59.45</v>
      </c>
      <c r="M8148" s="1" t="inlineStr">
        <is>
          <t>153.09%</t>
        </is>
      </c>
      <c r="N8148" s="7" t="n"/>
      <c r="O8148" t="n">
        <v>5</v>
      </c>
      <c r="P8148" t="n">
        <v>1</v>
      </c>
      <c r="R8148" t="inlineStr">
        <is>
          <t>OutOfStock</t>
        </is>
      </c>
      <c r="S8148" t="inlineStr">
        <is>
          <t>25.49</t>
        </is>
      </c>
      <c r="T8148" t="inlineStr">
        <is>
          <t>4344997576804</t>
        </is>
      </c>
    </row>
    <row r="8149" hidden="1" ht="15.75" customHeight="1">
      <c r="A8149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149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149" t="inlineStr">
        <is>
          <t>Klein Tools JTH6E09 9/64-Inch Hex Key, Journeyman T-Handle, 6-Inch</t>
        </is>
      </c>
      <c r="D8149" t="inlineStr">
        <is>
          <t>Klein Tools JTH6T10 T10 TORX Hex Key, Journeyman T-Handle, 6-Inch</t>
        </is>
      </c>
      <c r="E8149" s="2">
        <f>HYPERLINK("https://www.amazon.com/Journeyman-T-Handle-Klein-Tools-JTH6T10/dp/B005G3B3TI/ref=sr_1_5?keywords=Klein+Tools+JTH6E09+9%2F64-Inch+Hex+Key%2C+Journeyman+T-Handle%2C+6-Inch&amp;qid=1694735431&amp;sr=8-5", "https://www.amazon.com/Journeyman-T-Handle-Klein-Tools-JTH6T10/dp/B005G3B3TI/ref=sr_1_5?keywords=Klein+Tools+JTH6E09+9%2F64-Inch+Hex+Key%2C+Journeyman+T-Handle%2C+6-Inch&amp;qid=1694735431&amp;sr=8-5")</f>
        <v/>
      </c>
      <c r="F8149" t="inlineStr">
        <is>
          <t>B005G3B3TI</t>
        </is>
      </c>
      <c r="G8149">
        <f>_xludf.IMAGE("https://edmondsonsupply.com/cdn/shop/products/jth6e15_bef890d0-fa69-4c40-acf7-922fc3acaacb.jpg?v=1587142823")</f>
        <v/>
      </c>
      <c r="H8149">
        <f>_xludf.IMAGE("https://m.media-amazon.com/images/I/51Xj0Vsb-EL._AC_UL320_.jpg")</f>
        <v/>
      </c>
      <c r="K8149" t="inlineStr">
        <is>
          <t>3.99</t>
        </is>
      </c>
      <c r="L8149" t="n">
        <v>10.06</v>
      </c>
      <c r="M8149" s="1" t="inlineStr">
        <is>
          <t>152.13%</t>
        </is>
      </c>
      <c r="N8149" s="1" t="n"/>
      <c r="O8149" t="n">
        <v>4.8</v>
      </c>
      <c r="P8149" t="n">
        <v>1540</v>
      </c>
      <c r="R8149" t="inlineStr">
        <is>
          <t>InStock</t>
        </is>
      </c>
      <c r="S8149" t="inlineStr">
        <is>
          <t>6.04</t>
        </is>
      </c>
      <c r="T8149" t="inlineStr">
        <is>
          <t>4339809386596</t>
        </is>
      </c>
    </row>
    <row r="8150" hidden="1" ht="15.75" customHeight="1">
      <c r="A8150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150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150" t="inlineStr">
        <is>
          <t>Klein Tools JTH6E10 5/32-Inch Hex Key, Journeyman T-Handle, 6-Inch</t>
        </is>
      </c>
      <c r="D8150" t="inlineStr">
        <is>
          <t>Klein Tools JTH6T10 T10 TORX Hex Key, Journeyman T-Handle, 6-Inch</t>
        </is>
      </c>
      <c r="E8150" s="2">
        <f>HYPERLINK("https://www.amazon.com/Journeyman-T-Handle-Klein-Tools-JTH6T10/dp/B005G3B3TI/ref=sr_1_5?keywords=Klein+Tools+JTH6E10+5%2F32-Inch+Hex+Key%2C+Journeyman+T-Handle%2C+6-Inch&amp;qid=1694735453&amp;sr=8-5", "https://www.amazon.com/Journeyman-T-Handle-Klein-Tools-JTH6T10/dp/B005G3B3TI/ref=sr_1_5?keywords=Klein+Tools+JTH6E10+5%2F32-Inch+Hex+Key%2C+Journeyman+T-Handle%2C+6-Inch&amp;qid=1694735453&amp;sr=8-5")</f>
        <v/>
      </c>
      <c r="F8150" t="inlineStr">
        <is>
          <t>B005G3B3TI</t>
        </is>
      </c>
      <c r="G8150">
        <f>_xludf.IMAGE("https://edmondsonsupply.com/cdn/shop/products/jth6e15_f525b558-406f-4cfd-9eb6-2b57378156a6.jpg?v=1587144832")</f>
        <v/>
      </c>
      <c r="H8150">
        <f>_xludf.IMAGE("https://m.media-amazon.com/images/I/51Xj0Vsb-EL._AC_UL320_.jpg")</f>
        <v/>
      </c>
      <c r="K8150" t="inlineStr">
        <is>
          <t>3.99</t>
        </is>
      </c>
      <c r="L8150" t="n">
        <v>10.06</v>
      </c>
      <c r="M8150" s="1" t="inlineStr">
        <is>
          <t>152.13%</t>
        </is>
      </c>
      <c r="N8150" s="1" t="n"/>
      <c r="O8150" t="n">
        <v>4.8</v>
      </c>
      <c r="P8150" t="n">
        <v>1540</v>
      </c>
      <c r="R8150" t="inlineStr">
        <is>
          <t>InStock</t>
        </is>
      </c>
      <c r="S8150" t="inlineStr">
        <is>
          <t>6.04</t>
        </is>
      </c>
      <c r="T8150" t="inlineStr">
        <is>
          <t>4160213418084</t>
        </is>
      </c>
    </row>
    <row r="8151" hidden="1" ht="15.75" customHeight="1">
      <c r="A8151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151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151" t="inlineStr">
        <is>
          <t>Klein Tools JTH6M25 2.5 mm Hex Key with Journeyman T-Handle, 6-Inch</t>
        </is>
      </c>
      <c r="D8151" t="inlineStr">
        <is>
          <t>Klein Tools JTH9M5 5 mm Hex Key with Journeyman T-Handle, 9-Inch</t>
        </is>
      </c>
      <c r="E8151" s="2">
        <f>HYPERLINK("https://www.amazon.com/Journeyman-T-Handle-Klein-Tools-JTH9M5/dp/B005G3HJDW/ref=sr_1_12?keywords=Klein+Tools+JTH6M25+2.5+mm+Hex+Key+with+Journeyman+T-Handle%2C+6-Inch&amp;qid=1694735465&amp;sr=8-12", "https://www.amazon.com/Journeyman-T-Handle-Klein-Tools-JTH9M5/dp/B005G3HJDW/ref=sr_1_12?keywords=Klein+Tools+JTH6M25+2.5+mm+Hex+Key+with+Journeyman+T-Handle%2C+6-Inch&amp;qid=1694735465&amp;sr=8-12")</f>
        <v/>
      </c>
      <c r="F8151" t="inlineStr">
        <is>
          <t>B005G3HJDW</t>
        </is>
      </c>
      <c r="G8151">
        <f>_xludf.IMAGE("https://edmondsonsupply.com/cdn/shop/products/jth6m8_418cc1b7-11e8-4105-a13a-5501c6e11940.jpg?v=1587148486")</f>
        <v/>
      </c>
      <c r="H8151">
        <f>_xludf.IMAGE("https://m.media-amazon.com/images/I/51O91N8K8wL._AC_UL320_.jpg")</f>
        <v/>
      </c>
      <c r="K8151" t="inlineStr">
        <is>
          <t>3.99</t>
        </is>
      </c>
      <c r="L8151" t="n">
        <v>10.04</v>
      </c>
      <c r="M8151" s="1" t="inlineStr">
        <is>
          <t>151.63%</t>
        </is>
      </c>
      <c r="N8151" s="1" t="n"/>
      <c r="O8151" t="n">
        <v>4.7</v>
      </c>
      <c r="P8151" t="n">
        <v>160</v>
      </c>
      <c r="R8151" t="inlineStr">
        <is>
          <t>InStock</t>
        </is>
      </c>
      <c r="S8151" t="inlineStr">
        <is>
          <t>5.76</t>
        </is>
      </c>
      <c r="T8151" t="inlineStr">
        <is>
          <t>3694858567780</t>
        </is>
      </c>
    </row>
    <row r="8152" ht="87" customHeight="1">
      <c r="A8152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152" s="2">
        <f>HYPERLINK("https://edmondsonsupply.com/products/klein-tools-63050-high-leverage-cable-cutter", "https://edmondsonsupply.com/products/klein-tools-63050-high-leverage-cable-cutter")</f>
        <v/>
      </c>
      <c r="C8152" t="inlineStr">
        <is>
          <t>Klein Tools 63050 Cable Cutter</t>
        </is>
      </c>
      <c r="D8152" t="inlineStr">
        <is>
          <t>Klein Tools 63016 Cable Cutter, Heavy-Duty Cable Shears cut ACSR, Steel, and Most Hardened Wire, with Convenient Lock for Storage, Blue</t>
        </is>
      </c>
      <c r="E8152" s="2">
        <f>HYPERLINK("https://www.amazon.com/Klein-Tools-63016-Heavy-Duty-Convenient/dp/B000E19FEM/ref=sr_1_15?keywords=Klein+Tools+63050+Cable+Cutter&amp;qid=1694735444&amp;sr=8-15", "https://www.amazon.com/Klein-Tools-63016-Heavy-Duty-Convenient/dp/B000E19FEM/ref=sr_1_15?keywords=Klein+Tools+63050+Cable+Cutter&amp;qid=1694735444&amp;sr=8-15")</f>
        <v/>
      </c>
      <c r="F8152" t="inlineStr">
        <is>
          <t>B000E19FEM</t>
        </is>
      </c>
      <c r="G8152">
        <f>_xlfn.IMAGE("https://edmondsonsupply.com/cdn/shop/products/63050.jpg?v=1587143239")</f>
        <v/>
      </c>
      <c r="H8152">
        <f>_xlfn.IMAGE("https://m.media-amazon.com/images/I/51Qbc4fQqBL._AC_UL320_.jpg")</f>
        <v/>
      </c>
      <c r="K8152" t="inlineStr">
        <is>
          <t>32.99</t>
        </is>
      </c>
      <c r="L8152" t="n">
        <v>82.98999999999999</v>
      </c>
      <c r="M8152" s="1" t="inlineStr">
        <is>
          <t>151.56%</t>
        </is>
      </c>
      <c r="N8152" s="7" t="n"/>
      <c r="O8152" t="n">
        <v>4.7</v>
      </c>
      <c r="P8152" t="n">
        <v>24</v>
      </c>
      <c r="R8152" t="inlineStr">
        <is>
          <t>InStock</t>
        </is>
      </c>
      <c r="S8152" t="inlineStr">
        <is>
          <t>47.96</t>
        </is>
      </c>
      <c r="T8152" t="inlineStr">
        <is>
          <t>4289689124964</t>
        </is>
      </c>
    </row>
    <row r="8153" hidden="1" ht="15.75" customHeight="1">
      <c r="A8153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153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153" t="inlineStr">
        <is>
          <t>Klein Tools JTH6M25 2.5 mm Hex Key with Journeyman T-Handle, 6-Inch</t>
        </is>
      </c>
      <c r="D8153" t="inlineStr">
        <is>
          <t>Klein Tools JTH6M3BE 3 mm Ball End Hex Key with Journeyman T-Handle, 6-Inch (Pack of 2)</t>
        </is>
      </c>
      <c r="E8153" s="2">
        <f>HYPERLINK("https://www.amazon.com/Klein-Tools-JTH6M3BE-Journeyman-T-Handle/dp/B0CGLYY7WP/ref=sr_1_4?keywords=Klein+Tools+JTH6M25+2.5+mm+Hex+Key+with+Journeyman+T-Handle%2C+6-Inch&amp;qid=1694735465&amp;sr=8-4", "https://www.amazon.com/Klein-Tools-JTH6M3BE-Journeyman-T-Handle/dp/B0CGLYY7WP/ref=sr_1_4?keywords=Klein+Tools+JTH6M25+2.5+mm+Hex+Key+with+Journeyman+T-Handle%2C+6-Inch&amp;qid=1694735465&amp;sr=8-4")</f>
        <v/>
      </c>
      <c r="F8153" t="inlineStr">
        <is>
          <t>B0CGLYY7WP</t>
        </is>
      </c>
      <c r="G8153">
        <f>_xludf.IMAGE("https://edmondsonsupply.com/cdn/shop/products/jth6m8_418cc1b7-11e8-4105-a13a-5501c6e11940.jpg?v=1587148486")</f>
        <v/>
      </c>
      <c r="H8153">
        <f>_xludf.IMAGE("https://m.media-amazon.com/images/I/413sTNFMd7L._AC_UL320_.jpg")</f>
        <v/>
      </c>
      <c r="K8153" t="inlineStr">
        <is>
          <t>3.99</t>
        </is>
      </c>
      <c r="L8153" t="n">
        <v>9.98</v>
      </c>
      <c r="M8153" s="1" t="inlineStr">
        <is>
          <t>150.13%</t>
        </is>
      </c>
      <c r="N8153" s="1" t="n"/>
      <c r="O8153" t="n">
        <v>4.6</v>
      </c>
      <c r="P8153" t="n">
        <v>184</v>
      </c>
      <c r="R8153" t="inlineStr">
        <is>
          <t>InStock</t>
        </is>
      </c>
      <c r="S8153" t="inlineStr">
        <is>
          <t>5.76</t>
        </is>
      </c>
      <c r="T8153" t="inlineStr">
        <is>
          <t>3694858567780</t>
        </is>
      </c>
    </row>
    <row r="8154" ht="87" customHeight="1">
      <c r="A8154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154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154" t="inlineStr">
        <is>
          <t>Klein Tools 630-9/16 9/16-Inch Hollow Shaft Nut Driver 4-Inch Shaft</t>
        </is>
      </c>
      <c r="D8154" t="inlineStr">
        <is>
          <t>Klein Tools 32807MAG 7-in-1 Nut Driver, Magnetic Driver has SAE Hex Nut Sizes 1/4 to 9/16-Inch, Cushion Grip Handle for Added Torque</t>
        </is>
      </c>
      <c r="E8154" s="2">
        <f>HYPERLINK("https://www.amazon.com/Driver-Magnetic-Klein-Tools-32807MAG/dp/B07D4M51DQ/ref=sr_1_12?keywords=Klein+Tools+630-9%2F16+9%2F16-Inch+Hollow+Shaft+Nut+Driver+4-Inch+Shaft&amp;qid=1694735442&amp;sr=8-12", "https://www.amazon.com/Driver-Magnetic-Klein-Tools-32807MAG/dp/B07D4M51DQ/ref=sr_1_12?keywords=Klein+Tools+630-9%2F16+9%2F16-Inch+Hollow+Shaft+Nut+Driver+4-Inch+Shaft&amp;qid=1694735442&amp;sr=8-12")</f>
        <v/>
      </c>
      <c r="F8154" t="inlineStr">
        <is>
          <t>B07D4M51DQ</t>
        </is>
      </c>
      <c r="G8154">
        <f>_xlfn.IMAGE("https://edmondsonsupply.com/cdn/shop/products/630-1-2_f4e6e615-6377-4eae-87c2-03b0329a1140.jpg?v=1587145137")</f>
        <v/>
      </c>
      <c r="H8154">
        <f>_xlfn.IMAGE("https://m.media-amazon.com/images/I/61gwAJBzDAL._AC_UL320_.jpg")</f>
        <v/>
      </c>
      <c r="K8154" t="inlineStr">
        <is>
          <t>11.99</t>
        </is>
      </c>
      <c r="L8154" t="n">
        <v>29.97</v>
      </c>
      <c r="M8154" s="1" t="inlineStr">
        <is>
          <t>149.96%</t>
        </is>
      </c>
      <c r="N8154" s="7" t="n"/>
      <c r="O8154" t="n">
        <v>4.7</v>
      </c>
      <c r="P8154" t="n">
        <v>9145</v>
      </c>
      <c r="R8154" t="inlineStr">
        <is>
          <t>InStock</t>
        </is>
      </c>
      <c r="S8154" t="inlineStr">
        <is>
          <t>18.14</t>
        </is>
      </c>
      <c r="T8154" t="inlineStr">
        <is>
          <t>4259221897316</t>
        </is>
      </c>
    </row>
    <row r="8155" ht="87" customHeight="1">
      <c r="A8155" s="2">
        <f>HYPERLINK("https://edmondsonsupply.com/collections/electricians-tools/products/klein-tools-s106m-vaco-5-16-inch-magnetic-nut-driver-9-inch-shank", "https://edmondsonsupply.com/collections/electricians-tools/products/klein-tools-s106m-vaco-5-16-inch-magnetic-nut-driver-9-inch-shank")</f>
        <v/>
      </c>
      <c r="B8155" s="2">
        <f>HYPERLINK("https://edmondsonsupply.com/products/klein-tools-s106m-vaco-5-16-inch-magnetic-nut-driver-9-inch-shank", "https://edmondsonsupply.com/products/klein-tools-s106m-vaco-5-16-inch-magnetic-nut-driver-9-inch-shank")</f>
        <v/>
      </c>
      <c r="C8155" t="inlineStr">
        <is>
          <t>Klein Tools S106M 5/16-Inch Magnetic Nut Driver, 9-Inch Shank</t>
        </is>
      </c>
      <c r="D8155" t="inlineStr">
        <is>
          <t>Klein Tools 32807MAG 7-in-1 Nut Driver, Magnetic Driver has SAE Hex Nut Sizes 1/4 to 9/16-Inch, Cushion Grip Handle for Added Torque</t>
        </is>
      </c>
      <c r="E8155" s="2">
        <f>HYPERLINK("https://www.amazon.com/Driver-Magnetic-Klein-Tools-32807MAG/dp/B07D4M51DQ/ref=sr_1_19?keywords=Klein+Tools+S106M+5%2F16-Inch+Magnetic+Nut+Driver%2C+9-Inch+Shank&amp;qid=1694735455&amp;sr=8-19", "https://www.amazon.com/Driver-Magnetic-Klein-Tools-32807MAG/dp/B07D4M51DQ/ref=sr_1_19?keywords=Klein+Tools+S106M+5%2F16-Inch+Magnetic+Nut+Driver%2C+9-Inch+Shank&amp;qid=1694735455&amp;sr=8-19")</f>
        <v/>
      </c>
      <c r="F8155" t="inlineStr">
        <is>
          <t>B07D4M51DQ</t>
        </is>
      </c>
      <c r="G8155">
        <f>_xlfn.IMAGE("https://edmondsonsupply.com/cdn/shop/products/s106.jpg?v=1587146493")</f>
        <v/>
      </c>
      <c r="H8155">
        <f>_xlfn.IMAGE("https://m.media-amazon.com/images/I/61gwAJBzDAL._AC_UL320_.jpg")</f>
        <v/>
      </c>
      <c r="K8155" t="inlineStr">
        <is>
          <t>11.99</t>
        </is>
      </c>
      <c r="L8155" t="n">
        <v>29.97</v>
      </c>
      <c r="M8155" s="1" t="inlineStr">
        <is>
          <t>149.96%</t>
        </is>
      </c>
      <c r="N8155" s="7" t="n"/>
      <c r="O8155" t="n">
        <v>4.7</v>
      </c>
      <c r="P8155" t="n">
        <v>9145</v>
      </c>
      <c r="R8155" t="inlineStr">
        <is>
          <t>InStock</t>
        </is>
      </c>
      <c r="S8155" t="inlineStr">
        <is>
          <t>17.38</t>
        </is>
      </c>
      <c r="T8155" t="inlineStr">
        <is>
          <t>4096546504804</t>
        </is>
      </c>
    </row>
    <row r="8156" ht="87" customHeight="1">
      <c r="A8156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156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156" t="inlineStr">
        <is>
          <t>Klein Tools 11055 Klein Kurve® Solid and Stranded Copper Wire Stripper &amp; Cutter</t>
        </is>
      </c>
      <c r="D8156" t="inlineStr">
        <is>
          <t>Klein Tools 935RB Level, 8-Inch Torpedo Level with Rare Earth Magnet and Tapered Nose, High-Viz &amp; 11055 Wire Cutter and Wire Stripper, Stranded Wire Cutter, Solid Wire Cutter, Cuts Copper Wire</t>
        </is>
      </c>
      <c r="E8156" s="2">
        <f>HYPERLINK("https://www.amazon.com/Klein-Tools-High-Viz-Stripper-Stranded/dp/B0BD3VN2CV/ref=sr_1_38?keywords=Klein+Tools+11055+Klein+Kurve%C2%AE+Solid+and+Stranded+Copper+Wire+Stripper+%26+Cutter&amp;qid=1694735472&amp;sr=8-38", "https://www.amazon.com/Klein-Tools-High-Viz-Stripper-Stranded/dp/B0BD3VN2CV/ref=sr_1_38?keywords=Klein+Tools+11055+Klein+Kurve%C2%AE+Solid+and+Stranded+Copper+Wire+Stripper+%26+Cutter&amp;qid=1694735472&amp;sr=8-38")</f>
        <v/>
      </c>
      <c r="F8156" t="inlineStr">
        <is>
          <t>B0BD3VN2CV</t>
        </is>
      </c>
      <c r="G8156">
        <f>_xlfn.IMAGE("https://edmondsonsupply.com/cdn/shop/products/11055ep.jpg?v=1670949748")</f>
        <v/>
      </c>
      <c r="H8156">
        <f>_xlfn.IMAGE("https://m.media-amazon.com/images/I/51QEAFjwBmL._AC_UL320_.jpg")</f>
        <v/>
      </c>
      <c r="K8156" t="inlineStr">
        <is>
          <t>19.99</t>
        </is>
      </c>
      <c r="L8156" t="n">
        <v>49.96</v>
      </c>
      <c r="M8156" s="1" t="inlineStr">
        <is>
          <t>149.92%</t>
        </is>
      </c>
      <c r="N8156" s="7" t="n"/>
      <c r="O8156" t="n">
        <v>5</v>
      </c>
      <c r="P8156" t="n">
        <v>9</v>
      </c>
      <c r="R8156" t="inlineStr">
        <is>
          <t>InStock</t>
        </is>
      </c>
      <c r="S8156" t="inlineStr">
        <is>
          <t>29.82</t>
        </is>
      </c>
      <c r="T8156" t="inlineStr">
        <is>
          <t>1780558135396</t>
        </is>
      </c>
    </row>
    <row r="8157" hidden="1" ht="15.75" customHeight="1">
      <c r="A8157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157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157" t="inlineStr">
        <is>
          <t>Klein Tools JTH6M25 2.5 mm Hex Key with Journeyman T-Handle, 6-Inch</t>
        </is>
      </c>
      <c r="D8157" t="inlineStr">
        <is>
          <t>Klein Tools JTH9M6 6 mm Hex Key, Journeyman T-Handle, 9-Inch</t>
        </is>
      </c>
      <c r="E8157" s="2">
        <f>HYPERLINK("https://www.amazon.com/Journeyman-T-Handle-Klein-Tools-JTH9M6/dp/B005G3HJKU/ref=sr_1_18?keywords=Klein+Tools+JTH6M25+2.5+mm+Hex+Key+with+Journeyman+T-Handle%2C+6-Inch&amp;qid=1694735465&amp;sr=8-18", "https://www.amazon.com/Journeyman-T-Handle-Klein-Tools-JTH9M6/dp/B005G3HJKU/ref=sr_1_18?keywords=Klein+Tools+JTH6M25+2.5+mm+Hex+Key+with+Journeyman+T-Handle%2C+6-Inch&amp;qid=1694735465&amp;sr=8-18")</f>
        <v/>
      </c>
      <c r="F8157" t="inlineStr">
        <is>
          <t>B005G3HJKU</t>
        </is>
      </c>
      <c r="G8157">
        <f>_xludf.IMAGE("https://edmondsonsupply.com/cdn/shop/products/jth6m8_418cc1b7-11e8-4105-a13a-5501c6e11940.jpg?v=1587148486")</f>
        <v/>
      </c>
      <c r="H8157">
        <f>_xludf.IMAGE("https://m.media-amazon.com/images/I/51+1x0vz9XL._AC_UL320_.jpg")</f>
        <v/>
      </c>
      <c r="K8157" t="inlineStr">
        <is>
          <t>3.99</t>
        </is>
      </c>
      <c r="L8157" t="n">
        <v>9.84</v>
      </c>
      <c r="M8157" s="1" t="inlineStr">
        <is>
          <t>146.62%</t>
        </is>
      </c>
      <c r="N8157" s="1" t="n"/>
      <c r="O8157" t="n">
        <v>4.7</v>
      </c>
      <c r="P8157" t="n">
        <v>123</v>
      </c>
      <c r="R8157" t="inlineStr">
        <is>
          <t>InStock</t>
        </is>
      </c>
      <c r="S8157" t="inlineStr">
        <is>
          <t>5.76</t>
        </is>
      </c>
      <c r="T8157" t="inlineStr">
        <is>
          <t>3694858567780</t>
        </is>
      </c>
    </row>
    <row r="8158" hidden="1" ht="15.75" customHeight="1">
      <c r="A8158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158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158" t="inlineStr">
        <is>
          <t>Klein Tools JTH6E09 9/64-Inch Hex Key, Journeyman T-Handle, 6-Inch</t>
        </is>
      </c>
      <c r="D8158" t="inlineStr">
        <is>
          <t>Klein Tools JTH9M6 6 mm Hex Key, Journeyman T-Handle, 9-Inch</t>
        </is>
      </c>
      <c r="E8158" s="2">
        <f>HYPERLINK("https://www.amazon.com/Journeyman-T-Handle-Klein-Tools-JTH9M6/dp/B005G3HJKU/ref=sr_1_12?keywords=Klein+Tools+JTH6E09+9%2F64-Inch+Hex+Key%2C+Journeyman+T-Handle%2C+6-Inch&amp;qid=1694735431&amp;sr=8-12", "https://www.amazon.com/Journeyman-T-Handle-Klein-Tools-JTH9M6/dp/B005G3HJKU/ref=sr_1_12?keywords=Klein+Tools+JTH6E09+9%2F64-Inch+Hex+Key%2C+Journeyman+T-Handle%2C+6-Inch&amp;qid=1694735431&amp;sr=8-12")</f>
        <v/>
      </c>
      <c r="F8158" t="inlineStr">
        <is>
          <t>B005G3HJKU</t>
        </is>
      </c>
      <c r="G8158">
        <f>_xludf.IMAGE("https://edmondsonsupply.com/cdn/shop/products/jth6e15_bef890d0-fa69-4c40-acf7-922fc3acaacb.jpg?v=1587142823")</f>
        <v/>
      </c>
      <c r="H8158">
        <f>_xludf.IMAGE("https://m.media-amazon.com/images/I/51+1x0vz9XL._AC_UL320_.jpg")</f>
        <v/>
      </c>
      <c r="K8158" t="inlineStr">
        <is>
          <t>3.99</t>
        </is>
      </c>
      <c r="L8158" t="n">
        <v>9.84</v>
      </c>
      <c r="M8158" s="1" t="inlineStr">
        <is>
          <t>146.62%</t>
        </is>
      </c>
      <c r="N8158" s="1" t="n"/>
      <c r="O8158" t="n">
        <v>4.7</v>
      </c>
      <c r="P8158" t="n">
        <v>123</v>
      </c>
      <c r="R8158" t="inlineStr">
        <is>
          <t>InStock</t>
        </is>
      </c>
      <c r="S8158" t="inlineStr">
        <is>
          <t>6.04</t>
        </is>
      </c>
      <c r="T8158" t="inlineStr">
        <is>
          <t>4339809386596</t>
        </is>
      </c>
    </row>
    <row r="8159" hidden="1" ht="15.75" customHeight="1">
      <c r="A8159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159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159" t="inlineStr">
        <is>
          <t>Klein Tools JTH6E10 5/32-Inch Hex Key, Journeyman T-Handle, 6-Inch</t>
        </is>
      </c>
      <c r="D8159" t="inlineStr">
        <is>
          <t>Klein Tools JTH9M6 6 mm Hex Key, Journeyman T-Handle, 9-Inch</t>
        </is>
      </c>
      <c r="E8159" s="2">
        <f>HYPERLINK("https://www.amazon.com/Journeyman-T-Handle-Klein-Tools-JTH9M6/dp/B005G3HJKU/ref=sr_1_13?keywords=Klein+Tools+JTH6E10+5%2F32-Inch+Hex+Key%2C+Journeyman+T-Handle%2C+6-Inch&amp;qid=1694735453&amp;sr=8-13", "https://www.amazon.com/Journeyman-T-Handle-Klein-Tools-JTH9M6/dp/B005G3HJKU/ref=sr_1_13?keywords=Klein+Tools+JTH6E10+5%2F32-Inch+Hex+Key%2C+Journeyman+T-Handle%2C+6-Inch&amp;qid=1694735453&amp;sr=8-13")</f>
        <v/>
      </c>
      <c r="F8159" t="inlineStr">
        <is>
          <t>B005G3HJKU</t>
        </is>
      </c>
      <c r="G8159">
        <f>_xludf.IMAGE("https://edmondsonsupply.com/cdn/shop/products/jth6e15_f525b558-406f-4cfd-9eb6-2b57378156a6.jpg?v=1587144832")</f>
        <v/>
      </c>
      <c r="H8159">
        <f>_xludf.IMAGE("https://m.media-amazon.com/images/I/51+1x0vz9XL._AC_UL320_.jpg")</f>
        <v/>
      </c>
      <c r="K8159" t="inlineStr">
        <is>
          <t>3.99</t>
        </is>
      </c>
      <c r="L8159" t="n">
        <v>9.84</v>
      </c>
      <c r="M8159" s="1" t="inlineStr">
        <is>
          <t>146.62%</t>
        </is>
      </c>
      <c r="N8159" s="1" t="n"/>
      <c r="O8159" t="n">
        <v>4.7</v>
      </c>
      <c r="P8159" t="n">
        <v>123</v>
      </c>
      <c r="R8159" t="inlineStr">
        <is>
          <t>InStock</t>
        </is>
      </c>
      <c r="S8159" t="inlineStr">
        <is>
          <t>6.04</t>
        </is>
      </c>
      <c r="T8159" t="inlineStr">
        <is>
          <t>4160213418084</t>
        </is>
      </c>
    </row>
    <row r="8160" ht="87" customHeight="1">
      <c r="A8160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160" s="2">
        <f>HYPERLINK("https://edmondsonsupply.com/products/klein-tools-69411-circuit-breaker-finder-accessory-kit", "https://edmondsonsupply.com/products/klein-tools-69411-circuit-breaker-finder-accessory-kit")</f>
        <v/>
      </c>
      <c r="C8160" t="inlineStr">
        <is>
          <t>Klein Tools 69411 Circuit Breaker Finder Accessory Kit</t>
        </is>
      </c>
      <c r="D8160" t="inlineStr">
        <is>
          <t>Klein Tools NCVT2PKIT Non-Contact Voltage Tester &amp; 69411 Circuit Breaker Finder Accessory Kit, Circuit Breaker Leads, Circuit Breaker Adapters</t>
        </is>
      </c>
      <c r="E8160" s="2">
        <f>HYPERLINK("https://www.amazon.com/Klein-Tools-NCVT2PKIT-Non-Contact-Accessory/dp/B0BRM6NYBS/ref=sr_1_12?keywords=Klein+Tools+69411+Circuit+Breaker+Finder+Accessory+Kit&amp;qid=1694735452&amp;sr=8-12", "https://www.amazon.com/Klein-Tools-NCVT2PKIT-Non-Contact-Accessory/dp/B0BRM6NYBS/ref=sr_1_12?keywords=Klein+Tools+69411+Circuit+Breaker+Finder+Accessory+Kit&amp;qid=1694735452&amp;sr=8-12")</f>
        <v/>
      </c>
      <c r="F8160" t="inlineStr">
        <is>
          <t>B0BRM6NYBS</t>
        </is>
      </c>
      <c r="G8160">
        <f>_xlfn.IMAGE("https://edmondsonsupply.com/cdn/shop/products/69411.jpg?v=1587143386")</f>
        <v/>
      </c>
      <c r="H8160">
        <f>_xlfn.IMAGE("https://m.media-amazon.com/images/I/41I5bjxIRcL._AC_UL320_.jpg")</f>
        <v/>
      </c>
      <c r="K8160" t="inlineStr">
        <is>
          <t>19.97</t>
        </is>
      </c>
      <c r="L8160" t="n">
        <v>48.96</v>
      </c>
      <c r="M8160" s="1" t="inlineStr">
        <is>
          <t>145.17%</t>
        </is>
      </c>
      <c r="N8160" s="7" t="n"/>
      <c r="O8160" t="n">
        <v>5</v>
      </c>
      <c r="P8160" t="n">
        <v>1</v>
      </c>
      <c r="R8160" t="inlineStr">
        <is>
          <t>InStock</t>
        </is>
      </c>
      <c r="S8160" t="inlineStr">
        <is>
          <t>27.96</t>
        </is>
      </c>
      <c r="T8160" t="inlineStr">
        <is>
          <t>4166896255076</t>
        </is>
      </c>
    </row>
    <row r="8161" hidden="1" ht="15.75" customHeight="1">
      <c r="A8161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161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161" t="inlineStr">
        <is>
          <t>Klein Tools JTH6M6 6 mm Hex Key, Journeyman T-Handle, 6-Inch</t>
        </is>
      </c>
      <c r="D8161" t="inlineStr">
        <is>
          <t>Klein Tools JTH6T25 T25 TORX Hex Key, Journeyman T-Handle, 6-Inch</t>
        </is>
      </c>
      <c r="E8161" s="2">
        <f>HYPERLINK("https://www.amazon.com/Journeyman-T-Handle-Klein-Tools-JTH6T25/dp/B005G3B4HE/ref=sr_1_6?keywords=Klein+Tools+JTH6M6+6+mm+Hex+Key%2C+Journeyman+T-Handle%2C+6-Inch&amp;qid=1694735472&amp;sr=8-6", "https://www.amazon.com/Journeyman-T-Handle-Klein-Tools-JTH6T25/dp/B005G3B4HE/ref=sr_1_6?keywords=Klein+Tools+JTH6M6+6+mm+Hex+Key%2C+Journeyman+T-Handle%2C+6-Inch&amp;qid=1694735472&amp;sr=8-6")</f>
        <v/>
      </c>
      <c r="F8161" t="inlineStr">
        <is>
          <t>B005G3B4HE</t>
        </is>
      </c>
      <c r="G8161">
        <f>_xludf.IMAGE("https://edmondsonsupply.com/cdn/shop/products/jth6m8_f0088b53-c3db-4dc3-9272-8f65ecc1b648.jpg?v=1587147556")</f>
        <v/>
      </c>
      <c r="H8161">
        <f>_xludf.IMAGE("https://m.media-amazon.com/images/I/51Xj0Vsb-EL._AC_UL320_.jpg")</f>
        <v/>
      </c>
      <c r="K8161" t="inlineStr">
        <is>
          <t>4.99</t>
        </is>
      </c>
      <c r="L8161" t="n">
        <v>12.16</v>
      </c>
      <c r="M8161" s="1" t="inlineStr">
        <is>
          <t>143.69%</t>
        </is>
      </c>
      <c r="N8161" s="1" t="n"/>
      <c r="O8161" t="n">
        <v>4.8</v>
      </c>
      <c r="P8161" t="n">
        <v>1540</v>
      </c>
      <c r="R8161" t="inlineStr">
        <is>
          <t>InStock</t>
        </is>
      </c>
      <c r="S8161" t="inlineStr">
        <is>
          <t>7.56</t>
        </is>
      </c>
      <c r="T8161" t="inlineStr">
        <is>
          <t>3694875246692</t>
        </is>
      </c>
    </row>
    <row r="8162" ht="87" customHeight="1">
      <c r="A8162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162" s="2">
        <f>HYPERLINK("https://edmondsonsupply.com/products/klein-tools-63050-high-leverage-cable-cutter", "https://edmondsonsupply.com/products/klein-tools-63050-high-leverage-cable-cutter")</f>
        <v/>
      </c>
      <c r="C8162" t="inlineStr">
        <is>
          <t>Klein Tools 63050 Cable Cutter</t>
        </is>
      </c>
      <c r="D8162" t="inlineStr">
        <is>
          <t>Klein Tools 63035 Cable Cutter, Utility Cable Cutter Cuts MCM Copper and 350 MCM Aluminum Cable, with Shear-Type Hook Jaws, 16-Inch Handles</t>
        </is>
      </c>
      <c r="E8162" s="2">
        <f>HYPERLINK("https://www.amazon.com/Utility-Cutter-Klein-Tools-63035/dp/B000OMN9F2/ref=sr_1_18?keywords=Klein+Tools+63050+Cable+Cutter&amp;qid=1694735444&amp;sr=8-18", "https://www.amazon.com/Utility-Cutter-Klein-Tools-63035/dp/B000OMN9F2/ref=sr_1_18?keywords=Klein+Tools+63050+Cable+Cutter&amp;qid=1694735444&amp;sr=8-18")</f>
        <v/>
      </c>
      <c r="F8162" t="inlineStr">
        <is>
          <t>B000OMN9F2</t>
        </is>
      </c>
      <c r="G8162">
        <f>_xlfn.IMAGE("https://edmondsonsupply.com/cdn/shop/products/63050.jpg?v=1587143239")</f>
        <v/>
      </c>
      <c r="H8162">
        <f>_xlfn.IMAGE("https://m.media-amazon.com/images/I/41G4oi12miL._AC_UL320_.jpg")</f>
        <v/>
      </c>
      <c r="K8162" t="inlineStr">
        <is>
          <t>32.99</t>
        </is>
      </c>
      <c r="L8162" t="n">
        <v>79.98</v>
      </c>
      <c r="M8162" s="1" t="inlineStr">
        <is>
          <t>142.44%</t>
        </is>
      </c>
      <c r="N8162" s="7" t="n"/>
      <c r="O8162" t="n">
        <v>4.8</v>
      </c>
      <c r="P8162" t="n">
        <v>84</v>
      </c>
      <c r="R8162" t="inlineStr">
        <is>
          <t>InStock</t>
        </is>
      </c>
      <c r="S8162" t="inlineStr">
        <is>
          <t>47.96</t>
        </is>
      </c>
      <c r="T8162" t="inlineStr">
        <is>
          <t>4289689124964</t>
        </is>
      </c>
    </row>
    <row r="8163" ht="87" customHeight="1">
      <c r="A8163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163" s="2">
        <f>HYPERLINK("https://edmondsonsupply.com/products/klein-tools-aepjs1-wireless-jobsite-speaker-bluetooth", "https://edmondsonsupply.com/products/klein-tools-aepjs1-wireless-jobsite-speaker-bluetooth")</f>
        <v/>
      </c>
      <c r="C8163" t="inlineStr">
        <is>
          <t>Klein Tools AEPJS1 Wireless Jobsite Speaker</t>
        </is>
      </c>
      <c r="D8163" t="inlineStr">
        <is>
          <t>Klein Tools PJSFM1 Battery Operated Rechargeable Fan &amp; AEPJS1 Bluetooth Speaker, Wireless Portable Jobsite Speaker Plays Audio and Answers Calls Hands Free, IPX5, Worksite Ready</t>
        </is>
      </c>
      <c r="E8163" s="2">
        <f>HYPERLINK("https://www.amazon.com/Klein-Tools-Operated-Rechargeable-Bluetooth/dp/B0BC85Q9WY/ref=sr_1_4?keywords=Klein+Tools+AEPJS1+Wireless+Jobsite+Speaker&amp;qid=1694735448&amp;sr=8-4", "https://www.amazon.com/Klein-Tools-Operated-Rechargeable-Bluetooth/dp/B0BC85Q9WY/ref=sr_1_4?keywords=Klein+Tools+AEPJS1+Wireless+Jobsite+Speaker&amp;qid=1694735448&amp;sr=8-4")</f>
        <v/>
      </c>
      <c r="F8163" t="inlineStr">
        <is>
          <t>B0BC85Q9WY</t>
        </is>
      </c>
      <c r="G8163">
        <f>_xlfn.IMAGE("https://edmondsonsupply.com/cdn/shop/products/aepjs1.jpg?v=1587145015")</f>
        <v/>
      </c>
      <c r="H8163">
        <f>_xlfn.IMAGE("https://m.media-amazon.com/images/I/61rSXmOXaAL._AC_UY218_.jpg")</f>
        <v/>
      </c>
      <c r="K8163" t="inlineStr">
        <is>
          <t>39.97</t>
        </is>
      </c>
      <c r="L8163" t="n">
        <v>96.47</v>
      </c>
      <c r="M8163" s="1" t="inlineStr">
        <is>
          <t>141.36%</t>
        </is>
      </c>
      <c r="N8163" s="7" t="n"/>
      <c r="O8163" t="n">
        <v>5</v>
      </c>
      <c r="P8163" t="n">
        <v>1</v>
      </c>
      <c r="R8163" t="inlineStr">
        <is>
          <t>InStock</t>
        </is>
      </c>
      <c r="S8163" t="inlineStr">
        <is>
          <t>56.0</t>
        </is>
      </c>
      <c r="T8163" t="inlineStr">
        <is>
          <t>1779629424740</t>
        </is>
      </c>
    </row>
    <row r="8164" hidden="1" ht="15.75" customHeight="1">
      <c r="A8164" s="2">
        <f>HYPERLINK("https://edmondsonsupply.com/collections/electricians-tools/products/klein-tools-d507-6-adjustable-wrench-extra-capacity-6-1-2-inch", "https://edmondsonsupply.com/collections/electricians-tools/products/klein-tools-d507-6-adjustable-wrench-extra-capacity-6-1-2-inch")</f>
        <v/>
      </c>
      <c r="B8164" s="2">
        <f>HYPERLINK("https://edmondsonsupply.com/products/klein-tools-d507-6-adjustable-wrench-extra-capacity-6-1-2-inch", "https://edmondsonsupply.com/products/klein-tools-d507-6-adjustable-wrench-extra-capacity-6-1-2-inch")</f>
        <v/>
      </c>
      <c r="C8164" t="inlineStr">
        <is>
          <t>Klein Tools D507-6 Adjustable Wrench Extra Capacity, 6-1/2-Inch</t>
        </is>
      </c>
      <c r="D8164" t="inlineStr">
        <is>
          <t>Klein Tools HD507-12 Adjustable Wrench-Extra-Capacity, 12-Inch</t>
        </is>
      </c>
      <c r="E8164" s="2">
        <f>HYPERLINK("https://www.amazon.com/Klein-Tools-HD507-12-Adjustable-Wrench-Extra-Capacity/dp/B0002RI9Z4/ref=sr_1_17?keywords=Klein+Tools+D507-6+Adjustable+Wrench+Extra+Capacity%2C+6-1%2F2-Inch&amp;qid=1694735470&amp;sr=8-17", "https://www.amazon.com/Klein-Tools-HD507-12-Adjustable-Wrench-Extra-Capacity/dp/B0002RI9Z4/ref=sr_1_17?keywords=Klein+Tools+D507-6+Adjustable+Wrench+Extra+Capacity%2C+6-1%2F2-Inch&amp;qid=1694735470&amp;sr=8-17")</f>
        <v/>
      </c>
      <c r="F8164" t="inlineStr">
        <is>
          <t>B0002RI9Z4</t>
        </is>
      </c>
      <c r="G8164">
        <f>_xludf.IMAGE("https://edmondsonsupply.com/cdn/shop/products/d507-6.jpg?v=1587147606")</f>
        <v/>
      </c>
      <c r="H8164">
        <f>_xludf.IMAGE("https://m.media-amazon.com/images/I/51neMDEiFVL._AC_UL320_.jpg")</f>
        <v/>
      </c>
      <c r="K8164" t="inlineStr">
        <is>
          <t>25.99</t>
        </is>
      </c>
      <c r="L8164" t="n">
        <v>62.44</v>
      </c>
      <c r="M8164" s="1" t="inlineStr">
        <is>
          <t>140.25%</t>
        </is>
      </c>
      <c r="N8164" s="1" t="n"/>
      <c r="O8164" t="n">
        <v>3.4</v>
      </c>
      <c r="P8164" t="n">
        <v>2</v>
      </c>
      <c r="R8164" t="inlineStr">
        <is>
          <t>InStock</t>
        </is>
      </c>
      <c r="S8164" t="inlineStr">
        <is>
          <t>39.3</t>
        </is>
      </c>
      <c r="T8164" t="inlineStr">
        <is>
          <t>3694818099300</t>
        </is>
      </c>
    </row>
    <row r="8165" ht="87" customHeight="1">
      <c r="A8165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165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165" t="inlineStr">
        <is>
          <t>Klein Tools JTH9E15 3/8-Inch Hex Key, Journeyman T-Handle, 9-Inch</t>
        </is>
      </c>
      <c r="D8165" t="inlineStr">
        <is>
          <t>Klein Tools JTH9E17 1/2-Inch Hex Key, Journeyman T-Handle, 9-Inch</t>
        </is>
      </c>
      <c r="E8165" s="2">
        <f>HYPERLINK("https://www.amazon.com/Journeyman-T-Handle-Klein-Tools-JTH9E17/dp/B004QV6NL4/ref=sr_1_5?keywords=Klein+Tools+JTH9E15+3%2F8-Inch+Hex+Key%2C+Journeyman+T-Handle%2C+9-Inch&amp;qid=1694735471&amp;sr=8-5", "https://www.amazon.com/Journeyman-T-Handle-Klein-Tools-JTH9E17/dp/B004QV6NL4/ref=sr_1_5?keywords=Klein+Tools+JTH9E15+3%2F8-Inch+Hex+Key%2C+Journeyman+T-Handle%2C+9-Inch&amp;qid=1694735471&amp;sr=8-5")</f>
        <v/>
      </c>
      <c r="F8165" t="inlineStr">
        <is>
          <t>B004QV6NL4</t>
        </is>
      </c>
      <c r="G8165">
        <f>_xlfn.IMAGE("https://edmondsonsupply.com/cdn/shop/products/jth9e12.jpg?v=1587144816")</f>
        <v/>
      </c>
      <c r="H8165">
        <f>_xlfn.IMAGE("https://m.media-amazon.com/images/I/51Yb8h41vLL._AC_UL320_.jpg")</f>
        <v/>
      </c>
      <c r="K8165" t="inlineStr">
        <is>
          <t>9.99</t>
        </is>
      </c>
      <c r="L8165" t="n">
        <v>23.99</v>
      </c>
      <c r="M8165" s="1" t="inlineStr">
        <is>
          <t>140.14%</t>
        </is>
      </c>
      <c r="N8165" s="7" t="n"/>
      <c r="O8165" t="n">
        <v>4.8</v>
      </c>
      <c r="P8165" t="n">
        <v>193</v>
      </c>
      <c r="R8165" t="inlineStr">
        <is>
          <t>InStock</t>
        </is>
      </c>
      <c r="S8165" t="inlineStr">
        <is>
          <t>15.22</t>
        </is>
      </c>
      <c r="T8165" t="inlineStr">
        <is>
          <t>3695779151972</t>
        </is>
      </c>
    </row>
    <row r="8166" ht="87" customHeight="1">
      <c r="A8166" s="2">
        <f>HYPERLINK("https://edmondsonsupply.com/collections/electricians-tools/products/klein-tools-935-torpedo-level", "https://edmondsonsupply.com/collections/electricians-tools/products/klein-tools-935-torpedo-level")</f>
        <v/>
      </c>
      <c r="B8166" s="2">
        <f>HYPERLINK("https://edmondsonsupply.com/products/klein-tools-935-torpedo-level", "https://edmondsonsupply.com/products/klein-tools-935-torpedo-level")</f>
        <v/>
      </c>
      <c r="C8166" t="inlineStr">
        <is>
          <t>Klein Tools 935 Torpedo Level, 3 Vial, 9-Inch</t>
        </is>
      </c>
      <c r="D8166" t="inlineStr">
        <is>
          <t>Klein Tools 935AB4V Level, Torpedo Level is a Magnetic Conduit Level with 4 Vials, V-Groove and Magnet Track, High Viz Orange &amp; 935AB1V Level, Offset Conduit Bending Level, 1 Vial</t>
        </is>
      </c>
      <c r="E8166" s="2">
        <f>HYPERLINK("https://www.amazon.com/Klein-Tools-935AB4V-Magnetic-V-Groove/dp/B093PWX8G7/ref=sr_1_26?keywords=Klein+Tools+935+Torpedo+Level%2C+3+Vial%2C+9-Inch&amp;qid=1694735440&amp;sr=8-26", "https://www.amazon.com/Klein-Tools-935AB4V-Magnetic-V-Groove/dp/B093PWX8G7/ref=sr_1_26?keywords=Klein+Tools+935+Torpedo+Level%2C+3+Vial%2C+9-Inch&amp;qid=1694735440&amp;sr=8-26")</f>
        <v/>
      </c>
      <c r="F8166" t="inlineStr">
        <is>
          <t>B093PWX8G7</t>
        </is>
      </c>
      <c r="G8166">
        <f>_xlfn.IMAGE("https://edmondsonsupply.com/cdn/shop/products/935_b.jpg?v=1679425556")</f>
        <v/>
      </c>
      <c r="H8166">
        <f>_xlfn.IMAGE("https://m.media-amazon.com/images/I/51s0xzw+gnS._AC_UL320_.jpg")</f>
        <v/>
      </c>
      <c r="K8166" t="inlineStr">
        <is>
          <t>17.97</t>
        </is>
      </c>
      <c r="L8166" t="n">
        <v>42.94</v>
      </c>
      <c r="M8166" s="1" t="inlineStr">
        <is>
          <t>138.95%</t>
        </is>
      </c>
      <c r="N8166" s="7" t="n"/>
      <c r="O8166" t="n">
        <v>4.9</v>
      </c>
      <c r="P8166" t="n">
        <v>64</v>
      </c>
      <c r="R8166" t="inlineStr">
        <is>
          <t>InStock</t>
        </is>
      </c>
      <c r="S8166" t="inlineStr">
        <is>
          <t>25.22</t>
        </is>
      </c>
      <c r="T8166" t="inlineStr">
        <is>
          <t>4310094086244</t>
        </is>
      </c>
    </row>
    <row r="8167" ht="87" customHeight="1">
      <c r="A8167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167" s="2">
        <f>HYPERLINK("https://edmondsonsupply.com/products/klein-tools-11061-self-adjusting-wire-stripper-cutter", "https://edmondsonsupply.com/products/klein-tools-11061-self-adjusting-wire-stripper-cutter")</f>
        <v/>
      </c>
      <c r="C8167" t="inlineStr">
        <is>
          <t>Klein Tools 11061 Wire Stripper and Cutter, Self-Adjusting</t>
        </is>
      </c>
      <c r="D8167" t="inlineStr">
        <is>
          <t>Klein Tools 11063W Wire Cutter/Wire Stripper, Heavy Duty Wire Stripper Tool &amp; 11061 Wire Stripper/Wire Cutter for Solid and Stranded AWG Wire, Heavy Duty Kleins are Self Adjusting</t>
        </is>
      </c>
      <c r="E8167" s="2">
        <f>HYPERLINK("https://www.amazon.com/Klein-Tools-Stripper-Stranded-Adjusting/dp/B08ZPWWTN2/ref=sr_1_2?keywords=Klein+Tools+11061+Wire+Stripper+and+Cutter%2C+Self-Adjusting&amp;qid=1694735488&amp;sr=8-2", "https://www.amazon.com/Klein-Tools-Stripper-Stranded-Adjusting/dp/B08ZPWWTN2/ref=sr_1_2?keywords=Klein+Tools+11061+Wire+Stripper+and+Cutter%2C+Self-Adjusting&amp;qid=1694735488&amp;sr=8-2")</f>
        <v/>
      </c>
      <c r="F8167" t="inlineStr">
        <is>
          <t>B08ZPWWTN2</t>
        </is>
      </c>
      <c r="G8167">
        <f>_xlfn.IMAGE("https://edmondsonsupply.com/cdn/shop/products/11061.jpg?v=1587148772")</f>
        <v/>
      </c>
      <c r="H8167">
        <f>_xlfn.IMAGE("https://m.media-amazon.com/images/I/41+WzGiz14L._AC_UL320_.jpg")</f>
        <v/>
      </c>
      <c r="K8167" t="inlineStr">
        <is>
          <t>21.97</t>
        </is>
      </c>
      <c r="L8167" t="n">
        <v>51.94</v>
      </c>
      <c r="M8167" s="1" t="inlineStr">
        <is>
          <t>136.41%</t>
        </is>
      </c>
      <c r="N8167" s="7" t="n"/>
      <c r="O8167" t="n">
        <v>4.8</v>
      </c>
      <c r="P8167" t="n">
        <v>84</v>
      </c>
      <c r="R8167" t="inlineStr">
        <is>
          <t>InStock</t>
        </is>
      </c>
      <c r="S8167" t="inlineStr">
        <is>
          <t>37.14</t>
        </is>
      </c>
      <c r="T8167" t="inlineStr">
        <is>
          <t>3688611020900</t>
        </is>
      </c>
    </row>
    <row r="8168" ht="87" customHeight="1">
      <c r="A8168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168" s="2">
        <f>HYPERLINK("https://edmondsonsupply.com/products/klein-tools-11061-self-adjusting-wire-stripper-cutter", "https://edmondsonsupply.com/products/klein-tools-11061-self-adjusting-wire-stripper-cutter")</f>
        <v/>
      </c>
      <c r="C8168" t="inlineStr">
        <is>
          <t>Klein Tools 11061 Wire Stripper and Cutter, Self-Adjusting</t>
        </is>
      </c>
      <c r="D8168" t="inlineStr">
        <is>
          <t>Klein Tools 1005 Cutting/Crimping Tool for 10-22 AWG Terminals and Connectors &amp; 11061 Wire Stripper/Wire Cutter for Solid and Stranded AWG Wire, Heavy Duty Kleins are Self Adjusting</t>
        </is>
      </c>
      <c r="E8168" s="2">
        <f>HYPERLINK("https://www.amazon.com/Klein-Tools-Terminals-Connectors-Adjusting/dp/B0BC84JH2K/ref=sr_1_9?keywords=Klein+Tools+11061+Wire+Stripper+and+Cutter%2C+Self-Adjusting&amp;qid=1694735488&amp;sr=8-9", "https://www.amazon.com/Klein-Tools-Terminals-Connectors-Adjusting/dp/B0BC84JH2K/ref=sr_1_9?keywords=Klein+Tools+11061+Wire+Stripper+and+Cutter%2C+Self-Adjusting&amp;qid=1694735488&amp;sr=8-9")</f>
        <v/>
      </c>
      <c r="F8168" t="inlineStr">
        <is>
          <t>B0BC84JH2K</t>
        </is>
      </c>
      <c r="G8168">
        <f>_xlfn.IMAGE("https://edmondsonsupply.com/cdn/shop/products/11061.jpg?v=1587148772")</f>
        <v/>
      </c>
      <c r="H8168">
        <f>_xlfn.IMAGE("https://m.media-amazon.com/images/I/51v22oP3loL._AC_UL320_.jpg")</f>
        <v/>
      </c>
      <c r="K8168" t="inlineStr">
        <is>
          <t>21.97</t>
        </is>
      </c>
      <c r="L8168" t="n">
        <v>51.94</v>
      </c>
      <c r="M8168" s="1" t="inlineStr">
        <is>
          <t>136.41%</t>
        </is>
      </c>
      <c r="N8168" s="7" t="n"/>
      <c r="O8168" t="n">
        <v>5</v>
      </c>
      <c r="P8168" t="n">
        <v>3</v>
      </c>
      <c r="R8168" t="inlineStr">
        <is>
          <t>InStock</t>
        </is>
      </c>
      <c r="S8168" t="inlineStr">
        <is>
          <t>37.14</t>
        </is>
      </c>
      <c r="T8168" t="inlineStr">
        <is>
          <t>3688611020900</t>
        </is>
      </c>
    </row>
    <row r="8169" ht="87" customHeight="1">
      <c r="A8169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169" s="2">
        <f>HYPERLINK("https://edmondsonsupply.com/products/klein-tools-11061-self-adjusting-wire-stripper-cutter", "https://edmondsonsupply.com/products/klein-tools-11061-self-adjusting-wire-stripper-cutter")</f>
        <v/>
      </c>
      <c r="C8169" t="inlineStr">
        <is>
          <t>Klein Tools 11061 Wire Stripper and Cutter, Self-Adjusting</t>
        </is>
      </c>
      <c r="D8169" t="inlineStr">
        <is>
          <t>Klein Tools 3005CR Wire Crimper Tool, Ratcheting Insulated Terminal Crimper &amp; 11061 Wire Stripper/Wire Cutter for Solid and Stranded AWG Wire, Heavy Duty Kleins are Self Adjusting</t>
        </is>
      </c>
      <c r="E8169" s="2">
        <f>HYPERLINK("https://www.amazon.com/Klein-Tools-Ratcheting-Insulated-Adjusting/dp/B08XKN3KMD/ref=sr_1_7?keywords=Klein+Tools+11061+Wire+Stripper+and+Cutter%2C+Self-Adjusting&amp;qid=1694735488&amp;sr=8-7", "https://www.amazon.com/Klein-Tools-Ratcheting-Insulated-Adjusting/dp/B08XKN3KMD/ref=sr_1_7?keywords=Klein+Tools+11061+Wire+Stripper+and+Cutter%2C+Self-Adjusting&amp;qid=1694735488&amp;sr=8-7")</f>
        <v/>
      </c>
      <c r="F8169" t="inlineStr">
        <is>
          <t>B08XKN3KMD</t>
        </is>
      </c>
      <c r="G8169">
        <f>_xlfn.IMAGE("https://edmondsonsupply.com/cdn/shop/products/11061.jpg?v=1587148772")</f>
        <v/>
      </c>
      <c r="H8169">
        <f>_xlfn.IMAGE("https://m.media-amazon.com/images/I/416FL5-HbfL._AC_UL320_.jpg")</f>
        <v/>
      </c>
      <c r="K8169" t="inlineStr">
        <is>
          <t>21.97</t>
        </is>
      </c>
      <c r="L8169" t="n">
        <v>51.94</v>
      </c>
      <c r="M8169" s="1" t="inlineStr">
        <is>
          <t>136.41%</t>
        </is>
      </c>
      <c r="N8169" s="7" t="n"/>
      <c r="O8169" t="n">
        <v>4.6</v>
      </c>
      <c r="P8169" t="n">
        <v>26</v>
      </c>
      <c r="R8169" t="inlineStr">
        <is>
          <t>InStock</t>
        </is>
      </c>
      <c r="S8169" t="inlineStr">
        <is>
          <t>37.14</t>
        </is>
      </c>
      <c r="T8169" t="inlineStr">
        <is>
          <t>3688611020900</t>
        </is>
      </c>
    </row>
    <row r="8170" hidden="1" ht="15.75" customHeight="1">
      <c r="A8170" s="2">
        <f>HYPERLINK("https://edmondsonsupply.com/collections/electricians-tools/products/klein-tools-32485-replacement-bit-10-torx%C2%AE-15-torx%C2%AE", "https://edmondsonsupply.com/collections/electricians-tools/products/klein-tools-32485-replacement-bit-10-torx%C2%AE-15-torx%C2%AE")</f>
        <v/>
      </c>
      <c r="B8170" s="2">
        <f>HYPERLINK("https://edmondsonsupply.com/products/klein-tools-32485-replacement-bit-10-torx%c2%ae-15-torx%c2%ae", "https://edmondsonsupply.com/products/klein-tools-32485-replacement-bit-10-torx%c2%ae-15-torx%c2%ae")</f>
        <v/>
      </c>
      <c r="C8170" t="inlineStr">
        <is>
          <t>Klein Tools 32485 Replacement Bit #10 TORX® &amp; #15 TORX®</t>
        </is>
      </c>
      <c r="D8170" t="inlineStr">
        <is>
          <t>Klein Tools 32485 Replacement Bit #10 TORX &amp; #15 TORX</t>
        </is>
      </c>
      <c r="E8170" s="2">
        <f>HYPERLINK("https://www.amazon.com/Replacement-TORX-Klein-Tools-32485/dp/B000936PUM/ref=sr_1_1?keywords=Klein+Tools+32485+Replacement+Bit&amp;qid=1694735434&amp;sr=8-1", "https://www.amazon.com/Replacement-TORX-Klein-Tools-32485/dp/B000936PUM/ref=sr_1_1?keywords=Klein+Tools+32485+Replacement+Bit&amp;qid=1694735434&amp;sr=8-1")</f>
        <v/>
      </c>
      <c r="F8170" t="inlineStr">
        <is>
          <t>B000936PUM</t>
        </is>
      </c>
      <c r="G8170">
        <f>_xludf.IMAGE("https://edmondsonsupply.com/cdn/shop/products/32485.jpg?v=1587148729")</f>
        <v/>
      </c>
      <c r="H8170">
        <f>_xludf.IMAGE("https://m.media-amazon.com/images/I/61Fo6TEfEkL._AC_UL320_.jpg")</f>
        <v/>
      </c>
      <c r="K8170" t="inlineStr">
        <is>
          <t>4.49</t>
        </is>
      </c>
      <c r="L8170" t="n">
        <v>10.59</v>
      </c>
      <c r="M8170" s="1" t="inlineStr">
        <is>
          <t>135.86%</t>
        </is>
      </c>
      <c r="N8170" s="1" t="n"/>
      <c r="O8170" t="n">
        <v>4.7</v>
      </c>
      <c r="P8170" t="n">
        <v>4262</v>
      </c>
      <c r="R8170" t="inlineStr">
        <is>
          <t>InStock</t>
        </is>
      </c>
      <c r="S8170" t="inlineStr">
        <is>
          <t>6.8</t>
        </is>
      </c>
      <c r="T8170" t="inlineStr">
        <is>
          <t>4360484257892</t>
        </is>
      </c>
    </row>
    <row r="8171" ht="87" customHeight="1">
      <c r="A8171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171" s="2">
        <f>HYPERLINK("https://edmondsonsupply.com/products/klein-tools-646-3-8-3-8-inch-nut-driver-6-inch-hollow-shaft", "https://edmondsonsupply.com/products/klein-tools-646-3-8-3-8-inch-nut-driver-6-inch-hollow-shaft")</f>
        <v/>
      </c>
      <c r="C8171" t="inlineStr">
        <is>
          <t>Klein Tools 646-3/8 3/8-Inch Nut Driver, 6-Inch Hollow Shaft</t>
        </is>
      </c>
      <c r="D8171" t="inlineStr">
        <is>
          <t>Klein Tools 646-3/8-INS 3/8-Inch Hex Insulated Nut Driver with 6-Inch Hollow Shaft and Cushion Grip Handle</t>
        </is>
      </c>
      <c r="E8171" s="2">
        <f>HYPERLINK("https://www.amazon.com/Insulated-Klein-Tools-646-3-8-INS/dp/B000MKH62I/ref=sr_1_2?keywords=Klein+Tools+646-3%2F8+3%2F8-Inch+Nut+Driver%2C+6-Inch+Hollow+Shaft&amp;qid=1694735435&amp;sr=8-2", "https://www.amazon.com/Insulated-Klein-Tools-646-3-8-INS/dp/B000MKH62I/ref=sr_1_2?keywords=Klein+Tools+646-3%2F8+3%2F8-Inch+Nut+Driver%2C+6-Inch+Hollow+Shaft&amp;qid=1694735435&amp;sr=8-2")</f>
        <v/>
      </c>
      <c r="F8171" t="inlineStr">
        <is>
          <t>B000MKH62I</t>
        </is>
      </c>
      <c r="G8171">
        <f>_xlfn.IMAGE("https://edmondsonsupply.com/cdn/shop/products/646-1-2.jpg?v=1587143221")</f>
        <v/>
      </c>
      <c r="H8171">
        <f>_xlfn.IMAGE("https://m.media-amazon.com/images/I/613x9jx46fL._AC_UL320_.jpg")</f>
        <v/>
      </c>
      <c r="K8171" t="inlineStr">
        <is>
          <t>8.99</t>
        </is>
      </c>
      <c r="L8171" t="n">
        <v>21.18</v>
      </c>
      <c r="M8171" s="1" t="inlineStr">
        <is>
          <t>135.60%</t>
        </is>
      </c>
      <c r="N8171" s="7" t="n"/>
      <c r="O8171" t="n">
        <v>4.7</v>
      </c>
      <c r="P8171" t="n">
        <v>272</v>
      </c>
      <c r="R8171" t="inlineStr">
        <is>
          <t>InStock</t>
        </is>
      </c>
      <c r="S8171" t="inlineStr">
        <is>
          <t>13.58</t>
        </is>
      </c>
      <c r="T8171" t="inlineStr">
        <is>
          <t>4341100609636</t>
        </is>
      </c>
    </row>
    <row r="8172" hidden="1" ht="15.75" customHeight="1">
      <c r="A8172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172" s="2">
        <f>HYPERLINK("https://edmondsonsupply.com/products/klein-tools-63050-high-leverage-cable-cutter", "https://edmondsonsupply.com/products/klein-tools-63050-high-leverage-cable-cutter")</f>
        <v/>
      </c>
      <c r="C8172" t="inlineStr">
        <is>
          <t>Klein Tools 63050 Cable Cutter</t>
        </is>
      </c>
      <c r="D8172" t="inlineStr">
        <is>
          <t>Klein Tools 46039 Cable Splicer's Kit with Free-Fall Snip &amp; 63050 Cable Cutter, Heavy Duty Cutter for Aluminum, Copper, and Communications Cable</t>
        </is>
      </c>
      <c r="E8172" s="2">
        <f>HYPERLINK("https://www.amazon.com/Klein-Tools-Splicers-Free-Fall-Communications/dp/B0BD4176G3/ref=sr_1_43?keywords=Klein+Tools+63050+Cable+Cutter&amp;qid=1694735444&amp;sr=8-43", "https://www.amazon.com/Klein-Tools-Splicers-Free-Fall-Communications/dp/B0BD4176G3/ref=sr_1_43?keywords=Klein+Tools+63050+Cable+Cutter&amp;qid=1694735444&amp;sr=8-43")</f>
        <v/>
      </c>
      <c r="F8172" t="inlineStr">
        <is>
          <t>B0BD4176G3</t>
        </is>
      </c>
      <c r="G8172">
        <f>_xludf.IMAGE("https://edmondsonsupply.com/cdn/shop/products/63050.jpg?v=1587143239")</f>
        <v/>
      </c>
      <c r="H8172">
        <f>_xludf.IMAGE("https://m.media-amazon.com/images/I/51HF9PjfnOL._AC_UL320_.jpg")</f>
        <v/>
      </c>
      <c r="K8172" t="inlineStr">
        <is>
          <t>32.99</t>
        </is>
      </c>
      <c r="L8172" t="n">
        <v>77.7</v>
      </c>
      <c r="M8172" s="1" t="inlineStr">
        <is>
          <t>135.53%</t>
        </is>
      </c>
      <c r="N8172" s="1" t="n"/>
      <c r="O8172" t="n">
        <v>4</v>
      </c>
      <c r="P8172" t="n">
        <v>1</v>
      </c>
      <c r="R8172" t="inlineStr">
        <is>
          <t>InStock</t>
        </is>
      </c>
      <c r="S8172" t="inlineStr">
        <is>
          <t>47.96</t>
        </is>
      </c>
      <c r="T8172" t="inlineStr">
        <is>
          <t>4289689124964</t>
        </is>
      </c>
    </row>
    <row r="8173" ht="87" customHeight="1">
      <c r="A8173" s="2">
        <f>HYPERLINK("https://edmondsonsupply.com/collections/electricians-tools/products/klein-tools-633-nut-driver-set-3-inch-shafts-cushion-grip-4-piece", "https://edmondsonsupply.com/collections/electricians-tools/products/klein-tools-633-nut-driver-set-3-inch-shafts-cushion-grip-4-piece")</f>
        <v/>
      </c>
      <c r="B8173" s="2">
        <f>HYPERLINK("https://edmondsonsupply.com/products/klein-tools-633-nut-driver-set-3-inch-shafts-cushion-grip-4-piece", "https://edmondsonsupply.com/products/klein-tools-633-nut-driver-set-3-inch-shafts-cushion-grip-4-piece")</f>
        <v/>
      </c>
      <c r="C8173" t="inlineStr">
        <is>
          <t>Klein Tools 633 Nut Driver Set 3-Inch Shafts, Cushion Grip, 4-Piece</t>
        </is>
      </c>
      <c r="D8173" t="inlineStr">
        <is>
          <t>Klein Tools 647M Tool Set, Magnetic Nut Drivers Sizes 3/16, 1/4, 5/16, 11/32, 3/8, 7/16, 1/2-Inch, 6-Inch Hollow Shafts, 7-Piece</t>
        </is>
      </c>
      <c r="E8173" s="2">
        <f>HYPERLINK("https://www.amazon.com/Klein-Tools-647M-Magnetic-7-Piece/dp/B000MKIUYQ/ref=sr_1_9?keywords=Klein+Tools+633+Nut+Driver+Set+3-Inch+Shafts%2C+Cushion+Grip%2C+4-Piece&amp;qid=1694735444&amp;sr=8-9", "https://www.amazon.com/Klein-Tools-647M-Magnetic-7-Piece/dp/B000MKIUYQ/ref=sr_1_9?keywords=Klein+Tools+633+Nut+Driver+Set+3-Inch+Shafts%2C+Cushion+Grip%2C+4-Piece&amp;qid=1694735444&amp;sr=8-9")</f>
        <v/>
      </c>
      <c r="F8173" t="inlineStr">
        <is>
          <t>B000MKIUYQ</t>
        </is>
      </c>
      <c r="G8173">
        <f>_xlfn.IMAGE("https://edmondsonsupply.com/cdn/shop/products/633.jpg?v=1587143232")</f>
        <v/>
      </c>
      <c r="H8173">
        <f>_xlfn.IMAGE("https://m.media-amazon.com/images/I/61PNUE211uL._AC_UL320_.jpg")</f>
        <v/>
      </c>
      <c r="K8173" t="inlineStr">
        <is>
          <t>33.99</t>
        </is>
      </c>
      <c r="L8173" t="n">
        <v>79.98999999999999</v>
      </c>
      <c r="M8173" s="1" t="inlineStr">
        <is>
          <t>135.33%</t>
        </is>
      </c>
      <c r="N8173" s="7" t="n"/>
      <c r="O8173" t="n">
        <v>4.8</v>
      </c>
      <c r="P8173" t="n">
        <v>985</v>
      </c>
      <c r="R8173" t="inlineStr">
        <is>
          <t>InStock</t>
        </is>
      </c>
      <c r="S8173" t="inlineStr">
        <is>
          <t>51.5</t>
        </is>
      </c>
      <c r="T8173" t="inlineStr">
        <is>
          <t>4274285248612</t>
        </is>
      </c>
    </row>
    <row r="8174" ht="87" customHeight="1">
      <c r="A8174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174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174" t="inlineStr">
        <is>
          <t>Klein Tools 646-5/16M 5/16-Inch Magnetic Nut Driver Cushion-Grip</t>
        </is>
      </c>
      <c r="D8174" t="inlineStr">
        <is>
          <t>Klein Tools 646-5/8-INS 5/8-Inch Insulated Nut Driver with 6-Inch Hollow Shaft and Cushion Grip Handle</t>
        </is>
      </c>
      <c r="E8174" s="2">
        <f>HYPERLINK("https://www.amazon.com/Klein-Tools-646-5-8-INS-Insulated/dp/B000MKH632/ref=sr_1_34?keywords=Klein+Tools+646-5%2F16M+5%2F16-Inch+Magnetic+Nut+Driver+Cushion-Grip&amp;qid=1694735459&amp;sr=8-34", "https://www.amazon.com/Klein-Tools-646-5-8-INS-Insulated/dp/B000MKH632/ref=sr_1_34?keywords=Klein+Tools+646-5%2F16M+5%2F16-Inch+Magnetic+Nut+Driver+Cushion-Grip&amp;qid=1694735459&amp;sr=8-34")</f>
        <v/>
      </c>
      <c r="F8174" t="inlineStr">
        <is>
          <t>B000MKH632</t>
        </is>
      </c>
      <c r="G8174">
        <f>_xlfn.IMAGE("https://edmondsonsupply.com/cdn/shop/products/646-5-16m.jpg?v=1587147720")</f>
        <v/>
      </c>
      <c r="H8174">
        <f>_xlfn.IMAGE("https://m.media-amazon.com/images/I/41dKI+dlEDL._AC_UL320_.jpg")</f>
        <v/>
      </c>
      <c r="K8174" t="inlineStr">
        <is>
          <t>11.49</t>
        </is>
      </c>
      <c r="L8174" t="n">
        <v>26.99</v>
      </c>
      <c r="M8174" s="1" t="inlineStr">
        <is>
          <t>134.90%</t>
        </is>
      </c>
      <c r="N8174" s="7" t="n"/>
      <c r="O8174" t="n">
        <v>4.8</v>
      </c>
      <c r="P8174" t="n">
        <v>10</v>
      </c>
      <c r="R8174" t="inlineStr">
        <is>
          <t>InStock</t>
        </is>
      </c>
      <c r="S8174" t="inlineStr">
        <is>
          <t>17.4</t>
        </is>
      </c>
      <c r="T8174" t="inlineStr">
        <is>
          <t>3707846557796</t>
        </is>
      </c>
    </row>
    <row r="8175" ht="87" customHeight="1">
      <c r="A8175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175" s="2">
        <f>HYPERLINK("https://edmondsonsupply.com/products/klein-tools-601-4-3-16-cabinet-tip-screwdriver-4-round-shank", "https://edmondsonsupply.com/products/klein-tools-601-4-3-16-cabinet-tip-screwdriver-4-round-shank")</f>
        <v/>
      </c>
      <c r="C8175" t="inlineStr">
        <is>
          <t>Klein Tools 601-4 3/16-Inch Cabinet Tip Screwdriver 4-Inch</t>
        </is>
      </c>
      <c r="D8175" t="inlineStr">
        <is>
          <t>Klein Tools 32751 Screwdriver with Adjustable Length 4 to 8-Inch, #2 Phillips Tip and 1/4-Inch Slotted Tip</t>
        </is>
      </c>
      <c r="E8175" s="2">
        <f>HYPERLINK("https://www.amazon.com/Klein-Tools-32751-Screwdriver-Adjustable/dp/B010TNZDHW/ref=sr_1_33?keywords=Klein+Tools+601-4+3%2F16-Inch+Cabinet+Tip+Screwdriver+4-Inch&amp;qid=1694735471&amp;sr=8-33", "https://www.amazon.com/Klein-Tools-32751-Screwdriver-Adjustable/dp/B010TNZDHW/ref=sr_1_33?keywords=Klein+Tools+601-4+3%2F16-Inch+Cabinet+Tip+Screwdriver+4-Inch&amp;qid=1694735471&amp;sr=8-33")</f>
        <v/>
      </c>
      <c r="F8175" t="inlineStr">
        <is>
          <t>B010TNZDHW</t>
        </is>
      </c>
      <c r="G8175">
        <f>_xlfn.IMAGE("https://edmondsonsupply.com/cdn/shop/products/601-4.jpg?v=1587147829")</f>
        <v/>
      </c>
      <c r="H8175">
        <f>_xlfn.IMAGE("https://m.media-amazon.com/images/I/415jqxJt+CL._AC_UL320_.jpg")</f>
        <v/>
      </c>
      <c r="K8175" t="inlineStr">
        <is>
          <t>8.98</t>
        </is>
      </c>
      <c r="L8175" t="n">
        <v>20.99</v>
      </c>
      <c r="M8175" s="1" t="inlineStr">
        <is>
          <t>133.74%</t>
        </is>
      </c>
      <c r="N8175" s="7" t="n"/>
      <c r="O8175" t="n">
        <v>4.7</v>
      </c>
      <c r="P8175" t="n">
        <v>1726</v>
      </c>
      <c r="R8175" t="inlineStr">
        <is>
          <t>InStock</t>
        </is>
      </c>
      <c r="S8175" t="inlineStr">
        <is>
          <t>11.52</t>
        </is>
      </c>
      <c r="T8175" t="inlineStr">
        <is>
          <t>2767048900708</t>
        </is>
      </c>
    </row>
    <row r="8176" hidden="1" ht="15.75" customHeight="1">
      <c r="A8176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176" s="2">
        <f>HYPERLINK("https://edmondsonsupply.com/products/klein-tools-1005-crimping-and-cutting-tool-for-connectors", "https://edmondsonsupply.com/products/klein-tools-1005-crimping-and-cutting-tool-for-connectors")</f>
        <v/>
      </c>
      <c r="C8176" t="inlineStr">
        <is>
          <t>Klein Tools 1005 Crimping and Cutting Tool for Connectors</t>
        </is>
      </c>
      <c r="D8176" t="inlineStr">
        <is>
          <t>Klein Tools J63050 Cable Cutter &amp; 1005 Cutting/Crimping Tool for 10-22 AWG Terminals and Connectors, Terminal Crimper for Insulated and Non-Insulated Terminals</t>
        </is>
      </c>
      <c r="E8176" s="2">
        <f>HYPERLINK("https://www.amazon.com/Klein-Tools-Terminals-Connectors-Non-Insulated/dp/B0BGRFYPY7/ref=sr_1_4?keywords=Klein+Tools+1005+Crimping+and+Cutting+Tool+for+Connectors&amp;qid=1694735460&amp;sr=8-4", "https://www.amazon.com/Klein-Tools-Terminals-Connectors-Non-Insulated/dp/B0BGRFYPY7/ref=sr_1_4?keywords=Klein+Tools+1005+Crimping+and+Cutting+Tool+for+Connectors&amp;qid=1694735460&amp;sr=8-4")</f>
        <v/>
      </c>
      <c r="F8176" t="inlineStr">
        <is>
          <t>B0BGRFYPY7</t>
        </is>
      </c>
      <c r="G8176">
        <f>_xludf.IMAGE("https://edmondsonsupply.com/cdn/shop/products/1005.jpg?v=1666012896")</f>
        <v/>
      </c>
      <c r="H8176">
        <f>_xludf.IMAGE("https://m.media-amazon.com/images/I/31evEQuYNgL._AC_UL320_.jpg")</f>
        <v/>
      </c>
      <c r="K8176" t="inlineStr">
        <is>
          <t>29.97</t>
        </is>
      </c>
      <c r="L8176" t="n">
        <v>69.95999999999999</v>
      </c>
      <c r="M8176" s="1" t="inlineStr">
        <is>
          <t>133.43%</t>
        </is>
      </c>
      <c r="N8176" s="1" t="n"/>
      <c r="O8176" t="n">
        <v>4</v>
      </c>
      <c r="P8176" t="n">
        <v>1</v>
      </c>
      <c r="R8176" t="inlineStr">
        <is>
          <t>InStock</t>
        </is>
      </c>
      <c r="S8176" t="inlineStr">
        <is>
          <t>45.26</t>
        </is>
      </c>
      <c r="T8176" t="inlineStr">
        <is>
          <t>3707845640292</t>
        </is>
      </c>
    </row>
    <row r="8177" ht="87" customHeight="1">
      <c r="A8177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177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177" t="inlineStr">
        <is>
          <t>Klein Tools 614-6 1/8-Inch Cabinet Electronics Screwdriver, 6-Inch</t>
        </is>
      </c>
      <c r="D8177" t="inlineStr">
        <is>
          <t>Klein Tools 612-4-INS Insulated 1/8-Inch Slotted Screwdriver, 4-Inch</t>
        </is>
      </c>
      <c r="E8177" s="2">
        <f>HYPERLINK("https://www.amazon.com/Insulated-Screwdriver-Klein-Tools-612-4-INS/dp/B00J9S3YR0/ref=sr_1_42?keywords=Klein+Tools+614-6+1%2F8-Inch+Cabinet+Electronics+Screwdriver%2C+6-Inch&amp;qid=1694735470&amp;sr=8-42", "https://www.amazon.com/Insulated-Screwdriver-Klein-Tools-612-4-INS/dp/B00J9S3YR0/ref=sr_1_42?keywords=Klein+Tools+614-6+1%2F8-Inch+Cabinet+Electronics+Screwdriver%2C+6-Inch&amp;qid=1694735470&amp;sr=8-42")</f>
        <v/>
      </c>
      <c r="F8177" t="inlineStr">
        <is>
          <t>B00J9S3YR0</t>
        </is>
      </c>
      <c r="G8177">
        <f>_xlfn.IMAGE("https://edmondsonsupply.com/cdn/shop/products/614-6.jpg?v=1587147731")</f>
        <v/>
      </c>
      <c r="H8177">
        <f>_xlfn.IMAGE("https://m.media-amazon.com/images/I/513EX6NxTCL._AC_UL320_.jpg")</f>
        <v/>
      </c>
      <c r="K8177" t="inlineStr">
        <is>
          <t>9.99</t>
        </is>
      </c>
      <c r="L8177" t="n">
        <v>23.31</v>
      </c>
      <c r="M8177" s="1" t="inlineStr">
        <is>
          <t>133.33%</t>
        </is>
      </c>
      <c r="N8177" s="7" t="n"/>
      <c r="O8177" t="n">
        <v>4.6</v>
      </c>
      <c r="P8177" t="n">
        <v>180</v>
      </c>
      <c r="R8177" t="inlineStr">
        <is>
          <t>InStock</t>
        </is>
      </c>
      <c r="S8177" t="inlineStr">
        <is>
          <t>15.14</t>
        </is>
      </c>
      <c r="T8177" t="inlineStr">
        <is>
          <t>3688620556388</t>
        </is>
      </c>
    </row>
    <row r="8178" ht="87" customHeight="1">
      <c r="A8178" s="2">
        <f>HYPERLINK("https://edmondsonsupply.com/collections/electricians-tools/products/klein-tools-55895-tradesman-pro%E2%84%A2-magnetic-wristband", "https://edmondsonsupply.com/collections/electricians-tools/products/klein-tools-55895-tradesman-pro%E2%84%A2-magnetic-wristband")</f>
        <v/>
      </c>
      <c r="B8178" s="2">
        <f>HYPERLINK("https://edmondsonsupply.com/products/klein-tools-55895-tradesman-pro%e2%84%a2-magnetic-wristband", "https://edmondsonsupply.com/products/klein-tools-55895-tradesman-pro%e2%84%a2-magnetic-wristband")</f>
        <v/>
      </c>
      <c r="C8178" t="inlineStr">
        <is>
          <t>Klein Tools 55895 Tradesman Pro™ Magnetic Wristband</t>
        </is>
      </c>
      <c r="D8178" t="inlineStr">
        <is>
          <t>Klein Tools 55895 Tradesman Pro Magnetic Wristband, 2 Pack</t>
        </is>
      </c>
      <c r="E8178" s="2">
        <f>HYPERLINK("https://www.amazon.com/Klein-Tools-Tradesman-Magnetic-Wristband/dp/B07K6W8LFY/ref=sr_1_2?keywords=Klein+Tools+55895+Tradesman+Pro%E2%84%A2+Magnetic+Wristband&amp;qid=1694735464&amp;sr=8-2", "https://www.amazon.com/Klein-Tools-Tradesman-Magnetic-Wristband/dp/B07K6W8LFY/ref=sr_1_2?keywords=Klein+Tools+55895+Tradesman+Pro%E2%84%A2+Magnetic+Wristband&amp;qid=1694735464&amp;sr=8-2")</f>
        <v/>
      </c>
      <c r="F8178" t="inlineStr">
        <is>
          <t>B07K6W8LFY</t>
        </is>
      </c>
      <c r="G8178">
        <f>_xlfn.IMAGE("https://edmondsonsupply.com/cdn/shop/products/55895_alt1.jpg?v=1587143433")</f>
        <v/>
      </c>
      <c r="H8178">
        <f>_xlfn.IMAGE("https://m.media-amazon.com/images/I/715x-Krso6L._AC_UL320_.jpg")</f>
        <v/>
      </c>
      <c r="K8178" t="inlineStr">
        <is>
          <t>21.97</t>
        </is>
      </c>
      <c r="L8178" t="n">
        <v>51.14</v>
      </c>
      <c r="M8178" s="1" t="inlineStr">
        <is>
          <t>132.77%</t>
        </is>
      </c>
      <c r="N8178" s="7" t="n"/>
      <c r="O8178" t="n">
        <v>4.7</v>
      </c>
      <c r="P8178" t="n">
        <v>11</v>
      </c>
      <c r="R8178" t="inlineStr">
        <is>
          <t>InStock</t>
        </is>
      </c>
      <c r="S8178" t="inlineStr">
        <is>
          <t>31.36</t>
        </is>
      </c>
      <c r="T8178" t="inlineStr">
        <is>
          <t>1708023611492</t>
        </is>
      </c>
    </row>
    <row r="8179" ht="87" customHeight="1">
      <c r="A8179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179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179" t="inlineStr">
        <is>
          <t>Klein Tools JTH6M8 8 mm Hex Key with Journeyman T-Handle, 6-Inch</t>
        </is>
      </c>
      <c r="D8179" t="inlineStr">
        <is>
          <t>Klein Tools JTH9M8 8 mm Hex Key with Journeyman T-Handle, 9-Inch</t>
        </is>
      </c>
      <c r="E8179" s="2">
        <f>HYPERLINK("https://www.amazon.com/Journeyman-T-Handle-Klein-Tools-JTH9M8/dp/B005G3HJSC/ref=sr_1_4?keywords=Klein+Tools+JTH6M8+8+mm+Hex+Key+with+Journeyman+T-Handle%2C+6-Inch&amp;qid=1694735436&amp;sr=8-4", "https://www.amazon.com/Journeyman-T-Handle-Klein-Tools-JTH9M8/dp/B005G3HJSC/ref=sr_1_4?keywords=Klein+Tools+JTH6M8+8+mm+Hex+Key+with+Journeyman+T-Handle%2C+6-Inch&amp;qid=1694735436&amp;sr=8-4")</f>
        <v/>
      </c>
      <c r="F8179" t="inlineStr">
        <is>
          <t>B005G3HJSC</t>
        </is>
      </c>
      <c r="G8179">
        <f>_xlfn.IMAGE("https://edmondsonsupply.com/cdn/shop/products/jth6m8_31a5ad24-670d-4140-a5ec-3785d5bf79d2.jpg?v=1587146374")</f>
        <v/>
      </c>
      <c r="H8179">
        <f>_xlfn.IMAGE("https://m.media-amazon.com/images/I/51+1x0vz9XL._AC_UL320_.jpg")</f>
        <v/>
      </c>
      <c r="K8179" t="inlineStr">
        <is>
          <t>6.99</t>
        </is>
      </c>
      <c r="L8179" t="n">
        <v>16.27</v>
      </c>
      <c r="M8179" s="1" t="inlineStr">
        <is>
          <t>132.76%</t>
        </is>
      </c>
      <c r="N8179" s="7" t="n"/>
      <c r="O8179" t="n">
        <v>5</v>
      </c>
      <c r="P8179" t="n">
        <v>4</v>
      </c>
      <c r="R8179" t="inlineStr">
        <is>
          <t>InStock</t>
        </is>
      </c>
      <c r="S8179" t="inlineStr">
        <is>
          <t>10.58</t>
        </is>
      </c>
      <c r="T8179" t="inlineStr">
        <is>
          <t>4343287775332</t>
        </is>
      </c>
    </row>
    <row r="8180" ht="87" customHeight="1">
      <c r="A8180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180" s="2">
        <f>HYPERLINK("https://edmondsonsupply.com/products/klein-tools-11061-self-adjusting-wire-stripper-cutter", "https://edmondsonsupply.com/products/klein-tools-11061-self-adjusting-wire-stripper-cutter")</f>
        <v/>
      </c>
      <c r="C8180" t="inlineStr">
        <is>
          <t>Klein Tools 11061 Wire Stripper and Cutter, Self-Adjusting</t>
        </is>
      </c>
      <c r="D8180" t="inlineStr">
        <is>
          <t>Channellock 909 9.5-Inch Wire Crimping Tool | Electrician's Terminal Crimp Pliers &amp; Klein Tools 11061 Wire Stripper/Wire Cutter for Solid and Stranded AWG Wire, Heavy Duty Kleins are Self Adjusting</t>
        </is>
      </c>
      <c r="E8180" s="2">
        <f>HYPERLINK("https://www.amazon.com/Channellock-9-5-Inch-Crimping-Electricians-Adjusting/dp/B0C3BCX155/ref=sr_1_5?keywords=Klein+Tools+11061+Wire+Stripper+and+Cutter%2C+Self-Adjusting&amp;qid=1694735488&amp;sr=8-5", "https://www.amazon.com/Channellock-9-5-Inch-Crimping-Electricians-Adjusting/dp/B0C3BCX155/ref=sr_1_5?keywords=Klein+Tools+11061+Wire+Stripper+and+Cutter%2C+Self-Adjusting&amp;qid=1694735488&amp;sr=8-5")</f>
        <v/>
      </c>
      <c r="F8180" t="inlineStr">
        <is>
          <t>B0C3BCX155</t>
        </is>
      </c>
      <c r="G8180">
        <f>_xlfn.IMAGE("https://edmondsonsupply.com/cdn/shop/products/11061.jpg?v=1587148772")</f>
        <v/>
      </c>
      <c r="H8180">
        <f>_xlfn.IMAGE("https://m.media-amazon.com/images/I/51HvrGkXHnL._AC_UL320_.jpg")</f>
        <v/>
      </c>
      <c r="K8180" t="inlineStr">
        <is>
          <t>21.97</t>
        </is>
      </c>
      <c r="L8180" t="n">
        <v>50.92</v>
      </c>
      <c r="M8180" s="1" t="inlineStr">
        <is>
          <t>131.77%</t>
        </is>
      </c>
      <c r="N8180" s="7" t="n"/>
      <c r="O8180" t="n">
        <v>4.8</v>
      </c>
      <c r="P8180" t="n">
        <v>5607</v>
      </c>
      <c r="R8180" t="inlineStr">
        <is>
          <t>InStock</t>
        </is>
      </c>
      <c r="S8180" t="inlineStr">
        <is>
          <t>37.14</t>
        </is>
      </c>
      <c r="T8180" t="inlineStr">
        <is>
          <t>3688611020900</t>
        </is>
      </c>
    </row>
    <row r="8181" ht="87" customHeight="1">
      <c r="A8181" s="2">
        <f>HYPERLINK("https://edmondsonsupply.com/collections/electricians-tools/products/channellock-337", "https://edmondsonsupply.com/collections/electricians-tools/products/channellock-337")</f>
        <v/>
      </c>
      <c r="B8181" s="2">
        <f>HYPERLINK("https://edmondsonsupply.com/products/channellock-337", "https://edmondsonsupply.com/products/channellock-337")</f>
        <v/>
      </c>
      <c r="C8181" t="inlineStr">
        <is>
          <t>Channellock 337 7" XLT™ Diagonal Cutting Pliers</t>
        </is>
      </c>
      <c r="D8181" t="inlineStr">
        <is>
          <t>CHANNELLOCK 337I 7-inch XLT Diagonal Cutting Pliers w/ 1000V Insulated Grip | Made in USA | Forged High Carbon Steel</t>
        </is>
      </c>
      <c r="E8181" s="2">
        <f>HYPERLINK("https://www.amazon.com/Channellock-337I-Leverage-Diagonal-Cutting/dp/B07QT5R2MG/ref=sr_1_4?keywords=Channellock+337+7%22+XLT%E2%84%A2+Diagonal+Cutting+Pliers&amp;qid=1694735460&amp;sr=8-4", "https://www.amazon.com/Channellock-337I-Leverage-Diagonal-Cutting/dp/B07QT5R2MG/ref=sr_1_4?keywords=Channellock+337+7%22+XLT%E2%84%A2+Diagonal+Cutting+Pliers&amp;qid=1694735460&amp;sr=8-4")</f>
        <v/>
      </c>
      <c r="F8181" t="inlineStr">
        <is>
          <t>B07QT5R2MG</t>
        </is>
      </c>
      <c r="G8181">
        <f>_xlfn.IMAGE("https://edmondsonsupply.com/cdn/shop/products/337-2019-version.jpg?v=1587145859")</f>
        <v/>
      </c>
      <c r="H8181">
        <f>_xlfn.IMAGE("https://m.media-amazon.com/images/I/61JKf-IIfgL._AC_UL320_.jpg")</f>
        <v/>
      </c>
      <c r="K8181" t="inlineStr">
        <is>
          <t>23.95</t>
        </is>
      </c>
      <c r="L8181" t="n">
        <v>55.45</v>
      </c>
      <c r="M8181" s="1" t="inlineStr">
        <is>
          <t>131.52%</t>
        </is>
      </c>
      <c r="N8181" s="7" t="n"/>
      <c r="O8181" t="n">
        <v>4.1</v>
      </c>
      <c r="P8181" t="n">
        <v>12</v>
      </c>
      <c r="R8181" t="inlineStr">
        <is>
          <t>InStock</t>
        </is>
      </c>
      <c r="S8181" t="inlineStr">
        <is>
          <t>31.62</t>
        </is>
      </c>
      <c r="T8181" t="inlineStr">
        <is>
          <t>3726778925156</t>
        </is>
      </c>
    </row>
    <row r="8182" ht="87" customHeight="1">
      <c r="A818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182" s="2">
        <f>HYPERLINK("https://edmondsonsupply.com/products/klein-tools-rt210-gfci-receptacle-tester", "https://edmondsonsupply.com/products/klein-tools-rt210-gfci-receptacle-tester")</f>
        <v/>
      </c>
      <c r="C8182" t="inlineStr">
        <is>
          <t>Klein Tools RT210 GFCI Outlet Tester</t>
        </is>
      </c>
      <c r="D8182" t="inlineStr">
        <is>
          <t>Klein Tools NCVT3P Dual Range Non Contact Voltage Tester &amp; RT250 GFCI Receptacle Tester with LCD Display, for Standard 3-Wire 120V Electrical Outlets</t>
        </is>
      </c>
      <c r="E8182" s="2">
        <f>HYPERLINK("https://www.amazon.com/Klein-Tools-Receptacle-Standard-Electrical/dp/B0BC861K3W/ref=sr_1_16?keywords=Klein+Tools+RT210+GFCI+Outlet+Tester&amp;qid=1694735460&amp;sr=8-16", "https://www.amazon.com/Klein-Tools-Receptacle-Standard-Electrical/dp/B0BC861K3W/ref=sr_1_16?keywords=Klein+Tools+RT210+GFCI+Outlet+Tester&amp;qid=1694735460&amp;sr=8-16")</f>
        <v/>
      </c>
      <c r="F8182" t="inlineStr">
        <is>
          <t>B0BC861K3W</t>
        </is>
      </c>
      <c r="G8182">
        <f>_xlfn.IMAGE("https://edmondsonsupply.com/cdn/shop/products/rt210.jpg?v=1587146495")</f>
        <v/>
      </c>
      <c r="H8182">
        <f>_xlfn.IMAGE("https://m.media-amazon.com/images/I/5145pmsV9+L._AC_UL320_.jpg")</f>
        <v/>
      </c>
      <c r="K8182" t="inlineStr">
        <is>
          <t>12.97</t>
        </is>
      </c>
      <c r="L8182" t="n">
        <v>29.88</v>
      </c>
      <c r="M8182" s="1" t="inlineStr">
        <is>
          <t>130.38%</t>
        </is>
      </c>
      <c r="N8182" s="7" t="n"/>
      <c r="O8182" t="n">
        <v>4.4</v>
      </c>
      <c r="P8182" t="n">
        <v>12</v>
      </c>
      <c r="R8182" t="inlineStr">
        <is>
          <t>InStock</t>
        </is>
      </c>
      <c r="S8182" t="inlineStr">
        <is>
          <t>17.12</t>
        </is>
      </c>
      <c r="T8182" t="inlineStr">
        <is>
          <t>3711963988068</t>
        </is>
      </c>
    </row>
    <row r="8183" ht="87" customHeight="1">
      <c r="A8183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183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183" t="inlineStr">
        <is>
          <t>Klein Tools 607-3-INS Insulated Screwdriver, 3/32-Inch Cabinet, 3-Inch</t>
        </is>
      </c>
      <c r="D8183" t="inlineStr">
        <is>
          <t>Klein Tools 33532-INS Electrical Insulated Screwdriver Set of 2, 4-Inch Phillips and Cabinet Set, Made in USA</t>
        </is>
      </c>
      <c r="E8183" s="2">
        <f>HYPERLINK("https://www.amazon.com/Electrical-Insulated-Screwdriver-Klein-Tools/dp/B000MKIRBC/ref=sr_1_7?keywords=Klein+Tools+607-3-INS+Insulated+Screwdriver%2C+3%2F32-Inch+Cabinet%2C+3-Inch&amp;qid=1694735479&amp;sr=8-7", "https://www.amazon.com/Electrical-Insulated-Screwdriver-Klein-Tools/dp/B000MKIRBC/ref=sr_1_7?keywords=Klein+Tools+607-3-INS+Insulated+Screwdriver%2C+3%2F32-Inch+Cabinet%2C+3-Inch&amp;qid=1694735479&amp;sr=8-7")</f>
        <v/>
      </c>
      <c r="F8183" t="inlineStr">
        <is>
          <t>B000MKIRBC</t>
        </is>
      </c>
      <c r="G8183">
        <f>_xlfn.IMAGE("https://edmondsonsupply.com/cdn/shop/products/607-3-ins.jpg?v=1587143254")</f>
        <v/>
      </c>
      <c r="H8183">
        <f>_xlfn.IMAGE("https://m.media-amazon.com/images/I/51qrC6b7nFL._AC_UL320_.jpg")</f>
        <v/>
      </c>
      <c r="K8183" t="inlineStr">
        <is>
          <t>17.49</t>
        </is>
      </c>
      <c r="L8183" t="n">
        <v>39.99</v>
      </c>
      <c r="M8183" s="1" t="inlineStr">
        <is>
          <t>128.64%</t>
        </is>
      </c>
      <c r="N8183" s="7" t="n"/>
      <c r="O8183" t="n">
        <v>4.8</v>
      </c>
      <c r="P8183" t="n">
        <v>595</v>
      </c>
      <c r="R8183" t="inlineStr">
        <is>
          <t>InStock</t>
        </is>
      </c>
      <c r="S8183" t="inlineStr">
        <is>
          <t>26.5</t>
        </is>
      </c>
      <c r="T8183" t="inlineStr">
        <is>
          <t>3688617902180</t>
        </is>
      </c>
    </row>
    <row r="8184" ht="87" customHeight="1">
      <c r="A8184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184" s="2">
        <f>HYPERLINK("https://edmondsonsupply.com/products/klein-tools-5139-canvas-zipper-bag", "https://edmondsonsupply.com/products/klein-tools-5139-canvas-zipper-bag")</f>
        <v/>
      </c>
      <c r="C8184" t="inlineStr">
        <is>
          <t>Klein Tools 5139 Zipper Bag, Canvas Tool Pouch 12.5 x 7 x 4.25-Inch</t>
        </is>
      </c>
      <c r="D8184" t="inlineStr">
        <is>
          <t>Klein Tools 55559 Stand-Up Zipper Bag Tool Pouch, 2-Pack &amp; 5139 Zipper Bag, Canvas Tool Pouch 12.5 x 7 x 4.25-Inch with Heavy Duty Brass Zipper Close, Natural</t>
        </is>
      </c>
      <c r="E8184" s="2">
        <f>HYPERLINK("https://www.amazon.com/Klein-Tools-Stand-Up-4-25-Inch-Natural/dp/B0BR25QG1Q/ref=sr_1_3?keywords=Klein+Tools+5139+Zipper+Bag%2C+Canvas+Tool+Pouch+12.5+x+7+x+4.25-Inch&amp;qid=1694735450&amp;sr=8-3", "https://www.amazon.com/Klein-Tools-Stand-Up-4-25-Inch-Natural/dp/B0BR25QG1Q/ref=sr_1_3?keywords=Klein+Tools+5139+Zipper+Bag%2C+Canvas+Tool+Pouch+12.5+x+7+x+4.25-Inch&amp;qid=1694735450&amp;sr=8-3")</f>
        <v/>
      </c>
      <c r="F8184" t="inlineStr">
        <is>
          <t>B0BR25QG1Q</t>
        </is>
      </c>
      <c r="G8184">
        <f>_xlfn.IMAGE("https://edmondsonsupply.com/cdn/shop/products/5139.jpg?v=1587150181")</f>
        <v/>
      </c>
      <c r="H8184">
        <f>_xlfn.IMAGE("https://m.media-amazon.com/images/I/51j3cDVxrVL._AC_UL320_.jpg")</f>
        <v/>
      </c>
      <c r="K8184" t="inlineStr">
        <is>
          <t>10.97</t>
        </is>
      </c>
      <c r="L8184" t="n">
        <v>24.99</v>
      </c>
      <c r="M8184" s="1" t="inlineStr">
        <is>
          <t>127.80%</t>
        </is>
      </c>
      <c r="N8184" s="7" t="n"/>
      <c r="O8184" t="n">
        <v>5</v>
      </c>
      <c r="P8184" t="n">
        <v>2</v>
      </c>
      <c r="R8184" t="inlineStr">
        <is>
          <t>InStock</t>
        </is>
      </c>
      <c r="S8184" t="inlineStr">
        <is>
          <t>17.12</t>
        </is>
      </c>
      <c r="T8184" t="inlineStr">
        <is>
          <t>2378629185636</t>
        </is>
      </c>
    </row>
    <row r="8185" ht="87" customHeight="1">
      <c r="A8185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185" s="2">
        <f>HYPERLINK("https://edmondsonsupply.com/products/klein-tools-5139-canvas-zipper-bag", "https://edmondsonsupply.com/products/klein-tools-5139-canvas-zipper-bag")</f>
        <v/>
      </c>
      <c r="C8185" t="inlineStr">
        <is>
          <t>Klein Tools 5139 Zipper Bag, Canvas Tool Pouch 12.5 x 7 x 4.25-Inch</t>
        </is>
      </c>
      <c r="D8185" t="inlineStr">
        <is>
          <t>Klein Tools 55470 Utility Bag, Stand-Up Zipper Tool Bags, Orange/Black, Gray/Black, 2-Pack &amp; 5139 Zipper Bag, Canvas Tool Pouch 12.5 x 7 x 4.25-Inch with Heavy Duty Brass Zipper Close, Natural</t>
        </is>
      </c>
      <c r="E8185" s="2">
        <f>HYPERLINK("https://www.amazon.com/Klein-Tools-Utility-Stand-Up-4-25-Inch/dp/B09Z93CWZ3/ref=sr_1_5?keywords=Klein+Tools+5139+Zipper+Bag%2C+Canvas+Tool+Pouch+12.5+x+7+x+4.25-Inch&amp;qid=1694735450&amp;sr=8-5", "https://www.amazon.com/Klein-Tools-Utility-Stand-Up-4-25-Inch/dp/B09Z93CWZ3/ref=sr_1_5?keywords=Klein+Tools+5139+Zipper+Bag%2C+Canvas+Tool+Pouch+12.5+x+7+x+4.25-Inch&amp;qid=1694735450&amp;sr=8-5")</f>
        <v/>
      </c>
      <c r="F8185" t="inlineStr">
        <is>
          <t>B09Z93CWZ3</t>
        </is>
      </c>
      <c r="G8185">
        <f>_xlfn.IMAGE("https://edmondsonsupply.com/cdn/shop/products/5139.jpg?v=1587150181")</f>
        <v/>
      </c>
      <c r="H8185">
        <f>_xlfn.IMAGE("https://m.media-amazon.com/images/I/51o5htzrb7L._AC_UL320_.jpg")</f>
        <v/>
      </c>
      <c r="K8185" t="inlineStr">
        <is>
          <t>10.97</t>
        </is>
      </c>
      <c r="L8185" t="n">
        <v>24.99</v>
      </c>
      <c r="M8185" s="1" t="inlineStr">
        <is>
          <t>127.80%</t>
        </is>
      </c>
      <c r="N8185" s="7" t="n"/>
      <c r="O8185" t="n">
        <v>5</v>
      </c>
      <c r="P8185" t="n">
        <v>3</v>
      </c>
      <c r="R8185" t="inlineStr">
        <is>
          <t>InStock</t>
        </is>
      </c>
      <c r="S8185" t="inlineStr">
        <is>
          <t>17.12</t>
        </is>
      </c>
      <c r="T8185" t="inlineStr">
        <is>
          <t>2378629185636</t>
        </is>
      </c>
    </row>
    <row r="8186" ht="87" customHeight="1">
      <c r="A8186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186" s="2">
        <f>HYPERLINK("https://edmondsonsupply.com/products/klein-tools-aepjs1-wireless-jobsite-speaker-bluetooth", "https://edmondsonsupply.com/products/klein-tools-aepjs1-wireless-jobsite-speaker-bluetooth")</f>
        <v/>
      </c>
      <c r="C8186" t="inlineStr">
        <is>
          <t>Klein Tools AEPJS1 Wireless Jobsite Speaker</t>
        </is>
      </c>
      <c r="D8186" t="inlineStr">
        <is>
          <t>Klein Tools 29601 Magnetic Power Strip &amp; AEPJS1 Bluetooth Speaker, Wireless Portable Jobsite Speaker Plays Audio and Answers Calls Hands Free, IPX5, Worksite Ready</t>
        </is>
      </c>
      <c r="E8186" s="2">
        <f>HYPERLINK("https://www.amazon.com/Klein-Tools-Magnetic-Bluetooth-Wireless/dp/B0C2358MBQ/ref=sr_1_3?keywords=Klein+Tools+AEPJS1+Wireless+Jobsite+Speaker&amp;qid=1694735448&amp;sr=8-3", "https://www.amazon.com/Klein-Tools-Magnetic-Bluetooth-Wireless/dp/B0C2358MBQ/ref=sr_1_3?keywords=Klein+Tools+AEPJS1+Wireless+Jobsite+Speaker&amp;qid=1694735448&amp;sr=8-3")</f>
        <v/>
      </c>
      <c r="F8186" t="inlineStr">
        <is>
          <t>B0C2358MBQ</t>
        </is>
      </c>
      <c r="G8186">
        <f>_xlfn.IMAGE("https://edmondsonsupply.com/cdn/shop/products/aepjs1.jpg?v=1587145015")</f>
        <v/>
      </c>
      <c r="H8186">
        <f>_xlfn.IMAGE("https://m.media-amazon.com/images/I/51sxkSdihcL._AC_UY218_.jpg")</f>
        <v/>
      </c>
      <c r="K8186" t="inlineStr">
        <is>
          <t>39.97</t>
        </is>
      </c>
      <c r="L8186" t="n">
        <v>89.95999999999999</v>
      </c>
      <c r="M8186" s="1" t="inlineStr">
        <is>
          <t>125.07%</t>
        </is>
      </c>
      <c r="N8186" s="7" t="n"/>
      <c r="O8186" t="n">
        <v>5</v>
      </c>
      <c r="P8186" t="n">
        <v>3</v>
      </c>
      <c r="R8186" t="inlineStr">
        <is>
          <t>InStock</t>
        </is>
      </c>
      <c r="S8186" t="inlineStr">
        <is>
          <t>56.0</t>
        </is>
      </c>
      <c r="T8186" t="inlineStr">
        <is>
          <t>1779629424740</t>
        </is>
      </c>
    </row>
    <row r="8187" ht="87" customHeight="1">
      <c r="A8187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187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187" t="inlineStr">
        <is>
          <t>Klein Tools 614-6 1/8-Inch Cabinet Electronics Screwdriver, 6-Inch</t>
        </is>
      </c>
      <c r="D8187" t="inlineStr">
        <is>
          <t>Klein Tools 602-7-INS Flathead Screwdriver, 5/16-Inch Cabinet Tip, Insulated, 7-Inch Shank</t>
        </is>
      </c>
      <c r="E8187" s="2">
        <f>HYPERLINK("https://www.amazon.com/Screwdriver-Insulated-Klein-Tools-602-7-INS/dp/B00CQL8UM6/ref=sr_1_37?keywords=Klein+Tools+614-6+1%2F8-Inch+Cabinet+Electronics+Screwdriver%2C+6-Inch&amp;qid=1694735470&amp;sr=8-37", "https://www.amazon.com/Screwdriver-Insulated-Klein-Tools-602-7-INS/dp/B00CQL8UM6/ref=sr_1_37?keywords=Klein+Tools+614-6+1%2F8-Inch+Cabinet+Electronics+Screwdriver%2C+6-Inch&amp;qid=1694735470&amp;sr=8-37")</f>
        <v/>
      </c>
      <c r="F8187" t="inlineStr">
        <is>
          <t>B00CQL8UM6</t>
        </is>
      </c>
      <c r="G8187">
        <f>_xlfn.IMAGE("https://edmondsonsupply.com/cdn/shop/products/614-6.jpg?v=1587147731")</f>
        <v/>
      </c>
      <c r="H8187">
        <f>_xlfn.IMAGE("https://m.media-amazon.com/images/I/51yWIQxCstL._AC_UL320_.jpg")</f>
        <v/>
      </c>
      <c r="K8187" t="inlineStr">
        <is>
          <t>9.99</t>
        </is>
      </c>
      <c r="L8187" t="n">
        <v>22.46</v>
      </c>
      <c r="M8187" s="1" t="inlineStr">
        <is>
          <t>124.82%</t>
        </is>
      </c>
      <c r="N8187" s="7" t="n"/>
      <c r="O8187" t="n">
        <v>4.8</v>
      </c>
      <c r="P8187" t="n">
        <v>1068</v>
      </c>
      <c r="R8187" t="inlineStr">
        <is>
          <t>InStock</t>
        </is>
      </c>
      <c r="S8187" t="inlineStr">
        <is>
          <t>15.14</t>
        </is>
      </c>
      <c r="T8187" t="inlineStr">
        <is>
          <t>3688620556388</t>
        </is>
      </c>
    </row>
    <row r="8188" ht="87" customHeight="1">
      <c r="A8188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188" s="2">
        <f>HYPERLINK("https://edmondsonsupply.com/products/klein-tools-et140-pinless-moisture-meter", "https://edmondsonsupply.com/products/klein-tools-et140-pinless-moisture-meter")</f>
        <v/>
      </c>
      <c r="C8188" t="inlineStr">
        <is>
          <t>Klein Tools ET140 Pinless Moisture Meter</t>
        </is>
      </c>
      <c r="D8188" t="inlineStr">
        <is>
          <t>Klein Tools IR07 Dual Infrared (IR) and Probe Pocket Size LCD Digital Thermometer &amp; ET140 Pinless Moisture Meter for Non-Destructive Moisture Detection</t>
        </is>
      </c>
      <c r="E8188" s="2">
        <f>HYPERLINK("https://www.amazon.com/Klein-Tools-Thermometer-Non-Destructive-Detection/dp/B0BD41GF81/ref=sr_1_38?keywords=Klein+Tools+ET140+Pinless+Moisture+Meter&amp;qid=1694735470&amp;sr=8-38", "https://www.amazon.com/Klein-Tools-Thermometer-Non-Destructive-Detection/dp/B0BD41GF81/ref=sr_1_38?keywords=Klein+Tools+ET140+Pinless+Moisture+Meter&amp;qid=1694735470&amp;sr=8-38")</f>
        <v/>
      </c>
      <c r="F8188" t="inlineStr">
        <is>
          <t>B0BD41GF81</t>
        </is>
      </c>
      <c r="G8188">
        <f>_xlfn.IMAGE("https://edmondsonsupply.com/cdn/shop/products/et140_beauty_r.jpg?v=1587143172")</f>
        <v/>
      </c>
      <c r="H8188">
        <f>_xlfn.IMAGE("https://m.media-amazon.com/images/I/41ZBBvpbShL._AC_UL320_.jpg")</f>
        <v/>
      </c>
      <c r="K8188" t="inlineStr">
        <is>
          <t>41.97</t>
        </is>
      </c>
      <c r="L8188" t="n">
        <v>93.94</v>
      </c>
      <c r="M8188" s="1" t="inlineStr">
        <is>
          <t>123.83%</t>
        </is>
      </c>
      <c r="N8188" s="7" t="n"/>
      <c r="O8188" t="n">
        <v>5</v>
      </c>
      <c r="P8188" t="n">
        <v>2</v>
      </c>
      <c r="R8188" t="inlineStr">
        <is>
          <t>InStock</t>
        </is>
      </c>
      <c r="S8188" t="inlineStr">
        <is>
          <t>59.44</t>
        </is>
      </c>
      <c r="T8188" t="inlineStr">
        <is>
          <t>3693529071716</t>
        </is>
      </c>
    </row>
    <row r="8189" hidden="1" ht="15.75" customHeight="1">
      <c r="A8189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189" s="2">
        <f>HYPERLINK("https://edmondsonsupply.com/products/klein-tools-et140-pinless-moisture-meter", "https://edmondsonsupply.com/products/klein-tools-et140-pinless-moisture-meter")</f>
        <v/>
      </c>
      <c r="C8189" t="inlineStr">
        <is>
          <t>Klein Tools ET140 Pinless Moisture Meter</t>
        </is>
      </c>
      <c r="D8189" t="inlineStr">
        <is>
          <t>Klein Tools ET140 Pinless Moisture Meter &amp; ET310 AC Circuit Breaker Finder with Integrated GFCI Outlet Tester</t>
        </is>
      </c>
      <c r="E8189" s="2">
        <f>HYPERLINK("https://www.amazon.com/Klein-Tools-Pinless-Moisture-Integrated/dp/B09Q66TG8W/ref=sr_1_5?keywords=Klein+Tools+ET140+Pinless+Moisture+Meter&amp;qid=1694735470&amp;sr=8-5", "https://www.amazon.com/Klein-Tools-Pinless-Moisture-Integrated/dp/B09Q66TG8W/ref=sr_1_5?keywords=Klein+Tools+ET140+Pinless+Moisture+Meter&amp;qid=1694735470&amp;sr=8-5")</f>
        <v/>
      </c>
      <c r="F8189" t="inlineStr">
        <is>
          <t>B09Q66TG8W</t>
        </is>
      </c>
      <c r="G8189">
        <f>_xludf.IMAGE("https://edmondsonsupply.com/cdn/shop/products/et140_beauty_r.jpg?v=1587143172")</f>
        <v/>
      </c>
      <c r="H8189">
        <f>_xludf.IMAGE("https://m.media-amazon.com/images/I/51bj+Gu0UTL._AC_UL320_.jpg")</f>
        <v/>
      </c>
      <c r="K8189" t="inlineStr">
        <is>
          <t>41.97</t>
        </is>
      </c>
      <c r="L8189" t="n">
        <v>91.69</v>
      </c>
      <c r="M8189" s="1" t="inlineStr">
        <is>
          <t>118.47%</t>
        </is>
      </c>
      <c r="N8189" s="1" t="n"/>
      <c r="O8189" t="n">
        <v>3.7</v>
      </c>
      <c r="P8189" t="n">
        <v>4</v>
      </c>
      <c r="R8189" t="inlineStr">
        <is>
          <t>InStock</t>
        </is>
      </c>
      <c r="S8189" t="inlineStr">
        <is>
          <t>59.44</t>
        </is>
      </c>
      <c r="T8189" t="inlineStr">
        <is>
          <t>3693529071716</t>
        </is>
      </c>
    </row>
    <row r="8190" ht="87" customHeight="1">
      <c r="A8190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190" s="2">
        <f>HYPERLINK("https://edmondsonsupply.com/products/klein-tools-5139-canvas-zipper-bag", "https://edmondsonsupply.com/products/klein-tools-5139-canvas-zipper-bag")</f>
        <v/>
      </c>
      <c r="C8190" t="inlineStr">
        <is>
          <t>Klein Tools 5139 Zipper Bag, Canvas Tool Pouch 12.5 x 7 x 4.25-Inch</t>
        </is>
      </c>
      <c r="D8190" t="inlineStr">
        <is>
          <t>7 Pack Canvas Tool Bag Zipper Pouch - Heavy Duty 16 oz. Canvas Tools Utility Pouches, Multipurpose Storage Organizer Tote Bags with Dependable Metal Zippers, 12.5 x 7-Inch</t>
        </is>
      </c>
      <c r="E8190" s="2">
        <f>HYPERLINK("https://www.amazon.com/Pack-Canvas-Tool-Zipper-Pouch/dp/B0BZ4FJB4V/ref=sr_1_11?keywords=Klein+Tools+5139+Zipper+Bag%2C+Canvas+Tool+Pouch+12.5+x+7+x+4.25-Inch&amp;qid=1694735450&amp;sr=8-11", "https://www.amazon.com/Pack-Canvas-Tool-Zipper-Pouch/dp/B0BZ4FJB4V/ref=sr_1_11?keywords=Klein+Tools+5139+Zipper+Bag%2C+Canvas+Tool+Pouch+12.5+x+7+x+4.25-Inch&amp;qid=1694735450&amp;sr=8-11")</f>
        <v/>
      </c>
      <c r="F8190" t="inlineStr">
        <is>
          <t>B0BZ4FJB4V</t>
        </is>
      </c>
      <c r="G8190">
        <f>_xlfn.IMAGE("https://edmondsonsupply.com/cdn/shop/products/5139.jpg?v=1587150181")</f>
        <v/>
      </c>
      <c r="H8190">
        <f>_xlfn.IMAGE("https://m.media-amazon.com/images/I/81nP8PTk0YL._AC_UL320_.jpg")</f>
        <v/>
      </c>
      <c r="K8190" t="inlineStr">
        <is>
          <t>10.97</t>
        </is>
      </c>
      <c r="L8190" t="n">
        <v>23.79</v>
      </c>
      <c r="M8190" s="1" t="inlineStr">
        <is>
          <t>116.86%</t>
        </is>
      </c>
      <c r="N8190" s="7" t="n"/>
      <c r="O8190" t="n">
        <v>4.7</v>
      </c>
      <c r="P8190" t="n">
        <v>1521</v>
      </c>
      <c r="R8190" t="inlineStr">
        <is>
          <t>InStock</t>
        </is>
      </c>
      <c r="S8190" t="inlineStr">
        <is>
          <t>17.12</t>
        </is>
      </c>
      <c r="T8190" t="inlineStr">
        <is>
          <t>2378629185636</t>
        </is>
      </c>
    </row>
    <row r="8191" ht="87" customHeight="1">
      <c r="A8191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191" s="2">
        <f>HYPERLINK("https://edmondsonsupply.com/products/klein-tools-1005-crimping-and-cutting-tool-for-connectors", "https://edmondsonsupply.com/products/klein-tools-1005-crimping-and-cutting-tool-for-connectors")</f>
        <v/>
      </c>
      <c r="C8191" t="inlineStr">
        <is>
          <t>Klein Tools 1005 Crimping and Cutting Tool for Connectors</t>
        </is>
      </c>
      <c r="D8191" t="inlineStr">
        <is>
          <t>Klein Tools 1005-INS Insulated Cutting / Crimping Tool for 10 to 22 AWG Wire with Wire Cutter in Nose, 1000-Volt Rating</t>
        </is>
      </c>
      <c r="E8191" s="2">
        <f>HYPERLINK("https://www.amazon.com/Insulated-Crimping-Klein-Tools-1005-INS/dp/B000LDIPTY/ref=sr_1_2?keywords=Klein+Tools+1005+Crimping+and+Cutting+Tool+for+Connectors&amp;qid=1694735460&amp;sr=8-2", "https://www.amazon.com/Insulated-Crimping-Klein-Tools-1005-INS/dp/B000LDIPTY/ref=sr_1_2?keywords=Klein+Tools+1005+Crimping+and+Cutting+Tool+for+Connectors&amp;qid=1694735460&amp;sr=8-2")</f>
        <v/>
      </c>
      <c r="F8191" t="inlineStr">
        <is>
          <t>B000LDIPTY</t>
        </is>
      </c>
      <c r="G8191">
        <f>_xlfn.IMAGE("https://edmondsonsupply.com/cdn/shop/products/1005.jpg?v=1666012896")</f>
        <v/>
      </c>
      <c r="H8191">
        <f>_xlfn.IMAGE("https://m.media-amazon.com/images/I/51cSl7BP82L._AC_UL320_.jpg")</f>
        <v/>
      </c>
      <c r="K8191" t="inlineStr">
        <is>
          <t>29.97</t>
        </is>
      </c>
      <c r="L8191" t="n">
        <v>64.98999999999999</v>
      </c>
      <c r="M8191" s="1" t="inlineStr">
        <is>
          <t>116.85%</t>
        </is>
      </c>
      <c r="N8191" s="7" t="n"/>
      <c r="O8191" t="n">
        <v>4.7</v>
      </c>
      <c r="P8191" t="n">
        <v>19</v>
      </c>
      <c r="R8191" t="inlineStr">
        <is>
          <t>InStock</t>
        </is>
      </c>
      <c r="S8191" t="inlineStr">
        <is>
          <t>45.26</t>
        </is>
      </c>
      <c r="T8191" t="inlineStr">
        <is>
          <t>3707845640292</t>
        </is>
      </c>
    </row>
    <row r="8192" ht="87" customHeight="1">
      <c r="A8192" s="2">
        <f>HYPERLINK("https://edmondsonsupply.com/collections/electricians-tools/products/klein-32807mag", "https://edmondsonsupply.com/collections/electricians-tools/products/klein-32807mag")</f>
        <v/>
      </c>
      <c r="B8192" s="2">
        <f>HYPERLINK("https://edmondsonsupply.com/products/klein-32807mag", "https://edmondsonsupply.com/products/klein-32807mag")</f>
        <v/>
      </c>
      <c r="C8192" t="inlineStr">
        <is>
          <t>Klein Tools 32807MAG 7-in-1 Multi-Bit Screwdriver / Nut Driver, Magnetic</t>
        </is>
      </c>
      <c r="D8192" t="inlineStr">
        <is>
          <t>Channellock 841S 8-in-1 SAE Ratcheting Wrench Set | 8 sizes in 2 Pieces &amp; Klein Tools 32807MAG 7-in-1 Nut Driver, Magnetic Driver has SAE Hex Nut Sizes 1/4 to 9/16-Inch</t>
        </is>
      </c>
      <c r="E8192" s="2">
        <f>HYPERLINK("https://www.amazon.com/Channellock-Ratcheting-32807MAG-Magnetic-16-Inch/dp/B0C3BBXQ6D/ref=sr_1_39?keywords=Klein+Tools+32807MAG+7-in-1+Multi-Bit+Screwdriver+%2F+Nut+Driver%2C+Magnetic&amp;qid=1694735441&amp;sr=8-39", "https://www.amazon.com/Channellock-Ratcheting-32807MAG-Magnetic-16-Inch/dp/B0C3BBXQ6D/ref=sr_1_39?keywords=Klein+Tools+32807MAG+7-in-1+Multi-Bit+Screwdriver+%2F+Nut+Driver%2C+Magnetic&amp;qid=1694735441&amp;sr=8-39")</f>
        <v/>
      </c>
      <c r="F8192" t="inlineStr">
        <is>
          <t>B0C3BBXQ6D</t>
        </is>
      </c>
      <c r="G8192">
        <f>_xlfn.IMAGE("https://edmondsonsupply.com/cdn/shop/products/32807mag_beauty_l.jpg?v=1604873791")</f>
        <v/>
      </c>
      <c r="H8192">
        <f>_xlfn.IMAGE("https://m.media-amazon.com/images/I/41zVPwYyevL._AC_UL320_.jpg")</f>
        <v/>
      </c>
      <c r="K8192" t="inlineStr">
        <is>
          <t>29.97</t>
        </is>
      </c>
      <c r="L8192" t="n">
        <v>64.92</v>
      </c>
      <c r="M8192" s="1" t="inlineStr">
        <is>
          <t>116.62%</t>
        </is>
      </c>
      <c r="N8192" s="7" t="n"/>
      <c r="O8192" t="n">
        <v>4.5</v>
      </c>
      <c r="P8192" t="n">
        <v>2175</v>
      </c>
      <c r="R8192" t="inlineStr">
        <is>
          <t>InStock</t>
        </is>
      </c>
      <c r="S8192" t="inlineStr">
        <is>
          <t>44.5</t>
        </is>
      </c>
      <c r="T8192" t="inlineStr">
        <is>
          <t>1493034008676</t>
        </is>
      </c>
    </row>
    <row r="8193" hidden="1" ht="15.75" customHeight="1">
      <c r="A8193" s="2">
        <f>HYPERLINK("https://edmondsonsupply.com/collections/electricians-tools/products/klein-tools-86601-5-16-inch-magnetic-hex-drivers-3-pack", "https://edmondsonsupply.com/collections/electricians-tools/products/klein-tools-86601-5-16-inch-magnetic-hex-drivers-3-pack")</f>
        <v/>
      </c>
      <c r="B8193" s="2">
        <f>HYPERLINK("https://edmondsonsupply.com/products/klein-tools-86601-5-16-inch-magnetic-hex-drivers-3-pack", "https://edmondsonsupply.com/products/klein-tools-86601-5-16-inch-magnetic-hex-drivers-3-pack")</f>
        <v/>
      </c>
      <c r="C8193" t="inlineStr">
        <is>
          <t>Klein Tools 86601 5/16-Inch Magnetic Hex Drivers, 3-Pack</t>
        </is>
      </c>
      <c r="D8193" t="inlineStr">
        <is>
          <t>Klein Tools 32768 Impact Driver, 3-in-1 Impact Flip Socket and Bit Holder, 1/4 and 5/16-Inch Hex Drivers, 3 and 5-Inch Lengths, 2-Piece Set</t>
        </is>
      </c>
      <c r="E8193" s="2">
        <f>HYPERLINK("https://www.amazon.com/16-Inch-Drivers-Klein-Tools-32768/dp/B09Q52LQ5G/ref=sr_1_5?keywords=Klein+Tools+86601+5%2F16-Inch+Magnetic+Hex+Drivers%2C+3-Pack&amp;qid=1694735450&amp;sr=8-5", "https://www.amazon.com/16-Inch-Drivers-Klein-Tools-32768/dp/B09Q52LQ5G/ref=sr_1_5?keywords=Klein+Tools+86601+5%2F16-Inch+Magnetic+Hex+Drivers%2C+3-Pack&amp;qid=1694735450&amp;sr=8-5")</f>
        <v/>
      </c>
      <c r="F8193" t="inlineStr">
        <is>
          <t>B09Q52LQ5G</t>
        </is>
      </c>
      <c r="G8193">
        <f>_xludf.IMAGE("https://edmondsonsupply.com/cdn/shop/products/86601.jpg?v=1587143139")</f>
        <v/>
      </c>
      <c r="H8193">
        <f>_xludf.IMAGE("https://m.media-amazon.com/images/I/51WsqEdVfRL._AC_UL320_.jpg")</f>
        <v/>
      </c>
      <c r="K8193" t="inlineStr">
        <is>
          <t>6.99</t>
        </is>
      </c>
      <c r="L8193" t="n">
        <v>14.99</v>
      </c>
      <c r="M8193" s="1" t="inlineStr">
        <is>
          <t>114.45%</t>
        </is>
      </c>
      <c r="N8193" s="1" t="n"/>
      <c r="O8193" t="n">
        <v>4.4</v>
      </c>
      <c r="P8193" t="n">
        <v>1270</v>
      </c>
      <c r="R8193" t="inlineStr">
        <is>
          <t>InStock</t>
        </is>
      </c>
      <c r="S8193" t="inlineStr">
        <is>
          <t>10.1</t>
        </is>
      </c>
      <c r="T8193" t="inlineStr">
        <is>
          <t>4274616434788</t>
        </is>
      </c>
    </row>
    <row r="8194" ht="87" customHeight="1">
      <c r="A8194" s="2">
        <f>HYPERLINK("https://edmondsonsupply.com/collections/electricians-tools/products/klein-tools-670-6-screwdriver-3-16-inch-cabinet-rapi-driv%C2%AE-6-inch", "https://edmondsonsupply.com/collections/electricians-tools/products/klein-tools-670-6-screwdriver-3-16-inch-cabinet-rapi-driv%C2%AE-6-inch")</f>
        <v/>
      </c>
      <c r="B8194" s="2">
        <f>HYPERLINK("https://edmondsonsupply.com/products/klein-tools-670-6-screwdriver-3-16-inch-cabinet-rapi-driv%c2%ae-6-inch", "https://edmondsonsupply.com/products/klein-tools-670-6-screwdriver-3-16-inch-cabinet-rapi-driv%c2%ae-6-inch")</f>
        <v/>
      </c>
      <c r="C8194" t="inlineStr">
        <is>
          <t>Klein Tools 670-6 Rapi-Driv® Screwdriver, 3/16-Inch Cabinet Tip, 6-Inch Shank</t>
        </is>
      </c>
      <c r="D8194" t="inlineStr">
        <is>
          <t>Klein Tools 602-7-INS Flathead Screwdriver, 5/16-Inch Cabinet Tip, Insulated, 7-Inch Shank</t>
        </is>
      </c>
      <c r="E8194" s="2">
        <f>HYPERLINK("https://www.amazon.com/Screwdriver-Insulated-Klein-Tools-602-7-INS/dp/B00CQL8UM6/ref=sr_1_39?keywords=Klein+Tools+670-6+Rapi-Driv%C2%AE+Screwdriver%2C+3%2F16-Inch+Cabinet+Tip%2C+6-Inch+Shank&amp;qid=1694735436&amp;sr=8-39", "https://www.amazon.com/Screwdriver-Insulated-Klein-Tools-602-7-INS/dp/B00CQL8UM6/ref=sr_1_39?keywords=Klein+Tools+670-6+Rapi-Driv%C2%AE+Screwdriver%2C+3%2F16-Inch+Cabinet+Tip%2C+6-Inch+Shank&amp;qid=1694735436&amp;sr=8-39")</f>
        <v/>
      </c>
      <c r="F8194" t="inlineStr">
        <is>
          <t>B00CQL8UM6</t>
        </is>
      </c>
      <c r="G8194">
        <f>_xlfn.IMAGE("https://edmondsonsupply.com/cdn/shop/products/670-6_0b4d3d55-d188-4b6a-b9f2-ed932afb4284.jpg?v=1666899819")</f>
        <v/>
      </c>
      <c r="H8194">
        <f>_xlfn.IMAGE("https://m.media-amazon.com/images/I/51yWIQxCstL._AC_UL320_.jpg")</f>
        <v/>
      </c>
      <c r="K8194" t="inlineStr">
        <is>
          <t>10.49</t>
        </is>
      </c>
      <c r="L8194" t="n">
        <v>22.46</v>
      </c>
      <c r="M8194" s="1" t="inlineStr">
        <is>
          <t>114.11%</t>
        </is>
      </c>
      <c r="N8194" s="7" t="n"/>
      <c r="O8194" t="n">
        <v>4.8</v>
      </c>
      <c r="P8194" t="n">
        <v>1068</v>
      </c>
      <c r="R8194" t="inlineStr">
        <is>
          <t>InStock</t>
        </is>
      </c>
      <c r="S8194" t="inlineStr">
        <is>
          <t>15.9</t>
        </is>
      </c>
      <c r="T8194" t="inlineStr">
        <is>
          <t>4343372382308</t>
        </is>
      </c>
    </row>
    <row r="8195" ht="87" customHeight="1">
      <c r="A8195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195" s="2">
        <f>HYPERLINK("https://edmondsonsupply.com/products/klein-tools-600-1-5-16-inch-cabinet-tip-screwdriver-1-1-2-inch", "https://edmondsonsupply.com/products/klein-tools-600-1-5-16-inch-cabinet-tip-screwdriver-1-1-2-inch")</f>
        <v/>
      </c>
      <c r="C8195" t="inlineStr">
        <is>
          <t>Klein Tools 600-1 5/16-Inch Cabinet Tip Screwdriver 1-1/2-Inch</t>
        </is>
      </c>
      <c r="D8195" t="inlineStr">
        <is>
          <t>Klein Tools K48 5/16-Inch Slotted Screw-Holding Flat Head Screwdriver with 8-Inch Round Shank and Comfordome Handle</t>
        </is>
      </c>
      <c r="E8195" s="2">
        <f>HYPERLINK("https://www.amazon.com/Screw-Holding-Screwdriver-Klein-Tools-K48/dp/B00093GCWI/ref=sr_1_37?keywords=Klein+Tools+600-1+5%2F16-Inch+Cabinet+Tip+Screwdriver+1-1%2F2-Inch&amp;qid=1694735453&amp;sr=8-37", "https://www.amazon.com/Screw-Holding-Screwdriver-Klein-Tools-K48/dp/B00093GCWI/ref=sr_1_37?keywords=Klein+Tools+600-1+5%2F16-Inch+Cabinet+Tip+Screwdriver+1-1%2F2-Inch&amp;qid=1694735453&amp;sr=8-37")</f>
        <v/>
      </c>
      <c r="F8195" t="inlineStr">
        <is>
          <t>B00093GCWI</t>
        </is>
      </c>
      <c r="G8195">
        <f>_xlfn.IMAGE("https://edmondsonsupply.com/cdn/shop/products/600-1.jpg?v=1587147752")</f>
        <v/>
      </c>
      <c r="H8195">
        <f>_xlfn.IMAGE("https://m.media-amazon.com/images/I/61A3V+ZpcRL._AC_UL320_.jpg")</f>
        <v/>
      </c>
      <c r="K8195" t="inlineStr">
        <is>
          <t>7.49</t>
        </is>
      </c>
      <c r="L8195" t="n">
        <v>15.94</v>
      </c>
      <c r="M8195" s="1" t="inlineStr">
        <is>
          <t>112.82%</t>
        </is>
      </c>
      <c r="N8195" s="7" t="n"/>
      <c r="O8195" t="n">
        <v>4.7</v>
      </c>
      <c r="P8195" t="n">
        <v>69</v>
      </c>
      <c r="R8195" t="inlineStr">
        <is>
          <t>InStock</t>
        </is>
      </c>
      <c r="S8195" t="inlineStr">
        <is>
          <t>11.22</t>
        </is>
      </c>
      <c r="T8195" t="inlineStr">
        <is>
          <t>4171360403556</t>
        </is>
      </c>
    </row>
    <row r="8196" ht="87" customHeight="1">
      <c r="A8196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196" s="2">
        <f>HYPERLINK("https://edmondsonsupply.com/products/klein-tools-69401-multimeter-carrying-case", "https://edmondsonsupply.com/products/klein-tools-69401-multimeter-carrying-case")</f>
        <v/>
      </c>
      <c r="C8196" t="inlineStr">
        <is>
          <t>Klein Tools 69401 Multimeter Carrying Case</t>
        </is>
      </c>
      <c r="D8196" t="inlineStr">
        <is>
          <t>Circuit Breaker Finder Accessory Kit, Circuit Breaker Leads, Circuit Breaker Adapters Klein Tools 69411 &amp; 69401 Multimeter Carrying Case</t>
        </is>
      </c>
      <c r="E8196" s="2">
        <f>HYPERLINK("https://www.amazon.com/Accessory-Adapters-Klein-Tools-Multimeter/dp/B08ZNQN1DZ/ref=sr_1_7?keywords=Klein+Tools+69401+Multimeter+Carrying+Case&amp;qid=1694735435&amp;sr=8-7", "https://www.amazon.com/Accessory-Adapters-Klein-Tools-Multimeter/dp/B08ZNQN1DZ/ref=sr_1_7?keywords=Klein+Tools+69401+Multimeter+Carrying+Case&amp;qid=1694735435&amp;sr=8-7")</f>
        <v/>
      </c>
      <c r="F8196" t="inlineStr">
        <is>
          <t>B08ZNQN1DZ</t>
        </is>
      </c>
      <c r="G8196">
        <f>_xlfn.IMAGE("https://edmondsonsupply.com/cdn/shop/products/69401.jpg?v=1587151194")</f>
        <v/>
      </c>
      <c r="H8196">
        <f>_xlfn.IMAGE("https://m.media-amazon.com/images/I/51+SXw+mW2L._AC_UL320_.jpg")</f>
        <v/>
      </c>
      <c r="K8196" t="inlineStr">
        <is>
          <t>16.97</t>
        </is>
      </c>
      <c r="L8196" t="n">
        <v>35.97</v>
      </c>
      <c r="M8196" s="1" t="inlineStr">
        <is>
          <t>111.96%</t>
        </is>
      </c>
      <c r="N8196" s="7" t="n"/>
      <c r="O8196" t="n">
        <v>4.8</v>
      </c>
      <c r="P8196" t="n">
        <v>110</v>
      </c>
      <c r="R8196" t="inlineStr">
        <is>
          <t>InStock</t>
        </is>
      </c>
      <c r="S8196" t="inlineStr">
        <is>
          <t>23.84</t>
        </is>
      </c>
      <c r="T8196" t="inlineStr">
        <is>
          <t>4348577710180</t>
        </is>
      </c>
    </row>
    <row r="8197" hidden="1" ht="15.75" customHeight="1">
      <c r="A8197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197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197" t="inlineStr">
        <is>
          <t>Klein Tools JTH6M4BE 4 mm Ball Hex Key Journeyman T-Handle 6-Inch</t>
        </is>
      </c>
      <c r="D8197" t="inlineStr">
        <is>
          <t>Klein Tools JTH6E13BE 1/4-Inch Ball End Hex Key with Journeyman T-Handle, 6-Inch</t>
        </is>
      </c>
      <c r="E8197" s="2">
        <f>HYPERLINK("https://www.amazon.com/Journeyman-T-Handle-Klein-Tools-JTH6E13BE/dp/B004QW52YW/ref=sr_1_7?keywords=Klein+Tools+JTH6M4BE+4+mm+Ball+Hex+Key+Journeyman+T-Handle+6-Inch&amp;qid=1694735475&amp;sr=8-7", "https://www.amazon.com/Journeyman-T-Handle-Klein-Tools-JTH6E13BE/dp/B004QW52YW/ref=sr_1_7?keywords=Klein+Tools+JTH6M4BE+4+mm+Ball+Hex+Key+Journeyman+T-Handle+6-Inch&amp;qid=1694735475&amp;sr=8-7")</f>
        <v/>
      </c>
      <c r="F8197" t="inlineStr">
        <is>
          <t>B004QW52YW</t>
        </is>
      </c>
      <c r="G8197">
        <f>_xludf.IMAGE("https://edmondsonsupply.com/cdn/shop/products/jth6m8be.jpg?v=1587144825")</f>
        <v/>
      </c>
      <c r="H8197">
        <f>_xludf.IMAGE("https://m.media-amazon.com/images/I/51f9vBFVXgL._AC_UL320_.jpg")</f>
        <v/>
      </c>
      <c r="K8197" t="inlineStr">
        <is>
          <t>4.99</t>
        </is>
      </c>
      <c r="L8197" t="n">
        <v>10.55</v>
      </c>
      <c r="M8197" s="1" t="inlineStr">
        <is>
          <t>111.42%</t>
        </is>
      </c>
      <c r="N8197" s="1" t="n"/>
      <c r="O8197" t="n">
        <v>4.7</v>
      </c>
      <c r="P8197" t="n">
        <v>32</v>
      </c>
      <c r="R8197" t="inlineStr">
        <is>
          <t>InStock</t>
        </is>
      </c>
      <c r="S8197" t="inlineStr">
        <is>
          <t>7.56</t>
        </is>
      </c>
      <c r="T8197" t="inlineStr">
        <is>
          <t>3671694213220</t>
        </is>
      </c>
    </row>
    <row r="8198" hidden="1" ht="15.75" customHeight="1">
      <c r="A8198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198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198" t="inlineStr">
        <is>
          <t>Klein Tools JTH6M6 6 mm Hex Key, Journeyman T-Handle, 6-Inch</t>
        </is>
      </c>
      <c r="D8198" t="inlineStr">
        <is>
          <t>Klein Tools JTH6E13BE 1/4-Inch Ball End Hex Key with Journeyman T-Handle, 6-Inch</t>
        </is>
      </c>
      <c r="E8198" s="2">
        <f>HYPERLINK("https://www.amazon.com/Journeyman-T-Handle-Klein-Tools-JTH6E13BE/dp/B004QW52YW/ref=sr_1_7?keywords=Klein+Tools+JTH6M6+6+mm+Hex+Key%2C+Journeyman+T-Handle%2C+6-Inch&amp;qid=1694735472&amp;sr=8-7", "https://www.amazon.com/Journeyman-T-Handle-Klein-Tools-JTH6E13BE/dp/B004QW52YW/ref=sr_1_7?keywords=Klein+Tools+JTH6M6+6+mm+Hex+Key%2C+Journeyman+T-Handle%2C+6-Inch&amp;qid=1694735472&amp;sr=8-7")</f>
        <v/>
      </c>
      <c r="F8198" t="inlineStr">
        <is>
          <t>B004QW52YW</t>
        </is>
      </c>
      <c r="G8198">
        <f>_xludf.IMAGE("https://edmondsonsupply.com/cdn/shop/products/jth6m8_f0088b53-c3db-4dc3-9272-8f65ecc1b648.jpg?v=1587147556")</f>
        <v/>
      </c>
      <c r="H8198">
        <f>_xludf.IMAGE("https://m.media-amazon.com/images/I/51f9vBFVXgL._AC_UL320_.jpg")</f>
        <v/>
      </c>
      <c r="K8198" t="inlineStr">
        <is>
          <t>4.99</t>
        </is>
      </c>
      <c r="L8198" t="n">
        <v>10.55</v>
      </c>
      <c r="M8198" s="1" t="inlineStr">
        <is>
          <t>111.42%</t>
        </is>
      </c>
      <c r="N8198" s="1" t="n"/>
      <c r="O8198" t="n">
        <v>4.7</v>
      </c>
      <c r="P8198" t="n">
        <v>32</v>
      </c>
      <c r="R8198" t="inlineStr">
        <is>
          <t>InStock</t>
        </is>
      </c>
      <c r="S8198" t="inlineStr">
        <is>
          <t>7.56</t>
        </is>
      </c>
      <c r="T8198" t="inlineStr">
        <is>
          <t>3694875246692</t>
        </is>
      </c>
    </row>
    <row r="8199" hidden="1" ht="15.75" customHeight="1">
      <c r="A8199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199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199" t="inlineStr">
        <is>
          <t>Klein Tools JTH6E08BE 1/8-Inch Ball Hex Key, Journeyman T-Handle, 6-Inch</t>
        </is>
      </c>
      <c r="D8199" t="inlineStr">
        <is>
          <t>Klein Tools JTH6E13BE 1/4-Inch Ball End Hex Key with Journeyman T-Handle, 6-Inch</t>
        </is>
      </c>
      <c r="E8199" s="2">
        <f>HYPERLINK("https://www.amazon.com/Journeyman-T-Handle-Klein-Tools-JTH6E13BE/dp/B004QW52YW/ref=sr_1_5?keywords=Klein+Tools+JTH6E08BE+1%2F8-Inch+Ball+Hex+Key%2C+Journeyman+T-Handle%2C+6-Inch&amp;qid=1694735452&amp;sr=8-5", "https://www.amazon.com/Journeyman-T-Handle-Klein-Tools-JTH6E13BE/dp/B004QW52YW/ref=sr_1_5?keywords=Klein+Tools+JTH6E08BE+1%2F8-Inch+Ball+Hex+Key%2C+Journeyman+T-Handle%2C+6-Inch&amp;qid=1694735452&amp;sr=8-5")</f>
        <v/>
      </c>
      <c r="F8199" t="inlineStr">
        <is>
          <t>B004QW52YW</t>
        </is>
      </c>
      <c r="G8199">
        <f>_xludf.IMAGE("https://edmondsonsupply.com/cdn/shop/products/jth6e13be.jpg?v=1587150101")</f>
        <v/>
      </c>
      <c r="H8199">
        <f>_xludf.IMAGE("https://m.media-amazon.com/images/I/51f9vBFVXgL._AC_UL320_.jpg")</f>
        <v/>
      </c>
      <c r="K8199" t="inlineStr">
        <is>
          <t>4.99</t>
        </is>
      </c>
      <c r="L8199" t="n">
        <v>10.55</v>
      </c>
      <c r="M8199" s="1" t="inlineStr">
        <is>
          <t>111.42%</t>
        </is>
      </c>
      <c r="N8199" s="1" t="n"/>
      <c r="O8199" t="n">
        <v>4.7</v>
      </c>
      <c r="P8199" t="n">
        <v>32</v>
      </c>
      <c r="R8199" t="inlineStr">
        <is>
          <t>InStock</t>
        </is>
      </c>
      <c r="S8199" t="inlineStr">
        <is>
          <t>7.54</t>
        </is>
      </c>
      <c r="T8199" t="inlineStr">
        <is>
          <t>4174483193956</t>
        </is>
      </c>
    </row>
    <row r="8200" ht="87" customHeight="1">
      <c r="A8200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200" s="2">
        <f>HYPERLINK("https://edmondsonsupply.com/products/klein-tools-69411-circuit-breaker-finder-accessory-kit", "https://edmondsonsupply.com/products/klein-tools-69411-circuit-breaker-finder-accessory-kit")</f>
        <v/>
      </c>
      <c r="C8200" t="inlineStr">
        <is>
          <t>Klein Tools 69411 Circuit Breaker Finder Accessory Kit</t>
        </is>
      </c>
      <c r="D8200" t="inlineStr">
        <is>
          <t>Klein Tools RT250 GFCI Receptacle Tester with LCD Display, for Standard 3-Wire 120V Electrical Outlets &amp; Finder Accessory Kit, Circuit Breaker Leads, Circuit Breaker Adapters Klein Tools 69411</t>
        </is>
      </c>
      <c r="E8200" s="2">
        <f>HYPERLINK("https://www.amazon.com/Klein-Tools-Receptacle-Electrical-Accessory/dp/B09P83VQDK/ref=sr_1_11?keywords=Klein+Tools+69411+Circuit+Breaker+Finder+Accessory+Kit&amp;qid=1694735452&amp;sr=8-11", "https://www.amazon.com/Klein-Tools-Receptacle-Electrical-Accessory/dp/B09P83VQDK/ref=sr_1_11?keywords=Klein+Tools+69411+Circuit+Breaker+Finder+Accessory+Kit&amp;qid=1694735452&amp;sr=8-11")</f>
        <v/>
      </c>
      <c r="F8200" t="inlineStr">
        <is>
          <t>B09P83VQDK</t>
        </is>
      </c>
      <c r="G8200">
        <f>_xlfn.IMAGE("https://edmondsonsupply.com/cdn/shop/products/69411.jpg?v=1587143386")</f>
        <v/>
      </c>
      <c r="H8200">
        <f>_xlfn.IMAGE("https://m.media-amazon.com/images/I/51Y6EmT5N-L._AC_UL320_.jpg")</f>
        <v/>
      </c>
      <c r="K8200" t="inlineStr">
        <is>
          <t>19.97</t>
        </is>
      </c>
      <c r="L8200" t="n">
        <v>41.94</v>
      </c>
      <c r="M8200" s="1" t="inlineStr">
        <is>
          <t>110.02%</t>
        </is>
      </c>
      <c r="N8200" s="7" t="n"/>
      <c r="O8200" t="n">
        <v>4.9</v>
      </c>
      <c r="P8200" t="n">
        <v>20</v>
      </c>
      <c r="R8200" t="inlineStr">
        <is>
          <t>InStock</t>
        </is>
      </c>
      <c r="S8200" t="inlineStr">
        <is>
          <t>27.96</t>
        </is>
      </c>
      <c r="T8200" t="inlineStr">
        <is>
          <t>4166896255076</t>
        </is>
      </c>
    </row>
    <row r="8201" ht="87" customHeight="1">
      <c r="A8201" s="2">
        <f>HYPERLINK("https://edmondsonsupply.com/collections/electricians-tools/products/klein-32807mag", "https://edmondsonsupply.com/collections/electricians-tools/products/klein-32807mag")</f>
        <v/>
      </c>
      <c r="B8201" s="2">
        <f>HYPERLINK("https://edmondsonsupply.com/products/klein-32807mag", "https://edmondsonsupply.com/products/klein-32807mag")</f>
        <v/>
      </c>
      <c r="C8201" t="inlineStr">
        <is>
          <t>Klein Tools 32807MAG 7-in-1 Multi-Bit Screwdriver / Nut Driver, Magnetic</t>
        </is>
      </c>
      <c r="D8201" t="inlineStr">
        <is>
          <t>Klein Tools 85191 Screwdriver/Conduit Reamer &amp; 32807MAG 7-in-1 Nut Driver, Magnetic Driver has SAE Hex Nut Sizes 1/4 to 9/16-Inch</t>
        </is>
      </c>
      <c r="E8201" s="2">
        <f>HYPERLINK("https://www.amazon.com/Klein-Tools-Screwdriver-32807MAG-Magnetic/dp/B0BD3Z8MN7/ref=sr_1_40?keywords=Klein+Tools+32807MAG+7-in-1+Multi-Bit+Screwdriver+%2F+Nut+Driver%2C+Magnetic&amp;qid=1694735441&amp;sr=8-40", "https://www.amazon.com/Klein-Tools-Screwdriver-32807MAG-Magnetic/dp/B0BD3Z8MN7/ref=sr_1_40?keywords=Klein+Tools+32807MAG+7-in-1+Multi-Bit+Screwdriver+%2F+Nut+Driver%2C+Magnetic&amp;qid=1694735441&amp;sr=8-40")</f>
        <v/>
      </c>
      <c r="F8201" t="inlineStr">
        <is>
          <t>B0BD3Z8MN7</t>
        </is>
      </c>
      <c r="G8201">
        <f>_xlfn.IMAGE("https://edmondsonsupply.com/cdn/shop/products/32807mag_beauty_l.jpg?v=1604873791")</f>
        <v/>
      </c>
      <c r="H8201">
        <f>_xlfn.IMAGE("https://m.media-amazon.com/images/I/41yyZWTsWSL._AC_UL320_.jpg")</f>
        <v/>
      </c>
      <c r="K8201" t="inlineStr">
        <is>
          <t>29.97</t>
        </is>
      </c>
      <c r="L8201" t="n">
        <v>62.83</v>
      </c>
      <c r="M8201" s="1" t="inlineStr">
        <is>
          <t>109.64%</t>
        </is>
      </c>
      <c r="N8201" s="7" t="n"/>
      <c r="O8201" t="n">
        <v>5</v>
      </c>
      <c r="P8201" t="n">
        <v>1</v>
      </c>
      <c r="R8201" t="inlineStr">
        <is>
          <t>InStock</t>
        </is>
      </c>
      <c r="S8201" t="inlineStr">
        <is>
          <t>44.5</t>
        </is>
      </c>
      <c r="T8201" t="inlineStr">
        <is>
          <t>1493034008676</t>
        </is>
      </c>
    </row>
    <row r="8202" ht="87" customHeight="1">
      <c r="A8202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202" s="2">
        <f>HYPERLINK("https://edmondsonsupply.com/products/klein-tools-600-4-1-4-inch-screwdriver-heavy-duty-square-shank", "https://edmondsonsupply.com/products/klein-tools-600-4-1-4-inch-screwdriver-heavy-duty-square-shank")</f>
        <v/>
      </c>
      <c r="C8202" t="inlineStr">
        <is>
          <t>Klein Tools 600-4 1/4-Inch Keystone Cushion-Grip Screwdriver</t>
        </is>
      </c>
      <c r="D8202" t="inlineStr">
        <is>
          <t>Klein Tools 85153K Slotted Screw-Holding Screwdriver Set, 3/16-Inch, 1/4-Inch Split-Blade Flat Head Driver, Positive Gripping Action, 2-Piece</t>
        </is>
      </c>
      <c r="E8202" s="2">
        <f>HYPERLINK("https://www.amazon.com/Klein-Tools-85153K-Screw-Holding-Screwdriver/dp/B0CFRP1K3L/ref=sr_1_17?keywords=Klein+Tools+600-4+1%2F4-Inch+Keystone+Cushion-Grip+Screwdriver&amp;qid=1694735465&amp;sr=8-17", "https://www.amazon.com/Klein-Tools-85153K-Screw-Holding-Screwdriver/dp/B0CFRP1K3L/ref=sr_1_17?keywords=Klein+Tools+600-4+1%2F4-Inch+Keystone+Cushion-Grip+Screwdriver&amp;qid=1694735465&amp;sr=8-17")</f>
        <v/>
      </c>
      <c r="F8202" t="inlineStr">
        <is>
          <t>B0CFRP1K3L</t>
        </is>
      </c>
      <c r="G8202">
        <f>_xlfn.IMAGE("https://edmondsonsupply.com/cdn/shop/products/600-4.jpg?v=1587145175")</f>
        <v/>
      </c>
      <c r="H8202">
        <f>_xlfn.IMAGE("https://m.media-amazon.com/images/I/41KoRmOkBpL._AC_UL320_.jpg")</f>
        <v/>
      </c>
      <c r="K8202" t="inlineStr">
        <is>
          <t>11.49</t>
        </is>
      </c>
      <c r="L8202" t="n">
        <v>23.97</v>
      </c>
      <c r="M8202" s="1" t="inlineStr">
        <is>
          <t>108.62%</t>
        </is>
      </c>
      <c r="N8202" s="7" t="n"/>
      <c r="O8202" t="n">
        <v>5</v>
      </c>
      <c r="P8202" t="n">
        <v>1</v>
      </c>
      <c r="R8202" t="inlineStr">
        <is>
          <t>InStock</t>
        </is>
      </c>
      <c r="S8202" t="inlineStr">
        <is>
          <t>15.08</t>
        </is>
      </c>
      <c r="T8202" t="inlineStr">
        <is>
          <t>3700353073252</t>
        </is>
      </c>
    </row>
    <row r="8203" ht="87" customHeight="1">
      <c r="A8203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203" s="2">
        <f>HYPERLINK("https://edmondsonsupply.com/products/klein-tools-1005-crimping-and-cutting-tool-for-connectors", "https://edmondsonsupply.com/products/klein-tools-1005-crimping-and-cutting-tool-for-connectors")</f>
        <v/>
      </c>
      <c r="C8203" t="inlineStr">
        <is>
          <t>Klein Tools 1005 Crimping and Cutting Tool for Connectors</t>
        </is>
      </c>
      <c r="D8203" t="inlineStr">
        <is>
          <t>Klein Tools D2000-28 Pliers, Diagonal Cutting Pliers, 8-Inch &amp; 1005 Cutting/Crimping Tool for 10-22 AWG Terminals and Connectors, Terminal Crimper for Insulated and Non-Insulated Terminals</t>
        </is>
      </c>
      <c r="E8203" s="2">
        <f>HYPERLINK("https://www.amazon.com/Klein-Tools-Terminals-Connectors-Non-Insulated/dp/B0BD41KKKS/ref=sr_1_10?keywords=Klein+Tools+1005+Crimping+and+Cutting+Tool+for+Connectors&amp;qid=1694735460&amp;sr=8-10", "https://www.amazon.com/Klein-Tools-Terminals-Connectors-Non-Insulated/dp/B0BD41KKKS/ref=sr_1_10?keywords=Klein+Tools+1005+Crimping+and+Cutting+Tool+for+Connectors&amp;qid=1694735460&amp;sr=8-10")</f>
        <v/>
      </c>
      <c r="F8203" t="inlineStr">
        <is>
          <t>B0BD41KKKS</t>
        </is>
      </c>
      <c r="G8203">
        <f>_xlfn.IMAGE("https://edmondsonsupply.com/cdn/shop/products/1005.jpg?v=1666012896")</f>
        <v/>
      </c>
      <c r="H8203">
        <f>_xlfn.IMAGE("https://m.media-amazon.com/images/I/31pyJOvPtRL._AC_UL320_.jpg")</f>
        <v/>
      </c>
      <c r="K8203" t="inlineStr">
        <is>
          <t>29.97</t>
        </is>
      </c>
      <c r="L8203" t="n">
        <v>61.96</v>
      </c>
      <c r="M8203" s="1" t="inlineStr">
        <is>
          <t>106.74%</t>
        </is>
      </c>
      <c r="N8203" s="7" t="n"/>
      <c r="O8203" t="n">
        <v>5</v>
      </c>
      <c r="P8203" t="n">
        <v>2</v>
      </c>
      <c r="R8203" t="inlineStr">
        <is>
          <t>InStock</t>
        </is>
      </c>
      <c r="S8203" t="inlineStr">
        <is>
          <t>45.26</t>
        </is>
      </c>
      <c r="T8203" t="inlineStr">
        <is>
          <t>3707845640292</t>
        </is>
      </c>
    </row>
    <row r="8204" ht="87" customHeight="1">
      <c r="A8204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204" s="2">
        <f>HYPERLINK("https://edmondsonsupply.com/products/klein-tools-70591-folding-hex-key-set-nine-key-inch-sizes", "https://edmondsonsupply.com/products/klein-tools-70591-folding-hex-key-set-nine-key-inch-sizes")</f>
        <v/>
      </c>
      <c r="C8204" t="inlineStr">
        <is>
          <t>Klein Tools 70591 Folding Hex Key Set, 9-Key, SAE Sizes</t>
        </is>
      </c>
      <c r="D8204" t="inlineStr">
        <is>
          <t>Klein Tools 70591 Folding Hex Key Set, 9-Key, SAE Sizes &amp; 70582 Folding Hex Key Set, 7-Key, Metric Sizes</t>
        </is>
      </c>
      <c r="E8204" s="2">
        <f>HYPERLINK("https://www.amazon.com/Klein-Tools-70591-Folding-Metric/dp/B0BGPYC631/ref=sr_1_2?keywords=Klein+Tools+70591+Folding+Hex+Key+Set%2C+9-Key%2C+SAE+Sizes&amp;qid=1694735474&amp;sr=8-2", "https://www.amazon.com/Klein-Tools-70591-Folding-Metric/dp/B0BGPYC631/ref=sr_1_2?keywords=Klein+Tools+70591+Folding+Hex+Key+Set%2C+9-Key%2C+SAE+Sizes&amp;qid=1694735474&amp;sr=8-2")</f>
        <v/>
      </c>
      <c r="F8204" t="inlineStr">
        <is>
          <t>B0BGPYC631</t>
        </is>
      </c>
      <c r="G8204">
        <f>_xlfn.IMAGE("https://edmondsonsupply.com/cdn/shop/products/70591.jpg?v=1587146577")</f>
        <v/>
      </c>
      <c r="H8204">
        <f>_xlfn.IMAGE("https://m.media-amazon.com/images/I/41F+-ZtFyRL._AC_UL320_.jpg")</f>
        <v/>
      </c>
      <c r="K8204" t="inlineStr">
        <is>
          <t>9.99</t>
        </is>
      </c>
      <c r="L8204" t="n">
        <v>20.59</v>
      </c>
      <c r="M8204" s="1" t="inlineStr">
        <is>
          <t>106.11%</t>
        </is>
      </c>
      <c r="N8204" s="7" t="n"/>
      <c r="O8204" t="n">
        <v>4.8</v>
      </c>
      <c r="P8204" t="n">
        <v>14</v>
      </c>
      <c r="R8204" t="inlineStr">
        <is>
          <t>InStock</t>
        </is>
      </c>
      <c r="S8204" t="inlineStr">
        <is>
          <t>14.04</t>
        </is>
      </c>
      <c r="T8204" t="inlineStr">
        <is>
          <t>3683738320996</t>
        </is>
      </c>
    </row>
    <row r="8205" ht="87" customHeight="1">
      <c r="A8205" s="2">
        <f>HYPERLINK("https://edmondsonsupply.com/collections/electricians-tools/products/klein-tools-70570-grip-it%C2%AE-five-key-hex-set-inch", "https://edmondsonsupply.com/collections/electricians-tools/products/klein-tools-70570-grip-it%C2%AE-five-key-hex-set-inch")</f>
        <v/>
      </c>
      <c r="B8205" s="2">
        <f>HYPERLINK("https://edmondsonsupply.com/products/klein-tools-70570-grip-it%c2%ae-five-key-hex-set-inch", "https://edmondsonsupply.com/products/klein-tools-70570-grip-it%c2%ae-five-key-hex-set-inch")</f>
        <v/>
      </c>
      <c r="C8205" t="inlineStr">
        <is>
          <t>Klein Tools 70570 Grip-It® Hex Key Set, 5-Key, SAE Sizes</t>
        </is>
      </c>
      <c r="D8205" t="inlineStr">
        <is>
          <t>Klein Tools 70591 Folding Hex Key Set, 9-Key, SAE Sizes &amp; 70582 Folding Hex Key Set, 7-Key, Metric Sizes</t>
        </is>
      </c>
      <c r="E8205" s="2">
        <f>HYPERLINK("https://www.amazon.com/Klein-Tools-70591-Folding-Metric/dp/B0BGPYC631/ref=sr_1_7?keywords=Klein+Tools+70570+Grip-It%C2%AE+Hex+Key+Set%2C+5-Key%2C+SAE+Sizes&amp;qid=1694735431&amp;sr=8-7", "https://www.amazon.com/Klein-Tools-70591-Folding-Metric/dp/B0BGPYC631/ref=sr_1_7?keywords=Klein+Tools+70570+Grip-It%C2%AE+Hex+Key+Set%2C+5-Key%2C+SAE+Sizes&amp;qid=1694735431&amp;sr=8-7")</f>
        <v/>
      </c>
      <c r="F8205" t="inlineStr">
        <is>
          <t>B0BGPYC631</t>
        </is>
      </c>
      <c r="G8205">
        <f>_xlfn.IMAGE("https://edmondsonsupply.com/cdn/shop/products/70570.jpg?v=1587143378")</f>
        <v/>
      </c>
      <c r="H8205">
        <f>_xlfn.IMAGE("https://m.media-amazon.com/images/I/41F+-ZtFyRL._AC_UL320_.jpg")</f>
        <v/>
      </c>
      <c r="K8205" t="inlineStr">
        <is>
          <t>9.99</t>
        </is>
      </c>
      <c r="L8205" t="n">
        <v>20.59</v>
      </c>
      <c r="M8205" s="1" t="inlineStr">
        <is>
          <t>106.11%</t>
        </is>
      </c>
      <c r="N8205" s="7" t="n"/>
      <c r="O8205" t="n">
        <v>4.8</v>
      </c>
      <c r="P8205" t="n">
        <v>14</v>
      </c>
      <c r="R8205" t="inlineStr">
        <is>
          <t>InStock</t>
        </is>
      </c>
      <c r="S8205" t="inlineStr">
        <is>
          <t>13.66</t>
        </is>
      </c>
      <c r="T8205" t="inlineStr">
        <is>
          <t>4344501534820</t>
        </is>
      </c>
    </row>
    <row r="8206" ht="87" customHeight="1">
      <c r="A8206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206" s="2">
        <f>HYPERLINK("https://edmondsonsupply.com/products/klein-tools-63050-high-leverage-cable-cutter", "https://edmondsonsupply.com/products/klein-tools-63050-high-leverage-cable-cutter")</f>
        <v/>
      </c>
      <c r="C8206" t="inlineStr">
        <is>
          <t>Klein Tools 63050 Cable Cutter</t>
        </is>
      </c>
      <c r="D8206" t="inlineStr">
        <is>
          <t>Channellock 841S 8-in-1 SAE Ratcheting Wrench Set | 8 sizes in 2 Pieces &amp; Klein Tools 63050 Cable Cutter, Heavy Duty Cutter for Aluminum, Copper, and Communications Cable</t>
        </is>
      </c>
      <c r="E8206" s="2">
        <f>HYPERLINK("https://www.amazon.com/Channellock-Ratcheting-Wrench-Aluminum-Communications/dp/B0C3BC3XQM/ref=sr_1_13?keywords=Klein+Tools+63050+Cable+Cutter&amp;qid=1694735444&amp;sr=8-13", "https://www.amazon.com/Channellock-Ratcheting-Wrench-Aluminum-Communications/dp/B0C3BC3XQM/ref=sr_1_13?keywords=Klein+Tools+63050+Cable+Cutter&amp;qid=1694735444&amp;sr=8-13")</f>
        <v/>
      </c>
      <c r="F8206" t="inlineStr">
        <is>
          <t>B0C3BC3XQM</t>
        </is>
      </c>
      <c r="G8206">
        <f>_xlfn.IMAGE("https://edmondsonsupply.com/cdn/shop/products/63050.jpg?v=1587143239")</f>
        <v/>
      </c>
      <c r="H8206">
        <f>_xlfn.IMAGE("https://m.media-amazon.com/images/I/41cCTdVakhL._AC_UL320_.jpg")</f>
        <v/>
      </c>
      <c r="K8206" t="inlineStr">
        <is>
          <t>32.99</t>
        </is>
      </c>
      <c r="L8206" t="n">
        <v>67.94</v>
      </c>
      <c r="M8206" s="1" t="inlineStr">
        <is>
          <t>105.94%</t>
        </is>
      </c>
      <c r="N8206" s="7" t="n"/>
      <c r="O8206" t="n">
        <v>4.5</v>
      </c>
      <c r="P8206" t="n">
        <v>2175</v>
      </c>
      <c r="R8206" t="inlineStr">
        <is>
          <t>InStock</t>
        </is>
      </c>
      <c r="S8206" t="inlineStr">
        <is>
          <t>47.96</t>
        </is>
      </c>
      <c r="T8206" t="inlineStr">
        <is>
          <t>4289689124964</t>
        </is>
      </c>
    </row>
    <row r="8207" ht="87" customHeight="1">
      <c r="A8207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207" s="2">
        <f>HYPERLINK("https://edmondsonsupply.com/products/klein-tools-601-4-3-16-cabinet-tip-screwdriver-4-round-shank", "https://edmondsonsupply.com/products/klein-tools-601-4-3-16-cabinet-tip-screwdriver-4-round-shank")</f>
        <v/>
      </c>
      <c r="C8207" t="inlineStr">
        <is>
          <t>Klein Tools 601-4 3/16-Inch Cabinet Tip Screwdriver 4-Inch</t>
        </is>
      </c>
      <c r="D8207" t="inlineStr">
        <is>
          <t>Klein Tools 601-4-INS Insulated Screwdriver, 3/16-Inch Cabinet Tip with 4-Inch Shank</t>
        </is>
      </c>
      <c r="E8207" s="2">
        <f>HYPERLINK("https://www.amazon.com/Insulated-Screwdriver-Klein-Tools-601-4-INS/dp/B000LEBVIK/ref=sr_1_2?keywords=Klein+Tools+601-4+3%2F16-Inch+Cabinet+Tip+Screwdriver+4-Inch&amp;qid=1694735471&amp;sr=8-2", "https://www.amazon.com/Insulated-Screwdriver-Klein-Tools-601-4-INS/dp/B000LEBVIK/ref=sr_1_2?keywords=Klein+Tools+601-4+3%2F16-Inch+Cabinet+Tip+Screwdriver+4-Inch&amp;qid=1694735471&amp;sr=8-2")</f>
        <v/>
      </c>
      <c r="F8207" t="inlineStr">
        <is>
          <t>B000LEBVIK</t>
        </is>
      </c>
      <c r="G8207">
        <f>_xlfn.IMAGE("https://edmondsonsupply.com/cdn/shop/products/601-4.jpg?v=1587147829")</f>
        <v/>
      </c>
      <c r="H8207">
        <f>_xlfn.IMAGE("https://m.media-amazon.com/images/I/41SIcZZiIAL._AC_UL320_.jpg")</f>
        <v/>
      </c>
      <c r="K8207" t="inlineStr">
        <is>
          <t>8.98</t>
        </is>
      </c>
      <c r="L8207" t="n">
        <v>18.49</v>
      </c>
      <c r="M8207" s="1" t="inlineStr">
        <is>
          <t>105.90%</t>
        </is>
      </c>
      <c r="N8207" s="7" t="n"/>
      <c r="O8207" t="n">
        <v>4.8</v>
      </c>
      <c r="P8207" t="n">
        <v>1068</v>
      </c>
      <c r="R8207" t="inlineStr">
        <is>
          <t>InStock</t>
        </is>
      </c>
      <c r="S8207" t="inlineStr">
        <is>
          <t>11.52</t>
        </is>
      </c>
      <c r="T8207" t="inlineStr">
        <is>
          <t>2767048900708</t>
        </is>
      </c>
    </row>
    <row r="8208" hidden="1" ht="15.75" customHeight="1">
      <c r="A8208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208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208" t="inlineStr">
        <is>
          <t>Klein Tools JTH6M8 8 mm Hex Key with Journeyman T-Handle, 6-Inch</t>
        </is>
      </c>
      <c r="D8208" t="inlineStr">
        <is>
          <t>Klein Tools JTH6E09BE 9/64-Inch Ball-End Hex Key with Journeyman T-Handle, 6-Inch (Pack of 2)</t>
        </is>
      </c>
      <c r="E8208" s="2">
        <f>HYPERLINK("https://www.amazon.com/Klein-Tools-JTH6E09BE-Ball-End-Journeyman/dp/B0CGLVC75M/ref=sr_1_11?keywords=Klein+Tools+JTH6M8+8+mm+Hex+Key+with+Journeyman+T-Handle%2C+6-Inch&amp;qid=1694735436&amp;sr=8-11", "https://www.amazon.com/Klein-Tools-JTH6E09BE-Ball-End-Journeyman/dp/B0CGLVC75M/ref=sr_1_11?keywords=Klein+Tools+JTH6M8+8+mm+Hex+Key+with+Journeyman+T-Handle%2C+6-Inch&amp;qid=1694735436&amp;sr=8-11")</f>
        <v/>
      </c>
      <c r="F8208" t="inlineStr">
        <is>
          <t>B0CGLVC75M</t>
        </is>
      </c>
      <c r="G8208">
        <f>_xludf.IMAGE("https://edmondsonsupply.com/cdn/shop/products/jth6m8_31a5ad24-670d-4140-a5ec-3785d5bf79d2.jpg?v=1587146374")</f>
        <v/>
      </c>
      <c r="H8208">
        <f>_xludf.IMAGE("https://m.media-amazon.com/images/I/41bN+I19ReL._AC_UL320_.jpg")</f>
        <v/>
      </c>
      <c r="K8208" t="inlineStr">
        <is>
          <t>6.99</t>
        </is>
      </c>
      <c r="L8208" t="n">
        <v>14.36</v>
      </c>
      <c r="M8208" s="1" t="inlineStr">
        <is>
          <t>105.44%</t>
        </is>
      </c>
      <c r="N8208" s="1" t="n"/>
      <c r="O8208" t="n">
        <v>4.9</v>
      </c>
      <c r="P8208" t="n">
        <v>65</v>
      </c>
      <c r="R8208" t="inlineStr">
        <is>
          <t>InStock</t>
        </is>
      </c>
      <c r="S8208" t="inlineStr">
        <is>
          <t>10.58</t>
        </is>
      </c>
      <c r="T8208" t="inlineStr">
        <is>
          <t>4343287775332</t>
        </is>
      </c>
    </row>
    <row r="8209" ht="87" customHeight="1">
      <c r="A8209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209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209" t="inlineStr">
        <is>
          <t>Klein Tools 646-5/16M 5/16-Inch Magnetic Nut Driver Cushion-Grip</t>
        </is>
      </c>
      <c r="D8209" t="inlineStr">
        <is>
          <t>Klein Tools 646-5/16-INS 5/16-Inch Insulated Cushion Grip Nut Driver with 6-Inch Shank</t>
        </is>
      </c>
      <c r="E8209" s="2">
        <f>HYPERLINK("https://www.amazon.com/Insulated-Klein-Tools-646-5-16-INS/dp/B000MKIUVE/ref=sr_1_4?keywords=Klein+Tools+646-5%2F16M+5%2F16-Inch+Magnetic+Nut+Driver+Cushion-Grip&amp;qid=1694735459&amp;sr=8-4", "https://www.amazon.com/Insulated-Klein-Tools-646-5-16-INS/dp/B000MKIUVE/ref=sr_1_4?keywords=Klein+Tools+646-5%2F16M+5%2F16-Inch+Magnetic+Nut+Driver+Cushion-Grip&amp;qid=1694735459&amp;sr=8-4")</f>
        <v/>
      </c>
      <c r="F8209" t="inlineStr">
        <is>
          <t>B000MKIUVE</t>
        </is>
      </c>
      <c r="G8209">
        <f>_xlfn.IMAGE("https://edmondsonsupply.com/cdn/shop/products/646-5-16m.jpg?v=1587147720")</f>
        <v/>
      </c>
      <c r="H8209">
        <f>_xlfn.IMAGE("https://m.media-amazon.com/images/I/41xL3ElB6uL._AC_UL320_.jpg")</f>
        <v/>
      </c>
      <c r="K8209" t="inlineStr">
        <is>
          <t>11.49</t>
        </is>
      </c>
      <c r="L8209" t="n">
        <v>23.59</v>
      </c>
      <c r="M8209" s="1" t="inlineStr">
        <is>
          <t>105.31%</t>
        </is>
      </c>
      <c r="N8209" s="7" t="n"/>
      <c r="O8209" t="n">
        <v>4.7</v>
      </c>
      <c r="P8209" t="n">
        <v>272</v>
      </c>
      <c r="R8209" t="inlineStr">
        <is>
          <t>InStock</t>
        </is>
      </c>
      <c r="S8209" t="inlineStr">
        <is>
          <t>17.4</t>
        </is>
      </c>
      <c r="T8209" t="inlineStr">
        <is>
          <t>3707846557796</t>
        </is>
      </c>
    </row>
    <row r="8210" ht="87" customHeight="1">
      <c r="A8210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210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210" t="inlineStr">
        <is>
          <t>Klein Tools 11055 Klein Kurve® Solid and Stranded Copper Wire Stripper &amp; Cutter</t>
        </is>
      </c>
      <c r="D8210" t="inlineStr">
        <is>
          <t>Klein Tools 11055 Wire Cutter and Wire Stripper, Stranded Wire Cutter &amp; Klein Tools 11057 Wire Cutter/Wire Stripper, Heavy Duty Wire Cutter Stripper</t>
        </is>
      </c>
      <c r="E8210" s="2">
        <f>HYPERLINK("https://www.amazon.com/Klein-Tools-Cutter-Stripper-Stranded/dp/B0B68N3C66/ref=sr_1_13?keywords=Klein+Tools+11055+Klein+Kurve%C2%AE+Solid+and+Stranded+Copper+Wire+Stripper+%26+Cutter&amp;qid=1694735472&amp;sr=8-13", "https://www.amazon.com/Klein-Tools-Cutter-Stripper-Stranded/dp/B0B68N3C66/ref=sr_1_13?keywords=Klein+Tools+11055+Klein+Kurve%C2%AE+Solid+and+Stranded+Copper+Wire+Stripper+%26+Cutter&amp;qid=1694735472&amp;sr=8-13")</f>
        <v/>
      </c>
      <c r="F8210" t="inlineStr">
        <is>
          <t>B0B68N3C66</t>
        </is>
      </c>
      <c r="G8210">
        <f>_xlfn.IMAGE("https://edmondsonsupply.com/cdn/shop/products/11055ep.jpg?v=1670949748")</f>
        <v/>
      </c>
      <c r="H8210">
        <f>_xlfn.IMAGE("https://m.media-amazon.com/images/I/61UHDLA7rHL._AC_UL320_.jpg")</f>
        <v/>
      </c>
      <c r="K8210" t="inlineStr">
        <is>
          <t>19.99</t>
        </is>
      </c>
      <c r="L8210" t="n">
        <v>40.96</v>
      </c>
      <c r="M8210" s="1" t="inlineStr">
        <is>
          <t>104.90%</t>
        </is>
      </c>
      <c r="N8210" s="7" t="n"/>
      <c r="O8210" t="n">
        <v>5</v>
      </c>
      <c r="P8210" t="n">
        <v>14</v>
      </c>
      <c r="R8210" t="inlineStr">
        <is>
          <t>InStock</t>
        </is>
      </c>
      <c r="S8210" t="inlineStr">
        <is>
          <t>29.82</t>
        </is>
      </c>
      <c r="T8210" t="inlineStr">
        <is>
          <t>1780558135396</t>
        </is>
      </c>
    </row>
    <row r="8211" ht="87" customHeight="1">
      <c r="A8211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211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211" t="inlineStr">
        <is>
          <t>Klein Tools 11055 Klein Kurve® Solid and Stranded Copper Wire Stripper &amp; Cutter</t>
        </is>
      </c>
      <c r="D8211" t="inlineStr">
        <is>
          <t>Klein Tools 11053 Klein-Kurve Wire Stripper and Cutter for 6-12 AWG Stranded Wire, 7-1/8-Inch &amp; 11055 Wire Cutter and Wire Stripper, Stranded Wire Cutter, Solid Wire Cutter, Cuts Copper Wire</t>
        </is>
      </c>
      <c r="E8211" s="2">
        <f>HYPERLINK("https://www.amazon.com/Klein-Tools-Klein-Kurve-Stripper-Stranded/dp/B0BHVPT335/ref=sr_1_2?keywords=Klein+Tools+11055+Klein+Kurve%C2%AE+Solid+and+Stranded+Copper+Wire+Stripper+%26+Cutter&amp;qid=1694735472&amp;sr=8-2", "https://www.amazon.com/Klein-Tools-Klein-Kurve-Stripper-Stranded/dp/B0BHVPT335/ref=sr_1_2?keywords=Klein+Tools+11055+Klein+Kurve%C2%AE+Solid+and+Stranded+Copper+Wire+Stripper+%26+Cutter&amp;qid=1694735472&amp;sr=8-2")</f>
        <v/>
      </c>
      <c r="F8211" t="inlineStr">
        <is>
          <t>B0BHVPT335</t>
        </is>
      </c>
      <c r="G8211">
        <f>_xlfn.IMAGE("https://edmondsonsupply.com/cdn/shop/products/11055ep.jpg?v=1670949748")</f>
        <v/>
      </c>
      <c r="H8211">
        <f>_xlfn.IMAGE("https://m.media-amazon.com/images/I/41+jddPUDML._AC_UL320_.jpg")</f>
        <v/>
      </c>
      <c r="K8211" t="inlineStr">
        <is>
          <t>19.99</t>
        </is>
      </c>
      <c r="L8211" t="n">
        <v>40.96</v>
      </c>
      <c r="M8211" s="1" t="inlineStr">
        <is>
          <t>104.90%</t>
        </is>
      </c>
      <c r="N8211" s="7" t="n"/>
      <c r="O8211" t="n">
        <v>4.5</v>
      </c>
      <c r="P8211" t="n">
        <v>2</v>
      </c>
      <c r="R8211" t="inlineStr">
        <is>
          <t>InStock</t>
        </is>
      </c>
      <c r="S8211" t="inlineStr">
        <is>
          <t>29.82</t>
        </is>
      </c>
      <c r="T8211" t="inlineStr">
        <is>
          <t>1780558135396</t>
        </is>
      </c>
    </row>
    <row r="8212" ht="87" customHeight="1">
      <c r="A8212" s="2">
        <f>HYPERLINK("https://edmondsonsupply.com/collections/electricians-tools/products/klein-tools-vdv814-638-satellite-tv-diplexer-5-mhz-2-3-ghz", "https://edmondsonsupply.com/collections/electricians-tools/products/klein-tools-vdv814-638-satellite-tv-diplexer-5-mhz-2-3-ghz")</f>
        <v/>
      </c>
      <c r="B8212" s="2">
        <f>HYPERLINK("https://edmondsonsupply.com/products/klein-tools-vdv814-638-satellite-tv-diplexer-5-mhz-2-3-ghz", "https://edmondsonsupply.com/products/klein-tools-vdv814-638-satellite-tv-diplexer-5-mhz-2-3-ghz")</f>
        <v/>
      </c>
      <c r="C8212" t="inlineStr">
        <is>
          <t>Klein Tools VDV814-638 Satellite/TV Diplexer 5 MHz 2.3 GHz</t>
        </is>
      </c>
      <c r="D8212" t="inlineStr">
        <is>
          <t>Klein Tools VDV814-636 Coax Splitter - Satellite, 2-Way, 5MHz - 2.3GHz</t>
        </is>
      </c>
      <c r="E8212" s="2">
        <f>HYPERLINK("https://www.amazon.com/Klein-Tools-VDV814-636-Coax-Splitter/dp/B00BEZWFP8/ref=sr_1_1?keywords=Klein+Tools+VDV814-638+Satellite%2FTV+Diplexer+5+MHz+2.3+GHz&amp;qid=1694735431&amp;sr=8-1", "https://www.amazon.com/Klein-Tools-VDV814-636-Coax-Splitter/dp/B00BEZWFP8/ref=sr_1_1?keywords=Klein+Tools+VDV814-638+Satellite%2FTV+Diplexer+5+MHz+2.3+GHz&amp;qid=1694735431&amp;sr=8-1")</f>
        <v/>
      </c>
      <c r="F8212" t="inlineStr">
        <is>
          <t>B00BEZWFP8</t>
        </is>
      </c>
      <c r="G8212">
        <f>_xlfn.IMAGE("https://edmondsonsupply.com/cdn/shop/products/vdv814-638.jpg?v=1587150631")</f>
        <v/>
      </c>
      <c r="H8212">
        <f>_xlfn.IMAGE("https://m.media-amazon.com/images/I/51mTI5wAc6L._AC_UL320_.jpg")</f>
        <v/>
      </c>
      <c r="K8212" t="inlineStr">
        <is>
          <t>9.86</t>
        </is>
      </c>
      <c r="L8212" t="n">
        <v>19.99</v>
      </c>
      <c r="M8212" s="1" t="inlineStr">
        <is>
          <t>102.74%</t>
        </is>
      </c>
      <c r="N8212" s="7" t="n"/>
      <c r="O8212" t="n">
        <v>4.1</v>
      </c>
      <c r="P8212" t="n">
        <v>14</v>
      </c>
      <c r="R8212" t="inlineStr">
        <is>
          <t>InStock</t>
        </is>
      </c>
      <c r="S8212" t="inlineStr">
        <is>
          <t>13.84</t>
        </is>
      </c>
      <c r="T8212" t="inlineStr">
        <is>
          <t>4353186267236</t>
        </is>
      </c>
    </row>
    <row r="8213" ht="87" customHeight="1">
      <c r="A8213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213" s="2">
        <f>HYPERLINK("https://edmondsonsupply.com/products/klein-tools-5139-canvas-zipper-bag", "https://edmondsonsupply.com/products/klein-tools-5139-canvas-zipper-bag")</f>
        <v/>
      </c>
      <c r="C8213" t="inlineStr">
        <is>
          <t>Klein Tools 5139 Zipper Bag, Canvas Tool Pouch 12.5 x 7 x 4.25-Inch</t>
        </is>
      </c>
      <c r="D8213" t="inlineStr">
        <is>
          <t>4 Pack Upgrade Zipper Canvas Tool Pouch, 20 oz Heavy Duty Tool Bag, Water Resistant Utility Tools Organizer, 12.75 X 8 X 2.25 inch Spacious Storage Pouches with Dependable Brass Zippers by KERNOWO</t>
        </is>
      </c>
      <c r="E8213" s="2">
        <f>HYPERLINK("https://www.amazon.com/Resistant-Organizer-Spacious-Dependable-KERNOWO/dp/B07V9J5Z5N/ref=sr_1_26?keywords=Klein+Tools+5139+Zipper+Bag%2C+Canvas+Tool+Pouch+12.5+x+7+x+4.25-Inch&amp;qid=1694735450&amp;sr=8-26", "https://www.amazon.com/Resistant-Organizer-Spacious-Dependable-KERNOWO/dp/B07V9J5Z5N/ref=sr_1_26?keywords=Klein+Tools+5139+Zipper+Bag%2C+Canvas+Tool+Pouch+12.5+x+7+x+4.25-Inch&amp;qid=1694735450&amp;sr=8-26")</f>
        <v/>
      </c>
      <c r="F8213" t="inlineStr">
        <is>
          <t>B07V9J5Z5N</t>
        </is>
      </c>
      <c r="G8213">
        <f>_xlfn.IMAGE("https://edmondsonsupply.com/cdn/shop/products/5139.jpg?v=1587150181")</f>
        <v/>
      </c>
      <c r="H8213">
        <f>_xlfn.IMAGE("https://m.media-amazon.com/images/I/61L0SGOLHuL._AC_UL320_.jpg")</f>
        <v/>
      </c>
      <c r="K8213" t="inlineStr">
        <is>
          <t>10.97</t>
        </is>
      </c>
      <c r="L8213" t="n">
        <v>21.99</v>
      </c>
      <c r="M8213" s="1" t="inlineStr">
        <is>
          <t>100.46%</t>
        </is>
      </c>
      <c r="N8213" s="7" t="n"/>
      <c r="O8213" t="n">
        <v>4.7</v>
      </c>
      <c r="P8213" t="n">
        <v>1646</v>
      </c>
      <c r="R8213" t="inlineStr">
        <is>
          <t>InStock</t>
        </is>
      </c>
      <c r="S8213" t="inlineStr">
        <is>
          <t>17.12</t>
        </is>
      </c>
      <c r="T8213" t="inlineStr">
        <is>
          <t>2378629185636</t>
        </is>
      </c>
    </row>
    <row r="8214" ht="87" customHeight="1">
      <c r="A8214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214" s="2">
        <f>HYPERLINK("https://edmondsonsupply.com/products/klein-tools-rt210-gfci-receptacle-tester", "https://edmondsonsupply.com/products/klein-tools-rt210-gfci-receptacle-tester")</f>
        <v/>
      </c>
      <c r="C8214" t="inlineStr">
        <is>
          <t>Klein Tools RT210 GFCI Outlet Tester</t>
        </is>
      </c>
      <c r="D8214" t="inlineStr">
        <is>
          <t>Klein Tools 80097 Beginner Tester Kit with GFCI Outlet and Receptacle Tester, Electronic Voltage Tester, Non-Contact Voltage Tester, 3-Piece Red</t>
        </is>
      </c>
      <c r="E8214" s="2">
        <f>HYPERLINK("https://www.amazon.com/Klein-Tools-80097-Beginner-3-Piece/dp/B0B7Z178B1/ref=sr_1_22?keywords=Klein+Tools+RT210+GFCI+Outlet+Tester&amp;qid=1694735460&amp;sr=8-22", "https://www.amazon.com/Klein-Tools-80097-Beginner-3-Piece/dp/B0B7Z178B1/ref=sr_1_22?keywords=Klein+Tools+RT210+GFCI+Outlet+Tester&amp;qid=1694735460&amp;sr=8-22")</f>
        <v/>
      </c>
      <c r="F8214" t="inlineStr">
        <is>
          <t>B0B7Z178B1</t>
        </is>
      </c>
      <c r="G8214">
        <f>_xlfn.IMAGE("https://edmondsonsupply.com/cdn/shop/products/rt210.jpg?v=1587146495")</f>
        <v/>
      </c>
      <c r="H8214">
        <f>_xlfn.IMAGE("https://m.media-amazon.com/images/I/51TWbZ0INyL._AC_UL320_.jpg")</f>
        <v/>
      </c>
      <c r="K8214" t="inlineStr">
        <is>
          <t>12.97</t>
        </is>
      </c>
      <c r="L8214" t="n">
        <v>25.99</v>
      </c>
      <c r="M8214" s="1" t="inlineStr">
        <is>
          <t>100.39%</t>
        </is>
      </c>
      <c r="N8214" s="7" t="n"/>
      <c r="O8214" t="n">
        <v>4.7</v>
      </c>
      <c r="P8214" t="n">
        <v>118</v>
      </c>
      <c r="R8214" t="inlineStr">
        <is>
          <t>InStock</t>
        </is>
      </c>
      <c r="S8214" t="inlineStr">
        <is>
          <t>17.12</t>
        </is>
      </c>
      <c r="T8214" t="inlineStr">
        <is>
          <t>3711963988068</t>
        </is>
      </c>
    </row>
    <row r="8215" ht="87" customHeight="1">
      <c r="A8215" s="2">
        <f>HYPERLINK("https://edmondsonsupply.com/collections/electricians-tools/products/klein-tools-935-torpedo-level", "https://edmondsonsupply.com/collections/electricians-tools/products/klein-tools-935-torpedo-level")</f>
        <v/>
      </c>
      <c r="B8215" s="2">
        <f>HYPERLINK("https://edmondsonsupply.com/products/klein-tools-935-torpedo-level", "https://edmondsonsupply.com/products/klein-tools-935-torpedo-level")</f>
        <v/>
      </c>
      <c r="C8215" t="inlineStr">
        <is>
          <t>Klein Tools 935 Torpedo Level, 3 Vial, 9-Inch</t>
        </is>
      </c>
      <c r="D8215" t="inlineStr">
        <is>
          <t>Klein Tools 935RBLT Level, 9-Inch Lighted Torpedo Level with Magnet, 3 Vials and V-Groove, Water and Impact Resistant, For Conduit Bending Orange</t>
        </is>
      </c>
      <c r="E8215" s="2">
        <f>HYPERLINK("https://www.amazon.com/Magnetic-V-Groove-Klein-Tools-935RBLT/dp/B01M3YMNY5/ref=sr_1_2?keywords=Klein+Tools+935+Torpedo+Level%2C+3+Vial%2C+9-Inch&amp;qid=1694735440&amp;sr=8-2", "https://www.amazon.com/Magnetic-V-Groove-Klein-Tools-935RBLT/dp/B01M3YMNY5/ref=sr_1_2?keywords=Klein+Tools+935+Torpedo+Level%2C+3+Vial%2C+9-Inch&amp;qid=1694735440&amp;sr=8-2")</f>
        <v/>
      </c>
      <c r="F8215" t="inlineStr">
        <is>
          <t>B01M3YMNY5</t>
        </is>
      </c>
      <c r="G8215">
        <f>_xlfn.IMAGE("https://edmondsonsupply.com/cdn/shop/products/935_b.jpg?v=1679425556")</f>
        <v/>
      </c>
      <c r="H8215">
        <f>_xlfn.IMAGE("https://m.media-amazon.com/images/I/41Z4vb-uVYL._AC_UL320_.jpg")</f>
        <v/>
      </c>
      <c r="K8215" t="inlineStr">
        <is>
          <t>17.97</t>
        </is>
      </c>
      <c r="L8215" t="n">
        <v>35.97</v>
      </c>
      <c r="M8215" s="1" t="inlineStr">
        <is>
          <t>100.17%</t>
        </is>
      </c>
      <c r="N8215" s="7" t="n"/>
      <c r="O8215" t="n">
        <v>4.8</v>
      </c>
      <c r="P8215" t="n">
        <v>3195</v>
      </c>
      <c r="R8215" t="inlineStr">
        <is>
          <t>InStock</t>
        </is>
      </c>
      <c r="S8215" t="inlineStr">
        <is>
          <t>25.22</t>
        </is>
      </c>
      <c r="T8215" t="inlineStr">
        <is>
          <t>4310094086244</t>
        </is>
      </c>
    </row>
    <row r="8216" hidden="1" ht="15.75" customHeight="1">
      <c r="A8216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16" s="2">
        <f>HYPERLINK("https://edmondsonsupply.com/products/klein-tools-600-1-5-16-inch-cabinet-tip-screwdriver-1-1-2-inch", "https://edmondsonsupply.com/products/klein-tools-600-1-5-16-inch-cabinet-tip-screwdriver-1-1-2-inch")</f>
        <v/>
      </c>
      <c r="C8216" t="inlineStr">
        <is>
          <t>Klein Tools 600-1 5/16-Inch Cabinet Tip Screwdriver 1-1/2-Inch</t>
        </is>
      </c>
      <c r="D8216" t="inlineStr">
        <is>
          <t>Klein Tools 6926INS Insulated Screwdriver, 1000V Slim Profile Tip, 1/4-Inch Cabinet Screwdriver with 6-Inch Shank, Cushion-Grip Handle</t>
        </is>
      </c>
      <c r="E8216" s="2">
        <f>HYPERLINK("https://www.amazon.com/Klein-Tools-6926INS-Screwdriver-Cushion-Grip/dp/B09GL1X5SZ/ref=sr_1_16?keywords=Klein+Tools+600-1+5%2F16-Inch+Cabinet+Tip+Screwdriver+1-1%2F2-Inch&amp;qid=1694735453&amp;sr=8-16", "https://www.amazon.com/Klein-Tools-6926INS-Screwdriver-Cushion-Grip/dp/B09GL1X5SZ/ref=sr_1_16?keywords=Klein+Tools+600-1+5%2F16-Inch+Cabinet+Tip+Screwdriver+1-1%2F2-Inch&amp;qid=1694735453&amp;sr=8-16")</f>
        <v/>
      </c>
      <c r="F8216" t="inlineStr">
        <is>
          <t>B09GL1X5SZ</t>
        </is>
      </c>
      <c r="G8216">
        <f>_xludf.IMAGE("https://edmondsonsupply.com/cdn/shop/products/600-1.jpg?v=1587147752")</f>
        <v/>
      </c>
      <c r="H8216">
        <f>_xludf.IMAGE("https://m.media-amazon.com/images/I/41JbepP5oGL._AC_UL320_.jpg")</f>
        <v/>
      </c>
      <c r="K8216" t="inlineStr">
        <is>
          <t>7.49</t>
        </is>
      </c>
      <c r="L8216" t="n">
        <v>14.99</v>
      </c>
      <c r="M8216" s="1" t="inlineStr">
        <is>
          <t>100.13%</t>
        </is>
      </c>
      <c r="N8216" s="1" t="n"/>
      <c r="O8216" t="n">
        <v>4.8</v>
      </c>
      <c r="P8216" t="n">
        <v>85</v>
      </c>
      <c r="R8216" t="inlineStr">
        <is>
          <t>InStock</t>
        </is>
      </c>
      <c r="S8216" t="inlineStr">
        <is>
          <t>11.22</t>
        </is>
      </c>
      <c r="T8216" t="inlineStr">
        <is>
          <t>4171360403556</t>
        </is>
      </c>
    </row>
    <row r="8217" ht="87" customHeight="1">
      <c r="A8217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217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217" t="inlineStr">
        <is>
          <t>Klein Tools 11063W Katapult® Wire Stripper and Cutter for Solid and Stranded Wire</t>
        </is>
      </c>
      <c r="D8217" t="inlineStr">
        <is>
          <t>Klein Tools 3005CR Wire Crimper Tool &amp; 11063W Wire Cutter/Wire Stripper, Heavy Duty Wire Stripper Tool for 8-20 AWG Solid and 10-22 AWG Stranded Electrical Wire</t>
        </is>
      </c>
      <c r="E8217" s="2">
        <f>HYPERLINK("https://www.amazon.com/Klein-Tools-Stripper-Stranded-Electrical/dp/B08XKMZF55/ref=sr_1_3?keywords=Klein+Tools+11063W+Katapult%C2%AE+Wire+Stripper+and+Cutter+for+Solid+and+Stranded+Wire&amp;qid=1694735440&amp;sr=8-3", "https://www.amazon.com/Klein-Tools-Stripper-Stranded-Electrical/dp/B08XKMZF55/ref=sr_1_3?keywords=Klein+Tools+11063W+Katapult%C2%AE+Wire+Stripper+and+Cutter+for+Solid+and+Stranded+Wire&amp;qid=1694735440&amp;sr=8-3")</f>
        <v/>
      </c>
      <c r="F8217" t="inlineStr">
        <is>
          <t>B08XKMZF55</t>
        </is>
      </c>
      <c r="G8217">
        <f>_xlfn.IMAGE("https://edmondsonsupply.com/cdn/shop/products/11063w.jpg?v=1587151004")</f>
        <v/>
      </c>
      <c r="H8217">
        <f>_xlfn.IMAGE("https://m.media-amazon.com/images/I/410rkxkOErL._AC_UL320_.jpg")</f>
        <v/>
      </c>
      <c r="K8217" t="inlineStr">
        <is>
          <t>29.97</t>
        </is>
      </c>
      <c r="L8217" t="n">
        <v>59.94</v>
      </c>
      <c r="M8217" s="1" t="inlineStr">
        <is>
          <t>100.00%</t>
        </is>
      </c>
      <c r="N8217" s="7" t="n"/>
      <c r="O8217" t="n">
        <v>4.9</v>
      </c>
      <c r="P8217" t="n">
        <v>14</v>
      </c>
      <c r="R8217" t="inlineStr">
        <is>
          <t>InStock</t>
        </is>
      </c>
      <c r="S8217" t="inlineStr">
        <is>
          <t>44.7</t>
        </is>
      </c>
      <c r="T8217" t="inlineStr">
        <is>
          <t>4334180827236</t>
        </is>
      </c>
    </row>
    <row r="8218" ht="87" customHeight="1">
      <c r="A8218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218" s="2">
        <f>HYPERLINK("https://edmondsonsupply.com/products/klein-tools-1005-crimping-and-cutting-tool-for-connectors", "https://edmondsonsupply.com/products/klein-tools-1005-crimping-and-cutting-tool-for-connectors")</f>
        <v/>
      </c>
      <c r="C8218" t="inlineStr">
        <is>
          <t>Klein Tools 1005 Crimping and Cutting Tool for Connectors</t>
        </is>
      </c>
      <c r="D8218" t="inlineStr">
        <is>
          <t>Klein Tools 3005CR Wire Crimper Tool &amp; 1005 Cutting/Crimping Tool for 10-22 AWG Terminals and Connectors, Terminal Crimper for Insulated and Non-Insulated Terminals</t>
        </is>
      </c>
      <c r="E8218" s="2">
        <f>HYPERLINK("https://www.amazon.com/Klein-Tools-Terminals-Connectors-Non-Insulated/dp/B09T6YD8X4/ref=sr_1_20?keywords=Klein+Tools+1005+Crimping+and+Cutting+Tool+for+Connectors&amp;qid=1694735460&amp;sr=8-20", "https://www.amazon.com/Klein-Tools-Terminals-Connectors-Non-Insulated/dp/B09T6YD8X4/ref=sr_1_20?keywords=Klein+Tools+1005+Crimping+and+Cutting+Tool+for+Connectors&amp;qid=1694735460&amp;sr=8-20")</f>
        <v/>
      </c>
      <c r="F8218" t="inlineStr">
        <is>
          <t>B09T6YD8X4</t>
        </is>
      </c>
      <c r="G8218">
        <f>_xlfn.IMAGE("https://edmondsonsupply.com/cdn/shop/products/1005.jpg?v=1666012896")</f>
        <v/>
      </c>
      <c r="H8218">
        <f>_xlfn.IMAGE("https://m.media-amazon.com/images/I/41P2x5W+flL._AC_UL320_.jpg")</f>
        <v/>
      </c>
      <c r="K8218" t="inlineStr">
        <is>
          <t>29.97</t>
        </is>
      </c>
      <c r="L8218" t="n">
        <v>59.94</v>
      </c>
      <c r="M8218" s="1" t="inlineStr">
        <is>
          <t>100.00%</t>
        </is>
      </c>
      <c r="N8218" s="7" t="n"/>
      <c r="O8218" t="n">
        <v>5</v>
      </c>
      <c r="P8218" t="n">
        <v>1</v>
      </c>
      <c r="R8218" t="inlineStr">
        <is>
          <t>InStock</t>
        </is>
      </c>
      <c r="S8218" t="inlineStr">
        <is>
          <t>45.26</t>
        </is>
      </c>
      <c r="T8218" t="inlineStr">
        <is>
          <t>3707845640292</t>
        </is>
      </c>
    </row>
    <row r="8219" ht="87" customHeight="1">
      <c r="A8219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219" s="2">
        <f>HYPERLINK("https://edmondsonsupply.com/products/klein-tools-aepjs1-wireless-jobsite-speaker-bluetooth", "https://edmondsonsupply.com/products/klein-tools-aepjs1-wireless-jobsite-speaker-bluetooth")</f>
        <v/>
      </c>
      <c r="C8219" t="inlineStr">
        <is>
          <t>Klein Tools AEPJS1 Wireless Jobsite Speaker</t>
        </is>
      </c>
      <c r="D8219" t="inlineStr">
        <is>
          <t>Klein Tools AEPJS2 Bluetooth Speaker with Magnetic Strip and Hook &amp; AEPJS1 Bluetooth Speaker, Wireless Portable Jobsite Speaker Plays Audio and Answers Calls Hands Free, IPX5, Worksite Ready</t>
        </is>
      </c>
      <c r="E8219" s="2">
        <f>HYPERLINK("https://www.amazon.com/Klein-Tools-Bluetooth-Magnetic-Wireless/dp/B0C3BBLTF7/ref=sr_1_2?keywords=Klein+Tools+AEPJS1+Wireless+Jobsite+Speaker&amp;qid=1694735448&amp;sr=8-2", "https://www.amazon.com/Klein-Tools-Bluetooth-Magnetic-Wireless/dp/B0C3BBLTF7/ref=sr_1_2?keywords=Klein+Tools+AEPJS1+Wireless+Jobsite+Speaker&amp;qid=1694735448&amp;sr=8-2")</f>
        <v/>
      </c>
      <c r="F8219" t="inlineStr">
        <is>
          <t>B0C3BBLTF7</t>
        </is>
      </c>
      <c r="G8219">
        <f>_xlfn.IMAGE("https://edmondsonsupply.com/cdn/shop/products/aepjs1.jpg?v=1587145015")</f>
        <v/>
      </c>
      <c r="H8219">
        <f>_xlfn.IMAGE("https://m.media-amazon.com/images/I/61ga0Dj-31L._AC_UY218_.jpg")</f>
        <v/>
      </c>
      <c r="K8219" t="inlineStr">
        <is>
          <t>39.97</t>
        </is>
      </c>
      <c r="L8219" t="n">
        <v>79.94</v>
      </c>
      <c r="M8219" s="1" t="inlineStr">
        <is>
          <t>100.00%</t>
        </is>
      </c>
      <c r="N8219" s="7" t="n"/>
      <c r="O8219" t="n">
        <v>5</v>
      </c>
      <c r="P8219" t="n">
        <v>1</v>
      </c>
      <c r="R8219" t="inlineStr">
        <is>
          <t>InStock</t>
        </is>
      </c>
      <c r="S8219" t="inlineStr">
        <is>
          <t>56.0</t>
        </is>
      </c>
      <c r="T8219" t="inlineStr">
        <is>
          <t>1779629424740</t>
        </is>
      </c>
    </row>
    <row r="8220" hidden="1" ht="15.75" customHeight="1">
      <c r="A8220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220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220" t="inlineStr">
        <is>
          <t>Klein Tools JTH6E08BE 1/8-Inch Ball Hex Key, Journeyman T-Handle, 6-Inch</t>
        </is>
      </c>
      <c r="D8220" t="inlineStr">
        <is>
          <t>Klein Tools JTH6M3BE 3 mm Ball End Hex Key with Journeyman T-Handle, 6-Inch (Pack of 2)</t>
        </is>
      </c>
      <c r="E8220" s="2">
        <f>HYPERLINK("https://www.amazon.com/Klein-Tools-JTH6M3BE-Journeyman-T-Handle/dp/B0CGLYY7WP/ref=sr_1_4?keywords=Klein+Tools+JTH6E08BE+1%2F8-Inch+Ball+Hex+Key%2C+Journeyman+T-Handle%2C+6-Inch&amp;qid=1694735452&amp;sr=8-4", "https://www.amazon.com/Klein-Tools-JTH6M3BE-Journeyman-T-Handle/dp/B0CGLYY7WP/ref=sr_1_4?keywords=Klein+Tools+JTH6E08BE+1%2F8-Inch+Ball+Hex+Key%2C+Journeyman+T-Handle%2C+6-Inch&amp;qid=1694735452&amp;sr=8-4")</f>
        <v/>
      </c>
      <c r="F8220" t="inlineStr">
        <is>
          <t>B0CGLYY7WP</t>
        </is>
      </c>
      <c r="G8220">
        <f>_xludf.IMAGE("https://edmondsonsupply.com/cdn/shop/products/jth6e13be.jpg?v=1587150101")</f>
        <v/>
      </c>
      <c r="H8220">
        <f>_xludf.IMAGE("https://m.media-amazon.com/images/I/413sTNFMd7L._AC_UL320_.jpg")</f>
        <v/>
      </c>
      <c r="K8220" t="inlineStr">
        <is>
          <t>4.99</t>
        </is>
      </c>
      <c r="L8220" t="n">
        <v>9.98</v>
      </c>
      <c r="M8220" s="1" t="inlineStr">
        <is>
          <t>100.00%</t>
        </is>
      </c>
      <c r="N8220" s="1" t="n"/>
      <c r="O8220" t="n">
        <v>4.6</v>
      </c>
      <c r="P8220" t="n">
        <v>184</v>
      </c>
      <c r="R8220" t="inlineStr">
        <is>
          <t>InStock</t>
        </is>
      </c>
      <c r="S8220" t="inlineStr">
        <is>
          <t>7.54</t>
        </is>
      </c>
      <c r="T8220" t="inlineStr">
        <is>
          <t>4174483193956</t>
        </is>
      </c>
    </row>
    <row r="8221" ht="87" customHeight="1">
      <c r="A8221" s="2">
        <f>HYPERLINK("https://edmondsonsupply.com/collections/electricians-tools/products/klein-tools-732-4-2-combo-tip-driver-4-inch-fixed-blade", "https://edmondsonsupply.com/collections/electricians-tools/products/klein-tools-732-4-2-combo-tip-driver-4-inch-fixed-blade")</f>
        <v/>
      </c>
      <c r="B8221" s="2">
        <f>HYPERLINK("https://edmondsonsupply.com/products/klein-tools-732-4-2-combo-tip-driver-4-inch-fixed-blade", "https://edmondsonsupply.com/products/klein-tools-732-4-2-combo-tip-driver-4-inch-fixed-blade")</f>
        <v/>
      </c>
      <c r="C8221" t="inlineStr">
        <is>
          <t>Klein Tools 732-4 #2 Combo Tip Driver, 4-Inch Fixed Blade</t>
        </is>
      </c>
      <c r="D8221" t="inlineStr">
        <is>
          <t>Klein Tools 32293 Insulated Screwdriver, 2-in-1 Screwdriver Set with Flip Blade, #2 Phillips and1/4-Inch Slotted Tips, Double-Ended Blades</t>
        </is>
      </c>
      <c r="E8221" s="2">
        <f>HYPERLINK("https://www.amazon.com/Klein-Tools-32293-Screwdriver-Double-Ended/dp/B07WWZZQD2/ref=sr_1_5?keywords=Klein+Tools+732-4+%232+Combo+Tip+Driver%2C+4-Inch+Fixed+Blade&amp;qid=1694735446&amp;sr=8-5", "https://www.amazon.com/Klein-Tools-32293-Screwdriver-Double-Ended/dp/B07WWZZQD2/ref=sr_1_5?keywords=Klein+Tools+732-4+%232+Combo+Tip+Driver%2C+4-Inch+Fixed+Blade&amp;qid=1694735446&amp;sr=8-5")</f>
        <v/>
      </c>
      <c r="F8221" t="inlineStr">
        <is>
          <t>B07WWZZQD2</t>
        </is>
      </c>
      <c r="G8221">
        <f>_xlfn.IMAGE("https://edmondsonsupply.com/cdn/shop/products/732-4.jpg?v=1587149240")</f>
        <v/>
      </c>
      <c r="H8221">
        <f>_xlfn.IMAGE("https://m.media-amazon.com/images/I/41yk4NC2BmL._AC_UL320_.jpg")</f>
        <v/>
      </c>
      <c r="K8221" t="inlineStr">
        <is>
          <t>9.99</t>
        </is>
      </c>
      <c r="L8221" t="n">
        <v>19.98</v>
      </c>
      <c r="M8221" s="1" t="inlineStr">
        <is>
          <t>100.00%</t>
        </is>
      </c>
      <c r="N8221" s="7" t="n"/>
      <c r="O8221" t="n">
        <v>4.8</v>
      </c>
      <c r="P8221" t="n">
        <v>2774</v>
      </c>
      <c r="R8221" t="inlineStr">
        <is>
          <t>InStock</t>
        </is>
      </c>
      <c r="S8221" t="inlineStr">
        <is>
          <t>15.14</t>
        </is>
      </c>
      <c r="T8221" t="inlineStr">
        <is>
          <t>4328889974884</t>
        </is>
      </c>
    </row>
    <row r="8222" hidden="1" ht="15.75" customHeight="1">
      <c r="A8222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222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222" t="inlineStr">
        <is>
          <t>Klein Tools JTH6M6 6 mm Hex Key, Journeyman T-Handle, 6-Inch</t>
        </is>
      </c>
      <c r="D8222" t="inlineStr">
        <is>
          <t>Klein Tools JTH6M3BE 3 mm Ball End Hex Key with Journeyman T-Handle, 6-Inch (Pack of 2)</t>
        </is>
      </c>
      <c r="E8222" s="2">
        <f>HYPERLINK("https://www.amazon.com/Klein-Tools-JTH6M3BE-Journeyman-T-Handle/dp/B0CGLYY7WP/ref=sr_1_3?keywords=Klein+Tools+JTH6M6+6+mm+Hex+Key%2C+Journeyman+T-Handle%2C+6-Inch&amp;qid=1694735472&amp;sr=8-3", "https://www.amazon.com/Klein-Tools-JTH6M3BE-Journeyman-T-Handle/dp/B0CGLYY7WP/ref=sr_1_3?keywords=Klein+Tools+JTH6M6+6+mm+Hex+Key%2C+Journeyman+T-Handle%2C+6-Inch&amp;qid=1694735472&amp;sr=8-3")</f>
        <v/>
      </c>
      <c r="F8222" t="inlineStr">
        <is>
          <t>B0CGLYY7WP</t>
        </is>
      </c>
      <c r="G8222">
        <f>_xludf.IMAGE("https://edmondsonsupply.com/cdn/shop/products/jth6m8_f0088b53-c3db-4dc3-9272-8f65ecc1b648.jpg?v=1587147556")</f>
        <v/>
      </c>
      <c r="H8222">
        <f>_xludf.IMAGE("https://m.media-amazon.com/images/I/413sTNFMd7L._AC_UL320_.jpg")</f>
        <v/>
      </c>
      <c r="K8222" t="inlineStr">
        <is>
          <t>4.99</t>
        </is>
      </c>
      <c r="L8222" t="n">
        <v>9.98</v>
      </c>
      <c r="M8222" s="1" t="inlineStr">
        <is>
          <t>100.00%</t>
        </is>
      </c>
      <c r="N8222" s="1" t="n"/>
      <c r="O8222" t="n">
        <v>4.6</v>
      </c>
      <c r="P8222" t="n">
        <v>184</v>
      </c>
      <c r="R8222" t="inlineStr">
        <is>
          <t>InStock</t>
        </is>
      </c>
      <c r="S8222" t="inlineStr">
        <is>
          <t>7.56</t>
        </is>
      </c>
      <c r="T8222" t="inlineStr">
        <is>
          <t>3694875246692</t>
        </is>
      </c>
    </row>
    <row r="8223" ht="87" customHeight="1">
      <c r="A8223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223" s="2">
        <f>HYPERLINK("https://edmondsonsupply.com/products/klein-tools-69411-circuit-breaker-finder-accessory-kit", "https://edmondsonsupply.com/products/klein-tools-69411-circuit-breaker-finder-accessory-kit")</f>
        <v/>
      </c>
      <c r="C8223" t="inlineStr">
        <is>
          <t>Klein Tools 69411 Circuit Breaker Finder Accessory Kit</t>
        </is>
      </c>
      <c r="D8223" t="inlineStr">
        <is>
          <t>Klein Tools NCVT1P Voltage Tester, Non-Contact Voltage Detector Pen &amp; Finder Accessory Kit, Circuit Breaker Leads, Circuit Breaker Adapters Klein Tools 69411</t>
        </is>
      </c>
      <c r="E8223" s="2">
        <f>HYPERLINK("https://www.amazon.com/Klein-Tools-Non-Contact-Detector-Accessory/dp/B09Y7SZXNK/ref=sr_1_34?keywords=Klein+Tools+69411+Circuit+Breaker+Finder+Accessory+Kit&amp;qid=1694735452&amp;sr=8-34", "https://www.amazon.com/Klein-Tools-Non-Contact-Detector-Accessory/dp/B09Y7SZXNK/ref=sr_1_34?keywords=Klein+Tools+69411+Circuit+Breaker+Finder+Accessory+Kit&amp;qid=1694735452&amp;sr=8-34")</f>
        <v/>
      </c>
      <c r="F8223" t="inlineStr">
        <is>
          <t>B09Y7SZXNK</t>
        </is>
      </c>
      <c r="G8223">
        <f>_xlfn.IMAGE("https://edmondsonsupply.com/cdn/shop/products/69411.jpg?v=1587143386")</f>
        <v/>
      </c>
      <c r="H8223">
        <f>_xlfn.IMAGE("https://m.media-amazon.com/images/I/41FdIXHPiXL._AC_UL320_.jpg")</f>
        <v/>
      </c>
      <c r="K8223" t="inlineStr">
        <is>
          <t>19.97</t>
        </is>
      </c>
      <c r="L8223" t="n">
        <v>39.94</v>
      </c>
      <c r="M8223" s="1" t="inlineStr">
        <is>
          <t>100.00%</t>
        </is>
      </c>
      <c r="N8223" s="7" t="n"/>
      <c r="O8223" t="n">
        <v>5</v>
      </c>
      <c r="P8223" t="n">
        <v>2</v>
      </c>
      <c r="R8223" t="inlineStr">
        <is>
          <t>InStock</t>
        </is>
      </c>
      <c r="S8223" t="inlineStr">
        <is>
          <t>27.96</t>
        </is>
      </c>
      <c r="T8223" t="inlineStr">
        <is>
          <t>4166896255076</t>
        </is>
      </c>
    </row>
    <row r="8224" ht="87" customHeight="1">
      <c r="A8224" s="2">
        <f>HYPERLINK("https://edmondsonsupply.com/collections/electricians-tools/products/klein-32807mag", "https://edmondsonsupply.com/collections/electricians-tools/products/klein-32807mag")</f>
        <v/>
      </c>
      <c r="B8224" s="2">
        <f>HYPERLINK("https://edmondsonsupply.com/products/klein-32807mag", "https://edmondsonsupply.com/products/klein-32807mag")</f>
        <v/>
      </c>
      <c r="C8224" t="inlineStr">
        <is>
          <t>Klein Tools 32807MAG 7-in-1 Multi-Bit Screwdriver / Nut Driver, Magnetic</t>
        </is>
      </c>
      <c r="D8224" t="inlineStr">
        <is>
          <t>Klein Tools 32717 Precision Screwdriver Set &amp; 32807MAG 7-in-1 Nut Driver, Magnetic Driver has SAE Hex Nut Sizes 1/4 to 9/16-Inch, Cushion Grip Handle for Added Torque</t>
        </is>
      </c>
      <c r="E8224" s="2">
        <f>HYPERLINK("https://www.amazon.com/Klein-Tools-Precision-Screwdriver-32807MAG/dp/B0BRMZN2WZ/ref=sr_1_43?keywords=Klein+Tools+32807MAG+7-in-1+Multi-Bit+Screwdriver+%2F+Nut+Driver%2C+Magnetic&amp;qid=1694735441&amp;sr=8-43", "https://www.amazon.com/Klein-Tools-Precision-Screwdriver-32807MAG/dp/B0BRMZN2WZ/ref=sr_1_43?keywords=Klein+Tools+32807MAG+7-in-1+Multi-Bit+Screwdriver+%2F+Nut+Driver%2C+Magnetic&amp;qid=1694735441&amp;sr=8-43")</f>
        <v/>
      </c>
      <c r="F8224" t="inlineStr">
        <is>
          <t>B0BRMZN2WZ</t>
        </is>
      </c>
      <c r="G8224">
        <f>_xlfn.IMAGE("https://edmondsonsupply.com/cdn/shop/products/32807mag_beauty_l.jpg?v=1604873791")</f>
        <v/>
      </c>
      <c r="H8224">
        <f>_xlfn.IMAGE("https://m.media-amazon.com/images/I/51GQUDVtuLL._AC_UL320_.jpg")</f>
        <v/>
      </c>
      <c r="K8224" t="inlineStr">
        <is>
          <t>29.97</t>
        </is>
      </c>
      <c r="L8224" t="n">
        <v>59.94</v>
      </c>
      <c r="M8224" s="1" t="inlineStr">
        <is>
          <t>100.00%</t>
        </is>
      </c>
      <c r="N8224" s="7" t="n"/>
      <c r="O8224" t="n">
        <v>4.9</v>
      </c>
      <c r="P8224" t="n">
        <v>9</v>
      </c>
      <c r="R8224" t="inlineStr">
        <is>
          <t>InStock</t>
        </is>
      </c>
      <c r="S8224" t="inlineStr">
        <is>
          <t>44.5</t>
        </is>
      </c>
      <c r="T8224" t="inlineStr">
        <is>
          <t>1493034008676</t>
        </is>
      </c>
    </row>
    <row r="8225" hidden="1" ht="15.75" customHeight="1">
      <c r="A8225" s="2">
        <f>HYPERLINK("https://edmondsonsupply.com/collections/electricians-tools/products/klein-tools-60093-cooling-towel-gray", "https://edmondsonsupply.com/collections/electricians-tools/products/klein-tools-60093-cooling-towel-gray")</f>
        <v/>
      </c>
      <c r="B8225" s="2">
        <f>HYPERLINK("https://edmondsonsupply.com/products/klein-tools-60093-cooling-towel-gray", "https://edmondsonsupply.com/products/klein-tools-60093-cooling-towel-gray")</f>
        <v/>
      </c>
      <c r="C8225" t="inlineStr">
        <is>
          <t>Klein Tools 60093 Cooling Towel, Gray</t>
        </is>
      </c>
      <c r="D8225" t="inlineStr">
        <is>
          <t>Klein Tools 60093 Cooling Towel for Neck with Evaporative PVA Technology, Gray 29.50" x 13.00" (Pack of 2)</t>
        </is>
      </c>
      <c r="E8225" s="2">
        <f>HYPERLINK("https://www.amazon.com/Klein-Tools-60093-Evaporative-Technology/dp/B0CF2WFK46/ref=sr_1_1?keywords=Klein+Tools+60093+Cooling+Towel%2C+Gray&amp;qid=1694735466&amp;sr=8-1", "https://www.amazon.com/Klein-Tools-60093-Evaporative-Technology/dp/B0CF2WFK46/ref=sr_1_1?keywords=Klein+Tools+60093+Cooling+Towel%2C+Gray&amp;qid=1694735466&amp;sr=8-1")</f>
        <v/>
      </c>
      <c r="F8225" t="inlineStr">
        <is>
          <t>B0CF2WFK46</t>
        </is>
      </c>
      <c r="G8225">
        <f>_xludf.IMAGE("https://edmondsonsupply.com/cdn/shop/products/60093.jpg?v=1587150994")</f>
        <v/>
      </c>
      <c r="H8225">
        <f>_xludf.IMAGE("https://m.media-amazon.com/images/I/611qhrxstBL._AC_UL320_.jpg")</f>
        <v/>
      </c>
      <c r="K8225" t="inlineStr">
        <is>
          <t>7.49</t>
        </is>
      </c>
      <c r="L8225" t="n">
        <v>14.98</v>
      </c>
      <c r="M8225" s="1" t="inlineStr">
        <is>
          <t>100.00%</t>
        </is>
      </c>
      <c r="N8225" s="1" t="n"/>
      <c r="O8225" t="n">
        <v>4.2</v>
      </c>
      <c r="P8225" t="n">
        <v>696</v>
      </c>
      <c r="R8225" t="inlineStr">
        <is>
          <t>InStock</t>
        </is>
      </c>
      <c r="S8225" t="inlineStr">
        <is>
          <t>10.38</t>
        </is>
      </c>
      <c r="T8225" t="inlineStr">
        <is>
          <t>3699417940068</t>
        </is>
      </c>
    </row>
    <row r="8226" hidden="1" ht="15.75" customHeight="1">
      <c r="A8226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226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226" t="inlineStr">
        <is>
          <t>Klein Tools JTH6M4BE 4 mm Ball Hex Key Journeyman T-Handle 6-Inch</t>
        </is>
      </c>
      <c r="D8226" t="inlineStr">
        <is>
          <t>Klein Tools JTH6M3BE 3 mm Ball End Hex Key with Journeyman T-Handle, 6-Inch (Pack of 2)</t>
        </is>
      </c>
      <c r="E8226" s="2">
        <f>HYPERLINK("https://www.amazon.com/Klein-Tools-JTH6M3BE-Journeyman-T-Handle/dp/B0CGLYY7WP/ref=sr_1_4?keywords=Klein+Tools+JTH6M4BE+4+mm+Ball+Hex+Key+Journeyman+T-Handle+6-Inch&amp;qid=1694735475&amp;sr=8-4", "https://www.amazon.com/Klein-Tools-JTH6M3BE-Journeyman-T-Handle/dp/B0CGLYY7WP/ref=sr_1_4?keywords=Klein+Tools+JTH6M4BE+4+mm+Ball+Hex+Key+Journeyman+T-Handle+6-Inch&amp;qid=1694735475&amp;sr=8-4")</f>
        <v/>
      </c>
      <c r="F8226" t="inlineStr">
        <is>
          <t>B0CGLYY7WP</t>
        </is>
      </c>
      <c r="G8226">
        <f>_xludf.IMAGE("https://edmondsonsupply.com/cdn/shop/products/jth6m8be.jpg?v=1587144825")</f>
        <v/>
      </c>
      <c r="H8226">
        <f>_xludf.IMAGE("https://m.media-amazon.com/images/I/413sTNFMd7L._AC_UL320_.jpg")</f>
        <v/>
      </c>
      <c r="K8226" t="inlineStr">
        <is>
          <t>4.99</t>
        </is>
      </c>
      <c r="L8226" t="n">
        <v>9.98</v>
      </c>
      <c r="M8226" s="1" t="inlineStr">
        <is>
          <t>100.00%</t>
        </is>
      </c>
      <c r="N8226" s="1" t="n"/>
      <c r="O8226" t="n">
        <v>4.6</v>
      </c>
      <c r="P8226" t="n">
        <v>184</v>
      </c>
      <c r="R8226" t="inlineStr">
        <is>
          <t>InStock</t>
        </is>
      </c>
      <c r="S8226" t="inlineStr">
        <is>
          <t>7.56</t>
        </is>
      </c>
      <c r="T8226" t="inlineStr">
        <is>
          <t>3671694213220</t>
        </is>
      </c>
    </row>
    <row r="8227" ht="87" customHeight="1">
      <c r="A8227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227" s="2">
        <f>HYPERLINK("https://edmondsonsupply.com/products/klein-tools-70591-folding-hex-key-set-nine-key-inch-sizes", "https://edmondsonsupply.com/products/klein-tools-70591-folding-hex-key-set-nine-key-inch-sizes")</f>
        <v/>
      </c>
      <c r="C8227" t="inlineStr">
        <is>
          <t>Klein Tools 70591 Folding Hex Key Set, 9-Key, SAE Sizes</t>
        </is>
      </c>
      <c r="D8227" t="inlineStr">
        <is>
          <t>Klein Tools 70550 Hex Wrench Key Set, 11 SAE Sizes, Heavy Duty Folding Allen Wrench Tool with Extra Long Hex Keys</t>
        </is>
      </c>
      <c r="E8227" s="2">
        <f>HYPERLINK("https://www.amazon.com/Klein-Tools-70550-Folding-Wrench/dp/B07SR11TC4/ref=sr_1_3?keywords=Klein+Tools+70591+Folding+Hex+Key+Set%2C+9-Key%2C+SAE+Sizes&amp;qid=1694735474&amp;sr=8-3", "https://www.amazon.com/Klein-Tools-70550-Folding-Wrench/dp/B07SR11TC4/ref=sr_1_3?keywords=Klein+Tools+70591+Folding+Hex+Key+Set%2C+9-Key%2C+SAE+Sizes&amp;qid=1694735474&amp;sr=8-3")</f>
        <v/>
      </c>
      <c r="F8227" t="inlineStr">
        <is>
          <t>B07SR11TC4</t>
        </is>
      </c>
      <c r="G8227">
        <f>_xlfn.IMAGE("https://edmondsonsupply.com/cdn/shop/products/70591.jpg?v=1587146577")</f>
        <v/>
      </c>
      <c r="H8227">
        <f>_xlfn.IMAGE("https://m.media-amazon.com/images/I/51WajHtjW+L._AC_UL320_.jpg")</f>
        <v/>
      </c>
      <c r="K8227" t="inlineStr">
        <is>
          <t>9.99</t>
        </is>
      </c>
      <c r="L8227" t="n">
        <v>19.97</v>
      </c>
      <c r="M8227" s="1" t="inlineStr">
        <is>
          <t>99.90%</t>
        </is>
      </c>
      <c r="N8227" s="7" t="n"/>
      <c r="O8227" t="n">
        <v>4.8</v>
      </c>
      <c r="P8227" t="n">
        <v>5745</v>
      </c>
      <c r="R8227" t="inlineStr">
        <is>
          <t>InStock</t>
        </is>
      </c>
      <c r="S8227" t="inlineStr">
        <is>
          <t>14.04</t>
        </is>
      </c>
      <c r="T8227" t="inlineStr">
        <is>
          <t>3683738320996</t>
        </is>
      </c>
    </row>
    <row r="8228" hidden="1" ht="15.75" customHeight="1">
      <c r="A8228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28" s="2">
        <f>HYPERLINK("https://edmondsonsupply.com/products/klein-tools-600-1-5-16-inch-cabinet-tip-screwdriver-1-1-2-inch", "https://edmondsonsupply.com/products/klein-tools-600-1-5-16-inch-cabinet-tip-screwdriver-1-1-2-inch")</f>
        <v/>
      </c>
      <c r="C8228" t="inlineStr">
        <is>
          <t>Klein Tools 600-1 5/16-Inch Cabinet Tip Screwdriver 1-1/2-Inch</t>
        </is>
      </c>
      <c r="D8228" t="inlineStr">
        <is>
          <t>Klein Tools 32581INS Precision Screwdriver, 2-in-1 Insulated Screwdriver with No. 0 Phillips and 1/8-Inch Slotted Bits</t>
        </is>
      </c>
      <c r="E8228" s="2">
        <f>HYPERLINK("https://www.amazon.com/Klein-Tools-32581INS-Precision-Screwdriver/dp/B0C1QDNC55/ref=sr_1_14?keywords=Klein+Tools+600-1+5%2F16-Inch+Cabinet+Tip+Screwdriver+1-1%2F2-Inch&amp;qid=1694735453&amp;sr=8-14", "https://www.amazon.com/Klein-Tools-32581INS-Precision-Screwdriver/dp/B0C1QDNC55/ref=sr_1_14?keywords=Klein+Tools+600-1+5%2F16-Inch+Cabinet+Tip+Screwdriver+1-1%2F2-Inch&amp;qid=1694735453&amp;sr=8-14")</f>
        <v/>
      </c>
      <c r="F8228" t="inlineStr">
        <is>
          <t>B0C1QDNC55</t>
        </is>
      </c>
      <c r="G8228">
        <f>_xludf.IMAGE("https://edmondsonsupply.com/cdn/shop/products/600-1.jpg?v=1587147752")</f>
        <v/>
      </c>
      <c r="H8228">
        <f>_xludf.IMAGE("https://m.media-amazon.com/images/I/41yD1dTTQ8L._AC_UL320_.jpg")</f>
        <v/>
      </c>
      <c r="K8228" t="inlineStr">
        <is>
          <t>7.49</t>
        </is>
      </c>
      <c r="L8228" t="n">
        <v>14.97</v>
      </c>
      <c r="M8228" s="1" t="inlineStr">
        <is>
          <t>99.87%</t>
        </is>
      </c>
      <c r="N8228" s="1" t="n"/>
      <c r="O8228" t="n">
        <v>4.8</v>
      </c>
      <c r="P8228" t="n">
        <v>77</v>
      </c>
      <c r="R8228" t="inlineStr">
        <is>
          <t>InStock</t>
        </is>
      </c>
      <c r="S8228" t="inlineStr">
        <is>
          <t>11.22</t>
        </is>
      </c>
      <c r="T8228" t="inlineStr">
        <is>
          <t>4171360403556</t>
        </is>
      </c>
    </row>
    <row r="8229" ht="87" customHeight="1">
      <c r="A8229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229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229" t="inlineStr">
        <is>
          <t>Klein Tools 646-5/16M 5/16-Inch Magnetic Nut Driver Cushion-Grip</t>
        </is>
      </c>
      <c r="D8229" t="inlineStr">
        <is>
          <t>Klein Tools 618-5/16M Nut Driver, 5/16-Inch Magnetic Tip with 18-Inch Hollow Shaft</t>
        </is>
      </c>
      <c r="E8229" s="2">
        <f>HYPERLINK("https://www.amazon.com/Magnetic-Klein-Tools-618-5-16M/dp/B000TKF43E/ref=sr_1_12?keywords=Klein+Tools+646-5%2F16M+5%2F16-Inch+Magnetic+Nut+Driver+Cushion-Grip&amp;qid=1694735459&amp;sr=8-12", "https://www.amazon.com/Magnetic-Klein-Tools-618-5-16M/dp/B000TKF43E/ref=sr_1_12?keywords=Klein+Tools+646-5%2F16M+5%2F16-Inch+Magnetic+Nut+Driver+Cushion-Grip&amp;qid=1694735459&amp;sr=8-12")</f>
        <v/>
      </c>
      <c r="F8229" t="inlineStr">
        <is>
          <t>B000TKF43E</t>
        </is>
      </c>
      <c r="G8229">
        <f>_xlfn.IMAGE("https://edmondsonsupply.com/cdn/shop/products/646-5-16m.jpg?v=1587147720")</f>
        <v/>
      </c>
      <c r="H8229">
        <f>_xlfn.IMAGE("https://m.media-amazon.com/images/I/41mbuHhYFHL._AC_UL320_.jpg")</f>
        <v/>
      </c>
      <c r="K8229" t="inlineStr">
        <is>
          <t>11.49</t>
        </is>
      </c>
      <c r="L8229" t="n">
        <v>22.84</v>
      </c>
      <c r="M8229" s="1" t="inlineStr">
        <is>
          <t>98.78%</t>
        </is>
      </c>
      <c r="N8229" s="7" t="n"/>
      <c r="O8229" t="n">
        <v>4.3</v>
      </c>
      <c r="P8229" t="n">
        <v>35</v>
      </c>
      <c r="R8229" t="inlineStr">
        <is>
          <t>InStock</t>
        </is>
      </c>
      <c r="S8229" t="inlineStr">
        <is>
          <t>17.4</t>
        </is>
      </c>
      <c r="T8229" t="inlineStr">
        <is>
          <t>3707846557796</t>
        </is>
      </c>
    </row>
    <row r="8230" hidden="1" ht="15.75" customHeight="1">
      <c r="A8230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230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230" t="inlineStr">
        <is>
          <t>Klein Tools JTH6M6 6 mm Hex Key, Journeyman T-Handle, 6-Inch</t>
        </is>
      </c>
      <c r="D8230" t="inlineStr">
        <is>
          <t>Klein Tools JTH9M6 6 mm Hex Key, Journeyman T-Handle, 9-Inch</t>
        </is>
      </c>
      <c r="E8230" s="2">
        <f>HYPERLINK("https://www.amazon.com/Journeyman-T-Handle-Klein-Tools-JTH9M6/dp/B005G3HJKU/ref=sr_1_2?keywords=Klein+Tools+JTH6M6+6+mm+Hex+Key%2C+Journeyman+T-Handle%2C+6-Inch&amp;qid=1694735472&amp;sr=8-2", "https://www.amazon.com/Journeyman-T-Handle-Klein-Tools-JTH9M6/dp/B005G3HJKU/ref=sr_1_2?keywords=Klein+Tools+JTH6M6+6+mm+Hex+Key%2C+Journeyman+T-Handle%2C+6-Inch&amp;qid=1694735472&amp;sr=8-2")</f>
        <v/>
      </c>
      <c r="F8230" t="inlineStr">
        <is>
          <t>B005G3HJKU</t>
        </is>
      </c>
      <c r="G8230">
        <f>_xludf.IMAGE("https://edmondsonsupply.com/cdn/shop/products/jth6m8_f0088b53-c3db-4dc3-9272-8f65ecc1b648.jpg?v=1587147556")</f>
        <v/>
      </c>
      <c r="H8230">
        <f>_xludf.IMAGE("https://m.media-amazon.com/images/I/51+1x0vz9XL._AC_UL320_.jpg")</f>
        <v/>
      </c>
      <c r="K8230" t="inlineStr">
        <is>
          <t>4.99</t>
        </is>
      </c>
      <c r="L8230" t="n">
        <v>9.84</v>
      </c>
      <c r="M8230" s="1" t="inlineStr">
        <is>
          <t>97.19%</t>
        </is>
      </c>
      <c r="N8230" s="1" t="n"/>
      <c r="O8230" t="n">
        <v>4.7</v>
      </c>
      <c r="P8230" t="n">
        <v>123</v>
      </c>
      <c r="R8230" t="inlineStr">
        <is>
          <t>InStock</t>
        </is>
      </c>
      <c r="S8230" t="inlineStr">
        <is>
          <t>7.56</t>
        </is>
      </c>
      <c r="T8230" t="inlineStr">
        <is>
          <t>3694875246692</t>
        </is>
      </c>
    </row>
    <row r="8231" hidden="1" ht="15.75" customHeight="1">
      <c r="A8231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231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231" t="inlineStr">
        <is>
          <t>Klein Tools JTH6E08BE 1/8-Inch Ball Hex Key, Journeyman T-Handle, 6-Inch</t>
        </is>
      </c>
      <c r="D8231" t="inlineStr">
        <is>
          <t>Klein Tools JTH9M6 6 mm Hex Key, Journeyman T-Handle, 9-Inch</t>
        </is>
      </c>
      <c r="E8231" s="2">
        <f>HYPERLINK("https://www.amazon.com/Journeyman-T-Handle-Klein-Tools-JTH9M6/dp/B005G3HJKU/ref=sr_1_21?keywords=Klein+Tools+JTH6E08BE+1%2F8-Inch+Ball+Hex+Key%2C+Journeyman+T-Handle%2C+6-Inch&amp;qid=1694735452&amp;sr=8-21", "https://www.amazon.com/Journeyman-T-Handle-Klein-Tools-JTH9M6/dp/B005G3HJKU/ref=sr_1_21?keywords=Klein+Tools+JTH6E08BE+1%2F8-Inch+Ball+Hex+Key%2C+Journeyman+T-Handle%2C+6-Inch&amp;qid=1694735452&amp;sr=8-21")</f>
        <v/>
      </c>
      <c r="F8231" t="inlineStr">
        <is>
          <t>B005G3HJKU</t>
        </is>
      </c>
      <c r="G8231">
        <f>_xludf.IMAGE("https://edmondsonsupply.com/cdn/shop/products/jth6e13be.jpg?v=1587150101")</f>
        <v/>
      </c>
      <c r="H8231">
        <f>_xludf.IMAGE("https://m.media-amazon.com/images/I/51+1x0vz9XL._AC_UL320_.jpg")</f>
        <v/>
      </c>
      <c r="K8231" t="inlineStr">
        <is>
          <t>4.99</t>
        </is>
      </c>
      <c r="L8231" t="n">
        <v>9.84</v>
      </c>
      <c r="M8231" s="1" t="inlineStr">
        <is>
          <t>97.19%</t>
        </is>
      </c>
      <c r="N8231" s="1" t="n"/>
      <c r="O8231" t="n">
        <v>4.7</v>
      </c>
      <c r="P8231" t="n">
        <v>123</v>
      </c>
      <c r="R8231" t="inlineStr">
        <is>
          <t>InStock</t>
        </is>
      </c>
      <c r="S8231" t="inlineStr">
        <is>
          <t>7.54</t>
        </is>
      </c>
      <c r="T8231" t="inlineStr">
        <is>
          <t>4174483193956</t>
        </is>
      </c>
    </row>
    <row r="8232" hidden="1" ht="15.75" customHeight="1">
      <c r="A8232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232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232" t="inlineStr">
        <is>
          <t>Klein Tools JTH6M4BE 4 mm Ball Hex Key Journeyman T-Handle 6-Inch</t>
        </is>
      </c>
      <c r="D8232" t="inlineStr">
        <is>
          <t>Klein Tools JTH9M6 6 mm Hex Key, Journeyman T-Handle, 9-Inch</t>
        </is>
      </c>
      <c r="E8232" s="2">
        <f>HYPERLINK("https://www.amazon.com/Journeyman-T-Handle-Klein-Tools-JTH9M6/dp/B005G3HJKU/ref=sr_1_32?keywords=Klein+Tools+JTH6M4BE+4+mm+Ball+Hex+Key+Journeyman+T-Handle+6-Inch&amp;qid=1694735475&amp;sr=8-32", "https://www.amazon.com/Journeyman-T-Handle-Klein-Tools-JTH9M6/dp/B005G3HJKU/ref=sr_1_32?keywords=Klein+Tools+JTH6M4BE+4+mm+Ball+Hex+Key+Journeyman+T-Handle+6-Inch&amp;qid=1694735475&amp;sr=8-32")</f>
        <v/>
      </c>
      <c r="F8232" t="inlineStr">
        <is>
          <t>B005G3HJKU</t>
        </is>
      </c>
      <c r="G8232">
        <f>_xludf.IMAGE("https://edmondsonsupply.com/cdn/shop/products/jth6m8be.jpg?v=1587144825")</f>
        <v/>
      </c>
      <c r="H8232">
        <f>_xludf.IMAGE("https://m.media-amazon.com/images/I/51+1x0vz9XL._AC_UL320_.jpg")</f>
        <v/>
      </c>
      <c r="K8232" t="inlineStr">
        <is>
          <t>4.99</t>
        </is>
      </c>
      <c r="L8232" t="n">
        <v>9.84</v>
      </c>
      <c r="M8232" s="1" t="inlineStr">
        <is>
          <t>97.19%</t>
        </is>
      </c>
      <c r="N8232" s="1" t="n"/>
      <c r="O8232" t="n">
        <v>4.7</v>
      </c>
      <c r="P8232" t="n">
        <v>123</v>
      </c>
      <c r="R8232" t="inlineStr">
        <is>
          <t>InStock</t>
        </is>
      </c>
      <c r="S8232" t="inlineStr">
        <is>
          <t>7.56</t>
        </is>
      </c>
      <c r="T8232" t="inlineStr">
        <is>
          <t>3671694213220</t>
        </is>
      </c>
    </row>
    <row r="8233" hidden="1" ht="15.75" customHeight="1">
      <c r="A8233" s="2">
        <f>HYPERLINK("https://edmondsonsupply.com/collections/electricians-tools/products/klein-tools-32401-replacement-bit-3-16-slotted-1-4-slotted", "https://edmondsonsupply.com/collections/electricians-tools/products/klein-tools-32401-replacement-bit-3-16-slotted-1-4-slotted")</f>
        <v/>
      </c>
      <c r="B8233" s="2">
        <f>HYPERLINK("https://edmondsonsupply.com/products/klein-tools-32401-replacement-bit-3-16-slotted-1-4-slotted", "https://edmondsonsupply.com/products/klein-tools-32401-replacement-bit-3-16-slotted-1-4-slotted")</f>
        <v/>
      </c>
      <c r="C8233" t="inlineStr">
        <is>
          <t>Klein Tools 32401 Replacement Bit 3/16'' Slotted 1/4'' Slotted</t>
        </is>
      </c>
      <c r="D8233" t="inlineStr">
        <is>
          <t>Klein Tools 67101 Replacement Bit, 2 Phillips and 3/16-Inch Slotted</t>
        </is>
      </c>
      <c r="E8233" s="2">
        <f>HYPERLINK("https://www.amazon.com/Replacement-Phillips-Klein-Tools-67101/dp/B007G8E622/ref=sr_1_1?keywords=Klein+Tools+32401+Replacement+Bit+3%2F16+Slotted+1%2F4+Slotted&amp;qid=1694735440&amp;sr=8-1", "https://www.amazon.com/Replacement-Phillips-Klein-Tools-67101/dp/B007G8E622/ref=sr_1_1?keywords=Klein+Tools+32401+Replacement+Bit+3%2F16+Slotted+1%2F4+Slotted&amp;qid=1694735440&amp;sr=8-1")</f>
        <v/>
      </c>
      <c r="F8233" t="inlineStr">
        <is>
          <t>B007G8E622</t>
        </is>
      </c>
      <c r="G8233">
        <f>_xludf.IMAGE("https://edmondsonsupply.com/cdn/shop/products/32401.jpg?v=1587143671")</f>
        <v/>
      </c>
      <c r="H8233">
        <f>_xludf.IMAGE("https://m.media-amazon.com/images/I/41myPNwYVEL._AC_UL320_.jpg")</f>
        <v/>
      </c>
      <c r="K8233" t="inlineStr">
        <is>
          <t>4.99</t>
        </is>
      </c>
      <c r="L8233" t="n">
        <v>9.82</v>
      </c>
      <c r="M8233" s="1" t="inlineStr">
        <is>
          <t>96.79%</t>
        </is>
      </c>
      <c r="N8233" s="1" t="n"/>
      <c r="O8233" t="n">
        <v>4.5</v>
      </c>
      <c r="P8233" t="n">
        <v>201</v>
      </c>
      <c r="R8233" t="inlineStr">
        <is>
          <t>InStock</t>
        </is>
      </c>
      <c r="S8233" t="inlineStr">
        <is>
          <t>7.54</t>
        </is>
      </c>
      <c r="T8233" t="inlineStr">
        <is>
          <t>4310086320228</t>
        </is>
      </c>
    </row>
    <row r="8234" ht="87" customHeight="1">
      <c r="A8234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234" s="2">
        <f>HYPERLINK("https://edmondsonsupply.com/products/klein-tools-et140-pinless-moisture-meter", "https://edmondsonsupply.com/products/klein-tools-et140-pinless-moisture-meter")</f>
        <v/>
      </c>
      <c r="C8234" t="inlineStr">
        <is>
          <t>Klein Tools ET140 Pinless Moisture Meter</t>
        </is>
      </c>
      <c r="D8234" t="inlineStr">
        <is>
          <t>General Tools LCD Moisture Meter #MM8 - Leak and Humidity Detector - Pinless and Non-Invasive &amp; Klein Tools ET140 Pinless Moisture Meter for Non-Destructive Moisture Detection in Drywall, Wood</t>
        </is>
      </c>
      <c r="E8234" s="2">
        <f>HYPERLINK("https://www.amazon.com/General-Tools-Moisture-Meter-Non-Destructive/dp/B0BVGCDWHK/ref=sr_1_12?keywords=Klein+Tools+ET140+Pinless+Moisture+Meter&amp;qid=1694735470&amp;sr=8-12", "https://www.amazon.com/General-Tools-Moisture-Meter-Non-Destructive/dp/B0BVGCDWHK/ref=sr_1_12?keywords=Klein+Tools+ET140+Pinless+Moisture+Meter&amp;qid=1694735470&amp;sr=8-12")</f>
        <v/>
      </c>
      <c r="F8234" t="inlineStr">
        <is>
          <t>B0BVGCDWHK</t>
        </is>
      </c>
      <c r="G8234">
        <f>_xlfn.IMAGE("https://edmondsonsupply.com/cdn/shop/products/et140_beauty_r.jpg?v=1587143172")</f>
        <v/>
      </c>
      <c r="H8234">
        <f>_xlfn.IMAGE("https://m.media-amazon.com/images/I/51-RtmJLmFL._AC_UL320_.jpg")</f>
        <v/>
      </c>
      <c r="K8234" t="inlineStr">
        <is>
          <t>41.97</t>
        </is>
      </c>
      <c r="L8234" t="n">
        <v>82.44</v>
      </c>
      <c r="M8234" s="1" t="inlineStr">
        <is>
          <t>96.43%</t>
        </is>
      </c>
      <c r="N8234" s="7" t="n"/>
      <c r="O8234" t="n">
        <v>4.4</v>
      </c>
      <c r="P8234" t="n">
        <v>4147</v>
      </c>
      <c r="R8234" t="inlineStr">
        <is>
          <t>InStock</t>
        </is>
      </c>
      <c r="S8234" t="inlineStr">
        <is>
          <t>59.44</t>
        </is>
      </c>
      <c r="T8234" t="inlineStr">
        <is>
          <t>3693529071716</t>
        </is>
      </c>
    </row>
    <row r="8235" ht="87" customHeight="1">
      <c r="A8235" s="2">
        <f>HYPERLINK("https://edmondsonsupply.com/collections/electricians-tools/products/channellock-420cb", "https://edmondsonsupply.com/collections/electricians-tools/products/channellock-420cb")</f>
        <v/>
      </c>
      <c r="B8235" s="2">
        <f>HYPERLINK("https://edmondsonsupply.com/products/channellock-420cb", "https://edmondsonsupply.com/products/channellock-420cb")</f>
        <v/>
      </c>
      <c r="C8235" t="inlineStr">
        <is>
          <t>Channellock 420CB Code Blue 9.5" Straight Jaw Tongue &amp; Groove Pliers</t>
        </is>
      </c>
      <c r="D8235" t="inlineStr">
        <is>
          <t>Channellock 440 Tongue and Groove Pliers | 12-Inch Straight Jaw Groove Joint Plier with Comfort Grips| Made in USA, Black, Blue, Silver &amp; 442 Tongue and Groove Pliers, 12 In, Black, Blue, Silver</t>
        </is>
      </c>
      <c r="E8235" s="2">
        <f>HYPERLINK("https://www.amazon.com/Channellock-Tongue-12-Inch-Straight-Comfort/dp/B0BFXP68V9/ref=sr_1_21?keywords=Channellock+420CB+Code+Blue+9.5%22+Straight+Jaw+Tongue+%26+Groove+Pliers&amp;qid=1694735464&amp;sr=8-21", "https://www.amazon.com/Channellock-Tongue-12-Inch-Straight-Comfort/dp/B0BFXP68V9/ref=sr_1_21?keywords=Channellock+420CB+Code+Blue+9.5%22+Straight+Jaw+Tongue+%26+Groove+Pliers&amp;qid=1694735464&amp;sr=8-21")</f>
        <v/>
      </c>
      <c r="F8235" t="inlineStr">
        <is>
          <t>B0BFXP68V9</t>
        </is>
      </c>
      <c r="G8235">
        <f>_xlfn.IMAGE("https://edmondsonsupply.com/cdn/shop/products/420CB-683x1024.jpg?v=1587147135")</f>
        <v/>
      </c>
      <c r="H8235">
        <f>_xlfn.IMAGE("https://m.media-amazon.com/images/I/41d-z+Tl0SL._AC_UL320_.jpg")</f>
        <v/>
      </c>
      <c r="K8235" t="inlineStr">
        <is>
          <t>22.45</t>
        </is>
      </c>
      <c r="L8235" t="n">
        <v>43.9</v>
      </c>
      <c r="M8235" s="1" t="inlineStr">
        <is>
          <t>95.55%</t>
        </is>
      </c>
      <c r="N8235" s="7" t="n"/>
      <c r="O8235" t="n">
        <v>5</v>
      </c>
      <c r="P8235" t="n">
        <v>2</v>
      </c>
      <c r="R8235" t="inlineStr">
        <is>
          <t>InStock</t>
        </is>
      </c>
      <c r="S8235" t="inlineStr">
        <is>
          <t>36.88</t>
        </is>
      </c>
      <c r="T8235" t="inlineStr">
        <is>
          <t>4094563745892</t>
        </is>
      </c>
    </row>
    <row r="8236" ht="87" customHeight="1">
      <c r="A8236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236" s="2">
        <f>HYPERLINK("https://edmondsonsupply.com/products/klein-tools-et140-pinless-moisture-meter", "https://edmondsonsupply.com/products/klein-tools-et140-pinless-moisture-meter")</f>
        <v/>
      </c>
      <c r="C8236" t="inlineStr">
        <is>
          <t>Klein Tools ET140 Pinless Moisture Meter</t>
        </is>
      </c>
      <c r="D8236" t="inlineStr">
        <is>
          <t>Klein Tools ET140 Pinless Moisture Meter &amp; RT310 AFCI and GFCI Outlet and Device Tester for North American AC Electrical Outlet Receptacles</t>
        </is>
      </c>
      <c r="E8236" s="2">
        <f>HYPERLINK("https://www.amazon.com/Klein-Tools-Moisture-Electrical-Receptacles/dp/B08KHP5HFS/ref=sr_1_9?keywords=Klein+Tools+ET140+Pinless+Moisture+Meter&amp;qid=1694735470&amp;sr=8-9", "https://www.amazon.com/Klein-Tools-Moisture-Electrical-Receptacles/dp/B08KHP5HFS/ref=sr_1_9?keywords=Klein+Tools+ET140+Pinless+Moisture+Meter&amp;qid=1694735470&amp;sr=8-9")</f>
        <v/>
      </c>
      <c r="F8236" t="inlineStr">
        <is>
          <t>B08KHP5HFS</t>
        </is>
      </c>
      <c r="G8236">
        <f>_xlfn.IMAGE("https://edmondsonsupply.com/cdn/shop/products/et140_beauty_r.jpg?v=1587143172")</f>
        <v/>
      </c>
      <c r="H8236">
        <f>_xlfn.IMAGE("https://m.media-amazon.com/images/I/41V7bqQOb4L._AC_UL320_.jpg")</f>
        <v/>
      </c>
      <c r="K8236" t="inlineStr">
        <is>
          <t>41.97</t>
        </is>
      </c>
      <c r="L8236" t="n">
        <v>81.94</v>
      </c>
      <c r="M8236" s="1" t="inlineStr">
        <is>
          <t>95.23%</t>
        </is>
      </c>
      <c r="N8236" s="7" t="n"/>
      <c r="O8236" t="n">
        <v>5</v>
      </c>
      <c r="P8236" t="n">
        <v>3</v>
      </c>
      <c r="R8236" t="inlineStr">
        <is>
          <t>InStock</t>
        </is>
      </c>
      <c r="S8236" t="inlineStr">
        <is>
          <t>59.44</t>
        </is>
      </c>
      <c r="T8236" t="inlineStr">
        <is>
          <t>3693529071716</t>
        </is>
      </c>
    </row>
    <row r="8237" ht="87" customHeight="1">
      <c r="A8237" s="2">
        <f>HYPERLINK("https://edmondsonsupply.com/collections/electricians-tools/products/klein-tools-633-nut-driver-set-3-inch-shafts-cushion-grip-4-piece", "https://edmondsonsupply.com/collections/electricians-tools/products/klein-tools-633-nut-driver-set-3-inch-shafts-cushion-grip-4-piece")</f>
        <v/>
      </c>
      <c r="B8237" s="2">
        <f>HYPERLINK("https://edmondsonsupply.com/products/klein-tools-633-nut-driver-set-3-inch-shafts-cushion-grip-4-piece", "https://edmondsonsupply.com/products/klein-tools-633-nut-driver-set-3-inch-shafts-cushion-grip-4-piece")</f>
        <v/>
      </c>
      <c r="C8237" t="inlineStr">
        <is>
          <t>Klein Tools 633 Nut Driver Set 3-Inch Shafts, Cushion Grip, 4-Piece</t>
        </is>
      </c>
      <c r="D8237" t="inlineStr">
        <is>
          <t>Klein Tools 89904 Tool Set, Nut Drivers Sizes 3/16, 1/4, 5/16, 11/32, 3/8, 7/16, 1/2-Inch, 6-Inch Shafts, 7-Piece</t>
        </is>
      </c>
      <c r="E8237" s="2">
        <f>HYPERLINK("https://www.amazon.com/Klein-Tools-Nut-Driver-89904/dp/B000MB1JMU/ref=sr_1_25?keywords=Klein+Tools+633+Nut+Driver+Set+3-Inch+Shafts%2C+Cushion+Grip%2C+4-Piece&amp;qid=1694735444&amp;sr=8-25", "https://www.amazon.com/Klein-Tools-Nut-Driver-89904/dp/B000MB1JMU/ref=sr_1_25?keywords=Klein+Tools+633+Nut+Driver+Set+3-Inch+Shafts%2C+Cushion+Grip%2C+4-Piece&amp;qid=1694735444&amp;sr=8-25")</f>
        <v/>
      </c>
      <c r="F8237" t="inlineStr">
        <is>
          <t>B000MB1JMU</t>
        </is>
      </c>
      <c r="G8237">
        <f>_xlfn.IMAGE("https://edmondsonsupply.com/cdn/shop/products/633.jpg?v=1587143232")</f>
        <v/>
      </c>
      <c r="H8237">
        <f>_xlfn.IMAGE("https://m.media-amazon.com/images/I/61cXQ4v0vvL._AC_UL320_.jpg")</f>
        <v/>
      </c>
      <c r="K8237" t="inlineStr">
        <is>
          <t>33.99</t>
        </is>
      </c>
      <c r="L8237" t="n">
        <v>66.23</v>
      </c>
      <c r="M8237" s="1" t="inlineStr">
        <is>
          <t>94.85%</t>
        </is>
      </c>
      <c r="N8237" s="7" t="n"/>
      <c r="O8237" t="n">
        <v>4.5</v>
      </c>
      <c r="P8237" t="n">
        <v>33</v>
      </c>
      <c r="R8237" t="inlineStr">
        <is>
          <t>InStock</t>
        </is>
      </c>
      <c r="S8237" t="inlineStr">
        <is>
          <t>51.5</t>
        </is>
      </c>
      <c r="T8237" t="inlineStr">
        <is>
          <t>4274285248612</t>
        </is>
      </c>
    </row>
    <row r="8238" ht="87" customHeight="1">
      <c r="A8238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238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238" t="inlineStr">
        <is>
          <t>Klein Tools 646-5/16M 5/16-Inch Magnetic Nut Driver Cushion-Grip</t>
        </is>
      </c>
      <c r="D8238" t="inlineStr">
        <is>
          <t>Klein Tools 646M Tool Set, Magnetic Nut Drivers Sizes 1/4 and 5/16-Inch, 6-Inch Shafts, 2-Piece</t>
        </is>
      </c>
      <c r="E8238" s="2">
        <f>HYPERLINK("https://www.amazon.com/Magnetic-16-Inch-Klein-Tools-646M/dp/B000936QV0/ref=sr_1_9?keywords=Klein+Tools+646-5%2F16M+5%2F16-Inch+Magnetic+Nut+Driver+Cushion-Grip&amp;qid=1694735459&amp;sr=8-9", "https://www.amazon.com/Magnetic-16-Inch-Klein-Tools-646M/dp/B000936QV0/ref=sr_1_9?keywords=Klein+Tools+646-5%2F16M+5%2F16-Inch+Magnetic+Nut+Driver+Cushion-Grip&amp;qid=1694735459&amp;sr=8-9")</f>
        <v/>
      </c>
      <c r="F8238" t="inlineStr">
        <is>
          <t>B000936QV0</t>
        </is>
      </c>
      <c r="G8238">
        <f>_xlfn.IMAGE("https://edmondsonsupply.com/cdn/shop/products/646-5-16m.jpg?v=1587147720")</f>
        <v/>
      </c>
      <c r="H8238">
        <f>_xlfn.IMAGE("https://m.media-amazon.com/images/I/41lkJ6KRq9L._AC_UL320_.jpg")</f>
        <v/>
      </c>
      <c r="K8238" t="inlineStr">
        <is>
          <t>11.49</t>
        </is>
      </c>
      <c r="L8238" t="n">
        <v>22.34</v>
      </c>
      <c r="M8238" s="1" t="inlineStr">
        <is>
          <t>94.43%</t>
        </is>
      </c>
      <c r="N8238" s="7" t="n"/>
      <c r="O8238" t="n">
        <v>4.8</v>
      </c>
      <c r="P8238" t="n">
        <v>1652</v>
      </c>
      <c r="R8238" t="inlineStr">
        <is>
          <t>InStock</t>
        </is>
      </c>
      <c r="S8238" t="inlineStr">
        <is>
          <t>17.4</t>
        </is>
      </c>
      <c r="T8238" t="inlineStr">
        <is>
          <t>3707846557796</t>
        </is>
      </c>
    </row>
    <row r="8239" ht="87" customHeight="1">
      <c r="A8239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239" s="2">
        <f>HYPERLINK("https://edmondsonsupply.com/products/klein-tools-69401-multimeter-carrying-case", "https://edmondsonsupply.com/products/klein-tools-69401-multimeter-carrying-case")</f>
        <v/>
      </c>
      <c r="C8239" t="inlineStr">
        <is>
          <t>Klein Tools 69401 Multimeter Carrying Case</t>
        </is>
      </c>
      <c r="D8239" t="inlineStr">
        <is>
          <t>Replacement Test Lead Set, Right Angle Klein Tools 69410 &amp; 69401 Multimeter Carrying Case</t>
        </is>
      </c>
      <c r="E8239" s="2">
        <f>HYPERLINK("https://www.amazon.com/Replacement-Klein-Tools-Multimeter-Carrying/dp/B0BGHZX6R2/ref=sr_1_5?keywords=Klein+Tools+69401+Multimeter+Carrying+Case&amp;qid=1694735435&amp;sr=8-5", "https://www.amazon.com/Replacement-Klein-Tools-Multimeter-Carrying/dp/B0BGHZX6R2/ref=sr_1_5?keywords=Klein+Tools+69401+Multimeter+Carrying+Case&amp;qid=1694735435&amp;sr=8-5")</f>
        <v/>
      </c>
      <c r="F8239" t="inlineStr">
        <is>
          <t>B0BGHZX6R2</t>
        </is>
      </c>
      <c r="G8239">
        <f>_xlfn.IMAGE("https://edmondsonsupply.com/cdn/shop/products/69401.jpg?v=1587151194")</f>
        <v/>
      </c>
      <c r="H8239">
        <f>_xlfn.IMAGE("https://m.media-amazon.com/images/I/610KFu80qkL._AC_UL320_.jpg")</f>
        <v/>
      </c>
      <c r="K8239" t="inlineStr">
        <is>
          <t>16.97</t>
        </is>
      </c>
      <c r="L8239" t="n">
        <v>32.97</v>
      </c>
      <c r="M8239" s="1" t="inlineStr">
        <is>
          <t>94.28%</t>
        </is>
      </c>
      <c r="N8239" s="7" t="n"/>
      <c r="O8239" t="n">
        <v>4.5</v>
      </c>
      <c r="P8239" t="n">
        <v>10</v>
      </c>
      <c r="R8239" t="inlineStr">
        <is>
          <t>InStock</t>
        </is>
      </c>
      <c r="S8239" t="inlineStr">
        <is>
          <t>23.84</t>
        </is>
      </c>
      <c r="T8239" t="inlineStr">
        <is>
          <t>4348577710180</t>
        </is>
      </c>
    </row>
    <row r="8240" ht="87" customHeight="1">
      <c r="A8240" s="2">
        <f>HYPERLINK("https://edmondsonsupply.com/collections/electricians-tools/products/klein-tools-j1005-journeyman%E2%84%A2-crimping-cutting-tool", "https://edmondsonsupply.com/collections/electricians-tools/products/klein-tools-j1005-journeyman%E2%84%A2-crimping-cutting-tool")</f>
        <v/>
      </c>
      <c r="B8240" s="2">
        <f>HYPERLINK("https://edmondsonsupply.com/products/klein-tools-j1005-journeyman%e2%84%a2-crimping-cutting-tool", "https://edmondsonsupply.com/products/klein-tools-j1005-journeyman%e2%84%a2-crimping-cutting-tool")</f>
        <v/>
      </c>
      <c r="C8240" t="inlineStr">
        <is>
          <t>Klein Tools J1005 Journeyman™ Crimping and Cutting Tool</t>
        </is>
      </c>
      <c r="D8240" t="inlineStr">
        <is>
          <t>Klein Tools D213-9NE-CR-INS Side Cutting and Crimping Pliers, New England Nose, Insulated, 9-Inch</t>
        </is>
      </c>
      <c r="E8240" s="2">
        <f>HYPERLINK("https://www.amazon.com/Crimping-Insulated-Klein-Tools-D213-9NE-CR-INS/dp/B0002RI9KY/ref=sr_1_25?keywords=Klein+Tools+J1005+Journeyman%E2%84%A2+Crimping+and+Cutting+Tool&amp;qid=1694735460&amp;sr=8-25", "https://www.amazon.com/Crimping-Insulated-Klein-Tools-D213-9NE-CR-INS/dp/B0002RI9KY/ref=sr_1_25?keywords=Klein+Tools+J1005+Journeyman%E2%84%A2+Crimping+and+Cutting+Tool&amp;qid=1694735460&amp;sr=8-25")</f>
        <v/>
      </c>
      <c r="F8240" t="inlineStr">
        <is>
          <t>B0002RI9KY</t>
        </is>
      </c>
      <c r="G8240">
        <f>_xlfn.IMAGE("https://edmondsonsupply.com/cdn/shop/products/j1005.jpg?v=1587146396")</f>
        <v/>
      </c>
      <c r="H8240">
        <f>_xlfn.IMAGE("https://m.media-amazon.com/images/I/51VZ2+xArfL._AC_UL320_.jpg")</f>
        <v/>
      </c>
      <c r="K8240" t="inlineStr">
        <is>
          <t>39.99</t>
        </is>
      </c>
      <c r="L8240" t="n">
        <v>77.29000000000001</v>
      </c>
      <c r="M8240" s="1" t="inlineStr">
        <is>
          <t>93.27%</t>
        </is>
      </c>
      <c r="N8240" s="7" t="n"/>
      <c r="O8240" t="n">
        <v>4.7</v>
      </c>
      <c r="P8240" t="n">
        <v>241</v>
      </c>
      <c r="R8240" t="inlineStr">
        <is>
          <t>InStock</t>
        </is>
      </c>
      <c r="S8240" t="inlineStr">
        <is>
          <t>60.4</t>
        </is>
      </c>
      <c r="T8240" t="inlineStr">
        <is>
          <t>3711960678500</t>
        </is>
      </c>
    </row>
    <row r="8241" ht="87" customHeight="1">
      <c r="A8241" s="2">
        <f>HYPERLINK("https://edmondsonsupply.com/collections/electricians-tools/products/klein-tools-5139c-camouflage-zipper-bag", "https://edmondsonsupply.com/collections/electricians-tools/products/klein-tools-5139c-camouflage-zipper-bag")</f>
        <v/>
      </c>
      <c r="B8241" s="2">
        <f>HYPERLINK("https://edmondsonsupply.com/products/klein-tools-5139c-camouflage-zipper-bag", "https://edmondsonsupply.com/products/klein-tools-5139c-camouflage-zipper-bag")</f>
        <v/>
      </c>
      <c r="C8241" t="inlineStr">
        <is>
          <t>Klein Tools 5139C Zipper Bag, Camouflage Cordura Nylon Tool Pouch, 12-1/2-Inch</t>
        </is>
      </c>
      <c r="D8241" t="inlineStr">
        <is>
          <t>Klein Tools 55559 Stand-Up Zipper Bag Tool Pouch, 2-Pack &amp; 5139 Zipper Bag, Canvas Tool Pouch 12.5 x 7 x 4.25-Inch with Heavy Duty Brass Zipper Close, Natural</t>
        </is>
      </c>
      <c r="E8241" s="2">
        <f>HYPERLINK("https://www.amazon.com/Klein-Tools-Stand-Up-4-25-Inch-Natural/dp/B0BR25QG1Q/ref=sr_1_31?keywords=Klein+Tools+5139C+Zipper+Bag%2C+Camouflage+Cordura+Nylon+Tool+Pouch%2C+12-1%2F2-Inch&amp;qid=1694735441&amp;sr=8-31", "https://www.amazon.com/Klein-Tools-Stand-Up-4-25-Inch-Natural/dp/B0BR25QG1Q/ref=sr_1_31?keywords=Klein+Tools+5139C+Zipper+Bag%2C+Camouflage+Cordura+Nylon+Tool+Pouch%2C+12-1%2F2-Inch&amp;qid=1694735441&amp;sr=8-31")</f>
        <v/>
      </c>
      <c r="F8241" t="inlineStr">
        <is>
          <t>B0BR25QG1Q</t>
        </is>
      </c>
      <c r="G8241">
        <f>_xlfn.IMAGE("https://edmondsonsupply.com/cdn/shop/products/5139c.jpg?v=1587143515")</f>
        <v/>
      </c>
      <c r="H8241">
        <f>_xlfn.IMAGE("https://m.media-amazon.com/images/I/51j3cDVxrVL._AC_UL320_.jpg")</f>
        <v/>
      </c>
      <c r="K8241" t="inlineStr">
        <is>
          <t>12.97</t>
        </is>
      </c>
      <c r="L8241" t="n">
        <v>24.99</v>
      </c>
      <c r="M8241" s="1" t="inlineStr">
        <is>
          <t>92.68%</t>
        </is>
      </c>
      <c r="N8241" s="7" t="n"/>
      <c r="O8241" t="n">
        <v>5</v>
      </c>
      <c r="P8241" t="n">
        <v>2</v>
      </c>
      <c r="R8241" t="inlineStr">
        <is>
          <t>InStock</t>
        </is>
      </c>
      <c r="S8241" t="inlineStr">
        <is>
          <t>19.62</t>
        </is>
      </c>
      <c r="T8241" t="inlineStr">
        <is>
          <t>4292200136804</t>
        </is>
      </c>
    </row>
    <row r="8242" ht="87" customHeight="1">
      <c r="A8242" s="2">
        <f>HYPERLINK("https://edmondsonsupply.com/collections/electricians-tools/products/klein-tools-32596-8-in-1-hvac-slide-drive%E2%84%A2-screwdriver-nut-driver", "https://edmondsonsupply.com/collections/electricians-tools/products/klein-tools-32596-8-in-1-hvac-slide-drive%E2%84%A2-screwdriver-nut-driver")</f>
        <v/>
      </c>
      <c r="B8242" s="2">
        <f>HYPERLINK("https://edmondsonsupply.com/products/klein-tools-32596-8-in-1-hvac-slide-drive%e2%84%a2-screwdriver-nut-driver", "https://edmondsonsupply.com/products/klein-tools-32596-8-in-1-hvac-slide-drive%e2%84%a2-screwdriver-nut-driver")</f>
        <v/>
      </c>
      <c r="C8242" t="inlineStr">
        <is>
          <t>Klein Tools 32596 HVAC Slide Drive™ Multi-Bit Screwdriver / Nut Driver, 8-in-1</t>
        </is>
      </c>
      <c r="D8242" t="inlineStr">
        <is>
          <t>Klein Tools 32807MAG 7-in-1 Nut Driver &amp; 32305 Multi-bit Ratcheting Screwdriver, 15-in-1 Tool with Phillips, Slotted, Square, Torx and Combo Bits and 1/4-Inch Nut Driver</t>
        </is>
      </c>
      <c r="E8242" s="2">
        <f>HYPERLINK("https://www.amazon.com/Klein-Tools-Multi-bit-Ratcheting-Screwdriver/dp/B09Q63H3YH/ref=sr_1_32?keywords=Klein+Tools+32596+HVAC+Slide+Drive%E2%84%A2+Multi-Bit+Screwdriver+%2F+Nut+Driver%2C+8-in-1&amp;qid=1694735471&amp;sr=8-32", "https://www.amazon.com/Klein-Tools-Multi-bit-Ratcheting-Screwdriver/dp/B09Q63H3YH/ref=sr_1_32?keywords=Klein+Tools+32596+HVAC+Slide+Drive%E2%84%A2+Multi-Bit+Screwdriver+%2F+Nut+Driver%2C+8-in-1&amp;qid=1694735471&amp;sr=8-32")</f>
        <v/>
      </c>
      <c r="F8242" t="inlineStr">
        <is>
          <t>B09Q63H3YH</t>
        </is>
      </c>
      <c r="G8242">
        <f>_xlfn.IMAGE("https://edmondsonsupply.com/cdn/shop/products/32596_alt4.jpg?v=1587148720")</f>
        <v/>
      </c>
      <c r="H8242">
        <f>_xlfn.IMAGE("https://m.media-amazon.com/images/I/411yOltWk-L._AC_UL320_.jpg")</f>
        <v/>
      </c>
      <c r="K8242" t="inlineStr">
        <is>
          <t>26.97</t>
        </is>
      </c>
      <c r="L8242" t="n">
        <v>51.94</v>
      </c>
      <c r="M8242" s="1" t="inlineStr">
        <is>
          <t>92.58%</t>
        </is>
      </c>
      <c r="N8242" s="7" t="n"/>
      <c r="O8242" t="n">
        <v>4.7</v>
      </c>
      <c r="P8242" t="n">
        <v>7</v>
      </c>
      <c r="R8242" t="inlineStr">
        <is>
          <t>InStock</t>
        </is>
      </c>
      <c r="S8242" t="inlineStr">
        <is>
          <t>38.56</t>
        </is>
      </c>
      <c r="T8242" t="inlineStr">
        <is>
          <t>3690018111588</t>
        </is>
      </c>
    </row>
    <row r="8243" ht="87" customHeight="1">
      <c r="A8243" s="2">
        <f>HYPERLINK("https://edmondsonsupply.com/collections/electricians-tools/products/klein-tools-d507-6-adjustable-wrench-extra-capacity-6-1-2-inch", "https://edmondsonsupply.com/collections/electricians-tools/products/klein-tools-d507-6-adjustable-wrench-extra-capacity-6-1-2-inch")</f>
        <v/>
      </c>
      <c r="B8243" s="2">
        <f>HYPERLINK("https://edmondsonsupply.com/products/klein-tools-d507-6-adjustable-wrench-extra-capacity-6-1-2-inch", "https://edmondsonsupply.com/products/klein-tools-d507-6-adjustable-wrench-extra-capacity-6-1-2-inch")</f>
        <v/>
      </c>
      <c r="C8243" t="inlineStr">
        <is>
          <t>Klein Tools D507-6 Adjustable Wrench Extra Capacity, 6-1/2-Inch</t>
        </is>
      </c>
      <c r="D8243" t="inlineStr">
        <is>
          <t>Klein Tools 3227 Extra Wide Adjustable Wrench, Construction Spud Wrench for Up to 1-7/16-Inch Nuts and Bolts, 10-Inch, with Tether Hole</t>
        </is>
      </c>
      <c r="E8243" s="2">
        <f>HYPERLINK("https://www.amazon.com/Adjustable-10-Inch-Klein-Tools-3227/dp/B004FSK9WW/ref=sr_1_16?keywords=Klein+Tools+D507-6+Adjustable+Wrench+Extra+Capacity%2C+6-1%2F2-Inch&amp;qid=1694735470&amp;sr=8-16", "https://www.amazon.com/Adjustable-10-Inch-Klein-Tools-3227/dp/B004FSK9WW/ref=sr_1_16?keywords=Klein+Tools+D507-6+Adjustable+Wrench+Extra+Capacity%2C+6-1%2F2-Inch&amp;qid=1694735470&amp;sr=8-16")</f>
        <v/>
      </c>
      <c r="F8243" t="inlineStr">
        <is>
          <t>B004FSK9WW</t>
        </is>
      </c>
      <c r="G8243">
        <f>_xlfn.IMAGE("https://edmondsonsupply.com/cdn/shop/products/d507-6.jpg?v=1587147606")</f>
        <v/>
      </c>
      <c r="H8243">
        <f>_xlfn.IMAGE("https://m.media-amazon.com/images/I/510YdLGxeeL._AC_UL320_.jpg")</f>
        <v/>
      </c>
      <c r="K8243" t="inlineStr">
        <is>
          <t>25.99</t>
        </is>
      </c>
      <c r="L8243" t="n">
        <v>49.99</v>
      </c>
      <c r="M8243" s="1" t="inlineStr">
        <is>
          <t>92.34%</t>
        </is>
      </c>
      <c r="N8243" s="7" t="n"/>
      <c r="O8243" t="n">
        <v>4.8</v>
      </c>
      <c r="P8243" t="n">
        <v>864</v>
      </c>
      <c r="R8243" t="inlineStr">
        <is>
          <t>InStock</t>
        </is>
      </c>
      <c r="S8243" t="inlineStr">
        <is>
          <t>39.3</t>
        </is>
      </c>
      <c r="T8243" t="inlineStr">
        <is>
          <t>3694818099300</t>
        </is>
      </c>
    </row>
    <row r="8244" hidden="1" ht="15.75" customHeight="1">
      <c r="A8244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44" s="2">
        <f>HYPERLINK("https://edmondsonsupply.com/products/klein-tools-600-1-5-16-inch-cabinet-tip-screwdriver-1-1-2-inch", "https://edmondsonsupply.com/products/klein-tools-600-1-5-16-inch-cabinet-tip-screwdriver-1-1-2-inch")</f>
        <v/>
      </c>
      <c r="C8244" t="inlineStr">
        <is>
          <t>Klein Tools 600-1 5/16-Inch Cabinet Tip Screwdriver 1-1/2-Inch</t>
        </is>
      </c>
      <c r="D8244" t="inlineStr">
        <is>
          <t>Klein Tools 614-4 Flat Screwdriver, Precision Electronics Screwdriver, 1/8-Inch Cabinet Tip, 4-Inch Shank</t>
        </is>
      </c>
      <c r="E8244" s="2">
        <f>HYPERLINK("https://www.amazon.com/Klein-Tools-614-4-Screwdriver-Electronics/dp/B00B9HICKS/ref=sr_1_40?keywords=Klein+Tools+600-1+5%2F16-Inch+Cabinet+Tip+Screwdriver+1-1%2F2-Inch&amp;qid=1694735453&amp;sr=8-40", "https://www.amazon.com/Klein-Tools-614-4-Screwdriver-Electronics/dp/B00B9HICKS/ref=sr_1_40?keywords=Klein+Tools+600-1+5%2F16-Inch+Cabinet+Tip+Screwdriver+1-1%2F2-Inch&amp;qid=1694735453&amp;sr=8-40")</f>
        <v/>
      </c>
      <c r="F8244" t="inlineStr">
        <is>
          <t>B00B9HICKS</t>
        </is>
      </c>
      <c r="G8244">
        <f>_xludf.IMAGE("https://edmondsonsupply.com/cdn/shop/products/600-1.jpg?v=1587147752")</f>
        <v/>
      </c>
      <c r="H8244">
        <f>_xludf.IMAGE("https://m.media-amazon.com/images/I/41hS1hfEVDS._AC_UL320_.jpg")</f>
        <v/>
      </c>
      <c r="K8244" t="inlineStr">
        <is>
          <t>7.49</t>
        </is>
      </c>
      <c r="L8244" t="n">
        <v>14.32</v>
      </c>
      <c r="M8244" s="1" t="inlineStr">
        <is>
          <t>91.19%</t>
        </is>
      </c>
      <c r="N8244" s="1" t="n"/>
      <c r="O8244" t="n">
        <v>4.8</v>
      </c>
      <c r="P8244" t="n">
        <v>999</v>
      </c>
      <c r="R8244" t="inlineStr">
        <is>
          <t>InStock</t>
        </is>
      </c>
      <c r="S8244" t="inlineStr">
        <is>
          <t>11.22</t>
        </is>
      </c>
      <c r="T8244" t="inlineStr">
        <is>
          <t>4171360403556</t>
        </is>
      </c>
    </row>
    <row r="8245" hidden="1" ht="15.75" customHeight="1">
      <c r="A8245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245" s="2">
        <f>HYPERLINK("https://edmondsonsupply.com/products/klein-tools-11061-self-adjusting-wire-stripper-cutter", "https://edmondsonsupply.com/products/klein-tools-11061-self-adjusting-wire-stripper-cutter")</f>
        <v/>
      </c>
      <c r="C8245" t="inlineStr">
        <is>
          <t>Klein Tools 11061 Wire Stripper and Cutter, Self-Adjusting</t>
        </is>
      </c>
      <c r="D8245" t="inlineStr">
        <is>
          <t>Klein Tools 11061 Wire Stripper/Wire Cutter &amp; 11055 Wire Cutter and Wire Stripper, Stranded Wire Cutter, Solid Wire Cutter, Cuts Copper Wire</t>
        </is>
      </c>
      <c r="E8245" s="2">
        <f>HYPERLINK("https://www.amazon.com/Klein-Tools-Stripper-Cutter-Stranded/dp/B09YTST324/ref=sr_1_8?keywords=Klein+Tools+11061+Wire+Stripper+and+Cutter%2C+Self-Adjusting&amp;qid=1694735488&amp;sr=8-8", "https://www.amazon.com/Klein-Tools-Stripper-Cutter-Stranded/dp/B09YTST324/ref=sr_1_8?keywords=Klein+Tools+11061+Wire+Stripper+and+Cutter%2C+Self-Adjusting&amp;qid=1694735488&amp;sr=8-8")</f>
        <v/>
      </c>
      <c r="F8245" t="inlineStr">
        <is>
          <t>B09YTST324</t>
        </is>
      </c>
      <c r="G8245">
        <f>_xludf.IMAGE("https://edmondsonsupply.com/cdn/shop/products/11061.jpg?v=1587148772")</f>
        <v/>
      </c>
      <c r="H8245">
        <f>_xludf.IMAGE("https://m.media-amazon.com/images/I/41Vnc6bFkwL._AC_UL320_.jpg")</f>
        <v/>
      </c>
      <c r="K8245" t="inlineStr">
        <is>
          <t>21.97</t>
        </is>
      </c>
      <c r="L8245" t="n">
        <v>41.96</v>
      </c>
      <c r="M8245" s="1" t="inlineStr">
        <is>
          <t>90.99%</t>
        </is>
      </c>
      <c r="N8245" s="1" t="n"/>
      <c r="O8245" t="n">
        <v>2</v>
      </c>
      <c r="P8245" t="n">
        <v>1</v>
      </c>
      <c r="R8245" t="inlineStr">
        <is>
          <t>InStock</t>
        </is>
      </c>
      <c r="S8245" t="inlineStr">
        <is>
          <t>37.14</t>
        </is>
      </c>
      <c r="T8245" t="inlineStr">
        <is>
          <t>3688611020900</t>
        </is>
      </c>
    </row>
    <row r="8246" hidden="1" ht="15.75" customHeight="1">
      <c r="A8246" s="2">
        <f>HYPERLINK("https://edmondsonsupply.com/collections/electricians-tools/products/klein-tools-5244-tradesman-pro%E2%84%A2-tool-pouch-apron", "https://edmondsonsupply.com/collections/electricians-tools/products/klein-tools-5244-tradesman-pro%E2%84%A2-tool-pouch-apron")</f>
        <v/>
      </c>
      <c r="B8246" s="2">
        <f>HYPERLINK("https://edmondsonsupply.com/products/klein-tools-5244-tradesman-pro%e2%84%a2-tool-pouch-apron", "https://edmondsonsupply.com/products/klein-tools-5244-tradesman-pro%e2%84%a2-tool-pouch-apron")</f>
        <v/>
      </c>
      <c r="C8246" t="inlineStr">
        <is>
          <t>Klein Tools 5244 Tradesman Pro™ Tool Pouch Apron</t>
        </is>
      </c>
      <c r="D8246" t="inlineStr">
        <is>
          <t>Klein Tools 5244 Tool Apron, Tape Thong and Four Reinforced Pockets for Hand Tools, Waist Size 32 to 53-Inch &amp; Tradesman Pro™ Maintenance Tool Pouch</t>
        </is>
      </c>
      <c r="E8246" s="2">
        <f>HYPERLINK("https://www.amazon.com/Klein-Tools-Reinforced-Tradesman-Maintenance/dp/B0BHVMD9TC/ref=sr_1_1?keywords=Klein+Tools+5244+Tradesman+Pro%E2%84%A2+Tool+Pouch+Apron&amp;qid=1694735465&amp;sr=8-1", "https://www.amazon.com/Klein-Tools-Reinforced-Tradesman-Maintenance/dp/B0BHVMD9TC/ref=sr_1_1?keywords=Klein+Tools+5244+Tradesman+Pro%E2%84%A2+Tool+Pouch+Apron&amp;qid=1694735465&amp;sr=8-1")</f>
        <v/>
      </c>
      <c r="F8246" t="inlineStr">
        <is>
          <t>B0BHVMD9TC</t>
        </is>
      </c>
      <c r="G8246">
        <f>_xludf.IMAGE("https://edmondsonsupply.com/cdn/shop/products/5244.jpg?v=1587147924")</f>
        <v/>
      </c>
      <c r="H8246">
        <f>_xludf.IMAGE("https://m.media-amazon.com/images/I/41tfqdiaIvL._AC_UL320_.jpg")</f>
        <v/>
      </c>
      <c r="K8246" t="inlineStr">
        <is>
          <t>21.99</t>
        </is>
      </c>
      <c r="L8246" t="n">
        <v>41.98</v>
      </c>
      <c r="M8246" s="1" t="inlineStr">
        <is>
          <t>90.90%</t>
        </is>
      </c>
      <c r="N8246" s="1" t="n"/>
      <c r="O8246" t="n">
        <v>3</v>
      </c>
      <c r="P8246" t="n">
        <v>1</v>
      </c>
      <c r="R8246" t="inlineStr">
        <is>
          <t>InStock</t>
        </is>
      </c>
      <c r="S8246" t="inlineStr">
        <is>
          <t>33.32</t>
        </is>
      </c>
      <c r="T8246" t="inlineStr">
        <is>
          <t>2766743044196</t>
        </is>
      </c>
    </row>
    <row r="8247" ht="87" customHeight="1">
      <c r="A8247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247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247" t="inlineStr">
        <is>
          <t>Klein Tools 1019 Klein-Kurve® Wire Stripper / Crimper / Cutter Multi Tool</t>
        </is>
      </c>
      <c r="D8247" t="inlineStr">
        <is>
          <t>Klein Tools J215-8CR Multitool Pliers, Hybrid Multi Purpose Tool / Crimper, Wire Stripper, Bolt Shearing, Wire Grabbing, Twisting, Looping</t>
        </is>
      </c>
      <c r="E8247" s="2">
        <f>HYPERLINK("https://www.amazon.com/Shearing-Stripper-Klein-Tools-J215-8CR/dp/B07BX7QJYH/ref=sr_1_21?keywords=Klein+Tools+1019+Klein-Kurve%C2%AE+Wire+Stripper+%2F+Crimper+%2F+Cutter+Multi+Tool&amp;qid=1694735475&amp;sr=8-21", "https://www.amazon.com/Shearing-Stripper-Klein-Tools-J215-8CR/dp/B07BX7QJYH/ref=sr_1_21?keywords=Klein+Tools+1019+Klein-Kurve%C2%AE+Wire+Stripper+%2F+Crimper+%2F+Cutter+Multi+Tool&amp;qid=1694735475&amp;sr=8-21")</f>
        <v/>
      </c>
      <c r="F8247" t="inlineStr">
        <is>
          <t>B07BX7QJYH</t>
        </is>
      </c>
      <c r="G8247">
        <f>_xlfn.IMAGE("https://edmondsonsupply.com/cdn/shop/products/1019.jpg?v=1587148776")</f>
        <v/>
      </c>
      <c r="H8247">
        <f>_xlfn.IMAGE("https://m.media-amazon.com/images/I/51MjjHHAeHL._AC_UL320_.jpg")</f>
        <v/>
      </c>
      <c r="K8247" t="inlineStr">
        <is>
          <t>20.97</t>
        </is>
      </c>
      <c r="L8247" t="n">
        <v>39.97</v>
      </c>
      <c r="M8247" s="1" t="inlineStr">
        <is>
          <t>90.61%</t>
        </is>
      </c>
      <c r="N8247" s="7" t="n"/>
      <c r="O8247" t="n">
        <v>4.7</v>
      </c>
      <c r="P8247" t="n">
        <v>2955</v>
      </c>
      <c r="R8247" t="inlineStr">
        <is>
          <t>InStock</t>
        </is>
      </c>
      <c r="S8247" t="inlineStr">
        <is>
          <t>30.04</t>
        </is>
      </c>
      <c r="T8247" t="inlineStr">
        <is>
          <t>1780412481636</t>
        </is>
      </c>
    </row>
    <row r="8248" ht="87" customHeight="1">
      <c r="A8248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248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248" t="inlineStr">
        <is>
          <t>Klein Tools 1019 Klein-Kurve® Wire Stripper / Crimper / Cutter Multi Tool</t>
        </is>
      </c>
      <c r="D8248" t="inlineStr">
        <is>
          <t>Klein Tools K12065CR Wire Stripper / Cutter / Crimper Tool for Cutting, Stripping, Crimping, Twisting (8-18 AWG solid, 10-20 AWG stranded)</t>
        </is>
      </c>
      <c r="E8248" s="2">
        <f>HYPERLINK("https://www.amazon.com/Heavy-Stripper-Cutter-Crimper-Multi/dp/B08BX9RTPX/ref=sr_1_6?keywords=Klein+Tools+1019+Klein-Kurve%C2%AE+Wire+Stripper+%2F+Crimper+%2F+Cutter+Multi+Tool&amp;qid=1694735475&amp;sr=8-6", "https://www.amazon.com/Heavy-Stripper-Cutter-Crimper-Multi/dp/B08BX9RTPX/ref=sr_1_6?keywords=Klein+Tools+1019+Klein-Kurve%C2%AE+Wire+Stripper+%2F+Crimper+%2F+Cutter+Multi+Tool&amp;qid=1694735475&amp;sr=8-6")</f>
        <v/>
      </c>
      <c r="F8248" t="inlineStr">
        <is>
          <t>B08BX9RTPX</t>
        </is>
      </c>
      <c r="G8248">
        <f>_xlfn.IMAGE("https://edmondsonsupply.com/cdn/shop/products/1019.jpg?v=1587148776")</f>
        <v/>
      </c>
      <c r="H8248">
        <f>_xlfn.IMAGE("https://m.media-amazon.com/images/I/51Oylu1vHoL._AC_UL320_.jpg")</f>
        <v/>
      </c>
      <c r="K8248" t="inlineStr">
        <is>
          <t>20.97</t>
        </is>
      </c>
      <c r="L8248" t="n">
        <v>39.97</v>
      </c>
      <c r="M8248" s="1" t="inlineStr">
        <is>
          <t>90.61%</t>
        </is>
      </c>
      <c r="N8248" s="7" t="n"/>
      <c r="O8248" t="n">
        <v>4.7</v>
      </c>
      <c r="P8248" t="n">
        <v>723</v>
      </c>
      <c r="R8248" t="inlineStr">
        <is>
          <t>InStock</t>
        </is>
      </c>
      <c r="S8248" t="inlineStr">
        <is>
          <t>30.04</t>
        </is>
      </c>
      <c r="T8248" t="inlineStr">
        <is>
          <t>1780412481636</t>
        </is>
      </c>
    </row>
    <row r="8249" ht="87" customHeight="1">
      <c r="A8249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249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249" t="inlineStr">
        <is>
          <t>Klein Tools 1019 Klein-Kurve® Wire Stripper / Crimper / Cutter Multi Tool</t>
        </is>
      </c>
      <c r="D8249" t="inlineStr">
        <is>
          <t>Klein Tools 2005N Wire Cutter, Stripper, Crimper Tool, Strips 10-18 AWG Stranded, Crimps 10-22 AWG Terminals, with Shear Cutter Red</t>
        </is>
      </c>
      <c r="E8249" s="2">
        <f>HYPERLINK("https://www.amazon.com/Klein-Tools-2005N-Crimper-Stripper/dp/B07WTRVZ18/ref=sr_1_9?keywords=Klein+Tools+1019+Klein-Kurve%C2%AE+Wire+Stripper+%2F+Crimper+%2F+Cutter+Multi+Tool&amp;qid=1694735475&amp;sr=8-9", "https://www.amazon.com/Klein-Tools-2005N-Crimper-Stripper/dp/B07WTRVZ18/ref=sr_1_9?keywords=Klein+Tools+1019+Klein-Kurve%C2%AE+Wire+Stripper+%2F+Crimper+%2F+Cutter+Multi+Tool&amp;qid=1694735475&amp;sr=8-9")</f>
        <v/>
      </c>
      <c r="F8249" t="inlineStr">
        <is>
          <t>B07WTRVZ18</t>
        </is>
      </c>
      <c r="G8249">
        <f>_xlfn.IMAGE("https://edmondsonsupply.com/cdn/shop/products/1019.jpg?v=1587148776")</f>
        <v/>
      </c>
      <c r="H8249">
        <f>_xlfn.IMAGE("https://m.media-amazon.com/images/I/51HDCyutY4L._AC_UL320_.jpg")</f>
        <v/>
      </c>
      <c r="K8249" t="inlineStr">
        <is>
          <t>20.97</t>
        </is>
      </c>
      <c r="L8249" t="n">
        <v>39.97</v>
      </c>
      <c r="M8249" s="1" t="inlineStr">
        <is>
          <t>90.61%</t>
        </is>
      </c>
      <c r="N8249" s="7" t="n"/>
      <c r="O8249" t="n">
        <v>4.8</v>
      </c>
      <c r="P8249" t="n">
        <v>1009</v>
      </c>
      <c r="R8249" t="inlineStr">
        <is>
          <t>InStock</t>
        </is>
      </c>
      <c r="S8249" t="inlineStr">
        <is>
          <t>30.04</t>
        </is>
      </c>
      <c r="T8249" t="inlineStr">
        <is>
          <t>1780412481636</t>
        </is>
      </c>
    </row>
    <row r="8250" ht="87" customHeight="1">
      <c r="A8250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250" s="2">
        <f>HYPERLINK("https://edmondsonsupply.com/products/klein-tools-70579-folding-hex-key-set-5-inch-sae-5-piece", "https://edmondsonsupply.com/products/klein-tools-70579-folding-hex-key-set-5-inch-sae-5-piece")</f>
        <v/>
      </c>
      <c r="C8250" t="inlineStr">
        <is>
          <t>Klein Tools 70579 Folding Hex Key Set, 5-Key, SAE Sizes</t>
        </is>
      </c>
      <c r="D8250" t="inlineStr">
        <is>
          <t>Klein Tools 70579 Folding Hex Key Set, 5-Key, SAE Sizes</t>
        </is>
      </c>
      <c r="E8250" s="2">
        <f>HYPERLINK("https://www.amazon.com/Folding-5-Piece-Klein-Tools-70579/dp/B001D1KYZ6/ref=sr_1_1?keywords=Klein+Tools+70579+Folding+Hex+Key+Set%2C+5-Key%2C+SAE+Sizes&amp;qid=1694735436&amp;sr=8-1", "https://www.amazon.com/Folding-5-Piece-Klein-Tools-70579/dp/B001D1KYZ6/ref=sr_1_1?keywords=Klein+Tools+70579+Folding+Hex+Key+Set%2C+5-Key%2C+SAE+Sizes&amp;qid=1694735436&amp;sr=8-1")</f>
        <v/>
      </c>
      <c r="F8250" t="inlineStr">
        <is>
          <t>B001D1KYZ6</t>
        </is>
      </c>
      <c r="G8250">
        <f>_xlfn.IMAGE("https://edmondsonsupply.com/cdn/shop/products/70579.jpg?v=1587145103")</f>
        <v/>
      </c>
      <c r="H8250">
        <f>_xlfn.IMAGE("https://m.media-amazon.com/images/I/51DX6xEcPKL._AC_UL320_.jpg")</f>
        <v/>
      </c>
      <c r="K8250" t="inlineStr">
        <is>
          <t>12.97</t>
        </is>
      </c>
      <c r="L8250" t="n">
        <v>24.71</v>
      </c>
      <c r="M8250" s="1" t="inlineStr">
        <is>
          <t>90.52%</t>
        </is>
      </c>
      <c r="N8250" s="7" t="n"/>
      <c r="O8250" t="n">
        <v>4.7</v>
      </c>
      <c r="P8250" t="n">
        <v>3166</v>
      </c>
      <c r="R8250" t="inlineStr">
        <is>
          <t>InStock</t>
        </is>
      </c>
      <c r="S8250" t="inlineStr">
        <is>
          <t>18.38</t>
        </is>
      </c>
      <c r="T8250" t="inlineStr">
        <is>
          <t>4346564477028</t>
        </is>
      </c>
    </row>
    <row r="8251" ht="87" customHeight="1">
      <c r="A8251" s="2">
        <f>HYPERLINK("https://edmondsonsupply.com/collections/electricians-tools/products/klein-tools-s106m-vaco-5-16-inch-magnetic-nut-driver-9-inch-shank", "https://edmondsonsupply.com/collections/electricians-tools/products/klein-tools-s106m-vaco-5-16-inch-magnetic-nut-driver-9-inch-shank")</f>
        <v/>
      </c>
      <c r="B8251" s="2">
        <f>HYPERLINK("https://edmondsonsupply.com/products/klein-tools-s106m-vaco-5-16-inch-magnetic-nut-driver-9-inch-shank", "https://edmondsonsupply.com/products/klein-tools-s106m-vaco-5-16-inch-magnetic-nut-driver-9-inch-shank")</f>
        <v/>
      </c>
      <c r="C8251" t="inlineStr">
        <is>
          <t>Klein Tools S106M 5/16-Inch Magnetic Nut Driver, 9-Inch Shank</t>
        </is>
      </c>
      <c r="D8251" t="inlineStr">
        <is>
          <t>Klein Tools 618-5/16M Nut Driver, 5/16-Inch Magnetic Tip with 18-Inch Hollow Shaft</t>
        </is>
      </c>
      <c r="E8251" s="2">
        <f>HYPERLINK("https://www.amazon.com/Magnetic-Klein-Tools-618-5-16M/dp/B000TKF43E/ref=sr_1_10?keywords=Klein+Tools+S106M+5%2F16-Inch+Magnetic+Nut+Driver%2C+9-Inch+Shank&amp;qid=1694735455&amp;sr=8-10", "https://www.amazon.com/Magnetic-Klein-Tools-618-5-16M/dp/B000TKF43E/ref=sr_1_10?keywords=Klein+Tools+S106M+5%2F16-Inch+Magnetic+Nut+Driver%2C+9-Inch+Shank&amp;qid=1694735455&amp;sr=8-10")</f>
        <v/>
      </c>
      <c r="F8251" t="inlineStr">
        <is>
          <t>B000TKF43E</t>
        </is>
      </c>
      <c r="G8251">
        <f>_xlfn.IMAGE("https://edmondsonsupply.com/cdn/shop/products/s106.jpg?v=1587146493")</f>
        <v/>
      </c>
      <c r="H8251">
        <f>_xlfn.IMAGE("https://m.media-amazon.com/images/I/41mbuHhYFHL._AC_UL320_.jpg")</f>
        <v/>
      </c>
      <c r="K8251" t="inlineStr">
        <is>
          <t>11.99</t>
        </is>
      </c>
      <c r="L8251" t="n">
        <v>22.84</v>
      </c>
      <c r="M8251" s="1" t="inlineStr">
        <is>
          <t>90.49%</t>
        </is>
      </c>
      <c r="N8251" s="7" t="n"/>
      <c r="O8251" t="n">
        <v>4.3</v>
      </c>
      <c r="P8251" t="n">
        <v>35</v>
      </c>
      <c r="R8251" t="inlineStr">
        <is>
          <t>InStock</t>
        </is>
      </c>
      <c r="S8251" t="inlineStr">
        <is>
          <t>17.38</t>
        </is>
      </c>
      <c r="T8251" t="inlineStr">
        <is>
          <t>4096546504804</t>
        </is>
      </c>
    </row>
    <row r="8252" ht="87" customHeight="1">
      <c r="A8252" s="2">
        <f>HYPERLINK("https://edmondsonsupply.com/collections/electricians-tools/products/klein-tools-19353-conduit-reamer-replacement-blade-kit", "https://edmondsonsupply.com/collections/electricians-tools/products/klein-tools-19353-conduit-reamer-replacement-blade-kit")</f>
        <v/>
      </c>
      <c r="B8252" s="2">
        <f>HYPERLINK("https://edmondsonsupply.com/products/klein-tools-19353-conduit-reamer-replacement-blade-kit", "https://edmondsonsupply.com/products/klein-tools-19353-conduit-reamer-replacement-blade-kit")</f>
        <v/>
      </c>
      <c r="C8252" t="inlineStr">
        <is>
          <t>Klein Tools 19353 Conduit Reamer Replacement Blade Kit</t>
        </is>
      </c>
      <c r="D8252" t="inlineStr">
        <is>
          <t>Feekoon Power Conduit Reamer Tools Kit, Includes 3 Reamer Replacement Blades, 3 Set Screws, 1 No. 2 Square Recess Bit and 1 Hex Key Wrench(1/16''), Ream 1/2'', 3/4'' and 1 Inch Conduit Pipe</t>
        </is>
      </c>
      <c r="E8252" s="2">
        <f>HYPERLINK("https://www.amazon.com/Feekoon-Conduit-Reamer-Replacement-Blades/dp/B0BX9WSFL6/ref=sr_1_fkmr0_1?keywords=Klein+Tools+19353+Conduit+Reamer+Replacement+Blade+Kit&amp;qid=1694735449&amp;sr=8-1-fkmr0", "https://www.amazon.com/Feekoon-Conduit-Reamer-Replacement-Blades/dp/B0BX9WSFL6/ref=sr_1_fkmr0_1?keywords=Klein+Tools+19353+Conduit+Reamer+Replacement+Blade+Kit&amp;qid=1694735449&amp;sr=8-1-fkmr0")</f>
        <v/>
      </c>
      <c r="F8252" t="inlineStr">
        <is>
          <t>B0BX9WSFL6</t>
        </is>
      </c>
      <c r="G8252">
        <f>_xlfn.IMAGE("https://edmondsonsupply.com/cdn/shop/products/19353.jpg?v=1587150212")</f>
        <v/>
      </c>
      <c r="H8252">
        <f>_xlfn.IMAGE("https://m.media-amazon.com/images/I/718NeRAa23L._AC_UL320_.jpg")</f>
        <v/>
      </c>
      <c r="K8252" t="inlineStr">
        <is>
          <t>9.99</t>
        </is>
      </c>
      <c r="L8252" t="n">
        <v>18.99</v>
      </c>
      <c r="M8252" s="1" t="inlineStr">
        <is>
          <t>90.09%</t>
        </is>
      </c>
      <c r="N8252" s="7" t="n"/>
      <c r="O8252" t="n">
        <v>4.1</v>
      </c>
      <c r="P8252" t="n">
        <v>48</v>
      </c>
      <c r="R8252" t="inlineStr">
        <is>
          <t>InStock</t>
        </is>
      </c>
      <c r="S8252" t="inlineStr">
        <is>
          <t>15.12</t>
        </is>
      </c>
      <c r="T8252" t="inlineStr">
        <is>
          <t>4292238934116</t>
        </is>
      </c>
    </row>
    <row r="8253" ht="87" customHeight="1">
      <c r="A8253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253" s="2">
        <f>HYPERLINK("https://edmondsonsupply.com/products/klein-tools-601-6-3-16-inch-cabinet-tip-screwdriver-6-inch", "https://edmondsonsupply.com/products/klein-tools-601-6-3-16-inch-cabinet-tip-screwdriver-6-inch")</f>
        <v/>
      </c>
      <c r="C8253" t="inlineStr">
        <is>
          <t>Klein Tools 601-6 3/16-Inch Cabinet Tip Screwdriver 6-Inch</t>
        </is>
      </c>
      <c r="D8253" t="inlineStr">
        <is>
          <t>Klein Tools 601-4-INS Insulated Screwdriver, 3/16-Inch Cabinet Tip with 4-Inch Shank</t>
        </is>
      </c>
      <c r="E8253" s="2">
        <f>HYPERLINK("https://www.amazon.com/Insulated-Screwdriver-Klein-Tools-601-4-INS/dp/B000LEBVIK/ref=sr_1_19?keywords=Klein+Tools+601-6+3%2F16-Inch+Cabinet+Tip+Screwdriver+6-Inch&amp;qid=1694735470&amp;sr=8-19", "https://www.amazon.com/Insulated-Screwdriver-Klein-Tools-601-4-INS/dp/B000LEBVIK/ref=sr_1_19?keywords=Klein+Tools+601-6+3%2F16-Inch+Cabinet+Tip+Screwdriver+6-Inch&amp;qid=1694735470&amp;sr=8-19")</f>
        <v/>
      </c>
      <c r="F8253" t="inlineStr">
        <is>
          <t>B000LEBVIK</t>
        </is>
      </c>
      <c r="G8253">
        <f>_xlfn.IMAGE("https://edmondsonsupply.com/cdn/shop/products/601-6.jpg?v=1587148683")</f>
        <v/>
      </c>
      <c r="H8253">
        <f>_xlfn.IMAGE("https://m.media-amazon.com/images/I/41SIcZZiIAL._AC_UL320_.jpg")</f>
        <v/>
      </c>
      <c r="K8253" t="inlineStr">
        <is>
          <t>8.99</t>
        </is>
      </c>
      <c r="L8253" t="n">
        <v>16.99</v>
      </c>
      <c r="M8253" s="1" t="inlineStr">
        <is>
          <t>88.99%</t>
        </is>
      </c>
      <c r="N8253" s="7" t="n"/>
      <c r="O8253" t="n">
        <v>4.8</v>
      </c>
      <c r="P8253" t="n">
        <v>1068</v>
      </c>
      <c r="R8253" t="inlineStr">
        <is>
          <t>InStock</t>
        </is>
      </c>
      <c r="S8253" t="inlineStr">
        <is>
          <t>11.96</t>
        </is>
      </c>
      <c r="T8253" t="inlineStr">
        <is>
          <t>3689898016868</t>
        </is>
      </c>
    </row>
    <row r="8254" hidden="1" ht="15.75" customHeight="1">
      <c r="A8254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254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254" t="inlineStr">
        <is>
          <t>Klein Tools JTH6E08BE 1/8-Inch Ball Hex Key, Journeyman T-Handle, 6-Inch</t>
        </is>
      </c>
      <c r="D8254" t="inlineStr">
        <is>
          <t>Klein Tools JTH6M8 8 mm Hex Key, Journeyman T-Handle, 6-Inch</t>
        </is>
      </c>
      <c r="E8254" s="2">
        <f>HYPERLINK("https://www.amazon.com/Journeyman-T-Handle-Klein-Tools-JTH6M8/dp/B005G395P2/ref=sr_1_6?keywords=Klein+Tools+JTH6E08BE+1%2F8-Inch+Ball+Hex+Key%2C+Journeyman+T-Handle%2C+6-Inch&amp;qid=1694735452&amp;sr=8-6", "https://www.amazon.com/Journeyman-T-Handle-Klein-Tools-JTH6M8/dp/B005G395P2/ref=sr_1_6?keywords=Klein+Tools+JTH6E08BE+1%2F8-Inch+Ball+Hex+Key%2C+Journeyman+T-Handle%2C+6-Inch&amp;qid=1694735452&amp;sr=8-6")</f>
        <v/>
      </c>
      <c r="F8254" t="inlineStr">
        <is>
          <t>B005G395P2</t>
        </is>
      </c>
      <c r="G8254">
        <f>_xludf.IMAGE("https://edmondsonsupply.com/cdn/shop/products/jth6e13be.jpg?v=1587150101")</f>
        <v/>
      </c>
      <c r="H8254">
        <f>_xludf.IMAGE("https://m.media-amazon.com/images/I/51+1x0vz9XL._AC_UL320_.jpg")</f>
        <v/>
      </c>
      <c r="K8254" t="inlineStr">
        <is>
          <t>4.99</t>
        </is>
      </c>
      <c r="L8254" t="n">
        <v>9.359999999999999</v>
      </c>
      <c r="M8254" s="1" t="inlineStr">
        <is>
          <t>87.58%</t>
        </is>
      </c>
      <c r="N8254" s="1" t="n"/>
      <c r="O8254" t="n">
        <v>4.7</v>
      </c>
      <c r="P8254" t="n">
        <v>1530</v>
      </c>
      <c r="R8254" t="inlineStr">
        <is>
          <t>InStock</t>
        </is>
      </c>
      <c r="S8254" t="inlineStr">
        <is>
          <t>7.54</t>
        </is>
      </c>
      <c r="T8254" t="inlineStr">
        <is>
          <t>4174483193956</t>
        </is>
      </c>
    </row>
    <row r="8255" hidden="1" ht="15.75" customHeight="1">
      <c r="A8255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55" s="2">
        <f>HYPERLINK("https://edmondsonsupply.com/products/klein-tools-600-1-5-16-inch-cabinet-tip-screwdriver-1-1-2-inch", "https://edmondsonsupply.com/products/klein-tools-600-1-5-16-inch-cabinet-tip-screwdriver-1-1-2-inch")</f>
        <v/>
      </c>
      <c r="C8255" t="inlineStr">
        <is>
          <t>Klein Tools 600-1 5/16-Inch Cabinet Tip Screwdriver 1-1/2-Inch</t>
        </is>
      </c>
      <c r="D8255" t="inlineStr">
        <is>
          <t>Klein Tools 6944INS Insulated Screwdriver, 1000V Slim Profile Tip, #2 Square with 4-Inch Shank, Cushion-Grip Handle</t>
        </is>
      </c>
      <c r="E8255" s="2">
        <f>HYPERLINK("https://www.amazon.com/Klein-Tools-6944INS-Screwdriver-Cushion-Grip/dp/B09GPYTZV3/ref=sr_1_36?keywords=Klein+Tools+600-1+5%2F16-Inch+Cabinet+Tip+Screwdriver+1-1%2F2-Inch&amp;qid=1694735453&amp;sr=8-36", "https://www.amazon.com/Klein-Tools-6944INS-Screwdriver-Cushion-Grip/dp/B09GPYTZV3/ref=sr_1_36?keywords=Klein+Tools+600-1+5%2F16-Inch+Cabinet+Tip+Screwdriver+1-1%2F2-Inch&amp;qid=1694735453&amp;sr=8-36")</f>
        <v/>
      </c>
      <c r="F8255" t="inlineStr">
        <is>
          <t>B09GPYTZV3</t>
        </is>
      </c>
      <c r="G8255">
        <f>_xludf.IMAGE("https://edmondsonsupply.com/cdn/shop/products/600-1.jpg?v=1587147752")</f>
        <v/>
      </c>
      <c r="H8255">
        <f>_xludf.IMAGE("https://m.media-amazon.com/images/I/41PzygwLx+L._AC_UL320_.jpg")</f>
        <v/>
      </c>
      <c r="K8255" t="inlineStr">
        <is>
          <t>7.49</t>
        </is>
      </c>
      <c r="L8255" t="n">
        <v>13.99</v>
      </c>
      <c r="M8255" s="1" t="inlineStr">
        <is>
          <t>86.78%</t>
        </is>
      </c>
      <c r="N8255" s="1" t="n"/>
      <c r="O8255" t="n">
        <v>4.7</v>
      </c>
      <c r="P8255" t="n">
        <v>93</v>
      </c>
      <c r="R8255" t="inlineStr">
        <is>
          <t>InStock</t>
        </is>
      </c>
      <c r="S8255" t="inlineStr">
        <is>
          <t>11.22</t>
        </is>
      </c>
      <c r="T8255" t="inlineStr">
        <is>
          <t>4171360403556</t>
        </is>
      </c>
    </row>
    <row r="8256" hidden="1" ht="15.75" customHeight="1">
      <c r="A8256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56" s="2">
        <f>HYPERLINK("https://edmondsonsupply.com/products/klein-tools-600-1-5-16-inch-cabinet-tip-screwdriver-1-1-2-inch", "https://edmondsonsupply.com/products/klein-tools-600-1-5-16-inch-cabinet-tip-screwdriver-1-1-2-inch")</f>
        <v/>
      </c>
      <c r="C8256" t="inlineStr">
        <is>
          <t>Klein Tools 600-1 5/16-Inch Cabinet Tip Screwdriver 1-1/2-Inch</t>
        </is>
      </c>
      <c r="D8256" t="inlineStr">
        <is>
          <t>Klein Tools 600-6 5/16-Inch Keystone Screwdriver 6-Inch Square Shank</t>
        </is>
      </c>
      <c r="E8256" s="2">
        <f>HYPERLINK("https://www.amazon.com/Keystone-Screwdriver-Klein-Tools-600-6/dp/B0000302WN/ref=sr_1_6?keywords=Klein+Tools+600-1+5%2F16-Inch+Cabinet+Tip+Screwdriver+1-1%2F2-Inch&amp;qid=1694735453&amp;sr=8-6", "https://www.amazon.com/Keystone-Screwdriver-Klein-Tools-600-6/dp/B0000302WN/ref=sr_1_6?keywords=Klein+Tools+600-1+5%2F16-Inch+Cabinet+Tip+Screwdriver+1-1%2F2-Inch&amp;qid=1694735453&amp;sr=8-6")</f>
        <v/>
      </c>
      <c r="F8256" t="inlineStr">
        <is>
          <t>B0000302WN</t>
        </is>
      </c>
      <c r="G8256">
        <f>_xludf.IMAGE("https://edmondsonsupply.com/cdn/shop/products/600-1.jpg?v=1587147752")</f>
        <v/>
      </c>
      <c r="H8256">
        <f>_xludf.IMAGE("https://m.media-amazon.com/images/I/31Tq2Zz8NBL._AC_UL320_.jpg")</f>
        <v/>
      </c>
      <c r="K8256" t="inlineStr">
        <is>
          <t>7.49</t>
        </is>
      </c>
      <c r="L8256" t="n">
        <v>13.97</v>
      </c>
      <c r="M8256" s="1" t="inlineStr">
        <is>
          <t>86.52%</t>
        </is>
      </c>
      <c r="N8256" s="1" t="n"/>
      <c r="O8256" t="n">
        <v>4.8</v>
      </c>
      <c r="P8256" t="n">
        <v>1834</v>
      </c>
      <c r="R8256" t="inlineStr">
        <is>
          <t>InStock</t>
        </is>
      </c>
      <c r="S8256" t="inlineStr">
        <is>
          <t>11.22</t>
        </is>
      </c>
      <c r="T8256" t="inlineStr">
        <is>
          <t>4171360403556</t>
        </is>
      </c>
    </row>
    <row r="8257" hidden="1" ht="15.75" customHeight="1">
      <c r="A8257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257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257" t="inlineStr">
        <is>
          <t>Klein Tools JTH6E09 9/64-Inch Hex Key, Journeyman T-Handle, 6-Inch</t>
        </is>
      </c>
      <c r="D8257" t="inlineStr">
        <is>
          <t>Klein Tools JTH9E14 5/16-Inch Hex Key, Journeyman T-Handle, 9-Inch</t>
        </is>
      </c>
      <c r="E8257" s="2">
        <f>HYPERLINK("https://www.amazon.com/Journeyman-T-Handle-Klein-Tools-JTH9E14/dp/B004QVAH4I/ref=sr_1_9?keywords=Klein+Tools+JTH6E09+9%2F64-Inch+Hex+Key%2C+Journeyman+T-Handle%2C+6-Inch&amp;qid=1694735431&amp;sr=8-9", "https://www.amazon.com/Journeyman-T-Handle-Klein-Tools-JTH9E14/dp/B004QVAH4I/ref=sr_1_9?keywords=Klein+Tools+JTH6E09+9%2F64-Inch+Hex+Key%2C+Journeyman+T-Handle%2C+6-Inch&amp;qid=1694735431&amp;sr=8-9")</f>
        <v/>
      </c>
      <c r="F8257" t="inlineStr">
        <is>
          <t>B004QVAH4I</t>
        </is>
      </c>
      <c r="G8257">
        <f>_xludf.IMAGE("https://edmondsonsupply.com/cdn/shop/products/jth6e15_bef890d0-fa69-4c40-acf7-922fc3acaacb.jpg?v=1587142823")</f>
        <v/>
      </c>
      <c r="H8257">
        <f>_xludf.IMAGE("https://m.media-amazon.com/images/I/51Yb8h41vLL._AC_UL320_.jpg")</f>
        <v/>
      </c>
      <c r="K8257" t="inlineStr">
        <is>
          <t>3.99</t>
        </is>
      </c>
      <c r="L8257" t="n">
        <v>7.44</v>
      </c>
      <c r="M8257" s="1" t="inlineStr">
        <is>
          <t>86.47%</t>
        </is>
      </c>
      <c r="N8257" s="1" t="n"/>
      <c r="O8257" t="n">
        <v>4.8</v>
      </c>
      <c r="P8257" t="n">
        <v>114</v>
      </c>
      <c r="R8257" t="inlineStr">
        <is>
          <t>InStock</t>
        </is>
      </c>
      <c r="S8257" t="inlineStr">
        <is>
          <t>6.04</t>
        </is>
      </c>
      <c r="T8257" t="inlineStr">
        <is>
          <t>4339809386596</t>
        </is>
      </c>
    </row>
    <row r="8258" hidden="1" ht="15.75" customHeight="1">
      <c r="A8258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258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258" t="inlineStr">
        <is>
          <t>Klein Tools JTH6E10 5/32-Inch Hex Key, Journeyman T-Handle, 6-Inch</t>
        </is>
      </c>
      <c r="D8258" t="inlineStr">
        <is>
          <t>Klein Tools JTH9E14 5/16-Inch Hex Key, Journeyman T-Handle, 9-Inch</t>
        </is>
      </c>
      <c r="E8258" s="2">
        <f>HYPERLINK("https://www.amazon.com/Journeyman-T-Handle-Klein-Tools-JTH9E14/dp/B004QVAH4I/ref=sr_1_9?keywords=Klein+Tools+JTH6E10+5%2F32-Inch+Hex+Key%2C+Journeyman+T-Handle%2C+6-Inch&amp;qid=1694735453&amp;sr=8-9", "https://www.amazon.com/Journeyman-T-Handle-Klein-Tools-JTH9E14/dp/B004QVAH4I/ref=sr_1_9?keywords=Klein+Tools+JTH6E10+5%2F32-Inch+Hex+Key%2C+Journeyman+T-Handle%2C+6-Inch&amp;qid=1694735453&amp;sr=8-9")</f>
        <v/>
      </c>
      <c r="F8258" t="inlineStr">
        <is>
          <t>B004QVAH4I</t>
        </is>
      </c>
      <c r="G8258">
        <f>_xludf.IMAGE("https://edmondsonsupply.com/cdn/shop/products/jth6e15_f525b558-406f-4cfd-9eb6-2b57378156a6.jpg?v=1587144832")</f>
        <v/>
      </c>
      <c r="H8258">
        <f>_xludf.IMAGE("https://m.media-amazon.com/images/I/51Yb8h41vLL._AC_UL320_.jpg")</f>
        <v/>
      </c>
      <c r="K8258" t="inlineStr">
        <is>
          <t>3.99</t>
        </is>
      </c>
      <c r="L8258" t="n">
        <v>7.44</v>
      </c>
      <c r="M8258" s="1" t="inlineStr">
        <is>
          <t>86.47%</t>
        </is>
      </c>
      <c r="N8258" s="1" t="n"/>
      <c r="O8258" t="n">
        <v>4.8</v>
      </c>
      <c r="P8258" t="n">
        <v>114</v>
      </c>
      <c r="R8258" t="inlineStr">
        <is>
          <t>InStock</t>
        </is>
      </c>
      <c r="S8258" t="inlineStr">
        <is>
          <t>6.04</t>
        </is>
      </c>
      <c r="T8258" t="inlineStr">
        <is>
          <t>4160213418084</t>
        </is>
      </c>
    </row>
    <row r="8259" ht="87" customHeight="1">
      <c r="A8259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259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259" t="inlineStr">
        <is>
          <t>Klein Tools 630-9/16 9/16-Inch Hollow Shaft Nut Driver 4-Inch Shaft</t>
        </is>
      </c>
      <c r="D8259" t="inlineStr">
        <is>
          <t>Klein Tools 646M Tool Set, Magnetic Nut Drivers Sizes 1/4 and 5/16-Inch, 6-Inch Shafts, 2-Piece</t>
        </is>
      </c>
      <c r="E8259" s="2">
        <f>HYPERLINK("https://www.amazon.com/Magnetic-16-Inch-Klein-Tools-646M/dp/B000936QV0/ref=sr_1_26?keywords=Klein+Tools+630-9%2F16+9%2F16-Inch+Hollow+Shaft+Nut+Driver+4-Inch+Shaft&amp;qid=1694735442&amp;sr=8-26", "https://www.amazon.com/Magnetic-16-Inch-Klein-Tools-646M/dp/B000936QV0/ref=sr_1_26?keywords=Klein+Tools+630-9%2F16+9%2F16-Inch+Hollow+Shaft+Nut+Driver+4-Inch+Shaft&amp;qid=1694735442&amp;sr=8-26")</f>
        <v/>
      </c>
      <c r="F8259" t="inlineStr">
        <is>
          <t>B000936QV0</t>
        </is>
      </c>
      <c r="G8259">
        <f>_xlfn.IMAGE("https://edmondsonsupply.com/cdn/shop/products/630-1-2_f4e6e615-6377-4eae-87c2-03b0329a1140.jpg?v=1587145137")</f>
        <v/>
      </c>
      <c r="H8259">
        <f>_xlfn.IMAGE("https://m.media-amazon.com/images/I/41lkJ6KRq9L._AC_UL320_.jpg")</f>
        <v/>
      </c>
      <c r="K8259" t="inlineStr">
        <is>
          <t>11.99</t>
        </is>
      </c>
      <c r="L8259" t="n">
        <v>22.34</v>
      </c>
      <c r="M8259" s="1" t="inlineStr">
        <is>
          <t>86.32%</t>
        </is>
      </c>
      <c r="N8259" s="7" t="n"/>
      <c r="O8259" t="n">
        <v>4.8</v>
      </c>
      <c r="P8259" t="n">
        <v>1652</v>
      </c>
      <c r="R8259" t="inlineStr">
        <is>
          <t>InStock</t>
        </is>
      </c>
      <c r="S8259" t="inlineStr">
        <is>
          <t>18.14</t>
        </is>
      </c>
      <c r="T8259" t="inlineStr">
        <is>
          <t>4259221897316</t>
        </is>
      </c>
    </row>
    <row r="8260" ht="87" customHeight="1">
      <c r="A8260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260" s="2">
        <f>HYPERLINK("https://edmondsonsupply.com/products/klein-tools-31972-bi-metal-hole-saw-4-1-2-inch", "https://edmondsonsupply.com/products/klein-tools-31972-bi-metal-hole-saw-4-1-2-inch")</f>
        <v/>
      </c>
      <c r="C8260" t="inlineStr">
        <is>
          <t>Klein Tools 31972 Bi-Metal Hole Saw, 4-1/2-Inch</t>
        </is>
      </c>
      <c r="D8260" t="inlineStr">
        <is>
          <t>LENOX Tools Hole Saw, Bi-Metal, Speed Slot, 4-1/2-Inch (1772075)</t>
        </is>
      </c>
      <c r="E8260" s="2">
        <f>HYPERLINK("https://www.amazon.com/LENOX-Tools-Bi-Metal-Speed-Technology/dp/B004UUGQZE/ref=sr_1_8?keywords=Klein+Tools+31972+Bi-Metal+Hole+Saw%2C+4-1%2F2-Inch&amp;qid=1694735442&amp;sr=8-8", "https://www.amazon.com/LENOX-Tools-Bi-Metal-Speed-Technology/dp/B004UUGQZE/ref=sr_1_8?keywords=Klein+Tools+31972+Bi-Metal+Hole+Saw%2C+4-1%2F2-Inch&amp;qid=1694735442&amp;sr=8-8")</f>
        <v/>
      </c>
      <c r="F8260" t="inlineStr">
        <is>
          <t>B004UUGQZE</t>
        </is>
      </c>
      <c r="G8260">
        <f>_xlfn.IMAGE("https://edmondsonsupply.com/cdn/shop/products/31972.jpg?v=1587147016")</f>
        <v/>
      </c>
      <c r="H8260">
        <f>_xlfn.IMAGE("https://m.media-amazon.com/images/I/91LavMIWIjL._AC_UL320_.jpg")</f>
        <v/>
      </c>
      <c r="K8260" t="inlineStr">
        <is>
          <t>26.99</t>
        </is>
      </c>
      <c r="L8260" t="n">
        <v>50.07</v>
      </c>
      <c r="M8260" s="1" t="inlineStr">
        <is>
          <t>85.51%</t>
        </is>
      </c>
      <c r="N8260" s="7" t="n"/>
      <c r="O8260" t="n">
        <v>4.3</v>
      </c>
      <c r="P8260" t="n">
        <v>37</v>
      </c>
      <c r="R8260" t="inlineStr">
        <is>
          <t>InStock</t>
        </is>
      </c>
      <c r="S8260" t="inlineStr">
        <is>
          <t>37.86</t>
        </is>
      </c>
      <c r="T8260" t="inlineStr">
        <is>
          <t>4328864809060</t>
        </is>
      </c>
    </row>
    <row r="8261" ht="87" customHeight="1">
      <c r="A8261" s="2">
        <f>HYPERLINK("https://edmondsonsupply.com/collections/electricians-tools/products/klein-tools-670-3-3-16-cabinet-tip-rapi-driv%C2%AE-screwdriver-4-shank", "https://edmondsonsupply.com/collections/electricians-tools/products/klein-tools-670-3-3-16-cabinet-tip-rapi-driv%C2%AE-screwdriver-4-shank")</f>
        <v/>
      </c>
      <c r="B8261" s="2">
        <f>HYPERLINK("https://edmondsonsupply.com/products/klein-tools-670-3-3-16-cabinet-tip-rapi-driv%c2%ae-screwdriver-4-shank", "https://edmondsonsupply.com/products/klein-tools-670-3-3-16-cabinet-tip-rapi-driv%c2%ae-screwdriver-4-shank")</f>
        <v/>
      </c>
      <c r="C8261" t="inlineStr">
        <is>
          <t>Klein Tools 670-3 Rapi-Driv® Screwdriver, 3/16-Inch Cabinet Tip, 4-Inch Shank</t>
        </is>
      </c>
      <c r="D8261" t="inlineStr">
        <is>
          <t>Klein Tools 601-4-INS Insulated Screwdriver, 3/16-Inch Cabinet Tip with 4-Inch Shank</t>
        </is>
      </c>
      <c r="E8261" s="2">
        <f>HYPERLINK("https://www.amazon.com/Insulated-Screwdriver-Klein-Tools-601-4-INS/dp/B000LEBVIK/ref=sr_1_3?keywords=Klein+Tools+670-3+Rapi-Driv%C2%AE+Screwdriver%2C+3%2F16-Inch+Cabinet+Tip%2C+4-Inch+Shank&amp;qid=1694735456&amp;sr=8-3", "https://www.amazon.com/Insulated-Screwdriver-Klein-Tools-601-4-INS/dp/B000LEBVIK/ref=sr_1_3?keywords=Klein+Tools+670-3+Rapi-Driv%C2%AE+Screwdriver%2C+3%2F16-Inch+Cabinet+Tip%2C+4-Inch+Shank&amp;qid=1694735456&amp;sr=8-3")</f>
        <v/>
      </c>
      <c r="F8261" t="inlineStr">
        <is>
          <t>B000LEBVIK</t>
        </is>
      </c>
      <c r="G8261">
        <f>_xlfn.IMAGE("https://edmondsonsupply.com/cdn/shop/products/670-6.jpg?v=1587150445")</f>
        <v/>
      </c>
      <c r="H8261">
        <f>_xlfn.IMAGE("https://m.media-amazon.com/images/I/41SIcZZiIAL._AC_UL320_.jpg")</f>
        <v/>
      </c>
      <c r="K8261" t="inlineStr">
        <is>
          <t>9.99</t>
        </is>
      </c>
      <c r="L8261" t="n">
        <v>18.49</v>
      </c>
      <c r="M8261" s="1" t="inlineStr">
        <is>
          <t>85.09%</t>
        </is>
      </c>
      <c r="N8261" s="7" t="n"/>
      <c r="O8261" t="n">
        <v>4.8</v>
      </c>
      <c r="P8261" t="n">
        <v>1068</v>
      </c>
      <c r="R8261" t="inlineStr">
        <is>
          <t>InStock</t>
        </is>
      </c>
      <c r="S8261" t="inlineStr">
        <is>
          <t>15.1</t>
        </is>
      </c>
      <c r="T8261" t="inlineStr">
        <is>
          <t>1901121831012</t>
        </is>
      </c>
    </row>
    <row r="8262" ht="87" customHeight="1">
      <c r="A8262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262" s="2">
        <f>HYPERLINK("https://edmondsonsupply.com/products/klein-tools-63050-high-leverage-cable-cutter", "https://edmondsonsupply.com/products/klein-tools-63050-high-leverage-cable-cutter")</f>
        <v/>
      </c>
      <c r="C8262" t="inlineStr">
        <is>
          <t>Klein Tools 63050 Cable Cutter</t>
        </is>
      </c>
      <c r="D8262" t="inlineStr">
        <is>
          <t>Klein Tools 63050-INS Cable Cutter, Insulated Cable Cutter w/One-Hand Shearing for Aluminum, Soft Copper, Communications Cable</t>
        </is>
      </c>
      <c r="E8262" s="2">
        <f>HYPERLINK("https://www.amazon.com/Klein-Tools-63050-INS-Insulated-Leverage/dp/B00BJS3UJA/ref=sr_1_2?keywords=Klein+Tools+63050+Cable+Cutter&amp;qid=1694735444&amp;sr=8-2", "https://www.amazon.com/Klein-Tools-63050-INS-Insulated-Leverage/dp/B00BJS3UJA/ref=sr_1_2?keywords=Klein+Tools+63050+Cable+Cutter&amp;qid=1694735444&amp;sr=8-2")</f>
        <v/>
      </c>
      <c r="F8262" t="inlineStr">
        <is>
          <t>B00BJS3UJA</t>
        </is>
      </c>
      <c r="G8262">
        <f>_xlfn.IMAGE("https://edmondsonsupply.com/cdn/shop/products/63050.jpg?v=1587143239")</f>
        <v/>
      </c>
      <c r="H8262">
        <f>_xlfn.IMAGE("https://m.media-amazon.com/images/I/51eeM4CFx7L._AC_UL320_.jpg")</f>
        <v/>
      </c>
      <c r="K8262" t="inlineStr">
        <is>
          <t>32.99</t>
        </is>
      </c>
      <c r="L8262" t="n">
        <v>60.54</v>
      </c>
      <c r="M8262" s="1" t="inlineStr">
        <is>
          <t>83.51%</t>
        </is>
      </c>
      <c r="N8262" s="7" t="n"/>
      <c r="O8262" t="n">
        <v>4.8</v>
      </c>
      <c r="P8262" t="n">
        <v>31</v>
      </c>
      <c r="R8262" t="inlineStr">
        <is>
          <t>InStock</t>
        </is>
      </c>
      <c r="S8262" t="inlineStr">
        <is>
          <t>47.96</t>
        </is>
      </c>
      <c r="T8262" t="inlineStr">
        <is>
          <t>4289689124964</t>
        </is>
      </c>
    </row>
    <row r="8263" ht="87" customHeight="1">
      <c r="A8263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263" s="2">
        <f>HYPERLINK("https://edmondsonsupply.com/products/klein-tools-5139-canvas-zipper-bag", "https://edmondsonsupply.com/products/klein-tools-5139-canvas-zipper-bag")</f>
        <v/>
      </c>
      <c r="C8263" t="inlineStr">
        <is>
          <t>Klein Tools 5139 Zipper Bag, Canvas Tool Pouch 12.5 x 7 x 4.25-Inch</t>
        </is>
      </c>
      <c r="D8263" t="inlineStr">
        <is>
          <t>FENKOA Canvas Tool Bag with Brass YKK Zipper Tool Pouch Heavy Duty, 12.5 x 7-inch Multipurpose Storage pouch with Flag Embroidery,Utility Bag for Tools, Gadgets, Cosmetics, Stationary</t>
        </is>
      </c>
      <c r="E8263" s="2">
        <f>HYPERLINK("https://www.amazon.com/FENKOA-Multipurpose-Embroidery-Cosmetics-Stationary/dp/B0BQBPC76F/ref=sr_1_13?keywords=Klein+Tools+5139+Zipper+Bag%2C+Canvas+Tool+Pouch+12.5+x+7+x+4.25-Inch&amp;qid=1694735450&amp;sr=8-13", "https://www.amazon.com/FENKOA-Multipurpose-Embroidery-Cosmetics-Stationary/dp/B0BQBPC76F/ref=sr_1_13?keywords=Klein+Tools+5139+Zipper+Bag%2C+Canvas+Tool+Pouch+12.5+x+7+x+4.25-Inch&amp;qid=1694735450&amp;sr=8-13")</f>
        <v/>
      </c>
      <c r="F8263" t="inlineStr">
        <is>
          <t>B0BQBPC76F</t>
        </is>
      </c>
      <c r="G8263">
        <f>_xlfn.IMAGE("https://edmondsonsupply.com/cdn/shop/products/5139.jpg?v=1587150181")</f>
        <v/>
      </c>
      <c r="H8263">
        <f>_xlfn.IMAGE("https://m.media-amazon.com/images/I/71MWGqP+h7L._AC_UL320_.jpg")</f>
        <v/>
      </c>
      <c r="K8263" t="inlineStr">
        <is>
          <t>10.97</t>
        </is>
      </c>
      <c r="L8263" t="n">
        <v>19.99</v>
      </c>
      <c r="M8263" s="1" t="inlineStr">
        <is>
          <t>82.22%</t>
        </is>
      </c>
      <c r="N8263" s="7" t="n"/>
      <c r="O8263" t="n">
        <v>4.6</v>
      </c>
      <c r="P8263" t="n">
        <v>55</v>
      </c>
      <c r="R8263" t="inlineStr">
        <is>
          <t>InStock</t>
        </is>
      </c>
      <c r="S8263" t="inlineStr">
        <is>
          <t>17.12</t>
        </is>
      </c>
      <c r="T8263" t="inlineStr">
        <is>
          <t>2378629185636</t>
        </is>
      </c>
    </row>
    <row r="8264" hidden="1" ht="15.75" customHeight="1">
      <c r="A8264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264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264" t="inlineStr">
        <is>
          <t>Klein Tools JTH6E09 9/64-Inch Hex Key, Journeyman T-Handle, 6-Inch</t>
        </is>
      </c>
      <c r="D8264" t="inlineStr">
        <is>
          <t>Klein Tools JTH6E09BE 9/64-Inch Ball-End Hex Key with Journeyman T-Handle, 6-Inch</t>
        </is>
      </c>
      <c r="E8264" s="2">
        <f>HYPERLINK("https://www.amazon.com/Ball-End-Journeyman-Klein-Tools-JTH6E09BE/dp/B004QW2H9U/ref=sr_1_3?keywords=Klein+Tools+JTH6E09+9%2F64-Inch+Hex+Key%2C+Journeyman+T-Handle%2C+6-Inch&amp;qid=1694735431&amp;sr=8-3", "https://www.amazon.com/Ball-End-Journeyman-Klein-Tools-JTH6E09BE/dp/B004QW2H9U/ref=sr_1_3?keywords=Klein+Tools+JTH6E09+9%2F64-Inch+Hex+Key%2C+Journeyman+T-Handle%2C+6-Inch&amp;qid=1694735431&amp;sr=8-3")</f>
        <v/>
      </c>
      <c r="F8264" t="inlineStr">
        <is>
          <t>B004QW2H9U</t>
        </is>
      </c>
      <c r="G8264">
        <f>_xludf.IMAGE("https://edmondsonsupply.com/cdn/shop/products/jth6e15_bef890d0-fa69-4c40-acf7-922fc3acaacb.jpg?v=1587142823")</f>
        <v/>
      </c>
      <c r="H8264">
        <f>_xludf.IMAGE("https://m.media-amazon.com/images/I/51f9vBFVXgL._AC_UL320_.jpg")</f>
        <v/>
      </c>
      <c r="K8264" t="inlineStr">
        <is>
          <t>3.99</t>
        </is>
      </c>
      <c r="L8264" t="n">
        <v>7.26</v>
      </c>
      <c r="M8264" s="1" t="inlineStr">
        <is>
          <t>81.95%</t>
        </is>
      </c>
      <c r="N8264" s="1" t="n"/>
      <c r="O8264" t="n">
        <v>4.9</v>
      </c>
      <c r="P8264" t="n">
        <v>65</v>
      </c>
      <c r="R8264" t="inlineStr">
        <is>
          <t>InStock</t>
        </is>
      </c>
      <c r="S8264" t="inlineStr">
        <is>
          <t>6.04</t>
        </is>
      </c>
      <c r="T8264" t="inlineStr">
        <is>
          <t>4339809386596</t>
        </is>
      </c>
    </row>
    <row r="8265" ht="87" customHeight="1">
      <c r="A8265" s="2">
        <f>HYPERLINK("https://edmondsonsupply.com/collections/electricians-tools/products/channellock-337", "https://edmondsonsupply.com/collections/electricians-tools/products/channellock-337")</f>
        <v/>
      </c>
      <c r="B8265" s="2">
        <f>HYPERLINK("https://edmondsonsupply.com/products/channellock-337", "https://edmondsonsupply.com/products/channellock-337")</f>
        <v/>
      </c>
      <c r="C8265" t="inlineStr">
        <is>
          <t>Channellock 337 7" XLT™ Diagonal Cutting Pliers</t>
        </is>
      </c>
      <c r="D8265" t="inlineStr">
        <is>
          <t>CHANNELLOCK GS-2 Plier Set, 2-Piece | 420 9.5-inch Tongue &amp; Groove Plier with 1-1/2 Jaw Capacity | 337 7-inch XLT High Leverage Diagonal Cutting Pliers | Made in USA, Polished Steel</t>
        </is>
      </c>
      <c r="E8265" s="2">
        <f>HYPERLINK("https://www.amazon.com/Channellock-GS-2-2-Piece-Tongue-Groove/dp/B000FK5DOI/ref=sr_1_1?keywords=Channellock+337+7%22+XLT%E2%84%A2+Diagonal+Cutting+Pliers&amp;qid=1694735460&amp;sr=8-1", "https://www.amazon.com/Channellock-GS-2-2-Piece-Tongue-Groove/dp/B000FK5DOI/ref=sr_1_1?keywords=Channellock+337+7%22+XLT%E2%84%A2+Diagonal+Cutting+Pliers&amp;qid=1694735460&amp;sr=8-1")</f>
        <v/>
      </c>
      <c r="F8265" t="inlineStr">
        <is>
          <t>B000FK5DOI</t>
        </is>
      </c>
      <c r="G8265">
        <f>_xlfn.IMAGE("https://edmondsonsupply.com/cdn/shop/products/337-2019-version.jpg?v=1587145859")</f>
        <v/>
      </c>
      <c r="H8265">
        <f>_xlfn.IMAGE("https://m.media-amazon.com/images/I/61hjDHd3GfL._AC_UL320_.jpg")</f>
        <v/>
      </c>
      <c r="K8265" t="inlineStr">
        <is>
          <t>23.95</t>
        </is>
      </c>
      <c r="L8265" t="n">
        <v>43.36</v>
      </c>
      <c r="M8265" s="1" t="inlineStr">
        <is>
          <t>81.04%</t>
        </is>
      </c>
      <c r="N8265" s="7" t="n"/>
      <c r="O8265" t="n">
        <v>4.6</v>
      </c>
      <c r="P8265" t="n">
        <v>55</v>
      </c>
      <c r="R8265" t="inlineStr">
        <is>
          <t>InStock</t>
        </is>
      </c>
      <c r="S8265" t="inlineStr">
        <is>
          <t>31.62</t>
        </is>
      </c>
      <c r="T8265" t="inlineStr">
        <is>
          <t>3726778925156</t>
        </is>
      </c>
    </row>
    <row r="8266" hidden="1" ht="15.75" customHeight="1">
      <c r="A8266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266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266" t="inlineStr">
        <is>
          <t>Klein Tools JTH6E08BE 1/8-Inch Ball Hex Key, Journeyman T-Handle, 6-Inch</t>
        </is>
      </c>
      <c r="D8266" t="inlineStr">
        <is>
          <t>Klein Tools JTH6M8BE 8 mm Ball End Hex Key with Journeyman T-Handle, 6-Inch</t>
        </is>
      </c>
      <c r="E8266" s="2">
        <f>HYPERLINK("https://www.amazon.com/Journeyman-T-Handle-Klein-Tools-JTH6M8BE/dp/B005G395RU/ref=sr_1_7?keywords=Klein+Tools+JTH6E08BE+1%2F8-Inch+Ball+Hex+Key%2C+Journeyman+T-Handle%2C+6-Inch&amp;qid=1694735452&amp;sr=8-7", "https://www.amazon.com/Journeyman-T-Handle-Klein-Tools-JTH6M8BE/dp/B005G395RU/ref=sr_1_7?keywords=Klein+Tools+JTH6E08BE+1%2F8-Inch+Ball+Hex+Key%2C+Journeyman+T-Handle%2C+6-Inch&amp;qid=1694735452&amp;sr=8-7")</f>
        <v/>
      </c>
      <c r="F8266" t="inlineStr">
        <is>
          <t>B005G395RU</t>
        </is>
      </c>
      <c r="G8266">
        <f>_xludf.IMAGE("https://edmondsonsupply.com/cdn/shop/products/jth6e13be.jpg?v=1587150101")</f>
        <v/>
      </c>
      <c r="H8266">
        <f>_xludf.IMAGE("https://m.media-amazon.com/images/I/51AxgtE+VvL._AC_UL320_.jpg")</f>
        <v/>
      </c>
      <c r="K8266" t="inlineStr">
        <is>
          <t>4.99</t>
        </is>
      </c>
      <c r="L8266" t="n">
        <v>8.99</v>
      </c>
      <c r="M8266" s="1" t="inlineStr">
        <is>
          <t>80.16%</t>
        </is>
      </c>
      <c r="N8266" s="1" t="n"/>
      <c r="O8266" t="n">
        <v>4.8</v>
      </c>
      <c r="P8266" t="n">
        <v>985</v>
      </c>
      <c r="R8266" t="inlineStr">
        <is>
          <t>InStock</t>
        </is>
      </c>
      <c r="S8266" t="inlineStr">
        <is>
          <t>7.54</t>
        </is>
      </c>
      <c r="T8266" t="inlineStr">
        <is>
          <t>4174483193956</t>
        </is>
      </c>
    </row>
    <row r="8267" ht="87" customHeight="1">
      <c r="A8267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267" s="2">
        <f>HYPERLINK("https://edmondsonsupply.com/products/klein-tools-69411-circuit-breaker-finder-accessory-kit", "https://edmondsonsupply.com/products/klein-tools-69411-circuit-breaker-finder-accessory-kit")</f>
        <v/>
      </c>
      <c r="C8267" t="inlineStr">
        <is>
          <t>Klein Tools 69411 Circuit Breaker Finder Accessory Kit</t>
        </is>
      </c>
      <c r="D8267" t="inlineStr">
        <is>
          <t>Circuit Breaker Finder Accessory Kit, Circuit Breaker Leads, Circuit Breaker Adapters Klein Tools 69411 &amp; 69401 Multimeter Carrying Case</t>
        </is>
      </c>
      <c r="E8267" s="2">
        <f>HYPERLINK("https://www.amazon.com/Accessory-Adapters-Klein-Tools-Multimeter/dp/B08ZNQN1DZ/ref=sr_1_7?keywords=Klein+Tools+69411+Circuit+Breaker+Finder+Accessory+Kit&amp;qid=1694735452&amp;sr=8-7", "https://www.amazon.com/Accessory-Adapters-Klein-Tools-Multimeter/dp/B08ZNQN1DZ/ref=sr_1_7?keywords=Klein+Tools+69411+Circuit+Breaker+Finder+Accessory+Kit&amp;qid=1694735452&amp;sr=8-7")</f>
        <v/>
      </c>
      <c r="F8267" t="inlineStr">
        <is>
          <t>B08ZNQN1DZ</t>
        </is>
      </c>
      <c r="G8267">
        <f>_xlfn.IMAGE("https://edmondsonsupply.com/cdn/shop/products/69411.jpg?v=1587143386")</f>
        <v/>
      </c>
      <c r="H8267">
        <f>_xlfn.IMAGE("https://m.media-amazon.com/images/I/51+SXw+mW2L._AC_UL320_.jpg")</f>
        <v/>
      </c>
      <c r="K8267" t="inlineStr">
        <is>
          <t>19.97</t>
        </is>
      </c>
      <c r="L8267" t="n">
        <v>35.97</v>
      </c>
      <c r="M8267" s="1" t="inlineStr">
        <is>
          <t>80.12%</t>
        </is>
      </c>
      <c r="N8267" s="7" t="n"/>
      <c r="O8267" t="n">
        <v>4.8</v>
      </c>
      <c r="P8267" t="n">
        <v>110</v>
      </c>
      <c r="R8267" t="inlineStr">
        <is>
          <t>InStock</t>
        </is>
      </c>
      <c r="S8267" t="inlineStr">
        <is>
          <t>27.96</t>
        </is>
      </c>
      <c r="T8267" t="inlineStr">
        <is>
          <t>4166896255076</t>
        </is>
      </c>
    </row>
    <row r="8268" ht="87" customHeight="1">
      <c r="A8268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268" s="2">
        <f>HYPERLINK("https://edmondsonsupply.com/products/klein-tools-70591-folding-hex-key-set-nine-key-inch-sizes", "https://edmondsonsupply.com/products/klein-tools-70591-folding-hex-key-set-nine-key-inch-sizes")</f>
        <v/>
      </c>
      <c r="C8268" t="inlineStr">
        <is>
          <t>Klein Tools 70591 Folding Hex Key Set, 9-Key, SAE Sizes</t>
        </is>
      </c>
      <c r="D8268" t="inlineStr">
        <is>
          <t>Klein Tools 70586 Folding TORX Key Set, 8-Key, SAE Sizes</t>
        </is>
      </c>
      <c r="E8268" s="2">
        <f>HYPERLINK("https://www.amazon.com/Folding-TORX-Klein-Tools-70586/dp/B0002RI8RI/ref=sr_1_13?keywords=Klein+Tools+70591+Folding+Hex+Key+Set%2C+9-Key%2C+SAE+Sizes&amp;qid=1694735474&amp;sr=8-13", "https://www.amazon.com/Folding-TORX-Klein-Tools-70586/dp/B0002RI8RI/ref=sr_1_13?keywords=Klein+Tools+70591+Folding+Hex+Key+Set%2C+9-Key%2C+SAE+Sizes&amp;qid=1694735474&amp;sr=8-13")</f>
        <v/>
      </c>
      <c r="F8268" t="inlineStr">
        <is>
          <t>B0002RI8RI</t>
        </is>
      </c>
      <c r="G8268">
        <f>_xlfn.IMAGE("https://edmondsonsupply.com/cdn/shop/products/70591.jpg?v=1587146577")</f>
        <v/>
      </c>
      <c r="H8268">
        <f>_xlfn.IMAGE("https://m.media-amazon.com/images/I/51FSDo5VcWL._AC_UL320_.jpg")</f>
        <v/>
      </c>
      <c r="K8268" t="inlineStr">
        <is>
          <t>9.99</t>
        </is>
      </c>
      <c r="L8268" t="n">
        <v>17.99</v>
      </c>
      <c r="M8268" s="1" t="inlineStr">
        <is>
          <t>80.08%</t>
        </is>
      </c>
      <c r="N8268" s="7" t="n"/>
      <c r="O8268" t="n">
        <v>4.8</v>
      </c>
      <c r="P8268" t="n">
        <v>163</v>
      </c>
      <c r="R8268" t="inlineStr">
        <is>
          <t>InStock</t>
        </is>
      </c>
      <c r="S8268" t="inlineStr">
        <is>
          <t>14.04</t>
        </is>
      </c>
      <c r="T8268" t="inlineStr">
        <is>
          <t>3683738320996</t>
        </is>
      </c>
    </row>
    <row r="8269" hidden="1" ht="15.75" customHeight="1">
      <c r="A8269" s="2">
        <f>HYPERLINK("https://edmondsonsupply.com/collections/electricians-tools/products/klein-tools-606-2-1-16-inch-keystone-tip-mini-screwdriver-2-inch", "https://edmondsonsupply.com/collections/electricians-tools/products/klein-tools-606-2-1-16-inch-keystone-tip-mini-screwdriver-2-inch")</f>
        <v/>
      </c>
      <c r="B8269" s="2">
        <f>HYPERLINK("https://edmondsonsupply.com/products/klein-tools-606-2-1-16-inch-keystone-tip-mini-screwdriver-2-inch", "https://edmondsonsupply.com/products/klein-tools-606-2-1-16-inch-keystone-tip-mini-screwdriver-2-inch")</f>
        <v/>
      </c>
      <c r="C8269" t="inlineStr">
        <is>
          <t>Klein Tools 606-2 1/16-Inch Keystone Tip Mini Screwdriver, 2-Inch</t>
        </is>
      </c>
      <c r="D8269" t="inlineStr">
        <is>
          <t>Klein Tools 621-6 Coated 3/16-Inch Cabinet Tip Flat Head Screwdriver, 6-Inch Round Shank, Cushion Grip Handle</t>
        </is>
      </c>
      <c r="E8269" s="2">
        <f>HYPERLINK("https://www.amazon.com/16-Inch-Screwdriver-Klein-Tools-621-6/dp/B00093GE44/ref=sr_1_34?keywords=Klein+Tools+606-2+1%2F16-Inch+Keystone+Tip+Mini+Screwdriver%2C+2-Inch&amp;qid=1694735451&amp;sr=8-34", "https://www.amazon.com/16-Inch-Screwdriver-Klein-Tools-621-6/dp/B00093GE44/ref=sr_1_34?keywords=Klein+Tools+606-2+1%2F16-Inch+Keystone+Tip+Mini+Screwdriver%2C+2-Inch&amp;qid=1694735451&amp;sr=8-34")</f>
        <v/>
      </c>
      <c r="F8269" t="inlineStr">
        <is>
          <t>B00093GE44</t>
        </is>
      </c>
      <c r="G8269">
        <f>_xludf.IMAGE("https://edmondsonsupply.com/cdn/shop/products/606-2_690f3993-7bcc-48c0-84f9-beafc5b40206.jpg?v=1587147734")</f>
        <v/>
      </c>
      <c r="H8269">
        <f>_xludf.IMAGE("https://m.media-amazon.com/images/I/51PRkgD+r3L._AC_UL320_.jpg")</f>
        <v/>
      </c>
      <c r="K8269" t="inlineStr">
        <is>
          <t>6.99</t>
        </is>
      </c>
      <c r="L8269" t="n">
        <v>12.49</v>
      </c>
      <c r="M8269" s="1" t="inlineStr">
        <is>
          <t>78.68%</t>
        </is>
      </c>
      <c r="N8269" s="1" t="n"/>
      <c r="O8269" t="n">
        <v>4.4</v>
      </c>
      <c r="P8269" t="n">
        <v>25</v>
      </c>
      <c r="R8269" t="inlineStr">
        <is>
          <t>InStock</t>
        </is>
      </c>
      <c r="S8269" t="inlineStr">
        <is>
          <t>10.58</t>
        </is>
      </c>
      <c r="T8269" t="inlineStr">
        <is>
          <t>4290005598308</t>
        </is>
      </c>
    </row>
    <row r="8270" ht="87" customHeight="1">
      <c r="A8270" s="2">
        <f>HYPERLINK("https://edmondsonsupply.com/collections/electricians-tools/products/klein-tools-5139pad-padded-zipper-tool-bag", "https://edmondsonsupply.com/collections/electricians-tools/products/klein-tools-5139pad-padded-zipper-tool-bag")</f>
        <v/>
      </c>
      <c r="B8270" s="2">
        <f>HYPERLINK("https://edmondsonsupply.com/products/klein-tools-5139pad-padded-zipper-tool-bag", "https://edmondsonsupply.com/products/klein-tools-5139pad-padded-zipper-tool-bag")</f>
        <v/>
      </c>
      <c r="C8270" t="inlineStr">
        <is>
          <t>Klein Tools 5139PAD Zipper Bag, Cordura Nylon Tool Pouch with Padding, 12-1/2-Inch</t>
        </is>
      </c>
      <c r="D8270" t="inlineStr">
        <is>
          <t>Klein Tools 55559 Stand-Up Zipper Bag Tool Pouch, 2-Pack &amp; 5139 Zipper Bag, Canvas Tool Pouch 12.5 x 7 x 4.25-Inch with Heavy Duty Brass Zipper Close, Natural</t>
        </is>
      </c>
      <c r="E8270" s="2">
        <f>HYPERLINK("https://www.amazon.com/Klein-Tools-Stand-Up-4-25-Inch-Natural/dp/B0BR25QG1Q/ref=sr_1_15?keywords=Klein+Tools+5139PAD+Zipper+Bag%2C+Cordura+Nylon+Tool+Pouch+with+Padding%2C+12-1%2F2-Inch&amp;qid=1694735474&amp;sr=8-15", "https://www.amazon.com/Klein-Tools-Stand-Up-4-25-Inch-Natural/dp/B0BR25QG1Q/ref=sr_1_15?keywords=Klein+Tools+5139PAD+Zipper+Bag%2C+Cordura+Nylon+Tool+Pouch+with+Padding%2C+12-1%2F2-Inch&amp;qid=1694735474&amp;sr=8-15")</f>
        <v/>
      </c>
      <c r="F8270" t="inlineStr">
        <is>
          <t>B0BR25QG1Q</t>
        </is>
      </c>
      <c r="G8270">
        <f>_xlfn.IMAGE("https://edmondsonsupply.com/cdn/shop/products/5139pad.jpg?v=1587143515")</f>
        <v/>
      </c>
      <c r="H8270">
        <f>_xlfn.IMAGE("https://m.media-amazon.com/images/I/51j3cDVxrVL._AC_UL320_.jpg")</f>
        <v/>
      </c>
      <c r="K8270" t="inlineStr">
        <is>
          <t>13.99</t>
        </is>
      </c>
      <c r="L8270" t="n">
        <v>24.99</v>
      </c>
      <c r="M8270" s="1" t="inlineStr">
        <is>
          <t>78.63%</t>
        </is>
      </c>
      <c r="N8270" s="7" t="n"/>
      <c r="O8270" t="n">
        <v>5</v>
      </c>
      <c r="P8270" t="n">
        <v>2</v>
      </c>
      <c r="R8270" t="inlineStr">
        <is>
          <t>InStock</t>
        </is>
      </c>
      <c r="S8270" t="inlineStr">
        <is>
          <t>21.2</t>
        </is>
      </c>
      <c r="T8270" t="inlineStr">
        <is>
          <t>3671682383972</t>
        </is>
      </c>
    </row>
    <row r="8271" ht="87" customHeight="1">
      <c r="A8271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271" s="2">
        <f>HYPERLINK("https://edmondsonsupply.com/products/klein-tools-et140-pinless-moisture-meter", "https://edmondsonsupply.com/products/klein-tools-et140-pinless-moisture-meter")</f>
        <v/>
      </c>
      <c r="C8271" t="inlineStr">
        <is>
          <t>Klein Tools ET140 Pinless Moisture Meter</t>
        </is>
      </c>
      <c r="D8271" t="inlineStr">
        <is>
          <t>Klein Tools IR1 Infrared Thermometer, Digital Laser Gun is Non-Contact Thermometer &amp; ET140 Pinless Moisture Meter for Non-Destructive Moisture Detection in Drywall, Wood, and Masonry</t>
        </is>
      </c>
      <c r="E8271" s="2">
        <f>HYPERLINK("https://www.amazon.com/Klein-Tools-Thermometer-Non-Contact-Non-Destructive/dp/B0B56RPLVJ/ref=sr_1_18?keywords=Klein+Tools+ET140+Pinless+Moisture+Meter&amp;qid=1694735470&amp;sr=8-18", "https://www.amazon.com/Klein-Tools-Thermometer-Non-Contact-Non-Destructive/dp/B0B56RPLVJ/ref=sr_1_18?keywords=Klein+Tools+ET140+Pinless+Moisture+Meter&amp;qid=1694735470&amp;sr=8-18")</f>
        <v/>
      </c>
      <c r="F8271" t="inlineStr">
        <is>
          <t>B0B56RPLVJ</t>
        </is>
      </c>
      <c r="G8271">
        <f>_xlfn.IMAGE("https://edmondsonsupply.com/cdn/shop/products/et140_beauty_r.jpg?v=1587143172")</f>
        <v/>
      </c>
      <c r="H8271">
        <f>_xlfn.IMAGE("https://m.media-amazon.com/images/I/41ElWmGucTL._AC_UL320_.jpg")</f>
        <v/>
      </c>
      <c r="K8271" t="inlineStr">
        <is>
          <t>41.97</t>
        </is>
      </c>
      <c r="L8271" t="n">
        <v>74.95999999999999</v>
      </c>
      <c r="M8271" s="1" t="inlineStr">
        <is>
          <t>78.60%</t>
        </is>
      </c>
      <c r="N8271" s="7" t="n"/>
      <c r="O8271" t="n">
        <v>4.7</v>
      </c>
      <c r="P8271" t="n">
        <v>16</v>
      </c>
      <c r="R8271" t="inlineStr">
        <is>
          <t>InStock</t>
        </is>
      </c>
      <c r="S8271" t="inlineStr">
        <is>
          <t>59.44</t>
        </is>
      </c>
      <c r="T8271" t="inlineStr">
        <is>
          <t>3693529071716</t>
        </is>
      </c>
    </row>
    <row r="8272" ht="87" customHeight="1">
      <c r="A8272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272" s="2">
        <f>HYPERLINK("https://edmondsonsupply.com/products/klein-tools-et140-pinless-moisture-meter", "https://edmondsonsupply.com/products/klein-tools-et140-pinless-moisture-meter")</f>
        <v/>
      </c>
      <c r="C8272" t="inlineStr">
        <is>
          <t>Klein Tools ET140 Pinless Moisture Meter</t>
        </is>
      </c>
      <c r="D8272" t="inlineStr">
        <is>
          <t>General Tools MMD4E Digital Moisture Meter, Grays &amp; Klein Tools ET140 Pinless Moisture Meter for Non-Destructive Moisture Detection in Drywall, Wood, and Masonry; Detects up to 3/4-Inch Below Surface</t>
        </is>
      </c>
      <c r="E8272" s="2">
        <f>HYPERLINK("https://www.amazon.com/General-Tools-Moisture-Non-Destructive-Detection/dp/B09P84BMBY/ref=sr_1_4?keywords=Klein+Tools+ET140+Pinless+Moisture+Meter&amp;qid=1694735470&amp;sr=8-4", "https://www.amazon.com/General-Tools-Moisture-Non-Destructive-Detection/dp/B09P84BMBY/ref=sr_1_4?keywords=Klein+Tools+ET140+Pinless+Moisture+Meter&amp;qid=1694735470&amp;sr=8-4")</f>
        <v/>
      </c>
      <c r="F8272" t="inlineStr">
        <is>
          <t>B09P84BMBY</t>
        </is>
      </c>
      <c r="G8272">
        <f>_xlfn.IMAGE("https://edmondsonsupply.com/cdn/shop/products/et140_beauty_r.jpg?v=1587143172")</f>
        <v/>
      </c>
      <c r="H8272">
        <f>_xlfn.IMAGE("https://m.media-amazon.com/images/I/51iCU+67HgL._AC_UL320_.jpg")</f>
        <v/>
      </c>
      <c r="K8272" t="inlineStr">
        <is>
          <t>41.97</t>
        </is>
      </c>
      <c r="L8272" t="n">
        <v>74.2</v>
      </c>
      <c r="M8272" s="1" t="inlineStr">
        <is>
          <t>76.79%</t>
        </is>
      </c>
      <c r="N8272" s="7" t="n"/>
      <c r="O8272" t="n">
        <v>4.2</v>
      </c>
      <c r="P8272" t="n">
        <v>12</v>
      </c>
      <c r="R8272" t="inlineStr">
        <is>
          <t>InStock</t>
        </is>
      </c>
      <c r="S8272" t="inlineStr">
        <is>
          <t>59.44</t>
        </is>
      </c>
      <c r="T8272" t="inlineStr">
        <is>
          <t>3693529071716</t>
        </is>
      </c>
    </row>
    <row r="8273" hidden="1" ht="15.75" customHeight="1">
      <c r="A8273" s="2">
        <f>HYPERLINK("https://edmondsonsupply.com/collections/electricians-tools/products/klein-tools-32528-schrader%C2%AE-valve-core-replacement-bit", "https://edmondsonsupply.com/collections/electricians-tools/products/klein-tools-32528-schrader%C2%AE-valve-core-replacement-bit")</f>
        <v/>
      </c>
      <c r="B8273" s="2">
        <f>HYPERLINK("https://edmondsonsupply.com/products/klein-tools-32528-schrader%c2%ae-valve-core-replacement-bit", "https://edmondsonsupply.com/products/klein-tools-32528-schrader%c2%ae-valve-core-replacement-bit")</f>
        <v/>
      </c>
      <c r="C8273" t="inlineStr">
        <is>
          <t>Klein Tools 32528 Schrader® Valve Core Replacement Bit</t>
        </is>
      </c>
      <c r="D8273" t="inlineStr">
        <is>
          <t>Klein Tools 32784 Replacement Bit, Schrader Valve Insertion and Core Remover</t>
        </is>
      </c>
      <c r="E8273" s="2">
        <f>HYPERLINK("https://www.amazon.com/Replacement-Insertion-Klein-Tools-32784/dp/B01MRI95SV/ref=sr_1_2?keywords=Klein+Tools+32528+Schrader%C2%AE+Valve+Core+Replacement+Bit&amp;qid=1694735466&amp;sr=8-2", "https://www.amazon.com/Replacement-Insertion-Klein-Tools-32784/dp/B01MRI95SV/ref=sr_1_2?keywords=Klein+Tools+32528+Schrader%C2%AE+Valve+Core+Replacement+Bit&amp;qid=1694735466&amp;sr=8-2")</f>
        <v/>
      </c>
      <c r="F8273" t="inlineStr">
        <is>
          <t>B01MRI95SV</t>
        </is>
      </c>
      <c r="G8273">
        <f>_xludf.IMAGE("https://edmondsonsupply.com/cdn/shop/files/32528.jpg?v=1690209544")</f>
        <v/>
      </c>
      <c r="H8273">
        <f>_xludf.IMAGE("https://m.media-amazon.com/images/I/41YYXyYEf9L._AC_UL320_.jpg")</f>
        <v/>
      </c>
      <c r="K8273" t="inlineStr">
        <is>
          <t>6.99</t>
        </is>
      </c>
      <c r="L8273" t="n">
        <v>12.35</v>
      </c>
      <c r="M8273" s="1" t="inlineStr">
        <is>
          <t>76.68%</t>
        </is>
      </c>
      <c r="N8273" s="1" t="n"/>
      <c r="O8273" t="n">
        <v>4.1</v>
      </c>
      <c r="P8273" t="n">
        <v>7</v>
      </c>
      <c r="R8273" t="inlineStr">
        <is>
          <t>InStock</t>
        </is>
      </c>
      <c r="S8273" t="inlineStr">
        <is>
          <t>9.84</t>
        </is>
      </c>
      <c r="T8273" t="inlineStr">
        <is>
          <t>3706726678628</t>
        </is>
      </c>
    </row>
    <row r="8274" hidden="1" ht="15.75" customHeight="1">
      <c r="A8274" s="2">
        <f>HYPERLINK("https://edmondsonsupply.com/collections/electricians-tools/products/klein-tools-86601-5-16-inch-magnetic-hex-drivers-3-pack", "https://edmondsonsupply.com/collections/electricians-tools/products/klein-tools-86601-5-16-inch-magnetic-hex-drivers-3-pack")</f>
        <v/>
      </c>
      <c r="B8274" s="2">
        <f>HYPERLINK("https://edmondsonsupply.com/products/klein-tools-86601-5-16-inch-magnetic-hex-drivers-3-pack", "https://edmondsonsupply.com/products/klein-tools-86601-5-16-inch-magnetic-hex-drivers-3-pack")</f>
        <v/>
      </c>
      <c r="C8274" t="inlineStr">
        <is>
          <t>Klein Tools 86601 5/16-Inch Magnetic Hex Drivers, 3-Pack</t>
        </is>
      </c>
      <c r="D8274" t="inlineStr">
        <is>
          <t>Klein Tools 32793 Pro Impact Driver Bit, 5/16-Inch Hex Nut Driver, 3 Pack</t>
        </is>
      </c>
      <c r="E8274" s="2">
        <f>HYPERLINK("https://www.amazon.com/Klein-Tools-32793-Impact-16-Inch/dp/B07RM8WVXK/ref=sr_1_4?keywords=Klein+Tools+86601+5%2F16-Inch+Magnetic+Hex+Drivers%2C+3-Pack&amp;qid=1694735450&amp;sr=8-4", "https://www.amazon.com/Klein-Tools-32793-Impact-16-Inch/dp/B07RM8WVXK/ref=sr_1_4?keywords=Klein+Tools+86601+5%2F16-Inch+Magnetic+Hex+Drivers%2C+3-Pack&amp;qid=1694735450&amp;sr=8-4")</f>
        <v/>
      </c>
      <c r="F8274" t="inlineStr">
        <is>
          <t>B07RM8WVXK</t>
        </is>
      </c>
      <c r="G8274">
        <f>_xludf.IMAGE("https://edmondsonsupply.com/cdn/shop/products/86601.jpg?v=1587143139")</f>
        <v/>
      </c>
      <c r="H8274">
        <f>_xludf.IMAGE("https://m.media-amazon.com/images/I/41dAZSiz0zL._AC_UL320_.jpg")</f>
        <v/>
      </c>
      <c r="K8274" t="inlineStr">
        <is>
          <t>6.99</t>
        </is>
      </c>
      <c r="L8274" t="n">
        <v>12.32</v>
      </c>
      <c r="M8274" s="1" t="inlineStr">
        <is>
          <t>76.25%</t>
        </is>
      </c>
      <c r="N8274" s="1" t="n"/>
      <c r="O8274" t="n">
        <v>4.7</v>
      </c>
      <c r="P8274" t="n">
        <v>447</v>
      </c>
      <c r="R8274" t="inlineStr">
        <is>
          <t>InStock</t>
        </is>
      </c>
      <c r="S8274" t="inlineStr">
        <is>
          <t>10.1</t>
        </is>
      </c>
      <c r="T8274" t="inlineStr">
        <is>
          <t>4274616434788</t>
        </is>
      </c>
    </row>
    <row r="8275" hidden="1" ht="15.75" customHeight="1">
      <c r="A8275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75" s="2">
        <f>HYPERLINK("https://edmondsonsupply.com/products/klein-tools-600-1-5-16-inch-cabinet-tip-screwdriver-1-1-2-inch", "https://edmondsonsupply.com/products/klein-tools-600-1-5-16-inch-cabinet-tip-screwdriver-1-1-2-inch")</f>
        <v/>
      </c>
      <c r="C8275" t="inlineStr">
        <is>
          <t>Klein Tools 600-1 5/16-Inch Cabinet Tip Screwdriver 1-1/2-Inch</t>
        </is>
      </c>
      <c r="D8275" t="inlineStr">
        <is>
          <t>Klein Tools 85742 Screwdriver Set, 3/16 Cabinet and 2 Phillips Precision Machined Tips, Cushion-Grip Handles, Round Shank, 2-Piece</t>
        </is>
      </c>
      <c r="E8275" s="2">
        <f>HYPERLINK("https://www.amazon.com/Screwdriver-Cushion-Grip-Klein-Tools-85742/dp/B0917X34P6/ref=sr_1_11?keywords=Klein+Tools+600-1+5%2F16-Inch+Cabinet+Tip+Screwdriver+1-1%2F2-Inch&amp;qid=1694735453&amp;sr=8-11", "https://www.amazon.com/Screwdriver-Cushion-Grip-Klein-Tools-85742/dp/B0917X34P6/ref=sr_1_11?keywords=Klein+Tools+600-1+5%2F16-Inch+Cabinet+Tip+Screwdriver+1-1%2F2-Inch&amp;qid=1694735453&amp;sr=8-11")</f>
        <v/>
      </c>
      <c r="F8275" t="inlineStr">
        <is>
          <t>B0917X34P6</t>
        </is>
      </c>
      <c r="G8275">
        <f>_xludf.IMAGE("https://edmondsonsupply.com/cdn/shop/products/600-1.jpg?v=1587147752")</f>
        <v/>
      </c>
      <c r="H8275">
        <f>_xludf.IMAGE("https://m.media-amazon.com/images/I/51oASlfAJbS._AC_UL320_.jpg")</f>
        <v/>
      </c>
      <c r="K8275" t="inlineStr">
        <is>
          <t>7.49</t>
        </is>
      </c>
      <c r="L8275" t="n">
        <v>13.2</v>
      </c>
      <c r="M8275" s="1" t="inlineStr">
        <is>
          <t>76.23%</t>
        </is>
      </c>
      <c r="N8275" s="1" t="n"/>
      <c r="O8275" t="n">
        <v>4.7</v>
      </c>
      <c r="P8275" t="n">
        <v>89</v>
      </c>
      <c r="R8275" t="inlineStr">
        <is>
          <t>InStock</t>
        </is>
      </c>
      <c r="S8275" t="inlineStr">
        <is>
          <t>11.22</t>
        </is>
      </c>
      <c r="T8275" t="inlineStr">
        <is>
          <t>4171360403556</t>
        </is>
      </c>
    </row>
    <row r="8276" hidden="1" ht="15.75" customHeight="1">
      <c r="A8276" s="2">
        <f>HYPERLINK("https://edmondsonsupply.com/collections/electricians-tools/products/klein-tools-jth6t15-t15-torx%C2%AE-hex-key-with-journeyman-t-handle-6-inch", "https://edmondsonsupply.com/collections/electricians-tools/products/klein-tools-jth6t15-t15-torx%C2%AE-hex-key-with-journeyman-t-handle-6-inch")</f>
        <v/>
      </c>
      <c r="B8276" s="2">
        <f>HYPERLINK("https://edmondsonsupply.com/products/klein-tools-jth6t15-t15-torx%c2%ae-hex-key-with-journeyman-t-handle-6-inch", "https://edmondsonsupply.com/products/klein-tools-jth6t15-t15-torx%c2%ae-hex-key-with-journeyman-t-handle-6-inch")</f>
        <v/>
      </c>
      <c r="C8276" t="inlineStr">
        <is>
          <t>Klein Tools JTH6T15 T15 Torx® Hex Key with Journeyman T-Handle, 6-Inch</t>
        </is>
      </c>
      <c r="D8276" t="inlineStr">
        <is>
          <t>Klein Tools JTH6E13BE 1/4-Inch Ball End Hex Key with Journeyman T-Handle, 6-Inch</t>
        </is>
      </c>
      <c r="E8276" s="2">
        <f>HYPERLINK("https://www.amazon.com/Journeyman-T-Handle-Klein-Tools-JTH6E13BE/dp/B004QW52YW/ref=sr_1_4?keywords=Klein+Tools+JTH6T15+T15+Torx%C2%AE+Hex+Key+with+Journeyman+T-Handle%2C+6-Inch&amp;qid=1694735438&amp;sr=8-4", "https://www.amazon.com/Journeyman-T-Handle-Klein-Tools-JTH6E13BE/dp/B004QW52YW/ref=sr_1_4?keywords=Klein+Tools+JTH6T15+T15+Torx%C2%AE+Hex+Key+with+Journeyman+T-Handle%2C+6-Inch&amp;qid=1694735438&amp;sr=8-4")</f>
        <v/>
      </c>
      <c r="F8276" t="inlineStr">
        <is>
          <t>B004QW52YW</t>
        </is>
      </c>
      <c r="G8276">
        <f>_xludf.IMAGE("https://edmondsonsupply.com/cdn/shop/products/jth6t40.jpg?v=1587144821")</f>
        <v/>
      </c>
      <c r="H8276">
        <f>_xludf.IMAGE("https://m.media-amazon.com/images/I/51f9vBFVXgL._AC_UL320_.jpg")</f>
        <v/>
      </c>
      <c r="K8276" t="inlineStr">
        <is>
          <t>5.99</t>
        </is>
      </c>
      <c r="L8276" t="n">
        <v>10.55</v>
      </c>
      <c r="M8276" s="1" t="inlineStr">
        <is>
          <t>76.13%</t>
        </is>
      </c>
      <c r="N8276" s="1" t="n"/>
      <c r="O8276" t="n">
        <v>4.7</v>
      </c>
      <c r="P8276" t="n">
        <v>32</v>
      </c>
      <c r="R8276" t="inlineStr">
        <is>
          <t>InStock</t>
        </is>
      </c>
      <c r="S8276" t="inlineStr">
        <is>
          <t>9.06</t>
        </is>
      </c>
      <c r="T8276" t="inlineStr">
        <is>
          <t>4379253964900</t>
        </is>
      </c>
    </row>
    <row r="8277" ht="87" customHeight="1">
      <c r="A8277" s="2">
        <f>HYPERLINK("https://edmondsonsupply.com/collections/electricians-tools/products/klein-tools-1006-crimping-cutting-tool-for-non-insulated-terminals", "https://edmondsonsupply.com/collections/electricians-tools/products/klein-tools-1006-crimping-cutting-tool-for-non-insulated-terminals")</f>
        <v/>
      </c>
      <c r="B8277" s="2">
        <f>HYPERLINK("https://edmondsonsupply.com/products/klein-tools-1006-crimping-cutting-tool-for-non-insulated-terminals", "https://edmondsonsupply.com/products/klein-tools-1006-crimping-cutting-tool-for-non-insulated-terminals")</f>
        <v/>
      </c>
      <c r="C8277" t="inlineStr">
        <is>
          <t>Klein Tools 1006 Crimping/Cutting Tool for Non-Insulated Terminals</t>
        </is>
      </c>
      <c r="D8277" t="inlineStr">
        <is>
          <t>Klein Tools 1005-INS Insulated Cutting / Crimping Tool for 10 to 22 AWG Wire with Wire Cutter in Nose, 1000-Volt Rating</t>
        </is>
      </c>
      <c r="E8277" s="2">
        <f>HYPERLINK("https://www.amazon.com/Insulated-Crimping-Klein-Tools-1005-INS/dp/B000LDIPTY/ref=sr_1_4?keywords=Klein+Tools+1006+Crimping%2FCutting+Tool+for+Non-Insulated+Terminals&amp;qid=1694735431&amp;sr=8-4", "https://www.amazon.com/Insulated-Crimping-Klein-Tools-1005-INS/dp/B000LDIPTY/ref=sr_1_4?keywords=Klein+Tools+1006+Crimping%2FCutting+Tool+for+Non-Insulated+Terminals&amp;qid=1694735431&amp;sr=8-4")</f>
        <v/>
      </c>
      <c r="F8277" t="inlineStr">
        <is>
          <t>B000LDIPTY</t>
        </is>
      </c>
      <c r="G8277">
        <f>_xlfn.IMAGE("https://edmondsonsupply.com/cdn/shop/products/1006.jpg?v=1587143845")</f>
        <v/>
      </c>
      <c r="H8277">
        <f>_xlfn.IMAGE("https://m.media-amazon.com/images/I/51cSl7BP82L._AC_UL320_.jpg")</f>
        <v/>
      </c>
      <c r="K8277" t="inlineStr">
        <is>
          <t>36.99</t>
        </is>
      </c>
      <c r="L8277" t="n">
        <v>64.98999999999999</v>
      </c>
      <c r="M8277" s="1" t="inlineStr">
        <is>
          <t>75.70%</t>
        </is>
      </c>
      <c r="N8277" s="7" t="n"/>
      <c r="O8277" t="n">
        <v>4.7</v>
      </c>
      <c r="P8277" t="n">
        <v>19</v>
      </c>
      <c r="R8277" t="inlineStr">
        <is>
          <t>InStock</t>
        </is>
      </c>
      <c r="S8277" t="inlineStr">
        <is>
          <t>56.06</t>
        </is>
      </c>
      <c r="T8277" t="inlineStr">
        <is>
          <t>4339826851940</t>
        </is>
      </c>
    </row>
    <row r="8278" hidden="1" ht="15.75" customHeight="1">
      <c r="A8278" s="2">
        <f>HYPERLINK("https://edmondsonsupply.com/collections/electricians-tools/products/klein-tools-jth6t15-t15-torx%C2%AE-hex-key-with-journeyman-t-handle-6-inch", "https://edmondsonsupply.com/collections/electricians-tools/products/klein-tools-jth6t15-t15-torx%C2%AE-hex-key-with-journeyman-t-handle-6-inch")</f>
        <v/>
      </c>
      <c r="B8278" s="2">
        <f>HYPERLINK("https://edmondsonsupply.com/products/klein-tools-jth6t15-t15-torx%c2%ae-hex-key-with-journeyman-t-handle-6-inch", "https://edmondsonsupply.com/products/klein-tools-jth6t15-t15-torx%c2%ae-hex-key-with-journeyman-t-handle-6-inch")</f>
        <v/>
      </c>
      <c r="C8278" t="inlineStr">
        <is>
          <t>Klein Tools JTH6T15 T15 Torx® Hex Key with Journeyman T-Handle, 6-Inch</t>
        </is>
      </c>
      <c r="D8278" t="inlineStr">
        <is>
          <t>Klein Tools JTH6T15 T15 TORX Hex Key, Journeyman T-Handle, 6-Inch</t>
        </is>
      </c>
      <c r="E8278" s="2">
        <f>HYPERLINK("https://www.amazon.com/Journeyman-T-Handle-Klein-Tools-JTH6T15/dp/B005G3B43I/ref=sr_1_1?keywords=Klein+Tools+JTH6T15+T15+Torx%C2%AE+Hex+Key+with+Journeyman+T-Handle%2C+6-Inch&amp;qid=1694735438&amp;sr=8-1", "https://www.amazon.com/Journeyman-T-Handle-Klein-Tools-JTH6T15/dp/B005G3B43I/ref=sr_1_1?keywords=Klein+Tools+JTH6T15+T15+Torx%C2%AE+Hex+Key+with+Journeyman+T-Handle%2C+6-Inch&amp;qid=1694735438&amp;sr=8-1")</f>
        <v/>
      </c>
      <c r="F8278" t="inlineStr">
        <is>
          <t>B005G3B43I</t>
        </is>
      </c>
      <c r="G8278">
        <f>_xludf.IMAGE("https://edmondsonsupply.com/cdn/shop/products/jth6t40.jpg?v=1587144821")</f>
        <v/>
      </c>
      <c r="H8278">
        <f>_xludf.IMAGE("https://m.media-amazon.com/images/I/51Xj0Vsb-EL._AC_UL320_.jpg")</f>
        <v/>
      </c>
      <c r="K8278" t="inlineStr">
        <is>
          <t>5.99</t>
        </is>
      </c>
      <c r="L8278" t="n">
        <v>10.44</v>
      </c>
      <c r="M8278" s="1" t="inlineStr">
        <is>
          <t>74.29%</t>
        </is>
      </c>
      <c r="N8278" s="1" t="n"/>
      <c r="O8278" t="n">
        <v>4.6</v>
      </c>
      <c r="P8278" t="n">
        <v>231</v>
      </c>
      <c r="R8278" t="inlineStr">
        <is>
          <t>InStock</t>
        </is>
      </c>
      <c r="S8278" t="inlineStr">
        <is>
          <t>9.06</t>
        </is>
      </c>
      <c r="T8278" t="inlineStr">
        <is>
          <t>4379253964900</t>
        </is>
      </c>
    </row>
    <row r="8279" ht="87" customHeight="1">
      <c r="A8279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279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279" t="inlineStr">
        <is>
          <t>Klein Tools 11063W Katapult® Wire Stripper and Cutter for Solid and Stranded Wire</t>
        </is>
      </c>
      <c r="D8279" t="inlineStr">
        <is>
          <t>Klein Tools 11063W Wire Cutter/Wire Stripper, Heavy Duty Wire Stripper Tool &amp; 11061 Wire Stripper/Wire Cutter for Solid and Stranded AWG Wire, Heavy Duty Kleins are Self Adjusting</t>
        </is>
      </c>
      <c r="E8279" s="2">
        <f>HYPERLINK("https://www.amazon.com/Klein-Tools-Stripper-Stranded-Adjusting/dp/B08ZPWWTN2/ref=sr_1_2?keywords=Klein+Tools+11063W+Katapult%C2%AE+Wire+Stripper+and+Cutter+for+Solid+and+Stranded+Wire&amp;qid=1694735440&amp;sr=8-2", "https://www.amazon.com/Klein-Tools-Stripper-Stranded-Adjusting/dp/B08ZPWWTN2/ref=sr_1_2?keywords=Klein+Tools+11063W+Katapult%C2%AE+Wire+Stripper+and+Cutter+for+Solid+and+Stranded+Wire&amp;qid=1694735440&amp;sr=8-2")</f>
        <v/>
      </c>
      <c r="F8279" t="inlineStr">
        <is>
          <t>B08ZPWWTN2</t>
        </is>
      </c>
      <c r="G8279">
        <f>_xlfn.IMAGE("https://edmondsonsupply.com/cdn/shop/products/11063w.jpg?v=1587151004")</f>
        <v/>
      </c>
      <c r="H8279">
        <f>_xlfn.IMAGE("https://m.media-amazon.com/images/I/41+WzGiz14L._AC_UL320_.jpg")</f>
        <v/>
      </c>
      <c r="K8279" t="inlineStr">
        <is>
          <t>29.97</t>
        </is>
      </c>
      <c r="L8279" t="n">
        <v>51.94</v>
      </c>
      <c r="M8279" s="1" t="inlineStr">
        <is>
          <t>73.31%</t>
        </is>
      </c>
      <c r="N8279" s="7" t="n"/>
      <c r="O8279" t="n">
        <v>4.8</v>
      </c>
      <c r="P8279" t="n">
        <v>84</v>
      </c>
      <c r="R8279" t="inlineStr">
        <is>
          <t>InStock</t>
        </is>
      </c>
      <c r="S8279" t="inlineStr">
        <is>
          <t>44.7</t>
        </is>
      </c>
      <c r="T8279" t="inlineStr">
        <is>
          <t>4334180827236</t>
        </is>
      </c>
    </row>
    <row r="8280" ht="87" customHeight="1">
      <c r="A8280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280" s="2">
        <f>HYPERLINK("https://edmondsonsupply.com/products/klein-tools-1005-crimping-and-cutting-tool-for-connectors", "https://edmondsonsupply.com/products/klein-tools-1005-crimping-and-cutting-tool-for-connectors")</f>
        <v/>
      </c>
      <c r="C8280" t="inlineStr">
        <is>
          <t>Klein Tools 1005 Crimping and Cutting Tool for Connectors</t>
        </is>
      </c>
      <c r="D8280" t="inlineStr">
        <is>
          <t>Klein Tools 1005 Cutting/Crimping Tool for 10-22 AWG Terminals and Connectors &amp; 11061 Wire Stripper/Wire Cutter for Solid and Stranded AWG Wire, Heavy Duty Kleins are Self Adjusting</t>
        </is>
      </c>
      <c r="E8280" s="2">
        <f>HYPERLINK("https://www.amazon.com/Klein-Tools-Terminals-Connectors-Adjusting/dp/B0BC84JH2K/ref=sr_1_5?keywords=Klein+Tools+1005+Crimping+and+Cutting+Tool+for+Connectors&amp;qid=1694735460&amp;sr=8-5", "https://www.amazon.com/Klein-Tools-Terminals-Connectors-Adjusting/dp/B0BC84JH2K/ref=sr_1_5?keywords=Klein+Tools+1005+Crimping+and+Cutting+Tool+for+Connectors&amp;qid=1694735460&amp;sr=8-5")</f>
        <v/>
      </c>
      <c r="F8280" t="inlineStr">
        <is>
          <t>B0BC84JH2K</t>
        </is>
      </c>
      <c r="G8280">
        <f>_xlfn.IMAGE("https://edmondsonsupply.com/cdn/shop/products/1005.jpg?v=1666012896")</f>
        <v/>
      </c>
      <c r="H8280">
        <f>_xlfn.IMAGE("https://m.media-amazon.com/images/I/51v22oP3loL._AC_UL320_.jpg")</f>
        <v/>
      </c>
      <c r="K8280" t="inlineStr">
        <is>
          <t>29.97</t>
        </is>
      </c>
      <c r="L8280" t="n">
        <v>51.94</v>
      </c>
      <c r="M8280" s="1" t="inlineStr">
        <is>
          <t>73.31%</t>
        </is>
      </c>
      <c r="N8280" s="7" t="n"/>
      <c r="O8280" t="n">
        <v>5</v>
      </c>
      <c r="P8280" t="n">
        <v>3</v>
      </c>
      <c r="R8280" t="inlineStr">
        <is>
          <t>InStock</t>
        </is>
      </c>
      <c r="S8280" t="inlineStr">
        <is>
          <t>45.26</t>
        </is>
      </c>
      <c r="T8280" t="inlineStr">
        <is>
          <t>3707845640292</t>
        </is>
      </c>
    </row>
    <row r="8281" hidden="1" ht="15.75" customHeight="1">
      <c r="A8281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281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281" t="inlineStr">
        <is>
          <t>Klein Tools JTH6M25 2.5 mm Hex Key with Journeyman T-Handle, 6-Inch</t>
        </is>
      </c>
      <c r="D8281" t="inlineStr">
        <is>
          <t>Klein Tools JTH6M25BE 2.5 mm Ball End Hex Key with Journeyman T-Handle, 6-Inch</t>
        </is>
      </c>
      <c r="E8281" s="2">
        <f>HYPERLINK("https://www.amazon.com/Journeyman-T-Handle-Klein-Tools-JTH6M25BE/dp/B005G2RMPS/ref=sr_1_2?keywords=Klein+Tools+JTH6M25+2.5+mm+Hex+Key+with+Journeyman+T-Handle%2C+6-Inch&amp;qid=1694735465&amp;sr=8-2", "https://www.amazon.com/Journeyman-T-Handle-Klein-Tools-JTH6M25BE/dp/B005G2RMPS/ref=sr_1_2?keywords=Klein+Tools+JTH6M25+2.5+mm+Hex+Key+with+Journeyman+T-Handle%2C+6-Inch&amp;qid=1694735465&amp;sr=8-2")</f>
        <v/>
      </c>
      <c r="F8281" t="inlineStr">
        <is>
          <t>B005G2RMPS</t>
        </is>
      </c>
      <c r="G8281">
        <f>_xludf.IMAGE("https://edmondsonsupply.com/cdn/shop/products/jth6m8_418cc1b7-11e8-4105-a13a-5501c6e11940.jpg?v=1587148486")</f>
        <v/>
      </c>
      <c r="H8281">
        <f>_xludf.IMAGE("https://m.media-amazon.com/images/I/51huXA+ij8L._AC_UL320_.jpg")</f>
        <v/>
      </c>
      <c r="K8281" t="inlineStr">
        <is>
          <t>3.99</t>
        </is>
      </c>
      <c r="L8281" t="n">
        <v>6.91</v>
      </c>
      <c r="M8281" s="1" t="inlineStr">
        <is>
          <t>73.18%</t>
        </is>
      </c>
      <c r="N8281" s="1" t="n"/>
      <c r="O8281" t="n">
        <v>4.8</v>
      </c>
      <c r="P8281" t="n">
        <v>985</v>
      </c>
      <c r="R8281" t="inlineStr">
        <is>
          <t>InStock</t>
        </is>
      </c>
      <c r="S8281" t="inlineStr">
        <is>
          <t>5.76</t>
        </is>
      </c>
      <c r="T8281" t="inlineStr">
        <is>
          <t>3694858567780</t>
        </is>
      </c>
    </row>
    <row r="8282" ht="87" customHeight="1">
      <c r="A8282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282" s="2">
        <f>HYPERLINK("https://edmondsonsupply.com/products/klein-tools-d203-6-long-nose-side-cutters-6-inch", "https://edmondsonsupply.com/products/klein-tools-d203-6-long-nose-side-cutters-6-inch")</f>
        <v/>
      </c>
      <c r="C8282" t="inlineStr">
        <is>
          <t>Klein Tools D203-6 Pliers, Needle Nose Side-Cutters, 6-Inch</t>
        </is>
      </c>
      <c r="D8282" t="inlineStr">
        <is>
          <t>Klein Tools D302-6 Needle Nose Pliers, Long Nose Side Cutters, Alligator Pliers with Curved Handle, 6-1/2-Inch</t>
        </is>
      </c>
      <c r="E8282" s="2">
        <f>HYPERLINK("https://www.amazon.com/Curved-Long-Nose-Klein-Tools-D302-6/dp/B000G6CAGK/ref=sr_1_8?keywords=Klein+Tools+D203-6+Pliers%2C+Needle+Nose+Side-Cutters%2C+6-Inch&amp;qid=1694735434&amp;sr=8-8", "https://www.amazon.com/Curved-Long-Nose-Klein-Tools-D302-6/dp/B000G6CAGK/ref=sr_1_8?keywords=Klein+Tools+D203-6+Pliers%2C+Needle+Nose+Side-Cutters%2C+6-Inch&amp;qid=1694735434&amp;sr=8-8")</f>
        <v/>
      </c>
      <c r="F8282" t="inlineStr">
        <is>
          <t>B000G6CAGK</t>
        </is>
      </c>
      <c r="G8282">
        <f>_xlfn.IMAGE("https://edmondsonsupply.com/cdn/shop/products/d203-6.jpg?v=1587150424")</f>
        <v/>
      </c>
      <c r="H8282">
        <f>_xlfn.IMAGE("https://m.media-amazon.com/images/I/31HPclIh6JL._AC_UL320_.jpg")</f>
        <v/>
      </c>
      <c r="K8282" t="inlineStr">
        <is>
          <t>25.99</t>
        </is>
      </c>
      <c r="L8282" t="n">
        <v>44.74</v>
      </c>
      <c r="M8282" s="1" t="inlineStr">
        <is>
          <t>72.14%</t>
        </is>
      </c>
      <c r="N8282" s="7" t="n"/>
      <c r="O8282" t="n">
        <v>4.7</v>
      </c>
      <c r="P8282" t="n">
        <v>83</v>
      </c>
      <c r="R8282" t="inlineStr">
        <is>
          <t>InStock</t>
        </is>
      </c>
      <c r="S8282" t="inlineStr">
        <is>
          <t>39.38</t>
        </is>
      </c>
      <c r="T8282" t="inlineStr">
        <is>
          <t>4335116484708</t>
        </is>
      </c>
    </row>
    <row r="8283" hidden="1" ht="15.75" customHeight="1">
      <c r="A8283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283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283" t="inlineStr">
        <is>
          <t>Klein Tools JTH6M25 2.5 mm Hex Key with Journeyman T-Handle, 6-Inch</t>
        </is>
      </c>
      <c r="D8283" t="inlineStr">
        <is>
          <t>Klein Tools JTH9M25 2.5 mm Hex Key with Journeyman T-Handle, 9-Inch</t>
        </is>
      </c>
      <c r="E8283" s="2">
        <f>HYPERLINK("https://www.amazon.com/Journeyman-T-Handle-Klein-Tools-JTH9M25/dp/B005G3HIRY/ref=sr_1_3?keywords=Klein+Tools+JTH6M25+2.5+mm+Hex+Key+with+Journeyman+T-Handle%2C+6-Inch&amp;qid=1694735465&amp;sr=8-3", "https://www.amazon.com/Journeyman-T-Handle-Klein-Tools-JTH9M25/dp/B005G3HIRY/ref=sr_1_3?keywords=Klein+Tools+JTH6M25+2.5+mm+Hex+Key+with+Journeyman+T-Handle%2C+6-Inch&amp;qid=1694735465&amp;sr=8-3")</f>
        <v/>
      </c>
      <c r="F8283" t="inlineStr">
        <is>
          <t>B005G3HIRY</t>
        </is>
      </c>
      <c r="G8283">
        <f>_xludf.IMAGE("https://edmondsonsupply.com/cdn/shop/products/jth6m8_418cc1b7-11e8-4105-a13a-5501c6e11940.jpg?v=1587148486")</f>
        <v/>
      </c>
      <c r="H8283">
        <f>_xludf.IMAGE("https://m.media-amazon.com/images/I/51+1x0vz9XL._AC_UL320_.jpg")</f>
        <v/>
      </c>
      <c r="K8283" t="inlineStr">
        <is>
          <t>3.99</t>
        </is>
      </c>
      <c r="L8283" t="n">
        <v>6.84</v>
      </c>
      <c r="M8283" s="1" t="inlineStr">
        <is>
          <t>71.43%</t>
        </is>
      </c>
      <c r="N8283" s="1" t="n"/>
      <c r="O8283" t="n">
        <v>4.2</v>
      </c>
      <c r="P8283" t="n">
        <v>14</v>
      </c>
      <c r="R8283" t="inlineStr">
        <is>
          <t>InStock</t>
        </is>
      </c>
      <c r="S8283" t="inlineStr">
        <is>
          <t>5.76</t>
        </is>
      </c>
      <c r="T8283" t="inlineStr">
        <is>
          <t>3694858567780</t>
        </is>
      </c>
    </row>
    <row r="8284" ht="87" customHeight="1">
      <c r="A8284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284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284" t="inlineStr">
        <is>
          <t>Klein Tools 1019 Klein-Kurve® Wire Stripper / Crimper / Cutter Multi Tool</t>
        </is>
      </c>
      <c r="D8284" t="inlineStr">
        <is>
          <t>Klein Tools 1019 Klein Kurve Wire Stripper/Crimper/Cutter &amp; 32314 Electronic Screwdriver, 14-in-1 with 8 Precision Tips, Slotted, Phillips, and Tamperproof TORX Bits, 6 Precision Nut Drivers</t>
        </is>
      </c>
      <c r="E8284" s="2">
        <f>HYPERLINK("https://www.amazon.com/Klein-Tools-Electronic-Screwdriver-Tamperproof/dp/B0C3BC3KKF/ref=sr_1_2?keywords=Klein+Tools+1019+Klein-Kurve%C2%AE+Wire+Stripper+%2F+Crimper+%2F+Cutter+Multi+Tool&amp;qid=1694735475&amp;sr=8-2", "https://www.amazon.com/Klein-Tools-Electronic-Screwdriver-Tamperproof/dp/B0C3BC3KKF/ref=sr_1_2?keywords=Klein+Tools+1019+Klein-Kurve%C2%AE+Wire+Stripper+%2F+Crimper+%2F+Cutter+Multi+Tool&amp;qid=1694735475&amp;sr=8-2")</f>
        <v/>
      </c>
      <c r="F8284" t="inlineStr">
        <is>
          <t>B0C3BC3KKF</t>
        </is>
      </c>
      <c r="G8284">
        <f>_xlfn.IMAGE("https://edmondsonsupply.com/cdn/shop/products/1019.jpg?v=1587148776")</f>
        <v/>
      </c>
      <c r="H8284">
        <f>_xlfn.IMAGE("https://m.media-amazon.com/images/I/41QJsUEnrEL._AC_UL320_.jpg")</f>
        <v/>
      </c>
      <c r="K8284" t="inlineStr">
        <is>
          <t>20.97</t>
        </is>
      </c>
      <c r="L8284" t="n">
        <v>35.94</v>
      </c>
      <c r="M8284" s="1" t="inlineStr">
        <is>
          <t>71.39%</t>
        </is>
      </c>
      <c r="N8284" s="7" t="n"/>
      <c r="O8284" t="n">
        <v>5</v>
      </c>
      <c r="P8284" t="n">
        <v>3</v>
      </c>
      <c r="R8284" t="inlineStr">
        <is>
          <t>InStock</t>
        </is>
      </c>
      <c r="S8284" t="inlineStr">
        <is>
          <t>30.04</t>
        </is>
      </c>
      <c r="T8284" t="inlineStr">
        <is>
          <t>1780412481636</t>
        </is>
      </c>
    </row>
    <row r="8285" ht="87" customHeight="1">
      <c r="A8285" s="2">
        <f>HYPERLINK("https://edmondsonsupply.com/collections/electricians-tools/products/klein-tools-vdv226-107-compact-ratcheting-modular-crimper", "https://edmondsonsupply.com/collections/electricians-tools/products/klein-tools-vdv226-107-compact-ratcheting-modular-crimper")</f>
        <v/>
      </c>
      <c r="B8285" s="2">
        <f>HYPERLINK("https://edmondsonsupply.com/products/klein-tools-vdv226-107-compact-ratcheting-modular-crimper", "https://edmondsonsupply.com/products/klein-tools-vdv226-107-compact-ratcheting-modular-crimper")</f>
        <v/>
      </c>
      <c r="C8285" t="inlineStr">
        <is>
          <t>Klein Tools VDV226-107 Ratcheting Data Cable Crimper / Stripper / Cutter, Compact</t>
        </is>
      </c>
      <c r="D8285" t="inlineStr">
        <is>
          <t>Klein Tools VDV226-110 Ratcheting Modular Cable Crimper/Wire Stripper/Wire Cutter, for RJ11/RJ12 Standard &amp; VDV826-729 Pass-Thru Modular Data Plug, RJ45 CAT6, Pass Through Connectors 10-Pack</t>
        </is>
      </c>
      <c r="E8285" s="2">
        <f>HYPERLINK("https://www.amazon.com/Klein-Tools-VDV226-110-Ratcheting-VDV826-729/dp/B08DY5F9Q4/ref=sr_1_3?keywords=Klein+Tools+VDV226-107+Ratcheting+Data+Cable+Crimper+%2F+Stripper+%2F+Cutter%2C+Compact&amp;qid=1694735446&amp;sr=8-3", "https://www.amazon.com/Klein-Tools-VDV226-110-Ratcheting-VDV826-729/dp/B08DY5F9Q4/ref=sr_1_3?keywords=Klein+Tools+VDV226-107+Ratcheting+Data+Cable+Crimper+%2F+Stripper+%2F+Cutter%2C+Compact&amp;qid=1694735446&amp;sr=8-3")</f>
        <v/>
      </c>
      <c r="F8285" t="inlineStr">
        <is>
          <t>B08DY5F9Q4</t>
        </is>
      </c>
      <c r="G8285">
        <f>_xlfn.IMAGE("https://edmondsonsupply.com/cdn/shop/products/vdv226-107.jpg?v=1587150662")</f>
        <v/>
      </c>
      <c r="H8285">
        <f>_xlfn.IMAGE("https://m.media-amazon.com/images/I/411e9BpM1IL._AC_UL320_.jpg")</f>
        <v/>
      </c>
      <c r="K8285" t="inlineStr">
        <is>
          <t>34.99</t>
        </is>
      </c>
      <c r="L8285" t="n">
        <v>59.94</v>
      </c>
      <c r="M8285" s="1" t="inlineStr">
        <is>
          <t>71.31%</t>
        </is>
      </c>
      <c r="N8285" s="7" t="n"/>
      <c r="O8285" t="n">
        <v>5</v>
      </c>
      <c r="P8285" t="n">
        <v>12</v>
      </c>
      <c r="R8285" t="inlineStr">
        <is>
          <t>InStock</t>
        </is>
      </c>
      <c r="S8285" t="inlineStr">
        <is>
          <t>51.5</t>
        </is>
      </c>
      <c r="T8285" t="inlineStr">
        <is>
          <t>4172359630948</t>
        </is>
      </c>
    </row>
    <row r="8286" ht="87" customHeight="1">
      <c r="A8286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286" s="2">
        <f>HYPERLINK("https://edmondsonsupply.com/products/klein-tools-69401-multimeter-carrying-case", "https://edmondsonsupply.com/products/klein-tools-69401-multimeter-carrying-case")</f>
        <v/>
      </c>
      <c r="C8286" t="inlineStr">
        <is>
          <t>Klein Tools 69401 Multimeter Carrying Case</t>
        </is>
      </c>
      <c r="D8286" t="inlineStr">
        <is>
          <t>Klein Tools 69417 Rare-Earth Magnetic Hanger, with Strap &amp; 69401 Multimeter Carrying Case</t>
        </is>
      </c>
      <c r="E8286" s="2">
        <f>HYPERLINK("https://www.amazon.com/Klein-Tools-Rare-Earth-Magnetic-Multimeter/dp/B0BGJ66GX4/ref=sr_1_8?keywords=Klein+Tools+69401+Multimeter+Carrying+Case&amp;qid=1694735435&amp;sr=8-8", "https://www.amazon.com/Klein-Tools-Rare-Earth-Magnetic-Multimeter/dp/B0BGJ66GX4/ref=sr_1_8?keywords=Klein+Tools+69401+Multimeter+Carrying+Case&amp;qid=1694735435&amp;sr=8-8")</f>
        <v/>
      </c>
      <c r="F8286" t="inlineStr">
        <is>
          <t>B0BGJ66GX4</t>
        </is>
      </c>
      <c r="G8286">
        <f>_xlfn.IMAGE("https://edmondsonsupply.com/cdn/shop/products/69401.jpg?v=1587151194")</f>
        <v/>
      </c>
      <c r="H8286">
        <f>_xlfn.IMAGE("https://m.media-amazon.com/images/I/51Em03gaEVL._AC_UL320_.jpg")</f>
        <v/>
      </c>
      <c r="K8286" t="inlineStr">
        <is>
          <t>16.97</t>
        </is>
      </c>
      <c r="L8286" t="n">
        <v>29</v>
      </c>
      <c r="M8286" s="1" t="inlineStr">
        <is>
          <t>70.89%</t>
        </is>
      </c>
      <c r="N8286" s="7" t="n"/>
      <c r="O8286" t="n">
        <v>5</v>
      </c>
      <c r="P8286" t="n">
        <v>2</v>
      </c>
      <c r="R8286" t="inlineStr">
        <is>
          <t>InStock</t>
        </is>
      </c>
      <c r="S8286" t="inlineStr">
        <is>
          <t>23.84</t>
        </is>
      </c>
      <c r="T8286" t="inlineStr">
        <is>
          <t>4348577710180</t>
        </is>
      </c>
    </row>
    <row r="8287" hidden="1" ht="15.75" customHeight="1">
      <c r="A8287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287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287" t="inlineStr">
        <is>
          <t>Klein Tools JTH6E10 5/32-Inch Hex Key, Journeyman T-Handle, 6-Inch</t>
        </is>
      </c>
      <c r="D8287" t="inlineStr">
        <is>
          <t>Klein Tools JTH6E10BE 5/32-Inch Ball Hex Key with Journeyman T-Handle, 6-Inch</t>
        </is>
      </c>
      <c r="E8287" s="2">
        <f>HYPERLINK("https://www.amazon.com/Journeyman-T-Handle-Klein-Tools-JTH6E10BE/dp/B004QW4EPK/ref=sr_1_2?keywords=Klein+Tools+JTH6E10+5%2F32-Inch+Hex+Key%2C+Journeyman+T-Handle%2C+6-Inch&amp;qid=1694735453&amp;sr=8-2", "https://www.amazon.com/Journeyman-T-Handle-Klein-Tools-JTH6E10BE/dp/B004QW4EPK/ref=sr_1_2?keywords=Klein+Tools+JTH6E10+5%2F32-Inch+Hex+Key%2C+Journeyman+T-Handle%2C+6-Inch&amp;qid=1694735453&amp;sr=8-2")</f>
        <v/>
      </c>
      <c r="F8287" t="inlineStr">
        <is>
          <t>B004QW4EPK</t>
        </is>
      </c>
      <c r="G8287">
        <f>_xludf.IMAGE("https://edmondsonsupply.com/cdn/shop/products/jth6e15_f525b558-406f-4cfd-9eb6-2b57378156a6.jpg?v=1587144832")</f>
        <v/>
      </c>
      <c r="H8287">
        <f>_xludf.IMAGE("https://m.media-amazon.com/images/I/51f9vBFVXgL._AC_UL320_.jpg")</f>
        <v/>
      </c>
      <c r="K8287" t="inlineStr">
        <is>
          <t>3.99</t>
        </is>
      </c>
      <c r="L8287" t="n">
        <v>6.8</v>
      </c>
      <c r="M8287" s="1" t="inlineStr">
        <is>
          <t>70.43%</t>
        </is>
      </c>
      <c r="N8287" s="1" t="n"/>
      <c r="O8287" t="n">
        <v>4.8</v>
      </c>
      <c r="P8287" t="n">
        <v>454</v>
      </c>
      <c r="R8287" t="inlineStr">
        <is>
          <t>InStock</t>
        </is>
      </c>
      <c r="S8287" t="inlineStr">
        <is>
          <t>6.04</t>
        </is>
      </c>
      <c r="T8287" t="inlineStr">
        <is>
          <t>4160213418084</t>
        </is>
      </c>
    </row>
    <row r="8288" ht="87" customHeight="1">
      <c r="A8288" s="2">
        <f>HYPERLINK("https://edmondsonsupply.com/collections/electricians-tools/products/klein-32807mag", "https://edmondsonsupply.com/collections/electricians-tools/products/klein-32807mag")</f>
        <v/>
      </c>
      <c r="B8288" s="2">
        <f>HYPERLINK("https://edmondsonsupply.com/products/klein-32807mag", "https://edmondsonsupply.com/products/klein-32807mag")</f>
        <v/>
      </c>
      <c r="C8288" t="inlineStr">
        <is>
          <t>Klein Tools 32807MAG 7-in-1 Multi-Bit Screwdriver / Nut Driver, Magnetic</t>
        </is>
      </c>
      <c r="D8288" t="inlineStr">
        <is>
          <t>Klein Tools 32807MAG 7-in-1 Nut Driver &amp; 32500MAG Magnetic Multi-Bit Screwdriver/Nut Driver, 11-in-1 Multi Tool with 8 Bits, 3 Nut Driver Sizes, Cushion Grip Handle</t>
        </is>
      </c>
      <c r="E8288" s="2">
        <f>HYPERLINK("https://www.amazon.com/Klein-Tools-32807MAG-Multi-Bit-Screwdriver/dp/B09Q64R2HY/ref=sr_1_2?keywords=Klein+Tools+32807MAG+7-in-1+Multi-Bit+Screwdriver+%2F+Nut+Driver%2C+Magnetic&amp;qid=1694735441&amp;sr=8-2", "https://www.amazon.com/Klein-Tools-32807MAG-Multi-Bit-Screwdriver/dp/B09Q64R2HY/ref=sr_1_2?keywords=Klein+Tools+32807MAG+7-in-1+Multi-Bit+Screwdriver+%2F+Nut+Driver%2C+Magnetic&amp;qid=1694735441&amp;sr=8-2")</f>
        <v/>
      </c>
      <c r="F8288" t="inlineStr">
        <is>
          <t>B09Q64R2HY</t>
        </is>
      </c>
      <c r="G8288">
        <f>_xlfn.IMAGE("https://edmondsonsupply.com/cdn/shop/products/32807mag_beauty_l.jpg?v=1604873791")</f>
        <v/>
      </c>
      <c r="H8288">
        <f>_xlfn.IMAGE("https://m.media-amazon.com/images/I/411icJxYT8L._AC_UL320_.jpg")</f>
        <v/>
      </c>
      <c r="K8288" t="inlineStr">
        <is>
          <t>29.97</t>
        </is>
      </c>
      <c r="L8288" t="n">
        <v>50.94</v>
      </c>
      <c r="M8288" s="1" t="inlineStr">
        <is>
          <t>69.97%</t>
        </is>
      </c>
      <c r="N8288" s="7" t="n"/>
      <c r="O8288" t="n">
        <v>4.7</v>
      </c>
      <c r="P8288" t="n">
        <v>7</v>
      </c>
      <c r="R8288" t="inlineStr">
        <is>
          <t>InStock</t>
        </is>
      </c>
      <c r="S8288" t="inlineStr">
        <is>
          <t>44.5</t>
        </is>
      </c>
      <c r="T8288" t="inlineStr">
        <is>
          <t>1493034008676</t>
        </is>
      </c>
    </row>
    <row r="8289" ht="87" customHeight="1">
      <c r="A8289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289" s="2">
        <f>HYPERLINK("https://edmondsonsupply.com/products/klein-tools-1005-crimping-and-cutting-tool-for-connectors", "https://edmondsonsupply.com/products/klein-tools-1005-crimping-and-cutting-tool-for-connectors")</f>
        <v/>
      </c>
      <c r="C8289" t="inlineStr">
        <is>
          <t>Klein Tools 1005 Crimping and Cutting Tool for Connectors</t>
        </is>
      </c>
      <c r="D8289" t="inlineStr">
        <is>
          <t>Klein Tools 11057 Wire Cutter/Wire Stripper, Heavy Duty Wire Cutter Stripper &amp; Klein Tools 1005 Cutting/Crimping Tool for 10-22 AWG Terminals and Connectors</t>
        </is>
      </c>
      <c r="E8289" s="2">
        <f>HYPERLINK("https://www.amazon.com/Klein-Tools-Stripper-Terminals-Connectors/dp/B0BFXS5GMK/ref=sr_1_3?keywords=Klein+Tools+1005+Crimping+and+Cutting+Tool+for+Connectors&amp;qid=1694735460&amp;sr=8-3", "https://www.amazon.com/Klein-Tools-Stripper-Terminals-Connectors/dp/B0BFXS5GMK/ref=sr_1_3?keywords=Klein+Tools+1005+Crimping+and+Cutting+Tool+for+Connectors&amp;qid=1694735460&amp;sr=8-3")</f>
        <v/>
      </c>
      <c r="F8289" t="inlineStr">
        <is>
          <t>B0BFXS5GMK</t>
        </is>
      </c>
      <c r="G8289">
        <f>_xlfn.IMAGE("https://edmondsonsupply.com/cdn/shop/products/1005.jpg?v=1666012896")</f>
        <v/>
      </c>
      <c r="H8289">
        <f>_xlfn.IMAGE("https://m.media-amazon.com/images/I/51HvOoqh5AL._AC_UL320_.jpg")</f>
        <v/>
      </c>
      <c r="K8289" t="inlineStr">
        <is>
          <t>29.97</t>
        </is>
      </c>
      <c r="L8289" t="n">
        <v>50.94</v>
      </c>
      <c r="M8289" s="1" t="inlineStr">
        <is>
          <t>69.97%</t>
        </is>
      </c>
      <c r="N8289" s="7" t="n"/>
      <c r="O8289" t="n">
        <v>4.5</v>
      </c>
      <c r="P8289" t="n">
        <v>2</v>
      </c>
      <c r="R8289" t="inlineStr">
        <is>
          <t>InStock</t>
        </is>
      </c>
      <c r="S8289" t="inlineStr">
        <is>
          <t>45.26</t>
        </is>
      </c>
      <c r="T8289" t="inlineStr">
        <is>
          <t>3707845640292</t>
        </is>
      </c>
    </row>
    <row r="8290" ht="87" customHeight="1">
      <c r="A8290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290" s="2">
        <f>HYPERLINK("https://edmondsonsupply.com/products/klein-tools-662-2-square-screwdriver-with-4-inch-round-shank", "https://edmondsonsupply.com/products/klein-tools-662-2-square-screwdriver-with-4-inch-round-shank")</f>
        <v/>
      </c>
      <c r="C8290" t="inlineStr">
        <is>
          <t>Klein Tools 662 #2 Square Screwdriver with 4-Inch Round Shank</t>
        </is>
      </c>
      <c r="D8290" t="inlineStr">
        <is>
          <t>Klein Tools 662-4-INS Insulated #2 Square-Recess Screwdriver with 4-Inch Shank</t>
        </is>
      </c>
      <c r="E8290" s="2">
        <f>HYPERLINK("https://www.amazon.com/Klein-Tools-662-4-INS-Square-Recess-Screwdriver/dp/B00CQL8WB0/ref=sr_1_1?keywords=Klein+Tools+662+%232+Square+Screwdriver+with+4-Inch+Round+Shank&amp;qid=1694735445&amp;sr=8-1", "https://www.amazon.com/Klein-Tools-662-4-INS-Square-Recess-Screwdriver/dp/B00CQL8WB0/ref=sr_1_1?keywords=Klein+Tools+662+%232+Square+Screwdriver+with+4-Inch+Round+Shank&amp;qid=1694735445&amp;sr=8-1")</f>
        <v/>
      </c>
      <c r="F8290" t="inlineStr">
        <is>
          <t>B00CQL8WB0</t>
        </is>
      </c>
      <c r="G8290">
        <f>_xlfn.IMAGE("https://edmondsonsupply.com/cdn/shop/products/660.jpg?v=1587151189")</f>
        <v/>
      </c>
      <c r="H8290">
        <f>_xlfn.IMAGE("https://m.media-amazon.com/images/I/41x-xD6EqyL._AC_UL320_.jpg")</f>
        <v/>
      </c>
      <c r="K8290" t="inlineStr">
        <is>
          <t>9.99</t>
        </is>
      </c>
      <c r="L8290" t="n">
        <v>16.97</v>
      </c>
      <c r="M8290" s="1" t="inlineStr">
        <is>
          <t>69.87%</t>
        </is>
      </c>
      <c r="N8290" s="7" t="n"/>
      <c r="O8290" t="n">
        <v>4.8</v>
      </c>
      <c r="P8290" t="n">
        <v>1068</v>
      </c>
      <c r="R8290" t="inlineStr">
        <is>
          <t>InStock</t>
        </is>
      </c>
      <c r="S8290" t="inlineStr">
        <is>
          <t>12.74</t>
        </is>
      </c>
      <c r="T8290" t="inlineStr">
        <is>
          <t>4274202509412</t>
        </is>
      </c>
    </row>
    <row r="8291" ht="87" customHeight="1">
      <c r="A8291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291" s="2">
        <f>HYPERLINK("https://edmondsonsupply.com/products/klein-tools-rt210-gfci-receptacle-tester", "https://edmondsonsupply.com/products/klein-tools-rt210-gfci-receptacle-tester")</f>
        <v/>
      </c>
      <c r="C8291" t="inlineStr">
        <is>
          <t>Klein Tools RT210 GFCI Outlet Tester</t>
        </is>
      </c>
      <c r="D8291" t="inlineStr">
        <is>
          <t>Klein Tools RT250 GFCI Outlet Tester with LCD Display, Electric Voltage Tester for Standard 3-Wire 120V Electrical Receptacles,Green/Red</t>
        </is>
      </c>
      <c r="E8291" s="2">
        <f>HYPERLINK("https://www.amazon.com/Receptacle-Electrical-Klein-Tools-RT250/dp/B08QW7K1JJ/ref=sr_1_11?keywords=Klein+Tools+RT210+GFCI+Outlet+Tester&amp;qid=1694735460&amp;sr=8-11", "https://www.amazon.com/Receptacle-Electrical-Klein-Tools-RT250/dp/B08QW7K1JJ/ref=sr_1_11?keywords=Klein+Tools+RT210+GFCI+Outlet+Tester&amp;qid=1694735460&amp;sr=8-11")</f>
        <v/>
      </c>
      <c r="F8291" t="inlineStr">
        <is>
          <t>B08QW7K1JJ</t>
        </is>
      </c>
      <c r="G8291">
        <f>_xlfn.IMAGE("https://edmondsonsupply.com/cdn/shop/products/rt210.jpg?v=1587146495")</f>
        <v/>
      </c>
      <c r="H8291">
        <f>_xlfn.IMAGE("https://m.media-amazon.com/images/I/61j28ynJ7bL._AC_UL320_.jpg")</f>
        <v/>
      </c>
      <c r="K8291" t="inlineStr">
        <is>
          <t>12.97</t>
        </is>
      </c>
      <c r="L8291" t="n">
        <v>21.97</v>
      </c>
      <c r="M8291" s="1" t="inlineStr">
        <is>
          <t>69.39%</t>
        </is>
      </c>
      <c r="N8291" s="7" t="n"/>
      <c r="O8291" t="n">
        <v>4.8</v>
      </c>
      <c r="P8291" t="n">
        <v>7942</v>
      </c>
      <c r="R8291" t="inlineStr">
        <is>
          <t>InStock</t>
        </is>
      </c>
      <c r="S8291" t="inlineStr">
        <is>
          <t>17.12</t>
        </is>
      </c>
      <c r="T8291" t="inlineStr">
        <is>
          <t>3711963988068</t>
        </is>
      </c>
    </row>
    <row r="8292" ht="87" customHeight="1">
      <c r="A8292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292" s="2">
        <f>HYPERLINK("https://edmondsonsupply.com/products/klein-tools-d203-6-long-nose-side-cutters-6-inch", "https://edmondsonsupply.com/products/klein-tools-d203-6-long-nose-side-cutters-6-inch")</f>
        <v/>
      </c>
      <c r="C8292" t="inlineStr">
        <is>
          <t>Klein Tools D203-6 Pliers, Needle Nose Side-Cutters, 6-Inch</t>
        </is>
      </c>
      <c r="D8292" t="inlineStr">
        <is>
          <t>Klein Tools D335-51/2C Linemans Pliers, Needle Nose Side Cutters, Spring Loaded, 5-Inch, Extra Slim</t>
        </is>
      </c>
      <c r="E8292" s="2">
        <f>HYPERLINK("https://www.amazon.com/Linemans-Klein-Tools-D335-51-2C/dp/B00093D500/ref=sr_1_11?keywords=Klein+Tools+D203-6+Pliers%2C+Needle+Nose+Side-Cutters%2C+6-Inch&amp;qid=1694735434&amp;sr=8-11", "https://www.amazon.com/Linemans-Klein-Tools-D335-51-2C/dp/B00093D500/ref=sr_1_11?keywords=Klein+Tools+D203-6+Pliers%2C+Needle+Nose+Side-Cutters%2C+6-Inch&amp;qid=1694735434&amp;sr=8-11")</f>
        <v/>
      </c>
      <c r="F8292" t="inlineStr">
        <is>
          <t>B00093D500</t>
        </is>
      </c>
      <c r="G8292">
        <f>_xlfn.IMAGE("https://edmondsonsupply.com/cdn/shop/products/d203-6.jpg?v=1587150424")</f>
        <v/>
      </c>
      <c r="H8292">
        <f>_xlfn.IMAGE("https://m.media-amazon.com/images/I/41OK-XwWDzL._AC_UL320_.jpg")</f>
        <v/>
      </c>
      <c r="K8292" t="inlineStr">
        <is>
          <t>25.99</t>
        </is>
      </c>
      <c r="L8292" t="n">
        <v>43.89</v>
      </c>
      <c r="M8292" s="1" t="inlineStr">
        <is>
          <t>68.87%</t>
        </is>
      </c>
      <c r="N8292" s="7" t="n"/>
      <c r="O8292" t="n">
        <v>4.7</v>
      </c>
      <c r="P8292" t="n">
        <v>206</v>
      </c>
      <c r="R8292" t="inlineStr">
        <is>
          <t>InStock</t>
        </is>
      </c>
      <c r="S8292" t="inlineStr">
        <is>
          <t>39.38</t>
        </is>
      </c>
      <c r="T8292" t="inlineStr">
        <is>
          <t>4335116484708</t>
        </is>
      </c>
    </row>
    <row r="8293" hidden="1" ht="15.75" customHeight="1">
      <c r="A8293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293" s="2">
        <f>HYPERLINK("https://edmondsonsupply.com/products/klein-tools-601-4-3-16-cabinet-tip-screwdriver-4-round-shank", "https://edmondsonsupply.com/products/klein-tools-601-4-3-16-cabinet-tip-screwdriver-4-round-shank")</f>
        <v/>
      </c>
      <c r="C8293" t="inlineStr">
        <is>
          <t>Klein Tools 601-4 3/16-Inch Cabinet Tip Screwdriver 4-Inch</t>
        </is>
      </c>
      <c r="D8293" t="inlineStr">
        <is>
          <t>Klein Tools 6926INS Insulated Screwdriver, 1000V Slim Profile Tip, 1/4-Inch Cabinet Screwdriver with 6-Inch Shank, Cushion-Grip Handle</t>
        </is>
      </c>
      <c r="E8293" s="2">
        <f>HYPERLINK("https://www.amazon.com/Klein-Tools-6926INS-Screwdriver-Cushion-Grip/dp/B09GL1X5SZ/ref=sr_1_29?keywords=Klein+Tools+601-4+3%2F16-Inch+Cabinet+Tip+Screwdriver+4-Inch&amp;qid=1694735471&amp;sr=8-29", "https://www.amazon.com/Klein-Tools-6926INS-Screwdriver-Cushion-Grip/dp/B09GL1X5SZ/ref=sr_1_29?keywords=Klein+Tools+601-4+3%2F16-Inch+Cabinet+Tip+Screwdriver+4-Inch&amp;qid=1694735471&amp;sr=8-29")</f>
        <v/>
      </c>
      <c r="F8293" t="inlineStr">
        <is>
          <t>B09GL1X5SZ</t>
        </is>
      </c>
      <c r="G8293">
        <f>_xludf.IMAGE("https://edmondsonsupply.com/cdn/shop/products/601-4.jpg?v=1587147829")</f>
        <v/>
      </c>
      <c r="H8293">
        <f>_xludf.IMAGE("https://m.media-amazon.com/images/I/41JbepP5oGL._AC_UL320_.jpg")</f>
        <v/>
      </c>
      <c r="K8293" t="inlineStr">
        <is>
          <t>8.98</t>
        </is>
      </c>
      <c r="L8293" t="n">
        <v>14.99</v>
      </c>
      <c r="M8293" s="1" t="inlineStr">
        <is>
          <t>66.93%</t>
        </is>
      </c>
      <c r="N8293" s="1" t="n"/>
      <c r="O8293" t="n">
        <v>4.8</v>
      </c>
      <c r="P8293" t="n">
        <v>85</v>
      </c>
      <c r="R8293" t="inlineStr">
        <is>
          <t>InStock</t>
        </is>
      </c>
      <c r="S8293" t="inlineStr">
        <is>
          <t>11.52</t>
        </is>
      </c>
      <c r="T8293" t="inlineStr">
        <is>
          <t>2767048900708</t>
        </is>
      </c>
    </row>
    <row r="8294" ht="87" customHeight="1">
      <c r="A8294" s="2">
        <f>HYPERLINK("https://edmondsonsupply.com/collections/electricians-tools/products/klein-tools-935-torpedo-level", "https://edmondsonsupply.com/collections/electricians-tools/products/klein-tools-935-torpedo-level")</f>
        <v/>
      </c>
      <c r="B8294" s="2">
        <f>HYPERLINK("https://edmondsonsupply.com/products/klein-tools-935-torpedo-level", "https://edmondsonsupply.com/products/klein-tools-935-torpedo-level")</f>
        <v/>
      </c>
      <c r="C8294" t="inlineStr">
        <is>
          <t>Klein Tools 935 Torpedo Level, 3 Vial, 9-Inch</t>
        </is>
      </c>
      <c r="D8294" t="inlineStr">
        <is>
          <t>Klein Tools 9319RETT Level, 9-Inch Aluminum Magnetic Torpedo Level with 3 Vials, Tether Ring, V-Grooved Edge, and Rare-Earth Magnets</t>
        </is>
      </c>
      <c r="E8294" s="2">
        <f>HYPERLINK("https://www.amazon.com/Magnetic-Torpedo-Klein-Tools-9319RETT/dp/B01FFTADZW/ref=sr_1_3?keywords=Klein+Tools+935+Torpedo+Level%2C+3+Vial%2C+9-Inch&amp;qid=1694735440&amp;sr=8-3", "https://www.amazon.com/Magnetic-Torpedo-Klein-Tools-9319RETT/dp/B01FFTADZW/ref=sr_1_3?keywords=Klein+Tools+935+Torpedo+Level%2C+3+Vial%2C+9-Inch&amp;qid=1694735440&amp;sr=8-3")</f>
        <v/>
      </c>
      <c r="F8294" t="inlineStr">
        <is>
          <t>B01FFTADZW</t>
        </is>
      </c>
      <c r="G8294">
        <f>_xlfn.IMAGE("https://edmondsonsupply.com/cdn/shop/products/935_b.jpg?v=1679425556")</f>
        <v/>
      </c>
      <c r="H8294">
        <f>_xlfn.IMAGE("https://m.media-amazon.com/images/I/51koTKccewL._AC_UL320_.jpg")</f>
        <v/>
      </c>
      <c r="K8294" t="inlineStr">
        <is>
          <t>17.97</t>
        </is>
      </c>
      <c r="L8294" t="n">
        <v>29.99</v>
      </c>
      <c r="M8294" s="1" t="inlineStr">
        <is>
          <t>66.89%</t>
        </is>
      </c>
      <c r="N8294" s="7" t="n"/>
      <c r="O8294" t="n">
        <v>4.4</v>
      </c>
      <c r="P8294" t="n">
        <v>66</v>
      </c>
      <c r="R8294" t="inlineStr">
        <is>
          <t>InStock</t>
        </is>
      </c>
      <c r="S8294" t="inlineStr">
        <is>
          <t>25.22</t>
        </is>
      </c>
      <c r="T8294" t="inlineStr">
        <is>
          <t>4310094086244</t>
        </is>
      </c>
    </row>
    <row r="8295" ht="87" customHeight="1">
      <c r="A8295" s="2">
        <f>HYPERLINK("https://edmondsonsupply.com/collections/electricians-tools/products/klein-tools-935-torpedo-level", "https://edmondsonsupply.com/collections/electricians-tools/products/klein-tools-935-torpedo-level")</f>
        <v/>
      </c>
      <c r="B8295" s="2">
        <f>HYPERLINK("https://edmondsonsupply.com/products/klein-tools-935-torpedo-level", "https://edmondsonsupply.com/products/klein-tools-935-torpedo-level")</f>
        <v/>
      </c>
      <c r="C8295" t="inlineStr">
        <is>
          <t>Klein Tools 935 Torpedo Level, 3 Vial, 9-Inch</t>
        </is>
      </c>
      <c r="D8295" t="inlineStr">
        <is>
          <t>Klein Tools 935AB4V Level, 6.25-Inch Magnetic Torpedo Level is a Conduit Level with 4 Vials, V-Groove and Magnet Track, High Viz Orange</t>
        </is>
      </c>
      <c r="E8295" s="2">
        <f>HYPERLINK("https://www.amazon.com/Klein-Tools-935AB4V-Magnetic-V-Groove/dp/B01M302QTV/ref=sr_1_4?keywords=Klein+Tools+935+Torpedo+Level%2C+3+Vial%2C+9-Inch&amp;qid=1694735440&amp;sr=8-4", "https://www.amazon.com/Klein-Tools-935AB4V-Magnetic-V-Groove/dp/B01M302QTV/ref=sr_1_4?keywords=Klein+Tools+935+Torpedo+Level%2C+3+Vial%2C+9-Inch&amp;qid=1694735440&amp;sr=8-4")</f>
        <v/>
      </c>
      <c r="F8295" t="inlineStr">
        <is>
          <t>B01M302QTV</t>
        </is>
      </c>
      <c r="G8295">
        <f>_xlfn.IMAGE("https://edmondsonsupply.com/cdn/shop/products/935_b.jpg?v=1679425556")</f>
        <v/>
      </c>
      <c r="H8295">
        <f>_xlfn.IMAGE("https://m.media-amazon.com/images/I/51Z3q6YDMaL._AC_UL320_.jpg")</f>
        <v/>
      </c>
      <c r="K8295" t="inlineStr">
        <is>
          <t>17.97</t>
        </is>
      </c>
      <c r="L8295" t="n">
        <v>29.97</v>
      </c>
      <c r="M8295" s="1" t="inlineStr">
        <is>
          <t>66.78%</t>
        </is>
      </c>
      <c r="N8295" s="7" t="n"/>
      <c r="O8295" t="n">
        <v>4.9</v>
      </c>
      <c r="P8295" t="n">
        <v>4825</v>
      </c>
      <c r="R8295" t="inlineStr">
        <is>
          <t>InStock</t>
        </is>
      </c>
      <c r="S8295" t="inlineStr">
        <is>
          <t>25.22</t>
        </is>
      </c>
      <c r="T8295" t="inlineStr">
        <is>
          <t>4310094086244</t>
        </is>
      </c>
    </row>
    <row r="8296" hidden="1" ht="15.75" customHeight="1">
      <c r="A8296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296" s="2">
        <f>HYPERLINK("https://edmondsonsupply.com/products/klein-tools-600-1-5-16-inch-cabinet-tip-screwdriver-1-1-2-inch", "https://edmondsonsupply.com/products/klein-tools-600-1-5-16-inch-cabinet-tip-screwdriver-1-1-2-inch")</f>
        <v/>
      </c>
      <c r="C8296" t="inlineStr">
        <is>
          <t>Klein Tools 600-1 5/16-Inch Cabinet Tip Screwdriver 1-1/2-Inch</t>
        </is>
      </c>
      <c r="D8296" t="inlineStr">
        <is>
          <t>Klein Tools 621-6 Coated 3/16-Inch Cabinet Tip Flat Head Screwdriver, 6-Inch Round Shank, Cushion Grip Handle</t>
        </is>
      </c>
      <c r="E8296" s="2">
        <f>HYPERLINK("https://www.amazon.com/16-Inch-Screwdriver-Klein-Tools-621-6/dp/B00093GE44/ref=sr_1_34?keywords=Klein+Tools+600-1+5%2F16-Inch+Cabinet+Tip+Screwdriver+1-1%2F2-Inch&amp;qid=1694735453&amp;sr=8-34", "https://www.amazon.com/16-Inch-Screwdriver-Klein-Tools-621-6/dp/B00093GE44/ref=sr_1_34?keywords=Klein+Tools+600-1+5%2F16-Inch+Cabinet+Tip+Screwdriver+1-1%2F2-Inch&amp;qid=1694735453&amp;sr=8-34")</f>
        <v/>
      </c>
      <c r="F8296" t="inlineStr">
        <is>
          <t>B00093GE44</t>
        </is>
      </c>
      <c r="G8296">
        <f>_xludf.IMAGE("https://edmondsonsupply.com/cdn/shop/products/600-1.jpg?v=1587147752")</f>
        <v/>
      </c>
      <c r="H8296">
        <f>_xludf.IMAGE("https://m.media-amazon.com/images/I/51PRkgD+r3L._AC_UL320_.jpg")</f>
        <v/>
      </c>
      <c r="K8296" t="inlineStr">
        <is>
          <t>7.49</t>
        </is>
      </c>
      <c r="L8296" t="n">
        <v>12.49</v>
      </c>
      <c r="M8296" s="1" t="inlineStr">
        <is>
          <t>66.76%</t>
        </is>
      </c>
      <c r="N8296" s="1" t="n"/>
      <c r="O8296" t="n">
        <v>4.4</v>
      </c>
      <c r="P8296" t="n">
        <v>25</v>
      </c>
      <c r="R8296" t="inlineStr">
        <is>
          <t>InStock</t>
        </is>
      </c>
      <c r="S8296" t="inlineStr">
        <is>
          <t>11.22</t>
        </is>
      </c>
      <c r="T8296" t="inlineStr">
        <is>
          <t>4171360403556</t>
        </is>
      </c>
    </row>
    <row r="8297" hidden="1" ht="15.75" customHeight="1">
      <c r="A8297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297" s="2">
        <f>HYPERLINK("https://edmondsonsupply.com/products/klein-tools-601-6-3-16-inch-cabinet-tip-screwdriver-6-inch", "https://edmondsonsupply.com/products/klein-tools-601-6-3-16-inch-cabinet-tip-screwdriver-6-inch")</f>
        <v/>
      </c>
      <c r="C8297" t="inlineStr">
        <is>
          <t>Klein Tools 601-6 3/16-Inch Cabinet Tip Screwdriver 6-Inch</t>
        </is>
      </c>
      <c r="D8297" t="inlineStr">
        <is>
          <t>Klein Tools 6936INS Insulated Screwdriver, 1000V Slim Profile Tip, 2 Phillips with 6-Inch Shank, Cushion-Grip Handle</t>
        </is>
      </c>
      <c r="E8297" s="2">
        <f>HYPERLINK("https://www.amazon.com/Klein-Tools-6936INS-Screwdriver-Cushion-Grip/dp/B09GPZMQ1R/ref=sr_1_37?keywords=Klein+Tools+601-6+3%2F16-Inch+Cabinet+Tip+Screwdriver+6-Inch&amp;qid=1694735470&amp;sr=8-37", "https://www.amazon.com/Klein-Tools-6936INS-Screwdriver-Cushion-Grip/dp/B09GPZMQ1R/ref=sr_1_37?keywords=Klein+Tools+601-6+3%2F16-Inch+Cabinet+Tip+Screwdriver+6-Inch&amp;qid=1694735470&amp;sr=8-37")</f>
        <v/>
      </c>
      <c r="F8297" t="inlineStr">
        <is>
          <t>B09GPZMQ1R</t>
        </is>
      </c>
      <c r="G8297">
        <f>_xludf.IMAGE("https://edmondsonsupply.com/cdn/shop/products/601-6.jpg?v=1587148683")</f>
        <v/>
      </c>
      <c r="H8297">
        <f>_xludf.IMAGE("https://m.media-amazon.com/images/I/414OB6kFvkL._AC_UL320_.jpg")</f>
        <v/>
      </c>
      <c r="K8297" t="inlineStr">
        <is>
          <t>8.99</t>
        </is>
      </c>
      <c r="L8297" t="n">
        <v>14.99</v>
      </c>
      <c r="M8297" s="1" t="inlineStr">
        <is>
          <t>66.74%</t>
        </is>
      </c>
      <c r="N8297" s="1" t="n"/>
      <c r="O8297" t="n">
        <v>4.9</v>
      </c>
      <c r="P8297" t="n">
        <v>70</v>
      </c>
      <c r="R8297" t="inlineStr">
        <is>
          <t>InStock</t>
        </is>
      </c>
      <c r="S8297" t="inlineStr">
        <is>
          <t>11.96</t>
        </is>
      </c>
      <c r="T8297" t="inlineStr">
        <is>
          <t>3689898016868</t>
        </is>
      </c>
    </row>
    <row r="8298" hidden="1" ht="15.75" customHeight="1">
      <c r="A8298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298" s="2">
        <f>HYPERLINK("https://edmondsonsupply.com/products/klein-tools-601-6-3-16-inch-cabinet-tip-screwdriver-6-inch", "https://edmondsonsupply.com/products/klein-tools-601-6-3-16-inch-cabinet-tip-screwdriver-6-inch")</f>
        <v/>
      </c>
      <c r="C8298" t="inlineStr">
        <is>
          <t>Klein Tools 601-6 3/16-Inch Cabinet Tip Screwdriver 6-Inch</t>
        </is>
      </c>
      <c r="D8298" t="inlineStr">
        <is>
          <t>Klein Tools 602-8 3/8-Inch Keystone-Tip Screwdriver with 8-Inch Heavy-Duty Round-Shank</t>
        </is>
      </c>
      <c r="E8298" s="2">
        <f>HYPERLINK("https://www.amazon.com/Klein-Tools-602-8-Keystone-Tip-Screwdriver/dp/B0002G2OQ0/ref=sr_1_41?keywords=Klein+Tools+601-6+3%2F16-Inch+Cabinet+Tip+Screwdriver+6-Inch&amp;qid=1694735470&amp;sr=8-41", "https://www.amazon.com/Klein-Tools-602-8-Keystone-Tip-Screwdriver/dp/B0002G2OQ0/ref=sr_1_41?keywords=Klein+Tools+601-6+3%2F16-Inch+Cabinet+Tip+Screwdriver+6-Inch&amp;qid=1694735470&amp;sr=8-41")</f>
        <v/>
      </c>
      <c r="F8298" t="inlineStr">
        <is>
          <t>B0002G2OQ0</t>
        </is>
      </c>
      <c r="G8298">
        <f>_xludf.IMAGE("https://edmondsonsupply.com/cdn/shop/products/601-6.jpg?v=1587148683")</f>
        <v/>
      </c>
      <c r="H8298">
        <f>_xludf.IMAGE("https://m.media-amazon.com/images/I/31fSYcUqNTL._AC_UL320_.jpg")</f>
        <v/>
      </c>
      <c r="K8298" t="inlineStr">
        <is>
          <t>8.99</t>
        </is>
      </c>
      <c r="L8298" t="n">
        <v>14.99</v>
      </c>
      <c r="M8298" s="1" t="inlineStr">
        <is>
          <t>66.74%</t>
        </is>
      </c>
      <c r="N8298" s="1" t="n"/>
      <c r="O8298" t="n">
        <v>4.7</v>
      </c>
      <c r="P8298" t="n">
        <v>125</v>
      </c>
      <c r="R8298" t="inlineStr">
        <is>
          <t>InStock</t>
        </is>
      </c>
      <c r="S8298" t="inlineStr">
        <is>
          <t>11.96</t>
        </is>
      </c>
      <c r="T8298" t="inlineStr">
        <is>
          <t>3689898016868</t>
        </is>
      </c>
    </row>
    <row r="8299" hidden="1" ht="15.75" customHeight="1">
      <c r="A8299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299" s="2">
        <f>HYPERLINK("https://edmondsonsupply.com/products/klein-tools-601-6-3-16-inch-cabinet-tip-screwdriver-6-inch", "https://edmondsonsupply.com/products/klein-tools-601-6-3-16-inch-cabinet-tip-screwdriver-6-inch")</f>
        <v/>
      </c>
      <c r="C8299" t="inlineStr">
        <is>
          <t>Klein Tools 601-6 3/16-Inch Cabinet Tip Screwdriver 6-Inch</t>
        </is>
      </c>
      <c r="D8299" t="inlineStr">
        <is>
          <t>Klein Tools 6926INS Insulated Screwdriver, 1000V Slim Profile Tip, 1/4-Inch Cabinet Screwdriver with 6-Inch Shank, Cushion-Grip Handle</t>
        </is>
      </c>
      <c r="E8299" s="2">
        <f>HYPERLINK("https://www.amazon.com/Klein-Tools-6926INS-Screwdriver-Cushion-Grip/dp/B09GL1X5SZ/ref=sr_1_16?keywords=Klein+Tools+601-6+3%2F16-Inch+Cabinet+Tip+Screwdriver+6-Inch&amp;qid=1694735470&amp;sr=8-16", "https://www.amazon.com/Klein-Tools-6926INS-Screwdriver-Cushion-Grip/dp/B09GL1X5SZ/ref=sr_1_16?keywords=Klein+Tools+601-6+3%2F16-Inch+Cabinet+Tip+Screwdriver+6-Inch&amp;qid=1694735470&amp;sr=8-16")</f>
        <v/>
      </c>
      <c r="F8299" t="inlineStr">
        <is>
          <t>B09GL1X5SZ</t>
        </is>
      </c>
      <c r="G8299">
        <f>_xludf.IMAGE("https://edmondsonsupply.com/cdn/shop/products/601-6.jpg?v=1587148683")</f>
        <v/>
      </c>
      <c r="H8299">
        <f>_xludf.IMAGE("https://m.media-amazon.com/images/I/41JbepP5oGL._AC_UL320_.jpg")</f>
        <v/>
      </c>
      <c r="K8299" t="inlineStr">
        <is>
          <t>8.99</t>
        </is>
      </c>
      <c r="L8299" t="n">
        <v>14.99</v>
      </c>
      <c r="M8299" s="1" t="inlineStr">
        <is>
          <t>66.74%</t>
        </is>
      </c>
      <c r="N8299" s="1" t="n"/>
      <c r="O8299" t="n">
        <v>4.8</v>
      </c>
      <c r="P8299" t="n">
        <v>85</v>
      </c>
      <c r="R8299" t="inlineStr">
        <is>
          <t>InStock</t>
        </is>
      </c>
      <c r="S8299" t="inlineStr">
        <is>
          <t>11.96</t>
        </is>
      </c>
      <c r="T8299" t="inlineStr">
        <is>
          <t>3689898016868</t>
        </is>
      </c>
    </row>
    <row r="8300" ht="87" customHeight="1">
      <c r="A8300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300" s="2">
        <f>HYPERLINK("https://edmondsonsupply.com/products/klein-tools-1005-crimping-and-cutting-tool-for-connectors", "https://edmondsonsupply.com/products/klein-tools-1005-crimping-and-cutting-tool-for-connectors")</f>
        <v/>
      </c>
      <c r="C8300" t="inlineStr">
        <is>
          <t>Klein Tools 1005 Crimping and Cutting Tool for Connectors</t>
        </is>
      </c>
      <c r="D8300" t="inlineStr">
        <is>
          <t>Klein Tools 1005 Cutting/Crimping Tool &amp; 11055 Wire Cutter and Wire Stripper, Stranded Wire Cutter, Solid Wire Cutter, Cuts Copper Wire</t>
        </is>
      </c>
      <c r="E8300" s="2">
        <f>HYPERLINK("https://www.amazon.com/Klein-Tools-Crimping-Stripper-Stranded/dp/B09VSLD2PW/ref=sr_1_19?keywords=Klein+Tools+1005+Crimping+and+Cutting+Tool+for+Connectors&amp;qid=1694735460&amp;sr=8-19", "https://www.amazon.com/Klein-Tools-Crimping-Stripper-Stranded/dp/B09VSLD2PW/ref=sr_1_19?keywords=Klein+Tools+1005+Crimping+and+Cutting+Tool+for+Connectors&amp;qid=1694735460&amp;sr=8-19")</f>
        <v/>
      </c>
      <c r="F8300" t="inlineStr">
        <is>
          <t>B09VSLD2PW</t>
        </is>
      </c>
      <c r="G8300">
        <f>_xlfn.IMAGE("https://edmondsonsupply.com/cdn/shop/products/1005.jpg?v=1666012896")</f>
        <v/>
      </c>
      <c r="H8300">
        <f>_xlfn.IMAGE("https://m.media-amazon.com/images/I/41Q6ntXmzQL._AC_UL320_.jpg")</f>
        <v/>
      </c>
      <c r="K8300" t="inlineStr">
        <is>
          <t>29.97</t>
        </is>
      </c>
      <c r="L8300" t="n">
        <v>49.96</v>
      </c>
      <c r="M8300" s="1" t="inlineStr">
        <is>
          <t>66.70%</t>
        </is>
      </c>
      <c r="N8300" s="7" t="n"/>
      <c r="O8300" t="n">
        <v>4.7</v>
      </c>
      <c r="P8300" t="n">
        <v>3</v>
      </c>
      <c r="R8300" t="inlineStr">
        <is>
          <t>InStock</t>
        </is>
      </c>
      <c r="S8300" t="inlineStr">
        <is>
          <t>45.26</t>
        </is>
      </c>
      <c r="T8300" t="inlineStr">
        <is>
          <t>3707845640292</t>
        </is>
      </c>
    </row>
    <row r="8301" ht="87" customHeight="1">
      <c r="A8301" s="2">
        <f>HYPERLINK("https://edmondsonsupply.com/collections/electricians-tools/products/klein-tools-j2000-9necrtp-9-side-cutting-pliers", "https://edmondsonsupply.com/collections/electricians-tools/products/klein-tools-j2000-9necrtp-9-side-cutting-pliers")</f>
        <v/>
      </c>
      <c r="B8301" s="2">
        <f>HYPERLINK("https://edmondsonsupply.com/products/klein-tools-j2000-9necrtp-9-side-cutting-pliers", "https://edmondsonsupply.com/products/klein-tools-j2000-9necrtp-9-side-cutting-pliers")</f>
        <v/>
      </c>
      <c r="C8301" t="inlineStr">
        <is>
          <t>Klein Tools J2000-9NECRTP Lineman's Pliers, Fish Tape Pull/Crimping, 9-Inch</t>
        </is>
      </c>
      <c r="D8301" t="inlineStr">
        <is>
          <t>Klein Tools J2000-9NECRTP Side Cutter Linemans Pliers with Tape Pulling and Wire Crimping, High Leverage, 9-Inch &amp; J2000-48 Pliers, Diagonal Cutting Pliers with Angled Head</t>
        </is>
      </c>
      <c r="E8301" s="2">
        <f>HYPERLINK("https://www.amazon.com/Klein-Tools-J2000-9NECRTP-Linemans-Crimping/dp/B0BFXP944Y/ref=sr_1_2?keywords=Klein+Tools+J2000-9NECRTP+Lineman%27s+Pliers%2C+Fish+Tape+Pull%2FCrimping%2C+9-Inch&amp;qid=1694735465&amp;sr=8-2", "https://www.amazon.com/Klein-Tools-J2000-9NECRTP-Linemans-Crimping/dp/B0BFXP944Y/ref=sr_1_2?keywords=Klein+Tools+J2000-9NECRTP+Lineman%27s+Pliers%2C+Fish+Tape+Pull%2FCrimping%2C+9-Inch&amp;qid=1694735465&amp;sr=8-2")</f>
        <v/>
      </c>
      <c r="F8301" t="inlineStr">
        <is>
          <t>B0BFXP944Y</t>
        </is>
      </c>
      <c r="G8301">
        <f>_xlfn.IMAGE("https://edmondsonsupply.com/cdn/shop/products/j20009necrtp.jpg?v=1587150652")</f>
        <v/>
      </c>
      <c r="H8301">
        <f>_xlfn.IMAGE("https://m.media-amazon.com/images/I/31wDkX9qr2L._AC_UL320_.jpg")</f>
        <v/>
      </c>
      <c r="K8301" t="inlineStr">
        <is>
          <t>59.99</t>
        </is>
      </c>
      <c r="L8301" t="n">
        <v>98.98</v>
      </c>
      <c r="M8301" s="1" t="inlineStr">
        <is>
          <t>64.99%</t>
        </is>
      </c>
      <c r="N8301" s="7" t="n"/>
      <c r="O8301" t="n">
        <v>5</v>
      </c>
      <c r="P8301" t="n">
        <v>1</v>
      </c>
      <c r="R8301" t="inlineStr">
        <is>
          <t>InStock</t>
        </is>
      </c>
      <c r="S8301" t="inlineStr">
        <is>
          <t>90.92</t>
        </is>
      </c>
      <c r="T8301" t="inlineStr">
        <is>
          <t>3698732105828</t>
        </is>
      </c>
    </row>
    <row r="8302" ht="87" customHeight="1">
      <c r="A8302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302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302" t="inlineStr">
        <is>
          <t>Klein Tools 32561 Multi-Bit Screwdriver / Nut Driver, 6-in-1, Stubby, Ph, Sl Bits</t>
        </is>
      </c>
      <c r="D8302" t="inlineStr">
        <is>
          <t>Klein Tools 32593 Multi-bit Ratcheting Screwdriver, 6-in-1 Stubby Tool with Phillips and Slotted Bits and 2 Nut Driver Sizes</t>
        </is>
      </c>
      <c r="E8302" s="2">
        <f>HYPERLINK("https://www.amazon.com/Ratcheting-Screwdriver-Klein-Tools-32593/dp/B01I2KJ91K/ref=sr_1_3?keywords=Klein+Tools+32561+Multi-Bit+Screwdriver+%2F+Nut+Driver%2C+6-in-1%2C+Stubby%2C+Ph%2C+Sl+Bits&amp;qid=1694735473&amp;sr=8-3", "https://www.amazon.com/Ratcheting-Screwdriver-Klein-Tools-32593/dp/B01I2KJ91K/ref=sr_1_3?keywords=Klein+Tools+32561+Multi-Bit+Screwdriver+%2F+Nut+Driver%2C+6-in-1%2C+Stubby%2C+Ph%2C+Sl+Bits&amp;qid=1694735473&amp;sr=8-3")</f>
        <v/>
      </c>
      <c r="F8302" t="inlineStr">
        <is>
          <t>B01I2KJ91K</t>
        </is>
      </c>
      <c r="G8302">
        <f>_xlfn.IMAGE("https://edmondsonsupply.com/cdn/shop/products/32561_beauty_r.jpg?v=1604436217")</f>
        <v/>
      </c>
      <c r="H8302">
        <f>_xlfn.IMAGE("https://m.media-amazon.com/images/I/51WOLpdOfpL._AC_UL320_.jpg")</f>
        <v/>
      </c>
      <c r="K8302" t="inlineStr">
        <is>
          <t>10.97</t>
        </is>
      </c>
      <c r="L8302" t="n">
        <v>17.97</v>
      </c>
      <c r="M8302" s="1" t="inlineStr">
        <is>
          <t>63.81%</t>
        </is>
      </c>
      <c r="N8302" s="7" t="n"/>
      <c r="O8302" t="n">
        <v>4.8</v>
      </c>
      <c r="P8302" t="n">
        <v>1664</v>
      </c>
      <c r="R8302" t="inlineStr">
        <is>
          <t>InStock</t>
        </is>
      </c>
      <c r="S8302" t="inlineStr">
        <is>
          <t>16.94</t>
        </is>
      </c>
      <c r="T8302" t="inlineStr">
        <is>
          <t>3671725998180</t>
        </is>
      </c>
    </row>
    <row r="8303" ht="87" customHeight="1">
      <c r="A8303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303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303" t="inlineStr">
        <is>
          <t>Klein Tools JTH9E15 3/8-Inch Hex Key, Journeyman T-Handle, 9-Inch</t>
        </is>
      </c>
      <c r="D8303" t="inlineStr">
        <is>
          <t>Klein Tools JTH9M8 8 mm Hex Key with Journeyman T-Handle, 9-Inch</t>
        </is>
      </c>
      <c r="E8303" s="2">
        <f>HYPERLINK("https://www.amazon.com/Journeyman-T-Handle-Klein-Tools-JTH9M8/dp/B005G3HJSC/ref=sr_1_8?keywords=Klein+Tools+JTH9E15+3%2F8-Inch+Hex+Key%2C+Journeyman+T-Handle%2C+9-Inch&amp;qid=1694735471&amp;sr=8-8", "https://www.amazon.com/Journeyman-T-Handle-Klein-Tools-JTH9M8/dp/B005G3HJSC/ref=sr_1_8?keywords=Klein+Tools+JTH9E15+3%2F8-Inch+Hex+Key%2C+Journeyman+T-Handle%2C+9-Inch&amp;qid=1694735471&amp;sr=8-8")</f>
        <v/>
      </c>
      <c r="F8303" t="inlineStr">
        <is>
          <t>B005G3HJSC</t>
        </is>
      </c>
      <c r="G8303">
        <f>_xlfn.IMAGE("https://edmondsonsupply.com/cdn/shop/products/jth9e12.jpg?v=1587144816")</f>
        <v/>
      </c>
      <c r="H8303">
        <f>_xlfn.IMAGE("https://m.media-amazon.com/images/I/51+1x0vz9XL._AC_UL320_.jpg")</f>
        <v/>
      </c>
      <c r="K8303" t="inlineStr">
        <is>
          <t>9.99</t>
        </is>
      </c>
      <c r="L8303" t="n">
        <v>16.27</v>
      </c>
      <c r="M8303" s="1" t="inlineStr">
        <is>
          <t>62.86%</t>
        </is>
      </c>
      <c r="N8303" s="7" t="n"/>
      <c r="O8303" t="n">
        <v>5</v>
      </c>
      <c r="P8303" t="n">
        <v>4</v>
      </c>
      <c r="R8303" t="inlineStr">
        <is>
          <t>InStock</t>
        </is>
      </c>
      <c r="S8303" t="inlineStr">
        <is>
          <t>15.22</t>
        </is>
      </c>
      <c r="T8303" t="inlineStr">
        <is>
          <t>3695779151972</t>
        </is>
      </c>
    </row>
    <row r="8304" hidden="1" ht="15.75" customHeight="1">
      <c r="A8304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04" s="2">
        <f>HYPERLINK("https://edmondsonsupply.com/products/klein-tools-600-1-5-16-inch-cabinet-tip-screwdriver-1-1-2-inch", "https://edmondsonsupply.com/products/klein-tools-600-1-5-16-inch-cabinet-tip-screwdriver-1-1-2-inch")</f>
        <v/>
      </c>
      <c r="C8304" t="inlineStr">
        <is>
          <t>Klein Tools 600-1 5/16-Inch Cabinet Tip Screwdriver 1-1/2-Inch</t>
        </is>
      </c>
      <c r="D8304" t="inlineStr">
        <is>
          <t>Klein Tools 602-6 5/16-Inch Keystone Tip Screwdriver, 6-Inch Heavy Duty Round Shank with Cushion Grip Handle</t>
        </is>
      </c>
      <c r="E8304" s="2">
        <f>HYPERLINK("https://www.amazon.com/Keystone-Screwdriver-Klein-Tools-602-6/dp/B0000302WW/ref=sr_1_3?keywords=Klein+Tools+600-1+5%2F16-Inch+Cabinet+Tip+Screwdriver+1-1%2F2-Inch&amp;qid=1694735453&amp;sr=8-3", "https://www.amazon.com/Keystone-Screwdriver-Klein-Tools-602-6/dp/B0000302WW/ref=sr_1_3?keywords=Klein+Tools+600-1+5%2F16-Inch+Cabinet+Tip+Screwdriver+1-1%2F2-Inch&amp;qid=1694735453&amp;sr=8-3")</f>
        <v/>
      </c>
      <c r="F8304" t="inlineStr">
        <is>
          <t>B0000302WW</t>
        </is>
      </c>
      <c r="G8304">
        <f>_xludf.IMAGE("https://edmondsonsupply.com/cdn/shop/products/600-1.jpg?v=1587147752")</f>
        <v/>
      </c>
      <c r="H8304">
        <f>_xludf.IMAGE("https://m.media-amazon.com/images/I/51yw04G5ZvL._AC_UL320_.jpg")</f>
        <v/>
      </c>
      <c r="K8304" t="inlineStr">
        <is>
          <t>7.49</t>
        </is>
      </c>
      <c r="L8304" t="n">
        <v>11.99</v>
      </c>
      <c r="M8304" s="1" t="inlineStr">
        <is>
          <t>60.08%</t>
        </is>
      </c>
      <c r="N8304" s="1" t="n"/>
      <c r="O8304" t="n">
        <v>4.8</v>
      </c>
      <c r="P8304" t="n">
        <v>879</v>
      </c>
      <c r="R8304" t="inlineStr">
        <is>
          <t>InStock</t>
        </is>
      </c>
      <c r="S8304" t="inlineStr">
        <is>
          <t>11.22</t>
        </is>
      </c>
      <c r="T8304" t="inlineStr">
        <is>
          <t>4171360403556</t>
        </is>
      </c>
    </row>
    <row r="8305" hidden="1" ht="15.75" customHeight="1">
      <c r="A8305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05" s="2">
        <f>HYPERLINK("https://edmondsonsupply.com/products/klein-tools-600-1-5-16-inch-cabinet-tip-screwdriver-1-1-2-inch", "https://edmondsonsupply.com/products/klein-tools-600-1-5-16-inch-cabinet-tip-screwdriver-1-1-2-inch")</f>
        <v/>
      </c>
      <c r="C8305" t="inlineStr">
        <is>
          <t>Klein Tools 600-1 5/16-Inch Cabinet Tip Screwdriver 1-1/2-Inch</t>
        </is>
      </c>
      <c r="D8305" t="inlineStr">
        <is>
          <t>Klein Tools K46 5/16-Inch Slotted Screw-Holding Flat Head Screwdriver with 6-Inch Round Shank and Comfordome Handle</t>
        </is>
      </c>
      <c r="E8305" s="2">
        <f>HYPERLINK("https://www.amazon.com/Klein-Tools-K46-Screw-Holding-Screwdriver/dp/B000936P4S/ref=sr_1_26?keywords=Klein+Tools+600-1+5%2F16-Inch+Cabinet+Tip+Screwdriver+1-1%2F2-Inch&amp;qid=1694735453&amp;sr=8-26", "https://www.amazon.com/Klein-Tools-K46-Screw-Holding-Screwdriver/dp/B000936P4S/ref=sr_1_26?keywords=Klein+Tools+600-1+5%2F16-Inch+Cabinet+Tip+Screwdriver+1-1%2F2-Inch&amp;qid=1694735453&amp;sr=8-26")</f>
        <v/>
      </c>
      <c r="F8305" t="inlineStr">
        <is>
          <t>B000936P4S</t>
        </is>
      </c>
      <c r="G8305">
        <f>_xludf.IMAGE("https://edmondsonsupply.com/cdn/shop/products/600-1.jpg?v=1587147752")</f>
        <v/>
      </c>
      <c r="H8305">
        <f>_xludf.IMAGE("https://m.media-amazon.com/images/I/61Q6wSN1OyL._AC_UL320_.jpg")</f>
        <v/>
      </c>
      <c r="K8305" t="inlineStr">
        <is>
          <t>7.49</t>
        </is>
      </c>
      <c r="L8305" t="n">
        <v>11.99</v>
      </c>
      <c r="M8305" s="1" t="inlineStr">
        <is>
          <t>60.08%</t>
        </is>
      </c>
      <c r="N8305" s="1" t="n"/>
      <c r="O8305" t="n">
        <v>4.6</v>
      </c>
      <c r="P8305" t="n">
        <v>168</v>
      </c>
      <c r="R8305" t="inlineStr">
        <is>
          <t>InStock</t>
        </is>
      </c>
      <c r="S8305" t="inlineStr">
        <is>
          <t>11.22</t>
        </is>
      </c>
      <c r="T8305" t="inlineStr">
        <is>
          <t>4171360403556</t>
        </is>
      </c>
    </row>
    <row r="8306" hidden="1" ht="15.75" customHeight="1">
      <c r="A8306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06" s="2">
        <f>HYPERLINK("https://edmondsonsupply.com/products/klein-tools-600-1-5-16-inch-cabinet-tip-screwdriver-1-1-2-inch", "https://edmondsonsupply.com/products/klein-tools-600-1-5-16-inch-cabinet-tip-screwdriver-1-1-2-inch")</f>
        <v/>
      </c>
      <c r="C8306" t="inlineStr">
        <is>
          <t>Klein Tools 600-1 5/16-Inch Cabinet Tip Screwdriver 1-1/2-Inch</t>
        </is>
      </c>
      <c r="D8306" t="inlineStr">
        <is>
          <t>Klein Tools BD308 5/16-Inch Flat Head Screwdriver with Keystone Tip, 8-Inch Square Shank and Comfordome Handle</t>
        </is>
      </c>
      <c r="E8306" s="2">
        <f>HYPERLINK("https://www.amazon.com/Klein-Tools-BD308-Screwdriver-Comfordome/dp/B00093D4O2/ref=sr_1_29?keywords=Klein+Tools+600-1+5%2F16-Inch+Cabinet+Tip+Screwdriver+1-1%2F2-Inch&amp;qid=1694735453&amp;sr=8-29", "https://www.amazon.com/Klein-Tools-BD308-Screwdriver-Comfordome/dp/B00093D4O2/ref=sr_1_29?keywords=Klein+Tools+600-1+5%2F16-Inch+Cabinet+Tip+Screwdriver+1-1%2F2-Inch&amp;qid=1694735453&amp;sr=8-29")</f>
        <v/>
      </c>
      <c r="F8306" t="inlineStr">
        <is>
          <t>B00093D4O2</t>
        </is>
      </c>
      <c r="G8306">
        <f>_xludf.IMAGE("https://edmondsonsupply.com/cdn/shop/products/600-1.jpg?v=1587147752")</f>
        <v/>
      </c>
      <c r="H8306">
        <f>_xludf.IMAGE("https://m.media-amazon.com/images/I/31Tlm9V1dlL._AC_UL320_.jpg")</f>
        <v/>
      </c>
      <c r="K8306" t="inlineStr">
        <is>
          <t>7.49</t>
        </is>
      </c>
      <c r="L8306" t="n">
        <v>11.99</v>
      </c>
      <c r="M8306" s="1" t="inlineStr">
        <is>
          <t>60.08%</t>
        </is>
      </c>
      <c r="N8306" s="1" t="n"/>
      <c r="O8306" t="n">
        <v>4.6</v>
      </c>
      <c r="P8306" t="n">
        <v>19</v>
      </c>
      <c r="R8306" t="inlineStr">
        <is>
          <t>InStock</t>
        </is>
      </c>
      <c r="S8306" t="inlineStr">
        <is>
          <t>11.22</t>
        </is>
      </c>
      <c r="T8306" t="inlineStr">
        <is>
          <t>4171360403556</t>
        </is>
      </c>
    </row>
    <row r="8307" hidden="1" ht="15.75" customHeight="1">
      <c r="A8307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07" s="2">
        <f>HYPERLINK("https://edmondsonsupply.com/products/klein-tools-600-1-5-16-inch-cabinet-tip-screwdriver-1-1-2-inch", "https://edmondsonsupply.com/products/klein-tools-600-1-5-16-inch-cabinet-tip-screwdriver-1-1-2-inch")</f>
        <v/>
      </c>
      <c r="C8307" t="inlineStr">
        <is>
          <t>Klein Tools 600-1 5/16-Inch Cabinet Tip Screwdriver 1-1/2-Inch</t>
        </is>
      </c>
      <c r="D8307" t="inlineStr">
        <is>
          <t>Klein Tools 6866INS Insulated Screwdriver, 1000V 5/16-Inch Cabinet Tip, Screwdriver with 6-Inch Shank, Tip-Ident, Cushion-Grip Handle</t>
        </is>
      </c>
      <c r="E8307" s="2">
        <f>HYPERLINK("https://www.amazon.com/Klein-Tools-6866INS-Screwdriver-Cushion-Grip/dp/B0BF73PSWC/ref=sr_1_4?keywords=Klein+Tools+600-1+5%2F16-Inch+Cabinet+Tip+Screwdriver+1-1%2F2-Inch&amp;qid=1694735453&amp;sr=8-4", "https://www.amazon.com/Klein-Tools-6866INS-Screwdriver-Cushion-Grip/dp/B0BF73PSWC/ref=sr_1_4?keywords=Klein+Tools+600-1+5%2F16-Inch+Cabinet+Tip+Screwdriver+1-1%2F2-Inch&amp;qid=1694735453&amp;sr=8-4")</f>
        <v/>
      </c>
      <c r="F8307" t="inlineStr">
        <is>
          <t>B0BF73PSWC</t>
        </is>
      </c>
      <c r="G8307">
        <f>_xludf.IMAGE("https://edmondsonsupply.com/cdn/shop/products/600-1.jpg?v=1587147752")</f>
        <v/>
      </c>
      <c r="H8307">
        <f>_xludf.IMAGE("https://m.media-amazon.com/images/I/41Sx5h6xG-L._AC_UL320_.jpg")</f>
        <v/>
      </c>
      <c r="K8307" t="inlineStr">
        <is>
          <t>7.49</t>
        </is>
      </c>
      <c r="L8307" t="n">
        <v>11.97</v>
      </c>
      <c r="M8307" s="1" t="inlineStr">
        <is>
          <t>59.81%</t>
        </is>
      </c>
      <c r="N8307" s="1" t="n"/>
      <c r="O8307" t="n">
        <v>4.9</v>
      </c>
      <c r="P8307" t="n">
        <v>202</v>
      </c>
      <c r="R8307" t="inlineStr">
        <is>
          <t>InStock</t>
        </is>
      </c>
      <c r="S8307" t="inlineStr">
        <is>
          <t>11.22</t>
        </is>
      </c>
      <c r="T8307" t="inlineStr">
        <is>
          <t>4171360403556</t>
        </is>
      </c>
    </row>
    <row r="8308" hidden="1" ht="15.75" customHeight="1">
      <c r="A8308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308" s="2">
        <f>HYPERLINK("https://edmondsonsupply.com/products/klein-tools-601-4-3-16-cabinet-tip-screwdriver-4-round-shank", "https://edmondsonsupply.com/products/klein-tools-601-4-3-16-cabinet-tip-screwdriver-4-round-shank")</f>
        <v/>
      </c>
      <c r="C8308" t="inlineStr">
        <is>
          <t>Klein Tools 601-4 3/16-Inch Cabinet Tip Screwdriver 4-Inch</t>
        </is>
      </c>
      <c r="D8308" t="inlineStr">
        <is>
          <t>Klein Tools 614-4 Flat Screwdriver, Precision Electronics Screwdriver, 1/8-Inch Cabinet Tip, 4-Inch Shank</t>
        </is>
      </c>
      <c r="E8308" s="2">
        <f>HYPERLINK("https://www.amazon.com/Klein-Tools-614-4-Screwdriver-Electronics/dp/B00B9HICKS/ref=sr_1_10?keywords=Klein+Tools+601-4+3%2F16-Inch+Cabinet+Tip+Screwdriver+4-Inch&amp;qid=1694735471&amp;sr=8-10", "https://www.amazon.com/Klein-Tools-614-4-Screwdriver-Electronics/dp/B00B9HICKS/ref=sr_1_10?keywords=Klein+Tools+601-4+3%2F16-Inch+Cabinet+Tip+Screwdriver+4-Inch&amp;qid=1694735471&amp;sr=8-10")</f>
        <v/>
      </c>
      <c r="F8308" t="inlineStr">
        <is>
          <t>B00B9HICKS</t>
        </is>
      </c>
      <c r="G8308">
        <f>_xludf.IMAGE("https://edmondsonsupply.com/cdn/shop/products/601-4.jpg?v=1587147829")</f>
        <v/>
      </c>
      <c r="H8308">
        <f>_xludf.IMAGE("https://m.media-amazon.com/images/I/41hS1hfEVDS._AC_UL320_.jpg")</f>
        <v/>
      </c>
      <c r="K8308" t="inlineStr">
        <is>
          <t>8.98</t>
        </is>
      </c>
      <c r="L8308" t="n">
        <v>14.32</v>
      </c>
      <c r="M8308" s="1" t="inlineStr">
        <is>
          <t>59.47%</t>
        </is>
      </c>
      <c r="N8308" s="1" t="n"/>
      <c r="O8308" t="n">
        <v>4.8</v>
      </c>
      <c r="P8308" t="n">
        <v>999</v>
      </c>
      <c r="R8308" t="inlineStr">
        <is>
          <t>InStock</t>
        </is>
      </c>
      <c r="S8308" t="inlineStr">
        <is>
          <t>11.52</t>
        </is>
      </c>
      <c r="T8308" t="inlineStr">
        <is>
          <t>2767048900708</t>
        </is>
      </c>
    </row>
    <row r="8309" hidden="1" ht="15.75" customHeight="1">
      <c r="A8309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09" s="2">
        <f>HYPERLINK("https://edmondsonsupply.com/products/klein-tools-601-6-3-16-inch-cabinet-tip-screwdriver-6-inch", "https://edmondsonsupply.com/products/klein-tools-601-6-3-16-inch-cabinet-tip-screwdriver-6-inch")</f>
        <v/>
      </c>
      <c r="C8309" t="inlineStr">
        <is>
          <t>Klein Tools 601-6 3/16-Inch Cabinet Tip Screwdriver 6-Inch</t>
        </is>
      </c>
      <c r="D8309" t="inlineStr">
        <is>
          <t>Klein Tools 614-4 Flat Screwdriver, Precision Electronics Screwdriver, 1/8-Inch Cabinet Tip, 4-Inch Shank</t>
        </is>
      </c>
      <c r="E8309" s="2">
        <f>HYPERLINK("https://www.amazon.com/Klein-Tools-614-4-Screwdriver-Electronics/dp/B00B9HICKS/ref=sr_1_21?keywords=Klein+Tools+601-6+3%2F16-Inch+Cabinet+Tip+Screwdriver+6-Inch&amp;qid=1694735470&amp;sr=8-21", "https://www.amazon.com/Klein-Tools-614-4-Screwdriver-Electronics/dp/B00B9HICKS/ref=sr_1_21?keywords=Klein+Tools+601-6+3%2F16-Inch+Cabinet+Tip+Screwdriver+6-Inch&amp;qid=1694735470&amp;sr=8-21")</f>
        <v/>
      </c>
      <c r="F8309" t="inlineStr">
        <is>
          <t>B00B9HICKS</t>
        </is>
      </c>
      <c r="G8309">
        <f>_xludf.IMAGE("https://edmondsonsupply.com/cdn/shop/products/601-6.jpg?v=1587148683")</f>
        <v/>
      </c>
      <c r="H8309">
        <f>_xludf.IMAGE("https://m.media-amazon.com/images/I/41hS1hfEVDS._AC_UL320_.jpg")</f>
        <v/>
      </c>
      <c r="K8309" t="inlineStr">
        <is>
          <t>8.99</t>
        </is>
      </c>
      <c r="L8309" t="n">
        <v>14.32</v>
      </c>
      <c r="M8309" s="1" t="inlineStr">
        <is>
          <t>59.29%</t>
        </is>
      </c>
      <c r="N8309" s="1" t="n"/>
      <c r="O8309" t="n">
        <v>4.8</v>
      </c>
      <c r="P8309" t="n">
        <v>999</v>
      </c>
      <c r="R8309" t="inlineStr">
        <is>
          <t>InStock</t>
        </is>
      </c>
      <c r="S8309" t="inlineStr">
        <is>
          <t>11.96</t>
        </is>
      </c>
      <c r="T8309" t="inlineStr">
        <is>
          <t>3689898016868</t>
        </is>
      </c>
    </row>
    <row r="8310" ht="87" customHeight="1">
      <c r="A8310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310" s="2">
        <f>HYPERLINK("https://edmondsonsupply.com/products/klein-tools-70579-folding-hex-key-set-5-inch-sae-5-piece", "https://edmondsonsupply.com/products/klein-tools-70579-folding-hex-key-set-5-inch-sae-5-piece")</f>
        <v/>
      </c>
      <c r="C8310" t="inlineStr">
        <is>
          <t>Klein Tools 70579 Folding Hex Key Set, 5-Key, SAE Sizes</t>
        </is>
      </c>
      <c r="D8310" t="inlineStr">
        <is>
          <t>Klein Tools 70591 Folding Hex Key Set, 9-Key, SAE Sizes &amp; 70582 Folding Hex Key Set, 7-Key, Metric Sizes</t>
        </is>
      </c>
      <c r="E8310" s="2">
        <f>HYPERLINK("https://www.amazon.com/Klein-Tools-70591-Folding-Metric/dp/B0BGPYC631/ref=sr_1_4?keywords=Klein+Tools+70579+Folding+Hex+Key+Set%2C+5-Key%2C+SAE+Sizes&amp;qid=1694735436&amp;sr=8-4", "https://www.amazon.com/Klein-Tools-70591-Folding-Metric/dp/B0BGPYC631/ref=sr_1_4?keywords=Klein+Tools+70579+Folding+Hex+Key+Set%2C+5-Key%2C+SAE+Sizes&amp;qid=1694735436&amp;sr=8-4")</f>
        <v/>
      </c>
      <c r="F8310" t="inlineStr">
        <is>
          <t>B0BGPYC631</t>
        </is>
      </c>
      <c r="G8310">
        <f>_xlfn.IMAGE("https://edmondsonsupply.com/cdn/shop/products/70579.jpg?v=1587145103")</f>
        <v/>
      </c>
      <c r="H8310">
        <f>_xlfn.IMAGE("https://m.media-amazon.com/images/I/41F+-ZtFyRL._AC_UL320_.jpg")</f>
        <v/>
      </c>
      <c r="K8310" t="inlineStr">
        <is>
          <t>12.97</t>
        </is>
      </c>
      <c r="L8310" t="n">
        <v>20.59</v>
      </c>
      <c r="M8310" s="1" t="inlineStr">
        <is>
          <t>58.75%</t>
        </is>
      </c>
      <c r="N8310" s="7" t="n"/>
      <c r="O8310" t="n">
        <v>4.8</v>
      </c>
      <c r="P8310" t="n">
        <v>14</v>
      </c>
      <c r="R8310" t="inlineStr">
        <is>
          <t>InStock</t>
        </is>
      </c>
      <c r="S8310" t="inlineStr">
        <is>
          <t>18.38</t>
        </is>
      </c>
      <c r="T8310" t="inlineStr">
        <is>
          <t>4346564477028</t>
        </is>
      </c>
    </row>
    <row r="8311" ht="87" customHeight="1">
      <c r="A8311" s="2">
        <f>HYPERLINK("https://edmondsonsupply.com/collections/electricians-tools/products/klein-tools-s106m-vaco-5-16-inch-magnetic-nut-driver-9-inch-shank", "https://edmondsonsupply.com/collections/electricians-tools/products/klein-tools-s106m-vaco-5-16-inch-magnetic-nut-driver-9-inch-shank")</f>
        <v/>
      </c>
      <c r="B8311" s="2">
        <f>HYPERLINK("https://edmondsonsupply.com/products/klein-tools-s106m-vaco-5-16-inch-magnetic-nut-driver-9-inch-shank", "https://edmondsonsupply.com/products/klein-tools-s106m-vaco-5-16-inch-magnetic-nut-driver-9-inch-shank")</f>
        <v/>
      </c>
      <c r="C8311" t="inlineStr">
        <is>
          <t>Klein Tools S106M 5/16-Inch Magnetic Nut Driver, 9-Inch Shank</t>
        </is>
      </c>
      <c r="D8311" t="inlineStr">
        <is>
          <t>Klein Tools PND9165 9/16-Inch Power Nut Driver, 5-Inch Out-of-Chuck</t>
        </is>
      </c>
      <c r="E8311" s="2">
        <f>HYPERLINK("https://www.amazon.com/16-Inch-Driver-Klein-Tools-PND9165/dp/B00ELGQM9C/ref=sr_1_24?keywords=Klein+Tools+S106M+5%2F16-Inch+Magnetic+Nut+Driver%2C+9-Inch+Shank&amp;qid=1694735455&amp;sr=8-24", "https://www.amazon.com/16-Inch-Driver-Klein-Tools-PND9165/dp/B00ELGQM9C/ref=sr_1_24?keywords=Klein+Tools+S106M+5%2F16-Inch+Magnetic+Nut+Driver%2C+9-Inch+Shank&amp;qid=1694735455&amp;sr=8-24")</f>
        <v/>
      </c>
      <c r="F8311" t="inlineStr">
        <is>
          <t>B00ELGQM9C</t>
        </is>
      </c>
      <c r="G8311">
        <f>_xlfn.IMAGE("https://edmondsonsupply.com/cdn/shop/products/s106.jpg?v=1587146493")</f>
        <v/>
      </c>
      <c r="H8311">
        <f>_xlfn.IMAGE("https://m.media-amazon.com/images/I/419piFtDHiL._AC_UL320_.jpg")</f>
        <v/>
      </c>
      <c r="K8311" t="inlineStr">
        <is>
          <t>11.99</t>
        </is>
      </c>
      <c r="L8311" t="n">
        <v>18.99</v>
      </c>
      <c r="M8311" s="1" t="inlineStr">
        <is>
          <t>58.38%</t>
        </is>
      </c>
      <c r="N8311" s="7" t="n"/>
      <c r="O8311" t="n">
        <v>4.6</v>
      </c>
      <c r="P8311" t="n">
        <v>1105</v>
      </c>
      <c r="R8311" t="inlineStr">
        <is>
          <t>InStock</t>
        </is>
      </c>
      <c r="S8311" t="inlineStr">
        <is>
          <t>17.38</t>
        </is>
      </c>
      <c r="T8311" t="inlineStr">
        <is>
          <t>4096546504804</t>
        </is>
      </c>
    </row>
    <row r="8312" ht="87" customHeight="1">
      <c r="A8312" s="2">
        <f>HYPERLINK("https://edmondsonsupply.com/collections/electricians-tools/products/klein-32807mag", "https://edmondsonsupply.com/collections/electricians-tools/products/klein-32807mag")</f>
        <v/>
      </c>
      <c r="B8312" s="2">
        <f>HYPERLINK("https://edmondsonsupply.com/products/klein-32807mag", "https://edmondsonsupply.com/products/klein-32807mag")</f>
        <v/>
      </c>
      <c r="C8312" t="inlineStr">
        <is>
          <t>Klein Tools 32807MAG 7-in-1 Multi-Bit Screwdriver / Nut Driver, Magnetic</t>
        </is>
      </c>
      <c r="D8312" t="inlineStr">
        <is>
          <t>Klein Tools 32807MAG 7-in-1 Nut Driver &amp; 32308 Multi-bit Stubby Screwdriver, Impact Rated 8-in-1 Adjustable Magnetic Tool with Phillips, Slotted, Square and Nut Driver</t>
        </is>
      </c>
      <c r="E8312" s="2">
        <f>HYPERLINK("https://www.amazon.com/Klein-Tools-Multi-bit-Screwdriver-Adjustable/dp/B0B2DDKN6X/ref=sr_1_5?keywords=Klein+Tools+32807MAG+7-in-1+Multi-Bit+Screwdriver+%2F+Nut+Driver%2C+Magnetic&amp;qid=1694735441&amp;sr=8-5", "https://www.amazon.com/Klein-Tools-Multi-bit-Screwdriver-Adjustable/dp/B0B2DDKN6X/ref=sr_1_5?keywords=Klein+Tools+32807MAG+7-in-1+Multi-Bit+Screwdriver+%2F+Nut+Driver%2C+Magnetic&amp;qid=1694735441&amp;sr=8-5")</f>
        <v/>
      </c>
      <c r="F8312" t="inlineStr">
        <is>
          <t>B0B2DDKN6X</t>
        </is>
      </c>
      <c r="G8312">
        <f>_xlfn.IMAGE("https://edmondsonsupply.com/cdn/shop/products/32807mag_beauty_l.jpg?v=1604873791")</f>
        <v/>
      </c>
      <c r="H8312">
        <f>_xlfn.IMAGE("https://m.media-amazon.com/images/I/513U9I4oXnL._AC_UL320_.jpg")</f>
        <v/>
      </c>
      <c r="K8312" t="inlineStr">
        <is>
          <t>29.97</t>
        </is>
      </c>
      <c r="L8312" t="n">
        <v>46.94</v>
      </c>
      <c r="M8312" s="1" t="inlineStr">
        <is>
          <t>56.62%</t>
        </is>
      </c>
      <c r="N8312" s="7" t="n"/>
      <c r="O8312" t="n">
        <v>4.9</v>
      </c>
      <c r="P8312" t="n">
        <v>14</v>
      </c>
      <c r="R8312" t="inlineStr">
        <is>
          <t>InStock</t>
        </is>
      </c>
      <c r="S8312" t="inlineStr">
        <is>
          <t>44.5</t>
        </is>
      </c>
      <c r="T8312" t="inlineStr">
        <is>
          <t>1493034008676</t>
        </is>
      </c>
    </row>
    <row r="8313" ht="87" customHeight="1">
      <c r="A8313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313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313" t="inlineStr">
        <is>
          <t>Klein Tools 32561 Multi-Bit Screwdriver / Nut Driver, 6-in-1, Stubby, Ph, Sl Bits</t>
        </is>
      </c>
      <c r="D8313" t="inlineStr">
        <is>
          <t>Klein Tools 32560 Multi-Bit Screwdriver / Nut Driver, Extended Reach 6-in-1 Tool with Phillips, Slotted and Square Bits and Nut Drivers</t>
        </is>
      </c>
      <c r="E8313" s="2">
        <f>HYPERLINK("https://www.amazon.com/Extended-Screwdriver-Klein-Tools-32560/dp/B005FQDHF4/ref=sr_1_10?keywords=Klein+Tools+32561+Multi-Bit+Screwdriver+%2F+Nut+Driver%2C+6-in-1%2C+Stubby%2C+Ph%2C+Sl+Bits&amp;qid=1694735473&amp;sr=8-10", "https://www.amazon.com/Extended-Screwdriver-Klein-Tools-32560/dp/B005FQDHF4/ref=sr_1_10?keywords=Klein+Tools+32561+Multi-Bit+Screwdriver+%2F+Nut+Driver%2C+6-in-1%2C+Stubby%2C+Ph%2C+Sl+Bits&amp;qid=1694735473&amp;sr=8-10")</f>
        <v/>
      </c>
      <c r="F8313" t="inlineStr">
        <is>
          <t>B005FQDHF4</t>
        </is>
      </c>
      <c r="G8313">
        <f>_xlfn.IMAGE("https://edmondsonsupply.com/cdn/shop/products/32561_beauty_r.jpg?v=1604436217")</f>
        <v/>
      </c>
      <c r="H8313">
        <f>_xlfn.IMAGE("https://m.media-amazon.com/images/I/516UhfUKmUL._AC_UL320_.jpg")</f>
        <v/>
      </c>
      <c r="K8313" t="inlineStr">
        <is>
          <t>10.97</t>
        </is>
      </c>
      <c r="L8313" t="n">
        <v>16.99</v>
      </c>
      <c r="M8313" s="1" t="inlineStr">
        <is>
          <t>54.88%</t>
        </is>
      </c>
      <c r="N8313" s="7" t="n"/>
      <c r="O8313" t="n">
        <v>4.8</v>
      </c>
      <c r="P8313" t="n">
        <v>679</v>
      </c>
      <c r="R8313" t="inlineStr">
        <is>
          <t>InStock</t>
        </is>
      </c>
      <c r="S8313" t="inlineStr">
        <is>
          <t>16.94</t>
        </is>
      </c>
      <c r="T8313" t="inlineStr">
        <is>
          <t>3671725998180</t>
        </is>
      </c>
    </row>
    <row r="8314" ht="87" customHeight="1">
      <c r="A8314" s="2">
        <f>HYPERLINK("https://edmondsonsupply.com/collections/electricians-tools/products/klein-tools-j203-6-journeyman-pliers-long-nose-side-cutters-6-3-4-inch", "https://edmondsonsupply.com/collections/electricians-tools/products/klein-tools-j203-6-journeyman-pliers-long-nose-side-cutters-6-3-4-inch")</f>
        <v/>
      </c>
      <c r="B8314" s="2">
        <f>HYPERLINK("https://edmondsonsupply.com/products/klein-tools-j203-6-journeyman-pliers-long-nose-side-cutters-6-3-4-inch", "https://edmondsonsupply.com/products/klein-tools-j203-6-journeyman-pliers-long-nose-side-cutters-6-3-4-inch")</f>
        <v/>
      </c>
      <c r="C8314" t="inlineStr">
        <is>
          <t>Klein Tools J203-6 Journeyman Pliers, Needle Nose Side-Cutters, 6-3/4-Inch</t>
        </is>
      </c>
      <c r="D8314" t="inlineStr">
        <is>
          <t>Klein Tools D302-6 Needle Nose Pliers, Long Nose Side Cutters, Alligator Pliers with Curved Handle, 6-1/2-Inch</t>
        </is>
      </c>
      <c r="E8314" s="2">
        <f>HYPERLINK("https://www.amazon.com/Curved-Long-Nose-Klein-Tools-D302-6/dp/B000G6CAGK/ref=sr_1_5?keywords=Klein+Tools+J203-6+Journeyman+Pliers%2C+Needle+Nose+Side-Cutters%2C+6-3%2F4-Inch&amp;qid=1694735431&amp;sr=8-5", "https://www.amazon.com/Curved-Long-Nose-Klein-Tools-D302-6/dp/B000G6CAGK/ref=sr_1_5?keywords=Klein+Tools+J203-6+Journeyman+Pliers%2C+Needle+Nose+Side-Cutters%2C+6-3%2F4-Inch&amp;qid=1694735431&amp;sr=8-5")</f>
        <v/>
      </c>
      <c r="F8314" t="inlineStr">
        <is>
          <t>B000G6CAGK</t>
        </is>
      </c>
      <c r="G8314">
        <f>_xlfn.IMAGE("https://edmondsonsupply.com/cdn/shop/products/j2036.jpg?v=1587144843")</f>
        <v/>
      </c>
      <c r="H8314">
        <f>_xlfn.IMAGE("https://m.media-amazon.com/images/I/31HPclIh6JL._AC_UL320_.jpg")</f>
        <v/>
      </c>
      <c r="K8314" t="inlineStr">
        <is>
          <t>28.99</t>
        </is>
      </c>
      <c r="L8314" t="n">
        <v>44.74</v>
      </c>
      <c r="M8314" s="1" t="inlineStr">
        <is>
          <t>54.33%</t>
        </is>
      </c>
      <c r="N8314" s="7" t="n"/>
      <c r="O8314" t="n">
        <v>4.7</v>
      </c>
      <c r="P8314" t="n">
        <v>83</v>
      </c>
      <c r="R8314" t="inlineStr">
        <is>
          <t>InStock</t>
        </is>
      </c>
      <c r="S8314" t="inlineStr">
        <is>
          <t>43.1</t>
        </is>
      </c>
      <c r="T8314" t="inlineStr">
        <is>
          <t>4338947686500</t>
        </is>
      </c>
    </row>
    <row r="8315" hidden="1" ht="15.75" customHeight="1">
      <c r="A8315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315" s="2">
        <f>HYPERLINK("https://edmondsonsupply.com/products/klein-tools-601-4-3-16-cabinet-tip-screwdriver-4-round-shank", "https://edmondsonsupply.com/products/klein-tools-601-4-3-16-cabinet-tip-screwdriver-4-round-shank")</f>
        <v/>
      </c>
      <c r="C8315" t="inlineStr">
        <is>
          <t>Klein Tools 601-4 3/16-Inch Cabinet Tip Screwdriver 4-Inch</t>
        </is>
      </c>
      <c r="D8315" t="inlineStr">
        <is>
          <t>Klein Tools 6916INS 1000V Slim Tip Insulated Screwdriver, 6-Inch Round Shank, 3/16-Inch Cabinet Tip, Cushion Grip Handle</t>
        </is>
      </c>
      <c r="E8315" s="2">
        <f>HYPERLINK("https://www.amazon.com/Klein-Tools-6916INS-Insulated-Screwdriver/dp/B089DR97MJ/ref=sr_1_9?keywords=Klein+Tools+601-4+3%2F16-Inch+Cabinet+Tip+Screwdriver+4-Inch&amp;qid=1694735471&amp;sr=8-9", "https://www.amazon.com/Klein-Tools-6916INS-Insulated-Screwdriver/dp/B089DR97MJ/ref=sr_1_9?keywords=Klein+Tools+601-4+3%2F16-Inch+Cabinet+Tip+Screwdriver+4-Inch&amp;qid=1694735471&amp;sr=8-9")</f>
        <v/>
      </c>
      <c r="F8315" t="inlineStr">
        <is>
          <t>B089DR97MJ</t>
        </is>
      </c>
      <c r="G8315">
        <f>_xludf.IMAGE("https://edmondsonsupply.com/cdn/shop/products/601-4.jpg?v=1587147829")</f>
        <v/>
      </c>
      <c r="H8315">
        <f>_xludf.IMAGE("https://m.media-amazon.com/images/I/41JpJG+Jh0L._AC_UL320_.jpg")</f>
        <v/>
      </c>
      <c r="K8315" t="inlineStr">
        <is>
          <t>8.98</t>
        </is>
      </c>
      <c r="L8315" t="n">
        <v>13.85</v>
      </c>
      <c r="M8315" s="1" t="inlineStr">
        <is>
          <t>54.23%</t>
        </is>
      </c>
      <c r="N8315" s="1" t="n"/>
      <c r="O8315" t="n">
        <v>4.8</v>
      </c>
      <c r="P8315" t="n">
        <v>1358</v>
      </c>
      <c r="R8315" t="inlineStr">
        <is>
          <t>InStock</t>
        </is>
      </c>
      <c r="S8315" t="inlineStr">
        <is>
          <t>11.52</t>
        </is>
      </c>
      <c r="T8315" t="inlineStr">
        <is>
          <t>2767048900708</t>
        </is>
      </c>
    </row>
    <row r="8316" hidden="1" ht="15.75" customHeight="1">
      <c r="A8316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316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316" t="inlineStr">
        <is>
          <t>Klein Tools JTH6E10 5/32-Inch Hex Key, Journeyman T-Handle, 6-Inch</t>
        </is>
      </c>
      <c r="D8316" t="inlineStr">
        <is>
          <t>Klein Tools JTH6E12BE 7/32-Inch Ball End Hex Key with Journeyman T-Handle,6-Inch</t>
        </is>
      </c>
      <c r="E8316" s="2">
        <f>HYPERLINK("https://www.amazon.com/Journeyman-T-Handle-Klein-Tools-JTH6E12BE/dp/B004QW74L6/ref=sr_1_6?keywords=Klein+Tools+JTH6E10+5%2F32-Inch+Hex+Key%2C+Journeyman+T-Handle%2C+6-Inch&amp;qid=1694735453&amp;sr=8-6", "https://www.amazon.com/Journeyman-T-Handle-Klein-Tools-JTH6E12BE/dp/B004QW74L6/ref=sr_1_6?keywords=Klein+Tools+JTH6E10+5%2F32-Inch+Hex+Key%2C+Journeyman+T-Handle%2C+6-Inch&amp;qid=1694735453&amp;sr=8-6")</f>
        <v/>
      </c>
      <c r="F8316" t="inlineStr">
        <is>
          <t>B004QW74L6</t>
        </is>
      </c>
      <c r="G8316">
        <f>_xludf.IMAGE("https://edmondsonsupply.com/cdn/shop/products/jth6e15_f525b558-406f-4cfd-9eb6-2b57378156a6.jpg?v=1587144832")</f>
        <v/>
      </c>
      <c r="H8316">
        <f>_xludf.IMAGE("https://m.media-amazon.com/images/I/51f9vBFVXgL._AC_UL320_.jpg")</f>
        <v/>
      </c>
      <c r="K8316" t="inlineStr">
        <is>
          <t>3.99</t>
        </is>
      </c>
      <c r="L8316" t="n">
        <v>6.15</v>
      </c>
      <c r="M8316" s="1" t="inlineStr">
        <is>
          <t>54.14%</t>
        </is>
      </c>
      <c r="N8316" s="1" t="n"/>
      <c r="O8316" t="n">
        <v>4.5</v>
      </c>
      <c r="P8316" t="n">
        <v>9</v>
      </c>
      <c r="R8316" t="inlineStr">
        <is>
          <t>InStock</t>
        </is>
      </c>
      <c r="S8316" t="inlineStr">
        <is>
          <t>6.04</t>
        </is>
      </c>
      <c r="T8316" t="inlineStr">
        <is>
          <t>4160213418084</t>
        </is>
      </c>
    </row>
    <row r="8317" hidden="1" ht="15.75" customHeight="1">
      <c r="A8317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17" s="2">
        <f>HYPERLINK("https://edmondsonsupply.com/products/klein-tools-601-6-3-16-inch-cabinet-tip-screwdriver-6-inch", "https://edmondsonsupply.com/products/klein-tools-601-6-3-16-inch-cabinet-tip-screwdriver-6-inch")</f>
        <v/>
      </c>
      <c r="C8317" t="inlineStr">
        <is>
          <t>Klein Tools 601-6 3/16-Inch Cabinet Tip Screwdriver 6-Inch</t>
        </is>
      </c>
      <c r="D8317" t="inlineStr">
        <is>
          <t>Klein Tools 6916INS 1000V Slim Tip Insulated Screwdriver, 6-Inch Round Shank, 3/16-Inch Cabinet Tip, Cushion Grip Handle</t>
        </is>
      </c>
      <c r="E8317" s="2">
        <f>HYPERLINK("https://www.amazon.com/Klein-Tools-6916INS-Insulated-Screwdriver/dp/B089DR97MJ/ref=sr_1_8?keywords=Klein+Tools+601-6+3%2F16-Inch+Cabinet+Tip+Screwdriver+6-Inch&amp;qid=1694735470&amp;sr=8-8", "https://www.amazon.com/Klein-Tools-6916INS-Insulated-Screwdriver/dp/B089DR97MJ/ref=sr_1_8?keywords=Klein+Tools+601-6+3%2F16-Inch+Cabinet+Tip+Screwdriver+6-Inch&amp;qid=1694735470&amp;sr=8-8")</f>
        <v/>
      </c>
      <c r="F8317" t="inlineStr">
        <is>
          <t>B089DR97MJ</t>
        </is>
      </c>
      <c r="G8317">
        <f>_xludf.IMAGE("https://edmondsonsupply.com/cdn/shop/products/601-6.jpg?v=1587148683")</f>
        <v/>
      </c>
      <c r="H8317">
        <f>_xludf.IMAGE("https://m.media-amazon.com/images/I/41JpJG+Jh0L._AC_UL320_.jpg")</f>
        <v/>
      </c>
      <c r="K8317" t="inlineStr">
        <is>
          <t>8.99</t>
        </is>
      </c>
      <c r="L8317" t="n">
        <v>13.85</v>
      </c>
      <c r="M8317" s="1" t="inlineStr">
        <is>
          <t>54.06%</t>
        </is>
      </c>
      <c r="N8317" s="1" t="n"/>
      <c r="O8317" t="n">
        <v>4.8</v>
      </c>
      <c r="P8317" t="n">
        <v>1358</v>
      </c>
      <c r="R8317" t="inlineStr">
        <is>
          <t>InStock</t>
        </is>
      </c>
      <c r="S8317" t="inlineStr">
        <is>
          <t>11.96</t>
        </is>
      </c>
      <c r="T8317" t="inlineStr">
        <is>
          <t>3689898016868</t>
        </is>
      </c>
    </row>
    <row r="8318" ht="87" customHeight="1">
      <c r="A8318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318" s="2">
        <f>HYPERLINK("https://edmondsonsupply.com/products/klein-tools-70579-folding-hex-key-set-5-inch-sae-5-piece", "https://edmondsonsupply.com/products/klein-tools-70579-folding-hex-key-set-5-inch-sae-5-piece")</f>
        <v/>
      </c>
      <c r="C8318" t="inlineStr">
        <is>
          <t>Klein Tools 70579 Folding Hex Key Set, 5-Key, SAE Sizes</t>
        </is>
      </c>
      <c r="D8318" t="inlineStr">
        <is>
          <t>Klein Tools 70550 Hex Wrench Key Set, 11 SAE Sizes, Heavy Duty Folding Allen Wrench Tool with Extra Long Hex Keys</t>
        </is>
      </c>
      <c r="E8318" s="2">
        <f>HYPERLINK("https://www.amazon.com/Klein-Tools-70550-Folding-Wrench/dp/B07SR11TC4/ref=sr_1_3?keywords=Klein+Tools+70579+Folding+Hex+Key+Set%2C+5-Key%2C+SAE+Sizes&amp;qid=1694735436&amp;sr=8-3", "https://www.amazon.com/Klein-Tools-70550-Folding-Wrench/dp/B07SR11TC4/ref=sr_1_3?keywords=Klein+Tools+70579+Folding+Hex+Key+Set%2C+5-Key%2C+SAE+Sizes&amp;qid=1694735436&amp;sr=8-3")</f>
        <v/>
      </c>
      <c r="F8318" t="inlineStr">
        <is>
          <t>B07SR11TC4</t>
        </is>
      </c>
      <c r="G8318">
        <f>_xlfn.IMAGE("https://edmondsonsupply.com/cdn/shop/products/70579.jpg?v=1587145103")</f>
        <v/>
      </c>
      <c r="H8318">
        <f>_xlfn.IMAGE("https://m.media-amazon.com/images/I/51WajHtjW+L._AC_UL320_.jpg")</f>
        <v/>
      </c>
      <c r="K8318" t="inlineStr">
        <is>
          <t>12.97</t>
        </is>
      </c>
      <c r="L8318" t="n">
        <v>19.97</v>
      </c>
      <c r="M8318" s="1" t="inlineStr">
        <is>
          <t>53.97%</t>
        </is>
      </c>
      <c r="N8318" s="7" t="n"/>
      <c r="O8318" t="n">
        <v>4.8</v>
      </c>
      <c r="P8318" t="n">
        <v>5745</v>
      </c>
      <c r="R8318" t="inlineStr">
        <is>
          <t>InStock</t>
        </is>
      </c>
      <c r="S8318" t="inlineStr">
        <is>
          <t>18.38</t>
        </is>
      </c>
      <c r="T8318" t="inlineStr">
        <is>
          <t>4346564477028</t>
        </is>
      </c>
    </row>
    <row r="8319" ht="87" customHeight="1">
      <c r="A8319" s="2">
        <f>HYPERLINK("https://edmondsonsupply.com/collections/electricians-tools/products/klein-tools-d507-6-adjustable-wrench-extra-capacity-6-1-2-inch", "https://edmondsonsupply.com/collections/electricians-tools/products/klein-tools-d507-6-adjustable-wrench-extra-capacity-6-1-2-inch")</f>
        <v/>
      </c>
      <c r="B8319" s="2">
        <f>HYPERLINK("https://edmondsonsupply.com/products/klein-tools-d507-6-adjustable-wrench-extra-capacity-6-1-2-inch", "https://edmondsonsupply.com/products/klein-tools-d507-6-adjustable-wrench-extra-capacity-6-1-2-inch")</f>
        <v/>
      </c>
      <c r="C8319" t="inlineStr">
        <is>
          <t>Klein Tools D507-6 Adjustable Wrench Extra Capacity, 6-1/2-Inch</t>
        </is>
      </c>
      <c r="D8319" t="inlineStr">
        <is>
          <t>Klein Tools D86930 Reversible Pipe Wrench/Adjustable Wrench with 2-in-1 Extra-Wide 1-1/2 -inch Jaw, 10-inch</t>
        </is>
      </c>
      <c r="E8319" s="2">
        <f>HYPERLINK("https://www.amazon.com/Reversible-Adjustable-Klein-Tools-D86930/dp/B0753L3TP6/ref=sr_1_9?keywords=Klein+Tools+D507-6+Adjustable+Wrench+Extra+Capacity%2C+6-1%2F2-Inch&amp;qid=1694735470&amp;sr=8-9", "https://www.amazon.com/Reversible-Adjustable-Klein-Tools-D86930/dp/B0753L3TP6/ref=sr_1_9?keywords=Klein+Tools+D507-6+Adjustable+Wrench+Extra+Capacity%2C+6-1%2F2-Inch&amp;qid=1694735470&amp;sr=8-9")</f>
        <v/>
      </c>
      <c r="F8319" t="inlineStr">
        <is>
          <t>B0753L3TP6</t>
        </is>
      </c>
      <c r="G8319">
        <f>_xlfn.IMAGE("https://edmondsonsupply.com/cdn/shop/products/d507-6.jpg?v=1587147606")</f>
        <v/>
      </c>
      <c r="H8319">
        <f>_xlfn.IMAGE("https://m.media-amazon.com/images/I/41BoNS0zkEL._AC_UL320_.jpg")</f>
        <v/>
      </c>
      <c r="K8319" t="inlineStr">
        <is>
          <t>25.99</t>
        </is>
      </c>
      <c r="L8319" t="n">
        <v>39.99</v>
      </c>
      <c r="M8319" s="1" t="inlineStr">
        <is>
          <t>53.87%</t>
        </is>
      </c>
      <c r="N8319" s="7" t="n"/>
      <c r="O8319" t="n">
        <v>4.7</v>
      </c>
      <c r="P8319" t="n">
        <v>127</v>
      </c>
      <c r="R8319" t="inlineStr">
        <is>
          <t>InStock</t>
        </is>
      </c>
      <c r="S8319" t="inlineStr">
        <is>
          <t>39.3</t>
        </is>
      </c>
      <c r="T8319" t="inlineStr">
        <is>
          <t>3694818099300</t>
        </is>
      </c>
    </row>
    <row r="8320" ht="87" customHeight="1">
      <c r="A8320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320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320" t="inlineStr">
        <is>
          <t>Klein Tools 11055 Klein Kurve® Solid and Stranded Copper Wire Stripper &amp; Cutter</t>
        </is>
      </c>
      <c r="D8320" t="inlineStr">
        <is>
          <t>Klein Tools 11046 Wire Stripper/Cutter 16-26 AWG Stranded &amp; 11047 Wire Stripper/Cutter, Compact, Lightweight, Hardened Steel, Precision Ground, for Stranded and Solid Wires</t>
        </is>
      </c>
      <c r="E8320" s="2">
        <f>HYPERLINK("https://www.amazon.com/Klein-Tools-Stripper-Lightweight-Precision/dp/B0BNL5MC4G/ref=sr_1_28?keywords=Klein+Tools+11055+Klein+Kurve%C2%AE+Solid+and+Stranded+Copper+Wire+Stripper+%26+Cutter&amp;qid=1694735472&amp;sr=8-28", "https://www.amazon.com/Klein-Tools-Stripper-Lightweight-Precision/dp/B0BNL5MC4G/ref=sr_1_28?keywords=Klein+Tools+11055+Klein+Kurve%C2%AE+Solid+and+Stranded+Copper+Wire+Stripper+%26+Cutter&amp;qid=1694735472&amp;sr=8-28")</f>
        <v/>
      </c>
      <c r="F8320" t="inlineStr">
        <is>
          <t>B0BNL5MC4G</t>
        </is>
      </c>
      <c r="G8320">
        <f>_xlfn.IMAGE("https://edmondsonsupply.com/cdn/shop/products/11055ep.jpg?v=1670949748")</f>
        <v/>
      </c>
      <c r="H8320">
        <f>_xlfn.IMAGE("https://m.media-amazon.com/images/I/41uWm6Rw+pL._AC_UL320_.jpg")</f>
        <v/>
      </c>
      <c r="K8320" t="inlineStr">
        <is>
          <t>19.99</t>
        </is>
      </c>
      <c r="L8320" t="n">
        <v>30.75</v>
      </c>
      <c r="M8320" s="1" t="inlineStr">
        <is>
          <t>53.83%</t>
        </is>
      </c>
      <c r="N8320" s="7" t="n"/>
      <c r="O8320" t="n">
        <v>4.6</v>
      </c>
      <c r="P8320" t="n">
        <v>7</v>
      </c>
      <c r="R8320" t="inlineStr">
        <is>
          <t>InStock</t>
        </is>
      </c>
      <c r="S8320" t="inlineStr">
        <is>
          <t>29.82</t>
        </is>
      </c>
      <c r="T8320" t="inlineStr">
        <is>
          <t>1780558135396</t>
        </is>
      </c>
    </row>
    <row r="8321" ht="87" customHeight="1">
      <c r="A8321" s="2">
        <f>HYPERLINK("https://edmondsonsupply.com/collections/electricians-tools/products/klein-tools-vdv002-818-coax-cable-installation-test-kit", "https://edmondsonsupply.com/collections/electricians-tools/products/klein-tools-vdv002-818-coax-cable-installation-test-kit")</f>
        <v/>
      </c>
      <c r="B8321" s="2">
        <f>HYPERLINK("https://edmondsonsupply.com/products/klein-tools-vdv002-818-coax-cable-installation-test-kit", "https://edmondsonsupply.com/products/klein-tools-vdv002-818-coax-cable-installation-test-kit")</f>
        <v/>
      </c>
      <c r="C8321" t="inlineStr">
        <is>
          <t>Klein Tools VDV002-818 Coax Cable Installation &amp; Test Kit</t>
        </is>
      </c>
      <c r="D8321" t="inlineStr">
        <is>
          <t>Klein Tools VDV512-101 Explorer 2 Coax Tester Kit, Includes Cable Tester &amp; VDV026-211 Coax Installation Kit with Crimp Tool, Cable Cutter, Stripper and F Connectors with Storage Bag</t>
        </is>
      </c>
      <c r="E8321" s="2">
        <f>HYPERLINK("https://www.amazon.com/Klein-Tools-VDV512-101-VDV026-211-Installation/dp/B0BFXRNP8X/ref=sr_1_20?keywords=Klein+Tools+VDV002-818+Coax+Cable+Installation&amp;qid=1694735432&amp;sr=8-20", "https://www.amazon.com/Klein-Tools-VDV512-101-VDV026-211-Installation/dp/B0BFXRNP8X/ref=sr_1_20?keywords=Klein+Tools+VDV002-818+Coax+Cable+Installation&amp;qid=1694735432&amp;sr=8-20")</f>
        <v/>
      </c>
      <c r="F8321" t="inlineStr">
        <is>
          <t>B0BFXRNP8X</t>
        </is>
      </c>
      <c r="G8321">
        <f>_xlfn.IMAGE("https://edmondsonsupply.com/cdn/shop/products/vdv002-818.jpg?v=1587144977")</f>
        <v/>
      </c>
      <c r="H8321">
        <f>_xlfn.IMAGE("https://m.media-amazon.com/images/I/41+fpogev2L._AC_UL320_.jpg")</f>
        <v/>
      </c>
      <c r="K8321" t="inlineStr">
        <is>
          <t>53.99</t>
        </is>
      </c>
      <c r="L8321" t="n">
        <v>82.84</v>
      </c>
      <c r="M8321" s="1" t="inlineStr">
        <is>
          <t>53.44%</t>
        </is>
      </c>
      <c r="N8321" s="7" t="n"/>
      <c r="O8321" t="n">
        <v>5</v>
      </c>
      <c r="P8321" t="n">
        <v>1</v>
      </c>
      <c r="R8321" t="inlineStr">
        <is>
          <t>InStock</t>
        </is>
      </c>
      <c r="S8321" t="inlineStr">
        <is>
          <t>72.74</t>
        </is>
      </c>
      <c r="T8321" t="inlineStr">
        <is>
          <t>4345265193060</t>
        </is>
      </c>
    </row>
    <row r="8322" ht="87" customHeight="1">
      <c r="A8322" s="2">
        <f>HYPERLINK("https://edmondsonsupply.com/collections/electricians-tools/products/klein-32807mag", "https://edmondsonsupply.com/collections/electricians-tools/products/klein-32807mag")</f>
        <v/>
      </c>
      <c r="B8322" s="2">
        <f>HYPERLINK("https://edmondsonsupply.com/products/klein-32807mag", "https://edmondsonsupply.com/products/klein-32807mag")</f>
        <v/>
      </c>
      <c r="C8322" t="inlineStr">
        <is>
          <t>Klein Tools 32807MAG 7-in-1 Multi-Bit Screwdriver / Nut Driver, Magnetic</t>
        </is>
      </c>
      <c r="D8322" t="inlineStr">
        <is>
          <t>Klein Tools 32807MAG 7-in-1 Nut Driver, Magnetic Driver with SAE Hex Nut Sizes and Spring Coil Bits &amp; 32527 Schrader 11-in-1 Screwdriver/Nut Driver, Black</t>
        </is>
      </c>
      <c r="E8322" s="2">
        <f>HYPERLINK("https://www.amazon.com/Klein-Tools-32807MAG-Magnetic-Screwdriver/dp/B08MG3L43V/ref=sr_1_6?keywords=Klein+Tools+32807MAG+7-in-1+Multi-Bit+Screwdriver+%2F+Nut+Driver%2C+Magnetic&amp;qid=1694735441&amp;sr=8-6", "https://www.amazon.com/Klein-Tools-32807MAG-Magnetic-Screwdriver/dp/B08MG3L43V/ref=sr_1_6?keywords=Klein+Tools+32807MAG+7-in-1+Multi-Bit+Screwdriver+%2F+Nut+Driver%2C+Magnetic&amp;qid=1694735441&amp;sr=8-6")</f>
        <v/>
      </c>
      <c r="F8322" t="inlineStr">
        <is>
          <t>B08MG3L43V</t>
        </is>
      </c>
      <c r="G8322">
        <f>_xlfn.IMAGE("https://edmondsonsupply.com/cdn/shop/products/32807mag_beauty_l.jpg?v=1604873791")</f>
        <v/>
      </c>
      <c r="H8322">
        <f>_xlfn.IMAGE("https://m.media-amazon.com/images/I/51yRbCSFsxL._AC_UL320_.jpg")</f>
        <v/>
      </c>
      <c r="K8322" t="inlineStr">
        <is>
          <t>29.97</t>
        </is>
      </c>
      <c r="L8322" t="n">
        <v>45.94</v>
      </c>
      <c r="M8322" s="1" t="inlineStr">
        <is>
          <t>53.29%</t>
        </is>
      </c>
      <c r="N8322" s="7" t="n"/>
      <c r="O8322" t="n">
        <v>4.7</v>
      </c>
      <c r="P8322" t="n">
        <v>13</v>
      </c>
      <c r="R8322" t="inlineStr">
        <is>
          <t>InStock</t>
        </is>
      </c>
      <c r="S8322" t="inlineStr">
        <is>
          <t>44.5</t>
        </is>
      </c>
      <c r="T8322" t="inlineStr">
        <is>
          <t>1493034008676</t>
        </is>
      </c>
    </row>
    <row r="8323" ht="87" customHeight="1">
      <c r="A8323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323" s="2">
        <f>HYPERLINK("https://edmondsonsupply.com/products/klein-tools-21051-large-cable-stripper-250-mcm-2-0", "https://edmondsonsupply.com/products/klein-tools-21051-large-cable-stripper-250-mcm-2-0")</f>
        <v/>
      </c>
      <c r="C8323" t="inlineStr">
        <is>
          <t>Klein Tools 21051 Large Cable Stripper (2/0-250 MCM)</t>
        </is>
      </c>
      <c r="D8323" t="inlineStr">
        <is>
          <t>Klein Tools 21051 Large Cable Stripper (2/0-250 MCM) &amp; 50402 Cable Bender, 14-Inch</t>
        </is>
      </c>
      <c r="E8323" s="2">
        <f>HYPERLINK("https://www.amazon.com/Klein-Tools-Stripper-Bender-14-Inch/dp/B0BFXQNDTT/ref=sr_1_4?keywords=Klein+Tools+21051+Large+Cable+Stripper+%282%2F0-250+MCM%29&amp;qid=1694735474&amp;sr=8-4", "https://www.amazon.com/Klein-Tools-Stripper-Bender-14-Inch/dp/B0BFXQNDTT/ref=sr_1_4?keywords=Klein+Tools+21051+Large+Cable+Stripper+%282%2F0-250+MCM%29&amp;qid=1694735474&amp;sr=8-4")</f>
        <v/>
      </c>
      <c r="F8323" t="inlineStr">
        <is>
          <t>B0BFXQNDTT</t>
        </is>
      </c>
      <c r="G8323">
        <f>_xlfn.IMAGE("https://edmondsonsupply.com/cdn/shop/products/21051.jpg?v=1587145554")</f>
        <v/>
      </c>
      <c r="H8323">
        <f>_xlfn.IMAGE("https://m.media-amazon.com/images/I/41ZGaev3JFL._AC_UL320_.jpg")</f>
        <v/>
      </c>
      <c r="K8323" t="inlineStr">
        <is>
          <t>54.99</t>
        </is>
      </c>
      <c r="L8323" t="n">
        <v>84.14</v>
      </c>
      <c r="M8323" s="1" t="inlineStr">
        <is>
          <t>53.01%</t>
        </is>
      </c>
      <c r="N8323" s="7" t="n"/>
      <c r="O8323" t="n">
        <v>4.7</v>
      </c>
      <c r="P8323" t="n">
        <v>4</v>
      </c>
      <c r="R8323" t="inlineStr">
        <is>
          <t>InStock</t>
        </is>
      </c>
      <c r="S8323" t="inlineStr">
        <is>
          <t>85.38</t>
        </is>
      </c>
      <c r="T8323" t="inlineStr">
        <is>
          <t>1779877806180</t>
        </is>
      </c>
    </row>
    <row r="8324" ht="87" customHeight="1">
      <c r="A8324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324" s="2">
        <f>HYPERLINK("https://edmondsonsupply.com/products/klein-tools-et140-pinless-moisture-meter", "https://edmondsonsupply.com/products/klein-tools-et140-pinless-moisture-meter")</f>
        <v/>
      </c>
      <c r="C8324" t="inlineStr">
        <is>
          <t>Klein Tools ET140 Pinless Moisture Meter</t>
        </is>
      </c>
      <c r="D8324" t="inlineStr">
        <is>
          <t>Klein Tools ET140 Pinless Moisture Meter for Non-Destructive Moisture Detection in Drywall, Wood, and Masonry; Detects &amp; UEi Test Instruments PDT650 Folding Pocket Digital Thermometer,Yellow</t>
        </is>
      </c>
      <c r="E8324" s="2">
        <f>HYPERLINK("https://www.amazon.com/Klein-Tools-Non-Destructive-Instruments-Thermometer/dp/B08ZQ79PT3/ref=sr_1_6?keywords=Klein+Tools+ET140+Pinless+Moisture+Meter&amp;qid=1694735470&amp;sr=8-6", "https://www.amazon.com/Klein-Tools-Non-Destructive-Instruments-Thermometer/dp/B08ZQ79PT3/ref=sr_1_6?keywords=Klein+Tools+ET140+Pinless+Moisture+Meter&amp;qid=1694735470&amp;sr=8-6")</f>
        <v/>
      </c>
      <c r="F8324" t="inlineStr">
        <is>
          <t>B08ZQ79PT3</t>
        </is>
      </c>
      <c r="G8324">
        <f>_xlfn.IMAGE("https://edmondsonsupply.com/cdn/shop/products/et140_beauty_r.jpg?v=1587143172")</f>
        <v/>
      </c>
      <c r="H8324">
        <f>_xlfn.IMAGE("https://m.media-amazon.com/images/I/41rHOtpwApS._AC_UL320_.jpg")</f>
        <v/>
      </c>
      <c r="K8324" t="inlineStr">
        <is>
          <t>41.97</t>
        </is>
      </c>
      <c r="L8324" t="n">
        <v>63.96</v>
      </c>
      <c r="M8324" s="1" t="inlineStr">
        <is>
          <t>52.39%</t>
        </is>
      </c>
      <c r="N8324" s="7" t="n"/>
      <c r="O8324" t="n">
        <v>5</v>
      </c>
      <c r="P8324" t="n">
        <v>2</v>
      </c>
      <c r="R8324" t="inlineStr">
        <is>
          <t>InStock</t>
        </is>
      </c>
      <c r="S8324" t="inlineStr">
        <is>
          <t>59.44</t>
        </is>
      </c>
      <c r="T8324" t="inlineStr">
        <is>
          <t>3693529071716</t>
        </is>
      </c>
    </row>
    <row r="8325" ht="87" customHeight="1">
      <c r="A8325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325" s="2">
        <f>HYPERLINK("https://edmondsonsupply.com/products/klein-tools-et140-pinless-moisture-meter", "https://edmondsonsupply.com/products/klein-tools-et140-pinless-moisture-meter")</f>
        <v/>
      </c>
      <c r="C8325" t="inlineStr">
        <is>
          <t>Klein Tools ET140 Pinless Moisture Meter</t>
        </is>
      </c>
      <c r="D8325" t="inlineStr">
        <is>
          <t>Klein Tools ET140 Pinless Moisture Meter &amp; RT250 GFCI Receptacle Tester with LCD Display, for Standard 3-Wire 120V Electrical Outlets</t>
        </is>
      </c>
      <c r="E8325" s="2">
        <f>HYPERLINK("https://www.amazon.com/Klein-Tools-Moisture-Receptacle-Electrical/dp/B09T6X53KB/ref=sr_1_3?keywords=Klein+Tools+ET140+Pinless+Moisture+Meter&amp;qid=1694735470&amp;sr=8-3", "https://www.amazon.com/Klein-Tools-Moisture-Receptacle-Electrical/dp/B09T6X53KB/ref=sr_1_3?keywords=Klein+Tools+ET140+Pinless+Moisture+Meter&amp;qid=1694735470&amp;sr=8-3")</f>
        <v/>
      </c>
      <c r="F8325" t="inlineStr">
        <is>
          <t>B09T6X53KB</t>
        </is>
      </c>
      <c r="G8325">
        <f>_xlfn.IMAGE("https://edmondsonsupply.com/cdn/shop/products/et140_beauty_r.jpg?v=1587143172")</f>
        <v/>
      </c>
      <c r="H8325">
        <f>_xlfn.IMAGE("https://m.media-amazon.com/images/I/510OM9kr3YL._AC_UL320_.jpg")</f>
        <v/>
      </c>
      <c r="K8325" t="inlineStr">
        <is>
          <t>41.97</t>
        </is>
      </c>
      <c r="L8325" t="n">
        <v>63.94</v>
      </c>
      <c r="M8325" s="1" t="inlineStr">
        <is>
          <t>52.35%</t>
        </is>
      </c>
      <c r="N8325" s="7" t="n"/>
      <c r="O8325" t="n">
        <v>5</v>
      </c>
      <c r="P8325" t="n">
        <v>5</v>
      </c>
      <c r="R8325" t="inlineStr">
        <is>
          <t>InStock</t>
        </is>
      </c>
      <c r="S8325" t="inlineStr">
        <is>
          <t>59.44</t>
        </is>
      </c>
      <c r="T8325" t="inlineStr">
        <is>
          <t>3693529071716</t>
        </is>
      </c>
    </row>
    <row r="8326" hidden="1" ht="15.75" customHeight="1">
      <c r="A8326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326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326" t="inlineStr">
        <is>
          <t>Klein Tools JTH6M8 8 mm Hex Key with Journeyman T-Handle, 6-Inch</t>
        </is>
      </c>
      <c r="D8326" t="inlineStr">
        <is>
          <t>Klein Tools JTH6E13BE 1/4-Inch Ball End Hex Key with Journeyman T-Handle, 6-Inch</t>
        </is>
      </c>
      <c r="E8326" s="2">
        <f>HYPERLINK("https://www.amazon.com/Journeyman-T-Handle-Klein-Tools-JTH6E13BE/dp/B004QW52YW/ref=sr_1_8?keywords=Klein+Tools+JTH6M8+8+mm+Hex+Key+with+Journeyman+T-Handle%2C+6-Inch&amp;qid=1694735436&amp;sr=8-8", "https://www.amazon.com/Journeyman-T-Handle-Klein-Tools-JTH6E13BE/dp/B004QW52YW/ref=sr_1_8?keywords=Klein+Tools+JTH6M8+8+mm+Hex+Key+with+Journeyman+T-Handle%2C+6-Inch&amp;qid=1694735436&amp;sr=8-8")</f>
        <v/>
      </c>
      <c r="F8326" t="inlineStr">
        <is>
          <t>B004QW52YW</t>
        </is>
      </c>
      <c r="G8326">
        <f>_xludf.IMAGE("https://edmondsonsupply.com/cdn/shop/products/jth6m8_31a5ad24-670d-4140-a5ec-3785d5bf79d2.jpg?v=1587146374")</f>
        <v/>
      </c>
      <c r="H8326">
        <f>_xludf.IMAGE("https://m.media-amazon.com/images/I/51f9vBFVXgL._AC_UL320_.jpg")</f>
        <v/>
      </c>
      <c r="K8326" t="inlineStr">
        <is>
          <t>6.99</t>
        </is>
      </c>
      <c r="L8326" t="n">
        <v>10.55</v>
      </c>
      <c r="M8326" s="1" t="inlineStr">
        <is>
          <t>50.93%</t>
        </is>
      </c>
      <c r="N8326" s="1" t="n"/>
      <c r="O8326" t="n">
        <v>4.7</v>
      </c>
      <c r="P8326" t="n">
        <v>32</v>
      </c>
      <c r="R8326" t="inlineStr">
        <is>
          <t>InStock</t>
        </is>
      </c>
      <c r="S8326" t="inlineStr">
        <is>
          <t>10.58</t>
        </is>
      </c>
      <c r="T8326" t="inlineStr">
        <is>
          <t>4343287775332</t>
        </is>
      </c>
    </row>
    <row r="8327" ht="87" customHeight="1">
      <c r="A8327" s="2">
        <f>HYPERLINK("https://edmondsonsupply.com/collections/electricians-tools/products/klein-32807mag", "https://edmondsonsupply.com/collections/electricians-tools/products/klein-32807mag")</f>
        <v/>
      </c>
      <c r="B8327" s="2">
        <f>HYPERLINK("https://edmondsonsupply.com/products/klein-32807mag", "https://edmondsonsupply.com/products/klein-32807mag")</f>
        <v/>
      </c>
      <c r="C8327" t="inlineStr">
        <is>
          <t>Klein Tools 32807MAG 7-in-1 Multi-Bit Screwdriver / Nut Driver, Magnetic</t>
        </is>
      </c>
      <c r="D8327" t="inlineStr">
        <is>
          <t>Klein Tools 32807MAG 7-in-1 Nut Driver, Magnetic Driver &amp; 32614 Multi-bit Precision Screwdriver Set, 4-in-1 Electronics Pocket Screwdriver, Professional Phillips and Slotted Bits</t>
        </is>
      </c>
      <c r="E8327" s="2">
        <f>HYPERLINK("https://www.amazon.com/Klein-Tools-Screwdriver-Electronics-Professional/dp/B08XKMTQSP/ref=sr_1_4?keywords=Klein+Tools+32807MAG+7-in-1+Multi-Bit+Screwdriver+%2F+Nut+Driver%2C+Magnetic&amp;qid=1694735441&amp;sr=8-4", "https://www.amazon.com/Klein-Tools-Screwdriver-Electronics-Professional/dp/B08XKMTQSP/ref=sr_1_4?keywords=Klein+Tools+32807MAG+7-in-1+Multi-Bit+Screwdriver+%2F+Nut+Driver%2C+Magnetic&amp;qid=1694735441&amp;sr=8-4")</f>
        <v/>
      </c>
      <c r="F8327" t="inlineStr">
        <is>
          <t>B08XKMTQSP</t>
        </is>
      </c>
      <c r="G8327">
        <f>_xlfn.IMAGE("https://edmondsonsupply.com/cdn/shop/products/32807mag_beauty_l.jpg?v=1604873791")</f>
        <v/>
      </c>
      <c r="H8327">
        <f>_xlfn.IMAGE("https://m.media-amazon.com/images/I/51v1JF2w6pL._AC_UL320_.jpg")</f>
        <v/>
      </c>
      <c r="K8327" t="inlineStr">
        <is>
          <t>29.97</t>
        </is>
      </c>
      <c r="L8327" t="n">
        <v>45</v>
      </c>
      <c r="M8327" s="1" t="inlineStr">
        <is>
          <t>50.15%</t>
        </is>
      </c>
      <c r="N8327" s="7" t="n"/>
      <c r="O8327" t="n">
        <v>4.2</v>
      </c>
      <c r="P8327" t="n">
        <v>3</v>
      </c>
      <c r="R8327" t="inlineStr">
        <is>
          <t>InStock</t>
        </is>
      </c>
      <c r="S8327" t="inlineStr">
        <is>
          <t>44.5</t>
        </is>
      </c>
      <c r="T8327" t="inlineStr">
        <is>
          <t>1493034008676</t>
        </is>
      </c>
    </row>
    <row r="8328" hidden="1" ht="15.75" customHeight="1">
      <c r="A8328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328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328" t="inlineStr">
        <is>
          <t>Klein Tools 614-6 1/8-Inch Cabinet Electronics Screwdriver, 6-Inch</t>
        </is>
      </c>
      <c r="D8328" t="inlineStr">
        <is>
          <t>Klein Tools 6986INS Insulated Screwdriver, 1000V Slim Profile Tip, #1 Square with 6-Inch Shank, Cushion-Grip Handle</t>
        </is>
      </c>
      <c r="E8328" s="2">
        <f>HYPERLINK("https://www.amazon.com/Klein-Tools-6986INS-Screwdriver-Cushion-Grip/dp/B09GPYQ7DM/ref=sr_1_23?keywords=Klein+Tools+614-6+1%2F8-Inch+Cabinet+Electronics+Screwdriver%2C+6-Inch&amp;qid=1694735470&amp;sr=8-23", "https://www.amazon.com/Klein-Tools-6986INS-Screwdriver-Cushion-Grip/dp/B09GPYQ7DM/ref=sr_1_23?keywords=Klein+Tools+614-6+1%2F8-Inch+Cabinet+Electronics+Screwdriver%2C+6-Inch&amp;qid=1694735470&amp;sr=8-23")</f>
        <v/>
      </c>
      <c r="F8328" t="inlineStr">
        <is>
          <t>B09GPYQ7DM</t>
        </is>
      </c>
      <c r="G8328">
        <f>_xludf.IMAGE("https://edmondsonsupply.com/cdn/shop/products/614-6.jpg?v=1587147731")</f>
        <v/>
      </c>
      <c r="H8328">
        <f>_xludf.IMAGE("https://m.media-amazon.com/images/I/41d5Ic37xZL._AC_UL320_.jpg")</f>
        <v/>
      </c>
      <c r="K8328" t="inlineStr">
        <is>
          <t>9.99</t>
        </is>
      </c>
      <c r="L8328" t="n">
        <v>14.99</v>
      </c>
      <c r="M8328" s="1" t="inlineStr">
        <is>
          <t>50.05%</t>
        </is>
      </c>
      <c r="N8328" s="1" t="n"/>
      <c r="O8328" t="n">
        <v>4.8</v>
      </c>
      <c r="P8328" t="n">
        <v>29</v>
      </c>
      <c r="R8328" t="inlineStr">
        <is>
          <t>InStock</t>
        </is>
      </c>
      <c r="S8328" t="inlineStr">
        <is>
          <t>15.14</t>
        </is>
      </c>
      <c r="T8328" t="inlineStr">
        <is>
          <t>3688620556388</t>
        </is>
      </c>
    </row>
    <row r="8329" hidden="1" ht="15.75" customHeight="1">
      <c r="A8329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329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329" t="inlineStr">
        <is>
          <t>Klein Tools 614-6 1/8-Inch Cabinet Electronics Screwdriver, 6-Inch</t>
        </is>
      </c>
      <c r="D8329" t="inlineStr">
        <is>
          <t>Klein Tools 6926INS Insulated Screwdriver, 1000V Slim Profile Tip, 1/4-Inch Cabinet Screwdriver with 6-Inch Shank, Cushion-Grip Handle</t>
        </is>
      </c>
      <c r="E8329" s="2">
        <f>HYPERLINK("https://www.amazon.com/Klein-Tools-6926INS-Screwdriver-Cushion-Grip/dp/B09GL1X5SZ/ref=sr_1_14?keywords=Klein+Tools+614-6+1%2F8-Inch+Cabinet+Electronics+Screwdriver%2C+6-Inch&amp;qid=1694735470&amp;sr=8-14", "https://www.amazon.com/Klein-Tools-6926INS-Screwdriver-Cushion-Grip/dp/B09GL1X5SZ/ref=sr_1_14?keywords=Klein+Tools+614-6+1%2F8-Inch+Cabinet+Electronics+Screwdriver%2C+6-Inch&amp;qid=1694735470&amp;sr=8-14")</f>
        <v/>
      </c>
      <c r="F8329" t="inlineStr">
        <is>
          <t>B09GL1X5SZ</t>
        </is>
      </c>
      <c r="G8329">
        <f>_xludf.IMAGE("https://edmondsonsupply.com/cdn/shop/products/614-6.jpg?v=1587147731")</f>
        <v/>
      </c>
      <c r="H8329">
        <f>_xludf.IMAGE("https://m.media-amazon.com/images/I/41JbepP5oGL._AC_UL320_.jpg")</f>
        <v/>
      </c>
      <c r="K8329" t="inlineStr">
        <is>
          <t>9.99</t>
        </is>
      </c>
      <c r="L8329" t="n">
        <v>14.99</v>
      </c>
      <c r="M8329" s="1" t="inlineStr">
        <is>
          <t>50.05%</t>
        </is>
      </c>
      <c r="N8329" s="1" t="n"/>
      <c r="O8329" t="n">
        <v>4.8</v>
      </c>
      <c r="P8329" t="n">
        <v>85</v>
      </c>
      <c r="R8329" t="inlineStr">
        <is>
          <t>InStock</t>
        </is>
      </c>
      <c r="S8329" t="inlineStr">
        <is>
          <t>15.14</t>
        </is>
      </c>
      <c r="T8329" t="inlineStr">
        <is>
          <t>3688620556388</t>
        </is>
      </c>
    </row>
    <row r="8330" ht="87" customHeight="1">
      <c r="A8330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330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330" t="inlineStr">
        <is>
          <t>Klein Tools 11055 Klein Kurve® Solid and Stranded Copper Wire Stripper &amp; Cutter</t>
        </is>
      </c>
      <c r="D8330" t="inlineStr">
        <is>
          <t>Klein Tools 11055RINS 1000V Insulated Klein Kurve Wire Stripper/Cutter Cuts and Strips 10-18 Solid and 12-20 Stranded AWG Wire, Orange</t>
        </is>
      </c>
      <c r="E8330" s="2">
        <f>HYPERLINK("https://www.amazon.com/Klein-Tools-11055RINS-Insulated-Stripper/dp/B0BFZBQ9XF/ref=sr_1_14?keywords=Klein+Tools+11055+Klein+Kurve%C2%AE+Solid+and+Stranded+Copper+Wire+Stripper+%26+Cutter&amp;qid=1694735472&amp;sr=8-14", "https://www.amazon.com/Klein-Tools-11055RINS-Insulated-Stripper/dp/B0BFZBQ9XF/ref=sr_1_14?keywords=Klein+Tools+11055+Klein+Kurve%C2%AE+Solid+and+Stranded+Copper+Wire+Stripper+%26+Cutter&amp;qid=1694735472&amp;sr=8-14")</f>
        <v/>
      </c>
      <c r="F8330" t="inlineStr">
        <is>
          <t>B0BFZBQ9XF</t>
        </is>
      </c>
      <c r="G8330">
        <f>_xlfn.IMAGE("https://edmondsonsupply.com/cdn/shop/products/11055ep.jpg?v=1670949748")</f>
        <v/>
      </c>
      <c r="H8330">
        <f>_xlfn.IMAGE("https://m.media-amazon.com/images/I/41Pemveg6bL._AC_UL320_.jpg")</f>
        <v/>
      </c>
      <c r="K8330" t="inlineStr">
        <is>
          <t>19.99</t>
        </is>
      </c>
      <c r="L8330" t="n">
        <v>29.97</v>
      </c>
      <c r="M8330" s="1" t="inlineStr">
        <is>
          <t>49.92%</t>
        </is>
      </c>
      <c r="N8330" s="7" t="n"/>
      <c r="O8330" t="n">
        <v>4.6</v>
      </c>
      <c r="P8330" t="n">
        <v>54</v>
      </c>
      <c r="R8330" t="inlineStr">
        <is>
          <t>InStock</t>
        </is>
      </c>
      <c r="S8330" t="inlineStr">
        <is>
          <t>29.82</t>
        </is>
      </c>
      <c r="T8330" t="inlineStr">
        <is>
          <t>1780558135396</t>
        </is>
      </c>
    </row>
    <row r="8331" ht="87" customHeight="1">
      <c r="A8331" s="2">
        <f>HYPERLINK("https://edmondsonsupply.com/collections/electricians-tools/products/klein-32807mag", "https://edmondsonsupply.com/collections/electricians-tools/products/klein-32807mag")</f>
        <v/>
      </c>
      <c r="B8331" s="2">
        <f>HYPERLINK("https://edmondsonsupply.com/products/klein-32807mag", "https://edmondsonsupply.com/products/klein-32807mag")</f>
        <v/>
      </c>
      <c r="C8331" t="inlineStr">
        <is>
          <t>Klein Tools 32807MAG 7-in-1 Multi-Bit Screwdriver / Nut Driver, Magnetic</t>
        </is>
      </c>
      <c r="D8331" t="inlineStr">
        <is>
          <t>Impact Driver, 7-in-1 Impact Flip Socket Set &amp; 14-in-1 Adjustable Screwdriver with Flip Socket, HVAC Nut Drivers and Bits, Impact Rated Klein Tools 32304</t>
        </is>
      </c>
      <c r="E8331" s="2">
        <f>HYPERLINK("https://www.amazon.com/Adjustable-Screwdriver-Drivers-Klein-Tools/dp/B09Y84RPSB/ref=sr_1_25?keywords=Klein+Tools+32807MAG+7-in-1+Multi-Bit+Screwdriver+%2F+Nut+Driver%2C+Magnetic&amp;qid=1694735441&amp;sr=8-25", "https://www.amazon.com/Adjustable-Screwdriver-Drivers-Klein-Tools/dp/B09Y84RPSB/ref=sr_1_25?keywords=Klein+Tools+32807MAG+7-in-1+Multi-Bit+Screwdriver+%2F+Nut+Driver%2C+Magnetic&amp;qid=1694735441&amp;sr=8-25")</f>
        <v/>
      </c>
      <c r="F8331" t="inlineStr">
        <is>
          <t>B09Y84RPSB</t>
        </is>
      </c>
      <c r="G8331">
        <f>_xlfn.IMAGE("https://edmondsonsupply.com/cdn/shop/products/32807mag_beauty_l.jpg?v=1604873791")</f>
        <v/>
      </c>
      <c r="H8331">
        <f>_xlfn.IMAGE("https://m.media-amazon.com/images/I/41KTNungRUL._AC_UL320_.jpg")</f>
        <v/>
      </c>
      <c r="K8331" t="inlineStr">
        <is>
          <t>29.97</t>
        </is>
      </c>
      <c r="L8331" t="n">
        <v>44.76</v>
      </c>
      <c r="M8331" s="1" t="inlineStr">
        <is>
          <t>49.35%</t>
        </is>
      </c>
      <c r="N8331" s="7" t="n"/>
      <c r="O8331" t="n">
        <v>4.8</v>
      </c>
      <c r="P8331" t="n">
        <v>87</v>
      </c>
      <c r="R8331" t="inlineStr">
        <is>
          <t>InStock</t>
        </is>
      </c>
      <c r="S8331" t="inlineStr">
        <is>
          <t>44.5</t>
        </is>
      </c>
      <c r="T8331" t="inlineStr">
        <is>
          <t>1493034008676</t>
        </is>
      </c>
    </row>
    <row r="8332" hidden="1" ht="15.75" customHeight="1">
      <c r="A8332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332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332" t="inlineStr">
        <is>
          <t>Klein Tools JTH6M6 6 mm Hex Key, Journeyman T-Handle, 6-Inch</t>
        </is>
      </c>
      <c r="D8332" t="inlineStr">
        <is>
          <t>Klein Tools JTH9E14 5/16-Inch Hex Key, Journeyman T-Handle, 9-Inch</t>
        </is>
      </c>
      <c r="E8332" s="2">
        <f>HYPERLINK("https://www.amazon.com/Journeyman-T-Handle-Klein-Tools-JTH9E14/dp/B004QVAH4I/ref=sr_1_10?keywords=Klein+Tools+JTH6M6+6+mm+Hex+Key%2C+Journeyman+T-Handle%2C+6-Inch&amp;qid=1694735472&amp;sr=8-10", "https://www.amazon.com/Journeyman-T-Handle-Klein-Tools-JTH9E14/dp/B004QVAH4I/ref=sr_1_10?keywords=Klein+Tools+JTH6M6+6+mm+Hex+Key%2C+Journeyman+T-Handle%2C+6-Inch&amp;qid=1694735472&amp;sr=8-10")</f>
        <v/>
      </c>
      <c r="F8332" t="inlineStr">
        <is>
          <t>B004QVAH4I</t>
        </is>
      </c>
      <c r="G8332">
        <f>_xludf.IMAGE("https://edmondsonsupply.com/cdn/shop/products/jth6m8_f0088b53-c3db-4dc3-9272-8f65ecc1b648.jpg?v=1587147556")</f>
        <v/>
      </c>
      <c r="H8332">
        <f>_xludf.IMAGE("https://m.media-amazon.com/images/I/51Yb8h41vLL._AC_UL320_.jpg")</f>
        <v/>
      </c>
      <c r="K8332" t="inlineStr">
        <is>
          <t>4.99</t>
        </is>
      </c>
      <c r="L8332" t="n">
        <v>7.44</v>
      </c>
      <c r="M8332" s="1" t="inlineStr">
        <is>
          <t>49.10%</t>
        </is>
      </c>
      <c r="N8332" s="1" t="n"/>
      <c r="O8332" t="n">
        <v>4.8</v>
      </c>
      <c r="P8332" t="n">
        <v>114</v>
      </c>
      <c r="R8332" t="inlineStr">
        <is>
          <t>InStock</t>
        </is>
      </c>
      <c r="S8332" t="inlineStr">
        <is>
          <t>7.56</t>
        </is>
      </c>
      <c r="T8332" t="inlineStr">
        <is>
          <t>3694875246692</t>
        </is>
      </c>
    </row>
    <row r="8333" hidden="1" ht="15.75" customHeight="1">
      <c r="A8333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333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333" t="inlineStr">
        <is>
          <t>Klein Tools JTH6E08BE 1/8-Inch Ball Hex Key, Journeyman T-Handle, 6-Inch</t>
        </is>
      </c>
      <c r="D8333" t="inlineStr">
        <is>
          <t>Klein Tools JTH9E14 5/16-Inch Hex Key, Journeyman T-Handle, 9-Inch</t>
        </is>
      </c>
      <c r="E8333" s="2">
        <f>HYPERLINK("https://www.amazon.com/Journeyman-T-Handle-Klein-Tools-JTH9E14/dp/B004QVAH4I/ref=sr_1_11?keywords=Klein+Tools+JTH6E08BE+1%2F8-Inch+Ball+Hex+Key%2C+Journeyman+T-Handle%2C+6-Inch&amp;qid=1694735452&amp;sr=8-11", "https://www.amazon.com/Journeyman-T-Handle-Klein-Tools-JTH9E14/dp/B004QVAH4I/ref=sr_1_11?keywords=Klein+Tools+JTH6E08BE+1%2F8-Inch+Ball+Hex+Key%2C+Journeyman+T-Handle%2C+6-Inch&amp;qid=1694735452&amp;sr=8-11")</f>
        <v/>
      </c>
      <c r="F8333" t="inlineStr">
        <is>
          <t>B004QVAH4I</t>
        </is>
      </c>
      <c r="G8333">
        <f>_xludf.IMAGE("https://edmondsonsupply.com/cdn/shop/products/jth6e13be.jpg?v=1587150101")</f>
        <v/>
      </c>
      <c r="H8333">
        <f>_xludf.IMAGE("https://m.media-amazon.com/images/I/51Yb8h41vLL._AC_UL320_.jpg")</f>
        <v/>
      </c>
      <c r="K8333" t="inlineStr">
        <is>
          <t>4.99</t>
        </is>
      </c>
      <c r="L8333" t="n">
        <v>7.44</v>
      </c>
      <c r="M8333" s="1" t="inlineStr">
        <is>
          <t>49.10%</t>
        </is>
      </c>
      <c r="N8333" s="1" t="n"/>
      <c r="O8333" t="n">
        <v>4.8</v>
      </c>
      <c r="P8333" t="n">
        <v>114</v>
      </c>
      <c r="R8333" t="inlineStr">
        <is>
          <t>InStock</t>
        </is>
      </c>
      <c r="S8333" t="inlineStr">
        <is>
          <t>7.54</t>
        </is>
      </c>
      <c r="T8333" t="inlineStr">
        <is>
          <t>4174483193956</t>
        </is>
      </c>
    </row>
    <row r="8334" hidden="1" ht="15.75" customHeight="1">
      <c r="A8334" s="2">
        <f>HYPERLINK("https://edmondsonsupply.com/collections/electricians-tools/products/klein-tools-jth6m5be-5-mm-ball-hex-key-journeyman-t-handle-6-inch", "https://edmondsonsupply.com/collections/electricians-tools/products/klein-tools-jth6m5be-5-mm-ball-hex-key-journeyman-t-handle-6-inch")</f>
        <v/>
      </c>
      <c r="B8334" s="2">
        <f>HYPERLINK("https://edmondsonsupply.com/products/klein-tools-jth6m5be-5-mm-ball-hex-key-journeyman-t-handle-6-inch", "https://edmondsonsupply.com/products/klein-tools-jth6m5be-5-mm-ball-hex-key-journeyman-t-handle-6-inch")</f>
        <v/>
      </c>
      <c r="C8334" t="inlineStr">
        <is>
          <t>Klein Tools JTH6M5BE 5 mm Ball-End Hex Key, Journeyman™ T-Handle, 6-Inch</t>
        </is>
      </c>
      <c r="D8334" t="inlineStr">
        <is>
          <t>Klein Tools JTH6M5BE 5 mm Ball-End Hex Key, Journeyman T-Handle, 6-Inch</t>
        </is>
      </c>
      <c r="E8334" s="2">
        <f>HYPERLINK("https://www.amazon.com/Journeyman-T-Handle-Klein-Tools-JTH6M5BE/dp/B005G3959S/ref=sr_1_1?keywords=Klein+Tools+JTH6M5BE+5+mm+Ball-End+Hex+Key%2C+Journeyman%E2%84%A2+T-Handle%2C+6-Inch&amp;qid=1694735452&amp;sr=8-1", "https://www.amazon.com/Journeyman-T-Handle-Klein-Tools-JTH6M5BE/dp/B005G3959S/ref=sr_1_1?keywords=Klein+Tools+JTH6M5BE+5+mm+Ball-End+Hex+Key%2C+Journeyman%E2%84%A2+T-Handle%2C+6-Inch&amp;qid=1694735452&amp;sr=8-1")</f>
        <v/>
      </c>
      <c r="F8334" t="inlineStr">
        <is>
          <t>B005G3959S</t>
        </is>
      </c>
      <c r="G8334">
        <f>_xludf.IMAGE("https://edmondsonsupply.com/cdn/shop/products/jth6m8be_ec9ce192-dd4a-4429-adc4-fb2208cfcbaa.jpg?v=1587142813")</f>
        <v/>
      </c>
      <c r="H8334">
        <f>_xludf.IMAGE("https://m.media-amazon.com/images/I/51huXA+ij8L._AC_UL320_.jpg")</f>
        <v/>
      </c>
      <c r="K8334" t="inlineStr">
        <is>
          <t>4.99</t>
        </is>
      </c>
      <c r="L8334" t="n">
        <v>7.43</v>
      </c>
      <c r="M8334" s="1" t="inlineStr">
        <is>
          <t>48.90%</t>
        </is>
      </c>
      <c r="N8334" s="1" t="n"/>
      <c r="O8334" t="n">
        <v>4.8</v>
      </c>
      <c r="P8334" t="n">
        <v>985</v>
      </c>
      <c r="R8334" t="inlineStr">
        <is>
          <t>InStock</t>
        </is>
      </c>
      <c r="S8334" t="inlineStr">
        <is>
          <t>7.52</t>
        </is>
      </c>
      <c r="T8334" t="inlineStr">
        <is>
          <t>4163578757220</t>
        </is>
      </c>
    </row>
    <row r="8335" hidden="1" ht="15.75" customHeight="1">
      <c r="A8335" s="2">
        <f>HYPERLINK("https://edmondsonsupply.com/collections/electricians-tools/products/klein-tools-70570-grip-it%C2%AE-five-key-hex-set-inch", "https://edmondsonsupply.com/collections/electricians-tools/products/klein-tools-70570-grip-it%C2%AE-five-key-hex-set-inch")</f>
        <v/>
      </c>
      <c r="B8335" s="2">
        <f>HYPERLINK("https://edmondsonsupply.com/products/klein-tools-70570-grip-it%c2%ae-five-key-hex-set-inch", "https://edmondsonsupply.com/products/klein-tools-70570-grip-it%c2%ae-five-key-hex-set-inch")</f>
        <v/>
      </c>
      <c r="C8335" t="inlineStr">
        <is>
          <t>Klein Tools 70570 Grip-It® Hex Key Set, 5-Key, SAE Sizes</t>
        </is>
      </c>
      <c r="D8335" t="inlineStr">
        <is>
          <t>Klein Tools 70573 Grip-It Hex Key Set, 12-Key, SAE/Metric Sizes</t>
        </is>
      </c>
      <c r="E8335" s="2">
        <f>HYPERLINK("https://www.amazon.com/Grip-12-Key-Hex-Set/dp/B0002RI8PA/ref=sr_1_4?keywords=Klein+Tools+70570+Grip-It%C2%AE+Hex+Key+Set%2C+5-Key%2C+SAE+Sizes&amp;qid=1694735431&amp;sr=8-4", "https://www.amazon.com/Grip-12-Key-Hex-Set/dp/B0002RI8PA/ref=sr_1_4?keywords=Klein+Tools+70570+Grip-It%C2%AE+Hex+Key+Set%2C+5-Key%2C+SAE+Sizes&amp;qid=1694735431&amp;sr=8-4")</f>
        <v/>
      </c>
      <c r="F8335" t="inlineStr">
        <is>
          <t>B0002RI8PA</t>
        </is>
      </c>
      <c r="G8335">
        <f>_xludf.IMAGE("https://edmondsonsupply.com/cdn/shop/products/70570.jpg?v=1587143378")</f>
        <v/>
      </c>
      <c r="H8335">
        <f>_xludf.IMAGE("https://m.media-amazon.com/images/I/610klv7dq+L._AC_UL320_.jpg")</f>
        <v/>
      </c>
      <c r="K8335" t="inlineStr">
        <is>
          <t>9.99</t>
        </is>
      </c>
      <c r="L8335" t="n">
        <v>14.67</v>
      </c>
      <c r="M8335" s="1" t="inlineStr">
        <is>
          <t>46.85%</t>
        </is>
      </c>
      <c r="N8335" s="1" t="n"/>
      <c r="O8335" t="n">
        <v>4.7</v>
      </c>
      <c r="P8335" t="n">
        <v>559</v>
      </c>
      <c r="R8335" t="inlineStr">
        <is>
          <t>InStock</t>
        </is>
      </c>
      <c r="S8335" t="inlineStr">
        <is>
          <t>13.66</t>
        </is>
      </c>
      <c r="T8335" t="inlineStr">
        <is>
          <t>4344501534820</t>
        </is>
      </c>
    </row>
    <row r="8336" hidden="1" ht="15.75" customHeight="1">
      <c r="A8336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336" s="2">
        <f>HYPERLINK("https://edmondsonsupply.com/products/klein-tools-70591-folding-hex-key-set-nine-key-inch-sizes", "https://edmondsonsupply.com/products/klein-tools-70591-folding-hex-key-set-nine-key-inch-sizes")</f>
        <v/>
      </c>
      <c r="C8336" t="inlineStr">
        <is>
          <t>Klein Tools 70591 Folding Hex Key Set, 9-Key, SAE Sizes</t>
        </is>
      </c>
      <c r="D8336" t="inlineStr">
        <is>
          <t>Klein Tools 70573 Grip-It Hex Key Set, 12-Key, SAE/Metric Sizes</t>
        </is>
      </c>
      <c r="E8336" s="2">
        <f>HYPERLINK("https://www.amazon.com/Grip-12-Key-Hex-Set/dp/B0002RI8PA/ref=sr_1_7?keywords=Klein+Tools+70591+Folding+Hex+Key+Set%2C+9-Key%2C+SAE+Sizes&amp;qid=1694735474&amp;sr=8-7", "https://www.amazon.com/Grip-12-Key-Hex-Set/dp/B0002RI8PA/ref=sr_1_7?keywords=Klein+Tools+70591+Folding+Hex+Key+Set%2C+9-Key%2C+SAE+Sizes&amp;qid=1694735474&amp;sr=8-7")</f>
        <v/>
      </c>
      <c r="F8336" t="inlineStr">
        <is>
          <t>B0002RI8PA</t>
        </is>
      </c>
      <c r="G8336">
        <f>_xludf.IMAGE("https://edmondsonsupply.com/cdn/shop/products/70591.jpg?v=1587146577")</f>
        <v/>
      </c>
      <c r="H8336">
        <f>_xludf.IMAGE("https://m.media-amazon.com/images/I/610klv7dq+L._AC_UL320_.jpg")</f>
        <v/>
      </c>
      <c r="K8336" t="inlineStr">
        <is>
          <t>9.99</t>
        </is>
      </c>
      <c r="L8336" t="n">
        <v>14.67</v>
      </c>
      <c r="M8336" s="1" t="inlineStr">
        <is>
          <t>46.85%</t>
        </is>
      </c>
      <c r="N8336" s="1" t="n"/>
      <c r="O8336" t="n">
        <v>4.7</v>
      </c>
      <c r="P8336" t="n">
        <v>559</v>
      </c>
      <c r="R8336" t="inlineStr">
        <is>
          <t>InStock</t>
        </is>
      </c>
      <c r="S8336" t="inlineStr">
        <is>
          <t>14.04</t>
        </is>
      </c>
      <c r="T8336" t="inlineStr">
        <is>
          <t>3683738320996</t>
        </is>
      </c>
    </row>
    <row r="8337" hidden="1" ht="15.75" customHeight="1">
      <c r="A8337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37" s="2">
        <f>HYPERLINK("https://edmondsonsupply.com/products/klein-tools-601-6-3-16-inch-cabinet-tip-screwdriver-6-inch", "https://edmondsonsupply.com/products/klein-tools-601-6-3-16-inch-cabinet-tip-screwdriver-6-inch")</f>
        <v/>
      </c>
      <c r="C8337" t="inlineStr">
        <is>
          <t>Klein Tools 601-6 3/16-Inch Cabinet Tip Screwdriver 6-Inch</t>
        </is>
      </c>
      <c r="D8337" t="inlineStr">
        <is>
          <t>Klein Tools 85742 Screwdriver Set, 3/16 Cabinet and 2 Phillips Precision Machined Tips, Cushion-Grip Handles, Round Shank, 2-Piece</t>
        </is>
      </c>
      <c r="E8337" s="2">
        <f>HYPERLINK("https://www.amazon.com/Screwdriver-Cushion-Grip-Klein-Tools-85742/dp/B0917X34P6/ref=sr_1_2?keywords=Klein+Tools+601-6+3%2F16-Inch+Cabinet+Tip+Screwdriver+6-Inch&amp;qid=1694735470&amp;sr=8-2", "https://www.amazon.com/Screwdriver-Cushion-Grip-Klein-Tools-85742/dp/B0917X34P6/ref=sr_1_2?keywords=Klein+Tools+601-6+3%2F16-Inch+Cabinet+Tip+Screwdriver+6-Inch&amp;qid=1694735470&amp;sr=8-2")</f>
        <v/>
      </c>
      <c r="F8337" t="inlineStr">
        <is>
          <t>B0917X34P6</t>
        </is>
      </c>
      <c r="G8337">
        <f>_xludf.IMAGE("https://edmondsonsupply.com/cdn/shop/products/601-6.jpg?v=1587148683")</f>
        <v/>
      </c>
      <c r="H8337">
        <f>_xludf.IMAGE("https://m.media-amazon.com/images/I/51oASlfAJbS._AC_UL320_.jpg")</f>
        <v/>
      </c>
      <c r="K8337" t="inlineStr">
        <is>
          <t>8.99</t>
        </is>
      </c>
      <c r="L8337" t="n">
        <v>13.2</v>
      </c>
      <c r="M8337" s="1" t="inlineStr">
        <is>
          <t>46.83%</t>
        </is>
      </c>
      <c r="N8337" s="1" t="n"/>
      <c r="O8337" t="n">
        <v>4.7</v>
      </c>
      <c r="P8337" t="n">
        <v>89</v>
      </c>
      <c r="R8337" t="inlineStr">
        <is>
          <t>InStock</t>
        </is>
      </c>
      <c r="S8337" t="inlineStr">
        <is>
          <t>11.96</t>
        </is>
      </c>
      <c r="T8337" t="inlineStr">
        <is>
          <t>3689898016868</t>
        </is>
      </c>
    </row>
    <row r="8338" hidden="1" ht="15.75" customHeight="1">
      <c r="A8338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38" s="2">
        <f>HYPERLINK("https://edmondsonsupply.com/products/klein-tools-600-1-5-16-inch-cabinet-tip-screwdriver-1-1-2-inch", "https://edmondsonsupply.com/products/klein-tools-600-1-5-16-inch-cabinet-tip-screwdriver-1-1-2-inch")</f>
        <v/>
      </c>
      <c r="C8338" t="inlineStr">
        <is>
          <t>Klein Tools 600-1 5/16-Inch Cabinet Tip Screwdriver 1-1/2-Inch</t>
        </is>
      </c>
      <c r="D8338" t="inlineStr">
        <is>
          <t>Klein Tools 605-8 1/4-Inch Cabinet Tip Screwdriver, Heavy Duty, with 8-Inch Shank</t>
        </is>
      </c>
      <c r="E8338" s="2">
        <f>HYPERLINK("https://www.amazon.com/Cabinet-Screwdriver-Klein-Tools-605-8/dp/B000F0GMDO/ref=sr_1_5?keywords=Klein+Tools+600-1+5%2F16-Inch+Cabinet+Tip+Screwdriver+1-1%2F2-Inch&amp;qid=1694735453&amp;sr=8-5", "https://www.amazon.com/Cabinet-Screwdriver-Klein-Tools-605-8/dp/B000F0GMDO/ref=sr_1_5?keywords=Klein+Tools+600-1+5%2F16-Inch+Cabinet+Tip+Screwdriver+1-1%2F2-Inch&amp;qid=1694735453&amp;sr=8-5")</f>
        <v/>
      </c>
      <c r="F8338" t="inlineStr">
        <is>
          <t>B000F0GMDO</t>
        </is>
      </c>
      <c r="G8338">
        <f>_xludf.IMAGE("https://edmondsonsupply.com/cdn/shop/products/600-1.jpg?v=1587147752")</f>
        <v/>
      </c>
      <c r="H8338">
        <f>_xludf.IMAGE("https://m.media-amazon.com/images/I/41WLDr2SP+L._AC_UL320_.jpg")</f>
        <v/>
      </c>
      <c r="K8338" t="inlineStr">
        <is>
          <t>7.49</t>
        </is>
      </c>
      <c r="L8338" t="n">
        <v>10.97</v>
      </c>
      <c r="M8338" s="1" t="inlineStr">
        <is>
          <t>46.46%</t>
        </is>
      </c>
      <c r="N8338" s="1" t="n"/>
      <c r="O8338" t="n">
        <v>4.8</v>
      </c>
      <c r="P8338" t="n">
        <v>1225</v>
      </c>
      <c r="R8338" t="inlineStr">
        <is>
          <t>InStock</t>
        </is>
      </c>
      <c r="S8338" t="inlineStr">
        <is>
          <t>11.22</t>
        </is>
      </c>
      <c r="T8338" t="inlineStr">
        <is>
          <t>4171360403556</t>
        </is>
      </c>
    </row>
    <row r="8339" ht="87" customHeight="1">
      <c r="A8339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339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339" t="inlineStr">
        <is>
          <t>Klein Tools 11055 Klein Kurve® Solid and Stranded Copper Wire Stripper &amp; Cutter</t>
        </is>
      </c>
      <c r="D8339" t="inlineStr">
        <is>
          <t>Klein Tools 11057 Wire Cutter/Wire Stripper, Heavy Duty Wire Cutter Stripper for 20-30 AWG Solid Wire and 22-32 AWG Stranded Wire &amp; Hakko-CHP-170 Micro Cutter - Red</t>
        </is>
      </c>
      <c r="E8339" s="2">
        <f>HYPERLINK("https://www.amazon.com/Klein-Tools-Stripper-Stranded-Hakko-CHP-170/dp/B0BD3ZXX4S/ref=sr_1_22?keywords=Klein+Tools+11055+Klein+Kurve%C2%AE+Solid+and+Stranded+Copper+Wire+Stripper+%26+Cutter&amp;qid=1694735472&amp;sr=8-22", "https://www.amazon.com/Klein-Tools-Stripper-Stranded-Hakko-CHP-170/dp/B0BD3ZXX4S/ref=sr_1_22?keywords=Klein+Tools+11055+Klein+Kurve%C2%AE+Solid+and+Stranded+Copper+Wire+Stripper+%26+Cutter&amp;qid=1694735472&amp;sr=8-22")</f>
        <v/>
      </c>
      <c r="F8339" t="inlineStr">
        <is>
          <t>B0BD3ZXX4S</t>
        </is>
      </c>
      <c r="G8339">
        <f>_xlfn.IMAGE("https://edmondsonsupply.com/cdn/shop/products/11055ep.jpg?v=1670949748")</f>
        <v/>
      </c>
      <c r="H8339">
        <f>_xlfn.IMAGE("https://m.media-amazon.com/images/I/51xzAOv8sfL._AC_UL320_.jpg")</f>
        <v/>
      </c>
      <c r="K8339" t="inlineStr">
        <is>
          <t>19.99</t>
        </is>
      </c>
      <c r="L8339" t="n">
        <v>29.21</v>
      </c>
      <c r="M8339" s="1" t="inlineStr">
        <is>
          <t>46.12%</t>
        </is>
      </c>
      <c r="N8339" s="7" t="n"/>
      <c r="O8339" t="n">
        <v>5</v>
      </c>
      <c r="P8339" t="n">
        <v>3</v>
      </c>
      <c r="R8339" t="inlineStr">
        <is>
          <t>InStock</t>
        </is>
      </c>
      <c r="S8339" t="inlineStr">
        <is>
          <t>29.82</t>
        </is>
      </c>
      <c r="T8339" t="inlineStr">
        <is>
          <t>1780558135396</t>
        </is>
      </c>
    </row>
    <row r="8340" ht="87" customHeight="1">
      <c r="A8340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340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340" t="inlineStr">
        <is>
          <t>Klein Tools 32561 Multi-Bit Screwdriver / Nut Driver, 6-in-1, Stubby, Ph, Sl Bits</t>
        </is>
      </c>
      <c r="D8340" t="inlineStr">
        <is>
          <t>Klein Tools 32559 Multi-bit Screwdriver / Nut Driver, Extended Reach 6-in-1 Tool with Nut Driver, Phillips and Slotted Bits</t>
        </is>
      </c>
      <c r="E8340" s="2">
        <f>HYPERLINK("https://www.amazon.com/Multibit-Screwdriver-Klein-Tools-32559/dp/B005FQDHDG/ref=sr_1_8?keywords=Klein+Tools+32561+Multi-Bit+Screwdriver+%2F+Nut+Driver%2C+6-in-1%2C+Stubby%2C+Ph%2C+Sl+Bits&amp;qid=1694735473&amp;sr=8-8", "https://www.amazon.com/Multibit-Screwdriver-Klein-Tools-32559/dp/B005FQDHDG/ref=sr_1_8?keywords=Klein+Tools+32561+Multi-Bit+Screwdriver+%2F+Nut+Driver%2C+6-in-1%2C+Stubby%2C+Ph%2C+Sl+Bits&amp;qid=1694735473&amp;sr=8-8")</f>
        <v/>
      </c>
      <c r="F8340" t="inlineStr">
        <is>
          <t>B005FQDHDG</t>
        </is>
      </c>
      <c r="G8340">
        <f>_xlfn.IMAGE("https://edmondsonsupply.com/cdn/shop/products/32561_beauty_r.jpg?v=1604436217")</f>
        <v/>
      </c>
      <c r="H8340">
        <f>_xlfn.IMAGE("https://m.media-amazon.com/images/I/514peoSo7EL._AC_UL320_.jpg")</f>
        <v/>
      </c>
      <c r="K8340" t="inlineStr">
        <is>
          <t>10.97</t>
        </is>
      </c>
      <c r="L8340" t="n">
        <v>15.97</v>
      </c>
      <c r="M8340" s="1" t="inlineStr">
        <is>
          <t>45.58%</t>
        </is>
      </c>
      <c r="N8340" s="7" t="n"/>
      <c r="O8340" t="n">
        <v>4.8</v>
      </c>
      <c r="P8340" t="n">
        <v>2200</v>
      </c>
      <c r="R8340" t="inlineStr">
        <is>
          <t>InStock</t>
        </is>
      </c>
      <c r="S8340" t="inlineStr">
        <is>
          <t>16.94</t>
        </is>
      </c>
      <c r="T8340" t="inlineStr">
        <is>
          <t>3671725998180</t>
        </is>
      </c>
    </row>
    <row r="8341" ht="87" customHeight="1">
      <c r="A8341" s="2">
        <f>HYPERLINK("https://edmondsonsupply.com/collections/electricians-tools/products/klein-tools-d86932-slim-jaw-adjustable-wrench-4", "https://edmondsonsupply.com/collections/electricians-tools/products/klein-tools-d86932-slim-jaw-adjustable-wrench-4")</f>
        <v/>
      </c>
      <c r="B8341" s="2">
        <f>HYPERLINK("https://edmondsonsupply.com/products/klein-tools-d86932-slim-jaw-adjustable-wrench-4", "https://edmondsonsupply.com/products/klein-tools-d86932-slim-jaw-adjustable-wrench-4")</f>
        <v/>
      </c>
      <c r="C8341" t="inlineStr">
        <is>
          <t>Klein Tools D86932 Slim-Jaw Adjustable Wrench, 4-Inch</t>
        </is>
      </c>
      <c r="D8341" t="inlineStr">
        <is>
          <t>Klein Tools D86936 Adjustable Wrench, Forged with Slimmer Jaw and a High Polish Chrome Finish, 8-inch</t>
        </is>
      </c>
      <c r="E8341" s="2">
        <f>HYPERLINK("https://www.amazon.com/Slim-Jaw-Adjustable-Klein-Tools-D86936/dp/B075X84TBJ/ref=sr_1_3?keywords=Klein+Tools+D86932+Slim-Jaw+Adjustable+Wrench%2C+4-Inch&amp;qid=1694735470&amp;sr=8-3", "https://www.amazon.com/Slim-Jaw-Adjustable-Klein-Tools-D86936/dp/B075X84TBJ/ref=sr_1_3?keywords=Klein+Tools+D86932+Slim-Jaw+Adjustable+Wrench%2C+4-Inch&amp;qid=1694735470&amp;sr=8-3")</f>
        <v/>
      </c>
      <c r="F8341" t="inlineStr">
        <is>
          <t>B075X84TBJ</t>
        </is>
      </c>
      <c r="G8341">
        <f>_xlfn.IMAGE("https://edmondsonsupply.com/cdn/shop/products/d86932_alt1.jpg?v=1587149708")</f>
        <v/>
      </c>
      <c r="H8341">
        <f>_xlfn.IMAGE("https://m.media-amazon.com/images/I/41CJoXWRm0L._AC_UL320_.jpg")</f>
        <v/>
      </c>
      <c r="K8341" t="inlineStr">
        <is>
          <t>30.99</t>
        </is>
      </c>
      <c r="L8341" t="n">
        <v>44.99</v>
      </c>
      <c r="M8341" s="1" t="inlineStr">
        <is>
          <t>45.18%</t>
        </is>
      </c>
      <c r="N8341" s="7" t="n"/>
      <c r="O8341" t="n">
        <v>4.7</v>
      </c>
      <c r="P8341" t="n">
        <v>86</v>
      </c>
      <c r="R8341" t="inlineStr">
        <is>
          <t>InStock</t>
        </is>
      </c>
      <c r="S8341" t="inlineStr">
        <is>
          <t>43.72</t>
        </is>
      </c>
      <c r="T8341" t="inlineStr">
        <is>
          <t>1779896615012</t>
        </is>
      </c>
    </row>
    <row r="8342" ht="87" customHeight="1">
      <c r="A8342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342" s="2">
        <f>HYPERLINK("https://edmondsonsupply.com/products/klein-tools-69411-circuit-breaker-finder-accessory-kit", "https://edmondsonsupply.com/products/klein-tools-69411-circuit-breaker-finder-accessory-kit")</f>
        <v/>
      </c>
      <c r="C8342" t="inlineStr">
        <is>
          <t>Klein Tools 69411 Circuit Breaker Finder Accessory Kit</t>
        </is>
      </c>
      <c r="D8342" t="inlineStr">
        <is>
          <t>RLSOCO Hard Case for Klein Tools ET450 Advanced Circuit Breaker Finder and Wire Tracer Kit-Compact Tools Kit Organizer Case</t>
        </is>
      </c>
      <c r="E8342" s="2">
        <f>HYPERLINK("https://www.amazon.com/RLSOCO-Advanced-Circuit-Kit-Compact-Organizer/dp/B0BVVRMV9H/ref=sr_1_39?keywords=Klein+Tools+69411+Circuit+Breaker+Finder+Accessory+Kit&amp;qid=1694735452&amp;sr=8-39", "https://www.amazon.com/RLSOCO-Advanced-Circuit-Kit-Compact-Organizer/dp/B0BVVRMV9H/ref=sr_1_39?keywords=Klein+Tools+69411+Circuit+Breaker+Finder+Accessory+Kit&amp;qid=1694735452&amp;sr=8-39")</f>
        <v/>
      </c>
      <c r="F8342" t="inlineStr">
        <is>
          <t>B0BVVRMV9H</t>
        </is>
      </c>
      <c r="G8342">
        <f>_xlfn.IMAGE("https://edmondsonsupply.com/cdn/shop/products/69411.jpg?v=1587143386")</f>
        <v/>
      </c>
      <c r="H8342">
        <f>_xlfn.IMAGE("https://m.media-amazon.com/images/I/81VXJWrj4rL._AC_UL320_.jpg")</f>
        <v/>
      </c>
      <c r="K8342" t="inlineStr">
        <is>
          <t>19.97</t>
        </is>
      </c>
      <c r="L8342" t="n">
        <v>28.99</v>
      </c>
      <c r="M8342" s="1" t="inlineStr">
        <is>
          <t>45.17%</t>
        </is>
      </c>
      <c r="N8342" s="7" t="n"/>
      <c r="O8342" t="n">
        <v>4.4</v>
      </c>
      <c r="P8342" t="n">
        <v>16</v>
      </c>
      <c r="R8342" t="inlineStr">
        <is>
          <t>InStock</t>
        </is>
      </c>
      <c r="S8342" t="inlineStr">
        <is>
          <t>27.96</t>
        </is>
      </c>
      <c r="T8342" t="inlineStr">
        <is>
          <t>4166896255076</t>
        </is>
      </c>
    </row>
    <row r="8343" hidden="1" ht="15.75" customHeight="1">
      <c r="A8343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343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343" t="inlineStr">
        <is>
          <t>Klein Tools JTH6E08BE 1/8-Inch Ball Hex Key, Journeyman T-Handle, 6-Inch</t>
        </is>
      </c>
      <c r="D8343" t="inlineStr">
        <is>
          <t>Klein Tools BL8 1/8-Inch Hex Key, L-Style Ball-End</t>
        </is>
      </c>
      <c r="E8343" s="2">
        <f>HYPERLINK("https://www.amazon.com/L-Style-Ball-End-Klein-Tools-BL8/dp/B0002RI9AO/ref=sr_1_25?keywords=Klein+Tools+JTH6E08BE+1%2F8-Inch+Ball+Hex+Key%2C+Journeyman+T-Handle%2C+6-Inch&amp;qid=1694735452&amp;sr=8-25", "https://www.amazon.com/L-Style-Ball-End-Klein-Tools-BL8/dp/B0002RI9AO/ref=sr_1_25?keywords=Klein+Tools+JTH6E08BE+1%2F8-Inch+Ball+Hex+Key%2C+Journeyman+T-Handle%2C+6-Inch&amp;qid=1694735452&amp;sr=8-25")</f>
        <v/>
      </c>
      <c r="F8343" t="inlineStr">
        <is>
          <t>B0002RI9AO</t>
        </is>
      </c>
      <c r="G8343">
        <f>_xludf.IMAGE("https://edmondsonsupply.com/cdn/shop/products/jth6e13be.jpg?v=1587150101")</f>
        <v/>
      </c>
      <c r="H8343">
        <f>_xludf.IMAGE("https://m.media-amazon.com/images/I/31zV-vRtnIL._AC_UL320_.jpg")</f>
        <v/>
      </c>
      <c r="K8343" t="inlineStr">
        <is>
          <t>4.99</t>
        </is>
      </c>
      <c r="L8343" t="n">
        <v>7.23</v>
      </c>
      <c r="M8343" s="1" t="inlineStr">
        <is>
          <t>44.89%</t>
        </is>
      </c>
      <c r="N8343" s="1" t="n"/>
      <c r="O8343" t="n">
        <v>4.8</v>
      </c>
      <c r="P8343" t="n">
        <v>14</v>
      </c>
      <c r="R8343" t="inlineStr">
        <is>
          <t>InStock</t>
        </is>
      </c>
      <c r="S8343" t="inlineStr">
        <is>
          <t>7.54</t>
        </is>
      </c>
      <c r="T8343" t="inlineStr">
        <is>
          <t>4174483193956</t>
        </is>
      </c>
    </row>
    <row r="8344" hidden="1" ht="15.75" customHeight="1">
      <c r="A8344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344" s="2">
        <f>HYPERLINK("https://edmondsonsupply.com/products/klein-tools-646-3-8-3-8-inch-nut-driver-6-inch-hollow-shaft", "https://edmondsonsupply.com/products/klein-tools-646-3-8-3-8-inch-nut-driver-6-inch-hollow-shaft")</f>
        <v/>
      </c>
      <c r="C8344" t="inlineStr">
        <is>
          <t>Klein Tools 646-3/8 3/8-Inch Nut Driver, 6-Inch Hollow Shaft</t>
        </is>
      </c>
      <c r="D8344" t="inlineStr">
        <is>
          <t>Klein Tools 635-3/8 3/8-Inch Heavy-Duty Nut Driver</t>
        </is>
      </c>
      <c r="E8344" s="2">
        <f>HYPERLINK("https://www.amazon.com/8-Inch-Heavy-Duty-Driver-Klein-Tools/dp/B01D6E8NSM/ref=sr_1_11?keywords=Klein+Tools+646-3%2F8+3%2F8-Inch+Nut+Driver%2C+6-Inch+Hollow+Shaft&amp;qid=1694735435&amp;sr=8-11", "https://www.amazon.com/8-Inch-Heavy-Duty-Driver-Klein-Tools/dp/B01D6E8NSM/ref=sr_1_11?keywords=Klein+Tools+646-3%2F8+3%2F8-Inch+Nut+Driver%2C+6-Inch+Hollow+Shaft&amp;qid=1694735435&amp;sr=8-11")</f>
        <v/>
      </c>
      <c r="F8344" t="inlineStr">
        <is>
          <t>B01D6E8NSM</t>
        </is>
      </c>
      <c r="G8344">
        <f>_xludf.IMAGE("https://edmondsonsupply.com/cdn/shop/products/646-1-2.jpg?v=1587143221")</f>
        <v/>
      </c>
      <c r="H8344">
        <f>_xludf.IMAGE("https://m.media-amazon.com/images/I/41Iii738a4L._AC_UL320_.jpg")</f>
        <v/>
      </c>
      <c r="K8344" t="inlineStr">
        <is>
          <t>8.99</t>
        </is>
      </c>
      <c r="L8344" t="n">
        <v>12.99</v>
      </c>
      <c r="M8344" s="1" t="inlineStr">
        <is>
          <t>44.49%</t>
        </is>
      </c>
      <c r="N8344" s="1" t="n"/>
      <c r="O8344" t="n">
        <v>4.7</v>
      </c>
      <c r="P8344" t="n">
        <v>89</v>
      </c>
      <c r="R8344" t="inlineStr">
        <is>
          <t>InStock</t>
        </is>
      </c>
      <c r="S8344" t="inlineStr">
        <is>
          <t>13.58</t>
        </is>
      </c>
      <c r="T8344" t="inlineStr">
        <is>
          <t>4341100609636</t>
        </is>
      </c>
    </row>
    <row r="8345" ht="87" customHeight="1">
      <c r="A8345" s="2">
        <f>HYPERLINK("https://edmondsonsupply.com/collections/electricians-tools/products/klein-tools-32596-8-in-1-hvac-slide-drive%E2%84%A2-screwdriver-nut-driver", "https://edmondsonsupply.com/collections/electricians-tools/products/klein-tools-32596-8-in-1-hvac-slide-drive%E2%84%A2-screwdriver-nut-driver")</f>
        <v/>
      </c>
      <c r="B8345" s="2">
        <f>HYPERLINK("https://edmondsonsupply.com/products/klein-tools-32596-8-in-1-hvac-slide-drive%e2%84%a2-screwdriver-nut-driver", "https://edmondsonsupply.com/products/klein-tools-32596-8-in-1-hvac-slide-drive%e2%84%a2-screwdriver-nut-driver")</f>
        <v/>
      </c>
      <c r="C8345" t="inlineStr">
        <is>
          <t>Klein Tools 32596 HVAC Slide Drive™ Multi-Bit Screwdriver / Nut Driver, 8-in-1</t>
        </is>
      </c>
      <c r="D8345" t="inlineStr">
        <is>
          <t>Klein Tools 32596 Multi-Bit Screwdriver/Nut Driver, 8-in-1 HVAC Slide Drive Tool with Magnetic Hex, Phillips, Schrader Bits.</t>
        </is>
      </c>
      <c r="E8345" s="2">
        <f>HYPERLINK("https://www.amazon.com/Screwdriver-Driver-Klein-Tools-32596/dp/B073R7RT1V/ref=sr_1_1?keywords=Klein+Tools+32596+HVAC+Slide+Drive%E2%84%A2+Multi-Bit+Screwdriver+%2F+Nut+Driver%2C+8-in-1&amp;qid=1694735471&amp;sr=8-1", "https://www.amazon.com/Screwdriver-Driver-Klein-Tools-32596/dp/B073R7RT1V/ref=sr_1_1?keywords=Klein+Tools+32596+HVAC+Slide+Drive%E2%84%A2+Multi-Bit+Screwdriver+%2F+Nut+Driver%2C+8-in-1&amp;qid=1694735471&amp;sr=8-1")</f>
        <v/>
      </c>
      <c r="F8345" t="inlineStr">
        <is>
          <t>B073R7RT1V</t>
        </is>
      </c>
      <c r="G8345">
        <f>_xlfn.IMAGE("https://edmondsonsupply.com/cdn/shop/products/32596_alt4.jpg?v=1587148720")</f>
        <v/>
      </c>
      <c r="H8345">
        <f>_xlfn.IMAGE("https://m.media-amazon.com/images/I/51mrDa5uZYL._AC_UL320_.jpg")</f>
        <v/>
      </c>
      <c r="K8345" t="inlineStr">
        <is>
          <t>26.97</t>
        </is>
      </c>
      <c r="L8345" t="n">
        <v>38.96</v>
      </c>
      <c r="M8345" s="1" t="inlineStr">
        <is>
          <t>44.46%</t>
        </is>
      </c>
      <c r="N8345" s="7" t="n"/>
      <c r="O8345" t="n">
        <v>4.8</v>
      </c>
      <c r="P8345" t="n">
        <v>2259</v>
      </c>
      <c r="R8345" t="inlineStr">
        <is>
          <t>InStock</t>
        </is>
      </c>
      <c r="S8345" t="inlineStr">
        <is>
          <t>38.56</t>
        </is>
      </c>
      <c r="T8345" t="inlineStr">
        <is>
          <t>3690018111588</t>
        </is>
      </c>
    </row>
    <row r="8346" hidden="1" ht="15.75" customHeight="1">
      <c r="A8346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46" s="2">
        <f>HYPERLINK("https://edmondsonsupply.com/products/klein-tools-601-6-3-16-inch-cabinet-tip-screwdriver-6-inch", "https://edmondsonsupply.com/products/klein-tools-601-6-3-16-inch-cabinet-tip-screwdriver-6-inch")</f>
        <v/>
      </c>
      <c r="C8346" t="inlineStr">
        <is>
          <t>Klein Tools 601-6 3/16-Inch Cabinet Tip Screwdriver 6-Inch</t>
        </is>
      </c>
      <c r="D8346" t="inlineStr">
        <is>
          <t>Klein Tools 605-6B Wire Bending Cabinet Tip Screwdriver 6-Inch</t>
        </is>
      </c>
      <c r="E8346" s="2">
        <f>HYPERLINK("https://www.amazon.com/Bending-Screwdriver-Klein-Tools-605-6B/dp/B0002RI77O/ref=sr_1_11?keywords=Klein+Tools+601-6+3%2F16-Inch+Cabinet+Tip+Screwdriver+6-Inch&amp;qid=1694735470&amp;sr=8-11", "https://www.amazon.com/Bending-Screwdriver-Klein-Tools-605-6B/dp/B0002RI77O/ref=sr_1_11?keywords=Klein+Tools+601-6+3%2F16-Inch+Cabinet+Tip+Screwdriver+6-Inch&amp;qid=1694735470&amp;sr=8-11")</f>
        <v/>
      </c>
      <c r="F8346" t="inlineStr">
        <is>
          <t>B0002RI77O</t>
        </is>
      </c>
      <c r="G8346">
        <f>_xludf.IMAGE("https://edmondsonsupply.com/cdn/shop/products/601-6.jpg?v=1587148683")</f>
        <v/>
      </c>
      <c r="H8346">
        <f>_xludf.IMAGE("https://m.media-amazon.com/images/I/31AieIJ7vYL._AC_UL320_.jpg")</f>
        <v/>
      </c>
      <c r="K8346" t="inlineStr">
        <is>
          <t>8.99</t>
        </is>
      </c>
      <c r="L8346" t="n">
        <v>12.97</v>
      </c>
      <c r="M8346" s="1" t="inlineStr">
        <is>
          <t>44.27%</t>
        </is>
      </c>
      <c r="N8346" s="1" t="n"/>
      <c r="O8346" t="n">
        <v>4.7</v>
      </c>
      <c r="P8346" t="n">
        <v>487</v>
      </c>
      <c r="R8346" t="inlineStr">
        <is>
          <t>InStock</t>
        </is>
      </c>
      <c r="S8346" t="inlineStr">
        <is>
          <t>11.96</t>
        </is>
      </c>
      <c r="T8346" t="inlineStr">
        <is>
          <t>3689898016868</t>
        </is>
      </c>
    </row>
    <row r="8347" hidden="1" ht="15.75" customHeight="1">
      <c r="A8347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347" s="2">
        <f>HYPERLINK("https://edmondsonsupply.com/products/klein-tools-646-3-8-3-8-inch-nut-driver-6-inch-hollow-shaft", "https://edmondsonsupply.com/products/klein-tools-646-3-8-3-8-inch-nut-driver-6-inch-hollow-shaft")</f>
        <v/>
      </c>
      <c r="C8347" t="inlineStr">
        <is>
          <t>Klein Tools 646-3/8 3/8-Inch Nut Driver, 6-Inch Hollow Shaft</t>
        </is>
      </c>
      <c r="D8347" t="inlineStr">
        <is>
          <t>Klein Tools S126M 3/8-Inch Magnetic Nut Driver with 6-Inch Solid Shaft and Comfordome Handle</t>
        </is>
      </c>
      <c r="E8347" s="2">
        <f>HYPERLINK("https://www.amazon.com/Magnetic-Comfordome-Klein-Tools-S126M/dp/B0009OODZU/ref=sr_1_7?keywords=Klein+Tools+646-3%2F8+3%2F8-Inch+Nut+Driver%2C+6-Inch+Hollow+Shaft&amp;qid=1694735435&amp;sr=8-7", "https://www.amazon.com/Magnetic-Comfordome-Klein-Tools-S126M/dp/B0009OODZU/ref=sr_1_7?keywords=Klein+Tools+646-3%2F8+3%2F8-Inch+Nut+Driver%2C+6-Inch+Hollow+Shaft&amp;qid=1694735435&amp;sr=8-7")</f>
        <v/>
      </c>
      <c r="F8347" t="inlineStr">
        <is>
          <t>B0009OODZU</t>
        </is>
      </c>
      <c r="G8347">
        <f>_xludf.IMAGE("https://edmondsonsupply.com/cdn/shop/products/646-1-2.jpg?v=1587143221")</f>
        <v/>
      </c>
      <c r="H8347">
        <f>_xludf.IMAGE("https://m.media-amazon.com/images/I/318IOnHWWJL._AC_UL320_.jpg")</f>
        <v/>
      </c>
      <c r="K8347" t="inlineStr">
        <is>
          <t>8.99</t>
        </is>
      </c>
      <c r="L8347" t="n">
        <v>12.97</v>
      </c>
      <c r="M8347" s="1" t="inlineStr">
        <is>
          <t>44.27%</t>
        </is>
      </c>
      <c r="N8347" s="1" t="n"/>
      <c r="O8347" t="n">
        <v>4.6</v>
      </c>
      <c r="P8347" t="n">
        <v>231</v>
      </c>
      <c r="R8347" t="inlineStr">
        <is>
          <t>InStock</t>
        </is>
      </c>
      <c r="S8347" t="inlineStr">
        <is>
          <t>13.58</t>
        </is>
      </c>
      <c r="T8347" t="inlineStr">
        <is>
          <t>4341100609636</t>
        </is>
      </c>
    </row>
    <row r="8348" hidden="1" ht="15.75" customHeight="1">
      <c r="A8348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348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348" t="inlineStr">
        <is>
          <t>Klein Tools 614-6 1/8-Inch Cabinet Electronics Screwdriver, 6-Inch</t>
        </is>
      </c>
      <c r="D8348" t="inlineStr">
        <is>
          <t>Klein Tools 614-4 Flat Screwdriver, Precision Electronics Screwdriver, 1/8-Inch Cabinet Tip, 4-Inch Shank</t>
        </is>
      </c>
      <c r="E8348" s="2">
        <f>HYPERLINK("https://www.amazon.com/Klein-Tools-614-4-Screwdriver-Electronics/dp/B00B9HICKS/ref=sr_1_2?keywords=Klein+Tools+614-6+1%2F8-Inch+Cabinet+Electronics+Screwdriver%2C+6-Inch&amp;qid=1694735470&amp;sr=8-2", "https://www.amazon.com/Klein-Tools-614-4-Screwdriver-Electronics/dp/B00B9HICKS/ref=sr_1_2?keywords=Klein+Tools+614-6+1%2F8-Inch+Cabinet+Electronics+Screwdriver%2C+6-Inch&amp;qid=1694735470&amp;sr=8-2")</f>
        <v/>
      </c>
      <c r="F8348" t="inlineStr">
        <is>
          <t>B00B9HICKS</t>
        </is>
      </c>
      <c r="G8348">
        <f>_xludf.IMAGE("https://edmondsonsupply.com/cdn/shop/products/614-6.jpg?v=1587147731")</f>
        <v/>
      </c>
      <c r="H8348">
        <f>_xludf.IMAGE("https://m.media-amazon.com/images/I/41hS1hfEVDS._AC_UL320_.jpg")</f>
        <v/>
      </c>
      <c r="K8348" t="inlineStr">
        <is>
          <t>9.99</t>
        </is>
      </c>
      <c r="L8348" t="n">
        <v>14.32</v>
      </c>
      <c r="M8348" s="1" t="inlineStr">
        <is>
          <t>43.34%</t>
        </is>
      </c>
      <c r="N8348" s="1" t="n"/>
      <c r="O8348" t="n">
        <v>4.8</v>
      </c>
      <c r="P8348" t="n">
        <v>999</v>
      </c>
      <c r="R8348" t="inlineStr">
        <is>
          <t>InStock</t>
        </is>
      </c>
      <c r="S8348" t="inlineStr">
        <is>
          <t>15.14</t>
        </is>
      </c>
      <c r="T8348" t="inlineStr">
        <is>
          <t>3688620556388</t>
        </is>
      </c>
    </row>
    <row r="8349" ht="87" customHeight="1">
      <c r="A8349" s="2">
        <f>HYPERLINK("https://edmondsonsupply.com/collections/electricians-tools/products/klein-tools-vdv226-107-compact-ratcheting-modular-crimper", "https://edmondsonsupply.com/collections/electricians-tools/products/klein-tools-vdv226-107-compact-ratcheting-modular-crimper")</f>
        <v/>
      </c>
      <c r="B8349" s="2">
        <f>HYPERLINK("https://edmondsonsupply.com/products/klein-tools-vdv226-107-compact-ratcheting-modular-crimper", "https://edmondsonsupply.com/products/klein-tools-vdv226-107-compact-ratcheting-modular-crimper")</f>
        <v/>
      </c>
      <c r="C8349" t="inlineStr">
        <is>
          <t>Klein Tools VDV226-107 Ratcheting Data Cable Crimper / Stripper / Cutter, Compact</t>
        </is>
      </c>
      <c r="D8349" t="inlineStr">
        <is>
          <t>Klein Tools VDV226-110 Ratcheting Modular Data Cable Crimper / Wire Stripper / Wire Cutter for RJ11/RJ12 Standard, RJ45 Pass-Thru Connectors</t>
        </is>
      </c>
      <c r="E8349" s="2">
        <f>HYPERLINK("https://www.amazon.com/Pass-Thru-Reliable-Klein-Tools-VDV226-110/dp/B076MGPQZQ/ref=sr_1_2?keywords=Klein+Tools+VDV226-107+Ratcheting+Data+Cable+Crimper+%2F+Stripper+%2F+Cutter%2C+Compact&amp;qid=1694735446&amp;sr=8-2", "https://www.amazon.com/Pass-Thru-Reliable-Klein-Tools-VDV226-110/dp/B076MGPQZQ/ref=sr_1_2?keywords=Klein+Tools+VDV226-107+Ratcheting+Data+Cable+Crimper+%2F+Stripper+%2F+Cutter%2C+Compact&amp;qid=1694735446&amp;sr=8-2")</f>
        <v/>
      </c>
      <c r="F8349" t="inlineStr">
        <is>
          <t>B076MGPQZQ</t>
        </is>
      </c>
      <c r="G8349">
        <f>_xlfn.IMAGE("https://edmondsonsupply.com/cdn/shop/products/vdv226-107.jpg?v=1587150662")</f>
        <v/>
      </c>
      <c r="H8349">
        <f>_xlfn.IMAGE("https://m.media-amazon.com/images/I/51QMPNGizfL._AC_UL320_.jpg")</f>
        <v/>
      </c>
      <c r="K8349" t="inlineStr">
        <is>
          <t>34.99</t>
        </is>
      </c>
      <c r="L8349" t="n">
        <v>49.97</v>
      </c>
      <c r="M8349" s="1" t="inlineStr">
        <is>
          <t>42.81%</t>
        </is>
      </c>
      <c r="N8349" s="7" t="n"/>
      <c r="O8349" t="n">
        <v>4.8</v>
      </c>
      <c r="P8349" t="n">
        <v>9908</v>
      </c>
      <c r="R8349" t="inlineStr">
        <is>
          <t>InStock</t>
        </is>
      </c>
      <c r="S8349" t="inlineStr">
        <is>
          <t>51.5</t>
        </is>
      </c>
      <c r="T8349" t="inlineStr">
        <is>
          <t>4172359630948</t>
        </is>
      </c>
    </row>
    <row r="8350" hidden="1" ht="15.75" customHeight="1">
      <c r="A8350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350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350" t="inlineStr">
        <is>
          <t>Klein Tools JTH6M8 8 mm Hex Key with Journeyman T-Handle, 6-Inch</t>
        </is>
      </c>
      <c r="D8350" t="inlineStr">
        <is>
          <t>Klein Tools JTH6M3BE 3 mm Ball End Hex Key with Journeyman T-Handle, 6-Inch (Pack of 2)</t>
        </is>
      </c>
      <c r="E8350" s="2">
        <f>HYPERLINK("https://www.amazon.com/Klein-Tools-JTH6M3BE-Journeyman-T-Handle/dp/B0CGLYY7WP/ref=sr_1_6?keywords=Klein+Tools+JTH6M8+8+mm+Hex+Key+with+Journeyman+T-Handle%2C+6-Inch&amp;qid=1694735436&amp;sr=8-6", "https://www.amazon.com/Klein-Tools-JTH6M3BE-Journeyman-T-Handle/dp/B0CGLYY7WP/ref=sr_1_6?keywords=Klein+Tools+JTH6M8+8+mm+Hex+Key+with+Journeyman+T-Handle%2C+6-Inch&amp;qid=1694735436&amp;sr=8-6")</f>
        <v/>
      </c>
      <c r="F8350" t="inlineStr">
        <is>
          <t>B0CGLYY7WP</t>
        </is>
      </c>
      <c r="G8350">
        <f>_xludf.IMAGE("https://edmondsonsupply.com/cdn/shop/products/jth6m8_31a5ad24-670d-4140-a5ec-3785d5bf79d2.jpg?v=1587146374")</f>
        <v/>
      </c>
      <c r="H8350">
        <f>_xludf.IMAGE("https://m.media-amazon.com/images/I/413sTNFMd7L._AC_UL320_.jpg")</f>
        <v/>
      </c>
      <c r="K8350" t="inlineStr">
        <is>
          <t>6.99</t>
        </is>
      </c>
      <c r="L8350" t="n">
        <v>9.98</v>
      </c>
      <c r="M8350" s="1" t="inlineStr">
        <is>
          <t>42.78%</t>
        </is>
      </c>
      <c r="N8350" s="1" t="n"/>
      <c r="O8350" t="n">
        <v>4.6</v>
      </c>
      <c r="P8350" t="n">
        <v>184</v>
      </c>
      <c r="R8350" t="inlineStr">
        <is>
          <t>InStock</t>
        </is>
      </c>
      <c r="S8350" t="inlineStr">
        <is>
          <t>10.58</t>
        </is>
      </c>
      <c r="T8350" t="inlineStr">
        <is>
          <t>4343287775332</t>
        </is>
      </c>
    </row>
    <row r="8351" hidden="1" ht="15.75" customHeight="1">
      <c r="A8351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351" s="2">
        <f>HYPERLINK("https://edmondsonsupply.com/products/klein-tools-601-4-3-16-cabinet-tip-screwdriver-4-round-shank", "https://edmondsonsupply.com/products/klein-tools-601-4-3-16-cabinet-tip-screwdriver-4-round-shank")</f>
        <v/>
      </c>
      <c r="C8351" t="inlineStr">
        <is>
          <t>Klein Tools 601-4 3/16-Inch Cabinet Tip Screwdriver 4-Inch</t>
        </is>
      </c>
      <c r="D8351" t="inlineStr">
        <is>
          <t>Klein Tools 85742 Screwdriver Set, 3/16 Cabinet and 2 Phillips Precision Machined Tips, Cushion-Grip Handles, Round Shank, 2-Piece</t>
        </is>
      </c>
      <c r="E8351" s="2">
        <f>HYPERLINK("https://www.amazon.com/Screwdriver-Cushion-Grip-Klein-Tools-85742/dp/B0917X34P6/ref=sr_1_5?keywords=Klein+Tools+601-4+3%2F16-Inch+Cabinet+Tip+Screwdriver+4-Inch&amp;qid=1694735471&amp;sr=8-5", "https://www.amazon.com/Screwdriver-Cushion-Grip-Klein-Tools-85742/dp/B0917X34P6/ref=sr_1_5?keywords=Klein+Tools+601-4+3%2F16-Inch+Cabinet+Tip+Screwdriver+4-Inch&amp;qid=1694735471&amp;sr=8-5")</f>
        <v/>
      </c>
      <c r="F8351" t="inlineStr">
        <is>
          <t>B0917X34P6</t>
        </is>
      </c>
      <c r="G8351">
        <f>_xludf.IMAGE("https://edmondsonsupply.com/cdn/shop/products/601-4.jpg?v=1587147829")</f>
        <v/>
      </c>
      <c r="H8351">
        <f>_xludf.IMAGE("https://m.media-amazon.com/images/I/51oASlfAJbS._AC_UL320_.jpg")</f>
        <v/>
      </c>
      <c r="K8351" t="inlineStr">
        <is>
          <t>8.98</t>
        </is>
      </c>
      <c r="L8351" t="n">
        <v>12.76</v>
      </c>
      <c r="M8351" s="1" t="inlineStr">
        <is>
          <t>42.09%</t>
        </is>
      </c>
      <c r="N8351" s="1" t="n"/>
      <c r="O8351" t="n">
        <v>4.7</v>
      </c>
      <c r="P8351" t="n">
        <v>89</v>
      </c>
      <c r="R8351" t="inlineStr">
        <is>
          <t>InStock</t>
        </is>
      </c>
      <c r="S8351" t="inlineStr">
        <is>
          <t>11.52</t>
        </is>
      </c>
      <c r="T8351" t="inlineStr">
        <is>
          <t>2767048900708</t>
        </is>
      </c>
    </row>
    <row r="8352" hidden="1" ht="15.75" customHeight="1">
      <c r="A8352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352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352" t="inlineStr">
        <is>
          <t>Klein Tools JTH6M8 8 mm Hex Key with Journeyman T-Handle, 6-Inch</t>
        </is>
      </c>
      <c r="D8352" t="inlineStr">
        <is>
          <t>Klein Tools JTH9M6 6 mm Hex Key, Journeyman T-Handle, 9-Inch</t>
        </is>
      </c>
      <c r="E8352" s="2">
        <f>HYPERLINK("https://www.amazon.com/Journeyman-T-Handle-Klein-Tools-JTH9M6/dp/B005G3HJKU/ref=sr_1_10?keywords=Klein+Tools+JTH6M8+8+mm+Hex+Key+with+Journeyman+T-Handle%2C+6-Inch&amp;qid=1694735436&amp;sr=8-10", "https://www.amazon.com/Journeyman-T-Handle-Klein-Tools-JTH9M6/dp/B005G3HJKU/ref=sr_1_10?keywords=Klein+Tools+JTH6M8+8+mm+Hex+Key+with+Journeyman+T-Handle%2C+6-Inch&amp;qid=1694735436&amp;sr=8-10")</f>
        <v/>
      </c>
      <c r="F8352" t="inlineStr">
        <is>
          <t>B005G3HJKU</t>
        </is>
      </c>
      <c r="G8352">
        <f>_xludf.IMAGE("https://edmondsonsupply.com/cdn/shop/products/jth6m8_31a5ad24-670d-4140-a5ec-3785d5bf79d2.jpg?v=1587146374")</f>
        <v/>
      </c>
      <c r="H8352">
        <f>_xludf.IMAGE("https://m.media-amazon.com/images/I/51+1x0vz9XL._AC_UL320_.jpg")</f>
        <v/>
      </c>
      <c r="K8352" t="inlineStr">
        <is>
          <t>6.99</t>
        </is>
      </c>
      <c r="L8352" t="n">
        <v>9.84</v>
      </c>
      <c r="M8352" s="1" t="inlineStr">
        <is>
          <t>40.77%</t>
        </is>
      </c>
      <c r="N8352" s="1" t="n"/>
      <c r="O8352" t="n">
        <v>4.7</v>
      </c>
      <c r="P8352" t="n">
        <v>123</v>
      </c>
      <c r="R8352" t="inlineStr">
        <is>
          <t>InStock</t>
        </is>
      </c>
      <c r="S8352" t="inlineStr">
        <is>
          <t>10.58</t>
        </is>
      </c>
      <c r="T8352" t="inlineStr">
        <is>
          <t>4343287775332</t>
        </is>
      </c>
    </row>
    <row r="8353" hidden="1" ht="15.75" customHeight="1">
      <c r="A8353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53" s="2">
        <f>HYPERLINK("https://edmondsonsupply.com/products/klein-tools-600-1-5-16-inch-cabinet-tip-screwdriver-1-1-2-inch", "https://edmondsonsupply.com/products/klein-tools-600-1-5-16-inch-cabinet-tip-screwdriver-1-1-2-inch")</f>
        <v/>
      </c>
      <c r="C8353" t="inlineStr">
        <is>
          <t>Klein Tools 600-1 5/16-Inch Cabinet Tip Screwdriver 1-1/2-Inch</t>
        </is>
      </c>
      <c r="D8353" t="inlineStr">
        <is>
          <t>Klein Tools 601-8 3/16-Inch Cabinet Tip Screwdriver, 8-Inch</t>
        </is>
      </c>
      <c r="E8353" s="2">
        <f>HYPERLINK("https://www.amazon.com/Klein-Tools-601-8-16-Inch-Screwdriver/dp/B000BPAI6K/ref=sr_1_8?keywords=Klein+Tools+600-1+5%2F16-Inch+Cabinet+Tip+Screwdriver+1-1%2F2-Inch&amp;qid=1694735453&amp;sr=8-8", "https://www.amazon.com/Klein-Tools-601-8-16-Inch-Screwdriver/dp/B000BPAI6K/ref=sr_1_8?keywords=Klein+Tools+600-1+5%2F16-Inch+Cabinet+Tip+Screwdriver+1-1%2F2-Inch&amp;qid=1694735453&amp;sr=8-8")</f>
        <v/>
      </c>
      <c r="F8353" t="inlineStr">
        <is>
          <t>B000BPAI6K</t>
        </is>
      </c>
      <c r="G8353">
        <f>_xludf.IMAGE("https://edmondsonsupply.com/cdn/shop/products/600-1.jpg?v=1587147752")</f>
        <v/>
      </c>
      <c r="H8353">
        <f>_xludf.IMAGE("https://m.media-amazon.com/images/I/31tcIGrcnZL._AC_UL320_.jpg")</f>
        <v/>
      </c>
      <c r="K8353" t="inlineStr">
        <is>
          <t>7.49</t>
        </is>
      </c>
      <c r="L8353" t="n">
        <v>10.49</v>
      </c>
      <c r="M8353" s="1" t="inlineStr">
        <is>
          <t>40.05%</t>
        </is>
      </c>
      <c r="N8353" s="1" t="n"/>
      <c r="O8353" t="n">
        <v>4.8</v>
      </c>
      <c r="P8353" t="n">
        <v>837</v>
      </c>
      <c r="R8353" t="inlineStr">
        <is>
          <t>InStock</t>
        </is>
      </c>
      <c r="S8353" t="inlineStr">
        <is>
          <t>11.22</t>
        </is>
      </c>
      <c r="T8353" t="inlineStr">
        <is>
          <t>4171360403556</t>
        </is>
      </c>
    </row>
    <row r="8354" hidden="1" ht="15.75" customHeight="1">
      <c r="A8354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354" s="2">
        <f>HYPERLINK("https://edmondsonsupply.com/products/klein-tools-600-1-5-16-inch-cabinet-tip-screwdriver-1-1-2-inch", "https://edmondsonsupply.com/products/klein-tools-600-1-5-16-inch-cabinet-tip-screwdriver-1-1-2-inch")</f>
        <v/>
      </c>
      <c r="C8354" t="inlineStr">
        <is>
          <t>Klein Tools 600-1 5/16-Inch Cabinet Tip Screwdriver 1-1/2-Inch</t>
        </is>
      </c>
      <c r="D8354" t="inlineStr">
        <is>
          <t>Klein Tools 670-6 Screwdriver, 3/16-Inch Cabinet Tip, Rapi-Driv with 6-Inch Shank</t>
        </is>
      </c>
      <c r="E8354" s="2">
        <f>HYPERLINK("https://www.amazon.com/Klein-Tools-670-6-Screwdriver-Rapi-Driv/dp/B000BO9T3Y/ref=sr_1_13?keywords=Klein+Tools+600-1+5%2F16-Inch+Cabinet+Tip+Screwdriver+1-1%2F2-Inch&amp;qid=1694735453&amp;sr=8-13", "https://www.amazon.com/Klein-Tools-670-6-Screwdriver-Rapi-Driv/dp/B000BO9T3Y/ref=sr_1_13?keywords=Klein+Tools+600-1+5%2F16-Inch+Cabinet+Tip+Screwdriver+1-1%2F2-Inch&amp;qid=1694735453&amp;sr=8-13")</f>
        <v/>
      </c>
      <c r="F8354" t="inlineStr">
        <is>
          <t>B000BO9T3Y</t>
        </is>
      </c>
      <c r="G8354">
        <f>_xludf.IMAGE("https://edmondsonsupply.com/cdn/shop/products/600-1.jpg?v=1587147752")</f>
        <v/>
      </c>
      <c r="H8354">
        <f>_xludf.IMAGE("https://m.media-amazon.com/images/I/31+1RSUdZ+S._AC_UL320_.jpg")</f>
        <v/>
      </c>
      <c r="K8354" t="inlineStr">
        <is>
          <t>7.49</t>
        </is>
      </c>
      <c r="L8354" t="n">
        <v>10.49</v>
      </c>
      <c r="M8354" s="1" t="inlineStr">
        <is>
          <t>40.05%</t>
        </is>
      </c>
      <c r="N8354" s="1" t="n"/>
      <c r="O8354" t="n">
        <v>4.8</v>
      </c>
      <c r="P8354" t="n">
        <v>1603</v>
      </c>
      <c r="R8354" t="inlineStr">
        <is>
          <t>InStock</t>
        </is>
      </c>
      <c r="S8354" t="inlineStr">
        <is>
          <t>11.22</t>
        </is>
      </c>
      <c r="T8354" t="inlineStr">
        <is>
          <t>4171360403556</t>
        </is>
      </c>
    </row>
    <row r="8355" hidden="1" ht="15.75" customHeight="1">
      <c r="A8355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355" s="2">
        <f>HYPERLINK("https://edmondsonsupply.com/products/klein-tools-662-2-square-screwdriver-with-4-inch-round-shank", "https://edmondsonsupply.com/products/klein-tools-662-2-square-screwdriver-with-4-inch-round-shank")</f>
        <v/>
      </c>
      <c r="C8355" t="inlineStr">
        <is>
          <t>Klein Tools 662 #2 Square Screwdriver with 4-Inch Round Shank</t>
        </is>
      </c>
      <c r="D8355" t="inlineStr">
        <is>
          <t>Klein Tools 6944INS Insulated Screwdriver, 1000V Slim Profile Tip, #2 Square with 4-Inch Shank, Cushion-Grip Handle</t>
        </is>
      </c>
      <c r="E8355" s="2">
        <f>HYPERLINK("https://www.amazon.com/Klein-Tools-6944INS-Screwdriver-Cushion-Grip/dp/B09GPYTZV3/ref=sr_1_5?keywords=Klein+Tools+662+%232+Square+Screwdriver+with+4-Inch+Round+Shank&amp;qid=1694735445&amp;sr=8-5", "https://www.amazon.com/Klein-Tools-6944INS-Screwdriver-Cushion-Grip/dp/B09GPYTZV3/ref=sr_1_5?keywords=Klein+Tools+662+%232+Square+Screwdriver+with+4-Inch+Round+Shank&amp;qid=1694735445&amp;sr=8-5")</f>
        <v/>
      </c>
      <c r="F8355" t="inlineStr">
        <is>
          <t>B09GPYTZV3</t>
        </is>
      </c>
      <c r="G8355">
        <f>_xludf.IMAGE("https://edmondsonsupply.com/cdn/shop/products/660.jpg?v=1587151189")</f>
        <v/>
      </c>
      <c r="H8355">
        <f>_xludf.IMAGE("https://m.media-amazon.com/images/I/41PzygwLx+L._AC_UL320_.jpg")</f>
        <v/>
      </c>
      <c r="K8355" t="inlineStr">
        <is>
          <t>9.99</t>
        </is>
      </c>
      <c r="L8355" t="n">
        <v>13.99</v>
      </c>
      <c r="M8355" s="1" t="inlineStr">
        <is>
          <t>40.04%</t>
        </is>
      </c>
      <c r="N8355" s="1" t="n"/>
      <c r="O8355" t="n">
        <v>4.7</v>
      </c>
      <c r="P8355" t="n">
        <v>93</v>
      </c>
      <c r="R8355" t="inlineStr">
        <is>
          <t>InStock</t>
        </is>
      </c>
      <c r="S8355" t="inlineStr">
        <is>
          <t>12.74</t>
        </is>
      </c>
      <c r="T8355" t="inlineStr">
        <is>
          <t>4274202509412</t>
        </is>
      </c>
    </row>
    <row r="8356" hidden="1" ht="15.75" customHeight="1">
      <c r="A8356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356" s="2">
        <f>HYPERLINK("https://edmondsonsupply.com/products/klein-tools-662-2-square-screwdriver-with-4-inch-round-shank", "https://edmondsonsupply.com/products/klein-tools-662-2-square-screwdriver-with-4-inch-round-shank")</f>
        <v/>
      </c>
      <c r="C8356" t="inlineStr">
        <is>
          <t>Klein Tools 662 #2 Square Screwdriver with 4-Inch Round Shank</t>
        </is>
      </c>
      <c r="D8356" t="inlineStr">
        <is>
          <t>Klein Tools 6984INS Insulated Screwdriver, 1000V Slim Profile Tip, #1 Square with 4-Inch Shank, Cushion-Grip Handle</t>
        </is>
      </c>
      <c r="E8356" s="2">
        <f>HYPERLINK("https://www.amazon.com/Klein-Tools-6984INS-Screwdriver-Cushion-Grip/dp/B09GPZ5P2M/ref=sr_1_7?keywords=Klein+Tools+662+%232+Square+Screwdriver+with+4-Inch+Round+Shank&amp;qid=1694735445&amp;sr=8-7", "https://www.amazon.com/Klein-Tools-6984INS-Screwdriver-Cushion-Grip/dp/B09GPZ5P2M/ref=sr_1_7?keywords=Klein+Tools+662+%232+Square+Screwdriver+with+4-Inch+Round+Shank&amp;qid=1694735445&amp;sr=8-7")</f>
        <v/>
      </c>
      <c r="F8356" t="inlineStr">
        <is>
          <t>B09GPZ5P2M</t>
        </is>
      </c>
      <c r="G8356">
        <f>_xludf.IMAGE("https://edmondsonsupply.com/cdn/shop/products/660.jpg?v=1587151189")</f>
        <v/>
      </c>
      <c r="H8356">
        <f>_xludf.IMAGE("https://m.media-amazon.com/images/I/41uj4ogsy3L._AC_UL320_.jpg")</f>
        <v/>
      </c>
      <c r="K8356" t="inlineStr">
        <is>
          <t>9.99</t>
        </is>
      </c>
      <c r="L8356" t="n">
        <v>13.99</v>
      </c>
      <c r="M8356" s="1" t="inlineStr">
        <is>
          <t>40.04%</t>
        </is>
      </c>
      <c r="N8356" s="1" t="n"/>
      <c r="O8356" t="n">
        <v>4.8</v>
      </c>
      <c r="P8356" t="n">
        <v>107</v>
      </c>
      <c r="R8356" t="inlineStr">
        <is>
          <t>InStock</t>
        </is>
      </c>
      <c r="S8356" t="inlineStr">
        <is>
          <t>12.74</t>
        </is>
      </c>
      <c r="T8356" t="inlineStr">
        <is>
          <t>4274202509412</t>
        </is>
      </c>
    </row>
    <row r="8357" ht="87" customHeight="1">
      <c r="A8357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357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357" t="inlineStr">
        <is>
          <t>Klein Tools 32561 Multi-Bit Screwdriver / Nut Driver, 6-in-1, Stubby, Ph, Sl Bits</t>
        </is>
      </c>
      <c r="D8357" t="inlineStr">
        <is>
          <t>Klein Tools 32594 Multi-Bit Screwdriver / Nut Driver, 6-in-1 Stubby Tool with Phillips, Slotted and Square Bits and 2 Nut Driver Sizes</t>
        </is>
      </c>
      <c r="E8357" s="2">
        <f>HYPERLINK("https://www.amazon.com/Ratcheting-Screwdriver-Klein-Tools-32594/dp/B01I2KTKR8/ref=sr_1_5?keywords=Klein+Tools+32561+Multi-Bit+Screwdriver+%2F+Nut+Driver%2C+6-in-1%2C+Stubby%2C+Ph%2C+Sl+Bits&amp;qid=1694735473&amp;sr=8-5", "https://www.amazon.com/Ratcheting-Screwdriver-Klein-Tools-32594/dp/B01I2KTKR8/ref=sr_1_5?keywords=Klein+Tools+32561+Multi-Bit+Screwdriver+%2F+Nut+Driver%2C+6-in-1%2C+Stubby%2C+Ph%2C+Sl+Bits&amp;qid=1694735473&amp;sr=8-5")</f>
        <v/>
      </c>
      <c r="F8357" t="inlineStr">
        <is>
          <t>B01I2KTKR8</t>
        </is>
      </c>
      <c r="G8357">
        <f>_xlfn.IMAGE("https://edmondsonsupply.com/cdn/shop/products/32561_beauty_r.jpg?v=1604436217")</f>
        <v/>
      </c>
      <c r="H8357">
        <f>_xlfn.IMAGE("https://m.media-amazon.com/images/I/51pkI+hcIbL._AC_UL320_.jpg")</f>
        <v/>
      </c>
      <c r="K8357" t="inlineStr">
        <is>
          <t>10.97</t>
        </is>
      </c>
      <c r="L8357" t="n">
        <v>15.36</v>
      </c>
      <c r="M8357" s="1" t="inlineStr">
        <is>
          <t>40.02%</t>
        </is>
      </c>
      <c r="N8357" s="7" t="n"/>
      <c r="O8357" t="n">
        <v>4.8</v>
      </c>
      <c r="P8357" t="n">
        <v>550</v>
      </c>
      <c r="R8357" t="inlineStr">
        <is>
          <t>InStock</t>
        </is>
      </c>
      <c r="S8357" t="inlineStr">
        <is>
          <t>16.94</t>
        </is>
      </c>
      <c r="T8357" t="inlineStr">
        <is>
          <t>3671725998180</t>
        </is>
      </c>
    </row>
    <row r="8358" hidden="1" ht="15.75" customHeight="1">
      <c r="A8358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358" s="2">
        <f>HYPERLINK("https://edmondsonsupply.com/products/klein-tools-601-4-3-16-cabinet-tip-screwdriver-4-round-shank", "https://edmondsonsupply.com/products/klein-tools-601-4-3-16-cabinet-tip-screwdriver-4-round-shank")</f>
        <v/>
      </c>
      <c r="C8358" t="inlineStr">
        <is>
          <t>Klein Tools 601-4 3/16-Inch Cabinet Tip Screwdriver 4-Inch</t>
        </is>
      </c>
      <c r="D8358" t="inlineStr">
        <is>
          <t>Klein Tools 621-6 Coated 3/16-Inch Cabinet Tip Flat Head Screwdriver, 6-Inch Round Shank, Cushion Grip Handle</t>
        </is>
      </c>
      <c r="E8358" s="2">
        <f>HYPERLINK("https://www.amazon.com/16-Inch-Screwdriver-Klein-Tools-621-6/dp/B00093GE44/ref=sr_1_16?keywords=Klein+Tools+601-4+3%2F16-Inch+Cabinet+Tip+Screwdriver+4-Inch&amp;qid=1694735471&amp;sr=8-16", "https://www.amazon.com/16-Inch-Screwdriver-Klein-Tools-621-6/dp/B00093GE44/ref=sr_1_16?keywords=Klein+Tools+601-4+3%2F16-Inch+Cabinet+Tip+Screwdriver+4-Inch&amp;qid=1694735471&amp;sr=8-16")</f>
        <v/>
      </c>
      <c r="F8358" t="inlineStr">
        <is>
          <t>B00093GE44</t>
        </is>
      </c>
      <c r="G8358">
        <f>_xludf.IMAGE("https://edmondsonsupply.com/cdn/shop/products/601-4.jpg?v=1587147829")</f>
        <v/>
      </c>
      <c r="H8358">
        <f>_xludf.IMAGE("https://m.media-amazon.com/images/I/51PRkgD+r3L._AC_UL320_.jpg")</f>
        <v/>
      </c>
      <c r="K8358" t="inlineStr">
        <is>
          <t>8.98</t>
        </is>
      </c>
      <c r="L8358" t="n">
        <v>12.49</v>
      </c>
      <c r="M8358" s="1" t="inlineStr">
        <is>
          <t>39.09%</t>
        </is>
      </c>
      <c r="N8358" s="1" t="n"/>
      <c r="O8358" t="n">
        <v>4.4</v>
      </c>
      <c r="P8358" t="n">
        <v>25</v>
      </c>
      <c r="R8358" t="inlineStr">
        <is>
          <t>InStock</t>
        </is>
      </c>
      <c r="S8358" t="inlineStr">
        <is>
          <t>11.52</t>
        </is>
      </c>
      <c r="T8358" t="inlineStr">
        <is>
          <t>2767048900708</t>
        </is>
      </c>
    </row>
    <row r="8359" hidden="1" ht="15.75" customHeight="1">
      <c r="A8359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59" s="2">
        <f>HYPERLINK("https://edmondsonsupply.com/products/klein-tools-601-6-3-16-inch-cabinet-tip-screwdriver-6-inch", "https://edmondsonsupply.com/products/klein-tools-601-6-3-16-inch-cabinet-tip-screwdriver-6-inch")</f>
        <v/>
      </c>
      <c r="C8359" t="inlineStr">
        <is>
          <t>Klein Tools 601-6 3/16-Inch Cabinet Tip Screwdriver 6-Inch</t>
        </is>
      </c>
      <c r="D8359" t="inlineStr">
        <is>
          <t>Klein Tools 621-6 Coated 3/16-Inch Cabinet Tip Flat Head Screwdriver, 6-Inch Round Shank, Cushion Grip Handle</t>
        </is>
      </c>
      <c r="E8359" s="2">
        <f>HYPERLINK("https://www.amazon.com/16-Inch-Screwdriver-Klein-Tools-621-6/dp/B00093GE44/ref=sr_1_10?keywords=Klein+Tools+601-6+3%2F16-Inch+Cabinet+Tip+Screwdriver+6-Inch&amp;qid=1694735470&amp;sr=8-10", "https://www.amazon.com/16-Inch-Screwdriver-Klein-Tools-621-6/dp/B00093GE44/ref=sr_1_10?keywords=Klein+Tools+601-6+3%2F16-Inch+Cabinet+Tip+Screwdriver+6-Inch&amp;qid=1694735470&amp;sr=8-10")</f>
        <v/>
      </c>
      <c r="F8359" t="inlineStr">
        <is>
          <t>B00093GE44</t>
        </is>
      </c>
      <c r="G8359">
        <f>_xludf.IMAGE("https://edmondsonsupply.com/cdn/shop/products/601-6.jpg?v=1587148683")</f>
        <v/>
      </c>
      <c r="H8359">
        <f>_xludf.IMAGE("https://m.media-amazon.com/images/I/51PRkgD+r3L._AC_UL320_.jpg")</f>
        <v/>
      </c>
      <c r="K8359" t="inlineStr">
        <is>
          <t>8.99</t>
        </is>
      </c>
      <c r="L8359" t="n">
        <v>12.49</v>
      </c>
      <c r="M8359" s="1" t="inlineStr">
        <is>
          <t>38.93%</t>
        </is>
      </c>
      <c r="N8359" s="1" t="n"/>
      <c r="O8359" t="n">
        <v>4.4</v>
      </c>
      <c r="P8359" t="n">
        <v>25</v>
      </c>
      <c r="R8359" t="inlineStr">
        <is>
          <t>InStock</t>
        </is>
      </c>
      <c r="S8359" t="inlineStr">
        <is>
          <t>11.96</t>
        </is>
      </c>
      <c r="T8359" t="inlineStr">
        <is>
          <t>3689898016868</t>
        </is>
      </c>
    </row>
    <row r="8360" ht="87" customHeight="1">
      <c r="A8360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360" s="2">
        <f>HYPERLINK("https://edmondsonsupply.com/products/klein-tools-rt210-gfci-receptacle-tester", "https://edmondsonsupply.com/products/klein-tools-rt210-gfci-receptacle-tester")</f>
        <v/>
      </c>
      <c r="C8360" t="inlineStr">
        <is>
          <t>Klein Tools RT210 GFCI Outlet Tester</t>
        </is>
      </c>
      <c r="D8360" t="inlineStr">
        <is>
          <t>Case Compatible with Klein Tools ET310 AC Circuit Breaker Finder &amp; 80041 Outlet Repair Tool Kit &amp; RT250 GFCI Receptacle Tester. Electrical Tools Storage Organizer Holder Bag for Accessories (Box Only)</t>
        </is>
      </c>
      <c r="E8360" s="2">
        <f>HYPERLINK("https://www.amazon.com/Compatible-Integrated-Electrical-Organizer-Accessories/dp/B09JBWLH2B/ref=sr_1_32?keywords=Klein+Tools+RT210+GFCI+Outlet+Tester&amp;qid=1694735460&amp;sr=8-32", "https://www.amazon.com/Compatible-Integrated-Electrical-Organizer-Accessories/dp/B09JBWLH2B/ref=sr_1_32?keywords=Klein+Tools+RT210+GFCI+Outlet+Tester&amp;qid=1694735460&amp;sr=8-32")</f>
        <v/>
      </c>
      <c r="F8360" t="inlineStr">
        <is>
          <t>B09JBWLH2B</t>
        </is>
      </c>
      <c r="G8360">
        <f>_xlfn.IMAGE("https://edmondsonsupply.com/cdn/shop/products/rt210.jpg?v=1587146495")</f>
        <v/>
      </c>
      <c r="H8360">
        <f>_xlfn.IMAGE("https://m.media-amazon.com/images/I/81yJafHL1vL._AC_UL320_.jpg")</f>
        <v/>
      </c>
      <c r="K8360" t="inlineStr">
        <is>
          <t>12.97</t>
        </is>
      </c>
      <c r="L8360" t="n">
        <v>17.99</v>
      </c>
      <c r="M8360" s="1" t="inlineStr">
        <is>
          <t>38.70%</t>
        </is>
      </c>
      <c r="N8360" s="7" t="n"/>
      <c r="O8360" t="n">
        <v>4.5</v>
      </c>
      <c r="P8360" t="n">
        <v>1705</v>
      </c>
      <c r="R8360" t="inlineStr">
        <is>
          <t>InStock</t>
        </is>
      </c>
      <c r="S8360" t="inlineStr">
        <is>
          <t>17.12</t>
        </is>
      </c>
      <c r="T8360" t="inlineStr">
        <is>
          <t>3711963988068</t>
        </is>
      </c>
    </row>
    <row r="8361" ht="87" customHeight="1">
      <c r="A8361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361" s="2">
        <f>HYPERLINK("https://edmondsonsupply.com/products/klein-tools-rt210-gfci-receptacle-tester", "https://edmondsonsupply.com/products/klein-tools-rt210-gfci-receptacle-tester")</f>
        <v/>
      </c>
      <c r="C8361" t="inlineStr">
        <is>
          <t>Klein Tools RT210 GFCI Outlet Tester</t>
        </is>
      </c>
      <c r="D8361" t="inlineStr">
        <is>
          <t>Case Compatible with Klein ET310 Tool AC Circuit Breaker Finder 80041 Outlet Repair Tool Kit RT250 Integrated GFCI Receptacle Tester and Accessories Electrical Tools Bag Storage Organizer</t>
        </is>
      </c>
      <c r="E8361" s="2">
        <f>HYPERLINK("https://www.amazon.com/Compatible-Electrical-Organizer-Integrated-Accessories/dp/B097QT7TN8/ref=sr_1_45?keywords=Klein+Tools+RT210+GFCI+Outlet+Tester&amp;qid=1694735460&amp;sr=8-45", "https://www.amazon.com/Compatible-Electrical-Organizer-Integrated-Accessories/dp/B097QT7TN8/ref=sr_1_45?keywords=Klein+Tools+RT210+GFCI+Outlet+Tester&amp;qid=1694735460&amp;sr=8-45")</f>
        <v/>
      </c>
      <c r="F8361" t="inlineStr">
        <is>
          <t>B097QT7TN8</t>
        </is>
      </c>
      <c r="G8361">
        <f>_xlfn.IMAGE("https://edmondsonsupply.com/cdn/shop/products/rt210.jpg?v=1587146495")</f>
        <v/>
      </c>
      <c r="H8361">
        <f>_xlfn.IMAGE("https://m.media-amazon.com/images/I/918qW8otzjL._AC_UL320_.jpg")</f>
        <v/>
      </c>
      <c r="K8361" t="inlineStr">
        <is>
          <t>12.97</t>
        </is>
      </c>
      <c r="L8361" t="n">
        <v>17.99</v>
      </c>
      <c r="M8361" s="1" t="inlineStr">
        <is>
          <t>38.70%</t>
        </is>
      </c>
      <c r="N8361" s="7" t="n"/>
      <c r="O8361" t="n">
        <v>4.5</v>
      </c>
      <c r="P8361" t="n">
        <v>1272</v>
      </c>
      <c r="R8361" t="inlineStr">
        <is>
          <t>InStock</t>
        </is>
      </c>
      <c r="S8361" t="inlineStr">
        <is>
          <t>17.12</t>
        </is>
      </c>
      <c r="T8361" t="inlineStr">
        <is>
          <t>3711963988068</t>
        </is>
      </c>
    </row>
    <row r="8362" ht="87" customHeight="1">
      <c r="A836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362" s="2">
        <f>HYPERLINK("https://edmondsonsupply.com/products/klein-tools-rt210-gfci-receptacle-tester", "https://edmondsonsupply.com/products/klein-tools-rt210-gfci-receptacle-tester")</f>
        <v/>
      </c>
      <c r="C8362" t="inlineStr">
        <is>
          <t>Klein Tools RT210 GFCI Outlet Tester</t>
        </is>
      </c>
      <c r="D8362" t="inlineStr">
        <is>
          <t>co2CREA Hard Travel Case Replacement for Klein Tools ET310 AC Circuit Breaker Finder Integrated GFCI Outlet Tester</t>
        </is>
      </c>
      <c r="E8362" s="2">
        <f>HYPERLINK("https://www.amazon.com/co2crea-Replacement-Circuit-Breaker-Integrated/dp/B087JRTB7S/ref=sr_1_33?keywords=Klein+Tools+RT210+GFCI+Outlet+Tester&amp;qid=1694735460&amp;sr=8-33", "https://www.amazon.com/co2crea-Replacement-Circuit-Breaker-Integrated/dp/B087JRTB7S/ref=sr_1_33?keywords=Klein+Tools+RT210+GFCI+Outlet+Tester&amp;qid=1694735460&amp;sr=8-33")</f>
        <v/>
      </c>
      <c r="F8362" t="inlineStr">
        <is>
          <t>B087JRTB7S</t>
        </is>
      </c>
      <c r="G8362">
        <f>_xlfn.IMAGE("https://edmondsonsupply.com/cdn/shop/products/rt210.jpg?v=1587146495")</f>
        <v/>
      </c>
      <c r="H8362">
        <f>_xlfn.IMAGE("https://m.media-amazon.com/images/I/91gT7GX46hL._AC_UL320_.jpg")</f>
        <v/>
      </c>
      <c r="K8362" t="inlineStr">
        <is>
          <t>12.97</t>
        </is>
      </c>
      <c r="L8362" t="n">
        <v>17.99</v>
      </c>
      <c r="M8362" s="1" t="inlineStr">
        <is>
          <t>38.70%</t>
        </is>
      </c>
      <c r="N8362" s="7" t="n"/>
      <c r="O8362" t="n">
        <v>4.6</v>
      </c>
      <c r="P8362" t="n">
        <v>421</v>
      </c>
      <c r="R8362" t="inlineStr">
        <is>
          <t>InStock</t>
        </is>
      </c>
      <c r="S8362" t="inlineStr">
        <is>
          <t>17.12</t>
        </is>
      </c>
      <c r="T8362" t="inlineStr">
        <is>
          <t>3711963988068</t>
        </is>
      </c>
    </row>
    <row r="8363" ht="87" customHeight="1">
      <c r="A8363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363" s="2">
        <f>HYPERLINK("https://edmondsonsupply.com/products/klein-tools-rt210-gfci-receptacle-tester", "https://edmondsonsupply.com/products/klein-tools-rt210-gfci-receptacle-tester")</f>
        <v/>
      </c>
      <c r="C8363" t="inlineStr">
        <is>
          <t>Klein Tools RT210 GFCI Outlet Tester</t>
        </is>
      </c>
      <c r="D8363" t="inlineStr">
        <is>
          <t>Hermitshell Hard Travel Case for Klein Tools ET310 AC Circuit Breaker Finder + Integrated GFCI Outlet Tester</t>
        </is>
      </c>
      <c r="E8363" s="2">
        <f>HYPERLINK("https://www.amazon.com/Hermitshell-Travel-Circuit-Breaker-Integrated/dp/B0BR3H3R3W/ref=sr_1_35?keywords=Klein+Tools+RT210+GFCI+Outlet+Tester&amp;qid=1694735460&amp;sr=8-35", "https://www.amazon.com/Hermitshell-Travel-Circuit-Breaker-Integrated/dp/B0BR3H3R3W/ref=sr_1_35?keywords=Klein+Tools+RT210+GFCI+Outlet+Tester&amp;qid=1694735460&amp;sr=8-35")</f>
        <v/>
      </c>
      <c r="F8363" t="inlineStr">
        <is>
          <t>B0BR3H3R3W</t>
        </is>
      </c>
      <c r="G8363">
        <f>_xlfn.IMAGE("https://edmondsonsupply.com/cdn/shop/products/rt210.jpg?v=1587146495")</f>
        <v/>
      </c>
      <c r="H8363">
        <f>_xlfn.IMAGE("https://m.media-amazon.com/images/I/61hXAh0E1BL._AC_UL320_.jpg")</f>
        <v/>
      </c>
      <c r="K8363" t="inlineStr">
        <is>
          <t>12.97</t>
        </is>
      </c>
      <c r="L8363" t="n">
        <v>17.99</v>
      </c>
      <c r="M8363" s="1" t="inlineStr">
        <is>
          <t>38.70%</t>
        </is>
      </c>
      <c r="N8363" s="7" t="n"/>
      <c r="O8363" t="n">
        <v>5</v>
      </c>
      <c r="P8363" t="n">
        <v>6</v>
      </c>
      <c r="R8363" t="inlineStr">
        <is>
          <t>InStock</t>
        </is>
      </c>
      <c r="S8363" t="inlineStr">
        <is>
          <t>17.12</t>
        </is>
      </c>
      <c r="T8363" t="inlineStr">
        <is>
          <t>3711963988068</t>
        </is>
      </c>
    </row>
    <row r="8364" ht="87" customHeight="1">
      <c r="A8364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364" s="2">
        <f>HYPERLINK("https://edmondsonsupply.com/products/klein-tools-rt210-gfci-receptacle-tester", "https://edmondsonsupply.com/products/klein-tools-rt210-gfci-receptacle-tester")</f>
        <v/>
      </c>
      <c r="C8364" t="inlineStr">
        <is>
          <t>Klein Tools RT210 GFCI Outlet Tester</t>
        </is>
      </c>
      <c r="D8364" t="inlineStr">
        <is>
          <t>Case Compatible with Klein Tools ET310 AC Circuit Breaker Finder and Integrated GFCI Outlet Tester, with Mesh Pocket Inside for Accessories (Orange)</t>
        </is>
      </c>
      <c r="E8364" s="2">
        <f>HYPERLINK("https://www.amazon.com/Compatible-Circuit-Breaker-Integrated-Accessories/dp/B09HGWM4T1/ref=sr_1_31?keywords=Klein+Tools+RT210+GFCI+Outlet+Tester&amp;qid=1694735460&amp;sr=8-31", "https://www.amazon.com/Compatible-Circuit-Breaker-Integrated-Accessories/dp/B09HGWM4T1/ref=sr_1_31?keywords=Klein+Tools+RT210+GFCI+Outlet+Tester&amp;qid=1694735460&amp;sr=8-31")</f>
        <v/>
      </c>
      <c r="F8364" t="inlineStr">
        <is>
          <t>B09HGWM4T1</t>
        </is>
      </c>
      <c r="G8364">
        <f>_xlfn.IMAGE("https://edmondsonsupply.com/cdn/shop/products/rt210.jpg?v=1587146495")</f>
        <v/>
      </c>
      <c r="H8364">
        <f>_xlfn.IMAGE("https://m.media-amazon.com/images/I/91k09lOVauL._AC_UL320_.jpg")</f>
        <v/>
      </c>
      <c r="K8364" t="inlineStr">
        <is>
          <t>12.97</t>
        </is>
      </c>
      <c r="L8364" t="n">
        <v>17.99</v>
      </c>
      <c r="M8364" s="1" t="inlineStr">
        <is>
          <t>38.70%</t>
        </is>
      </c>
      <c r="N8364" s="7" t="n"/>
      <c r="O8364" t="n">
        <v>4.5</v>
      </c>
      <c r="P8364" t="n">
        <v>547</v>
      </c>
      <c r="R8364" t="inlineStr">
        <is>
          <t>InStock</t>
        </is>
      </c>
      <c r="S8364" t="inlineStr">
        <is>
          <t>17.12</t>
        </is>
      </c>
      <c r="T8364" t="inlineStr">
        <is>
          <t>3711963988068</t>
        </is>
      </c>
    </row>
    <row r="8365" ht="87" customHeight="1">
      <c r="A8365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365" s="2">
        <f>HYPERLINK("https://edmondsonsupply.com/products/klein-tools-70579-folding-hex-key-set-5-inch-sae-5-piece", "https://edmondsonsupply.com/products/klein-tools-70579-folding-hex-key-set-5-inch-sae-5-piece")</f>
        <v/>
      </c>
      <c r="C8365" t="inlineStr">
        <is>
          <t>Klein Tools 70579 Folding Hex Key Set, 5-Key, SAE Sizes</t>
        </is>
      </c>
      <c r="D8365" t="inlineStr">
        <is>
          <t>Klein Tools 70586 Folding TORX Key Set, 8-Key, SAE Sizes</t>
        </is>
      </c>
      <c r="E8365" s="2">
        <f>HYPERLINK("https://www.amazon.com/Folding-TORX-Klein-Tools-70586/dp/B0002RI8RI/ref=sr_1_5?keywords=Klein+Tools+70579+Folding+Hex+Key+Set%2C+5-Key%2C+SAE+Sizes&amp;qid=1694735436&amp;sr=8-5", "https://www.amazon.com/Folding-TORX-Klein-Tools-70586/dp/B0002RI8RI/ref=sr_1_5?keywords=Klein+Tools+70579+Folding+Hex+Key+Set%2C+5-Key%2C+SAE+Sizes&amp;qid=1694735436&amp;sr=8-5")</f>
        <v/>
      </c>
      <c r="F8365" t="inlineStr">
        <is>
          <t>B0002RI8RI</t>
        </is>
      </c>
      <c r="G8365">
        <f>_xlfn.IMAGE("https://edmondsonsupply.com/cdn/shop/products/70579.jpg?v=1587145103")</f>
        <v/>
      </c>
      <c r="H8365">
        <f>_xlfn.IMAGE("https://m.media-amazon.com/images/I/51FSDo5VcWL._AC_UL320_.jpg")</f>
        <v/>
      </c>
      <c r="K8365" t="inlineStr">
        <is>
          <t>12.97</t>
        </is>
      </c>
      <c r="L8365" t="n">
        <v>17.99</v>
      </c>
      <c r="M8365" s="1" t="inlineStr">
        <is>
          <t>38.70%</t>
        </is>
      </c>
      <c r="N8365" s="7" t="n"/>
      <c r="O8365" t="n">
        <v>4.8</v>
      </c>
      <c r="P8365" t="n">
        <v>163</v>
      </c>
      <c r="R8365" t="inlineStr">
        <is>
          <t>InStock</t>
        </is>
      </c>
      <c r="S8365" t="inlineStr">
        <is>
          <t>18.38</t>
        </is>
      </c>
      <c r="T8365" t="inlineStr">
        <is>
          <t>4346564477028</t>
        </is>
      </c>
    </row>
    <row r="8366" hidden="1" ht="15.75" customHeight="1">
      <c r="A8366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366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366" t="inlineStr">
        <is>
          <t>Klein Tools 614-6 1/8-Inch Cabinet Electronics Screwdriver, 6-Inch</t>
        </is>
      </c>
      <c r="D8366" t="inlineStr">
        <is>
          <t>Klein Tools 6916INS 1000V Slim Tip Insulated Screwdriver, 6-Inch Round Shank, 3/16-Inch Cabinet Tip, Cushion Grip Handle</t>
        </is>
      </c>
      <c r="E8366" s="2">
        <f>HYPERLINK("https://www.amazon.com/Klein-Tools-6916INS-Insulated-Screwdriver/dp/B089DR97MJ/ref=sr_1_9?keywords=Klein+Tools+614-6+1%2F8-Inch+Cabinet+Electronics+Screwdriver%2C+6-Inch&amp;qid=1694735470&amp;sr=8-9", "https://www.amazon.com/Klein-Tools-6916INS-Insulated-Screwdriver/dp/B089DR97MJ/ref=sr_1_9?keywords=Klein+Tools+614-6+1%2F8-Inch+Cabinet+Electronics+Screwdriver%2C+6-Inch&amp;qid=1694735470&amp;sr=8-9")</f>
        <v/>
      </c>
      <c r="F8366" t="inlineStr">
        <is>
          <t>B089DR97MJ</t>
        </is>
      </c>
      <c r="G8366">
        <f>_xludf.IMAGE("https://edmondsonsupply.com/cdn/shop/products/614-6.jpg?v=1587147731")</f>
        <v/>
      </c>
      <c r="H8366">
        <f>_xludf.IMAGE("https://m.media-amazon.com/images/I/41JpJG+Jh0L._AC_UL320_.jpg")</f>
        <v/>
      </c>
      <c r="K8366" t="inlineStr">
        <is>
          <t>9.99</t>
        </is>
      </c>
      <c r="L8366" t="n">
        <v>13.85</v>
      </c>
      <c r="M8366" s="1" t="inlineStr">
        <is>
          <t>38.64%</t>
        </is>
      </c>
      <c r="N8366" s="1" t="n"/>
      <c r="O8366" t="n">
        <v>4.8</v>
      </c>
      <c r="P8366" t="n">
        <v>1358</v>
      </c>
      <c r="R8366" t="inlineStr">
        <is>
          <t>InStock</t>
        </is>
      </c>
      <c r="S8366" t="inlineStr">
        <is>
          <t>15.14</t>
        </is>
      </c>
      <c r="T8366" t="inlineStr">
        <is>
          <t>3688620556388</t>
        </is>
      </c>
    </row>
    <row r="8367" hidden="1" ht="15.75" customHeight="1">
      <c r="A8367" s="2">
        <f>HYPERLINK("https://edmondsonsupply.com/collections/electricians-tools/products/klein-tools-670-3-3-16-cabinet-tip-rapi-driv%C2%AE-screwdriver-4-shank", "https://edmondsonsupply.com/collections/electricians-tools/products/klein-tools-670-3-3-16-cabinet-tip-rapi-driv%C2%AE-screwdriver-4-shank")</f>
        <v/>
      </c>
      <c r="B8367" s="2">
        <f>HYPERLINK("https://edmondsonsupply.com/products/klein-tools-670-3-3-16-cabinet-tip-rapi-driv%c2%ae-screwdriver-4-shank", "https://edmondsonsupply.com/products/klein-tools-670-3-3-16-cabinet-tip-rapi-driv%c2%ae-screwdriver-4-shank")</f>
        <v/>
      </c>
      <c r="C8367" t="inlineStr">
        <is>
          <t>Klein Tools 670-3 Rapi-Driv® Screwdriver, 3/16-Inch Cabinet Tip, 4-Inch Shank</t>
        </is>
      </c>
      <c r="D8367" t="inlineStr">
        <is>
          <t>Klein Tools 6916INS 1000V Slim Tip Insulated Screwdriver, 6-Inch Round Shank, 3/16-Inch Cabinet Tip, Cushion Grip Handle</t>
        </is>
      </c>
      <c r="E8367" s="2">
        <f>HYPERLINK("https://www.amazon.com/Klein-Tools-6916INS-Insulated-Screwdriver/dp/B089DR97MJ/ref=sr_1_4?keywords=Klein+Tools+670-3+Rapi-Driv%C2%AE+Screwdriver%2C+3%2F16-Inch+Cabinet+Tip%2C+4-Inch+Shank&amp;qid=1694735456&amp;sr=8-4", "https://www.amazon.com/Klein-Tools-6916INS-Insulated-Screwdriver/dp/B089DR97MJ/ref=sr_1_4?keywords=Klein+Tools+670-3+Rapi-Driv%C2%AE+Screwdriver%2C+3%2F16-Inch+Cabinet+Tip%2C+4-Inch+Shank&amp;qid=1694735456&amp;sr=8-4")</f>
        <v/>
      </c>
      <c r="F8367" t="inlineStr">
        <is>
          <t>B089DR97MJ</t>
        </is>
      </c>
      <c r="G8367">
        <f>_xludf.IMAGE("https://edmondsonsupply.com/cdn/shop/products/670-6.jpg?v=1587150445")</f>
        <v/>
      </c>
      <c r="H8367">
        <f>_xludf.IMAGE("https://m.media-amazon.com/images/I/41JpJG+Jh0L._AC_UL320_.jpg")</f>
        <v/>
      </c>
      <c r="K8367" t="inlineStr">
        <is>
          <t>9.99</t>
        </is>
      </c>
      <c r="L8367" t="n">
        <v>13.85</v>
      </c>
      <c r="M8367" s="1" t="inlineStr">
        <is>
          <t>38.64%</t>
        </is>
      </c>
      <c r="N8367" s="1" t="n"/>
      <c r="O8367" t="n">
        <v>4.8</v>
      </c>
      <c r="P8367" t="n">
        <v>1358</v>
      </c>
      <c r="R8367" t="inlineStr">
        <is>
          <t>InStock</t>
        </is>
      </c>
      <c r="S8367" t="inlineStr">
        <is>
          <t>15.1</t>
        </is>
      </c>
      <c r="T8367" t="inlineStr">
        <is>
          <t>1901121831012</t>
        </is>
      </c>
    </row>
    <row r="8368" hidden="1" ht="15.75" customHeight="1">
      <c r="A8368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368" s="2">
        <f>HYPERLINK("https://edmondsonsupply.com/products/klein-tools-662-2-square-screwdriver-with-4-inch-round-shank", "https://edmondsonsupply.com/products/klein-tools-662-2-square-screwdriver-with-4-inch-round-shank")</f>
        <v/>
      </c>
      <c r="C8368" t="inlineStr">
        <is>
          <t>Klein Tools 662 #2 Square Screwdriver with 4-Inch Round Shank</t>
        </is>
      </c>
      <c r="D8368" t="inlineStr">
        <is>
          <t>Klein Tools 6946INS 1000V Slim Tip Insulated Screwdriver, 6-Inch Round Shank, #2 Square Tip, Cushion Grip Handle</t>
        </is>
      </c>
      <c r="E8368" s="2">
        <f>HYPERLINK("https://www.amazon.com/Klein-Tools-6946INS-Insulated-Screwdriver/dp/B088NN95Q5/ref=sr_1_6?keywords=Klein+Tools+662+%232+Square+Screwdriver+with+4-Inch+Round+Shank&amp;qid=1694735445&amp;sr=8-6", "https://www.amazon.com/Klein-Tools-6946INS-Insulated-Screwdriver/dp/B088NN95Q5/ref=sr_1_6?keywords=Klein+Tools+662+%232+Square+Screwdriver+with+4-Inch+Round+Shank&amp;qid=1694735445&amp;sr=8-6")</f>
        <v/>
      </c>
      <c r="F8368" t="inlineStr">
        <is>
          <t>B088NN95Q5</t>
        </is>
      </c>
      <c r="G8368">
        <f>_xludf.IMAGE("https://edmondsonsupply.com/cdn/shop/products/660.jpg?v=1587151189")</f>
        <v/>
      </c>
      <c r="H8368">
        <f>_xludf.IMAGE("https://m.media-amazon.com/images/I/414Kb+NSPsS._AC_UL320_.jpg")</f>
        <v/>
      </c>
      <c r="K8368" t="inlineStr">
        <is>
          <t>9.99</t>
        </is>
      </c>
      <c r="L8368" t="n">
        <v>13.85</v>
      </c>
      <c r="M8368" s="1" t="inlineStr">
        <is>
          <t>38.64%</t>
        </is>
      </c>
      <c r="N8368" s="1" t="n"/>
      <c r="O8368" t="n">
        <v>4.8</v>
      </c>
      <c r="P8368" t="n">
        <v>1358</v>
      </c>
      <c r="R8368" t="inlineStr">
        <is>
          <t>InStock</t>
        </is>
      </c>
      <c r="S8368" t="inlineStr">
        <is>
          <t>12.74</t>
        </is>
      </c>
      <c r="T8368" t="inlineStr">
        <is>
          <t>4274202509412</t>
        </is>
      </c>
    </row>
    <row r="8369" ht="87" customHeight="1">
      <c r="A8369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369" s="2">
        <f>HYPERLINK("https://edmondsonsupply.com/products/klein-tools-rt210-gfci-receptacle-tester", "https://edmondsonsupply.com/products/klein-tools-rt210-gfci-receptacle-tester")</f>
        <v/>
      </c>
      <c r="C8369" t="inlineStr">
        <is>
          <t>Klein Tools RT210 GFCI Outlet Tester</t>
        </is>
      </c>
      <c r="D8369" t="inlineStr">
        <is>
          <t>Klein Tools ET45VP Electrical Test Kit with GFCI Outlet Tester and AC/DC Voltage Tester, Orange</t>
        </is>
      </c>
      <c r="E8369" s="2">
        <f>HYPERLINK("https://www.amazon.com/Receptacle-Electrical-Klein-Tools-ET45VP/dp/B08Y63ZG1B/ref=sr_1_14?keywords=Klein+Tools+RT210+GFCI+Outlet+Tester&amp;qid=1694735460&amp;sr=8-14", "https://www.amazon.com/Receptacle-Electrical-Klein-Tools-ET45VP/dp/B08Y63ZG1B/ref=sr_1_14?keywords=Klein+Tools+RT210+GFCI+Outlet+Tester&amp;qid=1694735460&amp;sr=8-14")</f>
        <v/>
      </c>
      <c r="F8369" t="inlineStr">
        <is>
          <t>B08Y63ZG1B</t>
        </is>
      </c>
      <c r="G8369">
        <f>_xlfn.IMAGE("https://edmondsonsupply.com/cdn/shop/products/rt210.jpg?v=1587146495")</f>
        <v/>
      </c>
      <c r="H8369">
        <f>_xlfn.IMAGE("https://m.media-amazon.com/images/I/51g9gSN+3SL._AC_UL320_.jpg")</f>
        <v/>
      </c>
      <c r="K8369" t="inlineStr">
        <is>
          <t>12.97</t>
        </is>
      </c>
      <c r="L8369" t="n">
        <v>17.97</v>
      </c>
      <c r="M8369" s="1" t="inlineStr">
        <is>
          <t>38.55%</t>
        </is>
      </c>
      <c r="N8369" s="7" t="n"/>
      <c r="O8369" t="n">
        <v>4.6</v>
      </c>
      <c r="P8369" t="n">
        <v>240</v>
      </c>
      <c r="R8369" t="inlineStr">
        <is>
          <t>InStock</t>
        </is>
      </c>
      <c r="S8369" t="inlineStr">
        <is>
          <t>17.12</t>
        </is>
      </c>
      <c r="T8369" t="inlineStr">
        <is>
          <t>3711963988068</t>
        </is>
      </c>
    </row>
    <row r="8370" hidden="1" ht="15.75" customHeight="1">
      <c r="A8370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370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370" t="inlineStr">
        <is>
          <t>Klein Tools JTH6M4BE 4 mm Ball Hex Key Journeyman T-Handle 6-Inch</t>
        </is>
      </c>
      <c r="D8370" t="inlineStr">
        <is>
          <t>Klein Tools JTH6M4BE 4 mm Ball End Hex Key with Journeyman T-Handle, 6-Inch</t>
        </is>
      </c>
      <c r="E8370" s="2">
        <f>HYPERLINK("https://www.amazon.com/Journeyman-T-Handle-Klein-Tools-JTH6M4BE/dp/B005G3951G/ref=sr_1_1?keywords=Klein+Tools+JTH6M4BE+4+mm+Ball+Hex+Key+Journeyman+T-Handle+6-Inch&amp;qid=1694735475&amp;sr=8-1", "https://www.amazon.com/Journeyman-T-Handle-Klein-Tools-JTH6M4BE/dp/B005G3951G/ref=sr_1_1?keywords=Klein+Tools+JTH6M4BE+4+mm+Ball+Hex+Key+Journeyman+T-Handle+6-Inch&amp;qid=1694735475&amp;sr=8-1")</f>
        <v/>
      </c>
      <c r="F8370" t="inlineStr">
        <is>
          <t>B005G3951G</t>
        </is>
      </c>
      <c r="G8370">
        <f>_xludf.IMAGE("https://edmondsonsupply.com/cdn/shop/products/jth6m8be.jpg?v=1587144825")</f>
        <v/>
      </c>
      <c r="H8370">
        <f>_xludf.IMAGE("https://m.media-amazon.com/images/I/51huXA+ij8L._AC_UL320_.jpg")</f>
        <v/>
      </c>
      <c r="K8370" t="inlineStr">
        <is>
          <t>4.99</t>
        </is>
      </c>
      <c r="L8370" t="n">
        <v>6.91</v>
      </c>
      <c r="M8370" s="1" t="inlineStr">
        <is>
          <t>38.48%</t>
        </is>
      </c>
      <c r="N8370" s="1" t="n"/>
      <c r="O8370" t="n">
        <v>4.8</v>
      </c>
      <c r="P8370" t="n">
        <v>985</v>
      </c>
      <c r="R8370" t="inlineStr">
        <is>
          <t>InStock</t>
        </is>
      </c>
      <c r="S8370" t="inlineStr">
        <is>
          <t>7.56</t>
        </is>
      </c>
      <c r="T8370" t="inlineStr">
        <is>
          <t>3671694213220</t>
        </is>
      </c>
    </row>
    <row r="8371" ht="87" customHeight="1">
      <c r="A8371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371" s="2">
        <f>HYPERLINK("https://edmondsonsupply.com/products/klein-tools-21051-large-cable-stripper-250-mcm-2-0", "https://edmondsonsupply.com/products/klein-tools-21051-large-cable-stripper-250-mcm-2-0")</f>
        <v/>
      </c>
      <c r="C8371" t="inlineStr">
        <is>
          <t>Klein Tools 21051 Large Cable Stripper (2/0-250 MCM)</t>
        </is>
      </c>
      <c r="D8371" t="inlineStr">
        <is>
          <t>Klein Tools 21051 Large Cable Stripper (2/0-250 MCM) &amp; 50400 Cable Bender, 12-Inch</t>
        </is>
      </c>
      <c r="E8371" s="2">
        <f>HYPERLINK("https://www.amazon.com/Klein-Tools-Stripper-Bender-12-Inch/dp/B0BNL8CT8Z/ref=sr_1_5?keywords=Klein+Tools+21051+Large+Cable+Stripper+%282%2F0-250+MCM%29&amp;qid=1694735474&amp;sr=8-5", "https://www.amazon.com/Klein-Tools-Stripper-Bender-12-Inch/dp/B0BNL8CT8Z/ref=sr_1_5?keywords=Klein+Tools+21051+Large+Cable+Stripper+%282%2F0-250+MCM%29&amp;qid=1694735474&amp;sr=8-5")</f>
        <v/>
      </c>
      <c r="F8371" t="inlineStr">
        <is>
          <t>B0BNL8CT8Z</t>
        </is>
      </c>
      <c r="G8371">
        <f>_xlfn.IMAGE("https://edmondsonsupply.com/cdn/shop/products/21051.jpg?v=1587145554")</f>
        <v/>
      </c>
      <c r="H8371">
        <f>_xlfn.IMAGE("https://m.media-amazon.com/images/I/41ZGaev3JFL._AC_UL320_.jpg")</f>
        <v/>
      </c>
      <c r="K8371" t="inlineStr">
        <is>
          <t>54.99</t>
        </is>
      </c>
      <c r="L8371" t="n">
        <v>75.40000000000001</v>
      </c>
      <c r="M8371" s="1" t="inlineStr">
        <is>
          <t>37.12%</t>
        </is>
      </c>
      <c r="N8371" s="7" t="n"/>
      <c r="O8371" t="n">
        <v>5</v>
      </c>
      <c r="P8371" t="n">
        <v>1</v>
      </c>
      <c r="R8371" t="inlineStr">
        <is>
          <t>InStock</t>
        </is>
      </c>
      <c r="S8371" t="inlineStr">
        <is>
          <t>85.38</t>
        </is>
      </c>
      <c r="T8371" t="inlineStr">
        <is>
          <t>1779877806180</t>
        </is>
      </c>
    </row>
    <row r="8372" ht="87" customHeight="1">
      <c r="A8372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372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372" t="inlineStr">
        <is>
          <t>Klein Tools 11063W Katapult® Wire Stripper and Cutter for Solid and Stranded Wire</t>
        </is>
      </c>
      <c r="D8372" t="inlineStr">
        <is>
          <t>Klein Tools 11053 Klein-Kurve Wire Stripper and Cutter for 6-12 AWG Stranded Wire, 7-1/8-Inch &amp; 11055 Wire Cutter and Wire Stripper, Stranded Wire Cutter, Solid Wire Cutter, Cuts Copper Wire</t>
        </is>
      </c>
      <c r="E8372" s="2">
        <f>HYPERLINK("https://www.amazon.com/Klein-Tools-Klein-Kurve-Stripper-Stranded/dp/B0BHVPT335/ref=sr_1_30?keywords=Klein+Tools+11063W+Katapult%C2%AE+Wire+Stripper+and+Cutter+for+Solid+and+Stranded+Wire&amp;qid=1694735440&amp;sr=8-30", "https://www.amazon.com/Klein-Tools-Klein-Kurve-Stripper-Stranded/dp/B0BHVPT335/ref=sr_1_30?keywords=Klein+Tools+11063W+Katapult%C2%AE+Wire+Stripper+and+Cutter+for+Solid+and+Stranded+Wire&amp;qid=1694735440&amp;sr=8-30")</f>
        <v/>
      </c>
      <c r="F8372" t="inlineStr">
        <is>
          <t>B0BHVPT335</t>
        </is>
      </c>
      <c r="G8372">
        <f>_xlfn.IMAGE("https://edmondsonsupply.com/cdn/shop/products/11063w.jpg?v=1587151004")</f>
        <v/>
      </c>
      <c r="H8372">
        <f>_xlfn.IMAGE("https://m.media-amazon.com/images/I/41+jddPUDML._AC_UL320_.jpg")</f>
        <v/>
      </c>
      <c r="K8372" t="inlineStr">
        <is>
          <t>29.97</t>
        </is>
      </c>
      <c r="L8372" t="n">
        <v>40.96</v>
      </c>
      <c r="M8372" s="1" t="inlineStr">
        <is>
          <t>36.67%</t>
        </is>
      </c>
      <c r="N8372" s="7" t="n"/>
      <c r="O8372" t="n">
        <v>4.5</v>
      </c>
      <c r="P8372" t="n">
        <v>2</v>
      </c>
      <c r="R8372" t="inlineStr">
        <is>
          <t>InStock</t>
        </is>
      </c>
      <c r="S8372" t="inlineStr">
        <is>
          <t>44.7</t>
        </is>
      </c>
      <c r="T8372" t="inlineStr">
        <is>
          <t>4334180827236</t>
        </is>
      </c>
    </row>
    <row r="8373" hidden="1" ht="15.75" customHeight="1">
      <c r="A8373" s="2">
        <f>HYPERLINK("https://edmondsonsupply.com/collections/electricians-tools/products/klein-32807mag", "https://edmondsonsupply.com/collections/electricians-tools/products/klein-32807mag")</f>
        <v/>
      </c>
      <c r="B8373" s="2">
        <f>HYPERLINK("https://edmondsonsupply.com/products/klein-32807mag", "https://edmondsonsupply.com/products/klein-32807mag")</f>
        <v/>
      </c>
      <c r="C8373" t="inlineStr">
        <is>
          <t>Klein Tools 32807MAG 7-in-1 Multi-Bit Screwdriver / Nut Driver, Magnetic</t>
        </is>
      </c>
      <c r="D8373" t="inlineStr">
        <is>
          <t>Klein Tools 32807MAG 7-in-1 Nut Driver, Magnetic Driver &amp; 32561 Multi-Bit Screwdriver/Nut Driver, 6-in-1 Stubby Screwdriver with 2 Phillips, 2 Slotted Bits, 2 Nut Drivers</t>
        </is>
      </c>
      <c r="E8373" s="2">
        <f>HYPERLINK("https://www.amazon.com/Klein-Tools-32807MAG-Multi-Bit-Screwdriver/dp/B08XKMWG7K/ref=sr_1_3?keywords=Klein+Tools+32807MAG+7-in-1+Multi-Bit+Screwdriver+%2F+Nut+Driver%2C+Magnetic&amp;qid=1694735441&amp;sr=8-3", "https://www.amazon.com/Klein-Tools-32807MAG-Multi-Bit-Screwdriver/dp/B08XKMWG7K/ref=sr_1_3?keywords=Klein+Tools+32807MAG+7-in-1+Multi-Bit+Screwdriver+%2F+Nut+Driver%2C+Magnetic&amp;qid=1694735441&amp;sr=8-3")</f>
        <v/>
      </c>
      <c r="F8373" t="inlineStr">
        <is>
          <t>B08XKMWG7K</t>
        </is>
      </c>
      <c r="G8373">
        <f>_xludf.IMAGE("https://edmondsonsupply.com/cdn/shop/products/32807mag_beauty_l.jpg?v=1604873791")</f>
        <v/>
      </c>
      <c r="H8373">
        <f>_xludf.IMAGE("https://m.media-amazon.com/images/I/51+uGMm01TL._AC_UL320_.jpg")</f>
        <v/>
      </c>
      <c r="K8373" t="inlineStr">
        <is>
          <t>29.97</t>
        </is>
      </c>
      <c r="L8373" t="n">
        <v>40.94</v>
      </c>
      <c r="M8373" s="1" t="inlineStr">
        <is>
          <t>36.60%</t>
        </is>
      </c>
      <c r="N8373" s="1" t="n"/>
      <c r="O8373" t="n">
        <v>3.9</v>
      </c>
      <c r="P8373" t="n">
        <v>3</v>
      </c>
      <c r="R8373" t="inlineStr">
        <is>
          <t>InStock</t>
        </is>
      </c>
      <c r="S8373" t="inlineStr">
        <is>
          <t>44.5</t>
        </is>
      </c>
      <c r="T8373" t="inlineStr">
        <is>
          <t>1493034008676</t>
        </is>
      </c>
    </row>
    <row r="8374" hidden="1" ht="15.75" customHeight="1">
      <c r="A8374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374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374" t="inlineStr">
        <is>
          <t>Klein Tools 32561 Multi-Bit Screwdriver / Nut Driver, 6-in-1, Stubby, Ph, Sl Bits</t>
        </is>
      </c>
      <c r="D8374" t="inlineStr">
        <is>
          <t>Klein Tools 32557 Multi-Bit Screwdriver / Nut Driver, Heavy Duty 10-in-1 with Interchangable Shafts and Ph, Sl, Sq, Hex Bits and Nut Drivers</t>
        </is>
      </c>
      <c r="E8374" s="2">
        <f>HYPERLINK("https://www.amazon.com/Klein-Tools-32557-Multi-Bit-Screwdriver/dp/B005FQDH9A/ref=sr_1_7?keywords=Klein+Tools+32561+Multi-Bit+Screwdriver+%2F+Nut+Driver%2C+6-in-1%2C+Stubby%2C+Ph%2C+Sl+Bits&amp;qid=1694735473&amp;sr=8-7", "https://www.amazon.com/Klein-Tools-32557-Multi-Bit-Screwdriver/dp/B005FQDH9A/ref=sr_1_7?keywords=Klein+Tools+32561+Multi-Bit+Screwdriver+%2F+Nut+Driver%2C+6-in-1%2C+Stubby%2C+Ph%2C+Sl+Bits&amp;qid=1694735473&amp;sr=8-7")</f>
        <v/>
      </c>
      <c r="F8374" t="inlineStr">
        <is>
          <t>B005FQDH9A</t>
        </is>
      </c>
      <c r="G8374">
        <f>_xludf.IMAGE("https://edmondsonsupply.com/cdn/shop/products/32561_beauty_r.jpg?v=1604436217")</f>
        <v/>
      </c>
      <c r="H8374">
        <f>_xludf.IMAGE("https://m.media-amazon.com/images/I/41vMDiO0rOL._AC_UL320_.jpg")</f>
        <v/>
      </c>
      <c r="K8374" t="inlineStr">
        <is>
          <t>10.97</t>
        </is>
      </c>
      <c r="L8374" t="n">
        <v>14.98</v>
      </c>
      <c r="M8374" s="1" t="inlineStr">
        <is>
          <t>36.55%</t>
        </is>
      </c>
      <c r="N8374" s="1" t="n"/>
      <c r="O8374" t="n">
        <v>4.8</v>
      </c>
      <c r="P8374" t="n">
        <v>918</v>
      </c>
      <c r="R8374" t="inlineStr">
        <is>
          <t>InStock</t>
        </is>
      </c>
      <c r="S8374" t="inlineStr">
        <is>
          <t>16.94</t>
        </is>
      </c>
      <c r="T8374" t="inlineStr">
        <is>
          <t>3671725998180</t>
        </is>
      </c>
    </row>
    <row r="8375" ht="87" customHeight="1">
      <c r="A8375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375" s="2">
        <f>HYPERLINK("https://edmondsonsupply.com/products/klein-tools-63050-high-leverage-cable-cutter", "https://edmondsonsupply.com/products/klein-tools-63050-high-leverage-cable-cutter")</f>
        <v/>
      </c>
      <c r="C8375" t="inlineStr">
        <is>
          <t>Klein Tools 63050 Cable Cutter</t>
        </is>
      </c>
      <c r="D8375" t="inlineStr">
        <is>
          <t>Klein Tools 63030 Cable Cutter, Coaxial Cable Cutter cuts up to 1-Inch Aluminum and Copper Coaxial Cable with One-Hand Shearing,Blue</t>
        </is>
      </c>
      <c r="E8375" s="2">
        <f>HYPERLINK("https://www.amazon.com/Coaxial-Capacity-Klein-Tools-63030/dp/B001BY28YA/ref=sr_1_14?keywords=Klein+Tools+63050+Cable+Cutter&amp;qid=1694735444&amp;sr=8-14", "https://www.amazon.com/Coaxial-Capacity-Klein-Tools-63030/dp/B001BY28YA/ref=sr_1_14?keywords=Klein+Tools+63050+Cable+Cutter&amp;qid=1694735444&amp;sr=8-14")</f>
        <v/>
      </c>
      <c r="F8375" t="inlineStr">
        <is>
          <t>B001BY28YA</t>
        </is>
      </c>
      <c r="G8375">
        <f>_xlfn.IMAGE("https://edmondsonsupply.com/cdn/shop/products/63050.jpg?v=1587143239")</f>
        <v/>
      </c>
      <c r="H8375">
        <f>_xlfn.IMAGE("https://m.media-amazon.com/images/I/616JiDLF3VL._AC_UL320_.jpg")</f>
        <v/>
      </c>
      <c r="K8375" t="inlineStr">
        <is>
          <t>32.99</t>
        </is>
      </c>
      <c r="L8375" t="n">
        <v>44.99</v>
      </c>
      <c r="M8375" s="1" t="inlineStr">
        <is>
          <t>36.37%</t>
        </is>
      </c>
      <c r="N8375" s="7" t="n"/>
      <c r="O8375" t="n">
        <v>4.7</v>
      </c>
      <c r="P8375" t="n">
        <v>305</v>
      </c>
      <c r="R8375" t="inlineStr">
        <is>
          <t>InStock</t>
        </is>
      </c>
      <c r="S8375" t="inlineStr">
        <is>
          <t>47.96</t>
        </is>
      </c>
      <c r="T8375" t="inlineStr">
        <is>
          <t>4289689124964</t>
        </is>
      </c>
    </row>
    <row r="8376" ht="87" customHeight="1">
      <c r="A8376" s="2">
        <f>HYPERLINK("https://edmondsonsupply.com/collections/electricians-tools/products/klein-tools-55895-tradesman-pro%E2%84%A2-magnetic-wristband", "https://edmondsonsupply.com/collections/electricians-tools/products/klein-tools-55895-tradesman-pro%E2%84%A2-magnetic-wristband")</f>
        <v/>
      </c>
      <c r="B8376" s="2">
        <f>HYPERLINK("https://edmondsonsupply.com/products/klein-tools-55895-tradesman-pro%e2%84%a2-magnetic-wristband", "https://edmondsonsupply.com/products/klein-tools-55895-tradesman-pro%e2%84%a2-magnetic-wristband")</f>
        <v/>
      </c>
      <c r="C8376" t="inlineStr">
        <is>
          <t>Klein Tools 55895 Tradesman Pro™ Magnetic Wristband</t>
        </is>
      </c>
      <c r="D8376" t="inlineStr">
        <is>
          <t>Klein ToolsKlein Tools 55895 Magnetic Wristband &amp; MAG2 Demagnetizer/Magnetizer for Screwdriver Bits and Tips, Makes Tools Magnetic with Powerful Rare-Earth MagnetKlein Tools</t>
        </is>
      </c>
      <c r="E8376" s="2">
        <f>HYPERLINK("https://www.amazon.com/Klein-Tools-Demagnetizer-Screwdriver-MagnetKlein/dp/B0BSKR7CQX/ref=sr_1_3?keywords=Klein+Tools+55895+Tradesman+Pro%E2%84%A2+Magnetic+Wristband&amp;qid=1694735464&amp;sr=8-3", "https://www.amazon.com/Klein-Tools-Demagnetizer-Screwdriver-MagnetKlein/dp/B0BSKR7CQX/ref=sr_1_3?keywords=Klein+Tools+55895+Tradesman+Pro%E2%84%A2+Magnetic+Wristband&amp;qid=1694735464&amp;sr=8-3")</f>
        <v/>
      </c>
      <c r="F8376" t="inlineStr">
        <is>
          <t>B0BSKR7CQX</t>
        </is>
      </c>
      <c r="G8376">
        <f>_xlfn.IMAGE("https://edmondsonsupply.com/cdn/shop/products/55895_alt1.jpg?v=1587143433")</f>
        <v/>
      </c>
      <c r="H8376">
        <f>_xlfn.IMAGE("https://m.media-amazon.com/images/I/415MdIpH5SL._AC_UL320_.jpg")</f>
        <v/>
      </c>
      <c r="K8376" t="inlineStr">
        <is>
          <t>21.97</t>
        </is>
      </c>
      <c r="L8376" t="n">
        <v>29.94</v>
      </c>
      <c r="M8376" s="1" t="inlineStr">
        <is>
          <t>36.28%</t>
        </is>
      </c>
      <c r="N8376" s="7" t="n"/>
      <c r="O8376" t="n">
        <v>5</v>
      </c>
      <c r="P8376" t="n">
        <v>1</v>
      </c>
      <c r="R8376" t="inlineStr">
        <is>
          <t>InStock</t>
        </is>
      </c>
      <c r="S8376" t="inlineStr">
        <is>
          <t>31.36</t>
        </is>
      </c>
      <c r="T8376" t="inlineStr">
        <is>
          <t>1708023611492</t>
        </is>
      </c>
    </row>
    <row r="8377" hidden="1" ht="15.75" customHeight="1">
      <c r="A8377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377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377" t="inlineStr">
        <is>
          <t>Klein Tools JTH6M4BE 4 mm Ball Hex Key Journeyman T-Handle 6-Inch</t>
        </is>
      </c>
      <c r="D8377" t="inlineStr">
        <is>
          <t>Klein Tools JTH6E10BE 5/32-Inch Ball Hex Key with Journeyman T-Handle, 6-Inch</t>
        </is>
      </c>
      <c r="E8377" s="2">
        <f>HYPERLINK("https://www.amazon.com/Journeyman-T-Handle-Klein-Tools-JTH6E10BE/dp/B004QW4EPK/ref=sr_1_3?keywords=Klein+Tools+JTH6M4BE+4+mm+Ball+Hex+Key+Journeyman+T-Handle+6-Inch&amp;qid=1694735475&amp;sr=8-3", "https://www.amazon.com/Journeyman-T-Handle-Klein-Tools-JTH6E10BE/dp/B004QW4EPK/ref=sr_1_3?keywords=Klein+Tools+JTH6M4BE+4+mm+Ball+Hex+Key+Journeyman+T-Handle+6-Inch&amp;qid=1694735475&amp;sr=8-3")</f>
        <v/>
      </c>
      <c r="F8377" t="inlineStr">
        <is>
          <t>B004QW4EPK</t>
        </is>
      </c>
      <c r="G8377">
        <f>_xludf.IMAGE("https://edmondsonsupply.com/cdn/shop/products/jth6m8be.jpg?v=1587144825")</f>
        <v/>
      </c>
      <c r="H8377">
        <f>_xludf.IMAGE("https://m.media-amazon.com/images/I/51f9vBFVXgL._AC_UL320_.jpg")</f>
        <v/>
      </c>
      <c r="K8377" t="inlineStr">
        <is>
          <t>4.99</t>
        </is>
      </c>
      <c r="L8377" t="n">
        <v>6.8</v>
      </c>
      <c r="M8377" s="1" t="inlineStr">
        <is>
          <t>36.27%</t>
        </is>
      </c>
      <c r="N8377" s="1" t="n"/>
      <c r="O8377" t="n">
        <v>4.8</v>
      </c>
      <c r="P8377" t="n">
        <v>454</v>
      </c>
      <c r="R8377" t="inlineStr">
        <is>
          <t>InStock</t>
        </is>
      </c>
      <c r="S8377" t="inlineStr">
        <is>
          <t>7.56</t>
        </is>
      </c>
      <c r="T8377" t="inlineStr">
        <is>
          <t>3671694213220</t>
        </is>
      </c>
    </row>
    <row r="8378" ht="87" customHeight="1">
      <c r="A8378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378" s="2">
        <f>HYPERLINK("https://edmondsonsupply.com/products/klein-tools-69411-circuit-breaker-finder-accessory-kit", "https://edmondsonsupply.com/products/klein-tools-69411-circuit-breaker-finder-accessory-kit")</f>
        <v/>
      </c>
      <c r="C8378" t="inlineStr">
        <is>
          <t>Klein Tools 69411 Circuit Breaker Finder Accessory Kit</t>
        </is>
      </c>
      <c r="D8378" t="inlineStr">
        <is>
          <t>Khanka Hard Case Replacement for Klein Tools ET310 AC Circuit Breaker 69149P Electrical Test Kit Digital Multimeter 80016 Circuit Breaker Finder Tool Kit, Home Tester Kit Bag Storage Organizer</t>
        </is>
      </c>
      <c r="E8378" s="2">
        <f>HYPERLINK("https://www.amazon.com/Replacement-Circuit-Electrical-Multimeter-Organizer/dp/B0BZCNHTNL/ref=sr_1_24?keywords=Klein+Tools+69411+Circuit+Breaker+Finder+Accessory+Kit&amp;qid=1694735452&amp;sr=8-24", "https://www.amazon.com/Replacement-Circuit-Electrical-Multimeter-Organizer/dp/B0BZCNHTNL/ref=sr_1_24?keywords=Klein+Tools+69411+Circuit+Breaker+Finder+Accessory+Kit&amp;qid=1694735452&amp;sr=8-24")</f>
        <v/>
      </c>
      <c r="F8378" t="inlineStr">
        <is>
          <t>B0BZCNHTNL</t>
        </is>
      </c>
      <c r="G8378">
        <f>_xlfn.IMAGE("https://edmondsonsupply.com/cdn/shop/products/69411.jpg?v=1587143386")</f>
        <v/>
      </c>
      <c r="H8378">
        <f>_xlfn.IMAGE("https://m.media-amazon.com/images/I/91tjDtkw89L._AC_UL320_.jpg")</f>
        <v/>
      </c>
      <c r="K8378" t="inlineStr">
        <is>
          <t>19.97</t>
        </is>
      </c>
      <c r="L8378" t="n">
        <v>26.99</v>
      </c>
      <c r="M8378" s="1" t="inlineStr">
        <is>
          <t>35.15%</t>
        </is>
      </c>
      <c r="N8378" s="7" t="n"/>
      <c r="O8378" t="n">
        <v>4.3</v>
      </c>
      <c r="P8378" t="n">
        <v>25</v>
      </c>
      <c r="R8378" t="inlineStr">
        <is>
          <t>InStock</t>
        </is>
      </c>
      <c r="S8378" t="inlineStr">
        <is>
          <t>27.96</t>
        </is>
      </c>
      <c r="T8378" t="inlineStr">
        <is>
          <t>4166896255076</t>
        </is>
      </c>
    </row>
    <row r="8379" hidden="1" ht="15.75" customHeight="1">
      <c r="A8379" s="2">
        <f>HYPERLINK("https://edmondsonsupply.com/collections/electricians-tools/products/klein-tools-70570-grip-it%C2%AE-five-key-hex-set-inch", "https://edmondsonsupply.com/collections/electricians-tools/products/klein-tools-70570-grip-it%C2%AE-five-key-hex-set-inch")</f>
        <v/>
      </c>
      <c r="B8379" s="2">
        <f>HYPERLINK("https://edmondsonsupply.com/products/klein-tools-70570-grip-it%c2%ae-five-key-hex-set-inch", "https://edmondsonsupply.com/products/klein-tools-70570-grip-it%c2%ae-five-key-hex-set-inch")</f>
        <v/>
      </c>
      <c r="C8379" t="inlineStr">
        <is>
          <t>Klein Tools 70570 Grip-It® Hex Key Set, 5-Key, SAE Sizes</t>
        </is>
      </c>
      <c r="D8379" t="inlineStr">
        <is>
          <t>Klein Tools 70572 Grip-It Ball End Hex Set, 5-Key, Metric Sizes</t>
        </is>
      </c>
      <c r="E8379" s="2">
        <f>HYPERLINK("https://www.amazon.com/Grip-Five-Key-Ball-Hex/dp/B000936R78/ref=sr_1_5?keywords=Klein+Tools+70570+Grip-It%C2%AE+Hex+Key+Set%2C+5-Key%2C+SAE+Sizes&amp;qid=1694735431&amp;sr=8-5", "https://www.amazon.com/Grip-Five-Key-Ball-Hex/dp/B000936R78/ref=sr_1_5?keywords=Klein+Tools+70570+Grip-It%C2%AE+Hex+Key+Set%2C+5-Key%2C+SAE+Sizes&amp;qid=1694735431&amp;sr=8-5")</f>
        <v/>
      </c>
      <c r="F8379" t="inlineStr">
        <is>
          <t>B000936R78</t>
        </is>
      </c>
      <c r="G8379">
        <f>_xludf.IMAGE("https://edmondsonsupply.com/cdn/shop/products/70570.jpg?v=1587143378")</f>
        <v/>
      </c>
      <c r="H8379">
        <f>_xludf.IMAGE("https://m.media-amazon.com/images/I/51dn84Vs5NL._AC_UL320_.jpg")</f>
        <v/>
      </c>
      <c r="K8379" t="inlineStr">
        <is>
          <t>9.99</t>
        </is>
      </c>
      <c r="L8379" t="n">
        <v>13.49</v>
      </c>
      <c r="M8379" s="1" t="inlineStr">
        <is>
          <t>35.04%</t>
        </is>
      </c>
      <c r="N8379" s="1" t="n"/>
      <c r="O8379" t="n">
        <v>4.9</v>
      </c>
      <c r="P8379" t="n">
        <v>15</v>
      </c>
      <c r="R8379" t="inlineStr">
        <is>
          <t>InStock</t>
        </is>
      </c>
      <c r="S8379" t="inlineStr">
        <is>
          <t>13.66</t>
        </is>
      </c>
      <c r="T8379" t="inlineStr">
        <is>
          <t>4344501534820</t>
        </is>
      </c>
    </row>
    <row r="8380" hidden="1" ht="15.75" customHeight="1">
      <c r="A8380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380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380" t="inlineStr">
        <is>
          <t>Klein Tools JTH6M8 8 mm Hex Key with Journeyman T-Handle, 6-Inch</t>
        </is>
      </c>
      <c r="D8380" t="inlineStr">
        <is>
          <t>Klein Tools JTH6M8 8 mm Hex Key, Journeyman T-Handle, 6-Inch</t>
        </is>
      </c>
      <c r="E8380" s="2">
        <f>HYPERLINK("https://www.amazon.com/Journeyman-T-Handle-Klein-Tools-JTH6M8/dp/B005G395P2/ref=sr_1_1?keywords=Klein+Tools+JTH6M8+8+mm+Hex+Key+with+Journeyman+T-Handle%2C+6-Inch&amp;qid=1694735436&amp;sr=8-1", "https://www.amazon.com/Journeyman-T-Handle-Klein-Tools-JTH6M8/dp/B005G395P2/ref=sr_1_1?keywords=Klein+Tools+JTH6M8+8+mm+Hex+Key+with+Journeyman+T-Handle%2C+6-Inch&amp;qid=1694735436&amp;sr=8-1")</f>
        <v/>
      </c>
      <c r="F8380" t="inlineStr">
        <is>
          <t>B005G395P2</t>
        </is>
      </c>
      <c r="G8380">
        <f>_xludf.IMAGE("https://edmondsonsupply.com/cdn/shop/products/jth6m8_31a5ad24-670d-4140-a5ec-3785d5bf79d2.jpg?v=1587146374")</f>
        <v/>
      </c>
      <c r="H8380">
        <f>_xludf.IMAGE("https://m.media-amazon.com/images/I/51+1x0vz9XL._AC_UL320_.jpg")</f>
        <v/>
      </c>
      <c r="K8380" t="inlineStr">
        <is>
          <t>6.99</t>
        </is>
      </c>
      <c r="L8380" t="n">
        <v>9.359999999999999</v>
      </c>
      <c r="M8380" s="1" t="inlineStr">
        <is>
          <t>33.91%</t>
        </is>
      </c>
      <c r="N8380" s="1" t="n"/>
      <c r="O8380" t="n">
        <v>4.7</v>
      </c>
      <c r="P8380" t="n">
        <v>1530</v>
      </c>
      <c r="R8380" t="inlineStr">
        <is>
          <t>InStock</t>
        </is>
      </c>
      <c r="S8380" t="inlineStr">
        <is>
          <t>10.58</t>
        </is>
      </c>
      <c r="T8380" t="inlineStr">
        <is>
          <t>4343287775332</t>
        </is>
      </c>
    </row>
    <row r="8381" ht="87" customHeight="1">
      <c r="A8381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381" s="2">
        <f>HYPERLINK("https://edmondsonsupply.com/products/klein-tools-1005-crimping-and-cutting-tool-for-connectors", "https://edmondsonsupply.com/products/klein-tools-1005-crimping-and-cutting-tool-for-connectors")</f>
        <v/>
      </c>
      <c r="C8381" t="inlineStr">
        <is>
          <t>Klein Tools 1005 Crimping and Cutting Tool for Connectors</t>
        </is>
      </c>
      <c r="D8381" t="inlineStr">
        <is>
          <t>Klein Tools J1005 Crimping and Cutting Tool, Tapered Nose for 10 to 22 AWG Solderless Terminals and Connectors</t>
        </is>
      </c>
      <c r="E8381" s="2">
        <f>HYPERLINK("https://www.amazon.com/Solderless-Connectors-Klein-Tools-J1005/dp/B000936OTY/ref=sr_1_15?keywords=Klein+Tools+1005+Crimping+and+Cutting+Tool+for+Connectors&amp;qid=1694735460&amp;sr=8-15", "https://www.amazon.com/Solderless-Connectors-Klein-Tools-J1005/dp/B000936OTY/ref=sr_1_15?keywords=Klein+Tools+1005+Crimping+and+Cutting+Tool+for+Connectors&amp;qid=1694735460&amp;sr=8-15")</f>
        <v/>
      </c>
      <c r="F8381" t="inlineStr">
        <is>
          <t>B000936OTY</t>
        </is>
      </c>
      <c r="G8381">
        <f>_xlfn.IMAGE("https://edmondsonsupply.com/cdn/shop/products/1005.jpg?v=1666012896")</f>
        <v/>
      </c>
      <c r="H8381">
        <f>_xlfn.IMAGE("https://m.media-amazon.com/images/I/51FxNJH5IOL._AC_UL320_.jpg")</f>
        <v/>
      </c>
      <c r="K8381" t="inlineStr">
        <is>
          <t>29.97</t>
        </is>
      </c>
      <c r="L8381" t="n">
        <v>39.99</v>
      </c>
      <c r="M8381" s="1" t="inlineStr">
        <is>
          <t>33.43%</t>
        </is>
      </c>
      <c r="N8381" s="7" t="n"/>
      <c r="O8381" t="n">
        <v>4.9</v>
      </c>
      <c r="P8381" t="n">
        <v>617</v>
      </c>
      <c r="R8381" t="inlineStr">
        <is>
          <t>InStock</t>
        </is>
      </c>
      <c r="S8381" t="inlineStr">
        <is>
          <t>45.26</t>
        </is>
      </c>
      <c r="T8381" t="inlineStr">
        <is>
          <t>3707845640292</t>
        </is>
      </c>
    </row>
    <row r="8382" hidden="1" ht="15.75" customHeight="1">
      <c r="A8382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82" s="2">
        <f>HYPERLINK("https://edmondsonsupply.com/products/klein-tools-601-6-3-16-inch-cabinet-tip-screwdriver-6-inch", "https://edmondsonsupply.com/products/klein-tools-601-6-3-16-inch-cabinet-tip-screwdriver-6-inch")</f>
        <v/>
      </c>
      <c r="C8382" t="inlineStr">
        <is>
          <t>Klein Tools 601-6 3/16-Inch Cabinet Tip Screwdriver 6-Inch</t>
        </is>
      </c>
      <c r="D8382" t="inlineStr">
        <is>
          <t>Klein Tools 602-6 5/16-Inch Keystone Tip Screwdriver, 6-Inch Heavy Duty Round Shank with Cushion Grip Handle</t>
        </is>
      </c>
      <c r="E8382" s="2">
        <f>HYPERLINK("https://www.amazon.com/Keystone-Screwdriver-Klein-Tools-602-6/dp/B0000302WW/ref=sr_1_9?keywords=Klein+Tools+601-6+3%2F16-Inch+Cabinet+Tip+Screwdriver+6-Inch&amp;qid=1694735470&amp;sr=8-9", "https://www.amazon.com/Keystone-Screwdriver-Klein-Tools-602-6/dp/B0000302WW/ref=sr_1_9?keywords=Klein+Tools+601-6+3%2F16-Inch+Cabinet+Tip+Screwdriver+6-Inch&amp;qid=1694735470&amp;sr=8-9")</f>
        <v/>
      </c>
      <c r="F8382" t="inlineStr">
        <is>
          <t>B0000302WW</t>
        </is>
      </c>
      <c r="G8382">
        <f>_xludf.IMAGE("https://edmondsonsupply.com/cdn/shop/products/601-6.jpg?v=1587148683")</f>
        <v/>
      </c>
      <c r="H8382">
        <f>_xludf.IMAGE("https://m.media-amazon.com/images/I/51yw04G5ZvL._AC_UL320_.jpg")</f>
        <v/>
      </c>
      <c r="K8382" t="inlineStr">
        <is>
          <t>8.99</t>
        </is>
      </c>
      <c r="L8382" t="n">
        <v>11.99</v>
      </c>
      <c r="M8382" s="1" t="inlineStr">
        <is>
          <t>33.37%</t>
        </is>
      </c>
      <c r="N8382" s="1" t="n"/>
      <c r="O8382" t="n">
        <v>4.8</v>
      </c>
      <c r="P8382" t="n">
        <v>879</v>
      </c>
      <c r="R8382" t="inlineStr">
        <is>
          <t>InStock</t>
        </is>
      </c>
      <c r="S8382" t="inlineStr">
        <is>
          <t>11.96</t>
        </is>
      </c>
      <c r="T8382" t="inlineStr">
        <is>
          <t>3689898016868</t>
        </is>
      </c>
    </row>
    <row r="8383" ht="87" customHeight="1">
      <c r="A8383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383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383" t="inlineStr">
        <is>
          <t>Klein Tools 11063W Katapult® Wire Stripper and Cutter for Solid and Stranded Wire</t>
        </is>
      </c>
      <c r="D8383" t="inlineStr">
        <is>
          <t>Klein Tools K12065CR Wire Stripper / Cutter / Crimper Tool for Cutting, Stripping, Crimping, Twisting (8-18 AWG solid, 10-20 AWG stranded)</t>
        </is>
      </c>
      <c r="E8383" s="2">
        <f>HYPERLINK("https://www.amazon.com/Heavy-Stripper-Cutter-Crimper-Multi/dp/B08BX9RTPX/ref=sr_1_16?keywords=Klein+Tools+11063W+Katapult%C2%AE+Wire+Stripper+and+Cutter+for+Solid+and+Stranded+Wire&amp;qid=1694735440&amp;sr=8-16", "https://www.amazon.com/Heavy-Stripper-Cutter-Crimper-Multi/dp/B08BX9RTPX/ref=sr_1_16?keywords=Klein+Tools+11063W+Katapult%C2%AE+Wire+Stripper+and+Cutter+for+Solid+and+Stranded+Wire&amp;qid=1694735440&amp;sr=8-16")</f>
        <v/>
      </c>
      <c r="F8383" t="inlineStr">
        <is>
          <t>B08BX9RTPX</t>
        </is>
      </c>
      <c r="G8383">
        <f>_xlfn.IMAGE("https://edmondsonsupply.com/cdn/shop/products/11063w.jpg?v=1587151004")</f>
        <v/>
      </c>
      <c r="H8383">
        <f>_xlfn.IMAGE("https://m.media-amazon.com/images/I/51Oylu1vHoL._AC_UL320_.jpg")</f>
        <v/>
      </c>
      <c r="K8383" t="inlineStr">
        <is>
          <t>29.97</t>
        </is>
      </c>
      <c r="L8383" t="n">
        <v>39.97</v>
      </c>
      <c r="M8383" s="1" t="inlineStr">
        <is>
          <t>33.37%</t>
        </is>
      </c>
      <c r="N8383" s="7" t="n"/>
      <c r="O8383" t="n">
        <v>4.7</v>
      </c>
      <c r="P8383" t="n">
        <v>723</v>
      </c>
      <c r="R8383" t="inlineStr">
        <is>
          <t>InStock</t>
        </is>
      </c>
      <c r="S8383" t="inlineStr">
        <is>
          <t>44.7</t>
        </is>
      </c>
      <c r="T8383" t="inlineStr">
        <is>
          <t>4334180827236</t>
        </is>
      </c>
    </row>
    <row r="8384" ht="87" customHeight="1">
      <c r="A8384" s="2">
        <f>HYPERLINK("https://edmondsonsupply.com/collections/electricians-tools/products/klein-32807mag", "https://edmondsonsupply.com/collections/electricians-tools/products/klein-32807mag")</f>
        <v/>
      </c>
      <c r="B8384" s="2">
        <f>HYPERLINK("https://edmondsonsupply.com/products/klein-32807mag", "https://edmondsonsupply.com/products/klein-32807mag")</f>
        <v/>
      </c>
      <c r="C8384" t="inlineStr">
        <is>
          <t>Klein Tools 32807MAG 7-in-1 Multi-Bit Screwdriver / Nut Driver, Magnetic</t>
        </is>
      </c>
      <c r="D8384" t="inlineStr">
        <is>
          <t>Impact Driver, 7-in-1 Impact Flip Socket Set &amp; 32303 Multi-Bit Screwdriver/Nut Driver, Impact Rated 14-in-1 Magnetic Screwdriver Set Phillips, Slotted, Square, Combo, Torx</t>
        </is>
      </c>
      <c r="E8384" s="2">
        <f>HYPERLINK("https://www.amazon.com/Multi-Bit-Screwdriver-Magnetic-Phillips-Slotted/dp/B09Z6S14TF/ref=sr_1_16?keywords=Klein+Tools+32807MAG+7-in-1+Multi-Bit+Screwdriver+%2F+Nut+Driver%2C+Magnetic&amp;qid=1694735441&amp;sr=8-16", "https://www.amazon.com/Multi-Bit-Screwdriver-Magnetic-Phillips-Slotted/dp/B09Z6S14TF/ref=sr_1_16?keywords=Klein+Tools+32807MAG+7-in-1+Multi-Bit+Screwdriver+%2F+Nut+Driver%2C+Magnetic&amp;qid=1694735441&amp;sr=8-16")</f>
        <v/>
      </c>
      <c r="F8384" t="inlineStr">
        <is>
          <t>B09Z6S14TF</t>
        </is>
      </c>
      <c r="G8384">
        <f>_xlfn.IMAGE("https://edmondsonsupply.com/cdn/shop/products/32807mag_beauty_l.jpg?v=1604873791")</f>
        <v/>
      </c>
      <c r="H8384">
        <f>_xlfn.IMAGE("https://m.media-amazon.com/images/I/41citR+hGRL._AC_UL320_.jpg")</f>
        <v/>
      </c>
      <c r="K8384" t="inlineStr">
        <is>
          <t>29.97</t>
        </is>
      </c>
      <c r="L8384" t="n">
        <v>39.96</v>
      </c>
      <c r="M8384" s="1" t="inlineStr">
        <is>
          <t>33.33%</t>
        </is>
      </c>
      <c r="N8384" s="7" t="n"/>
      <c r="O8384" t="n">
        <v>4.7</v>
      </c>
      <c r="P8384" t="n">
        <v>22</v>
      </c>
      <c r="R8384" t="inlineStr">
        <is>
          <t>InStock</t>
        </is>
      </c>
      <c r="S8384" t="inlineStr">
        <is>
          <t>44.5</t>
        </is>
      </c>
      <c r="T8384" t="inlineStr">
        <is>
          <t>1493034008676</t>
        </is>
      </c>
    </row>
    <row r="8385" hidden="1" ht="15.75" customHeight="1">
      <c r="A8385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85" s="2">
        <f>HYPERLINK("https://edmondsonsupply.com/products/klein-tools-601-6-3-16-inch-cabinet-tip-screwdriver-6-inch", "https://edmondsonsupply.com/products/klein-tools-601-6-3-16-inch-cabinet-tip-screwdriver-6-inch")</f>
        <v/>
      </c>
      <c r="C8385" t="inlineStr">
        <is>
          <t>Klein Tools 601-6 3/16-Inch Cabinet Tip Screwdriver 6-Inch</t>
        </is>
      </c>
      <c r="D8385" t="inlineStr">
        <is>
          <t>Klein Tools 6866INS Insulated Screwdriver, 1000V 5/16-Inch Cabinet Tip, Screwdriver with 6-Inch Shank, Tip-Ident, Cushion-Grip Handle</t>
        </is>
      </c>
      <c r="E8385" s="2">
        <f>HYPERLINK("https://www.amazon.com/Klein-Tools-6866INS-Screwdriver-Cushion-Grip/dp/B0BF73PSWC/ref=sr_1_15?keywords=Klein+Tools+601-6+3%2F16-Inch+Cabinet+Tip+Screwdriver+6-Inch&amp;qid=1694735470&amp;sr=8-15", "https://www.amazon.com/Klein-Tools-6866INS-Screwdriver-Cushion-Grip/dp/B0BF73PSWC/ref=sr_1_15?keywords=Klein+Tools+601-6+3%2F16-Inch+Cabinet+Tip+Screwdriver+6-Inch&amp;qid=1694735470&amp;sr=8-15")</f>
        <v/>
      </c>
      <c r="F8385" t="inlineStr">
        <is>
          <t>B0BF73PSWC</t>
        </is>
      </c>
      <c r="G8385">
        <f>_xludf.IMAGE("https://edmondsonsupply.com/cdn/shop/products/601-6.jpg?v=1587148683")</f>
        <v/>
      </c>
      <c r="H8385">
        <f>_xludf.IMAGE("https://m.media-amazon.com/images/I/41Sx5h6xG-L._AC_UL320_.jpg")</f>
        <v/>
      </c>
      <c r="K8385" t="inlineStr">
        <is>
          <t>8.99</t>
        </is>
      </c>
      <c r="L8385" t="n">
        <v>11.97</v>
      </c>
      <c r="M8385" s="1" t="inlineStr">
        <is>
          <t>33.15%</t>
        </is>
      </c>
      <c r="N8385" s="1" t="n"/>
      <c r="O8385" t="n">
        <v>4.9</v>
      </c>
      <c r="P8385" t="n">
        <v>202</v>
      </c>
      <c r="R8385" t="inlineStr">
        <is>
          <t>InStock</t>
        </is>
      </c>
      <c r="S8385" t="inlineStr">
        <is>
          <t>11.96</t>
        </is>
      </c>
      <c r="T8385" t="inlineStr">
        <is>
          <t>3689898016868</t>
        </is>
      </c>
    </row>
    <row r="8386" hidden="1" ht="15.75" customHeight="1">
      <c r="A8386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86" s="2">
        <f>HYPERLINK("https://edmondsonsupply.com/products/klein-tools-601-6-3-16-inch-cabinet-tip-screwdriver-6-inch", "https://edmondsonsupply.com/products/klein-tools-601-6-3-16-inch-cabinet-tip-screwdriver-6-inch")</f>
        <v/>
      </c>
      <c r="C8386" t="inlineStr">
        <is>
          <t>Klein Tools 601-6 3/16-Inch Cabinet Tip Screwdriver 6-Inch</t>
        </is>
      </c>
      <c r="D8386" t="inlineStr">
        <is>
          <t>Klein Tools 6826INS Insulated Screwdriver, 1000V 1/4-Inch Cabinet Tip Screwdriver with 6-Inch Shank, Tip-Ident, Cushion-Grip Handle</t>
        </is>
      </c>
      <c r="E8386" s="2">
        <f>HYPERLINK("https://www.amazon.com/Klein-Tools-6826INS-Screwdriver-Cushion-Grip/dp/B0BF79W49J/ref=sr_1_30?keywords=Klein+Tools+601-6+3%2F16-Inch+Cabinet+Tip+Screwdriver+6-Inch&amp;qid=1694735470&amp;sr=8-30", "https://www.amazon.com/Klein-Tools-6826INS-Screwdriver-Cushion-Grip/dp/B0BF79W49J/ref=sr_1_30?keywords=Klein+Tools+601-6+3%2F16-Inch+Cabinet+Tip+Screwdriver+6-Inch&amp;qid=1694735470&amp;sr=8-30")</f>
        <v/>
      </c>
      <c r="F8386" t="inlineStr">
        <is>
          <t>B0BF79W49J</t>
        </is>
      </c>
      <c r="G8386">
        <f>_xludf.IMAGE("https://edmondsonsupply.com/cdn/shop/products/601-6.jpg?v=1587148683")</f>
        <v/>
      </c>
      <c r="H8386">
        <f>_xludf.IMAGE("https://m.media-amazon.com/images/I/41dJ6lRyHyL._AC_UL320_.jpg")</f>
        <v/>
      </c>
      <c r="K8386" t="inlineStr">
        <is>
          <t>8.99</t>
        </is>
      </c>
      <c r="L8386" t="n">
        <v>11.97</v>
      </c>
      <c r="M8386" s="1" t="inlineStr">
        <is>
          <t>33.15%</t>
        </is>
      </c>
      <c r="N8386" s="1" t="n"/>
      <c r="O8386" t="n">
        <v>4.9</v>
      </c>
      <c r="P8386" t="n">
        <v>9</v>
      </c>
      <c r="R8386" t="inlineStr">
        <is>
          <t>InStock</t>
        </is>
      </c>
      <c r="S8386" t="inlineStr">
        <is>
          <t>11.96</t>
        </is>
      </c>
      <c r="T8386" t="inlineStr">
        <is>
          <t>3689898016868</t>
        </is>
      </c>
    </row>
    <row r="8387" hidden="1" ht="15.75" customHeight="1">
      <c r="A8387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387" s="2">
        <f>HYPERLINK("https://edmondsonsupply.com/products/klein-tools-601-6-3-16-inch-cabinet-tip-screwdriver-6-inch", "https://edmondsonsupply.com/products/klein-tools-601-6-3-16-inch-cabinet-tip-screwdriver-6-inch")</f>
        <v/>
      </c>
      <c r="C8387" t="inlineStr">
        <is>
          <t>Klein Tools 601-6 3/16-Inch Cabinet Tip Screwdriver 6-Inch</t>
        </is>
      </c>
      <c r="D8387" t="inlineStr">
        <is>
          <t>Klein Tools 6816INS Insulated Screwdriver, 1000V 3/16-Inch Cabinet Tip Screwdriver with 6-Inch Shank, Tip-Ident, Cushion-Grip Handle</t>
        </is>
      </c>
      <c r="E8387" s="2">
        <f>HYPERLINK("https://www.amazon.com/Klein-Tools-6816INS-Screwdriver-Cushion-Grip/dp/B0BF7JHR5X/ref=sr_1_31?keywords=Klein+Tools+601-6+3%2F16-Inch+Cabinet+Tip+Screwdriver+6-Inch&amp;qid=1694735470&amp;sr=8-31", "https://www.amazon.com/Klein-Tools-6816INS-Screwdriver-Cushion-Grip/dp/B0BF7JHR5X/ref=sr_1_31?keywords=Klein+Tools+601-6+3%2F16-Inch+Cabinet+Tip+Screwdriver+6-Inch&amp;qid=1694735470&amp;sr=8-31")</f>
        <v/>
      </c>
      <c r="F8387" t="inlineStr">
        <is>
          <t>B0BF7JHR5X</t>
        </is>
      </c>
      <c r="G8387">
        <f>_xludf.IMAGE("https://edmondsonsupply.com/cdn/shop/products/601-6.jpg?v=1587148683")</f>
        <v/>
      </c>
      <c r="H8387">
        <f>_xludf.IMAGE("https://m.media-amazon.com/images/I/31ngLMMA6xL._AC_UL320_.jpg")</f>
        <v/>
      </c>
      <c r="K8387" t="inlineStr">
        <is>
          <t>8.99</t>
        </is>
      </c>
      <c r="L8387" t="n">
        <v>11.97</v>
      </c>
      <c r="M8387" s="1" t="inlineStr">
        <is>
          <t>33.15%</t>
        </is>
      </c>
      <c r="N8387" s="1" t="n"/>
      <c r="O8387" t="n">
        <v>4</v>
      </c>
      <c r="P8387" t="n">
        <v>6</v>
      </c>
      <c r="R8387" t="inlineStr">
        <is>
          <t>InStock</t>
        </is>
      </c>
      <c r="S8387" t="inlineStr">
        <is>
          <t>11.96</t>
        </is>
      </c>
      <c r="T8387" t="inlineStr">
        <is>
          <t>3689898016868</t>
        </is>
      </c>
    </row>
    <row r="8388" hidden="1" ht="15.75" customHeight="1">
      <c r="A8388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388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388" t="inlineStr">
        <is>
          <t>Klein Tools 630-9/16 9/16-Inch Hollow Shaft Nut Driver 4-Inch Shaft</t>
        </is>
      </c>
      <c r="D8388" t="inlineStr">
        <is>
          <t>9/16-Inch Nut Driver with 4-Inch Hollow Shank and Comfordome Handle Klein Tools S18</t>
        </is>
      </c>
      <c r="E8388" s="2">
        <f>HYPERLINK("https://www.amazon.com/16-Inch-Comfordome-Klein-Tools-S18/dp/B00093DYFG/ref=sr_1_2?keywords=Klein+Tools+630-9%2F16+9%2F16-Inch+Hollow+Shaft+Nut+Driver+4-Inch+Shaft&amp;qid=1694735442&amp;sr=8-2", "https://www.amazon.com/16-Inch-Comfordome-Klein-Tools-S18/dp/B00093DYFG/ref=sr_1_2?keywords=Klein+Tools+630-9%2F16+9%2F16-Inch+Hollow+Shaft+Nut+Driver+4-Inch+Shaft&amp;qid=1694735442&amp;sr=8-2")</f>
        <v/>
      </c>
      <c r="F8388" t="inlineStr">
        <is>
          <t>B00093DYFG</t>
        </is>
      </c>
      <c r="G8388">
        <f>_xludf.IMAGE("https://edmondsonsupply.com/cdn/shop/products/630-1-2_f4e6e615-6377-4eae-87c2-03b0329a1140.jpg?v=1587145137")</f>
        <v/>
      </c>
      <c r="H8388">
        <f>_xludf.IMAGE("https://m.media-amazon.com/images/I/51ES8ZYN+AL._AC_UL320_.jpg")</f>
        <v/>
      </c>
      <c r="K8388" t="inlineStr">
        <is>
          <t>11.99</t>
        </is>
      </c>
      <c r="L8388" t="n">
        <v>15.91</v>
      </c>
      <c r="M8388" s="1" t="inlineStr">
        <is>
          <t>32.69%</t>
        </is>
      </c>
      <c r="N8388" s="1" t="n"/>
      <c r="O8388" t="n">
        <v>3.7</v>
      </c>
      <c r="P8388" t="n">
        <v>4</v>
      </c>
      <c r="R8388" t="inlineStr">
        <is>
          <t>InStock</t>
        </is>
      </c>
      <c r="S8388" t="inlineStr">
        <is>
          <t>18.14</t>
        </is>
      </c>
      <c r="T8388" t="inlineStr">
        <is>
          <t>4259221897316</t>
        </is>
      </c>
    </row>
    <row r="8389" ht="87" customHeight="1">
      <c r="A8389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389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389" t="inlineStr">
        <is>
          <t>Klein Tools 607-3-INS Insulated Screwdriver, 3/32-Inch Cabinet, 3-Inch</t>
        </is>
      </c>
      <c r="D8389" t="inlineStr">
        <is>
          <t>Klein Tools 6337INS Insulated Screwdriver, #3 Phillips, 7-Inch Round Shank</t>
        </is>
      </c>
      <c r="E8389" s="2">
        <f>HYPERLINK("https://www.amazon.com/Klein-Tools-Insulated-Screwdriver-Phillips/dp/B00CQL8V1Q/ref=sr_1_10?keywords=Klein+Tools+607-3-INS+Insulated+Screwdriver%2C+3%2F32-Inch+Cabinet%2C+3-Inch&amp;qid=1694735479&amp;sr=8-10", "https://www.amazon.com/Klein-Tools-Insulated-Screwdriver-Phillips/dp/B00CQL8V1Q/ref=sr_1_10?keywords=Klein+Tools+607-3-INS+Insulated+Screwdriver%2C+3%2F32-Inch+Cabinet%2C+3-Inch&amp;qid=1694735479&amp;sr=8-10")</f>
        <v/>
      </c>
      <c r="F8389" t="inlineStr">
        <is>
          <t>B00CQL8V1Q</t>
        </is>
      </c>
      <c r="G8389">
        <f>_xlfn.IMAGE("https://edmondsonsupply.com/cdn/shop/products/607-3-ins.jpg?v=1587143254")</f>
        <v/>
      </c>
      <c r="H8389">
        <f>_xlfn.IMAGE("https://m.media-amazon.com/images/I/41srntSQj-L._AC_UL320_.jpg")</f>
        <v/>
      </c>
      <c r="K8389" t="inlineStr">
        <is>
          <t>17.49</t>
        </is>
      </c>
      <c r="L8389" t="n">
        <v>23.14</v>
      </c>
      <c r="M8389" s="1" t="inlineStr">
        <is>
          <t>32.30%</t>
        </is>
      </c>
      <c r="N8389" s="7" t="n"/>
      <c r="O8389" t="n">
        <v>4.8</v>
      </c>
      <c r="P8389" t="n">
        <v>1068</v>
      </c>
      <c r="R8389" t="inlineStr">
        <is>
          <t>InStock</t>
        </is>
      </c>
      <c r="S8389" t="inlineStr">
        <is>
          <t>26.5</t>
        </is>
      </c>
      <c r="T8389" t="inlineStr">
        <is>
          <t>3688617902180</t>
        </is>
      </c>
    </row>
    <row r="8390" hidden="1" ht="15.75" customHeight="1">
      <c r="A8390" s="2">
        <f>HYPERLINK("https://edmondsonsupply.com/collections/electricians-tools/products/klein-tools-670-6-screwdriver-3-16-inch-cabinet-rapi-driv%C2%AE-6-inch", "https://edmondsonsupply.com/collections/electricians-tools/products/klein-tools-670-6-screwdriver-3-16-inch-cabinet-rapi-driv%C2%AE-6-inch")</f>
        <v/>
      </c>
      <c r="B8390" s="2">
        <f>HYPERLINK("https://edmondsonsupply.com/products/klein-tools-670-6-screwdriver-3-16-inch-cabinet-rapi-driv%c2%ae-6-inch", "https://edmondsonsupply.com/products/klein-tools-670-6-screwdriver-3-16-inch-cabinet-rapi-driv%c2%ae-6-inch")</f>
        <v/>
      </c>
      <c r="C8390" t="inlineStr">
        <is>
          <t>Klein Tools 670-6 Rapi-Driv® Screwdriver, 3/16-Inch Cabinet Tip, 6-Inch Shank</t>
        </is>
      </c>
      <c r="D8390" t="inlineStr">
        <is>
          <t>Klein Tools 6916INS 1000V Slim Tip Insulated Screwdriver, 6-Inch Round Shank, 3/16-Inch Cabinet Tip, Cushion Grip Handle</t>
        </is>
      </c>
      <c r="E8390" s="2">
        <f>HYPERLINK("https://www.amazon.com/Klein-Tools-6916INS-Insulated-Screwdriver/dp/B089DR97MJ/ref=sr_1_2?keywords=Klein+Tools+670-6+Rapi-Driv%C2%AE+Screwdriver%2C+3%2F16-Inch+Cabinet+Tip%2C+6-Inch+Shank&amp;qid=1694735436&amp;sr=8-2", "https://www.amazon.com/Klein-Tools-6916INS-Insulated-Screwdriver/dp/B089DR97MJ/ref=sr_1_2?keywords=Klein+Tools+670-6+Rapi-Driv%C2%AE+Screwdriver%2C+3%2F16-Inch+Cabinet+Tip%2C+6-Inch+Shank&amp;qid=1694735436&amp;sr=8-2")</f>
        <v/>
      </c>
      <c r="F8390" t="inlineStr">
        <is>
          <t>B089DR97MJ</t>
        </is>
      </c>
      <c r="G8390">
        <f>_xludf.IMAGE("https://edmondsonsupply.com/cdn/shop/products/670-6_0b4d3d55-d188-4b6a-b9f2-ed932afb4284.jpg?v=1666899819")</f>
        <v/>
      </c>
      <c r="H8390">
        <f>_xludf.IMAGE("https://m.media-amazon.com/images/I/41JpJG+Jh0L._AC_UL320_.jpg")</f>
        <v/>
      </c>
      <c r="K8390" t="inlineStr">
        <is>
          <t>10.49</t>
        </is>
      </c>
      <c r="L8390" t="n">
        <v>13.85</v>
      </c>
      <c r="M8390" s="1" t="inlineStr">
        <is>
          <t>32.03%</t>
        </is>
      </c>
      <c r="N8390" s="1" t="n"/>
      <c r="O8390" t="n">
        <v>4.8</v>
      </c>
      <c r="P8390" t="n">
        <v>1358</v>
      </c>
      <c r="R8390" t="inlineStr">
        <is>
          <t>InStock</t>
        </is>
      </c>
      <c r="S8390" t="inlineStr">
        <is>
          <t>15.9</t>
        </is>
      </c>
      <c r="T8390" t="inlineStr">
        <is>
          <t>4343372382308</t>
        </is>
      </c>
    </row>
    <row r="8391" ht="87" customHeight="1">
      <c r="A8391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391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391" t="inlineStr">
        <is>
          <t>Klein Tools 11063W Katapult® Wire Stripper and Cutter for Solid and Stranded Wire</t>
        </is>
      </c>
      <c r="D8391" t="inlineStr">
        <is>
          <t>Klein Tools 11054EINS Electrician's Insulated Wire Stripper / Cutter, 1000V Rated, VDE Certified, for Solid and Stranded Wires,Orange/Gray</t>
        </is>
      </c>
      <c r="E8391" s="2">
        <f>HYPERLINK("https://www.amazon.com/Klein-Tools-11054EINS-Electricians-Insulated/dp/B00JGG5VJ4/ref=sr_1_15?keywords=Klein+Tools+11063W+Katapult%C2%AE+Wire+Stripper+and+Cutter+for+Solid+and+Stranded+Wire&amp;qid=1694735440&amp;sr=8-15", "https://www.amazon.com/Klein-Tools-11054EINS-Electricians-Insulated/dp/B00JGG5VJ4/ref=sr_1_15?keywords=Klein+Tools+11063W+Katapult%C2%AE+Wire+Stripper+and+Cutter+for+Solid+and+Stranded+Wire&amp;qid=1694735440&amp;sr=8-15")</f>
        <v/>
      </c>
      <c r="F8391" t="inlineStr">
        <is>
          <t>B00JGG5VJ4</t>
        </is>
      </c>
      <c r="G8391">
        <f>_xlfn.IMAGE("https://edmondsonsupply.com/cdn/shop/products/11063w.jpg?v=1587151004")</f>
        <v/>
      </c>
      <c r="H8391">
        <f>_xlfn.IMAGE("https://m.media-amazon.com/images/I/415hBJVvvML._AC_UL320_.jpg")</f>
        <v/>
      </c>
      <c r="K8391" t="inlineStr">
        <is>
          <t>29.97</t>
        </is>
      </c>
      <c r="L8391" t="n">
        <v>39.5</v>
      </c>
      <c r="M8391" s="1" t="inlineStr">
        <is>
          <t>31.80%</t>
        </is>
      </c>
      <c r="N8391" s="7" t="n"/>
      <c r="O8391" t="n">
        <v>4.6</v>
      </c>
      <c r="P8391" t="n">
        <v>245</v>
      </c>
      <c r="R8391" t="inlineStr">
        <is>
          <t>InStock</t>
        </is>
      </c>
      <c r="S8391" t="inlineStr">
        <is>
          <t>44.7</t>
        </is>
      </c>
      <c r="T8391" t="inlineStr">
        <is>
          <t>4334180827236</t>
        </is>
      </c>
    </row>
    <row r="8392" ht="87" customHeight="1">
      <c r="A8392" s="2">
        <f>HYPERLINK("https://edmondsonsupply.com/collections/electricians-tools/products/klein-tools-32500-11-in-1-multi-bit-screwdriver-nut-driver-multi-purpose", "https://edmondsonsupply.com/collections/electricians-tools/products/klein-tools-32500-11-in-1-multi-bit-screwdriver-nut-driver-multi-purpose")</f>
        <v/>
      </c>
      <c r="B8392" s="2">
        <f>HYPERLINK("https://edmondsonsupply.com/products/klein-tools-32500-11-in-1-multi-bit-screwdriver-nut-driver-multi-purpose", "https://edmondsonsupply.com/products/klein-tools-32500-11-in-1-multi-bit-screwdriver-nut-driver-multi-purpose")</f>
        <v/>
      </c>
      <c r="C8392" t="inlineStr">
        <is>
          <t>Klein Tools 32500 Multi-Bit Screwdriver / Nut Driver, 11-in-1, Ph, Sl, Sq, TORX® Bits</t>
        </is>
      </c>
      <c r="D8392" t="inlineStr">
        <is>
          <t>Klein Tools 32500MAG Magnetic Multi-Bit Screwdriver / Nut Driver, 11-in-1 Multi Tool with 8 Bits, 3 Nut Driver Sizes, Cushion Grip Handle</t>
        </is>
      </c>
      <c r="E8392" s="2">
        <f>HYPERLINK("https://www.amazon.com/Klein-Tools-32500MAG-Multi-Bit-Screwdriver/dp/B089LTTZWT/ref=sr_1_4?keywords=Klein+Tools+32500+Multi-Bit+Screwdriver+%2F+Nut+Driver%2C+11-in-1%2C+Ph%2C+Sl%2C+Sq%2C+TORX%C2%AE+Bits&amp;qid=1694735466&amp;sr=8-4", "https://www.amazon.com/Klein-Tools-32500MAG-Multi-Bit-Screwdriver/dp/B089LTTZWT/ref=sr_1_4?keywords=Klein+Tools+32500+Multi-Bit+Screwdriver+%2F+Nut+Driver%2C+11-in-1%2C+Ph%2C+Sl%2C+Sq%2C+TORX%C2%AE+Bits&amp;qid=1694735466&amp;sr=8-4")</f>
        <v/>
      </c>
      <c r="F8392" t="inlineStr">
        <is>
          <t>B089LTTZWT</t>
        </is>
      </c>
      <c r="G8392">
        <f>_xlfn.IMAGE("https://edmondsonsupply.com/cdn/shop/products/32500_c.jpg?v=1666897895")</f>
        <v/>
      </c>
      <c r="H8392">
        <f>_xlfn.IMAGE("https://m.media-amazon.com/images/I/61WjOoy7J0L._AC_UL320_.jpg")</f>
        <v/>
      </c>
      <c r="K8392" t="inlineStr">
        <is>
          <t>15.97</t>
        </is>
      </c>
      <c r="L8392" t="n">
        <v>20.97</v>
      </c>
      <c r="M8392" s="1" t="inlineStr">
        <is>
          <t>31.31%</t>
        </is>
      </c>
      <c r="N8392" s="7" t="n"/>
      <c r="O8392" t="n">
        <v>4.8</v>
      </c>
      <c r="P8392" t="n">
        <v>3916</v>
      </c>
      <c r="R8392" t="inlineStr">
        <is>
          <t>InStock</t>
        </is>
      </c>
      <c r="S8392" t="inlineStr">
        <is>
          <t>27.56</t>
        </is>
      </c>
      <c r="T8392" t="inlineStr">
        <is>
          <t>3701368717412</t>
        </is>
      </c>
    </row>
    <row r="8393" ht="87" customHeight="1">
      <c r="A8393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393" s="2">
        <f>HYPERLINK("https://edmondsonsupply.com/products/klein-tools-et140-pinless-moisture-meter", "https://edmondsonsupply.com/products/klein-tools-et140-pinless-moisture-meter")</f>
        <v/>
      </c>
      <c r="C8393" t="inlineStr">
        <is>
          <t>Klein Tools ET140 Pinless Moisture Meter</t>
        </is>
      </c>
      <c r="D8393" t="inlineStr">
        <is>
          <t>Klein Tools ET140 Pinless Moisture Meter &amp; RT210 Outlet Tester, Receptacle Tester for GFCI/Standard North American AC Electrical Outlets, Detects Common Wiring Problems</t>
        </is>
      </c>
      <c r="E8393" s="2">
        <f>HYPERLINK("https://www.amazon.com/Klein-Tools-Moisture-Receptacle-Electrical/dp/B08KGGZJL6/ref=sr_1_7?keywords=Klein+Tools+ET140+Pinless+Moisture+Meter&amp;qid=1694735470&amp;sr=8-7", "https://www.amazon.com/Klein-Tools-Moisture-Receptacle-Electrical/dp/B08KGGZJL6/ref=sr_1_7?keywords=Klein+Tools+ET140+Pinless+Moisture+Meter&amp;qid=1694735470&amp;sr=8-7")</f>
        <v/>
      </c>
      <c r="F8393" t="inlineStr">
        <is>
          <t>B08KGGZJL6</t>
        </is>
      </c>
      <c r="G8393">
        <f>_xlfn.IMAGE("https://edmondsonsupply.com/cdn/shop/products/et140_beauty_r.jpg?v=1587143172")</f>
        <v/>
      </c>
      <c r="H8393">
        <f>_xlfn.IMAGE("https://m.media-amazon.com/images/I/41wEwYPhT+L._AC_UL320_.jpg")</f>
        <v/>
      </c>
      <c r="K8393" t="inlineStr">
        <is>
          <t>41.97</t>
        </is>
      </c>
      <c r="L8393" t="n">
        <v>54.94</v>
      </c>
      <c r="M8393" s="1" t="inlineStr">
        <is>
          <t>30.90%</t>
        </is>
      </c>
      <c r="N8393" s="7" t="n"/>
      <c r="O8393" t="n">
        <v>5</v>
      </c>
      <c r="P8393" t="n">
        <v>3</v>
      </c>
      <c r="R8393" t="inlineStr">
        <is>
          <t>InStock</t>
        </is>
      </c>
      <c r="S8393" t="inlineStr">
        <is>
          <t>59.44</t>
        </is>
      </c>
      <c r="T8393" t="inlineStr">
        <is>
          <t>3693529071716</t>
        </is>
      </c>
    </row>
    <row r="8394" hidden="1" ht="15.75" customHeight="1">
      <c r="A8394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394" s="2">
        <f>HYPERLINK("https://edmondsonsupply.com/products/klein-tools-600-4-1-4-inch-screwdriver-heavy-duty-square-shank", "https://edmondsonsupply.com/products/klein-tools-600-4-1-4-inch-screwdriver-heavy-duty-square-shank")</f>
        <v/>
      </c>
      <c r="C8394" t="inlineStr">
        <is>
          <t>Klein Tools 600-4 1/4-Inch Keystone Cushion-Grip Screwdriver</t>
        </is>
      </c>
      <c r="D8394" t="inlineStr">
        <is>
          <t>Klein Tools 6926INS Insulated Screwdriver, 1000V Slim Profile Tip, 1/4-Inch Cabinet Screwdriver with 6-Inch Shank, Cushion-Grip Handle</t>
        </is>
      </c>
      <c r="E8394" s="2">
        <f>HYPERLINK("https://www.amazon.com/Klein-Tools-6926INS-Screwdriver-Cushion-Grip/dp/B09GL1X5SZ/ref=sr_1_26?keywords=Klein+Tools+600-4+1%2F4-Inch+Keystone+Cushion-Grip+Screwdriver&amp;qid=1694735465&amp;sr=8-26", "https://www.amazon.com/Klein-Tools-6926INS-Screwdriver-Cushion-Grip/dp/B09GL1X5SZ/ref=sr_1_26?keywords=Klein+Tools+600-4+1%2F4-Inch+Keystone+Cushion-Grip+Screwdriver&amp;qid=1694735465&amp;sr=8-26")</f>
        <v/>
      </c>
      <c r="F8394" t="inlineStr">
        <is>
          <t>B09GL1X5SZ</t>
        </is>
      </c>
      <c r="G8394">
        <f>_xludf.IMAGE("https://edmondsonsupply.com/cdn/shop/products/600-4.jpg?v=1587145175")</f>
        <v/>
      </c>
      <c r="H8394">
        <f>_xludf.IMAGE("https://m.media-amazon.com/images/I/41JbepP5oGL._AC_UL320_.jpg")</f>
        <v/>
      </c>
      <c r="K8394" t="inlineStr">
        <is>
          <t>11.49</t>
        </is>
      </c>
      <c r="L8394" t="n">
        <v>14.99</v>
      </c>
      <c r="M8394" s="1" t="inlineStr">
        <is>
          <t>30.46%</t>
        </is>
      </c>
      <c r="N8394" s="1" t="n"/>
      <c r="O8394" t="n">
        <v>4.8</v>
      </c>
      <c r="P8394" t="n">
        <v>85</v>
      </c>
      <c r="R8394" t="inlineStr">
        <is>
          <t>InStock</t>
        </is>
      </c>
      <c r="S8394" t="inlineStr">
        <is>
          <t>15.08</t>
        </is>
      </c>
      <c r="T8394" t="inlineStr">
        <is>
          <t>3700353073252</t>
        </is>
      </c>
    </row>
    <row r="8395" ht="87" customHeight="1">
      <c r="A8395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395" s="2">
        <f>HYPERLINK("https://edmondsonsupply.com/products/klein-tools-63050-high-leverage-cable-cutter", "https://edmondsonsupply.com/products/klein-tools-63050-high-leverage-cable-cutter")</f>
        <v/>
      </c>
      <c r="C8395" t="inlineStr">
        <is>
          <t>Klein Tools 63050 Cable Cutter</t>
        </is>
      </c>
      <c r="D8395" t="inlineStr">
        <is>
          <t>Klein Tools 63050-EINS Cable Cutters, Electricians Insulated Cable Cutter, Cuts Aluminum, Soft Copper, Communications Cable</t>
        </is>
      </c>
      <c r="E8395" s="2">
        <f>HYPERLINK("https://www.amazon.com/Klein-Tools-63050-EINS-Electricians-Insulated/dp/B00JGG5U04/ref=sr_1_3?keywords=Klein+Tools+63050+Cable+Cutter&amp;qid=1694735444&amp;sr=8-3", "https://www.amazon.com/Klein-Tools-63050-EINS-Electricians-Insulated/dp/B00JGG5U04/ref=sr_1_3?keywords=Klein+Tools+63050+Cable+Cutter&amp;qid=1694735444&amp;sr=8-3")</f>
        <v/>
      </c>
      <c r="F8395" t="inlineStr">
        <is>
          <t>B00JGG5U04</t>
        </is>
      </c>
      <c r="G8395">
        <f>_xlfn.IMAGE("https://edmondsonsupply.com/cdn/shop/products/63050.jpg?v=1587143239")</f>
        <v/>
      </c>
      <c r="H8395">
        <f>_xlfn.IMAGE("https://m.media-amazon.com/images/I/51gCq30GmQL._AC_UL320_.jpg")</f>
        <v/>
      </c>
      <c r="K8395" t="inlineStr">
        <is>
          <t>32.99</t>
        </is>
      </c>
      <c r="L8395" t="n">
        <v>43</v>
      </c>
      <c r="M8395" s="1" t="inlineStr">
        <is>
          <t>30.34%</t>
        </is>
      </c>
      <c r="N8395" s="7" t="n"/>
      <c r="O8395" t="n">
        <v>4.7</v>
      </c>
      <c r="P8395" t="n">
        <v>176</v>
      </c>
      <c r="R8395" t="inlineStr">
        <is>
          <t>InStock</t>
        </is>
      </c>
      <c r="S8395" t="inlineStr">
        <is>
          <t>47.96</t>
        </is>
      </c>
      <c r="T8395" t="inlineStr">
        <is>
          <t>4289689124964</t>
        </is>
      </c>
    </row>
    <row r="8396" hidden="1" ht="15.75" customHeight="1">
      <c r="A8396" s="2">
        <f>HYPERLINK("https://edmondsonsupply.com/collections/electricians-tools/products/klein-tools-32401-replacement-bit-3-16-slotted-1-4-slotted", "https://edmondsonsupply.com/collections/electricians-tools/products/klein-tools-32401-replacement-bit-3-16-slotted-1-4-slotted")</f>
        <v/>
      </c>
      <c r="B8396" s="2">
        <f>HYPERLINK("https://edmondsonsupply.com/products/klein-tools-32401-replacement-bit-3-16-slotted-1-4-slotted", "https://edmondsonsupply.com/products/klein-tools-32401-replacement-bit-3-16-slotted-1-4-slotted")</f>
        <v/>
      </c>
      <c r="C8396" t="inlineStr">
        <is>
          <t>Klein Tools 32401 Replacement Bit 3/16'' Slotted 1/4'' Slotted</t>
        </is>
      </c>
      <c r="D8396" t="inlineStr">
        <is>
          <t>Klein Tools 13231 Replacement Driver Bits, 1/8-Inch Slotted and Schrader</t>
        </is>
      </c>
      <c r="E8396" s="2">
        <f>HYPERLINK("https://www.amazon.com/Replacement-Schrader-Klein-Tools-13231/dp/B0791D1VPP/ref=sr_1_6?keywords=Klein+Tools+32401+Replacement+Bit+3%2F16+Slotted+1%2F4+Slotted&amp;qid=1694735440&amp;sr=8-6", "https://www.amazon.com/Replacement-Schrader-Klein-Tools-13231/dp/B0791D1VPP/ref=sr_1_6?keywords=Klein+Tools+32401+Replacement+Bit+3%2F16+Slotted+1%2F4+Slotted&amp;qid=1694735440&amp;sr=8-6")</f>
        <v/>
      </c>
      <c r="F8396" t="inlineStr">
        <is>
          <t>B0791D1VPP</t>
        </is>
      </c>
      <c r="G8396">
        <f>_xludf.IMAGE("https://edmondsonsupply.com/cdn/shop/products/32401.jpg?v=1587143671")</f>
        <v/>
      </c>
      <c r="H8396">
        <f>_xludf.IMAGE("https://m.media-amazon.com/images/I/51Ap07mXRLL._AC_UL320_.jpg")</f>
        <v/>
      </c>
      <c r="K8396" t="inlineStr">
        <is>
          <t>4.99</t>
        </is>
      </c>
      <c r="L8396" t="n">
        <v>6.49</v>
      </c>
      <c r="M8396" s="1" t="inlineStr">
        <is>
          <t>30.06%</t>
        </is>
      </c>
      <c r="N8396" s="1" t="n"/>
      <c r="O8396" t="n">
        <v>4.7</v>
      </c>
      <c r="P8396" t="n">
        <v>444</v>
      </c>
      <c r="R8396" t="inlineStr">
        <is>
          <t>InStock</t>
        </is>
      </c>
      <c r="S8396" t="inlineStr">
        <is>
          <t>7.54</t>
        </is>
      </c>
      <c r="T8396" t="inlineStr">
        <is>
          <t>4310086320228</t>
        </is>
      </c>
    </row>
    <row r="8397" ht="87" customHeight="1">
      <c r="A8397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397" s="2">
        <f>HYPERLINK("https://edmondsonsupply.com/products/klein-tools-63050-high-leverage-cable-cutter", "https://edmondsonsupply.com/products/klein-tools-63050-high-leverage-cable-cutter")</f>
        <v/>
      </c>
      <c r="C8397" t="inlineStr">
        <is>
          <t>Klein Tools 63050 Cable Cutter</t>
        </is>
      </c>
      <c r="D8397" t="inlineStr">
        <is>
          <t>Klein Tools, 63050, Cable Cutter, Shear Cut, 9-1/2 In</t>
        </is>
      </c>
      <c r="E8397" s="2">
        <f>HYPERLINK("https://www.amazon.com/Klein-Tools-63050-Cable-Cutter/dp/B07S15V7HV/ref=sr_1_5?keywords=Klein+Tools+63050+Cable+Cutter&amp;qid=1694735444&amp;sr=8-5", "https://www.amazon.com/Klein-Tools-63050-Cable-Cutter/dp/B07S15V7HV/ref=sr_1_5?keywords=Klein+Tools+63050+Cable+Cutter&amp;qid=1694735444&amp;sr=8-5")</f>
        <v/>
      </c>
      <c r="F8397" t="inlineStr">
        <is>
          <t>B07S15V7HV</t>
        </is>
      </c>
      <c r="G8397">
        <f>_xlfn.IMAGE("https://edmondsonsupply.com/cdn/shop/products/63050.jpg?v=1587143239")</f>
        <v/>
      </c>
      <c r="H8397">
        <f>_xlfn.IMAGE("https://m.media-amazon.com/images/I/41ETd40X-tL._AC_UL320_.jpg")</f>
        <v/>
      </c>
      <c r="K8397" t="inlineStr">
        <is>
          <t>32.99</t>
        </is>
      </c>
      <c r="L8397" t="n">
        <v>42.9</v>
      </c>
      <c r="M8397" s="1" t="inlineStr">
        <is>
          <t>30.04%</t>
        </is>
      </c>
      <c r="N8397" s="7" t="n"/>
      <c r="O8397" t="n">
        <v>4.8</v>
      </c>
      <c r="P8397" t="n">
        <v>8</v>
      </c>
      <c r="R8397" t="inlineStr">
        <is>
          <t>InStock</t>
        </is>
      </c>
      <c r="S8397" t="inlineStr">
        <is>
          <t>47.96</t>
        </is>
      </c>
      <c r="T8397" t="inlineStr">
        <is>
          <t>4289689124964</t>
        </is>
      </c>
    </row>
    <row r="8398" hidden="1" ht="15.75" customHeight="1">
      <c r="A8398" s="2">
        <f>HYPERLINK("https://edmondsonsupply.com/collections/electricians-tools/products/klein-tools-630-7-16-7-16-inch-hollow-nut-driver-3-inch-cushion-grip", "https://edmondsonsupply.com/collections/electricians-tools/products/klein-tools-630-7-16-7-16-inch-hollow-nut-driver-3-inch-cushion-grip")</f>
        <v/>
      </c>
      <c r="B8398" s="2">
        <f>HYPERLINK("https://edmondsonsupply.com/products/klein-tools-630-7-16-7-16-inch-hollow-nut-driver-3-inch-cushion-grip", "https://edmondsonsupply.com/products/klein-tools-630-7-16-7-16-inch-hollow-nut-driver-3-inch-cushion-grip")</f>
        <v/>
      </c>
      <c r="C8398" t="inlineStr">
        <is>
          <t>Klein Tools 630-7/16 7/16-Inch Hollow Nut Driver, 3-Inch, Cushion-Grip</t>
        </is>
      </c>
      <c r="D8398" t="inlineStr">
        <is>
          <t>Klein Tools 640-7/16 7/16-Inch Coated Nut Driver with 3-Inch Hollow Shaft and Cushion Grip Handle</t>
        </is>
      </c>
      <c r="E8398" s="2">
        <f>HYPERLINK("https://www.amazon.com/16-Inch-Klein-Tools-640-7-16/dp/B00093DZYG/ref=sr_1_1?keywords=Klein+Tools+630-7%2F16+7%2F16-Inch+Hollow+Nut+Driver%2C+3-Inch%2C+Cushion-Grip&amp;qid=1694735436&amp;sr=8-1", "https://www.amazon.com/16-Inch-Klein-Tools-640-7-16/dp/B00093DZYG/ref=sr_1_1?keywords=Klein+Tools+630-7%2F16+7%2F16-Inch+Hollow+Nut+Driver%2C+3-Inch%2C+Cushion-Grip&amp;qid=1694735436&amp;sr=8-1")</f>
        <v/>
      </c>
      <c r="F8398" t="inlineStr">
        <is>
          <t>B00093DZYG</t>
        </is>
      </c>
      <c r="G8398">
        <f>_xludf.IMAGE("https://edmondsonsupply.com/cdn/shop/products/630-1-2_283c4d8f-caf5-4128-859e-9d2803dc7f78.jpg?v=1587147728")</f>
        <v/>
      </c>
      <c r="H8398">
        <f>_xludf.IMAGE("https://m.media-amazon.com/images/I/61eCMBwqqTL._AC_UL320_.jpg")</f>
        <v/>
      </c>
      <c r="K8398" t="inlineStr">
        <is>
          <t>9.99</t>
        </is>
      </c>
      <c r="L8398" t="n">
        <v>12.99</v>
      </c>
      <c r="M8398" s="1" t="inlineStr">
        <is>
          <t>30.03%</t>
        </is>
      </c>
      <c r="N8398" s="1" t="n"/>
      <c r="O8398" t="n">
        <v>4.1</v>
      </c>
      <c r="P8398" t="n">
        <v>20</v>
      </c>
      <c r="R8398" t="inlineStr">
        <is>
          <t>InStock</t>
        </is>
      </c>
      <c r="S8398" t="inlineStr">
        <is>
          <t>12.84</t>
        </is>
      </c>
      <c r="T8398" t="inlineStr">
        <is>
          <t>4333058293860</t>
        </is>
      </c>
    </row>
    <row r="8399" ht="87" customHeight="1">
      <c r="A8399" s="2">
        <f>HYPERLINK("https://edmondsonsupply.com/collections/electricians-tools/products/klein-32807mag", "https://edmondsonsupply.com/collections/electricians-tools/products/klein-32807mag")</f>
        <v/>
      </c>
      <c r="B8399" s="2">
        <f>HYPERLINK("https://edmondsonsupply.com/products/klein-32807mag", "https://edmondsonsupply.com/products/klein-32807mag")</f>
        <v/>
      </c>
      <c r="C8399" t="inlineStr">
        <is>
          <t>Klein Tools 32807MAG 7-in-1 Multi-Bit Screwdriver / Nut Driver, Magnetic</t>
        </is>
      </c>
      <c r="D8399" t="inlineStr">
        <is>
          <t>Klein Tools 32596 Multi-Bit Screwdriver/Nut Driver, 8-in-1 HVAC Slide Drive Tool with Magnetic Hex, Phillips, Schrader Bits.</t>
        </is>
      </c>
      <c r="E8399" s="2">
        <f>HYPERLINK("https://www.amazon.com/Screwdriver-Driver-Klein-Tools-32596/dp/B073R7RT1V/ref=sr_1_23?keywords=Klein+Tools+32807MAG+7-in-1+Multi-Bit+Screwdriver+%2F+Nut+Driver%2C+Magnetic&amp;qid=1694735441&amp;sr=8-23", "https://www.amazon.com/Screwdriver-Driver-Klein-Tools-32596/dp/B073R7RT1V/ref=sr_1_23?keywords=Klein+Tools+32807MAG+7-in-1+Multi-Bit+Screwdriver+%2F+Nut+Driver%2C+Magnetic&amp;qid=1694735441&amp;sr=8-23")</f>
        <v/>
      </c>
      <c r="F8399" t="inlineStr">
        <is>
          <t>B073R7RT1V</t>
        </is>
      </c>
      <c r="G8399">
        <f>_xlfn.IMAGE("https://edmondsonsupply.com/cdn/shop/products/32807mag_beauty_l.jpg?v=1604873791")</f>
        <v/>
      </c>
      <c r="H8399">
        <f>_xlfn.IMAGE("https://m.media-amazon.com/images/I/51mrDa5uZYL._AC_UL320_.jpg")</f>
        <v/>
      </c>
      <c r="K8399" t="inlineStr">
        <is>
          <t>29.97</t>
        </is>
      </c>
      <c r="L8399" t="n">
        <v>38.96</v>
      </c>
      <c r="M8399" s="1" t="inlineStr">
        <is>
          <t>30.00%</t>
        </is>
      </c>
      <c r="N8399" s="7" t="n"/>
      <c r="O8399" t="n">
        <v>4.8</v>
      </c>
      <c r="P8399" t="n">
        <v>2259</v>
      </c>
      <c r="R8399" t="inlineStr">
        <is>
          <t>InStock</t>
        </is>
      </c>
      <c r="S8399" t="inlineStr">
        <is>
          <t>44.5</t>
        </is>
      </c>
      <c r="T8399" t="inlineStr">
        <is>
          <t>1493034008676</t>
        </is>
      </c>
    </row>
    <row r="8400" ht="87" customHeight="1">
      <c r="A8400" s="2">
        <f>HYPERLINK("https://edmondsonsupply.com/collections/electricians-tools/products/klein-tools-633-nut-driver-set-3-inch-shafts-cushion-grip-4-piece", "https://edmondsonsupply.com/collections/electricians-tools/products/klein-tools-633-nut-driver-set-3-inch-shafts-cushion-grip-4-piece")</f>
        <v/>
      </c>
      <c r="B8400" s="2">
        <f>HYPERLINK("https://edmondsonsupply.com/products/klein-tools-633-nut-driver-set-3-inch-shafts-cushion-grip-4-piece", "https://edmondsonsupply.com/products/klein-tools-633-nut-driver-set-3-inch-shafts-cushion-grip-4-piece")</f>
        <v/>
      </c>
      <c r="C8400" t="inlineStr">
        <is>
          <t>Klein Tools 633 Nut Driver Set 3-Inch Shafts, Cushion Grip, 4-Piece</t>
        </is>
      </c>
      <c r="D8400" t="inlineStr">
        <is>
          <t>Klein Tools 633 Tool Set, Nut Driver Set with Driver Sizes 1/4, 5/16, 3/8, 9/16-Inch on 3-Inch Full Hollow Shaft, w/Cushion Grips, 4-Piece</t>
        </is>
      </c>
      <c r="E8400" s="2">
        <f>HYPERLINK("https://www.amazon.com/Cushion-4-Piece-Klein-Tools-633/dp/B00508QS5I/ref=sr_1_1?keywords=Klein+Tools+633+Nut+Driver+Set+3-Inch+Shafts%2C+Cushion+Grip%2C+4-Piece&amp;qid=1694735444&amp;sr=8-1", "https://www.amazon.com/Cushion-4-Piece-Klein-Tools-633/dp/B00508QS5I/ref=sr_1_1?keywords=Klein+Tools+633+Nut+Driver+Set+3-Inch+Shafts%2C+Cushion+Grip%2C+4-Piece&amp;qid=1694735444&amp;sr=8-1")</f>
        <v/>
      </c>
      <c r="F8400" t="inlineStr">
        <is>
          <t>B00508QS5I</t>
        </is>
      </c>
      <c r="G8400">
        <f>_xlfn.IMAGE("https://edmondsonsupply.com/cdn/shop/products/633.jpg?v=1587143232")</f>
        <v/>
      </c>
      <c r="H8400">
        <f>_xlfn.IMAGE("https://m.media-amazon.com/images/I/61yug3exhUS._AC_UL320_.jpg")</f>
        <v/>
      </c>
      <c r="K8400" t="inlineStr">
        <is>
          <t>33.99</t>
        </is>
      </c>
      <c r="L8400" t="n">
        <v>44.05</v>
      </c>
      <c r="M8400" s="1" t="inlineStr">
        <is>
          <t>29.60%</t>
        </is>
      </c>
      <c r="N8400" s="7" t="n"/>
      <c r="O8400" t="n">
        <v>4.8</v>
      </c>
      <c r="P8400" t="n">
        <v>734</v>
      </c>
      <c r="R8400" t="inlineStr">
        <is>
          <t>InStock</t>
        </is>
      </c>
      <c r="S8400" t="inlineStr">
        <is>
          <t>51.5</t>
        </is>
      </c>
      <c r="T8400" t="inlineStr">
        <is>
          <t>4274285248612</t>
        </is>
      </c>
    </row>
    <row r="8401" hidden="1" ht="15.75" customHeight="1">
      <c r="A8401" s="2">
        <f>HYPERLINK("https://edmondsonsupply.com/collections/electricians-tools/products/klein-tools-32528-schrader%C2%AE-valve-core-replacement-bit", "https://edmondsonsupply.com/collections/electricians-tools/products/klein-tools-32528-schrader%C2%AE-valve-core-replacement-bit")</f>
        <v/>
      </c>
      <c r="B8401" s="2">
        <f>HYPERLINK("https://edmondsonsupply.com/products/klein-tools-32528-schrader%c2%ae-valve-core-replacement-bit", "https://edmondsonsupply.com/products/klein-tools-32528-schrader%c2%ae-valve-core-replacement-bit")</f>
        <v/>
      </c>
      <c r="C8401" t="inlineStr">
        <is>
          <t>Klein Tools 32528 Schrader® Valve Core Replacement Bit</t>
        </is>
      </c>
      <c r="D8401" t="inlineStr">
        <is>
          <t>Klein Tools 32528 Schrader Valve Core Replacement Bit</t>
        </is>
      </c>
      <c r="E8401" s="2">
        <f>HYPERLINK("https://www.amazon.com/Schrader-Replacement-Klein-Tools-32528/dp/B00QHIL7MY/ref=sr_1_1?keywords=Klein+Tools+32528+Schrader%C2%AE+Valve+Core+Replacement+Bit&amp;qid=1694735466&amp;sr=8-1", "https://www.amazon.com/Schrader-Replacement-Klein-Tools-32528/dp/B00QHIL7MY/ref=sr_1_1?keywords=Klein+Tools+32528+Schrader%C2%AE+Valve+Core+Replacement+Bit&amp;qid=1694735466&amp;sr=8-1")</f>
        <v/>
      </c>
      <c r="F8401" t="inlineStr">
        <is>
          <t>B00QHIL7MY</t>
        </is>
      </c>
      <c r="G8401">
        <f>_xludf.IMAGE("https://edmondsonsupply.com/cdn/shop/files/32528.jpg?v=1690209544")</f>
        <v/>
      </c>
      <c r="H8401">
        <f>_xludf.IMAGE("https://m.media-amazon.com/images/I/51M8Mpr8tPL._AC_UL320_.jpg")</f>
        <v/>
      </c>
      <c r="K8401" t="inlineStr">
        <is>
          <t>6.99</t>
        </is>
      </c>
      <c r="L8401" t="n">
        <v>8.99</v>
      </c>
      <c r="M8401" s="1" t="inlineStr">
        <is>
          <t>28.61%</t>
        </is>
      </c>
      <c r="N8401" s="1" t="n"/>
      <c r="O8401" t="n">
        <v>4.7</v>
      </c>
      <c r="P8401" t="n">
        <v>373</v>
      </c>
      <c r="R8401" t="inlineStr">
        <is>
          <t>InStock</t>
        </is>
      </c>
      <c r="S8401" t="inlineStr">
        <is>
          <t>9.84</t>
        </is>
      </c>
      <c r="T8401" t="inlineStr">
        <is>
          <t>3706726678628</t>
        </is>
      </c>
    </row>
    <row r="8402" hidden="1" ht="15.75" customHeight="1">
      <c r="A8402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402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402" t="inlineStr">
        <is>
          <t>Klein Tools JTH6M8 8 mm Hex Key with Journeyman T-Handle, 6-Inch</t>
        </is>
      </c>
      <c r="D8402" t="inlineStr">
        <is>
          <t>Klein Tools JTH6M8BE 8 mm Ball End Hex Key with Journeyman T-Handle, 6-Inch</t>
        </is>
      </c>
      <c r="E8402" s="2">
        <f>HYPERLINK("https://www.amazon.com/Journeyman-T-Handle-Klein-Tools-JTH6M8BE/dp/B005G395RU/ref=sr_1_2?keywords=Klein+Tools+JTH6M8+8+mm+Hex+Key+with+Journeyman+T-Handle%2C+6-Inch&amp;qid=1694735436&amp;sr=8-2", "https://www.amazon.com/Journeyman-T-Handle-Klein-Tools-JTH6M8BE/dp/B005G395RU/ref=sr_1_2?keywords=Klein+Tools+JTH6M8+8+mm+Hex+Key+with+Journeyman+T-Handle%2C+6-Inch&amp;qid=1694735436&amp;sr=8-2")</f>
        <v/>
      </c>
      <c r="F8402" t="inlineStr">
        <is>
          <t>B005G395RU</t>
        </is>
      </c>
      <c r="G8402">
        <f>_xludf.IMAGE("https://edmondsonsupply.com/cdn/shop/products/jth6m8_31a5ad24-670d-4140-a5ec-3785d5bf79d2.jpg?v=1587146374")</f>
        <v/>
      </c>
      <c r="H8402">
        <f>_xludf.IMAGE("https://m.media-amazon.com/images/I/51AxgtE+VvL._AC_UL320_.jpg")</f>
        <v/>
      </c>
      <c r="K8402" t="inlineStr">
        <is>
          <t>6.99</t>
        </is>
      </c>
      <c r="L8402" t="n">
        <v>8.99</v>
      </c>
      <c r="M8402" s="1" t="inlineStr">
        <is>
          <t>28.61%</t>
        </is>
      </c>
      <c r="N8402" s="1" t="n"/>
      <c r="O8402" t="n">
        <v>4.8</v>
      </c>
      <c r="P8402" t="n">
        <v>985</v>
      </c>
      <c r="R8402" t="inlineStr">
        <is>
          <t>InStock</t>
        </is>
      </c>
      <c r="S8402" t="inlineStr">
        <is>
          <t>10.58</t>
        </is>
      </c>
      <c r="T8402" t="inlineStr">
        <is>
          <t>4343287775332</t>
        </is>
      </c>
    </row>
    <row r="8403" ht="87" customHeight="1">
      <c r="A8403" s="2">
        <f>HYPERLINK("https://edmondsonsupply.com/collections/electricians-tools/products/klein-tools-d86934-slim-jaw-adjustable-wrench-6-inch", "https://edmondsonsupply.com/collections/electricians-tools/products/klein-tools-d86934-slim-jaw-adjustable-wrench-6-inch")</f>
        <v/>
      </c>
      <c r="B8403" s="2">
        <f>HYPERLINK("https://edmondsonsupply.com/products/klein-tools-d86934-slim-jaw-adjustable-wrench-6-inch", "https://edmondsonsupply.com/products/klein-tools-d86934-slim-jaw-adjustable-wrench-6-inch")</f>
        <v/>
      </c>
      <c r="C8403" t="inlineStr">
        <is>
          <t>Klein Tools D86934 Slim-Jaw Adjustable Wrench, 6-Inch</t>
        </is>
      </c>
      <c r="D8403" t="inlineStr">
        <is>
          <t>Klein Tools D86936 Adjustable Wrench, Forged with Slimmer Jaw and a High Polish Chrome Finish, 8-inch</t>
        </is>
      </c>
      <c r="E8403" s="2">
        <f>HYPERLINK("https://www.amazon.com/Slim-Jaw-Adjustable-Klein-Tools-D86936/dp/B075X84TBJ/ref=sr_1_2?keywords=Klein+Tools+D86934+Slim-Jaw+Adjustable+Wrench%2C+6-Inch&amp;qid=1694735464&amp;sr=8-2", "https://www.amazon.com/Slim-Jaw-Adjustable-Klein-Tools-D86936/dp/B075X84TBJ/ref=sr_1_2?keywords=Klein+Tools+D86934+Slim-Jaw+Adjustable+Wrench%2C+6-Inch&amp;qid=1694735464&amp;sr=8-2")</f>
        <v/>
      </c>
      <c r="F8403" t="inlineStr">
        <is>
          <t>B075X84TBJ</t>
        </is>
      </c>
      <c r="G8403">
        <f>_xlfn.IMAGE("https://edmondsonsupply.com/cdn/shop/products/d86934.jpg?v=1587142923")</f>
        <v/>
      </c>
      <c r="H8403">
        <f>_xlfn.IMAGE("https://m.media-amazon.com/images/I/41CJoXWRm0L._AC_UL320_.jpg")</f>
        <v/>
      </c>
      <c r="K8403" t="inlineStr">
        <is>
          <t>34.99</t>
        </is>
      </c>
      <c r="L8403" t="n">
        <v>44.99</v>
      </c>
      <c r="M8403" s="1" t="inlineStr">
        <is>
          <t>28.58%</t>
        </is>
      </c>
      <c r="N8403" s="7" t="n"/>
      <c r="O8403" t="n">
        <v>4.7</v>
      </c>
      <c r="P8403" t="n">
        <v>86</v>
      </c>
      <c r="R8403" t="inlineStr">
        <is>
          <t>InStock</t>
        </is>
      </c>
      <c r="S8403" t="inlineStr">
        <is>
          <t>48.8</t>
        </is>
      </c>
      <c r="T8403" t="inlineStr">
        <is>
          <t>3706925744228</t>
        </is>
      </c>
    </row>
    <row r="8404" hidden="1" ht="15.75" customHeight="1">
      <c r="A8404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404" s="2">
        <f>HYPERLINK("https://edmondsonsupply.com/products/klein-tools-601-6-3-16-inch-cabinet-tip-screwdriver-6-inch", "https://edmondsonsupply.com/products/klein-tools-601-6-3-16-inch-cabinet-tip-screwdriver-6-inch")</f>
        <v/>
      </c>
      <c r="C8404" t="inlineStr">
        <is>
          <t>Klein Tools 601-6 3/16-Inch Cabinet Tip Screwdriver 6-Inch</t>
        </is>
      </c>
      <c r="D8404" t="inlineStr">
        <is>
          <t>Klein Tools BD306 5/16-Inch Flat Head Screwdriver with Keystone Tip, 6-Inch Square Shank and Comfordome Handle</t>
        </is>
      </c>
      <c r="E8404" s="2">
        <f>HYPERLINK("https://www.amazon.com/Klein-BD306-Screwdriver-Keystone-Comfordome/dp/B0002RI9AE/ref=sr_1_32?keywords=Klein+Tools+601-6+3%2F16-Inch+Cabinet+Tip+Screwdriver+6-Inch&amp;qid=1694735470&amp;sr=8-32", "https://www.amazon.com/Klein-BD306-Screwdriver-Keystone-Comfordome/dp/B0002RI9AE/ref=sr_1_32?keywords=Klein+Tools+601-6+3%2F16-Inch+Cabinet+Tip+Screwdriver+6-Inch&amp;qid=1694735470&amp;sr=8-32")</f>
        <v/>
      </c>
      <c r="F8404" t="inlineStr">
        <is>
          <t>B0002RI9AE</t>
        </is>
      </c>
      <c r="G8404">
        <f>_xludf.IMAGE("https://edmondsonsupply.com/cdn/shop/products/601-6.jpg?v=1587148683")</f>
        <v/>
      </c>
      <c r="H8404">
        <f>_xludf.IMAGE("https://m.media-amazon.com/images/I/41p77tZs77L._AC_UL320_.jpg")</f>
        <v/>
      </c>
      <c r="K8404" t="inlineStr">
        <is>
          <t>8.99</t>
        </is>
      </c>
      <c r="L8404" t="n">
        <v>11.4</v>
      </c>
      <c r="M8404" s="1" t="inlineStr">
        <is>
          <t>26.81%</t>
        </is>
      </c>
      <c r="N8404" s="1" t="n"/>
      <c r="O8404" t="n">
        <v>4.6</v>
      </c>
      <c r="P8404" t="n">
        <v>19</v>
      </c>
      <c r="R8404" t="inlineStr">
        <is>
          <t>InStock</t>
        </is>
      </c>
      <c r="S8404" t="inlineStr">
        <is>
          <t>11.96</t>
        </is>
      </c>
      <c r="T8404" t="inlineStr">
        <is>
          <t>3689898016868</t>
        </is>
      </c>
    </row>
    <row r="8405" hidden="1" ht="15.75" customHeight="1">
      <c r="A8405" s="2">
        <f>HYPERLINK("https://edmondsonsupply.com/collections/electricians-tools/products/klein-tools-630-5-16-5-16-nut-driver-cushion-grip-3-shaft", "https://edmondsonsupply.com/collections/electricians-tools/products/klein-tools-630-5-16-5-16-nut-driver-cushion-grip-3-shaft")</f>
        <v/>
      </c>
      <c r="B8405" s="2">
        <f>HYPERLINK("https://edmondsonsupply.com/products/klein-tools-630-5-16-5-16-nut-driver-cushion-grip-3-shaft", "https://edmondsonsupply.com/products/klein-tools-630-5-16-5-16-nut-driver-cushion-grip-3-shaft")</f>
        <v/>
      </c>
      <c r="C8405" t="inlineStr">
        <is>
          <t>Klein Tools 630-5/16 5/16'' Nut Driver Cushion-Grip 3'' Shaft</t>
        </is>
      </c>
      <c r="D8405" t="inlineStr">
        <is>
          <t>Klein Tools 610-5/16M 5/16-Inch Magnetic Tip Nut Driver with 1-1/2-Inch Hollow Shaft and Cushion Grip Handle</t>
        </is>
      </c>
      <c r="E8405" s="2">
        <f>HYPERLINK("https://www.amazon.com/Magnetic-Klein-Tools-610-5-16M/dp/B00093DZP0/ref=sr_1_13?keywords=Klein+Tools+630-5%2F16+5%2F16%27%27+Nut+Driver+Cushion-Grip+3%27%27+Shaft&amp;qid=1694735460&amp;sr=8-13", "https://www.amazon.com/Magnetic-Klein-Tools-610-5-16M/dp/B00093DZP0/ref=sr_1_13?keywords=Klein+Tools+630-5%2F16+5%2F16%27%27+Nut+Driver+Cushion-Grip+3%27%27+Shaft&amp;qid=1694735460&amp;sr=8-13")</f>
        <v/>
      </c>
      <c r="F8405" t="inlineStr">
        <is>
          <t>B00093DZP0</t>
        </is>
      </c>
      <c r="G8405">
        <f>_xludf.IMAGE("https://edmondsonsupply.com/cdn/shop/products/630-1-2.jpg?v=1587143244")</f>
        <v/>
      </c>
      <c r="H8405">
        <f>_xludf.IMAGE("https://m.media-amazon.com/images/I/41rQZ0-NNZL._AC_UL320_.jpg")</f>
        <v/>
      </c>
      <c r="K8405" t="inlineStr">
        <is>
          <t>8.99</t>
        </is>
      </c>
      <c r="L8405" t="n">
        <v>11.34</v>
      </c>
      <c r="M8405" s="1" t="inlineStr">
        <is>
          <t>26.14%</t>
        </is>
      </c>
      <c r="N8405" s="1" t="n"/>
      <c r="O8405" t="n">
        <v>4.7</v>
      </c>
      <c r="P8405" t="n">
        <v>258</v>
      </c>
      <c r="R8405" t="inlineStr">
        <is>
          <t>InStock</t>
        </is>
      </c>
      <c r="S8405" t="inlineStr">
        <is>
          <t>11.74</t>
        </is>
      </c>
      <c r="T8405" t="inlineStr">
        <is>
          <t>4159420989540</t>
        </is>
      </c>
    </row>
    <row r="8406" hidden="1" ht="15.75" customHeight="1">
      <c r="A8406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406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406" t="inlineStr">
        <is>
          <t>Klein Tools 614-6 1/8-Inch Cabinet Electronics Screwdriver, 6-Inch</t>
        </is>
      </c>
      <c r="D8406" t="inlineStr">
        <is>
          <t>Klein Tools 621-6 Coated 3/16-Inch Cabinet Tip Flat Head Screwdriver, 6-Inch Round Shank, Cushion Grip Handle</t>
        </is>
      </c>
      <c r="E8406" s="2">
        <f>HYPERLINK("https://www.amazon.com/16-Inch-Screwdriver-Klein-Tools-621-6/dp/B00093GE44/ref=sr_1_12?keywords=Klein+Tools+614-6+1%2F8-Inch+Cabinet+Electronics+Screwdriver%2C+6-Inch&amp;qid=1694735470&amp;sr=8-12", "https://www.amazon.com/16-Inch-Screwdriver-Klein-Tools-621-6/dp/B00093GE44/ref=sr_1_12?keywords=Klein+Tools+614-6+1%2F8-Inch+Cabinet+Electronics+Screwdriver%2C+6-Inch&amp;qid=1694735470&amp;sr=8-12")</f>
        <v/>
      </c>
      <c r="F8406" t="inlineStr">
        <is>
          <t>B00093GE44</t>
        </is>
      </c>
      <c r="G8406">
        <f>_xludf.IMAGE("https://edmondsonsupply.com/cdn/shop/products/614-6.jpg?v=1587147731")</f>
        <v/>
      </c>
      <c r="H8406">
        <f>_xludf.IMAGE("https://m.media-amazon.com/images/I/51PRkgD+r3L._AC_UL320_.jpg")</f>
        <v/>
      </c>
      <c r="K8406" t="inlineStr">
        <is>
          <t>9.99</t>
        </is>
      </c>
      <c r="L8406" t="n">
        <v>12.49</v>
      </c>
      <c r="M8406" s="1" t="inlineStr">
        <is>
          <t>25.03%</t>
        </is>
      </c>
      <c r="N8406" s="1" t="n"/>
      <c r="O8406" t="n">
        <v>4.4</v>
      </c>
      <c r="P8406" t="n">
        <v>25</v>
      </c>
      <c r="R8406" t="inlineStr">
        <is>
          <t>InStock</t>
        </is>
      </c>
      <c r="S8406" t="inlineStr">
        <is>
          <t>15.14</t>
        </is>
      </c>
      <c r="T8406" t="inlineStr">
        <is>
          <t>3688620556388</t>
        </is>
      </c>
    </row>
    <row r="8407" ht="87" customHeight="1">
      <c r="A8407" s="2">
        <f>HYPERLINK("https://edmondsonsupply.com/collections/electricians-tools/products/klein-tools-5140-zipper-bags-canvas-4-pack-olive-orange-blue-yellow", "https://edmondsonsupply.com/collections/electricians-tools/products/klein-tools-5140-zipper-bags-canvas-4-pack-olive-orange-blue-yellow")</f>
        <v/>
      </c>
      <c r="B8407" s="2">
        <f>HYPERLINK("https://edmondsonsupply.com/products/klein-tools-5140-zipper-bags-canvas-4-pack-olive-orange-blue-yellow", "https://edmondsonsupply.com/products/klein-tools-5140-zipper-bags-canvas-4-pack-olive-orange-blue-yellow")</f>
        <v/>
      </c>
      <c r="C8407" t="inlineStr">
        <is>
          <t>Klein Tools 5140 Canvas Bag 4 Pk Olive/Orange/Blue/Yellow</t>
        </is>
      </c>
      <c r="D8407" t="inlineStr">
        <is>
          <t>Klein Tools 5140 Canvas Zipper Bag, Tool Pouch, Tool Bag, Utility Bag, Bank Deposit Bag, 12.5 x 7-Inch, Olive/Orange/Blue/Yellow 4-Pack &amp; 5139 Zipper Bag, Canvas Tool Pouch 12.5 x 7 x 4.25-Inch</t>
        </is>
      </c>
      <c r="E8407" s="2">
        <f>HYPERLINK("https://www.amazon.com/Klein-Tools-Utility-Deposit-4-25-Inch/dp/B09Z91S55M/ref=sr_1_2?keywords=Klein+Tools+5140+Canvas+Bag+4+Pk+Olive%2FOrange%2FBlue%2FYellow&amp;qid=1694735437&amp;sr=8-2", "https://www.amazon.com/Klein-Tools-Utility-Deposit-4-25-Inch/dp/B09Z91S55M/ref=sr_1_2?keywords=Klein+Tools+5140+Canvas+Bag+4+Pk+Olive%2FOrange%2FBlue%2FYellow&amp;qid=1694735437&amp;sr=8-2")</f>
        <v/>
      </c>
      <c r="F8407" t="inlineStr">
        <is>
          <t>B09Z91S55M</t>
        </is>
      </c>
      <c r="G8407">
        <f>_xlfn.IMAGE("https://edmondsonsupply.com/cdn/shop/products/5140.jpg?v=1587146756")</f>
        <v/>
      </c>
      <c r="H8407">
        <f>_xlfn.IMAGE("https://m.media-amazon.com/images/I/51F2tc28ydL._AC_UL320_.jpg")</f>
        <v/>
      </c>
      <c r="K8407" t="inlineStr">
        <is>
          <t>39.97</t>
        </is>
      </c>
      <c r="L8407" t="n">
        <v>49.97</v>
      </c>
      <c r="M8407" s="1" t="inlineStr">
        <is>
          <t>25.02%</t>
        </is>
      </c>
      <c r="N8407" s="7" t="n"/>
      <c r="O8407" t="n">
        <v>4.9</v>
      </c>
      <c r="P8407" t="n">
        <v>15</v>
      </c>
      <c r="R8407" t="inlineStr">
        <is>
          <t>InStock</t>
        </is>
      </c>
      <c r="S8407" t="inlineStr">
        <is>
          <t>66.8</t>
        </is>
      </c>
      <c r="T8407" t="inlineStr">
        <is>
          <t>2766561706084</t>
        </is>
      </c>
    </row>
    <row r="8408" ht="87" customHeight="1">
      <c r="A8408" s="2">
        <f>HYPERLINK("https://edmondsonsupply.com/collections/electricians-tools/products/klein-tools-610m-magnetic-stubby-nut-driver-set-1-1-2-inch-shafts-2-piece", "https://edmondsonsupply.com/collections/electricians-tools/products/klein-tools-610m-magnetic-stubby-nut-driver-set-1-1-2-inch-shafts-2-piece")</f>
        <v/>
      </c>
      <c r="B8408" s="2">
        <f>HYPERLINK("https://edmondsonsupply.com/products/klein-tools-610m-magnetic-stubby-nut-driver-set-1-1-2-inch-shafts-2-piece", "https://edmondsonsupply.com/products/klein-tools-610m-magnetic-stubby-nut-driver-set-1-1-2-inch-shafts-2-piece")</f>
        <v/>
      </c>
      <c r="C8408" t="inlineStr">
        <is>
          <t>Klein Tools 610M Magnetic Stubby Nut Driver Set, 1-1/2-Inch Shafts, 2-Piece</t>
        </is>
      </c>
      <c r="D8408" t="inlineStr">
        <is>
          <t>Klein Tools 646M Tool Set, Magnetic Nut Drivers Sizes 1/4 and 5/16-Inch, 6-Inch Shafts, 2-Piece</t>
        </is>
      </c>
      <c r="E8408" s="2">
        <f>HYPERLINK("https://www.amazon.com/Magnetic-16-Inch-Klein-Tools-646M/dp/B000936QV0/ref=sr_1_5?keywords=Klein+Tools+610M+Magnetic+Stubby+Nut+Driver+Set%2C+1-1%2F2-Inch+Shafts%2C+2-Piece&amp;qid=1694735459&amp;sr=8-5", "https://www.amazon.com/Magnetic-16-Inch-Klein-Tools-646M/dp/B000936QV0/ref=sr_1_5?keywords=Klein+Tools+610M+Magnetic+Stubby+Nut+Driver+Set%2C+1-1%2F2-Inch+Shafts%2C+2-Piece&amp;qid=1694735459&amp;sr=8-5")</f>
        <v/>
      </c>
      <c r="F8408" t="inlineStr">
        <is>
          <t>B000936QV0</t>
        </is>
      </c>
      <c r="G8408">
        <f>_xlfn.IMAGE("https://edmondsonsupply.com/cdn/shop/products/610m.jpg?v=1587148614")</f>
        <v/>
      </c>
      <c r="H8408">
        <f>_xlfn.IMAGE("https://m.media-amazon.com/images/I/41lkJ6KRq9L._AC_UL320_.jpg")</f>
        <v/>
      </c>
      <c r="K8408" t="inlineStr">
        <is>
          <t>17.99</t>
        </is>
      </c>
      <c r="L8408" t="n">
        <v>22.34</v>
      </c>
      <c r="M8408" s="1" t="inlineStr">
        <is>
          <t>24.18%</t>
        </is>
      </c>
      <c r="N8408" s="7" t="n"/>
      <c r="O8408" t="n">
        <v>4.8</v>
      </c>
      <c r="P8408" t="n">
        <v>1652</v>
      </c>
      <c r="R8408" t="inlineStr">
        <is>
          <t>InStock</t>
        </is>
      </c>
      <c r="S8408" t="inlineStr">
        <is>
          <t>27.26</t>
        </is>
      </c>
      <c r="T8408" t="inlineStr">
        <is>
          <t>4258876031076</t>
        </is>
      </c>
    </row>
    <row r="8409" ht="87" customHeight="1">
      <c r="A8409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409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409" t="inlineStr">
        <is>
          <t>Klein Tools 1019 Klein-Kurve® Wire Stripper / Crimper / Cutter Multi Tool</t>
        </is>
      </c>
      <c r="D8409" t="inlineStr">
        <is>
          <t>Klein Tools 1001 Multi Tool, Wire Stripper, Wire Cutters, Crimper Tool for 8-22 AWG, Multi-Purpose Electrician Tool is 8.5-Inch Long</t>
        </is>
      </c>
      <c r="E8409" s="2">
        <f>HYPERLINK("https://www.amazon.com/Klein-Tools-1001-Multi-Purpose-Electricians/dp/B000EVLUR2/ref=sr_1_7?keywords=Klein+Tools+1019+Klein-Kurve%C2%AE+Wire+Stripper+%2F+Crimper+%2F+Cutter+Multi+Tool&amp;qid=1694735475&amp;sr=8-7", "https://www.amazon.com/Klein-Tools-1001-Multi-Purpose-Electricians/dp/B000EVLUR2/ref=sr_1_7?keywords=Klein+Tools+1019+Klein-Kurve%C2%AE+Wire+Stripper+%2F+Crimper+%2F+Cutter+Multi+Tool&amp;qid=1694735475&amp;sr=8-7")</f>
        <v/>
      </c>
      <c r="F8409" t="inlineStr">
        <is>
          <t>B000EVLUR2</t>
        </is>
      </c>
      <c r="G8409">
        <f>_xlfn.IMAGE("https://edmondsonsupply.com/cdn/shop/products/1019.jpg?v=1587148776")</f>
        <v/>
      </c>
      <c r="H8409">
        <f>_xlfn.IMAGE("https://m.media-amazon.com/images/I/51Df2gzkHqL._AC_UL320_.jpg")</f>
        <v/>
      </c>
      <c r="K8409" t="inlineStr">
        <is>
          <t>20.97</t>
        </is>
      </c>
      <c r="L8409" t="n">
        <v>25.99</v>
      </c>
      <c r="M8409" s="1" t="inlineStr">
        <is>
          <t>23.94%</t>
        </is>
      </c>
      <c r="N8409" s="7" t="n"/>
      <c r="O8409" t="n">
        <v>4.5</v>
      </c>
      <c r="P8409" t="n">
        <v>475</v>
      </c>
      <c r="R8409" t="inlineStr">
        <is>
          <t>InStock</t>
        </is>
      </c>
      <c r="S8409" t="inlineStr">
        <is>
          <t>30.04</t>
        </is>
      </c>
      <c r="T8409" t="inlineStr">
        <is>
          <t>1780412481636</t>
        </is>
      </c>
    </row>
    <row r="8410" ht="87" customHeight="1">
      <c r="A8410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410" s="2">
        <f>HYPERLINK("https://edmondsonsupply.com/products/klein-tools-rt210-gfci-receptacle-tester", "https://edmondsonsupply.com/products/klein-tools-rt210-gfci-receptacle-tester")</f>
        <v/>
      </c>
      <c r="C8410" t="inlineStr">
        <is>
          <t>Klein Tools RT210 GFCI Outlet Tester</t>
        </is>
      </c>
      <c r="D8410" t="inlineStr">
        <is>
          <t>khanka Hard Travel Case replacement for Klein Tools RT310 AFCI/GFCI Circuit Outlet Device Tester, Case Only</t>
        </is>
      </c>
      <c r="E8410" s="2">
        <f>HYPERLINK("https://www.amazon.com/khanka-Travel-Compatible-Outlet-Device/dp/B088BCQT7K/ref=sr_1_38?keywords=Klein+Tools+RT210+GFCI+Outlet+Tester&amp;qid=1694735460&amp;sr=8-38", "https://www.amazon.com/khanka-Travel-Compatible-Outlet-Device/dp/B088BCQT7K/ref=sr_1_38?keywords=Klein+Tools+RT210+GFCI+Outlet+Tester&amp;qid=1694735460&amp;sr=8-38")</f>
        <v/>
      </c>
      <c r="F8410" t="inlineStr">
        <is>
          <t>B088BCQT7K</t>
        </is>
      </c>
      <c r="G8410">
        <f>_xlfn.IMAGE("https://edmondsonsupply.com/cdn/shop/products/rt210.jpg?v=1587146495")</f>
        <v/>
      </c>
      <c r="H8410">
        <f>_xlfn.IMAGE("https://m.media-amazon.com/images/I/71VUKzcSJ4L._AC_UL320_.jpg")</f>
        <v/>
      </c>
      <c r="K8410" t="inlineStr">
        <is>
          <t>12.97</t>
        </is>
      </c>
      <c r="L8410" t="n">
        <v>15.99</v>
      </c>
      <c r="M8410" s="1" t="inlineStr">
        <is>
          <t>23.28%</t>
        </is>
      </c>
      <c r="N8410" s="7" t="n"/>
      <c r="O8410" t="n">
        <v>4.6</v>
      </c>
      <c r="P8410" t="n">
        <v>32</v>
      </c>
      <c r="R8410" t="inlineStr">
        <is>
          <t>InStock</t>
        </is>
      </c>
      <c r="S8410" t="inlineStr">
        <is>
          <t>17.12</t>
        </is>
      </c>
      <c r="T8410" t="inlineStr">
        <is>
          <t>3711963988068</t>
        </is>
      </c>
    </row>
    <row r="8411" hidden="1" ht="15.75" customHeight="1">
      <c r="A8411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411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411" t="inlineStr">
        <is>
          <t>Klein Tools JTH6M6 6 mm Hex Key, Journeyman T-Handle, 6-Inch</t>
        </is>
      </c>
      <c r="D8411" t="inlineStr">
        <is>
          <t>Klein Tools JTH6E12BE 7/32-Inch Ball End Hex Key with Journeyman T-Handle,6-Inch</t>
        </is>
      </c>
      <c r="E8411" s="2">
        <f>HYPERLINK("https://www.amazon.com/Journeyman-T-Handle-Klein-Tools-JTH6E12BE/dp/B004QW74L6/ref=sr_1_4?keywords=Klein+Tools+JTH6M6+6+mm+Hex+Key%2C+Journeyman+T-Handle%2C+6-Inch&amp;qid=1694735472&amp;sr=8-4", "https://www.amazon.com/Journeyman-T-Handle-Klein-Tools-JTH6E12BE/dp/B004QW74L6/ref=sr_1_4?keywords=Klein+Tools+JTH6M6+6+mm+Hex+Key%2C+Journeyman+T-Handle%2C+6-Inch&amp;qid=1694735472&amp;sr=8-4")</f>
        <v/>
      </c>
      <c r="F8411" t="inlineStr">
        <is>
          <t>B004QW74L6</t>
        </is>
      </c>
      <c r="G8411">
        <f>_xludf.IMAGE("https://edmondsonsupply.com/cdn/shop/products/jth6m8_f0088b53-c3db-4dc3-9272-8f65ecc1b648.jpg?v=1587147556")</f>
        <v/>
      </c>
      <c r="H8411">
        <f>_xludf.IMAGE("https://m.media-amazon.com/images/I/51f9vBFVXgL._AC_UL320_.jpg")</f>
        <v/>
      </c>
      <c r="K8411" t="inlineStr">
        <is>
          <t>4.99</t>
        </is>
      </c>
      <c r="L8411" t="n">
        <v>6.15</v>
      </c>
      <c r="M8411" s="1" t="inlineStr">
        <is>
          <t>23.25%</t>
        </is>
      </c>
      <c r="N8411" s="1" t="n"/>
      <c r="O8411" t="n">
        <v>4.5</v>
      </c>
      <c r="P8411" t="n">
        <v>9</v>
      </c>
      <c r="R8411" t="inlineStr">
        <is>
          <t>InStock</t>
        </is>
      </c>
      <c r="S8411" t="inlineStr">
        <is>
          <t>7.56</t>
        </is>
      </c>
      <c r="T8411" t="inlineStr">
        <is>
          <t>3694875246692</t>
        </is>
      </c>
    </row>
    <row r="8412" hidden="1" ht="15.75" customHeight="1">
      <c r="A8412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412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412" t="inlineStr">
        <is>
          <t>Klein Tools JTH6E08BE 1/8-Inch Ball Hex Key, Journeyman T-Handle, 6-Inch</t>
        </is>
      </c>
      <c r="D8412" t="inlineStr">
        <is>
          <t>Klein Tools JTH6E12BE 7/32-Inch Ball End Hex Key with Journeyman T-Handle,6-Inch</t>
        </is>
      </c>
      <c r="E8412" s="2">
        <f>HYPERLINK("https://www.amazon.com/Journeyman-T-Handle-Klein-Tools-JTH6E12BE/dp/B004QW74L6/ref=sr_1_3?keywords=Klein+Tools+JTH6E08BE+1%2F8-Inch+Ball+Hex+Key%2C+Journeyman+T-Handle%2C+6-Inch&amp;qid=1694735452&amp;sr=8-3", "https://www.amazon.com/Journeyman-T-Handle-Klein-Tools-JTH6E12BE/dp/B004QW74L6/ref=sr_1_3?keywords=Klein+Tools+JTH6E08BE+1%2F8-Inch+Ball+Hex+Key%2C+Journeyman+T-Handle%2C+6-Inch&amp;qid=1694735452&amp;sr=8-3")</f>
        <v/>
      </c>
      <c r="F8412" t="inlineStr">
        <is>
          <t>B004QW74L6</t>
        </is>
      </c>
      <c r="G8412">
        <f>_xludf.IMAGE("https://edmondsonsupply.com/cdn/shop/products/jth6e13be.jpg?v=1587150101")</f>
        <v/>
      </c>
      <c r="H8412">
        <f>_xludf.IMAGE("https://m.media-amazon.com/images/I/51f9vBFVXgL._AC_UL320_.jpg")</f>
        <v/>
      </c>
      <c r="K8412" t="inlineStr">
        <is>
          <t>4.99</t>
        </is>
      </c>
      <c r="L8412" t="n">
        <v>6.15</v>
      </c>
      <c r="M8412" s="1" t="inlineStr">
        <is>
          <t>23.25%</t>
        </is>
      </c>
      <c r="N8412" s="1" t="n"/>
      <c r="O8412" t="n">
        <v>4.5</v>
      </c>
      <c r="P8412" t="n">
        <v>9</v>
      </c>
      <c r="R8412" t="inlineStr">
        <is>
          <t>InStock</t>
        </is>
      </c>
      <c r="S8412" t="inlineStr">
        <is>
          <t>7.54</t>
        </is>
      </c>
      <c r="T8412" t="inlineStr">
        <is>
          <t>4174483193956</t>
        </is>
      </c>
    </row>
    <row r="8413" hidden="1" ht="15.75" customHeight="1">
      <c r="A8413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413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413" t="inlineStr">
        <is>
          <t>Klein Tools JTH6M4BE 4 mm Ball Hex Key Journeyman T-Handle 6-Inch</t>
        </is>
      </c>
      <c r="D8413" t="inlineStr">
        <is>
          <t>Klein Tools JTH6E12BE 7/32-Inch Ball End Hex Key with Journeyman T-Handle,6-Inch</t>
        </is>
      </c>
      <c r="E8413" s="2">
        <f>HYPERLINK("https://www.amazon.com/Journeyman-T-Handle-Klein-Tools-JTH6E12BE/dp/B004QW74L6/ref=sr_1_5?keywords=Klein+Tools+JTH6M4BE+4+mm+Ball+Hex+Key+Journeyman+T-Handle+6-Inch&amp;qid=1694735475&amp;sr=8-5", "https://www.amazon.com/Journeyman-T-Handle-Klein-Tools-JTH6E12BE/dp/B004QW74L6/ref=sr_1_5?keywords=Klein+Tools+JTH6M4BE+4+mm+Ball+Hex+Key+Journeyman+T-Handle+6-Inch&amp;qid=1694735475&amp;sr=8-5")</f>
        <v/>
      </c>
      <c r="F8413" t="inlineStr">
        <is>
          <t>B004QW74L6</t>
        </is>
      </c>
      <c r="G8413">
        <f>_xludf.IMAGE("https://edmondsonsupply.com/cdn/shop/products/jth6m8be.jpg?v=1587144825")</f>
        <v/>
      </c>
      <c r="H8413">
        <f>_xludf.IMAGE("https://m.media-amazon.com/images/I/51f9vBFVXgL._AC_UL320_.jpg")</f>
        <v/>
      </c>
      <c r="K8413" t="inlineStr">
        <is>
          <t>4.99</t>
        </is>
      </c>
      <c r="L8413" t="n">
        <v>6.15</v>
      </c>
      <c r="M8413" s="1" t="inlineStr">
        <is>
          <t>23.25%</t>
        </is>
      </c>
      <c r="N8413" s="1" t="n"/>
      <c r="O8413" t="n">
        <v>4.5</v>
      </c>
      <c r="P8413" t="n">
        <v>9</v>
      </c>
      <c r="R8413" t="inlineStr">
        <is>
          <t>InStock</t>
        </is>
      </c>
      <c r="S8413" t="inlineStr">
        <is>
          <t>7.56</t>
        </is>
      </c>
      <c r="T8413" t="inlineStr">
        <is>
          <t>3671694213220</t>
        </is>
      </c>
    </row>
    <row r="8414" hidden="1" ht="15.75" customHeight="1">
      <c r="A8414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414" s="2">
        <f>HYPERLINK("https://edmondsonsupply.com/products/klein-tools-600-1-5-16-inch-cabinet-tip-screwdriver-1-1-2-inch", "https://edmondsonsupply.com/products/klein-tools-600-1-5-16-inch-cabinet-tip-screwdriver-1-1-2-inch")</f>
        <v/>
      </c>
      <c r="C8414" t="inlineStr">
        <is>
          <t>Klein Tools 600-1 5/16-Inch Cabinet Tip Screwdriver 1-1/2-Inch</t>
        </is>
      </c>
      <c r="D8414" t="inlineStr">
        <is>
          <t>Klein Tools 614-2 1/16-Inch Slotted Electronics Screwdriver with 2-Inch Shank and Cushion Grip Handle</t>
        </is>
      </c>
      <c r="E8414" s="2">
        <f>HYPERLINK("https://www.amazon.com/Electronics-Screwdriver-Klein-Tools-614-2/dp/B00B9HIBYU/ref=sr_1_44?keywords=Klein+Tools+600-1+5%2F16-Inch+Cabinet+Tip+Screwdriver+1-1%2F2-Inch&amp;qid=1694735453&amp;sr=8-44", "https://www.amazon.com/Electronics-Screwdriver-Klein-Tools-614-2/dp/B00B9HIBYU/ref=sr_1_44?keywords=Klein+Tools+600-1+5%2F16-Inch+Cabinet+Tip+Screwdriver+1-1%2F2-Inch&amp;qid=1694735453&amp;sr=8-44")</f>
        <v/>
      </c>
      <c r="F8414" t="inlineStr">
        <is>
          <t>B00B9HIBYU</t>
        </is>
      </c>
      <c r="G8414">
        <f>_xludf.IMAGE("https://edmondsonsupply.com/cdn/shop/products/600-1.jpg?v=1587147752")</f>
        <v/>
      </c>
      <c r="H8414">
        <f>_xludf.IMAGE("https://m.media-amazon.com/images/I/4122Rvtcf2L._AC_UL320_.jpg")</f>
        <v/>
      </c>
      <c r="K8414" t="inlineStr">
        <is>
          <t>7.49</t>
        </is>
      </c>
      <c r="L8414" t="n">
        <v>9.23</v>
      </c>
      <c r="M8414" s="1" t="inlineStr">
        <is>
          <t>23.23%</t>
        </is>
      </c>
      <c r="N8414" s="1" t="n"/>
      <c r="O8414" t="n">
        <v>4.7</v>
      </c>
      <c r="P8414" t="n">
        <v>332</v>
      </c>
      <c r="R8414" t="inlineStr">
        <is>
          <t>InStock</t>
        </is>
      </c>
      <c r="S8414" t="inlineStr">
        <is>
          <t>11.22</t>
        </is>
      </c>
      <c r="T8414" t="inlineStr">
        <is>
          <t>4171360403556</t>
        </is>
      </c>
    </row>
    <row r="8415" hidden="1" ht="15.75" customHeight="1">
      <c r="A8415" s="2">
        <f>HYPERLINK("https://edmondsonsupply.com/collections/electricians-tools/products/klein-tools-19353-conduit-reamer-replacement-blade-kit", "https://edmondsonsupply.com/collections/electricians-tools/products/klein-tools-19353-conduit-reamer-replacement-blade-kit")</f>
        <v/>
      </c>
      <c r="B8415" s="2">
        <f>HYPERLINK("https://edmondsonsupply.com/products/klein-tools-19353-conduit-reamer-replacement-blade-kit", "https://edmondsonsupply.com/products/klein-tools-19353-conduit-reamer-replacement-blade-kit")</f>
        <v/>
      </c>
      <c r="C8415" t="inlineStr">
        <is>
          <t>Klein Tools 19353 Conduit Reamer Replacement Blade Kit</t>
        </is>
      </c>
      <c r="D8415" t="inlineStr">
        <is>
          <t>Klein Tools 19353 Conduit Reamer Replacement Blade Kit</t>
        </is>
      </c>
      <c r="E8415" s="2">
        <f>HYPERLINK("https://www.amazon.com/Conduit-Replacement-Klein-Tools-19353/dp/B00093GD68/ref=sr_1_1?keywords=Klein+Tools+19353+Conduit+Reamer+Replacement+Blade+Kit&amp;qid=1694735449&amp;sr=8-1", "https://www.amazon.com/Conduit-Replacement-Klein-Tools-19353/dp/B00093GD68/ref=sr_1_1?keywords=Klein+Tools+19353+Conduit+Reamer+Replacement+Blade+Kit&amp;qid=1694735449&amp;sr=8-1")</f>
        <v/>
      </c>
      <c r="F8415" t="inlineStr">
        <is>
          <t>B00093GD68</t>
        </is>
      </c>
      <c r="G8415">
        <f>_xludf.IMAGE("https://edmondsonsupply.com/cdn/shop/products/19353.jpg?v=1587150212")</f>
        <v/>
      </c>
      <c r="H8415">
        <f>_xludf.IMAGE("https://m.media-amazon.com/images/I/51TNO+FocdL._AC_UL320_.jpg")</f>
        <v/>
      </c>
      <c r="K8415" t="inlineStr">
        <is>
          <t>9.99</t>
        </is>
      </c>
      <c r="L8415" t="n">
        <v>12.28</v>
      </c>
      <c r="M8415" s="1" t="inlineStr">
        <is>
          <t>22.92%</t>
        </is>
      </c>
      <c r="N8415" s="1" t="n"/>
      <c r="O8415" t="n">
        <v>4.5</v>
      </c>
      <c r="P8415" t="n">
        <v>1218</v>
      </c>
      <c r="R8415" t="inlineStr">
        <is>
          <t>InStock</t>
        </is>
      </c>
      <c r="S8415" t="inlineStr">
        <is>
          <t>15.12</t>
        </is>
      </c>
      <c r="T8415" t="inlineStr">
        <is>
          <t>4292238934116</t>
        </is>
      </c>
    </row>
    <row r="8416" hidden="1" ht="15.75" customHeight="1">
      <c r="A8416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416" s="2">
        <f>HYPERLINK("https://edmondsonsupply.com/products/klein-tools-646-3-8-3-8-inch-nut-driver-6-inch-hollow-shaft", "https://edmondsonsupply.com/products/klein-tools-646-3-8-3-8-inch-nut-driver-6-inch-hollow-shaft")</f>
        <v/>
      </c>
      <c r="C8416" t="inlineStr">
        <is>
          <t>Klein Tools 646-3/8 3/8-Inch Nut Driver, 6-Inch Hollow Shaft</t>
        </is>
      </c>
      <c r="D8416" t="inlineStr">
        <is>
          <t>Klein Tools 32794 Pro Impact Driver Bit, 3/8-Inch Hex Nut Driver, 3 Pack</t>
        </is>
      </c>
      <c r="E8416" s="2">
        <f>HYPERLINK("https://www.amazon.com/Klein-Tools-32794-Impact-Driver/dp/B07RGVM3RS/ref=sr_1_20?keywords=Klein+Tools+646-3%2F8+3%2F8-Inch+Nut+Driver%2C+6-Inch+Hollow+Shaft&amp;qid=1694735435&amp;sr=8-20", "https://www.amazon.com/Klein-Tools-32794-Impact-Driver/dp/B07RGVM3RS/ref=sr_1_20?keywords=Klein+Tools+646-3%2F8+3%2F8-Inch+Nut+Driver%2C+6-Inch+Hollow+Shaft&amp;qid=1694735435&amp;sr=8-20")</f>
        <v/>
      </c>
      <c r="F8416" t="inlineStr">
        <is>
          <t>B07RGVM3RS</t>
        </is>
      </c>
      <c r="G8416">
        <f>_xludf.IMAGE("https://edmondsonsupply.com/cdn/shop/products/646-1-2.jpg?v=1587143221")</f>
        <v/>
      </c>
      <c r="H8416">
        <f>_xludf.IMAGE("https://m.media-amazon.com/images/I/51EHKugf8KL._AC_UL320_.jpg")</f>
        <v/>
      </c>
      <c r="K8416" t="inlineStr">
        <is>
          <t>8.99</t>
        </is>
      </c>
      <c r="L8416" t="n">
        <v>10.99</v>
      </c>
      <c r="M8416" s="1" t="inlineStr">
        <is>
          <t>22.25%</t>
        </is>
      </c>
      <c r="N8416" s="1" t="n"/>
      <c r="O8416" t="n">
        <v>4.8</v>
      </c>
      <c r="P8416" t="n">
        <v>132</v>
      </c>
      <c r="R8416" t="inlineStr">
        <is>
          <t>InStock</t>
        </is>
      </c>
      <c r="S8416" t="inlineStr">
        <is>
          <t>13.58</t>
        </is>
      </c>
      <c r="T8416" t="inlineStr">
        <is>
          <t>4341100609636</t>
        </is>
      </c>
    </row>
    <row r="8417" hidden="1" ht="15.75" customHeight="1">
      <c r="A8417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417" s="2">
        <f>HYPERLINK("https://edmondsonsupply.com/products/klein-tools-601-4-3-16-cabinet-tip-screwdriver-4-round-shank", "https://edmondsonsupply.com/products/klein-tools-601-4-3-16-cabinet-tip-screwdriver-4-round-shank")</f>
        <v/>
      </c>
      <c r="C8417" t="inlineStr">
        <is>
          <t>Klein Tools 601-4 3/16-Inch Cabinet Tip Screwdriver 4-Inch</t>
        </is>
      </c>
      <c r="D8417" t="inlineStr">
        <is>
          <t>Klein Tools 605-8 1/4-Inch Cabinet Tip Screwdriver, Heavy Duty, with 8-Inch Shank</t>
        </is>
      </c>
      <c r="E8417" s="2">
        <f>HYPERLINK("https://www.amazon.com/Cabinet-Screwdriver-Klein-Tools-605-8/dp/B000F0GMDO/ref=sr_1_4?keywords=Klein+Tools+601-4+3%2F16-Inch+Cabinet+Tip+Screwdriver+4-Inch&amp;qid=1694735471&amp;sr=8-4", "https://www.amazon.com/Cabinet-Screwdriver-Klein-Tools-605-8/dp/B000F0GMDO/ref=sr_1_4?keywords=Klein+Tools+601-4+3%2F16-Inch+Cabinet+Tip+Screwdriver+4-Inch&amp;qid=1694735471&amp;sr=8-4")</f>
        <v/>
      </c>
      <c r="F8417" t="inlineStr">
        <is>
          <t>B000F0GMDO</t>
        </is>
      </c>
      <c r="G8417">
        <f>_xludf.IMAGE("https://edmondsonsupply.com/cdn/shop/products/601-4.jpg?v=1587147829")</f>
        <v/>
      </c>
      <c r="H8417">
        <f>_xludf.IMAGE("https://m.media-amazon.com/images/I/41WLDr2SP+L._AC_UL320_.jpg")</f>
        <v/>
      </c>
      <c r="K8417" t="inlineStr">
        <is>
          <t>8.98</t>
        </is>
      </c>
      <c r="L8417" t="n">
        <v>10.97</v>
      </c>
      <c r="M8417" s="1" t="inlineStr">
        <is>
          <t>22.16%</t>
        </is>
      </c>
      <c r="N8417" s="1" t="n"/>
      <c r="O8417" t="n">
        <v>4.8</v>
      </c>
      <c r="P8417" t="n">
        <v>1225</v>
      </c>
      <c r="R8417" t="inlineStr">
        <is>
          <t>InStock</t>
        </is>
      </c>
      <c r="S8417" t="inlineStr">
        <is>
          <t>11.52</t>
        </is>
      </c>
      <c r="T8417" t="inlineStr">
        <is>
          <t>2767048900708</t>
        </is>
      </c>
    </row>
    <row r="8418" hidden="1" ht="15.75" customHeight="1">
      <c r="A8418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418" s="2">
        <f>HYPERLINK("https://edmondsonsupply.com/products/klein-tools-601-4-3-16-cabinet-tip-screwdriver-4-round-shank", "https://edmondsonsupply.com/products/klein-tools-601-4-3-16-cabinet-tip-screwdriver-4-round-shank")</f>
        <v/>
      </c>
      <c r="C8418" t="inlineStr">
        <is>
          <t>Klein Tools 601-4 3/16-Inch Cabinet Tip Screwdriver 4-Inch</t>
        </is>
      </c>
      <c r="D8418" t="inlineStr">
        <is>
          <t>Klein Tools 605-4B Wire Bending Cabinet Tip Screwdriver 4-Inch</t>
        </is>
      </c>
      <c r="E8418" s="2">
        <f>HYPERLINK("https://www.amazon.com/Bending-Cabinet-Screwdriver-Klein-Tools/dp/B00093DZNM/ref=sr_1_3?keywords=Klein+Tools+601-4+3%2F16-Inch+Cabinet+Tip+Screwdriver+4-Inch&amp;qid=1694735471&amp;sr=8-3", "https://www.amazon.com/Bending-Cabinet-Screwdriver-Klein-Tools/dp/B00093DZNM/ref=sr_1_3?keywords=Klein+Tools+601-4+3%2F16-Inch+Cabinet+Tip+Screwdriver+4-Inch&amp;qid=1694735471&amp;sr=8-3")</f>
        <v/>
      </c>
      <c r="F8418" t="inlineStr">
        <is>
          <t>B00093DZNM</t>
        </is>
      </c>
      <c r="G8418">
        <f>_xludf.IMAGE("https://edmondsonsupply.com/cdn/shop/products/601-4.jpg?v=1587147829")</f>
        <v/>
      </c>
      <c r="H8418">
        <f>_xludf.IMAGE("https://m.media-amazon.com/images/I/41cMYMAcXSL._AC_UL320_.jpg")</f>
        <v/>
      </c>
      <c r="K8418" t="inlineStr">
        <is>
          <t>8.98</t>
        </is>
      </c>
      <c r="L8418" t="n">
        <v>10.97</v>
      </c>
      <c r="M8418" s="1" t="inlineStr">
        <is>
          <t>22.16%</t>
        </is>
      </c>
      <c r="N8418" s="1" t="n"/>
      <c r="O8418" t="n">
        <v>4.7</v>
      </c>
      <c r="P8418" t="n">
        <v>487</v>
      </c>
      <c r="R8418" t="inlineStr">
        <is>
          <t>InStock</t>
        </is>
      </c>
      <c r="S8418" t="inlineStr">
        <is>
          <t>11.52</t>
        </is>
      </c>
      <c r="T8418" t="inlineStr">
        <is>
          <t>2767048900708</t>
        </is>
      </c>
    </row>
    <row r="8419" hidden="1" ht="15.75" customHeight="1">
      <c r="A8419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419" s="2">
        <f>HYPERLINK("https://edmondsonsupply.com/products/klein-tools-646-3-8-3-8-inch-nut-driver-6-inch-hollow-shaft", "https://edmondsonsupply.com/products/klein-tools-646-3-8-3-8-inch-nut-driver-6-inch-hollow-shaft")</f>
        <v/>
      </c>
      <c r="C8419" t="inlineStr">
        <is>
          <t>Klein Tools 646-3/8 3/8-Inch Nut Driver, 6-Inch Hollow Shaft</t>
        </is>
      </c>
      <c r="D8419" t="inlineStr">
        <is>
          <t>Klein Tools 630-3/8M 3/8-Inch Magnetic Tip Nut Driver with 3-Inch Hollow Shank</t>
        </is>
      </c>
      <c r="E8419" s="2">
        <f>HYPERLINK("https://www.amazon.com/Magnetic-Klein-Tools-630-3-8M/dp/B000MKH4OS/ref=sr_1_8?keywords=Klein+Tools+646-3%2F8+3%2F8-Inch+Nut+Driver%2C+6-Inch+Hollow+Shaft&amp;qid=1694735435&amp;sr=8-8", "https://www.amazon.com/Magnetic-Klein-Tools-630-3-8M/dp/B000MKH4OS/ref=sr_1_8?keywords=Klein+Tools+646-3%2F8+3%2F8-Inch+Nut+Driver%2C+6-Inch+Hollow+Shaft&amp;qid=1694735435&amp;sr=8-8")</f>
        <v/>
      </c>
      <c r="F8419" t="inlineStr">
        <is>
          <t>B000MKH4OS</t>
        </is>
      </c>
      <c r="G8419">
        <f>_xludf.IMAGE("https://edmondsonsupply.com/cdn/shop/products/646-1-2.jpg?v=1587143221")</f>
        <v/>
      </c>
      <c r="H8419">
        <f>_xludf.IMAGE("https://m.media-amazon.com/images/I/51TxY7IaTtL._AC_UL320_.jpg")</f>
        <v/>
      </c>
      <c r="K8419" t="inlineStr">
        <is>
          <t>8.99</t>
        </is>
      </c>
      <c r="L8419" t="n">
        <v>10.97</v>
      </c>
      <c r="M8419" s="1" t="inlineStr">
        <is>
          <t>22.02%</t>
        </is>
      </c>
      <c r="N8419" s="1" t="n"/>
      <c r="O8419" t="n">
        <v>4.7</v>
      </c>
      <c r="P8419" t="n">
        <v>1571</v>
      </c>
      <c r="R8419" t="inlineStr">
        <is>
          <t>InStock</t>
        </is>
      </c>
      <c r="S8419" t="inlineStr">
        <is>
          <t>13.58</t>
        </is>
      </c>
      <c r="T8419" t="inlineStr">
        <is>
          <t>4341100609636</t>
        </is>
      </c>
    </row>
    <row r="8420" hidden="1" ht="15.75" customHeight="1">
      <c r="A8420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20" s="2">
        <f>HYPERLINK("https://edmondsonsupply.com/products/klein-tools-600-4-1-4-inch-screwdriver-heavy-duty-square-shank", "https://edmondsonsupply.com/products/klein-tools-600-4-1-4-inch-screwdriver-heavy-duty-square-shank")</f>
        <v/>
      </c>
      <c r="C8420" t="inlineStr">
        <is>
          <t>Klein Tools 600-4 1/4-Inch Keystone Cushion-Grip Screwdriver</t>
        </is>
      </c>
      <c r="D8420" t="inlineStr">
        <is>
          <t>Klein Tools 6984INS Insulated Screwdriver, 1000V Slim Profile Tip, #1 Square with 4-Inch Shank, Cushion-Grip Handle</t>
        </is>
      </c>
      <c r="E8420" s="2">
        <f>HYPERLINK("https://www.amazon.com/Klein-Tools-6984INS-Screwdriver-Cushion-Grip/dp/B09GPZ5P2M/ref=sr_1_14?keywords=Klein+Tools+600-4+1%2F4-Inch+Keystone+Cushion-Grip+Screwdriver&amp;qid=1694735465&amp;sr=8-14", "https://www.amazon.com/Klein-Tools-6984INS-Screwdriver-Cushion-Grip/dp/B09GPZ5P2M/ref=sr_1_14?keywords=Klein+Tools+600-4+1%2F4-Inch+Keystone+Cushion-Grip+Screwdriver&amp;qid=1694735465&amp;sr=8-14")</f>
        <v/>
      </c>
      <c r="F8420" t="inlineStr">
        <is>
          <t>B09GPZ5P2M</t>
        </is>
      </c>
      <c r="G8420">
        <f>_xludf.IMAGE("https://edmondsonsupply.com/cdn/shop/products/600-4.jpg?v=1587145175")</f>
        <v/>
      </c>
      <c r="H8420">
        <f>_xludf.IMAGE("https://m.media-amazon.com/images/I/41uj4ogsy3L._AC_UL320_.jpg")</f>
        <v/>
      </c>
      <c r="K8420" t="inlineStr">
        <is>
          <t>11.49</t>
        </is>
      </c>
      <c r="L8420" t="n">
        <v>13.99</v>
      </c>
      <c r="M8420" s="1" t="inlineStr">
        <is>
          <t>21.76%</t>
        </is>
      </c>
      <c r="N8420" s="1" t="n"/>
      <c r="O8420" t="n">
        <v>4.8</v>
      </c>
      <c r="P8420" t="n">
        <v>107</v>
      </c>
      <c r="R8420" t="inlineStr">
        <is>
          <t>InStock</t>
        </is>
      </c>
      <c r="S8420" t="inlineStr">
        <is>
          <t>15.08</t>
        </is>
      </c>
      <c r="T8420" t="inlineStr">
        <is>
          <t>3700353073252</t>
        </is>
      </c>
    </row>
    <row r="8421" hidden="1" ht="15.75" customHeight="1">
      <c r="A8421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21" s="2">
        <f>HYPERLINK("https://edmondsonsupply.com/products/klein-tools-600-4-1-4-inch-screwdriver-heavy-duty-square-shank", "https://edmondsonsupply.com/products/klein-tools-600-4-1-4-inch-screwdriver-heavy-duty-square-shank")</f>
        <v/>
      </c>
      <c r="C8421" t="inlineStr">
        <is>
          <t>Klein Tools 600-4 1/4-Inch Keystone Cushion-Grip Screwdriver</t>
        </is>
      </c>
      <c r="D8421" t="inlineStr">
        <is>
          <t>Klein Tools 6944INS Insulated Screwdriver, 1000V Slim Profile Tip, #2 Square with 4-Inch Shank, Cushion-Grip Handle</t>
        </is>
      </c>
      <c r="E8421" s="2">
        <f>HYPERLINK("https://www.amazon.com/Klein-Tools-6944INS-Screwdriver-Cushion-Grip/dp/B09GPYTZV3/ref=sr_1_12?keywords=Klein+Tools+600-4+1%2F4-Inch+Keystone+Cushion-Grip+Screwdriver&amp;qid=1694735465&amp;sr=8-12", "https://www.amazon.com/Klein-Tools-6944INS-Screwdriver-Cushion-Grip/dp/B09GPYTZV3/ref=sr_1_12?keywords=Klein+Tools+600-4+1%2F4-Inch+Keystone+Cushion-Grip+Screwdriver&amp;qid=1694735465&amp;sr=8-12")</f>
        <v/>
      </c>
      <c r="F8421" t="inlineStr">
        <is>
          <t>B09GPYTZV3</t>
        </is>
      </c>
      <c r="G8421">
        <f>_xludf.IMAGE("https://edmondsonsupply.com/cdn/shop/products/600-4.jpg?v=1587145175")</f>
        <v/>
      </c>
      <c r="H8421">
        <f>_xludf.IMAGE("https://m.media-amazon.com/images/I/41PzygwLx+L._AC_UL320_.jpg")</f>
        <v/>
      </c>
      <c r="K8421" t="inlineStr">
        <is>
          <t>11.49</t>
        </is>
      </c>
      <c r="L8421" t="n">
        <v>13.99</v>
      </c>
      <c r="M8421" s="1" t="inlineStr">
        <is>
          <t>21.76%</t>
        </is>
      </c>
      <c r="N8421" s="1" t="n"/>
      <c r="O8421" t="n">
        <v>4.7</v>
      </c>
      <c r="P8421" t="n">
        <v>93</v>
      </c>
      <c r="R8421" t="inlineStr">
        <is>
          <t>InStock</t>
        </is>
      </c>
      <c r="S8421" t="inlineStr">
        <is>
          <t>15.08</t>
        </is>
      </c>
      <c r="T8421" t="inlineStr">
        <is>
          <t>3700353073252</t>
        </is>
      </c>
    </row>
    <row r="8422" hidden="1" ht="15.75" customHeight="1">
      <c r="A8422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22" s="2">
        <f>HYPERLINK("https://edmondsonsupply.com/products/klein-tools-600-4-1-4-inch-screwdriver-heavy-duty-square-shank", "https://edmondsonsupply.com/products/klein-tools-600-4-1-4-inch-screwdriver-heavy-duty-square-shank")</f>
        <v/>
      </c>
      <c r="C8422" t="inlineStr">
        <is>
          <t>Klein Tools 600-4 1/4-Inch Keystone Cushion-Grip Screwdriver</t>
        </is>
      </c>
      <c r="D8422" t="inlineStr">
        <is>
          <t>Klein Tools 6924INS 1000V Slim Tip Insulated Screwdriver, 4-Inch Round Shank, 1/4-Inch Cabinet Tip, Cushion Grip Handle</t>
        </is>
      </c>
      <c r="E8422" s="2">
        <f>HYPERLINK("https://www.amazon.com/Klein-Tools-6924INS-Insulated-Screwdriver/dp/B088NRM4CC/ref=sr_1_2?keywords=Klein+Tools+600-4+1%2F4-Inch+Keystone+Cushion-Grip+Screwdriver&amp;qid=1694735465&amp;sr=8-2", "https://www.amazon.com/Klein-Tools-6924INS-Insulated-Screwdriver/dp/B088NRM4CC/ref=sr_1_2?keywords=Klein+Tools+600-4+1%2F4-Inch+Keystone+Cushion-Grip+Screwdriver&amp;qid=1694735465&amp;sr=8-2")</f>
        <v/>
      </c>
      <c r="F8422" t="inlineStr">
        <is>
          <t>B088NRM4CC</t>
        </is>
      </c>
      <c r="G8422">
        <f>_xludf.IMAGE("https://edmondsonsupply.com/cdn/shop/products/600-4.jpg?v=1587145175")</f>
        <v/>
      </c>
      <c r="H8422">
        <f>_xludf.IMAGE("https://m.media-amazon.com/images/I/419wtU12P3L._AC_UL320_.jpg")</f>
        <v/>
      </c>
      <c r="K8422" t="inlineStr">
        <is>
          <t>11.49</t>
        </is>
      </c>
      <c r="L8422" t="n">
        <v>13.97</v>
      </c>
      <c r="M8422" s="1" t="inlineStr">
        <is>
          <t>21.58%</t>
        </is>
      </c>
      <c r="N8422" s="1" t="n"/>
      <c r="O8422" t="n">
        <v>4.8</v>
      </c>
      <c r="P8422" t="n">
        <v>1358</v>
      </c>
      <c r="R8422" t="inlineStr">
        <is>
          <t>InStock</t>
        </is>
      </c>
      <c r="S8422" t="inlineStr">
        <is>
          <t>15.08</t>
        </is>
      </c>
      <c r="T8422" t="inlineStr">
        <is>
          <t>3700353073252</t>
        </is>
      </c>
    </row>
    <row r="8423" ht="87" customHeight="1">
      <c r="A8423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423" s="2">
        <f>HYPERLINK("https://edmondsonsupply.com/products/klein-tools-63050-high-leverage-cable-cutter", "https://edmondsonsupply.com/products/klein-tools-63050-high-leverage-cable-cutter")</f>
        <v/>
      </c>
      <c r="C8423" t="inlineStr">
        <is>
          <t>Klein Tools 63050 Cable Cutter</t>
        </is>
      </c>
      <c r="D8423" t="inlineStr">
        <is>
          <t>Klein Tools J63050 Cable Cutter, Journeyman Cable Cutter Cuts Aluminum, Copper and Communications Cable with Shear-Type Jaws,Red/Black Small</t>
        </is>
      </c>
      <c r="E8423" s="2">
        <f>HYPERLINK("https://www.amazon.com/Journeyman-Leverage-Klein-Tools-J63050/dp/B00093GCK0/ref=sr_1_16?keywords=Klein+Tools+63050+Cable+Cutter&amp;qid=1694735444&amp;sr=8-16", "https://www.amazon.com/Journeyman-Leverage-Klein-Tools-J63050/dp/B00093GCK0/ref=sr_1_16?keywords=Klein+Tools+63050+Cable+Cutter&amp;qid=1694735444&amp;sr=8-16")</f>
        <v/>
      </c>
      <c r="F8423" t="inlineStr">
        <is>
          <t>B00093GCK0</t>
        </is>
      </c>
      <c r="G8423">
        <f>_xlfn.IMAGE("https://edmondsonsupply.com/cdn/shop/products/63050.jpg?v=1587143239")</f>
        <v/>
      </c>
      <c r="H8423">
        <f>_xlfn.IMAGE("https://m.media-amazon.com/images/I/512727w-LNL._AC_UL320_.jpg")</f>
        <v/>
      </c>
      <c r="K8423" t="inlineStr">
        <is>
          <t>32.99</t>
        </is>
      </c>
      <c r="L8423" t="n">
        <v>39.99</v>
      </c>
      <c r="M8423" s="1" t="inlineStr">
        <is>
          <t>21.22%</t>
        </is>
      </c>
      <c r="N8423" s="7" t="n"/>
      <c r="O8423" t="n">
        <v>4.7</v>
      </c>
      <c r="P8423" t="n">
        <v>1055</v>
      </c>
      <c r="R8423" t="inlineStr">
        <is>
          <t>InStock</t>
        </is>
      </c>
      <c r="S8423" t="inlineStr">
        <is>
          <t>47.96</t>
        </is>
      </c>
      <c r="T8423" t="inlineStr">
        <is>
          <t>4289689124964</t>
        </is>
      </c>
    </row>
    <row r="8424" ht="87" customHeight="1">
      <c r="A8424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424" s="2">
        <f>HYPERLINK("https://edmondsonsupply.com/products/klein-tools-63050-high-leverage-cable-cutter", "https://edmondsonsupply.com/products/klein-tools-63050-high-leverage-cable-cutter")</f>
        <v/>
      </c>
      <c r="C8424" t="inlineStr">
        <is>
          <t>Klein Tools 63050 Cable Cutter</t>
        </is>
      </c>
      <c r="D8424" t="inlineStr">
        <is>
          <t>Klein Tools 53725 Armored and BX Cable Cutter, Cuts Up to 3/8 Inch Armored Cable-BX-AC-MC-MCAP-Greenfield, With Storage and Extra Blades</t>
        </is>
      </c>
      <c r="E8424" s="2">
        <f>HYPERLINK("https://www.amazon.com/Armored-Cutter-Klein-Tools-53725/dp/B005TTZS90/ref=sr_1_17?keywords=Klein+Tools+63050+Cable+Cutter&amp;qid=1694735444&amp;sr=8-17", "https://www.amazon.com/Armored-Cutter-Klein-Tools-53725/dp/B005TTZS90/ref=sr_1_17?keywords=Klein+Tools+63050+Cable+Cutter&amp;qid=1694735444&amp;sr=8-17")</f>
        <v/>
      </c>
      <c r="F8424" t="inlineStr">
        <is>
          <t>B005TTZS90</t>
        </is>
      </c>
      <c r="G8424">
        <f>_xlfn.IMAGE("https://edmondsonsupply.com/cdn/shop/products/63050.jpg?v=1587143239")</f>
        <v/>
      </c>
      <c r="H8424">
        <f>_xlfn.IMAGE("https://m.media-amazon.com/images/I/71Li8Ak+f2L._AC_UL320_.jpg")</f>
        <v/>
      </c>
      <c r="K8424" t="inlineStr">
        <is>
          <t>32.99</t>
        </is>
      </c>
      <c r="L8424" t="n">
        <v>39.97</v>
      </c>
      <c r="M8424" s="1" t="inlineStr">
        <is>
          <t>21.16%</t>
        </is>
      </c>
      <c r="N8424" s="7" t="n"/>
      <c r="O8424" t="n">
        <v>4.5</v>
      </c>
      <c r="P8424" t="n">
        <v>1654</v>
      </c>
      <c r="R8424" t="inlineStr">
        <is>
          <t>InStock</t>
        </is>
      </c>
      <c r="S8424" t="inlineStr">
        <is>
          <t>47.96</t>
        </is>
      </c>
      <c r="T8424" t="inlineStr">
        <is>
          <t>4289689124964</t>
        </is>
      </c>
    </row>
    <row r="8425" hidden="1" ht="15.75" customHeight="1">
      <c r="A8425" s="2">
        <f>HYPERLINK("https://edmondsonsupply.com/collections/electricians-tools/products/klein-tools-70570-grip-it%C2%AE-five-key-hex-set-inch", "https://edmondsonsupply.com/collections/electricians-tools/products/klein-tools-70570-grip-it%C2%AE-five-key-hex-set-inch")</f>
        <v/>
      </c>
      <c r="B8425" s="2">
        <f>HYPERLINK("https://edmondsonsupply.com/products/klein-tools-70570-grip-it%c2%ae-five-key-hex-set-inch", "https://edmondsonsupply.com/products/klein-tools-70570-grip-it%c2%ae-five-key-hex-set-inch")</f>
        <v/>
      </c>
      <c r="C8425" t="inlineStr">
        <is>
          <t>Klein Tools 70570 Grip-It® Hex Key Set, 5-Key, SAE Sizes</t>
        </is>
      </c>
      <c r="D8425" t="inlineStr">
        <is>
          <t>Klein Tools 70591 Folding Hex Key Set, 9-Key, SAE Sizes</t>
        </is>
      </c>
      <c r="E8425" s="2">
        <f>HYPERLINK("https://www.amazon.com/Folding-Nine-Key-Klein-Tools-70591/dp/B0002RI8RS/ref=sr_1_6?keywords=Klein+Tools+70570+Grip-It%C2%AE+Hex+Key+Set%2C+5-Key%2C+SAE+Sizes&amp;qid=1694735431&amp;sr=8-6", "https://www.amazon.com/Folding-Nine-Key-Klein-Tools-70591/dp/B0002RI8RS/ref=sr_1_6?keywords=Klein+Tools+70570+Grip-It%C2%AE+Hex+Key+Set%2C+5-Key%2C+SAE+Sizes&amp;qid=1694735431&amp;sr=8-6")</f>
        <v/>
      </c>
      <c r="F8425" t="inlineStr">
        <is>
          <t>B0002RI8RS</t>
        </is>
      </c>
      <c r="G8425">
        <f>_xludf.IMAGE("https://edmondsonsupply.com/cdn/shop/products/70570.jpg?v=1587143378")</f>
        <v/>
      </c>
      <c r="H8425">
        <f>_xludf.IMAGE("https://m.media-amazon.com/images/I/61QIa+2yMTL._AC_UL320_.jpg")</f>
        <v/>
      </c>
      <c r="K8425" t="inlineStr">
        <is>
          <t>9.99</t>
        </is>
      </c>
      <c r="L8425" t="n">
        <v>11.99</v>
      </c>
      <c r="M8425" s="1" t="inlineStr">
        <is>
          <t>20.02%</t>
        </is>
      </c>
      <c r="N8425" s="1" t="n"/>
      <c r="O8425" t="n">
        <v>4.7</v>
      </c>
      <c r="P8425" t="n">
        <v>3166</v>
      </c>
      <c r="R8425" t="inlineStr">
        <is>
          <t>InStock</t>
        </is>
      </c>
      <c r="S8425" t="inlineStr">
        <is>
          <t>13.66</t>
        </is>
      </c>
      <c r="T8425" t="inlineStr">
        <is>
          <t>4344501534820</t>
        </is>
      </c>
    </row>
    <row r="8426" hidden="1" ht="15.75" customHeight="1">
      <c r="A8426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426" s="2">
        <f>HYPERLINK("https://edmondsonsupply.com/products/klein-tools-70591-folding-hex-key-set-nine-key-inch-sizes", "https://edmondsonsupply.com/products/klein-tools-70591-folding-hex-key-set-nine-key-inch-sizes")</f>
        <v/>
      </c>
      <c r="C8426" t="inlineStr">
        <is>
          <t>Klein Tools 70591 Folding Hex Key Set, 9-Key, SAE Sizes</t>
        </is>
      </c>
      <c r="D8426" t="inlineStr">
        <is>
          <t>Klein Tools 70591 Folding Hex Key Set, 9-Key, SAE Sizes</t>
        </is>
      </c>
      <c r="E8426" s="2">
        <f>HYPERLINK("https://www.amazon.com/Folding-Nine-Key-Klein-Tools-70591/dp/B0002RI8RS/ref=sr_1_1?keywords=Klein+Tools+70591+Folding+Hex+Key+Set%2C+9-Key%2C+SAE+Sizes&amp;qid=1694735474&amp;sr=8-1", "https://www.amazon.com/Folding-Nine-Key-Klein-Tools-70591/dp/B0002RI8RS/ref=sr_1_1?keywords=Klein+Tools+70591+Folding+Hex+Key+Set%2C+9-Key%2C+SAE+Sizes&amp;qid=1694735474&amp;sr=8-1")</f>
        <v/>
      </c>
      <c r="F8426" t="inlineStr">
        <is>
          <t>B0002RI8RS</t>
        </is>
      </c>
      <c r="G8426">
        <f>_xludf.IMAGE("https://edmondsonsupply.com/cdn/shop/products/70591.jpg?v=1587146577")</f>
        <v/>
      </c>
      <c r="H8426">
        <f>_xludf.IMAGE("https://m.media-amazon.com/images/I/61QIa+2yMTL._AC_UL320_.jpg")</f>
        <v/>
      </c>
      <c r="K8426" t="inlineStr">
        <is>
          <t>9.99</t>
        </is>
      </c>
      <c r="L8426" t="n">
        <v>11.99</v>
      </c>
      <c r="M8426" s="1" t="inlineStr">
        <is>
          <t>20.02%</t>
        </is>
      </c>
      <c r="N8426" s="1" t="n"/>
      <c r="O8426" t="n">
        <v>4.7</v>
      </c>
      <c r="P8426" t="n">
        <v>3166</v>
      </c>
      <c r="R8426" t="inlineStr">
        <is>
          <t>InStock</t>
        </is>
      </c>
      <c r="S8426" t="inlineStr">
        <is>
          <t>14.04</t>
        </is>
      </c>
      <c r="T8426" t="inlineStr">
        <is>
          <t>3683738320996</t>
        </is>
      </c>
    </row>
    <row r="8427" hidden="1" ht="15.75" customHeight="1">
      <c r="A8427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427" s="2">
        <f>HYPERLINK("https://edmondsonsupply.com/products/klein-tools-662-2-square-screwdriver-with-4-inch-round-shank", "https://edmondsonsupply.com/products/klein-tools-662-2-square-screwdriver-with-4-inch-round-shank")</f>
        <v/>
      </c>
      <c r="C8427" t="inlineStr">
        <is>
          <t>Klein Tools 662 #2 Square Screwdriver with 4-Inch Round Shank</t>
        </is>
      </c>
      <c r="D8427" t="inlineStr">
        <is>
          <t>Klein Tools 6846INS Insulated Screwdriver, 1000V #2 Square Tip Screwdriver with 6-Inch Shank, Tip-Ident, Cushion-Grip Handle</t>
        </is>
      </c>
      <c r="E8427" s="2">
        <f>HYPERLINK("https://www.amazon.com/Klein-Tools-6846INS-Screwdriver-Cushion-Grip/dp/B0BF7X96QK/ref=sr_1_3?keywords=Klein+Tools+662+%232+Square+Screwdriver+with+4-Inch+Round+Shank&amp;qid=1694735445&amp;sr=8-3", "https://www.amazon.com/Klein-Tools-6846INS-Screwdriver-Cushion-Grip/dp/B0BF7X96QK/ref=sr_1_3?keywords=Klein+Tools+662+%232+Square+Screwdriver+with+4-Inch+Round+Shank&amp;qid=1694735445&amp;sr=8-3")</f>
        <v/>
      </c>
      <c r="F8427" t="inlineStr">
        <is>
          <t>B0BF7X96QK</t>
        </is>
      </c>
      <c r="G8427">
        <f>_xludf.IMAGE("https://edmondsonsupply.com/cdn/shop/products/660.jpg?v=1587151189")</f>
        <v/>
      </c>
      <c r="H8427">
        <f>_xludf.IMAGE("https://m.media-amazon.com/images/I/31EOUkZ6n3L._AC_UL320_.jpg")</f>
        <v/>
      </c>
      <c r="K8427" t="inlineStr">
        <is>
          <t>9.99</t>
        </is>
      </c>
      <c r="L8427" t="n">
        <v>11.97</v>
      </c>
      <c r="M8427" s="1" t="inlineStr">
        <is>
          <t>19.82%</t>
        </is>
      </c>
      <c r="N8427" s="1" t="n"/>
      <c r="O8427" t="n">
        <v>4.7</v>
      </c>
      <c r="P8427" t="n">
        <v>201</v>
      </c>
      <c r="R8427" t="inlineStr">
        <is>
          <t>InStock</t>
        </is>
      </c>
      <c r="S8427" t="inlineStr">
        <is>
          <t>12.74</t>
        </is>
      </c>
      <c r="T8427" t="inlineStr">
        <is>
          <t>4274202509412</t>
        </is>
      </c>
    </row>
    <row r="8428" hidden="1" ht="15.75" customHeight="1">
      <c r="A8428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428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428" t="inlineStr">
        <is>
          <t>Klein Tools 614-6 1/8-Inch Cabinet Electronics Screwdriver, 6-Inch</t>
        </is>
      </c>
      <c r="D8428" t="inlineStr">
        <is>
          <t>Klein Tools 6826INS Insulated Screwdriver, 1000V 1/4-Inch Cabinet Tip Screwdriver with 6-Inch Shank, Tip-Ident, Cushion-Grip Handle</t>
        </is>
      </c>
      <c r="E8428" s="2">
        <f>HYPERLINK("https://www.amazon.com/Klein-Tools-6826INS-Screwdriver-Cushion-Grip/dp/B0BF79W49J/ref=sr_1_31?keywords=Klein+Tools+614-6+1%2F8-Inch+Cabinet+Electronics+Screwdriver%2C+6-Inch&amp;qid=1694735470&amp;sr=8-31", "https://www.amazon.com/Klein-Tools-6826INS-Screwdriver-Cushion-Grip/dp/B0BF79W49J/ref=sr_1_31?keywords=Klein+Tools+614-6+1%2F8-Inch+Cabinet+Electronics+Screwdriver%2C+6-Inch&amp;qid=1694735470&amp;sr=8-31")</f>
        <v/>
      </c>
      <c r="F8428" t="inlineStr">
        <is>
          <t>B0BF79W49J</t>
        </is>
      </c>
      <c r="G8428">
        <f>_xludf.IMAGE("https://edmondsonsupply.com/cdn/shop/products/614-6.jpg?v=1587147731")</f>
        <v/>
      </c>
      <c r="H8428">
        <f>_xludf.IMAGE("https://m.media-amazon.com/images/I/41dJ6lRyHyL._AC_UL320_.jpg")</f>
        <v/>
      </c>
      <c r="K8428" t="inlineStr">
        <is>
          <t>9.99</t>
        </is>
      </c>
      <c r="L8428" t="n">
        <v>11.97</v>
      </c>
      <c r="M8428" s="1" t="inlineStr">
        <is>
          <t>19.82%</t>
        </is>
      </c>
      <c r="N8428" s="1" t="n"/>
      <c r="O8428" t="n">
        <v>4.9</v>
      </c>
      <c r="P8428" t="n">
        <v>9</v>
      </c>
      <c r="R8428" t="inlineStr">
        <is>
          <t>InStock</t>
        </is>
      </c>
      <c r="S8428" t="inlineStr">
        <is>
          <t>15.14</t>
        </is>
      </c>
      <c r="T8428" t="inlineStr">
        <is>
          <t>3688620556388</t>
        </is>
      </c>
    </row>
    <row r="8429" hidden="1" ht="15.75" customHeight="1">
      <c r="A8429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429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429" t="inlineStr">
        <is>
          <t>Klein Tools 614-6 1/8-Inch Cabinet Electronics Screwdriver, 6-Inch</t>
        </is>
      </c>
      <c r="D8429" t="inlineStr">
        <is>
          <t>Klein Tools 6866INS Insulated Screwdriver, 1000V 5/16-Inch Cabinet Tip, Screwdriver with 6-Inch Shank, Tip-Ident, Cushion-Grip Handle</t>
        </is>
      </c>
      <c r="E8429" s="2">
        <f>HYPERLINK("https://www.amazon.com/Klein-Tools-6866INS-Screwdriver-Cushion-Grip/dp/B0BF73PSWC/ref=sr_1_10?keywords=Klein+Tools+614-6+1%2F8-Inch+Cabinet+Electronics+Screwdriver%2C+6-Inch&amp;qid=1694735470&amp;sr=8-10", "https://www.amazon.com/Klein-Tools-6866INS-Screwdriver-Cushion-Grip/dp/B0BF73PSWC/ref=sr_1_10?keywords=Klein+Tools+614-6+1%2F8-Inch+Cabinet+Electronics+Screwdriver%2C+6-Inch&amp;qid=1694735470&amp;sr=8-10")</f>
        <v/>
      </c>
      <c r="F8429" t="inlineStr">
        <is>
          <t>B0BF73PSWC</t>
        </is>
      </c>
      <c r="G8429">
        <f>_xludf.IMAGE("https://edmondsonsupply.com/cdn/shop/products/614-6.jpg?v=1587147731")</f>
        <v/>
      </c>
      <c r="H8429">
        <f>_xludf.IMAGE("https://m.media-amazon.com/images/I/41Sx5h6xG-L._AC_UL320_.jpg")</f>
        <v/>
      </c>
      <c r="K8429" t="inlineStr">
        <is>
          <t>9.99</t>
        </is>
      </c>
      <c r="L8429" t="n">
        <v>11.97</v>
      </c>
      <c r="M8429" s="1" t="inlineStr">
        <is>
          <t>19.82%</t>
        </is>
      </c>
      <c r="N8429" s="1" t="n"/>
      <c r="O8429" t="n">
        <v>4.9</v>
      </c>
      <c r="P8429" t="n">
        <v>202</v>
      </c>
      <c r="R8429" t="inlineStr">
        <is>
          <t>InStock</t>
        </is>
      </c>
      <c r="S8429" t="inlineStr">
        <is>
          <t>15.14</t>
        </is>
      </c>
      <c r="T8429" t="inlineStr">
        <is>
          <t>3688620556388</t>
        </is>
      </c>
    </row>
    <row r="8430" hidden="1" ht="15.75" customHeight="1">
      <c r="A8430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430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430" t="inlineStr">
        <is>
          <t>Klein Tools 614-6 1/8-Inch Cabinet Electronics Screwdriver, 6-Inch</t>
        </is>
      </c>
      <c r="D8430" t="inlineStr">
        <is>
          <t>Klein Tools 6816INS Insulated Screwdriver, 1000V 3/16-Inch Cabinet Tip Screwdriver with 6-Inch Shank, Tip-Ident, Cushion-Grip Handle</t>
        </is>
      </c>
      <c r="E8430" s="2">
        <f>HYPERLINK("https://www.amazon.com/Klein-Tools-6816INS-Screwdriver-Cushion-Grip/dp/B0BF7JHR5X/ref=sr_1_32?keywords=Klein+Tools+614-6+1%2F8-Inch+Cabinet+Electronics+Screwdriver%2C+6-Inch&amp;qid=1694735470&amp;sr=8-32", "https://www.amazon.com/Klein-Tools-6816INS-Screwdriver-Cushion-Grip/dp/B0BF7JHR5X/ref=sr_1_32?keywords=Klein+Tools+614-6+1%2F8-Inch+Cabinet+Electronics+Screwdriver%2C+6-Inch&amp;qid=1694735470&amp;sr=8-32")</f>
        <v/>
      </c>
      <c r="F8430" t="inlineStr">
        <is>
          <t>B0BF7JHR5X</t>
        </is>
      </c>
      <c r="G8430">
        <f>_xludf.IMAGE("https://edmondsonsupply.com/cdn/shop/products/614-6.jpg?v=1587147731")</f>
        <v/>
      </c>
      <c r="H8430">
        <f>_xludf.IMAGE("https://m.media-amazon.com/images/I/31ngLMMA6xL._AC_UL320_.jpg")</f>
        <v/>
      </c>
      <c r="K8430" t="inlineStr">
        <is>
          <t>9.99</t>
        </is>
      </c>
      <c r="L8430" t="n">
        <v>11.97</v>
      </c>
      <c r="M8430" s="1" t="inlineStr">
        <is>
          <t>19.82%</t>
        </is>
      </c>
      <c r="N8430" s="1" t="n"/>
      <c r="O8430" t="n">
        <v>4</v>
      </c>
      <c r="P8430" t="n">
        <v>6</v>
      </c>
      <c r="R8430" t="inlineStr">
        <is>
          <t>InStock</t>
        </is>
      </c>
      <c r="S8430" t="inlineStr">
        <is>
          <t>15.14</t>
        </is>
      </c>
      <c r="T8430" t="inlineStr">
        <is>
          <t>3688620556388</t>
        </is>
      </c>
    </row>
    <row r="8431" hidden="1" ht="15.75" customHeight="1">
      <c r="A8431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431" s="2">
        <f>HYPERLINK("https://edmondsonsupply.com/products/klein-tools-600-1-5-16-inch-cabinet-tip-screwdriver-1-1-2-inch", "https://edmondsonsupply.com/products/klein-tools-600-1-5-16-inch-cabinet-tip-screwdriver-1-1-2-inch")</f>
        <v/>
      </c>
      <c r="C8431" t="inlineStr">
        <is>
          <t>Klein Tools 600-1 5/16-Inch Cabinet Tip Screwdriver 1-1/2-Inch</t>
        </is>
      </c>
      <c r="D8431" t="inlineStr">
        <is>
          <t>Klein Tools 612-4 Screwdriver, Flat Head Terminal Block Screwdriver, 1/8-Inch Cabinet Tip, 4-Inch Round Shank, TB-DIN</t>
        </is>
      </c>
      <c r="E8431" s="2">
        <f>HYPERLINK("https://www.amazon.com/Screwdriver-Terminal-Klein-Tools-612-4/dp/B0058I6VNE/ref=sr_1_35?keywords=Klein+Tools+600-1+5%2F16-Inch+Cabinet+Tip+Screwdriver+1-1%2F2-Inch&amp;qid=1694735453&amp;sr=8-35", "https://www.amazon.com/Screwdriver-Terminal-Klein-Tools-612-4/dp/B0058I6VNE/ref=sr_1_35?keywords=Klein+Tools+600-1+5%2F16-Inch+Cabinet+Tip+Screwdriver+1-1%2F2-Inch&amp;qid=1694735453&amp;sr=8-35")</f>
        <v/>
      </c>
      <c r="F8431" t="inlineStr">
        <is>
          <t>B0058I6VNE</t>
        </is>
      </c>
      <c r="G8431">
        <f>_xludf.IMAGE("https://edmondsonsupply.com/cdn/shop/products/600-1.jpg?v=1587147752")</f>
        <v/>
      </c>
      <c r="H8431">
        <f>_xludf.IMAGE("https://m.media-amazon.com/images/I/51APfPlk95L._AC_UL320_.jpg")</f>
        <v/>
      </c>
      <c r="K8431" t="inlineStr">
        <is>
          <t>7.49</t>
        </is>
      </c>
      <c r="L8431" t="n">
        <v>8.970000000000001</v>
      </c>
      <c r="M8431" s="1" t="inlineStr">
        <is>
          <t>19.76%</t>
        </is>
      </c>
      <c r="N8431" s="1" t="n"/>
      <c r="O8431" t="n">
        <v>4.8</v>
      </c>
      <c r="P8431" t="n">
        <v>1953</v>
      </c>
      <c r="R8431" t="inlineStr">
        <is>
          <t>InStock</t>
        </is>
      </c>
      <c r="S8431" t="inlineStr">
        <is>
          <t>11.22</t>
        </is>
      </c>
      <c r="T8431" t="inlineStr">
        <is>
          <t>4171360403556</t>
        </is>
      </c>
    </row>
    <row r="8432" ht="87" customHeight="1">
      <c r="A8432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432" s="2">
        <f>HYPERLINK("https://edmondsonsupply.com/products/klein-tools-d203-6-long-nose-side-cutters-6-inch", "https://edmondsonsupply.com/products/klein-tools-d203-6-long-nose-side-cutters-6-inch")</f>
        <v/>
      </c>
      <c r="C8432" t="inlineStr">
        <is>
          <t>Klein Tools D203-6 Pliers, Needle Nose Side-Cutters, 6-Inch</t>
        </is>
      </c>
      <c r="D8432" t="inlineStr">
        <is>
          <t>Klein Tools D318-51/2C Linemans Pliers, Needle Nose Side Cutters, Spring Loaded, 5-Inch with Knurled Jaw</t>
        </is>
      </c>
      <c r="E8432" s="2">
        <f>HYPERLINK("https://www.amazon.com/Linemans-Klein-Tools-D318-51-2C/dp/B000G67F5G/ref=sr_1_7?keywords=Klein+Tools+D203-6+Pliers%2C+Needle+Nose+Side-Cutters%2C+6-Inch&amp;qid=1694735434&amp;sr=8-7", "https://www.amazon.com/Linemans-Klein-Tools-D318-51-2C/dp/B000G67F5G/ref=sr_1_7?keywords=Klein+Tools+D203-6+Pliers%2C+Needle+Nose+Side-Cutters%2C+6-Inch&amp;qid=1694735434&amp;sr=8-7")</f>
        <v/>
      </c>
      <c r="F8432" t="inlineStr">
        <is>
          <t>B000G67F5G</t>
        </is>
      </c>
      <c r="G8432">
        <f>_xlfn.IMAGE("https://edmondsonsupply.com/cdn/shop/products/d203-6.jpg?v=1587150424")</f>
        <v/>
      </c>
      <c r="H8432">
        <f>_xlfn.IMAGE("https://m.media-amazon.com/images/I/41e01uS7cGL._AC_UL320_.jpg")</f>
        <v/>
      </c>
      <c r="K8432" t="inlineStr">
        <is>
          <t>25.99</t>
        </is>
      </c>
      <c r="L8432" t="n">
        <v>30.99</v>
      </c>
      <c r="M8432" s="1" t="inlineStr">
        <is>
          <t>19.24%</t>
        </is>
      </c>
      <c r="N8432" s="7" t="n"/>
      <c r="O8432" t="n">
        <v>4.2</v>
      </c>
      <c r="P8432" t="n">
        <v>44</v>
      </c>
      <c r="R8432" t="inlineStr">
        <is>
          <t>InStock</t>
        </is>
      </c>
      <c r="S8432" t="inlineStr">
        <is>
          <t>39.38</t>
        </is>
      </c>
      <c r="T8432" t="inlineStr">
        <is>
          <t>4335116484708</t>
        </is>
      </c>
    </row>
    <row r="8433" hidden="1" ht="15.75" customHeight="1">
      <c r="A8433" s="2">
        <f>HYPERLINK("https://edmondsonsupply.com/collections/electricians-tools/products/klein-tools-670-6-screwdriver-3-16-inch-cabinet-rapi-driv%C2%AE-6-inch", "https://edmondsonsupply.com/collections/electricians-tools/products/klein-tools-670-6-screwdriver-3-16-inch-cabinet-rapi-driv%C2%AE-6-inch")</f>
        <v/>
      </c>
      <c r="B8433" s="2">
        <f>HYPERLINK("https://edmondsonsupply.com/products/klein-tools-670-6-screwdriver-3-16-inch-cabinet-rapi-driv%c2%ae-6-inch", "https://edmondsonsupply.com/products/klein-tools-670-6-screwdriver-3-16-inch-cabinet-rapi-driv%c2%ae-6-inch")</f>
        <v/>
      </c>
      <c r="C8433" t="inlineStr">
        <is>
          <t>Klein Tools 670-6 Rapi-Driv® Screwdriver, 3/16-Inch Cabinet Tip, 6-Inch Shank</t>
        </is>
      </c>
      <c r="D8433" t="inlineStr">
        <is>
          <t>Klein Tools 621-6 Coated 3/16-Inch Cabinet Tip Flat Head Screwdriver, 6-Inch Round Shank, Cushion Grip Handle</t>
        </is>
      </c>
      <c r="E8433" s="2">
        <f>HYPERLINK("https://www.amazon.com/16-Inch-Screwdriver-Klein-Tools-621-6/dp/B00093GE44/ref=sr_1_3?keywords=Klein+Tools+670-6+Rapi-Driv%C2%AE+Screwdriver%2C+3%2F16-Inch+Cabinet+Tip%2C+6-Inch+Shank&amp;qid=1694735436&amp;sr=8-3", "https://www.amazon.com/16-Inch-Screwdriver-Klein-Tools-621-6/dp/B00093GE44/ref=sr_1_3?keywords=Klein+Tools+670-6+Rapi-Driv%C2%AE+Screwdriver%2C+3%2F16-Inch+Cabinet+Tip%2C+6-Inch+Shank&amp;qid=1694735436&amp;sr=8-3")</f>
        <v/>
      </c>
      <c r="F8433" t="inlineStr">
        <is>
          <t>B00093GE44</t>
        </is>
      </c>
      <c r="G8433">
        <f>_xludf.IMAGE("https://edmondsonsupply.com/cdn/shop/products/670-6_0b4d3d55-d188-4b6a-b9f2-ed932afb4284.jpg?v=1666899819")</f>
        <v/>
      </c>
      <c r="H8433">
        <f>_xludf.IMAGE("https://m.media-amazon.com/images/I/51PRkgD+r3L._AC_UL320_.jpg")</f>
        <v/>
      </c>
      <c r="K8433" t="inlineStr">
        <is>
          <t>10.49</t>
        </is>
      </c>
      <c r="L8433" t="n">
        <v>12.49</v>
      </c>
      <c r="M8433" s="1" t="inlineStr">
        <is>
          <t>19.07%</t>
        </is>
      </c>
      <c r="N8433" s="1" t="n"/>
      <c r="O8433" t="n">
        <v>4.4</v>
      </c>
      <c r="P8433" t="n">
        <v>25</v>
      </c>
      <c r="R8433" t="inlineStr">
        <is>
          <t>InStock</t>
        </is>
      </c>
      <c r="S8433" t="inlineStr">
        <is>
          <t>15.9</t>
        </is>
      </c>
      <c r="T8433" t="inlineStr">
        <is>
          <t>4343372382308</t>
        </is>
      </c>
    </row>
    <row r="8434" hidden="1" ht="15.75" customHeight="1">
      <c r="A8434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434" s="2">
        <f>HYPERLINK("https://edmondsonsupply.com/products/klein-tools-d203-6-long-nose-side-cutters-6-inch", "https://edmondsonsupply.com/products/klein-tools-d203-6-long-nose-side-cutters-6-inch")</f>
        <v/>
      </c>
      <c r="C8434" t="inlineStr">
        <is>
          <t>Klein Tools D203-6 Pliers, Needle Nose Side-Cutters, 6-Inch</t>
        </is>
      </c>
      <c r="D8434" t="inlineStr">
        <is>
          <t>Klein Tools D327-51/2C Pliers, Needle Nose Pliers, Slim, 1/16-Inch Point Diameter, 5-Inch</t>
        </is>
      </c>
      <c r="E8434" s="2">
        <f>HYPERLINK("https://www.amazon.com/Long-Nose-Klein-Tools-D327-51-2C/dp/B00093D4YW/ref=sr_1_25?keywords=Klein+Tools+D203-6+Pliers%2C+Needle+Nose+Side-Cutters%2C+6-Inch&amp;qid=1694735434&amp;sr=8-25", "https://www.amazon.com/Long-Nose-Klein-Tools-D327-51-2C/dp/B00093D4YW/ref=sr_1_25?keywords=Klein+Tools+D203-6+Pliers%2C+Needle+Nose+Side-Cutters%2C+6-Inch&amp;qid=1694735434&amp;sr=8-25")</f>
        <v/>
      </c>
      <c r="F8434" t="inlineStr">
        <is>
          <t>B00093D4YW</t>
        </is>
      </c>
      <c r="G8434">
        <f>_xludf.IMAGE("https://edmondsonsupply.com/cdn/shop/products/d203-6.jpg?v=1587150424")</f>
        <v/>
      </c>
      <c r="H8434">
        <f>_xludf.IMAGE("https://m.media-amazon.com/images/I/41hPrLJUK9L._AC_UL320_.jpg")</f>
        <v/>
      </c>
      <c r="K8434" t="inlineStr">
        <is>
          <t>25.99</t>
        </is>
      </c>
      <c r="L8434" t="n">
        <v>30.89</v>
      </c>
      <c r="M8434" s="1" t="inlineStr">
        <is>
          <t>18.85%</t>
        </is>
      </c>
      <c r="N8434" s="1" t="n"/>
      <c r="O8434" t="n">
        <v>3.8</v>
      </c>
      <c r="P8434" t="n">
        <v>28</v>
      </c>
      <c r="R8434" t="inlineStr">
        <is>
          <t>InStock</t>
        </is>
      </c>
      <c r="S8434" t="inlineStr">
        <is>
          <t>39.38</t>
        </is>
      </c>
      <c r="T8434" t="inlineStr">
        <is>
          <t>4335116484708</t>
        </is>
      </c>
    </row>
    <row r="8435" ht="87" customHeight="1">
      <c r="A8435" s="2">
        <f>HYPERLINK("https://edmondsonsupply.com/collections/electricians-tools/products/milwaukee-2105-100-lumen-trueview%E2%84%A2-penlight", "https://edmondsonsupply.com/collections/electricians-tools/products/milwaukee-2105-100-lumen-trueview%E2%84%A2-penlight")</f>
        <v/>
      </c>
      <c r="B8435" s="2">
        <f>HYPERLINK("https://edmondsonsupply.com/products/milwaukee-2105-100-lumen-trueview%e2%84%a2-penlight", "https://edmondsonsupply.com/products/milwaukee-2105-100-lumen-trueview%e2%84%a2-penlight")</f>
        <v/>
      </c>
      <c r="C8435" t="inlineStr">
        <is>
          <t>Milwaukee 2105 100-Lumen TRUEVIEW™ Penlight</t>
        </is>
      </c>
      <c r="D8435" t="inlineStr">
        <is>
          <t>Milwaukee 2105 100 Lumens High Definition Penlight</t>
        </is>
      </c>
      <c r="E8435" s="2">
        <f>HYPERLINK("https://www.amazon.com/Milwaukee-2105-Lumens-Definition-Penlight/dp/B07F9VMYQK/ref=sr_1_2?keywords=Milwaukee+2105+100-Lumen+TRUEVIEW%E2%84%A2+Penlight&amp;qid=1694735438&amp;sr=8-2", "https://www.amazon.com/Milwaukee-2105-Lumens-Definition-Penlight/dp/B07F9VMYQK/ref=sr_1_2?keywords=Milwaukee+2105+100-Lumen+TRUEVIEW%E2%84%A2+Penlight&amp;qid=1694735438&amp;sr=8-2")</f>
        <v/>
      </c>
      <c r="F8435" t="inlineStr">
        <is>
          <t>B07F9VMYQK</t>
        </is>
      </c>
      <c r="G8435">
        <f>_xlfn.IMAGE("https://edmondsonsupply.com/cdn/shop/products/2105.jpg?v=1587151435")</f>
        <v/>
      </c>
      <c r="H8435">
        <f>_xlfn.IMAGE("https://m.media-amazon.com/images/I/21NJoFaSBdL._AC_UL320_.jpg")</f>
        <v/>
      </c>
      <c r="K8435" t="inlineStr">
        <is>
          <t>19.97</t>
        </is>
      </c>
      <c r="L8435" t="n">
        <v>23.67</v>
      </c>
      <c r="M8435" s="1" t="inlineStr">
        <is>
          <t>18.53%</t>
        </is>
      </c>
      <c r="N8435" s="7" t="n"/>
      <c r="O8435" t="n">
        <v>4.6</v>
      </c>
      <c r="P8435" t="n">
        <v>102</v>
      </c>
      <c r="R8435" t="inlineStr">
        <is>
          <t>InStock</t>
        </is>
      </c>
      <c r="S8435" t="inlineStr">
        <is>
          <t>29.0</t>
        </is>
      </c>
      <c r="T8435" t="inlineStr">
        <is>
          <t>4332956811364</t>
        </is>
      </c>
    </row>
    <row r="8436" hidden="1" ht="15.75" customHeight="1">
      <c r="A8436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436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436" t="inlineStr">
        <is>
          <t>Klein Tools JTH6M6 6 mm Hex Key, Journeyman T-Handle, 6-Inch</t>
        </is>
      </c>
      <c r="D8436" t="inlineStr">
        <is>
          <t>Klein Tools JTH9M3 3 mm Hex Key, Journeyman T-Handle, 9-Inch</t>
        </is>
      </c>
      <c r="E8436" s="2">
        <f>HYPERLINK("https://www.amazon.com/Journeyman-T-Handle-Klein-Tools-JTH9M3/dp/B005G3HJ28/ref=sr_1_11?keywords=Klein+Tools+JTH6M6+6+mm+Hex+Key%2C+Journeyman+T-Handle%2C+6-Inch&amp;qid=1694735472&amp;sr=8-11", "https://www.amazon.com/Journeyman-T-Handle-Klein-Tools-JTH9M3/dp/B005G3HJ28/ref=sr_1_11?keywords=Klein+Tools+JTH6M6+6+mm+Hex+Key%2C+Journeyman+T-Handle%2C+6-Inch&amp;qid=1694735472&amp;sr=8-11")</f>
        <v/>
      </c>
      <c r="F8436" t="inlineStr">
        <is>
          <t>B005G3HJ28</t>
        </is>
      </c>
      <c r="G8436">
        <f>_xludf.IMAGE("https://edmondsonsupply.com/cdn/shop/products/jth6m8_f0088b53-c3db-4dc3-9272-8f65ecc1b648.jpg?v=1587147556")</f>
        <v/>
      </c>
      <c r="H8436">
        <f>_xludf.IMAGE("https://m.media-amazon.com/images/I/51MZtGjDOtL._AC_UL320_.jpg")</f>
        <v/>
      </c>
      <c r="K8436" t="inlineStr">
        <is>
          <t>4.99</t>
        </is>
      </c>
      <c r="L8436" t="n">
        <v>5.88</v>
      </c>
      <c r="M8436" s="1" t="inlineStr">
        <is>
          <t>17.84%</t>
        </is>
      </c>
      <c r="N8436" s="1" t="n"/>
      <c r="O8436" t="n">
        <v>4.6</v>
      </c>
      <c r="P8436" t="n">
        <v>179</v>
      </c>
      <c r="R8436" t="inlineStr">
        <is>
          <t>InStock</t>
        </is>
      </c>
      <c r="S8436" t="inlineStr">
        <is>
          <t>7.56</t>
        </is>
      </c>
      <c r="T8436" t="inlineStr">
        <is>
          <t>3694875246692</t>
        </is>
      </c>
    </row>
    <row r="8437" ht="87" customHeight="1">
      <c r="A8437" s="2">
        <f>HYPERLINK("https://edmondsonsupply.com/collections/electricians-tools/products/klein-tools-vdv002-818-coax-cable-installation-test-kit", "https://edmondsonsupply.com/collections/electricians-tools/products/klein-tools-vdv002-818-coax-cable-installation-test-kit")</f>
        <v/>
      </c>
      <c r="B8437" s="2">
        <f>HYPERLINK("https://edmondsonsupply.com/products/klein-tools-vdv002-818-coax-cable-installation-test-kit", "https://edmondsonsupply.com/products/klein-tools-vdv002-818-coax-cable-installation-test-kit")</f>
        <v/>
      </c>
      <c r="C8437" t="inlineStr">
        <is>
          <t>Klein Tools VDV002-818 Coax Cable Installation &amp; Test Kit</t>
        </is>
      </c>
      <c r="D8437" t="inlineStr">
        <is>
          <t>Klein Tools VDV002-818 Coax Install and Test Kit with Crimp Tool, Includes Tester, Stripper and Universal F Connectors &amp; VDV812-606 F-Connector, 10-Pack</t>
        </is>
      </c>
      <c r="E8437" s="2">
        <f>HYPERLINK("https://www.amazon.com/Klein-Tools-VDV002-818-Connectors-F-Connector/dp/B0BKQ9JNP3/ref=sr_1_4?keywords=Klein+Tools+VDV002-818+Coax+Cable+Installation&amp;qid=1694735432&amp;sr=8-4", "https://www.amazon.com/Klein-Tools-VDV002-818-Connectors-F-Connector/dp/B0BKQ9JNP3/ref=sr_1_4?keywords=Klein+Tools+VDV002-818+Coax+Cable+Installation&amp;qid=1694735432&amp;sr=8-4")</f>
        <v/>
      </c>
      <c r="F8437" t="inlineStr">
        <is>
          <t>B0BKQ9JNP3</t>
        </is>
      </c>
      <c r="G8437">
        <f>_xlfn.IMAGE("https://edmondsonsupply.com/cdn/shop/products/vdv002-818.jpg?v=1587144977")</f>
        <v/>
      </c>
      <c r="H8437">
        <f>_xlfn.IMAGE("https://m.media-amazon.com/images/I/51JWMWLzHvL._AC_UL320_.jpg")</f>
        <v/>
      </c>
      <c r="K8437" t="inlineStr">
        <is>
          <t>53.99</t>
        </is>
      </c>
      <c r="L8437" t="n">
        <v>63.52</v>
      </c>
      <c r="M8437" s="1" t="inlineStr">
        <is>
          <t>17.65%</t>
        </is>
      </c>
      <c r="N8437" s="7" t="n"/>
      <c r="O8437" t="n">
        <v>5</v>
      </c>
      <c r="P8437" t="n">
        <v>3</v>
      </c>
      <c r="R8437" t="inlineStr">
        <is>
          <t>InStock</t>
        </is>
      </c>
      <c r="S8437" t="inlineStr">
        <is>
          <t>72.74</t>
        </is>
      </c>
      <c r="T8437" t="inlineStr">
        <is>
          <t>4345265193060</t>
        </is>
      </c>
    </row>
    <row r="8438" hidden="1" ht="15.75" customHeight="1">
      <c r="A8438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438" s="2">
        <f>HYPERLINK("https://edmondsonsupply.com/products/klein-tools-601-4-3-16-cabinet-tip-screwdriver-4-round-shank", "https://edmondsonsupply.com/products/klein-tools-601-4-3-16-cabinet-tip-screwdriver-4-round-shank")</f>
        <v/>
      </c>
      <c r="C8438" t="inlineStr">
        <is>
          <t>Klein Tools 601-4 3/16-Inch Cabinet Tip Screwdriver 4-Inch</t>
        </is>
      </c>
      <c r="D8438" t="inlineStr">
        <is>
          <t>Klein Tools 601-8 3/16-Inch Cabinet Tip Screwdriver, 8-Inch</t>
        </is>
      </c>
      <c r="E8438" s="2">
        <f>HYPERLINK("https://www.amazon.com/Klein-Tools-601-8-16-Inch-Screwdriver/dp/B000BPAI6K/ref=sr_1_1?keywords=Klein+Tools+601-4+3%2F16-Inch+Cabinet+Tip+Screwdriver+4-Inch&amp;qid=1694735471&amp;sr=8-1", "https://www.amazon.com/Klein-Tools-601-8-16-Inch-Screwdriver/dp/B000BPAI6K/ref=sr_1_1?keywords=Klein+Tools+601-4+3%2F16-Inch+Cabinet+Tip+Screwdriver+4-Inch&amp;qid=1694735471&amp;sr=8-1")</f>
        <v/>
      </c>
      <c r="F8438" t="inlineStr">
        <is>
          <t>B000BPAI6K</t>
        </is>
      </c>
      <c r="G8438">
        <f>_xludf.IMAGE("https://edmondsonsupply.com/cdn/shop/products/601-4.jpg?v=1587147829")</f>
        <v/>
      </c>
      <c r="H8438">
        <f>_xludf.IMAGE("https://m.media-amazon.com/images/I/31tcIGrcnZL._AC_UL320_.jpg")</f>
        <v/>
      </c>
      <c r="K8438" t="inlineStr">
        <is>
          <t>8.98</t>
        </is>
      </c>
      <c r="L8438" t="n">
        <v>10.49</v>
      </c>
      <c r="M8438" s="1" t="inlineStr">
        <is>
          <t>16.82%</t>
        </is>
      </c>
      <c r="N8438" s="1" t="n"/>
      <c r="O8438" t="n">
        <v>4.8</v>
      </c>
      <c r="P8438" t="n">
        <v>837</v>
      </c>
      <c r="R8438" t="inlineStr">
        <is>
          <t>InStock</t>
        </is>
      </c>
      <c r="S8438" t="inlineStr">
        <is>
          <t>11.52</t>
        </is>
      </c>
      <c r="T8438" t="inlineStr">
        <is>
          <t>2767048900708</t>
        </is>
      </c>
    </row>
    <row r="8439" hidden="1" ht="15.75" customHeight="1">
      <c r="A8439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439" s="2">
        <f>HYPERLINK("https://edmondsonsupply.com/products/klein-tools-601-4-3-16-cabinet-tip-screwdriver-4-round-shank", "https://edmondsonsupply.com/products/klein-tools-601-4-3-16-cabinet-tip-screwdriver-4-round-shank")</f>
        <v/>
      </c>
      <c r="C8439" t="inlineStr">
        <is>
          <t>Klein Tools 601-4 3/16-Inch Cabinet Tip Screwdriver 4-Inch</t>
        </is>
      </c>
      <c r="D8439" t="inlineStr">
        <is>
          <t>Klein Tools 670-6 Screwdriver, 3/16-Inch Cabinet Tip, Rapi-Driv with 6-Inch Shank</t>
        </is>
      </c>
      <c r="E8439" s="2">
        <f>HYPERLINK("https://www.amazon.com/Klein-Tools-670-6-Screwdriver-Rapi-Driv/dp/B000BO9T3Y/ref=sr_1_12?keywords=Klein+Tools+601-4+3%2F16-Inch+Cabinet+Tip+Screwdriver+4-Inch&amp;qid=1694735471&amp;sr=8-12", "https://www.amazon.com/Klein-Tools-670-6-Screwdriver-Rapi-Driv/dp/B000BO9T3Y/ref=sr_1_12?keywords=Klein+Tools+601-4+3%2F16-Inch+Cabinet+Tip+Screwdriver+4-Inch&amp;qid=1694735471&amp;sr=8-12")</f>
        <v/>
      </c>
      <c r="F8439" t="inlineStr">
        <is>
          <t>B000BO9T3Y</t>
        </is>
      </c>
      <c r="G8439">
        <f>_xludf.IMAGE("https://edmondsonsupply.com/cdn/shop/products/601-4.jpg?v=1587147829")</f>
        <v/>
      </c>
      <c r="H8439">
        <f>_xludf.IMAGE("https://m.media-amazon.com/images/I/31+1RSUdZ+S._AC_UL320_.jpg")</f>
        <v/>
      </c>
      <c r="K8439" t="inlineStr">
        <is>
          <t>8.98</t>
        </is>
      </c>
      <c r="L8439" t="n">
        <v>10.49</v>
      </c>
      <c r="M8439" s="1" t="inlineStr">
        <is>
          <t>16.82%</t>
        </is>
      </c>
      <c r="N8439" s="1" t="n"/>
      <c r="O8439" t="n">
        <v>4.8</v>
      </c>
      <c r="P8439" t="n">
        <v>1603</v>
      </c>
      <c r="R8439" t="inlineStr">
        <is>
          <t>InStock</t>
        </is>
      </c>
      <c r="S8439" t="inlineStr">
        <is>
          <t>11.52</t>
        </is>
      </c>
      <c r="T8439" t="inlineStr">
        <is>
          <t>2767048900708</t>
        </is>
      </c>
    </row>
    <row r="8440" ht="87" customHeight="1">
      <c r="A8440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440" s="2">
        <f>HYPERLINK("https://edmondsonsupply.com/products/klein-tools-1005-crimping-and-cutting-tool-for-connectors", "https://edmondsonsupply.com/products/klein-tools-1005-crimping-and-cutting-tool-for-connectors")</f>
        <v/>
      </c>
      <c r="C8440" t="inlineStr">
        <is>
          <t>Klein Tools 1005 Crimping and Cutting Tool for Connectors</t>
        </is>
      </c>
      <c r="D8440" t="inlineStr">
        <is>
          <t>Klein Tools 1006 Cutting / Crimping Tool, Crimps 10 to 22 AWG Solderless Terminals and Connectors, with Wire Cutter in Tapered Nose</t>
        </is>
      </c>
      <c r="E8440" s="2">
        <f>HYPERLINK("https://www.amazon.com/Non-Insulated-Terminals-Klein-Tools-1006/dp/B00776SJJO/ref=sr_1_16?keywords=Klein+Tools+1005+Crimping+and+Cutting+Tool+for+Connectors&amp;qid=1694735460&amp;sr=8-16", "https://www.amazon.com/Non-Insulated-Terminals-Klein-Tools-1006/dp/B00776SJJO/ref=sr_1_16?keywords=Klein+Tools+1005+Crimping+and+Cutting+Tool+for+Connectors&amp;qid=1694735460&amp;sr=8-16")</f>
        <v/>
      </c>
      <c r="F8440" t="inlineStr">
        <is>
          <t>B00776SJJO</t>
        </is>
      </c>
      <c r="G8440">
        <f>_xlfn.IMAGE("https://edmondsonsupply.com/cdn/shop/products/1005.jpg?v=1666012896")</f>
        <v/>
      </c>
      <c r="H8440">
        <f>_xlfn.IMAGE("https://m.media-amazon.com/images/I/31VG+arXrCL._AC_UL320_.jpg")</f>
        <v/>
      </c>
      <c r="K8440" t="inlineStr">
        <is>
          <t>29.97</t>
        </is>
      </c>
      <c r="L8440" t="n">
        <v>34.99</v>
      </c>
      <c r="M8440" s="1" t="inlineStr">
        <is>
          <t>16.75%</t>
        </is>
      </c>
      <c r="N8440" s="7" t="n"/>
      <c r="O8440" t="n">
        <v>4.8</v>
      </c>
      <c r="P8440" t="n">
        <v>398</v>
      </c>
      <c r="R8440" t="inlineStr">
        <is>
          <t>InStock</t>
        </is>
      </c>
      <c r="S8440" t="inlineStr">
        <is>
          <t>45.26</t>
        </is>
      </c>
      <c r="T8440" t="inlineStr">
        <is>
          <t>3707845640292</t>
        </is>
      </c>
    </row>
    <row r="8441" hidden="1" ht="15.75" customHeight="1">
      <c r="A8441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441" s="2">
        <f>HYPERLINK("https://edmondsonsupply.com/products/klein-tools-601-6-3-16-inch-cabinet-tip-screwdriver-6-inch", "https://edmondsonsupply.com/products/klein-tools-601-6-3-16-inch-cabinet-tip-screwdriver-6-inch")</f>
        <v/>
      </c>
      <c r="C8441" t="inlineStr">
        <is>
          <t>Klein Tools 601-6 3/16-Inch Cabinet Tip Screwdriver 6-Inch</t>
        </is>
      </c>
      <c r="D8441" t="inlineStr">
        <is>
          <t>Klein Tools 670-6 Screwdriver, 3/16-Inch Cabinet Tip, Rapi-Driv with 6-Inch Shank</t>
        </is>
      </c>
      <c r="E8441" s="2">
        <f>HYPERLINK("https://www.amazon.com/Klein-Tools-670-6-Screwdriver-Rapi-Driv/dp/B000BO9T3Y/ref=sr_1_5?keywords=Klein+Tools+601-6+3%2F16-Inch+Cabinet+Tip+Screwdriver+6-Inch&amp;qid=1694735470&amp;sr=8-5", "https://www.amazon.com/Klein-Tools-670-6-Screwdriver-Rapi-Driv/dp/B000BO9T3Y/ref=sr_1_5?keywords=Klein+Tools+601-6+3%2F16-Inch+Cabinet+Tip+Screwdriver+6-Inch&amp;qid=1694735470&amp;sr=8-5")</f>
        <v/>
      </c>
      <c r="F8441" t="inlineStr">
        <is>
          <t>B000BO9T3Y</t>
        </is>
      </c>
      <c r="G8441">
        <f>_xludf.IMAGE("https://edmondsonsupply.com/cdn/shop/products/601-6.jpg?v=1587148683")</f>
        <v/>
      </c>
      <c r="H8441">
        <f>_xludf.IMAGE("https://m.media-amazon.com/images/I/31+1RSUdZ+S._AC_UL320_.jpg")</f>
        <v/>
      </c>
      <c r="K8441" t="inlineStr">
        <is>
          <t>8.99</t>
        </is>
      </c>
      <c r="L8441" t="n">
        <v>10.49</v>
      </c>
      <c r="M8441" s="1" t="inlineStr">
        <is>
          <t>16.69%</t>
        </is>
      </c>
      <c r="N8441" s="1" t="n"/>
      <c r="O8441" t="n">
        <v>4.8</v>
      </c>
      <c r="P8441" t="n">
        <v>1603</v>
      </c>
      <c r="R8441" t="inlineStr">
        <is>
          <t>InStock</t>
        </is>
      </c>
      <c r="S8441" t="inlineStr">
        <is>
          <t>11.96</t>
        </is>
      </c>
      <c r="T8441" t="inlineStr">
        <is>
          <t>3689898016868</t>
        </is>
      </c>
    </row>
    <row r="8442" ht="87" customHeight="1">
      <c r="A8442" s="2">
        <f>HYPERLINK("https://edmondsonsupply.com/collections/electricians-tools/products/milwaukee-2112-21-usb-rechargeable-rover%E2%84%A2-pocket-flood-light", "https://edmondsonsupply.com/collections/electricians-tools/products/milwaukee-2112-21-usb-rechargeable-rover%E2%84%A2-pocket-flood-light")</f>
        <v/>
      </c>
      <c r="B8442" s="2">
        <f>HYPERLINK("https://edmondsonsupply.com/products/milwaukee-2112-21-usb-rechargeable-rover%e2%84%a2-pocket-flood-light", "https://edmondsonsupply.com/products/milwaukee-2112-21-usb-rechargeable-rover%e2%84%a2-pocket-flood-light")</f>
        <v/>
      </c>
      <c r="C8442" t="inlineStr">
        <is>
          <t>Milwaukee 2112-21 USB Rechargeable ROVER™ Pocket Flood Light</t>
        </is>
      </c>
      <c r="D8442" t="inlineStr">
        <is>
          <t>Milwaukee 2112-21 445-Lumen LED Rover Rechargeable Pocket Flood Light</t>
        </is>
      </c>
      <c r="E8442" s="2">
        <f>HYPERLINK("https://www.amazon.com/Milwaukee-2112-21-445-Lumen-Rechargeable-Pocket/dp/B079NDCF2X/ref=sr_1_1?keywords=Milwaukee+2112-21+USB+Rechargeable+ROVER%E2%84%A2+Pocket+Flood+Light&amp;qid=1694735441&amp;sr=8-1", "https://www.amazon.com/Milwaukee-2112-21-445-Lumen-Rechargeable-Pocket/dp/B079NDCF2X/ref=sr_1_1?keywords=Milwaukee+2112-21+USB+Rechargeable+ROVER%E2%84%A2+Pocket+Flood+Light&amp;qid=1694735441&amp;sr=8-1")</f>
        <v/>
      </c>
      <c r="F8442" t="inlineStr">
        <is>
          <t>B079NDCF2X</t>
        </is>
      </c>
      <c r="G8442">
        <f>_xlfn.IMAGE("https://edmondsonsupply.com/cdn/shop/products/2112-21.jpg?v=1587142527")</f>
        <v/>
      </c>
      <c r="H8442">
        <f>_xlfn.IMAGE("https://m.media-amazon.com/images/I/81hvCXJQ4EL._AC_UL320_.jpg")</f>
        <v/>
      </c>
      <c r="K8442" t="inlineStr">
        <is>
          <t>59.97</t>
        </is>
      </c>
      <c r="L8442" t="n">
        <v>69</v>
      </c>
      <c r="M8442" s="1" t="inlineStr">
        <is>
          <t>15.06%</t>
        </is>
      </c>
      <c r="N8442" s="7" t="n"/>
      <c r="O8442" t="n">
        <v>4.6</v>
      </c>
      <c r="P8442" t="n">
        <v>355</v>
      </c>
      <c r="R8442" t="inlineStr">
        <is>
          <t>InStock</t>
        </is>
      </c>
      <c r="S8442" t="inlineStr">
        <is>
          <t>90.0</t>
        </is>
      </c>
      <c r="T8442" t="inlineStr">
        <is>
          <t>4332986368100</t>
        </is>
      </c>
    </row>
    <row r="8443" hidden="1" ht="15.75" customHeight="1">
      <c r="A8443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43" s="2">
        <f>HYPERLINK("https://edmondsonsupply.com/products/klein-tools-600-4-1-4-inch-screwdriver-heavy-duty-square-shank", "https://edmondsonsupply.com/products/klein-tools-600-4-1-4-inch-screwdriver-heavy-duty-square-shank")</f>
        <v/>
      </c>
      <c r="C8443" t="inlineStr">
        <is>
          <t>Klein Tools 600-4 1/4-Inch Keystone Cushion-Grip Screwdriver</t>
        </is>
      </c>
      <c r="D8443" t="inlineStr">
        <is>
          <t>Klein Tools 85742 Screwdriver Set, 3/16 Cabinet and 2 Phillips Precision Machined Tips, Cushion-Grip Handles, Round Shank, 2-Piece</t>
        </is>
      </c>
      <c r="E8443" s="2">
        <f>HYPERLINK("https://www.amazon.com/Screwdriver-Cushion-Grip-Klein-Tools-85742/dp/B0917X34P6/ref=sr_1_33?keywords=Klein+Tools+600-4+1%2F4-Inch+Keystone+Cushion-Grip+Screwdriver&amp;qid=1694735465&amp;sr=8-33", "https://www.amazon.com/Screwdriver-Cushion-Grip-Klein-Tools-85742/dp/B0917X34P6/ref=sr_1_33?keywords=Klein+Tools+600-4+1%2F4-Inch+Keystone+Cushion-Grip+Screwdriver&amp;qid=1694735465&amp;sr=8-33")</f>
        <v/>
      </c>
      <c r="F8443" t="inlineStr">
        <is>
          <t>B0917X34P6</t>
        </is>
      </c>
      <c r="G8443">
        <f>_xludf.IMAGE("https://edmondsonsupply.com/cdn/shop/products/600-4.jpg?v=1587145175")</f>
        <v/>
      </c>
      <c r="H8443">
        <f>_xludf.IMAGE("https://m.media-amazon.com/images/I/51oASlfAJbS._AC_UL320_.jpg")</f>
        <v/>
      </c>
      <c r="K8443" t="inlineStr">
        <is>
          <t>11.49</t>
        </is>
      </c>
      <c r="L8443" t="n">
        <v>13.2</v>
      </c>
      <c r="M8443" s="1" t="inlineStr">
        <is>
          <t>14.88%</t>
        </is>
      </c>
      <c r="N8443" s="1" t="n"/>
      <c r="O8443" t="n">
        <v>4.7</v>
      </c>
      <c r="P8443" t="n">
        <v>89</v>
      </c>
      <c r="R8443" t="inlineStr">
        <is>
          <t>InStock</t>
        </is>
      </c>
      <c r="S8443" t="inlineStr">
        <is>
          <t>15.08</t>
        </is>
      </c>
      <c r="T8443" t="inlineStr">
        <is>
          <t>3700353073252</t>
        </is>
      </c>
    </row>
    <row r="8444" hidden="1" ht="15.75" customHeight="1">
      <c r="A8444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444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444" t="inlineStr">
        <is>
          <t>Klein Tools 32561 Multi-Bit Screwdriver / Nut Driver, 6-in-1, Stubby, Ph, Sl Bits</t>
        </is>
      </c>
      <c r="D8444" t="inlineStr">
        <is>
          <t>Klein Tools 32562 Multi-Bit Screwdriver / Nut Driver, 6-in-1 Stubby Tool with Square Recess, Slotted, Phillips Bits and Nut Drivers</t>
        </is>
      </c>
      <c r="E8444" s="2">
        <f>HYPERLINK("https://www.amazon.com/Multi-Bit-Screwdriver-Klein-Tools-32562/dp/B007SF5DNE/ref=sr_1_2?keywords=Klein+Tools+32561+Multi-Bit+Screwdriver+%2F+Nut+Driver%2C+6-in-1%2C+Stubby%2C+Ph%2C+Sl+Bits&amp;qid=1694735473&amp;sr=8-2", "https://www.amazon.com/Multi-Bit-Screwdriver-Klein-Tools-32562/dp/B007SF5DNE/ref=sr_1_2?keywords=Klein+Tools+32561+Multi-Bit+Screwdriver+%2F+Nut+Driver%2C+6-in-1%2C+Stubby%2C+Ph%2C+Sl+Bits&amp;qid=1694735473&amp;sr=8-2")</f>
        <v/>
      </c>
      <c r="F8444" t="inlineStr">
        <is>
          <t>B007SF5DNE</t>
        </is>
      </c>
      <c r="G8444">
        <f>_xludf.IMAGE("https://edmondsonsupply.com/cdn/shop/products/32561_beauty_r.jpg?v=1604436217")</f>
        <v/>
      </c>
      <c r="H8444">
        <f>_xludf.IMAGE("https://m.media-amazon.com/images/I/515fclR4vsL._AC_UL320_.jpg")</f>
        <v/>
      </c>
      <c r="K8444" t="inlineStr">
        <is>
          <t>10.97</t>
        </is>
      </c>
      <c r="L8444" t="n">
        <v>12.6</v>
      </c>
      <c r="M8444" s="1" t="inlineStr">
        <is>
          <t>14.86%</t>
        </is>
      </c>
      <c r="N8444" s="1" t="n"/>
      <c r="O8444" t="n">
        <v>4.7</v>
      </c>
      <c r="P8444" t="n">
        <v>480</v>
      </c>
      <c r="R8444" t="inlineStr">
        <is>
          <t>InStock</t>
        </is>
      </c>
      <c r="S8444" t="inlineStr">
        <is>
          <t>16.94</t>
        </is>
      </c>
      <c r="T8444" t="inlineStr">
        <is>
          <t>3671725998180</t>
        </is>
      </c>
    </row>
    <row r="8445" ht="87" customHeight="1">
      <c r="A8445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445" s="2">
        <f>HYPERLINK("https://edmondsonsupply.com/products/klein-tools-69411-circuit-breaker-finder-accessory-kit", "https://edmondsonsupply.com/products/klein-tools-69411-circuit-breaker-finder-accessory-kit")</f>
        <v/>
      </c>
      <c r="C8445" t="inlineStr">
        <is>
          <t>Klein Tools 69411 Circuit Breaker Finder Accessory Kit</t>
        </is>
      </c>
      <c r="D8445" t="inlineStr">
        <is>
          <t>GETGEAR Circuit Breaker Finder/Tester case for Klein Tools ET310 AC Circuit Breaker Finder, RT310, Accessory Kit storage case, also good for other device and meters</t>
        </is>
      </c>
      <c r="E8445" s="2">
        <f>HYPERLINK("https://www.amazon.com/GETGEAR-Circuit-Breaker-Accessory-storage/dp/B08BG6626N/ref=sr_1_18?keywords=Klein+Tools+69411+Circuit+Breaker+Finder+Accessory+Kit&amp;qid=1694735452&amp;sr=8-18", "https://www.amazon.com/GETGEAR-Circuit-Breaker-Accessory-storage/dp/B08BG6626N/ref=sr_1_18?keywords=Klein+Tools+69411+Circuit+Breaker+Finder+Accessory+Kit&amp;qid=1694735452&amp;sr=8-18")</f>
        <v/>
      </c>
      <c r="F8445" t="inlineStr">
        <is>
          <t>B08BG6626N</t>
        </is>
      </c>
      <c r="G8445">
        <f>_xlfn.IMAGE("https://edmondsonsupply.com/cdn/shop/products/69411.jpg?v=1587143386")</f>
        <v/>
      </c>
      <c r="H8445">
        <f>_xlfn.IMAGE("https://m.media-amazon.com/images/I/91NmyNMlnXS._AC_UL320_.jpg")</f>
        <v/>
      </c>
      <c r="K8445" t="inlineStr">
        <is>
          <t>19.97</t>
        </is>
      </c>
      <c r="L8445" t="n">
        <v>22.88</v>
      </c>
      <c r="M8445" s="1" t="inlineStr">
        <is>
          <t>14.57%</t>
        </is>
      </c>
      <c r="N8445" s="7" t="n"/>
      <c r="O8445" t="n">
        <v>4.2</v>
      </c>
      <c r="P8445" t="n">
        <v>34</v>
      </c>
      <c r="R8445" t="inlineStr">
        <is>
          <t>InStock</t>
        </is>
      </c>
      <c r="S8445" t="inlineStr">
        <is>
          <t>27.96</t>
        </is>
      </c>
      <c r="T8445" t="inlineStr">
        <is>
          <t>4166896255076</t>
        </is>
      </c>
    </row>
    <row r="8446" ht="87" customHeight="1">
      <c r="A8446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446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446" t="inlineStr">
        <is>
          <t>Klein Tools 607-3-INS Insulated Screwdriver, 3/32-Inch Cabinet, 3-Inch</t>
        </is>
      </c>
      <c r="D8446" t="inlineStr">
        <is>
          <t>Klein Tools 32286 Insulated Screwdriver, 2-in-1 Screwdriver Set with Flip Blade, #1 Phillips and 3/16-Inch Slotted Tips, Double-Ended Blades</t>
        </is>
      </c>
      <c r="E8446" s="2">
        <f>HYPERLINK("https://www.amazon.com/Klein-Tools-32286-Screwdriver-Double-Ended/dp/B07XQBZXL2/ref=sr_1_34?keywords=Klein+Tools+607-3-INS+Insulated+Screwdriver%2C+3%2F32-Inch+Cabinet%2C+3-Inch&amp;qid=1694735479&amp;sr=8-34", "https://www.amazon.com/Klein-Tools-32286-Screwdriver-Double-Ended/dp/B07XQBZXL2/ref=sr_1_34?keywords=Klein+Tools+607-3-INS+Insulated+Screwdriver%2C+3%2F32-Inch+Cabinet%2C+3-Inch&amp;qid=1694735479&amp;sr=8-34")</f>
        <v/>
      </c>
      <c r="F8446" t="inlineStr">
        <is>
          <t>B07XQBZXL2</t>
        </is>
      </c>
      <c r="G8446">
        <f>_xlfn.IMAGE("https://edmondsonsupply.com/cdn/shop/products/607-3-ins.jpg?v=1587143254")</f>
        <v/>
      </c>
      <c r="H8446">
        <f>_xlfn.IMAGE("https://m.media-amazon.com/images/I/41ujHk4Dg2L._AC_UL320_.jpg")</f>
        <v/>
      </c>
      <c r="K8446" t="inlineStr">
        <is>
          <t>17.49</t>
        </is>
      </c>
      <c r="L8446" t="n">
        <v>19.98</v>
      </c>
      <c r="M8446" s="1" t="inlineStr">
        <is>
          <t>14.24%</t>
        </is>
      </c>
      <c r="N8446" s="7" t="n"/>
      <c r="O8446" t="n">
        <v>4.7</v>
      </c>
      <c r="P8446" t="n">
        <v>616</v>
      </c>
      <c r="R8446" t="inlineStr">
        <is>
          <t>InStock</t>
        </is>
      </c>
      <c r="S8446" t="inlineStr">
        <is>
          <t>26.5</t>
        </is>
      </c>
      <c r="T8446" t="inlineStr">
        <is>
          <t>3688617902180</t>
        </is>
      </c>
    </row>
    <row r="8447" ht="87" customHeight="1">
      <c r="A8447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447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447" t="inlineStr">
        <is>
          <t>Klein Tools 607-3-INS Insulated Screwdriver, 3/32-Inch Cabinet, 3-Inch</t>
        </is>
      </c>
      <c r="D8447" t="inlineStr">
        <is>
          <t>Klein Tools 32293 Insulated Screwdriver, 2-in-1 Screwdriver Set with Flip Blade, #2 Phillips and1/4-Inch Slotted Tips, Double-Ended Blades</t>
        </is>
      </c>
      <c r="E8447" s="2">
        <f>HYPERLINK("https://www.amazon.com/Klein-Tools-32293-Screwdriver-Double-Ended/dp/B07WWZZQD2/ref=sr_1_16?keywords=Klein+Tools+607-3-INS+Insulated+Screwdriver%2C+3%2F32-Inch+Cabinet%2C+3-Inch&amp;qid=1694735479&amp;sr=8-16", "https://www.amazon.com/Klein-Tools-32293-Screwdriver-Double-Ended/dp/B07WWZZQD2/ref=sr_1_16?keywords=Klein+Tools+607-3-INS+Insulated+Screwdriver%2C+3%2F32-Inch+Cabinet%2C+3-Inch&amp;qid=1694735479&amp;sr=8-16")</f>
        <v/>
      </c>
      <c r="F8447" t="inlineStr">
        <is>
          <t>B07WWZZQD2</t>
        </is>
      </c>
      <c r="G8447">
        <f>_xlfn.IMAGE("https://edmondsonsupply.com/cdn/shop/products/607-3-ins.jpg?v=1587143254")</f>
        <v/>
      </c>
      <c r="H8447">
        <f>_xlfn.IMAGE("https://m.media-amazon.com/images/I/41yk4NC2BmL._AC_UL320_.jpg")</f>
        <v/>
      </c>
      <c r="K8447" t="inlineStr">
        <is>
          <t>17.49</t>
        </is>
      </c>
      <c r="L8447" t="n">
        <v>19.98</v>
      </c>
      <c r="M8447" s="1" t="inlineStr">
        <is>
          <t>14.24%</t>
        </is>
      </c>
      <c r="N8447" s="7" t="n"/>
      <c r="O8447" t="n">
        <v>4.8</v>
      </c>
      <c r="P8447" t="n">
        <v>2774</v>
      </c>
      <c r="R8447" t="inlineStr">
        <is>
          <t>InStock</t>
        </is>
      </c>
      <c r="S8447" t="inlineStr">
        <is>
          <t>26.5</t>
        </is>
      </c>
      <c r="T8447" t="inlineStr">
        <is>
          <t>3688617902180</t>
        </is>
      </c>
    </row>
    <row r="8448" hidden="1" ht="15.75" customHeight="1">
      <c r="A8448" s="2">
        <f>HYPERLINK("https://edmondsonsupply.com/collections/electricians-tools/products/klein-tools-670-6-screwdriver-3-16-inch-cabinet-rapi-driv%C2%AE-6-inch", "https://edmondsonsupply.com/collections/electricians-tools/products/klein-tools-670-6-screwdriver-3-16-inch-cabinet-rapi-driv%C2%AE-6-inch")</f>
        <v/>
      </c>
      <c r="B8448" s="2">
        <f>HYPERLINK("https://edmondsonsupply.com/products/klein-tools-670-6-screwdriver-3-16-inch-cabinet-rapi-driv%c2%ae-6-inch", "https://edmondsonsupply.com/products/klein-tools-670-6-screwdriver-3-16-inch-cabinet-rapi-driv%c2%ae-6-inch")</f>
        <v/>
      </c>
      <c r="C8448" t="inlineStr">
        <is>
          <t>Klein Tools 670-6 Rapi-Driv® Screwdriver, 3/16-Inch Cabinet Tip, 6-Inch Shank</t>
        </is>
      </c>
      <c r="D8448" t="inlineStr">
        <is>
          <t>Klein Tools 6866INS Insulated Screwdriver, 1000V 5/16-Inch Cabinet Tip, Screwdriver with 6-Inch Shank, Tip-Ident, Cushion-Grip Handle</t>
        </is>
      </c>
      <c r="E8448" s="2">
        <f>HYPERLINK("https://www.amazon.com/Klein-Tools-6866INS-Screwdriver-Cushion-Grip/dp/B0BF73PSWC/ref=sr_1_7?keywords=Klein+Tools+670-6+Rapi-Driv%C2%AE+Screwdriver%2C+3%2F16-Inch+Cabinet+Tip%2C+6-Inch+Shank&amp;qid=1694735436&amp;sr=8-7", "https://www.amazon.com/Klein-Tools-6866INS-Screwdriver-Cushion-Grip/dp/B0BF73PSWC/ref=sr_1_7?keywords=Klein+Tools+670-6+Rapi-Driv%C2%AE+Screwdriver%2C+3%2F16-Inch+Cabinet+Tip%2C+6-Inch+Shank&amp;qid=1694735436&amp;sr=8-7")</f>
        <v/>
      </c>
      <c r="F8448" t="inlineStr">
        <is>
          <t>B0BF73PSWC</t>
        </is>
      </c>
      <c r="G8448">
        <f>_xludf.IMAGE("https://edmondsonsupply.com/cdn/shop/products/670-6_0b4d3d55-d188-4b6a-b9f2-ed932afb4284.jpg?v=1666899819")</f>
        <v/>
      </c>
      <c r="H8448">
        <f>_xludf.IMAGE("https://m.media-amazon.com/images/I/41Sx5h6xG-L._AC_UL320_.jpg")</f>
        <v/>
      </c>
      <c r="K8448" t="inlineStr">
        <is>
          <t>10.49</t>
        </is>
      </c>
      <c r="L8448" t="n">
        <v>11.97</v>
      </c>
      <c r="M8448" s="1" t="inlineStr">
        <is>
          <t>14.11%</t>
        </is>
      </c>
      <c r="N8448" s="1" t="n"/>
      <c r="O8448" t="n">
        <v>4.9</v>
      </c>
      <c r="P8448" t="n">
        <v>202</v>
      </c>
      <c r="R8448" t="inlineStr">
        <is>
          <t>InStock</t>
        </is>
      </c>
      <c r="S8448" t="inlineStr">
        <is>
          <t>15.9</t>
        </is>
      </c>
      <c r="T8448" t="inlineStr">
        <is>
          <t>4343372382308</t>
        </is>
      </c>
    </row>
    <row r="8449" hidden="1" ht="15.75" customHeight="1">
      <c r="A8449" s="2">
        <f>HYPERLINK("https://edmondsonsupply.com/collections/electricians-tools/products/klein-tools-670-6-screwdriver-3-16-inch-cabinet-rapi-driv%C2%AE-6-inch", "https://edmondsonsupply.com/collections/electricians-tools/products/klein-tools-670-6-screwdriver-3-16-inch-cabinet-rapi-driv%C2%AE-6-inch")</f>
        <v/>
      </c>
      <c r="B8449" s="2">
        <f>HYPERLINK("https://edmondsonsupply.com/products/klein-tools-670-6-screwdriver-3-16-inch-cabinet-rapi-driv%c2%ae-6-inch", "https://edmondsonsupply.com/products/klein-tools-670-6-screwdriver-3-16-inch-cabinet-rapi-driv%c2%ae-6-inch")</f>
        <v/>
      </c>
      <c r="C8449" t="inlineStr">
        <is>
          <t>Klein Tools 670-6 Rapi-Driv® Screwdriver, 3/16-Inch Cabinet Tip, 6-Inch Shank</t>
        </is>
      </c>
      <c r="D8449" t="inlineStr">
        <is>
          <t>Klein Tools 6816INS Insulated Screwdriver, 1000V 3/16-Inch Cabinet Tip Screwdriver with 6-Inch Shank, Tip-Ident, Cushion-Grip Handle</t>
        </is>
      </c>
      <c r="E8449" s="2">
        <f>HYPERLINK("https://www.amazon.com/Klein-Tools-6816INS-Screwdriver-Cushion-Grip/dp/B0BF7JHR5X/ref=sr_1_26?keywords=Klein+Tools+670-6+Rapi-Driv%C2%AE+Screwdriver%2C+3%2F16-Inch+Cabinet+Tip%2C+6-Inch+Shank&amp;qid=1694735436&amp;sr=8-26", "https://www.amazon.com/Klein-Tools-6816INS-Screwdriver-Cushion-Grip/dp/B0BF7JHR5X/ref=sr_1_26?keywords=Klein+Tools+670-6+Rapi-Driv%C2%AE+Screwdriver%2C+3%2F16-Inch+Cabinet+Tip%2C+6-Inch+Shank&amp;qid=1694735436&amp;sr=8-26")</f>
        <v/>
      </c>
      <c r="F8449" t="inlineStr">
        <is>
          <t>B0BF7JHR5X</t>
        </is>
      </c>
      <c r="G8449">
        <f>_xludf.IMAGE("https://edmondsonsupply.com/cdn/shop/products/670-6_0b4d3d55-d188-4b6a-b9f2-ed932afb4284.jpg?v=1666899819")</f>
        <v/>
      </c>
      <c r="H8449">
        <f>_xludf.IMAGE("https://m.media-amazon.com/images/I/31ngLMMA6xL._AC_UL320_.jpg")</f>
        <v/>
      </c>
      <c r="K8449" t="inlineStr">
        <is>
          <t>10.49</t>
        </is>
      </c>
      <c r="L8449" t="n">
        <v>11.97</v>
      </c>
      <c r="M8449" s="1" t="inlineStr">
        <is>
          <t>14.11%</t>
        </is>
      </c>
      <c r="N8449" s="1" t="n"/>
      <c r="O8449" t="n">
        <v>4</v>
      </c>
      <c r="P8449" t="n">
        <v>6</v>
      </c>
      <c r="R8449" t="inlineStr">
        <is>
          <t>InStock</t>
        </is>
      </c>
      <c r="S8449" t="inlineStr">
        <is>
          <t>15.9</t>
        </is>
      </c>
      <c r="T8449" t="inlineStr">
        <is>
          <t>4343372382308</t>
        </is>
      </c>
    </row>
    <row r="8450" hidden="1" ht="15.75" customHeight="1">
      <c r="A8450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450" s="2">
        <f>HYPERLINK("https://edmondsonsupply.com/products/klein-tools-600-1-5-16-inch-cabinet-tip-screwdriver-1-1-2-inch", "https://edmondsonsupply.com/products/klein-tools-600-1-5-16-inch-cabinet-tip-screwdriver-1-1-2-inch")</f>
        <v/>
      </c>
      <c r="C8450" t="inlineStr">
        <is>
          <t>Klein Tools 600-1 5/16-Inch Cabinet Tip Screwdriver 1-1/2-Inch</t>
        </is>
      </c>
      <c r="D8450" t="inlineStr">
        <is>
          <t>Klein Tools A116-3 3/32-Inch Flat Head Screwdriver with Cabinet Tip, 3-Inch Round Shank and Pocket Clip</t>
        </is>
      </c>
      <c r="E8450" s="2">
        <f>HYPERLINK("https://www.amazon.com/Klein-Tools-A116-3-32-Inch-Screwdriver/dp/B00093D4M4/ref=sr_1_38?keywords=Klein+Tools+600-1+5%2F16-Inch+Cabinet+Tip+Screwdriver+1-1%2F2-Inch&amp;qid=1694735453&amp;sr=8-38", "https://www.amazon.com/Klein-Tools-A116-3-32-Inch-Screwdriver/dp/B00093D4M4/ref=sr_1_38?keywords=Klein+Tools+600-1+5%2F16-Inch+Cabinet+Tip+Screwdriver+1-1%2F2-Inch&amp;qid=1694735453&amp;sr=8-38")</f>
        <v/>
      </c>
      <c r="F8450" t="inlineStr">
        <is>
          <t>B00093D4M4</t>
        </is>
      </c>
      <c r="G8450">
        <f>_xludf.IMAGE("https://edmondsonsupply.com/cdn/shop/products/600-1.jpg?v=1587147752")</f>
        <v/>
      </c>
      <c r="H8450">
        <f>_xludf.IMAGE("https://m.media-amazon.com/images/I/416B++nRvZL._AC_UL320_.jpg")</f>
        <v/>
      </c>
      <c r="K8450" t="inlineStr">
        <is>
          <t>7.49</t>
        </is>
      </c>
      <c r="L8450" t="n">
        <v>8.529999999999999</v>
      </c>
      <c r="M8450" s="1" t="inlineStr">
        <is>
          <t>13.89%</t>
        </is>
      </c>
      <c r="N8450" s="1" t="n"/>
      <c r="O8450" t="n">
        <v>4.4</v>
      </c>
      <c r="P8450" t="n">
        <v>524</v>
      </c>
      <c r="R8450" t="inlineStr">
        <is>
          <t>InStock</t>
        </is>
      </c>
      <c r="S8450" t="inlineStr">
        <is>
          <t>11.22</t>
        </is>
      </c>
      <c r="T8450" t="inlineStr">
        <is>
          <t>4171360403556</t>
        </is>
      </c>
    </row>
    <row r="8451" hidden="1" ht="15.75" customHeight="1">
      <c r="A8451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451" s="2">
        <f>HYPERLINK("https://edmondsonsupply.com/products/klein-tools-70579-folding-hex-key-set-5-inch-sae-5-piece", "https://edmondsonsupply.com/products/klein-tools-70579-folding-hex-key-set-5-inch-sae-5-piece")</f>
        <v/>
      </c>
      <c r="C8451" t="inlineStr">
        <is>
          <t>Klein Tools 70579 Folding Hex Key Set, 5-Key, SAE Sizes</t>
        </is>
      </c>
      <c r="D8451" t="inlineStr">
        <is>
          <t>Klein Tools 70573 Grip-It Hex Key Set, 12-Key, SAE/Metric Sizes</t>
        </is>
      </c>
      <c r="E8451" s="2">
        <f>HYPERLINK("https://www.amazon.com/Grip-12-Key-Hex-Set/dp/B0002RI8PA/ref=sr_1_14?keywords=Klein+Tools+70579+Folding+Hex+Key+Set%2C+5-Key%2C+SAE+Sizes&amp;qid=1694735436&amp;sr=8-14", "https://www.amazon.com/Grip-12-Key-Hex-Set/dp/B0002RI8PA/ref=sr_1_14?keywords=Klein+Tools+70579+Folding+Hex+Key+Set%2C+5-Key%2C+SAE+Sizes&amp;qid=1694735436&amp;sr=8-14")</f>
        <v/>
      </c>
      <c r="F8451" t="inlineStr">
        <is>
          <t>B0002RI8PA</t>
        </is>
      </c>
      <c r="G8451">
        <f>_xludf.IMAGE("https://edmondsonsupply.com/cdn/shop/products/70579.jpg?v=1587145103")</f>
        <v/>
      </c>
      <c r="H8451">
        <f>_xludf.IMAGE("https://m.media-amazon.com/images/I/610klv7dq+L._AC_UL320_.jpg")</f>
        <v/>
      </c>
      <c r="K8451" t="inlineStr">
        <is>
          <t>12.97</t>
        </is>
      </c>
      <c r="L8451" t="n">
        <v>14.67</v>
      </c>
      <c r="M8451" s="1" t="inlineStr">
        <is>
          <t>13.11%</t>
        </is>
      </c>
      <c r="N8451" s="1" t="n"/>
      <c r="O8451" t="n">
        <v>4.7</v>
      </c>
      <c r="P8451" t="n">
        <v>559</v>
      </c>
      <c r="R8451" t="inlineStr">
        <is>
          <t>InStock</t>
        </is>
      </c>
      <c r="S8451" t="inlineStr">
        <is>
          <t>18.38</t>
        </is>
      </c>
      <c r="T8451" t="inlineStr">
        <is>
          <t>4346564477028</t>
        </is>
      </c>
    </row>
    <row r="8452" ht="87" customHeight="1">
      <c r="A8452" s="2">
        <f>HYPERLINK("https://edmondsonsupply.com/collections/electricians-tools/products/klein-tools-d86932-slim-jaw-adjustable-wrench-4", "https://edmondsonsupply.com/collections/electricians-tools/products/klein-tools-d86932-slim-jaw-adjustable-wrench-4")</f>
        <v/>
      </c>
      <c r="B8452" s="2">
        <f>HYPERLINK("https://edmondsonsupply.com/products/klein-tools-d86932-slim-jaw-adjustable-wrench-4", "https://edmondsonsupply.com/products/klein-tools-d86932-slim-jaw-adjustable-wrench-4")</f>
        <v/>
      </c>
      <c r="C8452" t="inlineStr">
        <is>
          <t>Klein Tools D86932 Slim-Jaw Adjustable Wrench, 4-Inch</t>
        </is>
      </c>
      <c r="D8452" t="inlineStr">
        <is>
          <t>Klein Tools D86934 Adjustable Wrench, Forged with Slimmer Jaw and a High Polish Chrome Finish, 6-inch</t>
        </is>
      </c>
      <c r="E8452" s="2">
        <f>HYPERLINK("https://www.amazon.com/Slim-Jaw-Adjustable-Klein-Tools-D86934/dp/B075ZVKW4X/ref=sr_1_2?keywords=Klein+Tools+D86932+Slim-Jaw+Adjustable+Wrench%2C+4-Inch&amp;qid=1694735470&amp;sr=8-2", "https://www.amazon.com/Slim-Jaw-Adjustable-Klein-Tools-D86934/dp/B075ZVKW4X/ref=sr_1_2?keywords=Klein+Tools+D86932+Slim-Jaw+Adjustable+Wrench%2C+4-Inch&amp;qid=1694735470&amp;sr=8-2")</f>
        <v/>
      </c>
      <c r="F8452" t="inlineStr">
        <is>
          <t>B075ZVKW4X</t>
        </is>
      </c>
      <c r="G8452">
        <f>_xlfn.IMAGE("https://edmondsonsupply.com/cdn/shop/products/d86932_alt1.jpg?v=1587149708")</f>
        <v/>
      </c>
      <c r="H8452">
        <f>_xlfn.IMAGE("https://m.media-amazon.com/images/I/51Z4DTANB5L._AC_UL320_.jpg")</f>
        <v/>
      </c>
      <c r="K8452" t="inlineStr">
        <is>
          <t>30.99</t>
        </is>
      </c>
      <c r="L8452" t="n">
        <v>34.99</v>
      </c>
      <c r="M8452" s="1" t="inlineStr">
        <is>
          <t>12.91%</t>
        </is>
      </c>
      <c r="N8452" s="7" t="n"/>
      <c r="O8452" t="n">
        <v>4.6</v>
      </c>
      <c r="P8452" t="n">
        <v>162</v>
      </c>
      <c r="R8452" t="inlineStr">
        <is>
          <t>InStock</t>
        </is>
      </c>
      <c r="S8452" t="inlineStr">
        <is>
          <t>43.72</t>
        </is>
      </c>
      <c r="T8452" t="inlineStr">
        <is>
          <t>1779896615012</t>
        </is>
      </c>
    </row>
    <row r="8453" hidden="1" ht="15.75" customHeight="1">
      <c r="A8453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453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453" t="inlineStr">
        <is>
          <t>Klein Tools JTH6E10 5/32-Inch Hex Key, Journeyman T-Handle, 6-Inch</t>
        </is>
      </c>
      <c r="D8453" t="inlineStr">
        <is>
          <t>5/32-Inch Hex Key with Journeyman T-Handle, 9-Inch Klein Tools JTH9E10</t>
        </is>
      </c>
      <c r="E8453" s="2">
        <f>HYPERLINK("https://www.amazon.com/Journeyman-T-Handle-Klein-Tools-JTH9E10/dp/B004QV8H90/ref=sr_1_3?keywords=Klein+Tools+JTH6E10+5%2F32-Inch+Hex+Key%2C+Journeyman+T-Handle%2C+6-Inch&amp;qid=1694735453&amp;sr=8-3", "https://www.amazon.com/Journeyman-T-Handle-Klein-Tools-JTH9E10/dp/B004QV8H90/ref=sr_1_3?keywords=Klein+Tools+JTH6E10+5%2F32-Inch+Hex+Key%2C+Journeyman+T-Handle%2C+6-Inch&amp;qid=1694735453&amp;sr=8-3")</f>
        <v/>
      </c>
      <c r="F8453" t="inlineStr">
        <is>
          <t>B004QV8H90</t>
        </is>
      </c>
      <c r="G8453">
        <f>_xludf.IMAGE("https://edmondsonsupply.com/cdn/shop/products/jth6e15_f525b558-406f-4cfd-9eb6-2b57378156a6.jpg?v=1587144832")</f>
        <v/>
      </c>
      <c r="H8453">
        <f>_xludf.IMAGE("https://m.media-amazon.com/images/I/51Yb8h41vLL._AC_UL320_.jpg")</f>
        <v/>
      </c>
      <c r="K8453" t="inlineStr">
        <is>
          <t>3.99</t>
        </is>
      </c>
      <c r="L8453" t="n">
        <v>4.49</v>
      </c>
      <c r="M8453" s="1" t="inlineStr">
        <is>
          <t>12.53%</t>
        </is>
      </c>
      <c r="N8453" s="1" t="n"/>
      <c r="O8453" t="n">
        <v>4.8</v>
      </c>
      <c r="P8453" t="n">
        <v>293</v>
      </c>
      <c r="R8453" t="inlineStr">
        <is>
          <t>InStock</t>
        </is>
      </c>
      <c r="S8453" t="inlineStr">
        <is>
          <t>6.04</t>
        </is>
      </c>
      <c r="T8453" t="inlineStr">
        <is>
          <t>4160213418084</t>
        </is>
      </c>
    </row>
    <row r="8454" ht="87" customHeight="1">
      <c r="A8454" s="2">
        <f>HYPERLINK("https://edmondsonsupply.com/collections/electricians-tools/products/klein-tools-203-8-eins-long-nose-side-cutter-pliers-8-in-slim-insulated", "https://edmondsonsupply.com/collections/electricians-tools/products/klein-tools-203-8-eins-long-nose-side-cutter-pliers-8-in-slim-insulated")</f>
        <v/>
      </c>
      <c r="B8454" s="2">
        <f>HYPERLINK("https://edmondsonsupply.com/products/klein-tools-203-8-eins-long-nose-side-cutter-pliers-8-in-slim-insulated", "https://edmondsonsupply.com/products/klein-tools-203-8-eins-long-nose-side-cutter-pliers-8-in-slim-insulated")</f>
        <v/>
      </c>
      <c r="C8454" t="inlineStr">
        <is>
          <t>Klein Tools 2038EINS Long Nose Side Cutter Pliers, 8-In Slim Insulated (203-8-EINS)</t>
        </is>
      </c>
      <c r="D8454" t="inlineStr">
        <is>
          <t>Klein Tools 2038EINS Long Nose Side Cutter Insulated Pliers with Slim Induction Hardened Cutting Knives for Long Life, 8-Inch</t>
        </is>
      </c>
      <c r="E8454" s="2">
        <f>HYPERLINK("https://www.amazon.com/Klein-Tools-2038EINS-Cutter-Insulated/dp/B00JGG5PTU/ref=sr_1_1?keywords=Klein+Tools+2038EINS+Long+Nose+Side+Cutter+Pliers%2C+8-In+Slim+Insulated+%28203-8-EINS%29&amp;qid=1694735458&amp;sr=8-1", "https://www.amazon.com/Klein-Tools-2038EINS-Cutter-Insulated/dp/B00JGG5PTU/ref=sr_1_1?keywords=Klein+Tools+2038EINS+Long+Nose+Side+Cutter+Pliers%2C+8-In+Slim+Insulated+%28203-8-EINS%29&amp;qid=1694735458&amp;sr=8-1")</f>
        <v/>
      </c>
      <c r="F8454" t="inlineStr">
        <is>
          <t>B00JGG5PTU</t>
        </is>
      </c>
      <c r="G8454">
        <f>_xlfn.IMAGE("https://edmondsonsupply.com/cdn/shop/products/2038eins.jpg?v=1587145565")</f>
        <v/>
      </c>
      <c r="H8454">
        <f>_xlfn.IMAGE("https://m.media-amazon.com/images/I/41acyPPC4wL._AC_UL320_.jpg")</f>
        <v/>
      </c>
      <c r="K8454" t="inlineStr">
        <is>
          <t>55.99</t>
        </is>
      </c>
      <c r="L8454" t="n">
        <v>62.97</v>
      </c>
      <c r="M8454" s="1" t="inlineStr">
        <is>
          <t>12.47%</t>
        </is>
      </c>
      <c r="N8454" s="7" t="n"/>
      <c r="O8454" t="n">
        <v>4.9</v>
      </c>
      <c r="P8454" t="n">
        <v>348</v>
      </c>
      <c r="R8454" t="inlineStr">
        <is>
          <t>InStock</t>
        </is>
      </c>
      <c r="S8454" t="inlineStr">
        <is>
          <t>93.2</t>
        </is>
      </c>
      <c r="T8454" t="inlineStr">
        <is>
          <t>3712695009380</t>
        </is>
      </c>
    </row>
    <row r="8455" ht="87" customHeight="1">
      <c r="A8455" s="2">
        <f>HYPERLINK("https://edmondsonsupply.com/collections/electricians-tools/products/klein-tools-602-7dd-5-16-inch-keystone-demolition-driver-7-inch-shank", "https://edmondsonsupply.com/collections/electricians-tools/products/klein-tools-602-7dd-5-16-inch-keystone-demolition-driver-7-inch-shank")</f>
        <v/>
      </c>
      <c r="B8455" s="2">
        <f>HYPERLINK("https://edmondsonsupply.com/products/klein-tools-602-7dd-5-16-inch-keystone-demolition-driver-7-inch-shank", "https://edmondsonsupply.com/products/klein-tools-602-7dd-5-16-inch-keystone-demolition-driver-7-inch-shank")</f>
        <v/>
      </c>
      <c r="C8455" t="inlineStr">
        <is>
          <t>Klein Tools 602-7DD 5/16-Inch Keystone Demolition Driver, 7-Inch Shank</t>
        </is>
      </c>
      <c r="D8455" t="inlineStr">
        <is>
          <t>Klein Tools 602-7-INS Flathead Screwdriver, 5/16-Inch Cabinet Tip, Insulated, 7-Inch Shank</t>
        </is>
      </c>
      <c r="E8455" s="2">
        <f>HYPERLINK("https://www.amazon.com/Screwdriver-Insulated-Klein-Tools-602-7-INS/dp/B00CQL8UM6/ref=sr_1_11?keywords=Klein+Tools+602-7DD+5%2F16-Inch+Keystone+Demolition+Driver%2C+7-Inch+Shank&amp;qid=1694735454&amp;sr=8-11", "https://www.amazon.com/Screwdriver-Insulated-Klein-Tools-602-7-INS/dp/B00CQL8UM6/ref=sr_1_11?keywords=Klein+Tools+602-7DD+5%2F16-Inch+Keystone+Demolition+Driver%2C+7-Inch+Shank&amp;qid=1694735454&amp;sr=8-11")</f>
        <v/>
      </c>
      <c r="F8455" t="inlineStr">
        <is>
          <t>B00CQL8UM6</t>
        </is>
      </c>
      <c r="G8455">
        <f>_xlfn.IMAGE("https://edmondsonsupply.com/cdn/shop/products/602-7dd.jpg?v=1587143287")</f>
        <v/>
      </c>
      <c r="H8455">
        <f>_xlfn.IMAGE("https://m.media-amazon.com/images/I/51yWIQxCstL._AC_UL320_.jpg")</f>
        <v/>
      </c>
      <c r="K8455" t="inlineStr">
        <is>
          <t>19.99</t>
        </is>
      </c>
      <c r="L8455" t="n">
        <v>22.46</v>
      </c>
      <c r="M8455" s="1" t="inlineStr">
        <is>
          <t>12.36%</t>
        </is>
      </c>
      <c r="N8455" s="7" t="n"/>
      <c r="O8455" t="n">
        <v>4.8</v>
      </c>
      <c r="P8455" t="n">
        <v>1068</v>
      </c>
      <c r="R8455" t="inlineStr">
        <is>
          <t>InStock</t>
        </is>
      </c>
      <c r="S8455" t="inlineStr">
        <is>
          <t>30.3</t>
        </is>
      </c>
      <c r="T8455" t="inlineStr">
        <is>
          <t>4167515930724</t>
        </is>
      </c>
    </row>
    <row r="8456" hidden="1" ht="15.75" customHeight="1">
      <c r="A8456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456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456" t="inlineStr">
        <is>
          <t>Klein Tools JTH6M8 8 mm Hex Key with Journeyman T-Handle, 6-Inch</t>
        </is>
      </c>
      <c r="D8456" t="inlineStr">
        <is>
          <t>Klein Tools JTH9M4 4 mm Hex Key with Journeyman T-Handle, 9-Inch</t>
        </is>
      </c>
      <c r="E8456" s="2">
        <f>HYPERLINK("https://www.amazon.com/Journeyman-T-Handle-Klein-Tools-JTH9M4/dp/B005G3HJ8M/ref=sr_1_16?keywords=Klein+Tools+JTH6M8+8+mm+Hex+Key+with+Journeyman+T-Handle%2C+6-Inch&amp;qid=1694735436&amp;sr=8-16", "https://www.amazon.com/Journeyman-T-Handle-Klein-Tools-JTH9M4/dp/B005G3HJ8M/ref=sr_1_16?keywords=Klein+Tools+JTH6M8+8+mm+Hex+Key+with+Journeyman+T-Handle%2C+6-Inch&amp;qid=1694735436&amp;sr=8-16")</f>
        <v/>
      </c>
      <c r="F8456" t="inlineStr">
        <is>
          <t>B005G3HJ8M</t>
        </is>
      </c>
      <c r="G8456">
        <f>_xludf.IMAGE("https://edmondsonsupply.com/cdn/shop/products/jth6m8_31a5ad24-670d-4140-a5ec-3785d5bf79d2.jpg?v=1587146374")</f>
        <v/>
      </c>
      <c r="H8456">
        <f>_xludf.IMAGE("https://m.media-amazon.com/images/I/51+1x0vz9XL._AC_UL320_.jpg")</f>
        <v/>
      </c>
      <c r="K8456" t="inlineStr">
        <is>
          <t>6.99</t>
        </is>
      </c>
      <c r="L8456" t="n">
        <v>7.84</v>
      </c>
      <c r="M8456" s="1" t="inlineStr">
        <is>
          <t>12.16%</t>
        </is>
      </c>
      <c r="N8456" s="1" t="n"/>
      <c r="O8456" t="n">
        <v>4.6</v>
      </c>
      <c r="P8456" t="n">
        <v>135</v>
      </c>
      <c r="R8456" t="inlineStr">
        <is>
          <t>InStock</t>
        </is>
      </c>
      <c r="S8456" t="inlineStr">
        <is>
          <t>10.58</t>
        </is>
      </c>
      <c r="T8456" t="inlineStr">
        <is>
          <t>4343287775332</t>
        </is>
      </c>
    </row>
    <row r="8457" ht="87" customHeight="1">
      <c r="A8457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457" s="2">
        <f>HYPERLINK("https://edmondsonsupply.com/products/klein-tools-d203-6-long-nose-side-cutters-6-inch", "https://edmondsonsupply.com/products/klein-tools-d203-6-long-nose-side-cutters-6-inch")</f>
        <v/>
      </c>
      <c r="C8457" t="inlineStr">
        <is>
          <t>Klein Tools D203-6 Pliers, Needle Nose Side-Cutters, 6-Inch</t>
        </is>
      </c>
      <c r="D8457" t="inlineStr">
        <is>
          <t>Klein Tools J203-6 Needle Nose Pliers, Long Nose Side Cutters, Heavy Duty Journeyman Alligator Pliers with Curved Handles, 6-3/4-Inch</t>
        </is>
      </c>
      <c r="E8457" s="2">
        <f>HYPERLINK("https://www.amazon.com/Klein-Tools-J203-6-Pliers-Side-Cutters/dp/B000FH289O/ref=sr_1_4?keywords=Klein+Tools+D203-6+Pliers%2C+Needle+Nose+Side-Cutters%2C+6-Inch&amp;qid=1694735434&amp;sr=8-4", "https://www.amazon.com/Klein-Tools-J203-6-Pliers-Side-Cutters/dp/B000FH289O/ref=sr_1_4?keywords=Klein+Tools+D203-6+Pliers%2C+Needle+Nose+Side-Cutters%2C+6-Inch&amp;qid=1694735434&amp;sr=8-4")</f>
        <v/>
      </c>
      <c r="F8457" t="inlineStr">
        <is>
          <t>B000FH289O</t>
        </is>
      </c>
      <c r="G8457">
        <f>_xlfn.IMAGE("https://edmondsonsupply.com/cdn/shop/products/d203-6.jpg?v=1587150424")</f>
        <v/>
      </c>
      <c r="H8457">
        <f>_xlfn.IMAGE("https://m.media-amazon.com/images/I/514ud2Pt0TL._AC_UL320_.jpg")</f>
        <v/>
      </c>
      <c r="K8457" t="inlineStr">
        <is>
          <t>25.99</t>
        </is>
      </c>
      <c r="L8457" t="n">
        <v>28.99</v>
      </c>
      <c r="M8457" s="1" t="inlineStr">
        <is>
          <t>11.54%</t>
        </is>
      </c>
      <c r="N8457" s="7" t="n"/>
      <c r="O8457" t="n">
        <v>4.7</v>
      </c>
      <c r="P8457" t="n">
        <v>106</v>
      </c>
      <c r="R8457" t="inlineStr">
        <is>
          <t>InStock</t>
        </is>
      </c>
      <c r="S8457" t="inlineStr">
        <is>
          <t>39.38</t>
        </is>
      </c>
      <c r="T8457" t="inlineStr">
        <is>
          <t>4335116484708</t>
        </is>
      </c>
    </row>
    <row r="8458" hidden="1" ht="15.75" customHeight="1">
      <c r="A8458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458" s="2">
        <f>HYPERLINK("https://edmondsonsupply.com/products/klein-tools-601-4-3-16-cabinet-tip-screwdriver-4-round-shank", "https://edmondsonsupply.com/products/klein-tools-601-4-3-16-cabinet-tip-screwdriver-4-round-shank")</f>
        <v/>
      </c>
      <c r="C8458" t="inlineStr">
        <is>
          <t>Klein Tools 601-4 3/16-Inch Cabinet Tip Screwdriver 4-Inch</t>
        </is>
      </c>
      <c r="D8458" t="inlineStr">
        <is>
          <t>Klein Tools 603-4 Screwdriver, #2 Phillips Tip with Cushion Grip Handle, Precision Machined Electrician Screwdriver, 8-Inch</t>
        </is>
      </c>
      <c r="E8458" s="2">
        <f>HYPERLINK("https://www.amazon.com/Klein-Tools-603-4-Screwdriver-Precision/dp/B0000302VQ/ref=sr_1_35?keywords=Klein+Tools+601-4+3%2F16-Inch+Cabinet+Tip+Screwdriver+4-Inch&amp;qid=1694735471&amp;sr=8-35", "https://www.amazon.com/Klein-Tools-603-4-Screwdriver-Precision/dp/B0000302VQ/ref=sr_1_35?keywords=Klein+Tools+601-4+3%2F16-Inch+Cabinet+Tip+Screwdriver+4-Inch&amp;qid=1694735471&amp;sr=8-35")</f>
        <v/>
      </c>
      <c r="F8458" t="inlineStr">
        <is>
          <t>B0000302VQ</t>
        </is>
      </c>
      <c r="G8458">
        <f>_xludf.IMAGE("https://edmondsonsupply.com/cdn/shop/products/601-4.jpg?v=1587147829")</f>
        <v/>
      </c>
      <c r="H8458">
        <f>_xludf.IMAGE("https://m.media-amazon.com/images/I/41bP0KuG1WS._AC_UL320_.jpg")</f>
        <v/>
      </c>
      <c r="K8458" t="inlineStr">
        <is>
          <t>8.98</t>
        </is>
      </c>
      <c r="L8458" t="n">
        <v>9.99</v>
      </c>
      <c r="M8458" s="1" t="inlineStr">
        <is>
          <t>11.25%</t>
        </is>
      </c>
      <c r="N8458" s="1" t="n"/>
      <c r="O8458" t="n">
        <v>4.9</v>
      </c>
      <c r="P8458" t="n">
        <v>2839</v>
      </c>
      <c r="R8458" t="inlineStr">
        <is>
          <t>InStock</t>
        </is>
      </c>
      <c r="S8458" t="inlineStr">
        <is>
          <t>11.52</t>
        </is>
      </c>
      <c r="T8458" t="inlineStr">
        <is>
          <t>2767048900708</t>
        </is>
      </c>
    </row>
    <row r="8459" hidden="1" ht="15.75" customHeight="1">
      <c r="A8459" s="2">
        <f>HYPERLINK("https://edmondsonsupply.com/collections/electricians-tools/products/klein-tools-70-replacement-handles-for-7-inch-pliers", "https://edmondsonsupply.com/collections/electricians-tools/products/klein-tools-70-replacement-handles-for-7-inch-pliers")</f>
        <v/>
      </c>
      <c r="B8459" s="2">
        <f>HYPERLINK("https://edmondsonsupply.com/products/klein-tools-70-replacement-handles-for-7-inch-pliers", "https://edmondsonsupply.com/products/klein-tools-70-replacement-handles-for-7-inch-pliers")</f>
        <v/>
      </c>
      <c r="C8459" t="inlineStr">
        <is>
          <t>Klein Tools 70 Replacement Handles for 7-Inch Pliers</t>
        </is>
      </c>
      <c r="D8459" t="inlineStr">
        <is>
          <t>Klein Tools 89 Replacement Handles, Plastic Handle Replacement Set for 8 to 9-Inch Pliers</t>
        </is>
      </c>
      <c r="E8459" s="2">
        <f>HYPERLINK("https://www.amazon.com/Replacement-Handles-Klein-Tools-89/dp/B00093D7AI/ref=sr_1_1?keywords=Klein+Tools+70+Replacement+Handles+for+7-Inch+Pliers&amp;qid=1694735448&amp;sr=8-1", "https://www.amazon.com/Replacement-Handles-Klein-Tools-89/dp/B00093D7AI/ref=sr_1_1?keywords=Klein+Tools+70+Replacement+Handles+for+7-Inch+Pliers&amp;qid=1694735448&amp;sr=8-1")</f>
        <v/>
      </c>
      <c r="F8459" t="inlineStr">
        <is>
          <t>B00093D7AI</t>
        </is>
      </c>
      <c r="G8459">
        <f>_xludf.IMAGE("https://edmondsonsupply.com/cdn/shop/products/70.jpg?v=1587143383")</f>
        <v/>
      </c>
      <c r="H8459">
        <f>_xludf.IMAGE("https://m.media-amazon.com/images/I/51D3i2TWRwS._AC_UL320_.jpg")</f>
        <v/>
      </c>
      <c r="K8459" t="inlineStr">
        <is>
          <t>8.99</t>
        </is>
      </c>
      <c r="L8459" t="n">
        <v>9.99</v>
      </c>
      <c r="M8459" s="1" t="inlineStr">
        <is>
          <t>11.12%</t>
        </is>
      </c>
      <c r="N8459" s="1" t="n"/>
      <c r="O8459" t="n">
        <v>4.6</v>
      </c>
      <c r="P8459" t="n">
        <v>1644</v>
      </c>
      <c r="R8459" t="inlineStr">
        <is>
          <t>InStock</t>
        </is>
      </c>
      <c r="S8459" t="inlineStr">
        <is>
          <t>13.64</t>
        </is>
      </c>
      <c r="T8459" t="inlineStr">
        <is>
          <t>4169392619620</t>
        </is>
      </c>
    </row>
    <row r="8460" ht="87" customHeight="1">
      <c r="A8460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460" s="2">
        <f>HYPERLINK("https://edmondsonsupply.com/products/klein-tools-d203-6-long-nose-side-cutters-6-inch", "https://edmondsonsupply.com/products/klein-tools-d203-6-long-nose-side-cutters-6-inch")</f>
        <v/>
      </c>
      <c r="C8460" t="inlineStr">
        <is>
          <t>Klein Tools D203-6 Pliers, Needle Nose Side-Cutters, 6-Inch</t>
        </is>
      </c>
      <c r="D8460" t="inlineStr">
        <is>
          <t>Klein Tools D203-8 Needle Nose Pliers, Long Nose Side Cutters, Alligator Pliers with Extended Handles, 8-Inch</t>
        </is>
      </c>
      <c r="E8460" s="2">
        <f>HYPERLINK("https://www.amazon.com/Linemans-Alligator-Klein-Tools-D203-8/dp/B0000302WQ/ref=sr_1_6?keywords=Klein+Tools+D203-6+Pliers%2C+Needle+Nose+Side-Cutters%2C+6-Inch&amp;qid=1694735434&amp;sr=8-6", "https://www.amazon.com/Linemans-Alligator-Klein-Tools-D203-8/dp/B0000302WQ/ref=sr_1_6?keywords=Klein+Tools+D203-6+Pliers%2C+Needle+Nose+Side-Cutters%2C+6-Inch&amp;qid=1694735434&amp;sr=8-6")</f>
        <v/>
      </c>
      <c r="F8460" t="inlineStr">
        <is>
          <t>B0000302WQ</t>
        </is>
      </c>
      <c r="G8460">
        <f>_xlfn.IMAGE("https://edmondsonsupply.com/cdn/shop/products/d203-6.jpg?v=1587150424")</f>
        <v/>
      </c>
      <c r="H8460">
        <f>_xlfn.IMAGE("https://m.media-amazon.com/images/I/51Ifjz4aftL._AC_UL320_.jpg")</f>
        <v/>
      </c>
      <c r="K8460" t="inlineStr">
        <is>
          <t>25.99</t>
        </is>
      </c>
      <c r="L8460" t="n">
        <v>28.74</v>
      </c>
      <c r="M8460" s="1" t="inlineStr">
        <is>
          <t>10.58%</t>
        </is>
      </c>
      <c r="N8460" s="7" t="n"/>
      <c r="O8460" t="n">
        <v>4.8</v>
      </c>
      <c r="P8460" t="n">
        <v>930</v>
      </c>
      <c r="R8460" t="inlineStr">
        <is>
          <t>InStock</t>
        </is>
      </c>
      <c r="S8460" t="inlineStr">
        <is>
          <t>39.38</t>
        </is>
      </c>
      <c r="T8460" t="inlineStr">
        <is>
          <t>4335116484708</t>
        </is>
      </c>
    </row>
    <row r="8461" ht="87" customHeight="1">
      <c r="A8461" s="2">
        <f>HYPERLINK("https://edmondsonsupply.com/collections/electricians-tools/products/klein-tools-510218spblk-deluxe-black-canvas-tool-bag-18-inch", "https://edmondsonsupply.com/collections/electricians-tools/products/klein-tools-510218spblk-deluxe-black-canvas-tool-bag-18-inch")</f>
        <v/>
      </c>
      <c r="B8461" s="2">
        <f>HYPERLINK("https://edmondsonsupply.com/products/klein-tools-510218spblk-deluxe-black-canvas-tool-bag-18-inch", "https://edmondsonsupply.com/products/klein-tools-510218spblk-deluxe-black-canvas-tool-bag-18-inch")</f>
        <v/>
      </c>
      <c r="C8461" t="inlineStr">
        <is>
          <t>Klein Tools 510218SPBLK Deluxe Tool Bag, Black Canvas, 13 Pockets, 18-Inch</t>
        </is>
      </c>
      <c r="D8461" t="inlineStr">
        <is>
          <t>Klein Tools 510218SPBLK Tool Bag, Large 18-Inch Deluxe Canvas Tool Bag and Organizer, Black &amp; 5139 Zipper Bag, Canvas Tool Pouch 12.5 x 7 x 4.25-Inch with Heavy Duty Brass Zipper Close, Natural</t>
        </is>
      </c>
      <c r="E8461" s="2">
        <f>HYPERLINK("https://www.amazon.com/Klein-Tools-510218SPBLK-Organizer-4-25-Inch/dp/B09Z91BR7W/ref=sr_1_4?keywords=Klein+Tools+510218SPBLK+Deluxe+Tool+Bag%2C+Black+Canvas%2C+13+Pockets%2C+18-Inch&amp;qid=1694735453&amp;sr=8-4", "https://www.amazon.com/Klein-Tools-510218SPBLK-Organizer-4-25-Inch/dp/B09Z91BR7W/ref=sr_1_4?keywords=Klein+Tools+510218SPBLK+Deluxe+Tool+Bag%2C+Black+Canvas%2C+13+Pockets%2C+18-Inch&amp;qid=1694735453&amp;sr=8-4")</f>
        <v/>
      </c>
      <c r="F8461" t="inlineStr">
        <is>
          <t>B09Z91BR7W</t>
        </is>
      </c>
      <c r="G8461">
        <f>_xlfn.IMAGE("https://edmondsonsupply.com/cdn/shop/products/510218spblk.jpg?v=1587143525")</f>
        <v/>
      </c>
      <c r="H8461">
        <f>_xlfn.IMAGE("https://m.media-amazon.com/images/I/51u6nrWozqL._AC_UL320_.jpg")</f>
        <v/>
      </c>
      <c r="K8461" t="inlineStr">
        <is>
          <t>99.99</t>
        </is>
      </c>
      <c r="L8461" t="n">
        <v>109.99</v>
      </c>
      <c r="M8461" s="1" t="inlineStr">
        <is>
          <t>10.00%</t>
        </is>
      </c>
      <c r="N8461" s="7" t="n"/>
      <c r="O8461" t="n">
        <v>5</v>
      </c>
      <c r="P8461" t="n">
        <v>2</v>
      </c>
      <c r="R8461" t="inlineStr">
        <is>
          <t>InStock</t>
        </is>
      </c>
      <c r="S8461" t="inlineStr">
        <is>
          <t>140.0</t>
        </is>
      </c>
      <c r="T8461" t="inlineStr">
        <is>
          <t>4112459038820</t>
        </is>
      </c>
    </row>
    <row r="8462" ht="87" customHeight="1">
      <c r="A8462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462" s="2">
        <f>HYPERLINK("https://edmondsonsupply.com/products/klein-tools-63050-high-leverage-cable-cutter", "https://edmondsonsupply.com/products/klein-tools-63050-high-leverage-cable-cutter")</f>
        <v/>
      </c>
      <c r="C8462" t="inlineStr">
        <is>
          <t>Klein Tools 63050 Cable Cutter</t>
        </is>
      </c>
      <c r="D8462" t="inlineStr">
        <is>
          <t>Klein Tools 63225 Cable Cutter, 9-Inch High Leverage Cutter for Aluminum, Copper and Communication Cable</t>
        </is>
      </c>
      <c r="E8462" s="2">
        <f>HYPERLINK("https://www.amazon.com/9-Inch-Leverage-Aluminum-Communication-63225/dp/B08HC6N4J9/ref=sr_1_9?keywords=Klein+Tools+63050+Cable+Cutter&amp;qid=1694735444&amp;sr=8-9", "https://www.amazon.com/9-Inch-Leverage-Aluminum-Communication-63225/dp/B08HC6N4J9/ref=sr_1_9?keywords=Klein+Tools+63050+Cable+Cutter&amp;qid=1694735444&amp;sr=8-9")</f>
        <v/>
      </c>
      <c r="F8462" t="inlineStr">
        <is>
          <t>B08HC6N4J9</t>
        </is>
      </c>
      <c r="G8462">
        <f>_xlfn.IMAGE("https://edmondsonsupply.com/cdn/shop/products/63050.jpg?v=1587143239")</f>
        <v/>
      </c>
      <c r="H8462">
        <f>_xlfn.IMAGE("https://m.media-amazon.com/images/I/61tIrGUcq0L._AC_UL320_.jpg")</f>
        <v/>
      </c>
      <c r="K8462" t="inlineStr">
        <is>
          <t>32.99</t>
        </is>
      </c>
      <c r="L8462" t="n">
        <v>35.97</v>
      </c>
      <c r="M8462" s="1" t="inlineStr">
        <is>
          <t>9.03%</t>
        </is>
      </c>
      <c r="N8462" s="7" t="n"/>
      <c r="O8462" t="n">
        <v>4.7</v>
      </c>
      <c r="P8462" t="n">
        <v>424</v>
      </c>
      <c r="R8462" t="inlineStr">
        <is>
          <t>InStock</t>
        </is>
      </c>
      <c r="S8462" t="inlineStr">
        <is>
          <t>47.96</t>
        </is>
      </c>
      <c r="T8462" t="inlineStr">
        <is>
          <t>4289689124964</t>
        </is>
      </c>
    </row>
    <row r="8463" hidden="1" ht="15.75" customHeight="1">
      <c r="A8463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463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463" t="inlineStr">
        <is>
          <t>Klein Tools 630-9/16 9/16-Inch Hollow Shaft Nut Driver 4-Inch Shaft</t>
        </is>
      </c>
      <c r="D8463" t="inlineStr">
        <is>
          <t>Klein Tools 640-7/16 7/16-Inch Coated Nut Driver with 3-Inch Hollow Shaft and Cushion Grip Handle</t>
        </is>
      </c>
      <c r="E8463" s="2">
        <f>HYPERLINK("https://www.amazon.com/16-Inch-Klein-Tools-640-7-16/dp/B00093DZYG/ref=sr_1_17?keywords=Klein+Tools+630-9%2F16+9%2F16-Inch+Hollow+Shaft+Nut+Driver+4-Inch+Shaft&amp;qid=1694735442&amp;sr=8-17", "https://www.amazon.com/16-Inch-Klein-Tools-640-7-16/dp/B00093DZYG/ref=sr_1_17?keywords=Klein+Tools+630-9%2F16+9%2F16-Inch+Hollow+Shaft+Nut+Driver+4-Inch+Shaft&amp;qid=1694735442&amp;sr=8-17")</f>
        <v/>
      </c>
      <c r="F8463" t="inlineStr">
        <is>
          <t>B00093DZYG</t>
        </is>
      </c>
      <c r="G8463">
        <f>_xludf.IMAGE("https://edmondsonsupply.com/cdn/shop/products/630-1-2_f4e6e615-6377-4eae-87c2-03b0329a1140.jpg?v=1587145137")</f>
        <v/>
      </c>
      <c r="H8463">
        <f>_xludf.IMAGE("https://m.media-amazon.com/images/I/61eCMBwqqTL._AC_UL320_.jpg")</f>
        <v/>
      </c>
      <c r="K8463" t="inlineStr">
        <is>
          <t>11.99</t>
        </is>
      </c>
      <c r="L8463" t="n">
        <v>12.99</v>
      </c>
      <c r="M8463" s="1" t="inlineStr">
        <is>
          <t>8.34%</t>
        </is>
      </c>
      <c r="N8463" s="1" t="n"/>
      <c r="O8463" t="n">
        <v>4.1</v>
      </c>
      <c r="P8463" t="n">
        <v>20</v>
      </c>
      <c r="R8463" t="inlineStr">
        <is>
          <t>InStock</t>
        </is>
      </c>
      <c r="S8463" t="inlineStr">
        <is>
          <t>18.14</t>
        </is>
      </c>
      <c r="T8463" t="inlineStr">
        <is>
          <t>4259221897316</t>
        </is>
      </c>
    </row>
    <row r="8464" ht="87" customHeight="1">
      <c r="A8464" s="2">
        <f>HYPERLINK("https://edmondsonsupply.com/collections/electricians-tools/products/klein-tools-1006-crimping-cutting-tool-for-non-insulated-terminals", "https://edmondsonsupply.com/collections/electricians-tools/products/klein-tools-1006-crimping-cutting-tool-for-non-insulated-terminals")</f>
        <v/>
      </c>
      <c r="B8464" s="2">
        <f>HYPERLINK("https://edmondsonsupply.com/products/klein-tools-1006-crimping-cutting-tool-for-non-insulated-terminals", "https://edmondsonsupply.com/products/klein-tools-1006-crimping-cutting-tool-for-non-insulated-terminals")</f>
        <v/>
      </c>
      <c r="C8464" t="inlineStr">
        <is>
          <t>Klein Tools 1006 Crimping/Cutting Tool for Non-Insulated Terminals</t>
        </is>
      </c>
      <c r="D8464" t="inlineStr">
        <is>
          <t>Klein Tools J1005 Crimping and Cutting Tool, Tapered Nose for 10 to 22 AWG Solderless Terminals and Connectors</t>
        </is>
      </c>
      <c r="E8464" s="2">
        <f>HYPERLINK("https://www.amazon.com/Solderless-Connectors-Klein-Tools-J1005/dp/B000936OTY/ref=sr_1_3?keywords=Klein+Tools+1006+Crimping%2FCutting+Tool+for+Non-Insulated+Terminals&amp;qid=1694735431&amp;sr=8-3", "https://www.amazon.com/Solderless-Connectors-Klein-Tools-J1005/dp/B000936OTY/ref=sr_1_3?keywords=Klein+Tools+1006+Crimping%2FCutting+Tool+for+Non-Insulated+Terminals&amp;qid=1694735431&amp;sr=8-3")</f>
        <v/>
      </c>
      <c r="F8464" t="inlineStr">
        <is>
          <t>B000936OTY</t>
        </is>
      </c>
      <c r="G8464">
        <f>_xlfn.IMAGE("https://edmondsonsupply.com/cdn/shop/products/1006.jpg?v=1587143845")</f>
        <v/>
      </c>
      <c r="H8464">
        <f>_xlfn.IMAGE("https://m.media-amazon.com/images/I/51FxNJH5IOL._AC_UL320_.jpg")</f>
        <v/>
      </c>
      <c r="K8464" t="inlineStr">
        <is>
          <t>36.99</t>
        </is>
      </c>
      <c r="L8464" t="n">
        <v>39.99</v>
      </c>
      <c r="M8464" s="1" t="inlineStr">
        <is>
          <t>8.11%</t>
        </is>
      </c>
      <c r="N8464" s="7" t="n"/>
      <c r="O8464" t="n">
        <v>4.9</v>
      </c>
      <c r="P8464" t="n">
        <v>617</v>
      </c>
      <c r="R8464" t="inlineStr">
        <is>
          <t>InStock</t>
        </is>
      </c>
      <c r="S8464" t="inlineStr">
        <is>
          <t>56.06</t>
        </is>
      </c>
      <c r="T8464" t="inlineStr">
        <is>
          <t>4339826851940</t>
        </is>
      </c>
    </row>
    <row r="8465" hidden="1" ht="15.75" customHeight="1">
      <c r="A8465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465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465" t="inlineStr">
        <is>
          <t>Klein Tools JTH9E15 3/8-Inch Hex Key, Journeyman T-Handle, 9-Inch</t>
        </is>
      </c>
      <c r="D8465" t="inlineStr">
        <is>
          <t>Klein Tools JTH6E15BE 3/8-Inch Hex Key with Ball End and Journeyman T-Handle, 6-Inch</t>
        </is>
      </c>
      <c r="E8465" s="2">
        <f>HYPERLINK("https://www.amazon.com/Klein-Tools-JTH6E15BE-Journeyman-T-Handle/dp/B004QW56FC/ref=sr_1_4?keywords=Klein+Tools+JTH9E15+3%2F8-Inch+Hex+Key%2C+Journeyman+T-Handle%2C+9-Inch&amp;qid=1694735471&amp;sr=8-4", "https://www.amazon.com/Klein-Tools-JTH6E15BE-Journeyman-T-Handle/dp/B004QW56FC/ref=sr_1_4?keywords=Klein+Tools+JTH9E15+3%2F8-Inch+Hex+Key%2C+Journeyman+T-Handle%2C+9-Inch&amp;qid=1694735471&amp;sr=8-4")</f>
        <v/>
      </c>
      <c r="F8465" t="inlineStr">
        <is>
          <t>B004QW56FC</t>
        </is>
      </c>
      <c r="G8465">
        <f>_xludf.IMAGE("https://edmondsonsupply.com/cdn/shop/products/jth9e12.jpg?v=1587144816")</f>
        <v/>
      </c>
      <c r="H8465">
        <f>_xludf.IMAGE("https://m.media-amazon.com/images/I/51f9vBFVXgL._AC_UL320_.jpg")</f>
        <v/>
      </c>
      <c r="K8465" t="inlineStr">
        <is>
          <t>9.99</t>
        </is>
      </c>
      <c r="L8465" t="n">
        <v>10.78</v>
      </c>
      <c r="M8465" s="1" t="inlineStr">
        <is>
          <t>7.91%</t>
        </is>
      </c>
      <c r="N8465" s="1" t="n"/>
      <c r="O8465" t="n">
        <v>4.8</v>
      </c>
      <c r="P8465" t="n">
        <v>454</v>
      </c>
      <c r="R8465" t="inlineStr">
        <is>
          <t>InStock</t>
        </is>
      </c>
      <c r="S8465" t="inlineStr">
        <is>
          <t>15.22</t>
        </is>
      </c>
      <c r="T8465" t="inlineStr">
        <is>
          <t>3695779151972</t>
        </is>
      </c>
    </row>
    <row r="8466" ht="87" customHeight="1">
      <c r="A8466" s="2">
        <f>HYPERLINK("https://edmondsonsupply.com/collections/electricians-tools/products/rack-a-tiers-15555-the-stick-stud-mounted-wire-dispenser", "https://edmondsonsupply.com/collections/electricians-tools/products/rack-a-tiers-15555-the-stick-stud-mounted-wire-dispenser")</f>
        <v/>
      </c>
      <c r="B8466" s="2">
        <f>HYPERLINK("https://edmondsonsupply.com/products/rack-a-tiers-15555-the-stick-stud-mounted-wire-dispenser", "https://edmondsonsupply.com/products/rack-a-tiers-15555-the-stick-stud-mounted-wire-dispenser")</f>
        <v/>
      </c>
      <c r="C8466" t="inlineStr">
        <is>
          <t>Rack-A-Tiers 11555 The Stick - Stud Mounted Wire Dispenser</t>
        </is>
      </c>
      <c r="D8466" t="inlineStr">
        <is>
          <t>Rack-A-Tiers 11555 The Stick - Stud Mounted Dispenser</t>
        </is>
      </c>
      <c r="E8466" s="2">
        <f>HYPERLINK("https://www.amazon.com/Rack-Tiers-11555-Stick-Dispenser/dp/B0137UTGVS/ref=sr_1_1?keywords=Rack-A-Tiers+11555+The+Stick+-+Stud+Mounted+Wire+Dispenser&amp;qid=1694735431&amp;sr=8-1", "https://www.amazon.com/Rack-Tiers-11555-Stick-Dispenser/dp/B0137UTGVS/ref=sr_1_1?keywords=Rack-A-Tiers+11555+The+Stick+-+Stud+Mounted+Wire+Dispenser&amp;qid=1694735431&amp;sr=8-1")</f>
        <v/>
      </c>
      <c r="F8466" t="inlineStr">
        <is>
          <t>B0137UTGVS</t>
        </is>
      </c>
      <c r="G8466">
        <f>_xlfn.IMAGE("https://edmondsonsupply.com/cdn/shop/products/11555-The-Stick-1.jpg?v=1587142283")</f>
        <v/>
      </c>
      <c r="H8466">
        <f>_xlfn.IMAGE("https://m.media-amazon.com/images/I/316QnRfc9XL._AC_UL320_.jpg")</f>
        <v/>
      </c>
      <c r="K8466" t="inlineStr">
        <is>
          <t>41.29</t>
        </is>
      </c>
      <c r="L8466" t="n">
        <v>44.49</v>
      </c>
      <c r="M8466" s="1" t="inlineStr">
        <is>
          <t>7.75%</t>
        </is>
      </c>
      <c r="N8466" s="7" t="n"/>
      <c r="O8466" t="n">
        <v>4.5</v>
      </c>
      <c r="P8466" t="n">
        <v>22</v>
      </c>
      <c r="R8466" t="inlineStr">
        <is>
          <t>InStock</t>
        </is>
      </c>
      <c r="S8466" t="inlineStr">
        <is>
          <t>44.49</t>
        </is>
      </c>
      <c r="T8466" t="inlineStr">
        <is>
          <t>4344971264100</t>
        </is>
      </c>
    </row>
    <row r="8467" ht="87" customHeight="1">
      <c r="A8467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467" s="2">
        <f>HYPERLINK("https://edmondsonsupply.com/products/klein-tools-63050-high-leverage-cable-cutter", "https://edmondsonsupply.com/products/klein-tools-63050-high-leverage-cable-cutter")</f>
        <v/>
      </c>
      <c r="C8467" t="inlineStr">
        <is>
          <t>Klein Tools 63050 Cable Cutter</t>
        </is>
      </c>
      <c r="D8467" t="inlineStr">
        <is>
          <t>Klein Tools 1104 BX Cable Cutter and All-Purpose Shears for BX Cable, Sheet Metal, Steel Strapping, Bundling Wire, with Stripping Notch</t>
        </is>
      </c>
      <c r="E8467" s="2">
        <f>HYPERLINK("https://www.amazon.com/All-Purpose-Shears-Klein-Tools-1104/dp/B001BPWRPO/ref=sr_1_20?keywords=Klein+Tools+63050+Cable+Cutter&amp;qid=1694735444&amp;sr=8-20", "https://www.amazon.com/All-Purpose-Shears-Klein-Tools-1104/dp/B001BPWRPO/ref=sr_1_20?keywords=Klein+Tools+63050+Cable+Cutter&amp;qid=1694735444&amp;sr=8-20")</f>
        <v/>
      </c>
      <c r="F8467" t="inlineStr">
        <is>
          <t>B001BPWRPO</t>
        </is>
      </c>
      <c r="G8467">
        <f>_xlfn.IMAGE("https://edmondsonsupply.com/cdn/shop/products/63050.jpg?v=1587143239")</f>
        <v/>
      </c>
      <c r="H8467">
        <f>_xlfn.IMAGE("https://m.media-amazon.com/images/I/41pZ+mS3b8L._AC_UL320_.jpg")</f>
        <v/>
      </c>
      <c r="K8467" t="inlineStr">
        <is>
          <t>32.99</t>
        </is>
      </c>
      <c r="L8467" t="n">
        <v>35.52</v>
      </c>
      <c r="M8467" s="1" t="inlineStr">
        <is>
          <t>7.67%</t>
        </is>
      </c>
      <c r="N8467" s="7" t="n"/>
      <c r="O8467" t="n">
        <v>4.7</v>
      </c>
      <c r="P8467" t="n">
        <v>637</v>
      </c>
      <c r="R8467" t="inlineStr">
        <is>
          <t>InStock</t>
        </is>
      </c>
      <c r="S8467" t="inlineStr">
        <is>
          <t>47.96</t>
        </is>
      </c>
      <c r="T8467" t="inlineStr">
        <is>
          <t>4289689124964</t>
        </is>
      </c>
    </row>
    <row r="8468" hidden="1" ht="15.75" customHeight="1">
      <c r="A8468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468" s="2">
        <f>HYPERLINK("https://edmondsonsupply.com/products/klein-tools-70591-folding-hex-key-set-nine-key-inch-sizes", "https://edmondsonsupply.com/products/klein-tools-70591-folding-hex-key-set-nine-key-inch-sizes")</f>
        <v/>
      </c>
      <c r="C8468" t="inlineStr">
        <is>
          <t>Klein Tools 70591 Folding Hex Key Set, 9-Key, SAE Sizes</t>
        </is>
      </c>
      <c r="D8468" t="inlineStr">
        <is>
          <t>Klein Tools 70575 Grip-It Hex Key Set, 9-Key, 3-3/4-Inch Handle, SAE Sizes</t>
        </is>
      </c>
      <c r="E8468" s="2">
        <f>HYPERLINK("https://www.amazon.com/Grip-Square-Klein-Tools-70575/dp/B0002RI8PK/ref=sr_1_4?keywords=Klein+Tools+70591+Folding+Hex+Key+Set%2C+9-Key%2C+SAE+Sizes&amp;qid=1694735474&amp;sr=8-4", "https://www.amazon.com/Grip-Square-Klein-Tools-70575/dp/B0002RI8PK/ref=sr_1_4?keywords=Klein+Tools+70591+Folding+Hex+Key+Set%2C+9-Key%2C+SAE+Sizes&amp;qid=1694735474&amp;sr=8-4")</f>
        <v/>
      </c>
      <c r="F8468" t="inlineStr">
        <is>
          <t>B0002RI8PK</t>
        </is>
      </c>
      <c r="G8468">
        <f>_xludf.IMAGE("https://edmondsonsupply.com/cdn/shop/products/70591.jpg?v=1587146577")</f>
        <v/>
      </c>
      <c r="H8468">
        <f>_xludf.IMAGE("https://m.media-amazon.com/images/I/51C7aw6OxTL._AC_UL320_.jpg")</f>
        <v/>
      </c>
      <c r="K8468" t="inlineStr">
        <is>
          <t>9.99</t>
        </is>
      </c>
      <c r="L8468" t="n">
        <v>10.74</v>
      </c>
      <c r="M8468" s="1" t="inlineStr">
        <is>
          <t>7.51%</t>
        </is>
      </c>
      <c r="N8468" s="1" t="n"/>
      <c r="O8468" t="n">
        <v>4.4</v>
      </c>
      <c r="P8468" t="n">
        <v>65</v>
      </c>
      <c r="R8468" t="inlineStr">
        <is>
          <t>InStock</t>
        </is>
      </c>
      <c r="S8468" t="inlineStr">
        <is>
          <t>14.04</t>
        </is>
      </c>
      <c r="T8468" t="inlineStr">
        <is>
          <t>3683738320996</t>
        </is>
      </c>
    </row>
    <row r="8469" hidden="1" ht="15.75" customHeight="1">
      <c r="A8469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469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469" t="inlineStr">
        <is>
          <t>Klein Tools JTH9E15 3/8-Inch Hex Key, Journeyman T-Handle, 9-Inch</t>
        </is>
      </c>
      <c r="D8469" t="inlineStr">
        <is>
          <t>Klein Tools 70575 Grip-It Hex Key Set, 9-Key, 3-3/4-Inch Handle, SAE Sizes</t>
        </is>
      </c>
      <c r="E8469" s="2">
        <f>HYPERLINK("https://www.amazon.com/Grip-Square-Klein-Tools-70575/dp/B0002RI8PK/ref=sr_1_28?keywords=Klein+Tools+JTH9E15+3%2F8-Inch+Hex+Key%2C+Journeyman+T-Handle%2C+9-Inch&amp;qid=1694735471&amp;sr=8-28", "https://www.amazon.com/Grip-Square-Klein-Tools-70575/dp/B0002RI8PK/ref=sr_1_28?keywords=Klein+Tools+JTH9E15+3%2F8-Inch+Hex+Key%2C+Journeyman+T-Handle%2C+9-Inch&amp;qid=1694735471&amp;sr=8-28")</f>
        <v/>
      </c>
      <c r="F8469" t="inlineStr">
        <is>
          <t>B0002RI8PK</t>
        </is>
      </c>
      <c r="G8469">
        <f>_xludf.IMAGE("https://edmondsonsupply.com/cdn/shop/products/jth9e12.jpg?v=1587144816")</f>
        <v/>
      </c>
      <c r="H8469">
        <f>_xludf.IMAGE("https://m.media-amazon.com/images/I/51C7aw6OxTL._AC_UL320_.jpg")</f>
        <v/>
      </c>
      <c r="K8469" t="inlineStr">
        <is>
          <t>9.99</t>
        </is>
      </c>
      <c r="L8469" t="n">
        <v>10.74</v>
      </c>
      <c r="M8469" s="1" t="inlineStr">
        <is>
          <t>7.51%</t>
        </is>
      </c>
      <c r="N8469" s="1" t="n"/>
      <c r="O8469" t="n">
        <v>4.4</v>
      </c>
      <c r="P8469" t="n">
        <v>65</v>
      </c>
      <c r="R8469" t="inlineStr">
        <is>
          <t>InStock</t>
        </is>
      </c>
      <c r="S8469" t="inlineStr">
        <is>
          <t>15.22</t>
        </is>
      </c>
      <c r="T8469" t="inlineStr">
        <is>
          <t>3695779151972</t>
        </is>
      </c>
    </row>
    <row r="8470" hidden="1" ht="15.75" customHeight="1">
      <c r="A8470" s="2">
        <f>HYPERLINK("https://edmondsonsupply.com/collections/electricians-tools/products/klein-tools-70570-grip-it%C2%AE-five-key-hex-set-inch", "https://edmondsonsupply.com/collections/electricians-tools/products/klein-tools-70570-grip-it%C2%AE-five-key-hex-set-inch")</f>
        <v/>
      </c>
      <c r="B8470" s="2">
        <f>HYPERLINK("https://edmondsonsupply.com/products/klein-tools-70570-grip-it%c2%ae-five-key-hex-set-inch", "https://edmondsonsupply.com/products/klein-tools-70570-grip-it%c2%ae-five-key-hex-set-inch")</f>
        <v/>
      </c>
      <c r="C8470" t="inlineStr">
        <is>
          <t>Klein Tools 70570 Grip-It® Hex Key Set, 5-Key, SAE Sizes</t>
        </is>
      </c>
      <c r="D8470" t="inlineStr">
        <is>
          <t>Klein Tools 70575 Grip-It Hex Key Set, 9-Key, 3-3/4-Inch Handle, SAE Sizes</t>
        </is>
      </c>
      <c r="E8470" s="2">
        <f>HYPERLINK("https://www.amazon.com/Grip-Square-Klein-Tools-70575/dp/B0002RI8PK/ref=sr_1_2?keywords=Klein+Tools+70570+Grip-It%C2%AE+Hex+Key+Set%2C+5-Key%2C+SAE+Sizes&amp;qid=1694735431&amp;sr=8-2", "https://www.amazon.com/Grip-Square-Klein-Tools-70575/dp/B0002RI8PK/ref=sr_1_2?keywords=Klein+Tools+70570+Grip-It%C2%AE+Hex+Key+Set%2C+5-Key%2C+SAE+Sizes&amp;qid=1694735431&amp;sr=8-2")</f>
        <v/>
      </c>
      <c r="F8470" t="inlineStr">
        <is>
          <t>B0002RI8PK</t>
        </is>
      </c>
      <c r="G8470">
        <f>_xludf.IMAGE("https://edmondsonsupply.com/cdn/shop/products/70570.jpg?v=1587143378")</f>
        <v/>
      </c>
      <c r="H8470">
        <f>_xludf.IMAGE("https://m.media-amazon.com/images/I/51C7aw6OxTL._AC_UL320_.jpg")</f>
        <v/>
      </c>
      <c r="K8470" t="inlineStr">
        <is>
          <t>9.99</t>
        </is>
      </c>
      <c r="L8470" t="n">
        <v>10.74</v>
      </c>
      <c r="M8470" s="1" t="inlineStr">
        <is>
          <t>7.51%</t>
        </is>
      </c>
      <c r="N8470" s="1" t="n"/>
      <c r="O8470" t="n">
        <v>4.4</v>
      </c>
      <c r="P8470" t="n">
        <v>65</v>
      </c>
      <c r="R8470" t="inlineStr">
        <is>
          <t>InStock</t>
        </is>
      </c>
      <c r="S8470" t="inlineStr">
        <is>
          <t>13.66</t>
        </is>
      </c>
      <c r="T8470" t="inlineStr">
        <is>
          <t>4344501534820</t>
        </is>
      </c>
    </row>
    <row r="8471" hidden="1" ht="15.75" customHeight="1">
      <c r="A8471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471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471" t="inlineStr">
        <is>
          <t>Klein Tools 630-9/16 9/16-Inch Hollow Shaft Nut Driver 4-Inch Shaft</t>
        </is>
      </c>
      <c r="D8471" t="inlineStr">
        <is>
          <t>Klein Tools 646-9/16 9/16-Inch Nut Driver 6-Inch Hollow Shaft</t>
        </is>
      </c>
      <c r="E8471" s="2">
        <f>HYPERLINK("https://www.amazon.com/Klein-Tools-646-9-16-16-Inch/dp/B000936QWY/ref=sr_1_3?keywords=Klein+Tools+630-9%2F16+9%2F16-Inch+Hollow+Shaft+Nut+Driver+4-Inch+Shaft&amp;qid=1694735442&amp;sr=8-3", "https://www.amazon.com/Klein-Tools-646-9-16-16-Inch/dp/B000936QWY/ref=sr_1_3?keywords=Klein+Tools+630-9%2F16+9%2F16-Inch+Hollow+Shaft+Nut+Driver+4-Inch+Shaft&amp;qid=1694735442&amp;sr=8-3")</f>
        <v/>
      </c>
      <c r="F8471" t="inlineStr">
        <is>
          <t>B000936QWY</t>
        </is>
      </c>
      <c r="G8471">
        <f>_xludf.IMAGE("https://edmondsonsupply.com/cdn/shop/products/630-1-2_f4e6e615-6377-4eae-87c2-03b0329a1140.jpg?v=1587145137")</f>
        <v/>
      </c>
      <c r="H8471">
        <f>_xludf.IMAGE("https://m.media-amazon.com/images/I/41esdWE3JCL._AC_UL320_.jpg")</f>
        <v/>
      </c>
      <c r="K8471" t="inlineStr">
        <is>
          <t>11.99</t>
        </is>
      </c>
      <c r="L8471" t="n">
        <v>12.87</v>
      </c>
      <c r="M8471" s="1" t="inlineStr">
        <is>
          <t>7.34%</t>
        </is>
      </c>
      <c r="N8471" s="1" t="n"/>
      <c r="O8471" t="n">
        <v>4.8</v>
      </c>
      <c r="P8471" t="n">
        <v>2491</v>
      </c>
      <c r="R8471" t="inlineStr">
        <is>
          <t>InStock</t>
        </is>
      </c>
      <c r="S8471" t="inlineStr">
        <is>
          <t>18.14</t>
        </is>
      </c>
      <c r="T8471" t="inlineStr">
        <is>
          <t>4259221897316</t>
        </is>
      </c>
    </row>
    <row r="8472" hidden="1" ht="15.75" customHeight="1">
      <c r="A8472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472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472" t="inlineStr">
        <is>
          <t>Klein Tools JTH6E09 9/64-Inch Hex Key, Journeyman T-Handle, 6-Inch</t>
        </is>
      </c>
      <c r="D8472" t="inlineStr">
        <is>
          <t>Klein Tools JTH9E09 9/64-Inch Hex Key with Journeyman T-Handle, 9-Inch</t>
        </is>
      </c>
      <c r="E8472" s="2">
        <f>HYPERLINK("https://www.amazon.com/Journeyman-T-Handle-Klein-Tools-JTH9E09/dp/B004QV4ORY/ref=sr_1_2?keywords=Klein+Tools+JTH6E09+9%2F64-Inch+Hex+Key%2C+Journeyman+T-Handle%2C+6-Inch&amp;qid=1694735431&amp;sr=8-2", "https://www.amazon.com/Journeyman-T-Handle-Klein-Tools-JTH9E09/dp/B004QV4ORY/ref=sr_1_2?keywords=Klein+Tools+JTH6E09+9%2F64-Inch+Hex+Key%2C+Journeyman+T-Handle%2C+6-Inch&amp;qid=1694735431&amp;sr=8-2")</f>
        <v/>
      </c>
      <c r="F8472" t="inlineStr">
        <is>
          <t>B004QV4ORY</t>
        </is>
      </c>
      <c r="G8472">
        <f>_xludf.IMAGE("https://edmondsonsupply.com/cdn/shop/products/jth6e15_bef890d0-fa69-4c40-acf7-922fc3acaacb.jpg?v=1587142823")</f>
        <v/>
      </c>
      <c r="H8472">
        <f>_xludf.IMAGE("https://m.media-amazon.com/images/I/51Yb8h41vLL._AC_UL320_.jpg")</f>
        <v/>
      </c>
      <c r="K8472" t="inlineStr">
        <is>
          <t>3.99</t>
        </is>
      </c>
      <c r="L8472" t="n">
        <v>4.27</v>
      </c>
      <c r="M8472" s="1" t="inlineStr">
        <is>
          <t>7.02%</t>
        </is>
      </c>
      <c r="N8472" s="1" t="n"/>
      <c r="O8472" t="n">
        <v>4.7</v>
      </c>
      <c r="P8472" t="n">
        <v>390</v>
      </c>
      <c r="R8472" t="inlineStr">
        <is>
          <t>InStock</t>
        </is>
      </c>
      <c r="S8472" t="inlineStr">
        <is>
          <t>6.04</t>
        </is>
      </c>
      <c r="T8472" t="inlineStr">
        <is>
          <t>4339809386596</t>
        </is>
      </c>
    </row>
    <row r="8473" hidden="1" ht="15.75" customHeight="1">
      <c r="A8473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473" s="2">
        <f>HYPERLINK("https://edmondsonsupply.com/products/klein-tools-601-6-3-16-inch-cabinet-tip-screwdriver-6-inch", "https://edmondsonsupply.com/products/klein-tools-601-6-3-16-inch-cabinet-tip-screwdriver-6-inch")</f>
        <v/>
      </c>
      <c r="C8473" t="inlineStr">
        <is>
          <t>Klein Tools 601-6 3/16-Inch Cabinet Tip Screwdriver 6-Inch</t>
        </is>
      </c>
      <c r="D8473" t="inlineStr">
        <is>
          <t>Klein Tools BD156 5/16-Inch Flat Head Screwdriver, Keystone Tip with 6-Inch Round Shank and Comfordome Handle</t>
        </is>
      </c>
      <c r="E8473" s="2">
        <f>HYPERLINK("https://www.amazon.com/Screwdriver-Comfordome-Klein-Tools-BD156/dp/B000G1QOMQ/ref=sr_1_23?keywords=Klein+Tools+601-6+3%2F16-Inch+Cabinet+Tip+Screwdriver+6-Inch&amp;qid=1694735470&amp;sr=8-23", "https://www.amazon.com/Screwdriver-Comfordome-Klein-Tools-BD156/dp/B000G1QOMQ/ref=sr_1_23?keywords=Klein+Tools+601-6+3%2F16-Inch+Cabinet+Tip+Screwdriver+6-Inch&amp;qid=1694735470&amp;sr=8-23")</f>
        <v/>
      </c>
      <c r="F8473" t="inlineStr">
        <is>
          <t>B000G1QOMQ</t>
        </is>
      </c>
      <c r="G8473">
        <f>_xludf.IMAGE("https://edmondsonsupply.com/cdn/shop/products/601-6.jpg?v=1587148683")</f>
        <v/>
      </c>
      <c r="H8473">
        <f>_xludf.IMAGE("https://m.media-amazon.com/images/I/31Jat2OaC-L._AC_UL320_.jpg")</f>
        <v/>
      </c>
      <c r="K8473" t="inlineStr">
        <is>
          <t>8.99</t>
        </is>
      </c>
      <c r="L8473" t="n">
        <v>9.57</v>
      </c>
      <c r="M8473" s="1" t="inlineStr">
        <is>
          <t>6.45%</t>
        </is>
      </c>
      <c r="N8473" s="1" t="n"/>
      <c r="O8473" t="n">
        <v>4.8</v>
      </c>
      <c r="P8473" t="n">
        <v>22</v>
      </c>
      <c r="R8473" t="inlineStr">
        <is>
          <t>InStock</t>
        </is>
      </c>
      <c r="S8473" t="inlineStr">
        <is>
          <t>11.96</t>
        </is>
      </c>
      <c r="T8473" t="inlineStr">
        <is>
          <t>3689898016868</t>
        </is>
      </c>
    </row>
    <row r="8474" ht="87" customHeight="1">
      <c r="A8474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474" s="2">
        <f>HYPERLINK("https://edmondsonsupply.com/products/klein-tools-31972-bi-metal-hole-saw-4-1-2-inch", "https://edmondsonsupply.com/products/klein-tools-31972-bi-metal-hole-saw-4-1-2-inch")</f>
        <v/>
      </c>
      <c r="C8474" t="inlineStr">
        <is>
          <t>Klein Tools 31972 Bi-Metal Hole Saw, 4-1/2-Inch</t>
        </is>
      </c>
      <c r="D8474" t="inlineStr">
        <is>
          <t>IRWIN Hole Saw, Bi-Metal, 4-1/2-Inch (373412BX)</t>
        </is>
      </c>
      <c r="E8474" s="2">
        <f>HYPERLINK("https://www.amazon.com/IRWIN-373412BX-2-Inch-Bi-Metal-Hole/dp/B0002YQSMS/ref=sr_1_11?keywords=Klein+Tools+31972+Bi-Metal+Hole+Saw%2C+4-1%2F2-Inch&amp;qid=1694735442&amp;sr=8-11", "https://www.amazon.com/IRWIN-373412BX-2-Inch-Bi-Metal-Hole/dp/B0002YQSMS/ref=sr_1_11?keywords=Klein+Tools+31972+Bi-Metal+Hole+Saw%2C+4-1%2F2-Inch&amp;qid=1694735442&amp;sr=8-11")</f>
        <v/>
      </c>
      <c r="F8474" t="inlineStr">
        <is>
          <t>B0002YQSMS</t>
        </is>
      </c>
      <c r="G8474">
        <f>_xlfn.IMAGE("https://edmondsonsupply.com/cdn/shop/products/31972.jpg?v=1587147016")</f>
        <v/>
      </c>
      <c r="H8474">
        <f>_xlfn.IMAGE("https://m.media-amazon.com/images/I/51+kiEAWuUL._AC_UL320_.jpg")</f>
        <v/>
      </c>
      <c r="K8474" t="inlineStr">
        <is>
          <t>26.99</t>
        </is>
      </c>
      <c r="L8474" t="n">
        <v>28.61</v>
      </c>
      <c r="M8474" s="1" t="inlineStr">
        <is>
          <t>6.00%</t>
        </is>
      </c>
      <c r="N8474" s="7" t="n"/>
      <c r="O8474" t="n">
        <v>4.5</v>
      </c>
      <c r="P8474" t="n">
        <v>451</v>
      </c>
      <c r="R8474" t="inlineStr">
        <is>
          <t>InStock</t>
        </is>
      </c>
      <c r="S8474" t="inlineStr">
        <is>
          <t>37.86</t>
        </is>
      </c>
      <c r="T8474" t="inlineStr">
        <is>
          <t>4328864809060</t>
        </is>
      </c>
    </row>
    <row r="8475" hidden="1" ht="15.75" customHeight="1">
      <c r="A8475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475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475" t="inlineStr">
        <is>
          <t>Klein Tools 614-6 1/8-Inch Cabinet Electronics Screwdriver, 6-Inch</t>
        </is>
      </c>
      <c r="D8475" t="inlineStr">
        <is>
          <t>Klein Tools 601-8 3/16-Inch Cabinet Tip Screwdriver, 8-Inch</t>
        </is>
      </c>
      <c r="E8475" s="2">
        <f>HYPERLINK("https://www.amazon.com/Klein-Tools-601-8-16-Inch-Screwdriver/dp/B000BPAI6K/ref=sr_1_18?keywords=Klein+Tools+614-6+1%2F8-Inch+Cabinet+Electronics+Screwdriver%2C+6-Inch&amp;qid=1694735470&amp;sr=8-18", "https://www.amazon.com/Klein-Tools-601-8-16-Inch-Screwdriver/dp/B000BPAI6K/ref=sr_1_18?keywords=Klein+Tools+614-6+1%2F8-Inch+Cabinet+Electronics+Screwdriver%2C+6-Inch&amp;qid=1694735470&amp;sr=8-18")</f>
        <v/>
      </c>
      <c r="F8475" t="inlineStr">
        <is>
          <t>B000BPAI6K</t>
        </is>
      </c>
      <c r="G8475">
        <f>_xludf.IMAGE("https://edmondsonsupply.com/cdn/shop/products/614-6.jpg?v=1587147731")</f>
        <v/>
      </c>
      <c r="H8475">
        <f>_xludf.IMAGE("https://m.media-amazon.com/images/I/31tcIGrcnZL._AC_UL320_.jpg")</f>
        <v/>
      </c>
      <c r="K8475" t="inlineStr">
        <is>
          <t>9.99</t>
        </is>
      </c>
      <c r="L8475" t="n">
        <v>10.49</v>
      </c>
      <c r="M8475" s="1" t="inlineStr">
        <is>
          <t>5.01%</t>
        </is>
      </c>
      <c r="N8475" s="1" t="n"/>
      <c r="O8475" t="n">
        <v>4.8</v>
      </c>
      <c r="P8475" t="n">
        <v>837</v>
      </c>
      <c r="R8475" t="inlineStr">
        <is>
          <t>InStock</t>
        </is>
      </c>
      <c r="S8475" t="inlineStr">
        <is>
          <t>15.14</t>
        </is>
      </c>
      <c r="T8475" t="inlineStr">
        <is>
          <t>3688620556388</t>
        </is>
      </c>
    </row>
    <row r="8476" hidden="1" ht="15.75" customHeight="1">
      <c r="A8476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476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476" t="inlineStr">
        <is>
          <t>Klein Tools 614-6 1/8-Inch Cabinet Electronics Screwdriver, 6-Inch</t>
        </is>
      </c>
      <c r="D8476" t="inlineStr">
        <is>
          <t>Klein Tools 670-6 Screwdriver, 3/16-Inch Cabinet Tip, Rapi-Driv with 6-Inch Shank</t>
        </is>
      </c>
      <c r="E8476" s="2">
        <f>HYPERLINK("https://www.amazon.com/Klein-Tools-670-6-Screwdriver-Rapi-Driv/dp/B000BO9T3Y/ref=sr_1_6?keywords=Klein+Tools+614-6+1%2F8-Inch+Cabinet+Electronics+Screwdriver%2C+6-Inch&amp;qid=1694735470&amp;sr=8-6", "https://www.amazon.com/Klein-Tools-670-6-Screwdriver-Rapi-Driv/dp/B000BO9T3Y/ref=sr_1_6?keywords=Klein+Tools+614-6+1%2F8-Inch+Cabinet+Electronics+Screwdriver%2C+6-Inch&amp;qid=1694735470&amp;sr=8-6")</f>
        <v/>
      </c>
      <c r="F8476" t="inlineStr">
        <is>
          <t>B000BO9T3Y</t>
        </is>
      </c>
      <c r="G8476">
        <f>_xludf.IMAGE("https://edmondsonsupply.com/cdn/shop/products/614-6.jpg?v=1587147731")</f>
        <v/>
      </c>
      <c r="H8476">
        <f>_xludf.IMAGE("https://m.media-amazon.com/images/I/31+1RSUdZ+S._AC_UL320_.jpg")</f>
        <v/>
      </c>
      <c r="K8476" t="inlineStr">
        <is>
          <t>9.99</t>
        </is>
      </c>
      <c r="L8476" t="n">
        <v>10.49</v>
      </c>
      <c r="M8476" s="1" t="inlineStr">
        <is>
          <t>5.01%</t>
        </is>
      </c>
      <c r="N8476" s="1" t="n"/>
      <c r="O8476" t="n">
        <v>4.8</v>
      </c>
      <c r="P8476" t="n">
        <v>1603</v>
      </c>
      <c r="R8476" t="inlineStr">
        <is>
          <t>InStock</t>
        </is>
      </c>
      <c r="S8476" t="inlineStr">
        <is>
          <t>15.14</t>
        </is>
      </c>
      <c r="T8476" t="inlineStr">
        <is>
          <t>3688620556388</t>
        </is>
      </c>
    </row>
    <row r="8477" hidden="1" ht="15.75" customHeight="1">
      <c r="A8477" s="2">
        <f>HYPERLINK("https://edmondsonsupply.com/collections/electricians-tools/products/klein-tools-670-3-3-16-cabinet-tip-rapi-driv%C2%AE-screwdriver-4-shank", "https://edmondsonsupply.com/collections/electricians-tools/products/klein-tools-670-3-3-16-cabinet-tip-rapi-driv%C2%AE-screwdriver-4-shank")</f>
        <v/>
      </c>
      <c r="B8477" s="2">
        <f>HYPERLINK("https://edmondsonsupply.com/products/klein-tools-670-3-3-16-cabinet-tip-rapi-driv%c2%ae-screwdriver-4-shank", "https://edmondsonsupply.com/products/klein-tools-670-3-3-16-cabinet-tip-rapi-driv%c2%ae-screwdriver-4-shank")</f>
        <v/>
      </c>
      <c r="C8477" t="inlineStr">
        <is>
          <t>Klein Tools 670-3 Rapi-Driv® Screwdriver, 3/16-Inch Cabinet Tip, 4-Inch Shank</t>
        </is>
      </c>
      <c r="D8477" t="inlineStr">
        <is>
          <t>Klein Tools 670-6 Screwdriver, 3/16-Inch Cabinet Tip, Rapi-Driv with 6-Inch Shank</t>
        </is>
      </c>
      <c r="E8477" s="2">
        <f>HYPERLINK("https://www.amazon.com/Klein-Tools-670-6-Screwdriver-Rapi-Driv/dp/B000BO9T3Y/ref=sr_1_2?keywords=Klein+Tools+670-3+Rapi-Driv%C2%AE+Screwdriver%2C+3%2F16-Inch+Cabinet+Tip%2C+4-Inch+Shank&amp;qid=1694735456&amp;sr=8-2", "https://www.amazon.com/Klein-Tools-670-6-Screwdriver-Rapi-Driv/dp/B000BO9T3Y/ref=sr_1_2?keywords=Klein+Tools+670-3+Rapi-Driv%C2%AE+Screwdriver%2C+3%2F16-Inch+Cabinet+Tip%2C+4-Inch+Shank&amp;qid=1694735456&amp;sr=8-2")</f>
        <v/>
      </c>
      <c r="F8477" t="inlineStr">
        <is>
          <t>B000BO9T3Y</t>
        </is>
      </c>
      <c r="G8477">
        <f>_xludf.IMAGE("https://edmondsonsupply.com/cdn/shop/products/670-6.jpg?v=1587150445")</f>
        <v/>
      </c>
      <c r="H8477">
        <f>_xludf.IMAGE("https://m.media-amazon.com/images/I/31+1RSUdZ+S._AC_UL320_.jpg")</f>
        <v/>
      </c>
      <c r="K8477" t="inlineStr">
        <is>
          <t>9.99</t>
        </is>
      </c>
      <c r="L8477" t="n">
        <v>10.49</v>
      </c>
      <c r="M8477" s="1" t="inlineStr">
        <is>
          <t>5.01%</t>
        </is>
      </c>
      <c r="N8477" s="1" t="n"/>
      <c r="O8477" t="n">
        <v>4.8</v>
      </c>
      <c r="P8477" t="n">
        <v>1603</v>
      </c>
      <c r="R8477" t="inlineStr">
        <is>
          <t>InStock</t>
        </is>
      </c>
      <c r="S8477" t="inlineStr">
        <is>
          <t>15.1</t>
        </is>
      </c>
      <c r="T8477" t="inlineStr">
        <is>
          <t>1901121831012</t>
        </is>
      </c>
    </row>
    <row r="8478" hidden="1" ht="15.75" customHeight="1">
      <c r="A8478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478" s="2">
        <f>HYPERLINK("https://edmondsonsupply.com/products/klein-tools-601-6-3-16-inch-cabinet-tip-screwdriver-6-inch", "https://edmondsonsupply.com/products/klein-tools-601-6-3-16-inch-cabinet-tip-screwdriver-6-inch")</f>
        <v/>
      </c>
      <c r="C8478" t="inlineStr">
        <is>
          <t>Klein Tools 601-6 3/16-Inch Cabinet Tip Screwdriver 6-Inch</t>
        </is>
      </c>
      <c r="D8478" t="inlineStr">
        <is>
          <t>Klein Tools 605-6 1/4-Inch Cabinet Tip Screwdriver, Heavy Duty, 6-Inch</t>
        </is>
      </c>
      <c r="E8478" s="2">
        <f>HYPERLINK("https://www.amazon.com/Klein-Tools-4-Inch-Cabinet-Screwdriver/dp/B000BQT6GC/ref=sr_1_6?keywords=Klein+Tools+601-6+3%2F16-Inch+Cabinet+Tip+Screwdriver+6-Inch&amp;qid=1694735470&amp;sr=8-6", "https://www.amazon.com/Klein-Tools-4-Inch-Cabinet-Screwdriver/dp/B000BQT6GC/ref=sr_1_6?keywords=Klein+Tools+601-6+3%2F16-Inch+Cabinet+Tip+Screwdriver+6-Inch&amp;qid=1694735470&amp;sr=8-6")</f>
        <v/>
      </c>
      <c r="F8478" t="inlineStr">
        <is>
          <t>B000BQT6GC</t>
        </is>
      </c>
      <c r="G8478">
        <f>_xludf.IMAGE("https://edmondsonsupply.com/cdn/shop/products/601-6.jpg?v=1587148683")</f>
        <v/>
      </c>
      <c r="H8478">
        <f>_xludf.IMAGE("https://m.media-amazon.com/images/I/41WLDr2SP+L._AC_UL320_.jpg")</f>
        <v/>
      </c>
      <c r="K8478" t="inlineStr">
        <is>
          <t>8.99</t>
        </is>
      </c>
      <c r="L8478" t="n">
        <v>9.390000000000001</v>
      </c>
      <c r="M8478" s="1" t="inlineStr">
        <is>
          <t>4.45%</t>
        </is>
      </c>
      <c r="N8478" s="1" t="n"/>
      <c r="O8478" t="n">
        <v>4.8</v>
      </c>
      <c r="P8478" t="n">
        <v>1225</v>
      </c>
      <c r="R8478" t="inlineStr">
        <is>
          <t>InStock</t>
        </is>
      </c>
      <c r="S8478" t="inlineStr">
        <is>
          <t>11.96</t>
        </is>
      </c>
      <c r="T8478" t="inlineStr">
        <is>
          <t>3689898016868</t>
        </is>
      </c>
    </row>
    <row r="8479" hidden="1" ht="15.75" customHeight="1">
      <c r="A8479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79" s="2">
        <f>HYPERLINK("https://edmondsonsupply.com/products/klein-tools-600-4-1-4-inch-screwdriver-heavy-duty-square-shank", "https://edmondsonsupply.com/products/klein-tools-600-4-1-4-inch-screwdriver-heavy-duty-square-shank")</f>
        <v/>
      </c>
      <c r="C8479" t="inlineStr">
        <is>
          <t>Klein Tools 600-4 1/4-Inch Keystone Cushion-Grip Screwdriver</t>
        </is>
      </c>
      <c r="D8479" t="inlineStr">
        <is>
          <t>Klein Tools 6826INS Insulated Screwdriver, 1000V 1/4-Inch Cabinet Tip Screwdriver with 6-Inch Shank, Tip-Ident, Cushion-Grip Handle</t>
        </is>
      </c>
      <c r="E8479" s="2">
        <f>HYPERLINK("https://www.amazon.com/Klein-Tools-6826INS-Screwdriver-Cushion-Grip/dp/B0BF79W49J/ref=sr_1_31?keywords=Klein+Tools+600-4+1%2F4-Inch+Keystone+Cushion-Grip+Screwdriver&amp;qid=1694735465&amp;sr=8-31", "https://www.amazon.com/Klein-Tools-6826INS-Screwdriver-Cushion-Grip/dp/B0BF79W49J/ref=sr_1_31?keywords=Klein+Tools+600-4+1%2F4-Inch+Keystone+Cushion-Grip+Screwdriver&amp;qid=1694735465&amp;sr=8-31")</f>
        <v/>
      </c>
      <c r="F8479" t="inlineStr">
        <is>
          <t>B0BF79W49J</t>
        </is>
      </c>
      <c r="G8479">
        <f>_xludf.IMAGE("https://edmondsonsupply.com/cdn/shop/products/600-4.jpg?v=1587145175")</f>
        <v/>
      </c>
      <c r="H8479">
        <f>_xludf.IMAGE("https://m.media-amazon.com/images/I/41dJ6lRyHyL._AC_UL320_.jpg")</f>
        <v/>
      </c>
      <c r="K8479" t="inlineStr">
        <is>
          <t>11.49</t>
        </is>
      </c>
      <c r="L8479" t="n">
        <v>11.97</v>
      </c>
      <c r="M8479" s="1" t="inlineStr">
        <is>
          <t>4.18%</t>
        </is>
      </c>
      <c r="N8479" s="1" t="n"/>
      <c r="O8479" t="n">
        <v>4.9</v>
      </c>
      <c r="P8479" t="n">
        <v>9</v>
      </c>
      <c r="R8479" t="inlineStr">
        <is>
          <t>InStock</t>
        </is>
      </c>
      <c r="S8479" t="inlineStr">
        <is>
          <t>15.08</t>
        </is>
      </c>
      <c r="T8479" t="inlineStr">
        <is>
          <t>3700353073252</t>
        </is>
      </c>
    </row>
    <row r="8480" hidden="1" ht="15.75" customHeight="1">
      <c r="A8480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80" s="2">
        <f>HYPERLINK("https://edmondsonsupply.com/products/klein-tools-600-4-1-4-inch-screwdriver-heavy-duty-square-shank", "https://edmondsonsupply.com/products/klein-tools-600-4-1-4-inch-screwdriver-heavy-duty-square-shank")</f>
        <v/>
      </c>
      <c r="C8480" t="inlineStr">
        <is>
          <t>Klein Tools 600-4 1/4-Inch Keystone Cushion-Grip Screwdriver</t>
        </is>
      </c>
      <c r="D8480" t="inlineStr">
        <is>
          <t>Klein Tools 6846INS Insulated Screwdriver, 1000V #2 Square Tip Screwdriver with 6-Inch Shank, Tip-Ident, Cushion-Grip Handle</t>
        </is>
      </c>
      <c r="E8480" s="2">
        <f>HYPERLINK("https://www.amazon.com/Klein-Tools-6846INS-Screwdriver-Cushion-Grip/dp/B0BF7X96QK/ref=sr_1_18?keywords=Klein+Tools+600-4+1%2F4-Inch+Keystone+Cushion-Grip+Screwdriver&amp;qid=1694735465&amp;sr=8-18", "https://www.amazon.com/Klein-Tools-6846INS-Screwdriver-Cushion-Grip/dp/B0BF7X96QK/ref=sr_1_18?keywords=Klein+Tools+600-4+1%2F4-Inch+Keystone+Cushion-Grip+Screwdriver&amp;qid=1694735465&amp;sr=8-18")</f>
        <v/>
      </c>
      <c r="F8480" t="inlineStr">
        <is>
          <t>B0BF7X96QK</t>
        </is>
      </c>
      <c r="G8480">
        <f>_xludf.IMAGE("https://edmondsonsupply.com/cdn/shop/products/600-4.jpg?v=1587145175")</f>
        <v/>
      </c>
      <c r="H8480">
        <f>_xludf.IMAGE("https://m.media-amazon.com/images/I/31EOUkZ6n3L._AC_UL320_.jpg")</f>
        <v/>
      </c>
      <c r="K8480" t="inlineStr">
        <is>
          <t>11.49</t>
        </is>
      </c>
      <c r="L8480" t="n">
        <v>11.97</v>
      </c>
      <c r="M8480" s="1" t="inlineStr">
        <is>
          <t>4.18%</t>
        </is>
      </c>
      <c r="N8480" s="1" t="n"/>
      <c r="O8480" t="n">
        <v>4.7</v>
      </c>
      <c r="P8480" t="n">
        <v>201</v>
      </c>
      <c r="R8480" t="inlineStr">
        <is>
          <t>InStock</t>
        </is>
      </c>
      <c r="S8480" t="inlineStr">
        <is>
          <t>15.08</t>
        </is>
      </c>
      <c r="T8480" t="inlineStr">
        <is>
          <t>3700353073252</t>
        </is>
      </c>
    </row>
    <row r="8481" hidden="1" ht="15.75" customHeight="1">
      <c r="A8481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481" s="2">
        <f>HYPERLINK("https://edmondsonsupply.com/products/klein-tools-600-4-1-4-inch-screwdriver-heavy-duty-square-shank", "https://edmondsonsupply.com/products/klein-tools-600-4-1-4-inch-screwdriver-heavy-duty-square-shank")</f>
        <v/>
      </c>
      <c r="C8481" t="inlineStr">
        <is>
          <t>Klein Tools 600-4 1/4-Inch Keystone Cushion-Grip Screwdriver</t>
        </is>
      </c>
      <c r="D8481" t="inlineStr">
        <is>
          <t>Klein Tools 32581 4-in-1 Electronics Screwdriver Set with Precision Machines Bits: 2 Slotted, 2 Phillips, and Cushion Grip Handles, 4-Piece</t>
        </is>
      </c>
      <c r="E8481" s="2">
        <f>HYPERLINK("https://www.amazon.com/Screwdriver-Electronics-Klein-Tools-32581/dp/B01EOY7LTA/ref=sr_1_16?keywords=Klein+Tools+600-4+1%2F4-Inch+Keystone+Cushion-Grip+Screwdriver&amp;qid=1694735465&amp;sr=8-16", "https://www.amazon.com/Screwdriver-Electronics-Klein-Tools-32581/dp/B01EOY7LTA/ref=sr_1_16?keywords=Klein+Tools+600-4+1%2F4-Inch+Keystone+Cushion-Grip+Screwdriver&amp;qid=1694735465&amp;sr=8-16")</f>
        <v/>
      </c>
      <c r="F8481" t="inlineStr">
        <is>
          <t>B01EOY7LTA</t>
        </is>
      </c>
      <c r="G8481">
        <f>_xludf.IMAGE("https://edmondsonsupply.com/cdn/shop/products/600-4.jpg?v=1587145175")</f>
        <v/>
      </c>
      <c r="H8481">
        <f>_xludf.IMAGE("https://m.media-amazon.com/images/I/31v0ZtokP0L._AC_UL320_.jpg")</f>
        <v/>
      </c>
      <c r="K8481" t="inlineStr">
        <is>
          <t>11.49</t>
        </is>
      </c>
      <c r="L8481" t="n">
        <v>11.97</v>
      </c>
      <c r="M8481" s="1" t="inlineStr">
        <is>
          <t>4.18%</t>
        </is>
      </c>
      <c r="N8481" s="1" t="n"/>
      <c r="O8481" t="n">
        <v>4.8</v>
      </c>
      <c r="P8481" t="n">
        <v>17683</v>
      </c>
      <c r="R8481" t="inlineStr">
        <is>
          <t>InStock</t>
        </is>
      </c>
      <c r="S8481" t="inlineStr">
        <is>
          <t>15.08</t>
        </is>
      </c>
      <c r="T8481" t="inlineStr">
        <is>
          <t>3700353073252</t>
        </is>
      </c>
    </row>
    <row r="8482" hidden="1" ht="15.75" customHeight="1">
      <c r="A8482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482" s="2">
        <f>HYPERLINK("https://edmondsonsupply.com/products/klein-tools-70579-folding-hex-key-set-5-inch-sae-5-piece", "https://edmondsonsupply.com/products/klein-tools-70579-folding-hex-key-set-5-inch-sae-5-piece")</f>
        <v/>
      </c>
      <c r="C8482" t="inlineStr">
        <is>
          <t>Klein Tools 70579 Folding Hex Key Set, 5-Key, SAE Sizes</t>
        </is>
      </c>
      <c r="D8482" t="inlineStr">
        <is>
          <t>Klein Tools 70572 Grip-It Ball End Hex Set, 5-Key, Metric Sizes</t>
        </is>
      </c>
      <c r="E8482" s="2">
        <f>HYPERLINK("https://www.amazon.com/Grip-Five-Key-Ball-Hex/dp/B000936R78/ref=sr_1_22?keywords=Klein+Tools+70579+Folding+Hex+Key+Set%2C+5-Key%2C+SAE+Sizes&amp;qid=1694735436&amp;sr=8-22", "https://www.amazon.com/Grip-Five-Key-Ball-Hex/dp/B000936R78/ref=sr_1_22?keywords=Klein+Tools+70579+Folding+Hex+Key+Set%2C+5-Key%2C+SAE+Sizes&amp;qid=1694735436&amp;sr=8-22")</f>
        <v/>
      </c>
      <c r="F8482" t="inlineStr">
        <is>
          <t>B000936R78</t>
        </is>
      </c>
      <c r="G8482">
        <f>_xludf.IMAGE("https://edmondsonsupply.com/cdn/shop/products/70579.jpg?v=1587145103")</f>
        <v/>
      </c>
      <c r="H8482">
        <f>_xludf.IMAGE("https://m.media-amazon.com/images/I/51dn84Vs5NL._AC_UL320_.jpg")</f>
        <v/>
      </c>
      <c r="K8482" t="inlineStr">
        <is>
          <t>12.97</t>
        </is>
      </c>
      <c r="L8482" t="n">
        <v>13.49</v>
      </c>
      <c r="M8482" s="1" t="inlineStr">
        <is>
          <t>4.01%</t>
        </is>
      </c>
      <c r="N8482" s="1" t="n"/>
      <c r="O8482" t="n">
        <v>4.9</v>
      </c>
      <c r="P8482" t="n">
        <v>15</v>
      </c>
      <c r="R8482" t="inlineStr">
        <is>
          <t>InStock</t>
        </is>
      </c>
      <c r="S8482" t="inlineStr">
        <is>
          <t>18.38</t>
        </is>
      </c>
      <c r="T8482" t="inlineStr">
        <is>
          <t>4346564477028</t>
        </is>
      </c>
    </row>
    <row r="8483" ht="87" customHeight="1">
      <c r="A8483" s="2">
        <f>HYPERLINK("https://edmondsonsupply.com/collections/electricians-tools/products/klein-tools-cl800-digital-clamp-meter-ac-dc-auto-ranging-600a-trms", "https://edmondsonsupply.com/collections/electricians-tools/products/klein-tools-cl800-digital-clamp-meter-ac-dc-auto-ranging-600a-trms")</f>
        <v/>
      </c>
      <c r="B8483" s="2">
        <f>HYPERLINK("https://edmondsonsupply.com/products/klein-tools-cl800-digital-clamp-meter-ac-dc-auto-ranging-600a-trms", "https://edmondsonsupply.com/products/klein-tools-cl800-digital-clamp-meter-ac-dc-auto-ranging-600a-trms")</f>
        <v/>
      </c>
      <c r="C8483" t="inlineStr">
        <is>
          <t>Klein Tools CL800 Digital Clamp Meter, AC Auto-Range TRMS, Low Impedance (LoZ), Auto Off</t>
        </is>
      </c>
      <c r="D8483" t="inlineStr">
        <is>
          <t>Klein Tools CL800 Digital Clamp Meter, Autoranging TRMS, AC/DC Volt/Current, LOZ, Continuity, Frequency, Capacitance, NCVT, Temp, More 1000V &amp; Test Lead Set, Right Angle Klein Tools 69410</t>
        </is>
      </c>
      <c r="E8483" s="2">
        <f>HYPERLINK("https://www.amazon.com/Klein-Tools-Autoranging-Continuity-Capacitance/dp/B0B2D3PJS9/ref=sr_1_3?keywords=Klein+Tools+CL800+Digital+Clamp+Meter%2C+AC+Auto-Range+TRMS%2C+Low+Impedance+%28LoZ%29%2C+Auto+Off&amp;qid=1694735484&amp;sr=8-3", "https://www.amazon.com/Klein-Tools-Autoranging-Continuity-Capacitance/dp/B0B2D3PJS9/ref=sr_1_3?keywords=Klein+Tools+CL800+Digital+Clamp+Meter%2C+AC+Auto-Range+TRMS%2C+Low+Impedance+%28LoZ%29%2C+Auto+Off&amp;qid=1694735484&amp;sr=8-3")</f>
        <v/>
      </c>
      <c r="F8483" t="inlineStr">
        <is>
          <t>B0B2D3PJS9</t>
        </is>
      </c>
      <c r="G8483">
        <f>_xlfn.IMAGE("https://edmondsonsupply.com/cdn/shop/products/cl800_alt1.jpg?v=1592095173")</f>
        <v/>
      </c>
      <c r="H8483">
        <f>_xlfn.IMAGE("https://m.media-amazon.com/images/I/61lou4CYiIL._AC_UY218_.jpg")</f>
        <v/>
      </c>
      <c r="K8483" t="inlineStr">
        <is>
          <t>129.97</t>
        </is>
      </c>
      <c r="L8483" t="n">
        <v>134.18</v>
      </c>
      <c r="M8483" s="1" t="inlineStr">
        <is>
          <t>3.24%</t>
        </is>
      </c>
      <c r="N8483" s="7" t="n"/>
      <c r="O8483" t="n">
        <v>4.7</v>
      </c>
      <c r="P8483" t="n">
        <v>15</v>
      </c>
      <c r="R8483" t="inlineStr">
        <is>
          <t>InStock</t>
        </is>
      </c>
      <c r="S8483" t="inlineStr">
        <is>
          <t>187.5</t>
        </is>
      </c>
      <c r="T8483" t="inlineStr">
        <is>
          <t>3693613875300</t>
        </is>
      </c>
    </row>
    <row r="8484" hidden="1" ht="15.75" customHeight="1">
      <c r="A8484" s="2">
        <f>HYPERLINK("https://edmondsonsupply.com/collections/electricians-tools/products/klein-tools-s106m-vaco-5-16-inch-magnetic-nut-driver-9-inch-shank", "https://edmondsonsupply.com/collections/electricians-tools/products/klein-tools-s106m-vaco-5-16-inch-magnetic-nut-driver-9-inch-shank")</f>
        <v/>
      </c>
      <c r="B8484" s="2">
        <f>HYPERLINK("https://edmondsonsupply.com/products/klein-tools-s106m-vaco-5-16-inch-magnetic-nut-driver-9-inch-shank", "https://edmondsonsupply.com/products/klein-tools-s106m-vaco-5-16-inch-magnetic-nut-driver-9-inch-shank")</f>
        <v/>
      </c>
      <c r="C8484" t="inlineStr">
        <is>
          <t>Klein Tools S106M 5/16-Inch Magnetic Nut Driver, 9-Inch Shank</t>
        </is>
      </c>
      <c r="D8484" t="inlineStr">
        <is>
          <t>Klein Tools 32793 Pro Impact Driver Bit, 5/16-Inch Hex Nut Driver, 3 Pack</t>
        </is>
      </c>
      <c r="E8484" s="2">
        <f>HYPERLINK("https://www.amazon.com/Klein-Tools-32793-Impact-16-Inch/dp/B07RM8WVXK/ref=sr_1_11?keywords=Klein+Tools+S106M+5%2F16-Inch+Magnetic+Nut+Driver%2C+9-Inch+Shank&amp;qid=1694735455&amp;sr=8-11", "https://www.amazon.com/Klein-Tools-32793-Impact-16-Inch/dp/B07RM8WVXK/ref=sr_1_11?keywords=Klein+Tools+S106M+5%2F16-Inch+Magnetic+Nut+Driver%2C+9-Inch+Shank&amp;qid=1694735455&amp;sr=8-11")</f>
        <v/>
      </c>
      <c r="F8484" t="inlineStr">
        <is>
          <t>B07RM8WVXK</t>
        </is>
      </c>
      <c r="G8484">
        <f>_xludf.IMAGE("https://edmondsonsupply.com/cdn/shop/products/s106.jpg?v=1587146493")</f>
        <v/>
      </c>
      <c r="H8484">
        <f>_xludf.IMAGE("https://m.media-amazon.com/images/I/41dAZSiz0zL._AC_UL320_.jpg")</f>
        <v/>
      </c>
      <c r="K8484" t="inlineStr">
        <is>
          <t>11.99</t>
        </is>
      </c>
      <c r="L8484" t="n">
        <v>12.32</v>
      </c>
      <c r="M8484" s="1" t="inlineStr">
        <is>
          <t>2.75%</t>
        </is>
      </c>
      <c r="N8484" s="1" t="n"/>
      <c r="O8484" t="n">
        <v>4.7</v>
      </c>
      <c r="P8484" t="n">
        <v>447</v>
      </c>
      <c r="R8484" t="inlineStr">
        <is>
          <t>InStock</t>
        </is>
      </c>
      <c r="S8484" t="inlineStr">
        <is>
          <t>17.38</t>
        </is>
      </c>
      <c r="T8484" t="inlineStr">
        <is>
          <t>4096546504804</t>
        </is>
      </c>
    </row>
    <row r="8485" ht="87" customHeight="1">
      <c r="A8485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485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485" t="inlineStr">
        <is>
          <t>Klein Tools 11063W Katapult® Wire Stripper and Cutter for Solid and Stranded Wire</t>
        </is>
      </c>
      <c r="D8485" t="inlineStr">
        <is>
          <t>Klein Tools 11046 Wire Stripper/Cutter 16-26 AWG Stranded &amp; 11047 Wire Stripper/Cutter, Compact, Lightweight, Hardened Steel, Precision Ground, for Stranded and Solid Wires</t>
        </is>
      </c>
      <c r="E8485" s="2">
        <f>HYPERLINK("https://www.amazon.com/Klein-Tools-Stripper-Lightweight-Precision/dp/B0BNL5MC4G/ref=sr_1_11?keywords=Klein+Tools+11063W+Katapult%C2%AE+Wire+Stripper+and+Cutter+for+Solid+and+Stranded+Wire&amp;qid=1694735440&amp;sr=8-11", "https://www.amazon.com/Klein-Tools-Stripper-Lightweight-Precision/dp/B0BNL5MC4G/ref=sr_1_11?keywords=Klein+Tools+11063W+Katapult%C2%AE+Wire+Stripper+and+Cutter+for+Solid+and+Stranded+Wire&amp;qid=1694735440&amp;sr=8-11")</f>
        <v/>
      </c>
      <c r="F8485" t="inlineStr">
        <is>
          <t>B0BNL5MC4G</t>
        </is>
      </c>
      <c r="G8485">
        <f>_xlfn.IMAGE("https://edmondsonsupply.com/cdn/shop/products/11063w.jpg?v=1587151004")</f>
        <v/>
      </c>
      <c r="H8485">
        <f>_xlfn.IMAGE("https://m.media-amazon.com/images/I/41uWm6Rw+pL._AC_UL320_.jpg")</f>
        <v/>
      </c>
      <c r="K8485" t="inlineStr">
        <is>
          <t>29.97</t>
        </is>
      </c>
      <c r="L8485" t="n">
        <v>30.75</v>
      </c>
      <c r="M8485" s="1" t="inlineStr">
        <is>
          <t>2.60%</t>
        </is>
      </c>
      <c r="N8485" s="7" t="n"/>
      <c r="O8485" t="n">
        <v>4.6</v>
      </c>
      <c r="P8485" t="n">
        <v>7</v>
      </c>
      <c r="R8485" t="inlineStr">
        <is>
          <t>InStock</t>
        </is>
      </c>
      <c r="S8485" t="inlineStr">
        <is>
          <t>44.7</t>
        </is>
      </c>
      <c r="T8485" t="inlineStr">
        <is>
          <t>4334180827236</t>
        </is>
      </c>
    </row>
    <row r="8486" hidden="1" ht="15.75" customHeight="1">
      <c r="A8486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486" s="2">
        <f>HYPERLINK("https://edmondsonsupply.com/products/klein-tools-600-1-5-16-inch-cabinet-tip-screwdriver-1-1-2-inch", "https://edmondsonsupply.com/products/klein-tools-600-1-5-16-inch-cabinet-tip-screwdriver-1-1-2-inch")</f>
        <v/>
      </c>
      <c r="C8486" t="inlineStr">
        <is>
          <t>Klein Tools 600-1 5/16-Inch Cabinet Tip Screwdriver 1-1/2-Inch</t>
        </is>
      </c>
      <c r="D8486" t="inlineStr">
        <is>
          <t>Klein Tools 608-6 1/8-Inch Cabinet Tip Mini Screwdriver, 6-Inch</t>
        </is>
      </c>
      <c r="E8486" s="2">
        <f>HYPERLINK("https://www.amazon.com/Cabinet-Screwdriver-Klein-Tools-608-6/dp/B001BQ20NC/ref=sr_1_9?keywords=Klein+Tools+600-1+5%2F16-Inch+Cabinet+Tip+Screwdriver+1-1%2F2-Inch&amp;qid=1694735453&amp;sr=8-9", "https://www.amazon.com/Cabinet-Screwdriver-Klein-Tools-608-6/dp/B001BQ20NC/ref=sr_1_9?keywords=Klein+Tools+600-1+5%2F16-Inch+Cabinet+Tip+Screwdriver+1-1%2F2-Inch&amp;qid=1694735453&amp;sr=8-9")</f>
        <v/>
      </c>
      <c r="F8486" t="inlineStr">
        <is>
          <t>B001BQ20NC</t>
        </is>
      </c>
      <c r="G8486">
        <f>_xludf.IMAGE("https://edmondsonsupply.com/cdn/shop/products/600-1.jpg?v=1587147752")</f>
        <v/>
      </c>
      <c r="H8486">
        <f>_xludf.IMAGE("https://m.media-amazon.com/images/I/31PYmazYuTL._AC_UL320_.jpg")</f>
        <v/>
      </c>
      <c r="K8486" t="inlineStr">
        <is>
          <t>7.49</t>
        </is>
      </c>
      <c r="L8486" t="n">
        <v>7.6</v>
      </c>
      <c r="M8486" s="1" t="inlineStr">
        <is>
          <t>1.47%</t>
        </is>
      </c>
      <c r="N8486" s="1" t="n"/>
      <c r="O8486" t="n">
        <v>4.7</v>
      </c>
      <c r="P8486" t="n">
        <v>1356</v>
      </c>
      <c r="R8486" t="inlineStr">
        <is>
          <t>InStock</t>
        </is>
      </c>
      <c r="S8486" t="inlineStr">
        <is>
          <t>11.22</t>
        </is>
      </c>
      <c r="T8486" t="inlineStr">
        <is>
          <t>4171360403556</t>
        </is>
      </c>
    </row>
    <row r="8487" ht="87" customHeight="1">
      <c r="A8487" s="2">
        <f>HYPERLINK("https://edmondsonsupply.com/collections/electricians-tools/products/klein-tools-213-9ne-eins-insulated-side-cutting-pliers-slim-handle-9-inch", "https://edmondsonsupply.com/collections/electricians-tools/products/klein-tools-213-9ne-eins-insulated-side-cutting-pliers-slim-handle-9-inch")</f>
        <v/>
      </c>
      <c r="B8487" s="2">
        <f>HYPERLINK("https://edmondsonsupply.com/products/klein-tools-213-9ne-eins-insulated-side-cutting-pliers-slim-handle-9-inch", "https://edmondsonsupply.com/products/klein-tools-213-9ne-eins-insulated-side-cutting-pliers-slim-handle-9-inch")</f>
        <v/>
      </c>
      <c r="C8487" t="inlineStr">
        <is>
          <t>Klein Tools 213-9NE-EINS Insulated Side Cutting Pliers, Slim Handle, 9-Inch</t>
        </is>
      </c>
      <c r="D8487" t="inlineStr">
        <is>
          <t>Klein Tools 2139NEEINS Slim Handle Insulated Side Cutter Pliers, Streamline New England Nose with Knurled Jaws, 9-Inch</t>
        </is>
      </c>
      <c r="E8487" s="2">
        <f>HYPERLINK("https://www.amazon.com/Klein-Tools-2139NEEINS-Cutting-Pliers/dp/B00JGG5RNE/ref=sr_1_2?keywords=Klein+Tools+213-9NE-EINS+Insulated+Side+Cutting+Pliers%2C+Slim+Handle%2C+9-Inch&amp;qid=1694735444&amp;sr=8-2", "https://www.amazon.com/Klein-Tools-2139NEEINS-Cutting-Pliers/dp/B00JGG5RNE/ref=sr_1_2?keywords=Klein+Tools+213-9NE-EINS+Insulated+Side+Cutting+Pliers%2C+Slim+Handle%2C+9-Inch&amp;qid=1694735444&amp;sr=8-2")</f>
        <v/>
      </c>
      <c r="F8487" t="inlineStr">
        <is>
          <t>B00JGG5RNE</t>
        </is>
      </c>
      <c r="G8487">
        <f>_xlfn.IMAGE("https://edmondsonsupply.com/cdn/shop/products/2139neeins.jpg?v=1587145546")</f>
        <v/>
      </c>
      <c r="H8487">
        <f>_xlfn.IMAGE("https://m.media-amazon.com/images/I/51eEwVZhacL._AC_UL320_.jpg")</f>
        <v/>
      </c>
      <c r="K8487" t="inlineStr">
        <is>
          <t>64.99</t>
        </is>
      </c>
      <c r="L8487" t="n">
        <v>65.59999999999999</v>
      </c>
      <c r="M8487" s="1" t="inlineStr">
        <is>
          <t>0.94%</t>
        </is>
      </c>
      <c r="N8487" s="7" t="n"/>
      <c r="O8487" t="n">
        <v>4.7</v>
      </c>
      <c r="P8487" t="n">
        <v>241</v>
      </c>
      <c r="R8487" t="inlineStr">
        <is>
          <t>InStock</t>
        </is>
      </c>
      <c r="S8487" t="inlineStr">
        <is>
          <t>104.28</t>
        </is>
      </c>
      <c r="T8487" t="inlineStr">
        <is>
          <t>4274720243812</t>
        </is>
      </c>
    </row>
    <row r="8488" ht="87" customHeight="1">
      <c r="A8488" s="2">
        <f>HYPERLINK("https://edmondsonsupply.com/collections/electricians-tools/products/testo-0590-7450-745-dual-level-non-contact-voltage-tester-with-flashlight", "https://edmondsonsupply.com/collections/electricians-tools/products/testo-0590-7450-745-dual-level-non-contact-voltage-tester-with-flashlight")</f>
        <v/>
      </c>
      <c r="B8488" s="2">
        <f>HYPERLINK("https://edmondsonsupply.com/products/testo-0590-7450-745-dual-level-non-contact-voltage-tester-with-flashlight", "https://edmondsonsupply.com/products/testo-0590-7450-745-dual-level-non-contact-voltage-tester-with-flashlight")</f>
        <v/>
      </c>
      <c r="C8488" t="inlineStr">
        <is>
          <t>Testo 0590 7450 - 745 Dual Level Non-Contact Voltage Tester with Flashlight</t>
        </is>
      </c>
      <c r="D8488" t="inlineStr">
        <is>
          <t>Testo 0590 7450 745 Non Contact Voltage Tester with Built in Flashlight, 1" Height, 1" Width, 6" Length, Black</t>
        </is>
      </c>
      <c r="E8488" s="2">
        <f>HYPERLINK("https://www.amazon.com/Testo-0590-7450-Contact-Flashlight/dp/B01F3MPHMA/ref=sr_1_1?keywords=Testo+0590+7450+-+745+Dual+Level+Non-Contact+Voltage+Tester+with+Flashlight&amp;qid=1694735471&amp;sr=8-1", "https://www.amazon.com/Testo-0590-7450-Contact-Flashlight/dp/B01F3MPHMA/ref=sr_1_1?keywords=Testo+0590+7450+-+745+Dual+Level+Non-Contact+Voltage+Tester+with+Flashlight&amp;qid=1694735471&amp;sr=8-1")</f>
        <v/>
      </c>
      <c r="F8488" t="inlineStr">
        <is>
          <t>B01F3MPHMA</t>
        </is>
      </c>
      <c r="G8488">
        <f>_xlfn.IMAGE("https://edmondsonsupply.com/cdn/shop/products/testo-745-voltage-tester-free-front_master.jpg?v=1587149503")</f>
        <v/>
      </c>
      <c r="H8488">
        <f>_xlfn.IMAGE("https://m.media-amazon.com/images/I/613tS8B2EOL._AC_UY218_.jpg")</f>
        <v/>
      </c>
      <c r="K8488" t="inlineStr">
        <is>
          <t>41.65</t>
        </is>
      </c>
      <c r="L8488" t="n">
        <v>41.99</v>
      </c>
      <c r="M8488" s="1" t="inlineStr">
        <is>
          <t>0.82%</t>
        </is>
      </c>
      <c r="N8488" s="7" t="n"/>
      <c r="O8488" t="n">
        <v>4.4</v>
      </c>
      <c r="P8488" t="n">
        <v>188</v>
      </c>
      <c r="R8488" t="inlineStr">
        <is>
          <t>InStock</t>
        </is>
      </c>
      <c r="S8488" t="inlineStr">
        <is>
          <t>49.0</t>
        </is>
      </c>
      <c r="T8488" t="inlineStr">
        <is>
          <t>3697179426916</t>
        </is>
      </c>
    </row>
    <row r="8489" hidden="1" ht="15.75" customHeight="1">
      <c r="A8489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489" s="2">
        <f>HYPERLINK("https://edmondsonsupply.com/products/klein-tools-rt210-gfci-receptacle-tester", "https://edmondsonsupply.com/products/klein-tools-rt210-gfci-receptacle-tester")</f>
        <v/>
      </c>
      <c r="C8489" t="inlineStr">
        <is>
          <t>Klein Tools RT210 GFCI Outlet Tester</t>
        </is>
      </c>
      <c r="D8489" t="inlineStr">
        <is>
          <t>Klein Tools ET310TRANS ET310 Circuit Breaker Finder Replacement Transmitter, Digital Circuit Breaker Finder, Integrated GFCI Outlet Tester</t>
        </is>
      </c>
      <c r="E8489" s="2">
        <f>HYPERLINK("https://www.amazon.com/Klein-Tools-ET310TRANS-Replacement-Transmitter/dp/B0B6PZ31KW/ref=sr_1_20?keywords=Klein+Tools+RT210+GFCI+Outlet+Tester&amp;qid=1694735460&amp;sr=8-20", "https://www.amazon.com/Klein-Tools-ET310TRANS-Replacement-Transmitter/dp/B0B6PZ31KW/ref=sr_1_20?keywords=Klein+Tools+RT210+GFCI+Outlet+Tester&amp;qid=1694735460&amp;sr=8-20")</f>
        <v/>
      </c>
      <c r="F8489" t="inlineStr">
        <is>
          <t>B0B6PZ31KW</t>
        </is>
      </c>
      <c r="G8489">
        <f>_xludf.IMAGE("https://edmondsonsupply.com/cdn/shop/products/rt210.jpg?v=1587146495")</f>
        <v/>
      </c>
      <c r="H8489">
        <f>_xludf.IMAGE("https://m.media-amazon.com/images/I/41ZLBVj0ZYL._AC_UL320_.jpg")</f>
        <v/>
      </c>
      <c r="K8489" t="inlineStr">
        <is>
          <t>12.97</t>
        </is>
      </c>
      <c r="L8489" t="n">
        <v>12.99</v>
      </c>
      <c r="M8489" s="1" t="inlineStr">
        <is>
          <t>0.15%</t>
        </is>
      </c>
      <c r="N8489" s="1" t="n"/>
      <c r="O8489" t="n">
        <v>4.7</v>
      </c>
      <c r="P8489" t="n">
        <v>28</v>
      </c>
      <c r="R8489" t="inlineStr">
        <is>
          <t>InStock</t>
        </is>
      </c>
      <c r="S8489" t="inlineStr">
        <is>
          <t>17.12</t>
        </is>
      </c>
      <c r="T8489" t="inlineStr">
        <is>
          <t>3711963988068</t>
        </is>
      </c>
    </row>
    <row r="8490" ht="87" customHeight="1">
      <c r="A8490" s="2">
        <f>HYPERLINK("https://edmondsonsupply.com/collections/electricians-tools/products/klein-tools-935rb-torpedo-billet-level-rare-earth-magnet", "https://edmondsonsupply.com/collections/electricians-tools/products/klein-tools-935rb-torpedo-billet-level-rare-earth-magnet")</f>
        <v/>
      </c>
      <c r="B8490" s="2">
        <f>HYPERLINK("https://edmondsonsupply.com/products/klein-tools-935rb-torpedo-billet-level-rare-earth-magnet", "https://edmondsonsupply.com/products/klein-tools-935rb-torpedo-billet-level-rare-earth-magnet")</f>
        <v/>
      </c>
      <c r="C8490" t="inlineStr">
        <is>
          <t>Klein Tools 935RB Torpedo Billet Level, Rare Earth Magnet</t>
        </is>
      </c>
      <c r="D8490" t="inlineStr">
        <is>
          <t>Klein Tools 9319RETT Level, 9-Inch Aluminum Magnetic Torpedo Level with 3 Vials, Tether Ring, V-Grooved Edge, and Rare-Earth Magnets</t>
        </is>
      </c>
      <c r="E8490" s="2">
        <f>HYPERLINK("https://www.amazon.com/Magnetic-Torpedo-Klein-Tools-9319RETT/dp/B01FFTADZW/ref=sr_1_4?keywords=Klein+Tools+935RB+Torpedo+Billet+Level%2C+Rare+Earth+Magnet&amp;qid=1694735468&amp;sr=8-4", "https://www.amazon.com/Magnetic-Torpedo-Klein-Tools-9319RETT/dp/B01FFTADZW/ref=sr_1_4?keywords=Klein+Tools+935RB+Torpedo+Billet+Level%2C+Rare+Earth+Magnet&amp;qid=1694735468&amp;sr=8-4")</f>
        <v/>
      </c>
      <c r="F8490" t="inlineStr">
        <is>
          <t>B01FFTADZW</t>
        </is>
      </c>
      <c r="G8490">
        <f>_xlfn.IMAGE("https://edmondsonsupply.com/cdn/shop/products/935rb_b.jpg?v=1657759846")</f>
        <v/>
      </c>
      <c r="H8490">
        <f>_xlfn.IMAGE("https://m.media-amazon.com/images/I/51koTKccewL._AC_UL320_.jpg")</f>
        <v/>
      </c>
      <c r="K8490" t="inlineStr">
        <is>
          <t>29.97</t>
        </is>
      </c>
      <c r="L8490" t="n">
        <v>29.99</v>
      </c>
      <c r="M8490" s="1" t="inlineStr">
        <is>
          <t>0.07%</t>
        </is>
      </c>
      <c r="N8490" s="7" t="n"/>
      <c r="O8490" t="n">
        <v>4.4</v>
      </c>
      <c r="P8490" t="n">
        <v>66</v>
      </c>
      <c r="R8490" t="inlineStr">
        <is>
          <t>OutOfStock</t>
        </is>
      </c>
      <c r="S8490" t="inlineStr">
        <is>
          <t>39.96</t>
        </is>
      </c>
      <c r="T8490" t="inlineStr">
        <is>
          <t>3690013196388</t>
        </is>
      </c>
    </row>
    <row r="8491" ht="87" customHeight="1">
      <c r="A8491" s="2">
        <f>HYPERLINK("https://edmondsonsupply.com/collections/electricians-tools/products/klein-tools-j203-6-journeyman-pliers-long-nose-side-cutters-6-3-4-inch", "https://edmondsonsupply.com/collections/electricians-tools/products/klein-tools-j203-6-journeyman-pliers-long-nose-side-cutters-6-3-4-inch")</f>
        <v/>
      </c>
      <c r="B8491" s="2">
        <f>HYPERLINK("https://edmondsonsupply.com/products/klein-tools-j203-6-journeyman-pliers-long-nose-side-cutters-6-3-4-inch", "https://edmondsonsupply.com/products/klein-tools-j203-6-journeyman-pliers-long-nose-side-cutters-6-3-4-inch")</f>
        <v/>
      </c>
      <c r="C8491" t="inlineStr">
        <is>
          <t>Klein Tools J203-6 Journeyman Pliers, Needle Nose Side-Cutters, 6-3/4-Inch</t>
        </is>
      </c>
      <c r="D8491" t="inlineStr">
        <is>
          <t>Klein Tools J203-6 Needle Nose Pliers, Long Nose Side Cutters, Heavy Duty Journeyman Alligator Pliers with Curved Handles, 6-3/4-Inch</t>
        </is>
      </c>
      <c r="E8491" s="2">
        <f>HYPERLINK("https://www.amazon.com/Klein-Tools-J203-6-Pliers-Side-Cutters/dp/B000FH289O/ref=sr_1_1?keywords=Klein+Tools+J203-6+Journeyman+Pliers%2C+Needle+Nose+Side-Cutters%2C+6-3%2F4-Inch&amp;qid=1694735431&amp;sr=8-1", "https://www.amazon.com/Klein-Tools-J203-6-Pliers-Side-Cutters/dp/B000FH289O/ref=sr_1_1?keywords=Klein+Tools+J203-6+Journeyman+Pliers%2C+Needle+Nose+Side-Cutters%2C+6-3%2F4-Inch&amp;qid=1694735431&amp;sr=8-1")</f>
        <v/>
      </c>
      <c r="F8491" t="inlineStr">
        <is>
          <t>B000FH289O</t>
        </is>
      </c>
      <c r="G8491">
        <f>_xlfn.IMAGE("https://edmondsonsupply.com/cdn/shop/products/j2036.jpg?v=1587144843")</f>
        <v/>
      </c>
      <c r="H8491">
        <f>_xlfn.IMAGE("https://m.media-amazon.com/images/I/514ud2Pt0TL._AC_UL320_.jpg")</f>
        <v/>
      </c>
      <c r="K8491" t="inlineStr">
        <is>
          <t>28.99</t>
        </is>
      </c>
      <c r="L8491" t="n">
        <v>28.99</v>
      </c>
      <c r="M8491" s="1" t="inlineStr">
        <is>
          <t>0.00%</t>
        </is>
      </c>
      <c r="N8491" s="7" t="n"/>
      <c r="O8491" t="n">
        <v>4.7</v>
      </c>
      <c r="P8491" t="n">
        <v>106</v>
      </c>
      <c r="R8491" t="inlineStr">
        <is>
          <t>InStock</t>
        </is>
      </c>
      <c r="S8491" t="inlineStr">
        <is>
          <t>43.1</t>
        </is>
      </c>
      <c r="T8491" t="inlineStr">
        <is>
          <t>4338947686500</t>
        </is>
      </c>
    </row>
    <row r="8492" ht="87" customHeight="1">
      <c r="A8492" s="2">
        <f>HYPERLINK("https://edmondsonsupply.com/collections/electricians-tools/products/klein-tools-11061-self-adjusting-wire-stripper-cutter", "https://edmondsonsupply.com/collections/electricians-tools/products/klein-tools-11061-self-adjusting-wire-stripper-cutter")</f>
        <v/>
      </c>
      <c r="B8492" s="2">
        <f>HYPERLINK("https://edmondsonsupply.com/products/klein-tools-11061-self-adjusting-wire-stripper-cutter", "https://edmondsonsupply.com/products/klein-tools-11061-self-adjusting-wire-stripper-cutter")</f>
        <v/>
      </c>
      <c r="C8492" t="inlineStr">
        <is>
          <t>Klein Tools 11061 Wire Stripper and Cutter, Self-Adjusting</t>
        </is>
      </c>
      <c r="D8492" t="inlineStr">
        <is>
          <t>Klein Tools 11061 Wire Stripper / Wire Cutter for Solid and Stranded AWG Wire, Heavy Duty Kleins are Self Adjusting,Blue/Black</t>
        </is>
      </c>
      <c r="E8492" s="2">
        <f>HYPERLINK("https://www.amazon.com/Self-Adjusting-Stripper-Klein-Tools-11061/dp/B00CXKOEQ6/ref=sr_1_1?keywords=Klein+Tools+11061+Wire+Stripper+and+Cutter%2C+Self-Adjusting&amp;qid=1694735488&amp;sr=8-1", "https://www.amazon.com/Self-Adjusting-Stripper-Klein-Tools-11061/dp/B00CXKOEQ6/ref=sr_1_1?keywords=Klein+Tools+11061+Wire+Stripper+and+Cutter%2C+Self-Adjusting&amp;qid=1694735488&amp;sr=8-1")</f>
        <v/>
      </c>
      <c r="F8492" t="inlineStr">
        <is>
          <t>B00CXKOEQ6</t>
        </is>
      </c>
      <c r="G8492">
        <f>_xlfn.IMAGE("https://edmondsonsupply.com/cdn/shop/products/11061.jpg?v=1587148772")</f>
        <v/>
      </c>
      <c r="H8492">
        <f>_xlfn.IMAGE("https://m.media-amazon.com/images/I/61nMz2jkNIL._AC_UL320_.jpg")</f>
        <v/>
      </c>
      <c r="K8492" t="inlineStr">
        <is>
          <t>21.97</t>
        </is>
      </c>
      <c r="L8492" t="n">
        <v>21.97</v>
      </c>
      <c r="M8492" s="1" t="inlineStr">
        <is>
          <t>0.00%</t>
        </is>
      </c>
      <c r="N8492" s="7" t="n"/>
      <c r="O8492" t="n">
        <v>4.6</v>
      </c>
      <c r="P8492" t="n">
        <v>7723</v>
      </c>
      <c r="R8492" t="inlineStr">
        <is>
          <t>InStock</t>
        </is>
      </c>
      <c r="S8492" t="inlineStr">
        <is>
          <t>37.14</t>
        </is>
      </c>
      <c r="T8492" t="inlineStr">
        <is>
          <t>3688611020900</t>
        </is>
      </c>
    </row>
    <row r="8493" ht="87" customHeight="1">
      <c r="A8493" s="2">
        <f>HYPERLINK("https://edmondsonsupply.com/collections/electricians-tools/products/klein-tools-5140-zipper-bags-canvas-4-pack-olive-orange-blue-yellow", "https://edmondsonsupply.com/collections/electricians-tools/products/klein-tools-5140-zipper-bags-canvas-4-pack-olive-orange-blue-yellow")</f>
        <v/>
      </c>
      <c r="B8493" s="2">
        <f>HYPERLINK("https://edmondsonsupply.com/products/klein-tools-5140-zipper-bags-canvas-4-pack-olive-orange-blue-yellow", "https://edmondsonsupply.com/products/klein-tools-5140-zipper-bags-canvas-4-pack-olive-orange-blue-yellow")</f>
        <v/>
      </c>
      <c r="C8493" t="inlineStr">
        <is>
          <t>Klein Tools 5140 Canvas Bag 4 Pk Olive/Orange/Blue/Yellow</t>
        </is>
      </c>
      <c r="D8493" t="inlineStr">
        <is>
          <t>Klein Tools 5140 Canvas Zipper Bag, Tool Pouch, Tool Bag, Utility Bag, Bank Deposit Bag, 12.5 x 7-Inch, Olive/Orange/Blue/Yellow 4-Pack</t>
        </is>
      </c>
      <c r="E8493" s="2">
        <f>HYPERLINK("https://www.amazon.com/Utility-12-5-Inch-Klein-Tools-5140/dp/B000MKDUKU/ref=sr_1_1?keywords=Klein+Tools+5140+Canvas+Bag+4+Pk+Olive%2FOrange%2FBlue%2FYellow&amp;qid=1694735437&amp;sr=8-1", "https://www.amazon.com/Utility-12-5-Inch-Klein-Tools-5140/dp/B000MKDUKU/ref=sr_1_1?keywords=Klein+Tools+5140+Canvas+Bag+4+Pk+Olive%2FOrange%2FBlue%2FYellow&amp;qid=1694735437&amp;sr=8-1")</f>
        <v/>
      </c>
      <c r="F8493" t="inlineStr">
        <is>
          <t>B000MKDUKU</t>
        </is>
      </c>
      <c r="G8493">
        <f>_xlfn.IMAGE("https://edmondsonsupply.com/cdn/shop/products/5140.jpg?v=1587146756")</f>
        <v/>
      </c>
      <c r="H8493">
        <f>_xlfn.IMAGE("https://m.media-amazon.com/images/I/61ktyABBHQL._AC_UL320_.jpg")</f>
        <v/>
      </c>
      <c r="K8493" t="inlineStr">
        <is>
          <t>39.97</t>
        </is>
      </c>
      <c r="L8493" t="n">
        <v>39.97</v>
      </c>
      <c r="M8493" s="1" t="inlineStr">
        <is>
          <t>0.00%</t>
        </is>
      </c>
      <c r="N8493" s="7" t="n"/>
      <c r="O8493" t="n">
        <v>4.8</v>
      </c>
      <c r="P8493" t="n">
        <v>4463</v>
      </c>
      <c r="R8493" t="inlineStr">
        <is>
          <t>InStock</t>
        </is>
      </c>
      <c r="S8493" t="inlineStr">
        <is>
          <t>66.8</t>
        </is>
      </c>
      <c r="T8493" t="inlineStr">
        <is>
          <t>2766561706084</t>
        </is>
      </c>
    </row>
    <row r="8494" ht="87" customHeight="1">
      <c r="A8494" s="2">
        <f>HYPERLINK("https://edmondsonsupply.com/collections/electricians-tools/products/klein-tools-d86934-slim-jaw-adjustable-wrench-6-inch", "https://edmondsonsupply.com/collections/electricians-tools/products/klein-tools-d86934-slim-jaw-adjustable-wrench-6-inch")</f>
        <v/>
      </c>
      <c r="B8494" s="2">
        <f>HYPERLINK("https://edmondsonsupply.com/products/klein-tools-d86934-slim-jaw-adjustable-wrench-6-inch", "https://edmondsonsupply.com/products/klein-tools-d86934-slim-jaw-adjustable-wrench-6-inch")</f>
        <v/>
      </c>
      <c r="C8494" t="inlineStr">
        <is>
          <t>Klein Tools D86934 Slim-Jaw Adjustable Wrench, 6-Inch</t>
        </is>
      </c>
      <c r="D8494" t="inlineStr">
        <is>
          <t>Klein Tools D86934 Adjustable Wrench, Forged with Slimmer Jaw and a High Polish Chrome Finish, 6-inch</t>
        </is>
      </c>
      <c r="E8494" s="2">
        <f>HYPERLINK("https://www.amazon.com/Slim-Jaw-Adjustable-Klein-Tools-D86934/dp/B075ZVKW4X/ref=sr_1_1?keywords=Klein+Tools+D86934+Slim-Jaw+Adjustable+Wrench%2C+6-Inch&amp;qid=1694735464&amp;sr=8-1", "https://www.amazon.com/Slim-Jaw-Adjustable-Klein-Tools-D86934/dp/B075ZVKW4X/ref=sr_1_1?keywords=Klein+Tools+D86934+Slim-Jaw+Adjustable+Wrench%2C+6-Inch&amp;qid=1694735464&amp;sr=8-1")</f>
        <v/>
      </c>
      <c r="F8494" t="inlineStr">
        <is>
          <t>B075ZVKW4X</t>
        </is>
      </c>
      <c r="G8494">
        <f>_xlfn.IMAGE("https://edmondsonsupply.com/cdn/shop/products/d86934.jpg?v=1587142923")</f>
        <v/>
      </c>
      <c r="H8494">
        <f>_xlfn.IMAGE("https://m.media-amazon.com/images/I/51Z4DTANB5L._AC_UL320_.jpg")</f>
        <v/>
      </c>
      <c r="K8494" t="inlineStr">
        <is>
          <t>34.99</t>
        </is>
      </c>
      <c r="L8494" t="n">
        <v>34.99</v>
      </c>
      <c r="M8494" s="1" t="inlineStr">
        <is>
          <t>0.00%</t>
        </is>
      </c>
      <c r="N8494" s="7" t="n"/>
      <c r="O8494" t="n">
        <v>4.6</v>
      </c>
      <c r="P8494" t="n">
        <v>162</v>
      </c>
      <c r="R8494" t="inlineStr">
        <is>
          <t>InStock</t>
        </is>
      </c>
      <c r="S8494" t="inlineStr">
        <is>
          <t>48.8</t>
        </is>
      </c>
      <c r="T8494" t="inlineStr">
        <is>
          <t>3706925744228</t>
        </is>
      </c>
    </row>
    <row r="8495" ht="87" customHeight="1">
      <c r="A8495" s="2">
        <f>HYPERLINK("https://edmondsonsupply.com/collections/electricians-tools/products/klein-tools-55474-tradesman-pro%E2%84%A2-phone-holder-xx-large", "https://edmondsonsupply.com/collections/electricians-tools/products/klein-tools-55474-tradesman-pro%E2%84%A2-phone-holder-xx-large")</f>
        <v/>
      </c>
      <c r="B8495" s="2">
        <f>HYPERLINK("https://edmondsonsupply.com/products/klein-tools-55474-tradesman-pro%e2%84%a2-phone-holder-xx-large", "https://edmondsonsupply.com/products/klein-tools-55474-tradesman-pro%e2%84%a2-phone-holder-xx-large")</f>
        <v/>
      </c>
      <c r="C8495" t="inlineStr">
        <is>
          <t>Klein Tools 55474 Tradesman Pro™ Phone Holder, XX-Large</t>
        </is>
      </c>
      <c r="D8495" t="inlineStr">
        <is>
          <t>Klein Tools 55474 Phone Holder, XX-Large, Fits iPhone, Google, LG, Samsung Phones, With Magnetic Closure and Belt Clip</t>
        </is>
      </c>
      <c r="E8495" s="2">
        <f>HYPERLINK("https://www.amazon.com/Klein-Tools-55474-iPhone-Samsung/dp/B07KG12183/ref=sr_1_1?keywords=Klein+Tools+55474+Tradesman+Pro%E2%84%A2+Phone+Holder%2C+XX-Large&amp;qid=1694735432&amp;sr=8-1", "https://www.amazon.com/Klein-Tools-55474-iPhone-Samsung/dp/B07KG12183/ref=sr_1_1?keywords=Klein+Tools+55474+Tradesman+Pro%E2%84%A2+Phone+Holder%2C+XX-Large&amp;qid=1694735432&amp;sr=8-1")</f>
        <v/>
      </c>
      <c r="F8495" t="inlineStr">
        <is>
          <t>B07KG12183</t>
        </is>
      </c>
      <c r="G8495">
        <f>_xlfn.IMAGE("https://edmondsonsupply.com/cdn/shop/products/55474.jpg?v=1587143480")</f>
        <v/>
      </c>
      <c r="H8495">
        <f>_xlfn.IMAGE("https://m.media-amazon.com/images/I/51+jt+RAtVS._AC_UL320_.jpg")</f>
        <v/>
      </c>
      <c r="K8495" t="inlineStr">
        <is>
          <t>23.99</t>
        </is>
      </c>
      <c r="L8495" t="n">
        <v>23.99</v>
      </c>
      <c r="M8495" s="1" t="inlineStr">
        <is>
          <t>0.00%</t>
        </is>
      </c>
      <c r="N8495" s="7" t="n"/>
      <c r="O8495" t="n">
        <v>4.6</v>
      </c>
      <c r="P8495" t="n">
        <v>2210</v>
      </c>
      <c r="R8495" t="inlineStr">
        <is>
          <t>InStock</t>
        </is>
      </c>
      <c r="S8495" t="inlineStr">
        <is>
          <t>34.14</t>
        </is>
      </c>
      <c r="T8495" t="inlineStr">
        <is>
          <t>4338320867428</t>
        </is>
      </c>
    </row>
    <row r="8496" ht="87" customHeight="1">
      <c r="A8496" s="2">
        <f>HYPERLINK("https://edmondsonsupply.com/collections/electricians-tools/products/klein-tools-510216spblk", "https://edmondsonsupply.com/collections/electricians-tools/products/klein-tools-510216spblk")</f>
        <v/>
      </c>
      <c r="B8496" s="2">
        <f>HYPERLINK("https://edmondsonsupply.com/products/klein-tools-510216spblk", "https://edmondsonsupply.com/products/klein-tools-510216spblk")</f>
        <v/>
      </c>
      <c r="C8496" t="inlineStr">
        <is>
          <t>Klein Tools 510216SPBLK Deluxe Tool Bag, Black Canvas, 13 Pockets, 16-Inch</t>
        </is>
      </c>
      <c r="D8496" t="inlineStr">
        <is>
          <t>Klein Tools 510216SPBLK Tool Bag, Large 16-Inch Deluxe Canvas Tool Bag and Organizer with 13 Pockets and Shoulder Strap, Black</t>
        </is>
      </c>
      <c r="E8496" s="2">
        <f>HYPERLINK("https://www.amazon.com/Klein-Tools-Deluxe-Canvas-16-Inch/dp/B07V7H476D/ref=sr_1_1?keywords=Klein+Tools+510216SPBLK+Deluxe+Tool+Bag%2C+Black+Canvas%2C+13+Pockets%2C+16-Inch&amp;qid=1694735467&amp;sr=8-1", "https://www.amazon.com/Klein-Tools-Deluxe-Canvas-16-Inch/dp/B07V7H476D/ref=sr_1_1?keywords=Klein+Tools+510216SPBLK+Deluxe+Tool+Bag%2C+Black+Canvas%2C+13+Pockets%2C+16-Inch&amp;qid=1694735467&amp;sr=8-1")</f>
        <v/>
      </c>
      <c r="F8496" t="inlineStr">
        <is>
          <t>B07V7H476D</t>
        </is>
      </c>
      <c r="G8496">
        <f>_xlfn.IMAGE("https://edmondsonsupply.com/cdn/shop/products/510216spblk.jpg?v=1587150864")</f>
        <v/>
      </c>
      <c r="H8496">
        <f>_xlfn.IMAGE("https://m.media-amazon.com/images/I/61hvszsm3AL._AC_UL320_.jpg")</f>
        <v/>
      </c>
      <c r="K8496" t="inlineStr">
        <is>
          <t>93.99</t>
        </is>
      </c>
      <c r="L8496" t="n">
        <v>93.98999999999999</v>
      </c>
      <c r="M8496" s="1" t="inlineStr">
        <is>
          <t>0.00%</t>
        </is>
      </c>
      <c r="N8496" s="7" t="n"/>
      <c r="O8496" t="n">
        <v>4.7</v>
      </c>
      <c r="P8496" t="n">
        <v>657</v>
      </c>
      <c r="R8496" t="inlineStr">
        <is>
          <t>InStock</t>
        </is>
      </c>
      <c r="S8496" t="inlineStr">
        <is>
          <t>132.64</t>
        </is>
      </c>
      <c r="T8496" t="inlineStr">
        <is>
          <t>3725989478500</t>
        </is>
      </c>
    </row>
    <row r="8497" ht="87" customHeight="1">
      <c r="A8497" s="2">
        <f>HYPERLINK("https://edmondsonsupply.com/collections/electricians-tools/products/klein-tools-j2000-48-journeyman-high-leverage-diagonal-cutting-pliers-angled-head", "https://edmondsonsupply.com/collections/electricians-tools/products/klein-tools-j2000-48-journeyman-high-leverage-diagonal-cutting-pliers-angled-head")</f>
        <v/>
      </c>
      <c r="B8497" s="2">
        <f>HYPERLINK("https://edmondsonsupply.com/products/klein-tools-j2000-48-journeyman-high-leverage-diagonal-cutting-pliers-angled-head", "https://edmondsonsupply.com/products/klein-tools-j2000-48-journeyman-high-leverage-diagonal-cutting-pliers-angled-head")</f>
        <v/>
      </c>
      <c r="C8497" t="inlineStr">
        <is>
          <t>Klein Tools J2000-48 Journeyman Diagonal Cutting Pliers, Heavy-Duty, Angled Head, 8-Inch</t>
        </is>
      </c>
      <c r="D8497" t="inlineStr">
        <is>
          <t>Klein Tools J2000-48 Pliers, Diagonal Cutting Pliers with Angled Head, Heavy-Duty to Cut ACSR, Screws, Nails, and most Hardened Wire, 8-Inch</t>
        </is>
      </c>
      <c r="E8497" s="2">
        <f>HYPERLINK("https://www.amazon.com/Klein-Tools-J2000-48-Diagonal-Cutters/dp/B0006M6Y8O/ref=sr_1_1?keywords=Klein+Tools+J2000-48+Journeyman+Diagonal+Cutting+Pliers%2C+Heavy-Duty%2C+Angled+Head%2C+8-Inch&amp;qid=1694735477&amp;sr=8-1", "https://www.amazon.com/Klein-Tools-J2000-48-Diagonal-Cutters/dp/B0006M6Y8O/ref=sr_1_1?keywords=Klein+Tools+J2000-48+Journeyman+Diagonal+Cutting+Pliers%2C+Heavy-Duty%2C+Angled+Head%2C+8-Inch&amp;qid=1694735477&amp;sr=8-1")</f>
        <v/>
      </c>
      <c r="F8497" t="inlineStr">
        <is>
          <t>B0006M6Y8O</t>
        </is>
      </c>
      <c r="G8497">
        <f>_xlfn.IMAGE("https://edmondsonsupply.com/cdn/shop/products/j200048.jpg?v=1587146393")</f>
        <v/>
      </c>
      <c r="H8497">
        <f>_xlfn.IMAGE("https://m.media-amazon.com/images/I/41ZnJLE+YFL._AC_UL320_.jpg")</f>
        <v/>
      </c>
      <c r="K8497" t="inlineStr">
        <is>
          <t>39.99</t>
        </is>
      </c>
      <c r="L8497" t="n">
        <v>39.99</v>
      </c>
      <c r="M8497" s="1" t="inlineStr">
        <is>
          <t>0.00%</t>
        </is>
      </c>
      <c r="N8497" s="7" t="n"/>
      <c r="O8497" t="n">
        <v>4.8</v>
      </c>
      <c r="P8497" t="n">
        <v>1553</v>
      </c>
      <c r="R8497" t="inlineStr">
        <is>
          <t>InStock</t>
        </is>
      </c>
      <c r="S8497" t="inlineStr">
        <is>
          <t>60.58</t>
        </is>
      </c>
      <c r="T8497" t="inlineStr">
        <is>
          <t>3683824107620</t>
        </is>
      </c>
    </row>
    <row r="8498" hidden="1" ht="15.75" customHeight="1">
      <c r="A8498" s="2">
        <f>HYPERLINK("https://edmondsonsupply.com/collections/electricians-tools/products/klein-tools-50506sen-3-4-pvc-pipe-cutter-50506", "https://edmondsonsupply.com/collections/electricians-tools/products/klein-tools-50506sen-3-4-pvc-pipe-cutter-50506")</f>
        <v/>
      </c>
      <c r="B8498" s="2">
        <f>HYPERLINK("https://edmondsonsupply.com/products/klein-tools-50506sen-3-4-pvc-pipe-cutter-50506", "https://edmondsonsupply.com/products/klein-tools-50506sen-3-4-pvc-pipe-cutter-50506")</f>
        <v/>
      </c>
      <c r="C8498" t="inlineStr">
        <is>
          <t>Klein Tools 50506SEN 3/4-Inch PVC Cutter</t>
        </is>
      </c>
      <c r="D8498" t="inlineStr">
        <is>
          <t>Klein Tools 50506SEN Flexible Pipe Capacity PVC Cutter with 1-3/8 and 3/4-Inch PVC Capacity</t>
        </is>
      </c>
      <c r="E8498" s="2">
        <f>HYPERLINK("https://www.amazon.com/Flexible-Capacity-Klein-Tools-50506SEN/dp/B0026SVALC/ref=sr_1_1?keywords=Klein+Tools+50506SEN+3%2F4-Inch+PVC+Cutter&amp;qid=1694735468&amp;sr=8-1", "https://www.amazon.com/Flexible-Capacity-Klein-Tools-50506SEN/dp/B0026SVALC/ref=sr_1_1?keywords=Klein+Tools+50506SEN+3%2F4-Inch+PVC+Cutter&amp;qid=1694735468&amp;sr=8-1")</f>
        <v/>
      </c>
      <c r="F8498" t="inlineStr">
        <is>
          <t>B0026SVALC</t>
        </is>
      </c>
      <c r="G8498">
        <f>_xludf.IMAGE("https://edmondsonsupply.com/cdn/shop/products/50506.jpg?v=1587149803")</f>
        <v/>
      </c>
      <c r="H8498">
        <f>_xludf.IMAGE("https://m.media-amazon.com/images/I/511c8+KVmoL._AC_UL320_.jpg")</f>
        <v/>
      </c>
      <c r="K8498" t="inlineStr">
        <is>
          <t>14.99</t>
        </is>
      </c>
      <c r="L8498" t="n">
        <v>14.99</v>
      </c>
      <c r="M8498" s="1" t="inlineStr">
        <is>
          <t>0.00%</t>
        </is>
      </c>
      <c r="N8498" s="1" t="n"/>
      <c r="O8498" t="n">
        <v>4.2</v>
      </c>
      <c r="P8498" t="n">
        <v>117</v>
      </c>
      <c r="R8498" t="inlineStr">
        <is>
          <t>InStock</t>
        </is>
      </c>
      <c r="S8498" t="inlineStr">
        <is>
          <t>22.68</t>
        </is>
      </c>
      <c r="T8498" t="inlineStr">
        <is>
          <t>2766847213668</t>
        </is>
      </c>
    </row>
    <row r="8499" ht="87" customHeight="1">
      <c r="A8499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499" s="2">
        <f>HYPERLINK("https://edmondsonsupply.com/products/klein-tools-d203-6-long-nose-side-cutters-6-inch", "https://edmondsonsupply.com/products/klein-tools-d203-6-long-nose-side-cutters-6-inch")</f>
        <v/>
      </c>
      <c r="C8499" t="inlineStr">
        <is>
          <t>Klein Tools D203-6 Pliers, Needle Nose Side-Cutters, 6-Inch</t>
        </is>
      </c>
      <c r="D8499" t="inlineStr">
        <is>
          <t>Klein Tools D203-6 Long Nose Side-Cutter Pliers, Induction-Hardened Cutting Knives and Curved Handles, 6-Inch</t>
        </is>
      </c>
      <c r="E8499" s="2">
        <f>HYPERLINK("https://www.amazon.com/Klein-Tools-D203-6-Side-Cutters-6-Inch/dp/B0000302VZ/ref=sr_1_1?keywords=Klein+Tools+D203-6+Pliers%2C+Needle+Nose+Side-Cutters%2C+6-Inch&amp;qid=1694735434&amp;sr=8-1", "https://www.amazon.com/Klein-Tools-D203-6-Side-Cutters-6-Inch/dp/B0000302VZ/ref=sr_1_1?keywords=Klein+Tools+D203-6+Pliers%2C+Needle+Nose+Side-Cutters%2C+6-Inch&amp;qid=1694735434&amp;sr=8-1")</f>
        <v/>
      </c>
      <c r="F8499" t="inlineStr">
        <is>
          <t>B0000302VZ</t>
        </is>
      </c>
      <c r="G8499">
        <f>_xlfn.IMAGE("https://edmondsonsupply.com/cdn/shop/products/d203-6.jpg?v=1587150424")</f>
        <v/>
      </c>
      <c r="H8499">
        <f>_xlfn.IMAGE("https://m.media-amazon.com/images/I/61b15QSLDFL._AC_UL320_.jpg")</f>
        <v/>
      </c>
      <c r="K8499" t="inlineStr">
        <is>
          <t>25.99</t>
        </is>
      </c>
      <c r="L8499" t="n">
        <v>25.99</v>
      </c>
      <c r="M8499" s="1" t="inlineStr">
        <is>
          <t>0.00%</t>
        </is>
      </c>
      <c r="N8499" s="7" t="n"/>
      <c r="O8499" t="n">
        <v>4.8</v>
      </c>
      <c r="P8499" t="n">
        <v>582</v>
      </c>
      <c r="R8499" t="inlineStr">
        <is>
          <t>InStock</t>
        </is>
      </c>
      <c r="S8499" t="inlineStr">
        <is>
          <t>39.38</t>
        </is>
      </c>
      <c r="T8499" t="inlineStr">
        <is>
          <t>4335116484708</t>
        </is>
      </c>
    </row>
    <row r="8500" ht="87" customHeight="1">
      <c r="A8500" s="2">
        <f>HYPERLINK("https://edmondsonsupply.com/collections/electricians-tools/products/klein-tools-d86932-slim-jaw-adjustable-wrench-4", "https://edmondsonsupply.com/collections/electricians-tools/products/klein-tools-d86932-slim-jaw-adjustable-wrench-4")</f>
        <v/>
      </c>
      <c r="B8500" s="2">
        <f>HYPERLINK("https://edmondsonsupply.com/products/klein-tools-d86932-slim-jaw-adjustable-wrench-4", "https://edmondsonsupply.com/products/klein-tools-d86932-slim-jaw-adjustable-wrench-4")</f>
        <v/>
      </c>
      <c r="C8500" t="inlineStr">
        <is>
          <t>Klein Tools D86932 Slim-Jaw Adjustable Wrench, 4-Inch</t>
        </is>
      </c>
      <c r="D8500" t="inlineStr">
        <is>
          <t>Klein Tools D86932 Adjustable Wrench, Forged with Slimmer Jaw and a High Polish Chrome Finish, 4-inch</t>
        </is>
      </c>
      <c r="E8500" s="2">
        <f>HYPERLINK("https://www.amazon.com/Slim-Jaw-Adjustable-Klein-Tools-D86932/dp/B0753LJHG1/ref=sr_1_1?keywords=Klein+Tools+D86932+Slim-Jaw+Adjustable+Wrench%2C+4-Inch&amp;qid=1694735470&amp;sr=8-1", "https://www.amazon.com/Slim-Jaw-Adjustable-Klein-Tools-D86932/dp/B0753LJHG1/ref=sr_1_1?keywords=Klein+Tools+D86932+Slim-Jaw+Adjustable+Wrench%2C+4-Inch&amp;qid=1694735470&amp;sr=8-1")</f>
        <v/>
      </c>
      <c r="F8500" t="inlineStr">
        <is>
          <t>B0753LJHG1</t>
        </is>
      </c>
      <c r="G8500">
        <f>_xlfn.IMAGE("https://edmondsonsupply.com/cdn/shop/products/d86932_alt1.jpg?v=1587149708")</f>
        <v/>
      </c>
      <c r="H8500">
        <f>_xlfn.IMAGE("https://m.media-amazon.com/images/I/51bQN5lP8VL._AC_UL320_.jpg")</f>
        <v/>
      </c>
      <c r="K8500" t="inlineStr">
        <is>
          <t>30.99</t>
        </is>
      </c>
      <c r="L8500" t="n">
        <v>30.99</v>
      </c>
      <c r="M8500" s="1" t="inlineStr">
        <is>
          <t>0.00%</t>
        </is>
      </c>
      <c r="N8500" s="7" t="n"/>
      <c r="O8500" t="n">
        <v>4.5</v>
      </c>
      <c r="P8500" t="n">
        <v>125</v>
      </c>
      <c r="R8500" t="inlineStr">
        <is>
          <t>InStock</t>
        </is>
      </c>
      <c r="S8500" t="inlineStr">
        <is>
          <t>43.72</t>
        </is>
      </c>
      <c r="T8500" t="inlineStr">
        <is>
          <t>1779896615012</t>
        </is>
      </c>
    </row>
    <row r="8501" ht="87" customHeight="1">
      <c r="A8501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501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501" t="inlineStr">
        <is>
          <t>Klein Tools 1019 Klein-Kurve® Wire Stripper / Crimper / Cutter Multi Tool</t>
        </is>
      </c>
      <c r="D8501" t="inlineStr">
        <is>
          <t>Klein Tools 1019 Klein Kurve Wire Stripper / Crimper / Cutter for B and IDC Connectors, Terminals, More</t>
        </is>
      </c>
      <c r="E8501" s="2">
        <f>HYPERLINK("https://www.amazon.com/Klein-Tools-1019-Connectors-Terminals/dp/B07GFYBW4V/ref=sr_1_1?keywords=Klein+Tools+1019+Klein-Kurve%C2%AE+Wire+Stripper+%2F+Crimper+%2F+Cutter+Multi+Tool&amp;qid=1694735475&amp;sr=8-1", "https://www.amazon.com/Klein-Tools-1019-Connectors-Terminals/dp/B07GFYBW4V/ref=sr_1_1?keywords=Klein+Tools+1019+Klein-Kurve%C2%AE+Wire+Stripper+%2F+Crimper+%2F+Cutter+Multi+Tool&amp;qid=1694735475&amp;sr=8-1")</f>
        <v/>
      </c>
      <c r="F8501" t="inlineStr">
        <is>
          <t>B07GFYBW4V</t>
        </is>
      </c>
      <c r="G8501">
        <f>_xlfn.IMAGE("https://edmondsonsupply.com/cdn/shop/products/1019.jpg?v=1587148776")</f>
        <v/>
      </c>
      <c r="H8501">
        <f>_xlfn.IMAGE("https://m.media-amazon.com/images/I/41CdFsk2lFL._AC_UL320_.jpg")</f>
        <v/>
      </c>
      <c r="K8501" t="inlineStr">
        <is>
          <t>20.97</t>
        </is>
      </c>
      <c r="L8501" t="n">
        <v>20.97</v>
      </c>
      <c r="M8501" s="1" t="inlineStr">
        <is>
          <t>0.00%</t>
        </is>
      </c>
      <c r="N8501" s="7" t="n"/>
      <c r="O8501" t="n">
        <v>4.7</v>
      </c>
      <c r="P8501" t="n">
        <v>1795</v>
      </c>
      <c r="R8501" t="inlineStr">
        <is>
          <t>InStock</t>
        </is>
      </c>
      <c r="S8501" t="inlineStr">
        <is>
          <t>30.04</t>
        </is>
      </c>
      <c r="T8501" t="inlineStr">
        <is>
          <t>1780412481636</t>
        </is>
      </c>
    </row>
    <row r="8502" ht="87" customHeight="1">
      <c r="A8502" s="2">
        <f>HYPERLINK("https://edmondsonsupply.com/collections/electricians-tools/products/klein-tools-935rb-torpedo-billet-level-rare-earth-magnet", "https://edmondsonsupply.com/collections/electricians-tools/products/klein-tools-935rb-torpedo-billet-level-rare-earth-magnet")</f>
        <v/>
      </c>
      <c r="B8502" s="2">
        <f>HYPERLINK("https://edmondsonsupply.com/products/klein-tools-935rb-torpedo-billet-level-rare-earth-magnet", "https://edmondsonsupply.com/products/klein-tools-935rb-torpedo-billet-level-rare-earth-magnet")</f>
        <v/>
      </c>
      <c r="C8502" t="inlineStr">
        <is>
          <t>Klein Tools 935RB Torpedo Billet Level, Rare Earth Magnet</t>
        </is>
      </c>
      <c r="D8502" t="inlineStr">
        <is>
          <t>Klein Tools 935RB Torpedo Level, Billet Magnetic Level, High Visibility Vials, V-Groove, Tapered Nose, High-Viz,Orange</t>
        </is>
      </c>
      <c r="E8502" s="2">
        <f>HYPERLINK("https://www.amazon.com/Torpedo-Billet-Klein-Tools-935RB/dp/B01MF9N8FE/ref=sr_1_1?keywords=Klein+Tools+935RB+Torpedo+Billet+Level%2C+Rare+Earth+Magnet&amp;qid=1694735468&amp;sr=8-1", "https://www.amazon.com/Torpedo-Billet-Klein-Tools-935RB/dp/B01MF9N8FE/ref=sr_1_1?keywords=Klein+Tools+935RB+Torpedo+Billet+Level%2C+Rare+Earth+Magnet&amp;qid=1694735468&amp;sr=8-1")</f>
        <v/>
      </c>
      <c r="F8502" t="inlineStr">
        <is>
          <t>B01MF9N8FE</t>
        </is>
      </c>
      <c r="G8502">
        <f>_xlfn.IMAGE("https://edmondsonsupply.com/cdn/shop/products/935rb_b.jpg?v=1657759846")</f>
        <v/>
      </c>
      <c r="H8502">
        <f>_xlfn.IMAGE("https://m.media-amazon.com/images/I/51lQyxeZbNL._AC_UL320_.jpg")</f>
        <v/>
      </c>
      <c r="K8502" t="inlineStr">
        <is>
          <t>29.97</t>
        </is>
      </c>
      <c r="L8502" t="n">
        <v>29.97</v>
      </c>
      <c r="M8502" s="1" t="inlineStr">
        <is>
          <t>0.00%</t>
        </is>
      </c>
      <c r="N8502" s="7" t="n"/>
      <c r="O8502" t="n">
        <v>4.8</v>
      </c>
      <c r="P8502" t="n">
        <v>3195</v>
      </c>
      <c r="R8502" t="inlineStr">
        <is>
          <t>OutOfStock</t>
        </is>
      </c>
      <c r="S8502" t="inlineStr">
        <is>
          <t>39.96</t>
        </is>
      </c>
      <c r="T8502" t="inlineStr">
        <is>
          <t>3690013196388</t>
        </is>
      </c>
    </row>
    <row r="8503" ht="87" customHeight="1">
      <c r="A8503" s="2">
        <f>HYPERLINK("https://edmondsonsupply.com/collections/electricians-tools/products/klein-tools-53725-bx-and-armored-cable-cutter", "https://edmondsonsupply.com/collections/electricians-tools/products/klein-tools-53725-bx-and-armored-cable-cutter")</f>
        <v/>
      </c>
      <c r="B8503" s="2">
        <f>HYPERLINK("https://edmondsonsupply.com/products/klein-tools-53725-bx-and-armored-cable-cutter", "https://edmondsonsupply.com/products/klein-tools-53725-bx-and-armored-cable-cutter")</f>
        <v/>
      </c>
      <c r="C8503" t="inlineStr">
        <is>
          <t>Klein Tools 53725 Armored and BX Cable Cutter</t>
        </is>
      </c>
      <c r="D8503" t="inlineStr">
        <is>
          <t>Klein Tools 53725 Armored and BX Cable Cutter, Cuts Up to 3/8 Inch Armored Cable-BX-AC-MC-MCAP-Greenfield, With Storage and Extra Blades</t>
        </is>
      </c>
      <c r="E8503" s="2">
        <f>HYPERLINK("https://www.amazon.com/Armored-Cutter-Klein-Tools-53725/dp/B005TTZS90/ref=sr_1_1?keywords=Klein+Tools+53725+Armored+and+BX+Cable+Cutter&amp;qid=1694735470&amp;sr=8-1", "https://www.amazon.com/Armored-Cutter-Klein-Tools-53725/dp/B005TTZS90/ref=sr_1_1?keywords=Klein+Tools+53725+Armored+and+BX+Cable+Cutter&amp;qid=1694735470&amp;sr=8-1")</f>
        <v/>
      </c>
      <c r="F8503" t="inlineStr">
        <is>
          <t>B005TTZS90</t>
        </is>
      </c>
      <c r="G8503">
        <f>_xlfn.IMAGE("https://edmondsonsupply.com/cdn/shop/products/53725.jpg?v=1589937269")</f>
        <v/>
      </c>
      <c r="H8503">
        <f>_xlfn.IMAGE("https://m.media-amazon.com/images/I/71Li8Ak+f2L._AC_UL320_.jpg")</f>
        <v/>
      </c>
      <c r="K8503" t="inlineStr">
        <is>
          <t>39.97</t>
        </is>
      </c>
      <c r="L8503" t="n">
        <v>39.97</v>
      </c>
      <c r="M8503" s="1" t="inlineStr">
        <is>
          <t>0.00%</t>
        </is>
      </c>
      <c r="N8503" s="7" t="n"/>
      <c r="O8503" t="n">
        <v>4.5</v>
      </c>
      <c r="P8503" t="n">
        <v>1654</v>
      </c>
      <c r="R8503" t="inlineStr">
        <is>
          <t>InStock</t>
        </is>
      </c>
      <c r="S8503" t="inlineStr">
        <is>
          <t>55.58</t>
        </is>
      </c>
      <c r="T8503" t="inlineStr">
        <is>
          <t>3688613314660</t>
        </is>
      </c>
    </row>
    <row r="8504" ht="87" customHeight="1">
      <c r="A8504" s="2">
        <f>HYPERLINK("https://edmondsonsupply.com/collections/electricians-tools/products/klein-tools-d507-6-adjustable-wrench-extra-capacity-6-1-2-inch", "https://edmondsonsupply.com/collections/electricians-tools/products/klein-tools-d507-6-adjustable-wrench-extra-capacity-6-1-2-inch")</f>
        <v/>
      </c>
      <c r="B8504" s="2">
        <f>HYPERLINK("https://edmondsonsupply.com/products/klein-tools-d507-6-adjustable-wrench-extra-capacity-6-1-2-inch", "https://edmondsonsupply.com/products/klein-tools-d507-6-adjustable-wrench-extra-capacity-6-1-2-inch")</f>
        <v/>
      </c>
      <c r="C8504" t="inlineStr">
        <is>
          <t>Klein Tools D507-6 Adjustable Wrench Extra Capacity, 6-1/2-Inch</t>
        </is>
      </c>
      <c r="D8504" t="inlineStr">
        <is>
          <t>Klein Tools D507-6 Adjustable Wrench, Extra Capacity Jaw Forged Drive Wrench with High Polish Chrome Finish, 6-1/2-Inch</t>
        </is>
      </c>
      <c r="E8504" s="2">
        <f>HYPERLINK("https://www.amazon.com/Adjustable-Capacity-Klein-Tools-D507-6/dp/B001BPWU5Q/ref=sr_1_1?keywords=Klein+Tools+D507-6+Adjustable+Wrench+Extra+Capacity%2C+6-1%2F2-Inch&amp;qid=1694735470&amp;sr=8-1", "https://www.amazon.com/Adjustable-Capacity-Klein-Tools-D507-6/dp/B001BPWU5Q/ref=sr_1_1?keywords=Klein+Tools+D507-6+Adjustable+Wrench+Extra+Capacity%2C+6-1%2F2-Inch&amp;qid=1694735470&amp;sr=8-1")</f>
        <v/>
      </c>
      <c r="F8504" t="inlineStr">
        <is>
          <t>B001BPWU5Q</t>
        </is>
      </c>
      <c r="G8504">
        <f>_xlfn.IMAGE("https://edmondsonsupply.com/cdn/shop/products/d507-6.jpg?v=1587147606")</f>
        <v/>
      </c>
      <c r="H8504">
        <f>_xlfn.IMAGE("https://m.media-amazon.com/images/I/41aY7Wfw24L._AC_UL320_.jpg")</f>
        <v/>
      </c>
      <c r="K8504" t="inlineStr">
        <is>
          <t>25.99</t>
        </is>
      </c>
      <c r="L8504" t="n">
        <v>25.99</v>
      </c>
      <c r="M8504" s="1" t="inlineStr">
        <is>
          <t>0.00%</t>
        </is>
      </c>
      <c r="N8504" s="7" t="n"/>
      <c r="O8504" t="n">
        <v>4.8</v>
      </c>
      <c r="P8504" t="n">
        <v>383</v>
      </c>
      <c r="R8504" t="inlineStr">
        <is>
          <t>InStock</t>
        </is>
      </c>
      <c r="S8504" t="inlineStr">
        <is>
          <t>39.3</t>
        </is>
      </c>
      <c r="T8504" t="inlineStr">
        <is>
          <t>3694818099300</t>
        </is>
      </c>
    </row>
    <row r="8505" ht="87" customHeight="1">
      <c r="A8505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505" s="2">
        <f>HYPERLINK("https://edmondsonsupply.com/products/klein-tools-et140-pinless-moisture-meter", "https://edmondsonsupply.com/products/klein-tools-et140-pinless-moisture-meter")</f>
        <v/>
      </c>
      <c r="C8505" t="inlineStr">
        <is>
          <t>Klein Tools ET140 Pinless Moisture Meter</t>
        </is>
      </c>
      <c r="D8505" t="inlineStr">
        <is>
          <t>Klein Tools ET140 Pinless Moisture Meter for Non-Destructive Moisture Detection in Drywall, Wood, and Masonry; Detects up to 3/4-Inch Below Surface</t>
        </is>
      </c>
      <c r="E8505" s="2">
        <f>HYPERLINK("https://www.amazon.com/Klein-Tools-ET140-Non-Destructive-Detection/dp/B07SZX8QXH/ref=sr_1_1?keywords=Klein+Tools+ET140+Pinless+Moisture+Meter&amp;qid=1694735470&amp;sr=8-1", "https://www.amazon.com/Klein-Tools-ET140-Non-Destructive-Detection/dp/B07SZX8QXH/ref=sr_1_1?keywords=Klein+Tools+ET140+Pinless+Moisture+Meter&amp;qid=1694735470&amp;sr=8-1")</f>
        <v/>
      </c>
      <c r="F8505" t="inlineStr">
        <is>
          <t>B07SZX8QXH</t>
        </is>
      </c>
      <c r="G8505">
        <f>_xlfn.IMAGE("https://edmondsonsupply.com/cdn/shop/products/et140_beauty_r.jpg?v=1587143172")</f>
        <v/>
      </c>
      <c r="H8505">
        <f>_xlfn.IMAGE("https://m.media-amazon.com/images/I/5175CMtXLlL._AC_UL320_.jpg")</f>
        <v/>
      </c>
      <c r="K8505" t="inlineStr">
        <is>
          <t>41.97</t>
        </is>
      </c>
      <c r="L8505" t="n">
        <v>41.97</v>
      </c>
      <c r="M8505" s="1" t="inlineStr">
        <is>
          <t>0.00%</t>
        </is>
      </c>
      <c r="N8505" s="7" t="n"/>
      <c r="O8505" t="n">
        <v>4.5</v>
      </c>
      <c r="P8505" t="n">
        <v>4388</v>
      </c>
      <c r="R8505" t="inlineStr">
        <is>
          <t>InStock</t>
        </is>
      </c>
      <c r="S8505" t="inlineStr">
        <is>
          <t>59.44</t>
        </is>
      </c>
      <c r="T8505" t="inlineStr">
        <is>
          <t>3693529071716</t>
        </is>
      </c>
    </row>
    <row r="8506" ht="87" customHeight="1">
      <c r="A8506" s="2">
        <f>HYPERLINK("https://edmondsonsupply.com/collections/electricians-tools/products/klein-tools-11055-klein-kurve%C2%AE-solid-and-stranded-copper-wire-stripper-cutter", "https://edmondsonsupply.com/collections/electricians-tools/products/klein-tools-11055-klein-kurve%C2%AE-solid-and-stranded-copper-wire-stripper-cutter")</f>
        <v/>
      </c>
      <c r="B8506" s="2">
        <f>HYPERLINK("https://edmondsonsupply.com/products/klein-tools-11055-klein-kurve%c2%ae-solid-and-stranded-copper-wire-stripper-cutter", "https://edmondsonsupply.com/products/klein-tools-11055-klein-kurve%c2%ae-solid-and-stranded-copper-wire-stripper-cutter")</f>
        <v/>
      </c>
      <c r="C8506" t="inlineStr">
        <is>
          <t>Klein Tools 11055 Klein Kurve® Solid and Stranded Copper Wire Stripper &amp; Cutter</t>
        </is>
      </c>
      <c r="D8506" t="inlineStr">
        <is>
          <t>Klein Tools 11055 Wire Cutter and Wire Stripper, Stranded Wire Cutter, Solid Wire Cutter, Cuts Copper Wire</t>
        </is>
      </c>
      <c r="E8506" s="2">
        <f>HYPERLINK("https://www.amazon.com/Klein-Tools-Cutter-Stripper-Stranded/dp/B00080DPNQ/ref=sr_1_1?keywords=Klein+Tools+11055+Klein+Kurve%C2%AE+Solid+and+Stranded+Copper+Wire+Stripper+%26+Cutter&amp;qid=1694735472&amp;sr=8-1", "https://www.amazon.com/Klein-Tools-Cutter-Stripper-Stranded/dp/B00080DPNQ/ref=sr_1_1?keywords=Klein+Tools+11055+Klein+Kurve%C2%AE+Solid+and+Stranded+Copper+Wire+Stripper+%26+Cutter&amp;qid=1694735472&amp;sr=8-1")</f>
        <v/>
      </c>
      <c r="F8506" t="inlineStr">
        <is>
          <t>B00080DPNQ</t>
        </is>
      </c>
      <c r="G8506">
        <f>_xlfn.IMAGE("https://edmondsonsupply.com/cdn/shop/products/11055ep.jpg?v=1670949748")</f>
        <v/>
      </c>
      <c r="H8506">
        <f>_xlfn.IMAGE("https://m.media-amazon.com/images/I/51vtDdpy8vL._AC_UL320_.jpg")</f>
        <v/>
      </c>
      <c r="K8506" t="inlineStr">
        <is>
          <t>19.99</t>
        </is>
      </c>
      <c r="L8506" t="n">
        <v>19.99</v>
      </c>
      <c r="M8506" s="1" t="inlineStr">
        <is>
          <t>0.00%</t>
        </is>
      </c>
      <c r="N8506" s="7" t="n"/>
      <c r="O8506" t="n">
        <v>4.8</v>
      </c>
      <c r="P8506" t="n">
        <v>7578</v>
      </c>
      <c r="R8506" t="inlineStr">
        <is>
          <t>InStock</t>
        </is>
      </c>
      <c r="S8506" t="inlineStr">
        <is>
          <t>29.82</t>
        </is>
      </c>
      <c r="T8506" t="inlineStr">
        <is>
          <t>1780558135396</t>
        </is>
      </c>
    </row>
    <row r="8507" hidden="1" ht="15.75" customHeight="1">
      <c r="A8507" s="2">
        <f>HYPERLINK("https://edmondsonsupply.com/collections/electricians-tools/products/klein-tools-32561-6-in-1-multi-bit-screwdriver-nut-driver-stubby", "https://edmondsonsupply.com/collections/electricians-tools/products/klein-tools-32561-6-in-1-multi-bit-screwdriver-nut-driver-stubby")</f>
        <v/>
      </c>
      <c r="B8507" s="2">
        <f>HYPERLINK("https://edmondsonsupply.com/products/klein-tools-32561-6-in-1-multi-bit-screwdriver-nut-driver-stubby", "https://edmondsonsupply.com/products/klein-tools-32561-6-in-1-multi-bit-screwdriver-nut-driver-stubby")</f>
        <v/>
      </c>
      <c r="C8507" t="inlineStr">
        <is>
          <t>Klein Tools 32561 Multi-Bit Screwdriver / Nut Driver, 6-in-1, Stubby, Ph, Sl Bits</t>
        </is>
      </c>
      <c r="D8507" t="inlineStr">
        <is>
          <t>Klein Tools 32561 Multi-Bit Screwdriver / Nut Driver, 6-in-1 Stubby Screwdriver with 2 Phillips, 2 Slotted Bits, 2 Nut Drivers</t>
        </is>
      </c>
      <c r="E8507" s="2">
        <f>HYPERLINK("https://www.amazon.com/Klein-Tools-32561-Screwdriver-Multi-Bit/dp/B005FQDHHC/ref=sr_1_1?keywords=Klein+Tools+32561+Multi-Bit+Screwdriver+%2F+Nut+Driver%2C+6-in-1%2C+Stubby%2C+Ph%2C+Sl+Bits&amp;qid=1694735473&amp;sr=8-1", "https://www.amazon.com/Klein-Tools-32561-Screwdriver-Multi-Bit/dp/B005FQDHHC/ref=sr_1_1?keywords=Klein+Tools+32561+Multi-Bit+Screwdriver+%2F+Nut+Driver%2C+6-in-1%2C+Stubby%2C+Ph%2C+Sl+Bits&amp;qid=1694735473&amp;sr=8-1")</f>
        <v/>
      </c>
      <c r="F8507" t="inlineStr">
        <is>
          <t>B005FQDHHC</t>
        </is>
      </c>
      <c r="G8507">
        <f>_xludf.IMAGE("https://edmondsonsupply.com/cdn/shop/products/32561_beauty_r.jpg?v=1604436217")</f>
        <v/>
      </c>
      <c r="H8507">
        <f>_xludf.IMAGE("https://m.media-amazon.com/images/I/61cyqZhSgsL._AC_UL320_.jpg")</f>
        <v/>
      </c>
      <c r="K8507" t="inlineStr">
        <is>
          <t>10.97</t>
        </is>
      </c>
      <c r="L8507" t="n">
        <v>10.97</v>
      </c>
      <c r="M8507" s="1" t="inlineStr">
        <is>
          <t>0.00%</t>
        </is>
      </c>
      <c r="N8507" s="1" t="n"/>
      <c r="O8507" t="n">
        <v>4.8</v>
      </c>
      <c r="P8507" t="n">
        <v>13254</v>
      </c>
      <c r="R8507" t="inlineStr">
        <is>
          <t>InStock</t>
        </is>
      </c>
      <c r="S8507" t="inlineStr">
        <is>
          <t>16.94</t>
        </is>
      </c>
      <c r="T8507" t="inlineStr">
        <is>
          <t>3671725998180</t>
        </is>
      </c>
    </row>
    <row r="8508" hidden="1" ht="15.75" customHeight="1">
      <c r="A8508" s="2">
        <f>HYPERLINK("https://edmondsonsupply.com/collections/electricians-tools/products/klein-tools-60123-cooling-bandana-black", "https://edmondsonsupply.com/collections/electricians-tools/products/klein-tools-60123-cooling-bandana-black")</f>
        <v/>
      </c>
      <c r="B8508" s="2">
        <f>HYPERLINK("https://edmondsonsupply.com/products/klein-tools-60123-cooling-bandana-black", "https://edmondsonsupply.com/products/klein-tools-60123-cooling-bandana-black")</f>
        <v/>
      </c>
      <c r="C8508" t="inlineStr">
        <is>
          <t>Klein Tools 60123 Cooling Bandana, Black</t>
        </is>
      </c>
      <c r="D8508" t="inlineStr">
        <is>
          <t>Klein Tools 60123 Bandana, Stay Cool With Evaporative PVA Technology, Black</t>
        </is>
      </c>
      <c r="E8508" s="2">
        <f>HYPERLINK("https://www.amazon.com/Klein-Tools-60123-Evaporative-Technology/dp/B07TNMC2LP/ref=sr_1_1?keywords=Klein+Tools+60123+Cooling+Bandana%2C+Black&amp;qid=1694735472&amp;sr=8-1", "https://www.amazon.com/Klein-Tools-60123-Evaporative-Technology/dp/B07TNMC2LP/ref=sr_1_1?keywords=Klein+Tools+60123+Cooling+Bandana%2C+Black&amp;qid=1694735472&amp;sr=8-1")</f>
        <v/>
      </c>
      <c r="F8508" t="inlineStr">
        <is>
          <t>B07TNMC2LP</t>
        </is>
      </c>
      <c r="G8508">
        <f>_xludf.IMAGE("https://edmondsonsupply.com/cdn/shop/products/60123.jpg?v=1587147828")</f>
        <v/>
      </c>
      <c r="H8508">
        <f>_xludf.IMAGE("https://m.media-amazon.com/images/I/61qqM4wSOYL._AC_UL320_.jpg")</f>
        <v/>
      </c>
      <c r="K8508" t="inlineStr">
        <is>
          <t>3.99</t>
        </is>
      </c>
      <c r="L8508" t="n">
        <v>3.99</v>
      </c>
      <c r="M8508" s="1" t="inlineStr">
        <is>
          <t>0.00%</t>
        </is>
      </c>
      <c r="N8508" s="1" t="n"/>
      <c r="O8508" t="n">
        <v>4.3</v>
      </c>
      <c r="P8508" t="n">
        <v>143</v>
      </c>
      <c r="R8508" t="inlineStr">
        <is>
          <t>InStock</t>
        </is>
      </c>
      <c r="S8508" t="inlineStr">
        <is>
          <t>5.68</t>
        </is>
      </c>
      <c r="T8508" t="inlineStr">
        <is>
          <t>3699423051876</t>
        </is>
      </c>
    </row>
    <row r="8509" ht="87" customHeight="1">
      <c r="A8509" s="2">
        <f>HYPERLINK("https://edmondsonsupply.com/collections/electricians-tools/products/klein-tools-55421bp-14camo-tradesman-pro%E2%84%A2-camo-backpack", "https://edmondsonsupply.com/collections/electricians-tools/products/klein-tools-55421bp-14camo-tradesman-pro%E2%84%A2-camo-backpack")</f>
        <v/>
      </c>
      <c r="B8509" s="2">
        <f>HYPERLINK("https://edmondsonsupply.com/products/klein-tools-55421bp-14camo-tradesman-pro%e2%84%a2-camo-backpack", "https://edmondsonsupply.com/products/klein-tools-55421bp-14camo-tradesman-pro%e2%84%a2-camo-backpack")</f>
        <v/>
      </c>
      <c r="C8509" t="inlineStr">
        <is>
          <t>Klein Tools 55421BP-14CAMO Tradesman Pro™ Tool Bag Backpack, 39 Pockets, Camo, 14-Inch</t>
        </is>
      </c>
      <c r="D8509" t="inlineStr">
        <is>
          <t>Klein Tools 55421BP14CAMO Tool Bag Backpack, Heavy Duty Tradesman Pro Tool Organizer / Tool Carrier has 39 Pockets, Molded Base, Camo Design</t>
        </is>
      </c>
      <c r="E8509" s="2">
        <f>HYPERLINK("https://www.amazon.com/Electrician-Tradesman-Klein-Tools-55421BP14CAMO/dp/B00VX5P8XK/ref=sr_1_2?keywords=Klein+Tools+55421BP-14CAMO+Tradesman+Pro%E2%84%A2+Tool+Bag+Backpack%2C+39+Pockets%2C+Camo%2C+14-Inch&amp;qid=1694735472&amp;sr=8-2", "https://www.amazon.com/Electrician-Tradesman-Klein-Tools-55421BP14CAMO/dp/B00VX5P8XK/ref=sr_1_2?keywords=Klein+Tools+55421BP-14CAMO+Tradesman+Pro%E2%84%A2+Tool+Bag+Backpack%2C+39+Pockets%2C+Camo%2C+14-Inch&amp;qid=1694735472&amp;sr=8-2")</f>
        <v/>
      </c>
      <c r="F8509" t="inlineStr">
        <is>
          <t>B00VX5P8XK</t>
        </is>
      </c>
      <c r="G8509">
        <f>_xlfn.IMAGE("https://edmondsonsupply.com/cdn/shop/products/55421bp_camo.jpg?v=1587149830")</f>
        <v/>
      </c>
      <c r="H8509">
        <f>_xlfn.IMAGE("https://m.media-amazon.com/images/I/71tSAVLDR+L._AC_UL320_.jpg")</f>
        <v/>
      </c>
      <c r="K8509" t="inlineStr">
        <is>
          <t>109.99</t>
        </is>
      </c>
      <c r="L8509" t="n">
        <v>109.99</v>
      </c>
      <c r="M8509" s="1" t="inlineStr">
        <is>
          <t>0.00%</t>
        </is>
      </c>
      <c r="N8509" s="7" t="n"/>
      <c r="O8509" t="n">
        <v>4.8</v>
      </c>
      <c r="P8509" t="n">
        <v>1762</v>
      </c>
      <c r="R8509" t="inlineStr">
        <is>
          <t>InStock</t>
        </is>
      </c>
      <c r="S8509" t="inlineStr">
        <is>
          <t>166.64</t>
        </is>
      </c>
      <c r="T8509" t="inlineStr">
        <is>
          <t>3682330771556</t>
        </is>
      </c>
    </row>
    <row r="8510" ht="87" customHeight="1">
      <c r="A8510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510" s="2">
        <f>HYPERLINK("https://edmondsonsupply.com/products/klein-tools-aepjs1-wireless-jobsite-speaker-bluetooth", "https://edmondsonsupply.com/products/klein-tools-aepjs1-wireless-jobsite-speaker-bluetooth")</f>
        <v/>
      </c>
      <c r="C8510" t="inlineStr">
        <is>
          <t>Klein Tools AEPJS1 Wireless Jobsite Speaker</t>
        </is>
      </c>
      <c r="D8510" t="inlineStr">
        <is>
          <t>Klein Tools AEPJS1 Bluetooth Speaker, Wireless Portable Jobsite Speaker Plays Audio and Answers Calls Hands Free, IPX5, Worksite Ready, Orange, Black, Gray</t>
        </is>
      </c>
      <c r="E8510" s="2">
        <f>HYPERLINK("https://www.amazon.com/Wireless-Portable-Klein-Tools-AEPJS1/dp/B01N8TMMK5/ref=sr_1_1?keywords=Klein+Tools+AEPJS1+Wireless+Jobsite+Speaker&amp;qid=1694735448&amp;sr=8-1", "https://www.amazon.com/Wireless-Portable-Klein-Tools-AEPJS1/dp/B01N8TMMK5/ref=sr_1_1?keywords=Klein+Tools+AEPJS1+Wireless+Jobsite+Speaker&amp;qid=1694735448&amp;sr=8-1")</f>
        <v/>
      </c>
      <c r="F8510" t="inlineStr">
        <is>
          <t>B01N8TMMK5</t>
        </is>
      </c>
      <c r="G8510">
        <f>_xlfn.IMAGE("https://edmondsonsupply.com/cdn/shop/products/aepjs1.jpg?v=1587145015")</f>
        <v/>
      </c>
      <c r="H8510">
        <f>_xlfn.IMAGE("https://m.media-amazon.com/images/I/61ikoPFObSL._AC_UY218_.jpg")</f>
        <v/>
      </c>
      <c r="K8510" t="inlineStr">
        <is>
          <t>39.97</t>
        </is>
      </c>
      <c r="L8510" t="n">
        <v>39.97</v>
      </c>
      <c r="M8510" s="1" t="inlineStr">
        <is>
          <t>0.00%</t>
        </is>
      </c>
      <c r="N8510" s="7" t="n"/>
      <c r="O8510" t="n">
        <v>4.7</v>
      </c>
      <c r="P8510" t="n">
        <v>4672</v>
      </c>
      <c r="R8510" t="inlineStr">
        <is>
          <t>InStock</t>
        </is>
      </c>
      <c r="S8510" t="inlineStr">
        <is>
          <t>56.0</t>
        </is>
      </c>
      <c r="T8510" t="inlineStr">
        <is>
          <t>1779629424740</t>
        </is>
      </c>
    </row>
    <row r="8511" hidden="1" ht="15.75" customHeight="1">
      <c r="A8511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511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511" t="inlineStr">
        <is>
          <t>Klein Tools JTH6M25 2.5 mm Hex Key with Journeyman T-Handle, 6-Inch</t>
        </is>
      </c>
      <c r="D8511" t="inlineStr">
        <is>
          <t>Klein Tools JTH6M25 2.5 mm Hex Key, Journeyman T-Handle, 6-Inch</t>
        </is>
      </c>
      <c r="E8511" s="2">
        <f>HYPERLINK("https://www.amazon.com/Journeyman-T-Handle-Klein-Tools-JTH6M25/dp/B005G2RMLM/ref=sr_1_1?keywords=Klein+Tools+JTH6M25+2.5+mm+Hex+Key+with+Journeyman+T-Handle%2C+6-Inch&amp;qid=1694735465&amp;sr=8-1", "https://www.amazon.com/Journeyman-T-Handle-Klein-Tools-JTH6M25/dp/B005G2RMLM/ref=sr_1_1?keywords=Klein+Tools+JTH6M25+2.5+mm+Hex+Key+with+Journeyman+T-Handle%2C+6-Inch&amp;qid=1694735465&amp;sr=8-1")</f>
        <v/>
      </c>
      <c r="F8511" t="inlineStr">
        <is>
          <t>B005G2RMLM</t>
        </is>
      </c>
      <c r="G8511">
        <f>_xludf.IMAGE("https://edmondsonsupply.com/cdn/shop/products/jth6m8_418cc1b7-11e8-4105-a13a-5501c6e11940.jpg?v=1587148486")</f>
        <v/>
      </c>
      <c r="H8511">
        <f>_xludf.IMAGE("https://m.media-amazon.com/images/I/51+1x0vz9XL._AC_UL320_.jpg")</f>
        <v/>
      </c>
      <c r="K8511" t="inlineStr">
        <is>
          <t>3.99</t>
        </is>
      </c>
      <c r="L8511" t="n">
        <v>3.99</v>
      </c>
      <c r="M8511" s="1" t="inlineStr">
        <is>
          <t>0.00%</t>
        </is>
      </c>
      <c r="N8511" s="1" t="n"/>
      <c r="O8511" t="n">
        <v>4.7</v>
      </c>
      <c r="P8511" t="n">
        <v>1530</v>
      </c>
      <c r="R8511" t="inlineStr">
        <is>
          <t>InStock</t>
        </is>
      </c>
      <c r="S8511" t="inlineStr">
        <is>
          <t>5.76</t>
        </is>
      </c>
      <c r="T8511" t="inlineStr">
        <is>
          <t>3694858567780</t>
        </is>
      </c>
    </row>
    <row r="8512" ht="87" customHeight="1">
      <c r="A8512" s="2">
        <f>HYPERLINK("https://edmondsonsupply.com/collections/electricians-tools/products/klein-tools-32526-standard-tip-bit-set-32-piece", "https://edmondsonsupply.com/collections/electricians-tools/products/klein-tools-32526-standard-tip-bit-set-32-piece")</f>
        <v/>
      </c>
      <c r="B8512" s="2">
        <f>HYPERLINK("https://edmondsonsupply.com/products/klein-tools-32526-standard-tip-bit-set-32-piece", "https://edmondsonsupply.com/products/klein-tools-32526-standard-tip-bit-set-32-piece")</f>
        <v/>
      </c>
      <c r="C8512" t="inlineStr">
        <is>
          <t>Klein Tools 32526 Standard Tip Bit Set, 32-Piece</t>
        </is>
      </c>
      <c r="D8512" t="inlineStr">
        <is>
          <t>Klein Tools 32526 Standard Tip Bit Set, 32-Piece</t>
        </is>
      </c>
      <c r="E8512" s="2">
        <f>HYPERLINK("https://www.amazon.com/Standard-32-Piece-Klein-Tools-32526/dp/B00166YVUM/ref=sr_1_1?keywords=Klein+Tools+32526+Standard+Tip+Bit+Set%2C+32-Piece&amp;qid=1694735439&amp;sr=8-1", "https://www.amazon.com/Standard-32-Piece-Klein-Tools-32526/dp/B00166YVUM/ref=sr_1_1?keywords=Klein+Tools+32526+Standard+Tip+Bit+Set%2C+32-Piece&amp;qid=1694735439&amp;sr=8-1")</f>
        <v/>
      </c>
      <c r="F8512" t="inlineStr">
        <is>
          <t>B00166YVUM</t>
        </is>
      </c>
      <c r="G8512">
        <f>_xlfn.IMAGE("https://edmondsonsupply.com/cdn/shop/products/32526.jpg?v=1587150703")</f>
        <v/>
      </c>
      <c r="H8512">
        <f>_xlfn.IMAGE("https://m.media-amazon.com/images/I/61TC1dl4yfL._AC_UL320_.jpg")</f>
        <v/>
      </c>
      <c r="K8512" t="inlineStr">
        <is>
          <t>21.99</t>
        </is>
      </c>
      <c r="L8512" t="n">
        <v>21.99</v>
      </c>
      <c r="M8512" s="1" t="inlineStr">
        <is>
          <t>0.00%</t>
        </is>
      </c>
      <c r="N8512" s="7" t="n"/>
      <c r="O8512" t="n">
        <v>4.7</v>
      </c>
      <c r="P8512" t="n">
        <v>646</v>
      </c>
      <c r="R8512" t="inlineStr">
        <is>
          <t>InStock</t>
        </is>
      </c>
      <c r="S8512" t="inlineStr">
        <is>
          <t>33.18</t>
        </is>
      </c>
      <c r="T8512" t="inlineStr">
        <is>
          <t>4295015596132</t>
        </is>
      </c>
    </row>
    <row r="8513" hidden="1" ht="15.75" customHeight="1">
      <c r="A8513" s="2">
        <f>HYPERLINK("https://edmondsonsupply.com/collections/electricians-tools/products/klein-tools-670-6-screwdriver-3-16-inch-cabinet-rapi-driv%C2%AE-6-inch", "https://edmondsonsupply.com/collections/electricians-tools/products/klein-tools-670-6-screwdriver-3-16-inch-cabinet-rapi-driv%C2%AE-6-inch")</f>
        <v/>
      </c>
      <c r="B8513" s="2">
        <f>HYPERLINK("https://edmondsonsupply.com/products/klein-tools-670-6-screwdriver-3-16-inch-cabinet-rapi-driv%c2%ae-6-inch", "https://edmondsonsupply.com/products/klein-tools-670-6-screwdriver-3-16-inch-cabinet-rapi-driv%c2%ae-6-inch")</f>
        <v/>
      </c>
      <c r="C8513" t="inlineStr">
        <is>
          <t>Klein Tools 670-6 Rapi-Driv® Screwdriver, 3/16-Inch Cabinet Tip, 6-Inch Shank</t>
        </is>
      </c>
      <c r="D8513" t="inlineStr">
        <is>
          <t>Klein Tools 670-6 Screwdriver, 3/16-Inch Cabinet Tip, Rapi-Driv with 6-Inch Shank</t>
        </is>
      </c>
      <c r="E8513" s="2">
        <f>HYPERLINK("https://www.amazon.com/Klein-Tools-670-6-Screwdriver-Rapi-Driv/dp/B000BO9T3Y/ref=sr_1_1?keywords=Klein+Tools+670-6+Rapi-Driv%C2%AE+Screwdriver%2C+3%2F16-Inch+Cabinet+Tip%2C+6-Inch+Shank&amp;qid=1694735436&amp;sr=8-1", "https://www.amazon.com/Klein-Tools-670-6-Screwdriver-Rapi-Driv/dp/B000BO9T3Y/ref=sr_1_1?keywords=Klein+Tools+670-6+Rapi-Driv%C2%AE+Screwdriver%2C+3%2F16-Inch+Cabinet+Tip%2C+6-Inch+Shank&amp;qid=1694735436&amp;sr=8-1")</f>
        <v/>
      </c>
      <c r="F8513" t="inlineStr">
        <is>
          <t>B000BO9T3Y</t>
        </is>
      </c>
      <c r="G8513">
        <f>_xludf.IMAGE("https://edmondsonsupply.com/cdn/shop/products/670-6_0b4d3d55-d188-4b6a-b9f2-ed932afb4284.jpg?v=1666899819")</f>
        <v/>
      </c>
      <c r="H8513">
        <f>_xludf.IMAGE("https://m.media-amazon.com/images/I/31+1RSUdZ+S._AC_UL320_.jpg")</f>
        <v/>
      </c>
      <c r="K8513" t="inlineStr">
        <is>
          <t>10.49</t>
        </is>
      </c>
      <c r="L8513" t="n">
        <v>10.49</v>
      </c>
      <c r="M8513" s="1" t="inlineStr">
        <is>
          <t>0.00%</t>
        </is>
      </c>
      <c r="N8513" s="1" t="n"/>
      <c r="O8513" t="n">
        <v>4.8</v>
      </c>
      <c r="P8513" t="n">
        <v>1603</v>
      </c>
      <c r="R8513" t="inlineStr">
        <is>
          <t>InStock</t>
        </is>
      </c>
      <c r="S8513" t="inlineStr">
        <is>
          <t>15.9</t>
        </is>
      </c>
      <c r="T8513" t="inlineStr">
        <is>
          <t>4343372382308</t>
        </is>
      </c>
    </row>
    <row r="8514" ht="87" customHeight="1">
      <c r="A8514" s="2">
        <f>HYPERLINK("https://edmondsonsupply.com/collections/electricians-tools/products/klein-tools-44005-hawkbill-lockback-knife-2-5-8", "https://edmondsonsupply.com/collections/electricians-tools/products/klein-tools-44005-hawkbill-lockback-knife-2-5-8")</f>
        <v/>
      </c>
      <c r="B8514" s="2">
        <f>HYPERLINK("https://edmondsonsupply.com/products/klein-tools-44005-hawkbill-lockback-knife-2-5-8", "https://edmondsonsupply.com/products/klein-tools-44005-hawkbill-lockback-knife-2-5-8")</f>
        <v/>
      </c>
      <c r="C8514" t="inlineStr">
        <is>
          <t>Klein Tools 44005 Lockback Knife, 2-5/8-Inch Hawkbill Blade, Black Handle</t>
        </is>
      </c>
      <c r="D8514" t="inlineStr">
        <is>
          <t>Klein Tools 44005 Pocket Knife, Stainless Steel Lockback Knife with 2-5/8-Inch Hawkill Blade, Nylon Handle,Black</t>
        </is>
      </c>
      <c r="E8514" s="2">
        <f>HYPERLINK("https://www.amazon.com/Stainless-Lockback-Klein-Tools-44005/dp/B000936PU2/ref=sr_1_1?keywords=Klein+Tools+44005+Lockback+Knife%2C+2-5%2F8-Inch+Hawkbill+Blade%2C+Black+Handle&amp;qid=1694735455&amp;sr=8-1", "https://www.amazon.com/Stainless-Lockback-Klein-Tools-44005/dp/B000936PU2/ref=sr_1_1?keywords=Klein+Tools+44005+Lockback+Knife%2C+2-5%2F8-Inch+Hawkbill+Blade%2C+Black+Handle&amp;qid=1694735455&amp;sr=8-1")</f>
        <v/>
      </c>
      <c r="F8514" t="inlineStr">
        <is>
          <t>B000936PU2</t>
        </is>
      </c>
      <c r="G8514">
        <f>_xlfn.IMAGE("https://edmondsonsupply.com/cdn/shop/products/44005.jpg?v=1587143569")</f>
        <v/>
      </c>
      <c r="H8514">
        <f>_xlfn.IMAGE("https://m.media-amazon.com/images/I/51kz2pGOUqL._AC_UL320_.jpg")</f>
        <v/>
      </c>
      <c r="K8514" t="inlineStr">
        <is>
          <t>38.9</t>
        </is>
      </c>
      <c r="L8514" t="n">
        <v>38.9</v>
      </c>
      <c r="M8514" s="1" t="inlineStr">
        <is>
          <t>0.00%</t>
        </is>
      </c>
      <c r="N8514" s="7" t="n"/>
      <c r="O8514" t="n">
        <v>4.7</v>
      </c>
      <c r="P8514" t="n">
        <v>338</v>
      </c>
      <c r="R8514" t="inlineStr">
        <is>
          <t>InStock</t>
        </is>
      </c>
      <c r="S8514" t="inlineStr">
        <is>
          <t>63.5</t>
        </is>
      </c>
      <c r="T8514" t="inlineStr">
        <is>
          <t>4168751186020</t>
        </is>
      </c>
    </row>
    <row r="8515" ht="87" customHeight="1">
      <c r="A8515" s="2">
        <f>HYPERLINK("https://edmondsonsupply.com/collections/electricians-tools/products/klein-tools-32560-6-in-1-screwdriver-nut-driver-extended-reach", "https://edmondsonsupply.com/collections/electricians-tools/products/klein-tools-32560-6-in-1-screwdriver-nut-driver-extended-reach")</f>
        <v/>
      </c>
      <c r="B8515" s="2">
        <f>HYPERLINK("https://edmondsonsupply.com/products/klein-tools-32560-6-in-1-screwdriver-nut-driver-extended-reach", "https://edmondsonsupply.com/products/klein-tools-32560-6-in-1-screwdriver-nut-driver-extended-reach")</f>
        <v/>
      </c>
      <c r="C8515" t="inlineStr">
        <is>
          <t>Klein Tools 32560 Multi-Bit Screwdriver / Nut Driver, 6-in-1, Extended Reach, Ph, Sl, Sq</t>
        </is>
      </c>
      <c r="D8515" t="inlineStr">
        <is>
          <t>Klein Tools 32560 Multi-Bit Screwdriver / Nut Driver, Extended Reach 6-in-1 Tool with Phillips, Slotted and Square Bits and Nut Drivers</t>
        </is>
      </c>
      <c r="E8515" s="2">
        <f>HYPERLINK("https://www.amazon.com/Extended-Screwdriver-Klein-Tools-32560/dp/B005FQDHF4/ref=sr_1_1?keywords=Klein+Tools+32560+Multi-Bit+Screwdriver+%2F+Nut+Driver%2C+6-in-1%2C+Extended+Reach%2C+Ph%2C+Sl%2C+Sq&amp;qid=1694735461&amp;sr=8-1", "https://www.amazon.com/Extended-Screwdriver-Klein-Tools-32560/dp/B005FQDHF4/ref=sr_1_1?keywords=Klein+Tools+32560+Multi-Bit+Screwdriver+%2F+Nut+Driver%2C+6-in-1%2C+Extended+Reach%2C+Ph%2C+Sl%2C+Sq&amp;qid=1694735461&amp;sr=8-1")</f>
        <v/>
      </c>
      <c r="F8515" t="inlineStr">
        <is>
          <t>B005FQDHF4</t>
        </is>
      </c>
      <c r="G8515">
        <f>_xlfn.IMAGE("https://edmondsonsupply.com/cdn/shop/products/32559.jpg?v=1587147887")</f>
        <v/>
      </c>
      <c r="H8515">
        <f>_xlfn.IMAGE("https://m.media-amazon.com/images/I/516UhfUKmUL._AC_UL320_.jpg")</f>
        <v/>
      </c>
      <c r="K8515" t="inlineStr">
        <is>
          <t>16.99</t>
        </is>
      </c>
      <c r="L8515" t="n">
        <v>16.99</v>
      </c>
      <c r="M8515" s="1" t="inlineStr">
        <is>
          <t>0.00%</t>
        </is>
      </c>
      <c r="N8515" s="7" t="n"/>
      <c r="O8515" t="n">
        <v>4.8</v>
      </c>
      <c r="P8515" t="n">
        <v>679</v>
      </c>
      <c r="R8515" t="inlineStr">
        <is>
          <t>InStock</t>
        </is>
      </c>
      <c r="S8515" t="inlineStr">
        <is>
          <t>25.72</t>
        </is>
      </c>
      <c r="T8515" t="inlineStr">
        <is>
          <t>3701372813412</t>
        </is>
      </c>
    </row>
    <row r="8516" ht="87" customHeight="1">
      <c r="A8516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516" s="2">
        <f>HYPERLINK("https://edmondsonsupply.com/products/klein-tools-69411-circuit-breaker-finder-accessory-kit", "https://edmondsonsupply.com/products/klein-tools-69411-circuit-breaker-finder-accessory-kit")</f>
        <v/>
      </c>
      <c r="C8516" t="inlineStr">
        <is>
          <t>Klein Tools 69411 Circuit Breaker Finder Accessory Kit</t>
        </is>
      </c>
      <c r="D8516" t="inlineStr">
        <is>
          <t>Klein Tools 69411 Circuit Breaker Finder Accessory Kit, Circuit Breaker Leads, Circuit Breaker Adapters</t>
        </is>
      </c>
      <c r="E8516" s="2">
        <f>HYPERLINK("https://www.amazon.com/Accessory-Adapters-Klein-Tools-69411/dp/B003U2GNI8/ref=sr_1_1?keywords=Klein+Tools+69411+Circuit+Breaker+Finder+Accessory+Kit&amp;qid=1694735452&amp;sr=8-1", "https://www.amazon.com/Accessory-Adapters-Klein-Tools-69411/dp/B003U2GNI8/ref=sr_1_1?keywords=Klein+Tools+69411+Circuit+Breaker+Finder+Accessory+Kit&amp;qid=1694735452&amp;sr=8-1")</f>
        <v/>
      </c>
      <c r="F8516" t="inlineStr">
        <is>
          <t>B003U2GNI8</t>
        </is>
      </c>
      <c r="G8516">
        <f>_xlfn.IMAGE("https://edmondsonsupply.com/cdn/shop/products/69411.jpg?v=1587143386")</f>
        <v/>
      </c>
      <c r="H8516">
        <f>_xlfn.IMAGE("https://m.media-amazon.com/images/I/510R3x-Y+BL._AC_UL320_.jpg")</f>
        <v/>
      </c>
      <c r="K8516" t="inlineStr">
        <is>
          <t>19.97</t>
        </is>
      </c>
      <c r="L8516" t="n">
        <v>19.97</v>
      </c>
      <c r="M8516" s="1" t="inlineStr">
        <is>
          <t>0.00%</t>
        </is>
      </c>
      <c r="N8516" s="7" t="n"/>
      <c r="O8516" t="n">
        <v>4.7</v>
      </c>
      <c r="P8516" t="n">
        <v>6404</v>
      </c>
      <c r="R8516" t="inlineStr">
        <is>
          <t>InStock</t>
        </is>
      </c>
      <c r="S8516" t="inlineStr">
        <is>
          <t>27.96</t>
        </is>
      </c>
      <c r="T8516" t="inlineStr">
        <is>
          <t>4166896255076</t>
        </is>
      </c>
    </row>
    <row r="8517" ht="87" customHeight="1">
      <c r="A8517" s="2">
        <f>HYPERLINK("https://edmondsonsupply.com/collections/electricians-tools/products/klein-32807mag", "https://edmondsonsupply.com/collections/electricians-tools/products/klein-32807mag")</f>
        <v/>
      </c>
      <c r="B8517" s="2">
        <f>HYPERLINK("https://edmondsonsupply.com/products/klein-32807mag", "https://edmondsonsupply.com/products/klein-32807mag")</f>
        <v/>
      </c>
      <c r="C8517" t="inlineStr">
        <is>
          <t>Klein Tools 32807MAG 7-in-1 Multi-Bit Screwdriver / Nut Driver, Magnetic</t>
        </is>
      </c>
      <c r="D8517" t="inlineStr">
        <is>
          <t>Klein Tools 32807MAG 7-in-1 Nut Driver, Magnetic Driver has SAE Hex Nut Sizes 1/4 to 9/16-Inch, Cushion Grip Handle for Added Torque</t>
        </is>
      </c>
      <c r="E8517" s="2">
        <f>HYPERLINK("https://www.amazon.com/Driver-Magnetic-Klein-Tools-32807MAG/dp/B07D4M51DQ/ref=sr_1_1?keywords=Klein+Tools+32807MAG+7-in-1+Multi-Bit+Screwdriver+%2F+Nut+Driver%2C+Magnetic&amp;qid=1694735441&amp;sr=8-1", "https://www.amazon.com/Driver-Magnetic-Klein-Tools-32807MAG/dp/B07D4M51DQ/ref=sr_1_1?keywords=Klein+Tools+32807MAG+7-in-1+Multi-Bit+Screwdriver+%2F+Nut+Driver%2C+Magnetic&amp;qid=1694735441&amp;sr=8-1")</f>
        <v/>
      </c>
      <c r="F8517" t="inlineStr">
        <is>
          <t>B07D4M51DQ</t>
        </is>
      </c>
      <c r="G8517">
        <f>_xlfn.IMAGE("https://edmondsonsupply.com/cdn/shop/products/32807mag_beauty_l.jpg?v=1604873791")</f>
        <v/>
      </c>
      <c r="H8517">
        <f>_xlfn.IMAGE("https://m.media-amazon.com/images/I/61gwAJBzDAL._AC_UL320_.jpg")</f>
        <v/>
      </c>
      <c r="K8517" t="inlineStr">
        <is>
          <t>29.97</t>
        </is>
      </c>
      <c r="L8517" t="n">
        <v>29.97</v>
      </c>
      <c r="M8517" s="1" t="inlineStr">
        <is>
          <t>0.00%</t>
        </is>
      </c>
      <c r="N8517" s="7" t="n"/>
      <c r="O8517" t="n">
        <v>4.7</v>
      </c>
      <c r="P8517" t="n">
        <v>9145</v>
      </c>
      <c r="R8517" t="inlineStr">
        <is>
          <t>InStock</t>
        </is>
      </c>
      <c r="S8517" t="inlineStr">
        <is>
          <t>44.5</t>
        </is>
      </c>
      <c r="T8517" t="inlineStr">
        <is>
          <t>1493034008676</t>
        </is>
      </c>
    </row>
    <row r="8518" ht="87" customHeight="1">
      <c r="A8518" s="2">
        <f>HYPERLINK("https://edmondsonsupply.com/collections/electricians-tools/products/klein-tools-j1005-journeyman%E2%84%A2-crimping-cutting-tool", "https://edmondsonsupply.com/collections/electricians-tools/products/klein-tools-j1005-journeyman%E2%84%A2-crimping-cutting-tool")</f>
        <v/>
      </c>
      <c r="B8518" s="2">
        <f>HYPERLINK("https://edmondsonsupply.com/products/klein-tools-j1005-journeyman%e2%84%a2-crimping-cutting-tool", "https://edmondsonsupply.com/products/klein-tools-j1005-journeyman%e2%84%a2-crimping-cutting-tool")</f>
        <v/>
      </c>
      <c r="C8518" t="inlineStr">
        <is>
          <t>Klein Tools J1005 Journeyman™ Crimping and Cutting Tool</t>
        </is>
      </c>
      <c r="D8518" t="inlineStr">
        <is>
          <t>Klein Tools J1005 Crimping and Cutting Tool, Tapered Nose for 10 to 22 AWG Solderless Terminals and Connectors</t>
        </is>
      </c>
      <c r="E8518" s="2">
        <f>HYPERLINK("https://www.amazon.com/Solderless-Connectors-Klein-Tools-J1005/dp/B000936OTY/ref=sr_1_1?keywords=Klein+Tools+J1005+Journeyman%E2%84%A2+Crimping+and+Cutting+Tool&amp;qid=1694735460&amp;sr=8-1", "https://www.amazon.com/Solderless-Connectors-Klein-Tools-J1005/dp/B000936OTY/ref=sr_1_1?keywords=Klein+Tools+J1005+Journeyman%E2%84%A2+Crimping+and+Cutting+Tool&amp;qid=1694735460&amp;sr=8-1")</f>
        <v/>
      </c>
      <c r="F8518" t="inlineStr">
        <is>
          <t>B000936OTY</t>
        </is>
      </c>
      <c r="G8518">
        <f>_xlfn.IMAGE("https://edmondsonsupply.com/cdn/shop/products/j1005.jpg?v=1587146396")</f>
        <v/>
      </c>
      <c r="H8518">
        <f>_xlfn.IMAGE("https://m.media-amazon.com/images/I/51FxNJH5IOL._AC_UL320_.jpg")</f>
        <v/>
      </c>
      <c r="K8518" t="inlineStr">
        <is>
          <t>39.99</t>
        </is>
      </c>
      <c r="L8518" t="n">
        <v>39.99</v>
      </c>
      <c r="M8518" s="1" t="inlineStr">
        <is>
          <t>0.00%</t>
        </is>
      </c>
      <c r="N8518" s="7" t="n"/>
      <c r="O8518" t="n">
        <v>4.9</v>
      </c>
      <c r="P8518" t="n">
        <v>617</v>
      </c>
      <c r="R8518" t="inlineStr">
        <is>
          <t>InStock</t>
        </is>
      </c>
      <c r="S8518" t="inlineStr">
        <is>
          <t>60.4</t>
        </is>
      </c>
      <c r="T8518" t="inlineStr">
        <is>
          <t>3711960678500</t>
        </is>
      </c>
    </row>
    <row r="8519" ht="87" customHeight="1">
      <c r="A8519" s="2">
        <f>HYPERLINK("https://edmondsonsupply.com/collections/electricians-tools/products/klein-tools-32593-6-in-1-ratcheting-screwdriver-stubby", "https://edmondsonsupply.com/collections/electricians-tools/products/klein-tools-32593-6-in-1-ratcheting-screwdriver-stubby")</f>
        <v/>
      </c>
      <c r="B8519" s="2">
        <f>HYPERLINK("https://edmondsonsupply.com/products/klein-tools-32593-6-in-1-ratcheting-screwdriver-stubby", "https://edmondsonsupply.com/products/klein-tools-32593-6-in-1-ratcheting-screwdriver-stubby")</f>
        <v/>
      </c>
      <c r="C8519" t="inlineStr">
        <is>
          <t>Klein Tools 32593 Multi-Bit Ratcheting Screwdriver, 6-in-1, Stubby, Ph, Sl, Nut Bits</t>
        </is>
      </c>
      <c r="D8519" t="inlineStr">
        <is>
          <t>Klein Tools 32593 Multi-bit Ratcheting Screwdriver, 6-in-1 Stubby Tool with Phillips and Slotted Bits and 2 Nut Driver Sizes</t>
        </is>
      </c>
      <c r="E8519" s="2">
        <f>HYPERLINK("https://www.amazon.com/Ratcheting-Screwdriver-Klein-Tools-32593/dp/B01I2KJ91K/ref=sr_1_1?keywords=Klein+Tools+32593+Multi-Bit+Ratcheting+Screwdriver%2C+6-in-1%2C+Stubby%2C+Ph%2C+Sl%2C+Nut+Bits&amp;qid=1694735449&amp;sr=8-1", "https://www.amazon.com/Ratcheting-Screwdriver-Klein-Tools-32593/dp/B01I2KJ91K/ref=sr_1_1?keywords=Klein+Tools+32593+Multi-Bit+Ratcheting+Screwdriver%2C+6-in-1%2C+Stubby%2C+Ph%2C+Sl%2C+Nut+Bits&amp;qid=1694735449&amp;sr=8-1")</f>
        <v/>
      </c>
      <c r="F8519" t="inlineStr">
        <is>
          <t>B01I2KJ91K</t>
        </is>
      </c>
      <c r="G8519">
        <f>_xlfn.IMAGE("https://edmondsonsupply.com/cdn/shop/products/32593.jpg?v=1587146817")</f>
        <v/>
      </c>
      <c r="H8519">
        <f>_xlfn.IMAGE("https://m.media-amazon.com/images/I/51WOLpdOfpL._AC_UL320_.jpg")</f>
        <v/>
      </c>
      <c r="K8519" t="inlineStr">
        <is>
          <t>17.97</t>
        </is>
      </c>
      <c r="L8519" t="n">
        <v>17.97</v>
      </c>
      <c r="M8519" s="1" t="inlineStr">
        <is>
          <t>0.00%</t>
        </is>
      </c>
      <c r="N8519" s="7" t="n"/>
      <c r="O8519" t="n">
        <v>4.8</v>
      </c>
      <c r="P8519" t="n">
        <v>1664</v>
      </c>
      <c r="R8519" t="inlineStr">
        <is>
          <t>InStock</t>
        </is>
      </c>
      <c r="S8519" t="inlineStr">
        <is>
          <t>23.96</t>
        </is>
      </c>
      <c r="T8519" t="inlineStr">
        <is>
          <t>4274288787556</t>
        </is>
      </c>
    </row>
    <row r="8520" ht="87" customHeight="1">
      <c r="A8520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520" s="2">
        <f>HYPERLINK("https://edmondsonsupply.com/products/klein-tools-63050-high-leverage-cable-cutter", "https://edmondsonsupply.com/products/klein-tools-63050-high-leverage-cable-cutter")</f>
        <v/>
      </c>
      <c r="C8520" t="inlineStr">
        <is>
          <t>Klein Tools 63050 Cable Cutter</t>
        </is>
      </c>
      <c r="D8520" t="inlineStr">
        <is>
          <t>Klein Tools 63050 Cable Cutter, Heavy Duty Cutter for Aluminum, Copper, and Communications Cable,Red</t>
        </is>
      </c>
      <c r="E8520" s="2">
        <f>HYPERLINK("https://www.amazon.com/Leverage-Communications-Klein-Tools-63050/dp/B0000302X1/ref=sr_1_1?keywords=Klein+Tools+63050+Cable+Cutter&amp;qid=1694735444&amp;sr=8-1", "https://www.amazon.com/Leverage-Communications-Klein-Tools-63050/dp/B0000302X1/ref=sr_1_1?keywords=Klein+Tools+63050+Cable+Cutter&amp;qid=1694735444&amp;sr=8-1")</f>
        <v/>
      </c>
      <c r="F8520" t="inlineStr">
        <is>
          <t>B0000302X1</t>
        </is>
      </c>
      <c r="G8520">
        <f>_xlfn.IMAGE("https://edmondsonsupply.com/cdn/shop/products/63050.jpg?v=1587143239")</f>
        <v/>
      </c>
      <c r="H8520">
        <f>_xlfn.IMAGE("https://m.media-amazon.com/images/I/51lhwz96pcL._AC_UL320_.jpg")</f>
        <v/>
      </c>
      <c r="K8520" t="inlineStr">
        <is>
          <t>32.99</t>
        </is>
      </c>
      <c r="L8520" t="n">
        <v>32.99</v>
      </c>
      <c r="M8520" s="1" t="inlineStr">
        <is>
          <t>0.00%</t>
        </is>
      </c>
      <c r="N8520" s="7" t="n"/>
      <c r="O8520" t="n">
        <v>4.7</v>
      </c>
      <c r="P8520" t="n">
        <v>2519</v>
      </c>
      <c r="R8520" t="inlineStr">
        <is>
          <t>InStock</t>
        </is>
      </c>
      <c r="S8520" t="inlineStr">
        <is>
          <t>47.96</t>
        </is>
      </c>
      <c r="T8520" t="inlineStr">
        <is>
          <t>4289689124964</t>
        </is>
      </c>
    </row>
    <row r="8521" ht="87" customHeight="1">
      <c r="A8521" s="2">
        <f>HYPERLINK("https://edmondsonsupply.com/collections/electricians-tools/products/klein-tools-662-4-ins-insulated-2-square-recess-tip-4-screwdriver-1000v", "https://edmondsonsupply.com/collections/electricians-tools/products/klein-tools-662-4-ins-insulated-2-square-recess-tip-4-screwdriver-1000v")</f>
        <v/>
      </c>
      <c r="B8521" s="2">
        <f>HYPERLINK("https://edmondsonsupply.com/products/klein-tools-662-4-ins-insulated-2-square-recess-tip-4-screwdriver-1000v", "https://edmondsonsupply.com/products/klein-tools-662-4-ins-insulated-2-square-recess-tip-4-screwdriver-1000v")</f>
        <v/>
      </c>
      <c r="C8521" t="inlineStr">
        <is>
          <t>Klein Tools 662-4-INS Insulated Screwdriver, #2 Square, 4'' Shank</t>
        </is>
      </c>
      <c r="D8521" t="inlineStr">
        <is>
          <t>Klein Tools 662-4-INS Insulated #2 Square-Recess Screwdriver with 4-Inch Shank</t>
        </is>
      </c>
      <c r="E8521" s="2">
        <f>HYPERLINK("https://www.amazon.com/Klein-Tools-662-4-INS-Square-Recess-Screwdriver/dp/B00CQL8WB0/ref=sr_1_1?keywords=Klein+Tools+662-4-INS+Insulated+Screwdriver%2C+%232+Square%2C+4%27%27+Shank&amp;qid=1694735455&amp;sr=8-1", "https://www.amazon.com/Klein-Tools-662-4-INS-Square-Recess-Screwdriver/dp/B00CQL8WB0/ref=sr_1_1?keywords=Klein+Tools+662-4-INS+Insulated+Screwdriver%2C+%232+Square%2C+4%27%27+Shank&amp;qid=1694735455&amp;sr=8-1")</f>
        <v/>
      </c>
      <c r="F8521" t="inlineStr">
        <is>
          <t>B00CQL8WB0</t>
        </is>
      </c>
      <c r="G8521">
        <f>_xlfn.IMAGE("https://edmondsonsupply.com/cdn/shop/products/662-4-ins.jpg?v=1587151099")</f>
        <v/>
      </c>
      <c r="H8521">
        <f>_xlfn.IMAGE("https://m.media-amazon.com/images/I/41x-xD6EqyL._AC_UL320_.jpg")</f>
        <v/>
      </c>
      <c r="K8521" t="inlineStr">
        <is>
          <t>16.97</t>
        </is>
      </c>
      <c r="L8521" t="n">
        <v>16.97</v>
      </c>
      <c r="M8521" s="1" t="inlineStr">
        <is>
          <t>0.00%</t>
        </is>
      </c>
      <c r="N8521" s="7" t="n"/>
      <c r="O8521" t="n">
        <v>4.8</v>
      </c>
      <c r="P8521" t="n">
        <v>1068</v>
      </c>
      <c r="R8521" t="inlineStr">
        <is>
          <t>InStock</t>
        </is>
      </c>
      <c r="S8521" t="inlineStr">
        <is>
          <t>25.72</t>
        </is>
      </c>
      <c r="T8521" t="inlineStr">
        <is>
          <t>2443022860388</t>
        </is>
      </c>
    </row>
    <row r="8522" hidden="1" ht="15.75" customHeight="1">
      <c r="A8522" s="2">
        <f>HYPERLINK("https://edmondsonsupply.com/collections/electricians-tools/products/klein-tools-630-5-16-5-16-nut-driver-cushion-grip-3-shaft", "https://edmondsonsupply.com/collections/electricians-tools/products/klein-tools-630-5-16-5-16-nut-driver-cushion-grip-3-shaft")</f>
        <v/>
      </c>
      <c r="B8522" s="2">
        <f>HYPERLINK("https://edmondsonsupply.com/products/klein-tools-630-5-16-5-16-nut-driver-cushion-grip-3-shaft", "https://edmondsonsupply.com/products/klein-tools-630-5-16-5-16-nut-driver-cushion-grip-3-shaft")</f>
        <v/>
      </c>
      <c r="C8522" t="inlineStr">
        <is>
          <t>Klein Tools 630-5/16 5/16'' Nut Driver Cushion-Grip 3'' Shaft</t>
        </is>
      </c>
      <c r="D8522" t="inlineStr">
        <is>
          <t>Klein Tools 630-5/16 Nut Driver, 5/16-Inch Tip Nut Driver with 3-Inch Hollow Shaft, Cushion Grip Handle</t>
        </is>
      </c>
      <c r="E8522" s="2">
        <f>HYPERLINK("https://www.amazon.com/16-Inch-Klein-Tools-630-5-16/dp/B001BY0ESW/ref=sr_1_1?keywords=Klein+Tools+630-5%2F16+5%2F16%27%27+Nut+Driver+Cushion-Grip+3%27%27+Shaft&amp;qid=1694735460&amp;sr=8-1", "https://www.amazon.com/16-Inch-Klein-Tools-630-5-16/dp/B001BY0ESW/ref=sr_1_1?keywords=Klein+Tools+630-5%2F16+5%2F16%27%27+Nut+Driver+Cushion-Grip+3%27%27+Shaft&amp;qid=1694735460&amp;sr=8-1")</f>
        <v/>
      </c>
      <c r="F8522" t="inlineStr">
        <is>
          <t>B001BY0ESW</t>
        </is>
      </c>
      <c r="G8522">
        <f>_xludf.IMAGE("https://edmondsonsupply.com/cdn/shop/products/630-1-2.jpg?v=1587143244")</f>
        <v/>
      </c>
      <c r="H8522">
        <f>_xludf.IMAGE("https://m.media-amazon.com/images/I/41Cj8-Y8KnL._AC_UL320_.jpg")</f>
        <v/>
      </c>
      <c r="K8522" t="inlineStr">
        <is>
          <t>8.99</t>
        </is>
      </c>
      <c r="L8522" t="n">
        <v>8.99</v>
      </c>
      <c r="M8522" s="1" t="inlineStr">
        <is>
          <t>0.00%</t>
        </is>
      </c>
      <c r="N8522" s="1" t="n"/>
      <c r="O8522" t="n">
        <v>4.8</v>
      </c>
      <c r="P8522" t="n">
        <v>2069</v>
      </c>
      <c r="R8522" t="inlineStr">
        <is>
          <t>InStock</t>
        </is>
      </c>
      <c r="S8522" t="inlineStr">
        <is>
          <t>11.74</t>
        </is>
      </c>
      <c r="T8522" t="inlineStr">
        <is>
          <t>4159420989540</t>
        </is>
      </c>
    </row>
    <row r="8523" hidden="1" ht="15.75" customHeight="1">
      <c r="A8523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523" s="2">
        <f>HYPERLINK("https://edmondsonsupply.com/products/klein-tools-662-2-square-screwdriver-with-4-inch-round-shank", "https://edmondsonsupply.com/products/klein-tools-662-2-square-screwdriver-with-4-inch-round-shank")</f>
        <v/>
      </c>
      <c r="C8523" t="inlineStr">
        <is>
          <t>Klein Tools 662 #2 Square Screwdriver with 4-Inch Round Shank</t>
        </is>
      </c>
      <c r="D8523" t="inlineStr">
        <is>
          <t>Klein Tools 6844INS Insulated Screwdriver, 1000V #2 Square Tip Screwdriver with 4-Inch Shank, Tip-Ident, Cushion-Grip Handle</t>
        </is>
      </c>
      <c r="E8523" s="2">
        <f>HYPERLINK("https://www.amazon.com/Klein-Tools-6844INS-Screwdriver-Cushion-Grip/dp/B0BF7L6BZ6/ref=sr_1_4?keywords=Klein+Tools+662+%232+Square+Screwdriver+with+4-Inch+Round+Shank&amp;qid=1694735445&amp;sr=8-4", "https://www.amazon.com/Klein-Tools-6844INS-Screwdriver-Cushion-Grip/dp/B0BF7L6BZ6/ref=sr_1_4?keywords=Klein+Tools+662+%232+Square+Screwdriver+with+4-Inch+Round+Shank&amp;qid=1694735445&amp;sr=8-4")</f>
        <v/>
      </c>
      <c r="F8523" t="inlineStr">
        <is>
          <t>B0BF7L6BZ6</t>
        </is>
      </c>
      <c r="G8523">
        <f>_xludf.IMAGE("https://edmondsonsupply.com/cdn/shop/products/660.jpg?v=1587151189")</f>
        <v/>
      </c>
      <c r="H8523">
        <f>_xludf.IMAGE("https://m.media-amazon.com/images/I/41RKewAXjvL._AC_UL320_.jpg")</f>
        <v/>
      </c>
      <c r="K8523" t="inlineStr">
        <is>
          <t>9.99</t>
        </is>
      </c>
      <c r="L8523" t="n">
        <v>9.99</v>
      </c>
      <c r="M8523" s="1" t="inlineStr">
        <is>
          <t>0.00%</t>
        </is>
      </c>
      <c r="N8523" s="1" t="n"/>
      <c r="O8523" t="n">
        <v>4.9</v>
      </c>
      <c r="P8523" t="n">
        <v>202</v>
      </c>
      <c r="R8523" t="inlineStr">
        <is>
          <t>InStock</t>
        </is>
      </c>
      <c r="S8523" t="inlineStr">
        <is>
          <t>12.74</t>
        </is>
      </c>
      <c r="T8523" t="inlineStr">
        <is>
          <t>4274202509412</t>
        </is>
      </c>
    </row>
    <row r="8524" hidden="1" ht="15.75" customHeight="1">
      <c r="A8524" s="2">
        <f>HYPERLINK("https://edmondsonsupply.com/collections/electricians-tools/products/klein-tools-jth6e10-5-32-inch-hex-key-journeyman-t-handle-6-inch", "https://edmondsonsupply.com/collections/electricians-tools/products/klein-tools-jth6e10-5-32-inch-hex-key-journeyman-t-handle-6-inch")</f>
        <v/>
      </c>
      <c r="B8524" s="2">
        <f>HYPERLINK("https://edmondsonsupply.com/products/klein-tools-jth6e10-5-32-inch-hex-key-journeyman-t-handle-6-inch", "https://edmondsonsupply.com/products/klein-tools-jth6e10-5-32-inch-hex-key-journeyman-t-handle-6-inch")</f>
        <v/>
      </c>
      <c r="C8524" t="inlineStr">
        <is>
          <t>Klein Tools JTH6E10 5/32-Inch Hex Key, Journeyman T-Handle, 6-Inch</t>
        </is>
      </c>
      <c r="D8524" t="inlineStr">
        <is>
          <t>Klein Tools JTH6M4 4 mm Hex Key, Journeyman T-Handle, 6-Inch</t>
        </is>
      </c>
      <c r="E8524" s="2">
        <f>HYPERLINK("https://www.amazon.com/Journeyman-T-Handle-Klein-Tools-JTH6M4/dp/B005G394YO/ref=sr_1_4?keywords=Klein+Tools+JTH6E10+5%2F32-Inch+Hex+Key%2C+Journeyman+T-Handle%2C+6-Inch&amp;qid=1694735453&amp;sr=8-4", "https://www.amazon.com/Journeyman-T-Handle-Klein-Tools-JTH6M4/dp/B005G394YO/ref=sr_1_4?keywords=Klein+Tools+JTH6E10+5%2F32-Inch+Hex+Key%2C+Journeyman+T-Handle%2C+6-Inch&amp;qid=1694735453&amp;sr=8-4")</f>
        <v/>
      </c>
      <c r="F8524" t="inlineStr">
        <is>
          <t>B005G394YO</t>
        </is>
      </c>
      <c r="G8524">
        <f>_xludf.IMAGE("https://edmondsonsupply.com/cdn/shop/products/jth6e15_f525b558-406f-4cfd-9eb6-2b57378156a6.jpg?v=1587144832")</f>
        <v/>
      </c>
      <c r="H8524">
        <f>_xludf.IMAGE("https://m.media-amazon.com/images/I/51+1x0vz9XL._AC_UL320_.jpg")</f>
        <v/>
      </c>
      <c r="K8524" t="inlineStr">
        <is>
          <t>3.99</t>
        </is>
      </c>
      <c r="L8524" t="n">
        <v>3.99</v>
      </c>
      <c r="M8524" s="1" t="inlineStr">
        <is>
          <t>0.00%</t>
        </is>
      </c>
      <c r="N8524" s="1" t="n"/>
      <c r="O8524" t="n">
        <v>4.7</v>
      </c>
      <c r="P8524" t="n">
        <v>1530</v>
      </c>
      <c r="R8524" t="inlineStr">
        <is>
          <t>InStock</t>
        </is>
      </c>
      <c r="S8524" t="inlineStr">
        <is>
          <t>6.04</t>
        </is>
      </c>
      <c r="T8524" t="inlineStr">
        <is>
          <t>4160213418084</t>
        </is>
      </c>
    </row>
    <row r="8525" hidden="1" ht="15.75" customHeight="1">
      <c r="A8525" s="2">
        <f>HYPERLINK("https://edmondsonsupply.com/collections/electricians-tools/products/klein-tools-88905-replacement-wheel-for-tube-cutter-88904", "https://edmondsonsupply.com/collections/electricians-tools/products/klein-tools-88905-replacement-wheel-for-tube-cutter-88904")</f>
        <v/>
      </c>
      <c r="B8525" s="2">
        <f>HYPERLINK("https://edmondsonsupply.com/products/klein-tools-88905-replacement-wheel-for-tube-cutter-88904", "https://edmondsonsupply.com/products/klein-tools-88905-replacement-wheel-for-tube-cutter-88904")</f>
        <v/>
      </c>
      <c r="C8525" t="inlineStr">
        <is>
          <t>Klein Tools 88905 Replacement Wheel for Tube Cutter 88904</t>
        </is>
      </c>
      <c r="D8525" t="inlineStr">
        <is>
          <t>Klein Tools 88905 Replacement Wheel for Professional Tube Cutter Cat. No. 88904</t>
        </is>
      </c>
      <c r="E8525" s="2">
        <f>HYPERLINK("https://www.amazon.com/Klein-Tools-88905-Replacement-Professional/dp/B007G8ECRG/ref=sr_1_1?keywords=Klein+Tools+88905+Replacement+Wheel+for+Tube+Cutter+88904&amp;qid=1694735438&amp;sr=8-1", "https://www.amazon.com/Klein-Tools-88905-Replacement-Professional/dp/B007G8ECRG/ref=sr_1_1?keywords=Klein+Tools+88905+Replacement+Wheel+for+Tube+Cutter+88904&amp;qid=1694735438&amp;sr=8-1")</f>
        <v/>
      </c>
      <c r="F8525" t="inlineStr">
        <is>
          <t>B007G8ECRG</t>
        </is>
      </c>
      <c r="G8525">
        <f>_xludf.IMAGE("https://edmondsonsupply.com/cdn/shop/products/88905.jpg?v=1587146547")</f>
        <v/>
      </c>
      <c r="H8525">
        <f>_xludf.IMAGE("https://m.media-amazon.com/images/I/51PRXEBtc0L._AC_UL320_.jpg")</f>
        <v/>
      </c>
      <c r="K8525" t="inlineStr">
        <is>
          <t>5.49</t>
        </is>
      </c>
      <c r="L8525" t="n">
        <v>5.49</v>
      </c>
      <c r="M8525" s="1" t="inlineStr">
        <is>
          <t>0.00%</t>
        </is>
      </c>
      <c r="N8525" s="1" t="n"/>
      <c r="O8525" t="n">
        <v>4.5</v>
      </c>
      <c r="P8525" t="n">
        <v>103</v>
      </c>
      <c r="R8525" t="inlineStr">
        <is>
          <t>InStock</t>
        </is>
      </c>
      <c r="S8525" t="inlineStr">
        <is>
          <t>7.26</t>
        </is>
      </c>
      <c r="T8525" t="inlineStr">
        <is>
          <t>4330842095716</t>
        </is>
      </c>
    </row>
    <row r="8526" ht="87" customHeight="1">
      <c r="A8526" s="2">
        <f>HYPERLINK("https://edmondsonsupply.com/collections/electricians-tools/products/klein-tools-44130-auto-loading-folding-utility-knife", "https://edmondsonsupply.com/collections/electricians-tools/products/klein-tools-44130-auto-loading-folding-utility-knife")</f>
        <v/>
      </c>
      <c r="B8526" s="2">
        <f>HYPERLINK("https://edmondsonsupply.com/products/klein-tools-44130-auto-loading-folding-utility-knife", "https://edmondsonsupply.com/products/klein-tools-44130-auto-loading-folding-utility-knife")</f>
        <v/>
      </c>
      <c r="C8526" t="inlineStr">
        <is>
          <t>Klein Tools 44130 Auto-Loading Folding Utility Knife</t>
        </is>
      </c>
      <c r="D8526" t="inlineStr">
        <is>
          <t>Klein Tools 44130 Utility Knife, Auto-Loading Folding Heavy Duty Retractable Box Cutter, Blade Storage, 3 Blades and Pocket Clip Included</t>
        </is>
      </c>
      <c r="E8526" s="2">
        <f>HYPERLINK("https://www.amazon.com/Auto-Loading-Folding-Klein-Tools-44130/dp/B00A9GGGPS/ref=sr_1_1?keywords=Klein+Tools+44130+Auto-Loading+Folding+Utility+Knife&amp;qid=1694735459&amp;sr=8-1", "https://www.amazon.com/Auto-Loading-Folding-Klein-Tools-44130/dp/B00A9GGGPS/ref=sr_1_1?keywords=Klein+Tools+44130+Auto-Loading+Folding+Utility+Knife&amp;qid=1694735459&amp;sr=8-1")</f>
        <v/>
      </c>
      <c r="F8526" t="inlineStr">
        <is>
          <t>B00A9GGGPS</t>
        </is>
      </c>
      <c r="G8526">
        <f>_xlfn.IMAGE("https://edmondsonsupply.com/cdn/shop/products/44130_b.jpg?v=1661722884")</f>
        <v/>
      </c>
      <c r="H8526">
        <f>_xlfn.IMAGE("https://m.media-amazon.com/images/I/51kHywcPG-L._AC_UL320_.jpg")</f>
        <v/>
      </c>
      <c r="K8526" t="inlineStr">
        <is>
          <t>23.99</t>
        </is>
      </c>
      <c r="L8526" t="n">
        <v>23.99</v>
      </c>
      <c r="M8526" s="1" t="inlineStr">
        <is>
          <t>0.00%</t>
        </is>
      </c>
      <c r="N8526" s="7" t="n"/>
      <c r="O8526" t="n">
        <v>4.6</v>
      </c>
      <c r="P8526" t="n">
        <v>3077</v>
      </c>
      <c r="R8526" t="inlineStr">
        <is>
          <t>InStock</t>
        </is>
      </c>
      <c r="S8526" t="inlineStr">
        <is>
          <t>34.86</t>
        </is>
      </c>
      <c r="T8526" t="inlineStr">
        <is>
          <t>3714868281444</t>
        </is>
      </c>
    </row>
    <row r="8527" ht="87" customHeight="1">
      <c r="A8527" s="2">
        <f>HYPERLINK("https://edmondsonsupply.com/collections/electricians-tools/products/klein-tools-610m-magnetic-stubby-nut-driver-set-1-1-2-inch-shafts-2-piece", "https://edmondsonsupply.com/collections/electricians-tools/products/klein-tools-610m-magnetic-stubby-nut-driver-set-1-1-2-inch-shafts-2-piece")</f>
        <v/>
      </c>
      <c r="B8527" s="2">
        <f>HYPERLINK("https://edmondsonsupply.com/products/klein-tools-610m-magnetic-stubby-nut-driver-set-1-1-2-inch-shafts-2-piece", "https://edmondsonsupply.com/products/klein-tools-610m-magnetic-stubby-nut-driver-set-1-1-2-inch-shafts-2-piece")</f>
        <v/>
      </c>
      <c r="C8527" t="inlineStr">
        <is>
          <t>Klein Tools 610M Magnetic Stubby Nut Driver Set, 1-1/2-Inch Shafts, 2-Piece</t>
        </is>
      </c>
      <c r="D8527" t="inlineStr">
        <is>
          <t>Klein Tools 610M Tool Set, Magnetic Nut Driver Set with Stubby Nut Driver Sizes 1/4 and 5/16-Inch, Full Hollow Shaft, 2-Piece</t>
        </is>
      </c>
      <c r="E8527" s="2">
        <f>HYPERLINK("https://www.amazon.com/Klein-Tools-610M-16-Inch-Magnetic/dp/B00093DZO6/ref=sr_1_1?keywords=Klein+Tools+610M+Magnetic+Stubby+Nut+Driver+Set%2C+1-1%2F2-Inch+Shafts%2C+2-Piece&amp;qid=1694735459&amp;sr=8-1", "https://www.amazon.com/Klein-Tools-610M-16-Inch-Magnetic/dp/B00093DZO6/ref=sr_1_1?keywords=Klein+Tools+610M+Magnetic+Stubby+Nut+Driver+Set%2C+1-1%2F2-Inch+Shafts%2C+2-Piece&amp;qid=1694735459&amp;sr=8-1")</f>
        <v/>
      </c>
      <c r="F8527" t="inlineStr">
        <is>
          <t>B00093DZO6</t>
        </is>
      </c>
      <c r="G8527">
        <f>_xlfn.IMAGE("https://edmondsonsupply.com/cdn/shop/products/610m.jpg?v=1587148614")</f>
        <v/>
      </c>
      <c r="H8527">
        <f>_xlfn.IMAGE("https://m.media-amazon.com/images/I/51lgiheW64L._AC_UL320_.jpg")</f>
        <v/>
      </c>
      <c r="K8527" t="inlineStr">
        <is>
          <t>17.99</t>
        </is>
      </c>
      <c r="L8527" t="n">
        <v>17.99</v>
      </c>
      <c r="M8527" s="1" t="inlineStr">
        <is>
          <t>0.00%</t>
        </is>
      </c>
      <c r="N8527" s="7" t="n"/>
      <c r="O8527" t="n">
        <v>4.8</v>
      </c>
      <c r="P8527" t="n">
        <v>559</v>
      </c>
      <c r="R8527" t="inlineStr">
        <is>
          <t>InStock</t>
        </is>
      </c>
      <c r="S8527" t="inlineStr">
        <is>
          <t>27.26</t>
        </is>
      </c>
      <c r="T8527" t="inlineStr">
        <is>
          <t>4258876031076</t>
        </is>
      </c>
    </row>
    <row r="8528" ht="87" customHeight="1">
      <c r="A8528" s="2">
        <f>HYPERLINK("https://edmondsonsupply.com/collections/electricians-tools/products/klein-tools-602-7dd-5-16-inch-keystone-demolition-driver-7-inch-shank", "https://edmondsonsupply.com/collections/electricians-tools/products/klein-tools-602-7dd-5-16-inch-keystone-demolition-driver-7-inch-shank")</f>
        <v/>
      </c>
      <c r="B8528" s="2">
        <f>HYPERLINK("https://edmondsonsupply.com/products/klein-tools-602-7dd-5-16-inch-keystone-demolition-driver-7-inch-shank", "https://edmondsonsupply.com/products/klein-tools-602-7dd-5-16-inch-keystone-demolition-driver-7-inch-shank")</f>
        <v/>
      </c>
      <c r="C8528" t="inlineStr">
        <is>
          <t>Klein Tools 602-7DD 5/16-Inch Keystone Demolition Driver, 7-Inch Shank</t>
        </is>
      </c>
      <c r="D8528" t="inlineStr">
        <is>
          <t>Klein Tools 602-7DD 5/16-Inch Keystone Demolition Driver, 7-Inch Shank</t>
        </is>
      </c>
      <c r="E8528" s="2">
        <f>HYPERLINK("https://www.amazon.com/16-Inch-Keystone-Demolition-Klein-Tools/dp/B00B9HIBYA/ref=sr_1_1?keywords=Klein+Tools+602-7DD+5%2F16-Inch+Keystone+Demolition+Driver%2C+7-Inch+Shank&amp;qid=1694735454&amp;sr=8-1", "https://www.amazon.com/16-Inch-Keystone-Demolition-Klein-Tools/dp/B00B9HIBYA/ref=sr_1_1?keywords=Klein+Tools+602-7DD+5%2F16-Inch+Keystone+Demolition+Driver%2C+7-Inch+Shank&amp;qid=1694735454&amp;sr=8-1")</f>
        <v/>
      </c>
      <c r="F8528" t="inlineStr">
        <is>
          <t>B00B9HIBYA</t>
        </is>
      </c>
      <c r="G8528">
        <f>_xlfn.IMAGE("https://edmondsonsupply.com/cdn/shop/products/602-7dd.jpg?v=1587143287")</f>
        <v/>
      </c>
      <c r="H8528">
        <f>_xlfn.IMAGE("https://m.media-amazon.com/images/I/41sh3Q2vVYL._AC_UL320_.jpg")</f>
        <v/>
      </c>
      <c r="K8528" t="inlineStr">
        <is>
          <t>19.99</t>
        </is>
      </c>
      <c r="L8528" t="n">
        <v>19.99</v>
      </c>
      <c r="M8528" s="1" t="inlineStr">
        <is>
          <t>0.00%</t>
        </is>
      </c>
      <c r="N8528" s="7" t="n"/>
      <c r="O8528" t="n">
        <v>4.8</v>
      </c>
      <c r="P8528" t="n">
        <v>1374</v>
      </c>
      <c r="R8528" t="inlineStr">
        <is>
          <t>InStock</t>
        </is>
      </c>
      <c r="S8528" t="inlineStr">
        <is>
          <t>30.3</t>
        </is>
      </c>
      <c r="T8528" t="inlineStr">
        <is>
          <t>4167515930724</t>
        </is>
      </c>
    </row>
    <row r="8529" ht="87" customHeight="1">
      <c r="A8529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529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529" t="inlineStr">
        <is>
          <t>Klein Tools 11063W Katapult® Wire Stripper and Cutter for Solid and Stranded Wire</t>
        </is>
      </c>
      <c r="D8529" t="inlineStr">
        <is>
          <t>Klein Tools 11063W Wire Cutter / Wire Stripper, Heavy Duty Automatic Wire Stripper Tool for 8-20 AWG Solid and 10-22 AWG Stranded Electrical Wire,Blue/Black</t>
        </is>
      </c>
      <c r="E8529" s="2">
        <f>HYPERLINK("https://www.amazon.com/Stripper-Electrical-Klein-Tools-11063W/dp/B00BC39YFQ/ref=sr_1_1?keywords=Klein+Tools+11063W+Katapult%C2%AE+Wire+Stripper+and+Cutter+for+Solid+and+Stranded+Wire&amp;qid=1694735440&amp;sr=8-1", "https://www.amazon.com/Stripper-Electrical-Klein-Tools-11063W/dp/B00BC39YFQ/ref=sr_1_1?keywords=Klein+Tools+11063W+Katapult%C2%AE+Wire+Stripper+and+Cutter+for+Solid+and+Stranded+Wire&amp;qid=1694735440&amp;sr=8-1")</f>
        <v/>
      </c>
      <c r="F8529" t="inlineStr">
        <is>
          <t>B00BC39YFQ</t>
        </is>
      </c>
      <c r="G8529">
        <f>_xlfn.IMAGE("https://edmondsonsupply.com/cdn/shop/products/11063w.jpg?v=1587151004")</f>
        <v/>
      </c>
      <c r="H8529">
        <f>_xlfn.IMAGE("https://m.media-amazon.com/images/I/51cWJR-r31L._AC_UL320_.jpg")</f>
        <v/>
      </c>
      <c r="K8529" t="inlineStr">
        <is>
          <t>29.97</t>
        </is>
      </c>
      <c r="L8529" t="n">
        <v>29.97</v>
      </c>
      <c r="M8529" s="1" t="inlineStr">
        <is>
          <t>0.00%</t>
        </is>
      </c>
      <c r="N8529" s="7" t="n"/>
      <c r="O8529" t="n">
        <v>4.8</v>
      </c>
      <c r="P8529" t="n">
        <v>9108</v>
      </c>
      <c r="R8529" t="inlineStr">
        <is>
          <t>InStock</t>
        </is>
      </c>
      <c r="S8529" t="inlineStr">
        <is>
          <t>44.7</t>
        </is>
      </c>
      <c r="T8529" t="inlineStr">
        <is>
          <t>4334180827236</t>
        </is>
      </c>
    </row>
    <row r="8530" ht="87" customHeight="1">
      <c r="A8530" s="2">
        <f>HYPERLINK("https://edmondsonsupply.com/collections/electricians-tools/products/klein-tools-1005-crimping-and-cutting-tool-for-connectors", "https://edmondsonsupply.com/collections/electricians-tools/products/klein-tools-1005-crimping-and-cutting-tool-for-connectors")</f>
        <v/>
      </c>
      <c r="B8530" s="2">
        <f>HYPERLINK("https://edmondsonsupply.com/products/klein-tools-1005-crimping-and-cutting-tool-for-connectors", "https://edmondsonsupply.com/products/klein-tools-1005-crimping-and-cutting-tool-for-connectors")</f>
        <v/>
      </c>
      <c r="C8530" t="inlineStr">
        <is>
          <t>Klein Tools 1005 Crimping and Cutting Tool for Connectors</t>
        </is>
      </c>
      <c r="D8530" t="inlineStr">
        <is>
          <t>Klein Tools 1005 Cutting / Crimping Tool for 10-22 AWG Terminals and Connectors, Terminal Crimper for Insulated and Non-Insulated Terminals</t>
        </is>
      </c>
      <c r="E8530" s="2">
        <f>HYPERLINK("https://www.amazon.com/Klein-Tools-1005-Connectors-Non-Insulated/dp/B0006M6Y5M/ref=sr_1_1?keywords=Klein+Tools+1005+Crimping+and+Cutting+Tool+for+Connectors&amp;qid=1694735460&amp;sr=8-1", "https://www.amazon.com/Klein-Tools-1005-Connectors-Non-Insulated/dp/B0006M6Y5M/ref=sr_1_1?keywords=Klein+Tools+1005+Crimping+and+Cutting+Tool+for+Connectors&amp;qid=1694735460&amp;sr=8-1")</f>
        <v/>
      </c>
      <c r="F8530" t="inlineStr">
        <is>
          <t>B0006M6Y5M</t>
        </is>
      </c>
      <c r="G8530">
        <f>_xlfn.IMAGE("https://edmondsonsupply.com/cdn/shop/products/1005.jpg?v=1666012896")</f>
        <v/>
      </c>
      <c r="H8530">
        <f>_xlfn.IMAGE("https://m.media-amazon.com/images/I/41JVR3OpiRL._AC_UL320_.jpg")</f>
        <v/>
      </c>
      <c r="K8530" t="inlineStr">
        <is>
          <t>29.97</t>
        </is>
      </c>
      <c r="L8530" t="n">
        <v>29.97</v>
      </c>
      <c r="M8530" s="1" t="inlineStr">
        <is>
          <t>0.00%</t>
        </is>
      </c>
      <c r="N8530" s="7" t="n"/>
      <c r="O8530" t="n">
        <v>4.9</v>
      </c>
      <c r="P8530" t="n">
        <v>3897</v>
      </c>
      <c r="R8530" t="inlineStr">
        <is>
          <t>InStock</t>
        </is>
      </c>
      <c r="S8530" t="inlineStr">
        <is>
          <t>45.26</t>
        </is>
      </c>
      <c r="T8530" t="inlineStr">
        <is>
          <t>3707845640292</t>
        </is>
      </c>
    </row>
    <row r="8531" hidden="1" ht="15.75" customHeight="1">
      <c r="A8531" s="2">
        <f>HYPERLINK("https://edmondsonsupply.com/collections/electricians-tools/products/klein-tools-32242-drill-tap-1-4-20", "https://edmondsonsupply.com/collections/electricians-tools/products/klein-tools-32242-drill-tap-1-4-20")</f>
        <v/>
      </c>
      <c r="B8531" s="2">
        <f>HYPERLINK("https://edmondsonsupply.com/products/klein-tools-32242-drill-tap-1-4-20", "https://edmondsonsupply.com/products/klein-tools-32242-drill-tap-1-4-20")</f>
        <v/>
      </c>
      <c r="C8531" t="inlineStr">
        <is>
          <t>Klein Tools 32242 Drill Tap, 1/4-20</t>
        </is>
      </c>
      <c r="D8531" t="inlineStr">
        <is>
          <t>Klein Tools 32242 Drill Tap, 1/4-20</t>
        </is>
      </c>
      <c r="E8531" s="2">
        <f>HYPERLINK("https://www.amazon.com/4-20-Drill-Klein-Tools-32242/dp/B019874QJQ/ref=sr_1_1?keywords=Klein+Tools+32242+Drill+Tap%2C+1%2F4-20&amp;qid=1694735431&amp;sr=8-1", "https://www.amazon.com/4-20-Drill-Klein-Tools-32242/dp/B019874QJQ/ref=sr_1_1?keywords=Klein+Tools+32242+Drill+Tap%2C+1%2F4-20&amp;qid=1694735431&amp;sr=8-1")</f>
        <v/>
      </c>
      <c r="F8531" t="inlineStr">
        <is>
          <t>B019874QJQ</t>
        </is>
      </c>
      <c r="G8531">
        <f>_xludf.IMAGE("https://edmondsonsupply.com/cdn/shop/products/32242.jpg?v=1587143772")</f>
        <v/>
      </c>
      <c r="H8531">
        <f>_xludf.IMAGE("https://m.media-amazon.com/images/I/419OEbztcTL._AC_UL320_.jpg")</f>
        <v/>
      </c>
      <c r="K8531" t="inlineStr">
        <is>
          <t>6.99</t>
        </is>
      </c>
      <c r="L8531" t="n">
        <v>6.99</v>
      </c>
      <c r="M8531" s="1" t="inlineStr">
        <is>
          <t>0.00%</t>
        </is>
      </c>
      <c r="N8531" s="1" t="n"/>
      <c r="O8531" t="n">
        <v>4.6</v>
      </c>
      <c r="P8531" t="n">
        <v>826</v>
      </c>
      <c r="R8531" t="inlineStr">
        <is>
          <t>InStock</t>
        </is>
      </c>
      <c r="S8531" t="inlineStr">
        <is>
          <t>10.64</t>
        </is>
      </c>
      <c r="T8531" t="inlineStr">
        <is>
          <t>4346537771108</t>
        </is>
      </c>
    </row>
    <row r="8532" hidden="1" ht="15.75" customHeight="1">
      <c r="A8532" s="2">
        <f>HYPERLINK("https://edmondsonsupply.com/collections/electricians-tools/products/klein-tools-rt210-gfci-receptacle-tester", "https://edmondsonsupply.com/collections/electricians-tools/products/klein-tools-rt210-gfci-receptacle-tester")</f>
        <v/>
      </c>
      <c r="B8532" s="2">
        <f>HYPERLINK("https://edmondsonsupply.com/products/klein-tools-rt210-gfci-receptacle-tester", "https://edmondsonsupply.com/products/klein-tools-rt210-gfci-receptacle-tester")</f>
        <v/>
      </c>
      <c r="C8532" t="inlineStr">
        <is>
          <t>Klein Tools RT210 GFCI Outlet Tester</t>
        </is>
      </c>
      <c r="D8532" t="inlineStr">
        <is>
          <t>Klein Tools RT210 Outlet Tester, Receptacle Tester for GFCI / Standard North American AC Electrical Outlets, Detects Common Wiring Problems, Pack of 1, Factory</t>
        </is>
      </c>
      <c r="E8532" s="2">
        <f>HYPERLINK("https://www.amazon.com/Receptacle-Tester-Klein-Tools-RT210/dp/B01AKX8L0M/ref=sr_1_1?keywords=Klein+Tools+RT210+GFCI+Outlet+Tester&amp;qid=1694735460&amp;sr=8-1", "https://www.amazon.com/Receptacle-Tester-Klein-Tools-RT210/dp/B01AKX8L0M/ref=sr_1_1?keywords=Klein+Tools+RT210+GFCI+Outlet+Tester&amp;qid=1694735460&amp;sr=8-1")</f>
        <v/>
      </c>
      <c r="F8532" t="inlineStr">
        <is>
          <t>B01AKX8L0M</t>
        </is>
      </c>
      <c r="G8532">
        <f>_xludf.IMAGE("https://edmondsonsupply.com/cdn/shop/products/rt210.jpg?v=1587146495")</f>
        <v/>
      </c>
      <c r="H8532">
        <f>_xludf.IMAGE("https://m.media-amazon.com/images/I/5143f577xkL._AC_UL320_.jpg")</f>
        <v/>
      </c>
      <c r="K8532" t="inlineStr">
        <is>
          <t>12.97</t>
        </is>
      </c>
      <c r="L8532" t="n">
        <v>12.97</v>
      </c>
      <c r="M8532" s="1" t="inlineStr">
        <is>
          <t>0.00%</t>
        </is>
      </c>
      <c r="N8532" s="1" t="n"/>
      <c r="O8532" t="n">
        <v>4.8</v>
      </c>
      <c r="P8532" t="n">
        <v>7911</v>
      </c>
      <c r="R8532" t="inlineStr">
        <is>
          <t>InStock</t>
        </is>
      </c>
      <c r="S8532" t="inlineStr">
        <is>
          <t>17.12</t>
        </is>
      </c>
      <c r="T8532" t="inlineStr">
        <is>
          <t>3711963988068</t>
        </is>
      </c>
    </row>
    <row r="8533" ht="87" customHeight="1">
      <c r="A8533" s="2">
        <f>HYPERLINK("https://edmondsonsupply.com/collections/electricians-tools/products/klein-tools-55468-tradesman-pro-phone-holder-xl", "https://edmondsonsupply.com/collections/electricians-tools/products/klein-tools-55468-tradesman-pro-phone-holder-xl")</f>
        <v/>
      </c>
      <c r="B8533" s="2">
        <f>HYPERLINK("https://edmondsonsupply.com/products/klein-tools-55468-tradesman-pro-phone-holder-xl", "https://edmondsonsupply.com/products/klein-tools-55468-tradesman-pro-phone-holder-xl")</f>
        <v/>
      </c>
      <c r="C8533" t="inlineStr">
        <is>
          <t>Klein Tools 55468 Tradesman Pro™ Phone Holder, X-Large</t>
        </is>
      </c>
      <c r="D8533" t="inlineStr">
        <is>
          <t>Klein Tools 55564 Tradesman Pro Camo Phone Holder, X-Large</t>
        </is>
      </c>
      <c r="E8533" s="2">
        <f>HYPERLINK("https://www.amazon.com/Klein-Tools-55564-Tradesman-X-Large/dp/B0164D8AL2/ref=sr_1_2?keywords=Klein+Tools+55468+Tradesman+Pro%E2%84%A2+Phone+Holder%2C+X-Large&amp;qid=1694735448&amp;sr=8-2", "https://www.amazon.com/Klein-Tools-55564-Tradesman-X-Large/dp/B0164D8AL2/ref=sr_1_2?keywords=Klein+Tools+55468+Tradesman+Pro%E2%84%A2+Phone+Holder%2C+X-Large&amp;qid=1694735448&amp;sr=8-2")</f>
        <v/>
      </c>
      <c r="F8533" t="inlineStr">
        <is>
          <t>B0164D8AL2</t>
        </is>
      </c>
      <c r="G8533">
        <f>_xlfn.IMAGE("https://edmondsonsupply.com/cdn/shop/products/55468.jpg?v=1666360408")</f>
        <v/>
      </c>
      <c r="H8533">
        <f>_xlfn.IMAGE("https://m.media-amazon.com/images/I/71f8lYMzjVS._AC_UL320_.jpg")</f>
        <v/>
      </c>
      <c r="K8533" t="inlineStr">
        <is>
          <t>24.99</t>
        </is>
      </c>
      <c r="L8533" t="n">
        <v>24.99</v>
      </c>
      <c r="M8533" s="1" t="inlineStr">
        <is>
          <t>0.00%</t>
        </is>
      </c>
      <c r="N8533" s="7" t="n"/>
      <c r="O8533" t="n">
        <v>4.6</v>
      </c>
      <c r="P8533" t="n">
        <v>884</v>
      </c>
      <c r="R8533" t="inlineStr">
        <is>
          <t>InStock</t>
        </is>
      </c>
      <c r="S8533" t="inlineStr">
        <is>
          <t>35.06</t>
        </is>
      </c>
      <c r="T8533" t="inlineStr">
        <is>
          <t>1705975349348</t>
        </is>
      </c>
    </row>
    <row r="8534" hidden="1" ht="15.75" customHeight="1">
      <c r="A8534" s="2">
        <f>HYPERLINK("https://edmondsonsupply.com/collections/electricians-tools/products/klein-tools-s106m-vaco-5-16-inch-magnetic-nut-driver-9-inch-shank", "https://edmondsonsupply.com/collections/electricians-tools/products/klein-tools-s106m-vaco-5-16-inch-magnetic-nut-driver-9-inch-shank")</f>
        <v/>
      </c>
      <c r="B8534" s="2">
        <f>HYPERLINK("https://edmondsonsupply.com/products/klein-tools-s106m-vaco-5-16-inch-magnetic-nut-driver-9-inch-shank", "https://edmondsonsupply.com/products/klein-tools-s106m-vaco-5-16-inch-magnetic-nut-driver-9-inch-shank")</f>
        <v/>
      </c>
      <c r="C8534" t="inlineStr">
        <is>
          <t>Klein Tools S106M 5/16-Inch Magnetic Nut Driver, 9-Inch Shank</t>
        </is>
      </c>
      <c r="D8534" t="inlineStr">
        <is>
          <t>Klein Tools S106M 5/16-Inch Magnetic Nut Driver with 9-Inch Solid Shaft and Comfordome Handle</t>
        </is>
      </c>
      <c r="E8534" s="2">
        <f>HYPERLINK("https://www.amazon.com/Magnetic-Comfordome-Klein-Tools-S106M/dp/B0002RIA26/ref=sr_1_1?keywords=Klein+Tools+S106M+5%2F16-Inch+Magnetic+Nut+Driver%2C+9-Inch+Shank&amp;qid=1694735455&amp;sr=8-1", "https://www.amazon.com/Magnetic-Comfordome-Klein-Tools-S106M/dp/B0002RIA26/ref=sr_1_1?keywords=Klein+Tools+S106M+5%2F16-Inch+Magnetic+Nut+Driver%2C+9-Inch+Shank&amp;qid=1694735455&amp;sr=8-1")</f>
        <v/>
      </c>
      <c r="F8534" t="inlineStr">
        <is>
          <t>B0002RIA26</t>
        </is>
      </c>
      <c r="G8534">
        <f>_xludf.IMAGE("https://edmondsonsupply.com/cdn/shop/products/s106.jpg?v=1587146493")</f>
        <v/>
      </c>
      <c r="H8534">
        <f>_xludf.IMAGE("https://m.media-amazon.com/images/I/310q8QPN+KL._AC_UL320_.jpg")</f>
        <v/>
      </c>
      <c r="K8534" t="inlineStr">
        <is>
          <t>11.99</t>
        </is>
      </c>
      <c r="L8534" t="n">
        <v>11.99</v>
      </c>
      <c r="M8534" s="1" t="inlineStr">
        <is>
          <t>0.00%</t>
        </is>
      </c>
      <c r="N8534" s="1" t="n"/>
      <c r="O8534" t="n">
        <v>4.6</v>
      </c>
      <c r="P8534" t="n">
        <v>231</v>
      </c>
      <c r="R8534" t="inlineStr">
        <is>
          <t>InStock</t>
        </is>
      </c>
      <c r="S8534" t="inlineStr">
        <is>
          <t>17.38</t>
        </is>
      </c>
      <c r="T8534" t="inlineStr">
        <is>
          <t>4096546504804</t>
        </is>
      </c>
    </row>
    <row r="8535" ht="87" customHeight="1">
      <c r="A8535" s="2">
        <f>HYPERLINK("https://edmondsonsupply.com/collections/electricians-tools/products/klein-tools-510218spblk-deluxe-black-canvas-tool-bag-18-inch", "https://edmondsonsupply.com/collections/electricians-tools/products/klein-tools-510218spblk-deluxe-black-canvas-tool-bag-18-inch")</f>
        <v/>
      </c>
      <c r="B8535" s="2">
        <f>HYPERLINK("https://edmondsonsupply.com/products/klein-tools-510218spblk-deluxe-black-canvas-tool-bag-18-inch", "https://edmondsonsupply.com/products/klein-tools-510218spblk-deluxe-black-canvas-tool-bag-18-inch")</f>
        <v/>
      </c>
      <c r="C8535" t="inlineStr">
        <is>
          <t>Klein Tools 510218SPBLK Deluxe Tool Bag, Black Canvas, 13 Pockets, 18-Inch</t>
        </is>
      </c>
      <c r="D8535" t="inlineStr">
        <is>
          <t>Klein Tools 510218SPBLK Tool Bag, Large 18-Inch Deluxe Canvas Tool Bag and Organizer with 13 Pockets and Shoulder Strap, Black</t>
        </is>
      </c>
      <c r="E8535" s="2">
        <f>HYPERLINK("https://www.amazon.com/Klein-Tools-Deluxe-Canvas-18-Inch/dp/B07VB168TG/ref=sr_1_1?keywords=Klein+Tools+510218SPBLK+Deluxe+Tool+Bag%2C+Black+Canvas%2C+13+Pockets%2C+18-Inch&amp;qid=1694735453&amp;sr=8-1", "https://www.amazon.com/Klein-Tools-Deluxe-Canvas-18-Inch/dp/B07VB168TG/ref=sr_1_1?keywords=Klein+Tools+510218SPBLK+Deluxe+Tool+Bag%2C+Black+Canvas%2C+13+Pockets%2C+18-Inch&amp;qid=1694735453&amp;sr=8-1")</f>
        <v/>
      </c>
      <c r="F8535" t="inlineStr">
        <is>
          <t>B07VB168TG</t>
        </is>
      </c>
      <c r="G8535">
        <f>_xlfn.IMAGE("https://edmondsonsupply.com/cdn/shop/products/510218spblk.jpg?v=1587143525")</f>
        <v/>
      </c>
      <c r="H8535">
        <f>_xlfn.IMAGE("https://m.media-amazon.com/images/I/71FluabrW6L._AC_UL320_.jpg")</f>
        <v/>
      </c>
      <c r="K8535" t="inlineStr">
        <is>
          <t>99.99</t>
        </is>
      </c>
      <c r="L8535" t="n">
        <v>99.98999999999999</v>
      </c>
      <c r="M8535" s="1" t="inlineStr">
        <is>
          <t>0.00%</t>
        </is>
      </c>
      <c r="N8535" s="7" t="n"/>
      <c r="O8535" t="n">
        <v>4.7</v>
      </c>
      <c r="P8535" t="n">
        <v>657</v>
      </c>
      <c r="R8535" t="inlineStr">
        <is>
          <t>InStock</t>
        </is>
      </c>
      <c r="S8535" t="inlineStr">
        <is>
          <t>140.0</t>
        </is>
      </c>
      <c r="T8535" t="inlineStr">
        <is>
          <t>4112459038820</t>
        </is>
      </c>
    </row>
    <row r="8536" hidden="1" ht="15.75" customHeight="1">
      <c r="A8536" s="2">
        <f>HYPERLINK("https://edmondsonsupply.com/collections/electricians-tools/products/klein-tools-625-32-triple-taps-6-32-8-32-10-32", "https://edmondsonsupply.com/collections/electricians-tools/products/klein-tools-625-32-triple-taps-6-32-8-32-10-32")</f>
        <v/>
      </c>
      <c r="B8536" s="2">
        <f>HYPERLINK("https://edmondsonsupply.com/products/klein-tools-625-32-triple-taps-6-32-8-32-10-32", "https://edmondsonsupply.com/products/klein-tools-625-32-triple-taps-6-32-8-32-10-32")</f>
        <v/>
      </c>
      <c r="C8536" t="inlineStr">
        <is>
          <t>Klein Tools 625-32 Triple Taps 6-32, 8-32, 10-32</t>
        </is>
      </c>
      <c r="D8536" t="inlineStr">
        <is>
          <t>Klein Tools 625-32 Triple Taps 6-32, 8-32, 10-32</t>
        </is>
      </c>
      <c r="E8536" s="2">
        <f>HYPERLINK("https://www.amazon.com/Triple-10-32-Klein-Tools-625-32/dp/B000MAWKZQ/ref=sr_1_1?keywords=Klein+Tools+625-32+Triple+Taps+6-32%2C+8-32%2C+10-32&amp;qid=1694735451&amp;sr=8-1", "https://www.amazon.com/Triple-10-32-Klein-Tools-625-32/dp/B000MAWKZQ/ref=sr_1_1?keywords=Klein+Tools+625-32+Triple+Taps+6-32%2C+8-32%2C+10-32&amp;qid=1694735451&amp;sr=8-1")</f>
        <v/>
      </c>
      <c r="F8536" t="inlineStr">
        <is>
          <t>B000MAWKZQ</t>
        </is>
      </c>
      <c r="G8536">
        <f>_xludf.IMAGE("https://edmondsonsupply.com/cdn/shop/products/62532_b.jpg?v=1680106390")</f>
        <v/>
      </c>
      <c r="H8536">
        <f>_xludf.IMAGE("https://m.media-amazon.com/images/I/41ySZI3Dq6L._AC_UL320_.jpg")</f>
        <v/>
      </c>
      <c r="K8536" t="inlineStr">
        <is>
          <t>14.99</t>
        </is>
      </c>
      <c r="L8536" t="n">
        <v>14.99</v>
      </c>
      <c r="M8536" s="1" t="inlineStr">
        <is>
          <t>0.00%</t>
        </is>
      </c>
      <c r="N8536" s="1" t="n"/>
      <c r="O8536" t="n">
        <v>4.7</v>
      </c>
      <c r="P8536" t="n">
        <v>870</v>
      </c>
      <c r="R8536" t="inlineStr">
        <is>
          <t>InStock</t>
        </is>
      </c>
      <c r="S8536" t="inlineStr">
        <is>
          <t>22.72</t>
        </is>
      </c>
      <c r="T8536" t="inlineStr">
        <is>
          <t>4289974698084</t>
        </is>
      </c>
    </row>
    <row r="8537" hidden="1" ht="15.75" customHeight="1">
      <c r="A8537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537" s="2">
        <f>HYPERLINK("https://edmondsonsupply.com/products/klein-tools-646-3-8-3-8-inch-nut-driver-6-inch-hollow-shaft", "https://edmondsonsupply.com/products/klein-tools-646-3-8-3-8-inch-nut-driver-6-inch-hollow-shaft")</f>
        <v/>
      </c>
      <c r="C8537" t="inlineStr">
        <is>
          <t>Klein Tools 646-3/8 3/8-Inch Nut Driver, 6-Inch Hollow Shaft</t>
        </is>
      </c>
      <c r="D8537" t="inlineStr">
        <is>
          <t>Capri Tools Kontour 3/8-Inch Nut Driver, 3-Inch Hollow Shaft</t>
        </is>
      </c>
      <c r="E8537" s="2">
        <f>HYPERLINK("https://www.amazon.com/Capri-Tools-Kontour-8-Inch-Driver/dp/B079G82XNX/ref=sr_1_14?keywords=Klein+Tools+646-3%2F8+3%2F8-Inch+Nut+Driver%2C+6-Inch+Hollow+Shaft&amp;qid=1694735435&amp;sr=8-14", "https://www.amazon.com/Capri-Tools-Kontour-8-Inch-Driver/dp/B079G82XNX/ref=sr_1_14?keywords=Klein+Tools+646-3%2F8+3%2F8-Inch+Nut+Driver%2C+6-Inch+Hollow+Shaft&amp;qid=1694735435&amp;sr=8-14")</f>
        <v/>
      </c>
      <c r="F8537" t="inlineStr">
        <is>
          <t>B079G82XNX</t>
        </is>
      </c>
      <c r="G8537">
        <f>_xludf.IMAGE("https://edmondsonsupply.com/cdn/shop/products/646-1-2.jpg?v=1587143221")</f>
        <v/>
      </c>
      <c r="H8537">
        <f>_xludf.IMAGE("https://m.media-amazon.com/images/I/61d32Cf79OL._AC_UL320_.jpg")</f>
        <v/>
      </c>
      <c r="K8537" t="inlineStr">
        <is>
          <t>8.99</t>
        </is>
      </c>
      <c r="L8537" t="n">
        <v>8.99</v>
      </c>
      <c r="M8537" s="1" t="inlineStr">
        <is>
          <t>0.00%</t>
        </is>
      </c>
      <c r="N8537" s="1" t="n"/>
      <c r="O8537" t="n">
        <v>4.5</v>
      </c>
      <c r="P8537" t="n">
        <v>62</v>
      </c>
      <c r="R8537" t="inlineStr">
        <is>
          <t>InStock</t>
        </is>
      </c>
      <c r="S8537" t="inlineStr">
        <is>
          <t>13.58</t>
        </is>
      </c>
      <c r="T8537" t="inlineStr">
        <is>
          <t>4341100609636</t>
        </is>
      </c>
    </row>
    <row r="8538" hidden="1" ht="15.75" customHeight="1">
      <c r="A8538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538" s="2">
        <f>HYPERLINK("https://edmondsonsupply.com/products/klein-tools-600-4-1-4-inch-screwdriver-heavy-duty-square-shank", "https://edmondsonsupply.com/products/klein-tools-600-4-1-4-inch-screwdriver-heavy-duty-square-shank")</f>
        <v/>
      </c>
      <c r="C8538" t="inlineStr">
        <is>
          <t>Klein Tools 600-4 1/4-Inch Keystone Cushion-Grip Screwdriver</t>
        </is>
      </c>
      <c r="D8538" t="inlineStr">
        <is>
          <t>Klein Tools 600-4 1/4-Inch Keystone Cushion-Grip Screwdriver</t>
        </is>
      </c>
      <c r="E8538" s="2">
        <f>HYPERLINK("https://www.amazon.com/4-Inch-Screwdriver-Klein-Tools-600-4/dp/B000V5KBRG/ref=sr_1_1?keywords=Klein+Tools+600-4+1%2F4-Inch+Keystone+Cushion-Grip+Screwdriver&amp;qid=1694735465&amp;sr=8-1", "https://www.amazon.com/4-Inch-Screwdriver-Klein-Tools-600-4/dp/B000V5KBRG/ref=sr_1_1?keywords=Klein+Tools+600-4+1%2F4-Inch+Keystone+Cushion-Grip+Screwdriver&amp;qid=1694735465&amp;sr=8-1")</f>
        <v/>
      </c>
      <c r="F8538" t="inlineStr">
        <is>
          <t>B000V5KBRG</t>
        </is>
      </c>
      <c r="G8538">
        <f>_xludf.IMAGE("https://edmondsonsupply.com/cdn/shop/products/600-4.jpg?v=1587145175")</f>
        <v/>
      </c>
      <c r="H8538">
        <f>_xludf.IMAGE("https://m.media-amazon.com/images/I/41roNUTN46L._AC_UL320_.jpg")</f>
        <v/>
      </c>
      <c r="K8538" t="inlineStr">
        <is>
          <t>11.49</t>
        </is>
      </c>
      <c r="L8538" t="n">
        <v>11.49</v>
      </c>
      <c r="M8538" s="1" t="inlineStr">
        <is>
          <t>0.00%</t>
        </is>
      </c>
      <c r="N8538" s="1" t="n"/>
      <c r="O8538" t="n">
        <v>4.8</v>
      </c>
      <c r="P8538" t="n">
        <v>1834</v>
      </c>
      <c r="R8538" t="inlineStr">
        <is>
          <t>InStock</t>
        </is>
      </c>
      <c r="S8538" t="inlineStr">
        <is>
          <t>15.08</t>
        </is>
      </c>
      <c r="T8538" t="inlineStr">
        <is>
          <t>3700353073252</t>
        </is>
      </c>
    </row>
    <row r="8539" ht="87" customHeight="1">
      <c r="A8539" s="2">
        <f>HYPERLINK("https://edmondsonsupply.com/collections/electricians-tools/products/klein-tools-13157-screwdriver-blades-insulated-double-end-3-pack", "https://edmondsonsupply.com/collections/electricians-tools/products/klein-tools-13157-screwdriver-blades-insulated-double-end-3-pack")</f>
        <v/>
      </c>
      <c r="B8539" s="2">
        <f>HYPERLINK("https://edmondsonsupply.com/products/klein-tools-13157-screwdriver-blades-insulated-double-end-3-pack", "https://edmondsonsupply.com/products/klein-tools-13157-screwdriver-blades-insulated-double-end-3-pack")</f>
        <v/>
      </c>
      <c r="C8539" t="inlineStr">
        <is>
          <t>Klein Tools 13157 Screwdriver Blades, Insulated Double-End, 3-Pack</t>
        </is>
      </c>
      <c r="D8539" t="inlineStr">
        <is>
          <t>Klein Tools 13157 Insulated Screwdriver Blades, Interchangeable Single-End Replacement Blades for Klein Insulated Screwdrivers, 3-Pack</t>
        </is>
      </c>
      <c r="E8539" s="2">
        <f>HYPERLINK("https://www.amazon.com/Klein-Tools-13157-Interchangeable-Screwdrivers/dp/B07XQC1PVB/ref=sr_1_1?keywords=Klein+Tools+13157+Screwdriver+Blades%2C+Insulated+Double-End%2C+3-Pack&amp;qid=1694735451&amp;sr=8-1", "https://www.amazon.com/Klein-Tools-13157-Interchangeable-Screwdrivers/dp/B07XQC1PVB/ref=sr_1_1?keywords=Klein+Tools+13157+Screwdriver+Blades%2C+Insulated+Double-End%2C+3-Pack&amp;qid=1694735451&amp;sr=8-1")</f>
        <v/>
      </c>
      <c r="F8539" t="inlineStr">
        <is>
          <t>B07XQC1PVB</t>
        </is>
      </c>
      <c r="G8539">
        <f>_xlfn.IMAGE("https://edmondsonsupply.com/cdn/shop/products/13157.jpg?v=1587146921")</f>
        <v/>
      </c>
      <c r="H8539">
        <f>_xlfn.IMAGE("https://m.media-amazon.com/images/I/41c8L9-ZsYL._AC_UL320_.jpg")</f>
        <v/>
      </c>
      <c r="K8539" t="inlineStr">
        <is>
          <t>19.99</t>
        </is>
      </c>
      <c r="L8539" t="n">
        <v>19.99</v>
      </c>
      <c r="M8539" s="1" t="inlineStr">
        <is>
          <t>0.00%</t>
        </is>
      </c>
      <c r="N8539" s="7" t="n"/>
      <c r="O8539" t="n">
        <v>4.8</v>
      </c>
      <c r="P8539" t="n">
        <v>958</v>
      </c>
      <c r="R8539" t="inlineStr">
        <is>
          <t>OutOfStock</t>
        </is>
      </c>
      <c r="S8539" t="inlineStr">
        <is>
          <t>26.66</t>
        </is>
      </c>
      <c r="T8539" t="inlineStr">
        <is>
          <t>4163352330340</t>
        </is>
      </c>
    </row>
    <row r="8540" hidden="1" ht="15.75" customHeight="1">
      <c r="A8540" s="2">
        <f>HYPERLINK("https://edmondsonsupply.com/collections/electricians-tools/products/klein-tools-jth6m5be-5-mm-ball-hex-key-journeyman-t-handle-6-inch", "https://edmondsonsupply.com/collections/electricians-tools/products/klein-tools-jth6m5be-5-mm-ball-hex-key-journeyman-t-handle-6-inch")</f>
        <v/>
      </c>
      <c r="B8540" s="2">
        <f>HYPERLINK("https://edmondsonsupply.com/products/klein-tools-jth6m5be-5-mm-ball-hex-key-journeyman-t-handle-6-inch", "https://edmondsonsupply.com/products/klein-tools-jth6m5be-5-mm-ball-hex-key-journeyman-t-handle-6-inch")</f>
        <v/>
      </c>
      <c r="C8540" t="inlineStr">
        <is>
          <t>Klein Tools JTH6M5BE 5 mm Ball-End Hex Key, Journeyman™ T-Handle, 6-Inch</t>
        </is>
      </c>
      <c r="D8540" t="inlineStr">
        <is>
          <t>Klein Tools JTH6M3BE 3 mm Ball End Hex Key with Journeyman T-Handle, 6-Inch</t>
        </is>
      </c>
      <c r="E8540" s="2">
        <f>HYPERLINK("https://www.amazon.com/Journeyman-T-Handle-Klein-Tools-JTH6M3BE/dp/B005G394V2/ref=sr_1_3?keywords=Klein+Tools+JTH6M5BE+5+mm+Ball-End+Hex+Key%2C+Journeyman%E2%84%A2+T-Handle%2C+6-Inch&amp;qid=1694735452&amp;sr=8-3", "https://www.amazon.com/Journeyman-T-Handle-Klein-Tools-JTH6M3BE/dp/B005G394V2/ref=sr_1_3?keywords=Klein+Tools+JTH6M5BE+5+mm+Ball-End+Hex+Key%2C+Journeyman%E2%84%A2+T-Handle%2C+6-Inch&amp;qid=1694735452&amp;sr=8-3")</f>
        <v/>
      </c>
      <c r="F8540" t="inlineStr">
        <is>
          <t>B005G394V2</t>
        </is>
      </c>
      <c r="G8540">
        <f>_xludf.IMAGE("https://edmondsonsupply.com/cdn/shop/products/jth6m8be_ec9ce192-dd4a-4429-adc4-fb2208cfcbaa.jpg?v=1587142813")</f>
        <v/>
      </c>
      <c r="H8540">
        <f>_xludf.IMAGE("https://m.media-amazon.com/images/I/51huXA+ij8L._AC_UL320_.jpg")</f>
        <v/>
      </c>
      <c r="K8540" t="inlineStr">
        <is>
          <t>4.99</t>
        </is>
      </c>
      <c r="L8540" t="n">
        <v>4.99</v>
      </c>
      <c r="M8540" s="1" t="inlineStr">
        <is>
          <t>0.00%</t>
        </is>
      </c>
      <c r="N8540" s="1" t="n"/>
      <c r="O8540" t="n">
        <v>4.6</v>
      </c>
      <c r="P8540" t="n">
        <v>184</v>
      </c>
      <c r="R8540" t="inlineStr">
        <is>
          <t>InStock</t>
        </is>
      </c>
      <c r="S8540" t="inlineStr">
        <is>
          <t>7.52</t>
        </is>
      </c>
      <c r="T8540" t="inlineStr">
        <is>
          <t>4163578757220</t>
        </is>
      </c>
    </row>
    <row r="8541" ht="87" customHeight="1">
      <c r="A8541" s="2">
        <f>HYPERLINK("https://edmondsonsupply.com/collections/electricians-tools/products/klein-tools-32287-2-in-1-insulated-flip-blade-screwdriver-1-2-square", "https://edmondsonsupply.com/collections/electricians-tools/products/klein-tools-32287-2-in-1-insulated-flip-blade-screwdriver-1-2-square")</f>
        <v/>
      </c>
      <c r="B8541" s="2">
        <f>HYPERLINK("https://edmondsonsupply.com/products/klein-tools-32287-2-in-1-insulated-flip-blade-screwdriver-1-2-square", "https://edmondsonsupply.com/products/klein-tools-32287-2-in-1-insulated-flip-blade-screwdriver-1-2-square")</f>
        <v/>
      </c>
      <c r="C8541" t="inlineStr">
        <is>
          <t>Klein Tools 32287 Flip-Blade Insulated Screwdriver, 2-in-1, Square Bit #1 and #2</t>
        </is>
      </c>
      <c r="D8541" t="inlineStr">
        <is>
          <t>Klein Tools 32287 Insulated Screwdriver, 2-in-1 Screwdriver Set with Flip Blade, #1 and #2 Square Tips, Double-Ended Blades</t>
        </is>
      </c>
      <c r="E8541" s="2">
        <f>HYPERLINK("https://www.amazon.com/Klein-Tools-32287-Screwdriver-Double-Ended/dp/B07XJZ43N2/ref=sr_1_1?keywords=Klein+Tools+32287+Flip-Blade+Insulated+Screwdriver%2C+2-in-1%2C+Square+Bit&amp;qid=1694735455&amp;sr=8-1", "https://www.amazon.com/Klein-Tools-32287-Screwdriver-Double-Ended/dp/B07XJZ43N2/ref=sr_1_1?keywords=Klein+Tools+32287+Flip-Blade+Insulated+Screwdriver%2C+2-in-1%2C+Square+Bit&amp;qid=1694735455&amp;sr=8-1")</f>
        <v/>
      </c>
      <c r="F8541" t="inlineStr">
        <is>
          <t>B07XJZ43N2</t>
        </is>
      </c>
      <c r="G8541">
        <f>_xlfn.IMAGE("https://edmondsonsupply.com/cdn/shop/products/32287.jpg?v=1587148757")</f>
        <v/>
      </c>
      <c r="H8541">
        <f>_xlfn.IMAGE("https://m.media-amazon.com/images/I/51DhiqI10JL._AC_UL320_.jpg")</f>
        <v/>
      </c>
      <c r="K8541" t="inlineStr">
        <is>
          <t>19.99</t>
        </is>
      </c>
      <c r="L8541" t="n">
        <v>19.99</v>
      </c>
      <c r="M8541" s="1" t="inlineStr">
        <is>
          <t>0.00%</t>
        </is>
      </c>
      <c r="N8541" s="7" t="n"/>
      <c r="O8541" t="n">
        <v>4.7</v>
      </c>
      <c r="P8541" t="n">
        <v>616</v>
      </c>
      <c r="R8541" t="inlineStr">
        <is>
          <t>InStock</t>
        </is>
      </c>
      <c r="S8541" t="inlineStr">
        <is>
          <t>27.98</t>
        </is>
      </c>
      <c r="T8541" t="inlineStr">
        <is>
          <t>4095949668452</t>
        </is>
      </c>
    </row>
    <row r="8542" ht="87" customHeight="1">
      <c r="A8542" s="2">
        <f>HYPERLINK("https://edmondsonsupply.com/collections/electricians-tools/products/klein-tools-j502-10-journeyman%E2%84%A2-pump-pliers-10", "https://edmondsonsupply.com/collections/electricians-tools/products/klein-tools-j502-10-journeyman%E2%84%A2-pump-pliers-10")</f>
        <v/>
      </c>
      <c r="B8542" s="2">
        <f>HYPERLINK("https://edmondsonsupply.com/products/klein-tools-j502-10-journeyman%e2%84%a2-pump-pliers-10", "https://edmondsonsupply.com/products/klein-tools-j502-10-journeyman%e2%84%a2-pump-pliers-10")</f>
        <v/>
      </c>
      <c r="C8542" t="inlineStr">
        <is>
          <t>Klein Tools J502-10 Journeyman™ Pump Pliers, 10''</t>
        </is>
      </c>
      <c r="D8542" t="inlineStr">
        <is>
          <t>Klein Tools J502-10 Pliers, Adjustable Jaw Pump Pliers, Tongue and Groove, with Dual Material Handles, 10-Inch</t>
        </is>
      </c>
      <c r="E8542" s="2">
        <f>HYPERLINK("https://www.amazon.com/Adjustable-Material-Klein-Tools-J502-10/dp/B00093D51Y/ref=sr_1_1?keywords=Klein+Tools+J502-10+Journeyman%E2%84%A2+Pump+Pliers%2C+10%27%27&amp;qid=1694735457&amp;sr=8-1", "https://www.amazon.com/Adjustable-Material-Klein-Tools-J502-10/dp/B00093D51Y/ref=sr_1_1?keywords=Klein+Tools+J502-10+Journeyman%E2%84%A2+Pump+Pliers%2C+10%27%27&amp;qid=1694735457&amp;sr=8-1")</f>
        <v/>
      </c>
      <c r="F8542" t="inlineStr">
        <is>
          <t>B00093D51Y</t>
        </is>
      </c>
      <c r="G8542">
        <f>_xlfn.IMAGE("https://edmondsonsupply.com/cdn/shop/products/j50210.jpg?v=1587142832")</f>
        <v/>
      </c>
      <c r="H8542">
        <f>_xlfn.IMAGE("https://m.media-amazon.com/images/I/51+llp-35wL._AC_UL320_.jpg")</f>
        <v/>
      </c>
      <c r="K8542" t="inlineStr">
        <is>
          <t>29.97</t>
        </is>
      </c>
      <c r="L8542" t="n">
        <v>29.97</v>
      </c>
      <c r="M8542" s="1" t="inlineStr">
        <is>
          <t>0.00%</t>
        </is>
      </c>
      <c r="N8542" s="7" t="n"/>
      <c r="O8542" t="n">
        <v>4.6</v>
      </c>
      <c r="P8542" t="n">
        <v>365</v>
      </c>
      <c r="R8542" t="inlineStr">
        <is>
          <t>InStock</t>
        </is>
      </c>
      <c r="S8542" t="inlineStr">
        <is>
          <t>45.5</t>
        </is>
      </c>
      <c r="T8542" t="inlineStr">
        <is>
          <t>4167416447076</t>
        </is>
      </c>
    </row>
    <row r="8543" ht="87" customHeight="1">
      <c r="A8543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543" s="2">
        <f>HYPERLINK("https://edmondsonsupply.com/products/klein-tools-31972-bi-metal-hole-saw-4-1-2-inch", "https://edmondsonsupply.com/products/klein-tools-31972-bi-metal-hole-saw-4-1-2-inch")</f>
        <v/>
      </c>
      <c r="C8543" t="inlineStr">
        <is>
          <t>Klein Tools 31972 Bi-Metal Hole Saw, 4-1/2-Inch</t>
        </is>
      </c>
      <c r="D8543" t="inlineStr">
        <is>
          <t>Klein Tools 31972 Bi-Metal Hole Saw, 4-1/2-Inch</t>
        </is>
      </c>
      <c r="E8543" s="2">
        <f>HYPERLINK("https://www.amazon.com/Bi-Metal-2-Inch-Klein-Tools-31972/dp/B0198756GS/ref=sr_1_1?keywords=Klein+Tools+31972+Bi-Metal+Hole+Saw%2C+4-1%2F2-Inch&amp;qid=1694735442&amp;sr=8-1", "https://www.amazon.com/Bi-Metal-2-Inch-Klein-Tools-31972/dp/B0198756GS/ref=sr_1_1?keywords=Klein+Tools+31972+Bi-Metal+Hole+Saw%2C+4-1%2F2-Inch&amp;qid=1694735442&amp;sr=8-1")</f>
        <v/>
      </c>
      <c r="F8543" t="inlineStr">
        <is>
          <t>B0198756GS</t>
        </is>
      </c>
      <c r="G8543">
        <f>_xlfn.IMAGE("https://edmondsonsupply.com/cdn/shop/products/31972.jpg?v=1587147016")</f>
        <v/>
      </c>
      <c r="H8543">
        <f>_xlfn.IMAGE("https://m.media-amazon.com/images/I/518TwjF989L._AC_UL320_.jpg")</f>
        <v/>
      </c>
      <c r="K8543" t="inlineStr">
        <is>
          <t>26.99</t>
        </is>
      </c>
      <c r="L8543" t="n">
        <v>26.99</v>
      </c>
      <c r="M8543" s="1" t="inlineStr">
        <is>
          <t>0.00%</t>
        </is>
      </c>
      <c r="N8543" s="7" t="n"/>
      <c r="O8543" t="n">
        <v>4.3</v>
      </c>
      <c r="P8543" t="n">
        <v>48</v>
      </c>
      <c r="R8543" t="inlineStr">
        <is>
          <t>InStock</t>
        </is>
      </c>
      <c r="S8543" t="inlineStr">
        <is>
          <t>37.86</t>
        </is>
      </c>
      <c r="T8543" t="inlineStr">
        <is>
          <t>4328864809060</t>
        </is>
      </c>
    </row>
    <row r="8544" hidden="1" ht="15.75" customHeight="1">
      <c r="A8544" s="2">
        <f>HYPERLINK("https://edmondsonsupply.com/collections/electricians-tools/products/klein-tools-606-2-1-16-inch-keystone-tip-mini-screwdriver-2-inch", "https://edmondsonsupply.com/collections/electricians-tools/products/klein-tools-606-2-1-16-inch-keystone-tip-mini-screwdriver-2-inch")</f>
        <v/>
      </c>
      <c r="B8544" s="2">
        <f>HYPERLINK("https://edmondsonsupply.com/products/klein-tools-606-2-1-16-inch-keystone-tip-mini-screwdriver-2-inch", "https://edmondsonsupply.com/products/klein-tools-606-2-1-16-inch-keystone-tip-mini-screwdriver-2-inch")</f>
        <v/>
      </c>
      <c r="C8544" t="inlineStr">
        <is>
          <t>Klein Tools 606-2 1/16-Inch Keystone Tip Mini Screwdriver, 2-Inch</t>
        </is>
      </c>
      <c r="D8544" t="inlineStr">
        <is>
          <t>Klein Tools 606-2 Mini Flathead Screwdriver, 1/16-Inch Keystone Tip with 2-Inch Round Shank and Cushion Grip Handle</t>
        </is>
      </c>
      <c r="E8544" s="2">
        <f>HYPERLINK("https://www.amazon.com/Flathead-Screwdriver-Klein-Tools-606-2/dp/B001D1J4CU/ref=sr_1_1?keywords=Klein+Tools+606-2+1%2F16-Inch+Keystone+Tip+Mini+Screwdriver%2C+2-Inch&amp;qid=1694735451&amp;sr=8-1", "https://www.amazon.com/Flathead-Screwdriver-Klein-Tools-606-2/dp/B001D1J4CU/ref=sr_1_1?keywords=Klein+Tools+606-2+1%2F16-Inch+Keystone+Tip+Mini+Screwdriver%2C+2-Inch&amp;qid=1694735451&amp;sr=8-1")</f>
        <v/>
      </c>
      <c r="F8544" t="inlineStr">
        <is>
          <t>B001D1J4CU</t>
        </is>
      </c>
      <c r="G8544">
        <f>_xludf.IMAGE("https://edmondsonsupply.com/cdn/shop/products/606-2_690f3993-7bcc-48c0-84f9-beafc5b40206.jpg?v=1587147734")</f>
        <v/>
      </c>
      <c r="H8544">
        <f>_xludf.IMAGE("https://m.media-amazon.com/images/I/51oqW0kO-UL._AC_UL320_.jpg")</f>
        <v/>
      </c>
      <c r="K8544" t="inlineStr">
        <is>
          <t>6.99</t>
        </is>
      </c>
      <c r="L8544" t="n">
        <v>6.99</v>
      </c>
      <c r="M8544" s="1" t="inlineStr">
        <is>
          <t>0.00%</t>
        </is>
      </c>
      <c r="N8544" s="1" t="n"/>
      <c r="O8544" t="n">
        <v>4.7</v>
      </c>
      <c r="P8544" t="n">
        <v>1356</v>
      </c>
      <c r="R8544" t="inlineStr">
        <is>
          <t>InStock</t>
        </is>
      </c>
      <c r="S8544" t="inlineStr">
        <is>
          <t>10.58</t>
        </is>
      </c>
      <c r="T8544" t="inlineStr">
        <is>
          <t>4290005598308</t>
        </is>
      </c>
    </row>
    <row r="8545" hidden="1" ht="15.75" customHeight="1">
      <c r="A8545" s="2">
        <f>HYPERLINK("https://edmondsonsupply.com/collections/electricians-tools/products/klein-tools-jth6m25-2-5-mm-hex-key-with-journeyman-t-handle-6-inch", "https://edmondsonsupply.com/collections/electricians-tools/products/klein-tools-jth6m25-2-5-mm-hex-key-with-journeyman-t-handle-6-inch")</f>
        <v/>
      </c>
      <c r="B8545" s="2">
        <f>HYPERLINK("https://edmondsonsupply.com/products/klein-tools-jth6m25-2-5-mm-hex-key-with-journeyman-t-handle-6-inch", "https://edmondsonsupply.com/products/klein-tools-jth6m25-2-5-mm-hex-key-with-journeyman-t-handle-6-inch")</f>
        <v/>
      </c>
      <c r="C8545" t="inlineStr">
        <is>
          <t>Klein Tools JTH6M25 2.5 mm Hex Key with Journeyman T-Handle, 6-Inch</t>
        </is>
      </c>
      <c r="D8545" t="inlineStr">
        <is>
          <t>Klein Tools JTH6M3 3 mm Hex Key with Journeyman T-Handle, 6-Inch</t>
        </is>
      </c>
      <c r="E8545" s="2">
        <f>HYPERLINK("https://www.amazon.com/Journeyman-T-Handle-Klein-Tools-JTH6M3/dp/B005G394RG/ref=sr_1_8?keywords=Klein+Tools+JTH6M25+2.5+mm+Hex+Key+with+Journeyman+T-Handle%2C+6-Inch&amp;qid=1694735465&amp;sr=8-8", "https://www.amazon.com/Journeyman-T-Handle-Klein-Tools-JTH6M3/dp/B005G394RG/ref=sr_1_8?keywords=Klein+Tools+JTH6M25+2.5+mm+Hex+Key+with+Journeyman+T-Handle%2C+6-Inch&amp;qid=1694735465&amp;sr=8-8")</f>
        <v/>
      </c>
      <c r="F8545" t="inlineStr">
        <is>
          <t>B005G394RG</t>
        </is>
      </c>
      <c r="G8545">
        <f>_xludf.IMAGE("https://edmondsonsupply.com/cdn/shop/products/jth6m8_418cc1b7-11e8-4105-a13a-5501c6e11940.jpg?v=1587148486")</f>
        <v/>
      </c>
      <c r="H8545">
        <f>_xludf.IMAGE("https://m.media-amazon.com/images/I/51+1x0vz9XL._AC_UL320_.jpg")</f>
        <v/>
      </c>
      <c r="K8545" t="inlineStr">
        <is>
          <t>3.99</t>
        </is>
      </c>
      <c r="L8545" t="n">
        <v>3.99</v>
      </c>
      <c r="M8545" s="1" t="inlineStr">
        <is>
          <t>0.00%</t>
        </is>
      </c>
      <c r="N8545" s="1" t="n"/>
      <c r="O8545" t="n">
        <v>4.7</v>
      </c>
      <c r="P8545" t="n">
        <v>358</v>
      </c>
      <c r="R8545" t="inlineStr">
        <is>
          <t>InStock</t>
        </is>
      </c>
      <c r="S8545" t="inlineStr">
        <is>
          <t>5.76</t>
        </is>
      </c>
      <c r="T8545" t="inlineStr">
        <is>
          <t>3694858567780</t>
        </is>
      </c>
    </row>
    <row r="8546" hidden="1" ht="15.75" customHeight="1">
      <c r="A8546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546" s="2">
        <f>HYPERLINK("https://edmondsonsupply.com/products/klein-tools-662-2-square-screwdriver-with-4-inch-round-shank", "https://edmondsonsupply.com/products/klein-tools-662-2-square-screwdriver-with-4-inch-round-shank")</f>
        <v/>
      </c>
      <c r="C8546" t="inlineStr">
        <is>
          <t>Klein Tools 662 #2 Square Screwdriver with 4-Inch Round Shank</t>
        </is>
      </c>
      <c r="D8546" t="inlineStr">
        <is>
          <t>Klein Tools 6834INS Insulated Screwdriver, 1000V #2 Phillips Tip Screwdriver with 4-Inch Shank, Tip-Ident, Cushion-Grip Handle</t>
        </is>
      </c>
      <c r="E8546" s="2">
        <f>HYPERLINK("https://www.amazon.com/Klein-Tools-6834INS-Screwdriver-Cushion-Grip/dp/B0BF7LCHQ9/ref=sr_1_19?keywords=Klein+Tools+662+%232+Square+Screwdriver+with+4-Inch+Round+Shank&amp;qid=1694735445&amp;sr=8-19", "https://www.amazon.com/Klein-Tools-6834INS-Screwdriver-Cushion-Grip/dp/B0BF7LCHQ9/ref=sr_1_19?keywords=Klein+Tools+662+%232+Square+Screwdriver+with+4-Inch+Round+Shank&amp;qid=1694735445&amp;sr=8-19")</f>
        <v/>
      </c>
      <c r="F8546" t="inlineStr">
        <is>
          <t>B0BF7LCHQ9</t>
        </is>
      </c>
      <c r="G8546">
        <f>_xludf.IMAGE("https://edmondsonsupply.com/cdn/shop/products/660.jpg?v=1587151189")</f>
        <v/>
      </c>
      <c r="H8546">
        <f>_xludf.IMAGE("https://m.media-amazon.com/images/I/41syzbetq2L._AC_UL320_.jpg")</f>
        <v/>
      </c>
      <c r="K8546" t="inlineStr">
        <is>
          <t>9.99</t>
        </is>
      </c>
      <c r="L8546" t="n">
        <v>9.99</v>
      </c>
      <c r="M8546" s="1" t="inlineStr">
        <is>
          <t>0.00%</t>
        </is>
      </c>
      <c r="N8546" s="1" t="n"/>
      <c r="O8546" t="n">
        <v>5</v>
      </c>
      <c r="P8546" t="n">
        <v>5</v>
      </c>
      <c r="R8546" t="inlineStr">
        <is>
          <t>InStock</t>
        </is>
      </c>
      <c r="S8546" t="inlineStr">
        <is>
          <t>12.74</t>
        </is>
      </c>
      <c r="T8546" t="inlineStr">
        <is>
          <t>4274202509412</t>
        </is>
      </c>
    </row>
    <row r="8547" ht="87" customHeight="1">
      <c r="A8547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547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547" t="inlineStr">
        <is>
          <t>Klein Tools 11063W Katapult® Wire Stripper and Cutter for Solid and Stranded Wire</t>
        </is>
      </c>
      <c r="D8547" t="inlineStr">
        <is>
          <t>Klein Tools 11055RINS 1000V Insulated Klein Kurve Wire Stripper/Cutter Cuts and Strips 10-18 Solid and 12-20 Stranded AWG Wire, Orange</t>
        </is>
      </c>
      <c r="E8547" s="2">
        <f>HYPERLINK("https://www.amazon.com/Klein-Tools-11055RINS-Insulated-Stripper/dp/B0BFZBQ9XF/ref=sr_1_17?keywords=Klein+Tools+11063W+Katapult%C2%AE+Wire+Stripper+and+Cutter+for+Solid+and+Stranded+Wire&amp;qid=1694735440&amp;sr=8-17", "https://www.amazon.com/Klein-Tools-11055RINS-Insulated-Stripper/dp/B0BFZBQ9XF/ref=sr_1_17?keywords=Klein+Tools+11063W+Katapult%C2%AE+Wire+Stripper+and+Cutter+for+Solid+and+Stranded+Wire&amp;qid=1694735440&amp;sr=8-17")</f>
        <v/>
      </c>
      <c r="F8547" t="inlineStr">
        <is>
          <t>B0BFZBQ9XF</t>
        </is>
      </c>
      <c r="G8547">
        <f>_xlfn.IMAGE("https://edmondsonsupply.com/cdn/shop/products/11063w.jpg?v=1587151004")</f>
        <v/>
      </c>
      <c r="H8547">
        <f>_xlfn.IMAGE("https://m.media-amazon.com/images/I/41Pemveg6bL._AC_UL320_.jpg")</f>
        <v/>
      </c>
      <c r="K8547" t="inlineStr">
        <is>
          <t>29.97</t>
        </is>
      </c>
      <c r="L8547" t="n">
        <v>29.97</v>
      </c>
      <c r="M8547" s="1" t="inlineStr">
        <is>
          <t>0.00%</t>
        </is>
      </c>
      <c r="N8547" s="7" t="n"/>
      <c r="O8547" t="n">
        <v>4.6</v>
      </c>
      <c r="P8547" t="n">
        <v>54</v>
      </c>
      <c r="R8547" t="inlineStr">
        <is>
          <t>InStock</t>
        </is>
      </c>
      <c r="S8547" t="inlineStr">
        <is>
          <t>44.7</t>
        </is>
      </c>
      <c r="T8547" t="inlineStr">
        <is>
          <t>4334180827236</t>
        </is>
      </c>
    </row>
    <row r="8548" ht="87" customHeight="1">
      <c r="A8548" s="2">
        <f>HYPERLINK("https://edmondsonsupply.com/collections/electricians-tools/products/klein-tools-85078-screwdriver-set-multi-application-8-piece", "https://edmondsonsupply.com/collections/electricians-tools/products/klein-tools-85078-screwdriver-set-multi-application-8-piece")</f>
        <v/>
      </c>
      <c r="B8548" s="2">
        <f>HYPERLINK("https://edmondsonsupply.com/products/klein-tools-85078-screwdriver-set-multi-application-8-piece", "https://edmondsonsupply.com/products/klein-tools-85078-screwdriver-set-multi-application-8-piece")</f>
        <v/>
      </c>
      <c r="C8548" t="inlineStr">
        <is>
          <t>Klein Tools 85078 Screwdriver Set, Multi-Application, 8-Piece</t>
        </is>
      </c>
      <c r="D8548" t="inlineStr">
        <is>
          <t>Klein Tools 85077 Screwdriver Set, Multi-Application Screwdriver Kit with Cushion-Grip Handles and Tip-Ident, 7-Piece</t>
        </is>
      </c>
      <c r="E8548" s="2">
        <f>HYPERLINK("https://www.amazon.com/Application-Screwdriver-Klein-Tools-85077/dp/B0002DOL78/ref=sr_1_1?keywords=Klein+Tools+85078+Screwdriver+Set%2C+Multi-Application%2C+8-Piece&amp;qid=1694735450&amp;sr=8-1", "https://www.amazon.com/Application-Screwdriver-Klein-Tools-85077/dp/B0002DOL78/ref=sr_1_1?keywords=Klein+Tools+85078+Screwdriver+Set%2C+Multi-Application%2C+8-Piece&amp;qid=1694735450&amp;sr=8-1")</f>
        <v/>
      </c>
      <c r="F8548" t="inlineStr">
        <is>
          <t>B0002DOL78</t>
        </is>
      </c>
      <c r="G8548">
        <f>_xlfn.IMAGE("https://edmondsonsupply.com/cdn/shop/products/85078_86c4ecc2-553d-4b60-8442-6bd260c251f4.jpg?v=1587143160")</f>
        <v/>
      </c>
      <c r="H8548">
        <f>_xlfn.IMAGE("https://m.media-amazon.com/images/I/617g3He2GNL._AC_UL320_.jpg")</f>
        <v/>
      </c>
      <c r="K8548" t="inlineStr">
        <is>
          <t>64.99</t>
        </is>
      </c>
      <c r="L8548" t="n">
        <v>64.98999999999999</v>
      </c>
      <c r="M8548" s="1" t="inlineStr">
        <is>
          <t>0.00%</t>
        </is>
      </c>
      <c r="N8548" s="7" t="n"/>
      <c r="O8548" t="n">
        <v>4.9</v>
      </c>
      <c r="P8548" t="n">
        <v>30</v>
      </c>
      <c r="R8548" t="inlineStr">
        <is>
          <t>InStock</t>
        </is>
      </c>
      <c r="S8548" t="inlineStr">
        <is>
          <t>103.34</t>
        </is>
      </c>
      <c r="T8548" t="inlineStr">
        <is>
          <t>4167506559076</t>
        </is>
      </c>
    </row>
    <row r="8549" hidden="1" ht="15.75" customHeight="1">
      <c r="A8549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549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549" t="inlineStr">
        <is>
          <t>Klein Tools 630-9/16 9/16-Inch Hollow Shaft Nut Driver 4-Inch Shaft</t>
        </is>
      </c>
      <c r="D8549" t="inlineStr">
        <is>
          <t>Klein Tools S106M 5/16-Inch Magnetic Nut Driver with 9-Inch Solid Shaft and Comfordome Handle</t>
        </is>
      </c>
      <c r="E8549" s="2">
        <f>HYPERLINK("https://www.amazon.com/Magnetic-Comfordome-Klein-Tools-S106M/dp/B0002RIA26/ref=sr_1_18?keywords=Klein+Tools+630-9%2F16+9%2F16-Inch+Hollow+Shaft+Nut+Driver+4-Inch+Shaft&amp;qid=1694735442&amp;sr=8-18", "https://www.amazon.com/Magnetic-Comfordome-Klein-Tools-S106M/dp/B0002RIA26/ref=sr_1_18?keywords=Klein+Tools+630-9%2F16+9%2F16-Inch+Hollow+Shaft+Nut+Driver+4-Inch+Shaft&amp;qid=1694735442&amp;sr=8-18")</f>
        <v/>
      </c>
      <c r="F8549" t="inlineStr">
        <is>
          <t>B0002RIA26</t>
        </is>
      </c>
      <c r="G8549">
        <f>_xludf.IMAGE("https://edmondsonsupply.com/cdn/shop/products/630-1-2_f4e6e615-6377-4eae-87c2-03b0329a1140.jpg?v=1587145137")</f>
        <v/>
      </c>
      <c r="H8549">
        <f>_xludf.IMAGE("https://m.media-amazon.com/images/I/310q8QPN+KL._AC_UL320_.jpg")</f>
        <v/>
      </c>
      <c r="K8549" t="inlineStr">
        <is>
          <t>11.99</t>
        </is>
      </c>
      <c r="L8549" t="n">
        <v>11.99</v>
      </c>
      <c r="M8549" s="1" t="inlineStr">
        <is>
          <t>0.00%</t>
        </is>
      </c>
      <c r="N8549" s="1" t="n"/>
      <c r="O8549" t="n">
        <v>4.6</v>
      </c>
      <c r="P8549" t="n">
        <v>231</v>
      </c>
      <c r="R8549" t="inlineStr">
        <is>
          <t>InStock</t>
        </is>
      </c>
      <c r="S8549" t="inlineStr">
        <is>
          <t>18.14</t>
        </is>
      </c>
      <c r="T8549" t="inlineStr">
        <is>
          <t>4259221897316</t>
        </is>
      </c>
    </row>
    <row r="8550" ht="87" customHeight="1">
      <c r="A8550" s="2">
        <f>HYPERLINK("https://edmondsonsupply.com/collections/electricians-tools/products/klein-tools-j1005-journeyman%E2%84%A2-crimping-cutting-tool", "https://edmondsonsupply.com/collections/electricians-tools/products/klein-tools-j1005-journeyman%E2%84%A2-crimping-cutting-tool")</f>
        <v/>
      </c>
      <c r="B8550" s="2">
        <f>HYPERLINK("https://edmondsonsupply.com/products/klein-tools-j1005-journeyman%e2%84%a2-crimping-cutting-tool", "https://edmondsonsupply.com/products/klein-tools-j1005-journeyman%e2%84%a2-crimping-cutting-tool")</f>
        <v/>
      </c>
      <c r="C8550" t="inlineStr">
        <is>
          <t>Klein Tools J1005 Journeyman™ Crimping and Cutting Tool</t>
        </is>
      </c>
      <c r="D8550" t="inlineStr">
        <is>
          <t>Klein Tools K12065CR Wire Stripper / Cutter / Crimper Tool for Cutting, Stripping, Crimping, Twisting (8-18 AWG solid, 10-20 AWG stranded)</t>
        </is>
      </c>
      <c r="E8550" s="2">
        <f>HYPERLINK("https://www.amazon.com/Heavy-Stripper-Cutter-Crimper-Multi/dp/B08BX9RTPX/ref=sr_1_34?keywords=Klein+Tools+J1005+Journeyman%E2%84%A2+Crimping+and+Cutting+Tool&amp;qid=1694735460&amp;sr=8-34", "https://www.amazon.com/Heavy-Stripper-Cutter-Crimper-Multi/dp/B08BX9RTPX/ref=sr_1_34?keywords=Klein+Tools+J1005+Journeyman%E2%84%A2+Crimping+and+Cutting+Tool&amp;qid=1694735460&amp;sr=8-34")</f>
        <v/>
      </c>
      <c r="F8550" t="inlineStr">
        <is>
          <t>B08BX9RTPX</t>
        </is>
      </c>
      <c r="G8550">
        <f>_xlfn.IMAGE("https://edmondsonsupply.com/cdn/shop/products/j1005.jpg?v=1587146396")</f>
        <v/>
      </c>
      <c r="H8550">
        <f>_xlfn.IMAGE("https://m.media-amazon.com/images/I/51Oylu1vHoL._AC_UL320_.jpg")</f>
        <v/>
      </c>
      <c r="K8550" t="inlineStr">
        <is>
          <t>39.99</t>
        </is>
      </c>
      <c r="L8550" t="n">
        <v>39.97</v>
      </c>
      <c r="M8550" s="1" t="inlineStr">
        <is>
          <t>-0.05%</t>
        </is>
      </c>
      <c r="N8550" s="7" t="n"/>
      <c r="O8550" t="n">
        <v>4.7</v>
      </c>
      <c r="P8550" t="n">
        <v>723</v>
      </c>
      <c r="R8550" t="inlineStr">
        <is>
          <t>InStock</t>
        </is>
      </c>
      <c r="S8550" t="inlineStr">
        <is>
          <t>60.4</t>
        </is>
      </c>
      <c r="T8550" t="inlineStr">
        <is>
          <t>3711960678500</t>
        </is>
      </c>
    </row>
    <row r="8551" ht="87" customHeight="1">
      <c r="A8551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551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551" t="inlineStr">
        <is>
          <t>Klein Tools 607-3-INS Insulated Screwdriver, 3/32-Inch Cabinet, 3-Inch</t>
        </is>
      </c>
      <c r="D8551" t="inlineStr">
        <is>
          <t>Klein Tools 607-3-INS Insulated Screwdriver, 3/32-Inch Cabinet Tip with 3-Inch Shank</t>
        </is>
      </c>
      <c r="E8551" s="2">
        <f>HYPERLINK("https://www.amazon.com/Insulated-Screwdriver-Klein-Tools-607-3-INS/dp/B00J9S35OW/ref=sr_1_1?keywords=Klein+Tools+607-3-INS+Insulated+Screwdriver%2C+3%2F32-Inch+Cabinet%2C+3-Inch&amp;qid=1694735479&amp;sr=8-1", "https://www.amazon.com/Insulated-Screwdriver-Klein-Tools-607-3-INS/dp/B00J9S35OW/ref=sr_1_1?keywords=Klein+Tools+607-3-INS+Insulated+Screwdriver%2C+3%2F32-Inch+Cabinet%2C+3-Inch&amp;qid=1694735479&amp;sr=8-1")</f>
        <v/>
      </c>
      <c r="F8551" t="inlineStr">
        <is>
          <t>B00J9S35OW</t>
        </is>
      </c>
      <c r="G8551">
        <f>_xlfn.IMAGE("https://edmondsonsupply.com/cdn/shop/products/607-3-ins.jpg?v=1587143254")</f>
        <v/>
      </c>
      <c r="H8551">
        <f>_xlfn.IMAGE("https://m.media-amazon.com/images/I/51qSRHnYpuL._AC_UL320_.jpg")</f>
        <v/>
      </c>
      <c r="K8551" t="inlineStr">
        <is>
          <t>17.49</t>
        </is>
      </c>
      <c r="L8551" t="n">
        <v>17.48</v>
      </c>
      <c r="M8551" s="1" t="inlineStr">
        <is>
          <t>-0.06%</t>
        </is>
      </c>
      <c r="N8551" s="7" t="n"/>
      <c r="O8551" t="n">
        <v>4.2</v>
      </c>
      <c r="P8551" t="n">
        <v>62</v>
      </c>
      <c r="R8551" t="inlineStr">
        <is>
          <t>InStock</t>
        </is>
      </c>
      <c r="S8551" t="inlineStr">
        <is>
          <t>26.5</t>
        </is>
      </c>
      <c r="T8551" t="inlineStr">
        <is>
          <t>3688617902180</t>
        </is>
      </c>
    </row>
    <row r="8552" ht="87" customHeight="1">
      <c r="A8552" s="2">
        <f>HYPERLINK("https://edmondsonsupply.com/collections/electricians-tools/products/klein-tools-55468-tradesman-pro-phone-holder-xl", "https://edmondsonsupply.com/collections/electricians-tools/products/klein-tools-55468-tradesman-pro-phone-holder-xl")</f>
        <v/>
      </c>
      <c r="B8552" s="2">
        <f>HYPERLINK("https://edmondsonsupply.com/products/klein-tools-55468-tradesman-pro-phone-holder-xl", "https://edmondsonsupply.com/products/klein-tools-55468-tradesman-pro-phone-holder-xl")</f>
        <v/>
      </c>
      <c r="C8552" t="inlineStr">
        <is>
          <t>Klein Tools 55468 Tradesman Pro™ Phone Holder, X-Large</t>
        </is>
      </c>
      <c r="D8552" t="inlineStr">
        <is>
          <t>Klein Tools 55468 Phone Holder, X-Large, Fits iPhone, Google, LG, Samsung Phones, With Magnetic Closure and Belt Clip</t>
        </is>
      </c>
      <c r="E8552" s="2">
        <f>HYPERLINK("https://www.amazon.com/Tradesman-X-Large-Klein-Tools-55468/dp/B01MTA0EET/ref=sr_1_1?keywords=Klein+Tools+55468+Tradesman+Pro%E2%84%A2+Phone+Holder%2C+X-Large&amp;qid=1694735448&amp;sr=8-1", "https://www.amazon.com/Tradesman-X-Large-Klein-Tools-55468/dp/B01MTA0EET/ref=sr_1_1?keywords=Klein+Tools+55468+Tradesman+Pro%E2%84%A2+Phone+Holder%2C+X-Large&amp;qid=1694735448&amp;sr=8-1")</f>
        <v/>
      </c>
      <c r="F8552" t="inlineStr">
        <is>
          <t>B01MTA0EET</t>
        </is>
      </c>
      <c r="G8552">
        <f>_xlfn.IMAGE("https://edmondsonsupply.com/cdn/shop/products/55468.jpg?v=1666360408")</f>
        <v/>
      </c>
      <c r="H8552">
        <f>_xlfn.IMAGE("https://m.media-amazon.com/images/I/71bEyT0ZM7L._AC_UL320_.jpg")</f>
        <v/>
      </c>
      <c r="K8552" t="inlineStr">
        <is>
          <t>24.99</t>
        </is>
      </c>
      <c r="L8552" t="n">
        <v>24.97</v>
      </c>
      <c r="M8552" s="1" t="inlineStr">
        <is>
          <t>-0.08%</t>
        </is>
      </c>
      <c r="N8552" s="7" t="n"/>
      <c r="O8552" t="n">
        <v>4.6</v>
      </c>
      <c r="P8552" t="n">
        <v>2210</v>
      </c>
      <c r="R8552" t="inlineStr">
        <is>
          <t>InStock</t>
        </is>
      </c>
      <c r="S8552" t="inlineStr">
        <is>
          <t>35.06</t>
        </is>
      </c>
      <c r="T8552" t="inlineStr">
        <is>
          <t>1705975349348</t>
        </is>
      </c>
    </row>
    <row r="8553" hidden="1" ht="15.75" customHeight="1">
      <c r="A8553" s="2">
        <f>HYPERLINK("https://edmondsonsupply.com/collections/electricians-tools/products/klein-tools-70591-folding-hex-key-set-nine-key-inch-sizes", "https://edmondsonsupply.com/collections/electricians-tools/products/klein-tools-70591-folding-hex-key-set-nine-key-inch-sizes")</f>
        <v/>
      </c>
      <c r="B8553" s="2">
        <f>HYPERLINK("https://edmondsonsupply.com/products/klein-tools-70591-folding-hex-key-set-nine-key-inch-sizes", "https://edmondsonsupply.com/products/klein-tools-70591-folding-hex-key-set-nine-key-inch-sizes")</f>
        <v/>
      </c>
      <c r="C8553" t="inlineStr">
        <is>
          <t>Klein Tools 70591 Folding Hex Key Set, 9-Key, SAE Sizes</t>
        </is>
      </c>
      <c r="D8553" t="inlineStr">
        <is>
          <t>Klein Tools 70570 Grip-It Hex Key Set, 5-Key, SAE Sizes</t>
        </is>
      </c>
      <c r="E8553" s="2">
        <f>HYPERLINK("https://www.amazon.com/Grip-Five-Key-Hex-Set/dp/B0002RI8OQ/ref=sr_1_5?keywords=Klein+Tools+70591+Folding+Hex+Key+Set%2C+9-Key%2C+SAE+Sizes&amp;qid=1694735474&amp;sr=8-5", "https://www.amazon.com/Grip-Five-Key-Hex-Set/dp/B0002RI8OQ/ref=sr_1_5?keywords=Klein+Tools+70591+Folding+Hex+Key+Set%2C+9-Key%2C+SAE+Sizes&amp;qid=1694735474&amp;sr=8-5")</f>
        <v/>
      </c>
      <c r="F8553" t="inlineStr">
        <is>
          <t>B0002RI8OQ</t>
        </is>
      </c>
      <c r="G8553">
        <f>_xludf.IMAGE("https://edmondsonsupply.com/cdn/shop/products/70591.jpg?v=1587146577")</f>
        <v/>
      </c>
      <c r="H8553">
        <f>_xludf.IMAGE("https://m.media-amazon.com/images/I/5115q-e5mbL._AC_UL320_.jpg")</f>
        <v/>
      </c>
      <c r="K8553" t="inlineStr">
        <is>
          <t>9.99</t>
        </is>
      </c>
      <c r="L8553" t="n">
        <v>9.98</v>
      </c>
      <c r="M8553" s="1" t="inlineStr">
        <is>
          <t>-0.10%</t>
        </is>
      </c>
      <c r="N8553" s="1" t="n"/>
      <c r="O8553" t="n">
        <v>4.6</v>
      </c>
      <c r="P8553" t="n">
        <v>159</v>
      </c>
      <c r="R8553" t="inlineStr">
        <is>
          <t>InStock</t>
        </is>
      </c>
      <c r="S8553" t="inlineStr">
        <is>
          <t>14.04</t>
        </is>
      </c>
      <c r="T8553" t="inlineStr">
        <is>
          <t>3683738320996</t>
        </is>
      </c>
    </row>
    <row r="8554" hidden="1" ht="15.75" customHeight="1">
      <c r="A8554" s="2">
        <f>HYPERLINK("https://edmondsonsupply.com/collections/electricians-tools/products/klein-tools-70570-grip-it%C2%AE-five-key-hex-set-inch", "https://edmondsonsupply.com/collections/electricians-tools/products/klein-tools-70570-grip-it%C2%AE-five-key-hex-set-inch")</f>
        <v/>
      </c>
      <c r="B8554" s="2">
        <f>HYPERLINK("https://edmondsonsupply.com/products/klein-tools-70570-grip-it%c2%ae-five-key-hex-set-inch", "https://edmondsonsupply.com/products/klein-tools-70570-grip-it%c2%ae-five-key-hex-set-inch")</f>
        <v/>
      </c>
      <c r="C8554" t="inlineStr">
        <is>
          <t>Klein Tools 70570 Grip-It® Hex Key Set, 5-Key, SAE Sizes</t>
        </is>
      </c>
      <c r="D8554" t="inlineStr">
        <is>
          <t>Klein Tools 70570 Grip-It Hex Key Set, 5-Key, SAE Sizes</t>
        </is>
      </c>
      <c r="E8554" s="2">
        <f>HYPERLINK("https://www.amazon.com/Grip-Five-Key-Hex-Set/dp/B0002RI8OQ/ref=sr_1_1?keywords=Klein+Tools+70570+Grip-It%C2%AE+Hex+Key+Set%2C+5-Key%2C+SAE+Sizes&amp;qid=1694735431&amp;sr=8-1", "https://www.amazon.com/Grip-Five-Key-Hex-Set/dp/B0002RI8OQ/ref=sr_1_1?keywords=Klein+Tools+70570+Grip-It%C2%AE+Hex+Key+Set%2C+5-Key%2C+SAE+Sizes&amp;qid=1694735431&amp;sr=8-1")</f>
        <v/>
      </c>
      <c r="F8554" t="inlineStr">
        <is>
          <t>B0002RI8OQ</t>
        </is>
      </c>
      <c r="G8554">
        <f>_xludf.IMAGE("https://edmondsonsupply.com/cdn/shop/products/70570.jpg?v=1587143378")</f>
        <v/>
      </c>
      <c r="H8554">
        <f>_xludf.IMAGE("https://m.media-amazon.com/images/I/5115q-e5mbL._AC_UL320_.jpg")</f>
        <v/>
      </c>
      <c r="K8554" t="inlineStr">
        <is>
          <t>9.99</t>
        </is>
      </c>
      <c r="L8554" t="n">
        <v>9.98</v>
      </c>
      <c r="M8554" s="1" t="inlineStr">
        <is>
          <t>-0.10%</t>
        </is>
      </c>
      <c r="N8554" s="1" t="n"/>
      <c r="O8554" t="n">
        <v>4.6</v>
      </c>
      <c r="P8554" t="n">
        <v>159</v>
      </c>
      <c r="R8554" t="inlineStr">
        <is>
          <t>InStock</t>
        </is>
      </c>
      <c r="S8554" t="inlineStr">
        <is>
          <t>13.66</t>
        </is>
      </c>
      <c r="T8554" t="inlineStr">
        <is>
          <t>4344501534820</t>
        </is>
      </c>
    </row>
    <row r="8555" hidden="1" ht="15.75" customHeight="1">
      <c r="A8555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555" s="2">
        <f>HYPERLINK("https://edmondsonsupply.com/products/klein-tools-601-4-3-16-cabinet-tip-screwdriver-4-round-shank", "https://edmondsonsupply.com/products/klein-tools-601-4-3-16-cabinet-tip-screwdriver-4-round-shank")</f>
        <v/>
      </c>
      <c r="C8555" t="inlineStr">
        <is>
          <t>Klein Tools 601-4 3/16-Inch Cabinet Tip Screwdriver 4-Inch</t>
        </is>
      </c>
      <c r="D8555" t="inlineStr">
        <is>
          <t>Klein Tools 612-4 Screwdriver, Flat Head Terminal Block Screwdriver, 1/8-Inch Cabinet Tip, 4-Inch Round Shank, TB-DIN</t>
        </is>
      </c>
      <c r="E8555" s="2">
        <f>HYPERLINK("https://www.amazon.com/Screwdriver-Terminal-Klein-Tools-612-4/dp/B0058I6VNE/ref=sr_1_13?keywords=Klein+Tools+601-4+3%2F16-Inch+Cabinet+Tip+Screwdriver+4-Inch&amp;qid=1694735471&amp;sr=8-13", "https://www.amazon.com/Screwdriver-Terminal-Klein-Tools-612-4/dp/B0058I6VNE/ref=sr_1_13?keywords=Klein+Tools+601-4+3%2F16-Inch+Cabinet+Tip+Screwdriver+4-Inch&amp;qid=1694735471&amp;sr=8-13")</f>
        <v/>
      </c>
      <c r="F8555" t="inlineStr">
        <is>
          <t>B0058I6VNE</t>
        </is>
      </c>
      <c r="G8555">
        <f>_xludf.IMAGE("https://edmondsonsupply.com/cdn/shop/products/601-4.jpg?v=1587147829")</f>
        <v/>
      </c>
      <c r="H8555">
        <f>_xludf.IMAGE("https://m.media-amazon.com/images/I/51APfPlk95L._AC_UL320_.jpg")</f>
        <v/>
      </c>
      <c r="K8555" t="inlineStr">
        <is>
          <t>8.98</t>
        </is>
      </c>
      <c r="L8555" t="n">
        <v>8.970000000000001</v>
      </c>
      <c r="M8555" s="1" t="inlineStr">
        <is>
          <t>-0.11%</t>
        </is>
      </c>
      <c r="N8555" s="1" t="n"/>
      <c r="O8555" t="n">
        <v>4.8</v>
      </c>
      <c r="P8555" t="n">
        <v>1953</v>
      </c>
      <c r="R8555" t="inlineStr">
        <is>
          <t>InStock</t>
        </is>
      </c>
      <c r="S8555" t="inlineStr">
        <is>
          <t>11.52</t>
        </is>
      </c>
      <c r="T8555" t="inlineStr">
        <is>
          <t>2767048900708</t>
        </is>
      </c>
    </row>
    <row r="8556" hidden="1" ht="15.75" customHeight="1">
      <c r="A8556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556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556" t="inlineStr">
        <is>
          <t>Klein Tools 630-9/16 9/16-Inch Hollow Shaft Nut Driver 4-Inch Shaft</t>
        </is>
      </c>
      <c r="D8556" t="inlineStr">
        <is>
          <t>1/4-Inch Tip Nut Driver with 3-Inch Hollow Shaft and Cushion Grip Handle Klein Tools 630-1/4</t>
        </is>
      </c>
      <c r="E8556" s="2">
        <f>HYPERLINK("https://www.amazon.com/4-Inch-Cushion-Klein-Tools-630-1/dp/B00093DZR8/ref=sr_1_13?keywords=Klein+Tools+630-9%2F16+9%2F16-Inch+Hollow+Shaft+Nut+Driver+4-Inch+Shaft&amp;qid=1694735442&amp;sr=8-13", "https://www.amazon.com/4-Inch-Cushion-Klein-Tools-630-1/dp/B00093DZR8/ref=sr_1_13?keywords=Klein+Tools+630-9%2F16+9%2F16-Inch+Hollow+Shaft+Nut+Driver+4-Inch+Shaft&amp;qid=1694735442&amp;sr=8-13")</f>
        <v/>
      </c>
      <c r="F8556" t="inlineStr">
        <is>
          <t>B00093DZR8</t>
        </is>
      </c>
      <c r="G8556">
        <f>_xludf.IMAGE("https://edmondsonsupply.com/cdn/shop/products/630-1-2_f4e6e615-6377-4eae-87c2-03b0329a1140.jpg?v=1587145137")</f>
        <v/>
      </c>
      <c r="H8556">
        <f>_xludf.IMAGE("https://m.media-amazon.com/images/I/41gchQgPtfL._AC_UL320_.jpg")</f>
        <v/>
      </c>
      <c r="K8556" t="inlineStr">
        <is>
          <t>11.99</t>
        </is>
      </c>
      <c r="L8556" t="n">
        <v>11.97</v>
      </c>
      <c r="M8556" s="1" t="inlineStr">
        <is>
          <t>-0.17%</t>
        </is>
      </c>
      <c r="N8556" s="1" t="n"/>
      <c r="O8556" t="n">
        <v>4.8</v>
      </c>
      <c r="P8556" t="n">
        <v>59</v>
      </c>
      <c r="R8556" t="inlineStr">
        <is>
          <t>InStock</t>
        </is>
      </c>
      <c r="S8556" t="inlineStr">
        <is>
          <t>18.14</t>
        </is>
      </c>
      <c r="T8556" t="inlineStr">
        <is>
          <t>4259221897316</t>
        </is>
      </c>
    </row>
    <row r="8557" ht="87" customHeight="1">
      <c r="A8557" s="2">
        <f>HYPERLINK("https://edmondsonsupply.com/collections/electricians-tools/products/klein-tools-vdv770-834-commander%E2%84%A2-test-n-map%E2%84%A2-remote-kit", "https://edmondsonsupply.com/collections/electricians-tools/products/klein-tools-vdv770-834-commander%E2%84%A2-test-n-map%E2%84%A2-remote-kit")</f>
        <v/>
      </c>
      <c r="B8557" s="2">
        <f>HYPERLINK("https://edmondsonsupply.com/products/klein-tools-vdv770-834-commander%e2%84%a2-test-n-map%e2%84%a2-remote-kit", "https://edmondsonsupply.com/products/klein-tools-vdv770-834-commander%e2%84%a2-test-n-map%e2%84%a2-remote-kit")</f>
        <v/>
      </c>
      <c r="C8557" t="inlineStr">
        <is>
          <t>Klein Tools VDV770-834 Commander™ Test-n-Map™ Remote Kit</t>
        </is>
      </c>
      <c r="D8557" t="inlineStr">
        <is>
          <t>Klein Tools VDV770-834 Network Tester Remote Kit, Commander Test-n-Map Remotes Test, Map and Identify Up to 8 Locations in One Step</t>
        </is>
      </c>
      <c r="E8557" s="2">
        <f>HYPERLINK("https://www.amazon.com/Klein-Tools-VDV770-834-Commander-Test-n-Map/dp/B00XHZX5Q6/ref=sr_1_1?keywords=Klein+Tools+VDV770-834+Commander%E2%84%A2+Test-n-Map%E2%84%A2+Remote+Kit&amp;qid=1694735435&amp;sr=8-1", "https://www.amazon.com/Klein-Tools-VDV770-834-Commander-Test-n-Map/dp/B00XHZX5Q6/ref=sr_1_1?keywords=Klein+Tools+VDV770-834+Commander%E2%84%A2+Test-n-Map%E2%84%A2+Remote+Kit&amp;qid=1694735435&amp;sr=8-1")</f>
        <v/>
      </c>
      <c r="F8557" t="inlineStr">
        <is>
          <t>B00XHZX5Q6</t>
        </is>
      </c>
      <c r="G8557">
        <f>_xlfn.IMAGE("https://edmondsonsupply.com/cdn/shop/products/vdv770-834.jpg?v=1587144728")</f>
        <v/>
      </c>
      <c r="H8557">
        <f>_xlfn.IMAGE("https://m.media-amazon.com/images/I/61ImaSSLhqS._AC_UY218_.jpg")</f>
        <v/>
      </c>
      <c r="K8557" t="inlineStr">
        <is>
          <t>159.99</t>
        </is>
      </c>
      <c r="L8557" t="n">
        <v>159.7</v>
      </c>
      <c r="M8557" s="1" t="inlineStr">
        <is>
          <t>-0.18%</t>
        </is>
      </c>
      <c r="N8557" s="7" t="n"/>
      <c r="O8557" t="n">
        <v>4.5</v>
      </c>
      <c r="P8557" t="n">
        <v>46</v>
      </c>
      <c r="R8557" t="inlineStr">
        <is>
          <t>InStock</t>
        </is>
      </c>
      <c r="S8557" t="inlineStr">
        <is>
          <t>259.44</t>
        </is>
      </c>
      <c r="T8557" t="inlineStr">
        <is>
          <t>4362760716388</t>
        </is>
      </c>
    </row>
    <row r="8558" hidden="1" ht="15.75" customHeight="1">
      <c r="A8558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558" s="2">
        <f>HYPERLINK("https://edmondsonsupply.com/products/klein-tools-601-6-3-16-inch-cabinet-tip-screwdriver-6-inch", "https://edmondsonsupply.com/products/klein-tools-601-6-3-16-inch-cabinet-tip-screwdriver-6-inch")</f>
        <v/>
      </c>
      <c r="C8558" t="inlineStr">
        <is>
          <t>Klein Tools 601-6 3/16-Inch Cabinet Tip Screwdriver 6-Inch</t>
        </is>
      </c>
      <c r="D8558" t="inlineStr">
        <is>
          <t>Klein Tools 612-4 Screwdriver, Flat Head Terminal Block Screwdriver, 1/8-Inch Cabinet Tip, 4-Inch Round Shank, TB-DIN</t>
        </is>
      </c>
      <c r="E8558" s="2">
        <f>HYPERLINK("https://www.amazon.com/Screwdriver-Terminal-Klein-Tools-612-4/dp/B0058I6VNE/ref=sr_1_25?keywords=Klein+Tools+601-6+3%2F16-Inch+Cabinet+Tip+Screwdriver+6-Inch&amp;qid=1694735470&amp;sr=8-25", "https://www.amazon.com/Screwdriver-Terminal-Klein-Tools-612-4/dp/B0058I6VNE/ref=sr_1_25?keywords=Klein+Tools+601-6+3%2F16-Inch+Cabinet+Tip+Screwdriver+6-Inch&amp;qid=1694735470&amp;sr=8-25")</f>
        <v/>
      </c>
      <c r="F8558" t="inlineStr">
        <is>
          <t>B0058I6VNE</t>
        </is>
      </c>
      <c r="G8558">
        <f>_xludf.IMAGE("https://edmondsonsupply.com/cdn/shop/products/601-6.jpg?v=1587148683")</f>
        <v/>
      </c>
      <c r="H8558">
        <f>_xludf.IMAGE("https://m.media-amazon.com/images/I/51APfPlk95L._AC_UL320_.jpg")</f>
        <v/>
      </c>
      <c r="K8558" t="inlineStr">
        <is>
          <t>8.99</t>
        </is>
      </c>
      <c r="L8558" t="n">
        <v>8.970000000000001</v>
      </c>
      <c r="M8558" s="1" t="inlineStr">
        <is>
          <t>-0.22%</t>
        </is>
      </c>
      <c r="N8558" s="1" t="n"/>
      <c r="O8558" t="n">
        <v>4.8</v>
      </c>
      <c r="P8558" t="n">
        <v>1953</v>
      </c>
      <c r="R8558" t="inlineStr">
        <is>
          <t>InStock</t>
        </is>
      </c>
      <c r="S8558" t="inlineStr">
        <is>
          <t>11.96</t>
        </is>
      </c>
      <c r="T8558" t="inlineStr">
        <is>
          <t>3689898016868</t>
        </is>
      </c>
    </row>
    <row r="8559" hidden="1" ht="15.75" customHeight="1">
      <c r="A8559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559" s="2">
        <f>HYPERLINK("https://edmondsonsupply.com/products/klein-tools-646-3-8-3-8-inch-nut-driver-6-inch-hollow-shaft", "https://edmondsonsupply.com/products/klein-tools-646-3-8-3-8-inch-nut-driver-6-inch-hollow-shaft")</f>
        <v/>
      </c>
      <c r="C8559" t="inlineStr">
        <is>
          <t>Klein Tools 646-3/8 3/8-Inch Nut Driver, 6-Inch Hollow Shaft</t>
        </is>
      </c>
      <c r="D8559" t="inlineStr">
        <is>
          <t>Jonard Tools ND-63038, Nut Driver, 3/8" Hex Tip, 3" Hollow Shaft with Wide Ergonomic Comfort Grip,Blue</t>
        </is>
      </c>
      <c r="E8559" s="2">
        <f>HYPERLINK("https://www.amazon.com/Jonard-ND-63038-Cushion-Gripped-Ergonomic/dp/B006C47ANS/ref=sr_1_22?keywords=Klein+Tools+646-3%2F8+3%2F8-Inch+Nut+Driver%2C+6-Inch+Hollow+Shaft&amp;qid=1694735435&amp;sr=8-22", "https://www.amazon.com/Jonard-ND-63038-Cushion-Gripped-Ergonomic/dp/B006C47ANS/ref=sr_1_22?keywords=Klein+Tools+646-3%2F8+3%2F8-Inch+Nut+Driver%2C+6-Inch+Hollow+Shaft&amp;qid=1694735435&amp;sr=8-22")</f>
        <v/>
      </c>
      <c r="F8559" t="inlineStr">
        <is>
          <t>B006C47ANS</t>
        </is>
      </c>
      <c r="G8559">
        <f>_xludf.IMAGE("https://edmondsonsupply.com/cdn/shop/products/646-1-2.jpg?v=1587143221")</f>
        <v/>
      </c>
      <c r="H8559">
        <f>_xludf.IMAGE("https://m.media-amazon.com/images/I/71WYDDiscPL._AC_UL320_.jpg")</f>
        <v/>
      </c>
      <c r="K8559" t="inlineStr">
        <is>
          <t>8.99</t>
        </is>
      </c>
      <c r="L8559" t="n">
        <v>8.949999999999999</v>
      </c>
      <c r="M8559" s="1" t="inlineStr">
        <is>
          <t>-0.44%</t>
        </is>
      </c>
      <c r="N8559" s="1" t="n"/>
      <c r="O8559" t="n">
        <v>4.5</v>
      </c>
      <c r="P8559" t="n">
        <v>127</v>
      </c>
      <c r="R8559" t="inlineStr">
        <is>
          <t>InStock</t>
        </is>
      </c>
      <c r="S8559" t="inlineStr">
        <is>
          <t>13.58</t>
        </is>
      </c>
      <c r="T8559" t="inlineStr">
        <is>
          <t>4341100609636</t>
        </is>
      </c>
    </row>
    <row r="8560" ht="87" customHeight="1">
      <c r="A8560" s="2">
        <f>HYPERLINK("https://edmondsonsupply.com/collections/electricians-tools/products/klein-tools-55428-tradesman-pro%E2%84%A2-electricians-tool-belt-large", "https://edmondsonsupply.com/collections/electricians-tools/products/klein-tools-55428-tradesman-pro%E2%84%A2-electricians-tool-belt-large")</f>
        <v/>
      </c>
      <c r="B8560" s="2">
        <f>HYPERLINK("https://edmondsonsupply.com/products/klein-tools-55428-tradesman-pro%e2%84%a2-electricians-tool-belt-large", "https://edmondsonsupply.com/products/klein-tools-55428-tradesman-pro%e2%84%a2-electricians-tool-belt-large")</f>
        <v/>
      </c>
      <c r="C8560" t="inlineStr">
        <is>
          <t>Klein Tools 55428 Tradesman Pro™ Electrician's Tool Belt, Large</t>
        </is>
      </c>
      <c r="D8560" t="inlineStr">
        <is>
          <t>Klein Tools 55428 Tradesman Pro Electrician's Padded Tool Belt and Tool Pouch Combo for Long-wear Comfort and Durability Size Large, Black</t>
        </is>
      </c>
      <c r="E8560" s="2">
        <f>HYPERLINK("https://www.amazon.com/Klein-Tools-55428-Electricians-Durability/dp/B00BZXA376/ref=sr_1_1?keywords=Klein+Tools+55428+Tradesman+Pro%E2%84%A2+Electrician%27s+Tool+Belt%2C+Large&amp;qid=1694735461&amp;sr=8-1", "https://www.amazon.com/Klein-Tools-55428-Electricians-Durability/dp/B00BZXA376/ref=sr_1_1?keywords=Klein+Tools+55428+Tradesman+Pro%E2%84%A2+Electrician%27s+Tool+Belt%2C+Large&amp;qid=1694735461&amp;sr=8-1")</f>
        <v/>
      </c>
      <c r="F8560" t="inlineStr">
        <is>
          <t>B00BZXA376</t>
        </is>
      </c>
      <c r="G8560">
        <f>_xlfn.IMAGE("https://edmondsonsupply.com/cdn/shop/products/55428_b.jpg?v=1670953579")</f>
        <v/>
      </c>
      <c r="H8560">
        <f>_xlfn.IMAGE("https://m.media-amazon.com/images/I/61hBX21HbTL._AC_UL320_.jpg")</f>
        <v/>
      </c>
      <c r="K8560" t="inlineStr">
        <is>
          <t>115.99</t>
        </is>
      </c>
      <c r="L8560" t="n">
        <v>115</v>
      </c>
      <c r="M8560" s="1" t="inlineStr">
        <is>
          <t>-0.85%</t>
        </is>
      </c>
      <c r="N8560" s="7" t="n"/>
      <c r="O8560" t="n">
        <v>4.3</v>
      </c>
      <c r="P8560" t="n">
        <v>527</v>
      </c>
      <c r="R8560" t="inlineStr">
        <is>
          <t>InStock</t>
        </is>
      </c>
      <c r="S8560" t="inlineStr">
        <is>
          <t>166.76</t>
        </is>
      </c>
      <c r="T8560" t="inlineStr">
        <is>
          <t>3705623642212</t>
        </is>
      </c>
    </row>
    <row r="8561" hidden="1" ht="15.75" customHeight="1">
      <c r="A8561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561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561" t="inlineStr">
        <is>
          <t>Klein Tools 646-5/16M 5/16-Inch Magnetic Nut Driver Cushion-Grip</t>
        </is>
      </c>
      <c r="D8561" t="inlineStr">
        <is>
          <t>Klein Tools 610-5/16M 5/16-Inch Magnetic Tip Nut Driver with 1-1/2-Inch Hollow Shaft and Cushion Grip Handle</t>
        </is>
      </c>
      <c r="E8561" s="2">
        <f>HYPERLINK("https://www.amazon.com/Magnetic-Klein-Tools-610-5-16M/dp/B00093DZP0/ref=sr_1_2?keywords=Klein+Tools+646-5%2F16M+5%2F16-Inch+Magnetic+Nut+Driver+Cushion-Grip&amp;qid=1694735459&amp;sr=8-2", "https://www.amazon.com/Magnetic-Klein-Tools-610-5-16M/dp/B00093DZP0/ref=sr_1_2?keywords=Klein+Tools+646-5%2F16M+5%2F16-Inch+Magnetic+Nut+Driver+Cushion-Grip&amp;qid=1694735459&amp;sr=8-2")</f>
        <v/>
      </c>
      <c r="F8561" t="inlineStr">
        <is>
          <t>B00093DZP0</t>
        </is>
      </c>
      <c r="G8561">
        <f>_xludf.IMAGE("https://edmondsonsupply.com/cdn/shop/products/646-5-16m.jpg?v=1587147720")</f>
        <v/>
      </c>
      <c r="H8561">
        <f>_xludf.IMAGE("https://m.media-amazon.com/images/I/41rQZ0-NNZL._AC_UL320_.jpg")</f>
        <v/>
      </c>
      <c r="K8561" t="inlineStr">
        <is>
          <t>11.49</t>
        </is>
      </c>
      <c r="L8561" t="n">
        <v>11.34</v>
      </c>
      <c r="M8561" s="1" t="inlineStr">
        <is>
          <t>-1.31%</t>
        </is>
      </c>
      <c r="N8561" s="1" t="n"/>
      <c r="O8561" t="n">
        <v>4.7</v>
      </c>
      <c r="P8561" t="n">
        <v>258</v>
      </c>
      <c r="R8561" t="inlineStr">
        <is>
          <t>InStock</t>
        </is>
      </c>
      <c r="S8561" t="inlineStr">
        <is>
          <t>17.4</t>
        </is>
      </c>
      <c r="T8561" t="inlineStr">
        <is>
          <t>3707846557796</t>
        </is>
      </c>
    </row>
    <row r="8562" hidden="1" ht="15.75" customHeight="1">
      <c r="A8562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562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562" t="inlineStr">
        <is>
          <t>Klein Tools JTH9E15 3/8-Inch Hex Key, Journeyman T-Handle, 9-Inch</t>
        </is>
      </c>
      <c r="D8562" t="inlineStr">
        <is>
          <t>Klein Tools JTH9M6 6 mm Hex Key, Journeyman T-Handle, 9-Inch</t>
        </is>
      </c>
      <c r="E8562" s="2">
        <f>HYPERLINK("https://www.amazon.com/Journeyman-T-Handle-Klein-Tools-JTH9M6/dp/B005G3HJKU/ref=sr_1_10?keywords=Klein+Tools+JTH9E15+3%2F8-Inch+Hex+Key%2C+Journeyman+T-Handle%2C+9-Inch&amp;qid=1694735471&amp;sr=8-10", "https://www.amazon.com/Journeyman-T-Handle-Klein-Tools-JTH9M6/dp/B005G3HJKU/ref=sr_1_10?keywords=Klein+Tools+JTH9E15+3%2F8-Inch+Hex+Key%2C+Journeyman+T-Handle%2C+9-Inch&amp;qid=1694735471&amp;sr=8-10")</f>
        <v/>
      </c>
      <c r="F8562" t="inlineStr">
        <is>
          <t>B005G3HJKU</t>
        </is>
      </c>
      <c r="G8562">
        <f>_xludf.IMAGE("https://edmondsonsupply.com/cdn/shop/products/jth9e12.jpg?v=1587144816")</f>
        <v/>
      </c>
      <c r="H8562">
        <f>_xludf.IMAGE("https://m.media-amazon.com/images/I/51+1x0vz9XL._AC_UL320_.jpg")</f>
        <v/>
      </c>
      <c r="K8562" t="inlineStr">
        <is>
          <t>9.99</t>
        </is>
      </c>
      <c r="L8562" t="n">
        <v>9.84</v>
      </c>
      <c r="M8562" s="1" t="inlineStr">
        <is>
          <t>-1.50%</t>
        </is>
      </c>
      <c r="N8562" s="1" t="n"/>
      <c r="O8562" t="n">
        <v>4.7</v>
      </c>
      <c r="P8562" t="n">
        <v>123</v>
      </c>
      <c r="R8562" t="inlineStr">
        <is>
          <t>InStock</t>
        </is>
      </c>
      <c r="S8562" t="inlineStr">
        <is>
          <t>15.22</t>
        </is>
      </c>
      <c r="T8562" t="inlineStr">
        <is>
          <t>3695779151972</t>
        </is>
      </c>
    </row>
    <row r="8563" ht="87" customHeight="1">
      <c r="A8563" s="2">
        <f>HYPERLINK("https://edmondsonsupply.com/collections/electricians-tools/products/klein-tools-j2000-9necrtp-9-side-cutting-pliers", "https://edmondsonsupply.com/collections/electricians-tools/products/klein-tools-j2000-9necrtp-9-side-cutting-pliers")</f>
        <v/>
      </c>
      <c r="B8563" s="2">
        <f>HYPERLINK("https://edmondsonsupply.com/products/klein-tools-j2000-9necrtp-9-side-cutting-pliers", "https://edmondsonsupply.com/products/klein-tools-j2000-9necrtp-9-side-cutting-pliers")</f>
        <v/>
      </c>
      <c r="C8563" t="inlineStr">
        <is>
          <t>Klein Tools J2000-9NECRTP Lineman's Pliers, Fish Tape Pull/Crimping, 9-Inch</t>
        </is>
      </c>
      <c r="D8563" t="inlineStr">
        <is>
          <t>Klein Tools J2000-9NECRTP Side Cutter Linemans Pliers with Tape Pulling and Wire Crimping, High Leverage, 9-Inch</t>
        </is>
      </c>
      <c r="E8563" s="2">
        <f>HYPERLINK("https://www.amazon.com/Linemans-Crimping-Klein-Tools-J2000-9NECRTP/dp/B0026TFRQ0/ref=sr_1_1?keywords=Klein+Tools+J2000-9NECRTP+Lineman%27s+Pliers%2C+Fish+Tape+Pull%2FCrimping%2C+9-Inch&amp;qid=1694735465&amp;sr=8-1", "https://www.amazon.com/Linemans-Crimping-Klein-Tools-J2000-9NECRTP/dp/B0026TFRQ0/ref=sr_1_1?keywords=Klein+Tools+J2000-9NECRTP+Lineman%27s+Pliers%2C+Fish+Tape+Pull%2FCrimping%2C+9-Inch&amp;qid=1694735465&amp;sr=8-1")</f>
        <v/>
      </c>
      <c r="F8563" t="inlineStr">
        <is>
          <t>B0026TFRQ0</t>
        </is>
      </c>
      <c r="G8563">
        <f>_xlfn.IMAGE("https://edmondsonsupply.com/cdn/shop/products/j20009necrtp.jpg?v=1587150652")</f>
        <v/>
      </c>
      <c r="H8563">
        <f>_xlfn.IMAGE("https://m.media-amazon.com/images/I/41ayIr+LR4L._AC_UL320_.jpg")</f>
        <v/>
      </c>
      <c r="K8563" t="inlineStr">
        <is>
          <t>59.99</t>
        </is>
      </c>
      <c r="L8563" t="n">
        <v>58.99</v>
      </c>
      <c r="M8563" s="1" t="inlineStr">
        <is>
          <t>-1.67%</t>
        </is>
      </c>
      <c r="N8563" s="7" t="n"/>
      <c r="O8563" t="n">
        <v>4.8</v>
      </c>
      <c r="P8563" t="n">
        <v>1613</v>
      </c>
      <c r="R8563" t="inlineStr">
        <is>
          <t>InStock</t>
        </is>
      </c>
      <c r="S8563" t="inlineStr">
        <is>
          <t>90.92</t>
        </is>
      </c>
      <c r="T8563" t="inlineStr">
        <is>
          <t>3698732105828</t>
        </is>
      </c>
    </row>
    <row r="8564" ht="87" customHeight="1">
      <c r="A8564" s="2">
        <f>HYPERLINK("https://edmondsonsupply.com/collections/electricians-tools/products/klein-tools-44142-compact-pocket-knife", "https://edmondsonsupply.com/collections/electricians-tools/products/klein-tools-44142-compact-pocket-knife")</f>
        <v/>
      </c>
      <c r="B8564" s="2">
        <f>HYPERLINK("https://edmondsonsupply.com/products/klein-tools-44142-compact-pocket-knife", "https://edmondsonsupply.com/products/klein-tools-44142-compact-pocket-knife")</f>
        <v/>
      </c>
      <c r="C8564" t="inlineStr">
        <is>
          <t>Klein Tools 44142 Compact Pocket Knife</t>
        </is>
      </c>
      <c r="D8564" t="inlineStr">
        <is>
          <t>Klein Tools 44142 Compact Pocket Knife,Black</t>
        </is>
      </c>
      <c r="E8564" s="2">
        <f>HYPERLINK("https://www.amazon.com/Compact-Pocket-Klein-Tools-44142/dp/B018CLFEX6/ref=sr_1_1?keywords=Klein+Tools+44142+Compact+Pocket+Knife&amp;qid=1694735457&amp;sr=8-1", "https://www.amazon.com/Compact-Pocket-Klein-Tools-44142/dp/B018CLFEX6/ref=sr_1_1?keywords=Klein+Tools+44142+Compact+Pocket+Knife&amp;qid=1694735457&amp;sr=8-1")</f>
        <v/>
      </c>
      <c r="F8564" t="inlineStr">
        <is>
          <t>B018CLFEX6</t>
        </is>
      </c>
      <c r="G8564">
        <f>_xlfn.IMAGE("https://edmondsonsupply.com/cdn/shop/products/44142.jpg?v=1587143554")</f>
        <v/>
      </c>
      <c r="H8564">
        <f>_xlfn.IMAGE("https://m.media-amazon.com/images/I/515Bk2pWqfL._AC_UL320_.jpg")</f>
        <v/>
      </c>
      <c r="K8564" t="inlineStr">
        <is>
          <t>22.99</t>
        </is>
      </c>
      <c r="L8564" t="n">
        <v>22.53</v>
      </c>
      <c r="M8564" s="1" t="inlineStr">
        <is>
          <t>-2.00%</t>
        </is>
      </c>
      <c r="N8564" s="7" t="n"/>
      <c r="O8564" t="n">
        <v>4.7</v>
      </c>
      <c r="P8564" t="n">
        <v>67</v>
      </c>
      <c r="R8564" t="inlineStr">
        <is>
          <t>InStock</t>
        </is>
      </c>
      <c r="S8564" t="inlineStr">
        <is>
          <t>33.76</t>
        </is>
      </c>
      <c r="T8564" t="inlineStr">
        <is>
          <t>4091756871780</t>
        </is>
      </c>
    </row>
    <row r="8565" ht="87" customHeight="1">
      <c r="A8565" s="2">
        <f>HYPERLINK("https://edmondsonsupply.com/collections/electricians-tools/products/klein-tools-cl800-digital-clamp-meter-ac-dc-auto-ranging-600a-trms", "https://edmondsonsupply.com/collections/electricians-tools/products/klein-tools-cl800-digital-clamp-meter-ac-dc-auto-ranging-600a-trms")</f>
        <v/>
      </c>
      <c r="B8565" s="2">
        <f>HYPERLINK("https://edmondsonsupply.com/products/klein-tools-cl800-digital-clamp-meter-ac-dc-auto-ranging-600a-trms", "https://edmondsonsupply.com/products/klein-tools-cl800-digital-clamp-meter-ac-dc-auto-ranging-600a-trms")</f>
        <v/>
      </c>
      <c r="C8565" t="inlineStr">
        <is>
          <t>Klein Tools CL800 Digital Clamp Meter, AC Auto-Range TRMS, Low Impedance (LoZ), Auto Off</t>
        </is>
      </c>
      <c r="D8565" t="inlineStr">
        <is>
          <t>Klein Tools CL800 Digital Clamp Meter, Autoranging TRMS, AC/DC Volt/Current, LoZ, Continuity, Frequency, Capacitance, NCVT, Temp, More 1000V &amp; 69417 Rare-Earth Magnetic Hanger, with Strap</t>
        </is>
      </c>
      <c r="E8565" s="2">
        <f>HYPERLINK("https://www.amazon.com/Klein-Tools-Auto-Ranging-Impedance-Measures/dp/B08MG1RGM4/ref=sr_1_7?keywords=Klein+Tools+CL800+Digital+Clamp+Meter%2C+AC+Auto-Range+TRMS%2C+Low+Impedance+%28LoZ%29%2C+Auto+Off&amp;qid=1694735484&amp;sr=8-7", "https://www.amazon.com/Klein-Tools-Auto-Ranging-Impedance-Measures/dp/B08MG1RGM4/ref=sr_1_7?keywords=Klein+Tools+CL800+Digital+Clamp+Meter%2C+AC+Auto-Range+TRMS%2C+Low+Impedance+%28LoZ%29%2C+Auto+Off&amp;qid=1694735484&amp;sr=8-7")</f>
        <v/>
      </c>
      <c r="F8565" t="inlineStr">
        <is>
          <t>B08MG1RGM4</t>
        </is>
      </c>
      <c r="G8565">
        <f>_xlfn.IMAGE("https://edmondsonsupply.com/cdn/shop/products/cl800_alt1.jpg?v=1592095173")</f>
        <v/>
      </c>
      <c r="H8565">
        <f>_xlfn.IMAGE("https://m.media-amazon.com/images/I/51zWKsjrJKL._AC_UY218_.jpg")</f>
        <v/>
      </c>
      <c r="K8565" t="inlineStr">
        <is>
          <t>129.97</t>
        </is>
      </c>
      <c r="L8565" t="n">
        <v>127.21</v>
      </c>
      <c r="M8565" s="1" t="inlineStr">
        <is>
          <t>-2.12%</t>
        </is>
      </c>
      <c r="N8565" s="7" t="n"/>
      <c r="O8565" t="n">
        <v>4.7</v>
      </c>
      <c r="P8565" t="n">
        <v>44</v>
      </c>
      <c r="R8565" t="inlineStr">
        <is>
          <t>InStock</t>
        </is>
      </c>
      <c r="S8565" t="inlineStr">
        <is>
          <t>187.5</t>
        </is>
      </c>
      <c r="T8565" t="inlineStr">
        <is>
          <t>3693613875300</t>
        </is>
      </c>
    </row>
    <row r="8566" ht="87" customHeight="1">
      <c r="A8566" s="2">
        <f>HYPERLINK("https://edmondsonsupply.com/collections/electricians-tools/products/klein-tools-vdv226-107-compact-ratcheting-modular-crimper", "https://edmondsonsupply.com/collections/electricians-tools/products/klein-tools-vdv226-107-compact-ratcheting-modular-crimper")</f>
        <v/>
      </c>
      <c r="B8566" s="2">
        <f>HYPERLINK("https://edmondsonsupply.com/products/klein-tools-vdv226-107-compact-ratcheting-modular-crimper", "https://edmondsonsupply.com/products/klein-tools-vdv226-107-compact-ratcheting-modular-crimper")</f>
        <v/>
      </c>
      <c r="C8566" t="inlineStr">
        <is>
          <t>Klein Tools VDV226-107 Ratcheting Data Cable Crimper / Stripper / Cutter, Compact</t>
        </is>
      </c>
      <c r="D8566" t="inlineStr">
        <is>
          <t>Klein Tools VDV226-107 Compact Ratcheting Modular Data Cable Crimper / Wire Stripper / Wire Cutter, CAT6, CAT5, CAT3, Flat-Satin Voice Cable</t>
        </is>
      </c>
      <c r="E8566" s="2">
        <f>HYPERLINK("https://www.amazon.com/Ratcheting-Stripper-Klein-Tools-VDV226-107/dp/B00F6K5SY2/ref=sr_1_1?keywords=Klein+Tools+VDV226-107+Ratcheting+Data+Cable+Crimper+%2F+Stripper+%2F+Cutter%2C+Compact&amp;qid=1694735446&amp;sr=8-1", "https://www.amazon.com/Ratcheting-Stripper-Klein-Tools-VDV226-107/dp/B00F6K5SY2/ref=sr_1_1?keywords=Klein+Tools+VDV226-107+Ratcheting+Data+Cable+Crimper+%2F+Stripper+%2F+Cutter%2C+Compact&amp;qid=1694735446&amp;sr=8-1")</f>
        <v/>
      </c>
      <c r="F8566" t="inlineStr">
        <is>
          <t>B00F6K5SY2</t>
        </is>
      </c>
      <c r="G8566">
        <f>_xlfn.IMAGE("https://edmondsonsupply.com/cdn/shop/products/vdv226-107.jpg?v=1587150662")</f>
        <v/>
      </c>
      <c r="H8566">
        <f>_xlfn.IMAGE("https://m.media-amazon.com/images/I/71Qk0pbF2XS._AC_UL320_.jpg")</f>
        <v/>
      </c>
      <c r="K8566" t="inlineStr">
        <is>
          <t>34.99</t>
        </is>
      </c>
      <c r="L8566" t="n">
        <v>33.99</v>
      </c>
      <c r="M8566" s="1" t="inlineStr">
        <is>
          <t>-2.86%</t>
        </is>
      </c>
      <c r="N8566" s="7" t="n"/>
      <c r="O8566" t="n">
        <v>4.6</v>
      </c>
      <c r="P8566" t="n">
        <v>2836</v>
      </c>
      <c r="R8566" t="inlineStr">
        <is>
          <t>InStock</t>
        </is>
      </c>
      <c r="S8566" t="inlineStr">
        <is>
          <t>51.5</t>
        </is>
      </c>
      <c r="T8566" t="inlineStr">
        <is>
          <t>4172359630948</t>
        </is>
      </c>
    </row>
    <row r="8567" hidden="1" ht="15.75" customHeight="1">
      <c r="A8567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567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567" t="inlineStr">
        <is>
          <t>Klein Tools JTH6M6 6 mm Hex Key, Journeyman T-Handle, 6-Inch</t>
        </is>
      </c>
      <c r="D8567" t="inlineStr">
        <is>
          <t>Klein Tools JTH6M6 6 mm Hex Key with Journeyman T-Handle, 6-Inch</t>
        </is>
      </c>
      <c r="E8567" s="2">
        <f>HYPERLINK("https://www.amazon.com/Journeyman-T-Handle-Klein-Tools-JTH6M6/dp/B005G395G6/ref=sr_1_1?keywords=Klein+Tools+JTH6M6+6+mm+Hex+Key%2C+Journeyman+T-Handle%2C+6-Inch&amp;qid=1694735472&amp;sr=8-1", "https://www.amazon.com/Journeyman-T-Handle-Klein-Tools-JTH6M6/dp/B005G395G6/ref=sr_1_1?keywords=Klein+Tools+JTH6M6+6+mm+Hex+Key%2C+Journeyman+T-Handle%2C+6-Inch&amp;qid=1694735472&amp;sr=8-1")</f>
        <v/>
      </c>
      <c r="F8567" t="inlineStr">
        <is>
          <t>B005G395G6</t>
        </is>
      </c>
      <c r="G8567">
        <f>_xludf.IMAGE("https://edmondsonsupply.com/cdn/shop/products/jth6m8_f0088b53-c3db-4dc3-9272-8f65ecc1b648.jpg?v=1587147556")</f>
        <v/>
      </c>
      <c r="H8567">
        <f>_xludf.IMAGE("https://m.media-amazon.com/images/I/51+1x0vz9XL._AC_UL320_.jpg")</f>
        <v/>
      </c>
      <c r="K8567" t="inlineStr">
        <is>
          <t>4.99</t>
        </is>
      </c>
      <c r="L8567" t="n">
        <v>4.84</v>
      </c>
      <c r="M8567" s="1" t="inlineStr">
        <is>
          <t>-3.01%</t>
        </is>
      </c>
      <c r="N8567" s="1" t="n"/>
      <c r="O8567" t="n">
        <v>4.7</v>
      </c>
      <c r="P8567" t="n">
        <v>1530</v>
      </c>
      <c r="R8567" t="inlineStr">
        <is>
          <t>InStock</t>
        </is>
      </c>
      <c r="S8567" t="inlineStr">
        <is>
          <t>7.56</t>
        </is>
      </c>
      <c r="T8567" t="inlineStr">
        <is>
          <t>3694875246692</t>
        </is>
      </c>
    </row>
    <row r="8568" hidden="1" ht="15.75" customHeight="1">
      <c r="A8568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568" s="2">
        <f>HYPERLINK("https://edmondsonsupply.com/products/klein-tools-600-1-5-16-inch-cabinet-tip-screwdriver-1-1-2-inch", "https://edmondsonsupply.com/products/klein-tools-600-1-5-16-inch-cabinet-tip-screwdriver-1-1-2-inch")</f>
        <v/>
      </c>
      <c r="C8568" t="inlineStr">
        <is>
          <t>Klein Tools 600-1 5/16-Inch Cabinet Tip Screwdriver 1-1/2-Inch</t>
        </is>
      </c>
      <c r="D8568" t="inlineStr">
        <is>
          <t>Klein Tools 600-1 5/16-Inch Flat Head Screwdriver with Cabinet Tip, 1-1/2-Inch Heavy Duty Round Shank and Cushion Grip Handle</t>
        </is>
      </c>
      <c r="E8568" s="2">
        <f>HYPERLINK("https://www.amazon.com/Klein-Tools-600-1-16-Inch-Screwdriver/dp/B0002G2OOC/ref=sr_1_1?keywords=Klein+Tools+600-1+5%2F16-Inch+Cabinet+Tip+Screwdriver+1-1%2F2-Inch&amp;qid=1694735453&amp;sr=8-1", "https://www.amazon.com/Klein-Tools-600-1-16-Inch-Screwdriver/dp/B0002G2OOC/ref=sr_1_1?keywords=Klein+Tools+600-1+5%2F16-Inch+Cabinet+Tip+Screwdriver+1-1%2F2-Inch&amp;qid=1694735453&amp;sr=8-1")</f>
        <v/>
      </c>
      <c r="F8568" t="inlineStr">
        <is>
          <t>B0002G2OOC</t>
        </is>
      </c>
      <c r="G8568">
        <f>_xludf.IMAGE("https://edmondsonsupply.com/cdn/shop/products/600-1.jpg?v=1587147752")</f>
        <v/>
      </c>
      <c r="H8568">
        <f>_xludf.IMAGE("https://m.media-amazon.com/images/I/414W04RiVwL._AC_UL320_.jpg")</f>
        <v/>
      </c>
      <c r="K8568" t="inlineStr">
        <is>
          <t>7.49</t>
        </is>
      </c>
      <c r="L8568" t="n">
        <v>7.26</v>
      </c>
      <c r="M8568" s="1" t="inlineStr">
        <is>
          <t>-3.07%</t>
        </is>
      </c>
      <c r="N8568" s="1" t="n"/>
      <c r="O8568" t="n">
        <v>4.7</v>
      </c>
      <c r="P8568" t="n">
        <v>95</v>
      </c>
      <c r="R8568" t="inlineStr">
        <is>
          <t>InStock</t>
        </is>
      </c>
      <c r="S8568" t="inlineStr">
        <is>
          <t>11.22</t>
        </is>
      </c>
      <c r="T8568" t="inlineStr">
        <is>
          <t>4171360403556</t>
        </is>
      </c>
    </row>
    <row r="8569" ht="87" customHeight="1">
      <c r="A8569" s="2">
        <f>HYPERLINK("https://edmondsonsupply.com/collections/electricians-tools/products/klein-tools-bat20-716-7-16-impact-wrench-tool-only", "https://edmondsonsupply.com/collections/electricians-tools/products/klein-tools-bat20-716-7-16-impact-wrench-tool-only")</f>
        <v/>
      </c>
      <c r="B8569" s="2">
        <f>HYPERLINK("https://edmondsonsupply.com/products/klein-tools-bat20-716-7-16-impact-wrench-tool-only", "https://edmondsonsupply.com/products/klein-tools-bat20-716-7-16-impact-wrench-tool-only")</f>
        <v/>
      </c>
      <c r="C8569" t="inlineStr">
        <is>
          <t>Klein Tools BAT20-716 7/16'' Impact Wrench, Tool Only</t>
        </is>
      </c>
      <c r="D8569" t="inlineStr">
        <is>
          <t>Klein Tools BAT20-716 Battery-Operated Impact Wrench, 7/16-Inch, Tool Only</t>
        </is>
      </c>
      <c r="E8569" s="2">
        <f>HYPERLINK("https://www.amazon.com/Battery-Operated-16-Inch-Klein-Tools-BAT20-716/dp/B079FN34SX/ref=sr_1_1?keywords=Klein+Tools+BAT20-716+7%2F16+Impact+Wrench%2C+Tool+Only&amp;qid=1694735434&amp;sr=8-1", "https://www.amazon.com/Battery-Operated-16-Inch-Klein-Tools-BAT20-716/dp/B079FN34SX/ref=sr_1_1?keywords=Klein+Tools+BAT20-716+7%2F16+Impact+Wrench%2C+Tool+Only&amp;qid=1694735434&amp;sr=8-1")</f>
        <v/>
      </c>
      <c r="F8569" t="inlineStr">
        <is>
          <t>B079FN34SX</t>
        </is>
      </c>
      <c r="G8569">
        <f>_xlfn.IMAGE("https://edmondsonsupply.com/cdn/shop/products/bat20716.jpg?v=1587142993")</f>
        <v/>
      </c>
      <c r="H8569">
        <f>_xlfn.IMAGE("https://m.media-amazon.com/images/I/51m1yDPkp5L._AC_UL320_.jpg")</f>
        <v/>
      </c>
      <c r="K8569" t="inlineStr">
        <is>
          <t>255.96</t>
        </is>
      </c>
      <c r="L8569" t="n">
        <v>247.3</v>
      </c>
      <c r="M8569" s="1" t="inlineStr">
        <is>
          <t>-3.38%</t>
        </is>
      </c>
      <c r="N8569" s="7" t="n"/>
      <c r="O8569" t="n">
        <v>4.5</v>
      </c>
      <c r="P8569" t="n">
        <v>83</v>
      </c>
      <c r="R8569" t="inlineStr">
        <is>
          <t>InStock</t>
        </is>
      </c>
      <c r="S8569" t="inlineStr">
        <is>
          <t>430.1</t>
        </is>
      </c>
      <c r="T8569" t="inlineStr">
        <is>
          <t>4335249981540</t>
        </is>
      </c>
    </row>
    <row r="8570" ht="87" customHeight="1">
      <c r="A8570" s="2">
        <f>HYPERLINK("https://edmondsonsupply.com/collections/electricians-tools/products/klein-tools-26001-all-purpose-electricians-scissors", "https://edmondsonsupply.com/collections/electricians-tools/products/klein-tools-26001-all-purpose-electricians-scissors")</f>
        <v/>
      </c>
      <c r="B8570" s="2">
        <f>HYPERLINK("https://edmondsonsupply.com/products/klein-tools-26001-all-purpose-electricians-scissors", "https://edmondsonsupply.com/products/klein-tools-26001-all-purpose-electricians-scissors")</f>
        <v/>
      </c>
      <c r="C8570" t="inlineStr">
        <is>
          <t>Klein Tools 26001 All-Purpose Electrician's Scissors</t>
        </is>
      </c>
      <c r="D8570" t="inlineStr">
        <is>
          <t>Klein Tools 26001 Scissors, All-Purpose Electrician's Scissors with Cable Cutting Notch, Serrated Blades, Deburr Notch, 6.75-Inch</t>
        </is>
      </c>
      <c r="E8570" s="2">
        <f>HYPERLINK("https://www.amazon.com/All-Purpose-Electricians-Klein-Tools-26001/dp/B0774S9JFS/ref=sr_1_1?keywords=Klein+Tools+26001+All-Purpose+Electrician%27s+Scissors&amp;qid=1694735441&amp;sr=8-1", "https://www.amazon.com/All-Purpose-Electricians-Klein-Tools-26001/dp/B0774S9JFS/ref=sr_1_1?keywords=Klein+Tools+26001+All-Purpose+Electrician%27s+Scissors&amp;qid=1694735441&amp;sr=8-1")</f>
        <v/>
      </c>
      <c r="F8570" t="inlineStr">
        <is>
          <t>B0774S9JFS</t>
        </is>
      </c>
      <c r="G8570">
        <f>_xlfn.IMAGE("https://edmondsonsupply.com/cdn/shop/products/26001.jpg?v=1587143781")</f>
        <v/>
      </c>
      <c r="H8570">
        <f>_xlfn.IMAGE("https://m.media-amazon.com/images/I/512D8A1E+cL._AC_UL320_.jpg")</f>
        <v/>
      </c>
      <c r="K8570" t="inlineStr">
        <is>
          <t>27.99</t>
        </is>
      </c>
      <c r="L8570" t="n">
        <v>26.97</v>
      </c>
      <c r="M8570" s="1" t="inlineStr">
        <is>
          <t>-3.64%</t>
        </is>
      </c>
      <c r="N8570" s="7" t="n"/>
      <c r="O8570" t="n">
        <v>4.7</v>
      </c>
      <c r="P8570" t="n">
        <v>837</v>
      </c>
      <c r="R8570" t="inlineStr">
        <is>
          <t>InStock</t>
        </is>
      </c>
      <c r="S8570" t="inlineStr">
        <is>
          <t>37.58</t>
        </is>
      </c>
      <c r="T8570" t="inlineStr">
        <is>
          <t>4299956977764</t>
        </is>
      </c>
    </row>
    <row r="8571" hidden="1" ht="15.75" customHeight="1">
      <c r="A8571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571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571" t="inlineStr">
        <is>
          <t>Klein Tools 630-9/16 9/16-Inch Hollow Shaft Nut Driver 4-Inch Shaft</t>
        </is>
      </c>
      <c r="D8571" t="inlineStr">
        <is>
          <t>Klein Tools 630-4.5MM 4.5 mm Nut Driver with 3-Inch Hollow Shaft and Cushion Grip Handle</t>
        </is>
      </c>
      <c r="E8571" s="2">
        <f>HYPERLINK("https://www.amazon.com/Klein-Tools-630-4-5MM-Driver-Cushion/dp/B0009OTGSY/ref=sr_1_21?keywords=Klein+Tools+630-9%2F16+9%2F16-Inch+Hollow+Shaft+Nut+Driver+4-Inch+Shaft&amp;qid=1694735442&amp;sr=8-21", "https://www.amazon.com/Klein-Tools-630-4-5MM-Driver-Cushion/dp/B0009OTGSY/ref=sr_1_21?keywords=Klein+Tools+630-9%2F16+9%2F16-Inch+Hollow+Shaft+Nut+Driver+4-Inch+Shaft&amp;qid=1694735442&amp;sr=8-21")</f>
        <v/>
      </c>
      <c r="F8571" t="inlineStr">
        <is>
          <t>B0009OTGSY</t>
        </is>
      </c>
      <c r="G8571">
        <f>_xludf.IMAGE("https://edmondsonsupply.com/cdn/shop/products/630-1-2_f4e6e615-6377-4eae-87c2-03b0329a1140.jpg?v=1587145137")</f>
        <v/>
      </c>
      <c r="H8571">
        <f>_xludf.IMAGE("https://m.media-amazon.com/images/I/51J7GyuS2WL._AC_UL320_.jpg")</f>
        <v/>
      </c>
      <c r="K8571" t="inlineStr">
        <is>
          <t>11.99</t>
        </is>
      </c>
      <c r="L8571" t="n">
        <v>11.53</v>
      </c>
      <c r="M8571" s="1" t="inlineStr">
        <is>
          <t>-3.84%</t>
        </is>
      </c>
      <c r="N8571" s="1" t="n"/>
      <c r="O8571" t="n">
        <v>4.8</v>
      </c>
      <c r="P8571" t="n">
        <v>1115</v>
      </c>
      <c r="R8571" t="inlineStr">
        <is>
          <t>InStock</t>
        </is>
      </c>
      <c r="S8571" t="inlineStr">
        <is>
          <t>18.14</t>
        </is>
      </c>
      <c r="T8571" t="inlineStr">
        <is>
          <t>4259221897316</t>
        </is>
      </c>
    </row>
    <row r="8572" ht="87" customHeight="1">
      <c r="A8572" s="2">
        <f>HYPERLINK("https://edmondsonsupply.com/collections/electricians-tools/products/klein-tools-55563-tradesman-pro%E2%84%A2-camo-phone-holder-large", "https://edmondsonsupply.com/collections/electricians-tools/products/klein-tools-55563-tradesman-pro%E2%84%A2-camo-phone-holder-large")</f>
        <v/>
      </c>
      <c r="B8572" s="2">
        <f>HYPERLINK("https://edmondsonsupply.com/products/klein-tools-55563-tradesman-pro%e2%84%a2-camo-phone-holder-large", "https://edmondsonsupply.com/products/klein-tools-55563-tradesman-pro%e2%84%a2-camo-phone-holder-large")</f>
        <v/>
      </c>
      <c r="C8572" t="inlineStr">
        <is>
          <t>Klein Tools 55563 Tradesman Pro™ Camo Phone Holder, Large</t>
        </is>
      </c>
      <c r="D8572" t="inlineStr">
        <is>
          <t>Klein Tools 55563 Tradesman Pro Camo Phone Holder, Large</t>
        </is>
      </c>
      <c r="E8572" s="2">
        <f>HYPERLINK("https://www.amazon.com/Klein-Tools-55563-Tradesman-Holder/dp/B0163ONHTW/ref=sr_1_1?keywords=Klein+Tools+55563+Tradesman+Pro%E2%84%A2+Camo+Phone+Holder%2C+Large&amp;qid=1694735445&amp;sr=8-1", "https://www.amazon.com/Klein-Tools-55563-Tradesman-Holder/dp/B0163ONHTW/ref=sr_1_1?keywords=Klein+Tools+55563+Tradesman+Pro%E2%84%A2+Camo+Phone+Holder%2C+Large&amp;qid=1694735445&amp;sr=8-1")</f>
        <v/>
      </c>
      <c r="F8572" t="inlineStr">
        <is>
          <t>B0163ONHTW</t>
        </is>
      </c>
      <c r="G8572">
        <f>_xlfn.IMAGE("https://edmondsonsupply.com/cdn/shop/products/55563.jpg?v=1587145295")</f>
        <v/>
      </c>
      <c r="H8572">
        <f>_xlfn.IMAGE("https://m.media-amazon.com/images/I/71RPkYrvayL._AC_UL320_.jpg")</f>
        <v/>
      </c>
      <c r="K8572" t="inlineStr">
        <is>
          <t>24.99</t>
        </is>
      </c>
      <c r="L8572" t="n">
        <v>23.99</v>
      </c>
      <c r="M8572" s="1" t="inlineStr">
        <is>
          <t>-4.00%</t>
        </is>
      </c>
      <c r="N8572" s="7" t="n"/>
      <c r="O8572" t="n">
        <v>4.6</v>
      </c>
      <c r="P8572" t="n">
        <v>884</v>
      </c>
      <c r="R8572" t="inlineStr">
        <is>
          <t>InStock</t>
        </is>
      </c>
      <c r="S8572" t="inlineStr">
        <is>
          <t>37.88</t>
        </is>
      </c>
      <c r="T8572" t="inlineStr">
        <is>
          <t>4300626264164</t>
        </is>
      </c>
    </row>
    <row r="8573" ht="87" customHeight="1">
      <c r="A8573" s="2">
        <f>HYPERLINK("https://edmondsonsupply.com/collections/electricians-tools/products/klein-tools-21050-large-cable-stripper-750-350-mcm", "https://edmondsonsupply.com/collections/electricians-tools/products/klein-tools-21050-large-cable-stripper-750-350-mcm")</f>
        <v/>
      </c>
      <c r="B8573" s="2">
        <f>HYPERLINK("https://edmondsonsupply.com/products/klein-tools-21050-large-cable-stripper-750-350-mcm", "https://edmondsonsupply.com/products/klein-tools-21050-large-cable-stripper-750-350-mcm")</f>
        <v/>
      </c>
      <c r="C8573" t="inlineStr">
        <is>
          <t>Klein Tools 21050 Large Cable Stripper (750 - 350 MCM)</t>
        </is>
      </c>
      <c r="D8573" t="inlineStr">
        <is>
          <t>Klein Tools 21050 Large Cable Stripper (750-350 MCM)</t>
        </is>
      </c>
      <c r="E8573" s="2">
        <f>HYPERLINK("https://www.amazon.com/Stripper-750-350-Klein-Tools-21050/dp/B07D7SRVVT/ref=sr_1_1?keywords=Klein+Tools+21050+Large+Cable+Stripper+%28750+-+350+MCM%29&amp;qid=1694735465&amp;sr=8-1", "https://www.amazon.com/Stripper-750-350-Klein-Tools-21050/dp/B07D7SRVVT/ref=sr_1_1?keywords=Klein+Tools+21050+Large+Cable+Stripper+%28750+-+350+MCM%29&amp;qid=1694735465&amp;sr=8-1")</f>
        <v/>
      </c>
      <c r="F8573" t="inlineStr">
        <is>
          <t>B07D7SRVVT</t>
        </is>
      </c>
      <c r="G8573">
        <f>_xlfn.IMAGE("https://edmondsonsupply.com/cdn/shop/products/21050.jpg?v=1587146906")</f>
        <v/>
      </c>
      <c r="H8573">
        <f>_xlfn.IMAGE("https://m.media-amazon.com/images/I/61UBS+nlBbL._AC_UL320_.jpg")</f>
        <v/>
      </c>
      <c r="K8573" t="inlineStr">
        <is>
          <t>64.99</t>
        </is>
      </c>
      <c r="L8573" t="n">
        <v>61.99</v>
      </c>
      <c r="M8573" s="1" t="inlineStr">
        <is>
          <t>-4.62%</t>
        </is>
      </c>
      <c r="N8573" s="7" t="n"/>
      <c r="O8573" t="n">
        <v>4.5</v>
      </c>
      <c r="P8573" t="n">
        <v>982</v>
      </c>
      <c r="R8573" t="inlineStr">
        <is>
          <t>InStock</t>
        </is>
      </c>
      <c r="S8573" t="inlineStr">
        <is>
          <t>91.18</t>
        </is>
      </c>
      <c r="T8573" t="inlineStr">
        <is>
          <t>1723414577252</t>
        </is>
      </c>
    </row>
    <row r="8574" hidden="1" ht="15.75" customHeight="1">
      <c r="A8574" s="2">
        <f>HYPERLINK("https://edmondsonsupply.com/collections/electricians-tools/products/klein-tools-jth6e09-9-64-inch-hex-key-journeyman-t-handle-6-inch", "https://edmondsonsupply.com/collections/electricians-tools/products/klein-tools-jth6e09-9-64-inch-hex-key-journeyman-t-handle-6-inch")</f>
        <v/>
      </c>
      <c r="B8574" s="2">
        <f>HYPERLINK("https://edmondsonsupply.com/products/klein-tools-jth6e09-9-64-inch-hex-key-journeyman-t-handle-6-inch", "https://edmondsonsupply.com/products/klein-tools-jth6e09-9-64-inch-hex-key-journeyman-t-handle-6-inch")</f>
        <v/>
      </c>
      <c r="C8574" t="inlineStr">
        <is>
          <t>Klein Tools JTH6E09 9/64-Inch Hex Key, Journeyman T-Handle, 6-Inch</t>
        </is>
      </c>
      <c r="D8574" t="inlineStr">
        <is>
          <t>Klein Tools JTH6E09 9/64-Inch Hex Key with Journeyman T-Handle, 6-Inch</t>
        </is>
      </c>
      <c r="E8574" s="2">
        <f>HYPERLINK("https://www.amazon.com/Journeyman-T-Handle-Klein-Tools-JTH6E09/dp/B004N63M5M/ref=sr_1_1?keywords=Klein+Tools+JTH6E09+9%2F64-Inch+Hex+Key%2C+Journeyman+T-Handle%2C+6-Inch&amp;qid=1694735431&amp;sr=8-1", "https://www.amazon.com/Journeyman-T-Handle-Klein-Tools-JTH6E09/dp/B004N63M5M/ref=sr_1_1?keywords=Klein+Tools+JTH6E09+9%2F64-Inch+Hex+Key%2C+Journeyman+T-Handle%2C+6-Inch&amp;qid=1694735431&amp;sr=8-1")</f>
        <v/>
      </c>
      <c r="F8574" t="inlineStr">
        <is>
          <t>B004N63M5M</t>
        </is>
      </c>
      <c r="G8574">
        <f>_xludf.IMAGE("https://edmondsonsupply.com/cdn/shop/products/jth6e15_bef890d0-fa69-4c40-acf7-922fc3acaacb.jpg?v=1587142823")</f>
        <v/>
      </c>
      <c r="H8574">
        <f>_xludf.IMAGE("https://m.media-amazon.com/images/I/51Yb8h41vLL._AC_UL320_.jpg")</f>
        <v/>
      </c>
      <c r="K8574" t="inlineStr">
        <is>
          <t>3.99</t>
        </is>
      </c>
      <c r="L8574" t="n">
        <v>3.8</v>
      </c>
      <c r="M8574" s="1" t="inlineStr">
        <is>
          <t>-4.76%</t>
        </is>
      </c>
      <c r="N8574" s="1" t="n"/>
      <c r="O8574" t="n">
        <v>4.8</v>
      </c>
      <c r="P8574" t="n">
        <v>2477</v>
      </c>
      <c r="R8574" t="inlineStr">
        <is>
          <t>InStock</t>
        </is>
      </c>
      <c r="S8574" t="inlineStr">
        <is>
          <t>6.04</t>
        </is>
      </c>
      <c r="T8574" t="inlineStr">
        <is>
          <t>4339809386596</t>
        </is>
      </c>
    </row>
    <row r="8575" ht="87" customHeight="1">
      <c r="A8575" s="2">
        <f>HYPERLINK("https://edmondsonsupply.com/collections/electricians-tools/products/klein-tools-1019-klein-kurve%C2%AE-wire-stripper-crimper-multi-tool", "https://edmondsonsupply.com/collections/electricians-tools/products/klein-tools-1019-klein-kurve%C2%AE-wire-stripper-crimper-multi-tool")</f>
        <v/>
      </c>
      <c r="B8575" s="2">
        <f>HYPERLINK("https://edmondsonsupply.com/products/klein-tools-1019-klein-kurve%c2%ae-wire-stripper-crimper-multi-tool", "https://edmondsonsupply.com/products/klein-tools-1019-klein-kurve%c2%ae-wire-stripper-crimper-multi-tool")</f>
        <v/>
      </c>
      <c r="C8575" t="inlineStr">
        <is>
          <t>Klein Tools 1019 Klein-Kurve® Wire Stripper / Crimper / Cutter Multi Tool</t>
        </is>
      </c>
      <c r="D8575" t="inlineStr">
        <is>
          <t>Klein Tools 1009 Multi Tool, Wire Stripper, Crimping Tool, Wire Cutter, Long-Nose Multi-Purpose Electrician Tool,Gray/Yellow</t>
        </is>
      </c>
      <c r="E8575" s="2">
        <f>HYPERLINK("https://www.amazon.com/Crimping-Stripping-Klein-Tools-1009/dp/B079T9Q9X8/ref=sr_1_5?keywords=Klein+Tools+1019+Klein-Kurve%C2%AE+Wire+Stripper+%2F+Crimper+%2F+Cutter+Multi+Tool&amp;qid=1694735475&amp;sr=8-5", "https://www.amazon.com/Crimping-Stripping-Klein-Tools-1009/dp/B079T9Q9X8/ref=sr_1_5?keywords=Klein+Tools+1019+Klein-Kurve%C2%AE+Wire+Stripper+%2F+Crimper+%2F+Cutter+Multi+Tool&amp;qid=1694735475&amp;sr=8-5")</f>
        <v/>
      </c>
      <c r="F8575" t="inlineStr">
        <is>
          <t>B079T9Q9X8</t>
        </is>
      </c>
      <c r="G8575">
        <f>_xlfn.IMAGE("https://edmondsonsupply.com/cdn/shop/products/1019.jpg?v=1587148776")</f>
        <v/>
      </c>
      <c r="H8575">
        <f>_xlfn.IMAGE("https://m.media-amazon.com/images/I/51ktpyk63OL._AC_UL320_.jpg")</f>
        <v/>
      </c>
      <c r="K8575" t="inlineStr">
        <is>
          <t>20.97</t>
        </is>
      </c>
      <c r="L8575" t="n">
        <v>19.97</v>
      </c>
      <c r="M8575" s="1" t="inlineStr">
        <is>
          <t>-4.77%</t>
        </is>
      </c>
      <c r="N8575" s="7" t="n"/>
      <c r="O8575" t="n">
        <v>4.7</v>
      </c>
      <c r="P8575" t="n">
        <v>626</v>
      </c>
      <c r="R8575" t="inlineStr">
        <is>
          <t>InStock</t>
        </is>
      </c>
      <c r="S8575" t="inlineStr">
        <is>
          <t>30.04</t>
        </is>
      </c>
      <c r="T8575" t="inlineStr">
        <is>
          <t>1780412481636</t>
        </is>
      </c>
    </row>
    <row r="8576" hidden="1" ht="15.75" customHeight="1">
      <c r="A8576" s="2">
        <f>HYPERLINK("https://edmondsonsupply.com/collections/electricians-tools/products/klein-tools-662-2-square-screwdriver-with-4-inch-round-shank", "https://edmondsonsupply.com/collections/electricians-tools/products/klein-tools-662-2-square-screwdriver-with-4-inch-round-shank")</f>
        <v/>
      </c>
      <c r="B8576" s="2">
        <f>HYPERLINK("https://edmondsonsupply.com/products/klein-tools-662-2-square-screwdriver-with-4-inch-round-shank", "https://edmondsonsupply.com/products/klein-tools-662-2-square-screwdriver-with-4-inch-round-shank")</f>
        <v/>
      </c>
      <c r="C8576" t="inlineStr">
        <is>
          <t>Klein Tools 662 #2 Square Screwdriver with 4-Inch Round Shank</t>
        </is>
      </c>
      <c r="D8576" t="inlineStr">
        <is>
          <t>Klein Tools 602-4 1/4-Inch Keystone-Tip Screwdriver with 4-Inch Heavy-Duty Round-Shank</t>
        </is>
      </c>
      <c r="E8576" s="2">
        <f>HYPERLINK("https://www.amazon.com/Keystone-Tip-Screwdriver-Round-Shank-Klein-602-4/dp/B0000302WD/ref=sr_1_8?keywords=Klein+Tools+662+%232+Square+Screwdriver+with+4-Inch+Round+Shank&amp;qid=1694735445&amp;sr=8-8", "https://www.amazon.com/Keystone-Tip-Screwdriver-Round-Shank-Klein-602-4/dp/B0000302WD/ref=sr_1_8?keywords=Klein+Tools+662+%232+Square+Screwdriver+with+4-Inch+Round+Shank&amp;qid=1694735445&amp;sr=8-8")</f>
        <v/>
      </c>
      <c r="F8576" t="inlineStr">
        <is>
          <t>B0000302WD</t>
        </is>
      </c>
      <c r="G8576">
        <f>_xludf.IMAGE("https://edmondsonsupply.com/cdn/shop/products/660.jpg?v=1587151189")</f>
        <v/>
      </c>
      <c r="H8576">
        <f>_xludf.IMAGE("https://m.media-amazon.com/images/I/51BHg1CmntL._AC_UL320_.jpg")</f>
        <v/>
      </c>
      <c r="K8576" t="inlineStr">
        <is>
          <t>9.99</t>
        </is>
      </c>
      <c r="L8576" t="n">
        <v>9.49</v>
      </c>
      <c r="M8576" s="1" t="inlineStr">
        <is>
          <t>-5.01%</t>
        </is>
      </c>
      <c r="N8576" s="1" t="n"/>
      <c r="O8576" t="n">
        <v>4.8</v>
      </c>
      <c r="P8576" t="n">
        <v>879</v>
      </c>
      <c r="R8576" t="inlineStr">
        <is>
          <t>InStock</t>
        </is>
      </c>
      <c r="S8576" t="inlineStr">
        <is>
          <t>12.74</t>
        </is>
      </c>
      <c r="T8576" t="inlineStr">
        <is>
          <t>4274202509412</t>
        </is>
      </c>
    </row>
    <row r="8577" hidden="1" ht="15.75" customHeight="1">
      <c r="A8577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577" s="2">
        <f>HYPERLINK("https://edmondsonsupply.com/products/klein-tools-601-4-3-16-cabinet-tip-screwdriver-4-round-shank", "https://edmondsonsupply.com/products/klein-tools-601-4-3-16-cabinet-tip-screwdriver-4-round-shank")</f>
        <v/>
      </c>
      <c r="C8577" t="inlineStr">
        <is>
          <t>Klein Tools 601-4 3/16-Inch Cabinet Tip Screwdriver 4-Inch</t>
        </is>
      </c>
      <c r="D8577" t="inlineStr">
        <is>
          <t>Klein Tools A116-3 3/32-Inch Flat Head Screwdriver with Cabinet Tip, 3-Inch Round Shank and Pocket Clip</t>
        </is>
      </c>
      <c r="E8577" s="2">
        <f>HYPERLINK("https://www.amazon.com/Klein-Tools-A116-3-32-Inch-Screwdriver/dp/B00093D4M4/ref=sr_1_18?keywords=Klein+Tools+601-4+3%2F16-Inch+Cabinet+Tip+Screwdriver+4-Inch&amp;qid=1694735471&amp;sr=8-18", "https://www.amazon.com/Klein-Tools-A116-3-32-Inch-Screwdriver/dp/B00093D4M4/ref=sr_1_18?keywords=Klein+Tools+601-4+3%2F16-Inch+Cabinet+Tip+Screwdriver+4-Inch&amp;qid=1694735471&amp;sr=8-18")</f>
        <v/>
      </c>
      <c r="F8577" t="inlineStr">
        <is>
          <t>B00093D4M4</t>
        </is>
      </c>
      <c r="G8577">
        <f>_xludf.IMAGE("https://edmondsonsupply.com/cdn/shop/products/601-4.jpg?v=1587147829")</f>
        <v/>
      </c>
      <c r="H8577">
        <f>_xludf.IMAGE("https://m.media-amazon.com/images/I/416B++nRvZL._AC_UL320_.jpg")</f>
        <v/>
      </c>
      <c r="K8577" t="inlineStr">
        <is>
          <t>8.98</t>
        </is>
      </c>
      <c r="L8577" t="n">
        <v>8.529999999999999</v>
      </c>
      <c r="M8577" s="1" t="inlineStr">
        <is>
          <t>-5.01%</t>
        </is>
      </c>
      <c r="N8577" s="1" t="n"/>
      <c r="O8577" t="n">
        <v>4.4</v>
      </c>
      <c r="P8577" t="n">
        <v>524</v>
      </c>
      <c r="R8577" t="inlineStr">
        <is>
          <t>InStock</t>
        </is>
      </c>
      <c r="S8577" t="inlineStr">
        <is>
          <t>11.52</t>
        </is>
      </c>
      <c r="T8577" t="inlineStr">
        <is>
          <t>2767048900708</t>
        </is>
      </c>
    </row>
    <row r="8578" hidden="1" ht="15.75" customHeight="1">
      <c r="A8578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578" s="2">
        <f>HYPERLINK("https://edmondsonsupply.com/products/klein-tools-601-6-3-16-inch-cabinet-tip-screwdriver-6-inch", "https://edmondsonsupply.com/products/klein-tools-601-6-3-16-inch-cabinet-tip-screwdriver-6-inch")</f>
        <v/>
      </c>
      <c r="C8578" t="inlineStr">
        <is>
          <t>Klein Tools 601-6 3/16-Inch Cabinet Tip Screwdriver 6-Inch</t>
        </is>
      </c>
      <c r="D8578" t="inlineStr">
        <is>
          <t>Klein Tools A116-3 3/32-Inch Flat Head Screwdriver with Cabinet Tip, 3-Inch Round Shank and Pocket Clip</t>
        </is>
      </c>
      <c r="E8578" s="2">
        <f>HYPERLINK("https://www.amazon.com/Klein-Tools-A116-3-32-Inch-Screwdriver/dp/B00093D4M4/ref=sr_1_35?keywords=Klein+Tools+601-6+3%2F16-Inch+Cabinet+Tip+Screwdriver+6-Inch&amp;qid=1694735470&amp;sr=8-35", "https://www.amazon.com/Klein-Tools-A116-3-32-Inch-Screwdriver/dp/B00093D4M4/ref=sr_1_35?keywords=Klein+Tools+601-6+3%2F16-Inch+Cabinet+Tip+Screwdriver+6-Inch&amp;qid=1694735470&amp;sr=8-35")</f>
        <v/>
      </c>
      <c r="F8578" t="inlineStr">
        <is>
          <t>B00093D4M4</t>
        </is>
      </c>
      <c r="G8578">
        <f>_xludf.IMAGE("https://edmondsonsupply.com/cdn/shop/products/601-6.jpg?v=1587148683")</f>
        <v/>
      </c>
      <c r="H8578">
        <f>_xludf.IMAGE("https://m.media-amazon.com/images/I/416B++nRvZL._AC_UL320_.jpg")</f>
        <v/>
      </c>
      <c r="K8578" t="inlineStr">
        <is>
          <t>8.99</t>
        </is>
      </c>
      <c r="L8578" t="n">
        <v>8.529999999999999</v>
      </c>
      <c r="M8578" s="1" t="inlineStr">
        <is>
          <t>-5.12%</t>
        </is>
      </c>
      <c r="N8578" s="1" t="n"/>
      <c r="O8578" t="n">
        <v>4.4</v>
      </c>
      <c r="P8578" t="n">
        <v>524</v>
      </c>
      <c r="R8578" t="inlineStr">
        <is>
          <t>InStock</t>
        </is>
      </c>
      <c r="S8578" t="inlineStr">
        <is>
          <t>11.96</t>
        </is>
      </c>
      <c r="T8578" t="inlineStr">
        <is>
          <t>3689898016868</t>
        </is>
      </c>
    </row>
    <row r="8579" ht="87" customHeight="1">
      <c r="A8579" s="2">
        <f>HYPERLINK("https://edmondsonsupply.com/collections/electricians-tools/products/klein-tools-1006-crimping-cutting-tool-for-non-insulated-terminals", "https://edmondsonsupply.com/collections/electricians-tools/products/klein-tools-1006-crimping-cutting-tool-for-non-insulated-terminals")</f>
        <v/>
      </c>
      <c r="B8579" s="2">
        <f>HYPERLINK("https://edmondsonsupply.com/products/klein-tools-1006-crimping-cutting-tool-for-non-insulated-terminals", "https://edmondsonsupply.com/products/klein-tools-1006-crimping-cutting-tool-for-non-insulated-terminals")</f>
        <v/>
      </c>
      <c r="C8579" t="inlineStr">
        <is>
          <t>Klein Tools 1006 Crimping/Cutting Tool for Non-Insulated Terminals</t>
        </is>
      </c>
      <c r="D8579" t="inlineStr">
        <is>
          <t>Klein Tools 1006 Cutting / Crimping Tool, Crimps 10 to 22 AWG Solderless Terminals and Connectors, with Wire Cutter in Tapered Nose</t>
        </is>
      </c>
      <c r="E8579" s="2">
        <f>HYPERLINK("https://www.amazon.com/Non-Insulated-Terminals-Klein-Tools-1006/dp/B00776SJJO/ref=sr_1_1?keywords=Klein+Tools+1006+Crimping%2FCutting+Tool+for+Non-Insulated+Terminals&amp;qid=1694735431&amp;sr=8-1", "https://www.amazon.com/Non-Insulated-Terminals-Klein-Tools-1006/dp/B00776SJJO/ref=sr_1_1?keywords=Klein+Tools+1006+Crimping%2FCutting+Tool+for+Non-Insulated+Terminals&amp;qid=1694735431&amp;sr=8-1")</f>
        <v/>
      </c>
      <c r="F8579" t="inlineStr">
        <is>
          <t>B00776SJJO</t>
        </is>
      </c>
      <c r="G8579">
        <f>_xlfn.IMAGE("https://edmondsonsupply.com/cdn/shop/products/1006.jpg?v=1587143845")</f>
        <v/>
      </c>
      <c r="H8579">
        <f>_xlfn.IMAGE("https://m.media-amazon.com/images/I/31VG+arXrCL._AC_UL320_.jpg")</f>
        <v/>
      </c>
      <c r="K8579" t="inlineStr">
        <is>
          <t>36.99</t>
        </is>
      </c>
      <c r="L8579" t="n">
        <v>34.99</v>
      </c>
      <c r="M8579" s="1" t="inlineStr">
        <is>
          <t>-5.41%</t>
        </is>
      </c>
      <c r="N8579" s="7" t="n"/>
      <c r="O8579" t="n">
        <v>4.8</v>
      </c>
      <c r="P8579" t="n">
        <v>398</v>
      </c>
      <c r="R8579" t="inlineStr">
        <is>
          <t>InStock</t>
        </is>
      </c>
      <c r="S8579" t="inlineStr">
        <is>
          <t>56.06</t>
        </is>
      </c>
      <c r="T8579" t="inlineStr">
        <is>
          <t>4339826851940</t>
        </is>
      </c>
    </row>
    <row r="8580" ht="87" customHeight="1">
      <c r="A8580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580" s="2">
        <f>HYPERLINK("https://edmondsonsupply.com/products/klein-tools-31972-bi-metal-hole-saw-4-1-2-inch", "https://edmondsonsupply.com/products/klein-tools-31972-bi-metal-hole-saw-4-1-2-inch")</f>
        <v/>
      </c>
      <c r="C8580" t="inlineStr">
        <is>
          <t>Klein Tools 31972 Bi-Metal Hole Saw, 4-1/2-Inch</t>
        </is>
      </c>
      <c r="D8580" t="inlineStr">
        <is>
          <t>LENOX Tools Hole Saw, Bi-Metal, Speed Slot, 4-Inch (1772014)</t>
        </is>
      </c>
      <c r="E8580" s="2">
        <f>HYPERLINK("https://www.amazon.com/LENOX-Tools-Bi-Metal-Speed-Technology/dp/B001HRKA4Q/ref=sr_1_28?keywords=Klein+Tools+31972+Bi-Metal+Hole+Saw%2C+4-1%2F2-Inch&amp;qid=1694735442&amp;sr=8-28", "https://www.amazon.com/LENOX-Tools-Bi-Metal-Speed-Technology/dp/B001HRKA4Q/ref=sr_1_28?keywords=Klein+Tools+31972+Bi-Metal+Hole+Saw%2C+4-1%2F2-Inch&amp;qid=1694735442&amp;sr=8-28")</f>
        <v/>
      </c>
      <c r="F8580" t="inlineStr">
        <is>
          <t>B001HRKA4Q</t>
        </is>
      </c>
      <c r="G8580">
        <f>_xlfn.IMAGE("https://edmondsonsupply.com/cdn/shop/products/31972.jpg?v=1587147016")</f>
        <v/>
      </c>
      <c r="H8580">
        <f>_xlfn.IMAGE("https://m.media-amazon.com/images/I/91AUAmHnztL._AC_UL320_.jpg")</f>
        <v/>
      </c>
      <c r="K8580" t="inlineStr">
        <is>
          <t>26.99</t>
        </is>
      </c>
      <c r="L8580" t="n">
        <v>25.53</v>
      </c>
      <c r="M8580" s="1" t="inlineStr">
        <is>
          <t>-5.41%</t>
        </is>
      </c>
      <c r="N8580" s="7" t="n"/>
      <c r="O8580" t="n">
        <v>4.6</v>
      </c>
      <c r="P8580" t="n">
        <v>383</v>
      </c>
      <c r="R8580" t="inlineStr">
        <is>
          <t>InStock</t>
        </is>
      </c>
      <c r="S8580" t="inlineStr">
        <is>
          <t>37.86</t>
        </is>
      </c>
      <c r="T8580" t="inlineStr">
        <is>
          <t>4328864809060</t>
        </is>
      </c>
    </row>
    <row r="8581" hidden="1" ht="15.75" customHeight="1">
      <c r="A8581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581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581" t="inlineStr">
        <is>
          <t>Klein Tools 630-9/16 9/16-Inch Hollow Shaft Nut Driver 4-Inch Shaft</t>
        </is>
      </c>
      <c r="D8581" t="inlineStr">
        <is>
          <t>Klein Tools 610-5/16M 5/16-Inch Magnetic Tip Nut Driver with 1-1/2-Inch Hollow Shaft and Cushion Grip Handle</t>
        </is>
      </c>
      <c r="E8581" s="2">
        <f>HYPERLINK("https://www.amazon.com/Magnetic-Klein-Tools-610-5-16M/dp/B00093DZP0/ref=sr_1_14?keywords=Klein+Tools+630-9%2F16+9%2F16-Inch+Hollow+Shaft+Nut+Driver+4-Inch+Shaft&amp;qid=1694735442&amp;sr=8-14", "https://www.amazon.com/Magnetic-Klein-Tools-610-5-16M/dp/B00093DZP0/ref=sr_1_14?keywords=Klein+Tools+630-9%2F16+9%2F16-Inch+Hollow+Shaft+Nut+Driver+4-Inch+Shaft&amp;qid=1694735442&amp;sr=8-14")</f>
        <v/>
      </c>
      <c r="F8581" t="inlineStr">
        <is>
          <t>B00093DZP0</t>
        </is>
      </c>
      <c r="G8581">
        <f>_xludf.IMAGE("https://edmondsonsupply.com/cdn/shop/products/630-1-2_f4e6e615-6377-4eae-87c2-03b0329a1140.jpg?v=1587145137")</f>
        <v/>
      </c>
      <c r="H8581">
        <f>_xludf.IMAGE("https://m.media-amazon.com/images/I/41rQZ0-NNZL._AC_UL320_.jpg")</f>
        <v/>
      </c>
      <c r="K8581" t="inlineStr">
        <is>
          <t>11.99</t>
        </is>
      </c>
      <c r="L8581" t="n">
        <v>11.34</v>
      </c>
      <c r="M8581" s="1" t="inlineStr">
        <is>
          <t>-5.42%</t>
        </is>
      </c>
      <c r="N8581" s="1" t="n"/>
      <c r="O8581" t="n">
        <v>4.7</v>
      </c>
      <c r="P8581" t="n">
        <v>258</v>
      </c>
      <c r="R8581" t="inlineStr">
        <is>
          <t>InStock</t>
        </is>
      </c>
      <c r="S8581" t="inlineStr">
        <is>
          <t>18.14</t>
        </is>
      </c>
      <c r="T8581" t="inlineStr">
        <is>
          <t>4259221897316</t>
        </is>
      </c>
    </row>
    <row r="8582" ht="87" customHeight="1">
      <c r="A8582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582" s="2">
        <f>HYPERLINK("https://edmondsonsupply.com/products/klein-tools-69411-circuit-breaker-finder-accessory-kit", "https://edmondsonsupply.com/products/klein-tools-69411-circuit-breaker-finder-accessory-kit")</f>
        <v/>
      </c>
      <c r="C8582" t="inlineStr">
        <is>
          <t>Klein Tools 69411 Circuit Breaker Finder Accessory Kit</t>
        </is>
      </c>
      <c r="D8582" t="inlineStr">
        <is>
          <t>CaseSack case for Klein Tools ET310 AC Circuit Breaker Finder, Integrated GFCI Outlet Tester, RT310 Receptacle and Accessory Kit, 80016</t>
        </is>
      </c>
      <c r="E8582" s="2">
        <f>HYPERLINK("https://www.amazon.com/CaseSack-Consolidation-Integrated-Receptacle-Accessory/dp/B08TPHYW37/ref=sr_1_46?keywords=Klein+Tools+69411+Circuit+Breaker+Finder+Accessory+Kit&amp;qid=1694735452&amp;sr=8-46", "https://www.amazon.com/CaseSack-Consolidation-Integrated-Receptacle-Accessory/dp/B08TPHYW37/ref=sr_1_46?keywords=Klein+Tools+69411+Circuit+Breaker+Finder+Accessory+Kit&amp;qid=1694735452&amp;sr=8-46")</f>
        <v/>
      </c>
      <c r="F8582" t="inlineStr">
        <is>
          <t>B08TPHYW37</t>
        </is>
      </c>
      <c r="G8582">
        <f>_xlfn.IMAGE("https://edmondsonsupply.com/cdn/shop/products/69411.jpg?v=1587143386")</f>
        <v/>
      </c>
      <c r="H8582">
        <f>_xlfn.IMAGE("https://m.media-amazon.com/images/I/91QJZ0WaD3L._AC_UL320_.jpg")</f>
        <v/>
      </c>
      <c r="K8582" t="inlineStr">
        <is>
          <t>19.97</t>
        </is>
      </c>
      <c r="L8582" t="n">
        <v>18.88</v>
      </c>
      <c r="M8582" s="1" t="inlineStr">
        <is>
          <t>-5.46%</t>
        </is>
      </c>
      <c r="N8582" s="7" t="n"/>
      <c r="O8582" t="n">
        <v>4.1</v>
      </c>
      <c r="P8582" t="n">
        <v>826</v>
      </c>
      <c r="R8582" t="inlineStr">
        <is>
          <t>InStock</t>
        </is>
      </c>
      <c r="S8582" t="inlineStr">
        <is>
          <t>27.96</t>
        </is>
      </c>
      <c r="T8582" t="inlineStr">
        <is>
          <t>4166896255076</t>
        </is>
      </c>
    </row>
    <row r="8583" hidden="1" ht="15.75" customHeight="1">
      <c r="A8583" s="2">
        <f>HYPERLINK("https://edmondsonsupply.com/collections/electricians-tools/products/klein-tools-626-32-replacement-tap-for-625-32-and-627-20", "https://edmondsonsupply.com/collections/electricians-tools/products/klein-tools-626-32-replacement-tap-for-625-32-and-627-20")</f>
        <v/>
      </c>
      <c r="B8583" s="2">
        <f>HYPERLINK("https://edmondsonsupply.com/products/klein-tools-626-32-replacement-tap-for-625-32-and-627-20", "https://edmondsonsupply.com/products/klein-tools-626-32-replacement-tap-for-625-32-and-627-20")</f>
        <v/>
      </c>
      <c r="C8583" t="inlineStr">
        <is>
          <t>Klein Tools 626-32 Replacement Tap for 625-32 and 627-20</t>
        </is>
      </c>
      <c r="D8583" t="inlineStr">
        <is>
          <t>Klein Tools 626-32 Replacement Tap Set for Triple Taps and 6-in-1 Tapping Tools Sizes 10-32, 8-32, 6-32</t>
        </is>
      </c>
      <c r="E8583" s="2">
        <f>HYPERLINK("https://www.amazon.com/Klein-Tools-626-32-Replacement-Tapping/dp/B00093D6PO/ref=sr_1_1?keywords=Klein+Tools+626-32+Replacement+Tap+for+625-32+and+627-20&amp;qid=1694735459&amp;sr=8-1", "https://www.amazon.com/Klein-Tools-626-32-Replacement-Tapping/dp/B00093D6PO/ref=sr_1_1?keywords=Klein+Tools+626-32+Replacement+Tap+for+625-32+and+627-20&amp;qid=1694735459&amp;sr=8-1")</f>
        <v/>
      </c>
      <c r="F8583" t="inlineStr">
        <is>
          <t>B00093D6PO</t>
        </is>
      </c>
      <c r="G8583">
        <f>_xludf.IMAGE("https://edmondsonsupply.com/cdn/shop/products/626-32.jpg?v=1587143247")</f>
        <v/>
      </c>
      <c r="H8583">
        <f>_xludf.IMAGE("https://m.media-amazon.com/images/I/41lotMaro6L._AC_UL320_.jpg")</f>
        <v/>
      </c>
      <c r="K8583" t="inlineStr">
        <is>
          <t>8.99</t>
        </is>
      </c>
      <c r="L8583" t="n">
        <v>8.49</v>
      </c>
      <c r="M8583" s="1" t="inlineStr">
        <is>
          <t>-5.56%</t>
        </is>
      </c>
      <c r="N8583" s="1" t="n"/>
      <c r="O8583" t="n">
        <v>4.6</v>
      </c>
      <c r="P8583" t="n">
        <v>746</v>
      </c>
      <c r="R8583" t="inlineStr">
        <is>
          <t>InStock</t>
        </is>
      </c>
      <c r="S8583" t="inlineStr">
        <is>
          <t>13.72</t>
        </is>
      </c>
      <c r="T8583" t="inlineStr">
        <is>
          <t>3711854051428</t>
        </is>
      </c>
    </row>
    <row r="8584" ht="87" customHeight="1">
      <c r="A8584" s="2">
        <f>HYPERLINK("https://edmondsonsupply.com/collections/electricians-tools/products/klein-tools-2100-8-free-fall-snip-stainless-steel", "https://edmondsonsupply.com/collections/electricians-tools/products/klein-tools-2100-8-free-fall-snip-stainless-steel")</f>
        <v/>
      </c>
      <c r="B8584" s="2">
        <f>HYPERLINK("https://edmondsonsupply.com/products/klein-tools-2100-8-free-fall-snip-stainless-steel", "https://edmondsonsupply.com/products/klein-tools-2100-8-free-fall-snip-stainless-steel")</f>
        <v/>
      </c>
      <c r="C8584" t="inlineStr">
        <is>
          <t>Klein Tools 2100-8 Free-Fall Snip Stainless Steel</t>
        </is>
      </c>
      <c r="D8584" t="inlineStr">
        <is>
          <t>Klein Tools 2100-8 Scissors, Electrician Free Fall Snips, Stainless Steel Cut 19 and 23 AWG Electrical Communication Wire, Cable and Cordage</t>
        </is>
      </c>
      <c r="E8584" s="2">
        <f>HYPERLINK("https://www.amazon.com/Stainless-Electrician-Klein-Tools-2100-8/dp/B0015SBIL6/ref=sr_1_1?keywords=Klein+Tools+2100-8+Free-Fall+Snip+Stainless+Steel&amp;qid=1694735465&amp;sr=8-1", "https://www.amazon.com/Stainless-Electrician-Klein-Tools-2100-8/dp/B0015SBIL6/ref=sr_1_1?keywords=Klein+Tools+2100-8+Free-Fall+Snip+Stainless+Steel&amp;qid=1694735465&amp;sr=8-1")</f>
        <v/>
      </c>
      <c r="F8584" t="inlineStr">
        <is>
          <t>B0015SBIL6</t>
        </is>
      </c>
      <c r="G8584">
        <f>_xlfn.IMAGE("https://edmondsonsupply.com/cdn/shop/files/2100-8.jpg?v=1684945451")</f>
        <v/>
      </c>
      <c r="H8584">
        <f>_xlfn.IMAGE("https://m.media-amazon.com/images/I/51q3MtJPIQL._AC_UL320_.jpg")</f>
        <v/>
      </c>
      <c r="K8584" t="inlineStr">
        <is>
          <t>29.97</t>
        </is>
      </c>
      <c r="L8584" t="n">
        <v>28.29</v>
      </c>
      <c r="M8584" s="1" t="inlineStr">
        <is>
          <t>-5.61%</t>
        </is>
      </c>
      <c r="N8584" s="7" t="n"/>
      <c r="O8584" t="n">
        <v>4.7</v>
      </c>
      <c r="P8584" t="n">
        <v>586</v>
      </c>
      <c r="R8584" t="inlineStr">
        <is>
          <t>InStock</t>
        </is>
      </c>
      <c r="S8584" t="inlineStr">
        <is>
          <t>45.42</t>
        </is>
      </c>
      <c r="T8584" t="inlineStr">
        <is>
          <t>3711969788004</t>
        </is>
      </c>
    </row>
    <row r="8585" ht="87" customHeight="1">
      <c r="A8585" s="2">
        <f>HYPERLINK("https://edmondsonsupply.com/collections/electricians-tools/products/klein-tools-2100-8-free-fall-snip-stainless-steel", "https://edmondsonsupply.com/collections/electricians-tools/products/klein-tools-2100-8-free-fall-snip-stainless-steel")</f>
        <v/>
      </c>
      <c r="B8585" s="2">
        <f>HYPERLINK("https://edmondsonsupply.com/products/klein-tools-2100-8-free-fall-snip-stainless-steel", "https://edmondsonsupply.com/products/klein-tools-2100-8-free-fall-snip-stainless-steel")</f>
        <v/>
      </c>
      <c r="C8585" t="inlineStr">
        <is>
          <t>Klein Tools 2100-8 Free-Fall Snip Stainless Steel</t>
        </is>
      </c>
      <c r="D8585" t="inlineStr">
        <is>
          <t>Klein Tools 2100-8 Scissors, Electrician Free Fall Snips, Stainless Steel Cut 19 and 23 AWG Electrical Communication Wire, Cable and Cordage</t>
        </is>
      </c>
      <c r="E8585" s="2" t="n"/>
      <c r="F8585" t="inlineStr">
        <is>
          <t>B0015SBIL6</t>
        </is>
      </c>
      <c r="G8585">
        <f>_xlfn.IMAGE("https://edmondsonsupply.com/cdn/shop/files/2100-8.jpg?v=1684945451")</f>
        <v/>
      </c>
      <c r="H8585">
        <f>_xlfn.IMAGE("https://m.media-amazon.com/images/I/51q3MtJPIQL._AC_UL320_.jpg")</f>
        <v/>
      </c>
      <c r="K8585" t="inlineStr">
        <is>
          <t>29.97</t>
        </is>
      </c>
      <c r="L8585" t="n">
        <v>28.29</v>
      </c>
      <c r="M8585" s="1" t="inlineStr">
        <is>
          <t>-5.61%</t>
        </is>
      </c>
      <c r="N8585" s="7" t="n"/>
      <c r="O8585" t="n">
        <v>4.7</v>
      </c>
      <c r="P8585" t="n">
        <v>586</v>
      </c>
      <c r="R8585" t="inlineStr">
        <is>
          <t>InStock</t>
        </is>
      </c>
      <c r="S8585" t="inlineStr">
        <is>
          <t>45.42</t>
        </is>
      </c>
      <c r="T8585" t="inlineStr">
        <is>
          <t>3711969788004</t>
        </is>
      </c>
    </row>
    <row r="8586" ht="87" customHeight="1">
      <c r="A8586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86" s="2">
        <f>HYPERLINK("https://edmondsonsupply.com/products/klein-tools-69401-multimeter-carrying-case", "https://edmondsonsupply.com/products/klein-tools-69401-multimeter-carrying-case")</f>
        <v/>
      </c>
      <c r="C8586" t="inlineStr">
        <is>
          <t>Klein Tools 69401 Multimeter Carrying Case</t>
        </is>
      </c>
      <c r="D8586" t="inlineStr">
        <is>
          <t>Klein Tools 69401 Multimeter Carrying Case,Black 9.25 Inch</t>
        </is>
      </c>
      <c r="E8586" s="2">
        <f>HYPERLINK("https://www.amazon.com/Multimeter-Carrying-Klein-Tools-69401/dp/B004O9IWXK/ref=sr_1_1?keywords=Klein+Tools+69401+Multimeter+Carrying+Case&amp;qid=1694735435&amp;sr=8-1", "https://www.amazon.com/Multimeter-Carrying-Klein-Tools-69401/dp/B004O9IWXK/ref=sr_1_1?keywords=Klein+Tools+69401+Multimeter+Carrying+Case&amp;qid=1694735435&amp;sr=8-1")</f>
        <v/>
      </c>
      <c r="F8586" t="inlineStr">
        <is>
          <t>B004O9IWXK</t>
        </is>
      </c>
      <c r="G8586">
        <f>_xlfn.IMAGE("https://edmondsonsupply.com/cdn/shop/products/69401.jpg?v=1587151194")</f>
        <v/>
      </c>
      <c r="H8586">
        <f>_xlfn.IMAGE("https://m.media-amazon.com/images/I/71lOoj5whML._AC_UL320_.jpg")</f>
        <v/>
      </c>
      <c r="K8586" t="inlineStr">
        <is>
          <t>16.97</t>
        </is>
      </c>
      <c r="L8586" t="n">
        <v>16</v>
      </c>
      <c r="M8586" s="1" t="inlineStr">
        <is>
          <t>-5.72%</t>
        </is>
      </c>
      <c r="N8586" s="7" t="n"/>
      <c r="O8586" t="n">
        <v>4.8</v>
      </c>
      <c r="P8586" t="n">
        <v>6177</v>
      </c>
      <c r="R8586" t="inlineStr">
        <is>
          <t>InStock</t>
        </is>
      </c>
      <c r="S8586" t="inlineStr">
        <is>
          <t>23.84</t>
        </is>
      </c>
      <c r="T8586" t="inlineStr">
        <is>
          <t>4348577710180</t>
        </is>
      </c>
    </row>
    <row r="8587" ht="87" customHeight="1">
      <c r="A8587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87" s="2">
        <f>HYPERLINK("https://edmondsonsupply.com/products/klein-tools-69401-multimeter-carrying-case", "https://edmondsonsupply.com/products/klein-tools-69401-multimeter-carrying-case")</f>
        <v/>
      </c>
      <c r="C8587" t="inlineStr">
        <is>
          <t>Klein Tools 69401 Multimeter Carrying Case</t>
        </is>
      </c>
      <c r="D8587" t="inlineStr">
        <is>
          <t>FBLFOBELI EVA Hard Carrying Case for Klein Tools MM600 Multimeter Digital Auto-Ranging 1000V, Shockproof Protective Storage Container Bag</t>
        </is>
      </c>
      <c r="E8587" s="2">
        <f>HYPERLINK("https://www.amazon.com/FBLFOBELI-Multimeter-Auto-Ranging-Shockproof-Protective/dp/B09Q7VFJ3V/ref=sr_1_21?keywords=Klein+Tools+69401+Multimeter+Carrying+Case&amp;qid=1694735435&amp;sr=8-21", "https://www.amazon.com/FBLFOBELI-Multimeter-Auto-Ranging-Shockproof-Protective/dp/B09Q7VFJ3V/ref=sr_1_21?keywords=Klein+Tools+69401+Multimeter+Carrying+Case&amp;qid=1694735435&amp;sr=8-21")</f>
        <v/>
      </c>
      <c r="F8587" t="inlineStr">
        <is>
          <t>B09Q7VFJ3V</t>
        </is>
      </c>
      <c r="G8587">
        <f>_xlfn.IMAGE("https://edmondsonsupply.com/cdn/shop/products/69401.jpg?v=1587151194")</f>
        <v/>
      </c>
      <c r="H8587">
        <f>_xlfn.IMAGE("https://m.media-amazon.com/images/I/81LZtLzRUDL._AC_UL320_.jpg")</f>
        <v/>
      </c>
      <c r="K8587" t="inlineStr">
        <is>
          <t>16.97</t>
        </is>
      </c>
      <c r="L8587" t="n">
        <v>15.99</v>
      </c>
      <c r="M8587" s="1" t="inlineStr">
        <is>
          <t>-5.77%</t>
        </is>
      </c>
      <c r="N8587" s="7" t="n"/>
      <c r="O8587" t="n">
        <v>4.8</v>
      </c>
      <c r="P8587" t="n">
        <v>34</v>
      </c>
      <c r="R8587" t="inlineStr">
        <is>
          <t>InStock</t>
        </is>
      </c>
      <c r="S8587" t="inlineStr">
        <is>
          <t>23.84</t>
        </is>
      </c>
      <c r="T8587" t="inlineStr">
        <is>
          <t>4348577710180</t>
        </is>
      </c>
    </row>
    <row r="8588" ht="87" customHeight="1">
      <c r="A8588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88" s="2">
        <f>HYPERLINK("https://edmondsonsupply.com/products/klein-tools-69401-multimeter-carrying-case", "https://edmondsonsupply.com/products/klein-tools-69401-multimeter-carrying-case")</f>
        <v/>
      </c>
      <c r="C8588" t="inlineStr">
        <is>
          <t>Klein Tools 69401 Multimeter Carrying Case</t>
        </is>
      </c>
      <c r="D8588" t="inlineStr">
        <is>
          <t>WERJIA Hard Carrying Case for Klein Tools MM420/MM325/MM720/MM700/ET600/MM450 Digital Multimeter</t>
        </is>
      </c>
      <c r="E8588" s="2">
        <f>HYPERLINK("https://www.amazon.com/WERJIA-Carrying-Klein-Tools-Multimeter/dp/B092JNY81H/ref=sr_1_25?keywords=Klein+Tools+69401+Multimeter+Carrying+Case&amp;qid=1694735435&amp;sr=8-25", "https://www.amazon.com/WERJIA-Carrying-Klein-Tools-Multimeter/dp/B092JNY81H/ref=sr_1_25?keywords=Klein+Tools+69401+Multimeter+Carrying+Case&amp;qid=1694735435&amp;sr=8-25")</f>
        <v/>
      </c>
      <c r="F8588" t="inlineStr">
        <is>
          <t>B092JNY81H</t>
        </is>
      </c>
      <c r="G8588">
        <f>_xlfn.IMAGE("https://edmondsonsupply.com/cdn/shop/products/69401.jpg?v=1587151194")</f>
        <v/>
      </c>
      <c r="H8588">
        <f>_xlfn.IMAGE("https://m.media-amazon.com/images/I/711XJ-1NbMS._AC_UL320_.jpg")</f>
        <v/>
      </c>
      <c r="K8588" t="inlineStr">
        <is>
          <t>16.97</t>
        </is>
      </c>
      <c r="L8588" t="n">
        <v>15.99</v>
      </c>
      <c r="M8588" s="1" t="inlineStr">
        <is>
          <t>-5.77%</t>
        </is>
      </c>
      <c r="N8588" s="7" t="n"/>
      <c r="O8588" t="n">
        <v>4.7</v>
      </c>
      <c r="P8588" t="n">
        <v>44</v>
      </c>
      <c r="R8588" t="inlineStr">
        <is>
          <t>InStock</t>
        </is>
      </c>
      <c r="S8588" t="inlineStr">
        <is>
          <t>23.84</t>
        </is>
      </c>
      <c r="T8588" t="inlineStr">
        <is>
          <t>4348577710180</t>
        </is>
      </c>
    </row>
    <row r="8589" ht="87" customHeight="1">
      <c r="A8589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89" s="2">
        <f>HYPERLINK("https://edmondsonsupply.com/products/klein-tools-69401-multimeter-carrying-case", "https://edmondsonsupply.com/products/klein-tools-69401-multimeter-carrying-case")</f>
        <v/>
      </c>
      <c r="C8589" t="inlineStr">
        <is>
          <t>Klein Tools 69401 Multimeter Carrying Case</t>
        </is>
      </c>
      <c r="D8589" t="inlineStr">
        <is>
          <t>WERJIA Hard Carrying Case for Klein Tools MM400 Multimeter，Protective Travel Storage Bag</t>
        </is>
      </c>
      <c r="E8589" s="2">
        <f>HYPERLINK("https://www.amazon.com/WERJIA-Carrying-Multimeter%EF%BC%8CProtective-Travel-Storage/dp/B08THR75BJ/ref=sr_1_41?keywords=Klein+Tools+69401+Multimeter+Carrying+Case&amp;qid=1694735435&amp;sr=8-41", "https://www.amazon.com/WERJIA-Carrying-Multimeter%EF%BC%8CProtective-Travel-Storage/dp/B08THR75BJ/ref=sr_1_41?keywords=Klein+Tools+69401+Multimeter+Carrying+Case&amp;qid=1694735435&amp;sr=8-41")</f>
        <v/>
      </c>
      <c r="F8589" t="inlineStr">
        <is>
          <t>B08THR75BJ</t>
        </is>
      </c>
      <c r="G8589">
        <f>_xlfn.IMAGE("https://edmondsonsupply.com/cdn/shop/products/69401.jpg?v=1587151194")</f>
        <v/>
      </c>
      <c r="H8589">
        <f>_xlfn.IMAGE("https://m.media-amazon.com/images/I/71kxDVYWFPL._AC_UL320_.jpg")</f>
        <v/>
      </c>
      <c r="K8589" t="inlineStr">
        <is>
          <t>16.97</t>
        </is>
      </c>
      <c r="L8589" t="n">
        <v>15.99</v>
      </c>
      <c r="M8589" s="1" t="inlineStr">
        <is>
          <t>-5.77%</t>
        </is>
      </c>
      <c r="N8589" s="7" t="n"/>
      <c r="O8589" t="n">
        <v>4.3</v>
      </c>
      <c r="P8589" t="n">
        <v>27</v>
      </c>
      <c r="R8589" t="inlineStr">
        <is>
          <t>InStock</t>
        </is>
      </c>
      <c r="S8589" t="inlineStr">
        <is>
          <t>23.84</t>
        </is>
      </c>
      <c r="T8589" t="inlineStr">
        <is>
          <t>4348577710180</t>
        </is>
      </c>
    </row>
    <row r="8590" ht="87" customHeight="1">
      <c r="A8590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90" s="2">
        <f>HYPERLINK("https://edmondsonsupply.com/products/klein-tools-69401-multimeter-carrying-case", "https://edmondsonsupply.com/products/klein-tools-69401-multimeter-carrying-case")</f>
        <v/>
      </c>
      <c r="C8590" t="inlineStr">
        <is>
          <t>Klein Tools 69401 Multimeter Carrying Case</t>
        </is>
      </c>
      <c r="D8590" t="inlineStr">
        <is>
          <t>waiyu Hard Carrying Case for Klein Tools MM400 Multimeter,Digital Electrical Tester</t>
        </is>
      </c>
      <c r="E8590" s="2">
        <f>HYPERLINK("https://www.amazon.com/waiyu-Carrying-Multimeter-Digital-Electrical/dp/B08LK2M4DL/ref=sr_1_19?keywords=Klein+Tools+69401+Multimeter+Carrying+Case&amp;qid=1694735435&amp;sr=8-19", "https://www.amazon.com/waiyu-Carrying-Multimeter-Digital-Electrical/dp/B08LK2M4DL/ref=sr_1_19?keywords=Klein+Tools+69401+Multimeter+Carrying+Case&amp;qid=1694735435&amp;sr=8-19")</f>
        <v/>
      </c>
      <c r="F8590" t="inlineStr">
        <is>
          <t>B08LK2M4DL</t>
        </is>
      </c>
      <c r="G8590">
        <f>_xlfn.IMAGE("https://edmondsonsupply.com/cdn/shop/products/69401.jpg?v=1587151194")</f>
        <v/>
      </c>
      <c r="H8590">
        <f>_xlfn.IMAGE("https://m.media-amazon.com/images/I/71yxXvImfnL._AC_UL320_.jpg")</f>
        <v/>
      </c>
      <c r="K8590" t="inlineStr">
        <is>
          <t>16.97</t>
        </is>
      </c>
      <c r="L8590" t="n">
        <v>15.99</v>
      </c>
      <c r="M8590" s="1" t="inlineStr">
        <is>
          <t>-5.77%</t>
        </is>
      </c>
      <c r="N8590" s="7" t="n"/>
      <c r="O8590" t="n">
        <v>4.6</v>
      </c>
      <c r="P8590" t="n">
        <v>49</v>
      </c>
      <c r="R8590" t="inlineStr">
        <is>
          <t>InStock</t>
        </is>
      </c>
      <c r="S8590" t="inlineStr">
        <is>
          <t>23.84</t>
        </is>
      </c>
      <c r="T8590" t="inlineStr">
        <is>
          <t>4348577710180</t>
        </is>
      </c>
    </row>
    <row r="8591" hidden="1" ht="15.75" customHeight="1">
      <c r="A8591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91" s="2">
        <f>HYPERLINK("https://edmondsonsupply.com/products/klein-tools-69401-multimeter-carrying-case", "https://edmondsonsupply.com/products/klein-tools-69401-multimeter-carrying-case")</f>
        <v/>
      </c>
      <c r="C8591" t="inlineStr">
        <is>
          <t>Klein Tools 69401 Multimeter Carrying Case</t>
        </is>
      </c>
      <c r="D8591" t="inlineStr">
        <is>
          <t>Elonbo Carrying Case for Klein Tools 69149P/MM300/MM400 Electrical Test Kit, Electrician’s Digital Multimeter Meter Equipment Travel Holder Tool Pouch, Pocket Fits Test Lead Set, Cable Plug Connector</t>
        </is>
      </c>
      <c r="E8591" s="2">
        <f>HYPERLINK("https://www.amazon.com/Elonbo-Electrical-Electricians-Multimeter-Equipment/dp/B0C2KN8R6K/ref=sr_1_40?keywords=Klein+Tools+69401+Multimeter+Carrying+Case&amp;qid=1694735435&amp;sr=8-40", "https://www.amazon.com/Elonbo-Electrical-Electricians-Multimeter-Equipment/dp/B0C2KN8R6K/ref=sr_1_40?keywords=Klein+Tools+69401+Multimeter+Carrying+Case&amp;qid=1694735435&amp;sr=8-40")</f>
        <v/>
      </c>
      <c r="F8591" t="inlineStr">
        <is>
          <t>B0C2KN8R6K</t>
        </is>
      </c>
      <c r="G8591">
        <f>_xludf.IMAGE("https://edmondsonsupply.com/cdn/shop/products/69401.jpg?v=1587151194")</f>
        <v/>
      </c>
      <c r="H8591">
        <f>_xludf.IMAGE("https://m.media-amazon.com/images/I/81uRR-6tvDL._AC_UL320_.jpg")</f>
        <v/>
      </c>
      <c r="K8591" t="inlineStr">
        <is>
          <t>16.97</t>
        </is>
      </c>
      <c r="L8591" t="n">
        <v>15.99</v>
      </c>
      <c r="M8591" s="1" t="inlineStr">
        <is>
          <t>-5.77%</t>
        </is>
      </c>
      <c r="N8591" s="1" t="n"/>
      <c r="O8591" t="n">
        <v>3.9</v>
      </c>
      <c r="P8591" t="n">
        <v>6</v>
      </c>
      <c r="R8591" t="inlineStr">
        <is>
          <t>InStock</t>
        </is>
      </c>
      <c r="S8591" t="inlineStr">
        <is>
          <t>23.84</t>
        </is>
      </c>
      <c r="T8591" t="inlineStr">
        <is>
          <t>4348577710180</t>
        </is>
      </c>
    </row>
    <row r="8592" ht="87" customHeight="1">
      <c r="A8592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592" s="2">
        <f>HYPERLINK("https://edmondsonsupply.com/products/klein-tools-69401-multimeter-carrying-case", "https://edmondsonsupply.com/products/klein-tools-69401-multimeter-carrying-case")</f>
        <v/>
      </c>
      <c r="C8592" t="inlineStr">
        <is>
          <t>Klein Tools 69401 Multimeter Carrying Case</t>
        </is>
      </c>
      <c r="D8592" t="inlineStr">
        <is>
          <t>Canboc Carrying Case for Klein Tools 69149P/69355/MM300/MM400 Digital Multimeter Electrical Test Kit, Bag fit Digital Multimeter, Noncontact Voltage Tester, Leads, Other Accessories, Black(Case Only)</t>
        </is>
      </c>
      <c r="E8592" s="2">
        <f>HYPERLINK("https://www.amazon.com/Canboc-Multimeter-Electrical-Noncontact-Accessories/dp/B0C2CMB8Q2/ref=sr_1_15?keywords=Klein+Tools+69401+Multimeter+Carrying+Case&amp;qid=1694735435&amp;sr=8-15", "https://www.amazon.com/Canboc-Multimeter-Electrical-Noncontact-Accessories/dp/B0C2CMB8Q2/ref=sr_1_15?keywords=Klein+Tools+69401+Multimeter+Carrying+Case&amp;qid=1694735435&amp;sr=8-15")</f>
        <v/>
      </c>
      <c r="F8592" t="inlineStr">
        <is>
          <t>B0C2CMB8Q2</t>
        </is>
      </c>
      <c r="G8592">
        <f>_xlfn.IMAGE("https://edmondsonsupply.com/cdn/shop/products/69401.jpg?v=1587151194")</f>
        <v/>
      </c>
      <c r="H8592">
        <f>_xlfn.IMAGE("https://m.media-amazon.com/images/I/81HZ27L7JGL._AC_UL320_.jpg")</f>
        <v/>
      </c>
      <c r="K8592" t="inlineStr">
        <is>
          <t>16.97</t>
        </is>
      </c>
      <c r="L8592" t="n">
        <v>15.99</v>
      </c>
      <c r="M8592" s="1" t="inlineStr">
        <is>
          <t>-5.77%</t>
        </is>
      </c>
      <c r="N8592" s="7" t="n"/>
      <c r="O8592" t="n">
        <v>4.1</v>
      </c>
      <c r="P8592" t="n">
        <v>12</v>
      </c>
      <c r="R8592" t="inlineStr">
        <is>
          <t>InStock</t>
        </is>
      </c>
      <c r="S8592" t="inlineStr">
        <is>
          <t>23.84</t>
        </is>
      </c>
      <c r="T8592" t="inlineStr">
        <is>
          <t>4348577710180</t>
        </is>
      </c>
    </row>
    <row r="8593" ht="87" customHeight="1">
      <c r="A8593" s="2">
        <f>HYPERLINK("https://edmondsonsupply.com/collections/electricians-tools/products/klein-tools-44135-folding-utility-knife-camo-assisted-open", "https://edmondsonsupply.com/collections/electricians-tools/products/klein-tools-44135-folding-utility-knife-camo-assisted-open")</f>
        <v/>
      </c>
      <c r="B8593" s="2">
        <f>HYPERLINK("https://edmondsonsupply.com/products/klein-tools-44135-folding-utility-knife-camo-assisted-open", "https://edmondsonsupply.com/products/klein-tools-44135-folding-utility-knife-camo-assisted-open")</f>
        <v/>
      </c>
      <c r="C8593" t="inlineStr">
        <is>
          <t>Klein Tools 44135 Folding Utility Knife Camo Assisted-Open</t>
        </is>
      </c>
      <c r="D8593" t="inlineStr">
        <is>
          <t>Klein Tools 44135 Utility Knife, Camo Locking/Folding Razor Cutter with Lanyard Hole, No-Slip Grip, Includes 1 Blade and Pocket Clip</t>
        </is>
      </c>
      <c r="E8593" s="2">
        <f>HYPERLINK("https://www.amazon.com/Folding-Assisted-Open-Klein-Tools-44135/dp/B018CKXHKE/ref=sr_1_1?keywords=Klein+Tools+44135+Folding+Utility+Knife+Camo+Assisted-Open&amp;qid=1694735440&amp;sr=8-1", "https://www.amazon.com/Folding-Assisted-Open-Klein-Tools-44135/dp/B018CKXHKE/ref=sr_1_1?keywords=Klein+Tools+44135+Folding+Utility+Knife+Camo+Assisted-Open&amp;qid=1694735440&amp;sr=8-1")</f>
        <v/>
      </c>
      <c r="F8593" t="inlineStr">
        <is>
          <t>B018CKXHKE</t>
        </is>
      </c>
      <c r="G8593">
        <f>_xlfn.IMAGE("https://edmondsonsupply.com/cdn/shop/products/44135.jpg?v=1587143560")</f>
        <v/>
      </c>
      <c r="H8593">
        <f>_xlfn.IMAGE("https://m.media-amazon.com/images/I/4175KKuFd-L._AC_UL320_.jpg")</f>
        <v/>
      </c>
      <c r="K8593" t="inlineStr">
        <is>
          <t>25.99</t>
        </is>
      </c>
      <c r="L8593" t="n">
        <v>24.44</v>
      </c>
      <c r="M8593" s="1" t="inlineStr">
        <is>
          <t>-5.96%</t>
        </is>
      </c>
      <c r="N8593" s="7" t="n"/>
      <c r="O8593" t="n">
        <v>4.6</v>
      </c>
      <c r="P8593" t="n">
        <v>3077</v>
      </c>
      <c r="R8593" t="inlineStr">
        <is>
          <t>InStock</t>
        </is>
      </c>
      <c r="S8593" t="inlineStr">
        <is>
          <t>37.02</t>
        </is>
      </c>
      <c r="T8593" t="inlineStr">
        <is>
          <t>1778746720356</t>
        </is>
      </c>
    </row>
    <row r="8594" hidden="1" ht="15.75" customHeight="1">
      <c r="A8594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594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594" t="inlineStr">
        <is>
          <t>Klein Tools 614-6 1/8-Inch Cabinet Electronics Screwdriver, 6-Inch</t>
        </is>
      </c>
      <c r="D8594" t="inlineStr">
        <is>
          <t>Klein Tools 605-6 1/4-Inch Cabinet Tip Screwdriver, Heavy Duty, 6-Inch</t>
        </is>
      </c>
      <c r="E8594" s="2">
        <f>HYPERLINK("https://www.amazon.com/Klein-Tools-4-Inch-Cabinet-Screwdriver/dp/B000BQT6GC/ref=sr_1_3?keywords=Klein+Tools+614-6+1%2F8-Inch+Cabinet+Electronics+Screwdriver%2C+6-Inch&amp;qid=1694735470&amp;sr=8-3", "https://www.amazon.com/Klein-Tools-4-Inch-Cabinet-Screwdriver/dp/B000BQT6GC/ref=sr_1_3?keywords=Klein+Tools+614-6+1%2F8-Inch+Cabinet+Electronics+Screwdriver%2C+6-Inch&amp;qid=1694735470&amp;sr=8-3")</f>
        <v/>
      </c>
      <c r="F8594" t="inlineStr">
        <is>
          <t>B000BQT6GC</t>
        </is>
      </c>
      <c r="G8594">
        <f>_xludf.IMAGE("https://edmondsonsupply.com/cdn/shop/products/614-6.jpg?v=1587147731")</f>
        <v/>
      </c>
      <c r="H8594">
        <f>_xludf.IMAGE("https://m.media-amazon.com/images/I/41WLDr2SP+L._AC_UL320_.jpg")</f>
        <v/>
      </c>
      <c r="K8594" t="inlineStr">
        <is>
          <t>9.99</t>
        </is>
      </c>
      <c r="L8594" t="n">
        <v>9.390000000000001</v>
      </c>
      <c r="M8594" s="1" t="inlineStr">
        <is>
          <t>-6.01%</t>
        </is>
      </c>
      <c r="N8594" s="1" t="n"/>
      <c r="O8594" t="n">
        <v>4.8</v>
      </c>
      <c r="P8594" t="n">
        <v>1225</v>
      </c>
      <c r="R8594" t="inlineStr">
        <is>
          <t>InStock</t>
        </is>
      </c>
      <c r="S8594" t="inlineStr">
        <is>
          <t>15.14</t>
        </is>
      </c>
      <c r="T8594" t="inlineStr">
        <is>
          <t>3688620556388</t>
        </is>
      </c>
    </row>
    <row r="8595" hidden="1" ht="15.75" customHeight="1">
      <c r="A8595" s="2">
        <f>HYPERLINK("https://edmondsonsupply.com/collections/electricians-tools/products/klein-tools-32500-11-in-1-multi-bit-screwdriver-nut-driver-multi-purpose", "https://edmondsonsupply.com/collections/electricians-tools/products/klein-tools-32500-11-in-1-multi-bit-screwdriver-nut-driver-multi-purpose")</f>
        <v/>
      </c>
      <c r="B8595" s="2">
        <f>HYPERLINK("https://edmondsonsupply.com/products/klein-tools-32500-11-in-1-multi-bit-screwdriver-nut-driver-multi-purpose", "https://edmondsonsupply.com/products/klein-tools-32500-11-in-1-multi-bit-screwdriver-nut-driver-multi-purpose")</f>
        <v/>
      </c>
      <c r="C8595" t="inlineStr">
        <is>
          <t>Klein Tools 32500 Multi-Bit Screwdriver / Nut Driver, 11-in-1, Ph, Sl, Sq, TORX® Bits</t>
        </is>
      </c>
      <c r="D8595" t="inlineStr">
        <is>
          <t>Klein Tools 32557 Multi-Bit Screwdriver / Nut Driver, Heavy Duty 10-in-1 with Interchangable Shafts and Ph, Sl, Sq, Hex Bits and Nut Drivers</t>
        </is>
      </c>
      <c r="E8595" s="2">
        <f>HYPERLINK("https://www.amazon.com/Klein-Tools-32557-Multi-Bit-Screwdriver/dp/B005FQDH9A/ref=sr_1_1?keywords=Klein+Tools+32500+Multi-Bit+Screwdriver+%2F+Nut+Driver%2C+11-in-1%2C+Ph%2C+Sl%2C+Sq%2C+TORX%C2%AE+Bits&amp;qid=1694735466&amp;sr=8-1", "https://www.amazon.com/Klein-Tools-32557-Multi-Bit-Screwdriver/dp/B005FQDH9A/ref=sr_1_1?keywords=Klein+Tools+32500+Multi-Bit+Screwdriver+%2F+Nut+Driver%2C+11-in-1%2C+Ph%2C+Sl%2C+Sq%2C+TORX%C2%AE+Bits&amp;qid=1694735466&amp;sr=8-1")</f>
        <v/>
      </c>
      <c r="F8595" t="inlineStr">
        <is>
          <t>B005FQDH9A</t>
        </is>
      </c>
      <c r="G8595">
        <f>_xludf.IMAGE("https://edmondsonsupply.com/cdn/shop/products/32500_c.jpg?v=1666897895")</f>
        <v/>
      </c>
      <c r="H8595">
        <f>_xludf.IMAGE("https://m.media-amazon.com/images/I/41vMDiO0rOL._AC_UL320_.jpg")</f>
        <v/>
      </c>
      <c r="K8595" t="inlineStr">
        <is>
          <t>15.97</t>
        </is>
      </c>
      <c r="L8595" t="n">
        <v>14.98</v>
      </c>
      <c r="M8595" s="1" t="inlineStr">
        <is>
          <t>-6.20%</t>
        </is>
      </c>
      <c r="N8595" s="1" t="n"/>
      <c r="O8595" t="n">
        <v>4.8</v>
      </c>
      <c r="P8595" t="n">
        <v>918</v>
      </c>
      <c r="R8595" t="inlineStr">
        <is>
          <t>InStock</t>
        </is>
      </c>
      <c r="S8595" t="inlineStr">
        <is>
          <t>27.56</t>
        </is>
      </c>
      <c r="T8595" t="inlineStr">
        <is>
          <t>3701368717412</t>
        </is>
      </c>
    </row>
    <row r="8596" hidden="1" ht="15.75" customHeight="1">
      <c r="A8596" s="2">
        <f>HYPERLINK("https://edmondsonsupply.com/collections/electricians-tools/products/klein-tools-32557-6-in-1-multi-bit-screwdriver-nut-driver-heavy-duty", "https://edmondsonsupply.com/collections/electricians-tools/products/klein-tools-32557-6-in-1-multi-bit-screwdriver-nut-driver-heavy-duty")</f>
        <v/>
      </c>
      <c r="B8596" s="2">
        <f>HYPERLINK("https://edmondsonsupply.com/products/klein-tools-32557-6-in-1-multi-bit-screwdriver-nut-driver-heavy-duty", "https://edmondsonsupply.com/products/klein-tools-32557-6-in-1-multi-bit-screwdriver-nut-driver-heavy-duty")</f>
        <v/>
      </c>
      <c r="C8596" t="inlineStr">
        <is>
          <t>Klein Tools 32557 Multi-Bit Screwdriver / Nut Driver, 10-in-1, Heavy Duty</t>
        </is>
      </c>
      <c r="D8596" t="inlineStr">
        <is>
          <t>Klein Tools 32557 Multi-Bit Screwdriver / Nut Driver, Heavy Duty 10-in-1 with Interchangable Shafts and Ph, Sl, Sq, Hex Bits and Nut Drivers</t>
        </is>
      </c>
      <c r="E8596" s="2">
        <f>HYPERLINK("https://www.amazon.com/Klein-Tools-32557-Multi-Bit-Screwdriver/dp/B005FQDH9A/ref=sr_1_1?keywords=Klein+Tools+32557+Multi-Bit+Screwdriver+%2F+Nut+Driver%2C+10-in-1%2C+Heavy+Duty&amp;qid=1694735447&amp;sr=8-1", "https://www.amazon.com/Klein-Tools-32557-Multi-Bit-Screwdriver/dp/B005FQDH9A/ref=sr_1_1?keywords=Klein+Tools+32557+Multi-Bit+Screwdriver+%2F+Nut+Driver%2C+10-in-1%2C+Heavy+Duty&amp;qid=1694735447&amp;sr=8-1")</f>
        <v/>
      </c>
      <c r="F8596" t="inlineStr">
        <is>
          <t>B005FQDH9A</t>
        </is>
      </c>
      <c r="G8596">
        <f>_xludf.IMAGE("https://edmondsonsupply.com/cdn/shop/products/32557.jpg?v=1587145433")</f>
        <v/>
      </c>
      <c r="H8596">
        <f>_xludf.IMAGE("https://m.media-amazon.com/images/I/41vMDiO0rOL._AC_UL320_.jpg")</f>
        <v/>
      </c>
      <c r="K8596" t="inlineStr">
        <is>
          <t>15.97</t>
        </is>
      </c>
      <c r="L8596" t="n">
        <v>14.98</v>
      </c>
      <c r="M8596" s="1" t="inlineStr">
        <is>
          <t>-6.20%</t>
        </is>
      </c>
      <c r="N8596" s="1" t="n"/>
      <c r="O8596" t="n">
        <v>4.8</v>
      </c>
      <c r="P8596" t="n">
        <v>918</v>
      </c>
      <c r="R8596" t="inlineStr">
        <is>
          <t>InStock</t>
        </is>
      </c>
      <c r="S8596" t="inlineStr">
        <is>
          <t>24.7</t>
        </is>
      </c>
      <c r="T8596" t="inlineStr">
        <is>
          <t>4256103694436</t>
        </is>
      </c>
    </row>
    <row r="8597" ht="87" customHeight="1">
      <c r="A8597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597" s="2">
        <f>HYPERLINK("https://edmondsonsupply.com/products/klein-tools-69411-circuit-breaker-finder-accessory-kit", "https://edmondsonsupply.com/products/klein-tools-69411-circuit-breaker-finder-accessory-kit")</f>
        <v/>
      </c>
      <c r="C8597" t="inlineStr">
        <is>
          <t>Klein Tools 69411 Circuit Breaker Finder Accessory Kit</t>
        </is>
      </c>
      <c r="D8597" t="inlineStr">
        <is>
          <t>getgear case for Circuit Breaker Finder/Tester, Compatible with Klein Tools ET310 AC Circuit Breaker Finder, RT310, RT250, Accessory Kit Smart organizing case,</t>
        </is>
      </c>
      <c r="E8597" s="2">
        <f>HYPERLINK("https://www.amazon.com/getgear-Circuit-Compatible-Accessory-organizing/dp/B09H3K3Q6Q/ref=sr_1_30?keywords=Klein+Tools+69411+Circuit+Breaker+Finder+Accessory+Kit&amp;qid=1694735452&amp;sr=8-30", "https://www.amazon.com/getgear-Circuit-Compatible-Accessory-organizing/dp/B09H3K3Q6Q/ref=sr_1_30?keywords=Klein+Tools+69411+Circuit+Breaker+Finder+Accessory+Kit&amp;qid=1694735452&amp;sr=8-30")</f>
        <v/>
      </c>
      <c r="F8597" t="inlineStr">
        <is>
          <t>B09H3K3Q6Q</t>
        </is>
      </c>
      <c r="G8597">
        <f>_xlfn.IMAGE("https://edmondsonsupply.com/cdn/shop/products/69411.jpg?v=1587143386")</f>
        <v/>
      </c>
      <c r="H8597">
        <f>_xlfn.IMAGE("https://m.media-amazon.com/images/I/81BFxfpU7oL._AC_UL320_.jpg")</f>
        <v/>
      </c>
      <c r="K8597" t="inlineStr">
        <is>
          <t>19.97</t>
        </is>
      </c>
      <c r="L8597" t="n">
        <v>18.68</v>
      </c>
      <c r="M8597" s="1" t="inlineStr">
        <is>
          <t>-6.46%</t>
        </is>
      </c>
      <c r="N8597" s="7" t="n"/>
      <c r="O8597" t="n">
        <v>4.2</v>
      </c>
      <c r="P8597" t="n">
        <v>33</v>
      </c>
      <c r="R8597" t="inlineStr">
        <is>
          <t>InStock</t>
        </is>
      </c>
      <c r="S8597" t="inlineStr">
        <is>
          <t>27.96</t>
        </is>
      </c>
      <c r="T8597" t="inlineStr">
        <is>
          <t>4166896255076</t>
        </is>
      </c>
    </row>
    <row r="8598" ht="87" customHeight="1">
      <c r="A8598" s="2">
        <f>HYPERLINK("https://edmondsonsupply.com/collections/electricians-tools/products/klein-tools-d203-6-long-nose-side-cutters-6-inch", "https://edmondsonsupply.com/collections/electricians-tools/products/klein-tools-d203-6-long-nose-side-cutters-6-inch")</f>
        <v/>
      </c>
      <c r="B8598" s="2">
        <f>HYPERLINK("https://edmondsonsupply.com/products/klein-tools-d203-6-long-nose-side-cutters-6-inch", "https://edmondsonsupply.com/products/klein-tools-d203-6-long-nose-side-cutters-6-inch")</f>
        <v/>
      </c>
      <c r="C8598" t="inlineStr">
        <is>
          <t>Klein Tools D203-6 Pliers, Needle Nose Side-Cutters, 6-Inch</t>
        </is>
      </c>
      <c r="D8598" t="inlineStr">
        <is>
          <t>Klein Tools D301-6 Pliers, Standard Needle Nose Pliers, 6-Inch</t>
        </is>
      </c>
      <c r="E8598" s="2">
        <f>HYPERLINK("https://www.amazon.com/Klein-Tools-D301-6-Standard-Long-Nose/dp/B000PDNBLW/ref=sr_1_5?keywords=Klein+Tools+D203-6+Pliers%2C+Needle+Nose+Side-Cutters%2C+6-Inch&amp;qid=1694735434&amp;sr=8-5", "https://www.amazon.com/Klein-Tools-D301-6-Standard-Long-Nose/dp/B000PDNBLW/ref=sr_1_5?keywords=Klein+Tools+D203-6+Pliers%2C+Needle+Nose+Side-Cutters%2C+6-Inch&amp;qid=1694735434&amp;sr=8-5")</f>
        <v/>
      </c>
      <c r="F8598" t="inlineStr">
        <is>
          <t>B000PDNBLW</t>
        </is>
      </c>
      <c r="G8598">
        <f>_xlfn.IMAGE("https://edmondsonsupply.com/cdn/shop/products/d203-6.jpg?v=1587150424")</f>
        <v/>
      </c>
      <c r="H8598">
        <f>_xlfn.IMAGE("https://m.media-amazon.com/images/I/41kDgEieBtL._AC_UL320_.jpg")</f>
        <v/>
      </c>
      <c r="K8598" t="inlineStr">
        <is>
          <t>25.99</t>
        </is>
      </c>
      <c r="L8598" t="n">
        <v>24.24</v>
      </c>
      <c r="M8598" s="1" t="inlineStr">
        <is>
          <t>-6.73%</t>
        </is>
      </c>
      <c r="N8598" s="7" t="n"/>
      <c r="O8598" t="n">
        <v>4.6</v>
      </c>
      <c r="P8598" t="n">
        <v>71</v>
      </c>
      <c r="R8598" t="inlineStr">
        <is>
          <t>InStock</t>
        </is>
      </c>
      <c r="S8598" t="inlineStr">
        <is>
          <t>39.38</t>
        </is>
      </c>
      <c r="T8598" t="inlineStr">
        <is>
          <t>4335116484708</t>
        </is>
      </c>
    </row>
    <row r="8599" ht="87" customHeight="1">
      <c r="A8599" s="2">
        <f>HYPERLINK("https://edmondsonsupply.com/collections/electricians-tools/products/klein-tools-vdv002-818-coax-cable-installation-test-kit", "https://edmondsonsupply.com/collections/electricians-tools/products/klein-tools-vdv002-818-coax-cable-installation-test-kit")</f>
        <v/>
      </c>
      <c r="B8599" s="2">
        <f>HYPERLINK("https://edmondsonsupply.com/products/klein-tools-vdv002-818-coax-cable-installation-test-kit", "https://edmondsonsupply.com/products/klein-tools-vdv002-818-coax-cable-installation-test-kit")</f>
        <v/>
      </c>
      <c r="C8599" t="inlineStr">
        <is>
          <t>Klein Tools VDV002-818 Coax Cable Installation &amp; Test Kit</t>
        </is>
      </c>
      <c r="D8599" t="inlineStr">
        <is>
          <t>Klein Tools VDV002-818 Coax Install and Test Kit with Crimp Tool, Includes Tester, Stripper and Universal F Connectors</t>
        </is>
      </c>
      <c r="E8599" s="2">
        <f>HYPERLINK("https://www.amazon.com/Tools-Connectors-Connector-Klein-VDV002-818/dp/B00ABTG2HA/ref=sr_1_1?keywords=Klein+Tools+VDV002-818+Coax+Cable+Installation&amp;qid=1694735432&amp;sr=8-1", "https://www.amazon.com/Tools-Connectors-Connector-Klein-VDV002-818/dp/B00ABTG2HA/ref=sr_1_1?keywords=Klein+Tools+VDV002-818+Coax+Cable+Installation&amp;qid=1694735432&amp;sr=8-1")</f>
        <v/>
      </c>
      <c r="F8599" t="inlineStr">
        <is>
          <t>B00ABTG2HA</t>
        </is>
      </c>
      <c r="G8599">
        <f>_xlfn.IMAGE("https://edmondsonsupply.com/cdn/shop/products/vdv002-818.jpg?v=1587144977")</f>
        <v/>
      </c>
      <c r="H8599">
        <f>_xlfn.IMAGE("https://m.media-amazon.com/images/I/61nFHcTx3-L._AC_UL320_.jpg")</f>
        <v/>
      </c>
      <c r="K8599" t="inlineStr">
        <is>
          <t>53.99</t>
        </is>
      </c>
      <c r="L8599" t="n">
        <v>49.99</v>
      </c>
      <c r="M8599" s="1" t="inlineStr">
        <is>
          <t>-7.41%</t>
        </is>
      </c>
      <c r="N8599" s="7" t="n"/>
      <c r="O8599" t="n">
        <v>4.7</v>
      </c>
      <c r="P8599" t="n">
        <v>2254</v>
      </c>
      <c r="R8599" t="inlineStr">
        <is>
          <t>InStock</t>
        </is>
      </c>
      <c r="S8599" t="inlineStr">
        <is>
          <t>72.74</t>
        </is>
      </c>
      <c r="T8599" t="inlineStr">
        <is>
          <t>4345265193060</t>
        </is>
      </c>
    </row>
    <row r="8600" hidden="1" ht="15.75" customHeight="1">
      <c r="A8600" s="2">
        <f>HYPERLINK("https://edmondsonsupply.com/collections/electricians-tools/products/klein-tools-5139c-camouflage-zipper-bag", "https://edmondsonsupply.com/collections/electricians-tools/products/klein-tools-5139c-camouflage-zipper-bag")</f>
        <v/>
      </c>
      <c r="B8600" s="2">
        <f>HYPERLINK("https://edmondsonsupply.com/products/klein-tools-5139c-camouflage-zipper-bag", "https://edmondsonsupply.com/products/klein-tools-5139c-camouflage-zipper-bag")</f>
        <v/>
      </c>
      <c r="C8600" t="inlineStr">
        <is>
          <t>Klein Tools 5139C Zipper Bag, Camouflage Cordura Nylon Tool Pouch, 12-1/2-Inch</t>
        </is>
      </c>
      <c r="D8600" t="inlineStr">
        <is>
          <t>Klein Tools 5139PAD Zipper Bag, Cordura Nylon Tool Pouch with Layered Padding for Protection and Zipper Close, 12-1/2-Inch, Black</t>
        </is>
      </c>
      <c r="E8600" s="2">
        <f>HYPERLINK("https://www.amazon.com/Padded-Zipper-Klein-Tools-5139PAD/dp/B002G72PMG/ref=sr_1_2?keywords=Klein+Tools+5139C+Zipper+Bag%2C+Camouflage+Cordura+Nylon+Tool+Pouch%2C+12-1%2F2-Inch&amp;qid=1694735441&amp;sr=8-2", "https://www.amazon.com/Padded-Zipper-Klein-Tools-5139PAD/dp/B002G72PMG/ref=sr_1_2?keywords=Klein+Tools+5139C+Zipper+Bag%2C+Camouflage+Cordura+Nylon+Tool+Pouch%2C+12-1%2F2-Inch&amp;qid=1694735441&amp;sr=8-2")</f>
        <v/>
      </c>
      <c r="F8600" t="inlineStr">
        <is>
          <t>B002G72PMG</t>
        </is>
      </c>
      <c r="G8600">
        <f>_xludf.IMAGE("https://edmondsonsupply.com/cdn/shop/products/5139c.jpg?v=1587143515")</f>
        <v/>
      </c>
      <c r="H8600">
        <f>_xludf.IMAGE("https://m.media-amazon.com/images/I/91ES5ZFIrYL._AC_UL320_.jpg")</f>
        <v/>
      </c>
      <c r="K8600" t="inlineStr">
        <is>
          <t>12.97</t>
        </is>
      </c>
      <c r="L8600" t="n">
        <v>12</v>
      </c>
      <c r="M8600" s="1" t="inlineStr">
        <is>
          <t>-7.48%</t>
        </is>
      </c>
      <c r="N8600" s="1" t="n"/>
      <c r="O8600" t="n">
        <v>4.7</v>
      </c>
      <c r="P8600" t="n">
        <v>401</v>
      </c>
      <c r="R8600" t="inlineStr">
        <is>
          <t>InStock</t>
        </is>
      </c>
      <c r="S8600" t="inlineStr">
        <is>
          <t>19.62</t>
        </is>
      </c>
      <c r="T8600" t="inlineStr">
        <is>
          <t>4292200136804</t>
        </is>
      </c>
    </row>
    <row r="8601" hidden="1" ht="15.75" customHeight="1">
      <c r="A8601" s="2">
        <f>HYPERLINK("https://edmondsonsupply.com/collections/electricians-tools/products/klein-tools-32401-replacement-bit-3-16-slotted-1-4-slotted", "https://edmondsonsupply.com/collections/electricians-tools/products/klein-tools-32401-replacement-bit-3-16-slotted-1-4-slotted")</f>
        <v/>
      </c>
      <c r="B8601" s="2">
        <f>HYPERLINK("https://edmondsonsupply.com/products/klein-tools-32401-replacement-bit-3-16-slotted-1-4-slotted", "https://edmondsonsupply.com/products/klein-tools-32401-replacement-bit-3-16-slotted-1-4-slotted")</f>
        <v/>
      </c>
      <c r="C8601" t="inlineStr">
        <is>
          <t>Klein Tools 32401 Replacement Bit 3/16'' Slotted 1/4'' Slotted</t>
        </is>
      </c>
      <c r="D8601" t="inlineStr">
        <is>
          <t>Klein Tools 32482 Replacement Bit, #1 Phillips, 3/16-Inch Slotted for 10-in-1 and 11-in-1 Screwdriver/Nut Driver</t>
        </is>
      </c>
      <c r="E8601" s="2">
        <f>HYPERLINK("https://www.amazon.com/Klein-Tools-Replacement-Phillips-Screwdriver/dp/B000936PTS/ref=sr_1_3?keywords=Klein+Tools+32401+Replacement+Bit+3%2F16+Slotted+1%2F4+Slotted&amp;qid=1694735440&amp;sr=8-3", "https://www.amazon.com/Klein-Tools-Replacement-Phillips-Screwdriver/dp/B000936PTS/ref=sr_1_3?keywords=Klein+Tools+32401+Replacement+Bit+3%2F16+Slotted+1%2F4+Slotted&amp;qid=1694735440&amp;sr=8-3")</f>
        <v/>
      </c>
      <c r="F8601" t="inlineStr">
        <is>
          <t>B000936PTS</t>
        </is>
      </c>
      <c r="G8601">
        <f>_xludf.IMAGE("https://edmondsonsupply.com/cdn/shop/products/32401.jpg?v=1587143671")</f>
        <v/>
      </c>
      <c r="H8601">
        <f>_xludf.IMAGE("https://m.media-amazon.com/images/I/51kEiCqvjBL._AC_UL320_.jpg")</f>
        <v/>
      </c>
      <c r="K8601" t="inlineStr">
        <is>
          <t>4.99</t>
        </is>
      </c>
      <c r="L8601" t="n">
        <v>4.61</v>
      </c>
      <c r="M8601" s="1" t="inlineStr">
        <is>
          <t>-7.62%</t>
        </is>
      </c>
      <c r="N8601" s="1" t="n"/>
      <c r="O8601" t="n">
        <v>4.7</v>
      </c>
      <c r="P8601" t="n">
        <v>4262</v>
      </c>
      <c r="R8601" t="inlineStr">
        <is>
          <t>InStock</t>
        </is>
      </c>
      <c r="S8601" t="inlineStr">
        <is>
          <t>7.54</t>
        </is>
      </c>
      <c r="T8601" t="inlineStr">
        <is>
          <t>4310086320228</t>
        </is>
      </c>
    </row>
    <row r="8602" ht="87" customHeight="1">
      <c r="A8602" s="2">
        <f>HYPERLINK("https://edmondsonsupply.com/collections/electricians-tools/products/klein-tools-5189-tradesman-pro%E2%84%A2-hard-case-large", "https://edmondsonsupply.com/collections/electricians-tools/products/klein-tools-5189-tradesman-pro%E2%84%A2-hard-case-large")</f>
        <v/>
      </c>
      <c r="B8602" s="2">
        <f>HYPERLINK("https://edmondsonsupply.com/products/klein-tools-5189-tradesman-pro%e2%84%a2-hard-case-large", "https://edmondsonsupply.com/products/klein-tools-5189-tradesman-pro%e2%84%a2-hard-case-large")</f>
        <v/>
      </c>
      <c r="C8602" t="inlineStr">
        <is>
          <t>Klein Tools 5189 Tradesman Pro™ Hard Case Large</t>
        </is>
      </c>
      <c r="D8602" t="inlineStr">
        <is>
          <t>Klein Tools 5189 Tradesman Pro Hard Case Large</t>
        </is>
      </c>
      <c r="E8602" s="2">
        <f>HYPERLINK("https://www.amazon.com/Tradesman-Large-Klein-Tools-5189/dp/B00MJNS5US/ref=sr_1_1?keywords=Klein+Tools+5189+Tradesman+Pro%E2%84%A2+Hard+Case+Large&amp;qid=1694735459&amp;sr=8-1", "https://www.amazon.com/Tradesman-Large-Klein-Tools-5189/dp/B00MJNS5US/ref=sr_1_1?keywords=Klein+Tools+5189+Tradesman+Pro%E2%84%A2+Hard+Case+Large&amp;qid=1694735459&amp;sr=8-1")</f>
        <v/>
      </c>
      <c r="F8602" t="inlineStr">
        <is>
          <t>B00MJNS5US</t>
        </is>
      </c>
      <c r="G8602">
        <f>_xlfn.IMAGE("https://edmondsonsupply.com/cdn/shop/products/5189.jpg?v=1587145502")</f>
        <v/>
      </c>
      <c r="H8602">
        <f>_xlfn.IMAGE("https://m.media-amazon.com/images/I/61a-eL8gHxL._AC_UL320_.jpg")</f>
        <v/>
      </c>
      <c r="K8602" t="inlineStr">
        <is>
          <t>23.97</t>
        </is>
      </c>
      <c r="L8602" t="n">
        <v>21.97</v>
      </c>
      <c r="M8602" s="1" t="inlineStr">
        <is>
          <t>-8.34%</t>
        </is>
      </c>
      <c r="N8602" s="7" t="n"/>
      <c r="O8602" t="n">
        <v>4.8</v>
      </c>
      <c r="P8602" t="n">
        <v>1529</v>
      </c>
      <c r="R8602" t="inlineStr">
        <is>
          <t>InStock</t>
        </is>
      </c>
      <c r="S8602" t="inlineStr">
        <is>
          <t>33.1</t>
        </is>
      </c>
      <c r="T8602" t="inlineStr">
        <is>
          <t>1723365654628</t>
        </is>
      </c>
    </row>
    <row r="8603" ht="87" customHeight="1">
      <c r="A8603" s="2">
        <f>HYPERLINK("https://edmondsonsupply.com/collections/electricians-tools/products/klein-tools-srs56037-magnetic-wire-pulling-system", "https://edmondsonsupply.com/collections/electricians-tools/products/klein-tools-srs56037-magnetic-wire-pulling-system")</f>
        <v/>
      </c>
      <c r="B8603" s="2">
        <f>HYPERLINK("https://edmondsonsupply.com/products/klein-tools-srs56037-magnetic-wire-pulling-system", "https://edmondsonsupply.com/products/klein-tools-srs56037-magnetic-wire-pulling-system")</f>
        <v/>
      </c>
      <c r="C8603" t="inlineStr">
        <is>
          <t>Klein Tools SRS56037 Magnetic Wire Pulling System</t>
        </is>
      </c>
      <c r="D8603" t="inlineStr">
        <is>
          <t>Klein Tools SRS56037 Magnetic Wire Pulling System</t>
        </is>
      </c>
      <c r="E8603" s="2">
        <f>HYPERLINK("https://www.amazon.com/Magnetic-Pulling-Klein-Tools-SRS56037/dp/B01BVVH62Q/ref=sr_1_1?keywords=Klein+Tools+SRS56037+Magnetic+Wire+Pulling+System&amp;qid=1694735481&amp;sr=8-1", "https://www.amazon.com/Magnetic-Pulling-Klein-Tools-SRS56037/dp/B01BVVH62Q/ref=sr_1_1?keywords=Klein+Tools+SRS56037+Magnetic+Wire+Pulling+System&amp;qid=1694735481&amp;sr=8-1")</f>
        <v/>
      </c>
      <c r="F8603" t="inlineStr">
        <is>
          <t>B01BVVH62Q</t>
        </is>
      </c>
      <c r="G8603">
        <f>_xlfn.IMAGE("https://edmondsonsupply.com/cdn/shop/products/srs56037.jpg?v=1587146490")</f>
        <v/>
      </c>
      <c r="H8603">
        <f>_xlfn.IMAGE("https://m.media-amazon.com/images/I/61qYo2Ne6TL._AC_UL320_.jpg")</f>
        <v/>
      </c>
      <c r="K8603" t="inlineStr">
        <is>
          <t>49.97</t>
        </is>
      </c>
      <c r="L8603" t="n">
        <v>45.61</v>
      </c>
      <c r="M8603" s="1" t="inlineStr">
        <is>
          <t>-8.73%</t>
        </is>
      </c>
      <c r="N8603" s="7" t="n"/>
      <c r="O8603" t="n">
        <v>4.3</v>
      </c>
      <c r="P8603" t="n">
        <v>1124</v>
      </c>
      <c r="R8603" t="inlineStr">
        <is>
          <t>InStock</t>
        </is>
      </c>
      <c r="S8603" t="inlineStr">
        <is>
          <t>72.96</t>
        </is>
      </c>
      <c r="T8603" t="inlineStr">
        <is>
          <t>3698740035684</t>
        </is>
      </c>
    </row>
    <row r="8604" hidden="1" ht="15.75" customHeight="1">
      <c r="A8604" s="2">
        <f>HYPERLINK("https://edmondsonsupply.com/collections/electricians-tools/products/klein-tools-5139-canvas-zipper-bag", "https://edmondsonsupply.com/collections/electricians-tools/products/klein-tools-5139-canvas-zipper-bag")</f>
        <v/>
      </c>
      <c r="B8604" s="2">
        <f>HYPERLINK("https://edmondsonsupply.com/products/klein-tools-5139-canvas-zipper-bag", "https://edmondsonsupply.com/products/klein-tools-5139-canvas-zipper-bag")</f>
        <v/>
      </c>
      <c r="C8604" t="inlineStr">
        <is>
          <t>Klein Tools 5139 Zipper Bag, Canvas Tool Pouch 12.5 x 7 x 4.25-Inch</t>
        </is>
      </c>
      <c r="D8604" t="inlineStr">
        <is>
          <t>Klein Tools 5139C Zipper Bag, Camouflage Cordura Nylon Tool Pouch with Heavy-Duty Zipper Close, 12.5 x 7-Inch</t>
        </is>
      </c>
      <c r="E8604" s="2">
        <f>HYPERLINK("https://www.amazon.com/Durable-Camouflage-Klein-Tools-5139C/dp/B0002RI64I/ref=sr_1_8?keywords=Klein+Tools+5139+Zipper+Bag%2C+Canvas+Tool+Pouch+12.5+x+7+x+4.25-Inch&amp;qid=1694735450&amp;sr=8-8", "https://www.amazon.com/Durable-Camouflage-Klein-Tools-5139C/dp/B0002RI64I/ref=sr_1_8?keywords=Klein+Tools+5139+Zipper+Bag%2C+Canvas+Tool+Pouch+12.5+x+7+x+4.25-Inch&amp;qid=1694735450&amp;sr=8-8")</f>
        <v/>
      </c>
      <c r="F8604" t="inlineStr">
        <is>
          <t>B0002RI64I</t>
        </is>
      </c>
      <c r="G8604">
        <f>_xludf.IMAGE("https://edmondsonsupply.com/cdn/shop/products/5139.jpg?v=1587150181")</f>
        <v/>
      </c>
      <c r="H8604">
        <f>_xludf.IMAGE("https://m.media-amazon.com/images/I/71bK1WDZnOL._AC_UL320_.jpg")</f>
        <v/>
      </c>
      <c r="K8604" t="inlineStr">
        <is>
          <t>10.97</t>
        </is>
      </c>
      <c r="L8604" t="n">
        <v>10</v>
      </c>
      <c r="M8604" s="1" t="inlineStr">
        <is>
          <t>-8.84%</t>
        </is>
      </c>
      <c r="N8604" s="1" t="n"/>
      <c r="O8604" t="n">
        <v>4.7</v>
      </c>
      <c r="P8604" t="n">
        <v>695</v>
      </c>
      <c r="R8604" t="inlineStr">
        <is>
          <t>InStock</t>
        </is>
      </c>
      <c r="S8604" t="inlineStr">
        <is>
          <t>17.12</t>
        </is>
      </c>
      <c r="T8604" t="inlineStr">
        <is>
          <t>2378629185636</t>
        </is>
      </c>
    </row>
    <row r="8605" ht="87" customHeight="1">
      <c r="A8605" s="2">
        <f>HYPERLINK("https://edmondsonsupply.com/collections/electricians-tools/products/klein-tools-5482-back-pocket-tool-pouch", "https://edmondsonsupply.com/collections/electricians-tools/products/klein-tools-5482-back-pocket-tool-pouch")</f>
        <v/>
      </c>
      <c r="B8605" s="2">
        <f>HYPERLINK("https://edmondsonsupply.com/products/klein-tools-5482-back-pocket-tool-pouch", "https://edmondsonsupply.com/products/klein-tools-5482-back-pocket-tool-pouch")</f>
        <v/>
      </c>
      <c r="C8605" t="inlineStr">
        <is>
          <t>Klein Tools 5482 Tool Pouch, Pocket Tool Organizer, 4-Pockets, 5 x 2 x 9.875-Inch</t>
        </is>
      </c>
      <c r="D8605" t="inlineStr">
        <is>
          <t>Klein Tools 5482 Tool Pouch, Tool Belt Back Pocket Tool Pouch with Snap Loop Belt Connect, 4-Pockets, Nylon Construction, 5 x 2 x 9.875-Inch</t>
        </is>
      </c>
      <c r="E8605" s="2">
        <f>HYPERLINK("https://www.amazon.com/Pocket-Connection-2-Inch-Klein-Tools/dp/B007V8RYDK/ref=sr_1_1?keywords=Klein+Tools+5482+Tool+Pouch%2C+Pocket+Tool+Organizer%2C+4-Pockets%2C+5+x+2+x+9.875-Inch&amp;qid=1694735440&amp;sr=8-1", "https://www.amazon.com/Pocket-Connection-2-Inch-Klein-Tools/dp/B007V8RYDK/ref=sr_1_1?keywords=Klein+Tools+5482+Tool+Pouch%2C+Pocket+Tool+Organizer%2C+4-Pockets%2C+5+x+2+x+9.875-Inch&amp;qid=1694735440&amp;sr=8-1")</f>
        <v/>
      </c>
      <c r="F8605" t="inlineStr">
        <is>
          <t>B007V8RYDK</t>
        </is>
      </c>
      <c r="G8605">
        <f>_xlfn.IMAGE("https://edmondsonsupply.com/cdn/shop/products/5482.jpg?v=1587143722")</f>
        <v/>
      </c>
      <c r="H8605">
        <f>_xlfn.IMAGE("https://m.media-amazon.com/images/I/61Eff0aOxGL._AC_UL320_.jpg")</f>
        <v/>
      </c>
      <c r="K8605" t="inlineStr">
        <is>
          <t>21.99</t>
        </is>
      </c>
      <c r="L8605" t="n">
        <v>20</v>
      </c>
      <c r="M8605" s="1" t="inlineStr">
        <is>
          <t>-9.05%</t>
        </is>
      </c>
      <c r="N8605" s="7" t="n"/>
      <c r="O8605" t="n">
        <v>4.3</v>
      </c>
      <c r="P8605" t="n">
        <v>153</v>
      </c>
      <c r="R8605" t="inlineStr">
        <is>
          <t>InStock</t>
        </is>
      </c>
      <c r="S8605" t="inlineStr">
        <is>
          <t>31.8</t>
        </is>
      </c>
      <c r="T8605" t="inlineStr">
        <is>
          <t>4336652779620</t>
        </is>
      </c>
    </row>
    <row r="8606" ht="87" customHeight="1">
      <c r="A8606" s="2">
        <f>HYPERLINK("https://edmondsonsupply.com/collections/electricians-tools/products/klein-tools-32293-2-in-1-insulated-flip-blade-screwdriver-2-ph-1-4-inch-sl", "https://edmondsonsupply.com/collections/electricians-tools/products/klein-tools-32293-2-in-1-insulated-flip-blade-screwdriver-2-ph-1-4-inch-sl")</f>
        <v/>
      </c>
      <c r="B8606" s="2">
        <f>HYPERLINK("https://edmondsonsupply.com/products/klein-tools-32293-2-in-1-insulated-flip-blade-screwdriver-2-ph-1-4-inch-sl", "https://edmondsonsupply.com/products/klein-tools-32293-2-in-1-insulated-flip-blade-screwdriver-2-ph-1-4-inch-sl")</f>
        <v/>
      </c>
      <c r="C8606" t="inlineStr">
        <is>
          <t>Klein Tools 32293 Flip-Blade Insulated Screwdriver, 2-in1, Ph Bit #2, Sl Bit 1/4-Inch</t>
        </is>
      </c>
      <c r="D8606" t="inlineStr">
        <is>
          <t>Klein Tools 32293 Insulated Screwdriver, 2-in-1 Screwdriver Set with Flip Blade, #2 Phillips and1/4-Inch Slotted Tips, Double-Ended Blades</t>
        </is>
      </c>
      <c r="E8606" s="2">
        <f>HYPERLINK("https://www.amazon.com/Klein-Tools-32293-Screwdriver-Double-Ended/dp/B07WWZZQD2/ref=sr_1_1?keywords=Klein+Tools+32293+Flip-Blade+Insulated+Screwdriver%2C+2-in1%2C+Ph+Bit&amp;qid=1694735456&amp;sr=8-1", "https://www.amazon.com/Klein-Tools-32293-Screwdriver-Double-Ended/dp/B07WWZZQD2/ref=sr_1_1?keywords=Klein+Tools+32293+Flip-Blade+Insulated+Screwdriver%2C+2-in1%2C+Ph+Bit&amp;qid=1694735456&amp;sr=8-1")</f>
        <v/>
      </c>
      <c r="F8606" t="inlineStr">
        <is>
          <t>B07WWZZQD2</t>
        </is>
      </c>
      <c r="G8606">
        <f>_xlfn.IMAGE("https://edmondsonsupply.com/cdn/shop/products/32293.jpg?v=1587145454")</f>
        <v/>
      </c>
      <c r="H8606">
        <f>_xlfn.IMAGE("https://m.media-amazon.com/images/I/41yk4NC2BmL._AC_UL320_.jpg")</f>
        <v/>
      </c>
      <c r="K8606" t="inlineStr">
        <is>
          <t>21.97</t>
        </is>
      </c>
      <c r="L8606" t="n">
        <v>19.98</v>
      </c>
      <c r="M8606" s="1" t="inlineStr">
        <is>
          <t>-9.06%</t>
        </is>
      </c>
      <c r="N8606" s="7" t="n"/>
      <c r="O8606" t="n">
        <v>4.8</v>
      </c>
      <c r="P8606" t="n">
        <v>2774</v>
      </c>
      <c r="R8606" t="inlineStr">
        <is>
          <t>InStock</t>
        </is>
      </c>
      <c r="S8606" t="inlineStr">
        <is>
          <t>30.76</t>
        </is>
      </c>
      <c r="T8606" t="inlineStr">
        <is>
          <t>4096466944100</t>
        </is>
      </c>
    </row>
    <row r="8607" ht="87" customHeight="1">
      <c r="A8607" s="2">
        <f>HYPERLINK("https://edmondsonsupply.com/collections/electricians-tools/products/klein-tools-55895-tradesman-pro%E2%84%A2-magnetic-wristband", "https://edmondsonsupply.com/collections/electricians-tools/products/klein-tools-55895-tradesman-pro%E2%84%A2-magnetic-wristband")</f>
        <v/>
      </c>
      <c r="B8607" s="2">
        <f>HYPERLINK("https://edmondsonsupply.com/products/klein-tools-55895-tradesman-pro%e2%84%a2-magnetic-wristband", "https://edmondsonsupply.com/products/klein-tools-55895-tradesman-pro%e2%84%a2-magnetic-wristband")</f>
        <v/>
      </c>
      <c r="C8607" t="inlineStr">
        <is>
          <t>Klein Tools 55895 Tradesman Pro™ Magnetic Wristband</t>
        </is>
      </c>
      <c r="D8607" t="inlineStr">
        <is>
          <t>Klein Tools 55895 Magnetic Wristband, Tradesman Pro Tool Wristband Holds Wire Connectors, Screws, Nails, Drill Bits, With Breathable Mesh</t>
        </is>
      </c>
      <c r="E8607" s="2">
        <f>HYPERLINK("https://www.amazon.com/Klein-Tools-55895-Tradesman-Wristband/dp/B07HBFYJGD/ref=sr_1_1?keywords=Klein+Tools+55895+Tradesman+Pro%E2%84%A2+Magnetic+Wristband&amp;qid=1694735464&amp;sr=8-1", "https://www.amazon.com/Klein-Tools-55895-Tradesman-Wristband/dp/B07HBFYJGD/ref=sr_1_1?keywords=Klein+Tools+55895+Tradesman+Pro%E2%84%A2+Magnetic+Wristband&amp;qid=1694735464&amp;sr=8-1")</f>
        <v/>
      </c>
      <c r="F8607" t="inlineStr">
        <is>
          <t>B07HBFYJGD</t>
        </is>
      </c>
      <c r="G8607">
        <f>_xlfn.IMAGE("https://edmondsonsupply.com/cdn/shop/products/55895_alt1.jpg?v=1587143433")</f>
        <v/>
      </c>
      <c r="H8607">
        <f>_xlfn.IMAGE("https://m.media-amazon.com/images/I/61Y6OMAY3iL._AC_UL320_.jpg")</f>
        <v/>
      </c>
      <c r="K8607" t="inlineStr">
        <is>
          <t>21.97</t>
        </is>
      </c>
      <c r="L8607" t="n">
        <v>19.97</v>
      </c>
      <c r="M8607" s="1" t="inlineStr">
        <is>
          <t>-9.10%</t>
        </is>
      </c>
      <c r="N8607" s="7" t="n"/>
      <c r="O8607" t="n">
        <v>4.7</v>
      </c>
      <c r="P8607" t="n">
        <v>1121</v>
      </c>
      <c r="R8607" t="inlineStr">
        <is>
          <t>InStock</t>
        </is>
      </c>
      <c r="S8607" t="inlineStr">
        <is>
          <t>31.36</t>
        </is>
      </c>
      <c r="T8607" t="inlineStr">
        <is>
          <t>1708023611492</t>
        </is>
      </c>
    </row>
    <row r="8608" ht="87" customHeight="1">
      <c r="A8608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608" s="2">
        <f>HYPERLINK("https://edmondsonsupply.com/products/klein-tools-21051-large-cable-stripper-250-mcm-2-0", "https://edmondsonsupply.com/products/klein-tools-21051-large-cable-stripper-250-mcm-2-0")</f>
        <v/>
      </c>
      <c r="C8608" t="inlineStr">
        <is>
          <t>Klein Tools 21051 Large Cable Stripper (2/0-250 MCM)</t>
        </is>
      </c>
      <c r="D8608" t="inlineStr">
        <is>
          <t>Klein Tools 21051 Large Cable Stripper (2/0-250 MCM)</t>
        </is>
      </c>
      <c r="E8608" s="2">
        <f>HYPERLINK("https://www.amazon.com/Large-Stripper-Klein-Tools-21051/dp/B07D7TZ3LD/ref=sr_1_1?keywords=Klein+Tools+21051+Large+Cable+Stripper+%282%2F0-250+MCM%29&amp;qid=1694735474&amp;sr=8-1", "https://www.amazon.com/Large-Stripper-Klein-Tools-21051/dp/B07D7TZ3LD/ref=sr_1_1?keywords=Klein+Tools+21051+Large+Cable+Stripper+%282%2F0-250+MCM%29&amp;qid=1694735474&amp;sr=8-1")</f>
        <v/>
      </c>
      <c r="F8608" t="inlineStr">
        <is>
          <t>B07D7TZ3LD</t>
        </is>
      </c>
      <c r="G8608">
        <f>_xlfn.IMAGE("https://edmondsonsupply.com/cdn/shop/products/21051.jpg?v=1587145554")</f>
        <v/>
      </c>
      <c r="H8608">
        <f>_xlfn.IMAGE("https://m.media-amazon.com/images/I/61JGOF8u0WL._AC_UL320_.jpg")</f>
        <v/>
      </c>
      <c r="K8608" t="inlineStr">
        <is>
          <t>54.99</t>
        </is>
      </c>
      <c r="L8608" t="n">
        <v>49.97</v>
      </c>
      <c r="M8608" s="1" t="inlineStr">
        <is>
          <t>-9.13%</t>
        </is>
      </c>
      <c r="N8608" s="7" t="n"/>
      <c r="O8608" t="n">
        <v>4.5</v>
      </c>
      <c r="P8608" t="n">
        <v>982</v>
      </c>
      <c r="R8608" t="inlineStr">
        <is>
          <t>InStock</t>
        </is>
      </c>
      <c r="S8608" t="inlineStr">
        <is>
          <t>85.38</t>
        </is>
      </c>
      <c r="T8608" t="inlineStr">
        <is>
          <t>1779877806180</t>
        </is>
      </c>
    </row>
    <row r="8609" hidden="1" ht="15.75" customHeight="1">
      <c r="A8609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609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609" t="inlineStr">
        <is>
          <t>Klein Tools 646-5/16M 5/16-Inch Magnetic Nut Driver Cushion-Grip</t>
        </is>
      </c>
      <c r="D8609" t="inlineStr">
        <is>
          <t>Klein Tools 646-5/16M 5/16-Inch Hex Magnetic Tip Nut Driver with 6-Inch Hollow Shank</t>
        </is>
      </c>
      <c r="E8609" s="2">
        <f>HYPERLINK("https://www.amazon.com/Klein-Tools-646-5-16M-Magnetic/dp/B00093GECG/ref=sr_1_1?keywords=Klein+Tools+646-5%2F16M+5%2F16-Inch+Magnetic+Nut+Driver+Cushion-Grip&amp;qid=1694735459&amp;sr=8-1", "https://www.amazon.com/Klein-Tools-646-5-16M-Magnetic/dp/B00093GECG/ref=sr_1_1?keywords=Klein+Tools+646-5%2F16M+5%2F16-Inch+Magnetic+Nut+Driver+Cushion-Grip&amp;qid=1694735459&amp;sr=8-1")</f>
        <v/>
      </c>
      <c r="F8609" t="inlineStr">
        <is>
          <t>B00093GECG</t>
        </is>
      </c>
      <c r="G8609">
        <f>_xludf.IMAGE("https://edmondsonsupply.com/cdn/shop/products/646-5-16m.jpg?v=1587147720")</f>
        <v/>
      </c>
      <c r="H8609">
        <f>_xludf.IMAGE("https://m.media-amazon.com/images/I/41j5NAMWLQL._AC_UL320_.jpg")</f>
        <v/>
      </c>
      <c r="K8609" t="inlineStr">
        <is>
          <t>11.49</t>
        </is>
      </c>
      <c r="L8609" t="n">
        <v>10.44</v>
      </c>
      <c r="M8609" s="1" t="inlineStr">
        <is>
          <t>-9.14%</t>
        </is>
      </c>
      <c r="N8609" s="1" t="n"/>
      <c r="O8609" t="n">
        <v>4.8</v>
      </c>
      <c r="P8609" t="n">
        <v>2491</v>
      </c>
      <c r="R8609" t="inlineStr">
        <is>
          <t>InStock</t>
        </is>
      </c>
      <c r="S8609" t="inlineStr">
        <is>
          <t>17.4</t>
        </is>
      </c>
      <c r="T8609" t="inlineStr">
        <is>
          <t>3707846557796</t>
        </is>
      </c>
    </row>
    <row r="8610" ht="87" customHeight="1">
      <c r="A8610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10" s="2">
        <f>HYPERLINK("https://edmondsonsupply.com/products/klein-tools-69411-circuit-breaker-finder-accessory-kit", "https://edmondsonsupply.com/products/klein-tools-69411-circuit-breaker-finder-accessory-kit")</f>
        <v/>
      </c>
      <c r="C8610" t="inlineStr">
        <is>
          <t>Klein Tools 69411 Circuit Breaker Finder Accessory Kit</t>
        </is>
      </c>
      <c r="D8610" t="inlineStr">
        <is>
          <t>Case Compatible with Klein Tools ET310 AC Circuit Breaker Finder &amp; 80041 Outlet Repair Tool Kit &amp; RT250 GFCI Receptacle Tester. Electrical Tools Storage Organizer Holder Bag for Accessories (Box Only)</t>
        </is>
      </c>
      <c r="E8610" s="2">
        <f>HYPERLINK("https://www.amazon.com/Compatible-Integrated-Electrical-Organizer-Accessories/dp/B09JBWLH2B/ref=sr_1_22?keywords=Klein+Tools+69411+Circuit+Breaker+Finder+Accessory+Kit&amp;qid=1694735452&amp;sr=8-22", "https://www.amazon.com/Compatible-Integrated-Electrical-Organizer-Accessories/dp/B09JBWLH2B/ref=sr_1_22?keywords=Klein+Tools+69411+Circuit+Breaker+Finder+Accessory+Kit&amp;qid=1694735452&amp;sr=8-22")</f>
        <v/>
      </c>
      <c r="F8610" t="inlineStr">
        <is>
          <t>B09JBWLH2B</t>
        </is>
      </c>
      <c r="G8610">
        <f>_xlfn.IMAGE("https://edmondsonsupply.com/cdn/shop/products/69411.jpg?v=1587143386")</f>
        <v/>
      </c>
      <c r="H8610">
        <f>_xlfn.IMAGE("https://m.media-amazon.com/images/I/81yJafHL1vL._AC_UL320_.jpg")</f>
        <v/>
      </c>
      <c r="K8610" t="inlineStr">
        <is>
          <t>19.97</t>
        </is>
      </c>
      <c r="L8610" t="n">
        <v>17.99</v>
      </c>
      <c r="M8610" s="1" t="inlineStr">
        <is>
          <t>-9.91%</t>
        </is>
      </c>
      <c r="N8610" s="7" t="n"/>
      <c r="O8610" t="n">
        <v>4.5</v>
      </c>
      <c r="P8610" t="n">
        <v>1705</v>
      </c>
      <c r="R8610" t="inlineStr">
        <is>
          <t>InStock</t>
        </is>
      </c>
      <c r="S8610" t="inlineStr">
        <is>
          <t>27.96</t>
        </is>
      </c>
      <c r="T8610" t="inlineStr">
        <is>
          <t>4166896255076</t>
        </is>
      </c>
    </row>
    <row r="8611" ht="87" customHeight="1">
      <c r="A8611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11" s="2">
        <f>HYPERLINK("https://edmondsonsupply.com/products/klein-tools-69411-circuit-breaker-finder-accessory-kit", "https://edmondsonsupply.com/products/klein-tools-69411-circuit-breaker-finder-accessory-kit")</f>
        <v/>
      </c>
      <c r="C8611" t="inlineStr">
        <is>
          <t>Klein Tools 69411 Circuit Breaker Finder Accessory Kit</t>
        </is>
      </c>
      <c r="D8611" t="inlineStr">
        <is>
          <t>Case Compatible with Klein ET310 Tool AC Circuit Breaker Finder 80041 Outlet Repair Tool Kit RT250 Integrated GFCI Receptacle Tester and Accessories Electrical Tools Bag Storage Organizer</t>
        </is>
      </c>
      <c r="E8611" s="2">
        <f>HYPERLINK("https://www.amazon.com/Compatible-Electrical-Organizer-Integrated-Accessories/dp/B097QT7TN8/ref=sr_1_26?keywords=Klein+Tools+69411+Circuit+Breaker+Finder+Accessory+Kit&amp;qid=1694735452&amp;sr=8-26", "https://www.amazon.com/Compatible-Electrical-Organizer-Integrated-Accessories/dp/B097QT7TN8/ref=sr_1_26?keywords=Klein+Tools+69411+Circuit+Breaker+Finder+Accessory+Kit&amp;qid=1694735452&amp;sr=8-26")</f>
        <v/>
      </c>
      <c r="F8611" t="inlineStr">
        <is>
          <t>B097QT7TN8</t>
        </is>
      </c>
      <c r="G8611">
        <f>_xlfn.IMAGE("https://edmondsonsupply.com/cdn/shop/products/69411.jpg?v=1587143386")</f>
        <v/>
      </c>
      <c r="H8611">
        <f>_xlfn.IMAGE("https://m.media-amazon.com/images/I/918qW8otzjL._AC_UL320_.jpg")</f>
        <v/>
      </c>
      <c r="K8611" t="inlineStr">
        <is>
          <t>19.97</t>
        </is>
      </c>
      <c r="L8611" t="n">
        <v>17.99</v>
      </c>
      <c r="M8611" s="1" t="inlineStr">
        <is>
          <t>-9.91%</t>
        </is>
      </c>
      <c r="N8611" s="7" t="n"/>
      <c r="O8611" t="n">
        <v>4.5</v>
      </c>
      <c r="P8611" t="n">
        <v>1272</v>
      </c>
      <c r="R8611" t="inlineStr">
        <is>
          <t>InStock</t>
        </is>
      </c>
      <c r="S8611" t="inlineStr">
        <is>
          <t>27.96</t>
        </is>
      </c>
      <c r="T8611" t="inlineStr">
        <is>
          <t>4166896255076</t>
        </is>
      </c>
    </row>
    <row r="8612" ht="87" customHeight="1">
      <c r="A8612" s="2">
        <f>HYPERLINK("https://edmondsonsupply.com/collections/electricians-tools/products/lighted-torpedo-billet-level-rare-earth-magnet", "https://edmondsonsupply.com/collections/electricians-tools/products/lighted-torpedo-billet-level-rare-earth-magnet")</f>
        <v/>
      </c>
      <c r="B8612" s="2">
        <f>HYPERLINK("https://edmondsonsupply.com/products/lighted-torpedo-billet-level-rare-earth-magnet", "https://edmondsonsupply.com/products/lighted-torpedo-billet-level-rare-earth-magnet")</f>
        <v/>
      </c>
      <c r="C8612" t="inlineStr">
        <is>
          <t>Klein Tools 935RBLT Lighted Torpedo Billet Level, Rare Earth Magnet</t>
        </is>
      </c>
      <c r="D8612" t="inlineStr">
        <is>
          <t>Klein Tools 935RBLT Level, 9-Inch Lighted Torpedo Level with Magnet, 3 Vials and V-Groove, Water and Impact Resistant, For Conduit Bending Orange</t>
        </is>
      </c>
      <c r="E8612" s="2">
        <f>HYPERLINK("https://www.amazon.com/Magnetic-V-Groove-Klein-Tools-935RBLT/dp/B01M3YMNY5/ref=sr_1_1?keywords=Klein+Tools+935RBLT+Lighted+Torpedo+Billet+Level%2C+Rare+Earth+Magnet&amp;qid=1694735453&amp;sr=8-1", "https://www.amazon.com/Magnetic-V-Groove-Klein-Tools-935RBLT/dp/B01M3YMNY5/ref=sr_1_1?keywords=Klein+Tools+935RBLT+Lighted+Torpedo+Billet+Level%2C+Rare+Earth+Magnet&amp;qid=1694735453&amp;sr=8-1")</f>
        <v/>
      </c>
      <c r="F8612" t="inlineStr">
        <is>
          <t>B01M3YMNY5</t>
        </is>
      </c>
      <c r="G8612">
        <f>_xlfn.IMAGE("https://edmondsonsupply.com/cdn/shop/products/935rblt.jpg?v=1666106165")</f>
        <v/>
      </c>
      <c r="H8612">
        <f>_xlfn.IMAGE("https://m.media-amazon.com/images/I/41Z4vb-uVYL._AC_UL320_.jpg")</f>
        <v/>
      </c>
      <c r="K8612" t="inlineStr">
        <is>
          <t>39.97</t>
        </is>
      </c>
      <c r="L8612" t="n">
        <v>35.97</v>
      </c>
      <c r="M8612" s="1" t="inlineStr">
        <is>
          <t>-10.01%</t>
        </is>
      </c>
      <c r="N8612" s="7" t="n"/>
      <c r="O8612" t="n">
        <v>4.8</v>
      </c>
      <c r="P8612" t="n">
        <v>3195</v>
      </c>
      <c r="R8612" t="inlineStr">
        <is>
          <t>InStock</t>
        </is>
      </c>
      <c r="S8612" t="inlineStr">
        <is>
          <t>59.86</t>
        </is>
      </c>
      <c r="T8612" t="inlineStr">
        <is>
          <t>1436433055844</t>
        </is>
      </c>
    </row>
    <row r="8613" ht="87" customHeight="1">
      <c r="A8613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13" s="2">
        <f>HYPERLINK("https://edmondsonsupply.com/products/klein-tools-69411-circuit-breaker-finder-accessory-kit", "https://edmondsonsupply.com/products/klein-tools-69411-circuit-breaker-finder-accessory-kit")</f>
        <v/>
      </c>
      <c r="C8613" t="inlineStr">
        <is>
          <t>Klein Tools 69411 Circuit Breaker Finder Accessory Kit</t>
        </is>
      </c>
      <c r="D8613" t="inlineStr">
        <is>
          <t>Aproca Hard Travel Storage Case, for Klein Tools ET310 AC Circuit Breaker Finder &amp; 80016 Circuit Breaker Finder Tool Kit &amp; RT250 GFCI Outlet Tester</t>
        </is>
      </c>
      <c r="E8613" s="2">
        <f>HYPERLINK("https://www.amazon.com/Aproca-Travel-Storage-Circuit-Breaker/dp/B0BRTSJY7T/ref=sr_1_29?keywords=Klein+Tools+69411+Circuit+Breaker+Finder+Accessory+Kit&amp;qid=1694735452&amp;sr=8-29", "https://www.amazon.com/Aproca-Travel-Storage-Circuit-Breaker/dp/B0BRTSJY7T/ref=sr_1_29?keywords=Klein+Tools+69411+Circuit+Breaker+Finder+Accessory+Kit&amp;qid=1694735452&amp;sr=8-29")</f>
        <v/>
      </c>
      <c r="F8613" t="inlineStr">
        <is>
          <t>B0BRTSJY7T</t>
        </is>
      </c>
      <c r="G8613">
        <f>_xlfn.IMAGE("https://edmondsonsupply.com/cdn/shop/products/69411.jpg?v=1587143386")</f>
        <v/>
      </c>
      <c r="H8613">
        <f>_xlfn.IMAGE("https://m.media-amazon.com/images/I/81LXh0JvvPL._AC_UL320_.jpg")</f>
        <v/>
      </c>
      <c r="K8613" t="inlineStr">
        <is>
          <t>19.97</t>
        </is>
      </c>
      <c r="L8613" t="n">
        <v>17.97</v>
      </c>
      <c r="M8613" s="1" t="inlineStr">
        <is>
          <t>-10.02%</t>
        </is>
      </c>
      <c r="N8613" s="7" t="n"/>
      <c r="O8613" t="n">
        <v>4.7</v>
      </c>
      <c r="P8613" t="n">
        <v>324</v>
      </c>
      <c r="R8613" t="inlineStr">
        <is>
          <t>InStock</t>
        </is>
      </c>
      <c r="S8613" t="inlineStr">
        <is>
          <t>27.96</t>
        </is>
      </c>
      <c r="T8613" t="inlineStr">
        <is>
          <t>4166896255076</t>
        </is>
      </c>
    </row>
    <row r="8614" hidden="1" ht="15.75" customHeight="1">
      <c r="A8614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614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614" t="inlineStr">
        <is>
          <t>Klein Tools 614-6 1/8-Inch Cabinet Electronics Screwdriver, 6-Inch</t>
        </is>
      </c>
      <c r="D8614" t="inlineStr">
        <is>
          <t>Klein Tools 612-4 Screwdriver, Flat Head Terminal Block Screwdriver, 1/8-Inch Cabinet Tip, 4-Inch Round Shank, TB-DIN</t>
        </is>
      </c>
      <c r="E8614" s="2">
        <f>HYPERLINK("https://www.amazon.com/Screwdriver-Terminal-Klein-Tools-612-4/dp/B0058I6VNE/ref=sr_1_16?keywords=Klein+Tools+614-6+1%2F8-Inch+Cabinet+Electronics+Screwdriver%2C+6-Inch&amp;qid=1694735470&amp;sr=8-16", "https://www.amazon.com/Screwdriver-Terminal-Klein-Tools-612-4/dp/B0058I6VNE/ref=sr_1_16?keywords=Klein+Tools+614-6+1%2F8-Inch+Cabinet+Electronics+Screwdriver%2C+6-Inch&amp;qid=1694735470&amp;sr=8-16")</f>
        <v/>
      </c>
      <c r="F8614" t="inlineStr">
        <is>
          <t>B0058I6VNE</t>
        </is>
      </c>
      <c r="G8614">
        <f>_xludf.IMAGE("https://edmondsonsupply.com/cdn/shop/products/614-6.jpg?v=1587147731")</f>
        <v/>
      </c>
      <c r="H8614">
        <f>_xludf.IMAGE("https://m.media-amazon.com/images/I/51APfPlk95L._AC_UL320_.jpg")</f>
        <v/>
      </c>
      <c r="K8614" t="inlineStr">
        <is>
          <t>9.99</t>
        </is>
      </c>
      <c r="L8614" t="n">
        <v>8.970000000000001</v>
      </c>
      <c r="M8614" s="1" t="inlineStr">
        <is>
          <t>-10.21%</t>
        </is>
      </c>
      <c r="N8614" s="1" t="n"/>
      <c r="O8614" t="n">
        <v>4.8</v>
      </c>
      <c r="P8614" t="n">
        <v>1953</v>
      </c>
      <c r="R8614" t="inlineStr">
        <is>
          <t>InStock</t>
        </is>
      </c>
      <c r="S8614" t="inlineStr">
        <is>
          <t>15.14</t>
        </is>
      </c>
      <c r="T8614" t="inlineStr">
        <is>
          <t>3688620556388</t>
        </is>
      </c>
    </row>
    <row r="8615" hidden="1" ht="15.75" customHeight="1">
      <c r="A8615" s="2">
        <f>HYPERLINK("https://edmondsonsupply.com/collections/electricians-tools/products/klein-tools-630-5-16-5-16-nut-driver-cushion-grip-3-shaft", "https://edmondsonsupply.com/collections/electricians-tools/products/klein-tools-630-5-16-5-16-nut-driver-cushion-grip-3-shaft")</f>
        <v/>
      </c>
      <c r="B8615" s="2">
        <f>HYPERLINK("https://edmondsonsupply.com/products/klein-tools-630-5-16-5-16-nut-driver-cushion-grip-3-shaft", "https://edmondsonsupply.com/products/klein-tools-630-5-16-5-16-nut-driver-cushion-grip-3-shaft")</f>
        <v/>
      </c>
      <c r="C8615" t="inlineStr">
        <is>
          <t>Klein Tools 630-5/16 5/16'' Nut Driver Cushion-Grip 3'' Shaft</t>
        </is>
      </c>
      <c r="D8615" t="inlineStr">
        <is>
          <t>Klein Tools 646-5/16 5/16-Inch Nut Driver with 6-Inch Hollow Shaft and Cushion Grip Handle</t>
        </is>
      </c>
      <c r="E8615" s="2">
        <f>HYPERLINK("https://www.amazon.com/16-Inch-Driver-Cushion-Klein-Tools/dp/B000LEZVWM/ref=sr_1_5?keywords=Klein+Tools+630-5%2F16+5%2F16%27%27+Nut+Driver+Cushion-Grip+3%27%27+Shaft&amp;qid=1694735460&amp;sr=8-5", "https://www.amazon.com/16-Inch-Driver-Cushion-Klein-Tools/dp/B000LEZVWM/ref=sr_1_5?keywords=Klein+Tools+630-5%2F16+5%2F16%27%27+Nut+Driver+Cushion-Grip+3%27%27+Shaft&amp;qid=1694735460&amp;sr=8-5")</f>
        <v/>
      </c>
      <c r="F8615" t="inlineStr">
        <is>
          <t>B000LEZVWM</t>
        </is>
      </c>
      <c r="G8615">
        <f>_xludf.IMAGE("https://edmondsonsupply.com/cdn/shop/products/630-1-2.jpg?v=1587143244")</f>
        <v/>
      </c>
      <c r="H8615">
        <f>_xludf.IMAGE("https://m.media-amazon.com/images/I/31sSFYGqdfL._AC_UL320_.jpg")</f>
        <v/>
      </c>
      <c r="K8615" t="inlineStr">
        <is>
          <t>8.99</t>
        </is>
      </c>
      <c r="L8615" t="n">
        <v>7.99</v>
      </c>
      <c r="M8615" s="1" t="inlineStr">
        <is>
          <t>-11.12%</t>
        </is>
      </c>
      <c r="N8615" s="1" t="n"/>
      <c r="O8615" t="n">
        <v>4.8</v>
      </c>
      <c r="P8615" t="n">
        <v>2491</v>
      </c>
      <c r="R8615" t="inlineStr">
        <is>
          <t>InStock</t>
        </is>
      </c>
      <c r="S8615" t="inlineStr">
        <is>
          <t>11.74</t>
        </is>
      </c>
      <c r="T8615" t="inlineStr">
        <is>
          <t>4159420989540</t>
        </is>
      </c>
    </row>
    <row r="8616" ht="87" customHeight="1">
      <c r="A8616" s="2">
        <f>HYPERLINK("https://edmondsonsupply.com/collections/electricians-tools/products/klein-tools-53725-bx-and-armored-cable-cutter", "https://edmondsonsupply.com/collections/electricians-tools/products/klein-tools-53725-bx-and-armored-cable-cutter")</f>
        <v/>
      </c>
      <c r="B8616" s="2">
        <f>HYPERLINK("https://edmondsonsupply.com/products/klein-tools-53725-bx-and-armored-cable-cutter", "https://edmondsonsupply.com/products/klein-tools-53725-bx-and-armored-cable-cutter")</f>
        <v/>
      </c>
      <c r="C8616" t="inlineStr">
        <is>
          <t>Klein Tools 53725 Armored and BX Cable Cutter</t>
        </is>
      </c>
      <c r="D8616" t="inlineStr">
        <is>
          <t>Klein Tools 1104 BX Cable Cutter and All-Purpose Shears for BX Cable, Sheet Metal, Steel Strapping, Bundling Wire, with Stripping Notch</t>
        </is>
      </c>
      <c r="E8616" s="2">
        <f>HYPERLINK("https://www.amazon.com/All-Purpose-Shears-Klein-Tools-1104/dp/B001BPWRPO/ref=sr_1_4?keywords=Klein+Tools+53725+Armored+and+BX+Cable+Cutter&amp;qid=1694735470&amp;sr=8-4", "https://www.amazon.com/All-Purpose-Shears-Klein-Tools-1104/dp/B001BPWRPO/ref=sr_1_4?keywords=Klein+Tools+53725+Armored+and+BX+Cable+Cutter&amp;qid=1694735470&amp;sr=8-4")</f>
        <v/>
      </c>
      <c r="F8616" t="inlineStr">
        <is>
          <t>B001BPWRPO</t>
        </is>
      </c>
      <c r="G8616">
        <f>_xlfn.IMAGE("https://edmondsonsupply.com/cdn/shop/products/53725.jpg?v=1589937269")</f>
        <v/>
      </c>
      <c r="H8616">
        <f>_xlfn.IMAGE("https://m.media-amazon.com/images/I/41pZ+mS3b8L._AC_UL320_.jpg")</f>
        <v/>
      </c>
      <c r="K8616" t="inlineStr">
        <is>
          <t>39.97</t>
        </is>
      </c>
      <c r="L8616" t="n">
        <v>35.52</v>
      </c>
      <c r="M8616" s="1" t="inlineStr">
        <is>
          <t>-11.13%</t>
        </is>
      </c>
      <c r="N8616" s="7" t="n"/>
      <c r="O8616" t="n">
        <v>4.7</v>
      </c>
      <c r="P8616" t="n">
        <v>637</v>
      </c>
      <c r="R8616" t="inlineStr">
        <is>
          <t>InStock</t>
        </is>
      </c>
      <c r="S8616" t="inlineStr">
        <is>
          <t>55.58</t>
        </is>
      </c>
      <c r="T8616" t="inlineStr">
        <is>
          <t>3688613314660</t>
        </is>
      </c>
    </row>
    <row r="8617" ht="87" customHeight="1">
      <c r="A8617" s="2">
        <f>HYPERLINK("https://edmondsonsupply.com/collections/electricians-tools/products/channellock-420cb", "https://edmondsonsupply.com/collections/electricians-tools/products/channellock-420cb")</f>
        <v/>
      </c>
      <c r="B8617" s="2">
        <f>HYPERLINK("https://edmondsonsupply.com/products/channellock-420cb", "https://edmondsonsupply.com/products/channellock-420cb")</f>
        <v/>
      </c>
      <c r="C8617" t="inlineStr">
        <is>
          <t>Channellock 420CB Code Blue 9.5" Straight Jaw Tongue &amp; Groove Pliers</t>
        </is>
      </c>
      <c r="D8617" t="inlineStr">
        <is>
          <t>Channellock 430 Tongue &amp; Groove Pliers | 10" Straight Jaw Groove Joint Plier with Comfort Grips | 2" Jaw Capacity | Laser Heat-Treated 90° Teeth| Forged From High Carbon Steel | Made In USA,Black, Blue, Silver,10-Inch</t>
        </is>
      </c>
      <c r="E8617" s="2">
        <f>HYPERLINK("https://www.amazon.com/Channellock-430-Straight-Heat-Treated-Reinforcing/dp/B00002N5JF/ref=sr_1_3?keywords=Channellock+420CB+Code+Blue+9.5%22+Straight+Jaw+Tongue+%26+Groove+Pliers&amp;qid=1694735464&amp;sr=8-3", "https://www.amazon.com/Channellock-430-Straight-Heat-Treated-Reinforcing/dp/B00002N5JF/ref=sr_1_3?keywords=Channellock+420CB+Code+Blue+9.5%22+Straight+Jaw+Tongue+%26+Groove+Pliers&amp;qid=1694735464&amp;sr=8-3")</f>
        <v/>
      </c>
      <c r="F8617" t="inlineStr">
        <is>
          <t>B00002N5JF</t>
        </is>
      </c>
      <c r="G8617">
        <f>_xlfn.IMAGE("https://edmondsonsupply.com/cdn/shop/products/420CB-683x1024.jpg?v=1587147135")</f>
        <v/>
      </c>
      <c r="H8617">
        <f>_xlfn.IMAGE("https://m.media-amazon.com/images/I/71JqgqffnnL._AC_UL320_.jpg")</f>
        <v/>
      </c>
      <c r="K8617" t="inlineStr">
        <is>
          <t>22.45</t>
        </is>
      </c>
      <c r="L8617" t="n">
        <v>19.95</v>
      </c>
      <c r="M8617" s="1" t="inlineStr">
        <is>
          <t>-11.14%</t>
        </is>
      </c>
      <c r="N8617" s="7" t="n"/>
      <c r="O8617" t="n">
        <v>4.8</v>
      </c>
      <c r="P8617" t="n">
        <v>2186</v>
      </c>
      <c r="R8617" t="inlineStr">
        <is>
          <t>InStock</t>
        </is>
      </c>
      <c r="S8617" t="inlineStr">
        <is>
          <t>36.88</t>
        </is>
      </c>
      <c r="T8617" t="inlineStr">
        <is>
          <t>4094563745892</t>
        </is>
      </c>
    </row>
    <row r="8618" ht="87" customHeight="1">
      <c r="A8618" s="2">
        <f>HYPERLINK("https://edmondsonsupply.com/collections/electricians-tools/products/klein-tools-d86934-slim-jaw-adjustable-wrench-6-inch", "https://edmondsonsupply.com/collections/electricians-tools/products/klein-tools-d86934-slim-jaw-adjustable-wrench-6-inch")</f>
        <v/>
      </c>
      <c r="B8618" s="2">
        <f>HYPERLINK("https://edmondsonsupply.com/products/klein-tools-d86934-slim-jaw-adjustable-wrench-6-inch", "https://edmondsonsupply.com/products/klein-tools-d86934-slim-jaw-adjustable-wrench-6-inch")</f>
        <v/>
      </c>
      <c r="C8618" t="inlineStr">
        <is>
          <t>Klein Tools D86934 Slim-Jaw Adjustable Wrench, 6-Inch</t>
        </is>
      </c>
      <c r="D8618" t="inlineStr">
        <is>
          <t>Klein Tools D86932 Adjustable Wrench, Forged with Slimmer Jaw and a High Polish Chrome Finish, 4-inch</t>
        </is>
      </c>
      <c r="E8618" s="2">
        <f>HYPERLINK("https://www.amazon.com/Slim-Jaw-Adjustable-Klein-Tools-D86932/dp/B0753LJHG1/ref=sr_1_4?keywords=Klein+Tools+D86934+Slim-Jaw+Adjustable+Wrench%2C+6-Inch&amp;qid=1694735464&amp;sr=8-4", "https://www.amazon.com/Slim-Jaw-Adjustable-Klein-Tools-D86932/dp/B0753LJHG1/ref=sr_1_4?keywords=Klein+Tools+D86934+Slim-Jaw+Adjustable+Wrench%2C+6-Inch&amp;qid=1694735464&amp;sr=8-4")</f>
        <v/>
      </c>
      <c r="F8618" t="inlineStr">
        <is>
          <t>B0753LJHG1</t>
        </is>
      </c>
      <c r="G8618">
        <f>_xlfn.IMAGE("https://edmondsonsupply.com/cdn/shop/products/d86934.jpg?v=1587142923")</f>
        <v/>
      </c>
      <c r="H8618">
        <f>_xlfn.IMAGE("https://m.media-amazon.com/images/I/51bQN5lP8VL._AC_UL320_.jpg")</f>
        <v/>
      </c>
      <c r="K8618" t="inlineStr">
        <is>
          <t>34.99</t>
        </is>
      </c>
      <c r="L8618" t="n">
        <v>30.99</v>
      </c>
      <c r="M8618" s="1" t="inlineStr">
        <is>
          <t>-11.43%</t>
        </is>
      </c>
      <c r="N8618" s="7" t="n"/>
      <c r="O8618" t="n">
        <v>4.5</v>
      </c>
      <c r="P8618" t="n">
        <v>125</v>
      </c>
      <c r="R8618" t="inlineStr">
        <is>
          <t>InStock</t>
        </is>
      </c>
      <c r="S8618" t="inlineStr">
        <is>
          <t>48.8</t>
        </is>
      </c>
      <c r="T8618" t="inlineStr">
        <is>
          <t>3706925744228</t>
        </is>
      </c>
    </row>
    <row r="8619" hidden="1" ht="15.75" customHeight="1">
      <c r="A8619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619" s="2">
        <f>HYPERLINK("https://edmondsonsupply.com/products/klein-tools-69401-multimeter-carrying-case", "https://edmondsonsupply.com/products/klein-tools-69401-multimeter-carrying-case")</f>
        <v/>
      </c>
      <c r="C8619" t="inlineStr">
        <is>
          <t>Klein Tools 69401 Multimeter Carrying Case</t>
        </is>
      </c>
      <c r="D8619" t="inlineStr">
        <is>
          <t>Aenllosi Hard Carrying Case Replacement for Klein Tools MM300/MM400/69355/69149P Electrical Test Kit with Digital Multimeter Temp 600V.</t>
        </is>
      </c>
      <c r="E8619" s="2">
        <f>HYPERLINK("https://www.amazon.com/Aenllosi-Carrying-Replacement-Electrical-Multimeter/dp/B0BKZT8916/ref=sr_1_10?keywords=Klein+Tools+69401+Multimeter+Carrying+Case&amp;qid=1694735435&amp;sr=8-10", "https://www.amazon.com/Aenllosi-Carrying-Replacement-Electrical-Multimeter/dp/B0BKZT8916/ref=sr_1_10?keywords=Klein+Tools+69401+Multimeter+Carrying+Case&amp;qid=1694735435&amp;sr=8-10")</f>
        <v/>
      </c>
      <c r="F8619" t="inlineStr">
        <is>
          <t>B0BKZT8916</t>
        </is>
      </c>
      <c r="G8619">
        <f>_xludf.IMAGE("https://edmondsonsupply.com/cdn/shop/products/69401.jpg?v=1587151194")</f>
        <v/>
      </c>
      <c r="H8619">
        <f>_xludf.IMAGE("https://m.media-amazon.com/images/I/91BleHPjnSL._AC_UL320_.jpg")</f>
        <v/>
      </c>
      <c r="K8619" t="inlineStr">
        <is>
          <t>16.97</t>
        </is>
      </c>
      <c r="L8619" t="n">
        <v>14.99</v>
      </c>
      <c r="M8619" s="1" t="inlineStr">
        <is>
          <t>-11.67%</t>
        </is>
      </c>
      <c r="N8619" s="1" t="n"/>
      <c r="O8619" t="n">
        <v>4.7</v>
      </c>
      <c r="P8619" t="n">
        <v>62</v>
      </c>
      <c r="R8619" t="inlineStr">
        <is>
          <t>InStock</t>
        </is>
      </c>
      <c r="S8619" t="inlineStr">
        <is>
          <t>23.84</t>
        </is>
      </c>
      <c r="T8619" t="inlineStr">
        <is>
          <t>4348577710180</t>
        </is>
      </c>
    </row>
    <row r="8620" hidden="1" ht="15.75" customHeight="1">
      <c r="A8620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620" s="2">
        <f>HYPERLINK("https://edmondsonsupply.com/products/klein-tools-69401-multimeter-carrying-case", "https://edmondsonsupply.com/products/klein-tools-69401-multimeter-carrying-case")</f>
        <v/>
      </c>
      <c r="C8620" t="inlineStr">
        <is>
          <t>Klein Tools 69401 Multimeter Carrying Case</t>
        </is>
      </c>
      <c r="D8620" t="inlineStr">
        <is>
          <t>FBLFOBELI Hard Travel Carrying Case for Klein Tools MM400 / MM300 Multimeter, Digital Electrical Tester Shockproof Storage Bag (Case Only)</t>
        </is>
      </c>
      <c r="E8620" s="2">
        <f>HYPERLINK("https://www.amazon.com/FBLFOBELI-Carrying-Multimeter-Electrical-Shockproof/dp/B09WZPDWDQ/ref=sr_1_24?keywords=Klein+Tools+69401+Multimeter+Carrying+Case&amp;qid=1694735435&amp;sr=8-24", "https://www.amazon.com/FBLFOBELI-Carrying-Multimeter-Electrical-Shockproof/dp/B09WZPDWDQ/ref=sr_1_24?keywords=Klein+Tools+69401+Multimeter+Carrying+Case&amp;qid=1694735435&amp;sr=8-24")</f>
        <v/>
      </c>
      <c r="F8620" t="inlineStr">
        <is>
          <t>B09WZPDWDQ</t>
        </is>
      </c>
      <c r="G8620">
        <f>_xludf.IMAGE("https://edmondsonsupply.com/cdn/shop/products/69401.jpg?v=1587151194")</f>
        <v/>
      </c>
      <c r="H8620">
        <f>_xludf.IMAGE("https://m.media-amazon.com/images/I/81HefpacC4L._AC_UL320_.jpg")</f>
        <v/>
      </c>
      <c r="K8620" t="inlineStr">
        <is>
          <t>16.97</t>
        </is>
      </c>
      <c r="L8620" t="n">
        <v>14.99</v>
      </c>
      <c r="M8620" s="1" t="inlineStr">
        <is>
          <t>-11.67%</t>
        </is>
      </c>
      <c r="N8620" s="1" t="n"/>
      <c r="O8620" t="n">
        <v>4.1</v>
      </c>
      <c r="P8620" t="n">
        <v>11</v>
      </c>
      <c r="R8620" t="inlineStr">
        <is>
          <t>InStock</t>
        </is>
      </c>
      <c r="S8620" t="inlineStr">
        <is>
          <t>23.84</t>
        </is>
      </c>
      <c r="T8620" t="inlineStr">
        <is>
          <t>4348577710180</t>
        </is>
      </c>
    </row>
    <row r="8621" hidden="1" ht="15.75" customHeight="1">
      <c r="A8621" s="2">
        <f>HYPERLINK("https://edmondsonsupply.com/collections/electricians-tools/products/milwaukee-48-22-1901-fastback%E2%84%A2-flip-utility-knife", "https://edmondsonsupply.com/collections/electricians-tools/products/milwaukee-48-22-1901-fastback%E2%84%A2-flip-utility-knife")</f>
        <v/>
      </c>
      <c r="B8621" s="2">
        <f>HYPERLINK("https://edmondsonsupply.com/products/milwaukee-48-22-1901-fastback%e2%84%a2-flip-utility-knife", "https://edmondsonsupply.com/products/milwaukee-48-22-1901-fastback%e2%84%a2-flip-utility-knife")</f>
        <v/>
      </c>
      <c r="C8621" t="inlineStr">
        <is>
          <t>Milwaukee 48-22-1901 FASTBACK™ Compact Folding Utility Knife</t>
        </is>
      </c>
      <c r="D8621" t="inlineStr">
        <is>
          <t>Milwaukee 48-22-1500 Fastback Compact Folding Utility Knife</t>
        </is>
      </c>
      <c r="E8621" s="2">
        <f>HYPERLINK("https://www.amazon.com/Milwaukee-48-22-1500-Fastback-Compact-Folding/dp/B08127SPCX/ref=sr_1_1?keywords=Milwaukee+48-22-1901+FASTBACK%E2%84%A2+Compact+Folding+Utility+Knife&amp;qid=1694735431&amp;sr=8-1", "https://www.amazon.com/Milwaukee-48-22-1500-Fastback-Compact-Folding/dp/B08127SPCX/ref=sr_1_1?keywords=Milwaukee+48-22-1901+FASTBACK%E2%84%A2+Compact+Folding+Utility+Knife&amp;qid=1694735431&amp;sr=8-1")</f>
        <v/>
      </c>
      <c r="F8621" t="inlineStr">
        <is>
          <t>B08127SPCX</t>
        </is>
      </c>
      <c r="G8621">
        <f>_xludf.IMAGE("https://edmondsonsupply.com/cdn/shop/products/48-22-1901_1.png?v=1649163012")</f>
        <v/>
      </c>
      <c r="H8621">
        <f>_xludf.IMAGE("https://m.media-amazon.com/images/I/51JoK6Sfw9L._AC_UL320_.jpg")</f>
        <v/>
      </c>
      <c r="K8621" t="inlineStr">
        <is>
          <t>11.29</t>
        </is>
      </c>
      <c r="L8621" t="n">
        <v>9.970000000000001</v>
      </c>
      <c r="M8621" s="1" t="inlineStr">
        <is>
          <t>-11.69%</t>
        </is>
      </c>
      <c r="N8621" s="1" t="n"/>
      <c r="O8621" t="n">
        <v>4.8</v>
      </c>
      <c r="P8621" t="n">
        <v>687</v>
      </c>
      <c r="R8621" t="inlineStr">
        <is>
          <t>InStock</t>
        </is>
      </c>
      <c r="S8621" t="inlineStr">
        <is>
          <t>19.9</t>
        </is>
      </c>
      <c r="T8621" t="inlineStr">
        <is>
          <t>4342639460452</t>
        </is>
      </c>
    </row>
    <row r="8622" hidden="1" ht="15.75" customHeight="1">
      <c r="A8622" s="2">
        <f>HYPERLINK("https://edmondsonsupply.com/collections/electricians-tools/products/klein-tools-32560-6-in-1-screwdriver-nut-driver-extended-reach", "https://edmondsonsupply.com/collections/electricians-tools/products/klein-tools-32560-6-in-1-screwdriver-nut-driver-extended-reach")</f>
        <v/>
      </c>
      <c r="B8622" s="2">
        <f>HYPERLINK("https://edmondsonsupply.com/products/klein-tools-32560-6-in-1-screwdriver-nut-driver-extended-reach", "https://edmondsonsupply.com/products/klein-tools-32560-6-in-1-screwdriver-nut-driver-extended-reach")</f>
        <v/>
      </c>
      <c r="C8622" t="inlineStr">
        <is>
          <t>Klein Tools 32560 Multi-Bit Screwdriver / Nut Driver, 6-in-1, Extended Reach, Ph, Sl, Sq</t>
        </is>
      </c>
      <c r="D8622" t="inlineStr">
        <is>
          <t>Klein Tools 32557 Multi-Bit Screwdriver / Nut Driver, Heavy Duty 10-in-1 with Interchangable Shafts and Ph, Sl, Sq, Hex Bits and Nut Drivers</t>
        </is>
      </c>
      <c r="E8622" s="2">
        <f>HYPERLINK("https://www.amazon.com/Klein-Tools-32557-Multi-Bit-Screwdriver/dp/B005FQDH9A/ref=sr_1_3?keywords=Klein+Tools+32560+Multi-Bit+Screwdriver+%2F+Nut+Driver%2C+6-in-1%2C+Extended+Reach%2C+Ph%2C+Sl%2C+Sq&amp;qid=1694735461&amp;sr=8-3", "https://www.amazon.com/Klein-Tools-32557-Multi-Bit-Screwdriver/dp/B005FQDH9A/ref=sr_1_3?keywords=Klein+Tools+32560+Multi-Bit+Screwdriver+%2F+Nut+Driver%2C+6-in-1%2C+Extended+Reach%2C+Ph%2C+Sl%2C+Sq&amp;qid=1694735461&amp;sr=8-3")</f>
        <v/>
      </c>
      <c r="F8622" t="inlineStr">
        <is>
          <t>B005FQDH9A</t>
        </is>
      </c>
      <c r="G8622">
        <f>_xludf.IMAGE("https://edmondsonsupply.com/cdn/shop/products/32559.jpg?v=1587147887")</f>
        <v/>
      </c>
      <c r="H8622">
        <f>_xludf.IMAGE("https://m.media-amazon.com/images/I/41vMDiO0rOL._AC_UL320_.jpg")</f>
        <v/>
      </c>
      <c r="K8622" t="inlineStr">
        <is>
          <t>16.99</t>
        </is>
      </c>
      <c r="L8622" t="n">
        <v>14.98</v>
      </c>
      <c r="M8622" s="1" t="inlineStr">
        <is>
          <t>-11.83%</t>
        </is>
      </c>
      <c r="N8622" s="1" t="n"/>
      <c r="O8622" t="n">
        <v>4.8</v>
      </c>
      <c r="P8622" t="n">
        <v>918</v>
      </c>
      <c r="R8622" t="inlineStr">
        <is>
          <t>InStock</t>
        </is>
      </c>
      <c r="S8622" t="inlineStr">
        <is>
          <t>25.72</t>
        </is>
      </c>
      <c r="T8622" t="inlineStr">
        <is>
          <t>3701372813412</t>
        </is>
      </c>
    </row>
    <row r="8623" hidden="1" ht="15.75" customHeight="1">
      <c r="A8623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623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623" t="inlineStr">
        <is>
          <t>Klein Tools JTH6M8 8 mm Hex Key with Journeyman T-Handle, 6-Inch</t>
        </is>
      </c>
      <c r="D8623" t="inlineStr">
        <is>
          <t>Klein Tools JTH6E12BE 7/32-Inch Ball End Hex Key with Journeyman T-Handle,6-Inch</t>
        </is>
      </c>
      <c r="E8623" s="2">
        <f>HYPERLINK("https://www.amazon.com/Journeyman-T-Handle-Klein-Tools-JTH6E12BE/dp/B004QW74L6/ref=sr_1_7?keywords=Klein+Tools+JTH6M8+8+mm+Hex+Key+with+Journeyman+T-Handle%2C+6-Inch&amp;qid=1694735436&amp;sr=8-7", "https://www.amazon.com/Journeyman-T-Handle-Klein-Tools-JTH6E12BE/dp/B004QW74L6/ref=sr_1_7?keywords=Klein+Tools+JTH6M8+8+mm+Hex+Key+with+Journeyman+T-Handle%2C+6-Inch&amp;qid=1694735436&amp;sr=8-7")</f>
        <v/>
      </c>
      <c r="F8623" t="inlineStr">
        <is>
          <t>B004QW74L6</t>
        </is>
      </c>
      <c r="G8623">
        <f>_xludf.IMAGE("https://edmondsonsupply.com/cdn/shop/products/jth6m8_31a5ad24-670d-4140-a5ec-3785d5bf79d2.jpg?v=1587146374")</f>
        <v/>
      </c>
      <c r="H8623">
        <f>_xludf.IMAGE("https://m.media-amazon.com/images/I/51f9vBFVXgL._AC_UL320_.jpg")</f>
        <v/>
      </c>
      <c r="K8623" t="inlineStr">
        <is>
          <t>6.99</t>
        </is>
      </c>
      <c r="L8623" t="n">
        <v>6.15</v>
      </c>
      <c r="M8623" s="1" t="inlineStr">
        <is>
          <t>-12.02%</t>
        </is>
      </c>
      <c r="N8623" s="1" t="n"/>
      <c r="O8623" t="n">
        <v>4.5</v>
      </c>
      <c r="P8623" t="n">
        <v>9</v>
      </c>
      <c r="R8623" t="inlineStr">
        <is>
          <t>InStock</t>
        </is>
      </c>
      <c r="S8623" t="inlineStr">
        <is>
          <t>10.58</t>
        </is>
      </c>
      <c r="T8623" t="inlineStr">
        <is>
          <t>4343287775332</t>
        </is>
      </c>
    </row>
    <row r="8624" ht="87" customHeight="1">
      <c r="A8624" s="2">
        <f>HYPERLINK("https://edmondsonsupply.com/collections/electricians-tools/products/klein-tools-vdv770-834-commander%E2%84%A2-test-n-map%E2%84%A2-remote-kit", "https://edmondsonsupply.com/collections/electricians-tools/products/klein-tools-vdv770-834-commander%E2%84%A2-test-n-map%E2%84%A2-remote-kit")</f>
        <v/>
      </c>
      <c r="B8624" s="2">
        <f>HYPERLINK("https://edmondsonsupply.com/products/klein-tools-vdv770-834-commander%e2%84%a2-test-n-map%e2%84%a2-remote-kit", "https://edmondsonsupply.com/products/klein-tools-vdv770-834-commander%e2%84%a2-test-n-map%e2%84%a2-remote-kit")</f>
        <v/>
      </c>
      <c r="C8624" t="inlineStr">
        <is>
          <t>Klein Tools VDV770-834 Commander™ Test-n-Map™ Remote Kit</t>
        </is>
      </c>
      <c r="D8624" t="inlineStr">
        <is>
          <t>Klein Tools VDV770-850 Tester Remote Upgrade Kit for Scout Pro 3 Tester with Single-step Test + Map Remotes (#2 thru #6)</t>
        </is>
      </c>
      <c r="E8624" s="2">
        <f>HYPERLINK("https://www.amazon.com/Klein-Tools-VDV770-850-Upgrade-Single-step/dp/B08BDBB97Z/ref=sr_1_2?keywords=Klein+Tools+VDV770-834+Commander%E2%84%A2+Test-n-Map%E2%84%A2+Remote+Kit&amp;qid=1694735435&amp;sr=8-2", "https://www.amazon.com/Klein-Tools-VDV770-850-Upgrade-Single-step/dp/B08BDBB97Z/ref=sr_1_2?keywords=Klein+Tools+VDV770-834+Commander%E2%84%A2+Test-n-Map%E2%84%A2+Remote+Kit&amp;qid=1694735435&amp;sr=8-2")</f>
        <v/>
      </c>
      <c r="F8624" t="inlineStr">
        <is>
          <t>B08BDBB97Z</t>
        </is>
      </c>
      <c r="G8624">
        <f>_xlfn.IMAGE("https://edmondsonsupply.com/cdn/shop/products/vdv770-834.jpg?v=1587144728")</f>
        <v/>
      </c>
      <c r="H8624">
        <f>_xlfn.IMAGE("https://m.media-amazon.com/images/I/61omVaOQ2eL._AC_UY218_.jpg")</f>
        <v/>
      </c>
      <c r="K8624" t="inlineStr">
        <is>
          <t>159.99</t>
        </is>
      </c>
      <c r="L8624" t="n">
        <v>140.64</v>
      </c>
      <c r="M8624" s="1" t="inlineStr">
        <is>
          <t>-12.09%</t>
        </is>
      </c>
      <c r="N8624" s="7" t="n"/>
      <c r="O8624" t="n">
        <v>4.8</v>
      </c>
      <c r="P8624" t="n">
        <v>88</v>
      </c>
      <c r="R8624" t="inlineStr">
        <is>
          <t>InStock</t>
        </is>
      </c>
      <c r="S8624" t="inlineStr">
        <is>
          <t>259.44</t>
        </is>
      </c>
      <c r="T8624" t="inlineStr">
        <is>
          <t>4362760716388</t>
        </is>
      </c>
    </row>
    <row r="8625" ht="87" customHeight="1">
      <c r="A8625" s="2">
        <f>HYPERLINK("https://edmondsonsupply.com/collections/electricians-tools/products/klein-tools-cl800-digital-clamp-meter-ac-dc-auto-ranging-600a-trms", "https://edmondsonsupply.com/collections/electricians-tools/products/klein-tools-cl800-digital-clamp-meter-ac-dc-auto-ranging-600a-trms")</f>
        <v/>
      </c>
      <c r="B8625" s="2">
        <f>HYPERLINK("https://edmondsonsupply.com/products/klein-tools-cl800-digital-clamp-meter-ac-dc-auto-ranging-600a-trms", "https://edmondsonsupply.com/products/klein-tools-cl800-digital-clamp-meter-ac-dc-auto-ranging-600a-trms")</f>
        <v/>
      </c>
      <c r="C8625" t="inlineStr">
        <is>
          <t>Klein Tools CL800 Digital Clamp Meter, AC Auto-Range TRMS, Low Impedance (LoZ), Auto Off</t>
        </is>
      </c>
      <c r="D8625" t="inlineStr">
        <is>
          <t>Klein Tools CL800 Digital Clamp Meter, Autoranging TRMS, AC/DC Volt/Current, LoZ, Continuity, Frequency, Capacitance, NCVT, Temp, More 1000V</t>
        </is>
      </c>
      <c r="E8625" s="2">
        <f>HYPERLINK("https://www.amazon.com/Auto-Ranging-Resistance-Klein-Tools-CL800/dp/B019CY4FB4/ref=sr_1_1?keywords=Klein+Tools+CL800+Digital+Clamp+Meter%2C+AC+Auto-Range+TRMS%2C+Low+Impedance+%28LoZ%29%2C+Auto+Off&amp;qid=1694735484&amp;sr=8-1", "https://www.amazon.com/Auto-Ranging-Resistance-Klein-Tools-CL800/dp/B019CY4FB4/ref=sr_1_1?keywords=Klein+Tools+CL800+Digital+Clamp+Meter%2C+AC+Auto-Range+TRMS%2C+Low+Impedance+%28LoZ%29%2C+Auto+Off&amp;qid=1694735484&amp;sr=8-1")</f>
        <v/>
      </c>
      <c r="F8625" t="inlineStr">
        <is>
          <t>B019CY4FB4</t>
        </is>
      </c>
      <c r="G8625">
        <f>_xlfn.IMAGE("https://edmondsonsupply.com/cdn/shop/products/cl800_alt1.jpg?v=1592095173")</f>
        <v/>
      </c>
      <c r="H8625">
        <f>_xlfn.IMAGE("https://m.media-amazon.com/images/I/71r1Y20w7VL._AC_UY218_.jpg")</f>
        <v/>
      </c>
      <c r="K8625" t="inlineStr">
        <is>
          <t>129.97</t>
        </is>
      </c>
      <c r="L8625" t="n">
        <v>114.21</v>
      </c>
      <c r="M8625" s="1" t="inlineStr">
        <is>
          <t>-12.13%</t>
        </is>
      </c>
      <c r="N8625" s="7" t="n"/>
      <c r="O8625" t="n">
        <v>4.7</v>
      </c>
      <c r="P8625" t="n">
        <v>2294</v>
      </c>
      <c r="R8625" t="inlineStr">
        <is>
          <t>InStock</t>
        </is>
      </c>
      <c r="S8625" t="inlineStr">
        <is>
          <t>187.5</t>
        </is>
      </c>
      <c r="T8625" t="inlineStr">
        <is>
          <t>3693613875300</t>
        </is>
      </c>
    </row>
    <row r="8626" ht="87" customHeight="1">
      <c r="A8626" s="2">
        <f>HYPERLINK("https://edmondsonsupply.com/collections/electricians-tools/products/klein-tools-j1005-journeyman%E2%84%A2-crimping-cutting-tool", "https://edmondsonsupply.com/collections/electricians-tools/products/klein-tools-j1005-journeyman%E2%84%A2-crimping-cutting-tool")</f>
        <v/>
      </c>
      <c r="B8626" s="2">
        <f>HYPERLINK("https://edmondsonsupply.com/products/klein-tools-j1005-journeyman%e2%84%a2-crimping-cutting-tool", "https://edmondsonsupply.com/products/klein-tools-j1005-journeyman%e2%84%a2-crimping-cutting-tool")</f>
        <v/>
      </c>
      <c r="C8626" t="inlineStr">
        <is>
          <t>Klein Tools J1005 Journeyman™ Crimping and Cutting Tool</t>
        </is>
      </c>
      <c r="D8626" t="inlineStr">
        <is>
          <t>Klein Tools 1006 Cutting / Crimping Tool, Crimps 10 to 22 AWG Solderless Terminals and Connectors, with Wire Cutter in Tapered Nose</t>
        </is>
      </c>
      <c r="E8626" s="2">
        <f>HYPERLINK("https://www.amazon.com/Non-Insulated-Terminals-Klein-Tools-1006/dp/B00776SJJO/ref=sr_1_5?keywords=Klein+Tools+J1005+Journeyman%E2%84%A2+Crimping+and+Cutting+Tool&amp;qid=1694735460&amp;sr=8-5", "https://www.amazon.com/Non-Insulated-Terminals-Klein-Tools-1006/dp/B00776SJJO/ref=sr_1_5?keywords=Klein+Tools+J1005+Journeyman%E2%84%A2+Crimping+and+Cutting+Tool&amp;qid=1694735460&amp;sr=8-5")</f>
        <v/>
      </c>
      <c r="F8626" t="inlineStr">
        <is>
          <t>B00776SJJO</t>
        </is>
      </c>
      <c r="G8626">
        <f>_xlfn.IMAGE("https://edmondsonsupply.com/cdn/shop/products/j1005.jpg?v=1587146396")</f>
        <v/>
      </c>
      <c r="H8626">
        <f>_xlfn.IMAGE("https://m.media-amazon.com/images/I/31VG+arXrCL._AC_UL320_.jpg")</f>
        <v/>
      </c>
      <c r="K8626" t="inlineStr">
        <is>
          <t>39.99</t>
        </is>
      </c>
      <c r="L8626" t="n">
        <v>34.99</v>
      </c>
      <c r="M8626" s="1" t="inlineStr">
        <is>
          <t>-12.50%</t>
        </is>
      </c>
      <c r="N8626" s="7" t="n"/>
      <c r="O8626" t="n">
        <v>4.8</v>
      </c>
      <c r="P8626" t="n">
        <v>398</v>
      </c>
      <c r="R8626" t="inlineStr">
        <is>
          <t>InStock</t>
        </is>
      </c>
      <c r="S8626" t="inlineStr">
        <is>
          <t>60.4</t>
        </is>
      </c>
      <c r="T8626" t="inlineStr">
        <is>
          <t>3711960678500</t>
        </is>
      </c>
    </row>
    <row r="8627" hidden="1" ht="15.75" customHeight="1">
      <c r="A8627" s="2">
        <f>HYPERLINK("https://edmondsonsupply.com/collections/electricians-tools/products/klein-tools-s106m-vaco-5-16-inch-magnetic-nut-driver-9-inch-shank", "https://edmondsonsupply.com/collections/electricians-tools/products/klein-tools-s106m-vaco-5-16-inch-magnetic-nut-driver-9-inch-shank")</f>
        <v/>
      </c>
      <c r="B8627" s="2">
        <f>HYPERLINK("https://edmondsonsupply.com/products/klein-tools-s106m-vaco-5-16-inch-magnetic-nut-driver-9-inch-shank", "https://edmondsonsupply.com/products/klein-tools-s106m-vaco-5-16-inch-magnetic-nut-driver-9-inch-shank")</f>
        <v/>
      </c>
      <c r="C8627" t="inlineStr">
        <is>
          <t>Klein Tools S106M 5/16-Inch Magnetic Nut Driver, 9-Inch Shank</t>
        </is>
      </c>
      <c r="D8627" t="inlineStr">
        <is>
          <t>Klein Tools 646-5/16M 5/16-Inch Hex Magnetic Tip Nut Driver with 6-Inch Hollow Shank</t>
        </is>
      </c>
      <c r="E8627" s="2">
        <f>HYPERLINK("https://www.amazon.com/Klein-Tools-646-5-16M-Magnetic/dp/B00093GECG/ref=sr_1_2?keywords=Klein+Tools+S106M+5%2F16-Inch+Magnetic+Nut+Driver%2C+9-Inch+Shank&amp;qid=1694735455&amp;sr=8-2", "https://www.amazon.com/Klein-Tools-646-5-16M-Magnetic/dp/B00093GECG/ref=sr_1_2?keywords=Klein+Tools+S106M+5%2F16-Inch+Magnetic+Nut+Driver%2C+9-Inch+Shank&amp;qid=1694735455&amp;sr=8-2")</f>
        <v/>
      </c>
      <c r="F8627" t="inlineStr">
        <is>
          <t>B00093GECG</t>
        </is>
      </c>
      <c r="G8627">
        <f>_xludf.IMAGE("https://edmondsonsupply.com/cdn/shop/products/s106.jpg?v=1587146493")</f>
        <v/>
      </c>
      <c r="H8627">
        <f>_xludf.IMAGE("https://m.media-amazon.com/images/I/41j5NAMWLQL._AC_UL320_.jpg")</f>
        <v/>
      </c>
      <c r="K8627" t="inlineStr">
        <is>
          <t>11.99</t>
        </is>
      </c>
      <c r="L8627" t="n">
        <v>10.44</v>
      </c>
      <c r="M8627" s="1" t="inlineStr">
        <is>
          <t>-12.93%</t>
        </is>
      </c>
      <c r="N8627" s="1" t="n"/>
      <c r="O8627" t="n">
        <v>4.8</v>
      </c>
      <c r="P8627" t="n">
        <v>2491</v>
      </c>
      <c r="R8627" t="inlineStr">
        <is>
          <t>InStock</t>
        </is>
      </c>
      <c r="S8627" t="inlineStr">
        <is>
          <t>17.38</t>
        </is>
      </c>
      <c r="T8627" t="inlineStr">
        <is>
          <t>4096546504804</t>
        </is>
      </c>
    </row>
    <row r="8628" hidden="1" ht="15.75" customHeight="1">
      <c r="A8628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628" s="2">
        <f>HYPERLINK("https://edmondsonsupply.com/products/klein-tools-600-4-1-4-inch-screwdriver-heavy-duty-square-shank", "https://edmondsonsupply.com/products/klein-tools-600-4-1-4-inch-screwdriver-heavy-duty-square-shank")</f>
        <v/>
      </c>
      <c r="C8628" t="inlineStr">
        <is>
          <t>Klein Tools 600-4 1/4-Inch Keystone Cushion-Grip Screwdriver</t>
        </is>
      </c>
      <c r="D8628" t="inlineStr">
        <is>
          <t>Klein Tools 6824INS Insulated Screwdriver, 1000V 1/4-Inch Cabinet Tip Screwdriver with 4-Inch Shank, Tip-Ident, Cushion-Grip Handle</t>
        </is>
      </c>
      <c r="E8628" s="2">
        <f>HYPERLINK("https://www.amazon.com/Klein-Tools-6824INS-Screwdriver-Cushion-Grip/dp/B0BF78XBPX/ref=sr_1_6?keywords=Klein+Tools+600-4+1%2F4-Inch+Keystone+Cushion-Grip+Screwdriver&amp;qid=1694735465&amp;sr=8-6", "https://www.amazon.com/Klein-Tools-6824INS-Screwdriver-Cushion-Grip/dp/B0BF78XBPX/ref=sr_1_6?keywords=Klein+Tools+600-4+1%2F4-Inch+Keystone+Cushion-Grip+Screwdriver&amp;qid=1694735465&amp;sr=8-6")</f>
        <v/>
      </c>
      <c r="F8628" t="inlineStr">
        <is>
          <t>B0BF78XBPX</t>
        </is>
      </c>
      <c r="G8628">
        <f>_xludf.IMAGE("https://edmondsonsupply.com/cdn/shop/products/600-4.jpg?v=1587145175")</f>
        <v/>
      </c>
      <c r="H8628">
        <f>_xludf.IMAGE("https://m.media-amazon.com/images/I/410Gu3snLdL._AC_UL320_.jpg")</f>
        <v/>
      </c>
      <c r="K8628" t="inlineStr">
        <is>
          <t>11.49</t>
        </is>
      </c>
      <c r="L8628" t="n">
        <v>9.99</v>
      </c>
      <c r="M8628" s="1" t="inlineStr">
        <is>
          <t>-13.05%</t>
        </is>
      </c>
      <c r="N8628" s="1" t="n"/>
      <c r="O8628" t="n">
        <v>4.9</v>
      </c>
      <c r="P8628" t="n">
        <v>202</v>
      </c>
      <c r="R8628" t="inlineStr">
        <is>
          <t>InStock</t>
        </is>
      </c>
      <c r="S8628" t="inlineStr">
        <is>
          <t>15.08</t>
        </is>
      </c>
      <c r="T8628" t="inlineStr">
        <is>
          <t>3700353073252</t>
        </is>
      </c>
    </row>
    <row r="8629" hidden="1" ht="15.75" customHeight="1">
      <c r="A8629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629" s="2">
        <f>HYPERLINK("https://edmondsonsupply.com/products/klein-tools-600-4-1-4-inch-screwdriver-heavy-duty-square-shank", "https://edmondsonsupply.com/products/klein-tools-600-4-1-4-inch-screwdriver-heavy-duty-square-shank")</f>
        <v/>
      </c>
      <c r="C8629" t="inlineStr">
        <is>
          <t>Klein Tools 600-4 1/4-Inch Keystone Cushion-Grip Screwdriver</t>
        </is>
      </c>
      <c r="D8629" t="inlineStr">
        <is>
          <t>Klein Tools 603-4 Screwdriver, #2 Phillips Tip with Cushion Grip Handle, Precision Machined Electrician Screwdriver, 8-Inch</t>
        </is>
      </c>
      <c r="E8629" s="2">
        <f>HYPERLINK("https://www.amazon.com/Klein-Tools-603-4-Screwdriver-Precision/dp/B0000302VQ/ref=sr_1_10?keywords=Klein+Tools+600-4+1%2F4-Inch+Keystone+Cushion-Grip+Screwdriver&amp;qid=1694735465&amp;sr=8-10", "https://www.amazon.com/Klein-Tools-603-4-Screwdriver-Precision/dp/B0000302VQ/ref=sr_1_10?keywords=Klein+Tools+600-4+1%2F4-Inch+Keystone+Cushion-Grip+Screwdriver&amp;qid=1694735465&amp;sr=8-10")</f>
        <v/>
      </c>
      <c r="F8629" t="inlineStr">
        <is>
          <t>B0000302VQ</t>
        </is>
      </c>
      <c r="G8629">
        <f>_xludf.IMAGE("https://edmondsonsupply.com/cdn/shop/products/600-4.jpg?v=1587145175")</f>
        <v/>
      </c>
      <c r="H8629">
        <f>_xludf.IMAGE("https://m.media-amazon.com/images/I/41bP0KuG1WS._AC_UL320_.jpg")</f>
        <v/>
      </c>
      <c r="K8629" t="inlineStr">
        <is>
          <t>11.49</t>
        </is>
      </c>
      <c r="L8629" t="n">
        <v>9.99</v>
      </c>
      <c r="M8629" s="1" t="inlineStr">
        <is>
          <t>-13.05%</t>
        </is>
      </c>
      <c r="N8629" s="1" t="n"/>
      <c r="O8629" t="n">
        <v>4.9</v>
      </c>
      <c r="P8629" t="n">
        <v>2839</v>
      </c>
      <c r="R8629" t="inlineStr">
        <is>
          <t>InStock</t>
        </is>
      </c>
      <c r="S8629" t="inlineStr">
        <is>
          <t>15.08</t>
        </is>
      </c>
      <c r="T8629" t="inlineStr">
        <is>
          <t>3700353073252</t>
        </is>
      </c>
    </row>
    <row r="8630" hidden="1" ht="15.75" customHeight="1">
      <c r="A8630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630" s="2">
        <f>HYPERLINK("https://edmondsonsupply.com/products/klein-tools-600-4-1-4-inch-screwdriver-heavy-duty-square-shank", "https://edmondsonsupply.com/products/klein-tools-600-4-1-4-inch-screwdriver-heavy-duty-square-shank")</f>
        <v/>
      </c>
      <c r="C8630" t="inlineStr">
        <is>
          <t>Klein Tools 600-4 1/4-Inch Keystone Cushion-Grip Screwdriver</t>
        </is>
      </c>
      <c r="D8630" t="inlineStr">
        <is>
          <t>Klein Tools 6834INS Insulated Screwdriver, 1000V #2 Phillips Tip Screwdriver with 4-Inch Shank, Tip-Ident, Cushion-Grip Handle</t>
        </is>
      </c>
      <c r="E8630" s="2">
        <f>HYPERLINK("https://www.amazon.com/Klein-Tools-6834INS-Screwdriver-Cushion-Grip/dp/B0BF7LCHQ9/ref=sr_1_19?keywords=Klein+Tools+600-4+1%2F4-Inch+Keystone+Cushion-Grip+Screwdriver&amp;qid=1694735465&amp;sr=8-19", "https://www.amazon.com/Klein-Tools-6834INS-Screwdriver-Cushion-Grip/dp/B0BF7LCHQ9/ref=sr_1_19?keywords=Klein+Tools+600-4+1%2F4-Inch+Keystone+Cushion-Grip+Screwdriver&amp;qid=1694735465&amp;sr=8-19")</f>
        <v/>
      </c>
      <c r="F8630" t="inlineStr">
        <is>
          <t>B0BF7LCHQ9</t>
        </is>
      </c>
      <c r="G8630">
        <f>_xludf.IMAGE("https://edmondsonsupply.com/cdn/shop/products/600-4.jpg?v=1587145175")</f>
        <v/>
      </c>
      <c r="H8630">
        <f>_xludf.IMAGE("https://m.media-amazon.com/images/I/41syzbetq2L._AC_UL320_.jpg")</f>
        <v/>
      </c>
      <c r="K8630" t="inlineStr">
        <is>
          <t>11.49</t>
        </is>
      </c>
      <c r="L8630" t="n">
        <v>9.99</v>
      </c>
      <c r="M8630" s="1" t="inlineStr">
        <is>
          <t>-13.05%</t>
        </is>
      </c>
      <c r="N8630" s="1" t="n"/>
      <c r="O8630" t="n">
        <v>5</v>
      </c>
      <c r="P8630" t="n">
        <v>5</v>
      </c>
      <c r="R8630" t="inlineStr">
        <is>
          <t>InStock</t>
        </is>
      </c>
      <c r="S8630" t="inlineStr">
        <is>
          <t>15.08</t>
        </is>
      </c>
      <c r="T8630" t="inlineStr">
        <is>
          <t>3700353073252</t>
        </is>
      </c>
    </row>
    <row r="8631" hidden="1" ht="15.75" customHeight="1">
      <c r="A8631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631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631" t="inlineStr">
        <is>
          <t>Klein Tools 646-5/16M 5/16-Inch Magnetic Nut Driver Cushion-Grip</t>
        </is>
      </c>
      <c r="D8631" t="inlineStr">
        <is>
          <t>Klein Tools 630-5/16M 5/16-Inch Magnetic Tip Nut Driver with 3-Inch Hollow Shaft</t>
        </is>
      </c>
      <c r="E8631" s="2">
        <f>HYPERLINK("https://www.amazon.com/Magnetic-Klein-Tools-630-5-16M/dp/B000LEX58E/ref=sr_1_10?keywords=Klein+Tools+646-5%2F16M+5%2F16-Inch+Magnetic+Nut+Driver+Cushion-Grip&amp;qid=1694735459&amp;sr=8-10", "https://www.amazon.com/Magnetic-Klein-Tools-630-5-16M/dp/B000LEX58E/ref=sr_1_10?keywords=Klein+Tools+646-5%2F16M+5%2F16-Inch+Magnetic+Nut+Driver+Cushion-Grip&amp;qid=1694735459&amp;sr=8-10")</f>
        <v/>
      </c>
      <c r="F8631" t="inlineStr">
        <is>
          <t>B000LEX58E</t>
        </is>
      </c>
      <c r="G8631">
        <f>_xludf.IMAGE("https://edmondsonsupply.com/cdn/shop/products/646-5-16m.jpg?v=1587147720")</f>
        <v/>
      </c>
      <c r="H8631">
        <f>_xludf.IMAGE("https://m.media-amazon.com/images/I/515W26xlnhL._AC_UL320_.jpg")</f>
        <v/>
      </c>
      <c r="K8631" t="inlineStr">
        <is>
          <t>11.49</t>
        </is>
      </c>
      <c r="L8631" t="n">
        <v>9.970000000000001</v>
      </c>
      <c r="M8631" s="1" t="inlineStr">
        <is>
          <t>-13.23%</t>
        </is>
      </c>
      <c r="N8631" s="1" t="n"/>
      <c r="O8631" t="n">
        <v>4.7</v>
      </c>
      <c r="P8631" t="n">
        <v>1571</v>
      </c>
      <c r="R8631" t="inlineStr">
        <is>
          <t>InStock</t>
        </is>
      </c>
      <c r="S8631" t="inlineStr">
        <is>
          <t>17.4</t>
        </is>
      </c>
      <c r="T8631" t="inlineStr">
        <is>
          <t>3707846557796</t>
        </is>
      </c>
    </row>
    <row r="8632" hidden="1" ht="15.75" customHeight="1">
      <c r="A8632" s="2">
        <f>HYPERLINK("https://edmondsonsupply.com/collections/electricians-tools/products/klein-tools-5139pad-padded-zipper-tool-bag", "https://edmondsonsupply.com/collections/electricians-tools/products/klein-tools-5139pad-padded-zipper-tool-bag")</f>
        <v/>
      </c>
      <c r="B8632" s="2">
        <f>HYPERLINK("https://edmondsonsupply.com/products/klein-tools-5139pad-padded-zipper-tool-bag", "https://edmondsonsupply.com/products/klein-tools-5139pad-padded-zipper-tool-bag")</f>
        <v/>
      </c>
      <c r="C8632" t="inlineStr">
        <is>
          <t>Klein Tools 5139PAD Zipper Bag, Cordura Nylon Tool Pouch with Padding, 12-1/2-Inch</t>
        </is>
      </c>
      <c r="D8632" t="inlineStr">
        <is>
          <t>Klein Tools 5139PAD Zipper Bag, Cordura Nylon Tool Pouch with Layered Padding for Protection and Zipper Close, 12-1/2-Inch, Black</t>
        </is>
      </c>
      <c r="E8632" s="2">
        <f>HYPERLINK("https://www.amazon.com/Padded-Zipper-Klein-Tools-5139PAD/dp/B002G72PMG/ref=sr_1_1?keywords=Klein+Tools+5139PAD+Zipper+Bag%2C+Cordura+Nylon+Tool+Pouch+with+Padding%2C+12-1%2F2-Inch&amp;qid=1694735474&amp;sr=8-1", "https://www.amazon.com/Padded-Zipper-Klein-Tools-5139PAD/dp/B002G72PMG/ref=sr_1_1?keywords=Klein+Tools+5139PAD+Zipper+Bag%2C+Cordura+Nylon+Tool+Pouch+with+Padding%2C+12-1%2F2-Inch&amp;qid=1694735474&amp;sr=8-1")</f>
        <v/>
      </c>
      <c r="F8632" t="inlineStr">
        <is>
          <t>B002G72PMG</t>
        </is>
      </c>
      <c r="G8632">
        <f>_xludf.IMAGE("https://edmondsonsupply.com/cdn/shop/products/5139pad.jpg?v=1587143515")</f>
        <v/>
      </c>
      <c r="H8632">
        <f>_xludf.IMAGE("https://m.media-amazon.com/images/I/91ES5ZFIrYL._AC_UL320_.jpg")</f>
        <v/>
      </c>
      <c r="K8632" t="inlineStr">
        <is>
          <t>13.99</t>
        </is>
      </c>
      <c r="L8632" t="n">
        <v>12</v>
      </c>
      <c r="M8632" s="1" t="inlineStr">
        <is>
          <t>-14.22%</t>
        </is>
      </c>
      <c r="N8632" s="1" t="n"/>
      <c r="O8632" t="n">
        <v>4.7</v>
      </c>
      <c r="P8632" t="n">
        <v>401</v>
      </c>
      <c r="R8632" t="inlineStr">
        <is>
          <t>InStock</t>
        </is>
      </c>
      <c r="S8632" t="inlineStr">
        <is>
          <t>21.2</t>
        </is>
      </c>
      <c r="T8632" t="inlineStr">
        <is>
          <t>3671682383972</t>
        </is>
      </c>
    </row>
    <row r="8633" hidden="1" ht="15.75" customHeight="1">
      <c r="A8633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633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633" t="inlineStr">
        <is>
          <t>Klein Tools 607-3-INS Insulated Screwdriver, 3/32-Inch Cabinet, 3-Inch</t>
        </is>
      </c>
      <c r="D8633" t="inlineStr">
        <is>
          <t>Klein Tools 6936INS Insulated Screwdriver, 1000V Slim Profile Tip, 2 Phillips with 6-Inch Shank, Cushion-Grip Handle</t>
        </is>
      </c>
      <c r="E8633" s="2">
        <f>HYPERLINK("https://www.amazon.com/Klein-Tools-6936INS-Screwdriver-Cushion-Grip/dp/B09GPZMQ1R/ref=sr_1_21?keywords=Klein+Tools+607-3-INS+Insulated+Screwdriver%2C+3%2F32-Inch+Cabinet%2C+3-Inch&amp;qid=1694735479&amp;sr=8-21", "https://www.amazon.com/Klein-Tools-6936INS-Screwdriver-Cushion-Grip/dp/B09GPZMQ1R/ref=sr_1_21?keywords=Klein+Tools+607-3-INS+Insulated+Screwdriver%2C+3%2F32-Inch+Cabinet%2C+3-Inch&amp;qid=1694735479&amp;sr=8-21")</f>
        <v/>
      </c>
      <c r="F8633" t="inlineStr">
        <is>
          <t>B09GPZMQ1R</t>
        </is>
      </c>
      <c r="G8633">
        <f>_xludf.IMAGE("https://edmondsonsupply.com/cdn/shop/products/607-3-ins.jpg?v=1587143254")</f>
        <v/>
      </c>
      <c r="H8633">
        <f>_xludf.IMAGE("https://m.media-amazon.com/images/I/414OB6kFvkL._AC_UL320_.jpg")</f>
        <v/>
      </c>
      <c r="K8633" t="inlineStr">
        <is>
          <t>17.49</t>
        </is>
      </c>
      <c r="L8633" t="n">
        <v>14.99</v>
      </c>
      <c r="M8633" s="1" t="inlineStr">
        <is>
          <t>-14.29%</t>
        </is>
      </c>
      <c r="N8633" s="1" t="n"/>
      <c r="O8633" t="n">
        <v>4.9</v>
      </c>
      <c r="P8633" t="n">
        <v>70</v>
      </c>
      <c r="R8633" t="inlineStr">
        <is>
          <t>InStock</t>
        </is>
      </c>
      <c r="S8633" t="inlineStr">
        <is>
          <t>26.5</t>
        </is>
      </c>
      <c r="T8633" t="inlineStr">
        <is>
          <t>3688617902180</t>
        </is>
      </c>
    </row>
    <row r="8634" hidden="1" ht="15.75" customHeight="1">
      <c r="A8634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634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634" t="inlineStr">
        <is>
          <t>Klein Tools 607-3-INS Insulated Screwdriver, 3/32-Inch Cabinet, 3-Inch</t>
        </is>
      </c>
      <c r="D8634" t="inlineStr">
        <is>
          <t>Klein Tools 32581INS Precision Screwdriver, 2-in-1 Insulated Screwdriver with No. 0 Phillips and 1/8-Inch Slotted Bits</t>
        </is>
      </c>
      <c r="E8634" s="2">
        <f>HYPERLINK("https://www.amazon.com/Klein-Tools-32581INS-Precision-Screwdriver/dp/B0C1QDNC55/ref=sr_1_6?keywords=Klein+Tools+607-3-INS+Insulated+Screwdriver%2C+3%2F32-Inch+Cabinet%2C+3-Inch&amp;qid=1694735479&amp;sr=8-6", "https://www.amazon.com/Klein-Tools-32581INS-Precision-Screwdriver/dp/B0C1QDNC55/ref=sr_1_6?keywords=Klein+Tools+607-3-INS+Insulated+Screwdriver%2C+3%2F32-Inch+Cabinet%2C+3-Inch&amp;qid=1694735479&amp;sr=8-6")</f>
        <v/>
      </c>
      <c r="F8634" t="inlineStr">
        <is>
          <t>B0C1QDNC55</t>
        </is>
      </c>
      <c r="G8634">
        <f>_xludf.IMAGE("https://edmondsonsupply.com/cdn/shop/products/607-3-ins.jpg?v=1587143254")</f>
        <v/>
      </c>
      <c r="H8634">
        <f>_xludf.IMAGE("https://m.media-amazon.com/images/I/41yD1dTTQ8L._AC_UL320_.jpg")</f>
        <v/>
      </c>
      <c r="K8634" t="inlineStr">
        <is>
          <t>17.49</t>
        </is>
      </c>
      <c r="L8634" t="n">
        <v>14.97</v>
      </c>
      <c r="M8634" s="1" t="inlineStr">
        <is>
          <t>-14.41%</t>
        </is>
      </c>
      <c r="N8634" s="1" t="n"/>
      <c r="O8634" t="n">
        <v>4.8</v>
      </c>
      <c r="P8634" t="n">
        <v>77</v>
      </c>
      <c r="R8634" t="inlineStr">
        <is>
          <t>InStock</t>
        </is>
      </c>
      <c r="S8634" t="inlineStr">
        <is>
          <t>26.5</t>
        </is>
      </c>
      <c r="T8634" t="inlineStr">
        <is>
          <t>3688617902180</t>
        </is>
      </c>
    </row>
    <row r="8635" hidden="1" ht="15.75" customHeight="1">
      <c r="A8635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635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635" t="inlineStr">
        <is>
          <t>Klein Tools JTH6E08BE 1/8-Inch Ball Hex Key, Journeyman T-Handle, 6-Inch</t>
        </is>
      </c>
      <c r="D8635" t="inlineStr">
        <is>
          <t>Klein Tools JTH9E08 1/8-Inch Hex Key, Journeyman T-Handle, 9-Inch</t>
        </is>
      </c>
      <c r="E8635" s="2">
        <f>HYPERLINK("https://www.amazon.com/Journeyman-T-Handle-Klein-Tools-JTH9E08/dp/B004QV8DGW/ref=sr_1_9?keywords=Klein+Tools+JTH6E08BE+1%2F8-Inch+Ball+Hex+Key%2C+Journeyman+T-Handle%2C+6-Inch&amp;qid=1694735452&amp;sr=8-9", "https://www.amazon.com/Journeyman-T-Handle-Klein-Tools-JTH9E08/dp/B004QV8DGW/ref=sr_1_9?keywords=Klein+Tools+JTH6E08BE+1%2F8-Inch+Ball+Hex+Key%2C+Journeyman+T-Handle%2C+6-Inch&amp;qid=1694735452&amp;sr=8-9")</f>
        <v/>
      </c>
      <c r="F8635" t="inlineStr">
        <is>
          <t>B004QV8DGW</t>
        </is>
      </c>
      <c r="G8635">
        <f>_xludf.IMAGE("https://edmondsonsupply.com/cdn/shop/products/jth6e13be.jpg?v=1587150101")</f>
        <v/>
      </c>
      <c r="H8635">
        <f>_xludf.IMAGE("https://m.media-amazon.com/images/I/51Yb8h41vLL._AC_UL320_.jpg")</f>
        <v/>
      </c>
      <c r="K8635" t="inlineStr">
        <is>
          <t>4.99</t>
        </is>
      </c>
      <c r="L8635" t="n">
        <v>4.27</v>
      </c>
      <c r="M8635" s="1" t="inlineStr">
        <is>
          <t>-14.43%</t>
        </is>
      </c>
      <c r="N8635" s="1" t="n"/>
      <c r="O8635" t="n">
        <v>4.7</v>
      </c>
      <c r="P8635" t="n">
        <v>390</v>
      </c>
      <c r="R8635" t="inlineStr">
        <is>
          <t>InStock</t>
        </is>
      </c>
      <c r="S8635" t="inlineStr">
        <is>
          <t>7.54</t>
        </is>
      </c>
      <c r="T8635" t="inlineStr">
        <is>
          <t>4174483193956</t>
        </is>
      </c>
    </row>
    <row r="8636" hidden="1" ht="15.75" customHeight="1">
      <c r="A8636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36" s="2">
        <f>HYPERLINK("https://edmondsonsupply.com/products/klein-tools-69411-circuit-breaker-finder-accessory-kit", "https://edmondsonsupply.com/products/klein-tools-69411-circuit-breaker-finder-accessory-kit")</f>
        <v/>
      </c>
      <c r="C8636" t="inlineStr">
        <is>
          <t>Klein Tools 69411 Circuit Breaker Finder Accessory Kit</t>
        </is>
      </c>
      <c r="D8636" t="inlineStr">
        <is>
          <t>Elonbo Carrying Case for Klein Tools ET310 AC Circuit Breaker Finder &amp; 80041 Outlet Repair Tool Kit &amp; RT250 for GFCI Receptacle Tester, Electrical Tools Storage Organizer Holder Bag, Black</t>
        </is>
      </c>
      <c r="E8636" s="2">
        <f>HYPERLINK("https://www.amazon.com/Elonbo-Carrying-Receptacle-Electrical-Organizer/dp/B0BWY7MCH5/ref=sr_1_35?keywords=Klein+Tools+69411+Circuit+Breaker+Finder+Accessory+Kit&amp;qid=1694735452&amp;sr=8-35", "https://www.amazon.com/Elonbo-Carrying-Receptacle-Electrical-Organizer/dp/B0BWY7MCH5/ref=sr_1_35?keywords=Klein+Tools+69411+Circuit+Breaker+Finder+Accessory+Kit&amp;qid=1694735452&amp;sr=8-35")</f>
        <v/>
      </c>
      <c r="F8636" t="inlineStr">
        <is>
          <t>B0BWY7MCH5</t>
        </is>
      </c>
      <c r="G8636">
        <f>_xludf.IMAGE("https://edmondsonsupply.com/cdn/shop/products/69411.jpg?v=1587143386")</f>
        <v/>
      </c>
      <c r="H8636">
        <f>_xludf.IMAGE("https://m.media-amazon.com/images/I/81fB+GfJe3L._AC_UL320_.jpg")</f>
        <v/>
      </c>
      <c r="K8636" t="inlineStr">
        <is>
          <t>19.97</t>
        </is>
      </c>
      <c r="L8636" t="n">
        <v>16.99</v>
      </c>
      <c r="M8636" s="1" t="inlineStr">
        <is>
          <t>-14.92%</t>
        </is>
      </c>
      <c r="N8636" s="1" t="n"/>
      <c r="O8636" t="n">
        <v>4</v>
      </c>
      <c r="P8636" t="n">
        <v>11</v>
      </c>
      <c r="R8636" t="inlineStr">
        <is>
          <t>InStock</t>
        </is>
      </c>
      <c r="S8636" t="inlineStr">
        <is>
          <t>27.96</t>
        </is>
      </c>
      <c r="T8636" t="inlineStr">
        <is>
          <t>4166896255076</t>
        </is>
      </c>
    </row>
    <row r="8637" ht="87" customHeight="1">
      <c r="A8637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37" s="2">
        <f>HYPERLINK("https://edmondsonsupply.com/products/klein-tools-69411-circuit-breaker-finder-accessory-kit", "https://edmondsonsupply.com/products/klein-tools-69411-circuit-breaker-finder-accessory-kit")</f>
        <v/>
      </c>
      <c r="C8637" t="inlineStr">
        <is>
          <t>Klein Tools 69411 Circuit Breaker Finder Accessory Kit</t>
        </is>
      </c>
      <c r="D8637" t="inlineStr">
        <is>
          <t>Aenllosi Hard Case Replacement for Klein Tools ET310 AC Circuit Breaker Finder Tool Kit, with Zippered Grid Breaker Finder Accessory Kit Storage Pouch for Integrated GFCI Socket Tester(Case Only)</t>
        </is>
      </c>
      <c r="E8637" s="2">
        <f>HYPERLINK("https://www.amazon.com/Aenllosi-Replacement-Zippered-Accessory-Integrated/dp/B09C81QBDM/ref=sr_1_28?keywords=Klein+Tools+69411+Circuit+Breaker+Finder+Accessory+Kit&amp;qid=1694735452&amp;sr=8-28", "https://www.amazon.com/Aenllosi-Replacement-Zippered-Accessory-Integrated/dp/B09C81QBDM/ref=sr_1_28?keywords=Klein+Tools+69411+Circuit+Breaker+Finder+Accessory+Kit&amp;qid=1694735452&amp;sr=8-28")</f>
        <v/>
      </c>
      <c r="F8637" t="inlineStr">
        <is>
          <t>B09C81QBDM</t>
        </is>
      </c>
      <c r="G8637">
        <f>_xlfn.IMAGE("https://edmondsonsupply.com/cdn/shop/products/69411.jpg?v=1587143386")</f>
        <v/>
      </c>
      <c r="H8637">
        <f>_xlfn.IMAGE("https://m.media-amazon.com/images/I/91blwQVzZ3L._AC_UL320_.jpg")</f>
        <v/>
      </c>
      <c r="K8637" t="inlineStr">
        <is>
          <t>19.97</t>
        </is>
      </c>
      <c r="L8637" t="n">
        <v>16.99</v>
      </c>
      <c r="M8637" s="1" t="inlineStr">
        <is>
          <t>-14.92%</t>
        </is>
      </c>
      <c r="N8637" s="7" t="n"/>
      <c r="O8637" t="n">
        <v>4.8</v>
      </c>
      <c r="P8637" t="n">
        <v>227</v>
      </c>
      <c r="R8637" t="inlineStr">
        <is>
          <t>InStock</t>
        </is>
      </c>
      <c r="S8637" t="inlineStr">
        <is>
          <t>27.96</t>
        </is>
      </c>
      <c r="T8637" t="inlineStr">
        <is>
          <t>4166896255076</t>
        </is>
      </c>
    </row>
    <row r="8638" ht="87" customHeight="1">
      <c r="A8638" s="2">
        <f>HYPERLINK("https://edmondsonsupply.com/collections/electricians-tools/products/klein-tools-j2000-48-journeyman-high-leverage-diagonal-cutting-pliers-angled-head", "https://edmondsonsupply.com/collections/electricians-tools/products/klein-tools-j2000-48-journeyman-high-leverage-diagonal-cutting-pliers-angled-head")</f>
        <v/>
      </c>
      <c r="B8638" s="2">
        <f>HYPERLINK("https://edmondsonsupply.com/products/klein-tools-j2000-48-journeyman-high-leverage-diagonal-cutting-pliers-angled-head", "https://edmondsonsupply.com/products/klein-tools-j2000-48-journeyman-high-leverage-diagonal-cutting-pliers-angled-head")</f>
        <v/>
      </c>
      <c r="C8638" t="inlineStr">
        <is>
          <t>Klein Tools J2000-48 Journeyman Diagonal Cutting Pliers, Heavy-Duty, Angled Head, 8-Inch</t>
        </is>
      </c>
      <c r="D8638" t="inlineStr">
        <is>
          <t>Klein Tools D248-8-GLW Pliers, Hi-Viz Diagonal Cutting Pliers with Angled Head, Short Jaws, and Glow in the Dark Handles, 8-Inch</t>
        </is>
      </c>
      <c r="E8638" s="2">
        <f>HYPERLINK("https://www.amazon.com/Diagonal-Cutting-Klein-Tools-D248-8-GLW/dp/B00LMM39TY/ref=sr_1_14?keywords=Klein+Tools+J2000-48+Journeyman+Diagonal+Cutting+Pliers%2C+Heavy-Duty%2C+Angled+Head%2C+8-Inch&amp;qid=1694735477&amp;sr=8-14", "https://www.amazon.com/Diagonal-Cutting-Klein-Tools-D248-8-GLW/dp/B00LMM39TY/ref=sr_1_14?keywords=Klein+Tools+J2000-48+Journeyman+Diagonal+Cutting+Pliers%2C+Heavy-Duty%2C+Angled+Head%2C+8-Inch&amp;qid=1694735477&amp;sr=8-14")</f>
        <v/>
      </c>
      <c r="F8638" t="inlineStr">
        <is>
          <t>B00LMM39TY</t>
        </is>
      </c>
      <c r="G8638">
        <f>_xlfn.IMAGE("https://edmondsonsupply.com/cdn/shop/products/j200048.jpg?v=1587146393")</f>
        <v/>
      </c>
      <c r="H8638">
        <f>_xlfn.IMAGE("https://m.media-amazon.com/images/I/41HSLnsbFiL._AC_UL320_.jpg")</f>
        <v/>
      </c>
      <c r="K8638" t="inlineStr">
        <is>
          <t>39.99</t>
        </is>
      </c>
      <c r="L8638" t="n">
        <v>33.99</v>
      </c>
      <c r="M8638" s="1" t="inlineStr">
        <is>
          <t>-15.00%</t>
        </is>
      </c>
      <c r="N8638" s="7" t="n"/>
      <c r="O8638" t="n">
        <v>4.9</v>
      </c>
      <c r="P8638" t="n">
        <v>631</v>
      </c>
      <c r="R8638" t="inlineStr">
        <is>
          <t>InStock</t>
        </is>
      </c>
      <c r="S8638" t="inlineStr">
        <is>
          <t>60.58</t>
        </is>
      </c>
      <c r="T8638" t="inlineStr">
        <is>
          <t>3683824107620</t>
        </is>
      </c>
    </row>
    <row r="8639" hidden="1" ht="15.75" customHeight="1">
      <c r="A8639" s="2">
        <f>HYPERLINK("https://edmondsonsupply.com/collections/electricians-tools/products/klein-tools-5139c-camouflage-zipper-bag", "https://edmondsonsupply.com/collections/electricians-tools/products/klein-tools-5139c-camouflage-zipper-bag")</f>
        <v/>
      </c>
      <c r="B8639" s="2">
        <f>HYPERLINK("https://edmondsonsupply.com/products/klein-tools-5139c-camouflage-zipper-bag", "https://edmondsonsupply.com/products/klein-tools-5139c-camouflage-zipper-bag")</f>
        <v/>
      </c>
      <c r="C8639" t="inlineStr">
        <is>
          <t>Klein Tools 5139C Zipper Bag, Camouflage Cordura Nylon Tool Pouch, 12-1/2-Inch</t>
        </is>
      </c>
      <c r="D8639" t="inlineStr">
        <is>
          <t>Klein Tools 5139B Zipper Bag, Cordura Nylon Tool Pouch with Heavy-Duty Nylon Zipper Close, 12-1/2-Inch, Black</t>
        </is>
      </c>
      <c r="E8639" s="2">
        <f>HYPERLINK("https://www.amazon.com/Klein-Tools-5139B-Cordura-Ballistic/dp/B000OQSS6S/ref=sr_1_3?keywords=Klein+Tools+5139C+Zipper+Bag%2C+Camouflage+Cordura+Nylon+Tool+Pouch%2C+12-1%2F2-Inch&amp;qid=1694735441&amp;sr=8-3", "https://www.amazon.com/Klein-Tools-5139B-Cordura-Ballistic/dp/B000OQSS6S/ref=sr_1_3?keywords=Klein+Tools+5139C+Zipper+Bag%2C+Camouflage+Cordura+Nylon+Tool+Pouch%2C+12-1%2F2-Inch&amp;qid=1694735441&amp;sr=8-3")</f>
        <v/>
      </c>
      <c r="F8639" t="inlineStr">
        <is>
          <t>B000OQSS6S</t>
        </is>
      </c>
      <c r="G8639">
        <f>_xludf.IMAGE("https://edmondsonsupply.com/cdn/shop/products/5139c.jpg?v=1587143515")</f>
        <v/>
      </c>
      <c r="H8639">
        <f>_xludf.IMAGE("https://m.media-amazon.com/images/I/61oItU6FQmL._AC_UL320_.jpg")</f>
        <v/>
      </c>
      <c r="K8639" t="inlineStr">
        <is>
          <t>12.97</t>
        </is>
      </c>
      <c r="L8639" t="n">
        <v>10.99</v>
      </c>
      <c r="M8639" s="1" t="inlineStr">
        <is>
          <t>-15.27%</t>
        </is>
      </c>
      <c r="N8639" s="1" t="n"/>
      <c r="O8639" t="n">
        <v>4.8</v>
      </c>
      <c r="P8639" t="n">
        <v>2708</v>
      </c>
      <c r="R8639" t="inlineStr">
        <is>
          <t>InStock</t>
        </is>
      </c>
      <c r="S8639" t="inlineStr">
        <is>
          <t>19.62</t>
        </is>
      </c>
      <c r="T8639" t="inlineStr">
        <is>
          <t>4292200136804</t>
        </is>
      </c>
    </row>
    <row r="8640" hidden="1" ht="15.75" customHeight="1">
      <c r="A8640" s="2">
        <f>HYPERLINK("https://edmondsonsupply.com/collections/electricians-tools/products/klein-tools-601-6-3-16-inch-cabinet-tip-screwdriver-6-inch", "https://edmondsonsupply.com/collections/electricians-tools/products/klein-tools-601-6-3-16-inch-cabinet-tip-screwdriver-6-inch")</f>
        <v/>
      </c>
      <c r="B8640" s="2">
        <f>HYPERLINK("https://edmondsonsupply.com/products/klein-tools-601-6-3-16-inch-cabinet-tip-screwdriver-6-inch", "https://edmondsonsupply.com/products/klein-tools-601-6-3-16-inch-cabinet-tip-screwdriver-6-inch")</f>
        <v/>
      </c>
      <c r="C8640" t="inlineStr">
        <is>
          <t>Klein Tools 601-6 3/16-Inch Cabinet Tip Screwdriver 6-Inch</t>
        </is>
      </c>
      <c r="D8640" t="inlineStr">
        <is>
          <t>Klein Tools 608-6 1/8-Inch Cabinet Tip Mini Screwdriver, 6-Inch</t>
        </is>
      </c>
      <c r="E8640" s="2">
        <f>HYPERLINK("https://www.amazon.com/Cabinet-Screwdriver-Klein-Tools-608-6/dp/B001BQ20NC/ref=sr_1_7?keywords=Klein+Tools+601-6+3%2F16-Inch+Cabinet+Tip+Screwdriver+6-Inch&amp;qid=1694735470&amp;sr=8-7", "https://www.amazon.com/Cabinet-Screwdriver-Klein-Tools-608-6/dp/B001BQ20NC/ref=sr_1_7?keywords=Klein+Tools+601-6+3%2F16-Inch+Cabinet+Tip+Screwdriver+6-Inch&amp;qid=1694735470&amp;sr=8-7")</f>
        <v/>
      </c>
      <c r="F8640" t="inlineStr">
        <is>
          <t>B001BQ20NC</t>
        </is>
      </c>
      <c r="G8640">
        <f>_xludf.IMAGE("https://edmondsonsupply.com/cdn/shop/products/601-6.jpg?v=1587148683")</f>
        <v/>
      </c>
      <c r="H8640">
        <f>_xludf.IMAGE("https://m.media-amazon.com/images/I/31PYmazYuTL._AC_UL320_.jpg")</f>
        <v/>
      </c>
      <c r="K8640" t="inlineStr">
        <is>
          <t>8.99</t>
        </is>
      </c>
      <c r="L8640" t="n">
        <v>7.6</v>
      </c>
      <c r="M8640" s="1" t="inlineStr">
        <is>
          <t>-15.46%</t>
        </is>
      </c>
      <c r="N8640" s="1" t="n"/>
      <c r="O8640" t="n">
        <v>4.7</v>
      </c>
      <c r="P8640" t="n">
        <v>1356</v>
      </c>
      <c r="R8640" t="inlineStr">
        <is>
          <t>InStock</t>
        </is>
      </c>
      <c r="S8640" t="inlineStr">
        <is>
          <t>11.96</t>
        </is>
      </c>
      <c r="T8640" t="inlineStr">
        <is>
          <t>3689898016868</t>
        </is>
      </c>
    </row>
    <row r="8641" ht="87" customHeight="1">
      <c r="A8641" s="2">
        <f>HYPERLINK("https://edmondsonsupply.com/collections/electricians-tools/products/klein-tools-vdv500-051-tonecube-tone-generator", "https://edmondsonsupply.com/collections/electricians-tools/products/klein-tools-vdv500-051-tonecube-tone-generator")</f>
        <v/>
      </c>
      <c r="B8641" s="2">
        <f>HYPERLINK("https://edmondsonsupply.com/products/klein-tools-vdv500-051-tonecube-tone-generator", "https://edmondsonsupply.com/products/klein-tools-vdv500-051-tonecube-tone-generator")</f>
        <v/>
      </c>
      <c r="C8641" t="inlineStr">
        <is>
          <t>Klein Tools VDV500-051 TONEcube Tone Generator</t>
        </is>
      </c>
      <c r="D8641" t="inlineStr">
        <is>
          <t>Klein Tools VDV500-705 Tone Generator and Probe Kit, Wire Tracer and Tester with Probe Includes Alligator Clips and RJ11 / RJ12 / RJ45 Plug</t>
        </is>
      </c>
      <c r="E8641" s="2">
        <f>HYPERLINK("https://www.amazon.com/Klein-Tools-VDV500-705-Generator-Alligator/dp/B084LKVBM5/ref=sr_1_1?keywords=Klein+Tools+VDV500-051+TONEcube+Tone+Generator&amp;qid=1694735461&amp;sr=8-1", "https://www.amazon.com/Klein-Tools-VDV500-705-Generator-Alligator/dp/B084LKVBM5/ref=sr_1_1?keywords=Klein+Tools+VDV500-051+TONEcube+Tone+Generator&amp;qid=1694735461&amp;sr=8-1")</f>
        <v/>
      </c>
      <c r="F8641" t="inlineStr">
        <is>
          <t>B084LKVBM5</t>
        </is>
      </c>
      <c r="G8641">
        <f>_xlfn.IMAGE("https://edmondsonsupply.com/cdn/shop/products/vdv500-051.jpg?v=1587142999")</f>
        <v/>
      </c>
      <c r="H8641">
        <f>_xlfn.IMAGE("https://m.media-amazon.com/images/I/618N66F611L._AC_UY218_.jpg")</f>
        <v/>
      </c>
      <c r="K8641" t="inlineStr">
        <is>
          <t>47.55</t>
        </is>
      </c>
      <c r="L8641" t="n">
        <v>39.97</v>
      </c>
      <c r="M8641" s="1" t="inlineStr">
        <is>
          <t>-15.94%</t>
        </is>
      </c>
      <c r="N8641" s="7" t="n"/>
      <c r="O8641" t="n">
        <v>4.4</v>
      </c>
      <c r="P8641" t="n">
        <v>238</v>
      </c>
      <c r="R8641" t="inlineStr">
        <is>
          <t>InStock</t>
        </is>
      </c>
      <c r="S8641" t="inlineStr">
        <is>
          <t>undefined</t>
        </is>
      </c>
      <c r="T8641" t="inlineStr">
        <is>
          <t>3701366325348</t>
        </is>
      </c>
    </row>
    <row r="8642" hidden="1" ht="15.75" customHeight="1">
      <c r="A8642" s="2">
        <f>HYPERLINK("https://edmondsonsupply.com/collections/electricians-tools/products/klein-tools-600-1-5-16-inch-cabinet-tip-screwdriver-1-1-2-inch", "https://edmondsonsupply.com/collections/electricians-tools/products/klein-tools-600-1-5-16-inch-cabinet-tip-screwdriver-1-1-2-inch")</f>
        <v/>
      </c>
      <c r="B8642" s="2">
        <f>HYPERLINK("https://edmondsonsupply.com/products/klein-tools-600-1-5-16-inch-cabinet-tip-screwdriver-1-1-2-inch", "https://edmondsonsupply.com/products/klein-tools-600-1-5-16-inch-cabinet-tip-screwdriver-1-1-2-inch")</f>
        <v/>
      </c>
      <c r="C8642" t="inlineStr">
        <is>
          <t>Klein Tools 600-1 5/16-Inch Cabinet Tip Screwdriver 1-1/2-Inch</t>
        </is>
      </c>
      <c r="D8642" t="inlineStr">
        <is>
          <t>Klein Tools A216-4 1/8-Inch Cabinet-Tip Flat Head Screwdriver with 4-Inch Round Shank and Comfordome Handle</t>
        </is>
      </c>
      <c r="E8642" s="2">
        <f>HYPERLINK("https://www.amazon.com/Cabinet-Tip-Screwdriver-Klein-Tools-A216-4/dp/B00093GC28/ref=sr_1_48?keywords=Klein+Tools+600-1+5%2F16-Inch+Cabinet+Tip+Screwdriver+1-1%2F2-Inch&amp;qid=1694735453&amp;sr=8-48", "https://www.amazon.com/Cabinet-Tip-Screwdriver-Klein-Tools-A216-4/dp/B00093GC28/ref=sr_1_48?keywords=Klein+Tools+600-1+5%2F16-Inch+Cabinet+Tip+Screwdriver+1-1%2F2-Inch&amp;qid=1694735453&amp;sr=8-48")</f>
        <v/>
      </c>
      <c r="F8642" t="inlineStr">
        <is>
          <t>B00093GC28</t>
        </is>
      </c>
      <c r="G8642">
        <f>_xludf.IMAGE("https://edmondsonsupply.com/cdn/shop/products/600-1.jpg?v=1587147752")</f>
        <v/>
      </c>
      <c r="H8642">
        <f>_xludf.IMAGE("https://m.media-amazon.com/images/I/414kKbGezfL._AC_UL320_.jpg")</f>
        <v/>
      </c>
      <c r="K8642" t="inlineStr">
        <is>
          <t>7.49</t>
        </is>
      </c>
      <c r="L8642" t="n">
        <v>6.29</v>
      </c>
      <c r="M8642" s="1" t="inlineStr">
        <is>
          <t>-16.02%</t>
        </is>
      </c>
      <c r="N8642" s="1" t="n"/>
      <c r="O8642" t="n">
        <v>4.7</v>
      </c>
      <c r="P8642" t="n">
        <v>172</v>
      </c>
      <c r="R8642" t="inlineStr">
        <is>
          <t>InStock</t>
        </is>
      </c>
      <c r="S8642" t="inlineStr">
        <is>
          <t>11.22</t>
        </is>
      </c>
      <c r="T8642" t="inlineStr">
        <is>
          <t>4171360403556</t>
        </is>
      </c>
    </row>
    <row r="8643" ht="87" customHeight="1">
      <c r="A8643" s="2">
        <f>HYPERLINK("https://edmondsonsupply.com/collections/electricians-tools/products/klein-32807mag", "https://edmondsonsupply.com/collections/electricians-tools/products/klein-32807mag")</f>
        <v/>
      </c>
      <c r="B8643" s="2">
        <f>HYPERLINK("https://edmondsonsupply.com/products/klein-32807mag", "https://edmondsonsupply.com/products/klein-32807mag")</f>
        <v/>
      </c>
      <c r="C8643" t="inlineStr">
        <is>
          <t>Klein Tools 32807MAG 7-in-1 Multi-Bit Screwdriver / Nut Driver, Magnetic</t>
        </is>
      </c>
      <c r="D8643" t="inlineStr">
        <is>
          <t>Klein Tools 32307 Multi-bit Tamperproof Screwdriver, 27-in-1 Tool with Torx, Hex, Torq and Spanner Bits with 1/4-Inch Nut Driver</t>
        </is>
      </c>
      <c r="E8643" s="2">
        <f>HYPERLINK("https://www.amazon.com/Klein-Tools-32307-Tamperproof-Screwdriver/dp/B08KFL4QD4/ref=sr_1_29?keywords=Klein+Tools+32807MAG+7-in-1+Multi-Bit+Screwdriver+%2F+Nut+Driver%2C+Magnetic&amp;qid=1694735441&amp;sr=8-29", "https://www.amazon.com/Klein-Tools-32307-Tamperproof-Screwdriver/dp/B08KFL4QD4/ref=sr_1_29?keywords=Klein+Tools+32807MAG+7-in-1+Multi-Bit+Screwdriver+%2F+Nut+Driver%2C+Magnetic&amp;qid=1694735441&amp;sr=8-29")</f>
        <v/>
      </c>
      <c r="F8643" t="inlineStr">
        <is>
          <t>B08KFL4QD4</t>
        </is>
      </c>
      <c r="G8643">
        <f>_xlfn.IMAGE("https://edmondsonsupply.com/cdn/shop/products/32807mag_beauty_l.jpg?v=1604873791")</f>
        <v/>
      </c>
      <c r="H8643">
        <f>_xlfn.IMAGE("https://m.media-amazon.com/images/I/51VWsu+sN9L._AC_UL320_.jpg")</f>
        <v/>
      </c>
      <c r="K8643" t="inlineStr">
        <is>
          <t>29.97</t>
        </is>
      </c>
      <c r="L8643" t="n">
        <v>24.97</v>
      </c>
      <c r="M8643" s="1" t="inlineStr">
        <is>
          <t>-16.68%</t>
        </is>
      </c>
      <c r="N8643" s="7" t="n"/>
      <c r="O8643" t="n">
        <v>4.7</v>
      </c>
      <c r="P8643" t="n">
        <v>1624</v>
      </c>
      <c r="R8643" t="inlineStr">
        <is>
          <t>InStock</t>
        </is>
      </c>
      <c r="S8643" t="inlineStr">
        <is>
          <t>44.5</t>
        </is>
      </c>
      <c r="T8643" t="inlineStr">
        <is>
          <t>1493034008676</t>
        </is>
      </c>
    </row>
    <row r="8644" hidden="1" ht="15.75" customHeight="1">
      <c r="A8644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644" s="2">
        <f>HYPERLINK("https://edmondsonsupply.com/products/klein-tools-646-3-8-3-8-inch-nut-driver-6-inch-hollow-shaft", "https://edmondsonsupply.com/products/klein-tools-646-3-8-3-8-inch-nut-driver-6-inch-hollow-shaft")</f>
        <v/>
      </c>
      <c r="C8644" t="inlineStr">
        <is>
          <t>Klein Tools 646-3/8 3/8-Inch Nut Driver, 6-Inch Hollow Shaft</t>
        </is>
      </c>
      <c r="D8644" t="inlineStr">
        <is>
          <t>Klein Tools S12 3/8-Inch Nut Driver with 3-Inch Hollow Shaft and Plastic Grip Handle</t>
        </is>
      </c>
      <c r="E8644" s="2">
        <f>HYPERLINK("https://www.amazon.com/8-Inch-Plastic-Klein-Tools-S12/dp/B00093D5J6/ref=sr_1_6?keywords=Klein+Tools+646-3%2F8+3%2F8-Inch+Nut+Driver%2C+6-Inch+Hollow+Shaft&amp;qid=1694735435&amp;sr=8-6", "https://www.amazon.com/8-Inch-Plastic-Klein-Tools-S12/dp/B00093D5J6/ref=sr_1_6?keywords=Klein+Tools+646-3%2F8+3%2F8-Inch+Nut+Driver%2C+6-Inch+Hollow+Shaft&amp;qid=1694735435&amp;sr=8-6")</f>
        <v/>
      </c>
      <c r="F8644" t="inlineStr">
        <is>
          <t>B00093D5J6</t>
        </is>
      </c>
      <c r="G8644">
        <f>_xludf.IMAGE("https://edmondsonsupply.com/cdn/shop/products/646-1-2.jpg?v=1587143221")</f>
        <v/>
      </c>
      <c r="H8644">
        <f>_xludf.IMAGE("https://m.media-amazon.com/images/I/51rLJLucC-L._AC_UL320_.jpg")</f>
        <v/>
      </c>
      <c r="K8644" t="inlineStr">
        <is>
          <t>8.99</t>
        </is>
      </c>
      <c r="L8644" t="n">
        <v>7.49</v>
      </c>
      <c r="M8644" s="1" t="inlineStr">
        <is>
          <t>-16.69%</t>
        </is>
      </c>
      <c r="N8644" s="1" t="n"/>
      <c r="O8644" t="n">
        <v>4.5</v>
      </c>
      <c r="P8644" t="n">
        <v>224</v>
      </c>
      <c r="R8644" t="inlineStr">
        <is>
          <t>InStock</t>
        </is>
      </c>
      <c r="S8644" t="inlineStr">
        <is>
          <t>13.58</t>
        </is>
      </c>
      <c r="T8644" t="inlineStr">
        <is>
          <t>4341100609636</t>
        </is>
      </c>
    </row>
    <row r="8645" hidden="1" ht="15.75" customHeight="1">
      <c r="A8645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645" s="2">
        <f>HYPERLINK("https://edmondsonsupply.com/products/klein-tools-646-3-8-3-8-inch-nut-driver-6-inch-hollow-shaft", "https://edmondsonsupply.com/products/klein-tools-646-3-8-3-8-inch-nut-driver-6-inch-hollow-shaft")</f>
        <v/>
      </c>
      <c r="C8645" t="inlineStr">
        <is>
          <t>Klein Tools 646-3/8 3/8-Inch Nut Driver, 6-Inch Hollow Shaft</t>
        </is>
      </c>
      <c r="D8645" t="inlineStr">
        <is>
          <t>Klein Tools S126 3/8-Inch Nut Driver with 6-Inch Hollow Shaft and Comfordome Handle</t>
        </is>
      </c>
      <c r="E8645" s="2">
        <f>HYPERLINK("https://www.amazon.com/8-Inch-Comfordome-Klein-Tools-S126/dp/B000936PDY/ref=sr_1_1?keywords=Klein+Tools+646-3%2F8+3%2F8-Inch+Nut+Driver%2C+6-Inch+Hollow+Shaft&amp;qid=1694735435&amp;sr=8-1", "https://www.amazon.com/8-Inch-Comfordome-Klein-Tools-S126/dp/B000936PDY/ref=sr_1_1?keywords=Klein+Tools+646-3%2F8+3%2F8-Inch+Nut+Driver%2C+6-Inch+Hollow+Shaft&amp;qid=1694735435&amp;sr=8-1")</f>
        <v/>
      </c>
      <c r="F8645" t="inlineStr">
        <is>
          <t>B000936PDY</t>
        </is>
      </c>
      <c r="G8645">
        <f>_xludf.IMAGE("https://edmondsonsupply.com/cdn/shop/products/646-1-2.jpg?v=1587143221")</f>
        <v/>
      </c>
      <c r="H8645">
        <f>_xludf.IMAGE("https://m.media-amazon.com/images/I/414jM2ApGiL._AC_UL320_.jpg")</f>
        <v/>
      </c>
      <c r="K8645" t="inlineStr">
        <is>
          <t>8.99</t>
        </is>
      </c>
      <c r="L8645" t="n">
        <v>7.49</v>
      </c>
      <c r="M8645" s="1" t="inlineStr">
        <is>
          <t>-16.69%</t>
        </is>
      </c>
      <c r="N8645" s="1" t="n"/>
      <c r="O8645" t="n">
        <v>4.5</v>
      </c>
      <c r="P8645" t="n">
        <v>151</v>
      </c>
      <c r="R8645" t="inlineStr">
        <is>
          <t>InStock</t>
        </is>
      </c>
      <c r="S8645" t="inlineStr">
        <is>
          <t>13.58</t>
        </is>
      </c>
      <c r="T8645" t="inlineStr">
        <is>
          <t>4341100609636</t>
        </is>
      </c>
    </row>
    <row r="8646" hidden="1" ht="15.75" customHeight="1">
      <c r="A8646" s="2">
        <f>HYPERLINK("https://edmondsonsupply.com/collections/electricians-tools/products/klein-tools-935-torpedo-level", "https://edmondsonsupply.com/collections/electricians-tools/products/klein-tools-935-torpedo-level")</f>
        <v/>
      </c>
      <c r="B8646" s="2">
        <f>HYPERLINK("https://edmondsonsupply.com/products/klein-tools-935-torpedo-level", "https://edmondsonsupply.com/products/klein-tools-935-torpedo-level")</f>
        <v/>
      </c>
      <c r="C8646" t="inlineStr">
        <is>
          <t>Klein Tools 935 Torpedo Level, 3 Vial, 9-Inch</t>
        </is>
      </c>
      <c r="D8646" t="inlineStr">
        <is>
          <t>Klein Tools 935 Level, 9-Inch Magnetic Torpedo Level with 3 Vials and V-groove, Tapered Nose</t>
        </is>
      </c>
      <c r="E8646" s="2">
        <f>HYPERLINK("https://www.amazon.com/Magnetic-V-groove-Klein-Tools-935/dp/B01M9FJFS6/ref=sr_1_1?keywords=Klein+Tools+935+Torpedo+Level%2C+3+Vial%2C+9-Inch&amp;qid=1694735440&amp;sr=8-1", "https://www.amazon.com/Magnetic-V-groove-Klein-Tools-935/dp/B01M9FJFS6/ref=sr_1_1?keywords=Klein+Tools+935+Torpedo+Level%2C+3+Vial%2C+9-Inch&amp;qid=1694735440&amp;sr=8-1")</f>
        <v/>
      </c>
      <c r="F8646" t="inlineStr">
        <is>
          <t>B01M9FJFS6</t>
        </is>
      </c>
      <c r="G8646">
        <f>_xludf.IMAGE("https://edmondsonsupply.com/cdn/shop/products/935_b.jpg?v=1679425556")</f>
        <v/>
      </c>
      <c r="H8646">
        <f>_xludf.IMAGE("https://m.media-amazon.com/images/I/515YvYKrE8L._AC_UL320_.jpg")</f>
        <v/>
      </c>
      <c r="K8646" t="inlineStr">
        <is>
          <t>17.97</t>
        </is>
      </c>
      <c r="L8646" t="n">
        <v>14.97</v>
      </c>
      <c r="M8646" s="1" t="inlineStr">
        <is>
          <t>-16.69%</t>
        </is>
      </c>
      <c r="N8646" s="1" t="n"/>
      <c r="O8646" t="n">
        <v>4.5</v>
      </c>
      <c r="P8646" t="n">
        <v>762</v>
      </c>
      <c r="R8646" t="inlineStr">
        <is>
          <t>InStock</t>
        </is>
      </c>
      <c r="S8646" t="inlineStr">
        <is>
          <t>25.22</t>
        </is>
      </c>
      <c r="T8646" t="inlineStr">
        <is>
          <t>4310094086244</t>
        </is>
      </c>
    </row>
    <row r="8647" hidden="1" ht="15.75" customHeight="1">
      <c r="A8647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647" s="2">
        <f>HYPERLINK("https://edmondsonsupply.com/products/klein-tools-70579-folding-hex-key-set-5-inch-sae-5-piece", "https://edmondsonsupply.com/products/klein-tools-70579-folding-hex-key-set-5-inch-sae-5-piece")</f>
        <v/>
      </c>
      <c r="C8647" t="inlineStr">
        <is>
          <t>Klein Tools 70579 Folding Hex Key Set, 5-Key, SAE Sizes</t>
        </is>
      </c>
      <c r="D8647" t="inlineStr">
        <is>
          <t>Klein Tools 70575 Grip-It Hex Key Set, 9-Key, 3-3/4-Inch Handle, SAE Sizes</t>
        </is>
      </c>
      <c r="E8647" s="2">
        <f>HYPERLINK("https://www.amazon.com/Grip-Square-Klein-Tools-70575/dp/B0002RI8PK/ref=sr_1_8?keywords=Klein+Tools+70579+Folding+Hex+Key+Set%2C+5-Key%2C+SAE+Sizes&amp;qid=1694735436&amp;sr=8-8", "https://www.amazon.com/Grip-Square-Klein-Tools-70575/dp/B0002RI8PK/ref=sr_1_8?keywords=Klein+Tools+70579+Folding+Hex+Key+Set%2C+5-Key%2C+SAE+Sizes&amp;qid=1694735436&amp;sr=8-8")</f>
        <v/>
      </c>
      <c r="F8647" t="inlineStr">
        <is>
          <t>B0002RI8PK</t>
        </is>
      </c>
      <c r="G8647">
        <f>_xludf.IMAGE("https://edmondsonsupply.com/cdn/shop/products/70579.jpg?v=1587145103")</f>
        <v/>
      </c>
      <c r="H8647">
        <f>_xludf.IMAGE("https://m.media-amazon.com/images/I/51C7aw6OxTL._AC_UL320_.jpg")</f>
        <v/>
      </c>
      <c r="K8647" t="inlineStr">
        <is>
          <t>12.97</t>
        </is>
      </c>
      <c r="L8647" t="n">
        <v>10.74</v>
      </c>
      <c r="M8647" s="1" t="inlineStr">
        <is>
          <t>-17.19%</t>
        </is>
      </c>
      <c r="N8647" s="1" t="n"/>
      <c r="O8647" t="n">
        <v>4.4</v>
      </c>
      <c r="P8647" t="n">
        <v>65</v>
      </c>
      <c r="R8647" t="inlineStr">
        <is>
          <t>InStock</t>
        </is>
      </c>
      <c r="S8647" t="inlineStr">
        <is>
          <t>18.38</t>
        </is>
      </c>
      <c r="T8647" t="inlineStr">
        <is>
          <t>4346564477028</t>
        </is>
      </c>
    </row>
    <row r="8648" hidden="1" ht="15.75" customHeight="1">
      <c r="A8648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648" s="2">
        <f>HYPERLINK("https://edmondsonsupply.com/products/klein-tools-600-4-1-4-inch-screwdriver-heavy-duty-square-shank", "https://edmondsonsupply.com/products/klein-tools-600-4-1-4-inch-screwdriver-heavy-duty-square-shank")</f>
        <v/>
      </c>
      <c r="C8648" t="inlineStr">
        <is>
          <t>Klein Tools 600-4 1/4-Inch Keystone Cushion-Grip Screwdriver</t>
        </is>
      </c>
      <c r="D8648" t="inlineStr">
        <is>
          <t>Klein Tools 602-4 1/4-Inch Keystone-Tip Screwdriver with 4-Inch Heavy-Duty Round-Shank</t>
        </is>
      </c>
      <c r="E8648" s="2">
        <f>HYPERLINK("https://www.amazon.com/Keystone-Tip-Screwdriver-Round-Shank-Klein-602-4/dp/B0000302WD/ref=sr_1_4?keywords=Klein+Tools+600-4+1%2F4-Inch+Keystone+Cushion-Grip+Screwdriver&amp;qid=1694735465&amp;sr=8-4", "https://www.amazon.com/Keystone-Tip-Screwdriver-Round-Shank-Klein-602-4/dp/B0000302WD/ref=sr_1_4?keywords=Klein+Tools+600-4+1%2F4-Inch+Keystone+Cushion-Grip+Screwdriver&amp;qid=1694735465&amp;sr=8-4")</f>
        <v/>
      </c>
      <c r="F8648" t="inlineStr">
        <is>
          <t>B0000302WD</t>
        </is>
      </c>
      <c r="G8648">
        <f>_xludf.IMAGE("https://edmondsonsupply.com/cdn/shop/products/600-4.jpg?v=1587145175")</f>
        <v/>
      </c>
      <c r="H8648">
        <f>_xludf.IMAGE("https://m.media-amazon.com/images/I/51BHg1CmntL._AC_UL320_.jpg")</f>
        <v/>
      </c>
      <c r="K8648" t="inlineStr">
        <is>
          <t>11.49</t>
        </is>
      </c>
      <c r="L8648" t="n">
        <v>9.49</v>
      </c>
      <c r="M8648" s="1" t="inlineStr">
        <is>
          <t>-17.41%</t>
        </is>
      </c>
      <c r="N8648" s="1" t="n"/>
      <c r="O8648" t="n">
        <v>4.8</v>
      </c>
      <c r="P8648" t="n">
        <v>879</v>
      </c>
      <c r="R8648" t="inlineStr">
        <is>
          <t>InStock</t>
        </is>
      </c>
      <c r="S8648" t="inlineStr">
        <is>
          <t>15.08</t>
        </is>
      </c>
      <c r="T8648" t="inlineStr">
        <is>
          <t>3700353073252</t>
        </is>
      </c>
    </row>
    <row r="8649" ht="87" customHeight="1">
      <c r="A8649" s="2">
        <f>HYPERLINK("https://edmondsonsupply.com/collections/electricians-tools/products/klein-tools-13157-screwdriver-blades-insulated-double-end-3-pack", "https://edmondsonsupply.com/collections/electricians-tools/products/klein-tools-13157-screwdriver-blades-insulated-double-end-3-pack")</f>
        <v/>
      </c>
      <c r="B8649" s="2">
        <f>HYPERLINK("https://edmondsonsupply.com/products/klein-tools-13157-screwdriver-blades-insulated-double-end-3-pack", "https://edmondsonsupply.com/products/klein-tools-13157-screwdriver-blades-insulated-double-end-3-pack")</f>
        <v/>
      </c>
      <c r="C8649" t="inlineStr">
        <is>
          <t>Klein Tools 13157 Screwdriver Blades, Insulated Double-End, 3-Pack</t>
        </is>
      </c>
      <c r="D8649" t="inlineStr">
        <is>
          <t>Klein Tools 13156 Insulated Screwdriver Blades, Interchangeable Single-End Replacement Blades for Klein Insulated Screwdrivers, 2-Pack</t>
        </is>
      </c>
      <c r="E8649" s="2">
        <f>HYPERLINK("https://www.amazon.com/Klein-Tools-13156-Interchangeable-Screwdrivers/dp/B07XJZ4CJN/ref=sr_1_2?keywords=Klein+Tools+13157+Screwdriver+Blades%2C+Insulated+Double-End%2C+3-Pack&amp;qid=1694735451&amp;sr=8-2", "https://www.amazon.com/Klein-Tools-13156-Interchangeable-Screwdrivers/dp/B07XJZ4CJN/ref=sr_1_2?keywords=Klein+Tools+13157+Screwdriver+Blades%2C+Insulated+Double-End%2C+3-Pack&amp;qid=1694735451&amp;sr=8-2")</f>
        <v/>
      </c>
      <c r="F8649" t="inlineStr">
        <is>
          <t>B07XJZ4CJN</t>
        </is>
      </c>
      <c r="G8649">
        <f>_xlfn.IMAGE("https://edmondsonsupply.com/cdn/shop/products/13157.jpg?v=1587146921")</f>
        <v/>
      </c>
      <c r="H8649">
        <f>_xlfn.IMAGE("https://m.media-amazon.com/images/I/41bES4KYVYL._AC_UL320_.jpg")</f>
        <v/>
      </c>
      <c r="K8649" t="inlineStr">
        <is>
          <t>19.99</t>
        </is>
      </c>
      <c r="L8649" t="n">
        <v>16.49</v>
      </c>
      <c r="M8649" s="1" t="inlineStr">
        <is>
          <t>-17.51%</t>
        </is>
      </c>
      <c r="N8649" s="7" t="n"/>
      <c r="O8649" t="n">
        <v>4.7</v>
      </c>
      <c r="P8649" t="n">
        <v>105</v>
      </c>
      <c r="R8649" t="inlineStr">
        <is>
          <t>OutOfStock</t>
        </is>
      </c>
      <c r="S8649" t="inlineStr">
        <is>
          <t>26.66</t>
        </is>
      </c>
      <c r="T8649" t="inlineStr">
        <is>
          <t>4163352330340</t>
        </is>
      </c>
    </row>
    <row r="8650" hidden="1" ht="15.75" customHeight="1">
      <c r="A8650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650" s="2">
        <f>HYPERLINK("https://edmondsonsupply.com/products/klein-tools-69401-multimeter-carrying-case", "https://edmondsonsupply.com/products/klein-tools-69401-multimeter-carrying-case")</f>
        <v/>
      </c>
      <c r="C8650" t="inlineStr">
        <is>
          <t>Klein Tools 69401 Multimeter Carrying Case</t>
        </is>
      </c>
      <c r="D8650" t="inlineStr">
        <is>
          <t>Mchoi Shockproof Carrying Case for Klein Tools MM600/MM700 Multimeter Digital Auto-Ranging 1000V, Case Only</t>
        </is>
      </c>
      <c r="E8650" s="2">
        <f>HYPERLINK("https://www.amazon.com/Mchoi-Multimeter-Storage-Pocket-Klein/dp/B09Q7VV26H/ref=sr_1_31?keywords=Klein+Tools+69401+Multimeter+Carrying+Case&amp;qid=1694735435&amp;sr=8-31", "https://www.amazon.com/Mchoi-Multimeter-Storage-Pocket-Klein/dp/B09Q7VV26H/ref=sr_1_31?keywords=Klein+Tools+69401+Multimeter+Carrying+Case&amp;qid=1694735435&amp;sr=8-31")</f>
        <v/>
      </c>
      <c r="F8650" t="inlineStr">
        <is>
          <t>B09Q7VV26H</t>
        </is>
      </c>
      <c r="G8650">
        <f>_xludf.IMAGE("https://edmondsonsupply.com/cdn/shop/products/69401.jpg?v=1587151194")</f>
        <v/>
      </c>
      <c r="H8650">
        <f>_xludf.IMAGE("https://m.media-amazon.com/images/I/81+qp-JHstL._AC_UL320_.jpg")</f>
        <v/>
      </c>
      <c r="K8650" t="inlineStr">
        <is>
          <t>16.97</t>
        </is>
      </c>
      <c r="L8650" t="n">
        <v>13.99</v>
      </c>
      <c r="M8650" s="1" t="inlineStr">
        <is>
          <t>-17.56%</t>
        </is>
      </c>
      <c r="N8650" s="1" t="n"/>
      <c r="O8650" t="n">
        <v>4.9</v>
      </c>
      <c r="P8650" t="n">
        <v>12</v>
      </c>
      <c r="R8650" t="inlineStr">
        <is>
          <t>InStock</t>
        </is>
      </c>
      <c r="S8650" t="inlineStr">
        <is>
          <t>23.84</t>
        </is>
      </c>
      <c r="T8650" t="inlineStr">
        <is>
          <t>4348577710180</t>
        </is>
      </c>
    </row>
    <row r="8651" hidden="1" ht="15.75" customHeight="1">
      <c r="A8651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651" s="2">
        <f>HYPERLINK("https://edmondsonsupply.com/products/klein-tools-69401-multimeter-carrying-case", "https://edmondsonsupply.com/products/klein-tools-69401-multimeter-carrying-case")</f>
        <v/>
      </c>
      <c r="C8651" t="inlineStr">
        <is>
          <t>Klein Tools 69401 Multimeter Carrying Case</t>
        </is>
      </c>
      <c r="D8651" t="inlineStr">
        <is>
          <t>Aproca Hard Carrying Storage Case, for Klein Tools MM400 / MM300 Multimeter</t>
        </is>
      </c>
      <c r="E8651" s="2">
        <f>HYPERLINK("https://www.amazon.com/Aproca-Carrying-Klein-Tools-Multimeter/dp/B08HGT2NXX/ref=sr_1_9?keywords=Klein+Tools+69401+Multimeter+Carrying+Case&amp;qid=1694735435&amp;sr=8-9", "https://www.amazon.com/Aproca-Carrying-Klein-Tools-Multimeter/dp/B08HGT2NXX/ref=sr_1_9?keywords=Klein+Tools+69401+Multimeter+Carrying+Case&amp;qid=1694735435&amp;sr=8-9")</f>
        <v/>
      </c>
      <c r="F8651" t="inlineStr">
        <is>
          <t>B08HGT2NXX</t>
        </is>
      </c>
      <c r="G8651">
        <f>_xludf.IMAGE("https://edmondsonsupply.com/cdn/shop/products/69401.jpg?v=1587151194")</f>
        <v/>
      </c>
      <c r="H8651">
        <f>_xludf.IMAGE("https://m.media-amazon.com/images/I/81f0tWYv7NS._AC_UL320_.jpg")</f>
        <v/>
      </c>
      <c r="K8651" t="inlineStr">
        <is>
          <t>16.97</t>
        </is>
      </c>
      <c r="L8651" t="n">
        <v>13.99</v>
      </c>
      <c r="M8651" s="1" t="inlineStr">
        <is>
          <t>-17.56%</t>
        </is>
      </c>
      <c r="N8651" s="1" t="n"/>
      <c r="O8651" t="n">
        <v>4.6</v>
      </c>
      <c r="P8651" t="n">
        <v>369</v>
      </c>
      <c r="R8651" t="inlineStr">
        <is>
          <t>InStock</t>
        </is>
      </c>
      <c r="S8651" t="inlineStr">
        <is>
          <t>23.84</t>
        </is>
      </c>
      <c r="T8651" t="inlineStr">
        <is>
          <t>4348577710180</t>
        </is>
      </c>
    </row>
    <row r="8652" hidden="1" ht="15.75" customHeight="1">
      <c r="A8652" s="2">
        <f>HYPERLINK("https://edmondsonsupply.com/collections/electricians-tools/products/klein-tools-662-4-ins-insulated-2-square-recess-tip-4-screwdriver-1000v", "https://edmondsonsupply.com/collections/electricians-tools/products/klein-tools-662-4-ins-insulated-2-square-recess-tip-4-screwdriver-1000v")</f>
        <v/>
      </c>
      <c r="B8652" s="2">
        <f>HYPERLINK("https://edmondsonsupply.com/products/klein-tools-662-4-ins-insulated-2-square-recess-tip-4-screwdriver-1000v", "https://edmondsonsupply.com/products/klein-tools-662-4-ins-insulated-2-square-recess-tip-4-screwdriver-1000v")</f>
        <v/>
      </c>
      <c r="C8652" t="inlineStr">
        <is>
          <t>Klein Tools 662-4-INS Insulated Screwdriver, #2 Square, 4'' Shank</t>
        </is>
      </c>
      <c r="D8652" t="inlineStr">
        <is>
          <t>Klein Tools 6944INS Insulated Screwdriver, 1000V Slim Profile Tip, #2 Square with 4-Inch Shank, Cushion-Grip Handle</t>
        </is>
      </c>
      <c r="E8652" s="2">
        <f>HYPERLINK("https://www.amazon.com/Klein-Tools-6944INS-Screwdriver-Cushion-Grip/dp/B09GPYTZV3/ref=sr_1_2?keywords=Klein+Tools+662-4-INS+Insulated+Screwdriver%2C+%232+Square%2C+4%27%27+Shank&amp;qid=1694735455&amp;sr=8-2", "https://www.amazon.com/Klein-Tools-6944INS-Screwdriver-Cushion-Grip/dp/B09GPYTZV3/ref=sr_1_2?keywords=Klein+Tools+662-4-INS+Insulated+Screwdriver%2C+%232+Square%2C+4%27%27+Shank&amp;qid=1694735455&amp;sr=8-2")</f>
        <v/>
      </c>
      <c r="F8652" t="inlineStr">
        <is>
          <t>B09GPYTZV3</t>
        </is>
      </c>
      <c r="G8652">
        <f>_xludf.IMAGE("https://edmondsonsupply.com/cdn/shop/products/662-4-ins.jpg?v=1587151099")</f>
        <v/>
      </c>
      <c r="H8652">
        <f>_xludf.IMAGE("https://m.media-amazon.com/images/I/41PzygwLx+L._AC_UL320_.jpg")</f>
        <v/>
      </c>
      <c r="K8652" t="inlineStr">
        <is>
          <t>16.97</t>
        </is>
      </c>
      <c r="L8652" t="n">
        <v>13.99</v>
      </c>
      <c r="M8652" s="1" t="inlineStr">
        <is>
          <t>-17.56%</t>
        </is>
      </c>
      <c r="N8652" s="1" t="n"/>
      <c r="O8652" t="n">
        <v>4.7</v>
      </c>
      <c r="P8652" t="n">
        <v>93</v>
      </c>
      <c r="R8652" t="inlineStr">
        <is>
          <t>InStock</t>
        </is>
      </c>
      <c r="S8652" t="inlineStr">
        <is>
          <t>25.72</t>
        </is>
      </c>
      <c r="T8652" t="inlineStr">
        <is>
          <t>2443022860388</t>
        </is>
      </c>
    </row>
    <row r="8653" hidden="1" ht="15.75" customHeight="1">
      <c r="A8653" s="2">
        <f>HYPERLINK("https://edmondsonsupply.com/collections/electricians-tools/products/klein-tools-662-4-ins-insulated-2-square-recess-tip-4-screwdriver-1000v", "https://edmondsonsupply.com/collections/electricians-tools/products/klein-tools-662-4-ins-insulated-2-square-recess-tip-4-screwdriver-1000v")</f>
        <v/>
      </c>
      <c r="B8653" s="2">
        <f>HYPERLINK("https://edmondsonsupply.com/products/klein-tools-662-4-ins-insulated-2-square-recess-tip-4-screwdriver-1000v", "https://edmondsonsupply.com/products/klein-tools-662-4-ins-insulated-2-square-recess-tip-4-screwdriver-1000v")</f>
        <v/>
      </c>
      <c r="C8653" t="inlineStr">
        <is>
          <t>Klein Tools 662-4-INS Insulated Screwdriver, #2 Square, 4'' Shank</t>
        </is>
      </c>
      <c r="D8653" t="inlineStr">
        <is>
          <t>Klein Tools 6946INS 1000V Slim Tip Insulated Screwdriver, 6-Inch Round Shank, #2 Square Tip, Cushion Grip Handle</t>
        </is>
      </c>
      <c r="E8653" s="2">
        <f>HYPERLINK("https://www.amazon.com/Klein-Tools-6946INS-Insulated-Screwdriver/dp/B088NN95Q5/ref=sr_1_5?keywords=Klein+Tools+662-4-INS+Insulated+Screwdriver%2C+%232+Square%2C+4%27%27+Shank&amp;qid=1694735455&amp;sr=8-5", "https://www.amazon.com/Klein-Tools-6946INS-Insulated-Screwdriver/dp/B088NN95Q5/ref=sr_1_5?keywords=Klein+Tools+662-4-INS+Insulated+Screwdriver%2C+%232+Square%2C+4%27%27+Shank&amp;qid=1694735455&amp;sr=8-5")</f>
        <v/>
      </c>
      <c r="F8653" t="inlineStr">
        <is>
          <t>B088NN95Q5</t>
        </is>
      </c>
      <c r="G8653">
        <f>_xludf.IMAGE("https://edmondsonsupply.com/cdn/shop/products/662-4-ins.jpg?v=1587151099")</f>
        <v/>
      </c>
      <c r="H8653">
        <f>_xludf.IMAGE("https://m.media-amazon.com/images/I/414Kb+NSPsS._AC_UL320_.jpg")</f>
        <v/>
      </c>
      <c r="K8653" t="inlineStr">
        <is>
          <t>16.97</t>
        </is>
      </c>
      <c r="L8653" t="n">
        <v>13.85</v>
      </c>
      <c r="M8653" s="1" t="inlineStr">
        <is>
          <t>-18.39%</t>
        </is>
      </c>
      <c r="N8653" s="1" t="n"/>
      <c r="O8653" t="n">
        <v>4.8</v>
      </c>
      <c r="P8653" t="n">
        <v>1358</v>
      </c>
      <c r="R8653" t="inlineStr">
        <is>
          <t>InStock</t>
        </is>
      </c>
      <c r="S8653" t="inlineStr">
        <is>
          <t>25.72</t>
        </is>
      </c>
      <c r="T8653" t="inlineStr">
        <is>
          <t>2443022860388</t>
        </is>
      </c>
    </row>
    <row r="8654" ht="87" customHeight="1">
      <c r="A8654" s="2">
        <f>HYPERLINK("https://edmondsonsupply.com/collections/electricians-tools/products/klein-tools-1006-crimping-cutting-tool-for-non-insulated-terminals", "https://edmondsonsupply.com/collections/electricians-tools/products/klein-tools-1006-crimping-cutting-tool-for-non-insulated-terminals")</f>
        <v/>
      </c>
      <c r="B8654" s="2">
        <f>HYPERLINK("https://edmondsonsupply.com/products/klein-tools-1006-crimping-cutting-tool-for-non-insulated-terminals", "https://edmondsonsupply.com/products/klein-tools-1006-crimping-cutting-tool-for-non-insulated-terminals")</f>
        <v/>
      </c>
      <c r="C8654" t="inlineStr">
        <is>
          <t>Klein Tools 1006 Crimping/Cutting Tool for Non-Insulated Terminals</t>
        </is>
      </c>
      <c r="D8654" t="inlineStr">
        <is>
          <t>Klein Tools 1005 Cutting / Crimping Tool for 10-22 AWG Terminals and Connectors, Terminal Crimper for Insulated and Non-Insulated Terminals</t>
        </is>
      </c>
      <c r="E8654" s="2">
        <f>HYPERLINK("https://www.amazon.com/Klein-Tools-1005-Connectors-Non-Insulated/dp/B0006M6Y5M/ref=sr_1_2?keywords=Klein+Tools+1006+Crimping%2FCutting+Tool+for+Non-Insulated+Terminals&amp;qid=1694735431&amp;sr=8-2", "https://www.amazon.com/Klein-Tools-1005-Connectors-Non-Insulated/dp/B0006M6Y5M/ref=sr_1_2?keywords=Klein+Tools+1006+Crimping%2FCutting+Tool+for+Non-Insulated+Terminals&amp;qid=1694735431&amp;sr=8-2")</f>
        <v/>
      </c>
      <c r="F8654" t="inlineStr">
        <is>
          <t>B0006M6Y5M</t>
        </is>
      </c>
      <c r="G8654">
        <f>_xlfn.IMAGE("https://edmondsonsupply.com/cdn/shop/products/1006.jpg?v=1587143845")</f>
        <v/>
      </c>
      <c r="H8654">
        <f>_xlfn.IMAGE("https://m.media-amazon.com/images/I/41JVR3OpiRL._AC_UL320_.jpg")</f>
        <v/>
      </c>
      <c r="K8654" t="inlineStr">
        <is>
          <t>36.99</t>
        </is>
      </c>
      <c r="L8654" t="n">
        <v>29.97</v>
      </c>
      <c r="M8654" s="1" t="inlineStr">
        <is>
          <t>-18.98%</t>
        </is>
      </c>
      <c r="N8654" s="7" t="n"/>
      <c r="O8654" t="n">
        <v>4.9</v>
      </c>
      <c r="P8654" t="n">
        <v>3897</v>
      </c>
      <c r="R8654" t="inlineStr">
        <is>
          <t>InStock</t>
        </is>
      </c>
      <c r="S8654" t="inlineStr">
        <is>
          <t>56.06</t>
        </is>
      </c>
      <c r="T8654" t="inlineStr">
        <is>
          <t>4339826851940</t>
        </is>
      </c>
    </row>
    <row r="8655" ht="87" customHeight="1">
      <c r="A8655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55" s="2">
        <f>HYPERLINK("https://edmondsonsupply.com/products/klein-tools-69411-circuit-breaker-finder-accessory-kit", "https://edmondsonsupply.com/products/klein-tools-69411-circuit-breaker-finder-accessory-kit")</f>
        <v/>
      </c>
      <c r="C8655" t="inlineStr">
        <is>
          <t>Klein Tools 69411 Circuit Breaker Finder Accessory Kit</t>
        </is>
      </c>
      <c r="D8655" t="inlineStr">
        <is>
          <t>SITHON Case Compatible with Klein Tools ET310 AC Circuit Breaker Finder, 80041 Outlet Repair Tool Kit &amp; RT250 GFCI Receptacle Tester, Hard Shell Electrical Tools Storage Organizer Bag (Case Only)</t>
        </is>
      </c>
      <c r="E8655" s="2">
        <f>HYPERLINK("https://www.amazon.com/SITHON-Compatible-Receptacle-Electrical-Organizer/dp/B0BJ6TDB8P/ref=sr_1_48?keywords=Klein+Tools+69411+Circuit+Breaker+Finder+Accessory+Kit&amp;qid=1694735452&amp;sr=8-48", "https://www.amazon.com/SITHON-Compatible-Receptacle-Electrical-Organizer/dp/B0BJ6TDB8P/ref=sr_1_48?keywords=Klein+Tools+69411+Circuit+Breaker+Finder+Accessory+Kit&amp;qid=1694735452&amp;sr=8-48")</f>
        <v/>
      </c>
      <c r="F8655" t="inlineStr">
        <is>
          <t>B0BJ6TDB8P</t>
        </is>
      </c>
      <c r="G8655">
        <f>_xlfn.IMAGE("https://edmondsonsupply.com/cdn/shop/products/69411.jpg?v=1587143386")</f>
        <v/>
      </c>
      <c r="H8655">
        <f>_xlfn.IMAGE("https://m.media-amazon.com/images/I/81Awn7PmRdL._AC_UL320_.jpg")</f>
        <v/>
      </c>
      <c r="K8655" t="inlineStr">
        <is>
          <t>19.97</t>
        </is>
      </c>
      <c r="L8655" t="n">
        <v>15.99</v>
      </c>
      <c r="M8655" s="1" t="inlineStr">
        <is>
          <t>-19.93%</t>
        </is>
      </c>
      <c r="N8655" s="7" t="n"/>
      <c r="O8655" t="n">
        <v>4.9</v>
      </c>
      <c r="P8655" t="n">
        <v>14</v>
      </c>
      <c r="R8655" t="inlineStr">
        <is>
          <t>InStock</t>
        </is>
      </c>
      <c r="S8655" t="inlineStr">
        <is>
          <t>27.96</t>
        </is>
      </c>
      <c r="T8655" t="inlineStr">
        <is>
          <t>4166896255076</t>
        </is>
      </c>
    </row>
    <row r="8656" hidden="1" ht="15.75" customHeight="1">
      <c r="A8656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656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656" t="inlineStr">
        <is>
          <t>Klein Tools JTH6M4BE 4 mm Ball Hex Key Journeyman T-Handle 6-Inch</t>
        </is>
      </c>
      <c r="D8656" t="inlineStr">
        <is>
          <t>Klein Tools JTH6M4 4 mm Hex Key, Journeyman T-Handle, 6-Inch</t>
        </is>
      </c>
      <c r="E8656" s="2">
        <f>HYPERLINK("https://www.amazon.com/Journeyman-T-Handle-Klein-Tools-JTH6M4/dp/B005G394YO/ref=sr_1_2?keywords=Klein+Tools+JTH6M4BE+4+mm+Ball+Hex+Key+Journeyman+T-Handle+6-Inch&amp;qid=1694735475&amp;sr=8-2", "https://www.amazon.com/Journeyman-T-Handle-Klein-Tools-JTH6M4/dp/B005G394YO/ref=sr_1_2?keywords=Klein+Tools+JTH6M4BE+4+mm+Ball+Hex+Key+Journeyman+T-Handle+6-Inch&amp;qid=1694735475&amp;sr=8-2")</f>
        <v/>
      </c>
      <c r="F8656" t="inlineStr">
        <is>
          <t>B005G394YO</t>
        </is>
      </c>
      <c r="G8656">
        <f>_xludf.IMAGE("https://edmondsonsupply.com/cdn/shop/products/jth6m8be.jpg?v=1587144825")</f>
        <v/>
      </c>
      <c r="H8656">
        <f>_xludf.IMAGE("https://m.media-amazon.com/images/I/51+1x0vz9XL._AC_UL320_.jpg")</f>
        <v/>
      </c>
      <c r="K8656" t="inlineStr">
        <is>
          <t>4.99</t>
        </is>
      </c>
      <c r="L8656" t="n">
        <v>3.99</v>
      </c>
      <c r="M8656" s="1" t="inlineStr">
        <is>
          <t>-20.04%</t>
        </is>
      </c>
      <c r="N8656" s="1" t="n"/>
      <c r="O8656" t="n">
        <v>4.7</v>
      </c>
      <c r="P8656" t="n">
        <v>1530</v>
      </c>
      <c r="R8656" t="inlineStr">
        <is>
          <t>InStock</t>
        </is>
      </c>
      <c r="S8656" t="inlineStr">
        <is>
          <t>7.56</t>
        </is>
      </c>
      <c r="T8656" t="inlineStr">
        <is>
          <t>3671694213220</t>
        </is>
      </c>
    </row>
    <row r="8657" hidden="1" ht="15.75" customHeight="1">
      <c r="A8657" s="2">
        <f>HYPERLINK("https://edmondsonsupply.com/collections/electricians-tools/products/klein-tools-jth6m6-6-mm-hex-key-with-journeyman-t-handle-6-inch", "https://edmondsonsupply.com/collections/electricians-tools/products/klein-tools-jth6m6-6-mm-hex-key-with-journeyman-t-handle-6-inch")</f>
        <v/>
      </c>
      <c r="B8657" s="2">
        <f>HYPERLINK("https://edmondsonsupply.com/products/klein-tools-jth6m6-6-mm-hex-key-with-journeyman-t-handle-6-inch", "https://edmondsonsupply.com/products/klein-tools-jth6m6-6-mm-hex-key-with-journeyman-t-handle-6-inch")</f>
        <v/>
      </c>
      <c r="C8657" t="inlineStr">
        <is>
          <t>Klein Tools JTH6M6 6 mm Hex Key, Journeyman T-Handle, 6-Inch</t>
        </is>
      </c>
      <c r="D8657" t="inlineStr">
        <is>
          <t>Klein Tools JTH6M3 3 mm Hex Key with Journeyman T-Handle, 6-Inch</t>
        </is>
      </c>
      <c r="E8657" s="2">
        <f>HYPERLINK("https://www.amazon.com/Journeyman-T-Handle-Klein-Tools-JTH6M3/dp/B005G394RG/ref=sr_1_5?keywords=Klein+Tools+JTH6M6+6+mm+Hex+Key%2C+Journeyman+T-Handle%2C+6-Inch&amp;qid=1694735472&amp;sr=8-5", "https://www.amazon.com/Journeyman-T-Handle-Klein-Tools-JTH6M3/dp/B005G394RG/ref=sr_1_5?keywords=Klein+Tools+JTH6M6+6+mm+Hex+Key%2C+Journeyman+T-Handle%2C+6-Inch&amp;qid=1694735472&amp;sr=8-5")</f>
        <v/>
      </c>
      <c r="F8657" t="inlineStr">
        <is>
          <t>B005G394RG</t>
        </is>
      </c>
      <c r="G8657">
        <f>_xludf.IMAGE("https://edmondsonsupply.com/cdn/shop/products/jth6m8_f0088b53-c3db-4dc3-9272-8f65ecc1b648.jpg?v=1587147556")</f>
        <v/>
      </c>
      <c r="H8657">
        <f>_xludf.IMAGE("https://m.media-amazon.com/images/I/51+1x0vz9XL._AC_UL320_.jpg")</f>
        <v/>
      </c>
      <c r="K8657" t="inlineStr">
        <is>
          <t>4.99</t>
        </is>
      </c>
      <c r="L8657" t="n">
        <v>3.99</v>
      </c>
      <c r="M8657" s="1" t="inlineStr">
        <is>
          <t>-20.04%</t>
        </is>
      </c>
      <c r="N8657" s="1" t="n"/>
      <c r="O8657" t="n">
        <v>4.7</v>
      </c>
      <c r="P8657" t="n">
        <v>358</v>
      </c>
      <c r="R8657" t="inlineStr">
        <is>
          <t>InStock</t>
        </is>
      </c>
      <c r="S8657" t="inlineStr">
        <is>
          <t>7.56</t>
        </is>
      </c>
      <c r="T8657" t="inlineStr">
        <is>
          <t>3694875246692</t>
        </is>
      </c>
    </row>
    <row r="8658" hidden="1" ht="15.75" customHeight="1">
      <c r="A8658" s="2">
        <f>HYPERLINK("https://edmondsonsupply.com/collections/electricians-tools/products/klein-tools-jth6m4be-4-mm-ball-hex-key-journeyman-t-handle-6-inch", "https://edmondsonsupply.com/collections/electricians-tools/products/klein-tools-jth6m4be-4-mm-ball-hex-key-journeyman-t-handle-6-inch")</f>
        <v/>
      </c>
      <c r="B8658" s="2">
        <f>HYPERLINK("https://edmondsonsupply.com/products/klein-tools-jth6m4be-4-mm-ball-hex-key-journeyman-t-handle-6-inch", "https://edmondsonsupply.com/products/klein-tools-jth6m4be-4-mm-ball-hex-key-journeyman-t-handle-6-inch")</f>
        <v/>
      </c>
      <c r="C8658" t="inlineStr">
        <is>
          <t>Klein Tools JTH6M4BE 4 mm Ball Hex Key Journeyman T-Handle 6-Inch</t>
        </is>
      </c>
      <c r="D8658" t="inlineStr">
        <is>
          <t>Klein Tools JTH6M3 3 mm Hex Key with Journeyman T-Handle, 6-Inch</t>
        </is>
      </c>
      <c r="E8658" s="2">
        <f>HYPERLINK("https://www.amazon.com/Journeyman-T-Handle-Klein-Tools-JTH6M3/dp/B005G394RG/ref=sr_1_6?keywords=Klein+Tools+JTH6M4BE+4+mm+Ball+Hex+Key+Journeyman+T-Handle+6-Inch&amp;qid=1694735475&amp;sr=8-6", "https://www.amazon.com/Journeyman-T-Handle-Klein-Tools-JTH6M3/dp/B005G394RG/ref=sr_1_6?keywords=Klein+Tools+JTH6M4BE+4+mm+Ball+Hex+Key+Journeyman+T-Handle+6-Inch&amp;qid=1694735475&amp;sr=8-6")</f>
        <v/>
      </c>
      <c r="F8658" t="inlineStr">
        <is>
          <t>B005G394RG</t>
        </is>
      </c>
      <c r="G8658">
        <f>_xludf.IMAGE("https://edmondsonsupply.com/cdn/shop/products/jth6m8be.jpg?v=1587144825")</f>
        <v/>
      </c>
      <c r="H8658">
        <f>_xludf.IMAGE("https://m.media-amazon.com/images/I/51+1x0vz9XL._AC_UL320_.jpg")</f>
        <v/>
      </c>
      <c r="K8658" t="inlineStr">
        <is>
          <t>4.99</t>
        </is>
      </c>
      <c r="L8658" t="n">
        <v>3.99</v>
      </c>
      <c r="M8658" s="1" t="inlineStr">
        <is>
          <t>-20.04%</t>
        </is>
      </c>
      <c r="N8658" s="1" t="n"/>
      <c r="O8658" t="n">
        <v>4.7</v>
      </c>
      <c r="P8658" t="n">
        <v>358</v>
      </c>
      <c r="R8658" t="inlineStr">
        <is>
          <t>InStock</t>
        </is>
      </c>
      <c r="S8658" t="inlineStr">
        <is>
          <t>7.56</t>
        </is>
      </c>
      <c r="T8658" t="inlineStr">
        <is>
          <t>3671694213220</t>
        </is>
      </c>
    </row>
    <row r="8659" hidden="1" ht="15.75" customHeight="1">
      <c r="A8659" s="2">
        <f>HYPERLINK("https://edmondsonsupply.com/collections/electricians-tools/products/klein-tools-610m-magnetic-stubby-nut-driver-set-1-1-2-inch-shafts-2-piece", "https://edmondsonsupply.com/collections/electricians-tools/products/klein-tools-610m-magnetic-stubby-nut-driver-set-1-1-2-inch-shafts-2-piece")</f>
        <v/>
      </c>
      <c r="B8659" s="2">
        <f>HYPERLINK("https://edmondsonsupply.com/products/klein-tools-610m-magnetic-stubby-nut-driver-set-1-1-2-inch-shafts-2-piece", "https://edmondsonsupply.com/products/klein-tools-610m-magnetic-stubby-nut-driver-set-1-1-2-inch-shafts-2-piece")</f>
        <v/>
      </c>
      <c r="C8659" t="inlineStr">
        <is>
          <t>Klein Tools 610M Magnetic Stubby Nut Driver Set, 1-1/2-Inch Shafts, 2-Piece</t>
        </is>
      </c>
      <c r="D8659" t="inlineStr">
        <is>
          <t>Klein Tools 610 Tool Set, Nut Driver Set with Stubby Nut Driver Sizes 1/4 and 5/16-Inch, Full Hollow Shaft, 2-Piece</t>
        </is>
      </c>
      <c r="E8659" s="2">
        <f>HYPERLINK("https://www.amazon.com/Klein-Tools-610-16-Inch-2-Piece/dp/B000CSKRCQ/ref=sr_1_3?keywords=Klein+Tools+610M+Magnetic+Stubby+Nut+Driver+Set%2C+1-1%2F2-Inch+Shafts%2C+2-Piece&amp;qid=1694735459&amp;sr=8-3", "https://www.amazon.com/Klein-Tools-610-16-Inch-2-Piece/dp/B000CSKRCQ/ref=sr_1_3?keywords=Klein+Tools+610M+Magnetic+Stubby+Nut+Driver+Set%2C+1-1%2F2-Inch+Shafts%2C+2-Piece&amp;qid=1694735459&amp;sr=8-3")</f>
        <v/>
      </c>
      <c r="F8659" t="inlineStr">
        <is>
          <t>B000CSKRCQ</t>
        </is>
      </c>
      <c r="G8659">
        <f>_xludf.IMAGE("https://edmondsonsupply.com/cdn/shop/products/610m.jpg?v=1587148614")</f>
        <v/>
      </c>
      <c r="H8659">
        <f>_xludf.IMAGE("https://m.media-amazon.com/images/I/51+8QhofFWL._AC_UL320_.jpg")</f>
        <v/>
      </c>
      <c r="K8659" t="inlineStr">
        <is>
          <t>17.99</t>
        </is>
      </c>
      <c r="L8659" t="n">
        <v>14.14</v>
      </c>
      <c r="M8659" s="1" t="inlineStr">
        <is>
          <t>-21.40%</t>
        </is>
      </c>
      <c r="N8659" s="1" t="n"/>
      <c r="O8659" t="n">
        <v>4.9</v>
      </c>
      <c r="P8659" t="n">
        <v>19</v>
      </c>
      <c r="R8659" t="inlineStr">
        <is>
          <t>InStock</t>
        </is>
      </c>
      <c r="S8659" t="inlineStr">
        <is>
          <t>27.26</t>
        </is>
      </c>
      <c r="T8659" t="inlineStr">
        <is>
          <t>4258876031076</t>
        </is>
      </c>
    </row>
    <row r="8660" hidden="1" ht="15.75" customHeight="1">
      <c r="A8660" s="2">
        <f>HYPERLINK("https://edmondsonsupply.com/collections/electricians-tools/products/klein-tools-5139pad-padded-zipper-tool-bag", "https://edmondsonsupply.com/collections/electricians-tools/products/klein-tools-5139pad-padded-zipper-tool-bag")</f>
        <v/>
      </c>
      <c r="B8660" s="2">
        <f>HYPERLINK("https://edmondsonsupply.com/products/klein-tools-5139pad-padded-zipper-tool-bag", "https://edmondsonsupply.com/products/klein-tools-5139pad-padded-zipper-tool-bag")</f>
        <v/>
      </c>
      <c r="C8660" t="inlineStr">
        <is>
          <t>Klein Tools 5139PAD Zipper Bag, Cordura Nylon Tool Pouch with Padding, 12-1/2-Inch</t>
        </is>
      </c>
      <c r="D8660" t="inlineStr">
        <is>
          <t>Klein Tools 5139B Zipper Bag, Cordura Nylon Tool Pouch with Heavy-Duty Nylon Zipper Close, 12-1/2-Inch, Black</t>
        </is>
      </c>
      <c r="E8660" s="2">
        <f>HYPERLINK("https://www.amazon.com/Klein-Tools-5139B-Cordura-Ballistic/dp/B000OQSS6S/ref=sr_1_3?keywords=Klein+Tools+5139PAD+Zipper+Bag%2C+Cordura+Nylon+Tool+Pouch+with+Padding%2C+12-1%2F2-Inch&amp;qid=1694735474&amp;sr=8-3", "https://www.amazon.com/Klein-Tools-5139B-Cordura-Ballistic/dp/B000OQSS6S/ref=sr_1_3?keywords=Klein+Tools+5139PAD+Zipper+Bag%2C+Cordura+Nylon+Tool+Pouch+with+Padding%2C+12-1%2F2-Inch&amp;qid=1694735474&amp;sr=8-3")</f>
        <v/>
      </c>
      <c r="F8660" t="inlineStr">
        <is>
          <t>B000OQSS6S</t>
        </is>
      </c>
      <c r="G8660">
        <f>_xludf.IMAGE("https://edmondsonsupply.com/cdn/shop/products/5139pad.jpg?v=1587143515")</f>
        <v/>
      </c>
      <c r="H8660">
        <f>_xludf.IMAGE("https://m.media-amazon.com/images/I/61oItU6FQmL._AC_UL320_.jpg")</f>
        <v/>
      </c>
      <c r="K8660" t="inlineStr">
        <is>
          <t>13.99</t>
        </is>
      </c>
      <c r="L8660" t="n">
        <v>10.99</v>
      </c>
      <c r="M8660" s="1" t="inlineStr">
        <is>
          <t>-21.44%</t>
        </is>
      </c>
      <c r="N8660" s="1" t="n"/>
      <c r="O8660" t="n">
        <v>4.8</v>
      </c>
      <c r="P8660" t="n">
        <v>2708</v>
      </c>
      <c r="R8660" t="inlineStr">
        <is>
          <t>InStock</t>
        </is>
      </c>
      <c r="S8660" t="inlineStr">
        <is>
          <t>21.2</t>
        </is>
      </c>
      <c r="T8660" t="inlineStr">
        <is>
          <t>3671682383972</t>
        </is>
      </c>
    </row>
    <row r="8661" hidden="1" ht="15.75" customHeight="1">
      <c r="A8661" s="2">
        <f>HYPERLINK("https://edmondsonsupply.com/collections/electricians-tools/products/klein-tools-646-5-16m-5-16-inch-magnetic-nut-driver-cushion-grip", "https://edmondsonsupply.com/collections/electricians-tools/products/klein-tools-646-5-16m-5-16-inch-magnetic-nut-driver-cushion-grip")</f>
        <v/>
      </c>
      <c r="B8661" s="2">
        <f>HYPERLINK("https://edmondsonsupply.com/products/klein-tools-646-5-16m-5-16-inch-magnetic-nut-driver-cushion-grip", "https://edmondsonsupply.com/products/klein-tools-646-5-16m-5-16-inch-magnetic-nut-driver-cushion-grip")</f>
        <v/>
      </c>
      <c r="C8661" t="inlineStr">
        <is>
          <t>Klein Tools 646-5/16M 5/16-Inch Magnetic Nut Driver Cushion-Grip</t>
        </is>
      </c>
      <c r="D8661" t="inlineStr">
        <is>
          <t>Klein Tools 630-5/16 Nut Driver, 5/16-Inch Tip Nut Driver with 3-Inch Hollow Shaft, Cushion Grip Handle</t>
        </is>
      </c>
      <c r="E8661" s="2">
        <f>HYPERLINK("https://www.amazon.com/16-Inch-Klein-Tools-630-5-16/dp/B001BY0ESW/ref=sr_1_5?keywords=Klein+Tools+646-5%2F16M+5%2F16-Inch+Magnetic+Nut+Driver+Cushion-Grip&amp;qid=1694735459&amp;sr=8-5", "https://www.amazon.com/16-Inch-Klein-Tools-630-5-16/dp/B001BY0ESW/ref=sr_1_5?keywords=Klein+Tools+646-5%2F16M+5%2F16-Inch+Magnetic+Nut+Driver+Cushion-Grip&amp;qid=1694735459&amp;sr=8-5")</f>
        <v/>
      </c>
      <c r="F8661" t="inlineStr">
        <is>
          <t>B001BY0ESW</t>
        </is>
      </c>
      <c r="G8661">
        <f>_xludf.IMAGE("https://edmondsonsupply.com/cdn/shop/products/646-5-16m.jpg?v=1587147720")</f>
        <v/>
      </c>
      <c r="H8661">
        <f>_xludf.IMAGE("https://m.media-amazon.com/images/I/41Cj8-Y8KnL._AC_UL320_.jpg")</f>
        <v/>
      </c>
      <c r="K8661" t="inlineStr">
        <is>
          <t>11.49</t>
        </is>
      </c>
      <c r="L8661" t="n">
        <v>8.99</v>
      </c>
      <c r="M8661" s="1" t="inlineStr">
        <is>
          <t>-21.76%</t>
        </is>
      </c>
      <c r="N8661" s="1" t="n"/>
      <c r="O8661" t="n">
        <v>4.8</v>
      </c>
      <c r="P8661" t="n">
        <v>2069</v>
      </c>
      <c r="R8661" t="inlineStr">
        <is>
          <t>InStock</t>
        </is>
      </c>
      <c r="S8661" t="inlineStr">
        <is>
          <t>17.4</t>
        </is>
      </c>
      <c r="T8661" t="inlineStr">
        <is>
          <t>3707846557796</t>
        </is>
      </c>
    </row>
    <row r="8662" hidden="1" ht="15.75" customHeight="1">
      <c r="A8662" s="2">
        <f>HYPERLINK("https://edmondsonsupply.com/collections/electricians-tools/products/klein-tools-646-3-8-3-8-inch-nut-driver-6-inch-hollow-shaft", "https://edmondsonsupply.com/collections/electricians-tools/products/klein-tools-646-3-8-3-8-inch-nut-driver-6-inch-hollow-shaft")</f>
        <v/>
      </c>
      <c r="B8662" s="2">
        <f>HYPERLINK("https://edmondsonsupply.com/products/klein-tools-646-3-8-3-8-inch-nut-driver-6-inch-hollow-shaft", "https://edmondsonsupply.com/products/klein-tools-646-3-8-3-8-inch-nut-driver-6-inch-hollow-shaft")</f>
        <v/>
      </c>
      <c r="C8662" t="inlineStr">
        <is>
          <t>Klein Tools 646-3/8 3/8-Inch Nut Driver, 6-Inch Hollow Shaft</t>
        </is>
      </c>
      <c r="D8662" t="inlineStr">
        <is>
          <t>Klein Tools 630-6MM 6 mm Nut Driver with 3-Inch Hollow Shaft and Cushion Grip Handle</t>
        </is>
      </c>
      <c r="E8662" s="2">
        <f>HYPERLINK("https://www.amazon.com/Driver-Cushion-Klein-Tools-630-6MM/dp/B0009ORXS4/ref=sr_1_32?keywords=Klein+Tools+646-3%2F8+3%2F8-Inch+Nut+Driver%2C+6-Inch+Hollow+Shaft&amp;qid=1694735435&amp;sr=8-32", "https://www.amazon.com/Driver-Cushion-Klein-Tools-630-6MM/dp/B0009ORXS4/ref=sr_1_32?keywords=Klein+Tools+646-3%2F8+3%2F8-Inch+Nut+Driver%2C+6-Inch+Hollow+Shaft&amp;qid=1694735435&amp;sr=8-32")</f>
        <v/>
      </c>
      <c r="F8662" t="inlineStr">
        <is>
          <t>B0009ORXS4</t>
        </is>
      </c>
      <c r="G8662">
        <f>_xludf.IMAGE("https://edmondsonsupply.com/cdn/shop/products/646-1-2.jpg?v=1587143221")</f>
        <v/>
      </c>
      <c r="H8662">
        <f>_xludf.IMAGE("https://m.media-amazon.com/images/I/51ajuVZIlYL._AC_UL320_.jpg")</f>
        <v/>
      </c>
      <c r="K8662" t="inlineStr">
        <is>
          <t>8.99</t>
        </is>
      </c>
      <c r="L8662" t="n">
        <v>6.99</v>
      </c>
      <c r="M8662" s="1" t="inlineStr">
        <is>
          <t>-22.25%</t>
        </is>
      </c>
      <c r="N8662" s="1" t="n"/>
      <c r="O8662" t="n">
        <v>4.8</v>
      </c>
      <c r="P8662" t="n">
        <v>1115</v>
      </c>
      <c r="R8662" t="inlineStr">
        <is>
          <t>InStock</t>
        </is>
      </c>
      <c r="S8662" t="inlineStr">
        <is>
          <t>13.58</t>
        </is>
      </c>
      <c r="T8662" t="inlineStr">
        <is>
          <t>4341100609636</t>
        </is>
      </c>
    </row>
    <row r="8663" hidden="1" ht="15.75" customHeight="1">
      <c r="A8663" s="2">
        <f>HYPERLINK("https://edmondsonsupply.com/collections/electricians-tools/products/klein-tools-630-5-16-5-16-nut-driver-cushion-grip-3-shaft", "https://edmondsonsupply.com/collections/electricians-tools/products/klein-tools-630-5-16-5-16-nut-driver-cushion-grip-3-shaft")</f>
        <v/>
      </c>
      <c r="B8663" s="2">
        <f>HYPERLINK("https://edmondsonsupply.com/products/klein-tools-630-5-16-5-16-nut-driver-cushion-grip-3-shaft", "https://edmondsonsupply.com/products/klein-tools-630-5-16-5-16-nut-driver-cushion-grip-3-shaft")</f>
        <v/>
      </c>
      <c r="C8663" t="inlineStr">
        <is>
          <t>Klein Tools 630-5/16 5/16'' Nut Driver Cushion-Grip 3'' Shaft</t>
        </is>
      </c>
      <c r="D8663" t="inlineStr">
        <is>
          <t>Klein Tools 630-5MM 5 mm Nut Driver with 3-Inch Hollow Shaft and Cushion Grip Handle</t>
        </is>
      </c>
      <c r="E8663" s="2">
        <f>HYPERLINK("https://www.amazon.com/Driver-Cushion-Klein-Tools-630-5MM/dp/B0009OODG4/ref=sr_1_3?keywords=Klein+Tools+630-5%2F16+5%2F16%27%27+Nut+Driver+Cushion-Grip+3%27%27+Shaft&amp;qid=1694735460&amp;sr=8-3", "https://www.amazon.com/Driver-Cushion-Klein-Tools-630-5MM/dp/B0009OODG4/ref=sr_1_3?keywords=Klein+Tools+630-5%2F16+5%2F16%27%27+Nut+Driver+Cushion-Grip+3%27%27+Shaft&amp;qid=1694735460&amp;sr=8-3")</f>
        <v/>
      </c>
      <c r="F8663" t="inlineStr">
        <is>
          <t>B0009OODG4</t>
        </is>
      </c>
      <c r="G8663">
        <f>_xludf.IMAGE("https://edmondsonsupply.com/cdn/shop/products/630-1-2.jpg?v=1587143244")</f>
        <v/>
      </c>
      <c r="H8663">
        <f>_xludf.IMAGE("https://m.media-amazon.com/images/I/51oyTa9LLJL._AC_UL320_.jpg")</f>
        <v/>
      </c>
      <c r="K8663" t="inlineStr">
        <is>
          <t>8.99</t>
        </is>
      </c>
      <c r="L8663" t="n">
        <v>6.99</v>
      </c>
      <c r="M8663" s="1" t="inlineStr">
        <is>
          <t>-22.25%</t>
        </is>
      </c>
      <c r="N8663" s="1" t="n"/>
      <c r="O8663" t="n">
        <v>4.8</v>
      </c>
      <c r="P8663" t="n">
        <v>1115</v>
      </c>
      <c r="R8663" t="inlineStr">
        <is>
          <t>InStock</t>
        </is>
      </c>
      <c r="S8663" t="inlineStr">
        <is>
          <t>11.74</t>
        </is>
      </c>
      <c r="T8663" t="inlineStr">
        <is>
          <t>4159420989540</t>
        </is>
      </c>
    </row>
    <row r="8664" ht="87" customHeight="1">
      <c r="A8664" s="2">
        <f>HYPERLINK("https://edmondsonsupply.com/collections/electricians-tools/products/klein-tools-32596-8-in-1-hvac-slide-drive%E2%84%A2-screwdriver-nut-driver", "https://edmondsonsupply.com/collections/electricians-tools/products/klein-tools-32596-8-in-1-hvac-slide-drive%E2%84%A2-screwdriver-nut-driver")</f>
        <v/>
      </c>
      <c r="B8664" s="2">
        <f>HYPERLINK("https://edmondsonsupply.com/products/klein-tools-32596-8-in-1-hvac-slide-drive%e2%84%a2-screwdriver-nut-driver", "https://edmondsonsupply.com/products/klein-tools-32596-8-in-1-hvac-slide-drive%e2%84%a2-screwdriver-nut-driver")</f>
        <v/>
      </c>
      <c r="C8664" t="inlineStr">
        <is>
          <t>Klein Tools 32596 HVAC Slide Drive™ Multi-Bit Screwdriver / Nut Driver, 8-in-1</t>
        </is>
      </c>
      <c r="D8664" t="inlineStr">
        <is>
          <t>Klein Tools 32500MAG Magnetic Multi-Bit Screwdriver / Nut Driver, 11-in-1 Multi Tool with 8 Bits, 3 Nut Driver Sizes, Cushion Grip Handle</t>
        </is>
      </c>
      <c r="E8664" s="2">
        <f>HYPERLINK("https://www.amazon.com/Klein-Tools-32500MAG-Multi-Bit-Screwdriver/dp/B089LTTZWT/ref=sr_1_8?keywords=Klein+Tools+32596+HVAC+Slide+Drive%E2%84%A2+Multi-Bit+Screwdriver+%2F+Nut+Driver%2C+8-in-1&amp;qid=1694735471&amp;sr=8-8", "https://www.amazon.com/Klein-Tools-32500MAG-Multi-Bit-Screwdriver/dp/B089LTTZWT/ref=sr_1_8?keywords=Klein+Tools+32596+HVAC+Slide+Drive%E2%84%A2+Multi-Bit+Screwdriver+%2F+Nut+Driver%2C+8-in-1&amp;qid=1694735471&amp;sr=8-8")</f>
        <v/>
      </c>
      <c r="F8664" t="inlineStr">
        <is>
          <t>B089LTTZWT</t>
        </is>
      </c>
      <c r="G8664">
        <f>_xlfn.IMAGE("https://edmondsonsupply.com/cdn/shop/products/32596_alt4.jpg?v=1587148720")</f>
        <v/>
      </c>
      <c r="H8664">
        <f>_xlfn.IMAGE("https://m.media-amazon.com/images/I/61WjOoy7J0L._AC_UL320_.jpg")</f>
        <v/>
      </c>
      <c r="K8664" t="inlineStr">
        <is>
          <t>26.97</t>
        </is>
      </c>
      <c r="L8664" t="n">
        <v>20.97</v>
      </c>
      <c r="M8664" s="1" t="inlineStr">
        <is>
          <t>-22.25%</t>
        </is>
      </c>
      <c r="N8664" s="7" t="n"/>
      <c r="O8664" t="n">
        <v>4.8</v>
      </c>
      <c r="P8664" t="n">
        <v>3916</v>
      </c>
      <c r="R8664" t="inlineStr">
        <is>
          <t>InStock</t>
        </is>
      </c>
      <c r="S8664" t="inlineStr">
        <is>
          <t>38.56</t>
        </is>
      </c>
      <c r="T8664" t="inlineStr">
        <is>
          <t>3690018111588</t>
        </is>
      </c>
    </row>
    <row r="8665" hidden="1" ht="15.75" customHeight="1">
      <c r="A8665" s="2">
        <f>HYPERLINK("https://edmondsonsupply.com/collections/electricians-tools/products/klein-tools-5139c-camouflage-zipper-bag", "https://edmondsonsupply.com/collections/electricians-tools/products/klein-tools-5139c-camouflage-zipper-bag")</f>
        <v/>
      </c>
      <c r="B8665" s="2">
        <f>HYPERLINK("https://edmondsonsupply.com/products/klein-tools-5139c-camouflage-zipper-bag", "https://edmondsonsupply.com/products/klein-tools-5139c-camouflage-zipper-bag")</f>
        <v/>
      </c>
      <c r="C8665" t="inlineStr">
        <is>
          <t>Klein Tools 5139C Zipper Bag, Camouflage Cordura Nylon Tool Pouch, 12-1/2-Inch</t>
        </is>
      </c>
      <c r="D8665" t="inlineStr">
        <is>
          <t>Klein Tools 5139C Zipper Bag, Camouflage Cordura Nylon Tool Pouch with Heavy-Duty Zipper Close, 12.5 x 7-Inch</t>
        </is>
      </c>
      <c r="E8665" s="2">
        <f>HYPERLINK("https://www.amazon.com/Durable-Camouflage-Klein-Tools-5139C/dp/B0002RI64I/ref=sr_1_1?keywords=Klein+Tools+5139C+Zipper+Bag%2C+Camouflage+Cordura+Nylon+Tool+Pouch%2C+12-1%2F2-Inch&amp;qid=1694735441&amp;sr=8-1", "https://www.amazon.com/Durable-Camouflage-Klein-Tools-5139C/dp/B0002RI64I/ref=sr_1_1?keywords=Klein+Tools+5139C+Zipper+Bag%2C+Camouflage+Cordura+Nylon+Tool+Pouch%2C+12-1%2F2-Inch&amp;qid=1694735441&amp;sr=8-1")</f>
        <v/>
      </c>
      <c r="F8665" t="inlineStr">
        <is>
          <t>B0002RI64I</t>
        </is>
      </c>
      <c r="G8665">
        <f>_xludf.IMAGE("https://edmondsonsupply.com/cdn/shop/products/5139c.jpg?v=1587143515")</f>
        <v/>
      </c>
      <c r="H8665">
        <f>_xludf.IMAGE("https://m.media-amazon.com/images/I/71bK1WDZnOL._AC_UL320_.jpg")</f>
        <v/>
      </c>
      <c r="K8665" t="inlineStr">
        <is>
          <t>12.97</t>
        </is>
      </c>
      <c r="L8665" t="n">
        <v>10</v>
      </c>
      <c r="M8665" s="1" t="inlineStr">
        <is>
          <t>-22.90%</t>
        </is>
      </c>
      <c r="N8665" s="1" t="n"/>
      <c r="O8665" t="n">
        <v>4.7</v>
      </c>
      <c r="P8665" t="n">
        <v>695</v>
      </c>
      <c r="R8665" t="inlineStr">
        <is>
          <t>InStock</t>
        </is>
      </c>
      <c r="S8665" t="inlineStr">
        <is>
          <t>19.62</t>
        </is>
      </c>
      <c r="T8665" t="inlineStr">
        <is>
          <t>4292200136804</t>
        </is>
      </c>
    </row>
    <row r="8666" hidden="1" ht="15.75" customHeight="1">
      <c r="A8666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666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666" t="inlineStr">
        <is>
          <t>Klein Tools JTH9E15 3/8-Inch Hex Key, Journeyman T-Handle, 9-Inch</t>
        </is>
      </c>
      <c r="D8666" t="inlineStr">
        <is>
          <t>Klein Tools JTH4E15 3/8-Inch Hex Key with Journeyman T-Handle, 4-Inch</t>
        </is>
      </c>
      <c r="E8666" s="2">
        <f>HYPERLINK("https://www.amazon.com/Klein-Tools-JTH4E15-Journeyman-T-Handle/dp/B004LR4MO8/ref=sr_1_3?keywords=Klein+Tools+JTH9E15+3%2F8-Inch+Hex+Key%2C+Journeyman+T-Handle%2C+9-Inch&amp;qid=1694735471&amp;sr=8-3", "https://www.amazon.com/Klein-Tools-JTH4E15-Journeyman-T-Handle/dp/B004LR4MO8/ref=sr_1_3?keywords=Klein+Tools+JTH9E15+3%2F8-Inch+Hex+Key%2C+Journeyman+T-Handle%2C+9-Inch&amp;qid=1694735471&amp;sr=8-3")</f>
        <v/>
      </c>
      <c r="F8666" t="inlineStr">
        <is>
          <t>B004LR4MO8</t>
        </is>
      </c>
      <c r="G8666">
        <f>_xludf.IMAGE("https://edmondsonsupply.com/cdn/shop/products/jth9e12.jpg?v=1587144816")</f>
        <v/>
      </c>
      <c r="H8666">
        <f>_xludf.IMAGE("https://m.media-amazon.com/images/I/41onH0Q9stL._AC_UL320_.jpg")</f>
        <v/>
      </c>
      <c r="K8666" t="inlineStr">
        <is>
          <t>9.99</t>
        </is>
      </c>
      <c r="L8666" t="n">
        <v>7.7</v>
      </c>
      <c r="M8666" s="1" t="inlineStr">
        <is>
          <t>-22.92%</t>
        </is>
      </c>
      <c r="N8666" s="1" t="n"/>
      <c r="O8666" t="n">
        <v>4.8</v>
      </c>
      <c r="P8666" t="n">
        <v>2477</v>
      </c>
      <c r="R8666" t="inlineStr">
        <is>
          <t>InStock</t>
        </is>
      </c>
      <c r="S8666" t="inlineStr">
        <is>
          <t>15.22</t>
        </is>
      </c>
      <c r="T8666" t="inlineStr">
        <is>
          <t>3695779151972</t>
        </is>
      </c>
    </row>
    <row r="8667" hidden="1" ht="15.75" customHeight="1">
      <c r="A8667" s="2">
        <f>HYPERLINK("https://edmondsonsupply.com/collections/electricians-tools/products/klein-tools-70579-folding-hex-key-set-5-inch-sae-5-piece", "https://edmondsonsupply.com/collections/electricians-tools/products/klein-tools-70579-folding-hex-key-set-5-inch-sae-5-piece")</f>
        <v/>
      </c>
      <c r="B8667" s="2">
        <f>HYPERLINK("https://edmondsonsupply.com/products/klein-tools-70579-folding-hex-key-set-5-inch-sae-5-piece", "https://edmondsonsupply.com/products/klein-tools-70579-folding-hex-key-set-5-inch-sae-5-piece")</f>
        <v/>
      </c>
      <c r="C8667" t="inlineStr">
        <is>
          <t>Klein Tools 70579 Folding Hex Key Set, 5-Key, SAE Sizes</t>
        </is>
      </c>
      <c r="D8667" t="inlineStr">
        <is>
          <t>Klein Tools 70570 Grip-It Hex Key Set, 5-Key, SAE Sizes</t>
        </is>
      </c>
      <c r="E8667" s="2">
        <f>HYPERLINK("https://www.amazon.com/Grip-Five-Key-Hex-Set/dp/B0002RI8OQ/ref=sr_1_2?keywords=Klein+Tools+70579+Folding+Hex+Key+Set%2C+5-Key%2C+SAE+Sizes&amp;qid=1694735436&amp;sr=8-2", "https://www.amazon.com/Grip-Five-Key-Hex-Set/dp/B0002RI8OQ/ref=sr_1_2?keywords=Klein+Tools+70579+Folding+Hex+Key+Set%2C+5-Key%2C+SAE+Sizes&amp;qid=1694735436&amp;sr=8-2")</f>
        <v/>
      </c>
      <c r="F8667" t="inlineStr">
        <is>
          <t>B0002RI8OQ</t>
        </is>
      </c>
      <c r="G8667">
        <f>_xludf.IMAGE("https://edmondsonsupply.com/cdn/shop/products/70579.jpg?v=1587145103")</f>
        <v/>
      </c>
      <c r="H8667">
        <f>_xludf.IMAGE("https://m.media-amazon.com/images/I/5115q-e5mbL._AC_UL320_.jpg")</f>
        <v/>
      </c>
      <c r="K8667" t="inlineStr">
        <is>
          <t>12.97</t>
        </is>
      </c>
      <c r="L8667" t="n">
        <v>9.98</v>
      </c>
      <c r="M8667" s="1" t="inlineStr">
        <is>
          <t>-23.05%</t>
        </is>
      </c>
      <c r="N8667" s="1" t="n"/>
      <c r="O8667" t="n">
        <v>4.6</v>
      </c>
      <c r="P8667" t="n">
        <v>159</v>
      </c>
      <c r="R8667" t="inlineStr">
        <is>
          <t>InStock</t>
        </is>
      </c>
      <c r="S8667" t="inlineStr">
        <is>
          <t>18.38</t>
        </is>
      </c>
      <c r="T8667" t="inlineStr">
        <is>
          <t>4346564477028</t>
        </is>
      </c>
    </row>
    <row r="8668" hidden="1" ht="15.75" customHeight="1">
      <c r="A8668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668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668" t="inlineStr">
        <is>
          <t>Klein Tools 614-6 1/8-Inch Cabinet Electronics Screwdriver, 6-Inch</t>
        </is>
      </c>
      <c r="D8668" t="inlineStr">
        <is>
          <t>Klein Tools 608-6 1/8-Inch Cabinet Tip Mini Screwdriver, 6-Inch</t>
        </is>
      </c>
      <c r="E8668" s="2">
        <f>HYPERLINK("https://www.amazon.com/Cabinet-Screwdriver-Klein-Tools-608-6/dp/B001BQ20NC/ref=sr_1_1?keywords=Klein+Tools+614-6+1%2F8-Inch+Cabinet+Electronics+Screwdriver%2C+6-Inch&amp;qid=1694735470&amp;sr=8-1", "https://www.amazon.com/Cabinet-Screwdriver-Klein-Tools-608-6/dp/B001BQ20NC/ref=sr_1_1?keywords=Klein+Tools+614-6+1%2F8-Inch+Cabinet+Electronics+Screwdriver%2C+6-Inch&amp;qid=1694735470&amp;sr=8-1")</f>
        <v/>
      </c>
      <c r="F8668" t="inlineStr">
        <is>
          <t>B001BQ20NC</t>
        </is>
      </c>
      <c r="G8668">
        <f>_xludf.IMAGE("https://edmondsonsupply.com/cdn/shop/products/614-6.jpg?v=1587147731")</f>
        <v/>
      </c>
      <c r="H8668">
        <f>_xludf.IMAGE("https://m.media-amazon.com/images/I/31PYmazYuTL._AC_UL320_.jpg")</f>
        <v/>
      </c>
      <c r="K8668" t="inlineStr">
        <is>
          <t>9.99</t>
        </is>
      </c>
      <c r="L8668" t="n">
        <v>7.6</v>
      </c>
      <c r="M8668" s="1" t="inlineStr">
        <is>
          <t>-23.92%</t>
        </is>
      </c>
      <c r="N8668" s="1" t="n"/>
      <c r="O8668" t="n">
        <v>4.7</v>
      </c>
      <c r="P8668" t="n">
        <v>1356</v>
      </c>
      <c r="R8668" t="inlineStr">
        <is>
          <t>InStock</t>
        </is>
      </c>
      <c r="S8668" t="inlineStr">
        <is>
          <t>15.14</t>
        </is>
      </c>
      <c r="T8668" t="inlineStr">
        <is>
          <t>3688620556388</t>
        </is>
      </c>
    </row>
    <row r="8669" hidden="1" ht="15.75" customHeight="1">
      <c r="A8669" s="2">
        <f>HYPERLINK("https://edmondsonsupply.com/collections/electricians-tools/products/klein-tools-69411-circuit-breaker-finder-accessory-kit", "https://edmondsonsupply.com/collections/electricians-tools/products/klein-tools-69411-circuit-breaker-finder-accessory-kit")</f>
        <v/>
      </c>
      <c r="B8669" s="2">
        <f>HYPERLINK("https://edmondsonsupply.com/products/klein-tools-69411-circuit-breaker-finder-accessory-kit", "https://edmondsonsupply.com/products/klein-tools-69411-circuit-breaker-finder-accessory-kit")</f>
        <v/>
      </c>
      <c r="C8669" t="inlineStr">
        <is>
          <t>Klein Tools 69411 Circuit Breaker Finder Accessory Kit</t>
        </is>
      </c>
      <c r="D8669" t="inlineStr">
        <is>
          <t>Case Compatible with Klein Tools ET310 AC Circuit Breaker Finder, 80041 Outlet Repair Tool Kit &amp; RT250 GFCI Receptacle Tester, Electrical Tools Storage Organizer Holder Bag for Accessories (Box Only)</t>
        </is>
      </c>
      <c r="E8669" s="2">
        <f>HYPERLINK("https://www.amazon.com/Carrying-Organizer-Integrated-Electrical-Accessories/dp/B09K42VH1T/ref=sr_1_25?keywords=Klein+Tools+69411+Circuit+Breaker+Finder+Accessory+Kit&amp;qid=1694735452&amp;sr=8-25", "https://www.amazon.com/Carrying-Organizer-Integrated-Electrical-Accessories/dp/B09K42VH1T/ref=sr_1_25?keywords=Klein+Tools+69411+Circuit+Breaker+Finder+Accessory+Kit&amp;qid=1694735452&amp;sr=8-25")</f>
        <v/>
      </c>
      <c r="F8669" t="inlineStr">
        <is>
          <t>B09K42VH1T</t>
        </is>
      </c>
      <c r="G8669">
        <f>_xludf.IMAGE("https://edmondsonsupply.com/cdn/shop/products/69411.jpg?v=1587143386")</f>
        <v/>
      </c>
      <c r="H8669">
        <f>_xludf.IMAGE("https://m.media-amazon.com/images/I/813DgUEGU6L._AC_UL320_.jpg")</f>
        <v/>
      </c>
      <c r="K8669" t="inlineStr">
        <is>
          <t>19.97</t>
        </is>
      </c>
      <c r="L8669" t="n">
        <v>14.99</v>
      </c>
      <c r="M8669" s="1" t="inlineStr">
        <is>
          <t>-24.94%</t>
        </is>
      </c>
      <c r="N8669" s="1" t="n"/>
      <c r="O8669" t="n">
        <v>4.6</v>
      </c>
      <c r="P8669" t="n">
        <v>309</v>
      </c>
      <c r="R8669" t="inlineStr">
        <is>
          <t>InStock</t>
        </is>
      </c>
      <c r="S8669" t="inlineStr">
        <is>
          <t>27.96</t>
        </is>
      </c>
      <c r="T8669" t="inlineStr">
        <is>
          <t>4166896255076</t>
        </is>
      </c>
    </row>
    <row r="8670" ht="87" customHeight="1">
      <c r="A8670" s="2">
        <f>HYPERLINK("https://edmondsonsupply.com/collections/electricians-tools/products/lighted-torpedo-billet-level-rare-earth-magnet", "https://edmondsonsupply.com/collections/electricians-tools/products/lighted-torpedo-billet-level-rare-earth-magnet")</f>
        <v/>
      </c>
      <c r="B8670" s="2">
        <f>HYPERLINK("https://edmondsonsupply.com/products/lighted-torpedo-billet-level-rare-earth-magnet", "https://edmondsonsupply.com/products/lighted-torpedo-billet-level-rare-earth-magnet")</f>
        <v/>
      </c>
      <c r="C8670" t="inlineStr">
        <is>
          <t>Klein Tools 935RBLT Lighted Torpedo Billet Level, Rare Earth Magnet</t>
        </is>
      </c>
      <c r="D8670" t="inlineStr">
        <is>
          <t>Klein Tools 9319RETT Level, 9-Inch Aluminum Magnetic Torpedo Level with 3 Vials, Tether Ring, V-Grooved Edge, and Rare-Earth Magnets</t>
        </is>
      </c>
      <c r="E8670" s="2">
        <f>HYPERLINK("https://www.amazon.com/Magnetic-Torpedo-Klein-Tools-9319RETT/dp/B01FFTADZW/ref=sr_1_4?keywords=Klein+Tools+935RBLT+Lighted+Torpedo+Billet+Level%2C+Rare+Earth+Magnet&amp;qid=1694735453&amp;sr=8-4", "https://www.amazon.com/Magnetic-Torpedo-Klein-Tools-9319RETT/dp/B01FFTADZW/ref=sr_1_4?keywords=Klein+Tools+935RBLT+Lighted+Torpedo+Billet+Level%2C+Rare+Earth+Magnet&amp;qid=1694735453&amp;sr=8-4")</f>
        <v/>
      </c>
      <c r="F8670" t="inlineStr">
        <is>
          <t>B01FFTADZW</t>
        </is>
      </c>
      <c r="G8670">
        <f>_xlfn.IMAGE("https://edmondsonsupply.com/cdn/shop/products/935rblt.jpg?v=1666106165")</f>
        <v/>
      </c>
      <c r="H8670">
        <f>_xlfn.IMAGE("https://m.media-amazon.com/images/I/51koTKccewL._AC_UL320_.jpg")</f>
        <v/>
      </c>
      <c r="K8670" t="inlineStr">
        <is>
          <t>39.97</t>
        </is>
      </c>
      <c r="L8670" t="n">
        <v>29.99</v>
      </c>
      <c r="M8670" s="1" t="inlineStr">
        <is>
          <t>-24.97%</t>
        </is>
      </c>
      <c r="N8670" s="7" t="n"/>
      <c r="O8670" t="n">
        <v>4.4</v>
      </c>
      <c r="P8670" t="n">
        <v>66</v>
      </c>
      <c r="R8670" t="inlineStr">
        <is>
          <t>InStock</t>
        </is>
      </c>
      <c r="S8670" t="inlineStr">
        <is>
          <t>59.86</t>
        </is>
      </c>
      <c r="T8670" t="inlineStr">
        <is>
          <t>1436433055844</t>
        </is>
      </c>
    </row>
    <row r="8671" ht="87" customHeight="1">
      <c r="A8671" s="2">
        <f>HYPERLINK("https://edmondsonsupply.com/collections/electricians-tools/products/klein-tools-j2000-9necrtp-9-side-cutting-pliers", "https://edmondsonsupply.com/collections/electricians-tools/products/klein-tools-j2000-9necrtp-9-side-cutting-pliers")</f>
        <v/>
      </c>
      <c r="B8671" s="2">
        <f>HYPERLINK("https://edmondsonsupply.com/products/klein-tools-j2000-9necrtp-9-side-cutting-pliers", "https://edmondsonsupply.com/products/klein-tools-j2000-9necrtp-9-side-cutting-pliers")</f>
        <v/>
      </c>
      <c r="C8671" t="inlineStr">
        <is>
          <t>Klein Tools J2000-9NECRTP Lineman's Pliers, Fish Tape Pull/Crimping, 9-Inch</t>
        </is>
      </c>
      <c r="D8671" t="inlineStr">
        <is>
          <t>Klein Tools D2000-9NETP Lineman's Fish Tape Pulling Pliers, High Leverage Design with Handle Termpering for comfort when Cutting, 9-Inch</t>
        </is>
      </c>
      <c r="E8671" s="2">
        <f>HYPERLINK("https://www.amazon.com/Klein-Tools-D2000-9NETP-Linemans-Pulling/dp/B0002RI9G8/ref=sr_1_4?keywords=Klein+Tools+J2000-9NECRTP+Lineman%27s+Pliers%2C+Fish+Tape+Pull%2FCrimping%2C+9-Inch&amp;qid=1694735465&amp;sr=8-4", "https://www.amazon.com/Klein-Tools-D2000-9NETP-Linemans-Pulling/dp/B0002RI9G8/ref=sr_1_4?keywords=Klein+Tools+J2000-9NECRTP+Lineman%27s+Pliers%2C+Fish+Tape+Pull%2FCrimping%2C+9-Inch&amp;qid=1694735465&amp;sr=8-4")</f>
        <v/>
      </c>
      <c r="F8671" t="inlineStr">
        <is>
          <t>B0002RI9G8</t>
        </is>
      </c>
      <c r="G8671">
        <f>_xlfn.IMAGE("https://edmondsonsupply.com/cdn/shop/products/j20009necrtp.jpg?v=1587150652")</f>
        <v/>
      </c>
      <c r="H8671">
        <f>_xlfn.IMAGE("https://m.media-amazon.com/images/I/41kGFR8FwvL._AC_UL320_.jpg")</f>
        <v/>
      </c>
      <c r="K8671" t="inlineStr">
        <is>
          <t>59.99</t>
        </is>
      </c>
      <c r="L8671" t="n">
        <v>44.99</v>
      </c>
      <c r="M8671" s="1" t="inlineStr">
        <is>
          <t>-25.00%</t>
        </is>
      </c>
      <c r="N8671" s="7" t="n"/>
      <c r="O8671" t="n">
        <v>4.8</v>
      </c>
      <c r="P8671" t="n">
        <v>1733</v>
      </c>
      <c r="R8671" t="inlineStr">
        <is>
          <t>InStock</t>
        </is>
      </c>
      <c r="S8671" t="inlineStr">
        <is>
          <t>90.92</t>
        </is>
      </c>
      <c r="T8671" t="inlineStr">
        <is>
          <t>3698732105828</t>
        </is>
      </c>
    </row>
    <row r="8672" hidden="1" ht="15.75" customHeight="1">
      <c r="A8672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672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672" t="inlineStr">
        <is>
          <t>Klein Tools 630-9/16 9/16-Inch Hollow Shaft Nut Driver 4-Inch Shaft</t>
        </is>
      </c>
      <c r="D8672" t="inlineStr">
        <is>
          <t>Klein Tools 630-3/16M 3/16-Inch Magnetic Tip Nut Driver with 3-Inch Hollow Shaft and Cushion Grip Handle</t>
        </is>
      </c>
      <c r="E8672" s="2">
        <f>HYPERLINK("https://www.amazon.com/Magnetic-Klein-Tools-630-3-16M/dp/B000MKG0EI/ref=sr_1_9?keywords=Klein+Tools+630-9%2F16+9%2F16-Inch+Hollow+Shaft+Nut+Driver+4-Inch+Shaft&amp;qid=1694735442&amp;sr=8-9", "https://www.amazon.com/Magnetic-Klein-Tools-630-3-16M/dp/B000MKG0EI/ref=sr_1_9?keywords=Klein+Tools+630-9%2F16+9%2F16-Inch+Hollow+Shaft+Nut+Driver+4-Inch+Shaft&amp;qid=1694735442&amp;sr=8-9")</f>
        <v/>
      </c>
      <c r="F8672" t="inlineStr">
        <is>
          <t>B000MKG0EI</t>
        </is>
      </c>
      <c r="G8672">
        <f>_xludf.IMAGE("https://edmondsonsupply.com/cdn/shop/products/630-1-2_f4e6e615-6377-4eae-87c2-03b0329a1140.jpg?v=1587145137")</f>
        <v/>
      </c>
      <c r="H8672">
        <f>_xludf.IMAGE("https://m.media-amazon.com/images/I/51ajdV72VvL._AC_UL320_.jpg")</f>
        <v/>
      </c>
      <c r="K8672" t="inlineStr">
        <is>
          <t>11.99</t>
        </is>
      </c>
      <c r="L8672" t="n">
        <v>8.99</v>
      </c>
      <c r="M8672" s="1" t="inlineStr">
        <is>
          <t>-25.02%</t>
        </is>
      </c>
      <c r="N8672" s="1" t="n"/>
      <c r="O8672" t="n">
        <v>4.7</v>
      </c>
      <c r="P8672" t="n">
        <v>1571</v>
      </c>
      <c r="R8672" t="inlineStr">
        <is>
          <t>InStock</t>
        </is>
      </c>
      <c r="S8672" t="inlineStr">
        <is>
          <t>18.14</t>
        </is>
      </c>
      <c r="T8672" t="inlineStr">
        <is>
          <t>4259221897316</t>
        </is>
      </c>
    </row>
    <row r="8673" ht="87" customHeight="1">
      <c r="A8673" s="2">
        <f>HYPERLINK("https://edmondsonsupply.com/collections/electricians-tools/products/klein-tools-j1005-journeyman%E2%84%A2-crimping-cutting-tool", "https://edmondsonsupply.com/collections/electricians-tools/products/klein-tools-j1005-journeyman%E2%84%A2-crimping-cutting-tool")</f>
        <v/>
      </c>
      <c r="B8673" s="2">
        <f>HYPERLINK("https://edmondsonsupply.com/products/klein-tools-j1005-journeyman%e2%84%a2-crimping-cutting-tool", "https://edmondsonsupply.com/products/klein-tools-j1005-journeyman%e2%84%a2-crimping-cutting-tool")</f>
        <v/>
      </c>
      <c r="C8673" t="inlineStr">
        <is>
          <t>Klein Tools J1005 Journeyman™ Crimping and Cutting Tool</t>
        </is>
      </c>
      <c r="D8673" t="inlineStr">
        <is>
          <t>Klein Tools 1005 Cutting / Crimping Tool for 10-22 AWG Terminals and Connectors, Terminal Crimper for Insulated and Non-Insulated Terminals</t>
        </is>
      </c>
      <c r="E8673" s="2">
        <f>HYPERLINK("https://www.amazon.com/Klein-Tools-1005-Connectors-Non-Insulated/dp/B0006M6Y5M/ref=sr_1_3?keywords=Klein+Tools+J1005+Journeyman%E2%84%A2+Crimping+and+Cutting+Tool&amp;qid=1694735460&amp;sr=8-3", "https://www.amazon.com/Klein-Tools-1005-Connectors-Non-Insulated/dp/B0006M6Y5M/ref=sr_1_3?keywords=Klein+Tools+J1005+Journeyman%E2%84%A2+Crimping+and+Cutting+Tool&amp;qid=1694735460&amp;sr=8-3")</f>
        <v/>
      </c>
      <c r="F8673" t="inlineStr">
        <is>
          <t>B0006M6Y5M</t>
        </is>
      </c>
      <c r="G8673">
        <f>_xlfn.IMAGE("https://edmondsonsupply.com/cdn/shop/products/j1005.jpg?v=1587146396")</f>
        <v/>
      </c>
      <c r="H8673">
        <f>_xlfn.IMAGE("https://m.media-amazon.com/images/I/41JVR3OpiRL._AC_UL320_.jpg")</f>
        <v/>
      </c>
      <c r="K8673" t="inlineStr">
        <is>
          <t>39.99</t>
        </is>
      </c>
      <c r="L8673" t="n">
        <v>29.97</v>
      </c>
      <c r="M8673" s="1" t="inlineStr">
        <is>
          <t>-25.06%</t>
        </is>
      </c>
      <c r="N8673" s="7" t="n"/>
      <c r="O8673" t="n">
        <v>4.9</v>
      </c>
      <c r="P8673" t="n">
        <v>3897</v>
      </c>
      <c r="R8673" t="inlineStr">
        <is>
          <t>InStock</t>
        </is>
      </c>
      <c r="S8673" t="inlineStr">
        <is>
          <t>60.4</t>
        </is>
      </c>
      <c r="T8673" t="inlineStr">
        <is>
          <t>3711960678500</t>
        </is>
      </c>
    </row>
    <row r="8674" hidden="1" ht="15.75" customHeight="1">
      <c r="A8674" s="2">
        <f>HYPERLINK("https://edmondsonsupply.com/collections/electricians-tools/products/klein-tools-630-9-16-9-16-inch-hollow-shaft-nut-driver-4-inch-shaft", "https://edmondsonsupply.com/collections/electricians-tools/products/klein-tools-630-9-16-9-16-inch-hollow-shaft-nut-driver-4-inch-shaft")</f>
        <v/>
      </c>
      <c r="B8674" s="2">
        <f>HYPERLINK("https://edmondsonsupply.com/products/klein-tools-630-9-16-9-16-inch-hollow-shaft-nut-driver-4-inch-shaft", "https://edmondsonsupply.com/products/klein-tools-630-9-16-9-16-inch-hollow-shaft-nut-driver-4-inch-shaft")</f>
        <v/>
      </c>
      <c r="C8674" t="inlineStr">
        <is>
          <t>Klein Tools 630-9/16 9/16-Inch Hollow Shaft Nut Driver 4-Inch Shaft</t>
        </is>
      </c>
      <c r="D8674" t="inlineStr">
        <is>
          <t>Jonard Tools ND-630916 9/16" Hollow Nut Driver, 3" Shaft</t>
        </is>
      </c>
      <c r="E8674" s="2">
        <f>HYPERLINK("https://www.amazon.com/Jonard-Tools-ND-630916-Hollow-Driver/dp/B0BVSSM19W/ref=sr_1_7?keywords=Klein+Tools+630-9%2F16+9%2F16-Inch+Hollow+Shaft+Nut+Driver+4-Inch+Shaft&amp;qid=1694735442&amp;sr=8-7", "https://www.amazon.com/Jonard-Tools-ND-630916-Hollow-Driver/dp/B0BVSSM19W/ref=sr_1_7?keywords=Klein+Tools+630-9%2F16+9%2F16-Inch+Hollow+Shaft+Nut+Driver+4-Inch+Shaft&amp;qid=1694735442&amp;sr=8-7")</f>
        <v/>
      </c>
      <c r="F8674" t="inlineStr">
        <is>
          <t>B0BVSSM19W</t>
        </is>
      </c>
      <c r="G8674">
        <f>_xludf.IMAGE("https://edmondsonsupply.com/cdn/shop/products/630-1-2_f4e6e615-6377-4eae-87c2-03b0329a1140.jpg?v=1587145137")</f>
        <v/>
      </c>
      <c r="H8674">
        <f>_xludf.IMAGE("https://m.media-amazon.com/images/I/61h6yyUbXuL._AC_UL320_.jpg")</f>
        <v/>
      </c>
      <c r="K8674" t="inlineStr">
        <is>
          <t>11.99</t>
        </is>
      </c>
      <c r="L8674" t="n">
        <v>8.94</v>
      </c>
      <c r="M8674" s="1" t="inlineStr">
        <is>
          <t>-25.44%</t>
        </is>
      </c>
      <c r="N8674" s="1" t="n"/>
      <c r="O8674" t="n">
        <v>4</v>
      </c>
      <c r="P8674" t="n">
        <v>3</v>
      </c>
      <c r="R8674" t="inlineStr">
        <is>
          <t>InStock</t>
        </is>
      </c>
      <c r="S8674" t="inlineStr">
        <is>
          <t>18.14</t>
        </is>
      </c>
      <c r="T8674" t="inlineStr">
        <is>
          <t>4259221897316</t>
        </is>
      </c>
    </row>
    <row r="8675" hidden="1" ht="15.75" customHeight="1">
      <c r="A8675" s="2">
        <f>HYPERLINK("https://edmondsonsupply.com/collections/electricians-tools/products/klein-tools-jth6e08be-1-8-inch-ball-hex-key-journeyman-t-handle-6-inch", "https://edmondsonsupply.com/collections/electricians-tools/products/klein-tools-jth6e08be-1-8-inch-ball-hex-key-journeyman-t-handle-6-inch")</f>
        <v/>
      </c>
      <c r="B8675" s="2">
        <f>HYPERLINK("https://edmondsonsupply.com/products/klein-tools-jth6e08be-1-8-inch-ball-hex-key-journeyman-t-handle-6-inch", "https://edmondsonsupply.com/products/klein-tools-jth6e08be-1-8-inch-ball-hex-key-journeyman-t-handle-6-inch")</f>
        <v/>
      </c>
      <c r="C8675" t="inlineStr">
        <is>
          <t>Klein Tools JTH6E08BE 1/8-Inch Ball Hex Key, Journeyman T-Handle, 6-Inch</t>
        </is>
      </c>
      <c r="D8675" t="inlineStr">
        <is>
          <t>Klein Tools JTH6E08 1/8-Inch Hex Key with Journeyman T-Handle, 6-Inch</t>
        </is>
      </c>
      <c r="E8675" s="2">
        <f>HYPERLINK("https://www.amazon.com/Klein-Tools-JTH6E08-Journeyman-T-Handle/dp/B004N5XP1O/ref=sr_1_2?keywords=Klein+Tools+JTH6E08BE+1%2F8-Inch+Ball+Hex+Key%2C+Journeyman+T-Handle%2C+6-Inch&amp;qid=1694735452&amp;sr=8-2", "https://www.amazon.com/Klein-Tools-JTH6E08-Journeyman-T-Handle/dp/B004N5XP1O/ref=sr_1_2?keywords=Klein+Tools+JTH6E08BE+1%2F8-Inch+Ball+Hex+Key%2C+Journeyman+T-Handle%2C+6-Inch&amp;qid=1694735452&amp;sr=8-2")</f>
        <v/>
      </c>
      <c r="F8675" t="inlineStr">
        <is>
          <t>B004N5XP1O</t>
        </is>
      </c>
      <c r="G8675">
        <f>_xludf.IMAGE("https://edmondsonsupply.com/cdn/shop/products/jth6e13be.jpg?v=1587150101")</f>
        <v/>
      </c>
      <c r="H8675">
        <f>_xludf.IMAGE("https://m.media-amazon.com/images/I/51Yb8h41vLL._AC_UL320_.jpg")</f>
        <v/>
      </c>
      <c r="K8675" t="inlineStr">
        <is>
          <t>4.99</t>
        </is>
      </c>
      <c r="L8675" t="n">
        <v>3.72</v>
      </c>
      <c r="M8675" s="1" t="inlineStr">
        <is>
          <t>-25.45%</t>
        </is>
      </c>
      <c r="N8675" s="1" t="n"/>
      <c r="O8675" t="n">
        <v>4.8</v>
      </c>
      <c r="P8675" t="n">
        <v>2477</v>
      </c>
      <c r="R8675" t="inlineStr">
        <is>
          <t>InStock</t>
        </is>
      </c>
      <c r="S8675" t="inlineStr">
        <is>
          <t>7.54</t>
        </is>
      </c>
      <c r="T8675" t="inlineStr">
        <is>
          <t>4174483193956</t>
        </is>
      </c>
    </row>
    <row r="8676" hidden="1" ht="15.75" customHeight="1">
      <c r="A8676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676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676" t="inlineStr">
        <is>
          <t>Klein Tools JTH9E15 3/8-Inch Hex Key, Journeyman T-Handle, 9-Inch</t>
        </is>
      </c>
      <c r="D8676" t="inlineStr">
        <is>
          <t>Klein Tools JTH9E14 5/16-Inch Hex Key, Journeyman T-Handle, 9-Inch</t>
        </is>
      </c>
      <c r="E8676" s="2">
        <f>HYPERLINK("https://www.amazon.com/Journeyman-T-Handle-Klein-Tools-JTH9E14/dp/B004QVAH4I/ref=sr_1_6?keywords=Klein+Tools+JTH9E15+3%2F8-Inch+Hex+Key%2C+Journeyman+T-Handle%2C+9-Inch&amp;qid=1694735471&amp;sr=8-6", "https://www.amazon.com/Journeyman-T-Handle-Klein-Tools-JTH9E14/dp/B004QVAH4I/ref=sr_1_6?keywords=Klein+Tools+JTH9E15+3%2F8-Inch+Hex+Key%2C+Journeyman+T-Handle%2C+9-Inch&amp;qid=1694735471&amp;sr=8-6")</f>
        <v/>
      </c>
      <c r="F8676" t="inlineStr">
        <is>
          <t>B004QVAH4I</t>
        </is>
      </c>
      <c r="G8676">
        <f>_xludf.IMAGE("https://edmondsonsupply.com/cdn/shop/products/jth9e12.jpg?v=1587144816")</f>
        <v/>
      </c>
      <c r="H8676">
        <f>_xludf.IMAGE("https://m.media-amazon.com/images/I/51Yb8h41vLL._AC_UL320_.jpg")</f>
        <v/>
      </c>
      <c r="K8676" t="inlineStr">
        <is>
          <t>9.99</t>
        </is>
      </c>
      <c r="L8676" t="n">
        <v>7.44</v>
      </c>
      <c r="M8676" s="1" t="inlineStr">
        <is>
          <t>-25.53%</t>
        </is>
      </c>
      <c r="N8676" s="1" t="n"/>
      <c r="O8676" t="n">
        <v>4.8</v>
      </c>
      <c r="P8676" t="n">
        <v>114</v>
      </c>
      <c r="R8676" t="inlineStr">
        <is>
          <t>InStock</t>
        </is>
      </c>
      <c r="S8676" t="inlineStr">
        <is>
          <t>15.22</t>
        </is>
      </c>
      <c r="T8676" t="inlineStr">
        <is>
          <t>3695779151972</t>
        </is>
      </c>
    </row>
    <row r="8677" ht="87" customHeight="1">
      <c r="A8677" s="2">
        <f>HYPERLINK("https://edmondsonsupply.com/collections/electricians-tools/products/klein-tools-d86934-slim-jaw-adjustable-wrench-6-inch", "https://edmondsonsupply.com/collections/electricians-tools/products/klein-tools-d86934-slim-jaw-adjustable-wrench-6-inch")</f>
        <v/>
      </c>
      <c r="B8677" s="2">
        <f>HYPERLINK("https://edmondsonsupply.com/products/klein-tools-d86934-slim-jaw-adjustable-wrench-6-inch", "https://edmondsonsupply.com/products/klein-tools-d86934-slim-jaw-adjustable-wrench-6-inch")</f>
        <v/>
      </c>
      <c r="C8677" t="inlineStr">
        <is>
          <t>Klein Tools D86934 Slim-Jaw Adjustable Wrench, 6-Inch</t>
        </is>
      </c>
      <c r="D8677" t="inlineStr">
        <is>
          <t>Klein Tools D507-6 Adjustable Wrench, Extra Capacity Jaw Forged Drive Wrench with High Polish Chrome Finish, 6-1/2-Inch</t>
        </is>
      </c>
      <c r="E8677" s="2">
        <f>HYPERLINK("https://www.amazon.com/Adjustable-Capacity-Klein-Tools-D507-6/dp/B001BPWU5Q/ref=sr_1_3?keywords=Klein+Tools+D86934+Slim-Jaw+Adjustable+Wrench%2C+6-Inch&amp;qid=1694735464&amp;sr=8-3", "https://www.amazon.com/Adjustable-Capacity-Klein-Tools-D507-6/dp/B001BPWU5Q/ref=sr_1_3?keywords=Klein+Tools+D86934+Slim-Jaw+Adjustable+Wrench%2C+6-Inch&amp;qid=1694735464&amp;sr=8-3")</f>
        <v/>
      </c>
      <c r="F8677" t="inlineStr">
        <is>
          <t>B001BPWU5Q</t>
        </is>
      </c>
      <c r="G8677">
        <f>_xlfn.IMAGE("https://edmondsonsupply.com/cdn/shop/products/d86934.jpg?v=1587142923")</f>
        <v/>
      </c>
      <c r="H8677">
        <f>_xlfn.IMAGE("https://m.media-amazon.com/images/I/41aY7Wfw24L._AC_UL320_.jpg")</f>
        <v/>
      </c>
      <c r="K8677" t="inlineStr">
        <is>
          <t>34.99</t>
        </is>
      </c>
      <c r="L8677" t="n">
        <v>25.99</v>
      </c>
      <c r="M8677" s="1" t="inlineStr">
        <is>
          <t>-25.72%</t>
        </is>
      </c>
      <c r="N8677" s="7" t="n"/>
      <c r="O8677" t="n">
        <v>4.8</v>
      </c>
      <c r="P8677" t="n">
        <v>383</v>
      </c>
      <c r="R8677" t="inlineStr">
        <is>
          <t>InStock</t>
        </is>
      </c>
      <c r="S8677" t="inlineStr">
        <is>
          <t>48.8</t>
        </is>
      </c>
      <c r="T8677" t="inlineStr">
        <is>
          <t>3706925744228</t>
        </is>
      </c>
    </row>
    <row r="8678" ht="87" customHeight="1">
      <c r="A8678" s="2">
        <f>HYPERLINK("https://edmondsonsupply.com/collections/electricians-tools/products/klein-tools-d86934-slim-jaw-adjustable-wrench-6-inch", "https://edmondsonsupply.com/collections/electricians-tools/products/klein-tools-d86934-slim-jaw-adjustable-wrench-6-inch")</f>
        <v/>
      </c>
      <c r="B8678" s="2">
        <f>HYPERLINK("https://edmondsonsupply.com/products/klein-tools-d86934-slim-jaw-adjustable-wrench-6-inch", "https://edmondsonsupply.com/products/klein-tools-d86934-slim-jaw-adjustable-wrench-6-inch")</f>
        <v/>
      </c>
      <c r="C8678" t="inlineStr">
        <is>
          <t>Klein Tools D86934 Slim-Jaw Adjustable Wrench, 6-Inch</t>
        </is>
      </c>
      <c r="D8678" t="inlineStr">
        <is>
          <t>Klein Tools 507-6 Adjustable Wrench, Extra Capacity Jaw Forged Drive Wrench with High Polish Chrome Finish, 6-Inch</t>
        </is>
      </c>
      <c r="E8678" s="2">
        <f>HYPERLINK("https://www.amazon.com/Extra-Capacity-Adjustable-Klein-Tools-507-6/dp/B00093DZ46/ref=sr_1_5?keywords=Klein+Tools+D86934+Slim-Jaw+Adjustable+Wrench%2C+6-Inch&amp;qid=1694735464&amp;sr=8-5", "https://www.amazon.com/Extra-Capacity-Adjustable-Klein-Tools-507-6/dp/B00093DZ46/ref=sr_1_5?keywords=Klein+Tools+D86934+Slim-Jaw+Adjustable+Wrench%2C+6-Inch&amp;qid=1694735464&amp;sr=8-5")</f>
        <v/>
      </c>
      <c r="F8678" t="inlineStr">
        <is>
          <t>B00093DZ46</t>
        </is>
      </c>
      <c r="G8678">
        <f>_xlfn.IMAGE("https://edmondsonsupply.com/cdn/shop/products/d86934.jpg?v=1587142923")</f>
        <v/>
      </c>
      <c r="H8678">
        <f>_xlfn.IMAGE("https://m.media-amazon.com/images/I/51xYjpasBkL._AC_UL320_.jpg")</f>
        <v/>
      </c>
      <c r="K8678" t="inlineStr">
        <is>
          <t>34.99</t>
        </is>
      </c>
      <c r="L8678" t="n">
        <v>25.99</v>
      </c>
      <c r="M8678" s="1" t="inlineStr">
        <is>
          <t>-25.72%</t>
        </is>
      </c>
      <c r="N8678" s="7" t="n"/>
      <c r="O8678" t="n">
        <v>4.5</v>
      </c>
      <c r="P8678" t="n">
        <v>19</v>
      </c>
      <c r="R8678" t="inlineStr">
        <is>
          <t>InStock</t>
        </is>
      </c>
      <c r="S8678" t="inlineStr">
        <is>
          <t>48.8</t>
        </is>
      </c>
      <c r="T8678" t="inlineStr">
        <is>
          <t>3706925744228</t>
        </is>
      </c>
    </row>
    <row r="8679" ht="87" customHeight="1">
      <c r="A8679" s="2">
        <f>HYPERLINK("https://edmondsonsupply.com/collections/electricians-tools/products/klein-tools-935rb-torpedo-billet-level-rare-earth-magnet", "https://edmondsonsupply.com/collections/electricians-tools/products/klein-tools-935rb-torpedo-billet-level-rare-earth-magnet")</f>
        <v/>
      </c>
      <c r="B8679" s="2">
        <f>HYPERLINK("https://edmondsonsupply.com/products/klein-tools-935rb-torpedo-billet-level-rare-earth-magnet", "https://edmondsonsupply.com/products/klein-tools-935rb-torpedo-billet-level-rare-earth-magnet")</f>
        <v/>
      </c>
      <c r="C8679" t="inlineStr">
        <is>
          <t>Klein Tools 935RB Torpedo Billet Level, Rare Earth Magnet</t>
        </is>
      </c>
      <c r="D8679" t="inlineStr">
        <is>
          <t>Klein Tools 935R Aluminum Torpedo Level, Rare-Earth Magnet, 9-Inch, Hi-Viz, V-Groove, 3 Vials, Top-View Vial, One Size, Factory</t>
        </is>
      </c>
      <c r="E8679" s="2">
        <f>HYPERLINK("https://www.amazon.com/Magnetic-Aluminum-Klein-Tools-935R/dp/B01M7SWA5B/ref=sr_1_2?keywords=Klein+Tools+935RB+Torpedo+Billet+Level%2C+Rare+Earth+Magnet&amp;qid=1694735468&amp;sr=8-2", "https://www.amazon.com/Magnetic-Aluminum-Klein-Tools-935R/dp/B01M7SWA5B/ref=sr_1_2?keywords=Klein+Tools+935RB+Torpedo+Billet+Level%2C+Rare+Earth+Magnet&amp;qid=1694735468&amp;sr=8-2")</f>
        <v/>
      </c>
      <c r="F8679" t="inlineStr">
        <is>
          <t>B01M7SWA5B</t>
        </is>
      </c>
      <c r="G8679">
        <f>_xlfn.IMAGE("https://edmondsonsupply.com/cdn/shop/products/935rb_b.jpg?v=1657759846")</f>
        <v/>
      </c>
      <c r="H8679">
        <f>_xlfn.IMAGE("https://m.media-amazon.com/images/I/51BvZgLyLHL._AC_UL320_.jpg")</f>
        <v/>
      </c>
      <c r="K8679" t="inlineStr">
        <is>
          <t>29.97</t>
        </is>
      </c>
      <c r="L8679" t="n">
        <v>21.99</v>
      </c>
      <c r="M8679" s="1" t="inlineStr">
        <is>
          <t>-26.63%</t>
        </is>
      </c>
      <c r="N8679" s="7" t="n"/>
      <c r="O8679" t="n">
        <v>4.5</v>
      </c>
      <c r="P8679" t="n">
        <v>762</v>
      </c>
      <c r="R8679" t="inlineStr">
        <is>
          <t>OutOfStock</t>
        </is>
      </c>
      <c r="S8679" t="inlineStr">
        <is>
          <t>39.96</t>
        </is>
      </c>
      <c r="T8679" t="inlineStr">
        <is>
          <t>3690013196388</t>
        </is>
      </c>
    </row>
    <row r="8680" ht="87" customHeight="1">
      <c r="A8680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680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680" t="inlineStr">
        <is>
          <t>Klein Tools 11063W Katapult® Wire Stripper and Cutter for Solid and Stranded Wire</t>
        </is>
      </c>
      <c r="D8680" t="inlineStr">
        <is>
          <t>Klein Tools 11061 Wire Stripper / Wire Cutter for Solid and Stranded AWG Wire, Heavy Duty Kleins are Self Adjusting,Blue/Black</t>
        </is>
      </c>
      <c r="E8680" s="2">
        <f>HYPERLINK("https://www.amazon.com/Self-Adjusting-Stripper-Klein-Tools-11061/dp/B00CXKOEQ6/ref=sr_1_5?keywords=Klein+Tools+11063W+Katapult%C2%AE+Wire+Stripper+and+Cutter+for+Solid+and+Stranded+Wire&amp;qid=1694735440&amp;sr=8-5", "https://www.amazon.com/Self-Adjusting-Stripper-Klein-Tools-11061/dp/B00CXKOEQ6/ref=sr_1_5?keywords=Klein+Tools+11063W+Katapult%C2%AE+Wire+Stripper+and+Cutter+for+Solid+and+Stranded+Wire&amp;qid=1694735440&amp;sr=8-5")</f>
        <v/>
      </c>
      <c r="F8680" t="inlineStr">
        <is>
          <t>B00CXKOEQ6</t>
        </is>
      </c>
      <c r="G8680">
        <f>_xlfn.IMAGE("https://edmondsonsupply.com/cdn/shop/products/11063w.jpg?v=1587151004")</f>
        <v/>
      </c>
      <c r="H8680">
        <f>_xlfn.IMAGE("https://m.media-amazon.com/images/I/61nMz2jkNIL._AC_UL320_.jpg")</f>
        <v/>
      </c>
      <c r="K8680" t="inlineStr">
        <is>
          <t>29.97</t>
        </is>
      </c>
      <c r="L8680" t="n">
        <v>21.97</v>
      </c>
      <c r="M8680" s="1" t="inlineStr">
        <is>
          <t>-26.69%</t>
        </is>
      </c>
      <c r="N8680" s="7" t="n"/>
      <c r="O8680" t="n">
        <v>4.6</v>
      </c>
      <c r="P8680" t="n">
        <v>7723</v>
      </c>
      <c r="R8680" t="inlineStr">
        <is>
          <t>InStock</t>
        </is>
      </c>
      <c r="S8680" t="inlineStr">
        <is>
          <t>44.7</t>
        </is>
      </c>
      <c r="T8680" t="inlineStr">
        <is>
          <t>4334180827236</t>
        </is>
      </c>
    </row>
    <row r="8681" ht="87" customHeight="1">
      <c r="A8681" s="2">
        <f>HYPERLINK("https://edmondsonsupply.com/collections/electricians-tools/products/klein-32807mag", "https://edmondsonsupply.com/collections/electricians-tools/products/klein-32807mag")</f>
        <v/>
      </c>
      <c r="B8681" s="2">
        <f>HYPERLINK("https://edmondsonsupply.com/products/klein-32807mag", "https://edmondsonsupply.com/products/klein-32807mag")</f>
        <v/>
      </c>
      <c r="C8681" t="inlineStr">
        <is>
          <t>Klein Tools 32807MAG 7-in-1 Multi-Bit Screwdriver / Nut Driver, Magnetic</t>
        </is>
      </c>
      <c r="D8681" t="inlineStr">
        <is>
          <t>Klein Tools 32305 Multi-bit Ratcheting Screwdriver, 15-in-1 Tool with Phillips, Slotted, Square, Torx and Combo Bits and 1/4-Inch Nut Driver</t>
        </is>
      </c>
      <c r="E8681" s="2">
        <f>HYPERLINK("https://www.amazon.com/Klein-Tools-32305-Ratcheting-Screwdriver/dp/B08KFMHQCP/ref=sr_1_27?keywords=Klein+Tools+32807MAG+7-in-1+Multi-Bit+Screwdriver+%2F+Nut+Driver%2C+Magnetic&amp;qid=1694735441&amp;sr=8-27", "https://www.amazon.com/Klein-Tools-32305-Ratcheting-Screwdriver/dp/B08KFMHQCP/ref=sr_1_27?keywords=Klein+Tools+32807MAG+7-in-1+Multi-Bit+Screwdriver+%2F+Nut+Driver%2C+Magnetic&amp;qid=1694735441&amp;sr=8-27")</f>
        <v/>
      </c>
      <c r="F8681" t="inlineStr">
        <is>
          <t>B08KFMHQCP</t>
        </is>
      </c>
      <c r="G8681">
        <f>_xlfn.IMAGE("https://edmondsonsupply.com/cdn/shop/products/32807mag_beauty_l.jpg?v=1604873791")</f>
        <v/>
      </c>
      <c r="H8681">
        <f>_xlfn.IMAGE("https://m.media-amazon.com/images/I/51jA6YSPgmL._AC_UL320_.jpg")</f>
        <v/>
      </c>
      <c r="K8681" t="inlineStr">
        <is>
          <t>29.97</t>
        </is>
      </c>
      <c r="L8681" t="n">
        <v>21.97</v>
      </c>
      <c r="M8681" s="1" t="inlineStr">
        <is>
          <t>-26.69%</t>
        </is>
      </c>
      <c r="N8681" s="7" t="n"/>
      <c r="O8681" t="n">
        <v>4.7</v>
      </c>
      <c r="P8681" t="n">
        <v>6042</v>
      </c>
      <c r="R8681" t="inlineStr">
        <is>
          <t>InStock</t>
        </is>
      </c>
      <c r="S8681" t="inlineStr">
        <is>
          <t>44.5</t>
        </is>
      </c>
      <c r="T8681" t="inlineStr">
        <is>
          <t>1493034008676</t>
        </is>
      </c>
    </row>
    <row r="8682" ht="87" customHeight="1">
      <c r="A8682" s="2">
        <f>HYPERLINK("https://edmondsonsupply.com/collections/electricians-tools/products/klein-32807mag", "https://edmondsonsupply.com/collections/electricians-tools/products/klein-32807mag")</f>
        <v/>
      </c>
      <c r="B8682" s="2">
        <f>HYPERLINK("https://edmondsonsupply.com/products/klein-32807mag", "https://edmondsonsupply.com/products/klein-32807mag")</f>
        <v/>
      </c>
      <c r="C8682" t="inlineStr">
        <is>
          <t>Klein Tools 32807MAG 7-in-1 Multi-Bit Screwdriver / Nut Driver, Magnetic</t>
        </is>
      </c>
      <c r="D8682" t="inlineStr">
        <is>
          <t>Klein Tools 32500HD Multi-Bit Screwdriver / Nut Driver, Impact Rated 11-in-1 Tool with Phillips, Slotted, Square and Torx Tips</t>
        </is>
      </c>
      <c r="E8682" s="2">
        <f>HYPERLINK("https://www.amazon.com/Klein-Tools-32500HD-Multi-Bit-Screwdriver/dp/B0C9V6NYZ4/ref=sr_1_10?keywords=Klein+Tools+32807MAG+7-in-1+Multi-Bit+Screwdriver+%2F+Nut+Driver%2C+Magnetic&amp;qid=1694735441&amp;sr=8-10", "https://www.amazon.com/Klein-Tools-32500HD-Multi-Bit-Screwdriver/dp/B0C9V6NYZ4/ref=sr_1_10?keywords=Klein+Tools+32807MAG+7-in-1+Multi-Bit+Screwdriver+%2F+Nut+Driver%2C+Magnetic&amp;qid=1694735441&amp;sr=8-10")</f>
        <v/>
      </c>
      <c r="F8682" t="inlineStr">
        <is>
          <t>B0C9V6NYZ4</t>
        </is>
      </c>
      <c r="G8682">
        <f>_xlfn.IMAGE("https://edmondsonsupply.com/cdn/shop/products/32807mag_beauty_l.jpg?v=1604873791")</f>
        <v/>
      </c>
      <c r="H8682">
        <f>_xlfn.IMAGE("https://m.media-amazon.com/images/I/41OcyKmA3fL._AC_UL320_.jpg")</f>
        <v/>
      </c>
      <c r="K8682" t="inlineStr">
        <is>
          <t>29.97</t>
        </is>
      </c>
      <c r="L8682" t="n">
        <v>21.97</v>
      </c>
      <c r="M8682" s="1" t="inlineStr">
        <is>
          <t>-26.69%</t>
        </is>
      </c>
      <c r="N8682" s="7" t="n"/>
      <c r="O8682" t="n">
        <v>4.6</v>
      </c>
      <c r="P8682" t="n">
        <v>41</v>
      </c>
      <c r="R8682" t="inlineStr">
        <is>
          <t>InStock</t>
        </is>
      </c>
      <c r="S8682" t="inlineStr">
        <is>
          <t>44.5</t>
        </is>
      </c>
      <c r="T8682" t="inlineStr">
        <is>
          <t>1493034008676</t>
        </is>
      </c>
    </row>
    <row r="8683" hidden="1" ht="15.75" customHeight="1">
      <c r="A8683" s="2">
        <f>HYPERLINK("https://edmondsonsupply.com/collections/electricians-tools/products/klein-tools-935-torpedo-level", "https://edmondsonsupply.com/collections/electricians-tools/products/klein-tools-935-torpedo-level")</f>
        <v/>
      </c>
      <c r="B8683" s="2">
        <f>HYPERLINK("https://edmondsonsupply.com/products/klein-tools-935-torpedo-level", "https://edmondsonsupply.com/products/klein-tools-935-torpedo-level")</f>
        <v/>
      </c>
      <c r="C8683" t="inlineStr">
        <is>
          <t>Klein Tools 935 Torpedo Level, 3 Vial, 9-Inch</t>
        </is>
      </c>
      <c r="D8683" t="inlineStr">
        <is>
          <t>Klein Tools 935AB1V Level, 2.5-Inch Conduit Bending Level, 1 Vial, ACCU-BEND Level Eliminates Dog-Legs in Offsets and Saddle Bends</t>
        </is>
      </c>
      <c r="E8683" s="2">
        <f>HYPERLINK("https://www.amazon.com/ACCU-BEND-90-Degree-Klein-Tools-935AB1V/dp/B01MF94WXJ/ref=sr_1_17?keywords=Klein+Tools+935+Torpedo+Level%2C+3+Vial%2C+9-Inch&amp;qid=1694735440&amp;sr=8-17", "https://www.amazon.com/ACCU-BEND-90-Degree-Klein-Tools-935AB1V/dp/B01MF94WXJ/ref=sr_1_17?keywords=Klein+Tools+935+Torpedo+Level%2C+3+Vial%2C+9-Inch&amp;qid=1694735440&amp;sr=8-17")</f>
        <v/>
      </c>
      <c r="F8683" t="inlineStr">
        <is>
          <t>B01MF94WXJ</t>
        </is>
      </c>
      <c r="G8683">
        <f>_xludf.IMAGE("https://edmondsonsupply.com/cdn/shop/products/935_b.jpg?v=1679425556")</f>
        <v/>
      </c>
      <c r="H8683">
        <f>_xludf.IMAGE("https://m.media-amazon.com/images/I/61RgGEnLFaL._AC_UL320_.jpg")</f>
        <v/>
      </c>
      <c r="K8683" t="inlineStr">
        <is>
          <t>17.97</t>
        </is>
      </c>
      <c r="L8683" t="n">
        <v>12.97</v>
      </c>
      <c r="M8683" s="1" t="inlineStr">
        <is>
          <t>-27.82%</t>
        </is>
      </c>
      <c r="N8683" s="1" t="n"/>
      <c r="O8683" t="n">
        <v>4.7</v>
      </c>
      <c r="P8683" t="n">
        <v>2009</v>
      </c>
      <c r="R8683" t="inlineStr">
        <is>
          <t>InStock</t>
        </is>
      </c>
      <c r="S8683" t="inlineStr">
        <is>
          <t>25.22</t>
        </is>
      </c>
      <c r="T8683" t="inlineStr">
        <is>
          <t>4310094086244</t>
        </is>
      </c>
    </row>
    <row r="8684" ht="87" customHeight="1">
      <c r="A8684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684" s="2">
        <f>HYPERLINK("https://edmondsonsupply.com/products/klein-tools-63050-high-leverage-cable-cutter", "https://edmondsonsupply.com/products/klein-tools-63050-high-leverage-cable-cutter")</f>
        <v/>
      </c>
      <c r="C8684" t="inlineStr">
        <is>
          <t>Klein Tools 63050 Cable Cutter</t>
        </is>
      </c>
      <c r="D8684" t="inlineStr">
        <is>
          <t>Klein Tools 63020 Multi-Cable Cutter Klein-Kurve</t>
        </is>
      </c>
      <c r="E8684" s="2">
        <f>HYPERLINK("https://www.amazon.com/Multi-Cable-Cutter-Klein-Kurve-Klein-Tools/dp/B00093DHEO/ref=sr_1_22?keywords=Klein+Tools+63050+Cable+Cutter&amp;qid=1694735444&amp;sr=8-22", "https://www.amazon.com/Multi-Cable-Cutter-Klein-Kurve-Klein-Tools/dp/B00093DHEO/ref=sr_1_22?keywords=Klein+Tools+63050+Cable+Cutter&amp;qid=1694735444&amp;sr=8-22")</f>
        <v/>
      </c>
      <c r="F8684" t="inlineStr">
        <is>
          <t>B00093DHEO</t>
        </is>
      </c>
      <c r="G8684">
        <f>_xlfn.IMAGE("https://edmondsonsupply.com/cdn/shop/products/63050.jpg?v=1587143239")</f>
        <v/>
      </c>
      <c r="H8684">
        <f>_xlfn.IMAGE("https://m.media-amazon.com/images/I/41AKloimKIL._AC_UL320_.jpg")</f>
        <v/>
      </c>
      <c r="K8684" t="inlineStr">
        <is>
          <t>32.99</t>
        </is>
      </c>
      <c r="L8684" t="n">
        <v>23.65</v>
      </c>
      <c r="M8684" s="1" t="inlineStr">
        <is>
          <t>-28.31%</t>
        </is>
      </c>
      <c r="N8684" s="7" t="n"/>
      <c r="O8684" t="n">
        <v>4.6</v>
      </c>
      <c r="P8684" t="n">
        <v>210</v>
      </c>
      <c r="R8684" t="inlineStr">
        <is>
          <t>InStock</t>
        </is>
      </c>
      <c r="S8684" t="inlineStr">
        <is>
          <t>47.96</t>
        </is>
      </c>
      <c r="T8684" t="inlineStr">
        <is>
          <t>4289689124964</t>
        </is>
      </c>
    </row>
    <row r="8685" hidden="1" ht="15.75" customHeight="1">
      <c r="A8685" s="2">
        <f>HYPERLINK("https://edmondsonsupply.com/collections/electricians-tools/products/klein-tools-5139pad-padded-zipper-tool-bag", "https://edmondsonsupply.com/collections/electricians-tools/products/klein-tools-5139pad-padded-zipper-tool-bag")</f>
        <v/>
      </c>
      <c r="B8685" s="2">
        <f>HYPERLINK("https://edmondsonsupply.com/products/klein-tools-5139pad-padded-zipper-tool-bag", "https://edmondsonsupply.com/products/klein-tools-5139pad-padded-zipper-tool-bag")</f>
        <v/>
      </c>
      <c r="C8685" t="inlineStr">
        <is>
          <t>Klein Tools 5139PAD Zipper Bag, Cordura Nylon Tool Pouch with Padding, 12-1/2-Inch</t>
        </is>
      </c>
      <c r="D8685" t="inlineStr">
        <is>
          <t>Klein Tools 5139C Zipper Bag, Camouflage Cordura Nylon Tool Pouch with Heavy-Duty Zipper Close, 12.5 x 7-Inch</t>
        </is>
      </c>
      <c r="E8685" s="2">
        <f>HYPERLINK("https://www.amazon.com/Durable-Camouflage-Klein-Tools-5139C/dp/B0002RI64I/ref=sr_1_2?keywords=Klein+Tools+5139PAD+Zipper+Bag%2C+Cordura+Nylon+Tool+Pouch+with+Padding%2C+12-1%2F2-Inch&amp;qid=1694735474&amp;sr=8-2", "https://www.amazon.com/Durable-Camouflage-Klein-Tools-5139C/dp/B0002RI64I/ref=sr_1_2?keywords=Klein+Tools+5139PAD+Zipper+Bag%2C+Cordura+Nylon+Tool+Pouch+with+Padding%2C+12-1%2F2-Inch&amp;qid=1694735474&amp;sr=8-2")</f>
        <v/>
      </c>
      <c r="F8685" t="inlineStr">
        <is>
          <t>B0002RI64I</t>
        </is>
      </c>
      <c r="G8685">
        <f>_xludf.IMAGE("https://edmondsonsupply.com/cdn/shop/products/5139pad.jpg?v=1587143515")</f>
        <v/>
      </c>
      <c r="H8685">
        <f>_xludf.IMAGE("https://m.media-amazon.com/images/I/71bK1WDZnOL._AC_UL320_.jpg")</f>
        <v/>
      </c>
      <c r="K8685" t="inlineStr">
        <is>
          <t>13.99</t>
        </is>
      </c>
      <c r="L8685" t="n">
        <v>10</v>
      </c>
      <c r="M8685" s="1" t="inlineStr">
        <is>
          <t>-28.52%</t>
        </is>
      </c>
      <c r="N8685" s="1" t="n"/>
      <c r="O8685" t="n">
        <v>4.7</v>
      </c>
      <c r="P8685" t="n">
        <v>695</v>
      </c>
      <c r="R8685" t="inlineStr">
        <is>
          <t>InStock</t>
        </is>
      </c>
      <c r="S8685" t="inlineStr">
        <is>
          <t>21.2</t>
        </is>
      </c>
      <c r="T8685" t="inlineStr">
        <is>
          <t>3671682383972</t>
        </is>
      </c>
    </row>
    <row r="8686" ht="87" customHeight="1">
      <c r="A8686" s="2">
        <f>HYPERLINK("https://edmondsonsupply.com/collections/electricians-tools/products/klein-tools-j2000-48-journeyman-high-leverage-diagonal-cutting-pliers-angled-head", "https://edmondsonsupply.com/collections/electricians-tools/products/klein-tools-j2000-48-journeyman-high-leverage-diagonal-cutting-pliers-angled-head")</f>
        <v/>
      </c>
      <c r="B8686" s="2">
        <f>HYPERLINK("https://edmondsonsupply.com/products/klein-tools-j2000-48-journeyman-high-leverage-diagonal-cutting-pliers-angled-head", "https://edmondsonsupply.com/products/klein-tools-j2000-48-journeyman-high-leverage-diagonal-cutting-pliers-angled-head")</f>
        <v/>
      </c>
      <c r="C8686" t="inlineStr">
        <is>
          <t>Klein Tools J2000-48 Journeyman Diagonal Cutting Pliers, Heavy-Duty, Angled Head, 8-Inch</t>
        </is>
      </c>
      <c r="D8686" t="inlineStr">
        <is>
          <t>Klein Tools D248-8 Pliers, Diagonal Cutting Multi-Purpose Pliers with Angled Head, High-Leverage Design, and Short Jaw, 8-Inch</t>
        </is>
      </c>
      <c r="E8686" s="2">
        <f>HYPERLINK("https://www.amazon.com/Klein-Tools-D248-8-Leverage-Diagonal/dp/B0000302W8/ref=sr_1_8?keywords=Klein+Tools+J2000-48+Journeyman+Diagonal+Cutting+Pliers%2C+Heavy-Duty%2C+Angled+Head%2C+8-Inch&amp;qid=1694735477&amp;sr=8-8", "https://www.amazon.com/Klein-Tools-D248-8-Leverage-Diagonal/dp/B0000302W8/ref=sr_1_8?keywords=Klein+Tools+J2000-48+Journeyman+Diagonal+Cutting+Pliers%2C+Heavy-Duty%2C+Angled+Head%2C+8-Inch&amp;qid=1694735477&amp;sr=8-8")</f>
        <v/>
      </c>
      <c r="F8686" t="inlineStr">
        <is>
          <t>B0000302W8</t>
        </is>
      </c>
      <c r="G8686">
        <f>_xlfn.IMAGE("https://edmondsonsupply.com/cdn/shop/products/j200048.jpg?v=1587146393")</f>
        <v/>
      </c>
      <c r="H8686">
        <f>_xlfn.IMAGE("https://m.media-amazon.com/images/I/41KAmcIzVBL._AC_UL320_.jpg")</f>
        <v/>
      </c>
      <c r="K8686" t="inlineStr">
        <is>
          <t>39.99</t>
        </is>
      </c>
      <c r="L8686" t="n">
        <v>28.42</v>
      </c>
      <c r="M8686" s="1" t="inlineStr">
        <is>
          <t>-28.93%</t>
        </is>
      </c>
      <c r="N8686" s="7" t="n"/>
      <c r="O8686" t="n">
        <v>4.8</v>
      </c>
      <c r="P8686" t="n">
        <v>2413</v>
      </c>
      <c r="R8686" t="inlineStr">
        <is>
          <t>InStock</t>
        </is>
      </c>
      <c r="S8686" t="inlineStr">
        <is>
          <t>60.58</t>
        </is>
      </c>
      <c r="T8686" t="inlineStr">
        <is>
          <t>3683824107620</t>
        </is>
      </c>
    </row>
    <row r="8687" ht="87" customHeight="1">
      <c r="A8687" s="2">
        <f>HYPERLINK("https://edmondsonsupply.com/collections/electricians-tools/products/channellock-420cb", "https://edmondsonsupply.com/collections/electricians-tools/products/channellock-420cb")</f>
        <v/>
      </c>
      <c r="B8687" s="2">
        <f>HYPERLINK("https://edmondsonsupply.com/products/channellock-420cb", "https://edmondsonsupply.com/products/channellock-420cb")</f>
        <v/>
      </c>
      <c r="C8687" t="inlineStr">
        <is>
          <t>Channellock 420CB Code Blue 9.5" Straight Jaw Tongue &amp; Groove Pliers</t>
        </is>
      </c>
      <c r="D8687" t="inlineStr">
        <is>
          <t>Channellock 426 6.5-Inch Straight Jaw Tongue&amp;Groove Pliers|Groove Joint Plier with Comfort Grips|0.87-Inch Jaw Capacity|Laser Heat-Treated 90░ Teeth|Forged High Carbon Steel,Black,Blue,Silver</t>
        </is>
      </c>
      <c r="E8687" s="2">
        <f>HYPERLINK("https://www.amazon.com/Channellock-426-8-Inch-Capacity-2-Inch/dp/B00004SBCS/ref=sr_1_10?keywords=Channellock+420CB+Code+Blue+9.5%22+Straight+Jaw+Tongue+%26+Groove+Pliers&amp;qid=1694735464&amp;sr=8-10", "https://www.amazon.com/Channellock-426-8-Inch-Capacity-2-Inch/dp/B00004SBCS/ref=sr_1_10?keywords=Channellock+420CB+Code+Blue+9.5%22+Straight+Jaw+Tongue+%26+Groove+Pliers&amp;qid=1694735464&amp;sr=8-10")</f>
        <v/>
      </c>
      <c r="F8687" t="inlineStr">
        <is>
          <t>B00004SBCS</t>
        </is>
      </c>
      <c r="G8687">
        <f>_xlfn.IMAGE("https://edmondsonsupply.com/cdn/shop/products/420CB-683x1024.jpg?v=1587147135")</f>
        <v/>
      </c>
      <c r="H8687">
        <f>_xlfn.IMAGE("https://m.media-amazon.com/images/I/713NYKlIyoL._AC_UL320_.jpg")</f>
        <v/>
      </c>
      <c r="K8687" t="inlineStr">
        <is>
          <t>22.45</t>
        </is>
      </c>
      <c r="L8687" t="n">
        <v>15.95</v>
      </c>
      <c r="M8687" s="1" t="inlineStr">
        <is>
          <t>-28.95%</t>
        </is>
      </c>
      <c r="N8687" s="7" t="n"/>
      <c r="O8687" t="n">
        <v>4.7</v>
      </c>
      <c r="P8687" t="n">
        <v>1995</v>
      </c>
      <c r="R8687" t="inlineStr">
        <is>
          <t>InStock</t>
        </is>
      </c>
      <c r="S8687" t="inlineStr">
        <is>
          <t>36.88</t>
        </is>
      </c>
      <c r="T8687" t="inlineStr">
        <is>
          <t>4094563745892</t>
        </is>
      </c>
    </row>
    <row r="8688" hidden="1" ht="15.75" customHeight="1">
      <c r="A8688" s="2">
        <f>HYPERLINK("https://edmondsonsupply.com/collections/electricians-tools/products/klein-tools-69401-multimeter-carrying-case", "https://edmondsonsupply.com/collections/electricians-tools/products/klein-tools-69401-multimeter-carrying-case")</f>
        <v/>
      </c>
      <c r="B8688" s="2">
        <f>HYPERLINK("https://edmondsonsupply.com/products/klein-tools-69401-multimeter-carrying-case", "https://edmondsonsupply.com/products/klein-tools-69401-multimeter-carrying-case")</f>
        <v/>
      </c>
      <c r="C8688" t="inlineStr">
        <is>
          <t>Klein Tools 69401 Multimeter Carrying Case</t>
        </is>
      </c>
      <c r="D8688" t="inlineStr">
        <is>
          <t>PCGDFLY Hard Carrying Storage Case for Klein Tools MM400/ MM300/ MM200/ ET140/ MM720/ 69355/ 69149P Multimeter, Dust-proof, Sturdy, Durable, Smooth Zipper, Digital Electrical Tester Bag</t>
        </is>
      </c>
      <c r="E8688" s="2">
        <f>HYPERLINK("https://www.amazon.com/PCGDFLY-Carrying-Multimeter-Dust-proof-Electrical/dp/B0CCDC3MBD/ref=sr_1_11?keywords=Klein+Tools+69401+Multimeter+Carrying+Case&amp;qid=1694735435&amp;sr=8-11", "https://www.amazon.com/PCGDFLY-Carrying-Multimeter-Dust-proof-Electrical/dp/B0CCDC3MBD/ref=sr_1_11?keywords=Klein+Tools+69401+Multimeter+Carrying+Case&amp;qid=1694735435&amp;sr=8-11")</f>
        <v/>
      </c>
      <c r="F8688" t="inlineStr">
        <is>
          <t>B0CCDC3MBD</t>
        </is>
      </c>
      <c r="G8688">
        <f>_xludf.IMAGE("https://edmondsonsupply.com/cdn/shop/products/69401.jpg?v=1587151194")</f>
        <v/>
      </c>
      <c r="H8688">
        <f>_xludf.IMAGE("https://m.media-amazon.com/images/I/81HhKMX7vTL._AC_UL320_.jpg")</f>
        <v/>
      </c>
      <c r="K8688" t="inlineStr">
        <is>
          <t>16.97</t>
        </is>
      </c>
      <c r="L8688" t="n">
        <v>11.99</v>
      </c>
      <c r="M8688" s="1" t="inlineStr">
        <is>
          <t>-29.35%</t>
        </is>
      </c>
      <c r="N8688" s="1" t="n"/>
      <c r="O8688" t="n">
        <v>5</v>
      </c>
      <c r="P8688" t="n">
        <v>2</v>
      </c>
      <c r="R8688" t="inlineStr">
        <is>
          <t>InStock</t>
        </is>
      </c>
      <c r="S8688" t="inlineStr">
        <is>
          <t>23.84</t>
        </is>
      </c>
      <c r="T8688" t="inlineStr">
        <is>
          <t>4348577710180</t>
        </is>
      </c>
    </row>
    <row r="8689" ht="87" customHeight="1">
      <c r="A8689" s="2">
        <f>HYPERLINK("https://edmondsonsupply.com/collections/electricians-tools/products/klein-tools-vdv770-834-commander%E2%84%A2-test-n-map%E2%84%A2-remote-kit", "https://edmondsonsupply.com/collections/electricians-tools/products/klein-tools-vdv770-834-commander%E2%84%A2-test-n-map%E2%84%A2-remote-kit")</f>
        <v/>
      </c>
      <c r="B8689" s="2">
        <f>HYPERLINK("https://edmondsonsupply.com/products/klein-tools-vdv770-834-commander%e2%84%a2-test-n-map%e2%84%a2-remote-kit", "https://edmondsonsupply.com/products/klein-tools-vdv770-834-commander%e2%84%a2-test-n-map%e2%84%a2-remote-kit")</f>
        <v/>
      </c>
      <c r="C8689" t="inlineStr">
        <is>
          <t>Klein Tools VDV770-834 Commander™ Test-n-Map™ Remote Kit</t>
        </is>
      </c>
      <c r="D8689" t="inlineStr">
        <is>
          <t>Klein Tools VDV770-851 Tester Remote Expansion Kit for Scout Pro 3 Testers with Single-Step Test + Map Remotes #7 - #12</t>
        </is>
      </c>
      <c r="E8689" s="2">
        <f>HYPERLINK("https://www.amazon.com/Klein-Tools-VDV770-851-Expansion-Single-Step/dp/B08BDB9CV3/ref=sr_1_4?keywords=Klein+Tools+VDV770-834+Commander%E2%84%A2+Test-n-Map%E2%84%A2+Remote+Kit&amp;qid=1694735435&amp;sr=8-4", "https://www.amazon.com/Klein-Tools-VDV770-851-Expansion-Single-Step/dp/B08BDB9CV3/ref=sr_1_4?keywords=Klein+Tools+VDV770-834+Commander%E2%84%A2+Test-n-Map%E2%84%A2+Remote+Kit&amp;qid=1694735435&amp;sr=8-4")</f>
        <v/>
      </c>
      <c r="F8689" t="inlineStr">
        <is>
          <t>B08BDB9CV3</t>
        </is>
      </c>
      <c r="G8689">
        <f>_xlfn.IMAGE("https://edmondsonsupply.com/cdn/shop/products/vdv770-834.jpg?v=1587144728")</f>
        <v/>
      </c>
      <c r="H8689">
        <f>_xlfn.IMAGE("https://m.media-amazon.com/images/I/61NvXKhAsRL._AC_UY218_.jpg")</f>
        <v/>
      </c>
      <c r="K8689" t="inlineStr">
        <is>
          <t>159.99</t>
        </is>
      </c>
      <c r="L8689" t="n">
        <v>112.99</v>
      </c>
      <c r="M8689" s="1" t="inlineStr">
        <is>
          <t>-29.38%</t>
        </is>
      </c>
      <c r="N8689" s="7" t="n"/>
      <c r="O8689" t="n">
        <v>4.9</v>
      </c>
      <c r="P8689" t="n">
        <v>58</v>
      </c>
      <c r="R8689" t="inlineStr">
        <is>
          <t>InStock</t>
        </is>
      </c>
      <c r="S8689" t="inlineStr">
        <is>
          <t>259.44</t>
        </is>
      </c>
      <c r="T8689" t="inlineStr">
        <is>
          <t>4362760716388</t>
        </is>
      </c>
    </row>
    <row r="8690" hidden="1" ht="15.75" customHeight="1">
      <c r="A8690" s="2">
        <f>HYPERLINK("https://edmondsonsupply.com/collections/electricians-tools/products/klein-tools-662-4-ins-insulated-2-square-recess-tip-4-screwdriver-1000v", "https://edmondsonsupply.com/collections/electricians-tools/products/klein-tools-662-4-ins-insulated-2-square-recess-tip-4-screwdriver-1000v")</f>
        <v/>
      </c>
      <c r="B8690" s="2">
        <f>HYPERLINK("https://edmondsonsupply.com/products/klein-tools-662-4-ins-insulated-2-square-recess-tip-4-screwdriver-1000v", "https://edmondsonsupply.com/products/klein-tools-662-4-ins-insulated-2-square-recess-tip-4-screwdriver-1000v")</f>
        <v/>
      </c>
      <c r="C8690" t="inlineStr">
        <is>
          <t>Klein Tools 662-4-INS Insulated Screwdriver, #2 Square, 4'' Shank</t>
        </is>
      </c>
      <c r="D8690" t="inlineStr">
        <is>
          <t>Klein Tools 6846INS Insulated Screwdriver, 1000V #2 Square Tip Screwdriver with 6-Inch Shank, Tip-Ident, Cushion-Grip Handle</t>
        </is>
      </c>
      <c r="E8690" s="2">
        <f>HYPERLINK("https://www.amazon.com/Klein-Tools-6846INS-Screwdriver-Cushion-Grip/dp/B0BF7X96QK/ref=sr_1_3?keywords=Klein+Tools+662-4-INS+Insulated+Screwdriver%2C+%232+Square%2C+4%27%27+Shank&amp;qid=1694735455&amp;sr=8-3", "https://www.amazon.com/Klein-Tools-6846INS-Screwdriver-Cushion-Grip/dp/B0BF7X96QK/ref=sr_1_3?keywords=Klein+Tools+662-4-INS+Insulated+Screwdriver%2C+%232+Square%2C+4%27%27+Shank&amp;qid=1694735455&amp;sr=8-3")</f>
        <v/>
      </c>
      <c r="F8690" t="inlineStr">
        <is>
          <t>B0BF7X96QK</t>
        </is>
      </c>
      <c r="G8690">
        <f>_xludf.IMAGE("https://edmondsonsupply.com/cdn/shop/products/662-4-ins.jpg?v=1587151099")</f>
        <v/>
      </c>
      <c r="H8690">
        <f>_xludf.IMAGE("https://m.media-amazon.com/images/I/31EOUkZ6n3L._AC_UL320_.jpg")</f>
        <v/>
      </c>
      <c r="K8690" t="inlineStr">
        <is>
          <t>16.97</t>
        </is>
      </c>
      <c r="L8690" t="n">
        <v>11.97</v>
      </c>
      <c r="M8690" s="1" t="inlineStr">
        <is>
          <t>-29.46%</t>
        </is>
      </c>
      <c r="N8690" s="1" t="n"/>
      <c r="O8690" t="n">
        <v>4.7</v>
      </c>
      <c r="P8690" t="n">
        <v>201</v>
      </c>
      <c r="R8690" t="inlineStr">
        <is>
          <t>InStock</t>
        </is>
      </c>
      <c r="S8690" t="inlineStr">
        <is>
          <t>25.72</t>
        </is>
      </c>
      <c r="T8690" t="inlineStr">
        <is>
          <t>2443022860388</t>
        </is>
      </c>
    </row>
    <row r="8691" hidden="1" ht="15.75" customHeight="1">
      <c r="A8691" s="2">
        <f>HYPERLINK("https://edmondsonsupply.com/collections/electricians-tools/products/klein-tools-601-4-3-16-cabinet-tip-screwdriver-4-round-shank", "https://edmondsonsupply.com/collections/electricians-tools/products/klein-tools-601-4-3-16-cabinet-tip-screwdriver-4-round-shank")</f>
        <v/>
      </c>
      <c r="B8691" s="2">
        <f>HYPERLINK("https://edmondsonsupply.com/products/klein-tools-601-4-3-16-cabinet-tip-screwdriver-4-round-shank", "https://edmondsonsupply.com/products/klein-tools-601-4-3-16-cabinet-tip-screwdriver-4-round-shank")</f>
        <v/>
      </c>
      <c r="C8691" t="inlineStr">
        <is>
          <t>Klein Tools 601-4 3/16-Inch Cabinet Tip Screwdriver 4-Inch</t>
        </is>
      </c>
      <c r="D8691" t="inlineStr">
        <is>
          <t>Klein Tools A216-4 1/8-Inch Cabinet-Tip Flat Head Screwdriver with 4-Inch Round Shank and Comfordome Handle</t>
        </is>
      </c>
      <c r="E8691" s="2">
        <f>HYPERLINK("https://www.amazon.com/Cabinet-Tip-Screwdriver-Klein-Tools-A216-4/dp/B00093GC28/ref=sr_1_14?keywords=Klein+Tools+601-4+3%2F16-Inch+Cabinet+Tip+Screwdriver+4-Inch&amp;qid=1694735471&amp;sr=8-14", "https://www.amazon.com/Cabinet-Tip-Screwdriver-Klein-Tools-A216-4/dp/B00093GC28/ref=sr_1_14?keywords=Klein+Tools+601-4+3%2F16-Inch+Cabinet+Tip+Screwdriver+4-Inch&amp;qid=1694735471&amp;sr=8-14")</f>
        <v/>
      </c>
      <c r="F8691" t="inlineStr">
        <is>
          <t>B00093GC28</t>
        </is>
      </c>
      <c r="G8691">
        <f>_xludf.IMAGE("https://edmondsonsupply.com/cdn/shop/products/601-4.jpg?v=1587147829")</f>
        <v/>
      </c>
      <c r="H8691">
        <f>_xludf.IMAGE("https://m.media-amazon.com/images/I/414kKbGezfL._AC_UL320_.jpg")</f>
        <v/>
      </c>
      <c r="K8691" t="inlineStr">
        <is>
          <t>8.98</t>
        </is>
      </c>
      <c r="L8691" t="n">
        <v>6.29</v>
      </c>
      <c r="M8691" s="1" t="inlineStr">
        <is>
          <t>-29.96%</t>
        </is>
      </c>
      <c r="N8691" s="1" t="n"/>
      <c r="O8691" t="n">
        <v>4.7</v>
      </c>
      <c r="P8691" t="n">
        <v>172</v>
      </c>
      <c r="R8691" t="inlineStr">
        <is>
          <t>InStock</t>
        </is>
      </c>
      <c r="S8691" t="inlineStr">
        <is>
          <t>11.52</t>
        </is>
      </c>
      <c r="T8691" t="inlineStr">
        <is>
          <t>2767048900708</t>
        </is>
      </c>
    </row>
    <row r="8692" ht="87" customHeight="1">
      <c r="A8692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692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692" t="inlineStr">
        <is>
          <t>Klein Tools 11063W Katapult® Wire Stripper and Cutter for Solid and Stranded Wire</t>
        </is>
      </c>
      <c r="D8692" t="inlineStr">
        <is>
          <t>Klein Tools 11057 Wire Cutter / Wire Stripper, Heavy Duty Wire Cutter Stripper for 20-30 AWG Solid Wire and 22-32 AWG Stranded Wire, One Size, Blue/Red</t>
        </is>
      </c>
      <c r="E8692" s="2">
        <f>HYPERLINK("https://www.amazon.com/Stripper-Stranded-Klein-Tools-11057/dp/B000XEUPMQ/ref=sr_1_18?keywords=Klein+Tools+11063W+Katapult%C2%AE+Wire+Stripper+and+Cutter+for+Solid+and+Stranded+Wire&amp;qid=1694735440&amp;sr=8-18", "https://www.amazon.com/Stripper-Stranded-Klein-Tools-11057/dp/B000XEUPMQ/ref=sr_1_18?keywords=Klein+Tools+11063W+Katapult%C2%AE+Wire+Stripper+and+Cutter+for+Solid+and+Stranded+Wire&amp;qid=1694735440&amp;sr=8-18")</f>
        <v/>
      </c>
      <c r="F8692" t="inlineStr">
        <is>
          <t>B000XEUPMQ</t>
        </is>
      </c>
      <c r="G8692">
        <f>_xlfn.IMAGE("https://edmondsonsupply.com/cdn/shop/products/11063w.jpg?v=1587151004")</f>
        <v/>
      </c>
      <c r="H8692">
        <f>_xlfn.IMAGE("https://m.media-amazon.com/images/I/71HgWc6UcZL._AC_UL320_.jpg")</f>
        <v/>
      </c>
      <c r="K8692" t="inlineStr">
        <is>
          <t>29.97</t>
        </is>
      </c>
      <c r="L8692" t="n">
        <v>20.97</v>
      </c>
      <c r="M8692" s="1" t="inlineStr">
        <is>
          <t>-30.03%</t>
        </is>
      </c>
      <c r="N8692" s="7" t="n"/>
      <c r="O8692" t="n">
        <v>4.8</v>
      </c>
      <c r="P8692" t="n">
        <v>2986</v>
      </c>
      <c r="R8692" t="inlineStr">
        <is>
          <t>InStock</t>
        </is>
      </c>
      <c r="S8692" t="inlineStr">
        <is>
          <t>44.7</t>
        </is>
      </c>
      <c r="T8692" t="inlineStr">
        <is>
          <t>4334180827236</t>
        </is>
      </c>
    </row>
    <row r="8693" ht="87" customHeight="1">
      <c r="A8693" s="2">
        <f>HYPERLINK("https://edmondsonsupply.com/collections/electricians-tools/products/klein-32807mag", "https://edmondsonsupply.com/collections/electricians-tools/products/klein-32807mag")</f>
        <v/>
      </c>
      <c r="B8693" s="2">
        <f>HYPERLINK("https://edmondsonsupply.com/products/klein-32807mag", "https://edmondsonsupply.com/products/klein-32807mag")</f>
        <v/>
      </c>
      <c r="C8693" t="inlineStr">
        <is>
          <t>Klein Tools 32807MAG 7-in-1 Multi-Bit Screwdriver / Nut Driver, Magnetic</t>
        </is>
      </c>
      <c r="D8693" t="inlineStr">
        <is>
          <t>Klein Tools 32500MAG Magnetic Multi-Bit Screwdriver / Nut Driver, 11-in-1 Multi Tool with 8 Bits, 3 Nut Driver Sizes, Cushion Grip Handle</t>
        </is>
      </c>
      <c r="E8693" s="2">
        <f>HYPERLINK("https://www.amazon.com/Klein-Tools-32500MAG-Multi-Bit-Screwdriver/dp/B089LTTZWT/ref=sr_1_12?keywords=Klein+Tools+32807MAG+7-in-1+Multi-Bit+Screwdriver+%2F+Nut+Driver%2C+Magnetic&amp;qid=1694735441&amp;sr=8-12", "https://www.amazon.com/Klein-Tools-32500MAG-Multi-Bit-Screwdriver/dp/B089LTTZWT/ref=sr_1_12?keywords=Klein+Tools+32807MAG+7-in-1+Multi-Bit+Screwdriver+%2F+Nut+Driver%2C+Magnetic&amp;qid=1694735441&amp;sr=8-12")</f>
        <v/>
      </c>
      <c r="F8693" t="inlineStr">
        <is>
          <t>B089LTTZWT</t>
        </is>
      </c>
      <c r="G8693">
        <f>_xlfn.IMAGE("https://edmondsonsupply.com/cdn/shop/products/32807mag_beauty_l.jpg?v=1604873791")</f>
        <v/>
      </c>
      <c r="H8693">
        <f>_xlfn.IMAGE("https://m.media-amazon.com/images/I/61WjOoy7J0L._AC_UL320_.jpg")</f>
        <v/>
      </c>
      <c r="K8693" t="inlineStr">
        <is>
          <t>29.97</t>
        </is>
      </c>
      <c r="L8693" t="n">
        <v>20.97</v>
      </c>
      <c r="M8693" s="1" t="inlineStr">
        <is>
          <t>-30.03%</t>
        </is>
      </c>
      <c r="N8693" s="7" t="n"/>
      <c r="O8693" t="n">
        <v>4.8</v>
      </c>
      <c r="P8693" t="n">
        <v>3916</v>
      </c>
      <c r="R8693" t="inlineStr">
        <is>
          <t>InStock</t>
        </is>
      </c>
      <c r="S8693" t="inlineStr">
        <is>
          <t>44.5</t>
        </is>
      </c>
      <c r="T8693" t="inlineStr">
        <is>
          <t>1493034008676</t>
        </is>
      </c>
    </row>
    <row r="8694" ht="87" customHeight="1">
      <c r="A8694" s="2">
        <f>HYPERLINK("https://edmondsonsupply.com/collections/electricians-tools/products/klein-tools-vdv770-834-commander%E2%84%A2-test-n-map%E2%84%A2-remote-kit", "https://edmondsonsupply.com/collections/electricians-tools/products/klein-tools-vdv770-834-commander%E2%84%A2-test-n-map%E2%84%A2-remote-kit")</f>
        <v/>
      </c>
      <c r="B8694" s="2">
        <f>HYPERLINK("https://edmondsonsupply.com/products/klein-tools-vdv770-834-commander%e2%84%a2-test-n-map%e2%84%a2-remote-kit", "https://edmondsonsupply.com/products/klein-tools-vdv770-834-commander%e2%84%a2-test-n-map%e2%84%a2-remote-kit")</f>
        <v/>
      </c>
      <c r="C8694" t="inlineStr">
        <is>
          <t>Klein Tools VDV770-834 Commander™ Test-n-Map™ Remote Kit</t>
        </is>
      </c>
      <c r="D8694" t="inlineStr">
        <is>
          <t>Klein Tools VDV501-851 Cable Tester Kit, 5 Locator Remotes &amp; Klein Tools VDV770-126 Replacement Carrying Case for Scout Pro 3 Series Testers and Locator Remotes, Black</t>
        </is>
      </c>
      <c r="E8694" s="2">
        <f>HYPERLINK("https://www.amazon.com/Klein-Tools-VDV501-851-VDV770-126-Replacement/dp/B09T6YN1YB/ref=sr_1_9?keywords=Klein+Tools+VDV770-834+Commander%E2%84%A2+Test-n-Map%E2%84%A2+Remote+Kit&amp;qid=1694735435&amp;sr=8-9", "https://www.amazon.com/Klein-Tools-VDV501-851-VDV770-126-Replacement/dp/B09T6YN1YB/ref=sr_1_9?keywords=Klein+Tools+VDV770-834+Commander%E2%84%A2+Test-n-Map%E2%84%A2+Remote+Kit&amp;qid=1694735435&amp;sr=8-9")</f>
        <v/>
      </c>
      <c r="F8694" t="inlineStr">
        <is>
          <t>B09T6YN1YB</t>
        </is>
      </c>
      <c r="G8694">
        <f>_xlfn.IMAGE("https://edmondsonsupply.com/cdn/shop/products/vdv770-834.jpg?v=1587144728")</f>
        <v/>
      </c>
      <c r="H8694">
        <f>_xlfn.IMAGE("https://m.media-amazon.com/images/I/51nHnWIj1JL._AC_UY218_.jpg")</f>
        <v/>
      </c>
      <c r="K8694" t="inlineStr">
        <is>
          <t>159.99</t>
        </is>
      </c>
      <c r="L8694" t="n">
        <v>111.65</v>
      </c>
      <c r="M8694" s="1" t="inlineStr">
        <is>
          <t>-30.21%</t>
        </is>
      </c>
      <c r="N8694" s="7" t="n"/>
      <c r="O8694" t="n">
        <v>5</v>
      </c>
      <c r="P8694" t="n">
        <v>6</v>
      </c>
      <c r="R8694" t="inlineStr">
        <is>
          <t>InStock</t>
        </is>
      </c>
      <c r="S8694" t="inlineStr">
        <is>
          <t>259.44</t>
        </is>
      </c>
      <c r="T8694" t="inlineStr">
        <is>
          <t>4362760716388</t>
        </is>
      </c>
    </row>
    <row r="8695" hidden="1" ht="15.75" customHeight="1">
      <c r="A8695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695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695" t="inlineStr">
        <is>
          <t>Klein Tools 607-3-INS Insulated Screwdriver, 3/32-Inch Cabinet, 3-Inch</t>
        </is>
      </c>
      <c r="D8695" t="inlineStr">
        <is>
          <t>Klein Tools 6876INS Insulated Screwdriver, 1000V #3 Phillips Tip Screwdriver with 6-Inch Shank, Tip-Ident, Cushion-Grip Handle</t>
        </is>
      </c>
      <c r="E8695" s="2">
        <f>HYPERLINK("https://www.amazon.com/Klein-Tools-6876INS-Screwdriver-Cushion-Grip/dp/B0BF7PKWQZ/ref=sr_1_5?keywords=Klein+Tools+607-3-INS+Insulated+Screwdriver%2C+3%2F32-Inch+Cabinet%2C+3-Inch&amp;qid=1694735479&amp;sr=8-5", "https://www.amazon.com/Klein-Tools-6876INS-Screwdriver-Cushion-Grip/dp/B0BF7PKWQZ/ref=sr_1_5?keywords=Klein+Tools+607-3-INS+Insulated+Screwdriver%2C+3%2F32-Inch+Cabinet%2C+3-Inch&amp;qid=1694735479&amp;sr=8-5")</f>
        <v/>
      </c>
      <c r="F8695" t="inlineStr">
        <is>
          <t>B0BF7PKWQZ</t>
        </is>
      </c>
      <c r="G8695">
        <f>_xludf.IMAGE("https://edmondsonsupply.com/cdn/shop/products/607-3-ins.jpg?v=1587143254")</f>
        <v/>
      </c>
      <c r="H8695">
        <f>_xludf.IMAGE("https://m.media-amazon.com/images/I/41ungtAOtqL._AC_UL320_.jpg")</f>
        <v/>
      </c>
      <c r="K8695" t="inlineStr">
        <is>
          <t>17.49</t>
        </is>
      </c>
      <c r="L8695" t="n">
        <v>11.97</v>
      </c>
      <c r="M8695" s="1" t="inlineStr">
        <is>
          <t>-31.56%</t>
        </is>
      </c>
      <c r="N8695" s="1" t="n"/>
      <c r="O8695" t="n">
        <v>4.7</v>
      </c>
      <c r="P8695" t="n">
        <v>201</v>
      </c>
      <c r="R8695" t="inlineStr">
        <is>
          <t>InStock</t>
        </is>
      </c>
      <c r="S8695" t="inlineStr">
        <is>
          <t>26.5</t>
        </is>
      </c>
      <c r="T8695" t="inlineStr">
        <is>
          <t>3688617902180</t>
        </is>
      </c>
    </row>
    <row r="8696" hidden="1" ht="15.75" customHeight="1">
      <c r="A8696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696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696" t="inlineStr">
        <is>
          <t>Klein Tools 607-3-INS Insulated Screwdriver, 3/32-Inch Cabinet, 3-Inch</t>
        </is>
      </c>
      <c r="D8696" t="inlineStr">
        <is>
          <t>Klein Tools 6816INS Insulated Screwdriver, 1000V 3/16-Inch Cabinet Tip Screwdriver with 6-Inch Shank, Tip-Ident, Cushion-Grip Handle</t>
        </is>
      </c>
      <c r="E8696" s="2">
        <f>HYPERLINK("https://www.amazon.com/Klein-Tools-6816INS-Screwdriver-Cushion-Grip/dp/B0BF7JHR5X/ref=sr_1_23?keywords=Klein+Tools+607-3-INS+Insulated+Screwdriver%2C+3%2F32-Inch+Cabinet%2C+3-Inch&amp;qid=1694735479&amp;sr=8-23", "https://www.amazon.com/Klein-Tools-6816INS-Screwdriver-Cushion-Grip/dp/B0BF7JHR5X/ref=sr_1_23?keywords=Klein+Tools+607-3-INS+Insulated+Screwdriver%2C+3%2F32-Inch+Cabinet%2C+3-Inch&amp;qid=1694735479&amp;sr=8-23")</f>
        <v/>
      </c>
      <c r="F8696" t="inlineStr">
        <is>
          <t>B0BF7JHR5X</t>
        </is>
      </c>
      <c r="G8696">
        <f>_xludf.IMAGE("https://edmondsonsupply.com/cdn/shop/products/607-3-ins.jpg?v=1587143254")</f>
        <v/>
      </c>
      <c r="H8696">
        <f>_xludf.IMAGE("https://m.media-amazon.com/images/I/31ngLMMA6xL._AC_UL320_.jpg")</f>
        <v/>
      </c>
      <c r="K8696" t="inlineStr">
        <is>
          <t>17.49</t>
        </is>
      </c>
      <c r="L8696" t="n">
        <v>11.97</v>
      </c>
      <c r="M8696" s="1" t="inlineStr">
        <is>
          <t>-31.56%</t>
        </is>
      </c>
      <c r="N8696" s="1" t="n"/>
      <c r="O8696" t="n">
        <v>4</v>
      </c>
      <c r="P8696" t="n">
        <v>6</v>
      </c>
      <c r="R8696" t="inlineStr">
        <is>
          <t>InStock</t>
        </is>
      </c>
      <c r="S8696" t="inlineStr">
        <is>
          <t>26.5</t>
        </is>
      </c>
      <c r="T8696" t="inlineStr">
        <is>
          <t>3688617902180</t>
        </is>
      </c>
    </row>
    <row r="8697" ht="87" customHeight="1">
      <c r="A8697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697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697" t="inlineStr">
        <is>
          <t>Klein Tools 11063W Katapult® Wire Stripper and Cutter for Solid and Stranded Wire</t>
        </is>
      </c>
      <c r="D8697" t="inlineStr">
        <is>
          <t>Klein Tools K11095 Klein-Kurve Wire Stripper and Cutter, for 8-18 AWG Solid and 10-20 AWG Stranded Wire,Blue/White</t>
        </is>
      </c>
      <c r="E8697" s="2">
        <f>HYPERLINK("https://www.amazon.com/Klein-Tools-K11095-Klein-Kurve-Stripper/dp/B08TQ83P2C/ref=sr_1_14?keywords=Klein+Tools+11063W+Katapult%C2%AE+Wire+Stripper+and+Cutter+for+Solid+and+Stranded+Wire&amp;qid=1694735440&amp;sr=8-14", "https://www.amazon.com/Klein-Tools-K11095-Klein-Kurve-Stripper/dp/B08TQ83P2C/ref=sr_1_14?keywords=Klein+Tools+11063W+Katapult%C2%AE+Wire+Stripper+and+Cutter+for+Solid+and+Stranded+Wire&amp;qid=1694735440&amp;sr=8-14")</f>
        <v/>
      </c>
      <c r="F8697" t="inlineStr">
        <is>
          <t>B08TQ83P2C</t>
        </is>
      </c>
      <c r="G8697">
        <f>_xlfn.IMAGE("https://edmondsonsupply.com/cdn/shop/products/11063w.jpg?v=1587151004")</f>
        <v/>
      </c>
      <c r="H8697">
        <f>_xlfn.IMAGE("https://m.media-amazon.com/images/I/5180XMjuiIL._AC_UL320_.jpg")</f>
        <v/>
      </c>
      <c r="K8697" t="inlineStr">
        <is>
          <t>29.97</t>
        </is>
      </c>
      <c r="L8697" t="n">
        <v>20.09</v>
      </c>
      <c r="M8697" s="1" t="inlineStr">
        <is>
          <t>-32.97%</t>
        </is>
      </c>
      <c r="N8697" s="7" t="n"/>
      <c r="O8697" t="n">
        <v>4.8</v>
      </c>
      <c r="P8697" t="n">
        <v>438</v>
      </c>
      <c r="R8697" t="inlineStr">
        <is>
          <t>InStock</t>
        </is>
      </c>
      <c r="S8697" t="inlineStr">
        <is>
          <t>44.7</t>
        </is>
      </c>
      <c r="T8697" t="inlineStr">
        <is>
          <t>4334180827236</t>
        </is>
      </c>
    </row>
    <row r="8698" ht="87" customHeight="1">
      <c r="A8698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698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698" t="inlineStr">
        <is>
          <t>Klein Tools 11063W Katapult® Wire Stripper and Cutter for Solid and Stranded Wire</t>
        </is>
      </c>
      <c r="D8698" t="inlineStr">
        <is>
          <t>Klein Tools 11055 Wire Cutter and Wire Stripper, Stranded Wire Cutter, Solid Wire Cutter, Cuts Copper Wire</t>
        </is>
      </c>
      <c r="E8698" s="2">
        <f>HYPERLINK("https://www.amazon.com/Klein-Tools-Cutter-Stripper-Stranded/dp/B00080DPNQ/ref=sr_1_9?keywords=Klein+Tools+11063W+Katapult%C2%AE+Wire+Stripper+and+Cutter+for+Solid+and+Stranded+Wire&amp;qid=1694735440&amp;sr=8-9", "https://www.amazon.com/Klein-Tools-Cutter-Stripper-Stranded/dp/B00080DPNQ/ref=sr_1_9?keywords=Klein+Tools+11063W+Katapult%C2%AE+Wire+Stripper+and+Cutter+for+Solid+and+Stranded+Wire&amp;qid=1694735440&amp;sr=8-9")</f>
        <v/>
      </c>
      <c r="F8698" t="inlineStr">
        <is>
          <t>B00080DPNQ</t>
        </is>
      </c>
      <c r="G8698">
        <f>_xlfn.IMAGE("https://edmondsonsupply.com/cdn/shop/products/11063w.jpg?v=1587151004")</f>
        <v/>
      </c>
      <c r="H8698">
        <f>_xlfn.IMAGE("https://m.media-amazon.com/images/I/51vtDdpy8vL._AC_UL320_.jpg")</f>
        <v/>
      </c>
      <c r="K8698" t="inlineStr">
        <is>
          <t>29.97</t>
        </is>
      </c>
      <c r="L8698" t="n">
        <v>19.99</v>
      </c>
      <c r="M8698" s="1" t="inlineStr">
        <is>
          <t>-33.30%</t>
        </is>
      </c>
      <c r="N8698" s="7" t="n"/>
      <c r="O8698" t="n">
        <v>4.8</v>
      </c>
      <c r="P8698" t="n">
        <v>7578</v>
      </c>
      <c r="R8698" t="inlineStr">
        <is>
          <t>InStock</t>
        </is>
      </c>
      <c r="S8698" t="inlineStr">
        <is>
          <t>44.7</t>
        </is>
      </c>
      <c r="T8698" t="inlineStr">
        <is>
          <t>4334180827236</t>
        </is>
      </c>
    </row>
    <row r="8699" ht="87" customHeight="1">
      <c r="A8699" s="2">
        <f>HYPERLINK("https://edmondsonsupply.com/collections/electricians-tools/products/klein-32807mag", "https://edmondsonsupply.com/collections/electricians-tools/products/klein-32807mag")</f>
        <v/>
      </c>
      <c r="B8699" s="2">
        <f>HYPERLINK("https://edmondsonsupply.com/products/klein-32807mag", "https://edmondsonsupply.com/products/klein-32807mag")</f>
        <v/>
      </c>
      <c r="C8699" t="inlineStr">
        <is>
          <t>Klein Tools 32807MAG 7-in-1 Multi-Bit Screwdriver / Nut Driver, Magnetic</t>
        </is>
      </c>
      <c r="D8699" t="inlineStr">
        <is>
          <t>Klein Tools 32477 Multi-Bit Screwdriver / Nut Driver 10-in-1 Multi Tool, Industrial Strength Bits, Phillips, Slotted, Square and Torx Bits</t>
        </is>
      </c>
      <c r="E8699" s="2">
        <f>HYPERLINK("https://www.amazon.com/Screwdriver-Industrial-Strength-Klein-Tools/dp/B0002RI5EY/ref=sr_1_33?keywords=Klein+Tools+32807MAG+7-in-1+Multi-Bit+Screwdriver+%2F+Nut+Driver%2C+Magnetic&amp;qid=1694735441&amp;sr=8-33", "https://www.amazon.com/Screwdriver-Industrial-Strength-Klein-Tools/dp/B0002RI5EY/ref=sr_1_33?keywords=Klein+Tools+32807MAG+7-in-1+Multi-Bit+Screwdriver+%2F+Nut+Driver%2C+Magnetic&amp;qid=1694735441&amp;sr=8-33")</f>
        <v/>
      </c>
      <c r="F8699" t="inlineStr">
        <is>
          <t>B0002RI5EY</t>
        </is>
      </c>
      <c r="G8699">
        <f>_xlfn.IMAGE("https://edmondsonsupply.com/cdn/shop/products/32807mag_beauty_l.jpg?v=1604873791")</f>
        <v/>
      </c>
      <c r="H8699">
        <f>_xlfn.IMAGE("https://m.media-amazon.com/images/I/71LrIhqEXuL._AC_UL320_.jpg")</f>
        <v/>
      </c>
      <c r="K8699" t="inlineStr">
        <is>
          <t>29.97</t>
        </is>
      </c>
      <c r="L8699" t="n">
        <v>19.99</v>
      </c>
      <c r="M8699" s="1" t="inlineStr">
        <is>
          <t>-33.30%</t>
        </is>
      </c>
      <c r="N8699" s="7" t="n"/>
      <c r="O8699" t="n">
        <v>4.7</v>
      </c>
      <c r="P8699" t="n">
        <v>555</v>
      </c>
      <c r="R8699" t="inlineStr">
        <is>
          <t>InStock</t>
        </is>
      </c>
      <c r="S8699" t="inlineStr">
        <is>
          <t>44.5</t>
        </is>
      </c>
      <c r="T8699" t="inlineStr">
        <is>
          <t>1493034008676</t>
        </is>
      </c>
    </row>
    <row r="8700" ht="87" customHeight="1">
      <c r="A8700" s="2">
        <f>HYPERLINK("https://edmondsonsupply.com/collections/electricians-tools/products/klein-32807mag", "https://edmondsonsupply.com/collections/electricians-tools/products/klein-32807mag")</f>
        <v/>
      </c>
      <c r="B8700" s="2">
        <f>HYPERLINK("https://edmondsonsupply.com/products/klein-32807mag", "https://edmondsonsupply.com/products/klein-32807mag")</f>
        <v/>
      </c>
      <c r="C8700" t="inlineStr">
        <is>
          <t>Klein Tools 32807MAG 7-in-1 Multi-Bit Screwdriver / Nut Driver, Magnetic</t>
        </is>
      </c>
      <c r="D8700" t="inlineStr">
        <is>
          <t>Klein Tools 32328 Precision Screwdriver, 27-in-1 Multi-Bit Screwdriver, Bits for Apple Product Repair, Rare-Earth Magnet</t>
        </is>
      </c>
      <c r="E8700" s="2">
        <f>HYPERLINK("https://www.amazon.com/Klein-Tools-32328-Screwdriver-Rare-Earth/dp/B09Z78CPK3/ref=sr_1_26?keywords=Klein+Tools+32807MAG+7-in-1+Multi-Bit+Screwdriver+%2F+Nut+Driver%2C+Magnetic&amp;qid=1694735441&amp;sr=8-26", "https://www.amazon.com/Klein-Tools-32328-Screwdriver-Rare-Earth/dp/B09Z78CPK3/ref=sr_1_26?keywords=Klein+Tools+32807MAG+7-in-1+Multi-Bit+Screwdriver+%2F+Nut+Driver%2C+Magnetic&amp;qid=1694735441&amp;sr=8-26")</f>
        <v/>
      </c>
      <c r="F8700" t="inlineStr">
        <is>
          <t>B09Z78CPK3</t>
        </is>
      </c>
      <c r="G8700">
        <f>_xlfn.IMAGE("https://edmondsonsupply.com/cdn/shop/products/32807mag_beauty_l.jpg?v=1604873791")</f>
        <v/>
      </c>
      <c r="H8700">
        <f>_xlfn.IMAGE("https://m.media-amazon.com/images/I/41AMJw8sOTL._AC_UL320_.jpg")</f>
        <v/>
      </c>
      <c r="K8700" t="inlineStr">
        <is>
          <t>29.97</t>
        </is>
      </c>
      <c r="L8700" t="n">
        <v>19.97</v>
      </c>
      <c r="M8700" s="1" t="inlineStr">
        <is>
          <t>-33.37%</t>
        </is>
      </c>
      <c r="N8700" s="7" t="n"/>
      <c r="O8700" t="n">
        <v>4.8</v>
      </c>
      <c r="P8700" t="n">
        <v>537</v>
      </c>
      <c r="R8700" t="inlineStr">
        <is>
          <t>InStock</t>
        </is>
      </c>
      <c r="S8700" t="inlineStr">
        <is>
          <t>44.5</t>
        </is>
      </c>
      <c r="T8700" t="inlineStr">
        <is>
          <t>1493034008676</t>
        </is>
      </c>
    </row>
    <row r="8701" hidden="1" ht="15.75" customHeight="1">
      <c r="A8701" s="2">
        <f>HYPERLINK("https://edmondsonsupply.com/collections/electricians-tools/products/klein-tools-614-6-1-8-inch-cabinet-electronics-screwdriver-6-inch", "https://edmondsonsupply.com/collections/electricians-tools/products/klein-tools-614-6-1-8-inch-cabinet-electronics-screwdriver-6-inch")</f>
        <v/>
      </c>
      <c r="B8701" s="2">
        <f>HYPERLINK("https://edmondsonsupply.com/products/klein-tools-614-6-1-8-inch-cabinet-electronics-screwdriver-6-inch", "https://edmondsonsupply.com/products/klein-tools-614-6-1-8-inch-cabinet-electronics-screwdriver-6-inch")</f>
        <v/>
      </c>
      <c r="C8701" t="inlineStr">
        <is>
          <t>Klein Tools 614-6 1/8-Inch Cabinet Electronics Screwdriver, 6-Inch</t>
        </is>
      </c>
      <c r="D8701" t="inlineStr">
        <is>
          <t>Klein Tools A216-4 1/8-Inch Cabinet-Tip Flat Head Screwdriver with 4-Inch Round Shank and Comfordome Handle</t>
        </is>
      </c>
      <c r="E8701" s="2">
        <f>HYPERLINK("https://www.amazon.com/Cabinet-Tip-Screwdriver-Klein-Tools-A216-4/dp/B00093GC28/ref=sr_1_15?keywords=Klein+Tools+614-6+1%2F8-Inch+Cabinet+Electronics+Screwdriver%2C+6-Inch&amp;qid=1694735470&amp;sr=8-15", "https://www.amazon.com/Cabinet-Tip-Screwdriver-Klein-Tools-A216-4/dp/B00093GC28/ref=sr_1_15?keywords=Klein+Tools+614-6+1%2F8-Inch+Cabinet+Electronics+Screwdriver%2C+6-Inch&amp;qid=1694735470&amp;sr=8-15")</f>
        <v/>
      </c>
      <c r="F8701" t="inlineStr">
        <is>
          <t>B00093GC28</t>
        </is>
      </c>
      <c r="G8701">
        <f>_xludf.IMAGE("https://edmondsonsupply.com/cdn/shop/products/614-6.jpg?v=1587147731")</f>
        <v/>
      </c>
      <c r="H8701">
        <f>_xludf.IMAGE("https://m.media-amazon.com/images/I/414kKbGezfL._AC_UL320_.jpg")</f>
        <v/>
      </c>
      <c r="K8701" t="inlineStr">
        <is>
          <t>9.99</t>
        </is>
      </c>
      <c r="L8701" t="n">
        <v>6.65</v>
      </c>
      <c r="M8701" s="1" t="inlineStr">
        <is>
          <t>-33.43%</t>
        </is>
      </c>
      <c r="N8701" s="1" t="n"/>
      <c r="O8701" t="n">
        <v>4.7</v>
      </c>
      <c r="P8701" t="n">
        <v>172</v>
      </c>
      <c r="R8701" t="inlineStr">
        <is>
          <t>InStock</t>
        </is>
      </c>
      <c r="S8701" t="inlineStr">
        <is>
          <t>15.14</t>
        </is>
      </c>
      <c r="T8701" t="inlineStr">
        <is>
          <t>3688620556388</t>
        </is>
      </c>
    </row>
    <row r="8702" ht="87" customHeight="1">
      <c r="A8702" s="2">
        <f>HYPERLINK("https://edmondsonsupply.com/collections/electricians-tools/products/klein-tools-j2000-9necrtp-9-side-cutting-pliers", "https://edmondsonsupply.com/collections/electricians-tools/products/klein-tools-j2000-9necrtp-9-side-cutting-pliers")</f>
        <v/>
      </c>
      <c r="B8702" s="2">
        <f>HYPERLINK("https://edmondsonsupply.com/products/klein-tools-j2000-9necrtp-9-side-cutting-pliers", "https://edmondsonsupply.com/products/klein-tools-j2000-9necrtp-9-side-cutting-pliers")</f>
        <v/>
      </c>
      <c r="C8702" t="inlineStr">
        <is>
          <t>Klein Tools J2000-9NECRTP Lineman's Pliers, Fish Tape Pull/Crimping, 9-Inch</t>
        </is>
      </c>
      <c r="D8702" t="inlineStr">
        <is>
          <t>Klein Tools D213-9NETP Lineman's Fish Tape Pulling Pliers, High Leverage Design with Handle Termpering for comfort when Cutting, 9-Inch</t>
        </is>
      </c>
      <c r="E8702" s="2">
        <f>HYPERLINK("https://www.amazon.com/Klein-Tools-D213-9NETP-Linemans-Pulling/dp/B000BOA2GC/ref=sr_1_3?keywords=Klein+Tools+J2000-9NECRTP+Lineman%27s+Pliers%2C+Fish+Tape+Pull%2FCrimping%2C+9-Inch&amp;qid=1694735465&amp;sr=8-3", "https://www.amazon.com/Klein-Tools-D213-9NETP-Linemans-Pulling/dp/B000BOA2GC/ref=sr_1_3?keywords=Klein+Tools+J2000-9NECRTP+Lineman%27s+Pliers%2C+Fish+Tape+Pull%2FCrimping%2C+9-Inch&amp;qid=1694735465&amp;sr=8-3")</f>
        <v/>
      </c>
      <c r="F8702" t="inlineStr">
        <is>
          <t>B000BOA2GC</t>
        </is>
      </c>
      <c r="G8702">
        <f>_xlfn.IMAGE("https://edmondsonsupply.com/cdn/shop/products/j20009necrtp.jpg?v=1587150652")</f>
        <v/>
      </c>
      <c r="H8702">
        <f>_xlfn.IMAGE("https://m.media-amazon.com/images/I/41zLHfcbp+L._AC_UL320_.jpg")</f>
        <v/>
      </c>
      <c r="K8702" t="inlineStr">
        <is>
          <t>59.99</t>
        </is>
      </c>
      <c r="L8702" t="n">
        <v>39.88</v>
      </c>
      <c r="M8702" s="1" t="inlineStr">
        <is>
          <t>-33.52%</t>
        </is>
      </c>
      <c r="N8702" s="7" t="n"/>
      <c r="O8702" t="n">
        <v>4.8</v>
      </c>
      <c r="P8702" t="n">
        <v>4116</v>
      </c>
      <c r="R8702" t="inlineStr">
        <is>
          <t>InStock</t>
        </is>
      </c>
      <c r="S8702" t="inlineStr">
        <is>
          <t>90.92</t>
        </is>
      </c>
      <c r="T8702" t="inlineStr">
        <is>
          <t>3698732105828</t>
        </is>
      </c>
    </row>
    <row r="8703" hidden="1" ht="15.75" customHeight="1">
      <c r="A8703" s="2">
        <f>HYPERLINK("https://edmondsonsupply.com/collections/electricians-tools/products/klein-tools-5248-tradesman-pro%E2%84%A2-knife-holder-with-clip", "https://edmondsonsupply.com/collections/electricians-tools/products/klein-tools-5248-tradesman-pro%E2%84%A2-knife-holder-with-clip")</f>
        <v/>
      </c>
      <c r="B8703" s="2">
        <f>HYPERLINK("https://edmondsonsupply.com/products/klein-tools-5248-tradesman-pro%e2%84%a2-knife-holder-with-clip", "https://edmondsonsupply.com/products/klein-tools-5248-tradesman-pro%e2%84%a2-knife-holder-with-clip")</f>
        <v/>
      </c>
      <c r="C8703" t="inlineStr">
        <is>
          <t>Klein Tools 5248 Tradesman Pro™ Knife Holder with Clip and Magnetic Flap</t>
        </is>
      </c>
      <c r="D8703" t="inlineStr">
        <is>
          <t>Klein Tools 5248 Tradesman Pro Knife Holder with Metal Clip and Magnetic Flap, Holster Made of 1680d Ballistic Weave Material</t>
        </is>
      </c>
      <c r="E8703" s="2">
        <f>HYPERLINK("https://www.amazon.com/Tradesman-Holder-Klein-Tools-5248/dp/B01KNBRNJQ/ref=sr_1_1?keywords=Klein+Tools+5248+Tradesman+Pro%E2%84%A2+Knife+Holder+with+Clip+and+Magnetic+Flap&amp;qid=1694735455&amp;sr=8-1", "https://www.amazon.com/Tradesman-Holder-Klein-Tools-5248/dp/B01KNBRNJQ/ref=sr_1_1?keywords=Klein+Tools+5248+Tradesman+Pro%E2%84%A2+Knife+Holder+with+Clip+and+Magnetic+Flap&amp;qid=1694735455&amp;sr=8-1")</f>
        <v/>
      </c>
      <c r="F8703" t="inlineStr">
        <is>
          <t>B01KNBRNJQ</t>
        </is>
      </c>
      <c r="G8703">
        <f>_xludf.IMAGE("https://edmondsonsupply.com/cdn/shop/products/5248.jpg?v=1587143733")</f>
        <v/>
      </c>
      <c r="H8703">
        <f>_xludf.IMAGE("https://m.media-amazon.com/images/I/618ILX6wWWL._AC_UL320_.jpg")</f>
        <v/>
      </c>
      <c r="K8703" t="inlineStr">
        <is>
          <t>16.64</t>
        </is>
      </c>
      <c r="L8703" t="n">
        <v>10.99</v>
      </c>
      <c r="M8703" s="1" t="inlineStr">
        <is>
          <t>-33.95%</t>
        </is>
      </c>
      <c r="N8703" s="1" t="n"/>
      <c r="O8703" t="n">
        <v>4.6</v>
      </c>
      <c r="P8703" t="n">
        <v>600</v>
      </c>
      <c r="R8703" t="inlineStr">
        <is>
          <t>InStock</t>
        </is>
      </c>
      <c r="S8703" t="inlineStr">
        <is>
          <t>16.64</t>
        </is>
      </c>
      <c r="T8703" t="inlineStr">
        <is>
          <t>4175432974436</t>
        </is>
      </c>
    </row>
    <row r="8704" hidden="1" ht="15.75" customHeight="1">
      <c r="A8704" s="2">
        <f>HYPERLINK("https://edmondsonsupply.com/collections/electricians-tools/products/klein-tools-600-4-1-4-inch-screwdriver-heavy-duty-square-shank", "https://edmondsonsupply.com/collections/electricians-tools/products/klein-tools-600-4-1-4-inch-screwdriver-heavy-duty-square-shank")</f>
        <v/>
      </c>
      <c r="B8704" s="2">
        <f>HYPERLINK("https://edmondsonsupply.com/products/klein-tools-600-4-1-4-inch-screwdriver-heavy-duty-square-shank", "https://edmondsonsupply.com/products/klein-tools-600-4-1-4-inch-screwdriver-heavy-duty-square-shank")</f>
        <v/>
      </c>
      <c r="C8704" t="inlineStr">
        <is>
          <t>Klein Tools 600-4 1/4-Inch Keystone Cushion-Grip Screwdriver</t>
        </is>
      </c>
      <c r="D8704" t="inlineStr">
        <is>
          <t>Klein Tools 600-1 5/16-Inch Flat Head Screwdriver with Cabinet Tip, 1-1/2-Inch Heavy Duty Round Shank and Cushion Grip Handle</t>
        </is>
      </c>
      <c r="E8704" s="2">
        <f>HYPERLINK("https://www.amazon.com/Klein-Tools-600-1-16-Inch-Screwdriver/dp/B0002G2OOC/ref=sr_1_25?keywords=Klein+Tools+600-4+1%2F4-Inch+Keystone+Cushion-Grip+Screwdriver&amp;qid=1694735465&amp;sr=8-25", "https://www.amazon.com/Klein-Tools-600-1-16-Inch-Screwdriver/dp/B0002G2OOC/ref=sr_1_25?keywords=Klein+Tools+600-4+1%2F4-Inch+Keystone+Cushion-Grip+Screwdriver&amp;qid=1694735465&amp;sr=8-25")</f>
        <v/>
      </c>
      <c r="F8704" t="inlineStr">
        <is>
          <t>B0002G2OOC</t>
        </is>
      </c>
      <c r="G8704">
        <f>_xludf.IMAGE("https://edmondsonsupply.com/cdn/shop/products/600-4.jpg?v=1587145175")</f>
        <v/>
      </c>
      <c r="H8704">
        <f>_xludf.IMAGE("https://m.media-amazon.com/images/I/414W04RiVwL._AC_UL320_.jpg")</f>
        <v/>
      </c>
      <c r="K8704" t="inlineStr">
        <is>
          <t>11.49</t>
        </is>
      </c>
      <c r="L8704" t="n">
        <v>7.26</v>
      </c>
      <c r="M8704" s="1" t="inlineStr">
        <is>
          <t>-36.81%</t>
        </is>
      </c>
      <c r="N8704" s="1" t="n"/>
      <c r="O8704" t="n">
        <v>4.7</v>
      </c>
      <c r="P8704" t="n">
        <v>95</v>
      </c>
      <c r="R8704" t="inlineStr">
        <is>
          <t>InStock</t>
        </is>
      </c>
      <c r="S8704" t="inlineStr">
        <is>
          <t>15.08</t>
        </is>
      </c>
      <c r="T8704" t="inlineStr">
        <is>
          <t>3700353073252</t>
        </is>
      </c>
    </row>
    <row r="8705" ht="87" customHeight="1">
      <c r="A8705" s="2">
        <f>HYPERLINK("https://edmondsonsupply.com/collections/electricians-tools/products/klein-tools-32596-8-in-1-hvac-slide-drive%E2%84%A2-screwdriver-nut-driver", "https://edmondsonsupply.com/collections/electricians-tools/products/klein-tools-32596-8-in-1-hvac-slide-drive%E2%84%A2-screwdriver-nut-driver")</f>
        <v/>
      </c>
      <c r="B8705" s="2">
        <f>HYPERLINK("https://edmondsonsupply.com/products/klein-tools-32596-8-in-1-hvac-slide-drive%e2%84%a2-screwdriver-nut-driver", "https://edmondsonsupply.com/products/klein-tools-32596-8-in-1-hvac-slide-drive%e2%84%a2-screwdriver-nut-driver")</f>
        <v/>
      </c>
      <c r="C8705" t="inlineStr">
        <is>
          <t>Klein Tools 32596 HVAC Slide Drive™ Multi-Bit Screwdriver / Nut Driver, 8-in-1</t>
        </is>
      </c>
      <c r="D8705" t="inlineStr">
        <is>
          <t>Klein Tools 32308 Multi-bit Stubby Screwdriver, Impact Rated 8-in-1 Adjustable Magnetic Tool with Phillips, Slotted, Square and Nut Driver</t>
        </is>
      </c>
      <c r="E8705" s="2">
        <f>HYPERLINK("https://www.amazon.com/Klein-Tools-Evaporative-Performance-Protection/dp/B08KFNDBRW/ref=sr_1_17?keywords=Klein+Tools+32596+HVAC+Slide+Drive%E2%84%A2+Multi-Bit+Screwdriver+%2F+Nut+Driver%2C+8-in-1&amp;qid=1694735471&amp;sr=8-17", "https://www.amazon.com/Klein-Tools-Evaporative-Performance-Protection/dp/B08KFNDBRW/ref=sr_1_17?keywords=Klein+Tools+32596+HVAC+Slide+Drive%E2%84%A2+Multi-Bit+Screwdriver+%2F+Nut+Driver%2C+8-in-1&amp;qid=1694735471&amp;sr=8-17")</f>
        <v/>
      </c>
      <c r="F8705" t="inlineStr">
        <is>
          <t>B08KFNDBRW</t>
        </is>
      </c>
      <c r="G8705">
        <f>_xlfn.IMAGE("https://edmondsonsupply.com/cdn/shop/products/32596_alt4.jpg?v=1587148720")</f>
        <v/>
      </c>
      <c r="H8705">
        <f>_xlfn.IMAGE("https://m.media-amazon.com/images/I/61qTHFhrhZL._AC_UL320_.jpg")</f>
        <v/>
      </c>
      <c r="K8705" t="inlineStr">
        <is>
          <t>26.97</t>
        </is>
      </c>
      <c r="L8705" t="n">
        <v>16.97</v>
      </c>
      <c r="M8705" s="1" t="inlineStr">
        <is>
          <t>-37.08%</t>
        </is>
      </c>
      <c r="N8705" s="7" t="n"/>
      <c r="O8705" t="n">
        <v>4.7</v>
      </c>
      <c r="P8705" t="n">
        <v>5219</v>
      </c>
      <c r="R8705" t="inlineStr">
        <is>
          <t>InStock</t>
        </is>
      </c>
      <c r="S8705" t="inlineStr">
        <is>
          <t>38.56</t>
        </is>
      </c>
      <c r="T8705" t="inlineStr">
        <is>
          <t>3690018111588</t>
        </is>
      </c>
    </row>
    <row r="8706" ht="87" customHeight="1">
      <c r="A8706" s="2">
        <f>HYPERLINK("https://edmondsonsupply.com/collections/electricians-tools/products/klein-32807mag", "https://edmondsonsupply.com/collections/electricians-tools/products/klein-32807mag")</f>
        <v/>
      </c>
      <c r="B8706" s="2">
        <f>HYPERLINK("https://edmondsonsupply.com/products/klein-32807mag", "https://edmondsonsupply.com/products/klein-32807mag")</f>
        <v/>
      </c>
      <c r="C8706" t="inlineStr">
        <is>
          <t>Klein Tools 32807MAG 7-in-1 Multi-Bit Screwdriver / Nut Driver, Magnetic</t>
        </is>
      </c>
      <c r="D8706" t="inlineStr">
        <is>
          <t>Klein Tools 32593 Multi-bit Ratcheting Screwdriver, 6-in-1 Stubby Tool with Phillips and Slotted Bits and 2 Nut Driver Sizes</t>
        </is>
      </c>
      <c r="E8706" s="2">
        <f>HYPERLINK("https://www.amazon.com/Ratcheting-Screwdriver-Klein-Tools-32593/dp/B01I2KJ91K/ref=sr_1_37?keywords=Klein+Tools+32807MAG+7-in-1+Multi-Bit+Screwdriver+%2F+Nut+Driver%2C+Magnetic&amp;qid=1694735441&amp;sr=8-37", "https://www.amazon.com/Ratcheting-Screwdriver-Klein-Tools-32593/dp/B01I2KJ91K/ref=sr_1_37?keywords=Klein+Tools+32807MAG+7-in-1+Multi-Bit+Screwdriver+%2F+Nut+Driver%2C+Magnetic&amp;qid=1694735441&amp;sr=8-37")</f>
        <v/>
      </c>
      <c r="F8706" t="inlineStr">
        <is>
          <t>B01I2KJ91K</t>
        </is>
      </c>
      <c r="G8706">
        <f>_xlfn.IMAGE("https://edmondsonsupply.com/cdn/shop/products/32807mag_beauty_l.jpg?v=1604873791")</f>
        <v/>
      </c>
      <c r="H8706">
        <f>_xlfn.IMAGE("https://m.media-amazon.com/images/I/51WOLpdOfpL._AC_UL320_.jpg")</f>
        <v/>
      </c>
      <c r="K8706" t="inlineStr">
        <is>
          <t>29.97</t>
        </is>
      </c>
      <c r="L8706" t="n">
        <v>17.97</v>
      </c>
      <c r="M8706" s="1" t="inlineStr">
        <is>
          <t>-40.04%</t>
        </is>
      </c>
      <c r="N8706" s="7" t="n"/>
      <c r="O8706" t="n">
        <v>4.8</v>
      </c>
      <c r="P8706" t="n">
        <v>1664</v>
      </c>
      <c r="R8706" t="inlineStr">
        <is>
          <t>InStock</t>
        </is>
      </c>
      <c r="S8706" t="inlineStr">
        <is>
          <t>44.5</t>
        </is>
      </c>
      <c r="T8706" t="inlineStr">
        <is>
          <t>1493034008676</t>
        </is>
      </c>
    </row>
    <row r="8707" hidden="1" ht="15.75" customHeight="1">
      <c r="A8707" s="2">
        <f>HYPERLINK("https://edmondsonsupply.com/collections/electricians-tools/products/klein-tools-662-4-ins-insulated-2-square-recess-tip-4-screwdriver-1000v", "https://edmondsonsupply.com/collections/electricians-tools/products/klein-tools-662-4-ins-insulated-2-square-recess-tip-4-screwdriver-1000v")</f>
        <v/>
      </c>
      <c r="B8707" s="2">
        <f>HYPERLINK("https://edmondsonsupply.com/products/klein-tools-662-4-ins-insulated-2-square-recess-tip-4-screwdriver-1000v", "https://edmondsonsupply.com/products/klein-tools-662-4-ins-insulated-2-square-recess-tip-4-screwdriver-1000v")</f>
        <v/>
      </c>
      <c r="C8707" t="inlineStr">
        <is>
          <t>Klein Tools 662-4-INS Insulated Screwdriver, #2 Square, 4'' Shank</t>
        </is>
      </c>
      <c r="D8707" t="inlineStr">
        <is>
          <t>Klein Tools 6844INS Insulated Screwdriver, 1000V #2 Square Tip Screwdriver with 4-Inch Shank, Tip-Ident, Cushion-Grip Handle</t>
        </is>
      </c>
      <c r="E8707" s="2">
        <f>HYPERLINK("https://www.amazon.com/Klein-Tools-6844INS-Screwdriver-Cushion-Grip/dp/B0BF7L6BZ6/ref=sr_1_4?keywords=Klein+Tools+662-4-INS+Insulated+Screwdriver%2C+%232+Square%2C+4%27%27+Shank&amp;qid=1694735455&amp;sr=8-4", "https://www.amazon.com/Klein-Tools-6844INS-Screwdriver-Cushion-Grip/dp/B0BF7L6BZ6/ref=sr_1_4?keywords=Klein+Tools+662-4-INS+Insulated+Screwdriver%2C+%232+Square%2C+4%27%27+Shank&amp;qid=1694735455&amp;sr=8-4")</f>
        <v/>
      </c>
      <c r="F8707" t="inlineStr">
        <is>
          <t>B0BF7L6BZ6</t>
        </is>
      </c>
      <c r="G8707">
        <f>_xludf.IMAGE("https://edmondsonsupply.com/cdn/shop/products/662-4-ins.jpg?v=1587151099")</f>
        <v/>
      </c>
      <c r="H8707">
        <f>_xludf.IMAGE("https://m.media-amazon.com/images/I/41RKewAXjvL._AC_UL320_.jpg")</f>
        <v/>
      </c>
      <c r="K8707" t="inlineStr">
        <is>
          <t>16.97</t>
        </is>
      </c>
      <c r="L8707" t="n">
        <v>9.99</v>
      </c>
      <c r="M8707" s="1" t="inlineStr">
        <is>
          <t>-41.13%</t>
        </is>
      </c>
      <c r="N8707" s="1" t="n"/>
      <c r="O8707" t="n">
        <v>4.9</v>
      </c>
      <c r="P8707" t="n">
        <v>202</v>
      </c>
      <c r="R8707" t="inlineStr">
        <is>
          <t>InStock</t>
        </is>
      </c>
      <c r="S8707" t="inlineStr">
        <is>
          <t>25.72</t>
        </is>
      </c>
      <c r="T8707" t="inlineStr">
        <is>
          <t>2443022860388</t>
        </is>
      </c>
    </row>
    <row r="8708" hidden="1" ht="15.75" customHeight="1">
      <c r="A8708" s="2">
        <f>HYPERLINK("https://edmondsonsupply.com/collections/electricians-tools/products/klein-tools-662-4-ins-insulated-2-square-recess-tip-4-screwdriver-1000v", "https://edmondsonsupply.com/collections/electricians-tools/products/klein-tools-662-4-ins-insulated-2-square-recess-tip-4-screwdriver-1000v")</f>
        <v/>
      </c>
      <c r="B8708" s="2">
        <f>HYPERLINK("https://edmondsonsupply.com/products/klein-tools-662-4-ins-insulated-2-square-recess-tip-4-screwdriver-1000v", "https://edmondsonsupply.com/products/klein-tools-662-4-ins-insulated-2-square-recess-tip-4-screwdriver-1000v")</f>
        <v/>
      </c>
      <c r="C8708" t="inlineStr">
        <is>
          <t>Klein Tools 662-4-INS Insulated Screwdriver, #2 Square, 4'' Shank</t>
        </is>
      </c>
      <c r="D8708" t="inlineStr">
        <is>
          <t>Klein Tools 6834INS Insulated Screwdriver, 1000V #2 Phillips Tip Screwdriver with 4-Inch Shank, Tip-Ident, Cushion-Grip Handle</t>
        </is>
      </c>
      <c r="E8708" s="2">
        <f>HYPERLINK("https://www.amazon.com/Klein-Tools-6834INS-Screwdriver-Cushion-Grip/dp/B0BF7LCHQ9/ref=sr_1_11?keywords=Klein+Tools+662-4-INS+Insulated+Screwdriver%2C+%232+Square%2C+4%27%27+Shank&amp;qid=1694735455&amp;sr=8-11", "https://www.amazon.com/Klein-Tools-6834INS-Screwdriver-Cushion-Grip/dp/B0BF7LCHQ9/ref=sr_1_11?keywords=Klein+Tools+662-4-INS+Insulated+Screwdriver%2C+%232+Square%2C+4%27%27+Shank&amp;qid=1694735455&amp;sr=8-11")</f>
        <v/>
      </c>
      <c r="F8708" t="inlineStr">
        <is>
          <t>B0BF7LCHQ9</t>
        </is>
      </c>
      <c r="G8708">
        <f>_xludf.IMAGE("https://edmondsonsupply.com/cdn/shop/products/662-4-ins.jpg?v=1587151099")</f>
        <v/>
      </c>
      <c r="H8708">
        <f>_xludf.IMAGE("https://m.media-amazon.com/images/I/41syzbetq2L._AC_UL320_.jpg")</f>
        <v/>
      </c>
      <c r="K8708" t="inlineStr">
        <is>
          <t>16.97</t>
        </is>
      </c>
      <c r="L8708" t="n">
        <v>9.99</v>
      </c>
      <c r="M8708" s="1" t="inlineStr">
        <is>
          <t>-41.13%</t>
        </is>
      </c>
      <c r="N8708" s="1" t="n"/>
      <c r="O8708" t="n">
        <v>5</v>
      </c>
      <c r="P8708" t="n">
        <v>5</v>
      </c>
      <c r="R8708" t="inlineStr">
        <is>
          <t>InStock</t>
        </is>
      </c>
      <c r="S8708" t="inlineStr">
        <is>
          <t>25.72</t>
        </is>
      </c>
      <c r="T8708" t="inlineStr">
        <is>
          <t>2443022860388</t>
        </is>
      </c>
    </row>
    <row r="8709" hidden="1" ht="15.75" customHeight="1">
      <c r="A8709" s="2">
        <f>HYPERLINK("https://edmondsonsupply.com/collections/electricians-tools/products/klein-tools-jth9e15-3-8-inch-hex-key-journeyman-t-handle-9-inch", "https://edmondsonsupply.com/collections/electricians-tools/products/klein-tools-jth9e15-3-8-inch-hex-key-journeyman-t-handle-9-inch")</f>
        <v/>
      </c>
      <c r="B8709" s="2">
        <f>HYPERLINK("https://edmondsonsupply.com/products/klein-tools-jth9e15-3-8-inch-hex-key-journeyman-t-handle-9-inch", "https://edmondsonsupply.com/products/klein-tools-jth9e15-3-8-inch-hex-key-journeyman-t-handle-9-inch")</f>
        <v/>
      </c>
      <c r="C8709" t="inlineStr">
        <is>
          <t>Klein Tools JTH9E15 3/8-Inch Hex Key, Journeyman T-Handle, 9-Inch</t>
        </is>
      </c>
      <c r="D8709" t="inlineStr">
        <is>
          <t>Klein Tools JTH9M3 3 mm Hex Key, Journeyman T-Handle, 9-Inch</t>
        </is>
      </c>
      <c r="E8709" s="2">
        <f>HYPERLINK("https://www.amazon.com/Journeyman-T-Handle-Klein-Tools-JTH9M3/dp/B005G3HJ28/ref=sr_1_7?keywords=Klein+Tools+JTH9E15+3%2F8-Inch+Hex+Key%2C+Journeyman+T-Handle%2C+9-Inch&amp;qid=1694735471&amp;sr=8-7", "https://www.amazon.com/Journeyman-T-Handle-Klein-Tools-JTH9M3/dp/B005G3HJ28/ref=sr_1_7?keywords=Klein+Tools+JTH9E15+3%2F8-Inch+Hex+Key%2C+Journeyman+T-Handle%2C+9-Inch&amp;qid=1694735471&amp;sr=8-7")</f>
        <v/>
      </c>
      <c r="F8709" t="inlineStr">
        <is>
          <t>B005G3HJ28</t>
        </is>
      </c>
      <c r="G8709">
        <f>_xludf.IMAGE("https://edmondsonsupply.com/cdn/shop/products/jth9e12.jpg?v=1587144816")</f>
        <v/>
      </c>
      <c r="H8709">
        <f>_xludf.IMAGE("https://m.media-amazon.com/images/I/51MZtGjDOtL._AC_UL320_.jpg")</f>
        <v/>
      </c>
      <c r="K8709" t="inlineStr">
        <is>
          <t>9.99</t>
        </is>
      </c>
      <c r="L8709" t="n">
        <v>5.88</v>
      </c>
      <c r="M8709" s="1" t="inlineStr">
        <is>
          <t>-41.14%</t>
        </is>
      </c>
      <c r="N8709" s="1" t="n"/>
      <c r="O8709" t="n">
        <v>4.6</v>
      </c>
      <c r="P8709" t="n">
        <v>179</v>
      </c>
      <c r="R8709" t="inlineStr">
        <is>
          <t>InStock</t>
        </is>
      </c>
      <c r="S8709" t="inlineStr">
        <is>
          <t>15.22</t>
        </is>
      </c>
      <c r="T8709" t="inlineStr">
        <is>
          <t>3695779151972</t>
        </is>
      </c>
    </row>
    <row r="8710" hidden="1" ht="15.75" customHeight="1">
      <c r="A8710" s="2">
        <f>HYPERLINK("https://edmondsonsupply.com/collections/electricians-tools/products/klein-tools-d507-6-adjustable-wrench-extra-capacity-6-1-2-inch", "https://edmondsonsupply.com/collections/electricians-tools/products/klein-tools-d507-6-adjustable-wrench-extra-capacity-6-1-2-inch")</f>
        <v/>
      </c>
      <c r="B8710" s="2">
        <f>HYPERLINK("https://edmondsonsupply.com/products/klein-tools-d507-6-adjustable-wrench-extra-capacity-6-1-2-inch", "https://edmondsonsupply.com/products/klein-tools-d507-6-adjustable-wrench-extra-capacity-6-1-2-inch")</f>
        <v/>
      </c>
      <c r="C8710" t="inlineStr">
        <is>
          <t>Klein Tools D507-6 Adjustable Wrench Extra Capacity, 6-1/2-Inch</t>
        </is>
      </c>
      <c r="D8710" t="inlineStr">
        <is>
          <t>Klein Tools S6HB Strap Wrench, Adjustable Grip-It Strap Wrench Adjusts 1-1/2 to 4-Inch, 6-Inch Handle</t>
        </is>
      </c>
      <c r="E8710" s="2">
        <f>HYPERLINK("https://www.amazon.com/Klein-Tools-S6HB-Adjustable-Adjusts/dp/B0BN4K6NJ3/ref=sr_1_7?keywords=Klein+Tools+D507-6+Adjustable+Wrench+Extra+Capacity%2C+6-1%2F2-Inch&amp;qid=1694735470&amp;sr=8-7", "https://www.amazon.com/Klein-Tools-S6HB-Adjustable-Adjusts/dp/B0BN4K6NJ3/ref=sr_1_7?keywords=Klein+Tools+D507-6+Adjustable+Wrench+Extra+Capacity%2C+6-1%2F2-Inch&amp;qid=1694735470&amp;sr=8-7")</f>
        <v/>
      </c>
      <c r="F8710" t="inlineStr">
        <is>
          <t>B0BN4K6NJ3</t>
        </is>
      </c>
      <c r="G8710">
        <f>_xludf.IMAGE("https://edmondsonsupply.com/cdn/shop/products/d507-6.jpg?v=1587147606")</f>
        <v/>
      </c>
      <c r="H8710">
        <f>_xludf.IMAGE("https://m.media-amazon.com/images/I/51B-bCYdl9L._AC_UL320_.jpg")</f>
        <v/>
      </c>
      <c r="K8710" t="inlineStr">
        <is>
          <t>25.99</t>
        </is>
      </c>
      <c r="L8710" t="n">
        <v>14.99</v>
      </c>
      <c r="M8710" s="1" t="inlineStr">
        <is>
          <t>-42.32%</t>
        </is>
      </c>
      <c r="N8710" s="1" t="n"/>
      <c r="O8710" t="n">
        <v>4.2</v>
      </c>
      <c r="P8710" t="n">
        <v>7</v>
      </c>
      <c r="R8710" t="inlineStr">
        <is>
          <t>InStock</t>
        </is>
      </c>
      <c r="S8710" t="inlineStr">
        <is>
          <t>39.3</t>
        </is>
      </c>
      <c r="T8710" t="inlineStr">
        <is>
          <t>3694818099300</t>
        </is>
      </c>
    </row>
    <row r="8711" hidden="1" ht="15.75" customHeight="1">
      <c r="A8711" s="2">
        <f>HYPERLINK("https://edmondsonsupply.com/collections/electricians-tools/products/klein-tools-607-3-ins-insulated-screwdriver-3-32-inch-cabinet-3-inch", "https://edmondsonsupply.com/collections/electricians-tools/products/klein-tools-607-3-ins-insulated-screwdriver-3-32-inch-cabinet-3-inch")</f>
        <v/>
      </c>
      <c r="B8711" s="2">
        <f>HYPERLINK("https://edmondsonsupply.com/products/klein-tools-607-3-ins-insulated-screwdriver-3-32-inch-cabinet-3-inch", "https://edmondsonsupply.com/products/klein-tools-607-3-ins-insulated-screwdriver-3-32-inch-cabinet-3-inch")</f>
        <v/>
      </c>
      <c r="C8711" t="inlineStr">
        <is>
          <t>Klein Tools 607-3-INS Insulated Screwdriver, 3/32-Inch Cabinet, 3-Inch</t>
        </is>
      </c>
      <c r="D8711" t="inlineStr">
        <is>
          <t>Klein Tools 6834INS Insulated Screwdriver, 1000V #2 Phillips Tip Screwdriver with 4-Inch Shank, Tip-Ident, Cushion-Grip Handle</t>
        </is>
      </c>
      <c r="E8711" s="2">
        <f>HYPERLINK("https://www.amazon.com/Klein-Tools-6834INS-Screwdriver-Cushion-Grip/dp/B0BF7LCHQ9/ref=sr_1_13?keywords=Klein+Tools+607-3-INS+Insulated+Screwdriver%2C+3%2F32-Inch+Cabinet%2C+3-Inch&amp;qid=1694735479&amp;sr=8-13", "https://www.amazon.com/Klein-Tools-6834INS-Screwdriver-Cushion-Grip/dp/B0BF7LCHQ9/ref=sr_1_13?keywords=Klein+Tools+607-3-INS+Insulated+Screwdriver%2C+3%2F32-Inch+Cabinet%2C+3-Inch&amp;qid=1694735479&amp;sr=8-13")</f>
        <v/>
      </c>
      <c r="F8711" t="inlineStr">
        <is>
          <t>B0BF7LCHQ9</t>
        </is>
      </c>
      <c r="G8711">
        <f>_xludf.IMAGE("https://edmondsonsupply.com/cdn/shop/products/607-3-ins.jpg?v=1587143254")</f>
        <v/>
      </c>
      <c r="H8711">
        <f>_xludf.IMAGE("https://m.media-amazon.com/images/I/41syzbetq2L._AC_UL320_.jpg")</f>
        <v/>
      </c>
      <c r="K8711" t="inlineStr">
        <is>
          <t>17.49</t>
        </is>
      </c>
      <c r="L8711" t="n">
        <v>9.99</v>
      </c>
      <c r="M8711" s="1" t="inlineStr">
        <is>
          <t>-42.88%</t>
        </is>
      </c>
      <c r="N8711" s="1" t="n"/>
      <c r="O8711" t="n">
        <v>5</v>
      </c>
      <c r="P8711" t="n">
        <v>5</v>
      </c>
      <c r="R8711" t="inlineStr">
        <is>
          <t>InStock</t>
        </is>
      </c>
      <c r="S8711" t="inlineStr">
        <is>
          <t>26.5</t>
        </is>
      </c>
      <c r="T8711" t="inlineStr">
        <is>
          <t>3688617902180</t>
        </is>
      </c>
    </row>
    <row r="8712" hidden="1" ht="15.75" customHeight="1">
      <c r="A8712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712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712" t="inlineStr">
        <is>
          <t>Klein Tools JTH6M8 8 mm Hex Key with Journeyman T-Handle, 6-Inch</t>
        </is>
      </c>
      <c r="D8712" t="inlineStr">
        <is>
          <t>Klein Tools JTH6M3 3 mm Hex Key with Journeyman T-Handle, 6-Inch</t>
        </is>
      </c>
      <c r="E8712" s="2">
        <f>HYPERLINK("https://www.amazon.com/Journeyman-T-Handle-Klein-Tools-JTH6M3/dp/B005G394RG/ref=sr_1_3?keywords=Klein+Tools+JTH6M8+8+mm+Hex+Key+with+Journeyman+T-Handle%2C+6-Inch&amp;qid=1694735436&amp;sr=8-3", "https://www.amazon.com/Journeyman-T-Handle-Klein-Tools-JTH6M3/dp/B005G394RG/ref=sr_1_3?keywords=Klein+Tools+JTH6M8+8+mm+Hex+Key+with+Journeyman+T-Handle%2C+6-Inch&amp;qid=1694735436&amp;sr=8-3")</f>
        <v/>
      </c>
      <c r="F8712" t="inlineStr">
        <is>
          <t>B005G394RG</t>
        </is>
      </c>
      <c r="G8712">
        <f>_xludf.IMAGE("https://edmondsonsupply.com/cdn/shop/products/jth6m8_31a5ad24-670d-4140-a5ec-3785d5bf79d2.jpg?v=1587146374")</f>
        <v/>
      </c>
      <c r="H8712">
        <f>_xludf.IMAGE("https://m.media-amazon.com/images/I/51+1x0vz9XL._AC_UL320_.jpg")</f>
        <v/>
      </c>
      <c r="K8712" t="inlineStr">
        <is>
          <t>6.99</t>
        </is>
      </c>
      <c r="L8712" t="n">
        <v>3.99</v>
      </c>
      <c r="M8712" s="1" t="inlineStr">
        <is>
          <t>-42.92%</t>
        </is>
      </c>
      <c r="N8712" s="1" t="n"/>
      <c r="O8712" t="n">
        <v>4.7</v>
      </c>
      <c r="P8712" t="n">
        <v>358</v>
      </c>
      <c r="R8712" t="inlineStr">
        <is>
          <t>InStock</t>
        </is>
      </c>
      <c r="S8712" t="inlineStr">
        <is>
          <t>10.58</t>
        </is>
      </c>
      <c r="T8712" t="inlineStr">
        <is>
          <t>4343287775332</t>
        </is>
      </c>
    </row>
    <row r="8713" ht="87" customHeight="1">
      <c r="A8713" s="2">
        <f>HYPERLINK("https://edmondsonsupply.com/collections/electricians-tools/products/klein-32807mag", "https://edmondsonsupply.com/collections/electricians-tools/products/klein-32807mag")</f>
        <v/>
      </c>
      <c r="B8713" s="2">
        <f>HYPERLINK("https://edmondsonsupply.com/products/klein-32807mag", "https://edmondsonsupply.com/products/klein-32807mag")</f>
        <v/>
      </c>
      <c r="C8713" t="inlineStr">
        <is>
          <t>Klein Tools 32807MAG 7-in-1 Multi-Bit Screwdriver / Nut Driver, Magnetic</t>
        </is>
      </c>
      <c r="D8713" t="inlineStr">
        <is>
          <t>Klein Tools 32560 Multi-Bit Screwdriver / Nut Driver, Extended Reach 6-in-1 Tool with Phillips, Slotted and Square Bits and Nut Drivers</t>
        </is>
      </c>
      <c r="E8713" s="2">
        <f>HYPERLINK("https://www.amazon.com/Extended-Screwdriver-Klein-Tools-32560/dp/B005FQDHF4/ref=sr_1_18?keywords=Klein+Tools+32807MAG+7-in-1+Multi-Bit+Screwdriver+%2F+Nut+Driver%2C+Magnetic&amp;qid=1694735441&amp;sr=8-18", "https://www.amazon.com/Extended-Screwdriver-Klein-Tools-32560/dp/B005FQDHF4/ref=sr_1_18?keywords=Klein+Tools+32807MAG+7-in-1+Multi-Bit+Screwdriver+%2F+Nut+Driver%2C+Magnetic&amp;qid=1694735441&amp;sr=8-18")</f>
        <v/>
      </c>
      <c r="F8713" t="inlineStr">
        <is>
          <t>B005FQDHF4</t>
        </is>
      </c>
      <c r="G8713">
        <f>_xlfn.IMAGE("https://edmondsonsupply.com/cdn/shop/products/32807mag_beauty_l.jpg?v=1604873791")</f>
        <v/>
      </c>
      <c r="H8713">
        <f>_xlfn.IMAGE("https://m.media-amazon.com/images/I/516UhfUKmUL._AC_UL320_.jpg")</f>
        <v/>
      </c>
      <c r="K8713" t="inlineStr">
        <is>
          <t>29.97</t>
        </is>
      </c>
      <c r="L8713" t="n">
        <v>16.99</v>
      </c>
      <c r="M8713" s="1" t="inlineStr">
        <is>
          <t>-43.31%</t>
        </is>
      </c>
      <c r="N8713" s="7" t="n"/>
      <c r="O8713" t="n">
        <v>4.8</v>
      </c>
      <c r="P8713" t="n">
        <v>679</v>
      </c>
      <c r="R8713" t="inlineStr">
        <is>
          <t>InStock</t>
        </is>
      </c>
      <c r="S8713" t="inlineStr">
        <is>
          <t>44.5</t>
        </is>
      </c>
      <c r="T8713" t="inlineStr">
        <is>
          <t>1493034008676</t>
        </is>
      </c>
    </row>
    <row r="8714" hidden="1" ht="15.75" customHeight="1">
      <c r="A8714" s="2">
        <f>HYPERLINK("https://edmondsonsupply.com/collections/electricians-tools/products/klein-tools-625-32-triple-taps-6-32-8-32-10-32", "https://edmondsonsupply.com/collections/electricians-tools/products/klein-tools-625-32-triple-taps-6-32-8-32-10-32")</f>
        <v/>
      </c>
      <c r="B8714" s="2">
        <f>HYPERLINK("https://edmondsonsupply.com/products/klein-tools-625-32-triple-taps-6-32-8-32-10-32", "https://edmondsonsupply.com/products/klein-tools-625-32-triple-taps-6-32-8-32-10-32")</f>
        <v/>
      </c>
      <c r="C8714" t="inlineStr">
        <is>
          <t>Klein Tools 625-32 Triple Taps 6-32, 8-32, 10-32</t>
        </is>
      </c>
      <c r="D8714" t="inlineStr">
        <is>
          <t>Klein Tools 626-32 Replacement Tap Set for Triple Taps and 6-in-1 Tapping Tools Sizes 10-32, 8-32, 6-32</t>
        </is>
      </c>
      <c r="E8714" s="2">
        <f>HYPERLINK("https://www.amazon.com/Klein-Tools-626-32-Replacement-Tapping/dp/B00093D6PO/ref=sr_1_2?keywords=Klein+Tools+625-32+Triple+Taps+6-32%2C+8-32%2C+10-32&amp;qid=1694735451&amp;sr=8-2", "https://www.amazon.com/Klein-Tools-626-32-Replacement-Tapping/dp/B00093D6PO/ref=sr_1_2?keywords=Klein+Tools+625-32+Triple+Taps+6-32%2C+8-32%2C+10-32&amp;qid=1694735451&amp;sr=8-2")</f>
        <v/>
      </c>
      <c r="F8714" t="inlineStr">
        <is>
          <t>B00093D6PO</t>
        </is>
      </c>
      <c r="G8714">
        <f>_xludf.IMAGE("https://edmondsonsupply.com/cdn/shop/products/62532_b.jpg?v=1680106390")</f>
        <v/>
      </c>
      <c r="H8714">
        <f>_xludf.IMAGE("https://m.media-amazon.com/images/I/41lotMaro6L._AC_UL320_.jpg")</f>
        <v/>
      </c>
      <c r="K8714" t="inlineStr">
        <is>
          <t>14.99</t>
        </is>
      </c>
      <c r="L8714" t="n">
        <v>8.49</v>
      </c>
      <c r="M8714" s="1" t="inlineStr">
        <is>
          <t>-43.36%</t>
        </is>
      </c>
      <c r="N8714" s="1" t="n"/>
      <c r="O8714" t="n">
        <v>4.6</v>
      </c>
      <c r="P8714" t="n">
        <v>746</v>
      </c>
      <c r="R8714" t="inlineStr">
        <is>
          <t>InStock</t>
        </is>
      </c>
      <c r="S8714" t="inlineStr">
        <is>
          <t>22.72</t>
        </is>
      </c>
      <c r="T8714" t="inlineStr">
        <is>
          <t>4289974698084</t>
        </is>
      </c>
    </row>
    <row r="8715" ht="87" customHeight="1">
      <c r="A8715" s="2">
        <f>HYPERLINK("https://edmondsonsupply.com/collections/electricians-tools/products/klein-32807mag", "https://edmondsonsupply.com/collections/electricians-tools/products/klein-32807mag")</f>
        <v/>
      </c>
      <c r="B8715" s="2">
        <f>HYPERLINK("https://edmondsonsupply.com/products/klein-32807mag", "https://edmondsonsupply.com/products/klein-32807mag")</f>
        <v/>
      </c>
      <c r="C8715" t="inlineStr">
        <is>
          <t>Klein Tools 32807MAG 7-in-1 Multi-Bit Screwdriver / Nut Driver, Magnetic</t>
        </is>
      </c>
      <c r="D8715" t="inlineStr">
        <is>
          <t>Klein Tools 32308 Multi-bit Stubby Screwdriver, Impact Rated 8-in-1 Adjustable Magnetic Tool with Phillips, Slotted, Square and Nut Driver</t>
        </is>
      </c>
      <c r="E8715" s="2">
        <f>HYPERLINK("https://www.amazon.com/Klein-Tools-Evaporative-Performance-Protection/dp/B08KFNDBRW/ref=sr_1_19?keywords=Klein+Tools+32807MAG+7-in-1+Multi-Bit+Screwdriver+%2F+Nut+Driver%2C+Magnetic&amp;qid=1694735441&amp;sr=8-19", "https://www.amazon.com/Klein-Tools-Evaporative-Performance-Protection/dp/B08KFNDBRW/ref=sr_1_19?keywords=Klein+Tools+32807MAG+7-in-1+Multi-Bit+Screwdriver+%2F+Nut+Driver%2C+Magnetic&amp;qid=1694735441&amp;sr=8-19")</f>
        <v/>
      </c>
      <c r="F8715" t="inlineStr">
        <is>
          <t>B08KFNDBRW</t>
        </is>
      </c>
      <c r="G8715">
        <f>_xlfn.IMAGE("https://edmondsonsupply.com/cdn/shop/products/32807mag_beauty_l.jpg?v=1604873791")</f>
        <v/>
      </c>
      <c r="H8715">
        <f>_xlfn.IMAGE("https://m.media-amazon.com/images/I/61qTHFhrhZL._AC_UL320_.jpg")</f>
        <v/>
      </c>
      <c r="K8715" t="inlineStr">
        <is>
          <t>29.97</t>
        </is>
      </c>
      <c r="L8715" t="n">
        <v>16.97</v>
      </c>
      <c r="M8715" s="1" t="inlineStr">
        <is>
          <t>-43.38%</t>
        </is>
      </c>
      <c r="N8715" s="7" t="n"/>
      <c r="O8715" t="n">
        <v>4.7</v>
      </c>
      <c r="P8715" t="n">
        <v>5219</v>
      </c>
      <c r="R8715" t="inlineStr">
        <is>
          <t>InStock</t>
        </is>
      </c>
      <c r="S8715" t="inlineStr">
        <is>
          <t>44.5</t>
        </is>
      </c>
      <c r="T8715" t="inlineStr">
        <is>
          <t>1493034008676</t>
        </is>
      </c>
    </row>
    <row r="8716" ht="87" customHeight="1">
      <c r="A8716" s="2">
        <f>HYPERLINK("https://edmondsonsupply.com/collections/electricians-tools/products/lighted-torpedo-billet-level-rare-earth-magnet", "https://edmondsonsupply.com/collections/electricians-tools/products/lighted-torpedo-billet-level-rare-earth-magnet")</f>
        <v/>
      </c>
      <c r="B8716" s="2">
        <f>HYPERLINK("https://edmondsonsupply.com/products/lighted-torpedo-billet-level-rare-earth-magnet", "https://edmondsonsupply.com/products/lighted-torpedo-billet-level-rare-earth-magnet")</f>
        <v/>
      </c>
      <c r="C8716" t="inlineStr">
        <is>
          <t>Klein Tools 935RBLT Lighted Torpedo Billet Level, Rare Earth Magnet</t>
        </is>
      </c>
      <c r="D8716" t="inlineStr">
        <is>
          <t>Klein Tools 935R Aluminum Torpedo Level, Rare-Earth Magnet, 9-Inch, Hi-Viz, V-Groove, 3 Vials, Top-View Vial, One Size, Factory</t>
        </is>
      </c>
      <c r="E8716" s="2">
        <f>HYPERLINK("https://www.amazon.com/Magnetic-Aluminum-Klein-Tools-935R/dp/B01M7SWA5B/ref=sr_1_3?keywords=Klein+Tools+935RBLT+Lighted+Torpedo+Billet+Level%2C+Rare+Earth+Magnet&amp;qid=1694735453&amp;sr=8-3", "https://www.amazon.com/Magnetic-Aluminum-Klein-Tools-935R/dp/B01M7SWA5B/ref=sr_1_3?keywords=Klein+Tools+935RBLT+Lighted+Torpedo+Billet+Level%2C+Rare+Earth+Magnet&amp;qid=1694735453&amp;sr=8-3")</f>
        <v/>
      </c>
      <c r="F8716" t="inlineStr">
        <is>
          <t>B01M7SWA5B</t>
        </is>
      </c>
      <c r="G8716">
        <f>_xlfn.IMAGE("https://edmondsonsupply.com/cdn/shop/products/935rblt.jpg?v=1666106165")</f>
        <v/>
      </c>
      <c r="H8716">
        <f>_xlfn.IMAGE("https://m.media-amazon.com/images/I/51BvZgLyLHL._AC_UL320_.jpg")</f>
        <v/>
      </c>
      <c r="K8716" t="inlineStr">
        <is>
          <t>39.97</t>
        </is>
      </c>
      <c r="L8716" t="n">
        <v>21.99</v>
      </c>
      <c r="M8716" s="1" t="inlineStr">
        <is>
          <t>-44.98%</t>
        </is>
      </c>
      <c r="N8716" s="7" t="n"/>
      <c r="O8716" t="n">
        <v>4.5</v>
      </c>
      <c r="P8716" t="n">
        <v>762</v>
      </c>
      <c r="R8716" t="inlineStr">
        <is>
          <t>InStock</t>
        </is>
      </c>
      <c r="S8716" t="inlineStr">
        <is>
          <t>59.86</t>
        </is>
      </c>
      <c r="T8716" t="inlineStr">
        <is>
          <t>1436433055844</t>
        </is>
      </c>
    </row>
    <row r="8717" ht="87" customHeight="1">
      <c r="A8717" s="2">
        <f>HYPERLINK("https://edmondsonsupply.com/collections/electricians-tools/products/klein-32807mag", "https://edmondsonsupply.com/collections/electricians-tools/products/klein-32807mag")</f>
        <v/>
      </c>
      <c r="B8717" s="2">
        <f>HYPERLINK("https://edmondsonsupply.com/products/klein-32807mag", "https://edmondsonsupply.com/products/klein-32807mag")</f>
        <v/>
      </c>
      <c r="C8717" t="inlineStr">
        <is>
          <t>Klein Tools 32807MAG 7-in-1 Multi-Bit Screwdriver / Nut Driver, Magnetic</t>
        </is>
      </c>
      <c r="D8717" t="inlineStr">
        <is>
          <t>Klein Tools 32559 Multi-bit Screwdriver / Nut Driver, Extended Reach 6-in-1 Tool with Nut Driver, Phillips and Slotted Bits</t>
        </is>
      </c>
      <c r="E8717" s="2">
        <f>HYPERLINK("https://www.amazon.com/Multibit-Screwdriver-Klein-Tools-32559/dp/B005FQDHDG/ref=sr_1_14?keywords=Klein+Tools+32807MAG+7-in-1+Multi-Bit+Screwdriver+%2F+Nut+Driver%2C+Magnetic&amp;qid=1694735441&amp;sr=8-14", "https://www.amazon.com/Multibit-Screwdriver-Klein-Tools-32559/dp/B005FQDHDG/ref=sr_1_14?keywords=Klein+Tools+32807MAG+7-in-1+Multi-Bit+Screwdriver+%2F+Nut+Driver%2C+Magnetic&amp;qid=1694735441&amp;sr=8-14")</f>
        <v/>
      </c>
      <c r="F8717" t="inlineStr">
        <is>
          <t>B005FQDHDG</t>
        </is>
      </c>
      <c r="G8717">
        <f>_xlfn.IMAGE("https://edmondsonsupply.com/cdn/shop/products/32807mag_beauty_l.jpg?v=1604873791")</f>
        <v/>
      </c>
      <c r="H8717">
        <f>_xlfn.IMAGE("https://m.media-amazon.com/images/I/514peoSo7EL._AC_UL320_.jpg")</f>
        <v/>
      </c>
      <c r="K8717" t="inlineStr">
        <is>
          <t>29.97</t>
        </is>
      </c>
      <c r="L8717" t="n">
        <v>15.97</v>
      </c>
      <c r="M8717" s="1" t="inlineStr">
        <is>
          <t>-46.71%</t>
        </is>
      </c>
      <c r="N8717" s="7" t="n"/>
      <c r="O8717" t="n">
        <v>4.8</v>
      </c>
      <c r="P8717" t="n">
        <v>2200</v>
      </c>
      <c r="R8717" t="inlineStr">
        <is>
          <t>InStock</t>
        </is>
      </c>
      <c r="S8717" t="inlineStr">
        <is>
          <t>44.5</t>
        </is>
      </c>
      <c r="T8717" t="inlineStr">
        <is>
          <t>1493034008676</t>
        </is>
      </c>
    </row>
    <row r="8718" ht="87" customHeight="1">
      <c r="A8718" s="2">
        <f>HYPERLINK("https://edmondsonsupply.com/collections/electricians-tools/products/klein-32807mag", "https://edmondsonsupply.com/collections/electricians-tools/products/klein-32807mag")</f>
        <v/>
      </c>
      <c r="B8718" s="2">
        <f>HYPERLINK("https://edmondsonsupply.com/products/klein-32807mag", "https://edmondsonsupply.com/products/klein-32807mag")</f>
        <v/>
      </c>
      <c r="C8718" t="inlineStr">
        <is>
          <t>Klein Tools 32807MAG 7-in-1 Multi-Bit Screwdriver / Nut Driver, Magnetic</t>
        </is>
      </c>
      <c r="D8718" t="inlineStr">
        <is>
          <t>Klein Tools 32527 Multi-Bit Screwdriver / Nut Driver, 11-in-1 with Phillips, Slotted, Square, and Schrader Bits and Nut Drivers</t>
        </is>
      </c>
      <c r="E8718" s="2">
        <f>HYPERLINK("https://www.amazon.com/Screwdriver-Phillips-Klein-Tools-32527/dp/B004RIDKHQ/ref=sr_1_20?keywords=Klein+Tools+32807MAG+7-in-1+Multi-Bit+Screwdriver+%2F+Nut+Driver%2C+Magnetic&amp;qid=1694735441&amp;sr=8-20", "https://www.amazon.com/Screwdriver-Phillips-Klein-Tools-32527/dp/B004RIDKHQ/ref=sr_1_20?keywords=Klein+Tools+32807MAG+7-in-1+Multi-Bit+Screwdriver+%2F+Nut+Driver%2C+Magnetic&amp;qid=1694735441&amp;sr=8-20")</f>
        <v/>
      </c>
      <c r="F8718" t="inlineStr">
        <is>
          <t>B004RIDKHQ</t>
        </is>
      </c>
      <c r="G8718">
        <f>_xlfn.IMAGE("https://edmondsonsupply.com/cdn/shop/products/32807mag_beauty_l.jpg?v=1604873791")</f>
        <v/>
      </c>
      <c r="H8718">
        <f>_xlfn.IMAGE("https://m.media-amazon.com/images/I/41cLxI0Af5L._AC_UL320_.jpg")</f>
        <v/>
      </c>
      <c r="K8718" t="inlineStr">
        <is>
          <t>29.97</t>
        </is>
      </c>
      <c r="L8718" t="n">
        <v>15.97</v>
      </c>
      <c r="M8718" s="1" t="inlineStr">
        <is>
          <t>-46.71%</t>
        </is>
      </c>
      <c r="N8718" s="7" t="n"/>
      <c r="O8718" t="n">
        <v>4.8</v>
      </c>
      <c r="P8718" t="n">
        <v>4201</v>
      </c>
      <c r="R8718" t="inlineStr">
        <is>
          <t>InStock</t>
        </is>
      </c>
      <c r="S8718" t="inlineStr">
        <is>
          <t>44.5</t>
        </is>
      </c>
      <c r="T8718" t="inlineStr">
        <is>
          <t>1493034008676</t>
        </is>
      </c>
    </row>
    <row r="8719" hidden="1" ht="15.75" customHeight="1">
      <c r="A8719" s="2">
        <f>HYPERLINK("https://edmondsonsupply.com/collections/electricians-tools/products/klein-tools-jth6m8-8-mm-hex-key-with-journeyman-t-handle-6-inch", "https://edmondsonsupply.com/collections/electricians-tools/products/klein-tools-jth6m8-8-mm-hex-key-with-journeyman-t-handle-6-inch")</f>
        <v/>
      </c>
      <c r="B8719" s="2">
        <f>HYPERLINK("https://edmondsonsupply.com/products/klein-tools-jth6m8-8-mm-hex-key-with-journeyman-t-handle-6-inch", "https://edmondsonsupply.com/products/klein-tools-jth6m8-8-mm-hex-key-with-journeyman-t-handle-6-inch")</f>
        <v/>
      </c>
      <c r="C8719" t="inlineStr">
        <is>
          <t>Klein Tools JTH6M8 8 mm Hex Key with Journeyman T-Handle, 6-Inch</t>
        </is>
      </c>
      <c r="D8719" t="inlineStr">
        <is>
          <t>Klein Tools JTH6E08 1/8-Inch Hex Key with Journeyman T-Handle, 6-Inch</t>
        </is>
      </c>
      <c r="E8719" s="2">
        <f>HYPERLINK("https://www.amazon.com/Klein-Tools-JTH6E08-Journeyman-T-Handle/dp/B004N5XP1O/ref=sr_1_5?keywords=Klein+Tools+JTH6M8+8+mm+Hex+Key+with+Journeyman+T-Handle%2C+6-Inch&amp;qid=1694735436&amp;sr=8-5", "https://www.amazon.com/Klein-Tools-JTH6E08-Journeyman-T-Handle/dp/B004N5XP1O/ref=sr_1_5?keywords=Klein+Tools+JTH6M8+8+mm+Hex+Key+with+Journeyman+T-Handle%2C+6-Inch&amp;qid=1694735436&amp;sr=8-5")</f>
        <v/>
      </c>
      <c r="F8719" t="inlineStr">
        <is>
          <t>B004N5XP1O</t>
        </is>
      </c>
      <c r="G8719">
        <f>_xludf.IMAGE("https://edmondsonsupply.com/cdn/shop/products/jth6m8_31a5ad24-670d-4140-a5ec-3785d5bf79d2.jpg?v=1587146374")</f>
        <v/>
      </c>
      <c r="H8719">
        <f>_xludf.IMAGE("https://m.media-amazon.com/images/I/51Yb8h41vLL._AC_UL320_.jpg")</f>
        <v/>
      </c>
      <c r="K8719" t="inlineStr">
        <is>
          <t>6.99</t>
        </is>
      </c>
      <c r="L8719" t="n">
        <v>3.72</v>
      </c>
      <c r="M8719" s="1" t="inlineStr">
        <is>
          <t>-46.78%</t>
        </is>
      </c>
      <c r="N8719" s="1" t="n"/>
      <c r="O8719" t="n">
        <v>4.8</v>
      </c>
      <c r="P8719" t="n">
        <v>2477</v>
      </c>
      <c r="R8719" t="inlineStr">
        <is>
          <t>InStock</t>
        </is>
      </c>
      <c r="S8719" t="inlineStr">
        <is>
          <t>10.58</t>
        </is>
      </c>
      <c r="T8719" t="inlineStr">
        <is>
          <t>4343287775332</t>
        </is>
      </c>
    </row>
    <row r="8720" ht="87" customHeight="1">
      <c r="A8720" s="2">
        <f>HYPERLINK("https://edmondsonsupply.com/collections/electricians-tools/products/klein-32807mag", "https://edmondsonsupply.com/collections/electricians-tools/products/klein-32807mag")</f>
        <v/>
      </c>
      <c r="B8720" s="2">
        <f>HYPERLINK("https://edmondsonsupply.com/products/klein-32807mag", "https://edmondsonsupply.com/products/klein-32807mag")</f>
        <v/>
      </c>
      <c r="C8720" t="inlineStr">
        <is>
          <t>Klein Tools 32807MAG 7-in-1 Multi-Bit Screwdriver / Nut Driver, Magnetic</t>
        </is>
      </c>
      <c r="D8720" t="inlineStr">
        <is>
          <t>Klein Tools 32594 Multi-Bit Screwdriver / Nut Driver, 6-in-1 Stubby Tool with Phillips, Slotted and Square Bits and 2 Nut Driver Sizes</t>
        </is>
      </c>
      <c r="E8720" s="2">
        <f>HYPERLINK("https://www.amazon.com/Ratcheting-Screwdriver-Klein-Tools-32594/dp/B01I2KTKR8/ref=sr_1_36?keywords=Klein+Tools+32807MAG+7-in-1+Multi-Bit+Screwdriver+%2F+Nut+Driver%2C+Magnetic&amp;qid=1694735441&amp;sr=8-36", "https://www.amazon.com/Ratcheting-Screwdriver-Klein-Tools-32594/dp/B01I2KTKR8/ref=sr_1_36?keywords=Klein+Tools+32807MAG+7-in-1+Multi-Bit+Screwdriver+%2F+Nut+Driver%2C+Magnetic&amp;qid=1694735441&amp;sr=8-36")</f>
        <v/>
      </c>
      <c r="F8720" t="inlineStr">
        <is>
          <t>B01I2KTKR8</t>
        </is>
      </c>
      <c r="G8720">
        <f>_xlfn.IMAGE("https://edmondsonsupply.com/cdn/shop/products/32807mag_beauty_l.jpg?v=1604873791")</f>
        <v/>
      </c>
      <c r="H8720">
        <f>_xlfn.IMAGE("https://m.media-amazon.com/images/I/51pkI+hcIbL._AC_UL320_.jpg")</f>
        <v/>
      </c>
      <c r="K8720" t="inlineStr">
        <is>
          <t>29.97</t>
        </is>
      </c>
      <c r="L8720" t="n">
        <v>15.36</v>
      </c>
      <c r="M8720" s="1" t="inlineStr">
        <is>
          <t>-48.75%</t>
        </is>
      </c>
      <c r="N8720" s="7" t="n"/>
      <c r="O8720" t="n">
        <v>4.8</v>
      </c>
      <c r="P8720" t="n">
        <v>550</v>
      </c>
      <c r="R8720" t="inlineStr">
        <is>
          <t>InStock</t>
        </is>
      </c>
      <c r="S8720" t="inlineStr">
        <is>
          <t>44.5</t>
        </is>
      </c>
      <c r="T8720" t="inlineStr">
        <is>
          <t>1493034008676</t>
        </is>
      </c>
    </row>
    <row r="8721" hidden="1" ht="15.75" customHeight="1">
      <c r="A8721" s="2">
        <f>HYPERLINK("https://edmondsonsupply.com/collections/electricians-tools/products/klein-32807mag", "https://edmondsonsupply.com/collections/electricians-tools/products/klein-32807mag")</f>
        <v/>
      </c>
      <c r="B8721" s="2">
        <f>HYPERLINK("https://edmondsonsupply.com/products/klein-32807mag", "https://edmondsonsupply.com/products/klein-32807mag")</f>
        <v/>
      </c>
      <c r="C8721" t="inlineStr">
        <is>
          <t>Klein Tools 32807MAG 7-in-1 Multi-Bit Screwdriver / Nut Driver, Magnetic</t>
        </is>
      </c>
      <c r="D8721" t="inlineStr">
        <is>
          <t>Klein Tools 32557 Multi-Bit Screwdriver / Nut Driver, Heavy Duty 10-in-1 with Interchangable Shafts and Ph, Sl, Sq, Hex Bits and Nut Drivers</t>
        </is>
      </c>
      <c r="E8721" s="2">
        <f>HYPERLINK("https://www.amazon.com/Klein-Tools-32557-Multi-Bit-Screwdriver/dp/B005FQDH9A/ref=sr_1_13?keywords=Klein+Tools+32807MAG+7-in-1+Multi-Bit+Screwdriver+%2F+Nut+Driver%2C+Magnetic&amp;qid=1694735441&amp;sr=8-13", "https://www.amazon.com/Klein-Tools-32557-Multi-Bit-Screwdriver/dp/B005FQDH9A/ref=sr_1_13?keywords=Klein+Tools+32807MAG+7-in-1+Multi-Bit+Screwdriver+%2F+Nut+Driver%2C+Magnetic&amp;qid=1694735441&amp;sr=8-13")</f>
        <v/>
      </c>
      <c r="F8721" t="inlineStr">
        <is>
          <t>B005FQDH9A</t>
        </is>
      </c>
      <c r="G8721">
        <f>_xludf.IMAGE("https://edmondsonsupply.com/cdn/shop/products/32807mag_beauty_l.jpg?v=1604873791")</f>
        <v/>
      </c>
      <c r="H8721">
        <f>_xludf.IMAGE("https://m.media-amazon.com/images/I/41vMDiO0rOL._AC_UL320_.jpg")</f>
        <v/>
      </c>
      <c r="K8721" t="inlineStr">
        <is>
          <t>29.97</t>
        </is>
      </c>
      <c r="L8721" t="n">
        <v>14.98</v>
      </c>
      <c r="M8721" s="1" t="inlineStr">
        <is>
          <t>-50.02%</t>
        </is>
      </c>
      <c r="N8721" s="1" t="n"/>
      <c r="O8721" t="n">
        <v>4.8</v>
      </c>
      <c r="P8721" t="n">
        <v>918</v>
      </c>
      <c r="R8721" t="inlineStr">
        <is>
          <t>InStock</t>
        </is>
      </c>
      <c r="S8721" t="inlineStr">
        <is>
          <t>44.5</t>
        </is>
      </c>
      <c r="T8721" t="inlineStr">
        <is>
          <t>1493034008676</t>
        </is>
      </c>
    </row>
    <row r="8722" hidden="1" ht="15.75" customHeight="1">
      <c r="A8722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722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722" t="inlineStr">
        <is>
          <t>Klein Tools 11063W Katapult® Wire Stripper and Cutter for Solid and Stranded Wire</t>
        </is>
      </c>
      <c r="D8722" t="inlineStr">
        <is>
          <t>Klein Tools 1011 Multi-Purpose Wire Stripper and Cutter for 10-20 AWG Solid Wire and 12-22 AWG Stranded Wire Blue</t>
        </is>
      </c>
      <c r="E8722" s="2">
        <f>HYPERLINK("https://www.amazon.com/Multi-Purpose-Stripper-Klein-Tools-1011/dp/B0000302WM/ref=sr_1_13?keywords=Klein+Tools+11063W+Katapult%C2%AE+Wire+Stripper+and+Cutter+for+Solid+and+Stranded+Wire&amp;qid=1694735440&amp;sr=8-13", "https://www.amazon.com/Multi-Purpose-Stripper-Klein-Tools-1011/dp/B0000302WM/ref=sr_1_13?keywords=Klein+Tools+11063W+Katapult%C2%AE+Wire+Stripper+and+Cutter+for+Solid+and+Stranded+Wire&amp;qid=1694735440&amp;sr=8-13")</f>
        <v/>
      </c>
      <c r="F8722" t="inlineStr">
        <is>
          <t>B0000302WM</t>
        </is>
      </c>
      <c r="G8722">
        <f>_xludf.IMAGE("https://edmondsonsupply.com/cdn/shop/products/11063w.jpg?v=1587151004")</f>
        <v/>
      </c>
      <c r="H8722">
        <f>_xludf.IMAGE("https://m.media-amazon.com/images/I/71A+JfSsr6L._AC_UL320_.jpg")</f>
        <v/>
      </c>
      <c r="K8722" t="inlineStr">
        <is>
          <t>29.97</t>
        </is>
      </c>
      <c r="L8722" t="n">
        <v>14.97</v>
      </c>
      <c r="M8722" s="1" t="inlineStr">
        <is>
          <t>-50.05%</t>
        </is>
      </c>
      <c r="N8722" s="1" t="n"/>
      <c r="O8722" t="n">
        <v>4.8</v>
      </c>
      <c r="P8722" t="n">
        <v>668</v>
      </c>
      <c r="R8722" t="inlineStr">
        <is>
          <t>InStock</t>
        </is>
      </c>
      <c r="S8722" t="inlineStr">
        <is>
          <t>44.7</t>
        </is>
      </c>
      <c r="T8722" t="inlineStr">
        <is>
          <t>4334180827236</t>
        </is>
      </c>
    </row>
    <row r="8723" hidden="1" ht="15.75" customHeight="1">
      <c r="A8723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723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723" t="inlineStr">
        <is>
          <t>Klein Tools 11063W Katapult® Wire Stripper and Cutter for Solid and Stranded Wire</t>
        </is>
      </c>
      <c r="D8723" t="inlineStr">
        <is>
          <t>Klein Tools 11047 Wire Stripper / Cutter, Compact, Lightweight, Hardened Steel, Precision Ground, for Stranded and Solid Wires,Yellow</t>
        </is>
      </c>
      <c r="E8723" s="2">
        <f>HYPERLINK("https://www.amazon.com/Klein-Tools-11047-Stripper-Cutter/dp/B000I1L7GW/ref=sr_1_7?keywords=Klein+Tools+11063W+Katapult%C2%AE+Wire+Stripper+and+Cutter+for+Solid+and+Stranded+Wire&amp;qid=1694735440&amp;sr=8-7", "https://www.amazon.com/Klein-Tools-11047-Stripper-Cutter/dp/B000I1L7GW/ref=sr_1_7?keywords=Klein+Tools+11063W+Katapult%C2%AE+Wire+Stripper+and+Cutter+for+Solid+and+Stranded+Wire&amp;qid=1694735440&amp;sr=8-7")</f>
        <v/>
      </c>
      <c r="F8723" t="inlineStr">
        <is>
          <t>B000I1L7GW</t>
        </is>
      </c>
      <c r="G8723">
        <f>_xludf.IMAGE("https://edmondsonsupply.com/cdn/shop/products/11063w.jpg?v=1587151004")</f>
        <v/>
      </c>
      <c r="H8723">
        <f>_xludf.IMAGE("https://m.media-amazon.com/images/I/71ulWN1snhL._AC_UL320_.jpg")</f>
        <v/>
      </c>
      <c r="K8723" t="inlineStr">
        <is>
          <t>29.97</t>
        </is>
      </c>
      <c r="L8723" t="n">
        <v>14.78</v>
      </c>
      <c r="M8723" s="1" t="inlineStr">
        <is>
          <t>-50.68%</t>
        </is>
      </c>
      <c r="N8723" s="1" t="n"/>
      <c r="O8723" t="n">
        <v>4.7</v>
      </c>
      <c r="P8723" t="n">
        <v>3106</v>
      </c>
      <c r="R8723" t="inlineStr">
        <is>
          <t>InStock</t>
        </is>
      </c>
      <c r="S8723" t="inlineStr">
        <is>
          <t>44.7</t>
        </is>
      </c>
      <c r="T8723" t="inlineStr">
        <is>
          <t>4334180827236</t>
        </is>
      </c>
    </row>
    <row r="8724" hidden="1" ht="15.75" customHeight="1">
      <c r="A8724" s="2">
        <f>HYPERLINK("https://edmondsonsupply.com/collections/electricians-tools/products/klein-tools-32596-8-in-1-hvac-slide-drive%E2%84%A2-screwdriver-nut-driver", "https://edmondsonsupply.com/collections/electricians-tools/products/klein-tools-32596-8-in-1-hvac-slide-drive%E2%84%A2-screwdriver-nut-driver")</f>
        <v/>
      </c>
      <c r="B8724" s="2">
        <f>HYPERLINK("https://edmondsonsupply.com/products/klein-tools-32596-8-in-1-hvac-slide-drive%e2%84%a2-screwdriver-nut-driver", "https://edmondsonsupply.com/products/klein-tools-32596-8-in-1-hvac-slide-drive%e2%84%a2-screwdriver-nut-driver")</f>
        <v/>
      </c>
      <c r="C8724" t="inlineStr">
        <is>
          <t>Klein Tools 32596 HVAC Slide Drive™ Multi-Bit Screwdriver / Nut Driver, 8-in-1</t>
        </is>
      </c>
      <c r="D8724" t="inlineStr">
        <is>
          <t>OEMTOOLS 22588 13-in-1 Multi-Bit Screwdriver, Nut Driver and Schrader Valve Tool, Multi Tool Screwdriver Kit, HVAC tools, Electrician Tools</t>
        </is>
      </c>
      <c r="E8724" s="2">
        <f>HYPERLINK("https://www.amazon.com/OEM-TOOLS-22588-Screwdriver-Electrician/dp/B089QTH219/ref=sr_1_21?keywords=Klein+Tools+32596+HVAC+Slide+Drive%E2%84%A2+Multi-Bit+Screwdriver+%2F+Nut+Driver%2C+8-in-1&amp;qid=1694735471&amp;sr=8-21", "https://www.amazon.com/OEM-TOOLS-22588-Screwdriver-Electrician/dp/B089QTH219/ref=sr_1_21?keywords=Klein+Tools+32596+HVAC+Slide+Drive%E2%84%A2+Multi-Bit+Screwdriver+%2F+Nut+Driver%2C+8-in-1&amp;qid=1694735471&amp;sr=8-21")</f>
        <v/>
      </c>
      <c r="F8724" t="inlineStr">
        <is>
          <t>B089QTH219</t>
        </is>
      </c>
      <c r="G8724">
        <f>_xludf.IMAGE("https://edmondsonsupply.com/cdn/shop/products/32596_alt4.jpg?v=1587148720")</f>
        <v/>
      </c>
      <c r="H8724">
        <f>_xludf.IMAGE("https://m.media-amazon.com/images/I/61ZNVa7RD0L._AC_UL320_.jpg")</f>
        <v/>
      </c>
      <c r="K8724" t="inlineStr">
        <is>
          <t>26.97</t>
        </is>
      </c>
      <c r="L8724" t="n">
        <v>12.99</v>
      </c>
      <c r="M8724" s="1" t="inlineStr">
        <is>
          <t>-51.84%</t>
        </is>
      </c>
      <c r="N8724" s="1" t="n"/>
      <c r="O8724" t="n">
        <v>4.6</v>
      </c>
      <c r="P8724" t="n">
        <v>1376</v>
      </c>
      <c r="R8724" t="inlineStr">
        <is>
          <t>InStock</t>
        </is>
      </c>
      <c r="S8724" t="inlineStr">
        <is>
          <t>38.56</t>
        </is>
      </c>
      <c r="T8724" t="inlineStr">
        <is>
          <t>3690018111588</t>
        </is>
      </c>
    </row>
    <row r="8725" ht="87" customHeight="1">
      <c r="A8725" s="2">
        <f>HYPERLINK("https://edmondsonsupply.com/collections/electricians-tools/products/klein-tools-5140-zipper-bags-canvas-4-pack-olive-orange-blue-yellow", "https://edmondsonsupply.com/collections/electricians-tools/products/klein-tools-5140-zipper-bags-canvas-4-pack-olive-orange-blue-yellow")</f>
        <v/>
      </c>
      <c r="B8725" s="2">
        <f>HYPERLINK("https://edmondsonsupply.com/products/klein-tools-5140-zipper-bags-canvas-4-pack-olive-orange-blue-yellow", "https://edmondsonsupply.com/products/klein-tools-5140-zipper-bags-canvas-4-pack-olive-orange-blue-yellow")</f>
        <v/>
      </c>
      <c r="C8725" t="inlineStr">
        <is>
          <t>Klein Tools 5140 Canvas Bag 4 Pk Olive/Orange/Blue/Yellow</t>
        </is>
      </c>
      <c r="D8725" t="inlineStr">
        <is>
          <t>FunOwlet Utility Canvas Zipper Tool Bag - Heavy Duty Tools Pouch with Carabiner, Multi-Purpose Storage Organizer Clip on Tote Bags in Olive, Orange, Blue, Yellow, 4 Pack</t>
        </is>
      </c>
      <c r="E8725" s="2">
        <f>HYPERLINK("https://www.amazon.com/Utility-Canvas-Zipper-Tool-Multi-Purpose/dp/B08396V96P/ref=sr_1_6?keywords=Klein+Tools+5140+Canvas+Bag+4+Pk+Olive%2FOrange%2FBlue%2FYellow&amp;qid=1694735437&amp;sr=8-6", "https://www.amazon.com/Utility-Canvas-Zipper-Tool-Multi-Purpose/dp/B08396V96P/ref=sr_1_6?keywords=Klein+Tools+5140+Canvas+Bag+4+Pk+Olive%2FOrange%2FBlue%2FYellow&amp;qid=1694735437&amp;sr=8-6")</f>
        <v/>
      </c>
      <c r="F8725" t="inlineStr">
        <is>
          <t>B08396V96P</t>
        </is>
      </c>
      <c r="G8725">
        <f>_xlfn.IMAGE("https://edmondsonsupply.com/cdn/shop/products/5140.jpg?v=1587146756")</f>
        <v/>
      </c>
      <c r="H8725">
        <f>_xlfn.IMAGE("https://m.media-amazon.com/images/I/81pMQdwYSrL._AC_UL320_.jpg")</f>
        <v/>
      </c>
      <c r="K8725" t="inlineStr">
        <is>
          <t>39.97</t>
        </is>
      </c>
      <c r="L8725" t="n">
        <v>18.79</v>
      </c>
      <c r="M8725" s="1" t="inlineStr">
        <is>
          <t>-52.99%</t>
        </is>
      </c>
      <c r="N8725" s="7" t="n"/>
      <c r="O8725" t="n">
        <v>4.7</v>
      </c>
      <c r="P8725" t="n">
        <v>1945</v>
      </c>
      <c r="R8725" t="inlineStr">
        <is>
          <t>InStock</t>
        </is>
      </c>
      <c r="S8725" t="inlineStr">
        <is>
          <t>66.8</t>
        </is>
      </c>
      <c r="T8725" t="inlineStr">
        <is>
          <t>2766561706084</t>
        </is>
      </c>
    </row>
    <row r="8726" hidden="1" ht="15.75" customHeight="1">
      <c r="A8726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726" s="2">
        <f>HYPERLINK("https://edmondsonsupply.com/products/klein-tools-31972-bi-metal-hole-saw-4-1-2-inch", "https://edmondsonsupply.com/products/klein-tools-31972-bi-metal-hole-saw-4-1-2-inch")</f>
        <v/>
      </c>
      <c r="C8726" t="inlineStr">
        <is>
          <t>Klein Tools 31972 Bi-Metal Hole Saw, 4-1/2-Inch</t>
        </is>
      </c>
      <c r="D8726" t="inlineStr">
        <is>
          <t>Klein Tools 31940 Bi-Metal Hole Saw for Steel Cutting, Heavy-Duty 2 1/2-Inch Hole Saw</t>
        </is>
      </c>
      <c r="E8726" s="2">
        <f>HYPERLINK("https://www.amazon.com/Bi-Metal-2-Inch-Klein-Tools-31940/dp/B0171X0J7W/ref=sr_1_2?keywords=Klein+Tools+31972+Bi-Metal+Hole+Saw%2C+4-1%2F2-Inch&amp;qid=1694735442&amp;sr=8-2", "https://www.amazon.com/Bi-Metal-2-Inch-Klein-Tools-31940/dp/B0171X0J7W/ref=sr_1_2?keywords=Klein+Tools+31972+Bi-Metal+Hole+Saw%2C+4-1%2F2-Inch&amp;qid=1694735442&amp;sr=8-2")</f>
        <v/>
      </c>
      <c r="F8726" t="inlineStr">
        <is>
          <t>B0171X0J7W</t>
        </is>
      </c>
      <c r="G8726">
        <f>_xludf.IMAGE("https://edmondsonsupply.com/cdn/shop/products/31972.jpg?v=1587147016")</f>
        <v/>
      </c>
      <c r="H8726">
        <f>_xludf.IMAGE("https://m.media-amazon.com/images/I/41Jwj0FSz4L._AC_UL320_.jpg")</f>
        <v/>
      </c>
      <c r="K8726" t="inlineStr">
        <is>
          <t>26.99</t>
        </is>
      </c>
      <c r="L8726" t="n">
        <v>12.42</v>
      </c>
      <c r="M8726" s="1" t="inlineStr">
        <is>
          <t>-53.98%</t>
        </is>
      </c>
      <c r="N8726" s="1" t="n"/>
      <c r="O8726" t="n">
        <v>4.6</v>
      </c>
      <c r="P8726" t="n">
        <v>406</v>
      </c>
      <c r="R8726" t="inlineStr">
        <is>
          <t>InStock</t>
        </is>
      </c>
      <c r="S8726" t="inlineStr">
        <is>
          <t>37.86</t>
        </is>
      </c>
      <c r="T8726" t="inlineStr">
        <is>
          <t>4328864809060</t>
        </is>
      </c>
    </row>
    <row r="8727" hidden="1" ht="15.75" customHeight="1">
      <c r="A8727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727" s="2">
        <f>HYPERLINK("https://edmondsonsupply.com/products/klein-tools-31972-bi-metal-hole-saw-4-1-2-inch", "https://edmondsonsupply.com/products/klein-tools-31972-bi-metal-hole-saw-4-1-2-inch")</f>
        <v/>
      </c>
      <c r="C8727" t="inlineStr">
        <is>
          <t>Klein Tools 31972 Bi-Metal Hole Saw, 4-1/2-Inch</t>
        </is>
      </c>
      <c r="D8727" t="inlineStr">
        <is>
          <t>Klein Tools 31528 Bi-Metal Hole Saw, 1-3/4-Inch</t>
        </is>
      </c>
      <c r="E8727" s="2">
        <f>HYPERLINK("https://www.amazon.com/Klein-Tools-31528-Bi-Metal-4-Inch/dp/B0009OODBE/ref=sr_1_16?keywords=Klein+Tools+31972+Bi-Metal+Hole+Saw%2C+4-1%2F2-Inch&amp;qid=1694735442&amp;sr=8-16", "https://www.amazon.com/Klein-Tools-31528-Bi-Metal-4-Inch/dp/B0009OODBE/ref=sr_1_16?keywords=Klein+Tools+31972+Bi-Metal+Hole+Saw%2C+4-1%2F2-Inch&amp;qid=1694735442&amp;sr=8-16")</f>
        <v/>
      </c>
      <c r="F8727" t="inlineStr">
        <is>
          <t>B0009OODBE</t>
        </is>
      </c>
      <c r="G8727">
        <f>_xludf.IMAGE("https://edmondsonsupply.com/cdn/shop/products/31972.jpg?v=1587147016")</f>
        <v/>
      </c>
      <c r="H8727">
        <f>_xludf.IMAGE("https://m.media-amazon.com/images/I/31wkk5lLKQL._AC_UL320_.jpg")</f>
        <v/>
      </c>
      <c r="K8727" t="inlineStr">
        <is>
          <t>26.99</t>
        </is>
      </c>
      <c r="L8727" t="n">
        <v>11.99</v>
      </c>
      <c r="M8727" s="1" t="inlineStr">
        <is>
          <t>-55.58%</t>
        </is>
      </c>
      <c r="N8727" s="1" t="n"/>
      <c r="O8727" t="n">
        <v>5</v>
      </c>
      <c r="P8727" t="n">
        <v>5</v>
      </c>
      <c r="R8727" t="inlineStr">
        <is>
          <t>InStock</t>
        </is>
      </c>
      <c r="S8727" t="inlineStr">
        <is>
          <t>37.86</t>
        </is>
      </c>
      <c r="T8727" t="inlineStr">
        <is>
          <t>4328864809060</t>
        </is>
      </c>
    </row>
    <row r="8728" ht="87" customHeight="1">
      <c r="A8728" s="2">
        <f>HYPERLINK("https://edmondsonsupply.com/collections/electricians-tools/products/klein-tools-85078-screwdriver-set-multi-application-8-piece", "https://edmondsonsupply.com/collections/electricians-tools/products/klein-tools-85078-screwdriver-set-multi-application-8-piece")</f>
        <v/>
      </c>
      <c r="B8728" s="2">
        <f>HYPERLINK("https://edmondsonsupply.com/products/klein-tools-85078-screwdriver-set-multi-application-8-piece", "https://edmondsonsupply.com/products/klein-tools-85078-screwdriver-set-multi-application-8-piece")</f>
        <v/>
      </c>
      <c r="C8728" t="inlineStr">
        <is>
          <t>Klein Tools 85078 Screwdriver Set, Multi-Application, 8-Piece</t>
        </is>
      </c>
      <c r="D8728" t="inlineStr">
        <is>
          <t>Klein Tools 80037 Screwdriver Tool Set, Multi-Bit Pocket Precision Screwdriver and Adjustable Length Stubby Screwdriver, 2-Piece</t>
        </is>
      </c>
      <c r="E8728" s="2">
        <f>HYPERLINK("https://www.amazon.com/Screwdriver-Adjustable-Klein-Tools-80037/dp/B09N59CF9M/ref=sr_1_19?keywords=Klein+Tools+85078+Screwdriver+Set%2C+Multi-Application%2C+8-Piece&amp;qid=1694735450&amp;sr=8-19", "https://www.amazon.com/Screwdriver-Adjustable-Klein-Tools-80037/dp/B09N59CF9M/ref=sr_1_19?keywords=Klein+Tools+85078+Screwdriver+Set%2C+Multi-Application%2C+8-Piece&amp;qid=1694735450&amp;sr=8-19")</f>
        <v/>
      </c>
      <c r="F8728" t="inlineStr">
        <is>
          <t>B09N59CF9M</t>
        </is>
      </c>
      <c r="G8728">
        <f>_xlfn.IMAGE("https://edmondsonsupply.com/cdn/shop/products/85078_86c4ecc2-553d-4b60-8442-6bd260c251f4.jpg?v=1587143160")</f>
        <v/>
      </c>
      <c r="H8728">
        <f>_xlfn.IMAGE("https://m.media-amazon.com/images/I/51ZrwPGYokL._AC_UL320_.jpg")</f>
        <v/>
      </c>
      <c r="K8728" t="inlineStr">
        <is>
          <t>64.99</t>
        </is>
      </c>
      <c r="L8728" t="n">
        <v>27.99</v>
      </c>
      <c r="M8728" s="1" t="inlineStr">
        <is>
          <t>-56.93%</t>
        </is>
      </c>
      <c r="N8728" s="7" t="n"/>
      <c r="O8728" t="n">
        <v>4.8</v>
      </c>
      <c r="P8728" t="n">
        <v>13254</v>
      </c>
      <c r="R8728" t="inlineStr">
        <is>
          <t>InStock</t>
        </is>
      </c>
      <c r="S8728" t="inlineStr">
        <is>
          <t>103.34</t>
        </is>
      </c>
      <c r="T8728" t="inlineStr">
        <is>
          <t>4167506559076</t>
        </is>
      </c>
    </row>
    <row r="8729" ht="87" customHeight="1">
      <c r="A8729" s="2">
        <f>HYPERLINK("https://edmondsonsupply.com/collections/electricians-tools/products/klein-tools-21051-large-cable-stripper-250-mcm-2-0", "https://edmondsonsupply.com/collections/electricians-tools/products/klein-tools-21051-large-cable-stripper-250-mcm-2-0")</f>
        <v/>
      </c>
      <c r="B8729" s="2">
        <f>HYPERLINK("https://edmondsonsupply.com/products/klein-tools-21051-large-cable-stripper-250-mcm-2-0", "https://edmondsonsupply.com/products/klein-tools-21051-large-cable-stripper-250-mcm-2-0")</f>
        <v/>
      </c>
      <c r="C8729" t="inlineStr">
        <is>
          <t>Klein Tools 21051 Large Cable Stripper (2/0-250 MCM)</t>
        </is>
      </c>
      <c r="D8729" t="inlineStr">
        <is>
          <t>Klein Tools 21051B Replacement Blades for Large Cable Strippers (Pack of 2)</t>
        </is>
      </c>
      <c r="E8729" s="2">
        <f>HYPERLINK("https://www.amazon.com/Klein-Tools-21051B-Replacement-Strippers/dp/B0CDNSZ1CQ/ref=sr_1_56?keywords=Klein+Tools+21051+Large+Cable+Stripper+%282%2F0-250+MCM%29&amp;qid=1694735474&amp;sr=8-56", "https://www.amazon.com/Klein-Tools-21051B-Replacement-Strippers/dp/B0CDNSZ1CQ/ref=sr_1_56?keywords=Klein+Tools+21051+Large+Cable+Stripper+%282%2F0-250+MCM%29&amp;qid=1694735474&amp;sr=8-56")</f>
        <v/>
      </c>
      <c r="F8729" t="inlineStr">
        <is>
          <t>B0CDNSZ1CQ</t>
        </is>
      </c>
      <c r="G8729">
        <f>_xlfn.IMAGE("https://edmondsonsupply.com/cdn/shop/products/21051.jpg?v=1587145554")</f>
        <v/>
      </c>
      <c r="H8729">
        <f>_xlfn.IMAGE("https://m.media-amazon.com/images/I/516HKlJPFUL._AC_UL320_.jpg")</f>
        <v/>
      </c>
      <c r="K8729" t="inlineStr">
        <is>
          <t>54.99</t>
        </is>
      </c>
      <c r="L8729" t="n">
        <v>23.26</v>
      </c>
      <c r="M8729" s="1" t="inlineStr">
        <is>
          <t>-57.70%</t>
        </is>
      </c>
      <c r="N8729" s="7" t="n"/>
      <c r="O8729" t="n">
        <v>4.5</v>
      </c>
      <c r="P8729" t="n">
        <v>10</v>
      </c>
      <c r="R8729" t="inlineStr">
        <is>
          <t>InStock</t>
        </is>
      </c>
      <c r="S8729" t="inlineStr">
        <is>
          <t>85.38</t>
        </is>
      </c>
      <c r="T8729" t="inlineStr">
        <is>
          <t>1779877806180</t>
        </is>
      </c>
    </row>
    <row r="8730" hidden="1" ht="15.75" customHeight="1">
      <c r="A8730" s="2">
        <f>HYPERLINK("https://edmondsonsupply.com/collections/electricians-tools/products/klein-32807mag", "https://edmondsonsupply.com/collections/electricians-tools/products/klein-32807mag")</f>
        <v/>
      </c>
      <c r="B8730" s="2">
        <f>HYPERLINK("https://edmondsonsupply.com/products/klein-32807mag", "https://edmondsonsupply.com/products/klein-32807mag")</f>
        <v/>
      </c>
      <c r="C8730" t="inlineStr">
        <is>
          <t>Klein Tools 32807MAG 7-in-1 Multi-Bit Screwdriver / Nut Driver, Magnetic</t>
        </is>
      </c>
      <c r="D8730" t="inlineStr">
        <is>
          <t>Klein Tools 32562 Multi-Bit Screwdriver / Nut Driver, 6-in-1 Stubby Tool with Square Recess, Slotted, Phillips Bits and Nut Drivers</t>
        </is>
      </c>
      <c r="E8730" s="2">
        <f>HYPERLINK("https://www.amazon.com/Multi-Bit-Screwdriver-Klein-Tools-32562/dp/B007SF5DNE/ref=sr_1_28?keywords=Klein+Tools+32807MAG+7-in-1+Multi-Bit+Screwdriver+%2F+Nut+Driver%2C+Magnetic&amp;qid=1694735441&amp;sr=8-28", "https://www.amazon.com/Multi-Bit-Screwdriver-Klein-Tools-32562/dp/B007SF5DNE/ref=sr_1_28?keywords=Klein+Tools+32807MAG+7-in-1+Multi-Bit+Screwdriver+%2F+Nut+Driver%2C+Magnetic&amp;qid=1694735441&amp;sr=8-28")</f>
        <v/>
      </c>
      <c r="F8730" t="inlineStr">
        <is>
          <t>B007SF5DNE</t>
        </is>
      </c>
      <c r="G8730">
        <f>_xludf.IMAGE("https://edmondsonsupply.com/cdn/shop/products/32807mag_beauty_l.jpg?v=1604873791")</f>
        <v/>
      </c>
      <c r="H8730">
        <f>_xludf.IMAGE("https://m.media-amazon.com/images/I/515fclR4vsL._AC_UL320_.jpg")</f>
        <v/>
      </c>
      <c r="K8730" t="inlineStr">
        <is>
          <t>29.97</t>
        </is>
      </c>
      <c r="L8730" t="n">
        <v>12.6</v>
      </c>
      <c r="M8730" s="1" t="inlineStr">
        <is>
          <t>-57.96%</t>
        </is>
      </c>
      <c r="N8730" s="1" t="n"/>
      <c r="O8730" t="n">
        <v>4.7</v>
      </c>
      <c r="P8730" t="n">
        <v>480</v>
      </c>
      <c r="R8730" t="inlineStr">
        <is>
          <t>InStock</t>
        </is>
      </c>
      <c r="S8730" t="inlineStr">
        <is>
          <t>44.5</t>
        </is>
      </c>
      <c r="T8730" t="inlineStr">
        <is>
          <t>1493034008676</t>
        </is>
      </c>
    </row>
    <row r="8731" ht="87" customHeight="1">
      <c r="A8731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31" s="2">
        <f>HYPERLINK("https://edmondsonsupply.com/products/klein-tools-et140-pinless-moisture-meter", "https://edmondsonsupply.com/products/klein-tools-et140-pinless-moisture-meter")</f>
        <v/>
      </c>
      <c r="C8731" t="inlineStr">
        <is>
          <t>Klein Tools ET140 Pinless Moisture Meter</t>
        </is>
      </c>
      <c r="D8731" t="inlineStr">
        <is>
          <t>RLSOCO Hard Case for Klein Tools ET140 Pinless Moisture Meter Moisture Detection</t>
        </is>
      </c>
      <c r="E8731" s="2">
        <f>HYPERLINK("https://www.amazon.com/RLSOCO-Compatible-Klein-Pinless-Moisture/dp/B0B6ZKR6N8/ref=sr_1_19?keywords=Klein+Tools+ET140+Pinless+Moisture+Meter&amp;qid=1694735470&amp;sr=8-19", "https://www.amazon.com/RLSOCO-Compatible-Klein-Pinless-Moisture/dp/B0B6ZKR6N8/ref=sr_1_19?keywords=Klein+Tools+ET140+Pinless+Moisture+Meter&amp;qid=1694735470&amp;sr=8-19")</f>
        <v/>
      </c>
      <c r="F8731" t="inlineStr">
        <is>
          <t>B0B6ZKR6N8</t>
        </is>
      </c>
      <c r="G8731">
        <f>_xlfn.IMAGE("https://edmondsonsupply.com/cdn/shop/products/et140_beauty_r.jpg?v=1587143172")</f>
        <v/>
      </c>
      <c r="H8731">
        <f>_xlfn.IMAGE("https://m.media-amazon.com/images/I/81tW+QLEG0L._AC_UL320_.jpg")</f>
        <v/>
      </c>
      <c r="K8731" t="inlineStr">
        <is>
          <t>41.97</t>
        </is>
      </c>
      <c r="L8731" t="n">
        <v>16.99</v>
      </c>
      <c r="M8731" s="1" t="inlineStr">
        <is>
          <t>-59.52%</t>
        </is>
      </c>
      <c r="N8731" s="7" t="n"/>
      <c r="O8731" t="n">
        <v>4.6</v>
      </c>
      <c r="P8731" t="n">
        <v>2</v>
      </c>
      <c r="R8731" t="inlineStr">
        <is>
          <t>InStock</t>
        </is>
      </c>
      <c r="S8731" t="inlineStr">
        <is>
          <t>59.44</t>
        </is>
      </c>
      <c r="T8731" t="inlineStr">
        <is>
          <t>3693529071716</t>
        </is>
      </c>
    </row>
    <row r="8732" ht="87" customHeight="1">
      <c r="A8732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32" s="2">
        <f>HYPERLINK("https://edmondsonsupply.com/products/klein-tools-et140-pinless-moisture-meter", "https://edmondsonsupply.com/products/klein-tools-et140-pinless-moisture-meter")</f>
        <v/>
      </c>
      <c r="C8732" t="inlineStr">
        <is>
          <t>Klein Tools ET140 Pinless Moisture Meter</t>
        </is>
      </c>
      <c r="D8732" t="inlineStr">
        <is>
          <t>Aproca Hard Storage Travel Case, for Klein Tools ET140 Pinless Moisture Meter / Klein Tools 80023P Tool Set</t>
        </is>
      </c>
      <c r="E8732" s="2">
        <f>HYPERLINK("https://www.amazon.com/Aproca-Storage-Travel-Pinless-Moisture/dp/B08LKMP3SR/ref=sr_1_11?keywords=Klein+Tools+ET140+Pinless+Moisture+Meter&amp;qid=1694735470&amp;sr=8-11", "https://www.amazon.com/Aproca-Storage-Travel-Pinless-Moisture/dp/B08LKMP3SR/ref=sr_1_11?keywords=Klein+Tools+ET140+Pinless+Moisture+Meter&amp;qid=1694735470&amp;sr=8-11")</f>
        <v/>
      </c>
      <c r="F8732" t="inlineStr">
        <is>
          <t>B08LKMP3SR</t>
        </is>
      </c>
      <c r="G8732">
        <f>_xlfn.IMAGE("https://edmondsonsupply.com/cdn/shop/products/et140_beauty_r.jpg?v=1587143172")</f>
        <v/>
      </c>
      <c r="H8732">
        <f>_xlfn.IMAGE("https://m.media-amazon.com/images/I/81SORn6VrJL._AC_UL320_.jpg")</f>
        <v/>
      </c>
      <c r="K8732" t="inlineStr">
        <is>
          <t>41.97</t>
        </is>
      </c>
      <c r="L8732" t="n">
        <v>15.99</v>
      </c>
      <c r="M8732" s="1" t="inlineStr">
        <is>
          <t>-61.90%</t>
        </is>
      </c>
      <c r="N8732" s="7" t="n"/>
      <c r="O8732" t="n">
        <v>4.8</v>
      </c>
      <c r="P8732" t="n">
        <v>163</v>
      </c>
      <c r="R8732" t="inlineStr">
        <is>
          <t>InStock</t>
        </is>
      </c>
      <c r="S8732" t="inlineStr">
        <is>
          <t>59.44</t>
        </is>
      </c>
      <c r="T8732" t="inlineStr">
        <is>
          <t>3693529071716</t>
        </is>
      </c>
    </row>
    <row r="8733" ht="87" customHeight="1">
      <c r="A8733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33" s="2">
        <f>HYPERLINK("https://edmondsonsupply.com/products/klein-tools-et140-pinless-moisture-meter", "https://edmondsonsupply.com/products/klein-tools-et140-pinless-moisture-meter")</f>
        <v/>
      </c>
      <c r="C8733" t="inlineStr">
        <is>
          <t>Klein Tools ET140 Pinless Moisture Meter</t>
        </is>
      </c>
      <c r="D8733" t="inlineStr">
        <is>
          <t>JINMEI Hard EVA Carrying Case for Klein Tools ET140 Pinless Moisture Meter Carrying Case</t>
        </is>
      </c>
      <c r="E8733" s="2">
        <f>HYPERLINK("https://www.amazon.com/JINMEI-Carrying-Klein-Pinless-Moisture/dp/B092JQS8FZ/ref=sr_1_21?keywords=Klein+Tools+ET140+Pinless+Moisture+Meter&amp;qid=1694735470&amp;sr=8-21", "https://www.amazon.com/JINMEI-Carrying-Klein-Pinless-Moisture/dp/B092JQS8FZ/ref=sr_1_21?keywords=Klein+Tools+ET140+Pinless+Moisture+Meter&amp;qid=1694735470&amp;sr=8-21")</f>
        <v/>
      </c>
      <c r="F8733" t="inlineStr">
        <is>
          <t>B092JQS8FZ</t>
        </is>
      </c>
      <c r="G8733">
        <f>_xlfn.IMAGE("https://edmondsonsupply.com/cdn/shop/products/et140_beauty_r.jpg?v=1587143172")</f>
        <v/>
      </c>
      <c r="H8733">
        <f>_xlfn.IMAGE("https://m.media-amazon.com/images/I/81MMaMZA2aS._AC_UL320_.jpg")</f>
        <v/>
      </c>
      <c r="K8733" t="inlineStr">
        <is>
          <t>41.97</t>
        </is>
      </c>
      <c r="L8733" t="n">
        <v>15.99</v>
      </c>
      <c r="M8733" s="1" t="inlineStr">
        <is>
          <t>-61.90%</t>
        </is>
      </c>
      <c r="N8733" s="7" t="n"/>
      <c r="O8733" t="n">
        <v>4.5</v>
      </c>
      <c r="P8733" t="n">
        <v>20</v>
      </c>
      <c r="R8733" t="inlineStr">
        <is>
          <t>InStock</t>
        </is>
      </c>
      <c r="S8733" t="inlineStr">
        <is>
          <t>59.44</t>
        </is>
      </c>
      <c r="T8733" t="inlineStr">
        <is>
          <t>3693529071716</t>
        </is>
      </c>
    </row>
    <row r="8734" ht="87" customHeight="1">
      <c r="A8734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34" s="2">
        <f>HYPERLINK("https://edmondsonsupply.com/products/klein-tools-et140-pinless-moisture-meter", "https://edmondsonsupply.com/products/klein-tools-et140-pinless-moisture-meter")</f>
        <v/>
      </c>
      <c r="C8734" t="inlineStr">
        <is>
          <t>Klein Tools ET140 Pinless Moisture Meter</t>
        </is>
      </c>
      <c r="D8734" t="inlineStr">
        <is>
          <t>FBLFOBELI Hard Storage Portable Case for Klein Tools 80023P Tool Set, Home Inspector Tool Kit with Klein Tools ET140 Pinless Moisture Meter, EVA Protector Travel Carrying Case (Case Only)</t>
        </is>
      </c>
      <c r="E8734" s="2">
        <f>HYPERLINK("https://www.amazon.com/FBLFOBELI-Portable-Moisture-Protector-Carrying/dp/B09KMNH6DS/ref=sr_1_13?keywords=Klein+Tools+ET140+Pinless+Moisture+Meter&amp;qid=1694735470&amp;sr=8-13", "https://www.amazon.com/FBLFOBELI-Portable-Moisture-Protector-Carrying/dp/B09KMNH6DS/ref=sr_1_13?keywords=Klein+Tools+ET140+Pinless+Moisture+Meter&amp;qid=1694735470&amp;sr=8-13")</f>
        <v/>
      </c>
      <c r="F8734" t="inlineStr">
        <is>
          <t>B09KMNH6DS</t>
        </is>
      </c>
      <c r="G8734">
        <f>_xlfn.IMAGE("https://edmondsonsupply.com/cdn/shop/products/et140_beauty_r.jpg?v=1587143172")</f>
        <v/>
      </c>
      <c r="H8734">
        <f>_xlfn.IMAGE("https://m.media-amazon.com/images/I/81HuCi+mVsL._AC_UL320_.jpg")</f>
        <v/>
      </c>
      <c r="K8734" t="inlineStr">
        <is>
          <t>41.97</t>
        </is>
      </c>
      <c r="L8734" t="n">
        <v>15.99</v>
      </c>
      <c r="M8734" s="1" t="inlineStr">
        <is>
          <t>-61.90%</t>
        </is>
      </c>
      <c r="N8734" s="7" t="n"/>
      <c r="O8734" t="n">
        <v>4.5</v>
      </c>
      <c r="P8734" t="n">
        <v>39</v>
      </c>
      <c r="R8734" t="inlineStr">
        <is>
          <t>InStock</t>
        </is>
      </c>
      <c r="S8734" t="inlineStr">
        <is>
          <t>59.44</t>
        </is>
      </c>
      <c r="T8734" t="inlineStr">
        <is>
          <t>3693529071716</t>
        </is>
      </c>
    </row>
    <row r="8735" hidden="1" ht="15.75" customHeight="1">
      <c r="A8735" s="2">
        <f>HYPERLINK("https://edmondsonsupply.com/collections/electricians-tools/products/klein-tools-aepjs1-wireless-jobsite-speaker-bluetooth", "https://edmondsonsupply.com/collections/electricians-tools/products/klein-tools-aepjs1-wireless-jobsite-speaker-bluetooth")</f>
        <v/>
      </c>
      <c r="B8735" s="2">
        <f>HYPERLINK("https://edmondsonsupply.com/products/klein-tools-aepjs1-wireless-jobsite-speaker-bluetooth", "https://edmondsonsupply.com/products/klein-tools-aepjs1-wireless-jobsite-speaker-bluetooth")</f>
        <v/>
      </c>
      <c r="C8735" t="inlineStr">
        <is>
          <t>Klein Tools AEPJS1 Wireless Jobsite Speaker</t>
        </is>
      </c>
      <c r="D8735" t="inlineStr">
        <is>
          <t>CaseSack Wireless Speaker Case for Klein Tools AEPJS1, AEPJS2 Wireless Speaker</t>
        </is>
      </c>
      <c r="E8735" s="2">
        <f>HYPERLINK("https://www.amazon.com/CaseSack-Wireless-Speaker-Klein-AEPJS1/dp/B087RPKSVP/ref=sr_1_5?keywords=Klein+Tools+AEPJS1+Wireless+Jobsite+Speaker&amp;qid=1694735448&amp;sr=8-5", "https://www.amazon.com/CaseSack-Wireless-Speaker-Klein-AEPJS1/dp/B087RPKSVP/ref=sr_1_5?keywords=Klein+Tools+AEPJS1+Wireless+Jobsite+Speaker&amp;qid=1694735448&amp;sr=8-5")</f>
        <v/>
      </c>
      <c r="F8735" t="inlineStr">
        <is>
          <t>B087RPKSVP</t>
        </is>
      </c>
      <c r="G8735">
        <f>_xludf.IMAGE("https://edmondsonsupply.com/cdn/shop/products/aepjs1.jpg?v=1587145015")</f>
        <v/>
      </c>
      <c r="H8735">
        <f>_xludf.IMAGE("https://m.media-amazon.com/images/I/81C-Wh1sMiL._AC_UY218_.jpg")</f>
        <v/>
      </c>
      <c r="K8735" t="inlineStr">
        <is>
          <t>39.97</t>
        </is>
      </c>
      <c r="L8735" t="n">
        <v>14.86</v>
      </c>
      <c r="M8735" s="1" t="inlineStr">
        <is>
          <t>-62.82%</t>
        </is>
      </c>
      <c r="N8735" s="1" t="n"/>
      <c r="O8735" t="n">
        <v>4.4</v>
      </c>
      <c r="P8735" t="n">
        <v>159</v>
      </c>
      <c r="R8735" t="inlineStr">
        <is>
          <t>InStock</t>
        </is>
      </c>
      <c r="S8735" t="inlineStr">
        <is>
          <t>56.0</t>
        </is>
      </c>
      <c r="T8735" t="inlineStr">
        <is>
          <t>1779629424740</t>
        </is>
      </c>
    </row>
    <row r="8736" hidden="1" ht="15.75" customHeight="1">
      <c r="A8736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736" s="2">
        <f>HYPERLINK("https://edmondsonsupply.com/products/klein-tools-31972-bi-metal-hole-saw-4-1-2-inch", "https://edmondsonsupply.com/products/klein-tools-31972-bi-metal-hole-saw-4-1-2-inch")</f>
        <v/>
      </c>
      <c r="C8736" t="inlineStr">
        <is>
          <t>Klein Tools 31972 Bi-Metal Hole Saw, 4-1/2-Inch</t>
        </is>
      </c>
      <c r="D8736" t="inlineStr">
        <is>
          <t>Klein Tools 31928 Bi-Metal Hole Saw, 1-3/4-Inch</t>
        </is>
      </c>
      <c r="E8736" s="2">
        <f>HYPERLINK("https://www.amazon.com/Bi-Metal-4-Inch-Klein-Tools-31928/dp/B019874QX2/ref=sr_1_7?keywords=Klein+Tools+31972+Bi-Metal+Hole+Saw%2C+4-1%2F2-Inch&amp;qid=1694735442&amp;sr=8-7", "https://www.amazon.com/Bi-Metal-4-Inch-Klein-Tools-31928/dp/B019874QX2/ref=sr_1_7?keywords=Klein+Tools+31972+Bi-Metal+Hole+Saw%2C+4-1%2F2-Inch&amp;qid=1694735442&amp;sr=8-7")</f>
        <v/>
      </c>
      <c r="F8736" t="inlineStr">
        <is>
          <t>B019874QX2</t>
        </is>
      </c>
      <c r="G8736">
        <f>_xludf.IMAGE("https://edmondsonsupply.com/cdn/shop/products/31972.jpg?v=1587147016")</f>
        <v/>
      </c>
      <c r="H8736">
        <f>_xludf.IMAGE("https://m.media-amazon.com/images/I/51gUBEk4TuL._AC_UL320_.jpg")</f>
        <v/>
      </c>
      <c r="K8736" t="inlineStr">
        <is>
          <t>26.99</t>
        </is>
      </c>
      <c r="L8736" t="n">
        <v>9.99</v>
      </c>
      <c r="M8736" s="1" t="inlineStr">
        <is>
          <t>-62.99%</t>
        </is>
      </c>
      <c r="N8736" s="1" t="n"/>
      <c r="O8736" t="n">
        <v>4.5</v>
      </c>
      <c r="P8736" t="n">
        <v>365</v>
      </c>
      <c r="R8736" t="inlineStr">
        <is>
          <t>InStock</t>
        </is>
      </c>
      <c r="S8736" t="inlineStr">
        <is>
          <t>37.86</t>
        </is>
      </c>
      <c r="T8736" t="inlineStr">
        <is>
          <t>4328864809060</t>
        </is>
      </c>
    </row>
    <row r="8737" hidden="1" ht="15.75" customHeight="1">
      <c r="A8737" s="2">
        <f>HYPERLINK("https://edmondsonsupply.com/collections/electricians-tools/products/klein-32807mag", "https://edmondsonsupply.com/collections/electricians-tools/products/klein-32807mag")</f>
        <v/>
      </c>
      <c r="B8737" s="2">
        <f>HYPERLINK("https://edmondsonsupply.com/products/klein-32807mag", "https://edmondsonsupply.com/products/klein-32807mag")</f>
        <v/>
      </c>
      <c r="C8737" t="inlineStr">
        <is>
          <t>Klein Tools 32807MAG 7-in-1 Multi-Bit Screwdriver / Nut Driver, Magnetic</t>
        </is>
      </c>
      <c r="D8737" t="inlineStr">
        <is>
          <t>Klein Tools 32561 Multi-Bit Screwdriver / Nut Driver, 6-in-1 Stubby Screwdriver with 2 Phillips, 2 Slotted Bits, 2 Nut Drivers</t>
        </is>
      </c>
      <c r="E8737" s="2">
        <f>HYPERLINK("https://www.amazon.com/Klein-Tools-32561-Screwdriver-Multi-Bit/dp/B005FQDHHC/ref=sr_1_21?keywords=Klein+Tools+32807MAG+7-in-1+Multi-Bit+Screwdriver+%2F+Nut+Driver%2C+Magnetic&amp;qid=1694735441&amp;sr=8-21", "https://www.amazon.com/Klein-Tools-32561-Screwdriver-Multi-Bit/dp/B005FQDHHC/ref=sr_1_21?keywords=Klein+Tools+32807MAG+7-in-1+Multi-Bit+Screwdriver+%2F+Nut+Driver%2C+Magnetic&amp;qid=1694735441&amp;sr=8-21")</f>
        <v/>
      </c>
      <c r="F8737" t="inlineStr">
        <is>
          <t>B005FQDHHC</t>
        </is>
      </c>
      <c r="G8737">
        <f>_xludf.IMAGE("https://edmondsonsupply.com/cdn/shop/products/32807mag_beauty_l.jpg?v=1604873791")</f>
        <v/>
      </c>
      <c r="H8737">
        <f>_xludf.IMAGE("https://m.media-amazon.com/images/I/61cyqZhSgsL._AC_UL320_.jpg")</f>
        <v/>
      </c>
      <c r="K8737" t="inlineStr">
        <is>
          <t>29.97</t>
        </is>
      </c>
      <c r="L8737" t="n">
        <v>10.97</v>
      </c>
      <c r="M8737" s="1" t="inlineStr">
        <is>
          <t>-63.40%</t>
        </is>
      </c>
      <c r="N8737" s="1" t="n"/>
      <c r="O8737" t="n">
        <v>4.8</v>
      </c>
      <c r="P8737" t="n">
        <v>13254</v>
      </c>
      <c r="R8737" t="inlineStr">
        <is>
          <t>InStock</t>
        </is>
      </c>
      <c r="S8737" t="inlineStr">
        <is>
          <t>44.5</t>
        </is>
      </c>
      <c r="T8737" t="inlineStr">
        <is>
          <t>1493034008676</t>
        </is>
      </c>
    </row>
    <row r="8738" hidden="1" ht="15.75" customHeight="1">
      <c r="A8738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38" s="2">
        <f>HYPERLINK("https://edmondsonsupply.com/products/klein-tools-et140-pinless-moisture-meter", "https://edmondsonsupply.com/products/klein-tools-et140-pinless-moisture-meter")</f>
        <v/>
      </c>
      <c r="C8738" t="inlineStr">
        <is>
          <t>Klein Tools ET140 Pinless Moisture Meter</t>
        </is>
      </c>
      <c r="D8738" t="inlineStr">
        <is>
          <t>WERJIA Hard Carrying Case for Klein Tools ET140 Pinless Moisture Meter</t>
        </is>
      </c>
      <c r="E8738" s="2">
        <f>HYPERLINK("https://www.amazon.com/WERJIA-Carrying-Klein-Pinless-Moisture/dp/B08ZSN7BVC/ref=sr_1_20?keywords=Klein+Tools+ET140+Pinless+Moisture+Meter&amp;qid=1694735470&amp;sr=8-20", "https://www.amazon.com/WERJIA-Carrying-Klein-Pinless-Moisture/dp/B08ZSN7BVC/ref=sr_1_20?keywords=Klein+Tools+ET140+Pinless+Moisture+Meter&amp;qid=1694735470&amp;sr=8-20")</f>
        <v/>
      </c>
      <c r="F8738" t="inlineStr">
        <is>
          <t>B08ZSN7BVC</t>
        </is>
      </c>
      <c r="G8738">
        <f>_xludf.IMAGE("https://edmondsonsupply.com/cdn/shop/products/et140_beauty_r.jpg?v=1587143172")</f>
        <v/>
      </c>
      <c r="H8738">
        <f>_xludf.IMAGE("https://m.media-amazon.com/images/I/81LozLBCe2S._AC_UL320_.jpg")</f>
        <v/>
      </c>
      <c r="K8738" t="inlineStr">
        <is>
          <t>41.97</t>
        </is>
      </c>
      <c r="L8738" t="n">
        <v>14.99</v>
      </c>
      <c r="M8738" s="1" t="inlineStr">
        <is>
          <t>-64.28%</t>
        </is>
      </c>
      <c r="N8738" s="1" t="n"/>
      <c r="O8738" t="n">
        <v>4.7</v>
      </c>
      <c r="P8738" t="n">
        <v>5</v>
      </c>
      <c r="R8738" t="inlineStr">
        <is>
          <t>InStock</t>
        </is>
      </c>
      <c r="S8738" t="inlineStr">
        <is>
          <t>59.44</t>
        </is>
      </c>
      <c r="T8738" t="inlineStr">
        <is>
          <t>3693529071716</t>
        </is>
      </c>
    </row>
    <row r="8739" hidden="1" ht="15.75" customHeight="1">
      <c r="A8739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39" s="2">
        <f>HYPERLINK("https://edmondsonsupply.com/products/klein-tools-et140-pinless-moisture-meter", "https://edmondsonsupply.com/products/klein-tools-et140-pinless-moisture-meter")</f>
        <v/>
      </c>
      <c r="C8739" t="inlineStr">
        <is>
          <t>Klein Tools ET140 Pinless Moisture Meter</t>
        </is>
      </c>
      <c r="D8739" t="inlineStr">
        <is>
          <t>Aenllosi Hard Carrying Case Compatible with Klein Tools 80023P Tool Set, Home Inspector Tool Kit with ET140 Moisture Meter, Non-Contact Voltage Tester, GFCI Outlet Tester</t>
        </is>
      </c>
      <c r="E8739" s="2">
        <f>HYPERLINK("https://www.amazon.com/Aenllosi-Carrying-Compatible-Inspector-Non-Contact/dp/B0B5TWNQ4K/ref=sr_1_45?keywords=Klein+Tools+ET140+Pinless+Moisture+Meter&amp;qid=1694735470&amp;sr=8-45", "https://www.amazon.com/Aenllosi-Carrying-Compatible-Inspector-Non-Contact/dp/B0B5TWNQ4K/ref=sr_1_45?keywords=Klein+Tools+ET140+Pinless+Moisture+Meter&amp;qid=1694735470&amp;sr=8-45")</f>
        <v/>
      </c>
      <c r="F8739" t="inlineStr">
        <is>
          <t>B0B5TWNQ4K</t>
        </is>
      </c>
      <c r="G8739">
        <f>_xludf.IMAGE("https://edmondsonsupply.com/cdn/shop/products/et140_beauty_r.jpg?v=1587143172")</f>
        <v/>
      </c>
      <c r="H8739">
        <f>_xludf.IMAGE("https://m.media-amazon.com/images/I/81cFFnLgyzL._AC_UL320_.jpg")</f>
        <v/>
      </c>
      <c r="K8739" t="inlineStr">
        <is>
          <t>41.97</t>
        </is>
      </c>
      <c r="L8739" t="n">
        <v>13.99</v>
      </c>
      <c r="M8739" s="1" t="inlineStr">
        <is>
          <t>-66.67%</t>
        </is>
      </c>
      <c r="N8739" s="1" t="n"/>
      <c r="O8739" t="n">
        <v>5</v>
      </c>
      <c r="P8739" t="n">
        <v>9</v>
      </c>
      <c r="R8739" t="inlineStr">
        <is>
          <t>InStock</t>
        </is>
      </c>
      <c r="S8739" t="inlineStr">
        <is>
          <t>59.44</t>
        </is>
      </c>
      <c r="T8739" t="inlineStr">
        <is>
          <t>3693529071716</t>
        </is>
      </c>
    </row>
    <row r="8740" hidden="1" ht="15.75" customHeight="1">
      <c r="A8740" s="2">
        <f>HYPERLINK("https://edmondsonsupply.com/collections/electricians-tools/products/klein-32807mag", "https://edmondsonsupply.com/collections/electricians-tools/products/klein-32807mag")</f>
        <v/>
      </c>
      <c r="B8740" s="2">
        <f>HYPERLINK("https://edmondsonsupply.com/products/klein-32807mag", "https://edmondsonsupply.com/products/klein-32807mag")</f>
        <v/>
      </c>
      <c r="C8740" t="inlineStr">
        <is>
          <t>Klein Tools 32807MAG 7-in-1 Multi-Bit Screwdriver / Nut Driver, Magnetic</t>
        </is>
      </c>
      <c r="D8740" t="inlineStr">
        <is>
          <t>Klein Tools 32476 5-In-1 Multi-Bit Screwdriver / Nut Driver with 2 Slotted, 2 Philips, and 1 Nut Driver Tip</t>
        </is>
      </c>
      <c r="E8740" s="2">
        <f>HYPERLINK("https://www.amazon.com/Screwdriver-Driver-Yellow-Klein-32476/dp/B000RFPDXC/ref=sr_1_15?keywords=Klein+Tools+32807MAG+7-in-1+Multi-Bit+Screwdriver+%2F+Nut+Driver%2C+Magnetic&amp;qid=1694735441&amp;sr=8-15", "https://www.amazon.com/Screwdriver-Driver-Yellow-Klein-32476/dp/B000RFPDXC/ref=sr_1_15?keywords=Klein+Tools+32807MAG+7-in-1+Multi-Bit+Screwdriver+%2F+Nut+Driver%2C+Magnetic&amp;qid=1694735441&amp;sr=8-15")</f>
        <v/>
      </c>
      <c r="F8740" t="inlineStr">
        <is>
          <t>B000RFPDXC</t>
        </is>
      </c>
      <c r="G8740">
        <f>_xludf.IMAGE("https://edmondsonsupply.com/cdn/shop/products/32807mag_beauty_l.jpg?v=1604873791")</f>
        <v/>
      </c>
      <c r="H8740">
        <f>_xludf.IMAGE("https://m.media-amazon.com/images/I/51ZkueHIEQL._AC_UL320_.jpg")</f>
        <v/>
      </c>
      <c r="K8740" t="inlineStr">
        <is>
          <t>29.97</t>
        </is>
      </c>
      <c r="L8740" t="n">
        <v>9.98</v>
      </c>
      <c r="M8740" s="1" t="inlineStr">
        <is>
          <t>-66.70%</t>
        </is>
      </c>
      <c r="N8740" s="1" t="n"/>
      <c r="O8740" t="n">
        <v>4.8</v>
      </c>
      <c r="P8740" t="n">
        <v>1240</v>
      </c>
      <c r="R8740" t="inlineStr">
        <is>
          <t>InStock</t>
        </is>
      </c>
      <c r="S8740" t="inlineStr">
        <is>
          <t>44.5</t>
        </is>
      </c>
      <c r="T8740" t="inlineStr">
        <is>
          <t>1493034008676</t>
        </is>
      </c>
    </row>
    <row r="8741" ht="87" customHeight="1">
      <c r="A8741" s="2">
        <f>HYPERLINK("https://edmondsonsupply.com/collections/electricians-tools/products/klein-tools-vdv002-818-coax-cable-installation-test-kit", "https://edmondsonsupply.com/collections/electricians-tools/products/klein-tools-vdv002-818-coax-cable-installation-test-kit")</f>
        <v/>
      </c>
      <c r="B8741" s="2">
        <f>HYPERLINK("https://edmondsonsupply.com/products/klein-tools-vdv002-818-coax-cable-installation-test-kit", "https://edmondsonsupply.com/products/klein-tools-vdv002-818-coax-cable-installation-test-kit")</f>
        <v/>
      </c>
      <c r="C8741" t="inlineStr">
        <is>
          <t>Klein Tools VDV002-818 Coax Cable Installation &amp; Test Kit</t>
        </is>
      </c>
      <c r="D8741" t="inlineStr">
        <is>
          <t>Aenllosi Hard Carrying Case Replacement for Klein Tools VDV002-818 Coaxial Cable Tools and Connectors,Customised Holder for Coax Cable Crimper Kit Tool(Case Only)</t>
        </is>
      </c>
      <c r="E8741" s="2">
        <f>HYPERLINK("https://www.amazon.com/Aenllosi-Carrying-Klein-VDV002-818-Coaxial/dp/B081976LWB/ref=sr_1_2?keywords=Klein+Tools+VDV002-818+Coax+Cable+Installation&amp;qid=1694735432&amp;sr=8-2", "https://www.amazon.com/Aenllosi-Carrying-Klein-VDV002-818-Coaxial/dp/B081976LWB/ref=sr_1_2?keywords=Klein+Tools+VDV002-818+Coax+Cable+Installation&amp;qid=1694735432&amp;sr=8-2")</f>
        <v/>
      </c>
      <c r="F8741" t="inlineStr">
        <is>
          <t>B081976LWB</t>
        </is>
      </c>
      <c r="G8741">
        <f>_xlfn.IMAGE("https://edmondsonsupply.com/cdn/shop/products/vdv002-818.jpg?v=1587144977")</f>
        <v/>
      </c>
      <c r="H8741">
        <f>_xlfn.IMAGE("https://m.media-amazon.com/images/I/819ysywgEpL._AC_UL320_.jpg")</f>
        <v/>
      </c>
      <c r="K8741" t="inlineStr">
        <is>
          <t>53.99</t>
        </is>
      </c>
      <c r="L8741" t="n">
        <v>16.99</v>
      </c>
      <c r="M8741" s="1" t="inlineStr">
        <is>
          <t>-68.53%</t>
        </is>
      </c>
      <c r="N8741" s="7" t="n"/>
      <c r="O8741" t="n">
        <v>4.7</v>
      </c>
      <c r="P8741" t="n">
        <v>172</v>
      </c>
      <c r="R8741" t="inlineStr">
        <is>
          <t>InStock</t>
        </is>
      </c>
      <c r="S8741" t="inlineStr">
        <is>
          <t>72.74</t>
        </is>
      </c>
      <c r="T8741" t="inlineStr">
        <is>
          <t>4345265193060</t>
        </is>
      </c>
    </row>
    <row r="8742" hidden="1" ht="15.75" customHeight="1">
      <c r="A8742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42" s="2">
        <f>HYPERLINK("https://edmondsonsupply.com/products/klein-tools-et140-pinless-moisture-meter", "https://edmondsonsupply.com/products/klein-tools-et140-pinless-moisture-meter")</f>
        <v/>
      </c>
      <c r="C8742" t="inlineStr">
        <is>
          <t>Klein Tools ET140 Pinless Moisture Meter</t>
        </is>
      </c>
      <c r="D8742" t="inlineStr">
        <is>
          <t>Aenllosi Hard Carrying Case Compatible with Klein Tools ET140 Pinless Moisture Meter</t>
        </is>
      </c>
      <c r="E8742" s="2">
        <f>HYPERLINK("https://www.amazon.com/Aenllosi-Carrying-Compatible-Pinless-Moisture/dp/B08YXNKV1Y/ref=sr_1_2?keywords=Klein+Tools+ET140+Pinless+Moisture+Meter&amp;qid=1694735470&amp;sr=8-2", "https://www.amazon.com/Aenllosi-Carrying-Compatible-Pinless-Moisture/dp/B08YXNKV1Y/ref=sr_1_2?keywords=Klein+Tools+ET140+Pinless+Moisture+Meter&amp;qid=1694735470&amp;sr=8-2")</f>
        <v/>
      </c>
      <c r="F8742" t="inlineStr">
        <is>
          <t>B08YXNKV1Y</t>
        </is>
      </c>
      <c r="G8742">
        <f>_xludf.IMAGE("https://edmondsonsupply.com/cdn/shop/products/et140_beauty_r.jpg?v=1587143172")</f>
        <v/>
      </c>
      <c r="H8742">
        <f>_xludf.IMAGE("https://m.media-amazon.com/images/I/51H8SskPotL._AC_UL320_.jpg")</f>
        <v/>
      </c>
      <c r="K8742" t="inlineStr">
        <is>
          <t>41.97</t>
        </is>
      </c>
      <c r="L8742" t="n">
        <v>12.99</v>
      </c>
      <c r="M8742" s="1" t="inlineStr">
        <is>
          <t>-69.05%</t>
        </is>
      </c>
      <c r="N8742" s="1" t="n"/>
      <c r="O8742" t="n">
        <v>4.7</v>
      </c>
      <c r="P8742" t="n">
        <v>28</v>
      </c>
      <c r="R8742" t="inlineStr">
        <is>
          <t>InStock</t>
        </is>
      </c>
      <c r="S8742" t="inlineStr">
        <is>
          <t>59.44</t>
        </is>
      </c>
      <c r="T8742" t="inlineStr">
        <is>
          <t>3693529071716</t>
        </is>
      </c>
    </row>
    <row r="8743" hidden="1" ht="15.75" customHeight="1">
      <c r="A8743" s="2">
        <f>HYPERLINK("https://edmondsonsupply.com/collections/electricians-tools/products/klein-tools-31972-bi-metal-hole-saw-4-1-2-inch", "https://edmondsonsupply.com/collections/electricians-tools/products/klein-tools-31972-bi-metal-hole-saw-4-1-2-inch")</f>
        <v/>
      </c>
      <c r="B8743" s="2">
        <f>HYPERLINK("https://edmondsonsupply.com/products/klein-tools-31972-bi-metal-hole-saw-4-1-2-inch", "https://edmondsonsupply.com/products/klein-tools-31972-bi-metal-hole-saw-4-1-2-inch")</f>
        <v/>
      </c>
      <c r="C8743" t="inlineStr">
        <is>
          <t>Klein Tools 31972 Bi-Metal Hole Saw, 4-1/2-Inch</t>
        </is>
      </c>
      <c r="D8743" t="inlineStr">
        <is>
          <t>4 1/2 Inch Hole Saw, 115mm Hss Bi-Metal Hole Cutter for Recessed Lights, 38mm Cutting Depth Hole Drill Bit with Hex Shank for Wood Boards, Soft Metal Sheet, Drywall and Plastic, Red</t>
        </is>
      </c>
      <c r="E8743" s="2">
        <f>HYPERLINK("https://www.amazon.com/Bi-Metal-Recessed-Cutting-Drywall-Plastic/dp/B0BXL5TGNG/ref=sr_1_34?keywords=Klein+Tools+31972+Bi-Metal+Hole+Saw%2C+4-1%2F2-Inch&amp;qid=1694735442&amp;sr=8-34", "https://www.amazon.com/Bi-Metal-Recessed-Cutting-Drywall-Plastic/dp/B0BXL5TGNG/ref=sr_1_34?keywords=Klein+Tools+31972+Bi-Metal+Hole+Saw%2C+4-1%2F2-Inch&amp;qid=1694735442&amp;sr=8-34")</f>
        <v/>
      </c>
      <c r="F8743" t="inlineStr">
        <is>
          <t>B0BXL5TGNG</t>
        </is>
      </c>
      <c r="G8743">
        <f>_xludf.IMAGE("https://edmondsonsupply.com/cdn/shop/products/31972.jpg?v=1587147016")</f>
        <v/>
      </c>
      <c r="H8743">
        <f>_xludf.IMAGE("https://m.media-amazon.com/images/I/61KAzHumGNL._AC_UL320_.jpg")</f>
        <v/>
      </c>
      <c r="K8743" t="inlineStr">
        <is>
          <t>26.99</t>
        </is>
      </c>
      <c r="L8743" t="n">
        <v>8.15</v>
      </c>
      <c r="M8743" s="1" t="inlineStr">
        <is>
          <t>-69.80%</t>
        </is>
      </c>
      <c r="N8743" s="1" t="n"/>
      <c r="O8743" t="n">
        <v>4.4</v>
      </c>
      <c r="P8743" t="n">
        <v>413</v>
      </c>
      <c r="R8743" t="inlineStr">
        <is>
          <t>InStock</t>
        </is>
      </c>
      <c r="S8743" t="inlineStr">
        <is>
          <t>37.86</t>
        </is>
      </c>
      <c r="T8743" t="inlineStr">
        <is>
          <t>4328864809060</t>
        </is>
      </c>
    </row>
    <row r="8744" hidden="1" ht="15.75" customHeight="1">
      <c r="A8744" s="2">
        <f>HYPERLINK("https://edmondsonsupply.com/collections/electricians-tools/products/klein-tools-srs56037-magnetic-wire-pulling-system", "https://edmondsonsupply.com/collections/electricians-tools/products/klein-tools-srs56037-magnetic-wire-pulling-system")</f>
        <v/>
      </c>
      <c r="B8744" s="2">
        <f>HYPERLINK("https://edmondsonsupply.com/products/klein-tools-srs56037-magnetic-wire-pulling-system", "https://edmondsonsupply.com/products/klein-tools-srs56037-magnetic-wire-pulling-system")</f>
        <v/>
      </c>
      <c r="C8744" t="inlineStr">
        <is>
          <t>Klein Tools SRS56037 Magnetic Wire Pulling System</t>
        </is>
      </c>
      <c r="D8744" t="inlineStr">
        <is>
          <t>BSTOB Magnetic Threader Professional WireMag Puller Wire Cable Running Device-Magnetic Wire Pulling System Fishing Tools</t>
        </is>
      </c>
      <c r="E8744" s="2">
        <f>HYPERLINK("https://www.amazon.com/BSTOB-Magnetic-Threader-Professional-Device-Magnetic/dp/B08YDQ4SNQ/ref=sr_1_17?keywords=Klein+Tools+SRS56037+Magnetic+Wire+Pulling+System&amp;qid=1694735481&amp;sr=8-17", "https://www.amazon.com/BSTOB-Magnetic-Threader-Professional-Device-Magnetic/dp/B08YDQ4SNQ/ref=sr_1_17?keywords=Klein+Tools+SRS56037+Magnetic+Wire+Pulling+System&amp;qid=1694735481&amp;sr=8-17")</f>
        <v/>
      </c>
      <c r="F8744" t="inlineStr">
        <is>
          <t>B08YDQ4SNQ</t>
        </is>
      </c>
      <c r="G8744">
        <f>_xludf.IMAGE("https://edmondsonsupply.com/cdn/shop/products/srs56037.jpg?v=1587146490")</f>
        <v/>
      </c>
      <c r="H8744">
        <f>_xludf.IMAGE("https://m.media-amazon.com/images/I/51qkEYi9EsL._AC_UL320_.jpg")</f>
        <v/>
      </c>
      <c r="K8744" t="inlineStr">
        <is>
          <t>49.97</t>
        </is>
      </c>
      <c r="L8744" t="n">
        <v>14.99</v>
      </c>
      <c r="M8744" s="1" t="inlineStr">
        <is>
          <t>-70.00%</t>
        </is>
      </c>
      <c r="N8744" s="1" t="n"/>
      <c r="O8744" t="n">
        <v>5</v>
      </c>
      <c r="P8744" t="n">
        <v>1</v>
      </c>
      <c r="R8744" t="inlineStr">
        <is>
          <t>InStock</t>
        </is>
      </c>
      <c r="S8744" t="inlineStr">
        <is>
          <t>72.96</t>
        </is>
      </c>
      <c r="T8744" t="inlineStr">
        <is>
          <t>3698740035684</t>
        </is>
      </c>
    </row>
    <row r="8745" hidden="1" ht="15.75" customHeight="1">
      <c r="A8745" s="2">
        <f>HYPERLINK("https://edmondsonsupply.com/collections/electricians-tools/products/klein-tools-11063w-katapult%C2%AE-solid-and-stranded-wire-stripper-cutter", "https://edmondsonsupply.com/collections/electricians-tools/products/klein-tools-11063w-katapult%C2%AE-solid-and-stranded-wire-stripper-cutter")</f>
        <v/>
      </c>
      <c r="B8745" s="2">
        <f>HYPERLINK("https://edmondsonsupply.com/products/klein-tools-11063w-katapult%c2%ae-solid-and-stranded-wire-stripper-cutter", "https://edmondsonsupply.com/products/klein-tools-11063w-katapult%c2%ae-solid-and-stranded-wire-stripper-cutter")</f>
        <v/>
      </c>
      <c r="C8745" t="inlineStr">
        <is>
          <t>Klein Tools 11063W Katapult® Wire Stripper and Cutter for Solid and Stranded Wire</t>
        </is>
      </c>
      <c r="D8745" t="inlineStr">
        <is>
          <t>Klein Tools 1003 Wire Stripper and Cutter for Solid and Stranded Wire, Compact Yellow</t>
        </is>
      </c>
      <c r="E8745" s="2">
        <f>HYPERLINK("https://www.amazon.com/Stripper-Stranded-Klein-Tools-1003/dp/B000V6W5QU/ref=sr_1_6?keywords=Klein+Tools+11063W+Katapult%C2%AE+Wire+Stripper+and+Cutter+for+Solid+and+Stranded+Wire&amp;qid=1694735440&amp;sr=8-6", "https://www.amazon.com/Stripper-Stranded-Klein-Tools-1003/dp/B000V6W5QU/ref=sr_1_6?keywords=Klein+Tools+11063W+Katapult%C2%AE+Wire+Stripper+and+Cutter+for+Solid+and+Stranded+Wire&amp;qid=1694735440&amp;sr=8-6")</f>
        <v/>
      </c>
      <c r="F8745" t="inlineStr">
        <is>
          <t>B000V6W5QU</t>
        </is>
      </c>
      <c r="G8745">
        <f>_xludf.IMAGE("https://edmondsonsupply.com/cdn/shop/products/11063w.jpg?v=1587151004")</f>
        <v/>
      </c>
      <c r="H8745">
        <f>_xludf.IMAGE("https://m.media-amazon.com/images/I/41OXcwB6zvL._AC_UL320_.jpg")</f>
        <v/>
      </c>
      <c r="K8745" t="inlineStr">
        <is>
          <t>29.97</t>
        </is>
      </c>
      <c r="L8745" t="n">
        <v>8.960000000000001</v>
      </c>
      <c r="M8745" s="1" t="inlineStr">
        <is>
          <t>-70.10%</t>
        </is>
      </c>
      <c r="N8745" s="1" t="n"/>
      <c r="O8745" t="n">
        <v>4.6</v>
      </c>
      <c r="P8745" t="n">
        <v>627</v>
      </c>
      <c r="R8745" t="inlineStr">
        <is>
          <t>InStock</t>
        </is>
      </c>
      <c r="S8745" t="inlineStr">
        <is>
          <t>44.7</t>
        </is>
      </c>
      <c r="T8745" t="inlineStr">
        <is>
          <t>4334180827236</t>
        </is>
      </c>
    </row>
    <row r="8746" hidden="1" ht="15.75" customHeight="1">
      <c r="A8746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46" s="2">
        <f>HYPERLINK("https://edmondsonsupply.com/products/klein-tools-et140-pinless-moisture-meter", "https://edmondsonsupply.com/products/klein-tools-et140-pinless-moisture-meter")</f>
        <v/>
      </c>
      <c r="C8746" t="inlineStr">
        <is>
          <t>Klein Tools ET140 Pinless Moisture Meter</t>
        </is>
      </c>
      <c r="D8746" t="inlineStr">
        <is>
          <t>Elonbo Hard Travel Case Compatible with Klein Tools ET140 Pinless Moisture Meter for Non-Destructive Moisture Detection in Drywall, Wood, and Masonry. ET140 Detector Storage Organize Holder Bag. Black</t>
        </is>
      </c>
      <c r="E8746" s="2">
        <f>HYPERLINK("https://www.amazon.com/Elonbo-Compatible-Moisture-Non-Destructive-Detection/dp/B0C13NH1F8/ref=sr_1_14?keywords=Klein+Tools+ET140+Pinless+Moisture+Meter&amp;qid=1694735470&amp;sr=8-14", "https://www.amazon.com/Elonbo-Compatible-Moisture-Non-Destructive-Detection/dp/B0C13NH1F8/ref=sr_1_14?keywords=Klein+Tools+ET140+Pinless+Moisture+Meter&amp;qid=1694735470&amp;sr=8-14")</f>
        <v/>
      </c>
      <c r="F8746" t="inlineStr">
        <is>
          <t>B0C13NH1F8</t>
        </is>
      </c>
      <c r="G8746">
        <f>_xludf.IMAGE("https://edmondsonsupply.com/cdn/shop/products/et140_beauty_r.jpg?v=1587143172")</f>
        <v/>
      </c>
      <c r="H8746">
        <f>_xludf.IMAGE("https://m.media-amazon.com/images/I/71NM0kY5EML._AC_UL320_.jpg")</f>
        <v/>
      </c>
      <c r="K8746" t="inlineStr">
        <is>
          <t>41.97</t>
        </is>
      </c>
      <c r="L8746" t="n">
        <v>11.99</v>
      </c>
      <c r="M8746" s="1" t="inlineStr">
        <is>
          <t>-71.43%</t>
        </is>
      </c>
      <c r="N8746" s="1" t="n"/>
      <c r="O8746" t="n">
        <v>5</v>
      </c>
      <c r="P8746" t="n">
        <v>2</v>
      </c>
      <c r="R8746" t="inlineStr">
        <is>
          <t>InStock</t>
        </is>
      </c>
      <c r="S8746" t="inlineStr">
        <is>
          <t>59.44</t>
        </is>
      </c>
      <c r="T8746" t="inlineStr">
        <is>
          <t>3693529071716</t>
        </is>
      </c>
    </row>
    <row r="8747" hidden="1" ht="15.75" customHeight="1">
      <c r="A8747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47" s="2">
        <f>HYPERLINK("https://edmondsonsupply.com/products/klein-tools-et140-pinless-moisture-meter", "https://edmondsonsupply.com/products/klein-tools-et140-pinless-moisture-meter")</f>
        <v/>
      </c>
      <c r="C8747" t="inlineStr">
        <is>
          <t>Klein Tools ET140 Pinless Moisture Meter</t>
        </is>
      </c>
      <c r="D8747" t="inlineStr">
        <is>
          <t>Mchoi Hard Carrying Case Fits for Klein Tools ET140 Pinless Moisture Meter, Case Only</t>
        </is>
      </c>
      <c r="E8747" s="2">
        <f>HYPERLINK("https://www.amazon.com/Mchoi-Portable-Compatible-Pinless-Moisture/dp/B099WDRJXK/ref=sr_1_17?keywords=Klein+Tools+ET140+Pinless+Moisture+Meter&amp;qid=1694735470&amp;sr=8-17", "https://www.amazon.com/Mchoi-Portable-Compatible-Pinless-Moisture/dp/B099WDRJXK/ref=sr_1_17?keywords=Klein+Tools+ET140+Pinless+Moisture+Meter&amp;qid=1694735470&amp;sr=8-17")</f>
        <v/>
      </c>
      <c r="F8747" t="inlineStr">
        <is>
          <t>B099WDRJXK</t>
        </is>
      </c>
      <c r="G8747">
        <f>_xludf.IMAGE("https://edmondsonsupply.com/cdn/shop/products/et140_beauty_r.jpg?v=1587143172")</f>
        <v/>
      </c>
      <c r="H8747">
        <f>_xludf.IMAGE("https://m.media-amazon.com/images/I/81SHmrA34FL._AC_UL320_.jpg")</f>
        <v/>
      </c>
      <c r="K8747" t="inlineStr">
        <is>
          <t>41.97</t>
        </is>
      </c>
      <c r="L8747" t="n">
        <v>11.99</v>
      </c>
      <c r="M8747" s="1" t="inlineStr">
        <is>
          <t>-71.43%</t>
        </is>
      </c>
      <c r="N8747" s="1" t="n"/>
      <c r="O8747" t="n">
        <v>5</v>
      </c>
      <c r="P8747" t="n">
        <v>13</v>
      </c>
      <c r="R8747" t="inlineStr">
        <is>
          <t>InStock</t>
        </is>
      </c>
      <c r="S8747" t="inlineStr">
        <is>
          <t>59.44</t>
        </is>
      </c>
      <c r="T8747" t="inlineStr">
        <is>
          <t>3693529071716</t>
        </is>
      </c>
    </row>
    <row r="8748" hidden="1" ht="15.75" customHeight="1">
      <c r="A8748" s="2">
        <f>HYPERLINK("https://edmondsonsupply.com/collections/electricians-tools/products/klein-tools-vdv770-834-commander%E2%84%A2-test-n-map%E2%84%A2-remote-kit", "https://edmondsonsupply.com/collections/electricians-tools/products/klein-tools-vdv770-834-commander%E2%84%A2-test-n-map%E2%84%A2-remote-kit")</f>
        <v/>
      </c>
      <c r="B8748" s="2">
        <f>HYPERLINK("https://edmondsonsupply.com/products/klein-tools-vdv770-834-commander%e2%84%a2-test-n-map%e2%84%a2-remote-kit", "https://edmondsonsupply.com/products/klein-tools-vdv770-834-commander%e2%84%a2-test-n-map%e2%84%a2-remote-kit")</f>
        <v/>
      </c>
      <c r="C8748" t="inlineStr">
        <is>
          <t>Klein Tools VDV770-834 Commander™ Test-n-Map™ Remote Kit</t>
        </is>
      </c>
      <c r="D8748" t="inlineStr">
        <is>
          <t>Klein Tools VDV770-127 Replacement Zipper Pouch for Scout Pro 3 Tester and Remote Expansion Kit, Made of Durable Nylon, Black</t>
        </is>
      </c>
      <c r="E8748" s="2">
        <f>HYPERLINK("https://www.amazon.com/Klein-Tools-VDV770-127-Replacement-Expansion/dp/B08C4L6JQ1/ref=sr_1_13?keywords=Klein+Tools+VDV770-834+Commander%E2%84%A2+Test-n-Map%E2%84%A2+Remote+Kit&amp;qid=1694735435&amp;sr=8-13", "https://www.amazon.com/Klein-Tools-VDV770-127-Replacement-Expansion/dp/B08C4L6JQ1/ref=sr_1_13?keywords=Klein+Tools+VDV770-834+Commander%E2%84%A2+Test-n-Map%E2%84%A2+Remote+Kit&amp;qid=1694735435&amp;sr=8-13")</f>
        <v/>
      </c>
      <c r="F8748" t="inlineStr">
        <is>
          <t>B08C4L6JQ1</t>
        </is>
      </c>
      <c r="G8748">
        <f>_xludf.IMAGE("https://edmondsonsupply.com/cdn/shop/products/vdv770-834.jpg?v=1587144728")</f>
        <v/>
      </c>
      <c r="H8748">
        <f>_xludf.IMAGE("https://m.media-amazon.com/images/I/61fmYBieZJL._AC_UY218_.jpg")</f>
        <v/>
      </c>
      <c r="K8748" t="inlineStr">
        <is>
          <t>159.99</t>
        </is>
      </c>
      <c r="L8748" t="n">
        <v>14.95</v>
      </c>
      <c r="M8748" s="1" t="inlineStr">
        <is>
          <t>-90.66%</t>
        </is>
      </c>
      <c r="N8748" s="1" t="n"/>
      <c r="O8748" t="n">
        <v>5</v>
      </c>
      <c r="P8748" t="n">
        <v>5</v>
      </c>
      <c r="R8748" t="inlineStr">
        <is>
          <t>InStock</t>
        </is>
      </c>
      <c r="S8748" t="inlineStr">
        <is>
          <t>259.44</t>
        </is>
      </c>
      <c r="T8748" t="inlineStr">
        <is>
          <t>4362760716388</t>
        </is>
      </c>
    </row>
    <row r="8749" hidden="1" ht="15.75" customHeight="1">
      <c r="A8749" s="2">
        <f>HYPERLINK("https://edmondsonsupply.com/collections/electricians-tools/products/klein-tools-et140-pinless-moisture-meter", "https://edmondsonsupply.com/collections/electricians-tools/products/klein-tools-et140-pinless-moisture-meter")</f>
        <v/>
      </c>
      <c r="B8749" s="2">
        <f>HYPERLINK("https://edmondsonsupply.com/products/klein-tools-et140-pinless-moisture-meter", "https://edmondsonsupply.com/products/klein-tools-et140-pinless-moisture-meter")</f>
        <v/>
      </c>
      <c r="C8749" t="inlineStr">
        <is>
          <t>Klein Tools ET140 Pinless Moisture Meter</t>
        </is>
      </c>
      <c r="D8749" t="inlineStr">
        <is>
          <t>FitSand Hard Case Compatible with Klein Tools ET140 Pinless Moisture Meter</t>
        </is>
      </c>
      <c r="E8749" s="2">
        <f>HYPERLINK("https://www.amazon.com/FitSand-Compatible-Klein-Pinless-Moisture/dp/B09VPKD1RN/ref=sr_1_22?keywords=Klein+Tools+ET140+Pinless+Moisture+Meter&amp;qid=1694735470&amp;sr=8-22", "https://www.amazon.com/FitSand-Compatible-Klein-Pinless-Moisture/dp/B09VPKD1RN/ref=sr_1_22?keywords=Klein+Tools+ET140+Pinless+Moisture+Meter&amp;qid=1694735470&amp;sr=8-22")</f>
        <v/>
      </c>
      <c r="F8749" t="inlineStr">
        <is>
          <t>B09VPKD1RN</t>
        </is>
      </c>
      <c r="G8749">
        <f>_xludf.IMAGE("https://edmondsonsupply.com/cdn/shop/products/et140_beauty_r.jpg?v=1587143172")</f>
        <v/>
      </c>
      <c r="H8749">
        <f>_xludf.IMAGE("https://m.media-amazon.com/images/I/71X7B2ru4+L._AC_UL320_.jpg")</f>
        <v/>
      </c>
      <c r="K8749" t="inlineStr">
        <is>
          <t>41.97</t>
        </is>
      </c>
      <c r="L8749" t="n">
        <v>1.99</v>
      </c>
      <c r="M8749" s="1" t="inlineStr">
        <is>
          <t>-95.26%</t>
        </is>
      </c>
      <c r="N8749" s="1" t="n"/>
      <c r="O8749" t="n">
        <v>1</v>
      </c>
      <c r="P8749" t="n">
        <v>1</v>
      </c>
      <c r="R8749" t="inlineStr">
        <is>
          <t>InStock</t>
        </is>
      </c>
      <c r="S8749" t="inlineStr">
        <is>
          <t>59.44</t>
        </is>
      </c>
      <c r="T8749" t="inlineStr">
        <is>
          <t>3693529071716</t>
        </is>
      </c>
    </row>
    <row r="8750" hidden="1" ht="15.75" customHeight="1">
      <c r="A8750" s="2">
        <f>HYPERLINK("https://edmondsonsupply.com/collections/electricians-tools/products/klein-tools-63050-high-leverage-cable-cutter", "https://edmondsonsupply.com/collections/electricians-tools/products/klein-tools-63050-high-leverage-cable-cutter")</f>
        <v/>
      </c>
      <c r="B8750" s="2">
        <f>HYPERLINK("https://edmondsonsupply.com/products/klein-tools-63050-high-leverage-cable-cutter", "https://edmondsonsupply.com/products/klein-tools-63050-high-leverage-cable-cutter")</f>
        <v/>
      </c>
      <c r="C8750" t="inlineStr">
        <is>
          <t>Klein Tools 63050 Cable Cutter</t>
        </is>
      </c>
      <c r="D8750" t="inlineStr">
        <is>
          <t>Klein Tools 63084 Replacement Washer for Cable Cutter Cat. No. 63041</t>
        </is>
      </c>
      <c r="E8750" s="2">
        <f>HYPERLINK("https://www.amazon.com/Klein-Tools-63084-Replacement-Washer/dp/B00093D6OK/ref=sr_1_47?keywords=Klein+Tools+63050+Cable+Cutter&amp;qid=1694735444&amp;sr=8-47", "https://www.amazon.com/Klein-Tools-63084-Replacement-Washer/dp/B00093D6OK/ref=sr_1_47?keywords=Klein+Tools+63050+Cable+Cutter&amp;qid=1694735444&amp;sr=8-47")</f>
        <v/>
      </c>
      <c r="F8750" t="inlineStr">
        <is>
          <t>B00093D6OK</t>
        </is>
      </c>
      <c r="G8750">
        <f>_xludf.IMAGE("https://edmondsonsupply.com/cdn/shop/products/63050.jpg?v=1587143239")</f>
        <v/>
      </c>
      <c r="H8750">
        <f>_xludf.IMAGE("https://m.media-amazon.com/images/I/313TRsjmVuL._AC_UL320_.jpg")</f>
        <v/>
      </c>
      <c r="K8750" t="inlineStr">
        <is>
          <t>32.99</t>
        </is>
      </c>
      <c r="L8750" t="n">
        <v>0.9</v>
      </c>
      <c r="M8750" s="1" t="inlineStr">
        <is>
          <t>-97.27%</t>
        </is>
      </c>
      <c r="N8750" s="1" t="n"/>
      <c r="O8750" t="n">
        <v>5</v>
      </c>
      <c r="P8750" t="n">
        <v>3</v>
      </c>
      <c r="R8750" t="inlineStr">
        <is>
          <t>InStock</t>
        </is>
      </c>
      <c r="S8750" t="inlineStr">
        <is>
          <t>47.96</t>
        </is>
      </c>
      <c r="T8750" t="inlineStr">
        <is>
          <t>4289689124964</t>
        </is>
      </c>
    </row>
    <row r="8751" ht="87" customHeight="1">
      <c r="A8751" s="2">
        <f>HYPERLINK("https://groomerspro.com/chris-christensen-ice-on-ice-spray-rtu-16oz/", "https://groomerspro.com/chris-christensen-ice-on-ice-spray-rtu-16oz/")</f>
        <v/>
      </c>
      <c r="B8751" s="2">
        <f>HYPERLINK("https://groomerspro.com/chris-christensen-ice-on-ice-spray-rtu-16oz/", "https://groomerspro.com/chris-christensen-ice-on-ice-spray-rtu-16oz/")</f>
        <v/>
      </c>
      <c r="C8751" t="inlineStr">
        <is>
          <t>Chris Christensen Ice on Ice Spray | 16oz RTU</t>
        </is>
      </c>
      <c r="D8751" t="inlineStr">
        <is>
          <t>Chris Christensen Detangle and Finishing Spray + Dog Brush Bundle: Ice on Ice Detangler &amp; Finishing Spray- Adds Elasticity &amp; Strength + Big G Medium Slicker Brush- Fluff Detangle</t>
        </is>
      </c>
      <c r="E8751" s="2">
        <f>HYPERLINK("https://www.amazon.com/Chris-Christensen-Detangle-Finishing-Bundle/dp/B0BKQZKBD9/ref=sr_1_7?keywords=Chris+Christensen+Ice+on+Ice+Spray+%7C+16oz+RTU&amp;qid=1694735501&amp;sr=8-7", "https://www.amazon.com/Chris-Christensen-Detangle-Finishing-Bundle/dp/B0BKQZKBD9/ref=sr_1_7?keywords=Chris+Christensen+Ice+on+Ice+Spray+%7C+16oz+RTU&amp;qid=1694735501&amp;sr=8-7")</f>
        <v/>
      </c>
      <c r="F8751" t="inlineStr">
        <is>
          <t>B0BKQZKBD9</t>
        </is>
      </c>
      <c r="G8751">
        <f>_xlfn.IMAGE("https://cdn11.bigcommerce.com/s-6420prpf/images/stencil/800x800/products/1025/4660/CC-IceOnIce-RTU-Spray__41649.1641853347.png?c=2")</f>
        <v/>
      </c>
      <c r="H8751">
        <f>_xlfn.IMAGE("https://m.media-amazon.com/images/I/61hA5tx2LQL._AC_UL320_.jpg")</f>
        <v/>
      </c>
      <c r="K8751" t="inlineStr">
        <is>
          <t>20.0</t>
        </is>
      </c>
      <c r="L8751" t="n">
        <v>76.98999999999999</v>
      </c>
      <c r="M8751" s="1" t="inlineStr">
        <is>
          <t>284.95%</t>
        </is>
      </c>
      <c r="N8751" s="7" t="n"/>
      <c r="O8751" t="n">
        <v>4.5</v>
      </c>
      <c r="P8751" t="n">
        <v>45</v>
      </c>
      <c r="R8751" t="inlineStr">
        <is>
          <t>InStock</t>
        </is>
      </c>
      <c r="S8751" t="inlineStr">
        <is>
          <t>undefined</t>
        </is>
      </c>
      <c r="T8751" t="inlineStr">
        <is>
          <t>051</t>
        </is>
      </c>
    </row>
    <row r="8752" ht="87" customHeight="1">
      <c r="A8752" s="2">
        <f>HYPERLINK("https://groomerspro.com/natures-specialties-plum-silky-shampoo-dilutes-24-1/", "https://groomerspro.com/natures-specialties-plum-silky-shampoo-dilutes-24-1/")</f>
        <v/>
      </c>
      <c r="B8752" s="2">
        <f>HYPERLINK("https://groomerspro.com/natures-specialties-plum-silky-shampoo-dilutes-24-1/", "https://groomerspro.com/natures-specialties-plum-silky-shampoo-dilutes-24-1/")</f>
        <v/>
      </c>
      <c r="C8752" t="inlineStr">
        <is>
          <t>Nature's Specialties Plum Silky Shampoo | Dilutes 24:1</t>
        </is>
      </c>
      <c r="D8752" t="inlineStr">
        <is>
          <t>Nature's Specialties Plum Silky Ultra Concentrated Dog Shampoo Conditioner, Makes up to 24 Gallons, Natural Choice for Professional Pet Groomers, Silk Proteins, Made in USA, 1 gal</t>
        </is>
      </c>
      <c r="E8752" s="2">
        <f>HYPERLINK("https://www.amazon.com/Natures-Specialties-Plum-Silky-Shampoo/dp/B0072W3BBO/ref=sr_1_1?keywords=Natures+Specialties+Plum+Silky+Shampoo+%7C+Dilutes+24%3A1&amp;qid=1694735501&amp;sr=8-1", "https://www.amazon.com/Natures-Specialties-Plum-Silky-Shampoo/dp/B0072W3BBO/ref=sr_1_1?keywords=Natures+Specialties+Plum+Silky+Shampoo+%7C+Dilutes+24%3A1&amp;qid=1694735501&amp;sr=8-1")</f>
        <v/>
      </c>
      <c r="F8752" t="inlineStr">
        <is>
          <t>B0072W3BBO</t>
        </is>
      </c>
      <c r="G8752">
        <f>_xlfn.IMAGE("https://cdn11.bigcommerce.com/s-6420prpf/images/stencil/800x800/attribute_rule_images/20621_source_1678487299.jpg")</f>
        <v/>
      </c>
      <c r="H8752">
        <f>_xlfn.IMAGE("https://m.media-amazon.com/images/I/81pd0lJpSjL._AC_UL320_.jpg")</f>
        <v/>
      </c>
      <c r="K8752" t="inlineStr">
        <is>
          <t>23.0</t>
        </is>
      </c>
      <c r="L8752" t="n">
        <v>64.98999999999999</v>
      </c>
      <c r="M8752" s="1" t="inlineStr">
        <is>
          <t>182.57%</t>
        </is>
      </c>
      <c r="N8752" s="7" t="n"/>
      <c r="O8752" t="n">
        <v>4.7</v>
      </c>
      <c r="P8752" t="n">
        <v>3793</v>
      </c>
      <c r="R8752" t="inlineStr">
        <is>
          <t>InStock</t>
        </is>
      </c>
      <c r="S8752" t="inlineStr">
        <is>
          <t>undefined</t>
        </is>
      </c>
      <c r="T8752" t="inlineStr">
        <is>
          <t>NS1189</t>
        </is>
      </c>
    </row>
    <row r="8753" ht="87" customHeight="1">
      <c r="A8753" s="2">
        <f>HYPERLINK("https://groomerspro.com/chris-christensen-ice-on-ice-spray-rtu-16oz/", "https://groomerspro.com/chris-christensen-ice-on-ice-spray-rtu-16oz/")</f>
        <v/>
      </c>
      <c r="B8753" s="2">
        <f>HYPERLINK("https://groomerspro.com/chris-christensen-ice-on-ice-spray-rtu-16oz/", "https://groomerspro.com/chris-christensen-ice-on-ice-spray-rtu-16oz/")</f>
        <v/>
      </c>
      <c r="C8753" t="inlineStr">
        <is>
          <t>Chris Christensen Ice on Ice Spray | 16oz RTU</t>
        </is>
      </c>
      <c r="D8753" t="inlineStr">
        <is>
          <t>Chris Christensen Ice on Ice Bag Deal 64 - Detangling Shampoo, Conditioner &amp; Finishing Spray for Dogs - Ice on Ice Bag Deal 16oz – High Shine &amp; Fights Frizz Detangles for Dog Skin Problems</t>
        </is>
      </c>
      <c r="E8753" s="2">
        <f>HYPERLINK("https://www.amazon.com/Chris-Christensen-Ice-Bag-Deal/dp/B07PTBVV8F/ref=sr_1_1?keywords=Chris+Christensen+Ice+on+Ice+Spray+%7C+16oz+RTU&amp;qid=1694735501&amp;sr=8-1", "https://www.amazon.com/Chris-Christensen-Ice-Bag-Deal/dp/B07PTBVV8F/ref=sr_1_1?keywords=Chris+Christensen+Ice+on+Ice+Spray+%7C+16oz+RTU&amp;qid=1694735501&amp;sr=8-1")</f>
        <v/>
      </c>
      <c r="F8753" t="inlineStr">
        <is>
          <t>B07PTBVV8F</t>
        </is>
      </c>
      <c r="G8753">
        <f>_xlfn.IMAGE("https://cdn11.bigcommerce.com/s-6420prpf/images/stencil/800x800/products/1025/4660/CC-IceOnIce-RTU-Spray__41649.1641853347.png?c=2")</f>
        <v/>
      </c>
      <c r="H8753">
        <f>_xlfn.IMAGE("https://m.media-amazon.com/images/I/71c0nBLAxDL._AC_UL320_.jpg")</f>
        <v/>
      </c>
      <c r="K8753" t="inlineStr">
        <is>
          <t>20.0</t>
        </is>
      </c>
      <c r="L8753" t="n">
        <v>54.99</v>
      </c>
      <c r="M8753" s="1" t="inlineStr">
        <is>
          <t>174.95%</t>
        </is>
      </c>
      <c r="N8753" s="7" t="n"/>
      <c r="O8753" t="n">
        <v>4.5</v>
      </c>
      <c r="P8753" t="n">
        <v>122</v>
      </c>
      <c r="R8753" t="inlineStr">
        <is>
          <t>InStock</t>
        </is>
      </c>
      <c r="S8753" t="inlineStr">
        <is>
          <t>undefined</t>
        </is>
      </c>
      <c r="T8753" t="inlineStr">
        <is>
          <t>051</t>
        </is>
      </c>
    </row>
    <row r="8754" ht="87" customHeight="1">
      <c r="A8754" s="2">
        <f>HYPERLINK("https://groomerspro.com/chris-christensen-ice-on-ice-spray-rtu-16oz/", "https://groomerspro.com/chris-christensen-ice-on-ice-spray-rtu-16oz/")</f>
        <v/>
      </c>
      <c r="B8754" s="2">
        <f>HYPERLINK("https://groomerspro.com/chris-christensen-ice-on-ice-spray-rtu-16oz/", "https://groomerspro.com/chris-christensen-ice-on-ice-spray-rtu-16oz/")</f>
        <v/>
      </c>
      <c r="C8754" t="inlineStr">
        <is>
          <t>Chris Christensen Ice on Ice Spray | 16oz RTU</t>
        </is>
      </c>
      <c r="D8754" t="inlineStr">
        <is>
          <t>Chris Christensen Detangle and Finishing Spray + Dog Brush Bundle: Ice on Ice Detangler &amp; Finishing Spray- Adds Elasticity &amp; Strength + Mark III Slicker Brush- Stainless Steel Pins</t>
        </is>
      </c>
      <c r="E8754" s="2">
        <f>HYPERLINK("https://www.amazon.com/Chris-Christensen-Detangle-Finishing-Bundle/dp/B0BKR4CMVG/ref=sr_1_12?keywords=Chris+Christensen+Ice+on+Ice+Spray+%7C+16oz+RTU&amp;qid=1694735501&amp;sr=8-12", "https://www.amazon.com/Chris-Christensen-Detangle-Finishing-Bundle/dp/B0BKR4CMVG/ref=sr_1_12?keywords=Chris+Christensen+Ice+on+Ice+Spray+%7C+16oz+RTU&amp;qid=1694735501&amp;sr=8-12")</f>
        <v/>
      </c>
      <c r="F8754" t="inlineStr">
        <is>
          <t>B0BKR4CMVG</t>
        </is>
      </c>
      <c r="G8754">
        <f>_xlfn.IMAGE("https://cdn11.bigcommerce.com/s-6420prpf/images/stencil/800x800/products/1025/4660/CC-IceOnIce-RTU-Spray__41649.1641853347.png?c=2")</f>
        <v/>
      </c>
      <c r="H8754">
        <f>_xlfn.IMAGE("https://m.media-amazon.com/images/I/61AuZ74s9kL._AC_UL320_.jpg")</f>
        <v/>
      </c>
      <c r="K8754" t="inlineStr">
        <is>
          <t>20.0</t>
        </is>
      </c>
      <c r="L8754" t="n">
        <v>47.99</v>
      </c>
      <c r="M8754" s="1" t="inlineStr">
        <is>
          <t>139.95%</t>
        </is>
      </c>
      <c r="N8754" s="7" t="n"/>
      <c r="O8754" t="n">
        <v>4.8</v>
      </c>
      <c r="P8754" t="n">
        <v>16</v>
      </c>
      <c r="R8754" t="inlineStr">
        <is>
          <t>InStock</t>
        </is>
      </c>
      <c r="S8754" t="inlineStr">
        <is>
          <t>undefined</t>
        </is>
      </c>
      <c r="T8754" t="inlineStr">
        <is>
          <t>051</t>
        </is>
      </c>
    </row>
    <row r="8755" ht="87" customHeight="1">
      <c r="A8755" s="2">
        <f>HYPERLINK("https://groomerspro.com/groomers-edge-grimeinator-shampoo-dilutes-32-1/", "https://groomerspro.com/groomers-edge-grimeinator-shampoo-dilutes-32-1/")</f>
        <v/>
      </c>
      <c r="B8755" s="2">
        <f>HYPERLINK("https://groomerspro.com/groomers-edge-grimeinator-shampoo-dilutes-32-1/", "https://groomerspro.com/groomers-edge-grimeinator-shampoo-dilutes-32-1/")</f>
        <v/>
      </c>
      <c r="C8755" t="inlineStr">
        <is>
          <t>Groomer's Edge Grimeinator Shampoo | Dilutes 32:1</t>
        </is>
      </c>
      <c r="D8755" t="inlineStr">
        <is>
          <t>Groomer's Edge Ultimate Unleashed Professional Dog and Pet Shampoo | Ultra Concentrated Formula dilutes 64:1 | 128 fl oz (1 Gallon)</t>
        </is>
      </c>
      <c r="E8755" s="2">
        <f>HYPERLINK("https://www.amazon.com/Groomers-Edge-Unleashed-Professional-Concentrated/dp/B08GB7MYHJ/ref=sr_1_28?keywords=Groomers+Edge+Grimeinator+Shampoo+%7C+Dilutes+32%3A1&amp;qid=1694735502&amp;sr=8-28", "https://www.amazon.com/Groomers-Edge-Unleashed-Professional-Concentrated/dp/B08GB7MYHJ/ref=sr_1_28?keywords=Groomers+Edge+Grimeinator+Shampoo+%7C+Dilutes+32%3A1&amp;qid=1694735502&amp;sr=8-28")</f>
        <v/>
      </c>
      <c r="F8755" t="inlineStr">
        <is>
          <t>B08GB7MYHJ</t>
        </is>
      </c>
      <c r="G8755">
        <f>_xlfn.IMAGE("https://cdn11.bigcommerce.com/s-6420prpf/images/stencil/800x800/products/89/4044/GRIMEINATOR_1280x1280_WEB__47886.1624897930.jpg?c=2")</f>
        <v/>
      </c>
      <c r="H8755">
        <f>_xlfn.IMAGE("https://m.media-amazon.com/images/I/71iCgZtqyYL._AC_UL320_.jpg")</f>
        <v/>
      </c>
      <c r="K8755" t="inlineStr">
        <is>
          <t>41.99</t>
        </is>
      </c>
      <c r="L8755" t="n">
        <v>100.19</v>
      </c>
      <c r="M8755" s="1" t="inlineStr">
        <is>
          <t>138.60%</t>
        </is>
      </c>
      <c r="N8755" s="7" t="n"/>
      <c r="O8755" t="n">
        <v>4.9</v>
      </c>
      <c r="P8755" t="n">
        <v>21</v>
      </c>
      <c r="R8755" t="inlineStr">
        <is>
          <t>InStock</t>
        </is>
      </c>
      <c r="S8755" t="inlineStr">
        <is>
          <t>undefined</t>
        </is>
      </c>
      <c r="T8755" t="inlineStr">
        <is>
          <t>125-1</t>
        </is>
      </c>
    </row>
    <row r="8756" ht="87" customHeight="1">
      <c r="A8756" s="2">
        <f>HYPERLINK("https://groomerspro.com/envirogroom-natural-de-shed-shampoo-dilutes-32-1/", "https://groomerspro.com/envirogroom-natural-de-shed-shampoo-dilutes-32-1/")</f>
        <v/>
      </c>
      <c r="B8756" s="2">
        <f>HYPERLINK("https://groomerspro.com/envirogroom-natural-de-shed-shampoo-dilutes-32-1/", "https://groomerspro.com/envirogroom-natural-de-shed-shampoo-dilutes-32-1/")</f>
        <v/>
      </c>
      <c r="C8756" t="inlineStr">
        <is>
          <t>Envirogroom Natural De-Shed Shampoo | Dilutes 32:1</t>
        </is>
      </c>
      <c r="D8756" t="inlineStr">
        <is>
          <t>Envirogroom Natural De-Shed Shampoo 32:1</t>
        </is>
      </c>
      <c r="E8756" s="2">
        <f>HYPERLINK("https://www.amazon.com/Envirogroom-Natural-Shed-Shampoo-32/dp/B00FHG5OVW/ref=sr_1_1?keywords=Envirogroom+Natural+De-Shed+Shampoo+%7C+Dilutes+32%3A1&amp;qid=1694735502&amp;sr=8-1", "https://www.amazon.com/Envirogroom-Natural-Shed-Shampoo-32/dp/B00FHG5OVW/ref=sr_1_1?keywords=Envirogroom+Natural+De-Shed+Shampoo+%7C+Dilutes+32%3A1&amp;qid=1694735502&amp;sr=8-1")</f>
        <v/>
      </c>
      <c r="F8756" t="inlineStr">
        <is>
          <t>B00FHG5OVW</t>
        </is>
      </c>
      <c r="G8756">
        <f>_xlfn.IMAGE("https://cdn11.bigcommerce.com/s-6420prpf/images/stencil/800x800/attribute_rule_images/3704_source_1529960880.jpg")</f>
        <v/>
      </c>
      <c r="H8756">
        <f>_xlfn.IMAGE("https://m.media-amazon.com/images/I/61RuwXDFH3L._AC_UL320_.jpg")</f>
        <v/>
      </c>
      <c r="K8756" t="inlineStr">
        <is>
          <t>45.95</t>
        </is>
      </c>
      <c r="L8756" t="n">
        <v>63.95</v>
      </c>
      <c r="M8756" s="1" t="inlineStr">
        <is>
          <t>39.17%</t>
        </is>
      </c>
      <c r="N8756" s="7" t="n"/>
      <c r="O8756" t="n">
        <v>4.3</v>
      </c>
      <c r="P8756" t="n">
        <v>30</v>
      </c>
      <c r="R8756" t="inlineStr">
        <is>
          <t>InStock</t>
        </is>
      </c>
      <c r="S8756" t="inlineStr">
        <is>
          <t>undefined</t>
        </is>
      </c>
      <c r="T8756" t="inlineStr">
        <is>
          <t>EGNDS</t>
        </is>
      </c>
    </row>
    <row r="8757" ht="87" customHeight="1">
      <c r="A8757" s="2">
        <f>HYPERLINK("https://groomerspro.com/chris-christensen-ice-on-ice-spray-rtu-16oz/", "https://groomerspro.com/chris-christensen-ice-on-ice-spray-rtu-16oz/")</f>
        <v/>
      </c>
      <c r="B8757" s="2">
        <f>HYPERLINK("https://groomerspro.com/chris-christensen-ice-on-ice-spray-rtu-16oz/", "https://groomerspro.com/chris-christensen-ice-on-ice-spray-rtu-16oz/")</f>
        <v/>
      </c>
      <c r="C8757" t="inlineStr">
        <is>
          <t>Chris Christensen Ice on Ice Spray | 16oz RTU</t>
        </is>
      </c>
      <c r="D8757" t="inlineStr">
        <is>
          <t>Chris Christensen Ice on Ice Ultra Conditioning Dematting Spray, Dog Conditioner, Groom Like a Professional, Lightweight Formula, Dematts &amp; Detangles, Conditions &amp; Protects, Made in The USA, 8oz</t>
        </is>
      </c>
      <c r="E8757" s="2">
        <f>HYPERLINK("https://www.amazon.com/Chris-Christensen-ULTRA-Dematting-Spray/dp/B079C4719B/ref=sr_1_6?keywords=Chris+Christensen+Ice+on+Ice+Spray+%7C+16oz+RTU&amp;qid=1694735501&amp;sr=8-6", "https://www.amazon.com/Chris-Christensen-ULTRA-Dematting-Spray/dp/B079C4719B/ref=sr_1_6?keywords=Chris+Christensen+Ice+on+Ice+Spray+%7C+16oz+RTU&amp;qid=1694735501&amp;sr=8-6")</f>
        <v/>
      </c>
      <c r="F8757" t="inlineStr">
        <is>
          <t>B079C4719B</t>
        </is>
      </c>
      <c r="G8757">
        <f>_xlfn.IMAGE("https://cdn11.bigcommerce.com/s-6420prpf/images/stencil/800x800/products/1025/4660/CC-IceOnIce-RTU-Spray__41649.1641853347.png?c=2")</f>
        <v/>
      </c>
      <c r="H8757">
        <f>_xlfn.IMAGE("https://m.media-amazon.com/images/I/71bnT24bj1L._AC_UL320_.jpg")</f>
        <v/>
      </c>
      <c r="K8757" t="inlineStr">
        <is>
          <t>20.0</t>
        </is>
      </c>
      <c r="L8757" t="n">
        <v>23.99</v>
      </c>
      <c r="M8757" s="1" t="inlineStr">
        <is>
          <t>19.95%</t>
        </is>
      </c>
      <c r="N8757" s="7" t="n"/>
      <c r="O8757" t="n">
        <v>4.5</v>
      </c>
      <c r="P8757" t="n">
        <v>833</v>
      </c>
      <c r="R8757" t="inlineStr">
        <is>
          <t>InStock</t>
        </is>
      </c>
      <c r="S8757" t="inlineStr">
        <is>
          <t>undefined</t>
        </is>
      </c>
      <c r="T8757" t="inlineStr">
        <is>
          <t>051</t>
        </is>
      </c>
    </row>
    <row r="8758" ht="87" customHeight="1">
      <c r="A8758" s="2">
        <f>HYPERLINK("https://groomerspro.com/chris-christensen-ice-on-ice-spray-rtu-16oz/", "https://groomerspro.com/chris-christensen-ice-on-ice-spray-rtu-16oz/")</f>
        <v/>
      </c>
      <c r="B8758" s="2">
        <f>HYPERLINK("https://groomerspro.com/chris-christensen-ice-on-ice-spray-rtu-16oz/", "https://groomerspro.com/chris-christensen-ice-on-ice-spray-rtu-16oz/")</f>
        <v/>
      </c>
      <c r="C8758" t="inlineStr">
        <is>
          <t>Chris Christensen Ice on Ice Spray | 16oz RTU</t>
        </is>
      </c>
      <c r="D8758" t="inlineStr">
        <is>
          <t>Chris Christensen Ice on Ice Strengthening Dog Shampoo, Groom Like a Professional, Revives Dry, Damaged Coats and Strands, All Coat Types, Made in USA, 16oz</t>
        </is>
      </c>
      <c r="E8758" s="2">
        <f>HYPERLINK("https://www.amazon.com/Chris-Christensen-Detangling-Shampoo-16oz/dp/B078ZGZGD4/ref=sr_1_4?keywords=Chris+Christensen+Ice+on+Ice+Spray+%7C+16oz+RTU&amp;qid=1694735501&amp;sr=8-4", "https://www.amazon.com/Chris-Christensen-Detangling-Shampoo-16oz/dp/B078ZGZGD4/ref=sr_1_4?keywords=Chris+Christensen+Ice+on+Ice+Spray+%7C+16oz+RTU&amp;qid=1694735501&amp;sr=8-4")</f>
        <v/>
      </c>
      <c r="F8758" t="inlineStr">
        <is>
          <t>B078ZGZGD4</t>
        </is>
      </c>
      <c r="G8758">
        <f>_xlfn.IMAGE("https://cdn11.bigcommerce.com/s-6420prpf/images/stencil/800x800/products/1025/4660/CC-IceOnIce-RTU-Spray__41649.1641853347.png?c=2")</f>
        <v/>
      </c>
      <c r="H8758">
        <f>_xlfn.IMAGE("https://m.media-amazon.com/images/I/71UScjTZzzL._AC_UL320_.jpg")</f>
        <v/>
      </c>
      <c r="K8758" t="inlineStr">
        <is>
          <t>20.0</t>
        </is>
      </c>
      <c r="L8758" t="n">
        <v>22.99</v>
      </c>
      <c r="M8758" s="1" t="inlineStr">
        <is>
          <t>14.95%</t>
        </is>
      </c>
      <c r="N8758" s="7" t="n"/>
      <c r="O8758" t="n">
        <v>4.5</v>
      </c>
      <c r="P8758" t="n">
        <v>318</v>
      </c>
      <c r="R8758" t="inlineStr">
        <is>
          <t>InStock</t>
        </is>
      </c>
      <c r="S8758" t="inlineStr">
        <is>
          <t>undefined</t>
        </is>
      </c>
      <c r="T8758" t="inlineStr">
        <is>
          <t>051</t>
        </is>
      </c>
    </row>
    <row r="8759" ht="87" customHeight="1">
      <c r="A8759" s="2">
        <f>HYPERLINK("https://groomerspro.com/chris-christensen-ice-on-ice-spray-rtu-16oz/", "https://groomerspro.com/chris-christensen-ice-on-ice-spray-rtu-16oz/")</f>
        <v/>
      </c>
      <c r="B8759" s="2">
        <f>HYPERLINK("https://groomerspro.com/chris-christensen-ice-on-ice-spray-rtu-16oz/", "https://groomerspro.com/chris-christensen-ice-on-ice-spray-rtu-16oz/")</f>
        <v/>
      </c>
      <c r="C8759" t="inlineStr">
        <is>
          <t>Chris Christensen Ice on Ice Spray | 16oz RTU</t>
        </is>
      </c>
      <c r="D8759" t="inlineStr">
        <is>
          <t>Chris Christensen Ice on Ice Detangling Dog Conditioner, Groom Like a Professional, Dematts, Moisturizes, Creates Long Lasting Silkiness, All Coat Types, Made in USA, 16oz</t>
        </is>
      </c>
      <c r="E8759" s="2">
        <f>HYPERLINK("https://www.amazon.com/Chris-Christensen-Detangling-Conditioner-16oz/dp/B07HNKFGBT/ref=sr_1_5?keywords=Chris+Christensen+Ice+on+Ice+Spray+%7C+16oz+RTU&amp;qid=1694735501&amp;sr=8-5", "https://www.amazon.com/Chris-Christensen-Detangling-Conditioner-16oz/dp/B07HNKFGBT/ref=sr_1_5?keywords=Chris+Christensen+Ice+on+Ice+Spray+%7C+16oz+RTU&amp;qid=1694735501&amp;sr=8-5")</f>
        <v/>
      </c>
      <c r="F8759" t="inlineStr">
        <is>
          <t>B07HNKFGBT</t>
        </is>
      </c>
      <c r="G8759">
        <f>_xlfn.IMAGE("https://cdn11.bigcommerce.com/s-6420prpf/images/stencil/800x800/products/1025/4660/CC-IceOnIce-RTU-Spray__41649.1641853347.png?c=2")</f>
        <v/>
      </c>
      <c r="H8759">
        <f>_xlfn.IMAGE("https://m.media-amazon.com/images/I/711CdnnSMCL._AC_UL320_.jpg")</f>
        <v/>
      </c>
      <c r="K8759" t="inlineStr">
        <is>
          <t>20.0</t>
        </is>
      </c>
      <c r="L8759" t="n">
        <v>22.99</v>
      </c>
      <c r="M8759" s="1" t="inlineStr">
        <is>
          <t>14.95%</t>
        </is>
      </c>
      <c r="N8759" s="7" t="n"/>
      <c r="O8759" t="n">
        <v>4.7</v>
      </c>
      <c r="P8759" t="n">
        <v>732</v>
      </c>
      <c r="R8759" t="inlineStr">
        <is>
          <t>InStock</t>
        </is>
      </c>
      <c r="S8759" t="inlineStr">
        <is>
          <t>undefined</t>
        </is>
      </c>
      <c r="T8759" t="inlineStr">
        <is>
          <t>051</t>
        </is>
      </c>
    </row>
    <row r="8760" ht="87" customHeight="1">
      <c r="A8760" s="2">
        <f>HYPERLINK("https://groomerspro.com/chris-christensen-ice-on-ice-spray-rtu-16oz/", "https://groomerspro.com/chris-christensen-ice-on-ice-spray-rtu-16oz/")</f>
        <v/>
      </c>
      <c r="B8760" s="2">
        <f>HYPERLINK("https://groomerspro.com/chris-christensen-ice-on-ice-spray-rtu-16oz/", "https://groomerspro.com/chris-christensen-ice-on-ice-spray-rtu-16oz/")</f>
        <v/>
      </c>
      <c r="C8760" t="inlineStr">
        <is>
          <t>Chris Christensen Ice on Ice Spray | 16oz RTU</t>
        </is>
      </c>
      <c r="D8760" t="inlineStr">
        <is>
          <t>Chris Christensen Ice on Ice Detangler and Finishing Dog Spray, Groom Like a Professional, Ready to Use, Helps Brush/Comb Glide Through Coat, Conditions, No Residue, All Coat Types, Made in USA, 16 oz</t>
        </is>
      </c>
      <c r="E8760" s="2">
        <f>HYPERLINK("https://www.amazon.com/Chris-Christensen-Conditioner-Sunscreen-Ready/dp/B00II6XPOQ/ref=sr_1_2?keywords=Chris+Christensen+Ice+on+Ice+Spray+%7C+16oz+RTU&amp;qid=1694735501&amp;sr=8-2", "https://www.amazon.com/Chris-Christensen-Conditioner-Sunscreen-Ready/dp/B00II6XPOQ/ref=sr_1_2?keywords=Chris+Christensen+Ice+on+Ice+Spray+%7C+16oz+RTU&amp;qid=1694735501&amp;sr=8-2")</f>
        <v/>
      </c>
      <c r="F8760" t="inlineStr">
        <is>
          <t>B00II6XPOQ</t>
        </is>
      </c>
      <c r="G8760">
        <f>_xlfn.IMAGE("https://cdn11.bigcommerce.com/s-6420prpf/images/stencil/800x800/products/1025/4660/CC-IceOnIce-RTU-Spray__41649.1641853347.png?c=2")</f>
        <v/>
      </c>
      <c r="H8760">
        <f>_xlfn.IMAGE("https://m.media-amazon.com/images/I/61d+kHfN0sL._AC_UL320_.jpg")</f>
        <v/>
      </c>
      <c r="K8760" t="inlineStr">
        <is>
          <t>20.0</t>
        </is>
      </c>
      <c r="L8760" t="n">
        <v>19.54</v>
      </c>
      <c r="M8760" s="1" t="inlineStr">
        <is>
          <t>-2.30%</t>
        </is>
      </c>
      <c r="N8760" s="7" t="n"/>
      <c r="O8760" t="n">
        <v>4.6</v>
      </c>
      <c r="P8760" t="n">
        <v>1556</v>
      </c>
      <c r="R8760" t="inlineStr">
        <is>
          <t>InStock</t>
        </is>
      </c>
      <c r="S8760" t="inlineStr">
        <is>
          <t>undefined</t>
        </is>
      </c>
      <c r="T8760" t="inlineStr">
        <is>
          <t>051</t>
        </is>
      </c>
    </row>
    <row r="8761" ht="87" customHeight="1">
      <c r="A8761" s="2">
        <f>HYPERLINK("https://groomerspro.com/natures-specialties-plum-silky-shampoo-dilutes-24-1/", "https://groomerspro.com/natures-specialties-plum-silky-shampoo-dilutes-24-1/")</f>
        <v/>
      </c>
      <c r="B8761" s="2">
        <f>HYPERLINK("https://groomerspro.com/natures-specialties-plum-silky-shampoo-dilutes-24-1/", "https://groomerspro.com/natures-specialties-plum-silky-shampoo-dilutes-24-1/")</f>
        <v/>
      </c>
      <c r="C8761" t="inlineStr">
        <is>
          <t>Nature's Specialties Plum Silky Shampoo | Dilutes 24:1</t>
        </is>
      </c>
      <c r="D8761" t="inlineStr">
        <is>
          <t>Nature's Specialties Plum Silky Waterless Dog Shampoo for Pets, Natural Choice for Professional Groomers, Leave in or Rinse Out, Made in USA, 7.5 oz</t>
        </is>
      </c>
      <c r="E8761" s="2">
        <f>HYPERLINK("https://www.amazon.com/Natures-Specialties-Waterless-Shampoo-Rinse/dp/B08F9FVWKN/ref=sr_1_5?keywords=Natures+Specialties+Plum+Silky+Shampoo+%7C+Dilutes+24%3A1&amp;qid=1694735501&amp;sr=8-5", "https://www.amazon.com/Natures-Specialties-Waterless-Shampoo-Rinse/dp/B08F9FVWKN/ref=sr_1_5?keywords=Natures+Specialties+Plum+Silky+Shampoo+%7C+Dilutes+24%3A1&amp;qid=1694735501&amp;sr=8-5")</f>
        <v/>
      </c>
      <c r="F8761" t="inlineStr">
        <is>
          <t>B08F9FVWKN</t>
        </is>
      </c>
      <c r="G8761">
        <f>_xlfn.IMAGE("https://cdn11.bigcommerce.com/s-6420prpf/images/stencil/800x800/attribute_rule_images/20621_source_1678487299.jpg")</f>
        <v/>
      </c>
      <c r="H8761">
        <f>_xlfn.IMAGE("https://m.media-amazon.com/images/I/51gX0mkKDnL._AC_UL320_.jpg")</f>
        <v/>
      </c>
      <c r="K8761" t="inlineStr">
        <is>
          <t>23.0</t>
        </is>
      </c>
      <c r="L8761" t="n">
        <v>20</v>
      </c>
      <c r="M8761" s="1" t="inlineStr">
        <is>
          <t>-13.04%</t>
        </is>
      </c>
      <c r="N8761" s="7" t="n"/>
      <c r="O8761" t="n">
        <v>4.4</v>
      </c>
      <c r="P8761" t="n">
        <v>122</v>
      </c>
      <c r="R8761" t="inlineStr">
        <is>
          <t>InStock</t>
        </is>
      </c>
      <c r="S8761" t="inlineStr">
        <is>
          <t>undefined</t>
        </is>
      </c>
      <c r="T8761" t="inlineStr">
        <is>
          <t>NS1189</t>
        </is>
      </c>
    </row>
    <row r="8762" ht="87" customHeight="1">
      <c r="A8762" s="2">
        <f>HYPERLINK("https://groomerspro.com/envirogroom-natural-de-shed-shampoo-dilutes-32-1/", "https://groomerspro.com/envirogroom-natural-de-shed-shampoo-dilutes-32-1/")</f>
        <v/>
      </c>
      <c r="B8762" s="2">
        <f>HYPERLINK("https://groomerspro.com/envirogroom-natural-de-shed-shampoo-dilutes-32-1/", "https://groomerspro.com/envirogroom-natural-de-shed-shampoo-dilutes-32-1/")</f>
        <v/>
      </c>
      <c r="C8762" t="inlineStr">
        <is>
          <t>Envirogroom Natural De-Shed Shampoo | Dilutes 32:1</t>
        </is>
      </c>
      <c r="D8762" t="inlineStr">
        <is>
          <t>Envirogroom Natural De-Shed Shampoo 17 oz</t>
        </is>
      </c>
      <c r="E8762" s="2">
        <f>HYPERLINK("https://www.amazon.com/Envirogroom-Natural-Shed-Shampoo-17/dp/B00FHGE0U8/ref=sr_1_2?keywords=Envirogroom+Natural+De-Shed+Shampoo+%7C+Dilutes+32%3A1&amp;qid=1694735502&amp;sr=8-2", "https://www.amazon.com/Envirogroom-Natural-Shed-Shampoo-17/dp/B00FHGE0U8/ref=sr_1_2?keywords=Envirogroom+Natural+De-Shed+Shampoo+%7C+Dilutes+32%3A1&amp;qid=1694735502&amp;sr=8-2")</f>
        <v/>
      </c>
      <c r="F8762" t="inlineStr">
        <is>
          <t>B00FHGE0U8</t>
        </is>
      </c>
      <c r="G8762">
        <f>_xlfn.IMAGE("https://cdn11.bigcommerce.com/s-6420prpf/images/stencil/800x800/attribute_rule_images/3704_source_1529960880.jpg")</f>
        <v/>
      </c>
      <c r="H8762">
        <f>_xlfn.IMAGE("https://m.media-amazon.com/images/I/61Lrhl22MgL._AC_UL320_.jpg")</f>
        <v/>
      </c>
      <c r="K8762" t="inlineStr">
        <is>
          <t>45.95</t>
        </is>
      </c>
      <c r="L8762" t="n">
        <v>19.95</v>
      </c>
      <c r="M8762" s="1" t="inlineStr">
        <is>
          <t>-56.58%</t>
        </is>
      </c>
      <c r="N8762" s="7" t="n"/>
      <c r="O8762" t="n">
        <v>4.5</v>
      </c>
      <c r="P8762" t="n">
        <v>32</v>
      </c>
      <c r="R8762" t="inlineStr">
        <is>
          <t>InStock</t>
        </is>
      </c>
      <c r="S8762" t="inlineStr">
        <is>
          <t>undefined</t>
        </is>
      </c>
      <c r="T8762" t="inlineStr">
        <is>
          <t>EGNDS</t>
        </is>
      </c>
    </row>
  </sheetData>
  <autoFilter ref="A1:X8762">
    <filterColumn colId="11" hiddenButton="0" showButton="1">
      <customFilters and="0">
        <customFilter operator="greaterThan" val="15"/>
      </customFilters>
    </filterColumn>
    <filterColumn colId="14" hiddenButton="0" showButton="1">
      <customFilters and="0">
        <customFilter operator="greaterThan" val="4"/>
      </customFilters>
    </filterColumn>
  </autoFilter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2023-09-14T23:33:30Z</dcterms:created>
  <dcterms:modified xsi:type="dcterms:W3CDTF">2023-09-29T13:18:56Z</dcterms:modified>
  <cp:lastModifiedBy>John Connolly</cp:lastModifiedBy>
</cp:coreProperties>
</file>